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جمیع" sheetId="1" r:id="rId5"/>
    <sheet state="visible" name="رصد" sheetId="2" r:id="rId6"/>
    <sheet state="visible" name="تهران" sheetId="3" r:id="rId7"/>
    <sheet state="visible" name="مازندران" sheetId="4" r:id="rId8"/>
    <sheet state="visible" name="قزوین" sheetId="5" r:id="rId9"/>
    <sheet state="visible" name="همدان" sheetId="6" r:id="rId10"/>
    <sheet state="visible" name="قم" sheetId="7" r:id="rId11"/>
    <sheet state="visible" name="خوزستان" sheetId="8" r:id="rId12"/>
    <sheet state="visible" name="یزد" sheetId="9" r:id="rId13"/>
    <sheet state="visible" name="گلستان" sheetId="10" r:id="rId14"/>
    <sheet state="visible" name="اصفهان" sheetId="11" r:id="rId15"/>
    <sheet state="visible" name="گیلان" sheetId="12" r:id="rId16"/>
    <sheet state="visible" name="مرکزی" sheetId="13" r:id="rId17"/>
    <sheet state="visible" name="کرمان" sheetId="14" r:id="rId18"/>
    <sheet state="visible" name="خراسان شمالی" sheetId="15" r:id="rId19"/>
    <sheet state="visible" name="فارس" sheetId="16" r:id="rId20"/>
    <sheet state="visible" name="زنجان" sheetId="17" r:id="rId21"/>
    <sheet state="visible" name="لرستان" sheetId="18" r:id="rId22"/>
    <sheet state="visible" name="البرز" sheetId="19" r:id="rId23"/>
    <sheet state="visible" name="سمنان" sheetId="20" r:id="rId24"/>
    <sheet state="visible" name="هرمزگان" sheetId="21" r:id="rId25"/>
    <sheet state="visible" name="خراسان رضوی" sheetId="22" r:id="rId26"/>
    <sheet state="visible" name="آذربایجان شرقی" sheetId="23" r:id="rId27"/>
    <sheet state="visible" name="آذربایجان غربی" sheetId="24" r:id="rId28"/>
    <sheet state="visible" name="اردبیل" sheetId="25" r:id="rId29"/>
    <sheet state="visible" name="بوشهر" sheetId="26" r:id="rId30"/>
    <sheet state="visible" name="کهگیلویه و بویراحمد" sheetId="27" r:id="rId31"/>
    <sheet state="visible" name="کرمانشاه" sheetId="28" r:id="rId32"/>
    <sheet state="visible" name="ایلام" sheetId="29" r:id="rId33"/>
    <sheet state="visible" name="کردستان" sheetId="30" r:id="rId34"/>
    <sheet state="visible" name="چهارمحال و بختیاری" sheetId="31" r:id="rId35"/>
    <sheet state="visible" name="خراسان جنوبی" sheetId="32" r:id="rId36"/>
    <sheet state="visible" name="سیستان و بلوچستان" sheetId="33" r:id="rId37"/>
    <sheet state="visible" name="بین الملل" sheetId="34" r:id="rId38"/>
  </sheets>
  <definedNames>
    <definedName hidden="1" localSheetId="3" name="_xlnm._FilterDatabase">'مازندران'!$A$1:$S$317</definedName>
  </definedNames>
  <calcPr/>
</workbook>
</file>

<file path=xl/sharedStrings.xml><?xml version="1.0" encoding="utf-8"?>
<sst xmlns="http://schemas.openxmlformats.org/spreadsheetml/2006/main" count="40867" uniqueCount="15553">
  <si>
    <t xml:space="preserve"> </t>
  </si>
  <si>
    <t>نوع</t>
  </si>
  <si>
    <t>نام</t>
  </si>
  <si>
    <t>استان</t>
  </si>
  <si>
    <t>شهر</t>
  </si>
  <si>
    <t>آدرس</t>
  </si>
  <si>
    <t>تیپ</t>
  </si>
  <si>
    <t>اینستا</t>
  </si>
  <si>
    <t>تلگرام</t>
  </si>
  <si>
    <t>ایتا / بله</t>
  </si>
  <si>
    <t>یوتیوب</t>
  </si>
  <si>
    <t>سایت</t>
  </si>
  <si>
    <t>فرد شاخص</t>
  </si>
  <si>
    <t>هفتگی</t>
  </si>
  <si>
    <t>مدرسه</t>
  </si>
  <si>
    <t>خیریه</t>
  </si>
  <si>
    <t>صندوق</t>
  </si>
  <si>
    <t>موکب</t>
  </si>
  <si>
    <t>جهادی</t>
  </si>
  <si>
    <t>کد</t>
  </si>
  <si>
    <t>هیأت</t>
  </si>
  <si>
    <t>انصارالمهدی</t>
  </si>
  <si>
    <t>افغانستان</t>
  </si>
  <si>
    <t>کابل</t>
  </si>
  <si>
    <t>https://www.instagram.com/ansarolmahdi_kabul/</t>
  </si>
  <si>
    <t>یاقاسم</t>
  </si>
  <si>
    <t>البرز</t>
  </si>
  <si>
    <t>کرچ</t>
  </si>
  <si>
    <t>https://www.instagram.com/mahfel_ya.ghasem.karaj</t>
  </si>
  <si>
    <t>روضه خانگی</t>
  </si>
  <si>
    <t>معجرالرقیه</t>
  </si>
  <si>
    <t>کرج</t>
  </si>
  <si>
    <t>https://www.instagram.com/maajar_315/</t>
  </si>
  <si>
    <t>https://t.me/maajar_315</t>
  </si>
  <si>
    <t>رسانه</t>
  </si>
  <si>
    <t>اهل بیت مدیا</t>
  </si>
  <si>
    <t>تهران</t>
  </si>
  <si>
    <t>https://www.instagram.com/ahlebeytmedia/</t>
  </si>
  <si>
    <t>https://t.me/AhleBeytMedia</t>
  </si>
  <si>
    <t>علمدار کربلا</t>
  </si>
  <si>
    <t>https://www.instagram.com/heyat_alamdar_karbala_gharb/</t>
  </si>
  <si>
    <t>https://t.me/heyat_alamdar_karbala</t>
  </si>
  <si>
    <t>روضة العباس</t>
  </si>
  <si>
    <t>اسلامشهر</t>
  </si>
  <si>
    <t>https://www.instagram.com/rowzatolabbas/</t>
  </si>
  <si>
    <t>https://t.me/rowzatolabbas</t>
  </si>
  <si>
    <t>https://eitaa.com/rowzatolabbas</t>
  </si>
  <si>
    <t>مکتب محمدی</t>
  </si>
  <si>
    <t>https://www.instagram.com/maktabmohammaditehran/</t>
  </si>
  <si>
    <t>بین الحرمین</t>
  </si>
  <si>
    <t>شهریار</t>
  </si>
  <si>
    <t>https://www.instagram.com/beynolharamein_sh/</t>
  </si>
  <si>
    <t>شَفیقَةُ الحُسين</t>
  </si>
  <si>
    <t>https://www.instagram.com/shafighatolhossein/</t>
  </si>
  <si>
    <t>https://t.me/shafighatolhossein</t>
  </si>
  <si>
    <t>ثارالله</t>
  </si>
  <si>
    <t>خراسان جنوبی</t>
  </si>
  <si>
    <t>قائن</t>
  </si>
  <si>
    <t>دهستان کرغند</t>
  </si>
  <si>
    <t>https://www.instagram.com/heyatsarallah128</t>
  </si>
  <si>
    <t>المهدی(عج)</t>
  </si>
  <si>
    <t>خراسان رضوی</t>
  </si>
  <si>
    <t>مشهد</t>
  </si>
  <si>
    <t>https://www.instagram.com/almahdi_team</t>
  </si>
  <si>
    <t>https://t.me/mashhad_almahdi</t>
  </si>
  <si>
    <t>مکتب الزهراء</t>
  </si>
  <si>
    <t>گناباد</t>
  </si>
  <si>
    <t>https://www.instagram.com/maktab_all_zahra/</t>
  </si>
  <si>
    <t>https://t.me/maktab_All_zahra</t>
  </si>
  <si>
    <t>عاشقان کربلا</t>
  </si>
  <si>
    <t>خوزستان</t>
  </si>
  <si>
    <t>شوش</t>
  </si>
  <si>
    <t>https://www.instagram.com/asheghane_karbala_shushdaniel/</t>
  </si>
  <si>
    <r>
      <rPr>
        <rFont val="-apple-system, BlinkMacSystemFont, &quot;Segoe UI&quot;, Roboto, Helvetica, Arial, sans-serif"/>
        <color rgb="FF1155CC"/>
        <sz val="11.0"/>
        <u/>
      </rPr>
      <t>tlgrm.me/asheghane_karbala_shushdaniel315</t>
    </r>
  </si>
  <si>
    <t>فاطمیون</t>
  </si>
  <si>
    <t>سمنان</t>
  </si>
  <si>
    <t>شاهرود</t>
  </si>
  <si>
    <t>دیزج</t>
  </si>
  <si>
    <t>https://www.instagram.com/fatemiyondizej/</t>
  </si>
  <si>
    <t>https://eitaa.com/fatemiyondizej</t>
  </si>
  <si>
    <t>محمد مصطفی</t>
  </si>
  <si>
    <t>https://www.instagram.com/heyat_mohammad_mostafa_semnan/</t>
  </si>
  <si>
    <t>لواء الساقی</t>
  </si>
  <si>
    <t>عراق</t>
  </si>
  <si>
    <t>بصره</t>
  </si>
  <si>
    <t>https://www.instagram.com/hayat_liwa_saqi/</t>
  </si>
  <si>
    <t>خانه رسانه بتاپلاس</t>
  </si>
  <si>
    <t>قم</t>
  </si>
  <si>
    <t>https://www.instagram.com/betaplus.official/</t>
  </si>
  <si>
    <t>رسانه هنری قمرمدیا</t>
  </si>
  <si>
    <t>https://www.instagram.com/ghamarmedia/</t>
  </si>
  <si>
    <t>دیده‌بان</t>
  </si>
  <si>
    <t>https://www.instagram.com/dideban_info/</t>
  </si>
  <si>
    <t>قاسم بن الحسین</t>
  </si>
  <si>
    <t>https://www.instagram.com/qasim_ibn_hasan/</t>
  </si>
  <si>
    <t>خادمین حضرت زهرا</t>
  </si>
  <si>
    <t>https://www.instagram.com/khademin_hazrat_zahra_qom/</t>
  </si>
  <si>
    <t>https://t.me/khademin_hazrat_zahra_qom</t>
  </si>
  <si>
    <t>خادم الحسن (ع)</t>
  </si>
  <si>
    <t>کرمان</t>
  </si>
  <si>
    <t>https://www.instagram.com/khademolhasan_kerman/</t>
  </si>
  <si>
    <t>https://t.me/khademolhasan_kerman</t>
  </si>
  <si>
    <t>هیأت دانشجویی</t>
  </si>
  <si>
    <t>حضرت‌ولی‌عصر (عج)</t>
  </si>
  <si>
    <t>کرمانشاه</t>
  </si>
  <si>
    <t>دانشگاه آزاد اسلامی</t>
  </si>
  <si>
    <t>https://www.instagram.com/heyatazad_ir/</t>
  </si>
  <si>
    <t>https://t.me/heyatazad_ir</t>
  </si>
  <si>
    <t>https://eitaa.com/heyatazad_ir</t>
  </si>
  <si>
    <t>گلستان</t>
  </si>
  <si>
    <t>https://www.instagram.com/ansaralmahdi_official</t>
  </si>
  <si>
    <t>t.me/ansaralmahdi313_official</t>
  </si>
  <si>
    <t>https://eitaa.com/ansaralmahdi313_official</t>
  </si>
  <si>
    <t>رقیه جان</t>
  </si>
  <si>
    <t>گیلان</t>
  </si>
  <si>
    <t>رشت</t>
  </si>
  <si>
    <t>https://www.instagram.com/roghayejan.info/</t>
  </si>
  <si>
    <t>https://t.me/roghayejan_info</t>
  </si>
  <si>
    <t>رایة العباس</t>
  </si>
  <si>
    <t>https://www.instagram.com/raiat_alabbas/</t>
  </si>
  <si>
    <t>بهشت عشاق الرضا(ع)</t>
  </si>
  <si>
    <t>https://www.instagram.com/pelak.hasht.ir/</t>
  </si>
  <si>
    <t>ریحانة النبی (س)</t>
  </si>
  <si>
    <t>https://www.instagram.com/_rayhaneh_alnabi/</t>
  </si>
  <si>
    <t>https://t.me/rehantlyubcc</t>
  </si>
  <si>
    <t>ابناءالزهرا</t>
  </si>
  <si>
    <t>آستانه اشرفیه</t>
  </si>
  <si>
    <t>https://www.instagram.com/heyat_abnaoalzahra/</t>
  </si>
  <si>
    <t>https://eitaa.com/HEYATABNAOALZAHRA</t>
  </si>
  <si>
    <t>ام الشهدا</t>
  </si>
  <si>
    <t>مازندران</t>
  </si>
  <si>
    <t>بابل</t>
  </si>
  <si>
    <t>https://www.instagram.com/ommo_shohada_135/</t>
  </si>
  <si>
    <t>https://t.me/mokeb_ommoshohada</t>
  </si>
  <si>
    <t>شهید فرهاد مرادی</t>
  </si>
  <si>
    <t>قائمشهر</t>
  </si>
  <si>
    <t>https://www.instagram.com/mooradi.ir/</t>
  </si>
  <si>
    <t>قاسم ابن الحسن</t>
  </si>
  <si>
    <t>مرکزی</t>
  </si>
  <si>
    <t>اراک</t>
  </si>
  <si>
    <t>مهاجران</t>
  </si>
  <si>
    <t>https://www.instagram.com/heyatejwananemohajran/</t>
  </si>
  <si>
    <t>https://eitaa.com/heyaatejwananemohajran</t>
  </si>
  <si>
    <t>محبین</t>
  </si>
  <si>
    <t>https://www.instagram.com/mohaejran_heyatmohebin/</t>
  </si>
  <si>
    <t>مهدیه</t>
  </si>
  <si>
    <t>https://www.instagram.com/mahdiye_arak/</t>
  </si>
  <si>
    <t>متوسلین به جوادالائمه ع</t>
  </si>
  <si>
    <t>یزد</t>
  </si>
  <si>
    <t>ابرکوه</t>
  </si>
  <si>
    <t>https://www.instagram.com/heyat_javadolaemehabar/</t>
  </si>
  <si>
    <t>https://eitaa.com/Abnoalreza</t>
  </si>
  <si>
    <t>مجمع علمداران و علامت کشان</t>
  </si>
  <si>
    <t>https://www.instagram.com/alamatkashan_yazd/</t>
  </si>
  <si>
    <t>عزاداران حضرت موسی ابن جعفر(ع)</t>
  </si>
  <si>
    <t>https://www.instagram.com/babalhavaejyazd/</t>
  </si>
  <si>
    <t>عزاداری علمداران عاشورا خرمشاه</t>
  </si>
  <si>
    <t>https://www.instagram.com/alamdaran_ashoora/</t>
  </si>
  <si>
    <t>بیرق معظم لواءالحسین</t>
  </si>
  <si>
    <t>میبد</t>
  </si>
  <si>
    <t>https://www.instagram.com/levaolhussain/</t>
  </si>
  <si>
    <t>https://t.me/levaolhosseynmeibod</t>
  </si>
  <si>
    <t>https://eitaa.com/levaolhussain</t>
  </si>
  <si>
    <t>حریم</t>
  </si>
  <si>
    <t>https://www.instagram.com/hareem_media/</t>
  </si>
  <si>
    <t>وصال</t>
  </si>
  <si>
    <t>https://www.instagram.com/vesalmedia118</t>
  </si>
  <si>
    <t>https://eitaa.com/vesal_media118</t>
  </si>
  <si>
    <t>https://www.instagram.com/adnanmedia_315/</t>
  </si>
  <si>
    <t>موکب گروه جهادی سید الشهدا</t>
  </si>
  <si>
    <t>https://eitaa.com/mokebjahadi</t>
  </si>
  <si>
    <t>موکب سيدة نساء العالمين (كربلاء المقدسة)</t>
  </si>
  <si>
    <t>https://www.instagram.com/seyedatonnesa</t>
  </si>
  <si>
    <t>هیأت نوجوان</t>
  </si>
  <si>
    <t>نجف اشرف</t>
  </si>
  <si>
    <t>https://www.instagram.com/nojavanan_najaf/</t>
  </si>
  <si>
    <t>حضرت ابوالفضل</t>
  </si>
  <si>
    <t>اصفهان</t>
  </si>
  <si>
    <t>کاشان</t>
  </si>
  <si>
    <t>روستای ویدوج</t>
  </si>
  <si>
    <t>https://www.instagram.com/h_abalfazliha1300/</t>
  </si>
  <si>
    <t>https://t.me/abalfazliha1300</t>
  </si>
  <si>
    <t>https://eitaa.com/h_abalfazliha1300</t>
  </si>
  <si>
    <t>آران بیدگل</t>
  </si>
  <si>
    <t>https://www.instagram.com/beynolharameyn_ab/</t>
  </si>
  <si>
    <t>https://t.me/beynolharameynab</t>
  </si>
  <si>
    <t>علی بن موسی الرضا (ع) جنت الرضا</t>
  </si>
  <si>
    <t>https://www.instagram.com/janatoreza_kashan/</t>
  </si>
  <si>
    <t>https://eitaa.com/janat_reza_kashan</t>
  </si>
  <si>
    <t>عشاق الزهرا(س)</t>
  </si>
  <si>
    <t>https://www.instagram.com/h_oshaghalzahra_kashan/</t>
  </si>
  <si>
    <t>https://t.me/h_oshaghalzahra_kashan</t>
  </si>
  <si>
    <t xml:space="preserve"> صاحب الزمان</t>
  </si>
  <si>
    <t>https://eitaa.com/mokebe_saheb_alzaman</t>
  </si>
  <si>
    <t>حسینی(ع)سن سن</t>
  </si>
  <si>
    <t>https://www.instagram.com/heyate_hoseyni_sensen/</t>
  </si>
  <si>
    <t>میدان امیر</t>
  </si>
  <si>
    <t>https://www.instagram.com/ashoora128/</t>
  </si>
  <si>
    <t>منتظران المهدی</t>
  </si>
  <si>
    <t>https://www.instagram.com/montazeranolmahdi59/</t>
  </si>
  <si>
    <t>https://t.me/montazeranolmahdi59</t>
  </si>
  <si>
    <t>https://eitaa.com/montazeranolmahdi59</t>
  </si>
  <si>
    <t>چهارده معصوم ( ع )</t>
  </si>
  <si>
    <t>https://www.instagram.com/14mpanjeshah/</t>
  </si>
  <si>
    <t>https://t.me/panjeshahkashan</t>
  </si>
  <si>
    <t>انصارالحسین(ع)</t>
  </si>
  <si>
    <t>مشهد اردهال</t>
  </si>
  <si>
    <t>https://www.instagram.com/ansar_ardehal/</t>
  </si>
  <si>
    <t>محبان اهلبیت(ع)</t>
  </si>
  <si>
    <t>سفیدشهر</t>
  </si>
  <si>
    <t>https://www.instagram.com/_moheban.ahlebeyt_/</t>
  </si>
  <si>
    <t>https://t.me/mohebanahlebeytsefidshahr</t>
  </si>
  <si>
    <t>https://www.instagram.com/beynolharameyn_kashan/</t>
  </si>
  <si>
    <t>https://eitaa.com/bynolharamin315</t>
  </si>
  <si>
    <t>حضرت رقیه (سلام الله علیها)</t>
  </si>
  <si>
    <t>https://www.instagram.com/heyathazrate_roghayeh/</t>
  </si>
  <si>
    <t>مبارکه فاطمیه(س)</t>
  </si>
  <si>
    <t>قمصر</t>
  </si>
  <si>
    <t>https://www.instagram.com/fatemiyeh_ghamsar/</t>
  </si>
  <si>
    <t>https://t.me/fatemiyeh_ghamsar</t>
  </si>
  <si>
    <t>مداح</t>
  </si>
  <si>
    <t>مجتبی فخری</t>
  </si>
  <si>
    <t>https://www.instagram.com/mojtaba_fakhri_official</t>
  </si>
  <si>
    <t>بیرق معظم علقمه</t>
  </si>
  <si>
    <t>https://www.instagram.com/alghame_karaj/</t>
  </si>
  <si>
    <t>بیرق معظم معزالمومنین (ع)</t>
  </si>
  <si>
    <t>هشتگرد</t>
  </si>
  <si>
    <t>https://www.instagram.com/moez_info/</t>
  </si>
  <si>
    <t>احباب الامام المهدی</t>
  </si>
  <si>
    <t>https://eitaa.com/Ahbabolemam_fardis</t>
  </si>
  <si>
    <t>ش‍.‍هدای گمنام رزمندگان اسلام</t>
  </si>
  <si>
    <t>ماهدشت</t>
  </si>
  <si>
    <t>https://www.instagram.com/maghar.khademiiin/</t>
  </si>
  <si>
    <t>https://eitaa.com/magharkhademin</t>
  </si>
  <si>
    <t>محبان اباالفضل (ع)‌</t>
  </si>
  <si>
    <t>https://www.instagram.com/mohebanabalfazl/</t>
  </si>
  <si>
    <t>https://t.me/Mohebaneabalfazl133</t>
  </si>
  <si>
    <t>بی بی ام کلثوم</t>
  </si>
  <si>
    <t>نسیم شهر</t>
  </si>
  <si>
    <t>https://www.instagram.com/bibi_omekolsom/</t>
  </si>
  <si>
    <t>جنت العباس عليه السلام</t>
  </si>
  <si>
    <t>عبدل آباد</t>
  </si>
  <si>
    <t>https://www.instagram.com/jannatolabas617/</t>
  </si>
  <si>
    <t>https://t.me/jannat617</t>
  </si>
  <si>
    <t>معظم‌روضة‌الشهدا‌</t>
  </si>
  <si>
    <t>مهرشهر</t>
  </si>
  <si>
    <t>https://www.instagram.com/rozeh__info/</t>
  </si>
  <si>
    <t>https://eitaa.com/rozehinfo</t>
  </si>
  <si>
    <t>حرم شهدای گمنام</t>
  </si>
  <si>
    <t>قدس</t>
  </si>
  <si>
    <t>https://www.instagram.com/qodsgomnam/</t>
  </si>
  <si>
    <t>https://t.me/qodsgomnam</t>
  </si>
  <si>
    <t>جنت الرقیه(س)</t>
  </si>
  <si>
    <t>https://www.instagram.com/heyatejanatolrogaye315/</t>
  </si>
  <si>
    <t>شیفتِگان حُسِینی عَلَیهِ السَلام</t>
  </si>
  <si>
    <t>https://www.instagram.com/shiftegankaraj/</t>
  </si>
  <si>
    <t>https://t.me/shiftegankaraj</t>
  </si>
  <si>
    <t>اول مظلوم</t>
  </si>
  <si>
    <t>https://www.instagram.com/avval_mazlom/</t>
  </si>
  <si>
    <t>https://t.me/avval_mazlom</t>
  </si>
  <si>
    <t>يازینب سلام الله علیها</t>
  </si>
  <si>
    <t>https://www.instagram.com/ya_zeynab_karaj/</t>
  </si>
  <si>
    <t>https://t.me/ya_zeynab_karaj</t>
  </si>
  <si>
    <t>محبین الائمه علیهم‌السلام</t>
  </si>
  <si>
    <t>نظرآباد</t>
  </si>
  <si>
    <t>https://www.instagram.com/mohebbinolaemmeh79/</t>
  </si>
  <si>
    <t>استشهادیون‌‌حضرت‌علی‌اصغر(ع)</t>
  </si>
  <si>
    <t>https://www.instagram.com/esteshhadiyon_karaj/</t>
  </si>
  <si>
    <t>موکب خدمتگزاران امام حسین (علیه‌السلام) منتظران ظهور</t>
  </si>
  <si>
    <t>https://eitaa.com/Moukebmontazeran</t>
  </si>
  <si>
    <t>الشهداء</t>
  </si>
  <si>
    <t>https://eitaa.com/Shohada1152</t>
  </si>
  <si>
    <t>خدام الحسین</t>
  </si>
  <si>
    <t>https://eitaa.com/moukeb1120</t>
  </si>
  <si>
    <t>قبه الحسین علیه السلام</t>
  </si>
  <si>
    <t>https://eitaa.com/qoobbe</t>
  </si>
  <si>
    <t>حسینیه</t>
  </si>
  <si>
    <t>خراسانی ها - کربلای معلی</t>
  </si>
  <si>
    <t>https://eitaa.com/khorasanihakarbala</t>
  </si>
  <si>
    <t>جوادالائمه‌</t>
  </si>
  <si>
    <t>https://www.instagram.com/javadolaemeh_ir/</t>
  </si>
  <si>
    <t>سجادیه</t>
  </si>
  <si>
    <t>https://www.instagram.com/sajjadiye_eslamshahr/</t>
  </si>
  <si>
    <t>موکب الزهرا</t>
  </si>
  <si>
    <t>https://www.instagram.com/mokeb_alzahra/</t>
  </si>
  <si>
    <r>
      <rPr>
        <rFont val="Calibri"/>
        <color rgb="FF1155CC"/>
        <sz val="11.0"/>
        <u/>
      </rPr>
      <t>t.me/mokeb_alzahra</t>
    </r>
  </si>
  <si>
    <t>محبان الرضا</t>
  </si>
  <si>
    <t>https://www.instagram.com/mohebbanreza_ir/</t>
  </si>
  <si>
    <r>
      <rPr>
        <rFont val="var(--font-family-system)"/>
        <color rgb="FF1155CC"/>
        <u/>
      </rPr>
      <t>t.me/@mohebbanreza_ir</t>
    </r>
  </si>
  <si>
    <t>عاشقان حضرت ابوالفضل(ع)</t>
  </si>
  <si>
    <t>https://www.instagram.com/asheghaneabalfazll/</t>
  </si>
  <si>
    <r>
      <rPr>
        <rFont val="var(--font-family-system)"/>
        <color rgb="FF1155CC"/>
        <u/>
      </rPr>
      <t>t.me/heyatasheghanabalfazll</t>
    </r>
  </si>
  <si>
    <t>حضرت زینب</t>
  </si>
  <si>
    <t>پاکدشت</t>
  </si>
  <si>
    <t>https://www.instagram.com/zeynab_salam_olah_/</t>
  </si>
  <si>
    <t>دلسوختگان حضرت فاطمه الزهرا</t>
  </si>
  <si>
    <t>پردیس</t>
  </si>
  <si>
    <t>https://www.instagram.com/fatemiyeh.delsokhtegan/</t>
  </si>
  <si>
    <t>رزمندگان اسلام پردیس</t>
  </si>
  <si>
    <t>پردیس فاز3</t>
  </si>
  <si>
    <t>https://www.instagram.com/heyat.razmandegan.pardis/</t>
  </si>
  <si>
    <t>هیأت دخترانه</t>
  </si>
  <si>
    <t>حضرت ام‌البنین</t>
  </si>
  <si>
    <t>پیشوا</t>
  </si>
  <si>
    <t>https://www.instagram.com/hazrat.omolbanin/</t>
  </si>
  <si>
    <r>
      <rPr>
        <rFont val="Calibri"/>
        <color rgb="FF1155CC"/>
        <sz val="11.0"/>
        <u/>
      </rPr>
      <t>eitaa.com/hazrat_omolbanin</t>
    </r>
  </si>
  <si>
    <t>محبین الائمه (ع)</t>
  </si>
  <si>
    <t>تجریش</t>
  </si>
  <si>
    <t>https://www.instagram.com/mohebbin_ozgol/</t>
  </si>
  <si>
    <r>
      <rPr>
        <rFont val="Calibri"/>
        <color rgb="FF1155CC"/>
        <sz val="11.0"/>
        <u/>
      </rPr>
      <t>t.me/mohebbin_ozgol</t>
    </r>
  </si>
  <si>
    <t>روضة المهدی</t>
  </si>
  <si>
    <t>https://www.instagram.com/rozatolmahdy/</t>
  </si>
  <si>
    <r>
      <rPr>
        <rFont val="Calibri"/>
        <color rgb="FF1155CC"/>
        <sz val="11.0"/>
        <u/>
      </rPr>
      <t>t.me/rozatolmahdy</t>
    </r>
  </si>
  <si>
    <t>انصار فاطمه</t>
  </si>
  <si>
    <t>نارمک</t>
  </si>
  <si>
    <t>https://www.instagram.com/ansarolfatemeh/</t>
  </si>
  <si>
    <t>https://t.me/ansar_fatemeh</t>
  </si>
  <si>
    <t>https://ble.ir/@ansar_fatemeh</t>
  </si>
  <si>
    <t>*</t>
  </si>
  <si>
    <t>آل کساء</t>
  </si>
  <si>
    <t>https://www.instagram.com/a_alekasa/</t>
  </si>
  <si>
    <t>t.me/aalekasa</t>
  </si>
  <si>
    <t>https://eitaa.com/a_alekasa</t>
  </si>
  <si>
    <t>ائمة الهدی</t>
  </si>
  <si>
    <t>اتوبان امام علی ،خروجی خاوران غرب ، خیابان شهید عبدالحسین شیرازی ،خیابان‌شهدای ملاشریفی حسینیه ائمة الهدی (ع)</t>
  </si>
  <si>
    <t>https://www.instagram.com/aematolhodaa/</t>
  </si>
  <si>
    <t>https://eitaa.com/aemehoda</t>
  </si>
  <si>
    <t>سیدالشهدا</t>
  </si>
  <si>
    <t>افسریه</t>
  </si>
  <si>
    <t>https://www.instagram.com/alatash_net/</t>
  </si>
  <si>
    <t>https://t.me/alatash_net</t>
  </si>
  <si>
    <t>https://eitaa.com/alatash_net</t>
  </si>
  <si>
    <t>ایتا استخراج شود</t>
  </si>
  <si>
    <t>انصارالحسن</t>
  </si>
  <si>
    <t>حکیمیه</t>
  </si>
  <si>
    <t>https://www.instagram.com/ansar_alhassan/</t>
  </si>
  <si>
    <t>https://eitaa.com/ansar_alhassan1399</t>
  </si>
  <si>
    <t>عاشورائیان تهران</t>
  </si>
  <si>
    <t>https://www.instagram.com/ashuraeian_ir/</t>
  </si>
  <si>
    <t>https://t.me/ashuraeian_ir</t>
  </si>
  <si>
    <t>https://eitaa.com/ashuraeian_ir</t>
  </si>
  <si>
    <t>الزهرا</t>
  </si>
  <si>
    <t>دانشگاه صنعتی شریف</t>
  </si>
  <si>
    <t>https://www.instagram.com/azzahraasharif1</t>
  </si>
  <si>
    <t>https://t.me/s/AzzahraaSharif</t>
  </si>
  <si>
    <t>https://eitaa.com/azzahraasharif</t>
  </si>
  <si>
    <t>http://azzahraa.ir/</t>
  </si>
  <si>
    <t>باب الحوائج</t>
  </si>
  <si>
    <t>https://www.instagram.com/babalhavaej1403/</t>
  </si>
  <si>
    <t>https://t.me/babalhavaej1403</t>
  </si>
  <si>
    <t>https://eitaa.com/babalhavaej1403</t>
  </si>
  <si>
    <t>بیت الرضا</t>
  </si>
  <si>
    <t>مسعودیه</t>
  </si>
  <si>
    <t>https://www.instagram.com/beytoreza.info/</t>
  </si>
  <si>
    <t>https://t.me/beytoreza</t>
  </si>
  <si>
    <t>https://eitaa.com/beytoreza</t>
  </si>
  <si>
    <t>بیت الزهرا</t>
  </si>
  <si>
    <t>https://www.instagram.com/beytozahra_/</t>
  </si>
  <si>
    <t>https://t.me/beytozahra_s</t>
  </si>
  <si>
    <t>https://eitaa.com/Beytozahra_s</t>
  </si>
  <si>
    <t>چهارده معصوم سیاوشانیها</t>
  </si>
  <si>
    <t>نبرد شمالی</t>
  </si>
  <si>
    <t>https://www.instagram.com/14masoum.ir/</t>
  </si>
  <si>
    <t>https://t.me/chahardahmasoum_14</t>
  </si>
  <si>
    <t>https://eitaa.com/chahardahmasoum_14</t>
  </si>
  <si>
    <t>حسینیه دلریش</t>
  </si>
  <si>
    <t>https://www.instagram.com/delrish_/</t>
  </si>
  <si>
    <t>https://t.me/delrish</t>
  </si>
  <si>
    <t>https://eitaa.com/Delrish</t>
  </si>
  <si>
    <t>فدائیان حضرت زهرا</t>
  </si>
  <si>
    <t>https://www.instagram.com/FADAKINFO</t>
  </si>
  <si>
    <t>https://t.me/fadakinfo_channel</t>
  </si>
  <si>
    <t>https://eitaa.com/fadakinfo_chanel</t>
  </si>
  <si>
    <t>https://fadak.me/</t>
  </si>
  <si>
    <t>الهادی</t>
  </si>
  <si>
    <t>دانشگاه تهران</t>
  </si>
  <si>
    <t>https://www.instagram.com/alhadi_sbu/</t>
  </si>
  <si>
    <t>https://t.me/alhadi_sbu</t>
  </si>
  <si>
    <t>https://eitaa.com/s/alhadi_sbu</t>
  </si>
  <si>
    <t>عاشقان حسینی</t>
  </si>
  <si>
    <t>میدان قیام</t>
  </si>
  <si>
    <t>https://www.instagram.com/asheghane128/</t>
  </si>
  <si>
    <t>https://t.me/asheghane128</t>
  </si>
  <si>
    <t>https://eitaa.com/s/asheghane128</t>
  </si>
  <si>
    <t>https://ble.ir/asheghane128</t>
  </si>
  <si>
    <t>https://sharieh.com/</t>
  </si>
  <si>
    <t>بیت العباس</t>
  </si>
  <si>
    <t>مشیریه</t>
  </si>
  <si>
    <t>https://www.instagram.com/beyt_133/</t>
  </si>
  <si>
    <t>https://t.me/beyt_133</t>
  </si>
  <si>
    <t>https://eitaa.com/s/beyt133</t>
  </si>
  <si>
    <t>عشاق لرقیه</t>
  </si>
  <si>
    <t>خيابان آيت الله سعيدى،بعدازچهارراه عارف،كوچه فتحعلى زاده،حسينيه قاسم ابن الحسن,</t>
  </si>
  <si>
    <t>https://www.instagram.com/dameshghinfo/</t>
  </si>
  <si>
    <t>https://t.me/Dameshghinfo</t>
  </si>
  <si>
    <t>https://eitaa.com/s/dameshghinfo315</t>
  </si>
  <si>
    <t>اصحاب الحسین</t>
  </si>
  <si>
    <t>https://www.instagram.com/ashabolhossein_ir/</t>
  </si>
  <si>
    <t>https://t.me/ashabolhossein_ir</t>
  </si>
  <si>
    <t>https://www.eitaa.com/ashabolhossein_ir</t>
  </si>
  <si>
    <t>https://www.youtube.com/@ashabolhossein_ir</t>
  </si>
  <si>
    <t>حسینیه بیت الکریم (هیأت یازهرا)</t>
  </si>
  <si>
    <t>بریانک</t>
  </si>
  <si>
    <t>https://www.instagram.com/beytolkarim_resane/</t>
  </si>
  <si>
    <t>https://t.me/beytolkarim</t>
  </si>
  <si>
    <t>https://www.instagram.com/beytolkarim1377/</t>
  </si>
  <si>
    <t>حسینیه فاطمه الزهرا</t>
  </si>
  <si>
    <t>فخرآباد</t>
  </si>
  <si>
    <t>https://www.instagram.com/buyesib110/</t>
  </si>
  <si>
    <t>https://t.me/buyesib_com</t>
  </si>
  <si>
    <t>هیات نیست</t>
  </si>
  <si>
    <t xml:space="preserve">محمدحسین حدادیان </t>
  </si>
  <si>
    <t>ابناء الحیدر</t>
  </si>
  <si>
    <t>هنگام</t>
  </si>
  <si>
    <t>https://www.instagram.com/abna_alheidar/</t>
  </si>
  <si>
    <t>https://t.me/abna_alheidar</t>
  </si>
  <si>
    <t>دریاچه چیتگر</t>
  </si>
  <si>
    <t>https://www.instagram.com/abnaolzahra_info/</t>
  </si>
  <si>
    <t>https://t.me/abnaolzahra_info</t>
  </si>
  <si>
    <t>مهرداد ملکی</t>
  </si>
  <si>
    <t>أبناءالزهرا</t>
  </si>
  <si>
    <t>خیابان ایران</t>
  </si>
  <si>
    <t>https://www.instagram.com/abnaozzahra135/</t>
  </si>
  <si>
    <t>https://t.me/abnaozzahra135</t>
  </si>
  <si>
    <t>مسجد سادات اخوی</t>
  </si>
  <si>
    <t>محبین ابوتراب</t>
  </si>
  <si>
    <t>https://www.instagram.com/abotorab_info/</t>
  </si>
  <si>
    <t>https://t.me/abotorab_info</t>
  </si>
  <si>
    <t>محسن فرهنگیان</t>
  </si>
  <si>
    <t>ابوتراب</t>
  </si>
  <si>
    <t>https://www.instagram.com/abutorab.ir/</t>
  </si>
  <si>
    <t>https://t.me/abutoraab</t>
  </si>
  <si>
    <t>آیین حسینی</t>
  </si>
  <si>
    <t>https://www.instagram.com/aeenehosseini.heiat</t>
  </si>
  <si>
    <t>https://t.me/aeenehosseini</t>
  </si>
  <si>
    <t>میثم مطیعی</t>
  </si>
  <si>
    <t>روضه منوره عقیله العرب</t>
  </si>
  <si>
    <t>https://www.instagram.com/aghilatolarab/</t>
  </si>
  <si>
    <t>https://t.me/aghilatolarab</t>
  </si>
  <si>
    <t>المهدی شهران</t>
  </si>
  <si>
    <t>https://www.instagram.com/al_mahdi89/</t>
  </si>
  <si>
    <t>https://t.me/al_mahdi89</t>
  </si>
  <si>
    <t>روضه مقدس آل یاسین</t>
  </si>
  <si>
    <t>https://www.instagram.com/aleyasin59.ir/</t>
  </si>
  <si>
    <t>https://t.me/Aleyasiin59</t>
  </si>
  <si>
    <t>خمسه</t>
  </si>
  <si>
    <t>مکتب العباس</t>
  </si>
  <si>
    <t>میدان شهدا</t>
  </si>
  <si>
    <t>https://www.instagram.com/alghami_media/</t>
  </si>
  <si>
    <t>https://t.me/alghami_media</t>
  </si>
  <si>
    <t>نوشه ور</t>
  </si>
  <si>
    <t>احلی من العسل</t>
  </si>
  <si>
    <t>https://www.instagram.com/ahlaa_men_asal/</t>
  </si>
  <si>
    <t>https://t.me/ali_porkaveh_zanjani</t>
  </si>
  <si>
    <t>علی پورکاوه</t>
  </si>
  <si>
    <t>حسینیه حضرت علی اصغر</t>
  </si>
  <si>
    <t>https://www.instagram.com/aliiasghar_1401/</t>
  </si>
  <si>
    <t>https://t.me/aliiasghar_1401</t>
  </si>
  <si>
    <t>انصارالحسین</t>
  </si>
  <si>
    <t>غرب تهران ،کیلومتر ۱۴ جاده مخصوص کرج،شهرک چیتگر شمالی،میدان جهاد،حسینیه سیدالشهدا (ع</t>
  </si>
  <si>
    <t>https://www.instagram.com/ansar_.315/</t>
  </si>
  <si>
    <t>https://t.me/ansaar_315</t>
  </si>
  <si>
    <t>میدان هفت تیر</t>
  </si>
  <si>
    <t>https://www.instagram.com/ansar_almahdi313/</t>
  </si>
  <si>
    <t>https://t.me/ansar_almahdi313</t>
  </si>
  <si>
    <t>انصارالعباس دولاب</t>
  </si>
  <si>
    <t>(خ)خاوران(خ)امیرسلیمانی(ک)،گلشناس.</t>
  </si>
  <si>
    <t>https://www.instagram.com/ansarabbasdoolab/</t>
  </si>
  <si>
    <t>https://t.me/ansarabbasdoolab1325</t>
  </si>
  <si>
    <t>حسینیه انصارالحسین</t>
  </si>
  <si>
    <t>خیابان ری</t>
  </si>
  <si>
    <t>https://www.instagram.com/ansarhussainie/</t>
  </si>
  <si>
    <t>https://t.me/ansarhussainie</t>
  </si>
  <si>
    <t>انصارالعباس</t>
  </si>
  <si>
    <t>خیابان قزوین، خیابان شهیدان حسنی</t>
  </si>
  <si>
    <t>https://www.instagram.com/ansarolabas/</t>
  </si>
  <si>
    <t>https://t.me/ansarolabas1340</t>
  </si>
  <si>
    <t>سید محمد جوادی</t>
  </si>
  <si>
    <t>حسینیه اصحاب الحسین</t>
  </si>
  <si>
    <t>مولوی-بین خیابان وحدت اسلامی و ولیعصر(عج)-خ تشکری موحد</t>
  </si>
  <si>
    <t>https://www.instagram.com/ashab_hosseine/</t>
  </si>
  <si>
    <t>https://t.me/ashabalhoseini</t>
  </si>
  <si>
    <t>آیت الله اخوان</t>
  </si>
  <si>
    <t>اصحاب القائم طهران</t>
  </si>
  <si>
    <t>https://www.instagram.com/ashabolghaem/</t>
  </si>
  <si>
    <t>https://t.me/ashabeghaem</t>
  </si>
  <si>
    <t>تهران، فرح آباد، اکبری، حسینیه عاشقان حسینی ثارالله</t>
  </si>
  <si>
    <t>https://www.instagram.com/asheghanehosseini/</t>
  </si>
  <si>
    <t>https://t.me/asheghanehosseini313</t>
  </si>
  <si>
    <t>حاج محمد فراهانی</t>
  </si>
  <si>
    <t>اصحاب عاشورایی</t>
  </si>
  <si>
    <t>دانشگاه علامه طباطبایی</t>
  </si>
  <si>
    <t>https://www.instagram.com/atu_ashuraeei/</t>
  </si>
  <si>
    <t>https://t.me/atu_ashuraeei</t>
  </si>
  <si>
    <t>روضه عزاداران بنی الحسن</t>
  </si>
  <si>
    <t>فلاح</t>
  </si>
  <si>
    <t>https://www.instagram.com/129_azadaran/</t>
  </si>
  <si>
    <t>https://t.me/azadaran_129</t>
  </si>
  <si>
    <t>باب القبله</t>
  </si>
  <si>
    <t>سعدی جنوبی.جمهوری اسلامی.کوچه درختی</t>
  </si>
  <si>
    <t>https://www.instagram.com/babolghebleh_ir/</t>
  </si>
  <si>
    <t>https://t.me/babolghebleh_ir</t>
  </si>
  <si>
    <t>سید جواد پرئی</t>
  </si>
  <si>
    <t>بنی الزهرا</t>
  </si>
  <si>
    <t>شمیران</t>
  </si>
  <si>
    <t>https://www.instagram.com/banezahra.ir/</t>
  </si>
  <si>
    <t>https://t.me/banezahra_ir</t>
  </si>
  <si>
    <t>بضعه الرسول</t>
  </si>
  <si>
    <t>https://www.instagram.com/bazatorasul/</t>
  </si>
  <si>
    <t>https://t.me/bazatorasul</t>
  </si>
  <si>
    <t>امام حسن مجتبی</t>
  </si>
  <si>
    <t>https://www.instagram.com/beitolhasan_ir/</t>
  </si>
  <si>
    <t>https://t.me/beitolhasan_chavoshi</t>
  </si>
  <si>
    <t>https://www.instagram.com/beitoolabbas/</t>
  </si>
  <si>
    <t>https://t.me/beitoolabbas</t>
  </si>
  <si>
    <t>محسن عرب خالقی</t>
  </si>
  <si>
    <t>ولیعصر. جنب مهدیه تهران</t>
  </si>
  <si>
    <t>https://www.instagram.com/beitozzahraa/</t>
  </si>
  <si>
    <t>https://t.me/beitozzahraa</t>
  </si>
  <si>
    <t>مینی سیتی</t>
  </si>
  <si>
    <t>https://www.instagram.com/beynolharamein135/</t>
  </si>
  <si>
    <t>https://t.me/beynolharamein135</t>
  </si>
  <si>
    <t>بین الحرمین طهران</t>
  </si>
  <si>
    <t>https://www.instagram.com/beynolharameyn.rasmi</t>
  </si>
  <si>
    <t>https://t.me/beynolharameyn_tehran</t>
  </si>
  <si>
    <t>جواد مقدم</t>
  </si>
  <si>
    <t>بیت الجواد</t>
  </si>
  <si>
    <t>https://www.instagram.com/beytoljavad_14/</t>
  </si>
  <si>
    <t>https://t.me/beytoljavad_14</t>
  </si>
  <si>
    <t>بیت الرقیه</t>
  </si>
  <si>
    <t>شهرک شریعتی</t>
  </si>
  <si>
    <t>https://www.instagram.com/beytolroghaye_315/</t>
  </si>
  <si>
    <t>https://t.me/beytolroghayee_315</t>
  </si>
  <si>
    <t>بیرق معظم بیت الحسن</t>
  </si>
  <si>
    <t>https://www.instagram.com/beytool_hasan/</t>
  </si>
  <si>
    <t>https://t.me/beytool_hasan</t>
  </si>
  <si>
    <t>بیت الرقیه تهران</t>
  </si>
  <si>
    <t>https://www.instagram.com/beytoorogaye/</t>
  </si>
  <si>
    <t>https://t.me/beytoorogaye</t>
  </si>
  <si>
    <t>https://www.instagram.com/beytoreza_info/</t>
  </si>
  <si>
    <t>https://t.me/beytoreza_info</t>
  </si>
  <si>
    <t>https://www.instagram.com/beytorreza/</t>
  </si>
  <si>
    <t>https://t.me/beytorreza</t>
  </si>
  <si>
    <t>http://beytorreza.ir/</t>
  </si>
  <si>
    <t xml:space="preserve">غیرفعال </t>
  </si>
  <si>
    <t>حسینیه بیت الزهرا</t>
  </si>
  <si>
    <t>https://www.instagram.com/heiat_beytozzahra/</t>
  </si>
  <si>
    <t>https://t.me/beytozzahraSal</t>
  </si>
  <si>
    <t>حسینیه بضعه الرسول</t>
  </si>
  <si>
    <t>خیابان انقلاب | خیابان حافظ | کوچه صالح</t>
  </si>
  <si>
    <t>https://www.instagram.com/bezatolhasan/</t>
  </si>
  <si>
    <t>https://t.me/bezatolhasan</t>
  </si>
  <si>
    <t>بی بی فاطمه</t>
  </si>
  <si>
    <t>قرچک</t>
  </si>
  <si>
    <t>https://www.instagram.com/bibi_fatemeh_gharchak/</t>
  </si>
  <si>
    <t>https://t.me/bibi_fatemeh_gharchak</t>
  </si>
  <si>
    <t>بکائیه</t>
  </si>
  <si>
    <t>https://www.instagram.com/bokaeeye.135/</t>
  </si>
  <si>
    <t>https://t.me/bokaeeye</t>
  </si>
  <si>
    <t>امام حسیین</t>
  </si>
  <si>
    <t>خیابان ولی‌عصر (عج) پل امیر بهادر ، ابتدای خیابان بشیری حسینیه قائم آل محمد (ده‌ملائیه</t>
  </si>
  <si>
    <t>https://www.instagram.com/dakhil_info/</t>
  </si>
  <si>
    <t>https://t.me/dakhil_info</t>
  </si>
  <si>
    <t>دلدادگان عبدالله بن الحسن</t>
  </si>
  <si>
    <t>وحدت اسلامی</t>
  </si>
  <si>
    <t>https://www.instagram.com/deldadegan_abdolah142/</t>
  </si>
  <si>
    <t>https://t.me/deldadegan_abdolah</t>
  </si>
  <si>
    <t>دیوانگان جنت الحسین</t>
  </si>
  <si>
    <t>https://www.instagram.com/divanegan128/</t>
  </si>
  <si>
    <t>https://t.me/divanegane128</t>
  </si>
  <si>
    <t>دیوانگان دو بانوی دمشق</t>
  </si>
  <si>
    <t>https://www.instagram.com/dobanoyedameshgh/</t>
  </si>
  <si>
    <t>https://t.me/dobanoyedameshgh</t>
  </si>
  <si>
    <t>رایة الرقیه</t>
  </si>
  <si>
    <t>طهران ٫ میدان شهدا ٬ خیابان هفده شهریور به سمت میدان امام حسین ع ٫ حسینیه محلاتیها</t>
  </si>
  <si>
    <t>https://www.instagram.com/dordaneh_info/</t>
  </si>
  <si>
    <t>https://t.me/dordaneh_info</t>
  </si>
  <si>
    <t>ابن الزهرا</t>
  </si>
  <si>
    <t>خیابان ری خیابان عبدالله رضوی(آبمنگل) کوچه کردبچه بن بست سوم</t>
  </si>
  <si>
    <t>https://www.instagram.com/ebn_alzahra/</t>
  </si>
  <si>
    <t>https://t.me/ebnalzahra</t>
  </si>
  <si>
    <t>احسان الحسین</t>
  </si>
  <si>
    <t xml:space="preserve">خیابان دولت - خیابان نعمتی (کیکاووس) </t>
  </si>
  <si>
    <t>https://www.instagram.com/ehsanolhosein/</t>
  </si>
  <si>
    <t>https://t.me/ehsanolhosein</t>
  </si>
  <si>
    <t>رایة الهدی</t>
  </si>
  <si>
    <t>دانشکده فنی دانشگاه تهران</t>
  </si>
  <si>
    <t>https://www.instagram.com/fanni_rayatolhoda/</t>
  </si>
  <si>
    <t>https://t.me/fanni_rayatolhoda</t>
  </si>
  <si>
    <t>فاطمیه ارشاد</t>
  </si>
  <si>
    <t>https://www.instagram.com/fatemiehershad135/</t>
  </si>
  <si>
    <t>https://t.me/fatemiehershad135</t>
  </si>
  <si>
    <t>تهران‌ نو</t>
  </si>
  <si>
    <t>https://www.instagram.com/ghamaar.133/</t>
  </si>
  <si>
    <t>https://t.me/ghamaar133</t>
  </si>
  <si>
    <t>محفل غریب سامرا</t>
  </si>
  <si>
    <t>https://www.instagram.com/gharibesamera_emamhadi/</t>
  </si>
  <si>
    <t>https://t.me/gharibesamera_emamhadi</t>
  </si>
  <si>
    <t>حسینیه حضرت رقیه</t>
  </si>
  <si>
    <t>ميدان شهدا خيابان ١٧شهريور خيابان مهدوى پور پلاك ٣٠حسينيه حضرت رقيه</t>
  </si>
  <si>
    <t>https://www.instagram.com/ghatil.info/</t>
  </si>
  <si>
    <t>https://t.me/ghatilinfo</t>
  </si>
  <si>
    <t>آقا موسی بن جعفر</t>
  </si>
  <si>
    <t>مجیدیه شمالی</t>
  </si>
  <si>
    <t>https://www.instagram.com/ghebleh.info/</t>
  </si>
  <si>
    <t>https://t.me/gheblehinfo</t>
  </si>
  <si>
    <t>عبدالله ابن الحسن</t>
  </si>
  <si>
    <t>https://www.instagram.com/ghorb_ir</t>
  </si>
  <si>
    <t>https://t.me/ghorb</t>
  </si>
  <si>
    <t>https://www.ghorb.ir/</t>
  </si>
  <si>
    <t>گودال</t>
  </si>
  <si>
    <t>https://www.instagram.com/godal.info/</t>
  </si>
  <si>
    <t>https://t.me/godal_info</t>
  </si>
  <si>
    <t>قتلگاه امام حسین</t>
  </si>
  <si>
    <t>https://www.instagram.com/godalghatlegah_ir/</t>
  </si>
  <si>
    <t>https://t.me/godalghatlegah_ir</t>
  </si>
  <si>
    <t>حسن جانم طهران</t>
  </si>
  <si>
    <t>https://www.instagram.com/hasanjaanam/</t>
  </si>
  <si>
    <t>https://t.me/hasaanjaanam</t>
  </si>
  <si>
    <t>منطقه 18 شادآباد</t>
  </si>
  <si>
    <t>https://www.instagram.com/emam_hasan_mojtba118/</t>
  </si>
  <si>
    <t>https://t.me/heiat_emam_hasan_118</t>
  </si>
  <si>
    <t>امیرالمومنین</t>
  </si>
  <si>
    <t>نیاوران</t>
  </si>
  <si>
    <t>https://www.instagram.com/_amiralmomenin_110/</t>
  </si>
  <si>
    <t>https://t.me/heyat_amiralmomenin</t>
  </si>
  <si>
    <t>احرارالحسین</t>
  </si>
  <si>
    <t>سعدی شمالی</t>
  </si>
  <si>
    <t>https://www.instagram.com/ahraralhosein128/</t>
  </si>
  <si>
    <t>https://t.me/khamseh110</t>
  </si>
  <si>
    <t>مجلس روضه</t>
  </si>
  <si>
    <t>میدان اعدام</t>
  </si>
  <si>
    <t>http://instagram.com/majles_roze/</t>
  </si>
  <si>
    <t>https://t.me/majlesroze</t>
  </si>
  <si>
    <t>روضه الزینب</t>
  </si>
  <si>
    <t>https://www.instagram.com/aghile.69/</t>
  </si>
  <si>
    <t>https://t.me/rozatozeynab169</t>
  </si>
  <si>
    <t>طریق الحسین</t>
  </si>
  <si>
    <t>پاسداران</t>
  </si>
  <si>
    <t>https://www.instagram.com/beytosadat/</t>
  </si>
  <si>
    <t>https://t.me/Tarighhossein</t>
  </si>
  <si>
    <t>قمر بنی هاشم</t>
  </si>
  <si>
    <t>https://www.instagram.com/ghamarebanihashem/</t>
  </si>
  <si>
    <t>https://t.me/tasuair</t>
  </si>
  <si>
    <t>بیت الحسن غرب تهران</t>
  </si>
  <si>
    <t>https://www.instagram.com/beytolhosein_tehran/</t>
  </si>
  <si>
    <t>t.me/AmirHosseinRajablou</t>
  </si>
  <si>
    <t>روضه مقدسه انصار الزهرا</t>
  </si>
  <si>
    <t>تهران،نارمک،خیابان شهید گلشندوست،سه راه گلستان،کوچه شهید منصور عبادی،مسجد امام حسین‌ع،روضه مقدسه انصارالزهرا س</t>
  </si>
  <si>
    <t>https://www.instagram.com/ansaralzahra.ir/</t>
  </si>
  <si>
    <t>روضه عطش الحسین</t>
  </si>
  <si>
    <t>https://www.instagram.com/atashalhusain/</t>
  </si>
  <si>
    <t>مجاهدین اسلام</t>
  </si>
  <si>
    <t>https://www.instagram.com/fatemioon_official/</t>
  </si>
  <si>
    <t>محبین الحسن</t>
  </si>
  <si>
    <t>https://www.instagram.com/hasaniyon.ir/</t>
  </si>
  <si>
    <t>https://www.instagram.com/heiat_azzahraa/</t>
  </si>
  <si>
    <t>مکتب حبیب بن مظاهر الاسدی</t>
  </si>
  <si>
    <t>https://www.instagram.com/maktabe_habib/</t>
  </si>
  <si>
    <t>حضرت ولی امر</t>
  </si>
  <si>
    <t>تهران پارس</t>
  </si>
  <si>
    <t>https://www.instagram.com/heyatvaliamr_aj</t>
  </si>
  <si>
    <t>https://t.me/heyat_valiamr_aj</t>
  </si>
  <si>
    <t>https://eitaa.com/heyat_valiamr_aj</t>
  </si>
  <si>
    <t>سیدة زینب</t>
  </si>
  <si>
    <t>https://www.instagram.com/heiat.seyyedezeinab/</t>
  </si>
  <si>
    <t>بنت الهدی</t>
  </si>
  <si>
    <t>https://www.instagram.com/noore_maaah/</t>
  </si>
  <si>
    <t>https://t.me/noore_maaah</t>
  </si>
  <si>
    <t>https://eitaa.com/noore_maaah</t>
  </si>
  <si>
    <t>سوره</t>
  </si>
  <si>
    <t>دانشگاه سوره</t>
  </si>
  <si>
    <t>https://www.instagram.com/soore_heyaat</t>
  </si>
  <si>
    <t>https://t.me/soore_heyaat</t>
  </si>
  <si>
    <t>https://ble.ir/soore_heyaat</t>
  </si>
  <si>
    <t>https://www.instagram.com/heiatozahra.mokhadarat/</t>
  </si>
  <si>
    <t>دانشگاه شاهد</t>
  </si>
  <si>
    <t>https://www.instagram.com/fatemion_shahed/</t>
  </si>
  <si>
    <t>صاحب الزمان</t>
  </si>
  <si>
    <t>https://www.instagram.com/saheb1377s/</t>
  </si>
  <si>
    <t>جنت الرضا (ع)</t>
  </si>
  <si>
    <t>https://www.instagram.com/h_jannatreza101/</t>
  </si>
  <si>
    <t>صادق آل محمد (ع۹</t>
  </si>
  <si>
    <t>https://www.instagram.com/heiatsadegh/</t>
  </si>
  <si>
    <r>
      <rPr>
        <rFont val="Calibri"/>
        <color rgb="FF1155CC"/>
        <sz val="11.0"/>
        <u/>
      </rPr>
      <t>t.me/Javanan_Sadegh</t>
    </r>
  </si>
  <si>
    <t>عشاق المهدی (عج)</t>
  </si>
  <si>
    <t>https://www.instagram.com/oshaghalmahdiii/</t>
  </si>
  <si>
    <t xml:space="preserve">هیأت </t>
  </si>
  <si>
    <t>متوسلین به حضرت علی اکبر (ع)</t>
  </si>
  <si>
    <t>https://eitaa.com/Heyat_Aliakbar_tehran</t>
  </si>
  <si>
    <t>انصار المهدی عج</t>
  </si>
  <si>
    <t>https://www.instagram.com/ansarolmahdiaj313/</t>
  </si>
  <si>
    <t>https://www.instagram.com/ansaralmahdi_tehran/</t>
  </si>
  <si>
    <r>
      <rPr>
        <rFont val="Calibri"/>
        <color rgb="FF1155CC"/>
        <sz val="11.0"/>
        <u/>
      </rPr>
      <t>t.me/ansarmahdi_tehran</t>
    </r>
  </si>
  <si>
    <t>ابناءالخمینی</t>
  </si>
  <si>
    <t>https://www.instagram.com/abna_al_khomeini/</t>
  </si>
  <si>
    <t>https://www.instagram.com/mohebban_alreza/</t>
  </si>
  <si>
    <r>
      <rPr>
        <rFont val="Calibri"/>
        <color rgb="FF1155CC"/>
        <sz val="11.0"/>
        <u/>
      </rPr>
      <t>t.me/mohebban_alreza</t>
    </r>
  </si>
  <si>
    <t>رهروان شهدا</t>
  </si>
  <si>
    <t>https://eitaa.com/heiatrahrovan</t>
  </si>
  <si>
    <t>حضرت قاسم ابن الحسن (ع)</t>
  </si>
  <si>
    <t>https://www.instagram.com/h.ghasem.201/</t>
  </si>
  <si>
    <r>
      <rPr>
        <rFont val="Calibri"/>
        <color rgb="FF1155CC"/>
        <sz val="11.0"/>
        <u/>
      </rPr>
      <t>t.me/Ghaseme_hasann</t>
    </r>
  </si>
  <si>
    <t>قتیل العبرات (ع)</t>
  </si>
  <si>
    <t>https://www.instagram.com/qatil_info/</t>
  </si>
  <si>
    <r>
      <rPr>
        <rFont val="Calibri"/>
        <color rgb="FF1155CC"/>
        <sz val="11.0"/>
        <u/>
      </rPr>
      <t>t.me/saajjad_mohammadi</t>
    </r>
  </si>
  <si>
    <t>https://www.instagram.com/emamhasan118ir/</t>
  </si>
  <si>
    <t>مکتب الشهدا</t>
  </si>
  <si>
    <t>https://www.instagram.com/maktab.ashohada/</t>
  </si>
  <si>
    <t>https://t.me/maktaboshohada1375</t>
  </si>
  <si>
    <t xml:space="preserve">محبان الحسین </t>
  </si>
  <si>
    <t>https://www.instagram.com/heiat_mohebban_hossein/</t>
  </si>
  <si>
    <t>جان نثاران حضرت ابوالفضل (ع)</t>
  </si>
  <si>
    <t>https://www.instagram.com/heiat_jannecaran_1305/</t>
  </si>
  <si>
    <t>سدره المنتهی</t>
  </si>
  <si>
    <t>https://www.instagram.com/sedreh__info/</t>
  </si>
  <si>
    <r>
      <rPr>
        <rFont val="Calibri"/>
        <color rgb="FF1155CC"/>
        <sz val="11.0"/>
        <u/>
      </rPr>
      <t>t.me/sedreh_info128</t>
    </r>
  </si>
  <si>
    <t>محبان الائمه (ع)</t>
  </si>
  <si>
    <t>https://www.instagram.com/mohebbanolaemeh/</t>
  </si>
  <si>
    <r>
      <rPr>
        <rFont val="Calibri"/>
        <color rgb="FF1155CC"/>
        <sz val="11.0"/>
        <u/>
      </rPr>
      <t>t.me/mohebbanolaemeh</t>
    </r>
  </si>
  <si>
    <t>مسجد</t>
  </si>
  <si>
    <t>احمدیه</t>
  </si>
  <si>
    <t>https://www.instagram.com/mosque_ahmadiye/</t>
  </si>
  <si>
    <t>https://www.instagram.com/heyatsahebalzamankahrizak/</t>
  </si>
  <si>
    <t>جوادالائمه (ع)</t>
  </si>
  <si>
    <t>https://www.instagram.com/javadolaemme1389/</t>
  </si>
  <si>
    <r>
      <rPr>
        <rFont val="Calibri"/>
        <color rgb="FF1155CC"/>
        <sz val="11.0"/>
        <u/>
      </rPr>
      <t>t.me/emamjavad1389</t>
    </r>
  </si>
  <si>
    <t>محبان الزهرا (س)</t>
  </si>
  <si>
    <t>https://www.instagram.com/mohebbanozahraa/</t>
  </si>
  <si>
    <t>جوانان صاحب الزمانی (عج)</t>
  </si>
  <si>
    <t>https://www.instagram.com/j_sahebzamani/</t>
  </si>
  <si>
    <r>
      <rPr>
        <rFont val="Calibri"/>
        <color rgb="FF1155CC"/>
        <sz val="11.0"/>
        <u/>
      </rPr>
      <t>t.me/j_sahebzamani</t>
    </r>
  </si>
  <si>
    <t>سائلان اهل بیت (ع)</t>
  </si>
  <si>
    <t>https://www.instagram.com/saelane_ahlebeit/</t>
  </si>
  <si>
    <t>https://www.instagram.com/heyat_saralah1/</t>
  </si>
  <si>
    <t>رهروان ولایت</t>
  </si>
  <si>
    <t>https://www.instagram.com/h_rahrovan_velayat/</t>
  </si>
  <si>
    <t>شهید آتوت</t>
  </si>
  <si>
    <t>https://www.instagram.com/shahidatoot/</t>
  </si>
  <si>
    <t>حضرت اباالفضل العباس(ع)</t>
  </si>
  <si>
    <t>https://www.instagram.com/heyate_abalfazl_sharghe_tehran/</t>
  </si>
  <si>
    <t>محترم یا زینب و رهروان شهدا</t>
  </si>
  <si>
    <t>https://eitaa.com/torbat89</t>
  </si>
  <si>
    <t>ام البنین (س)</t>
  </si>
  <si>
    <t>https://www.instagram.com/heyaat.omolbanin.officiall/</t>
  </si>
  <si>
    <t>سپه سالار کربلا</t>
  </si>
  <si>
    <t>https://www.instagram.com/sepahsalar_video/</t>
  </si>
  <si>
    <t>ساباطیون</t>
  </si>
  <si>
    <t>https://www.instagram.com/sabatioun/</t>
  </si>
  <si>
    <t>شاه نجف</t>
  </si>
  <si>
    <t>https://www.instagram.com/shahnajaf110/</t>
  </si>
  <si>
    <r>
      <rPr>
        <rFont val="Calibri"/>
        <color rgb="FF1155CC"/>
        <sz val="11.0"/>
        <u/>
      </rPr>
      <t>tlgrm.me/shahenajf110</t>
    </r>
  </si>
  <si>
    <t>https://www.instagram.com/beytoroghayeh_315/</t>
  </si>
  <si>
    <t>t.me/beytoroghayeh_315</t>
  </si>
  <si>
    <t>https://www.instagram.com/mohebin31/</t>
  </si>
  <si>
    <t>کریم اهل بیت</t>
  </si>
  <si>
    <t>https://www.instagram.com/h.karimeahlebeyt.h/</t>
  </si>
  <si>
    <t>انصارالعباس (ع)</t>
  </si>
  <si>
    <t>https://www.instagram.com/heyatansarolabbas.tehran/</t>
  </si>
  <si>
    <r>
      <rPr>
        <rFont val="Calibri"/>
        <color rgb="FF1155CC"/>
        <sz val="11.0"/>
        <u/>
      </rPr>
      <t>t.me/heyatansaralabastehran</t>
    </r>
  </si>
  <si>
    <t>قمربنی هاشم (ع)</t>
  </si>
  <si>
    <t>https://www.instagram.com/heyate_harandiha1342/</t>
  </si>
  <si>
    <r>
      <rPr>
        <rFont val="Calibri"/>
        <color rgb="FF1155CC"/>
        <sz val="11.0"/>
        <u/>
      </rPr>
      <t>t.me/harandiha1342</t>
    </r>
  </si>
  <si>
    <t>علمدار</t>
  </si>
  <si>
    <t>https://www.instagram.com/alamdar__22/</t>
  </si>
  <si>
    <r>
      <rPr>
        <rFont val="Calibri"/>
        <color rgb="FF1155CC"/>
        <sz val="11.0"/>
        <u/>
      </rPr>
      <t>t.me/alamdar_22</t>
    </r>
  </si>
  <si>
    <t>هیأت جوانان</t>
  </si>
  <si>
    <t>قرآن و عترت</t>
  </si>
  <si>
    <t>قیطریه</t>
  </si>
  <si>
    <t>https://www.instagram.com/qoran_va_etrat/</t>
  </si>
  <si>
    <t>حضرت علی اکبر</t>
  </si>
  <si>
    <t>https://www.instagram.com/heat_ali.akbar/</t>
  </si>
  <si>
    <t>https://www.instagram.com/heyaat_ansarolmahdi/</t>
  </si>
  <si>
    <t>سیدالشهدا (ع)</t>
  </si>
  <si>
    <t>https://www.instagram.com/seyed__shohada/</t>
  </si>
  <si>
    <t>نیایش</t>
  </si>
  <si>
    <t>https://www.instagram.com/heyate_seyedolshohada19/</t>
  </si>
  <si>
    <r>
      <rPr>
        <rFont val="Calibri"/>
        <color rgb="FF1155CC"/>
        <sz val="11.0"/>
        <u/>
      </rPr>
      <t>t.me/seyedolshohada19</t>
    </r>
  </si>
  <si>
    <t>المهدی</t>
  </si>
  <si>
    <t>https://www.instagram.com/heyatolmahdi_ir/</t>
  </si>
  <si>
    <r>
      <rPr>
        <rFont val="-apple-system, BlinkMacSystemFont, &quot;Segoe UI&quot;, Roboto, Helvetica, Arial, sans-serif"/>
        <color rgb="FF1155CC"/>
        <sz val="11.0"/>
        <u/>
      </rPr>
      <t>heyatolmahdi.ir</t>
    </r>
  </si>
  <si>
    <t>https://www.instagram.com/ghamarebanihashem79/</t>
  </si>
  <si>
    <r>
      <rPr>
        <rFont val="Calibri"/>
        <color rgb="FF1155CC"/>
        <sz val="11.0"/>
        <u/>
      </rPr>
      <t>t.me/ghamarbanihashem79</t>
    </r>
  </si>
  <si>
    <t>رهروان غدیر</t>
  </si>
  <si>
    <t>https://www.instagram.com/rahrovanghadyr/</t>
  </si>
  <si>
    <r>
      <rPr>
        <rFont val="Calibri"/>
        <color rgb="FF1155CC"/>
        <sz val="11.0"/>
        <u/>
      </rPr>
      <t>t.me/payamghadyr_parvareshi</t>
    </r>
  </si>
  <si>
    <t>فاطمه الزهرا (س)</t>
  </si>
  <si>
    <t>شهرک فجر</t>
  </si>
  <si>
    <t>https://www.instagram.com/heyat.fatematazahra/</t>
  </si>
  <si>
    <r>
      <rPr>
        <rFont val="Calibri"/>
        <color rgb="FF1155CC"/>
        <sz val="11.0"/>
        <u/>
      </rPr>
      <t>t.me/heyat_fatemata_zahra</t>
    </r>
  </si>
  <si>
    <t>حسن بن علی</t>
  </si>
  <si>
    <t>https://www.instagram.com/hasan_ebne_ali/</t>
  </si>
  <si>
    <t>متوسلین به حضرت رقیه (س)</t>
  </si>
  <si>
    <t>https://www.instagram.com/motvaslin_315/</t>
  </si>
  <si>
    <t>محبان الزهرا</t>
  </si>
  <si>
    <t>https://www.instagram.com/heyat.mohebanozahra/</t>
  </si>
  <si>
    <r>
      <rPr>
        <rFont val="Calibri"/>
        <color rgb="FF1155CC"/>
        <sz val="11.0"/>
        <u/>
      </rPr>
      <t>t.me/heyat_mohebanozahra</t>
    </r>
  </si>
  <si>
    <t>متوسلین به قمربنی هاشم (ع)</t>
  </si>
  <si>
    <t>ستارخان</t>
  </si>
  <si>
    <t>https://www.instagram.com/ghamare_bani_hashem__/</t>
  </si>
  <si>
    <t>امام محمدباقر (ع)</t>
  </si>
  <si>
    <t>https://www.instagram.com/sadramosque/</t>
  </si>
  <si>
    <t>علی اصغر (ع)</t>
  </si>
  <si>
    <t>https://www.instagram.com/heyat_ali_asghar/</t>
  </si>
  <si>
    <t>فاطمیه</t>
  </si>
  <si>
    <t>http://instagram.com/fatemieh_info/</t>
  </si>
  <si>
    <t>ابالفضل العباس</t>
  </si>
  <si>
    <t>https://www.instagram.com/h.abulfazlabbas/</t>
  </si>
  <si>
    <r>
      <rPr>
        <rFont val="Calibri"/>
        <color rgb="FF1155CC"/>
        <sz val="11.0"/>
        <u/>
      </rPr>
      <t>t.me/abulfazlabbas</t>
    </r>
  </si>
  <si>
    <t>https://www.instagram.com/heyat_sahebalzaman_rey/</t>
  </si>
  <si>
    <t>عشاق الرضا (ع)</t>
  </si>
  <si>
    <t>https://www.instagram.com/oshagh_ol_reza/</t>
  </si>
  <si>
    <r>
      <rPr>
        <rFont val="Calibri"/>
        <color rgb="FF1155CC"/>
        <sz val="11.0"/>
        <u/>
      </rPr>
      <t>t.me/oshagh_ol_reza</t>
    </r>
  </si>
  <si>
    <t>علقمه</t>
  </si>
  <si>
    <t>https://www.instagram.com/hoseiniealghame/</t>
  </si>
  <si>
    <t>عزاداران حضرت سیدالشهدا (ع)</t>
  </si>
  <si>
    <t>https://www.instagram.com/Azadaran_s_shohada/</t>
  </si>
  <si>
    <t>عزاداران قمربنی هاشم (ع)</t>
  </si>
  <si>
    <t>https://www.instagram.com/heyat_ghamare.banihashem1364/</t>
  </si>
  <si>
    <t>شهسوار شمالی</t>
  </si>
  <si>
    <t>https://www.instagram.com/ghamarebanihashem1348/</t>
  </si>
  <si>
    <r>
      <rPr>
        <rFont val="Calibri"/>
        <color rgb="FF1155CC"/>
        <sz val="11.0"/>
        <u/>
      </rPr>
      <t>t.me/ghamarebanihashem1348</t>
    </r>
  </si>
  <si>
    <t xml:space="preserve">حضرت رقیه </t>
  </si>
  <si>
    <t>https://www.instagram.com/heyat_hazrat_roghaye315/</t>
  </si>
  <si>
    <r>
      <rPr>
        <rFont val="Calibri"/>
        <color rgb="FF1155CC"/>
        <sz val="11.0"/>
        <u/>
      </rPr>
      <t>t.me/heyat_hazrat_roghaye315</t>
    </r>
  </si>
  <si>
    <t>علم الحسین (ع)</t>
  </si>
  <si>
    <t>https://www.instagram.com/alam_alhosain/</t>
  </si>
  <si>
    <r>
      <rPr>
        <rFont val="Calibri"/>
        <color rgb="FF1155CC"/>
        <sz val="11.0"/>
        <u/>
      </rPr>
      <t>t.me/alam_alhosain</t>
    </r>
  </si>
  <si>
    <t>محبین حضرت زهرا (س)</t>
  </si>
  <si>
    <t>https://www.instagram.com/heiat_mohebbin/</t>
  </si>
  <si>
    <r>
      <rPr>
        <rFont val="Calibri"/>
        <color rgb="FF1155CC"/>
        <sz val="11.0"/>
        <u/>
      </rPr>
      <t>t.me/heiatmohebbin213</t>
    </r>
  </si>
  <si>
    <t>https://www.instagram.com/heyatghamarbanihashem_faz3/</t>
  </si>
  <si>
    <t>بیت الخدام الحسینی</t>
  </si>
  <si>
    <t>https://www.instagram.com/beytekhoddam/</t>
  </si>
  <si>
    <r>
      <rPr>
        <rFont val="Calibri"/>
        <color rgb="FF1155CC"/>
        <sz val="11.0"/>
        <u/>
      </rPr>
      <t>youtube.com/@BeyteKhoddam?si=6Kfixc0IdSTeEZ_v</t>
    </r>
  </si>
  <si>
    <t>مکتب القائم</t>
  </si>
  <si>
    <t>https://www.instagram.com/maktabolghaem.h/</t>
  </si>
  <si>
    <t>ولیعصر</t>
  </si>
  <si>
    <t>شهرک اکباتان</t>
  </si>
  <si>
    <t>https://www.instagram.com/heyaat_valiasr/</t>
  </si>
  <si>
    <r>
      <rPr>
        <rFont val="Calibri"/>
        <color rgb="FF1155CC"/>
        <sz val="11.0"/>
        <u/>
      </rPr>
      <t>t.me/heyatvaliasr313</t>
    </r>
  </si>
  <si>
    <t>الشهدا</t>
  </si>
  <si>
    <t>https://www.instagram.com/heyatallshohada/</t>
  </si>
  <si>
    <t>eitta.com/heyatallshohada</t>
  </si>
  <si>
    <t>محبان الفاطمه (س)</t>
  </si>
  <si>
    <t>https://www.instagram.com/mohje.ir/</t>
  </si>
  <si>
    <r>
      <rPr>
        <rFont val="Calibri"/>
        <color rgb="FF1155CC"/>
        <sz val="11.0"/>
        <u/>
      </rPr>
      <t>telegram.me/mohje_ir</t>
    </r>
  </si>
  <si>
    <t>یاس کبود</t>
  </si>
  <si>
    <t>https://www.instagram.com/yasekabodtehran/</t>
  </si>
  <si>
    <r>
      <rPr>
        <rFont val="Calibri"/>
        <color rgb="FF1155CC"/>
        <sz val="11.0"/>
        <u/>
      </rPr>
      <t>t.me/yasekabodetehran</t>
    </r>
  </si>
  <si>
    <t>انصار الحسین (ع)</t>
  </si>
  <si>
    <t>https://eitaa.com/ansarolhosain72</t>
  </si>
  <si>
    <t>رهروان ثارالله (ع)</t>
  </si>
  <si>
    <t>https://www.instagram.com/rahrovan_saralah/</t>
  </si>
  <si>
    <r>
      <rPr>
        <rFont val="Calibri"/>
        <color rgb="FF1155CC"/>
        <sz val="11.0"/>
        <u/>
      </rPr>
      <t>t.me/rahrovan_saralah</t>
    </r>
  </si>
  <si>
    <t>انصارالمهدی (عج)</t>
  </si>
  <si>
    <r>
      <rPr>
        <rFont val="Calibri"/>
        <color rgb="FF1155CC"/>
        <sz val="11.0"/>
        <u/>
      </rPr>
      <t>t.me/ansarmahdi_tehran</t>
    </r>
  </si>
  <si>
    <t>روضه الزینب (س)</t>
  </si>
  <si>
    <t>https://www.instagram.com/rozatol_zeynab_tehran/</t>
  </si>
  <si>
    <t>غرب تهران</t>
  </si>
  <si>
    <t>https://www.instagram.com/heiiatoshohada/</t>
  </si>
  <si>
    <r>
      <rPr>
        <rFont val="Calibri"/>
        <color rgb="FF1155CC"/>
        <sz val="11.0"/>
        <u/>
      </rPr>
      <t>t.me/heiiatoshoda</t>
    </r>
  </si>
  <si>
    <t>خادم الزهرا (س)</t>
  </si>
  <si>
    <t>https://www.instagram.com/khadem_zahra.213/</t>
  </si>
  <si>
    <r>
      <rPr>
        <rFont val="Calibri"/>
        <color rgb="FF1155CC"/>
        <sz val="11.0"/>
        <u/>
      </rPr>
      <t>t.me/khadem_zahra</t>
    </r>
  </si>
  <si>
    <t>خامس آل عبا (ع)</t>
  </si>
  <si>
    <t>https://www.instagram.com/khames_ir/</t>
  </si>
  <si>
    <t>محبان حضرت علی اکبر(ع)</t>
  </si>
  <si>
    <t>https://www.instagram.com/heyaatmohebanaliakbar/</t>
  </si>
  <si>
    <t>فاطمیه (س)</t>
  </si>
  <si>
    <t>https://www.instagram.com/heyatfatemie/</t>
  </si>
  <si>
    <t>بیت الزهرا (س)</t>
  </si>
  <si>
    <t>ت</t>
  </si>
  <si>
    <t>https://www.instagram.com/beytozahraa/?</t>
  </si>
  <si>
    <t>محبان المهدی (عج)</t>
  </si>
  <si>
    <t>https://www.instagram.com/hyt6391/</t>
  </si>
  <si>
    <t>چهارده معصوم شهدای طردشت</t>
  </si>
  <si>
    <t>طردشت</t>
  </si>
  <si>
    <t>https://www.instagram.com/hcmst_/</t>
  </si>
  <si>
    <r>
      <rPr>
        <rFont val="Calibri"/>
        <color rgb="FF1155CC"/>
        <sz val="11.0"/>
        <u/>
      </rPr>
      <t>tlgrm.me/hcmst</t>
    </r>
  </si>
  <si>
    <t>نوکران اهل بیت(ع)</t>
  </si>
  <si>
    <t>https://www.instagram.com/heyate_nokarane_ahlebeyt/</t>
  </si>
  <si>
    <t>چهارده معصوم</t>
  </si>
  <si>
    <t>https://www.instagram.com/14masoume_tehran/</t>
  </si>
  <si>
    <r>
      <rPr>
        <rFont val="Calibri"/>
        <color rgb="FF1155CC"/>
        <sz val="11.0"/>
        <u/>
      </rPr>
      <t>t.me/heyat14</t>
    </r>
  </si>
  <si>
    <t>متوسلین به حضرت عباس (ع)</t>
  </si>
  <si>
    <t>https://www.instagram.com/motevaselin.info/</t>
  </si>
  <si>
    <r>
      <rPr>
        <rFont val="Calibri"/>
        <color rgb="FF1155CC"/>
        <sz val="11.0"/>
        <u/>
      </rPr>
      <t>t.me/motevaselin_hazratabas</t>
    </r>
  </si>
  <si>
    <t>علی ابن ابی طالب</t>
  </si>
  <si>
    <t>https://www.instagram.com/h.aliebneabitaleb.teh/</t>
  </si>
  <si>
    <t>متوسلین به چهارده معصوم (ع)</t>
  </si>
  <si>
    <t>https://www.instagram.com/h.14.masoom/</t>
  </si>
  <si>
    <t>خادمین حضرت رباب</t>
  </si>
  <si>
    <t>https://www.instagram.com/khademin_hazrate_robab/</t>
  </si>
  <si>
    <r>
      <rPr>
        <rFont val="Calibri"/>
        <color rgb="FF1155CC"/>
        <sz val="11.0"/>
        <u/>
      </rPr>
      <t>t.me/khademin_hazrate_robab</t>
    </r>
  </si>
  <si>
    <t>دختران مهدیار</t>
  </si>
  <si>
    <t>https://eitaa.com/mahdiarteam</t>
  </si>
  <si>
    <t>https://www.instagram.com/ansar_info/</t>
  </si>
  <si>
    <r>
      <rPr>
        <rFont val="Calibri"/>
        <color rgb="FF1155CC"/>
        <sz val="11.0"/>
        <u/>
      </rPr>
      <t>t.me/ansar_info83</t>
    </r>
  </si>
  <si>
    <t xml:space="preserve">حضرت رقیه خاتون </t>
  </si>
  <si>
    <t>https://www.instagram.com/roghayekhatoontehran/</t>
  </si>
  <si>
    <t>https://t.me/Roghayekhatoontehran</t>
  </si>
  <si>
    <t xml:space="preserve"> موسی بن جعفر (ع)</t>
  </si>
  <si>
    <t>https://www.instagram.com/heyatmj/</t>
  </si>
  <si>
    <r>
      <rPr>
        <rFont val="Calibri"/>
        <color rgb="FF1155CC"/>
        <sz val="11.0"/>
        <u/>
      </rPr>
      <t>t.me/heyatMJ</t>
    </r>
  </si>
  <si>
    <t>محبان فاطمه الزهرا (س)</t>
  </si>
  <si>
    <t>https://www.instagram.com/moheban244</t>
  </si>
  <si>
    <r>
      <rPr>
        <rFont val="-apple-system, BlinkMacSystemFont, &quot;Segoe UI&quot;, Roboto, Helvetica, Arial, sans-serif"/>
        <color rgb="FF1155CC"/>
        <sz val="11.0"/>
        <u/>
      </rPr>
      <t>moheban244.ir</t>
    </r>
  </si>
  <si>
    <t>ولایت</t>
  </si>
  <si>
    <t>https://www.instagram.com/welayat_ir/</t>
  </si>
  <si>
    <t>لثارات الحسین (ع)</t>
  </si>
  <si>
    <t>https://www.instagram.com/lasarat_alhoseein/</t>
  </si>
  <si>
    <t>خدام المهدی (عج)</t>
  </si>
  <si>
    <t>https://www.instagram.com/khoddamolmahdi_313/</t>
  </si>
  <si>
    <t>عاشقان امام حسین</t>
  </si>
  <si>
    <t>https://www.instagram.com/a.i.hossein/</t>
  </si>
  <si>
    <t>https://www.instagram.com/heyat_motevaselin_ghamar/</t>
  </si>
  <si>
    <t>انصار الزهرا (س)</t>
  </si>
  <si>
    <t>https://www.instagram.com/ansaralzahra128/</t>
  </si>
  <si>
    <r>
      <rPr>
        <rFont val="Calibri"/>
        <color rgb="FF1155CC"/>
        <sz val="11.0"/>
        <u/>
      </rPr>
      <t>telegram.me/mohsenfeyzi</t>
    </r>
  </si>
  <si>
    <t>https://www.instagram.com/mokebalzahra/</t>
  </si>
  <si>
    <r>
      <rPr>
        <rFont val="Calibri"/>
        <color rgb="FF1155CC"/>
        <sz val="11.0"/>
        <u/>
      </rPr>
      <t>t.me/heyatalzahra</t>
    </r>
  </si>
  <si>
    <t>قاسم بن الحسن (ع)</t>
  </si>
  <si>
    <t>https://www.instagram.com/heyate_ghasem.benhasan/</t>
  </si>
  <si>
    <t>کربلایی‌ها</t>
  </si>
  <si>
    <t>https://www.instagram.com/hkt_ir/</t>
  </si>
  <si>
    <r>
      <rPr>
        <rFont val="Calibri"/>
        <color rgb="FF1155CC"/>
        <sz val="11.0"/>
        <u/>
      </rPr>
      <t>tlgrm.me/hkt_ir</t>
    </r>
  </si>
  <si>
    <t>غریب سامرا</t>
  </si>
  <si>
    <t>https://www.instagram.com/samarra.12/</t>
  </si>
  <si>
    <t>https://www.instagram.com/moheban_elhasin_info/</t>
  </si>
  <si>
    <r>
      <rPr>
        <rFont val="Calibri"/>
        <color rgb="FF1155CC"/>
        <sz val="11.0"/>
        <u/>
      </rPr>
      <t>eitaa.com/mohebban_nontazeran</t>
    </r>
  </si>
  <si>
    <t>روضه خانگی ثاقب</t>
  </si>
  <si>
    <t>https://www.instagram.com/msagheb.ir/</t>
  </si>
  <si>
    <t>https://msagheb.ir/</t>
  </si>
  <si>
    <t>منتظرین المهدی</t>
  </si>
  <si>
    <t>https://www.instagram.com/heiatmontazerin1370/</t>
  </si>
  <si>
    <t>اباعبدالله الحسین</t>
  </si>
  <si>
    <t>https://www.instagram.com/ghatilolabaraat/</t>
  </si>
  <si>
    <r>
      <rPr>
        <rFont val="Calibri"/>
        <color rgb="FF1155CC"/>
        <sz val="11.0"/>
        <u/>
      </rPr>
      <t>t.me/ghatilolabaraat</t>
    </r>
  </si>
  <si>
    <t>محبین الزهرا</t>
  </si>
  <si>
    <t>https://www.instagram.com/masjed_mohebbin/</t>
  </si>
  <si>
    <r>
      <rPr>
        <rFont val="Calibri"/>
        <color rgb="FF1155CC"/>
        <sz val="11.0"/>
        <u/>
      </rPr>
      <t>t.me/heiatmohebbin213</t>
    </r>
  </si>
  <si>
    <t>نورالهدی</t>
  </si>
  <si>
    <t>https://www.instagram.com/heyatenorolhoda/</t>
  </si>
  <si>
    <t>سفیران زینب</t>
  </si>
  <si>
    <t>https://www.instagram.com/safiranzynab313/</t>
  </si>
  <si>
    <r>
      <rPr>
        <rFont val="Calibri"/>
        <color rgb="FF1155CC"/>
        <sz val="11.0"/>
        <u/>
      </rPr>
      <t>eitaa.com/safiranzynab</t>
    </r>
  </si>
  <si>
    <t>https://www.instagram.com/mohebbin.110/</t>
  </si>
  <si>
    <r>
      <rPr>
        <rFont val="Calibri"/>
        <color rgb="FF1155CC"/>
        <sz val="11.0"/>
        <u/>
      </rPr>
      <t>tlgrm.in/mohebbin110</t>
    </r>
  </si>
  <si>
    <t>متوسلین به حضرت سید الشهدا</t>
  </si>
  <si>
    <t>https://www.instagram.com/seydoshohada1353/</t>
  </si>
  <si>
    <t>محبان الرضا (ع)</t>
  </si>
  <si>
    <t>https://www.instagram.com/booria_info/</t>
  </si>
  <si>
    <t>پیروان حضرت سیدالشهدا (ع)</t>
  </si>
  <si>
    <t>https://www.instagram.com/heyat_phs/</t>
  </si>
  <si>
    <t>حضرت ابوالفضل العباس (ع)</t>
  </si>
  <si>
    <t>https://www.instagram.com/abalfazlieha_1398/</t>
  </si>
  <si>
    <t>https://www.instagram.com/ansarolhossein13/</t>
  </si>
  <si>
    <r>
      <rPr>
        <rFont val="Calibri"/>
        <color rgb="FF1155CC"/>
        <sz val="11.0"/>
        <u/>
      </rPr>
      <t>t.me/ansar_ol_Hossein</t>
    </r>
  </si>
  <si>
    <t>جوانان علی اکبر</t>
  </si>
  <si>
    <t>https://www.instagram.com/heyatjavanan.aliakbar/</t>
  </si>
  <si>
    <t>خادمین الحسین (ع)</t>
  </si>
  <si>
    <t>https://www.instagram.com/khademin88/</t>
  </si>
  <si>
    <t>مکتب الزهرا (س)</t>
  </si>
  <si>
    <t>https://www.instagram.com/maktabolzahradoolab/</t>
  </si>
  <si>
    <r>
      <rPr>
        <rFont val="Calibri"/>
        <color rgb="FF1155CC"/>
        <sz val="11.0"/>
        <u/>
      </rPr>
      <t>t.me/maktabolzahradoolab</t>
    </r>
  </si>
  <si>
    <t>فاطمی - فرهنگ و رسانه</t>
  </si>
  <si>
    <t>https://www.instagram.com/heiatefatemi/</t>
  </si>
  <si>
    <t>معظم ابناءالزهرا(س)</t>
  </si>
  <si>
    <t>https://eitaa.com/Sedighe_info</t>
  </si>
  <si>
    <t>محسن الزهرا</t>
  </si>
  <si>
    <t>https://www.instagram.com/heiat_mohsenozahra/</t>
  </si>
  <si>
    <t>https://www.instagram.com/hm14masum/</t>
  </si>
  <si>
    <t>رزمندگان اسلام مرکز</t>
  </si>
  <si>
    <t>https://www.instagram.com/heyat_razmandegan_eslam/</t>
  </si>
  <si>
    <r>
      <rPr>
        <rFont val="Calibri"/>
        <color rgb="FF1155CC"/>
        <sz val="11.0"/>
        <u/>
      </rPr>
      <t>t.me/eheyat_marasemat</t>
    </r>
  </si>
  <si>
    <t xml:space="preserve">محبان یوسف زهرا(س)
</t>
  </si>
  <si>
    <t>https://www.instagram.com/moheban.yousefzahra/</t>
  </si>
  <si>
    <t>محبان امام حسن مجتبی ع</t>
  </si>
  <si>
    <t>https://www.instagram.com/moheban_emam_mojta/</t>
  </si>
  <si>
    <t>https://www.instagram.com/jahadibeytolzahra/</t>
  </si>
  <si>
    <t>https://www.instagram.com/asheghan.hossein133/</t>
  </si>
  <si>
    <t>https://www.instagram.com/ansar_83/</t>
  </si>
  <si>
    <r>
      <rPr>
        <rFont val="Calibri"/>
        <color rgb="FF1155CC"/>
        <sz val="11.0"/>
        <u/>
      </rPr>
      <t>tlgrm.me/ansar_83</t>
    </r>
  </si>
  <si>
    <t>تشکل اسلامی رضوان</t>
  </si>
  <si>
    <t>https://www.instagram.com/rezvanorg_ir/</t>
  </si>
  <si>
    <t>حنیف</t>
  </si>
  <si>
    <t>https://www.instagram.com/hanif.sch.ir/</t>
  </si>
  <si>
    <t>روضه الرضا (ع)</t>
  </si>
  <si>
    <t>https://eitaa.com/rroze_213</t>
  </si>
  <si>
    <t>سیده زینب</t>
  </si>
  <si>
    <t>https://www.instagram.com/seyde_zeynab69/</t>
  </si>
  <si>
    <r>
      <rPr>
        <rFont val="Calibri"/>
        <color rgb="FF1155CC"/>
        <sz val="11.0"/>
        <u/>
      </rPr>
      <t>t.me/seyde_zeynab69</t>
    </r>
  </si>
  <si>
    <t>https://www.instagram.com/emam_hasan18/</t>
  </si>
  <si>
    <r>
      <rPr>
        <rFont val="Calibri"/>
        <color rgb="FF1155CC"/>
        <sz val="11.0"/>
        <u/>
      </rPr>
      <t>t.me/heiat_emam_hasan</t>
    </r>
  </si>
  <si>
    <t>دلداگان رقیه (س)</t>
  </si>
  <si>
    <t>https://www.instagram.com/deldadeganroghaye/</t>
  </si>
  <si>
    <t xml:space="preserve">محبان امیرالمومنین ( ع )
</t>
  </si>
  <si>
    <t>https://www.instagram.com/moheban_ali/</t>
  </si>
  <si>
    <t xml:space="preserve">محبان روح الله </t>
  </si>
  <si>
    <t>https://www.instagram.com/mohebban_rouhollah/</t>
  </si>
  <si>
    <t>https://www.instagram.com/mhbfatematozahra/</t>
  </si>
  <si>
    <t>https://www.instagram.com/beyt.olabas</t>
  </si>
  <si>
    <r>
      <rPr>
        <rFont val="Calibri"/>
        <color rgb="FF1155CC"/>
        <sz val="11.0"/>
        <u/>
      </rPr>
      <t>eitaa.com/beyt_olabas</t>
    </r>
  </si>
  <si>
    <t>محبان ابافضل العباس (ع۹</t>
  </si>
  <si>
    <t>https://www.instagram.com/mohebbanolabbas135/</t>
  </si>
  <si>
    <r>
      <rPr>
        <rFont val="Calibri"/>
        <color rgb="FF1155CC"/>
        <sz val="11.0"/>
        <u/>
      </rPr>
      <t>t.me/mohebbanolabbas135</t>
    </r>
  </si>
  <si>
    <t>قائم آل محمد</t>
  </si>
  <si>
    <t>https://www.instagram.com/ghaem1399/</t>
  </si>
  <si>
    <t>محبان حضرت رقیه (س)</t>
  </si>
  <si>
    <t>https://www.instagram.com/heat.mohebbanrogaey1387/</t>
  </si>
  <si>
    <t>منتظران موعود</t>
  </si>
  <si>
    <t>https://www.instagram.com/montazeranmedia/</t>
  </si>
  <si>
    <t>حسینیه سیدالشهدا (ع)</t>
  </si>
  <si>
    <t>https://www.instagram.com/hoseinieh_hazrat_seyedoshohada/</t>
  </si>
  <si>
    <t>جوانان قمر بنی هاشم</t>
  </si>
  <si>
    <t>https://www.instagram.com/ashoraeiha/</t>
  </si>
  <si>
    <r>
      <rPr>
        <rFont val="Calibri"/>
        <color rgb="FF1155CC"/>
        <sz val="11.0"/>
        <u/>
      </rPr>
      <t>eitaa.com/ashoraeiha</t>
    </r>
  </si>
  <si>
    <t>روضه الله</t>
  </si>
  <si>
    <t>https://www.instagram.com/rozatollah118/</t>
  </si>
  <si>
    <t xml:space="preserve">روضه رضیع الحسین
</t>
  </si>
  <si>
    <t>https://www.instagram.com/raziolhosein/</t>
  </si>
  <si>
    <t>https://www.instagram.com/mohebano_zahra_s/</t>
  </si>
  <si>
    <t xml:space="preserve">بیت الزینب (س)
</t>
  </si>
  <si>
    <t>https://www.instagram.com/beito_zeinab/</t>
  </si>
  <si>
    <t>ام المصائب (س)</t>
  </si>
  <si>
    <t>https://eitaa.com/HeyateHazrateOmmulMasaeb</t>
  </si>
  <si>
    <t>جنت الحسین (ع)</t>
  </si>
  <si>
    <t>https://www.instagram.com/jannatol_hoseiin/</t>
  </si>
  <si>
    <r>
      <rPr>
        <rFont val="Calibri"/>
        <color rgb="FF1155CC"/>
        <sz val="11.0"/>
        <u/>
      </rPr>
      <t>telegram.me/khazib</t>
    </r>
  </si>
  <si>
    <t>متوسلین به ائمه اطهار (ع)</t>
  </si>
  <si>
    <t>https://www.instagram.com/heiatmbaa/</t>
  </si>
  <si>
    <t>صنف کارگر کفاش</t>
  </si>
  <si>
    <t>https://www.instagram.com/hoseinye_karegaran_kafash/</t>
  </si>
  <si>
    <t>نوجوانان قنات آباد</t>
  </si>
  <si>
    <t>https://t.me/ghanatabad</t>
  </si>
  <si>
    <t>محبان سیدالشهدا (ع)</t>
  </si>
  <si>
    <t>https://www.instagram.com/karbalaiha/</t>
  </si>
  <si>
    <t>https://www.instagram.com/hhaa1370_/</t>
  </si>
  <si>
    <r>
      <rPr>
        <rFont val="Calibri"/>
        <color rgb="FF1155CC"/>
        <sz val="11.0"/>
        <u/>
      </rPr>
      <t>t.me/HHAAA1370</t>
    </r>
  </si>
  <si>
    <t xml:space="preserve">عزاداران حضرت زهرا </t>
  </si>
  <si>
    <t>https://www.instagram.com/mokab_alzahra/</t>
  </si>
  <si>
    <t>https://www.instagram.com/hrm_shohada2/</t>
  </si>
  <si>
    <t>بیت الهادی(ع)</t>
  </si>
  <si>
    <t>https://www.instagram.com/beytolhadi_128/</t>
  </si>
  <si>
    <t>شهدا</t>
  </si>
  <si>
    <t>https://www.instagram.com/shohada_1349/</t>
  </si>
  <si>
    <t>عاشقان ثارالله(ع)</t>
  </si>
  <si>
    <t>https://www.instagram.com/saralah18/</t>
  </si>
  <si>
    <r>
      <rPr>
        <rFont val="Calibri"/>
        <color rgb="FF1155CC"/>
        <sz val="11.0"/>
        <u/>
      </rPr>
      <t>t.me/saralah18</t>
    </r>
  </si>
  <si>
    <t>وارثان ثارالله</t>
  </si>
  <si>
    <t>https://eitaa.com/varesanesarallah</t>
  </si>
  <si>
    <t>پنج تن آل عبا (ع)</t>
  </si>
  <si>
    <t>https://www.instagram.com/panjtanbakhshayesh/</t>
  </si>
  <si>
    <r>
      <rPr>
        <rFont val="Calibri"/>
        <color rgb="FF1155CC"/>
        <sz val="11.0"/>
        <u/>
      </rPr>
      <t>tle.me/panjtanbakhshayesh</t>
    </r>
  </si>
  <si>
    <t>زنجانیها</t>
  </si>
  <si>
    <t>https://www.instagram.com/hosiniezanjaniha/</t>
  </si>
  <si>
    <t>محبان الحسین (ع)</t>
  </si>
  <si>
    <r>
      <rPr>
        <rFont val="Calibri"/>
        <color rgb="FF1155CC"/>
        <sz val="11.0"/>
        <u/>
      </rPr>
      <t>t.me/mohebbanelhossein</t>
    </r>
  </si>
  <si>
    <t>https://www.instagram.com/heyatjavanangamarbanihashm/</t>
  </si>
  <si>
    <t>https://www.instagram.com/heyat.aba.abdelah/</t>
  </si>
  <si>
    <t>https://www.instagram.com/zfgvhvhbj/</t>
  </si>
  <si>
    <r>
      <rPr>
        <rFont val="Calibri"/>
        <color rgb="FF1155CC"/>
        <sz val="11.0"/>
        <u/>
      </rPr>
      <t>tlgrm.me/fatemiun313</t>
    </r>
  </si>
  <si>
    <t xml:space="preserve">خادمین اهل بیت (ع)
</t>
  </si>
  <si>
    <t>https://www.instagram.com/heiate.khademin/</t>
  </si>
  <si>
    <t>محبان حضرت علی اصغر (ع)</t>
  </si>
  <si>
    <t>https://www.instagram.com/heyate_mohebane_ali_asghar/</t>
  </si>
  <si>
    <r>
      <rPr>
        <rFont val="Calibri"/>
        <color rgb="FF1155CC"/>
        <sz val="11.0"/>
        <u/>
      </rPr>
      <t>tlgrm.me/mohebanealiasghar71</t>
    </r>
  </si>
  <si>
    <t>حضرت علی اصغر</t>
  </si>
  <si>
    <t>https://www.instagram.com/aliasghariha/</t>
  </si>
  <si>
    <t>https://www.instagram.com/mohebbanalaemeh/</t>
  </si>
  <si>
    <t>دانشکده ابوریحان</t>
  </si>
  <si>
    <t>https://www.instagram.com/mohebinaemeh_ir/</t>
  </si>
  <si>
    <r>
      <rPr>
        <rFont val="Calibri"/>
        <color rgb="FF1155CC"/>
        <sz val="11.0"/>
        <u/>
      </rPr>
      <t>t.me/Mohebbin_Alaeme</t>
    </r>
  </si>
  <si>
    <t>محبان العباس (ع)</t>
  </si>
  <si>
    <t>https://www.instagram.com/moheban.abbas.1384/</t>
  </si>
  <si>
    <r>
      <rPr>
        <rFont val="Calibri"/>
        <color rgb="FF1155CC"/>
        <sz val="11.0"/>
        <u/>
      </rPr>
      <t>t.me/@mohebanabbas</t>
    </r>
  </si>
  <si>
    <t>جوانان انصارالحسین (ع)</t>
  </si>
  <si>
    <t>https://www.instagram.com/heyat_javanan_ansar/</t>
  </si>
  <si>
    <r>
      <rPr>
        <rFont val="Calibri"/>
        <color rgb="FF1155CC"/>
        <sz val="11.0"/>
        <u/>
      </rPr>
      <t>t.me/heyat_javanan_ansar</t>
    </r>
  </si>
  <si>
    <t>محبان الرقیه (س)</t>
  </si>
  <si>
    <t>https://www.instagram.com/sesalehir/</t>
  </si>
  <si>
    <t>https://www.instagram.com/bit_abas/</t>
  </si>
  <si>
    <t>جوانان قمربنی هاشم (ع)</t>
  </si>
  <si>
    <t>https://www.instagram.com/heyat_javanan_atabak15/</t>
  </si>
  <si>
    <t>حیدریة</t>
  </si>
  <si>
    <t>https://www.instagram.com/haidarieh/</t>
  </si>
  <si>
    <t>https://t.me/haidarieh</t>
  </si>
  <si>
    <t>عاشقان ولایت</t>
  </si>
  <si>
    <t>https://www.instagram.com/avsh_ir/</t>
  </si>
  <si>
    <r>
      <rPr>
        <rFont val="Calibri"/>
        <color rgb="FF1155CC"/>
        <sz val="11.0"/>
        <u/>
      </rPr>
      <t>eitaa.com/avsh_ir</t>
    </r>
  </si>
  <si>
    <t>انجمن دانشگاهی فرهنگی کربلا سلام</t>
  </si>
  <si>
    <t>https://www.instagram.com/karbalaasalam/</t>
  </si>
  <si>
    <t>https://www.instagram.com/soureh_iu/</t>
  </si>
  <si>
    <t>https://eitaa.com/soore_IU</t>
  </si>
  <si>
    <t>https://soore.ac.ir/</t>
  </si>
  <si>
    <t>https://www.instagram.com/heiatefatemion/</t>
  </si>
  <si>
    <r>
      <rPr>
        <rFont val="-apple-system, BlinkMacSystemFont, &quot;Segoe UI&quot;, Roboto, Helvetica, Arial, sans-serif"/>
        <color rgb="FF1155CC"/>
        <sz val="11.0"/>
        <u/>
      </rPr>
      <t>heyat.sbu.ac.ir</t>
    </r>
  </si>
  <si>
    <t>https://www.instagram.com/heyatealzahra_ir/</t>
  </si>
  <si>
    <t>حضرت فاطمه زهرا (س)</t>
  </si>
  <si>
    <t>https://t.me/hazratzahraiaumarkaz</t>
  </si>
  <si>
    <t>دختران باران</t>
  </si>
  <si>
    <t>https://eitaa.com/nooravin</t>
  </si>
  <si>
    <t>دانشگاه فرهنگیان</t>
  </si>
  <si>
    <t>https://www.instagram.com/jannat_alhosein/</t>
  </si>
  <si>
    <r>
      <rPr>
        <rFont val="Calibri"/>
        <color rgb="FF1155CC"/>
        <sz val="11.0"/>
        <u/>
      </rPr>
      <t>t.me/jannat_alhosain</t>
    </r>
  </si>
  <si>
    <t>انصارالرضا (ع)</t>
  </si>
  <si>
    <t>https://www.instagram.com/ansar_alreza1383/</t>
  </si>
  <si>
    <t>آل یاسین</t>
  </si>
  <si>
    <t>https://www.instagram.com/aleyasin_tehran/</t>
  </si>
  <si>
    <t>https://t.me/mohebanalreza_bot</t>
  </si>
  <si>
    <t>هیأت علمدار کربلا</t>
  </si>
  <si>
    <t>https://www.instagram.com/harameemah/</t>
  </si>
  <si>
    <r>
      <rPr>
        <rFont val="Calibri"/>
        <color rgb="FF1155CC"/>
        <sz val="11.0"/>
        <u/>
      </rPr>
      <t>tlgrm.in/harameemah</t>
    </r>
  </si>
  <si>
    <t>نوجوانان مکتب الزهرا</t>
  </si>
  <si>
    <t>https://eitaa.com/heiateDahehashtadiha</t>
  </si>
  <si>
    <t>ابناءالزهرا (س)</t>
  </si>
  <si>
    <t>https://www.instagram.com/abnaozahra_com/</t>
  </si>
  <si>
    <t>https://t.me/abnaozahra_com</t>
  </si>
  <si>
    <t>https://eitaa.com/Abnaozahra_com</t>
  </si>
  <si>
    <t>https://www.youtube.com/@abnaozahra_com</t>
  </si>
  <si>
    <t>https://abnaozahra.com/</t>
  </si>
  <si>
    <t>دو طفلان مسلم(ع)</t>
  </si>
  <si>
    <t>https://www.instagram.com/doteflan/</t>
  </si>
  <si>
    <t>https://t.me/doteflan</t>
  </si>
  <si>
    <t>https://eitaa.com/doteflan</t>
  </si>
  <si>
    <t>https://www.instagram.com/alamdar.varamin/</t>
  </si>
  <si>
    <t>https://www.instagram.com/heyatbabolhavaej_gharb_tehran/</t>
  </si>
  <si>
    <r>
      <rPr>
        <rFont val="Calibri"/>
        <color rgb="FF1155CC"/>
        <sz val="11.0"/>
        <u/>
      </rPr>
      <t>t.me/babolhavaej10metri</t>
    </r>
  </si>
  <si>
    <t>https://www.instagram.com/fatemiyetehran/</t>
  </si>
  <si>
    <t xml:space="preserve">حضرت رقیه جان (س)
</t>
  </si>
  <si>
    <t>https://www.instagram.com/rooghaye_jan/</t>
  </si>
  <si>
    <t>بقیة الله الاعظم  (عج)</t>
  </si>
  <si>
    <t>https://eitaa.com/b59313</t>
  </si>
  <si>
    <t>احیا امر</t>
  </si>
  <si>
    <t>https://www.instagram.com/ehyaae_amr/</t>
  </si>
  <si>
    <r>
      <rPr>
        <rFont val="Calibri"/>
        <color rgb="FF1155CC"/>
        <sz val="11.0"/>
        <u/>
      </rPr>
      <t>t.me/ehyaae_amr</t>
    </r>
  </si>
  <si>
    <t>جوانان حضرت علی اکبر</t>
  </si>
  <si>
    <t>https://www.instagram.com/heyatejavananehazratealiakbar/</t>
  </si>
  <si>
    <r>
      <rPr>
        <rFont val="Calibri"/>
        <color rgb="FF1155CC"/>
        <sz val="11.0"/>
        <u/>
      </rPr>
      <t>t.me/heyatejavananehazratealiakbarr</t>
    </r>
  </si>
  <si>
    <t>ام النجبا</t>
  </si>
  <si>
    <t>https://www.instagram.com/h.maktab_omonojaba/</t>
  </si>
  <si>
    <t>احباب الحجة</t>
  </si>
  <si>
    <t>https://eitaa.com/ahbabolhojah</t>
  </si>
  <si>
    <t>خیمه کریم اهل بیت</t>
  </si>
  <si>
    <t>https://www.instagram.com/kheymekarimahlbeyt</t>
  </si>
  <si>
    <t>https://eitaa.com/kheymekarimahlbeyt</t>
  </si>
  <si>
    <t>علی بن الحسین (ع)</t>
  </si>
  <si>
    <t>https://www.instagram.com/masjedaliebnelhossein/</t>
  </si>
  <si>
    <r>
      <rPr>
        <rFont val="Calibri"/>
        <color rgb="FF1155CC"/>
        <sz val="11.0"/>
        <u/>
      </rPr>
      <t>ble.ir/aliebnelhossein</t>
    </r>
  </si>
  <si>
    <t>عشاق الزهرا (س)</t>
  </si>
  <si>
    <t>https://www.instagram.com/oshaghalzahra/</t>
  </si>
  <si>
    <t>مکتب الرضا (ع)</t>
  </si>
  <si>
    <t>https://www.instagram.com/maktaborreza_qods/</t>
  </si>
  <si>
    <r>
      <rPr>
        <rFont val="Calibri"/>
        <color rgb="FF1155CC"/>
        <sz val="11.0"/>
        <u/>
      </rPr>
      <t>t.me/HajSeyedMeysamMahmoudi</t>
    </r>
  </si>
  <si>
    <t>محفل اشک</t>
  </si>
  <si>
    <t>https://www.instagram.com/mahfell_ashk/</t>
  </si>
  <si>
    <r>
      <rPr>
        <rFont val="Calibri"/>
        <color rgb="FF1155CC"/>
        <sz val="11.0"/>
        <u/>
      </rPr>
      <t>t.me/mahfell_ashk</t>
    </r>
  </si>
  <si>
    <t>محب الشهدا</t>
  </si>
  <si>
    <t>https://eitaa.com/mohebb_ir</t>
  </si>
  <si>
    <t>mohebb.ir</t>
  </si>
  <si>
    <t>https://www.instagram.com/maktabozzahra_official/</t>
  </si>
  <si>
    <r>
      <rPr>
        <rFont val="Calibri"/>
        <color rgb="FF1155CC"/>
        <sz val="11.0"/>
        <u/>
      </rPr>
      <t>t.me/maktabozzahra1368</t>
    </r>
  </si>
  <si>
    <t>حوری</t>
  </si>
  <si>
    <t>https://www.instagram.com/masjedhoori/</t>
  </si>
  <si>
    <t>منتظران مصلح</t>
  </si>
  <si>
    <t>https://www.instagram.com/montazeranmosleh_narmak/</t>
  </si>
  <si>
    <r>
      <rPr>
        <rFont val="Calibri"/>
        <color rgb="FF1155CC"/>
        <sz val="11.0"/>
        <u/>
      </rPr>
      <t>t.me/MontazeranMosleh_Narmak</t>
    </r>
  </si>
  <si>
    <t>مصباح الهدی</t>
  </si>
  <si>
    <t>https://www.instagram.com/mesbahalhoda1/</t>
  </si>
  <si>
    <t>https://eitaa.com/mesbahalhoda1</t>
  </si>
  <si>
    <t>روضه عشاق الزینب (س)</t>
  </si>
  <si>
    <t>https://www.instagram.com/mahfel_oshagh_69/</t>
  </si>
  <si>
    <r>
      <rPr>
        <rFont val="Calibri"/>
        <color rgb="FF1155CC"/>
        <sz val="11.0"/>
        <u/>
      </rPr>
      <t>t.me/oshagh_zeynab69</t>
    </r>
  </si>
  <si>
    <t>قمر العشیره</t>
  </si>
  <si>
    <t>https://www.instagram.com/ghamar_al_ashireh/</t>
  </si>
  <si>
    <r>
      <rPr>
        <rFont val="Calibri"/>
        <color rgb="FF1155CC"/>
        <sz val="11.0"/>
        <u/>
      </rPr>
      <t>tlgrm.me/Ghamar_al_Ashireh</t>
    </r>
  </si>
  <si>
    <t xml:space="preserve">کرمخانه حضرت ام البنین (س)
</t>
  </si>
  <si>
    <t>https://www.instagram.com/karamkhaneh.ir/</t>
  </si>
  <si>
    <r>
      <rPr>
        <rFont val="Calibri"/>
        <color rgb="FF1155CC"/>
        <sz val="11.0"/>
        <u/>
      </rPr>
      <t>t.me/karamkhaneh_omolbanin</t>
    </r>
  </si>
  <si>
    <t>بیت الاحرزان</t>
  </si>
  <si>
    <t>https://www.instagram.com/stereobeytolahzan1/</t>
  </si>
  <si>
    <r>
      <rPr>
        <rFont val="Calibri"/>
        <color rgb="FF1155CC"/>
        <sz val="11.0"/>
        <u/>
      </rPr>
      <t>t.me/@stereobeytolahzan2</t>
    </r>
  </si>
  <si>
    <t>https://www.instagram.com/beytozzahra_abouzar17/</t>
  </si>
  <si>
    <t>https://t.me/Beytozzahra_abouzar17</t>
  </si>
  <si>
    <t>عقیله بنی هاشم(س) زینب کبری</t>
  </si>
  <si>
    <t>https://www.instagram.com/heyataghile/</t>
  </si>
  <si>
    <t>جامع صفا</t>
  </si>
  <si>
    <t>https://eitaa.com/masjedsafa</t>
  </si>
  <si>
    <t>قتیل العبرات</t>
  </si>
  <si>
    <t>https://www.instagram.com/qaatil_info/</t>
  </si>
  <si>
    <r>
      <rPr>
        <rFont val="Calibri"/>
        <color rgb="FF1155CC"/>
        <sz val="11.0"/>
        <u/>
      </rPr>
      <t>t.me/qatilalabaraat</t>
    </r>
  </si>
  <si>
    <t>https://www.instagram.com/ansarolmahdi_ut/</t>
  </si>
  <si>
    <r>
      <rPr>
        <rFont val="Calibri"/>
        <color rgb="FF1155CC"/>
        <sz val="11.0"/>
        <u/>
      </rPr>
      <t>t.me/ansarolmahdi_utm</t>
    </r>
  </si>
  <si>
    <t>ثامن الحجج (ع)</t>
  </si>
  <si>
    <t>https://www.instagram.com/samenhojaj1353/</t>
  </si>
  <si>
    <t>ارباب</t>
  </si>
  <si>
    <t>https://www.instagram.com/heyatearbab/</t>
  </si>
  <si>
    <r>
      <rPr>
        <rFont val="Calibri"/>
        <color rgb="FF1155CC"/>
        <sz val="11.0"/>
        <u/>
      </rPr>
      <t>t.me/heyatearbab</t>
    </r>
  </si>
  <si>
    <t>زوارالرضا علیه السلام</t>
  </si>
  <si>
    <t>http://instagram.com/heyat_zavar_alreza_/</t>
  </si>
  <si>
    <t>مکتب الحیدر</t>
  </si>
  <si>
    <t>https://www.instagram.com/maktabolheydar.rozeh/</t>
  </si>
  <si>
    <r>
      <rPr>
        <rFont val="Calibri"/>
        <color rgb="FF1155CC"/>
        <sz val="11.0"/>
        <u/>
      </rPr>
      <t>t.me/maktabolheydar</t>
    </r>
  </si>
  <si>
    <t>https://www.instagram.com/raheasheghan/</t>
  </si>
  <si>
    <t>https://eitaa.com/raheasheghan</t>
  </si>
  <si>
    <t>هیأت نوجوانان</t>
  </si>
  <si>
    <t>میثاق با شهدا</t>
  </si>
  <si>
    <t>https://www.instagram.com/misaq_nojavan/</t>
  </si>
  <si>
    <r>
      <rPr>
        <rFont val="-apple-system, BlinkMacSystemFont, &quot;Segoe UI&quot;, Roboto, Helvetica, Arial, sans-serif"/>
        <color rgb="FF1155CC"/>
        <sz val="11.0"/>
        <u/>
      </rPr>
      <t>misaq.ir</t>
    </r>
  </si>
  <si>
    <t>سفیران زینب (س)</t>
  </si>
  <si>
    <t>https://eitaa.com/safiranzynab</t>
  </si>
  <si>
    <t>جنت العباس (ع)</t>
  </si>
  <si>
    <t>https://www.instagram.com/jannat133/</t>
  </si>
  <si>
    <r>
      <rPr>
        <rFont val="Calibri"/>
        <color rgb="FF1155CC"/>
        <sz val="11.0"/>
        <u/>
      </rPr>
      <t>t.me/jannat133</t>
    </r>
  </si>
  <si>
    <t>رایة الاحرار</t>
  </si>
  <si>
    <t>https://www.instagram.com/rayatolahrar/</t>
  </si>
  <si>
    <t>شهدا آل الله</t>
  </si>
  <si>
    <t>https://www.instagram.com/heyat.shohada.alollah/</t>
  </si>
  <si>
    <t>https://www.instagram.com/hazrateghasem_201/</t>
  </si>
  <si>
    <r>
      <rPr>
        <rFont val="-apple-system, BlinkMacSystemFont, &quot;Segoe UI&quot;, Roboto, Helvetica, Arial, sans-serif"/>
        <color rgb="FF1155CC"/>
        <sz val="11.0"/>
        <u/>
      </rPr>
      <t>ghasem201.ir</t>
    </r>
  </si>
  <si>
    <t>محبان اهل بیت</t>
  </si>
  <si>
    <t>https://www.instagram.com/serat_213/</t>
  </si>
  <si>
    <t>رایه العباس (ع)</t>
  </si>
  <si>
    <t>https://www.instagram.com/mahmoodkarimi_rayatalabbas/</t>
  </si>
  <si>
    <t>کهیعص</t>
  </si>
  <si>
    <t>https://www.instagram.com/mokeb.video/</t>
  </si>
  <si>
    <r>
      <rPr>
        <rFont val="Calibri"/>
        <color rgb="FF1155CC"/>
        <sz val="11.0"/>
        <u/>
      </rPr>
      <t>t.me/mokebinfo</t>
    </r>
  </si>
  <si>
    <t>مکتب الشهداء</t>
  </si>
  <si>
    <t>https://eitaa.com/maktaboshohada_info</t>
  </si>
  <si>
    <t>سائلان اهل بیت</t>
  </si>
  <si>
    <t>https://www.instagram.com/hsaelanahlebeyt/</t>
  </si>
  <si>
    <t>کانون فرهنگی انتظار</t>
  </si>
  <si>
    <t>https://www.instagram.com/asrentezarpakdasht/</t>
  </si>
  <si>
    <t>مکتب الزینب (س)</t>
  </si>
  <si>
    <t>https://www.instagram.com/maktabzeynab/</t>
  </si>
  <si>
    <r>
      <rPr>
        <rFont val="Calibri"/>
        <color rgb="FF1155CC"/>
        <sz val="11.0"/>
        <u/>
      </rPr>
      <t>t.me/Maktabzeynabb</t>
    </r>
  </si>
  <si>
    <t>شباب الزهرا(س)</t>
  </si>
  <si>
    <t>https://www.instagram.com/shababozahra/</t>
  </si>
  <si>
    <t>ریحانه النبی</t>
  </si>
  <si>
    <t>https://www.instagram.com/reiyhane_alnabi/</t>
  </si>
  <si>
    <t>یا حسین</t>
  </si>
  <si>
    <t>https://www.instagram.com/yahoseyn_tehran/</t>
  </si>
  <si>
    <t>https://www.instagram.com/mohebban_almahdi10/</t>
  </si>
  <si>
    <r>
      <rPr>
        <rFont val="-apple-system, BlinkMacSystemFont, &quot;Segoe UI&quot;, Roboto, Helvetica, Arial, sans-serif"/>
        <color rgb="FF1155CC"/>
        <sz val="11.0"/>
        <u/>
      </rPr>
      <t>mohebban-almahdi.ir</t>
    </r>
  </si>
  <si>
    <t>امام مهدی</t>
  </si>
  <si>
    <t>https://www.instagram.com/masjedemammahdi/</t>
  </si>
  <si>
    <r>
      <rPr>
        <rFont val="Calibri"/>
        <color rgb="FF1155CC"/>
        <sz val="11.0"/>
        <u/>
      </rPr>
      <t>t.me/masjedemammahdi</t>
    </r>
  </si>
  <si>
    <t>موسی بن جعفر(ع)</t>
  </si>
  <si>
    <t>https://www.instagram.com/masjjed_masjjed/</t>
  </si>
  <si>
    <r>
      <rPr>
        <rFont val="-apple-system, BlinkMacSystemFont, &quot;Segoe UI&quot;, Roboto, Helvetica, Arial, sans-serif"/>
        <color rgb="FF1155CC"/>
        <sz val="11.0"/>
        <u/>
      </rPr>
      <t>www.masjedemousabnejafar.ir</t>
    </r>
  </si>
  <si>
    <t>https://www.instagram.com/masjed62_ir/</t>
  </si>
  <si>
    <r>
      <rPr>
        <rFont val="Calibri"/>
        <color rgb="FF1155CC"/>
        <sz val="11.0"/>
        <u/>
      </rPr>
      <t>ble.ir/masjed62_ir</t>
    </r>
  </si>
  <si>
    <t>مسجد جامع چهارده معصوم</t>
  </si>
  <si>
    <t>https://eitaa.com/masjeed14m</t>
  </si>
  <si>
    <t>https://www.instagram.com/maktaboshohada_com/</t>
  </si>
  <si>
    <r>
      <rPr>
        <rFont val="Calibri"/>
        <color rgb="FF1155CC"/>
        <sz val="11.0"/>
        <u/>
      </rPr>
      <t>t.me/maktaboshohada_com</t>
    </r>
  </si>
  <si>
    <t>محبان اهل بیت(ع)</t>
  </si>
  <si>
    <t>https://eitaa.com/mohebban_srttu</t>
  </si>
  <si>
    <t>خاتم الاوصیاء</t>
  </si>
  <si>
    <t>https://www.instagram.com/khatamolosiaa/</t>
  </si>
  <si>
    <r>
      <rPr>
        <rFont val="Calibri"/>
        <color rgb="FF1155CC"/>
        <sz val="11.0"/>
        <u/>
      </rPr>
      <t>eitaa.com/Khatamolosiaa</t>
    </r>
  </si>
  <si>
    <t>عشاق المهدی</t>
  </si>
  <si>
    <t>https://www.instagram.com/heyat_oshagholmahdi/</t>
  </si>
  <si>
    <r>
      <rPr>
        <rFont val="Calibri"/>
        <color rgb="FF1155CC"/>
        <sz val="11.0"/>
        <u/>
      </rPr>
      <t>t.me/heyat_oshagholmahdi</t>
    </r>
  </si>
  <si>
    <t>حسن جان(ع)</t>
  </si>
  <si>
    <t>https://www.instagram.com/heyathasanjan/</t>
  </si>
  <si>
    <t>https://www.instagram.com/hfatemion83/</t>
  </si>
  <si>
    <t>بیت الرضا(ع) بیرق ریحانه النبی</t>
  </si>
  <si>
    <t>https://www.instagram.com/beytoreza1/</t>
  </si>
  <si>
    <r>
      <rPr>
        <rFont val="Calibri"/>
        <color rgb="FF1155CC"/>
        <sz val="11.0"/>
        <u/>
      </rPr>
      <t>tlgrm.in/beytoreza1</t>
    </r>
  </si>
  <si>
    <t xml:space="preserve">رایه المهدی (عج)
</t>
  </si>
  <si>
    <t>https://www.instagram.com/rayatollmahdi_ir/</t>
  </si>
  <si>
    <r>
      <rPr>
        <rFont val="Calibri"/>
        <color rgb="FF1155CC"/>
        <sz val="11.0"/>
        <u/>
      </rPr>
      <t>t.me/rayatollmahdi_ir</t>
    </r>
  </si>
  <si>
    <t>کربلا</t>
  </si>
  <si>
    <t>https://www.instagram.com/heyatkarbala.69/</t>
  </si>
  <si>
    <r>
      <rPr>
        <rFont val="Calibri"/>
        <color rgb="FF1155CC"/>
        <sz val="11.0"/>
        <u/>
      </rPr>
      <t>t.me/heyatkarbala69</t>
    </r>
  </si>
  <si>
    <t>تکیه سادات حسینی</t>
  </si>
  <si>
    <t>https://www.instagram.com/heyathoseini/</t>
  </si>
  <si>
    <r>
      <rPr>
        <rFont val="Calibri"/>
        <color rgb="FF1155CC"/>
        <sz val="11.0"/>
        <u/>
      </rPr>
      <t>t.me/Heyatsadat</t>
    </r>
  </si>
  <si>
    <t>مکتب الصادق(ع)</t>
  </si>
  <si>
    <t>https://www.instagram.com/maktab.sadegh/</t>
  </si>
  <si>
    <t>زوار الحسین</t>
  </si>
  <si>
    <t>https://www.instagram.com/zavarolhosein_momeni/</t>
  </si>
  <si>
    <r>
      <rPr>
        <rFont val="Calibri"/>
        <color rgb="FF1155CC"/>
        <sz val="11.0"/>
        <u/>
      </rPr>
      <t>t.me/seyedalimomeni</t>
    </r>
  </si>
  <si>
    <t>https://www.instagram.com/mohebann_ir/</t>
  </si>
  <si>
    <t>https://www.instagram.com/beitol_abbas_ir/</t>
  </si>
  <si>
    <t>https://t.me/BaytalAbbass</t>
  </si>
  <si>
    <t>https://eitaa.com/BaytalAbbass</t>
  </si>
  <si>
    <t>رقیه بنت الحسین (س)</t>
  </si>
  <si>
    <t>https://www.instagram.com/roghaye_bentolhosein/</t>
  </si>
  <si>
    <r>
      <rPr>
        <rFont val="Calibri"/>
        <color rgb="FF1155CC"/>
        <sz val="11.0"/>
        <u/>
      </rPr>
      <t>t.me/roghaye_bentolhosein</t>
    </r>
  </si>
  <si>
    <t>جنت البقیع</t>
  </si>
  <si>
    <t>https://www.instagram.com/jannatolbaqi/</t>
  </si>
  <si>
    <r>
      <rPr>
        <rFont val="Calibri"/>
        <color rgb="FF1155CC"/>
        <sz val="11.0"/>
        <u/>
      </rPr>
      <t>t.me/janat</t>
    </r>
  </si>
  <si>
    <t>حبیب بن مظاهر</t>
  </si>
  <si>
    <t>https://www.instagram.com/habibtm_/</t>
  </si>
  <si>
    <r>
      <rPr>
        <rFont val="Calibri"/>
        <color rgb="FF1155CC"/>
        <sz val="11.0"/>
        <u/>
      </rPr>
      <t>eitaa.com/habibtm</t>
    </r>
  </si>
  <si>
    <t>عشاق الحیدر</t>
  </si>
  <si>
    <t>https://www.instagram.com/oshagh_alheydar/</t>
  </si>
  <si>
    <t>https://t.me/oshagh_alheydar</t>
  </si>
  <si>
    <t>https://eitaa.com/oshagh_alheydar</t>
  </si>
  <si>
    <t>عاشقان نینوا</t>
  </si>
  <si>
    <t>https://www.instagram.com/heyat_asheghan_neynava/</t>
  </si>
  <si>
    <t>حضرت رقیه سادات</t>
  </si>
  <si>
    <t>https://www.instagram.com/roghayeh__sadat/</t>
  </si>
  <si>
    <r>
      <rPr>
        <rFont val="Calibri"/>
        <color rgb="FF1155CC"/>
        <sz val="11.0"/>
        <u/>
      </rPr>
      <t>t.me/roghaye_saadat</t>
    </r>
  </si>
  <si>
    <t>رکن الهدی</t>
  </si>
  <si>
    <t>https://www.instagram.com/heiat_roknolhoda135/</t>
  </si>
  <si>
    <t>https://eitaa.com/heyate_chahardah_masom</t>
  </si>
  <si>
    <t>محبان قرآن و عترت</t>
  </si>
  <si>
    <t>https://www.instagram.com/kheimegah128/</t>
  </si>
  <si>
    <t>محبان علی</t>
  </si>
  <si>
    <t>https://www.instagram.com/mohebbanali1/</t>
  </si>
  <si>
    <t>علمدار علقمه</t>
  </si>
  <si>
    <t>https://www.instagram.com/alamdar_alghameh133/</t>
  </si>
  <si>
    <t>جوانان متوسل به چهارده معصوم(ع)</t>
  </si>
  <si>
    <t>https://www.instagram.com/heat.javanan.14masoom/</t>
  </si>
  <si>
    <t>رایة الزهرا</t>
  </si>
  <si>
    <t>https://www.instagram.com/rayatolzahra.babol/</t>
  </si>
  <si>
    <r>
      <rPr>
        <rFont val="Calibri"/>
        <color rgb="FF1155CC"/>
        <sz val="11.0"/>
        <u/>
      </rPr>
      <t>t.me/rayatolzahra</t>
    </r>
  </si>
  <si>
    <t>مسجد حضرت ابوالفضل</t>
  </si>
  <si>
    <t>https://www.instagram.com/masjed_hazrat_abalfazl/</t>
  </si>
  <si>
    <t>https://t.me/heyatMasjedHazratAbalfazllll</t>
  </si>
  <si>
    <t>مسجد جامع صاحب الزمان</t>
  </si>
  <si>
    <t>https://eitaa.com/masjedjamesahebazamanaj</t>
  </si>
  <si>
    <t>جهادی جنت الحسین</t>
  </si>
  <si>
    <t>https://eitaa.com/jahadi_janatolhosein</t>
  </si>
  <si>
    <t>https://www.instagram.com/rah.shohada/</t>
  </si>
  <si>
    <t>https://t.me/boryr</t>
  </si>
  <si>
    <t>https://eitaa.com/rahrovan_shohada1375</t>
  </si>
  <si>
    <t>قافله شهدا</t>
  </si>
  <si>
    <t>https://www.instagram.com/ghafele_info/</t>
  </si>
  <si>
    <r>
      <rPr>
        <rFont val="Calibri"/>
        <color rgb="FF1155CC"/>
        <sz val="11.0"/>
        <u/>
      </rPr>
      <t>t.me/ghafele_info</t>
    </r>
  </si>
  <si>
    <t>انصار الحسین</t>
  </si>
  <si>
    <t>https://www.instagram.com/zeynabiyeh_media/</t>
  </si>
  <si>
    <t>telegram.me/zeynabiyeh_media</t>
  </si>
  <si>
    <t>https://www.instagram.com/azahraa.ir/</t>
  </si>
  <si>
    <r>
      <rPr>
        <rFont val="-apple-system, BlinkMacSystemFont, &quot;Segoe UI&quot;, Roboto, Helvetica, Arial, sans-serif"/>
        <color rgb="FF1155CC"/>
        <sz val="11.0"/>
        <u/>
      </rPr>
      <t>tlgrm.me/azahraa_ir</t>
    </r>
  </si>
  <si>
    <t>سامانه</t>
  </si>
  <si>
    <t>عقیق</t>
  </si>
  <si>
    <t>https://aghigh.ayandehsazan.ir/</t>
  </si>
  <si>
    <t>مکتب المهدی</t>
  </si>
  <si>
    <t>https://eitaa.com/maktabolmahdyy</t>
  </si>
  <si>
    <t>مسجد حضرت فاطمه الزهرا (س)</t>
  </si>
  <si>
    <t>https://eitaa.com/masjedfa</t>
  </si>
  <si>
    <t>روضه ریحانة الحسین</t>
  </si>
  <si>
    <t>https://www.instagram.com/roze_315_/</t>
  </si>
  <si>
    <t>https://www.instagram.com/heyat_sarallah.tehran/</t>
  </si>
  <si>
    <r>
      <rPr>
        <rFont val="-apple-system, BlinkMacSystemFont, &quot;Segoe UI&quot;, Roboto, Helvetica, Arial, sans-serif"/>
        <color rgb="FF1155CC"/>
        <sz val="11.0"/>
        <u/>
      </rPr>
      <t>eitaa.com/heyat_sarallah_10</t>
    </r>
  </si>
  <si>
    <t>بقیه الله الاعظم (عج)</t>
  </si>
  <si>
    <t>https://www.instagram.com/b59313</t>
  </si>
  <si>
    <t xml:space="preserve"> عشاق الزینب (س)</t>
  </si>
  <si>
    <t>https://www.instagram.com/oshaghol.zeinab/</t>
  </si>
  <si>
    <r>
      <rPr>
        <rFont val="-apple-system, BlinkMacSystemFont, &quot;Segoe UI&quot;, Roboto, Helvetica, Arial, sans-serif"/>
        <color rgb="FF1155CC"/>
        <sz val="11.0"/>
        <u/>
      </rPr>
      <t>t.me/oshagh6969</t>
    </r>
  </si>
  <si>
    <t>متوسلین به حضرت زهرا(س)</t>
  </si>
  <si>
    <t>https://www.instagram.com/motevaseliin/</t>
  </si>
  <si>
    <r>
      <rPr>
        <rFont val="-apple-system, BlinkMacSystemFont, &quot;Segoe UI&quot;, Roboto, Helvetica, Arial, sans-serif"/>
        <color rgb="FF1155CC"/>
        <sz val="11.0"/>
        <u/>
      </rPr>
      <t>eitaa.com/motavaseliin</t>
    </r>
  </si>
  <si>
    <t>مسجد محمدی</t>
  </si>
  <si>
    <t>https://eitaa.com/mohamadimasjed</t>
  </si>
  <si>
    <t>غریب مدینه</t>
  </si>
  <si>
    <t>https://www.instagram.com/gharibmadineh.teh/</t>
  </si>
  <si>
    <r>
      <rPr>
        <rFont val="-apple-system, BlinkMacSystemFont, &quot;Segoe UI&quot;, Roboto, Helvetica, Arial, sans-serif"/>
        <color rgb="FF1155CC"/>
        <sz val="11.0"/>
        <u/>
      </rPr>
      <t>t.me/gharibmadineh.teh</t>
    </r>
  </si>
  <si>
    <t>https://eitaa.com/ashabolhossein_ir</t>
  </si>
  <si>
    <t>https://www.instagram.com/alabbas.info/</t>
  </si>
  <si>
    <t>https://t.me/heiat_alamdar</t>
  </si>
  <si>
    <t>https://eitaa.com/majidiealamdar</t>
  </si>
  <si>
    <t>https://www.instagram.com/roghayejan315/</t>
  </si>
  <si>
    <r>
      <rPr>
        <rFont val="-apple-system, BlinkMacSystemFont, &quot;Segoe UI&quot;, Roboto, Helvetica, Arial, sans-serif"/>
        <color rgb="FF1155CC"/>
        <sz val="11.0"/>
        <u/>
      </rPr>
      <t>t.me/rooghayejan315</t>
    </r>
  </si>
  <si>
    <t>محبان الرضا(ع)</t>
  </si>
  <si>
    <t>https://www.instagram.com/mohebanorezaa/</t>
  </si>
  <si>
    <t>ثامن الائمه(ع)</t>
  </si>
  <si>
    <t>https://www.instagram.com/heyat_samen86/</t>
  </si>
  <si>
    <t>https://www.instagram.com/ansaralhussain128/</t>
  </si>
  <si>
    <r>
      <rPr>
        <rFont val="-apple-system, BlinkMacSystemFont, &quot;Segoe UI&quot;, Roboto, Helvetica, Arial, sans-serif"/>
        <color rgb="FF1155CC"/>
        <sz val="11.0"/>
        <u/>
      </rPr>
      <t>t.me/ansaralhussain128</t>
    </r>
  </si>
  <si>
    <t>قطع الکفین</t>
  </si>
  <si>
    <t>https://www.instagram.com/ghatiolkaffein/</t>
  </si>
  <si>
    <t>https://www.instagram.com/oshagholreza8/</t>
  </si>
  <si>
    <t>روضه الشهدا</t>
  </si>
  <si>
    <t>https://www.instagram.com/rozato_shohada/</t>
  </si>
  <si>
    <r>
      <rPr>
        <rFont val="-apple-system, BlinkMacSystemFont, &quot;Segoe UI&quot;, Roboto, Helvetica, Arial, sans-serif"/>
        <color rgb="FF1155CC"/>
        <sz val="11.0"/>
        <u/>
      </rPr>
      <t>tlgrm.me/rozato_shohada</t>
    </r>
  </si>
  <si>
    <t>جوانان پالاش</t>
  </si>
  <si>
    <t>https://www.instagram.com/hiatjvanan_palash/</t>
  </si>
  <si>
    <t>https://www.instagram.com/rozatozeynab213/</t>
  </si>
  <si>
    <r>
      <rPr>
        <rFont val="-apple-system, BlinkMacSystemFont, &quot;Segoe UI&quot;, Roboto, Helvetica, Arial, sans-serif"/>
        <color rgb="FF1155CC"/>
        <sz val="11.0"/>
        <u/>
      </rPr>
      <t>t.me/rozatozeynab213</t>
    </r>
  </si>
  <si>
    <t>امیر المومنین</t>
  </si>
  <si>
    <t>https://www.instagram.com/amir_almomeninmosque/</t>
  </si>
  <si>
    <t>https://www.instagram.com/heiat_aleyasin</t>
  </si>
  <si>
    <t>https://t.me/heiat_aleyasin</t>
  </si>
  <si>
    <t>https://eitaa.com/heiat_aleyasin</t>
  </si>
  <si>
    <t>https://www.instagram.com/shohada72/</t>
  </si>
  <si>
    <t>سائلین حضرت زینب(س)</t>
  </si>
  <si>
    <t>https://www.instagram.com/saelin_hazrat_zeinab/</t>
  </si>
  <si>
    <t>سفینة النجاة</t>
  </si>
  <si>
    <t>https://www.instagram.com/safinato_alnejat/</t>
  </si>
  <si>
    <t>نورالاصفیا</t>
  </si>
  <si>
    <t>https://eitaa.com/noorolasfia_mosque</t>
  </si>
  <si>
    <t>جوانان سیدالشهدا(ع)</t>
  </si>
  <si>
    <t>https://www.instagram.com/heiat_javanan_sayedoshohada/</t>
  </si>
  <si>
    <t>مکتب الحسین</t>
  </si>
  <si>
    <t>https://www.instagram.com/maktabalhossein_ir/</t>
  </si>
  <si>
    <r>
      <rPr>
        <rFont val="var(--font-family-system)"/>
        <color rgb="FF1155CC"/>
        <u/>
      </rPr>
      <t>t.me/maktabalhossein_ir</t>
    </r>
  </si>
  <si>
    <t>قائم آل محمد(عج)</t>
  </si>
  <si>
    <t>https://www.instagram.com/heiat_ghaaem/</t>
  </si>
  <si>
    <r>
      <rPr>
        <rFont val="var(--font-family-system)"/>
        <color rgb="FF1155CC"/>
        <sz val="11.0"/>
        <u/>
      </rPr>
      <t>telegram.me/heiatghaem</t>
    </r>
  </si>
  <si>
    <t>محبان ابن الکریم (ع)</t>
  </si>
  <si>
    <t>https://www.instagram.com/mohebanolkarim/</t>
  </si>
  <si>
    <r>
      <rPr>
        <rFont val="var(--font-family-system)"/>
        <color rgb="FF1155CC"/>
        <u/>
      </rPr>
      <t>t.me/mohebanolkarim</t>
    </r>
  </si>
  <si>
    <t>حضرت مسلم ابن عقیل (ع)</t>
  </si>
  <si>
    <t>https://www.instagram.com/heyat.muslim.ibn.aqeel/</t>
  </si>
  <si>
    <t>https://www.instagram.com/mohebbanolreza/</t>
  </si>
  <si>
    <r>
      <rPr>
        <rFont val="var(--font-family-system)"/>
        <color rgb="FF1155CC"/>
        <u/>
      </rPr>
      <t>t.me/mohebbanolreza</t>
    </r>
  </si>
  <si>
    <t>یاحسین</t>
  </si>
  <si>
    <t>https://www.instagram.com/beyragh.ir/</t>
  </si>
  <si>
    <t>بیت الحسین</t>
  </si>
  <si>
    <t>https://www.instagram.com/beitalhosain/</t>
  </si>
  <si>
    <r>
      <rPr>
        <rFont val="var(--font-family-system)"/>
        <color rgb="FF1155CC"/>
        <sz val="11.0"/>
        <u/>
      </rPr>
      <t>t.me/beitalhosain</t>
    </r>
  </si>
  <si>
    <t>حضرت ابوالفضل(ع)</t>
  </si>
  <si>
    <t>https://www.instagram.com/hazrataboalfazl/</t>
  </si>
  <si>
    <r>
      <rPr>
        <rFont val="var(--font-family-system)"/>
        <color rgb="FF1155CC"/>
        <u/>
      </rPr>
      <t>t.me/masjedgondoghdi</t>
    </r>
  </si>
  <si>
    <t>صاحب الزمان(عج)</t>
  </si>
  <si>
    <t>https://instagram.com/masjedsaheb/</t>
  </si>
  <si>
    <t>https://www.instagram.com/azizamzeynab/</t>
  </si>
  <si>
    <t>کریم آل طاها</t>
  </si>
  <si>
    <t>https://www.instagram.com/bharam.ir/</t>
  </si>
  <si>
    <t>https://www.instagram.com/oshagh_almahdi_ekbatan/</t>
  </si>
  <si>
    <t>محبان الصادق(ع)</t>
  </si>
  <si>
    <t>https://www.instagram.com/sadeghioun.info/</t>
  </si>
  <si>
    <r>
      <rPr>
        <rFont val="var(--font-family-system)"/>
        <color rgb="FF1155CC"/>
        <u/>
      </rPr>
      <t>t.me/mohebbane_sadegh</t>
    </r>
  </si>
  <si>
    <t>https://www.instagram.com/beytolabas1/</t>
  </si>
  <si>
    <r>
      <rPr>
        <rFont val="var(--font-family-system)"/>
        <color rgb="FF1155CC"/>
        <u/>
      </rPr>
      <t>telegram.me./beytoolabas</t>
    </r>
  </si>
  <si>
    <t>https://www.instagram.com/h.babalhavaej/</t>
  </si>
  <si>
    <t>لثارات الحسین(ع)</t>
  </si>
  <si>
    <t>https://www.instagram.com/heyat_lesarat_alhosein/</t>
  </si>
  <si>
    <t>منتظران مهدی</t>
  </si>
  <si>
    <t>https://www.instagram.com/hoseinemontazeranalmahdi/</t>
  </si>
  <si>
    <t>https://www.instagram.com/hosseinie_shohada/</t>
  </si>
  <si>
    <t>مجتمع یاس کبود</t>
  </si>
  <si>
    <t>https://www.instagram.com/yasekabood2022/</t>
  </si>
  <si>
    <t>حضرت علی اصغر (ع)</t>
  </si>
  <si>
    <t>https://www.instagram.com/heyat_hazratealiasghr/</t>
  </si>
  <si>
    <r>
      <rPr>
        <rFont val="var(--font-family-system)"/>
        <color rgb="FF1155CC"/>
        <sz val="11.0"/>
        <u/>
      </rPr>
      <t>eitaa.com/heiat_hazratealiasghr</t>
    </r>
  </si>
  <si>
    <t>رفع الله رایه العباس (ع)</t>
  </si>
  <si>
    <t>https://www.instagram.com/rayatol.abas/</t>
  </si>
  <si>
    <r>
      <rPr>
        <rFont val="var(--font-family-system)"/>
        <color rgb="FF1155CC"/>
        <u/>
      </rPr>
      <t>t.me/rayatol.abas</t>
    </r>
  </si>
  <si>
    <t>یازینب(س)</t>
  </si>
  <si>
    <t>https://www.instagram.com/mahmel69/</t>
  </si>
  <si>
    <r>
      <rPr>
        <rFont val="var(--font-family-system)"/>
        <color rgb="FF1155CC"/>
        <u/>
      </rPr>
      <t>telegram.me/mahmel169</t>
    </r>
  </si>
  <si>
    <t>الحسین (ع۹</t>
  </si>
  <si>
    <t>https://www.instagram.com/masjed_alhossein/</t>
  </si>
  <si>
    <t>هیات الشهدا</t>
  </si>
  <si>
    <t>https://www.instagram.com/heiat_shohada/</t>
  </si>
  <si>
    <t>مهدیون</t>
  </si>
  <si>
    <t>https://www.instagram.com/mahdiontehran/</t>
  </si>
  <si>
    <r>
      <rPr>
        <rFont val="var(--font-family-system)"/>
        <color rgb="FF1155CC"/>
        <u/>
      </rPr>
      <t>t.me/Mahdiontehran</t>
    </r>
  </si>
  <si>
    <t>یا فاطمه الزهرا (س)</t>
  </si>
  <si>
    <t>https://www.instagram.com/yafatemattozahra/</t>
  </si>
  <si>
    <t>https://www.instagram.com/heiat.alyasin/</t>
  </si>
  <si>
    <t>https://t.me/basij_masjed_imamsadiq</t>
  </si>
  <si>
    <t>eitaa.com/heiatalyasin</t>
  </si>
  <si>
    <t>حیدریه</t>
  </si>
  <si>
    <t>https://www.instagram.com/heydariye_gharbe_tehran/</t>
  </si>
  <si>
    <t>https://t.me/heydariyeh110</t>
  </si>
  <si>
    <t>بنی فاطمه</t>
  </si>
  <si>
    <t>https://www.instagram.com/baniifatemeh.live/</t>
  </si>
  <si>
    <r>
      <rPr>
        <rFont val="var(--font-family-system)"/>
        <color rgb="FF1155CC"/>
        <u/>
      </rPr>
      <t>t.me/baniifatemeh</t>
    </r>
  </si>
  <si>
    <t>سالارزینب(س)</t>
  </si>
  <si>
    <t>https://www.instagram.com/salarzeynab315/</t>
  </si>
  <si>
    <r>
      <rPr>
        <rFont val="var(--font-family-system)"/>
        <color rgb="FF1155CC"/>
        <u/>
      </rPr>
      <t>tlgrm.me/salarzeynab313</t>
    </r>
  </si>
  <si>
    <t>https://www.instagram.com/maktabalzahraut/</t>
  </si>
  <si>
    <t>جوانان حضرت ابوالفضل العباس (ع)</t>
  </si>
  <si>
    <t>https://www.instagram.com/hyate.hazrt.abolfazl/</t>
  </si>
  <si>
    <r>
      <rPr>
        <rFont val="var(--font-family-system)"/>
        <color rgb="FF1155CC"/>
        <u/>
      </rPr>
      <t>t.me/hyate_hazrt_abolfazl</t>
    </r>
  </si>
  <si>
    <t>حب الحسین</t>
  </si>
  <si>
    <t>https://www.instagram.com/heyat_hobbolhosein/</t>
  </si>
  <si>
    <r>
      <rPr>
        <rFont val="var(--font-family-system)"/>
        <color rgb="FF1155CC"/>
        <u/>
      </rPr>
      <t>t.me/heyat_hobbolhosein</t>
    </r>
  </si>
  <si>
    <t>رهروان حضرت علی اکبر (ع)</t>
  </si>
  <si>
    <t>https://www.instagram.com/rahrovan.aliakbar/</t>
  </si>
  <si>
    <r>
      <rPr>
        <rFont val="var(--font-family-system)"/>
        <color rgb="FF1155CC"/>
        <u/>
      </rPr>
      <t>eitaa.com/Rahrovanaliakbar</t>
    </r>
  </si>
  <si>
    <t>الانصار</t>
  </si>
  <si>
    <t>https://www.instagram.com/majmaolansar/</t>
  </si>
  <si>
    <t>http://instagram.com/hasaniyeh133/</t>
  </si>
  <si>
    <t>ستاد اربعین</t>
  </si>
  <si>
    <t>https://eitaa.com/e_arbaeen</t>
  </si>
  <si>
    <t>حسینیه معلی</t>
  </si>
  <si>
    <t>https://eitaa.com/moallatv3</t>
  </si>
  <si>
    <t>عقلیة العرب</t>
  </si>
  <si>
    <t>https://www.instagram.com/aghilatolarab1/</t>
  </si>
  <si>
    <r>
      <rPr>
        <rFont val="var(--font-family-system)"/>
        <color rgb="FF1155CC"/>
        <u/>
      </rPr>
      <t>t.me/aghilatolarab1‌</t>
    </r>
  </si>
  <si>
    <t>سخنران</t>
  </si>
  <si>
    <t>حامد کاشانی</t>
  </si>
  <si>
    <t>https://www.instagram.com/hamedkashani__</t>
  </si>
  <si>
    <t>https://eitaa.com/kashani1395</t>
  </si>
  <si>
    <t>شیخ رمضانی(اسماعیل)</t>
  </si>
  <si>
    <t>https://eitaa.com/sheykhramezani</t>
  </si>
  <si>
    <t>کانال رسمی میثم مطیعی</t>
  </si>
  <si>
    <t>https://www.instagram.com/meysammotiee.official</t>
  </si>
  <si>
    <t>https://eitaa.com/MeysamMotiee</t>
  </si>
  <si>
    <t xml:space="preserve">صوت | علیرضا پناهیان
</t>
  </si>
  <si>
    <t xml:space="preserve">تهران </t>
  </si>
  <si>
    <t>https://eitaa.com/panahian_mp3</t>
  </si>
  <si>
    <t>مداح شو</t>
  </si>
  <si>
    <t>https://eitaa.com/maddah_sho</t>
  </si>
  <si>
    <t>https://eitaa.com/rozekhanegee</t>
  </si>
  <si>
    <t>کانال رسمی استادمسعود عالی</t>
  </si>
  <si>
    <t>https://eitaa.com/ostad_aali</t>
  </si>
  <si>
    <t>حاج محمود کریمی</t>
  </si>
  <si>
    <t>https://eitaa.com/HajMahmoud_Karimi</t>
  </si>
  <si>
    <t>هواداران حاج محمود کریمی</t>
  </si>
  <si>
    <t>https://eitaa.com/HajMahmoud_Karimi1</t>
  </si>
  <si>
    <t>روضه دفتری</t>
  </si>
  <si>
    <t>https://eitaa.com/roze_daftari</t>
  </si>
  <si>
    <t>در محضر آیت الله میر باقری</t>
  </si>
  <si>
    <t>https://eitaa.com/mirbaqeri_ir</t>
  </si>
  <si>
    <t>https://eitaa.com/msagheb_ir</t>
  </si>
  <si>
    <t>حاج منصور ارضی</t>
  </si>
  <si>
    <t>https://www.instagram.com/hajmansourarzi</t>
  </si>
  <si>
    <t>https://eitaa.com/hajmansourarzi</t>
  </si>
  <si>
    <t xml:space="preserve">هیأت  </t>
  </si>
  <si>
    <t>https://eitaa.com/heyat_et</t>
  </si>
  <si>
    <t xml:space="preserve">‌‹ تـؤییت‌هیئتی | 𝘵𝘸𝘦𝘦𝘵 ›
</t>
  </si>
  <si>
    <t>https://eitaa.com/Tweet_Heyati</t>
  </si>
  <si>
    <t>حسینیه جهانی سید الشهدا</t>
  </si>
  <si>
    <t>https://eitaa.com/hoseiniehseyedalshohada</t>
  </si>
  <si>
    <t>پایگاه جامع محتوایی هیأت</t>
  </si>
  <si>
    <t>https://eitaa.com/heyat_co</t>
  </si>
  <si>
    <t>برنامه تلویزیونی محفل</t>
  </si>
  <si>
    <t>https://www.instagram.com/mahfeltv3</t>
  </si>
  <si>
    <t>https://t.me/mahfeltv3</t>
  </si>
  <si>
    <t>https://eitaa.com/mahfeltv3</t>
  </si>
  <si>
    <t>شعر هیأت</t>
  </si>
  <si>
    <t>https://eitaa.com/ShereHeyat</t>
  </si>
  <si>
    <t>زوار الزهراء (س)</t>
  </si>
  <si>
    <t>https://eitaa.com/zovvaralzahra</t>
  </si>
  <si>
    <t>حسینیه هدایت</t>
  </si>
  <si>
    <t>https://eitaa.com/hoseinie_hedayat</t>
  </si>
  <si>
    <t>هیأت رزمندگان غرب تهران</t>
  </si>
  <si>
    <t>https://eitaa.com/heiatrqt</t>
  </si>
  <si>
    <t>هیأت نور الزهرا</t>
  </si>
  <si>
    <t>https://eitaa.com/nooralzahra5</t>
  </si>
  <si>
    <t>هیئت وسقاخانه خادمین حضرت رقیه سلام الله علیها</t>
  </si>
  <si>
    <t>https://eitaa.com/saghakhanih</t>
  </si>
  <si>
    <t>حسینیه مقتل</t>
  </si>
  <si>
    <t>https://www.instagram.com/payegahe_hoseinieh_maghtal</t>
  </si>
  <si>
    <t>https://t.me/hosenih_maghtal</t>
  </si>
  <si>
    <t>https://eitaa.com/hosenih_maghtal</t>
  </si>
  <si>
    <t>بیرق هیأت</t>
  </si>
  <si>
    <t>https://eitaa.com/Beyragheheyat</t>
  </si>
  <si>
    <t>هیأت عاشورائیان منتظر</t>
  </si>
  <si>
    <t>https://eitaa.com/ashooraeeian</t>
  </si>
  <si>
    <t>هیأت و موکب مع امام منصور</t>
  </si>
  <si>
    <t>https://eitaa.com/masafmokeb</t>
  </si>
  <si>
    <t>هیأت نرجسانه</t>
  </si>
  <si>
    <t>https://eitaa.com/narjesaneh_ir</t>
  </si>
  <si>
    <t>آل الله</t>
  </si>
  <si>
    <t>دماوند</t>
  </si>
  <si>
    <t>https://www.instagram.com/alollah</t>
  </si>
  <si>
    <t>https://t.me/alollah_mavaddat</t>
  </si>
  <si>
    <t>https://eitaa.com/alollah_mavaddat</t>
  </si>
  <si>
    <t>https://mavaddatiha.ir/</t>
  </si>
  <si>
    <t>سعید نجفی</t>
  </si>
  <si>
    <t>هیأت محبان ولایت</t>
  </si>
  <si>
    <t>رباط کریم</t>
  </si>
  <si>
    <t>https://eitaa.com/heyatmohebanvelayat</t>
  </si>
  <si>
    <t>روضة اللهفان</t>
  </si>
  <si>
    <t>رودهن</t>
  </si>
  <si>
    <t>https://www.instagram.com/rozatol_lahfan/</t>
  </si>
  <si>
    <t>تعزیه داران باب الحوایج حضرت ابوالفضل (ع)</t>
  </si>
  <si>
    <t>ری</t>
  </si>
  <si>
    <t>https://www.instagram.com/tazieh_daranbabalhavaej/</t>
  </si>
  <si>
    <t>https://www.instagram.com/j.ghamarebanihashem_133/</t>
  </si>
  <si>
    <t>شهر ری</t>
  </si>
  <si>
    <t>https://www.instagram.com/psk_rey/</t>
  </si>
  <si>
    <t xml:space="preserve">حسینیه </t>
  </si>
  <si>
    <t>خدمه اهل بیت کربلایی</t>
  </si>
  <si>
    <t>https://www.instagram.com/karbalaee_rey/</t>
  </si>
  <si>
    <r>
      <rPr>
        <rFont val="Calibri"/>
        <color rgb="FF1155CC"/>
        <sz val="11.0"/>
        <u/>
      </rPr>
      <t>t.me/H_khadame_ahlebeit</t>
    </r>
  </si>
  <si>
    <t>https://www.instagram.com/asheghansarallah_tehran/</t>
  </si>
  <si>
    <r>
      <rPr>
        <rFont val="Calibri"/>
        <color rgb="FF1155CC"/>
        <sz val="11.0"/>
        <u/>
      </rPr>
      <t>t.me/@ashegansarallah</t>
    </r>
  </si>
  <si>
    <t>https://www.instagram.com/maktaboolhosein.media/</t>
  </si>
  <si>
    <r>
      <rPr>
        <rFont val="Calibri"/>
        <color rgb="FF1155CC"/>
        <sz val="11.0"/>
        <u/>
      </rPr>
      <t>t.me/maktabollhosein_rey</t>
    </r>
  </si>
  <si>
    <t>https://eitaa.com/shababozahra</t>
  </si>
  <si>
    <t>الزهرا(سلام الله علیها)</t>
  </si>
  <si>
    <t>شهرک امیریه</t>
  </si>
  <si>
    <t>https://www.instagram.com/mokeb_olzahra315/</t>
  </si>
  <si>
    <t>موکب فاطمه الزهرا</t>
  </si>
  <si>
    <t>https://eitaa.com/mookkeb</t>
  </si>
  <si>
    <t>علمدار حسین</t>
  </si>
  <si>
    <t>https://www.instagram.com/heiatealamdar/</t>
  </si>
  <si>
    <t>https://t.me/heiatealamdar</t>
  </si>
  <si>
    <t>بیت الصادق</t>
  </si>
  <si>
    <t>ورامین</t>
  </si>
  <si>
    <t>ورامین،امرآبادپشت‌مسجدارشادخیابان‌منظمی‌کوچه‌امین‌یک</t>
  </si>
  <si>
    <t>https://www.instagram.com/beyt_ol_sadegh/</t>
  </si>
  <si>
    <t>https://t.me/beyt_ol_sadegh</t>
  </si>
  <si>
    <t>حسینیه بیت العباس</t>
  </si>
  <si>
    <t>https://eitaa.com/beytolabbas12</t>
  </si>
  <si>
    <t>رسانه ای</t>
  </si>
  <si>
    <t>عقیله</t>
  </si>
  <si>
    <t>‎</t>
  </si>
  <si>
    <t>https://www.instagram.com/aghile.110/</t>
  </si>
  <si>
    <t>https://t.me/aghile_110</t>
  </si>
  <si>
    <t>https://www.youtube.com/@ahlebeytmedia</t>
  </si>
  <si>
    <t>احرار</t>
  </si>
  <si>
    <t>https://www.instagram.com/ahrar_118/</t>
  </si>
  <si>
    <t>https://t.me/ahrar_118</t>
  </si>
  <si>
    <t>https://www.youtube.com/@ahrar118</t>
  </si>
  <si>
    <t>اسراء</t>
  </si>
  <si>
    <t>https://www.instagram.com/asrae_133/</t>
  </si>
  <si>
    <t>https://t.me/asraae_133</t>
  </si>
  <si>
    <t>آوای مهر</t>
  </si>
  <si>
    <t>https://www.instagram.com/avaye_bartar_sound_group/</t>
  </si>
  <si>
    <t>https://t.me/AvayeBartarSoundGroup</t>
  </si>
  <si>
    <t>غروب آدینه</t>
  </si>
  <si>
    <t>https://www.instagram.com/ghorobadineh.ir</t>
  </si>
  <si>
    <t>https://t.me/ghorubeadineh</t>
  </si>
  <si>
    <t>جان نثاران</t>
  </si>
  <si>
    <t>https://www.instagram.com/heiatjanesaran/</t>
  </si>
  <si>
    <t>https://t.me/heiatjanesaran</t>
  </si>
  <si>
    <t>https://www.youtube.com/@heiatjanesaran</t>
  </si>
  <si>
    <t>رایه العباس</t>
  </si>
  <si>
    <t>https://www.instagram.com/mahmuudkarimi</t>
  </si>
  <si>
    <t>https://t.me/mahmoudkarimmi</t>
  </si>
  <si>
    <t>https://eitaa.com/mahmoudkarimmi</t>
  </si>
  <si>
    <t>ماهورا</t>
  </si>
  <si>
    <t>https://www.instagram.com/mahuramedia/</t>
  </si>
  <si>
    <t>https://t.me/Mahuramedia</t>
  </si>
  <si>
    <t>منجی</t>
  </si>
  <si>
    <t>https://www.instagram.com/monji_sound_group/</t>
  </si>
  <si>
    <t>https://t.me/monji_sound_group</t>
  </si>
  <si>
    <t>نیستان</t>
  </si>
  <si>
    <t>https://www.instagram.com/neyestan.sound.group/</t>
  </si>
  <si>
    <t>https://t.me/NeyestanSoundGroup</t>
  </si>
  <si>
    <t>https://www.eitaa.com/neyestansoundgroup</t>
  </si>
  <si>
    <t>http://www.youtube.com/@neyestansoundgroup</t>
  </si>
  <si>
    <t>رواق</t>
  </si>
  <si>
    <t>https://www.instagram.com/ravaq.media/</t>
  </si>
  <si>
    <t>https://t.me/ravaqmedia</t>
  </si>
  <si>
    <t>صوت الحسین کرمانشاه</t>
  </si>
  <si>
    <t>https://www.instagram.com/sotolhosien.sound.group/</t>
  </si>
  <si>
    <t>https://t.me/sot_alhosin</t>
  </si>
  <si>
    <t>پلان 3</t>
  </si>
  <si>
    <t>https://www.instagram.com/pelan3/</t>
  </si>
  <si>
    <t>https://telegram.me/pelan_3</t>
  </si>
  <si>
    <t>https://eitaa.com/pelan3</t>
  </si>
  <si>
    <t>https://www.youtube.com/pelan3</t>
  </si>
  <si>
    <t>https://pelan3.com/</t>
  </si>
  <si>
    <t>حنیفا</t>
  </si>
  <si>
    <t>https://www.instagram.com/hanifa.artmedia/</t>
  </si>
  <si>
    <t>خادم الحسن</t>
  </si>
  <si>
    <t>https://www.instagram.com/khademolhasan_ir/</t>
  </si>
  <si>
    <t>شبکه رسانه ای هجرت</t>
  </si>
  <si>
    <t>https://www.instagram.com/HEJRAT_NET/</t>
  </si>
  <si>
    <t>فاتح</t>
  </si>
  <si>
    <t>https://www.instagram.com/fathgraf/</t>
  </si>
  <si>
    <t>ماهد</t>
  </si>
  <si>
    <t>https://www.instagram.com/mahed4441/</t>
  </si>
  <si>
    <t>موعود</t>
  </si>
  <si>
    <t>https://www.instagram.com/mooud.sound.group/</t>
  </si>
  <si>
    <t>هلال مدیا</t>
  </si>
  <si>
    <t>https://www.instagram.com/helalmedia/</t>
  </si>
  <si>
    <t>https://www.instagram.com/ali_porkaveeh_org/</t>
  </si>
  <si>
    <t>علی انسانی</t>
  </si>
  <si>
    <t>https://www.instagram.com/aliensani135/</t>
  </si>
  <si>
    <t>https://t.me/aliensani135</t>
  </si>
  <si>
    <t>علیرضا شهرابی</t>
  </si>
  <si>
    <t>https://www.instagram.com/alireza_shahrabi_official/</t>
  </si>
  <si>
    <t>https://t.me/alirezashahrabi_online</t>
  </si>
  <si>
    <t>https://alirezashahrabi.com/</t>
  </si>
  <si>
    <t>امین قدیم</t>
  </si>
  <si>
    <t>https://www.instagram.com/amin_ghadim/</t>
  </si>
  <si>
    <t>https://t.me/amin_ghadim313</t>
  </si>
  <si>
    <t>امین شادکام زکریا</t>
  </si>
  <si>
    <t>https://www.instagram.com/aminshadkamzakaria/</t>
  </si>
  <si>
    <t>https://t.me/aminshadkamzakaria</t>
  </si>
  <si>
    <t>امیر عباسی</t>
  </si>
  <si>
    <t>https://www.instagram.com/amirabbasi.313/</t>
  </si>
  <si>
    <t>https://t.me/amirabbasi_net</t>
  </si>
  <si>
    <t>امیرحسین حضرتی</t>
  </si>
  <si>
    <t>https://www.instagram.com/hazrati.128/</t>
  </si>
  <si>
    <t>https://t.me/amirhoseinhazrati128</t>
  </si>
  <si>
    <t>https://www.youtube.com/@Hazrati.128</t>
  </si>
  <si>
    <t>امیرحسین رجبلو</t>
  </si>
  <si>
    <t>https://www.instagram.com/amir_hosein_rajablou/</t>
  </si>
  <si>
    <t>https://t.me/AmirHosseinRajablou</t>
  </si>
  <si>
    <t>محمد حسین حدادیان</t>
  </si>
  <si>
    <t>https://www.instagram.com/mohamadhosein_h</t>
  </si>
  <si>
    <t>https://eitaa.com/mohamadhoseyn_hadadian</t>
  </si>
  <si>
    <t>وحید شکری</t>
  </si>
  <si>
    <t>https://www.instagram.com/vahid_shokri118/</t>
  </si>
  <si>
    <t>https://t.me/channel_vahid_shokri_118</t>
  </si>
  <si>
    <t>ابراهیم زیادزاده</t>
  </si>
  <si>
    <t>https://www.instagram.com/ebrahim_ziyadzade_/</t>
  </si>
  <si>
    <t>https://t.me/ebrahim_ziyadzade</t>
  </si>
  <si>
    <t>محمد فراهانی</t>
  </si>
  <si>
    <t>https://www.instagram.com/farahani.info/</t>
  </si>
  <si>
    <t>https://t.me/farahani_info</t>
  </si>
  <si>
    <t>محمود کریمی</t>
  </si>
  <si>
    <t>https://www.instagram.com/fotros_ir/</t>
  </si>
  <si>
    <t>https://t.me/fotros_ir</t>
  </si>
  <si>
    <t>https://www.youtube.com/@mahmoudkarimiofficial</t>
  </si>
  <si>
    <t>http://fotros.ir/</t>
  </si>
  <si>
    <t>جواد حقیقت</t>
  </si>
  <si>
    <t>https://www.instagram.com/javadhaghighatofficial/</t>
  </si>
  <si>
    <t>https://t.me/haghighat_javad</t>
  </si>
  <si>
    <t>سید وحید مصطفوی</t>
  </si>
  <si>
    <t>https://www.instagram.com/seyedvahid_mostafavi_official/</t>
  </si>
  <si>
    <t>https://t.me/haj_Seyed_Vahid_Mostafavi</t>
  </si>
  <si>
    <t>علی قربانی</t>
  </si>
  <si>
    <t>https://www.instagram.com/hajali_ghorbani/</t>
  </si>
  <si>
    <t>https://t.me/hajali_ghorbani</t>
  </si>
  <si>
    <t>https://eitaa.com/Hajali_ghorbani</t>
  </si>
  <si>
    <t>https://www.youtube.com/@hajali_ghorbani</t>
  </si>
  <si>
    <t>حسین سازور</t>
  </si>
  <si>
    <t>https://www.instagram.com/hajhosseinsazvar</t>
  </si>
  <si>
    <t>https://t.me/hajhoseinsazvar</t>
  </si>
  <si>
    <t>محمد نوروزی</t>
  </si>
  <si>
    <t>https://www.instagram.com/haj_mohammad_norouzi/</t>
  </si>
  <si>
    <t>https://t.me/hajmohammadnorozi</t>
  </si>
  <si>
    <t>https://www.instagram.com/haj_mohammad_norouzi_/</t>
  </si>
  <si>
    <t>حسن حسین خانی</t>
  </si>
  <si>
    <t>https://www.instagram.com/hasan_hoseynkhani/</t>
  </si>
  <si>
    <t>https://t.me/Hasan_hoseynkhani</t>
  </si>
  <si>
    <t>حسین رضاقلی</t>
  </si>
  <si>
    <t>https://www.instagram.com/hasan.rezagholi/</t>
  </si>
  <si>
    <t>https://t.me/hasanrezagholi</t>
  </si>
  <si>
    <t>ابراهیم رحیمی</t>
  </si>
  <si>
    <t>https://www.instagram.com/ebrahim__rahiimi/</t>
  </si>
  <si>
    <t>https://t.me/heiat_delsokhtegan</t>
  </si>
  <si>
    <t>حسین ایزدخواه</t>
  </si>
  <si>
    <t>https://www.instagram.com/hosein.izadkhah/</t>
  </si>
  <si>
    <t>https://t.me/hoseinizadkhah</t>
  </si>
  <si>
    <t>http://eitaa.com/hoseine</t>
  </si>
  <si>
    <t>حسین طاهری</t>
  </si>
  <si>
    <t>https://eitaa.com/karbalaihoseintaheri</t>
  </si>
  <si>
    <t>https://www.instagram.com/hoseintaheri</t>
  </si>
  <si>
    <t>https://t.me/hoseintaheri_telegram</t>
  </si>
  <si>
    <t>https://eitaa.com/hoseintaheri213</t>
  </si>
  <si>
    <t>https://www.instagram.com/javadmoghadam.rasmi</t>
  </si>
  <si>
    <t>https://t.me/javadmoghadamrasmi</t>
  </si>
  <si>
    <t>محمد عطایی نیا</t>
  </si>
  <si>
    <t>https://www.instagram.com/mohammad_ataieniya216/</t>
  </si>
  <si>
    <t>https://t.me/K_ataieniya315</t>
  </si>
  <si>
    <t>اکبر عبادی</t>
  </si>
  <si>
    <t>https://www.instagram.com/akbar___ebadi/</t>
  </si>
  <si>
    <t>https://t.me/karbalaei_akbar_ebadi</t>
  </si>
  <si>
    <t>https://eitaa.com/s/karbalaei_akbar_ebadi</t>
  </si>
  <si>
    <t>https://www.instagram.com/mehrdadmalekiofficial/</t>
  </si>
  <si>
    <t>https://t.me/karbalaimehrdadmaleki</t>
  </si>
  <si>
    <t>حیدر خمسه</t>
  </si>
  <si>
    <t>https://www.instagram.com/heydar.khamsee</t>
  </si>
  <si>
    <t>حامد خمسه</t>
  </si>
  <si>
    <t>https://www.instagram.com/hamedkhamseh_official/</t>
  </si>
  <si>
    <t>https://t.me/khamseh128</t>
  </si>
  <si>
    <t>مهدی رعنایی</t>
  </si>
  <si>
    <t>https://www.instagram.com/mahdii_ranaee/</t>
  </si>
  <si>
    <t>https://t.me/Mahdii_ranaee</t>
  </si>
  <si>
    <t>https://heydariioon.com/</t>
  </si>
  <si>
    <t>حسین عیدی</t>
  </si>
  <si>
    <t>https://www.instagram.com/hossein_eidi201/</t>
  </si>
  <si>
    <t>https://t.me/mazlum128</t>
  </si>
  <si>
    <t>https://www.instagram.com/meysammotiee</t>
  </si>
  <si>
    <t>https://t.me/MeysamMotiee</t>
  </si>
  <si>
    <t>https://www.youtube.com/@Meysam.Motiee</t>
  </si>
  <si>
    <t>https://meysammotiee.ir/</t>
  </si>
  <si>
    <t>محمد حسین پویانفر</t>
  </si>
  <si>
    <t>https://www.instagram.com/mhpooyanfar</t>
  </si>
  <si>
    <t>https://t.me/mhpooyanfar</t>
  </si>
  <si>
    <t>https://eitaa.com/mhpooyanfar</t>
  </si>
  <si>
    <t>https://www.youtube.com/@mhpooyanfar</t>
  </si>
  <si>
    <t>محسن عراقی</t>
  </si>
  <si>
    <t>https://www.instagram.com/karbalaie_mohsen_araghiii/</t>
  </si>
  <si>
    <t>https://t.me/mohsenaraghi</t>
  </si>
  <si>
    <t>https://www.instagram.com/mohsenaraghiofficial/</t>
  </si>
  <si>
    <t>محمدرضا علیخانی</t>
  </si>
  <si>
    <t>https://www.instagram.com/mohammadreza.alikhanii/</t>
  </si>
  <si>
    <t>https://t.me/momamadrezaalikhani</t>
  </si>
  <si>
    <t>مهدی توکلی</t>
  </si>
  <si>
    <t>https://www.instagram.com/mooezeh.ir/</t>
  </si>
  <si>
    <t>https://t.me/mooezeh</t>
  </si>
  <si>
    <t>مرتضی خادمی</t>
  </si>
  <si>
    <t>https://www.instagram.com/morteza_khademi315/</t>
  </si>
  <si>
    <t>https://t.me/morteza_khademi110</t>
  </si>
  <si>
    <t>محمدرضا نوشه ور</t>
  </si>
  <si>
    <t>https://www.instagram.com/nooshevar/</t>
  </si>
  <si>
    <t>https://t.me/nooshevar</t>
  </si>
  <si>
    <t>حسن خلج</t>
  </si>
  <si>
    <t>https://www.instagram.com/h_khalaj</t>
  </si>
  <si>
    <t>https://t.me/norolboka</t>
  </si>
  <si>
    <t>https://eitaa.com/norolboka</t>
  </si>
  <si>
    <t>https://norolboka.ir/</t>
  </si>
  <si>
    <t>پیام کیانی</t>
  </si>
  <si>
    <t>https://www.instagram.com/payamkiyani.205/</t>
  </si>
  <si>
    <t>https://t.me/payamkiyani</t>
  </si>
  <si>
    <t>https://eitaa.com/Payamkiyani_eitaa</t>
  </si>
  <si>
    <t>https://www.youtube.com/@payamkiani</t>
  </si>
  <si>
    <t>محمد کمیل</t>
  </si>
  <si>
    <t>https://www.instagram.com/komeil128/</t>
  </si>
  <si>
    <t>https://t.me/ravaq</t>
  </si>
  <si>
    <t>https://eitaa.com/ravaq_eitaa</t>
  </si>
  <si>
    <t>https://www.instagram.com/mohamadkomeil_official/</t>
  </si>
  <si>
    <t>روح الله بهمنی</t>
  </si>
  <si>
    <t>https://www.instagram.com/rohollahbahmani/</t>
  </si>
  <si>
    <t>https://t.me/rohollahbahmani</t>
  </si>
  <si>
    <t>مهدی مبینی پور</t>
  </si>
  <si>
    <t>https://www.instagram.com/mahdi_mobini_poor/</t>
  </si>
  <si>
    <t>https://t.me/rozeh135</t>
  </si>
  <si>
    <t>سجاد محمدی</t>
  </si>
  <si>
    <t>https://www.instagram.com/sajjad_mohammadii/</t>
  </si>
  <si>
    <t>https://t.me/saajjad_mohammadi</t>
  </si>
  <si>
    <r>
      <rPr>
        <rFont val="Calibri"/>
        <color rgb="FF1155CC"/>
        <sz val="11.0"/>
        <u/>
      </rPr>
      <t>ایتا - کانال رسمی کربلایی سجاد محمدی</t>
    </r>
  </si>
  <si>
    <t>https://www.youtube.com/@sajjadmohammadi1</t>
  </si>
  <si>
    <t>احسان صفری</t>
  </si>
  <si>
    <t>https://www.instagram.com/ehsansafari.ir/</t>
  </si>
  <si>
    <t>https://t.me/safari_ehsan</t>
  </si>
  <si>
    <t>https://eitaa.com/ehsan_safarii123</t>
  </si>
  <si>
    <t>سید امیر حسینی</t>
  </si>
  <si>
    <t>https://www.instagram.com/seyyedamirhoseini/</t>
  </si>
  <si>
    <t>https://t.me/sameh6969</t>
  </si>
  <si>
    <t>https://www.instagram.com/seyyedamirhoseini_official/</t>
  </si>
  <si>
    <t>ابوالفضل بختیاری</t>
  </si>
  <si>
    <t>https://www.instagram.com/abolfazl.bakhtiyari/</t>
  </si>
  <si>
    <t>https://t.me/serajalhosein</t>
  </si>
  <si>
    <t>https://www.instagram.com/serajalhosein/</t>
  </si>
  <si>
    <t>سید حجت بحرالعلومی طباطبایی</t>
  </si>
  <si>
    <t>https://www.instagram.com/seyedhojjat/</t>
  </si>
  <si>
    <t>https://t.me/seyedhojjat128</t>
  </si>
  <si>
    <t>سید محمدرضا حسینی</t>
  </si>
  <si>
    <t>https://www.instagram.com/s.mohammadreza_hoseini/</t>
  </si>
  <si>
    <t>https://t.me/Seyedmohamadreza_hoseini</t>
  </si>
  <si>
    <t>سید مهدی حسینی</t>
  </si>
  <si>
    <t>https://www.instagram.com/smahdi_hoseini/</t>
  </si>
  <si>
    <t>https://t.me/Smahdi_hoseini</t>
  </si>
  <si>
    <t>https://eitaa.com/smahdi_hoseini_eitaa</t>
  </si>
  <si>
    <t>عباس طهماسب پور</t>
  </si>
  <si>
    <t>https://www.instagram.com/tahmasbpour_abbas/</t>
  </si>
  <si>
    <t>https://t.me/tahmasbpour_ir</t>
  </si>
  <si>
    <t>https://eitaa.com/tahmasbpour_ir</t>
  </si>
  <si>
    <t>https://tahmasbpour.ir/</t>
  </si>
  <si>
    <t>حسین سیب سرخی</t>
  </si>
  <si>
    <t>https://www.instagram.com/sibsorkhi.official/</t>
  </si>
  <si>
    <t>https://www.instagram.com/sibsorkhi.clips/</t>
  </si>
  <si>
    <t>منصور ارضی</t>
  </si>
  <si>
    <t>https://www.instagram.com/hajmansourarzi/</t>
  </si>
  <si>
    <t>t.me/hajmansourarzi</t>
  </si>
  <si>
    <t>محمدرضا طاهری</t>
  </si>
  <si>
    <t>t.me/hajmohamadtaheri</t>
  </si>
  <si>
    <t>سعید حدادیان</t>
  </si>
  <si>
    <t>https://www.instagram.com/hajsaeidhadadian/</t>
  </si>
  <si>
    <t>t.me/heiat_razmandegan</t>
  </si>
  <si>
    <t>عبدالرضا هلالی</t>
  </si>
  <si>
    <t>https://www.instagram.com/rezahelaliofficial</t>
  </si>
  <si>
    <t>t.me/helaliabdolreza</t>
  </si>
  <si>
    <t>حسین ستوده</t>
  </si>
  <si>
    <t>https://www.instagram.com/hosein.sotoodeh/</t>
  </si>
  <si>
    <t>t.me/hoseinsotude</t>
  </si>
  <si>
    <t>https://www.youtube.com/@HosseinSotoodeh1</t>
  </si>
  <si>
    <t>https://hoseinsotoodeh.ir/</t>
  </si>
  <si>
    <t>آرش پیله ور</t>
  </si>
  <si>
    <t>https://www.instagram.com/arash.pilehvar/</t>
  </si>
  <si>
    <t>احد قدمی</t>
  </si>
  <si>
    <t>https://www.instagram.com/abdolahad.ghadami/</t>
  </si>
  <si>
    <t>جواد پورعباسیان</t>
  </si>
  <si>
    <t>https://www.instagram.com/tasooa.ir</t>
  </si>
  <si>
    <t>جواد حیدری</t>
  </si>
  <si>
    <t>https://www.instagram.com/javadheydaari/</t>
  </si>
  <si>
    <t>حمید دادوندی</t>
  </si>
  <si>
    <t>https://www.instagram.com/hamid.dadvandi/</t>
  </si>
  <si>
    <t>حنیف طاهری</t>
  </si>
  <si>
    <t>https://www.instagram.com/haniftaherii</t>
  </si>
  <si>
    <t>https://www.youtube.com/HanifTaheri</t>
  </si>
  <si>
    <t>سید علی مومنی</t>
  </si>
  <si>
    <t>https://www.instagram.com/seyedali_momeni/</t>
  </si>
  <si>
    <t>سید مجید بنی فاطمه</t>
  </si>
  <si>
    <t>https://www.instagram.com/banifatemeh/</t>
  </si>
  <si>
    <t>https://www.youtube.com/@seyedmajidbanifatemeh6163</t>
  </si>
  <si>
    <t>https://www.instagram.com/seyed_mohamad_javadii/</t>
  </si>
  <si>
    <t>سید محمود علوی</t>
  </si>
  <si>
    <t>https://www.instagram.com/mahmmum_ir</t>
  </si>
  <si>
    <t>https://eitaa.com/mahmum_ir</t>
  </si>
  <si>
    <t>علی اصغر ژولیده</t>
  </si>
  <si>
    <t>https://www.instagram.com/zhoolide/</t>
  </si>
  <si>
    <t>علی جهانبخش</t>
  </si>
  <si>
    <t>https://www.instagram.com/alijahanbakhsh___/</t>
  </si>
  <si>
    <t>علی علیان</t>
  </si>
  <si>
    <t>https://www.instagram.com/ali_aliyan315/</t>
  </si>
  <si>
    <t>محسن طاهری</t>
  </si>
  <si>
    <t>https://www.instagram.com/hajmohsentaheri.official</t>
  </si>
  <si>
    <t>محمدجواد اکبری</t>
  </si>
  <si>
    <t>https://www.instagram.com/mohamadjavadakbari69/</t>
  </si>
  <si>
    <t>محمدحسین فیضی</t>
  </si>
  <si>
    <t>https://www.instagram.com/mohammad.hasan.feizi/</t>
  </si>
  <si>
    <t>مرتضی طاهری</t>
  </si>
  <si>
    <t>https://www.instagram.com/mortezataheri110/</t>
  </si>
  <si>
    <t>مرحوم حسین بختیاری</t>
  </si>
  <si>
    <t>https://www.instagram.com/hoseyn_bakhtyari_313/</t>
  </si>
  <si>
    <t>نریمان پناهی</t>
  </si>
  <si>
    <t>https://www.instagram.com/nariman__panahi</t>
  </si>
  <si>
    <t>https://www.youtube.com/@nariman__panahi</t>
  </si>
  <si>
    <t>منبری</t>
  </si>
  <si>
    <t>سیدمحمدباقر علوی تهرانی</t>
  </si>
  <si>
    <t>مسجد امیر</t>
  </si>
  <si>
    <t>https://www.instagram.com/alavitehrani_ir/</t>
  </si>
  <si>
    <t>https://t.me/fares_ir</t>
  </si>
  <si>
    <t>https://eitaa.com/Fares_ir</t>
  </si>
  <si>
    <t>https://www.Fares.ir</t>
  </si>
  <si>
    <t>محمد تقی فیاض بخش</t>
  </si>
  <si>
    <t>https://www.instagram.com/fayyazbakhsh_org/</t>
  </si>
  <si>
    <t>https://t.me/Jelvehnooralavi</t>
  </si>
  <si>
    <t>https://eitaa.com/Jelvehnooralavi</t>
  </si>
  <si>
    <t>https://ble.ir/Jelvehnooralavi</t>
  </si>
  <si>
    <t>https://www.jelveh.org/</t>
  </si>
  <si>
    <t>https://www.instagram.com/hamedkashani__/</t>
  </si>
  <si>
    <t>https://t.me/kashani1395</t>
  </si>
  <si>
    <t>https://www.youtube.com/@kashani1395</t>
  </si>
  <si>
    <t>https://ble.ir/kashani1395</t>
  </si>
  <si>
    <t>اسماعیل رمضانی</t>
  </si>
  <si>
    <t>https://www.instagram.com/esmaeilramezaniofficial/</t>
  </si>
  <si>
    <t>حسین انصاریان</t>
  </si>
  <si>
    <t>https://www.instagram.com/ansarian_ir/</t>
  </si>
  <si>
    <t>https://www.youtube.com/@darolerfan_ir</t>
  </si>
  <si>
    <t>https://erfan.ir/</t>
  </si>
  <si>
    <t>ناصر یوسفی</t>
  </si>
  <si>
    <t>https://www.instagram.com/naserr_yosefi/</t>
  </si>
  <si>
    <t>https://eitaa.com/havariun</t>
  </si>
  <si>
    <t>الرضا</t>
  </si>
  <si>
    <t>https://www.instagram.com/heiatorreza1418/</t>
  </si>
  <si>
    <t>https://t.me/heiatorreza</t>
  </si>
  <si>
    <t>https://ble.ir/heiatorreza</t>
  </si>
  <si>
    <t>https://www.youtube.com/@heiatorreza1418</t>
  </si>
  <si>
    <t>https://www.behesht.info/</t>
  </si>
  <si>
    <t xml:space="preserve">هنر </t>
  </si>
  <si>
    <t>دانشگاه هنر</t>
  </si>
  <si>
    <t>https://www.instagram.com/heyathonar_/</t>
  </si>
  <si>
    <t>https://t.me/HeyatHonar</t>
  </si>
  <si>
    <t>https://ble.ir/heyathonar</t>
  </si>
  <si>
    <t>https://eitaa.com/heyathonar</t>
  </si>
  <si>
    <t>مکتب الزینب</t>
  </si>
  <si>
    <t>https://www.instagram.com/maktab6969/</t>
  </si>
  <si>
    <t>https://t.me/maktab6969</t>
  </si>
  <si>
    <t>https://ble.ir/maktab6969</t>
  </si>
  <si>
    <t>شهزاده علی اکبر</t>
  </si>
  <si>
    <t>شهید محلاتی</t>
  </si>
  <si>
    <t>https://www.instagram.com/shahzadeh_aliakbar33/</t>
  </si>
  <si>
    <t>https://ble.ir/moheban_shahzadeh_aliakbar</t>
  </si>
  <si>
    <t>https://www.instagram.com/shahe_najaf121/</t>
  </si>
  <si>
    <t>https://ble.ir/shahe_najaf</t>
  </si>
  <si>
    <t>حسینیه بیت النور</t>
  </si>
  <si>
    <t>پیروزی</t>
  </si>
  <si>
    <t>https://www.instagram.com/ziarate_ashura/</t>
  </si>
  <si>
    <t>https://t.me/ziarate_ashoora</t>
  </si>
  <si>
    <t>https://ble.ir/ziarate_ashura</t>
  </si>
  <si>
    <t>انصار المهدی</t>
  </si>
  <si>
    <t>تهران، منطقه۱۸منطقه حضرت زهرا سلام الله علیها، کوی شهدای۱٧شهریور، خیابان شهیدسرحدی، روبروی کوچه امام حسین علیه السلام، مهدیه انصار المهدی عجل الله فرجه</t>
  </si>
  <si>
    <t>https://eitaa.com/ghararedel110</t>
  </si>
  <si>
    <t>محفل جنت الحسن طهران</t>
  </si>
  <si>
    <t>https://www.instagram.com/heiat_janatolhasan/</t>
  </si>
  <si>
    <t>https://t.me/heiat_janatolhasan</t>
  </si>
  <si>
    <t>https://eitaa.com/heiat_janatolhasan</t>
  </si>
  <si>
    <t>محبان الائمه</t>
  </si>
  <si>
    <t>https://www.instagram.com/heiat_mohebban/</t>
  </si>
  <si>
    <t>https://eitaa.com/heiat_mohebban</t>
  </si>
  <si>
    <t>دانشگاه صنعتی امیرکبیر</t>
  </si>
  <si>
    <t>https://www.instagram.com/heiataut</t>
  </si>
  <si>
    <t>https://t.me/HeiatAut</t>
  </si>
  <si>
    <t>https://eitaa.com/heiataut</t>
  </si>
  <si>
    <t>https://ble.ir/heiataut</t>
  </si>
  <si>
    <t>الرسول</t>
  </si>
  <si>
    <t>دانشگاه علوم قرآن طهران</t>
  </si>
  <si>
    <t>https://www.instagram.com/heiatorrasoul/</t>
  </si>
  <si>
    <t>https://eitaa.com/Heiatorrasoul</t>
  </si>
  <si>
    <t>تهران،اتوبان بابایی،جنب دانشگاه امام حسین(ع)،مجتمع ولایت،حسینیه بیت الزهرا(س)</t>
  </si>
  <si>
    <t>https://www.instagram.com/heiatozahraa/</t>
  </si>
  <si>
    <t>https://t.me/heiatozahraa</t>
  </si>
  <si>
    <t>https://eitaa.com/heiatozahraa</t>
  </si>
  <si>
    <t>شهدای گمنام</t>
  </si>
  <si>
    <t>دانشگاه علم و صنعت تهران</t>
  </si>
  <si>
    <t>https://www.instagram.com/heyat.iust.ac.ir/</t>
  </si>
  <si>
    <t>https://t.me/heyat_gomnam_iust</t>
  </si>
  <si>
    <t>https://eitaa.com/heyat_gomnam_iust</t>
  </si>
  <si>
    <t>https://ble.ir/heyat_gomnam_iust</t>
  </si>
  <si>
    <t>هیأت کودک</t>
  </si>
  <si>
    <t xml:space="preserve">انصار المهدی </t>
  </si>
  <si>
    <t>https://eitaa.com/heyat_koodak</t>
  </si>
  <si>
    <t>اتابكـ،خيابان شهيدرضايي شرقي(منصور)،ابتدا خيابان خوب بخت،كوچه پاسداران،حسینیه شهدا میاندرّه</t>
  </si>
  <si>
    <t>https://www.instagram.com/heyatebeytalreza1001/</t>
  </si>
  <si>
    <t>https://t.me/heyatebeytalreza1001</t>
  </si>
  <si>
    <t>https://eitaa.com/heyatebeytalreza1001</t>
  </si>
  <si>
    <t>https://www.instagram.com/heyatshohadanarmak/</t>
  </si>
  <si>
    <t>https://t.me/heyatshohadanarmak</t>
  </si>
  <si>
    <t>https://eitaa.com/heyatshohadanarmak</t>
  </si>
  <si>
    <t>خیمه محبان الحسین</t>
  </si>
  <si>
    <t>نارمک خیابان شهید مدنی</t>
  </si>
  <si>
    <t>https://www.instagram.com/hobinfo/</t>
  </si>
  <si>
    <t>https://t.me/hobinfo</t>
  </si>
  <si>
    <t>https://eitaa.com/hobinfo</t>
  </si>
  <si>
    <t>حسین جانم</t>
  </si>
  <si>
    <t>جنوبغرب‌تهران‌نسیم‌شهر</t>
  </si>
  <si>
    <t>https://www.instagram.com/hossein_janam_ir/</t>
  </si>
  <si>
    <t>https://t.me/hossein_janam_ir</t>
  </si>
  <si>
    <t>https://eitaa.com/hossein_janam_ir</t>
  </si>
  <si>
    <t>پهلوانی هوالاول</t>
  </si>
  <si>
    <t>نارمک‌</t>
  </si>
  <si>
    <t>https://www.instagram.com/hovalawal/</t>
  </si>
  <si>
    <t>https://eitaa.com/hovalawal</t>
  </si>
  <si>
    <t>http://bale.ir/huvalawal</t>
  </si>
  <si>
    <t>کلثومیه حضرت زینب متوسلین به بی بی ام البنین</t>
  </si>
  <si>
    <t>شهرک غرب</t>
  </si>
  <si>
    <t>https://www.instagram.com/kolsomiyeh/</t>
  </si>
  <si>
    <t>https://eitaa.com/kolsomiyeh_169</t>
  </si>
  <si>
    <t>محسن ابن علی</t>
  </si>
  <si>
    <t>https://www.instagram.com/madhmola/</t>
  </si>
  <si>
    <t>https://t.me/madhmola110</t>
  </si>
  <si>
    <t>https://eitaa.com/madhmola</t>
  </si>
  <si>
    <t>مهدویه تهران</t>
  </si>
  <si>
    <t>https://www.instagram.com/mahdaviye_info/</t>
  </si>
  <si>
    <t>https://t.me/Mahdaviye_info</t>
  </si>
  <si>
    <t>https://eitaa.com/mahdaviye_info</t>
  </si>
  <si>
    <t>روضه العباس</t>
  </si>
  <si>
    <t>https://www.instagram.com/maheharam.media</t>
  </si>
  <si>
    <t>https://t.me/maheharaminfo</t>
  </si>
  <si>
    <t>https://eitaa.com/maheharaminfo</t>
  </si>
  <si>
    <t>https://www.maheharam.info/</t>
  </si>
  <si>
    <t>سیب سرخی</t>
  </si>
  <si>
    <t>محفل ماه هاشمیون</t>
  </si>
  <si>
    <t>https://www.instagram.com/mahfel_mahe_hashemion/</t>
  </si>
  <si>
    <t>https://t.me/mahfel_mahe_hashemion</t>
  </si>
  <si>
    <t>https://eitaa.com/mahfel_mahehashemion</t>
  </si>
  <si>
    <t>مهرآباد جنوبی</t>
  </si>
  <si>
    <t>https://www.instagram.com/heiatoalzahra/</t>
  </si>
  <si>
    <t>https://t.me/heiatoalzahra213</t>
  </si>
  <si>
    <t>https://eitaa.com/masjedaliasghar</t>
  </si>
  <si>
    <t>روضه الحسین</t>
  </si>
  <si>
    <t>https://www.instagram.com/meftah_net</t>
  </si>
  <si>
    <t>https://t.me/meftah_net</t>
  </si>
  <si>
    <t>https://eitaa.com/meftah_net</t>
  </si>
  <si>
    <t>بیت الحسن المجتبی</t>
  </si>
  <si>
    <t>https://www.instagram.com/moez_org/</t>
  </si>
  <si>
    <t>https://t.me/moez_org</t>
  </si>
  <si>
    <t>https://eitaa.com/moez_org</t>
  </si>
  <si>
    <t>محبان حضرت زینب</t>
  </si>
  <si>
    <t>https://www.instagram.com/mohebban69.ir/</t>
  </si>
  <si>
    <r>
      <rPr>
        <rFont val="Calibri"/>
        <color rgb="FF1155CC"/>
        <sz val="11.0"/>
        <u/>
      </rPr>
      <t>https://t.me/mohebban69</t>
    </r>
    <r>
      <rPr>
        <rFont val="Calibri"/>
        <sz val="11.0"/>
      </rPr>
      <t xml:space="preserve">  </t>
    </r>
  </si>
  <si>
    <t>https://eitaa.com/moheban69</t>
  </si>
  <si>
    <t>کف العباس حسینیه محبان الحسین</t>
  </si>
  <si>
    <t>خ شهید محمودی شرقی نرسیده به خ شهید هدایتی پ۲۲ «حسینیه محبان الحسین ع»</t>
  </si>
  <si>
    <t>https://www.instagram.com/mohhebban_al_hosein/</t>
  </si>
  <si>
    <t>https://t.me/kaffollabbas</t>
  </si>
  <si>
    <t>https://eitaa.com/mohebban_alhosein</t>
  </si>
  <si>
    <t>اشرفی اصفهانی</t>
  </si>
  <si>
    <t>https://www.instagram.com/mohebbanozahra.ir/</t>
  </si>
  <si>
    <t>https://eitaa.com/mohebbaniha</t>
  </si>
  <si>
    <t>محبین اهل بیت</t>
  </si>
  <si>
    <t>دانشگاه تربیت مدرس</t>
  </si>
  <si>
    <t>https://www.instagram.com/mohebin_tmu/</t>
  </si>
  <si>
    <t>https://t.me/mohebbin_tmu</t>
  </si>
  <si>
    <t>https://eitaa.com/mohebbin_tmu</t>
  </si>
  <si>
    <t>https://ble.ir/mohebbin_tmu</t>
  </si>
  <si>
    <t>محبین الجواد</t>
  </si>
  <si>
    <t>محلاتی</t>
  </si>
  <si>
    <t>https://www.instagram.com/mohebinoljavad135/</t>
  </si>
  <si>
    <t>https://eitaa.com/mohebinoljavad135</t>
  </si>
  <si>
    <t>محبین شهادت</t>
  </si>
  <si>
    <t>https://www.instagram.com/mohebbin__info/</t>
  </si>
  <si>
    <t>https://t.me/mohebbineshahadat</t>
  </si>
  <si>
    <t>https://eitaa.com/mohebinshahadat110</t>
  </si>
  <si>
    <t>مکتب الزهرا</t>
  </si>
  <si>
    <t>https://www.instagram.com/nooriehinfo/</t>
  </si>
  <si>
    <t>https://t.me/nooriehinfo</t>
  </si>
  <si>
    <t>https://eitaa.com/noorieh_ir</t>
  </si>
  <si>
    <t>https://noorieh.ir/</t>
  </si>
  <si>
    <t>نورالرضا</t>
  </si>
  <si>
    <t>https://www.instagram.com/nororeza/</t>
  </si>
  <si>
    <t>https://t.me/nororeza</t>
  </si>
  <si>
    <t>https://eitaa.com/nororeza</t>
  </si>
  <si>
    <t>عشاق الزینب</t>
  </si>
  <si>
    <t>بلوار فردوس</t>
  </si>
  <si>
    <t>https://www.instagram.com/oshagh_al_zeynab_s/</t>
  </si>
  <si>
    <t>https://eitaa.com/oshagh_alzeynab_s</t>
  </si>
  <si>
    <t>ریحانه الحسین</t>
  </si>
  <si>
    <t>https://www.instagram.com/reyhanatolhosein1436/</t>
  </si>
  <si>
    <t>https://t.me/Reyhanatolhosein1436</t>
  </si>
  <si>
    <t>https://eitaa.com/reyhanatolhosein1436</t>
  </si>
  <si>
    <t>https://www.youtube.com/@reyhanatolhosein</t>
  </si>
  <si>
    <t>https://www.instagram.com/reyhanatolhossein</t>
  </si>
  <si>
    <t>https://t.me/reyhanatolhossein_channel</t>
  </si>
  <si>
    <t>https://eitaa.com/reyhanatolhossein_channell</t>
  </si>
  <si>
    <t>https://www.instagram.com/lohoof.info/</t>
  </si>
  <si>
    <t>https://lohoof.com/</t>
  </si>
  <si>
    <t>روضه مقدسه رضا جان</t>
  </si>
  <si>
    <t>میدان بهارستان خیابان شهید مصطفی خمینی پایین‌تر ازچهارراه سرچشمه حسینیه مکتب الرضا علیه السلام</t>
  </si>
  <si>
    <t>https://www.instagram.com/reza_jan_tehran/</t>
  </si>
  <si>
    <t>https://t.me/reza_jan_tehran</t>
  </si>
  <si>
    <t>https://eitaa.com/reza_jan_tehran</t>
  </si>
  <si>
    <t>https://www.youtube.com/@rezajantehrann</t>
  </si>
  <si>
    <t>روضه انصار الزهرا</t>
  </si>
  <si>
    <t>خیابان هنگام</t>
  </si>
  <si>
    <t>https://www.instagram.com/rozeansarozahra/</t>
  </si>
  <si>
    <t>https://t.me/rozeansarozahra</t>
  </si>
  <si>
    <t>https://eitaa.com/rozeansarozahra</t>
  </si>
  <si>
    <t>https://rozeansarozahra.ir/</t>
  </si>
  <si>
    <t>مسعود مهرجو</t>
  </si>
  <si>
    <t>https://www.instagram.com/rozekhanehajmasoudmehrjoo</t>
  </si>
  <si>
    <t>https://t.me/hajmasoudmehrjoo</t>
  </si>
  <si>
    <t>https://eitaa.com/s/hajmasoudmehrjoo</t>
  </si>
  <si>
    <t>متوسلین به حضرت قاسم</t>
  </si>
  <si>
    <t>17 شهریور</t>
  </si>
  <si>
    <t>https://www.instagram.com/heyat201_ir/</t>
  </si>
  <si>
    <t>https://t.me/heyat201_ir</t>
  </si>
  <si>
    <t>https://eitaa.com/s/Heyat201_ir</t>
  </si>
  <si>
    <t>محبان فاطمه</t>
  </si>
  <si>
    <t>بزرگراه نواب</t>
  </si>
  <si>
    <t>https://www.instagram.com/masjedzeinabieh/</t>
  </si>
  <si>
    <t>https://t.me/masjedzeinabieh</t>
  </si>
  <si>
    <t>https://eitaa.com/s/masjedzeynabieh</t>
  </si>
  <si>
    <t>دانشگاه امام صادق</t>
  </si>
  <si>
    <t>https://www.instagram.com/misaq_ba_shohada/</t>
  </si>
  <si>
    <t>https://t.me/misaq_ba_shohada</t>
  </si>
  <si>
    <t>https://eitaa.com/s/misaq_ba_shohada</t>
  </si>
  <si>
    <t>https://ble.ir/@misaq_ba_shohada</t>
  </si>
  <si>
    <t>روضة الشهداء</t>
  </si>
  <si>
    <t>تهران، سردار جنگل‌،بهار غربی‌،بالاتر‌از‌میدان استاندارد</t>
  </si>
  <si>
    <t>https://www.instagram.com/rozatoshohada.ir/</t>
  </si>
  <si>
    <t>https://t.me/rozatoshohada_ir</t>
  </si>
  <si>
    <t>https://eitaa.com/s/rozatoshohadaa_ir</t>
  </si>
  <si>
    <t>سفینه الحسین</t>
  </si>
  <si>
    <t>آستان‌مقدس‌امام‌زاده‌اسماعیل(ع)زرگنده</t>
  </si>
  <si>
    <t>https://www.instagram.com/safineh.info/</t>
  </si>
  <si>
    <t>https://t.me/Safineh_info</t>
  </si>
  <si>
    <t>https://eitaa.com/s/safineh_info</t>
  </si>
  <si>
    <t>سائلین الزهرا</t>
  </si>
  <si>
    <t>https://www.instagram.com/saelin18/</t>
  </si>
  <si>
    <t>https://t.me/saelin18</t>
  </si>
  <si>
    <t>https://eitaa.com/saelin18</t>
  </si>
  <si>
    <t>https://www.instagram.com/saralahnet/</t>
  </si>
  <si>
    <t>https://t.me/saralahnet</t>
  </si>
  <si>
    <t>https://eitaa.com/saralahnet</t>
  </si>
  <si>
    <t>دانشگاه شهید بهشتی</t>
  </si>
  <si>
    <t>https://www.instagram.com/sbu_heyat/</t>
  </si>
  <si>
    <t>https://t.me/SBU_HEYAT</t>
  </si>
  <si>
    <t>https://eitaa.com/sbu_heyat</t>
  </si>
  <si>
    <t>https://ble.ir/Sbu_heyat</t>
  </si>
  <si>
    <t>حان نثاران حسینی صنف بزاز</t>
  </si>
  <si>
    <t>روبروی پاچنار</t>
  </si>
  <si>
    <t>https://www.instagram.com/senf_bazzaz/</t>
  </si>
  <si>
    <t>https://t.me/senf_bazzaz</t>
  </si>
  <si>
    <t>https://eitaa.com/senf_bazzaz</t>
  </si>
  <si>
    <t>شفیع المذنبین</t>
  </si>
  <si>
    <t>https://www.instagram.com/shafie_al_moznebin/</t>
  </si>
  <si>
    <t>https://t.me/Shafie_al_moznebin</t>
  </si>
  <si>
    <t>https://eitaa.com/Shafie_al_mozne</t>
  </si>
  <si>
    <t>حضرت زینب محفل خانواده ها</t>
  </si>
  <si>
    <t>https://www.instagram.com/heyat_yaazaynab/</t>
  </si>
  <si>
    <t>https://eitaa.com/yaa_zaynab</t>
  </si>
  <si>
    <t>ایتا استخراج</t>
  </si>
  <si>
    <t>حسن جان</t>
  </si>
  <si>
    <t>https://www.instagram.com/heiat.hasanjan/</t>
  </si>
  <si>
    <t>https://t.me/hasanjan</t>
  </si>
  <si>
    <t>https://www.instagram.com/hasan.jan/</t>
  </si>
  <si>
    <t>روضه اخت العباس</t>
  </si>
  <si>
    <t>خيابان رى ، خيابان رضوى (آبمنگل)</t>
  </si>
  <si>
    <t>https://www.instagram.com/okhtolabas/following/</t>
  </si>
  <si>
    <t>https://t.me/hoseiniemashayekhi</t>
  </si>
  <si>
    <t>https://www.instagram.com/hoseiniemashayekhi/</t>
  </si>
  <si>
    <t>انصارالعباس غرب تهران</t>
  </si>
  <si>
    <t>https://www.instagram.com/mokeb_ansaralabas/</t>
  </si>
  <si>
    <t>https://t.me/ansaralabasgharbtehran</t>
  </si>
  <si>
    <t>https://www.instagram.com/hoseiniyh_ansaralabbas/</t>
  </si>
  <si>
    <t>متوسلین به حضرت زهرا</t>
  </si>
  <si>
    <t>https://www.instagram.com/masjed_yahya/</t>
  </si>
  <si>
    <t>https://t.me/mazloomeh</t>
  </si>
  <si>
    <t>https://www.instagram.com/mazloomeh/</t>
  </si>
  <si>
    <t>مکتب الرضا</t>
  </si>
  <si>
    <t>https://www.instagram.com/razavioun.media/</t>
  </si>
  <si>
    <t>https://t.me/razaviouninfo</t>
  </si>
  <si>
    <t>https://www.instagram.com/razaviouninfo/</t>
  </si>
  <si>
    <t>پیروان امام حسن</t>
  </si>
  <si>
    <t>خيابان مولوى -نرسيده به تقاطع وحدت اسلامى - كوچه شهيد قاسمى</t>
  </si>
  <si>
    <t>https://www.instagram.com/peyrovan_emam_hosein/</t>
  </si>
  <si>
    <t>https://t.me/peyrovan_emam_hosein</t>
  </si>
  <si>
    <t>peyrovan_emam_hosein</t>
  </si>
  <si>
    <t>لثارات الحسین</t>
  </si>
  <si>
    <t>میدان رسالت</t>
  </si>
  <si>
    <t>https://www.instagram.com/lasaratalhossein1378/</t>
  </si>
  <si>
    <t>http://t.me/lasaratelhosain</t>
  </si>
  <si>
    <t>هیأت الزهرا</t>
  </si>
  <si>
    <t>https://www.instagram.com/heiatozahra/</t>
  </si>
  <si>
    <t>https://t.me/alkosarheiatozahra</t>
  </si>
  <si>
    <t>https://www.khonehmadari.com/</t>
  </si>
  <si>
    <t>سعادت آباد</t>
  </si>
  <si>
    <t>https://www.instagram.com/mohebanozahra/</t>
  </si>
  <si>
    <t>https://t.me/C_agh</t>
  </si>
  <si>
    <t>دردانه حسین</t>
  </si>
  <si>
    <t>شهرک‌شریعتی‌خ‌مهران‌کوچه‌شهید‌میرزائی</t>
  </si>
  <si>
    <t>https://www.instagram.com/roze_dordane_hosein/</t>
  </si>
  <si>
    <t>https://t.me/dordanehosein</t>
  </si>
  <si>
    <t>شهرگ قدس</t>
  </si>
  <si>
    <t>https://www.instagram.com/heyaat_fatemioon/</t>
  </si>
  <si>
    <t>https://t.me/fatemioongharb</t>
  </si>
  <si>
    <t>فاطمیه مجمع الانصار</t>
  </si>
  <si>
    <t>شرق تهران</t>
  </si>
  <si>
    <t>https://t.me/Fatemiyeh_94</t>
  </si>
  <si>
    <t>محبان حضرت علی اکبر</t>
  </si>
  <si>
    <t>فلکه چهارم خزانه بخارایی، خیابان جمشید سید، نبش کوچه شهید اسماعیلی</t>
  </si>
  <si>
    <t>https://www.instagram.com/tahuor110/</t>
  </si>
  <si>
    <t>https://t.me/gahvareh_tahur</t>
  </si>
  <si>
    <t>روضه شهزادگان کربلا</t>
  </si>
  <si>
    <t>لویزان</t>
  </si>
  <si>
    <t>https://www.instagram.com/shahzadegan_e_karbala/</t>
  </si>
  <si>
    <t>https://t.me/gharib133</t>
  </si>
  <si>
    <t>یاحسن طهران</t>
  </si>
  <si>
    <t>https://www.instagram.com/heyat_yahassan_tehran/</t>
  </si>
  <si>
    <t>یازهرا</t>
  </si>
  <si>
    <t>https://www.instagram.com/heyat_ya_zahra135/</t>
  </si>
  <si>
    <t>ابن الرضا</t>
  </si>
  <si>
    <t>https://www.instagram.com/heiate.ebnoreza/</t>
  </si>
  <si>
    <t>https://t.me/heiate_ebnoreza</t>
  </si>
  <si>
    <t>محمد کریمی</t>
  </si>
  <si>
    <t>شهرک مسعودیه</t>
  </si>
  <si>
    <t>https://www.instagram.com/heiate_mohebbin/</t>
  </si>
  <si>
    <t>https://t.me/heiate_mohebbin</t>
  </si>
  <si>
    <t>بنت النبی</t>
  </si>
  <si>
    <t>https://www.instagram.com/heiate.bentonabi/</t>
  </si>
  <si>
    <t>https://t.me/heiatebentonabi</t>
  </si>
  <si>
    <t>رزمندگان اسلام غرب تهران</t>
  </si>
  <si>
    <t>https://www.instagram.com/heiatrazmandegan</t>
  </si>
  <si>
    <t>https://t.me/heiatrazmandegan</t>
  </si>
  <si>
    <t>https://valasr.ir/</t>
  </si>
  <si>
    <t>حدادیان</t>
  </si>
  <si>
    <t>سیدالشهداء</t>
  </si>
  <si>
    <t>دانشکده علوم اجتماعی دانشگاه تهران</t>
  </si>
  <si>
    <t>https://www.instagram.com/heiatseyedoshohada/</t>
  </si>
  <si>
    <t>https://t.me/heiatseyedoshohada</t>
  </si>
  <si>
    <t>شاهزاده علی اکبر</t>
  </si>
  <si>
    <t>https://www.instagram.com/shahzade_aliakbarr333/</t>
  </si>
  <si>
    <t>https://t.me/heiatshahzadealiakbar82</t>
  </si>
  <si>
    <t>https://www.instagram.com/heyat__sajadieh/</t>
  </si>
  <si>
    <t>https://t.me/heyaatsajadieh</t>
  </si>
  <si>
    <t>عشاق الرضا طهران</t>
  </si>
  <si>
    <t>https://www.instagram.com/heyat_oshagholreza1001/</t>
  </si>
  <si>
    <t>https://t.me/heyat_oshagholreza1001</t>
  </si>
  <si>
    <t>عشاق الرقیه</t>
  </si>
  <si>
    <t>خیابان شهید ایت‌الله غفاری نبش کوچه شهید خداپرست مسجد الهادی حسینیه عشاق‌الرقیه(س)</t>
  </si>
  <si>
    <t>https://www.instagram.com/heyate817/</t>
  </si>
  <si>
    <t>https://t.me/heyate817</t>
  </si>
  <si>
    <t>العطش</t>
  </si>
  <si>
    <t>https://www.instagram.com/heyatealatash/</t>
  </si>
  <si>
    <t>https://t.me/heyatealatash</t>
  </si>
  <si>
    <t>حرم</t>
  </si>
  <si>
    <t>https://www.instagram.com/heyatharam</t>
  </si>
  <si>
    <t>https://t.me/heyatharam</t>
  </si>
  <si>
    <t>جنت الرضا</t>
  </si>
  <si>
    <t>تهران _خیابان پیروزی نبش خيابان كريمشاهيان(همايون) حسينيه جوانان حسينى</t>
  </si>
  <si>
    <t>https://www.instagram.com/heyate_janatol_reza/</t>
  </si>
  <si>
    <t>https://t.me/heyatjanatolrezatehran</t>
  </si>
  <si>
    <t>https://www.instagram.com/heyatjannesaran/</t>
  </si>
  <si>
    <t>https://t.me/heyatjannesaran</t>
  </si>
  <si>
    <t>شهرک شهید محلاتی</t>
  </si>
  <si>
    <t>https://www.instagram.com/heyat.karbala/</t>
  </si>
  <si>
    <t>https://t.me/HeyatKarbala</t>
  </si>
  <si>
    <t>ثامن الائمه</t>
  </si>
  <si>
    <t>https://www.instagram.com/samenolaemeh.1001/</t>
  </si>
  <si>
    <t>https://t.me/heyatsamenolaeme</t>
  </si>
  <si>
    <t>https://samen1001.com/</t>
  </si>
  <si>
    <t>وارث</t>
  </si>
  <si>
    <t>https://www.instagram.com/vareth_ir/</t>
  </si>
  <si>
    <t>https://t.me/heyatvareth</t>
  </si>
  <si>
    <t>حیدریون</t>
  </si>
  <si>
    <t>https://www.instagram.com/heidariyonh/</t>
  </si>
  <si>
    <t>https://t.me/heydariyon1416</t>
  </si>
  <si>
    <t>بلوار قیام</t>
  </si>
  <si>
    <t>https://www.instagram.com/hobolhusein/</t>
  </si>
  <si>
    <t>https://t.me/hobolhusein</t>
  </si>
  <si>
    <t>حسینیه کربلا</t>
  </si>
  <si>
    <t>https://www.instagram.com/hosseinie_karbala/</t>
  </si>
  <si>
    <t>https://t.me/hosseinie_karbala</t>
  </si>
  <si>
    <t>حسینیه سادات درکه</t>
  </si>
  <si>
    <t>درکه</t>
  </si>
  <si>
    <t>https://www.instagram.com/hosseiniyedarake/</t>
  </si>
  <si>
    <t>https://t.me/hosseiniye_darake</t>
  </si>
  <si>
    <t>رسانه انصارولایت</t>
  </si>
  <si>
    <t>دانشگاه صدا و سیما</t>
  </si>
  <si>
    <t>https://www.instagram.com/iribu_heyat/</t>
  </si>
  <si>
    <t>https://t.me/iribu_heyat</t>
  </si>
  <si>
    <t>جنت الحسین</t>
  </si>
  <si>
    <t>خزانه بخارایی|فلکه۴|کوچه شهیدطیبی</t>
  </si>
  <si>
    <t>https://www.instagram.com/jannat_hosein/</t>
  </si>
  <si>
    <t>https://t.me/jannat_hosein</t>
  </si>
  <si>
    <t>فلکه دوم صادقیه</t>
  </si>
  <si>
    <t>https://www.instagram.com/hobona.ir/</t>
  </si>
  <si>
    <t>https://t.me/jannat_o_reza</t>
  </si>
  <si>
    <t>جوانان ثارالله</t>
  </si>
  <si>
    <t>https://www.instagram.com/javanan_sarallah/</t>
  </si>
  <si>
    <t>https://t.me/javanan_saraallah</t>
  </si>
  <si>
    <t>خادمین حضرت رقیه</t>
  </si>
  <si>
    <t>https://www.instagram.com/khademin.info/</t>
  </si>
  <si>
    <t>https://t.me/khademin_315</t>
  </si>
  <si>
    <t>روضه مقدسه خرابه نشینان</t>
  </si>
  <si>
    <t>https://www.instagram.com/kharabeneshinaan315/</t>
  </si>
  <si>
    <t>https://t.me/kharabeneshinaan315</t>
  </si>
  <si>
    <t>خیمه العباس</t>
  </si>
  <si>
    <t>https://www.instagram.com/kheime133/</t>
  </si>
  <si>
    <t>https://t.me/kheime133</t>
  </si>
  <si>
    <t>خیمه الرقیه</t>
  </si>
  <si>
    <t>https://www.instagram.com/kheymatolroghaye/</t>
  </si>
  <si>
    <t>https://t.me/kheymatolroghaye</t>
  </si>
  <si>
    <t>لواء الحسین</t>
  </si>
  <si>
    <t>دهکده المپیک</t>
  </si>
  <si>
    <t>https://www.instagram.com/leva_hosein/</t>
  </si>
  <si>
    <t>https://t.me/leva_hosein</t>
  </si>
  <si>
    <t>لواء الزینب</t>
  </si>
  <si>
    <t>https://www.instagram.com/levaozzeynabetehran/</t>
  </si>
  <si>
    <t>https://t.me/levaozzeynabetehran</t>
  </si>
  <si>
    <t>روضه معجرة الزهرا</t>
  </si>
  <si>
    <t>بازار تجریش</t>
  </si>
  <si>
    <t>https://www.instagram.com/maajar_135/</t>
  </si>
  <si>
    <t>https://t.me/maajar_channel</t>
  </si>
  <si>
    <t>محفل فاطمیون طهران</t>
  </si>
  <si>
    <t>منطقه 17</t>
  </si>
  <si>
    <t>https://www.instagram.com/mahfel_fatemiun_tehran/</t>
  </si>
  <si>
    <t>https://t.me/mahfel_fatemiun_tehran</t>
  </si>
  <si>
    <t>فدائیان خانوم رباب</t>
  </si>
  <si>
    <t>https://www.instagram.com/mahfelashk205/</t>
  </si>
  <si>
    <t>https://t.me/mahfelashk</t>
  </si>
  <si>
    <t>جوانان سیدالشهداء</t>
  </si>
  <si>
    <t>https://www.instagram.com/mahfelroqaye/</t>
  </si>
  <si>
    <t>https://t.me/mahfelroqaye</t>
  </si>
  <si>
    <t>مکتب الحسین طهران</t>
  </si>
  <si>
    <t>میدان شـهدا ، خ مجاهـدین اسـلام</t>
  </si>
  <si>
    <t>https://www.instagram.com/maktab_alhasan_118/</t>
  </si>
  <si>
    <t>https://t.me/maktab_alhasan_118</t>
  </si>
  <si>
    <t>روضه معظم مکتب مولا علی</t>
  </si>
  <si>
    <t>نازی آباد</t>
  </si>
  <si>
    <t>https://www.instagram.com/maktab_mola_ali/</t>
  </si>
  <si>
    <t>https://t.me/maktab_mola_ali</t>
  </si>
  <si>
    <t>حسینیه مکتب الصادق</t>
  </si>
  <si>
    <t>خیابان پیروزی-خیابان دهم فروردین-کوچه شهید اسماعیلی</t>
  </si>
  <si>
    <t>https://www.instagram.com/maktab1357/</t>
  </si>
  <si>
    <t>https://t.me/maktab1357</t>
  </si>
  <si>
    <t>مکتب عشاق الحسین</t>
  </si>
  <si>
    <t>https://www.instagram.com/oshagholhosein/</t>
  </si>
  <si>
    <t>https://t.me/maktabeoshagholhosein</t>
  </si>
  <si>
    <t>تهران‌.رسالت.خیابان شهیدطاهری.حسینیه مکتب الرضا علیه السلام</t>
  </si>
  <si>
    <t>https://www.instagram.com/maktaborreza/</t>
  </si>
  <si>
    <t>https://t.me/maktaborreza</t>
  </si>
  <si>
    <t>روضه ماء الفرات</t>
  </si>
  <si>
    <t>‎فرمانیه،جنب کوه نور،کوچه فربین</t>
  </si>
  <si>
    <t>https://www.instagram.com/roze_maolforat/</t>
  </si>
  <si>
    <t>https://t.me/maolforat</t>
  </si>
  <si>
    <t>روضة المظلومة</t>
  </si>
  <si>
    <t>https://www.instagram.com/mazlomeh.ir/</t>
  </si>
  <si>
    <t>https://t.me/mazlomeh_ir</t>
  </si>
  <si>
    <t>بیرق معظم مصباح الهدی</t>
  </si>
  <si>
    <t>نارمک‌.خیابان‌آیت‌جنوبی‌.کوچه‌عبادی‌استاد</t>
  </si>
  <si>
    <t>https://www.instagram.com/mesbaholhoda201/</t>
  </si>
  <si>
    <t>https://t.me/mesbahi_am</t>
  </si>
  <si>
    <t>https://www.instagram.com/moheban_aliakbar/</t>
  </si>
  <si>
    <t>https://t.me/mohebanAliakbar</t>
  </si>
  <si>
    <t>محبان الرقیه</t>
  </si>
  <si>
    <t>https://www.instagram.com/mohebanolroghaye/</t>
  </si>
  <si>
    <t>https://t.me/mohebane_roghaye_rey</t>
  </si>
  <si>
    <t>محبان الشهدا</t>
  </si>
  <si>
    <t>https://www.instagram.com/mohebanoshohada/</t>
  </si>
  <si>
    <t>https://t.me/mohebanoshohada</t>
  </si>
  <si>
    <t>هیأت بانوان</t>
  </si>
  <si>
    <t>https://www.instagram.com/moheban._.fatemeh/</t>
  </si>
  <si>
    <t>https://t.me/mohebban_fatemeh</t>
  </si>
  <si>
    <t>ميدان المپيك،شهرک صدرا،</t>
  </si>
  <si>
    <t>https://www.instagram.com/mohebban_o_zahra/</t>
  </si>
  <si>
    <t>https://t.me/mohebban_o_zahra</t>
  </si>
  <si>
    <t>https://www.instagram.com/moheban.333/</t>
  </si>
  <si>
    <t>https://t.me/mohebbanehazratealiakbar</t>
  </si>
  <si>
    <t>محبان قمربنی هاشم</t>
  </si>
  <si>
    <t>https://www.instagram.com/mohebbanghamar/</t>
  </si>
  <si>
    <t>https://t.me/Mohebbanghamar</t>
  </si>
  <si>
    <t>محبین امیرالمومنین</t>
  </si>
  <si>
    <t>https://www.instagram.com/mohebbin110/</t>
  </si>
  <si>
    <t>https://t.me/Mohebbin_110</t>
  </si>
  <si>
    <t>مهجه الرسول</t>
  </si>
  <si>
    <t>https://www.instagram.com/mohjatolrasul/</t>
  </si>
  <si>
    <t>https://t.me/mohjatolrasul</t>
  </si>
  <si>
    <t>محسنیه طهران</t>
  </si>
  <si>
    <t>https://www.instagram.com/mohsenie_tehran/</t>
  </si>
  <si>
    <t>https://t.me/mohsenie_tehran</t>
  </si>
  <si>
    <t>https://www.instagram.com/mohsenie315/</t>
  </si>
  <si>
    <t>https://t.me/mohsenie118</t>
  </si>
  <si>
    <t>موج الحسن</t>
  </si>
  <si>
    <t>https://www.instagram.com/mojolhasan/</t>
  </si>
  <si>
    <t>https://t.me/mojolhasan</t>
  </si>
  <si>
    <t>موکب الرضا</t>
  </si>
  <si>
    <t>https://www.instagram.com/mokebalreza/</t>
  </si>
  <si>
    <t>https://t.me/MOKEBALREZA</t>
  </si>
  <si>
    <t>موکب کهیعص</t>
  </si>
  <si>
    <t>دروازه شمیران</t>
  </si>
  <si>
    <t>https://www.instagram.com/mokeb.info/</t>
  </si>
  <si>
    <t>https://t.me/mokebinfo</t>
  </si>
  <si>
    <t>https://mokeb.info/</t>
  </si>
  <si>
    <t>منتظران حضرت ولی عصر</t>
  </si>
  <si>
    <t>پونک شمالی</t>
  </si>
  <si>
    <t>https://www.instagram.com/montazeran313/</t>
  </si>
  <si>
    <t>https://t.me/montazeran313_com</t>
  </si>
  <si>
    <t>منتظرین حضرت مهدی</t>
  </si>
  <si>
    <t>https://www.instagram.com/montazerin.ir/</t>
  </si>
  <si>
    <t>https://t.me/montazerin</t>
  </si>
  <si>
    <t>متوسلین به امیرالمومنین</t>
  </si>
  <si>
    <t>https://www.instagram.com/motevasselin110/</t>
  </si>
  <si>
    <t>https://t.me/motevasselin110</t>
  </si>
  <si>
    <t>موکب الحسین</t>
  </si>
  <si>
    <t>https://www.instagram.com/moukebolhossein/</t>
  </si>
  <si>
    <t>https://t.me/moukebolhossein</t>
  </si>
  <si>
    <t>https://www.instagram.com/movasi_info/</t>
  </si>
  <si>
    <t>https://t.me/movasi_info</t>
  </si>
  <si>
    <t>زوارالحسین</t>
  </si>
  <si>
    <t>مارلیک</t>
  </si>
  <si>
    <t>https://www.instagram.com/zoovarolhosein_ir/</t>
  </si>
  <si>
    <t>https://t.me/navayeroze69</t>
  </si>
  <si>
    <t>نوباوگان قنات آباد</t>
  </si>
  <si>
    <t>مولوی</t>
  </si>
  <si>
    <t>https://www.instagram.com/nobavegan.ghanatabad/</t>
  </si>
  <si>
    <t>https://t.me/NobaveganGhanatAbad</t>
  </si>
  <si>
    <t>نوکرخونه علمدار طهران</t>
  </si>
  <si>
    <t xml:space="preserve">طهران منطقه ۱۸،میدان معلم بلوار مدائن بعداز میدان انصاری </t>
  </si>
  <si>
    <t>https://www.instagram.com/nokar_khoneh/</t>
  </si>
  <si>
    <t>https://t.me/nokarkhoune</t>
  </si>
  <si>
    <t>معظم نورالهدی یارضا</t>
  </si>
  <si>
    <t>خیابان قزوین</t>
  </si>
  <si>
    <t>https://www.instagram.com/noorolhoda_ya_reza_1001/</t>
  </si>
  <si>
    <t>https://t.me/noorolhoda_yareza69</t>
  </si>
  <si>
    <t>حضرت ام المصائب</t>
  </si>
  <si>
    <t>https://www.instagram.com/omolmasaeb_net/</t>
  </si>
  <si>
    <t>https://t.me/omolmasaeb_net</t>
  </si>
  <si>
    <t>https://www.instagram.com/oshagh_revagh313/</t>
  </si>
  <si>
    <t>https://t.me/oshagh_revagh313</t>
  </si>
  <si>
    <t>تهران،خیابان ولی عصر،بالاترازمهدیه،کوچه برزگر،بن بست نوبهاران</t>
  </si>
  <si>
    <t>https://www.instagram.com/oshagh_heidar/</t>
  </si>
  <si>
    <t>https://t.me/oshaghalhydar</t>
  </si>
  <si>
    <t>رأس الحسین</t>
  </si>
  <si>
    <t>https://www.instagram.com/raasolhosein/</t>
  </si>
  <si>
    <t>https://t.me/raasolhosein</t>
  </si>
  <si>
    <t>رایة العباس چیذر</t>
  </si>
  <si>
    <t>چیذر</t>
  </si>
  <si>
    <t>https://www.instagram.com/rayatalabbas_chizar/</t>
  </si>
  <si>
    <t>https://t.me/rayatalabbas_chizar</t>
  </si>
  <si>
    <t>رایه الرضا</t>
  </si>
  <si>
    <t>https://www.instagram.com/rayatolreza/</t>
  </si>
  <si>
    <t>https://t.me/rayatolreza</t>
  </si>
  <si>
    <t>https://www.instagram.com/reyhane.info</t>
  </si>
  <si>
    <t>https://t.me/reyhane_channel</t>
  </si>
  <si>
    <t>ریحانه الحسین تهرانسر</t>
  </si>
  <si>
    <t>https://www.instagram.com/reyhaneh_al_hossein/</t>
  </si>
  <si>
    <t>https://t.me/reyhaneh_al_hossein</t>
  </si>
  <si>
    <t>محفل ربابیون</t>
  </si>
  <si>
    <t>https://www.instagram.com/robabiun.ir/</t>
  </si>
  <si>
    <t>https://t.me/robabiiun</t>
  </si>
  <si>
    <t>رقیه سادات</t>
  </si>
  <si>
    <t>https://www.instagram.com/roghaayesadat/</t>
  </si>
  <si>
    <t>https://t.me/roghaye_saadat</t>
  </si>
  <si>
    <t>جان نثاران رقیه خاتون</t>
  </si>
  <si>
    <t>https://www.instagram.com/roghaye__khaton/</t>
  </si>
  <si>
    <t>https://t.me/roghayekhaton</t>
  </si>
  <si>
    <t>روضة الزهرا</t>
  </si>
  <si>
    <t>میدان شهید آیت الله سعیدی</t>
  </si>
  <si>
    <t>https://www.instagram.com/rozatol_zahra135/</t>
  </si>
  <si>
    <t>https://t.me/rozatol_zahra135</t>
  </si>
  <si>
    <t>https://www.instagram.com/rozatolabbas1/</t>
  </si>
  <si>
    <t>https://t.me/Rozatolabas1</t>
  </si>
  <si>
    <t>قاسم بن الحسن</t>
  </si>
  <si>
    <t>https://www.instagram.com/rozatolghasem1391/</t>
  </si>
  <si>
    <t>https://t.me/rozatolghasem1391</t>
  </si>
  <si>
    <t>روضه الحسن</t>
  </si>
  <si>
    <t>https://www.instagram.com/rozatolhassan/</t>
  </si>
  <si>
    <t>https://t.me/rozatolhassan</t>
  </si>
  <si>
    <t>بیرق معظم روضه الزهرا</t>
  </si>
  <si>
    <t xml:space="preserve"> اتوبان جلال آل احمد | جنب پل یادگار امام| خیابان ایثار|کوچه ابراهیمیان</t>
  </si>
  <si>
    <t>https://www.instagram.com/rozatolzahra_teh/</t>
  </si>
  <si>
    <t>https://t.me/rozatolzahra_teh</t>
  </si>
  <si>
    <t>https://www.instagram.com/rozatolzeynab/</t>
  </si>
  <si>
    <t>https://t.me/rozatolzeynab</t>
  </si>
  <si>
    <t>روضة الحسین</t>
  </si>
  <si>
    <t>م خراسان؛خ خراسان؛خ لرزاده؛حسینیه روضةالحسین(ع)</t>
  </si>
  <si>
    <t>https://www.instagram.com/rozatoolhusein/</t>
  </si>
  <si>
    <t>https://t.me/rozatoolhosein</t>
  </si>
  <si>
    <t>حیابان پیروزی</t>
  </si>
  <si>
    <t>https://www.instagram.com/rozatozahra/</t>
  </si>
  <si>
    <t>https://t.me/rozatozahra_channel</t>
  </si>
  <si>
    <t>روضه الزینب فدائیان دو بانوی دمشق</t>
  </si>
  <si>
    <t>https://www.instagram.com/rozatozeynab/</t>
  </si>
  <si>
    <t>https://t.me/rozatozeynab6969</t>
  </si>
  <si>
    <t>روضه ماهانه</t>
  </si>
  <si>
    <t>میدان شهدا،خ پیروزی، کندرو امام علی ع خیابان نیکنام ،میدان سراسیاب، خ جعفری ک حسنی بلوک C، پلاک پرچم</t>
  </si>
  <si>
    <t>https://www.instagram.com/roze.mahane/</t>
  </si>
  <si>
    <t>https://t.me/roze_mahane18</t>
  </si>
  <si>
    <t>روضة الجواد</t>
  </si>
  <si>
    <t>حیابان 200 دستگاه</t>
  </si>
  <si>
    <t>https://www.instagram.com/rozealjavad/</t>
  </si>
  <si>
    <t>https://t.me/Rozealjavad</t>
  </si>
  <si>
    <t>روضه انصارالعباس</t>
  </si>
  <si>
    <t>تهران،خیابان ششم نیرو هوایی، کوچه۶.۲۷</t>
  </si>
  <si>
    <t>https://www.instagram.com/rozeansarolabbas/</t>
  </si>
  <si>
    <t>https://t.me/rozeansarolabbas</t>
  </si>
  <si>
    <t>روضه احسان الحسن</t>
  </si>
  <si>
    <t>https://www.instagram.com/rozeh_ehsanolhasan/</t>
  </si>
  <si>
    <t>https://t.me/rozeh_ehsanolhasan</t>
  </si>
  <si>
    <t>محفل روضه</t>
  </si>
  <si>
    <t>https://www.instagram.com/rozeh_ir/</t>
  </si>
  <si>
    <t>https://t.me/rozeh_ir</t>
  </si>
  <si>
    <t>روضه حسنیون</t>
  </si>
  <si>
    <t>https://www.instagram.com/rozehasaniyon/</t>
  </si>
  <si>
    <t>https://t.me/rozehasaniyon</t>
  </si>
  <si>
    <t>روضه قاسم ابن الحسن</t>
  </si>
  <si>
    <t>https://www.instagram.com/rozehghasem/</t>
  </si>
  <si>
    <t>https://t.me/ROZEHGHASEM</t>
  </si>
  <si>
    <t>روضه عشاق المهدی</t>
  </si>
  <si>
    <t>https://www.instagram.com/rozeoshaghalmahdi/</t>
  </si>
  <si>
    <t>https://t.me/rozeoshaghalmahdi</t>
  </si>
  <si>
    <t>روضه الرقیه</t>
  </si>
  <si>
    <t>https://www.instagram.com/rozeroghayeh/</t>
  </si>
  <si>
    <t>https://t.me/rozeroghayeh</t>
  </si>
  <si>
    <t>حسینیه سادات اخوی</t>
  </si>
  <si>
    <t>خیابان مصطفی خمینی</t>
  </si>
  <si>
    <t>https://www.instagram.com/sadatakhavii/</t>
  </si>
  <si>
    <t>https://t.me/sadatakhaviih</t>
  </si>
  <si>
    <t>سائلین امیرالمومنین</t>
  </si>
  <si>
    <t>https://www.instagram.com/saelin_info/</t>
  </si>
  <si>
    <t>https://t.me/saelin_info</t>
  </si>
  <si>
    <t>سائلین العباس</t>
  </si>
  <si>
    <t>https://www.instagram.com/saelinolabas/</t>
  </si>
  <si>
    <t>https://t.me/saelinolabas</t>
  </si>
  <si>
    <t xml:space="preserve">ثامن الائمه </t>
  </si>
  <si>
    <t>خیابان پیروزی خیابان پنجم نیروی هوایی فرعی4/26</t>
  </si>
  <si>
    <t>https://www.instagram.com/samene_tehran/</t>
  </si>
  <si>
    <t>https://t.me/samene_tehran</t>
  </si>
  <si>
    <t>ثارالله شهر ری</t>
  </si>
  <si>
    <t>https://www.instagram.com/sarallah.rey/</t>
  </si>
  <si>
    <t>https://t.me/sarallah_rey</t>
  </si>
  <si>
    <t>صراط الحسین</t>
  </si>
  <si>
    <t>https://www.instagram.com/seratolhossein/</t>
  </si>
  <si>
    <t>https://t.me/seratolhossein</t>
  </si>
  <si>
    <t>روضه سیده شریفه ظهران</t>
  </si>
  <si>
    <t>منطقه 22</t>
  </si>
  <si>
    <t>https://www.instagram.com/seyedeh_sharifeh_595/</t>
  </si>
  <si>
    <t>https://t.me/seyedeh_sharifeh_595</t>
  </si>
  <si>
    <t>عشاق الحسین</t>
  </si>
  <si>
    <t>https://www.instagram.com/shabab_ir/</t>
  </si>
  <si>
    <t>https://t.me/shabab_ir</t>
  </si>
  <si>
    <t>شهران</t>
  </si>
  <si>
    <t>https://www.instagram.com/maktab_al_zahra213/</t>
  </si>
  <si>
    <t>میدان صادقیه</t>
  </si>
  <si>
    <t>https://www.instagram.com/heyat_alamdar_gharb_tehran/</t>
  </si>
  <si>
    <t>حسینیه معظم قمر منیر بنی هاشم</t>
  </si>
  <si>
    <t>شمال غرب تهران</t>
  </si>
  <si>
    <t>https://www.instagram.com/heyat_ghamare_monir_banihashem/</t>
  </si>
  <si>
    <t>محمدیه</t>
  </si>
  <si>
    <t>خیابان مولوی</t>
  </si>
  <si>
    <t>https://www.instagram.com/heyate_mohammadie/</t>
  </si>
  <si>
    <t xml:space="preserve">منتظران مهدی </t>
  </si>
  <si>
    <t>تهرانپارس</t>
  </si>
  <si>
    <t>https://www.instagram.com/heyatmontazeranmahdi/</t>
  </si>
  <si>
    <t>الجواد</t>
  </si>
  <si>
    <t>https://www.instagram.com/heyatoljavadofficial/</t>
  </si>
  <si>
    <t>آستان مقدس قاسم بن الحسن</t>
  </si>
  <si>
    <t>https://www.instagram.com/imamzade_ghasem/</t>
  </si>
  <si>
    <t>https://ahlamenalasal.com/</t>
  </si>
  <si>
    <t>خدام المهدی</t>
  </si>
  <si>
    <t>https://www.instagram.com/khoddam_59/</t>
  </si>
  <si>
    <t>زوار البقیع</t>
  </si>
  <si>
    <t>https://www.instagram.com/mahfel_zavaro_al_baghie/</t>
  </si>
  <si>
    <t>https://www.instagram.com/maktabalmahdi313/</t>
  </si>
  <si>
    <t>https://www.instagram.com/maktabolmahdi.aj/</t>
  </si>
  <si>
    <t>مسجد صفا</t>
  </si>
  <si>
    <t>میدان امام حسین</t>
  </si>
  <si>
    <t>https://www.instagram.com/masjedsafa_com/</t>
  </si>
  <si>
    <t>ماتمکده حضرت زینب</t>
  </si>
  <si>
    <t>خیابان وحدت اسلامی</t>
  </si>
  <si>
    <t>https://www.instagram.com/matamkadehhazratzeynab/</t>
  </si>
  <si>
    <t>دانشگاه علوم پزشکی شهید بهشتی</t>
  </si>
  <si>
    <t>https://www.instagram.com/mktab.shohada/</t>
  </si>
  <si>
    <t>موج الحسین</t>
  </si>
  <si>
    <t>https://www.instagram.com/mojolhosein/</t>
  </si>
  <si>
    <t>موکب حضرت محسن بن علی</t>
  </si>
  <si>
    <t>شهرقدس</t>
  </si>
  <si>
    <t>https://www.instagram.com/mokeb_hazrat_mohsen_ebn_ali/</t>
  </si>
  <si>
    <t>نورالائمه جانبازان</t>
  </si>
  <si>
    <t>https://www.instagram.com/norollaemmeh.135/</t>
  </si>
  <si>
    <t>ام البکاء طهران</t>
  </si>
  <si>
    <t>خیابان مرتضوی</t>
  </si>
  <si>
    <t>https://www.instagram.com/omolbokae/</t>
  </si>
  <si>
    <t>عشاق العباس</t>
  </si>
  <si>
    <t>https://www.instagram.com/oshagholabbas/following/</t>
  </si>
  <si>
    <t>روضه الحسنین</t>
  </si>
  <si>
    <t>https://www.instagram.com/rozatolhasanein/</t>
  </si>
  <si>
    <t>روضه سیدة الحلما</t>
  </si>
  <si>
    <t>https://www.instagram.com/sayedatolhelma/</t>
  </si>
  <si>
    <t>https://www.instagram.com/shahzadegan_karbala/</t>
  </si>
  <si>
    <t>شیفتگان حضرت ابالفضل</t>
  </si>
  <si>
    <t>خیابان پلیس</t>
  </si>
  <si>
    <t>https://www.instagram.com/shiftegaan.133/</t>
  </si>
  <si>
    <t>تگیه گاه مرتضی آقاعلی</t>
  </si>
  <si>
    <t>https://www.instagram.com/tekiyegah_ir/</t>
  </si>
  <si>
    <t>تل زینبیه</t>
  </si>
  <si>
    <t>https://www.instagram.com/zeynabiyon110/</t>
  </si>
  <si>
    <t>محفل زوارالحسین</t>
  </si>
  <si>
    <t>میدان خراسان ،خیابان خاوران،تقاطع اتوبان امام علی (ع)، مسجد سیدالشهدا(ع) ،</t>
  </si>
  <si>
    <t>https://www.instagram.com/zovaralhosein/</t>
  </si>
  <si>
    <t>زوارالزهرا</t>
  </si>
  <si>
    <t>https://www.instagram.com/zovvaralzahra/</t>
  </si>
  <si>
    <t>https://zovvar.com/</t>
  </si>
  <si>
    <t>https://www.instagram.com/yasgrafic/</t>
  </si>
  <si>
    <t>موسی رضایی</t>
  </si>
  <si>
    <t>https://www.instagram.com/moosarezayi_officiall/</t>
  </si>
  <si>
    <r>
      <rPr>
        <rFont val="Calibri"/>
        <color rgb="FF1155CC"/>
        <sz val="11.0"/>
        <u/>
      </rPr>
      <t>t.me/moosa_rezayi</t>
    </r>
  </si>
  <si>
    <t>وحید عظیم پور</t>
  </si>
  <si>
    <t>https://www.instagram.com/vahidazimpor/</t>
  </si>
  <si>
    <t>https://t.me/bargah110</t>
  </si>
  <si>
    <t>https://www.instagram.com/saabaat.ir/</t>
  </si>
  <si>
    <t>https://t.me/mohsenfarhangiyan118</t>
  </si>
  <si>
    <t>https://eitaa.com/mohsenfarhangiyan118</t>
  </si>
  <si>
    <t>حسینیه شهدا مسجد جامع الزهرا</t>
  </si>
  <si>
    <t>حکیمیه،بلوار شهیدعبدالرضا ابتدای خیابان معراج</t>
  </si>
  <si>
    <t>https://www.instagram.com/hoseinieshohada.ir/</t>
  </si>
  <si>
    <t>https://t.me/hoseinieshohada_530</t>
  </si>
  <si>
    <t>https://eitaa.com/hoseinieshohada</t>
  </si>
  <si>
    <t>زوارالحسن علیه السلام</t>
  </si>
  <si>
    <t>آستان مقدس امامزاده هادی(ع)</t>
  </si>
  <si>
    <t>https://www.instagram.com/zvaralhasan/</t>
  </si>
  <si>
    <t>نوکران‌اباالفضل‌علیه‌السلام</t>
  </si>
  <si>
    <t>https://www.instagram.com/heyat_nokaran_abalfazl/</t>
  </si>
  <si>
    <t>امین الزهرا(س)</t>
  </si>
  <si>
    <t>اسلامـــشــهرآستان امامزاده عقیل(ع)</t>
  </si>
  <si>
    <t>https://www.instagram.com/aminozahra/</t>
  </si>
  <si>
    <t>عاشقان بقیع تهران</t>
  </si>
  <si>
    <t>میدان شهدا-خیابان مجاهدین اسلام-مسجد شفا یحیائیان</t>
  </si>
  <si>
    <t>https://www.instagram.com/asheghanebaghi/</t>
  </si>
  <si>
    <t>شهر قدس</t>
  </si>
  <si>
    <t>https://www.instagram.com/ansaralhosein_qods/</t>
  </si>
  <si>
    <t>احباب‌الحسن</t>
  </si>
  <si>
    <t>https://www.instagram.com/heyatahbabolhasan/</t>
  </si>
  <si>
    <t>مادر آب حضرت زهرا</t>
  </si>
  <si>
    <t>https://www.instagram.com/hmadareab/</t>
  </si>
  <si>
    <t>رهروان ولایت شهرری</t>
  </si>
  <si>
    <t>https://www.instagram.com/rahrovan_rey/</t>
  </si>
  <si>
    <t>محبان حضرت مهدے(عج)</t>
  </si>
  <si>
    <t>https://www.instagram.com/faares_313/</t>
  </si>
  <si>
    <t>بیت الرضا علیه السلام خزانه بخارایی</t>
  </si>
  <si>
    <t>غرب به شرق بزرگراه بعثت نرسیده به پل بعثت ،21متری بعثت کوچه امیدی مسجد چهارده معصوم علیه</t>
  </si>
  <si>
    <t>https://www.instagram.com/heyate_beytooreza/</t>
  </si>
  <si>
    <t>شباب الجنة</t>
  </si>
  <si>
    <t>شهرری</t>
  </si>
  <si>
    <t>https://www.instagram.com/heyat.shabab.aljanah/</t>
  </si>
  <si>
    <t>شهرک ولیعصر (عج)، خیابان حیدری شمالی، مدرسه سعادت،حسینیه عاشقان</t>
  </si>
  <si>
    <t>راية العباس(ع)</t>
  </si>
  <si>
    <t>خیابان شهید فارسیان، گلستان ۱۳ غربی، مهدیه رزمندگان اسلام</t>
  </si>
  <si>
    <t>https://www.instagram.com/heyat_rayatalabas/</t>
  </si>
  <si>
    <t>اصحاب القائم(عج) طهران</t>
  </si>
  <si>
    <t>میثاق المهدی</t>
  </si>
  <si>
    <t>بزرگراه رسالت خیابان شهید منصوری گلزار شهدای گمنام بوستان مجیدیه t.me/misaghalmahdi‌</t>
  </si>
  <si>
    <t>https://www.instagram.com/misagh_al_mahdi/</t>
  </si>
  <si>
    <t>https://www.instagram.com/ansarolhossein.1365/</t>
  </si>
  <si>
    <t>امام سجاد علیه السلام</t>
  </si>
  <si>
    <t>پایین‌تر از میدان خراسان - خ کاظمی(حسینیه امام سجاد ع/ رینه‌ایها)</t>
  </si>
  <si>
    <t>https://www.instagram.com/heyat_imam_sajad/</t>
  </si>
  <si>
    <t>هیئت قاسم بن الحسن (ع)</t>
  </si>
  <si>
    <t>https://www.instagram.com/hazrateqasem/</t>
  </si>
  <si>
    <t>دانشگاه الزهرا</t>
  </si>
  <si>
    <t>عاشقان قمر بنی هاشم</t>
  </si>
  <si>
    <t>خیابان گلاب</t>
  </si>
  <si>
    <t>t.me/asheghaneghamarbanihashem</t>
  </si>
  <si>
    <t>امام خمینی</t>
  </si>
  <si>
    <t>https://eitaa.com/hoseinie_emamkhomeini</t>
  </si>
  <si>
    <t>عشاق الخمینی</t>
  </si>
  <si>
    <t>https://eitaa.com/oshaghalkhomeini</t>
  </si>
  <si>
    <t>ابناء الزهرا</t>
  </si>
  <si>
    <t>https://eitaa.com/abnaolzahra</t>
  </si>
  <si>
    <t>بیت الرضا (ع) (خدام الرضا)</t>
  </si>
  <si>
    <t>https://eitaa.com/mokeb_khodamoreza</t>
  </si>
  <si>
    <t>احباب‌ الحسین</t>
  </si>
  <si>
    <t>https://eitaa.com/ahbabeslamshahr</t>
  </si>
  <si>
    <t>خم پیچی های مقیم تهران</t>
  </si>
  <si>
    <t>https://eitaa.com/khompich</t>
  </si>
  <si>
    <t>خانه صاحب الزمان</t>
  </si>
  <si>
    <t>https://eitaa.com/sahebalzamaan_313</t>
  </si>
  <si>
    <t>فاطمیون ورامین</t>
  </si>
  <si>
    <t>https://eitaa.com/fatemyounvaramin</t>
  </si>
  <si>
    <t>عاشقان ائمه</t>
  </si>
  <si>
    <t>https://eitaa.com/Asheghan_Aemmeh</t>
  </si>
  <si>
    <t>شهید خوشرو</t>
  </si>
  <si>
    <t>https://eitaa.com/HosseinShahidKhoshro</t>
  </si>
  <si>
    <t>یا مهدی عج</t>
  </si>
  <si>
    <t>https://www.instagram.com/heyat_yamahdi</t>
  </si>
  <si>
    <t>https://t.me/heyat_yamahdi</t>
  </si>
  <si>
    <t>https://eitaa.com/heyat_yamahdi</t>
  </si>
  <si>
    <t>دلریش</t>
  </si>
  <si>
    <t>ریحانه الرسول</t>
  </si>
  <si>
    <t>https://eitaa.com/Reyhanatorasooll</t>
  </si>
  <si>
    <t>محفل قاسم ابن الحسن (ع)</t>
  </si>
  <si>
    <t>https://www.instagram.com/heyat_maktab_shohada/</t>
  </si>
  <si>
    <r>
      <rPr>
        <rFont val="var(--font-family-system)"/>
        <color rgb="FF1155CC"/>
        <u/>
      </rPr>
      <t>t.me/maktab_shohada18</t>
    </r>
  </si>
  <si>
    <t>مبارکه گودال قتلتگاه</t>
  </si>
  <si>
    <t>https://www.instagram.com/godalghatlegah_ir</t>
  </si>
  <si>
    <t>https://eitaa.com/godalghatlegah_ir</t>
  </si>
  <si>
    <t>https://eitaa.com/Shafie_al_moznebin</t>
  </si>
  <si>
    <t>https://eitaa.com/hosseinie_karbala</t>
  </si>
  <si>
    <t>https://eitaa.com/beit_133</t>
  </si>
  <si>
    <t>انصار الزهرا</t>
  </si>
  <si>
    <t>https://eitaa.com/mokebansarozahra135</t>
  </si>
  <si>
    <t>https://eitaa.com/shohada72</t>
  </si>
  <si>
    <t>https://eitaa.com/ansar_alzahra40</t>
  </si>
  <si>
    <t>انصار ولایت</t>
  </si>
  <si>
    <t>https://eitaa.com/ansarvelayat313_info</t>
  </si>
  <si>
    <t>دربدران اباعبدالله</t>
  </si>
  <si>
    <t>https://eitaa.com/darbedaran</t>
  </si>
  <si>
    <t>ناشنوایان، محبان سید الشهدا</t>
  </si>
  <si>
    <t>https://eitaa.com/mseyed_ir</t>
  </si>
  <si>
    <t>خادمین الزهرا و پایگاه حضرت خدیجه</t>
  </si>
  <si>
    <t>https://eitaa.com/ya_zahra_213_khademin</t>
  </si>
  <si>
    <t>دستجردیها</t>
  </si>
  <si>
    <t>https://eitaa.com/hoseiniye_dastjerdiha</t>
  </si>
  <si>
    <t>https://eitaa.com/mohebF</t>
  </si>
  <si>
    <t xml:space="preserve">ثارالله  </t>
  </si>
  <si>
    <t>https://eitaa.com/contact_sarallah</t>
  </si>
  <si>
    <t>https://www.instagram.com/hshohadaq</t>
  </si>
  <si>
    <t>https://t.me/hshohadaq</t>
  </si>
  <si>
    <t>https://eitaa.com/HshohadaQ</t>
  </si>
  <si>
    <t>اعظم مکتب العباس</t>
  </si>
  <si>
    <t>https://eitaa.com/maktab1385</t>
  </si>
  <si>
    <t>مسلم بن عقیل</t>
  </si>
  <si>
    <t>https://eitaa.com/moslem535</t>
  </si>
  <si>
    <t>شیفتگان حضرت زینب</t>
  </si>
  <si>
    <t>https://eitaa.com/Shiftegan_Hazrat_Zeynab</t>
  </si>
  <si>
    <t>https://eitaa.com/moheban81</t>
  </si>
  <si>
    <t>ام احباء</t>
  </si>
  <si>
    <t>https://eitaa.com/Heyat_omeaheba</t>
  </si>
  <si>
    <t>شریف روضه الحسین</t>
  </si>
  <si>
    <t>https://eitaa.com/rozatolhosein1381</t>
  </si>
  <si>
    <t>فرهنگی شهید حاج رسول استوار</t>
  </si>
  <si>
    <t>https://eitaa.com/ostovar313</t>
  </si>
  <si>
    <t>خادمین کربلا</t>
  </si>
  <si>
    <t>https://eitaa.com/mokabkhademin</t>
  </si>
  <si>
    <t>جامع دختران حاج قاسم</t>
  </si>
  <si>
    <t>https://eitaa.com/heyatjame_dokhtranhajgasem</t>
  </si>
  <si>
    <t>شهر پرند</t>
  </si>
  <si>
    <t>https://eitaa.com/heyat_parand</t>
  </si>
  <si>
    <t>انصار القائم</t>
  </si>
  <si>
    <t>https://eitaa.com/a_ghaaem</t>
  </si>
  <si>
    <t>حبیب بن مظاهر نراق - کربلا</t>
  </si>
  <si>
    <t>https://eitaa.com/NaraghMokeb</t>
  </si>
  <si>
    <t>حضرت ابوالفضل (کرمانج ها)</t>
  </si>
  <si>
    <t>https://eitaa.com/AbolfazlAbbas_Kormanjha</t>
  </si>
  <si>
    <t>https://eitaa.com/sajjadiye_Eslamshahr</t>
  </si>
  <si>
    <t>مدافعان حرم گلزار شهدای تهران</t>
  </si>
  <si>
    <t>https://eitaa.com/modafeanharam</t>
  </si>
  <si>
    <t>بهشت بافق</t>
  </si>
  <si>
    <t>https://eitaa.com/heiat_behesht_bafgh</t>
  </si>
  <si>
    <t>فاطمیون صالحیه</t>
  </si>
  <si>
    <t>https://eitaa.com/Heyat_Fatemiyun</t>
  </si>
  <si>
    <t>معصومیه و کانون شمیم ولایت</t>
  </si>
  <si>
    <t>https://eitaa.com/massoumiyeh</t>
  </si>
  <si>
    <t>https://eitaa.com/heyatealzahra_ir</t>
  </si>
  <si>
    <t>https://www.instagram.com/heyatyazahra/</t>
  </si>
  <si>
    <t>آمل</t>
  </si>
  <si>
    <t>خیابان نور انتهای فجر24 حسینیه سیدالشهداء(ع)</t>
  </si>
  <si>
    <t>https://www.instagram.com/hsaf24/</t>
  </si>
  <si>
    <t>https://t.me/hsaf24/</t>
  </si>
  <si>
    <t>https://eitaa.com/hsaf24</t>
  </si>
  <si>
    <t>https://www.instagram.com/rahrovanshohada.ir/</t>
  </si>
  <si>
    <t>https://t.me/rsa1370</t>
  </si>
  <si>
    <t>https://eitaa.com/rahrovan_shohada1370</t>
  </si>
  <si>
    <t>https://www.instagram.com/hasanioun.info/</t>
  </si>
  <si>
    <t>https://eitaa.com/EmamHasanMojtabba</t>
  </si>
  <si>
    <t>یا لثارات الحسین</t>
  </si>
  <si>
    <t>https://www.instagram.com/yalesarat.amol</t>
  </si>
  <si>
    <t>https://eitaa.com/yalesaratamol</t>
  </si>
  <si>
    <t>DDDDDDD</t>
  </si>
  <si>
    <t>محبین الرضا</t>
  </si>
  <si>
    <t>https://www.instagram.com/mohebinrezaa/</t>
  </si>
  <si>
    <t>جوادالائمه</t>
  </si>
  <si>
    <t>https://www.instagram.com/jood.ir/</t>
  </si>
  <si>
    <t>https://eitaa.com/joodir</t>
  </si>
  <si>
    <t>سائلین الحسین</t>
  </si>
  <si>
    <t>https://www.instagram.com/saelin.irr/</t>
  </si>
  <si>
    <t>https://t.me/ashkenab_ir</t>
  </si>
  <si>
    <t>https://eitaa.com/saelin_ir</t>
  </si>
  <si>
    <t>محبین آل طه</t>
  </si>
  <si>
    <t>https://www.instagram.com/aletaha_org/</t>
  </si>
  <si>
    <t>https://eitaa.com/aletaha_org</t>
  </si>
  <si>
    <t>صاحب الامر</t>
  </si>
  <si>
    <t>https://www.instagram.com/sahebolamr.amol/</t>
  </si>
  <si>
    <t>https://t.me/sahebollamr</t>
  </si>
  <si>
    <t>https://www.instagram.com/ya.zahrainfo/</t>
  </si>
  <si>
    <t>https://t.me/yazahraamol</t>
  </si>
  <si>
    <t>https://www.instagram.com/ValliAsr_Amol</t>
  </si>
  <si>
    <t>https://t.me/ValliAsr_Amol</t>
  </si>
  <si>
    <t>https://eitaa.com/ValliAsr_Amol</t>
  </si>
  <si>
    <t>https://valiasramol.ir/</t>
  </si>
  <si>
    <t>https://www.instagram.com/tekie.barbarkheyl/</t>
  </si>
  <si>
    <t>دارالبکاء</t>
  </si>
  <si>
    <t>https://www.instagram.com/darolboka_amol/</t>
  </si>
  <si>
    <t>علی اکبر</t>
  </si>
  <si>
    <t>https://www.instagram.com/aliakbar_amol</t>
  </si>
  <si>
    <t>https://t.me/aliakbar_amol</t>
  </si>
  <si>
    <t>https://eitaa.com/aliakbar_amol</t>
  </si>
  <si>
    <t>سران به نی</t>
  </si>
  <si>
    <t>https://www.instagram.com/saran_be_ney59/</t>
  </si>
  <si>
    <t>https://t.me/saranbeneyamool</t>
  </si>
  <si>
    <t>مجنون العباس</t>
  </si>
  <si>
    <t>https://www.instagram.com/majnoonolabbas/</t>
  </si>
  <si>
    <t>https://t.me/Mjnoonolabbas</t>
  </si>
  <si>
    <t>https://www.instagram.com/emamhasan.amoll/</t>
  </si>
  <si>
    <t>https://www.instagram.com/fatemioon.ir/</t>
  </si>
  <si>
    <t>https://t.me/fatemioon_amol</t>
  </si>
  <si>
    <t>https://eitaa.com/fatemioon_amol</t>
  </si>
  <si>
    <t>محبان المهدی</t>
  </si>
  <si>
    <t>https://www.instagram.com/mohebanalmahdi.ir/</t>
  </si>
  <si>
    <t>https://t.me/Heyate_Moheban_ALmahdi</t>
  </si>
  <si>
    <t>https://eitaa.com/Heyate_Moheban_ALmahdi</t>
  </si>
  <si>
    <t>شهزاده علی اصغر</t>
  </si>
  <si>
    <t>https://www.instagram.com/aliasgharioon_amol/</t>
  </si>
  <si>
    <t>https://t.me/Shahzadeh_AliAsghar_amol</t>
  </si>
  <si>
    <t>محب العباس</t>
  </si>
  <si>
    <t>https://www.instagram.com/mohebolabbas/</t>
  </si>
  <si>
    <t>https://t.me/mohebolabbas_amol</t>
  </si>
  <si>
    <t>پیروان امیرالمومنین</t>
  </si>
  <si>
    <t>https://www.instagram.com/peyrovan.amiralmomenin</t>
  </si>
  <si>
    <t>https://t.me/peyrovanamiralmomenin</t>
  </si>
  <si>
    <t>https://www.instagram.com/ashabie.313.ir/</t>
  </si>
  <si>
    <t>https://t.me/ashabioon</t>
  </si>
  <si>
    <t>https://www.instagram.com/rozatoshohada.amol/</t>
  </si>
  <si>
    <t>https://www.instagram.com/heyat_seyedollshohada_amol/</t>
  </si>
  <si>
    <t>https://t.me/heyat_Amol</t>
  </si>
  <si>
    <t>https://www.instagram.com/heiat.shahzade.aliakbar/</t>
  </si>
  <si>
    <t>https://t.me/hasaniha</t>
  </si>
  <si>
    <t>پیروان امام سجاد</t>
  </si>
  <si>
    <t>خیابان طالقانی ، اباذر ۷ ، مهدیه و فاطمیه آمل</t>
  </si>
  <si>
    <t>https://www.instagram.com/peyrovan.amol/</t>
  </si>
  <si>
    <t>https://www.instagram.com/sahebalzamanir/</t>
  </si>
  <si>
    <t>محبان العباس</t>
  </si>
  <si>
    <t>امیرکلا</t>
  </si>
  <si>
    <t>https://www.instagram.com/mohebbanolabas/</t>
  </si>
  <si>
    <t>https://t.me/beyraq_info</t>
  </si>
  <si>
    <t>https://eitaa.com/beyraq_info</t>
  </si>
  <si>
    <t>پنجشنبه ها</t>
  </si>
  <si>
    <t>محبان المعصومین</t>
  </si>
  <si>
    <t>https://www.instagram.com/mohebanalmasomin/</t>
  </si>
  <si>
    <t>ام البکاء</t>
  </si>
  <si>
    <t>https://www.instagram.com/ommolboka_babol/</t>
  </si>
  <si>
    <t>https://t.me/ommolboka_babol</t>
  </si>
  <si>
    <t>https://eitaa.com/ommolboka_babol</t>
  </si>
  <si>
    <t>یا فاطمه الزهرا</t>
  </si>
  <si>
    <t>https://www.instagram.com/beytozahra.info/</t>
  </si>
  <si>
    <t>https://t.me/beytozahra_ir</t>
  </si>
  <si>
    <t>https://eitaa.com/beytozahra_ir</t>
  </si>
  <si>
    <t>https://www.youtube.com/@beytozahra4337/</t>
  </si>
  <si>
    <t>http://www.beytozahra.com/</t>
  </si>
  <si>
    <t>https://www.instagram.com/mookeb.info/</t>
  </si>
  <si>
    <t>https://www.instagram.com/buria.ir/</t>
  </si>
  <si>
    <t>http://t.me/buria_ir</t>
  </si>
  <si>
    <t>https://eitaa.com/buriaaa</t>
  </si>
  <si>
    <t>https://www.instagram.com/esajadieh_ir/</t>
  </si>
  <si>
    <t>https://www.instagram.com/beytolabbas.info/</t>
  </si>
  <si>
    <t>https://t.me/beytolabbas_babol</t>
  </si>
  <si>
    <t>https://eitaa.com/beytolabbas_babol</t>
  </si>
  <si>
    <t>ام المصائب</t>
  </si>
  <si>
    <t>https://www.instagram.com/ommolmasaeb/</t>
  </si>
  <si>
    <t>https://t.me/ommolmasaeb_com</t>
  </si>
  <si>
    <t>https://www.instagram.com/mohebanozahra_babol/</t>
  </si>
  <si>
    <t>https://www.instagram.com/shohadayegomnam.babol</t>
  </si>
  <si>
    <t>https://eitaa.com/shohadayegomnam_in</t>
  </si>
  <si>
    <t>https://www.instagram.com/rowzatolhussain/</t>
  </si>
  <si>
    <t>https://t.me/Rowzatolhussain</t>
  </si>
  <si>
    <t>https://eitaa.com/rowzatolhussain</t>
  </si>
  <si>
    <t>ترهم</t>
  </si>
  <si>
    <t>https://www.instagram.com/tarahom.info/</t>
  </si>
  <si>
    <t>محمدرضا بذری</t>
  </si>
  <si>
    <t>https://www.instagram.com/bazri.mohammadreza/</t>
  </si>
  <si>
    <t>مجید رضانژاد</t>
  </si>
  <si>
    <t>https://www.instagram.com/alamdar_media.ir/</t>
  </si>
  <si>
    <t>https://t.me/Alamdarbabol</t>
  </si>
  <si>
    <t>محمد زمان یعقوبی</t>
  </si>
  <si>
    <t>https://www.instagram.com/zamanyaghoubi/</t>
  </si>
  <si>
    <t>https://t.me/yaghoubi_yadegaari</t>
  </si>
  <si>
    <t>https://www.instagram.com/gharibmadinehamirkola/</t>
  </si>
  <si>
    <t>DDDDDD</t>
  </si>
  <si>
    <t>علمداران حسین</t>
  </si>
  <si>
    <t>https://www.instagram.com/alamdarhussainorg/</t>
  </si>
  <si>
    <t>یکشنبه ها</t>
  </si>
  <si>
    <t>مازندران،بابل،میدان اوقاف،اندیشه۱۵حسینیه حضرت ابالفضل(ع)آهنگرڪلا</t>
  </si>
  <si>
    <t>https://www.instagram.com/seyyedeh_zeinab/</t>
  </si>
  <si>
    <t>https://t.me/seyyedeh_zeynab</t>
  </si>
  <si>
    <t>شنبه ها</t>
  </si>
  <si>
    <t>زینبیون</t>
  </si>
  <si>
    <t>https://www.instagram.com/aghile_media/</t>
  </si>
  <si>
    <t>https://t.me/aghile_media</t>
  </si>
  <si>
    <t>روضه القاسم</t>
  </si>
  <si>
    <t>https://www.instagram.com/rozatolghasem201/</t>
  </si>
  <si>
    <t>https://t.me/rozatolghasem_201</t>
  </si>
  <si>
    <t>https://www.instagram.com/seratalhosein/</t>
  </si>
  <si>
    <t>https://www.instagram.com/mohebanolreza_ir/</t>
  </si>
  <si>
    <t>https://t.me/mohebanolreza_ir</t>
  </si>
  <si>
    <t>https://eitaa.com/mohebanolreza_ir</t>
  </si>
  <si>
    <t>https://www.instagram.com/heyat_ghamarbanihashem_babol</t>
  </si>
  <si>
    <t>رایة المهدی</t>
  </si>
  <si>
    <t>https://www.instagram.com/babol_rayatolmahdi</t>
  </si>
  <si>
    <t>https://t.me/babol_rayatolmahdi</t>
  </si>
  <si>
    <t xml:space="preserve">علی بن موسی الرضا </t>
  </si>
  <si>
    <t>بازگیرکلا</t>
  </si>
  <si>
    <t>https://eitaa.com/AlimousaArreza</t>
  </si>
  <si>
    <t>دارالحسین</t>
  </si>
  <si>
    <t>https://www.instagram.com/daralhosein/</t>
  </si>
  <si>
    <t>https://t.me/daralhosein</t>
  </si>
  <si>
    <t>https://www.youtube.com/@daralhosein</t>
  </si>
  <si>
    <t>https://www.instagram.com/maktabhossein_babol/</t>
  </si>
  <si>
    <t>https://t.me/maktabhossein_babol</t>
  </si>
  <si>
    <t>بیت الشهداء</t>
  </si>
  <si>
    <t>https://www.instagram.com/beyt_shohada</t>
  </si>
  <si>
    <t>https://t.me/beyt_shohada</t>
  </si>
  <si>
    <t>https://www.instagram.com/beytolabbas_/</t>
  </si>
  <si>
    <t>قمربنی هاشم</t>
  </si>
  <si>
    <t>https://www.instagram.com/ghamarolashire/</t>
  </si>
  <si>
    <t>https://t.me/ghamarbanihashem01</t>
  </si>
  <si>
    <t>خیمه گاه شهدا</t>
  </si>
  <si>
    <t>https://www.instagram.com/kheymegah_com/</t>
  </si>
  <si>
    <t>https://t.me/kheymgah_com</t>
  </si>
  <si>
    <t>موزیرج</t>
  </si>
  <si>
    <t>https://www.instagram.com/heyat_seydalshohada128/</t>
  </si>
  <si>
    <t>سیداشهداء</t>
  </si>
  <si>
    <t>https://www.instagram.com/sayedashohada</t>
  </si>
  <si>
    <t>https://t.me/sayedashohada</t>
  </si>
  <si>
    <t>https://eitaa.com/sayedashohada</t>
  </si>
  <si>
    <t>شهدای گمنام مسجد آل یاسین</t>
  </si>
  <si>
    <t>حضرت صاحب الزمان</t>
  </si>
  <si>
    <t>https://www.instagram.com/heyat_saheb_alzaman1347</t>
  </si>
  <si>
    <t>https://t.me/heyat_sahebalzaman_alamdar</t>
  </si>
  <si>
    <t>عاشقان اهل بیت</t>
  </si>
  <si>
    <t>https://www.instagram.com/heiatbabol/</t>
  </si>
  <si>
    <t>https://t.me/HeiatBabol</t>
  </si>
  <si>
    <t>https://eitaa.com/HeiatBabol</t>
  </si>
  <si>
    <t>https://www.instagram.com/oshagh_mahdi_babol</t>
  </si>
  <si>
    <t>https://t.me/oshagh_mahdi_babol</t>
  </si>
  <si>
    <t>https://eitaa.com/oshagh_mahdi_babol</t>
  </si>
  <si>
    <t>فدائیان رسول (ص)</t>
  </si>
  <si>
    <t>https://www.instagram.com/rasoolmehr_ir</t>
  </si>
  <si>
    <t>https://www.instagram.com/maktab_babol/</t>
  </si>
  <si>
    <t>حداث المهدی</t>
  </si>
  <si>
    <t>https://www.instagram.com/hoddasolmahdi/</t>
  </si>
  <si>
    <t>https://eitaa.com/hoddasolmahdi</t>
  </si>
  <si>
    <t>https://www.instagram.com/reyhanatolhussain_babol/</t>
  </si>
  <si>
    <t>https://t.me/reyhanatolhussain_babol</t>
  </si>
  <si>
    <t>https://eitaa.com/reyhanatolhussain_babol</t>
  </si>
  <si>
    <t>حضرت عقیله (س)</t>
  </si>
  <si>
    <t>https://www.instagram.com/aghille.info/</t>
  </si>
  <si>
    <t>https://t.me/tolue_org</t>
  </si>
  <si>
    <t>https://eitaa.com/tolue_info</t>
  </si>
  <si>
    <t>بنت الحیدر</t>
  </si>
  <si>
    <t>https://www.instagram.com/zeynab_bentol_heydar/</t>
  </si>
  <si>
    <t>https://t.me/zeynab_bentol_heydar</t>
  </si>
  <si>
    <t>لبیک یامهدی</t>
  </si>
  <si>
    <t>https://www.instagram.com/labaikyamahdi_info/</t>
  </si>
  <si>
    <t>https://t.me/labaikyamahdi_info</t>
  </si>
  <si>
    <t>https://eitaa.com/labaikyamahdi_info</t>
  </si>
  <si>
    <t>محبان آل رسول</t>
  </si>
  <si>
    <t>https://www.instagram.com/moheban_alerasol/</t>
  </si>
  <si>
    <t>https://www.instagram.com/mokebrowzatolhussain/</t>
  </si>
  <si>
    <t>روضه خانه اهل بیت</t>
  </si>
  <si>
    <t>بابلسر</t>
  </si>
  <si>
    <t>https://www.instagram.com/rozeh.khaneh128/</t>
  </si>
  <si>
    <t>https://t.me/rozeh_khaneh128</t>
  </si>
  <si>
    <t>روح الله رحیمیان</t>
  </si>
  <si>
    <t>https://www.instagram.com/roohollah.69_110/</t>
  </si>
  <si>
    <t>https://t.me/rahimian_media</t>
  </si>
  <si>
    <t>ریحانة الحسین</t>
  </si>
  <si>
    <t>https://www.instagram.com/reyhanatal_hosein/</t>
  </si>
  <si>
    <t xml:space="preserve">ثارالله </t>
  </si>
  <si>
    <t>https://www.instagram.com/sarallahbbs/</t>
  </si>
  <si>
    <t>t.me/SarallahBbs</t>
  </si>
  <si>
    <t>https://eitaa.com/sarallahbbs</t>
  </si>
  <si>
    <t>https://www.youtube.com/@sarallahbabolsar</t>
  </si>
  <si>
    <t>https://www.instagram.com/sarallah_school/</t>
  </si>
  <si>
    <t>DDDDD</t>
  </si>
  <si>
    <t>محبان الجواد</t>
  </si>
  <si>
    <t>https://www.instagram.com/babolljavad_bbs/</t>
  </si>
  <si>
    <t>https://t.me/BabollJavad_bbs</t>
  </si>
  <si>
    <t>محبان الحسین</t>
  </si>
  <si>
    <t>بابلسر ، خیابان بهشتی ، چهارراه شهدا محله ، حسینیه محبان‌الحسین (ع)</t>
  </si>
  <si>
    <t>https://www.instagram.com/mohebbanolhossein.128/</t>
  </si>
  <si>
    <t>https://t.me/mohebbanolhoseinbabolsar</t>
  </si>
  <si>
    <t>https://www.instagram.com/seyyedoshohada.bbs/</t>
  </si>
  <si>
    <t>https://t.me/seyyedoshohadaaa</t>
  </si>
  <si>
    <t>https://eitaa.com/s/seyyedoshohadaaa</t>
  </si>
  <si>
    <t>https://www.instagram.com/seyyedoshohada/</t>
  </si>
  <si>
    <t>روضة الزینب</t>
  </si>
  <si>
    <t>هادیشهر</t>
  </si>
  <si>
    <t>https://www.instagram.com/rozatozeynab.ir/</t>
  </si>
  <si>
    <t>https://t.me/rozatozeynab_channel</t>
  </si>
  <si>
    <t>بهنمیر</t>
  </si>
  <si>
    <t>https://www.instagram.com/asheghanesaralah/</t>
  </si>
  <si>
    <t>https://t.me/aleyasiin_bahnamiir</t>
  </si>
  <si>
    <t>https://www.instagram.com/fatemion_bahnemir/</t>
  </si>
  <si>
    <t>https://t.me/fatemion_bahnemir</t>
  </si>
  <si>
    <t>https://eitaa.com/fatemion_bahnemir</t>
  </si>
  <si>
    <t>عاشقان ثارالله</t>
  </si>
  <si>
    <t>ابوالفضل العباس</t>
  </si>
  <si>
    <t>پازوار</t>
  </si>
  <si>
    <t>https://www.instagram.com/abalfazliha89/</t>
  </si>
  <si>
    <t>https://www.instagram.com/ansariyoun/</t>
  </si>
  <si>
    <t>https://t.me/ansariyoun</t>
  </si>
  <si>
    <t>جوانان حسنی</t>
  </si>
  <si>
    <t>https://www.instagram.com/javananhasani/</t>
  </si>
  <si>
    <t>https://t.me/javananhasani</t>
  </si>
  <si>
    <t>https://www.instagram.com/heiatbeitozahra</t>
  </si>
  <si>
    <t>حضرت رقیه</t>
  </si>
  <si>
    <t>https://www.instagram.com/heyathazrateroghayee</t>
  </si>
  <si>
    <t>https://t.me/heyathazrateroghayee</t>
  </si>
  <si>
    <t>https://www.instagram.com/maktabool_heydar110/</t>
  </si>
  <si>
    <t>https://eitaa.com/Maktabol_heydar110</t>
  </si>
  <si>
    <t>https://www.instagram.com/heiatoreza_babolsar</t>
  </si>
  <si>
    <t>https://t.me/s_mohsen_habibolahpur</t>
  </si>
  <si>
    <t>https://www.instagram.com/heiatolzahrabbs/</t>
  </si>
  <si>
    <t>https://t.me/heyatozahra_aliabad_babolsar79</t>
  </si>
  <si>
    <t>موکب الشهدا</t>
  </si>
  <si>
    <t>https://www.instagram.com/mokebshohada_babolsar/</t>
  </si>
  <si>
    <t>یاوران ولایت</t>
  </si>
  <si>
    <t>https://www.instagram.com/yavaranevelayat</t>
  </si>
  <si>
    <t>https://t.me/heyateyavaranevelayat</t>
  </si>
  <si>
    <t>هیأت خواهران</t>
  </si>
  <si>
    <t>پیروان عترت</t>
  </si>
  <si>
    <t>https://www.instagram.com/heyat_peyrovane_etrat_bbs</t>
  </si>
  <si>
    <t>https://t.me/peyrovaneetratebabolsar</t>
  </si>
  <si>
    <t>هیأت زنجیرزنی</t>
  </si>
  <si>
    <t>میاندشت</t>
  </si>
  <si>
    <t>https://www.instagram.com/zanjir_zani_chardah_masoom</t>
  </si>
  <si>
    <t>فاطمة الزهرا</t>
  </si>
  <si>
    <t>https://www.instagram.com/heyatefatematozahra.ir/</t>
  </si>
  <si>
    <t>بیت النور</t>
  </si>
  <si>
    <t>بهشهر</t>
  </si>
  <si>
    <t>https://www.instagram.com/h.bnoor</t>
  </si>
  <si>
    <t>https://t.me/hbnoor</t>
  </si>
  <si>
    <t>مکتب الحسن</t>
  </si>
  <si>
    <t>https://www.instagram.com/maktabolhasan_118/</t>
  </si>
  <si>
    <t>https://t.me/pnamjo</t>
  </si>
  <si>
    <t>جنت الرقیه</t>
  </si>
  <si>
    <t>فراش محله</t>
  </si>
  <si>
    <t>https://www.instagram.com/jannat315_behshahr/</t>
  </si>
  <si>
    <t>https://t.me/jannatolroghaye_315</t>
  </si>
  <si>
    <t>https://www.instagram.com/hasanebnali_ir/</t>
  </si>
  <si>
    <t>https://t.me/hasanebnali_ir</t>
  </si>
  <si>
    <t>میثم اشرفی</t>
  </si>
  <si>
    <t>https://www.instagram.com/maisamashrafi/</t>
  </si>
  <si>
    <t>https://www.instagram.com/hbanifateme/</t>
  </si>
  <si>
    <t>https://t.me/hbanifateme</t>
  </si>
  <si>
    <t>https://eitaa.com/s/Hbanifateme</t>
  </si>
  <si>
    <t>https://www.instagram.com/beytoroghayeh_ir/</t>
  </si>
  <si>
    <t>https://www.instagram.com/rahrovaneshohada_ir/</t>
  </si>
  <si>
    <t>https://t.me/rahrovaneshohada_ir</t>
  </si>
  <si>
    <t>پیروان اهل بیت</t>
  </si>
  <si>
    <t>https://www.instagram.com/heyatpeyrovan_b/</t>
  </si>
  <si>
    <t>https://www.instagram.com/h.ansarolhosein/</t>
  </si>
  <si>
    <t>عزاداران حسینی سنگ زغال</t>
  </si>
  <si>
    <t>https://www.instagram.com/azadaran.83/</t>
  </si>
  <si>
    <t>https://t.me/azadaran83</t>
  </si>
  <si>
    <t>منتظران حجة</t>
  </si>
  <si>
    <t>https://www.instagram.com/montazranhojjat.bh/</t>
  </si>
  <si>
    <t>هیئت سالار شهیدان رستمکلا</t>
  </si>
  <si>
    <t>رستم کلا</t>
  </si>
  <si>
    <t>https://www.instagram.com/salar.shahidan81/</t>
  </si>
  <si>
    <t>https://www.instagram.com/beynolharameyne_behshar</t>
  </si>
  <si>
    <t>https://www.instagram.com/ghamarbanihashembehshahr/</t>
  </si>
  <si>
    <t>گرائیل محله</t>
  </si>
  <si>
    <t>https://www.instagram.com/ghamarebanihasheme133/</t>
  </si>
  <si>
    <t>https://t.me/ghamare_bani_hashem_behshahr</t>
  </si>
  <si>
    <t>ابالفضلیا امامزاده عبدالحق</t>
  </si>
  <si>
    <t>https://www.instagram.com/abalfazlia.behshahr</t>
  </si>
  <si>
    <t>https://t.me/abalfazliah</t>
  </si>
  <si>
    <t>https://eitaa.com/abaalfazlya_behshahr</t>
  </si>
  <si>
    <t>گروه فرهنگی عاشورائیان مسجد گرجی پائین</t>
  </si>
  <si>
    <t>https://www.instagram.com/ashouraeiyaan</t>
  </si>
  <si>
    <t>https://t.me/gorjichannel</t>
  </si>
  <si>
    <t>https://www.instagram.com/heyaat_hazrat_aliakbar1384</t>
  </si>
  <si>
    <t>خادم الرضا</t>
  </si>
  <si>
    <t>https://www.instagram.com/khademalreza__94</t>
  </si>
  <si>
    <t>https://t.me/khademoreza118</t>
  </si>
  <si>
    <t>https://eitaa.com/khademin_behshahr</t>
  </si>
  <si>
    <t>محبین الحسین</t>
  </si>
  <si>
    <t>https://www.instagram.com/heyat.mohebbinolhossein/</t>
  </si>
  <si>
    <t>https://www.instagram.com/alyasin_behshahr/</t>
  </si>
  <si>
    <t>https://t.me/Alyasin_behshahr</t>
  </si>
  <si>
    <t>https://eitaa.com/alyasin_behshahr</t>
  </si>
  <si>
    <t>یمنا</t>
  </si>
  <si>
    <t>https://www.instagram.com/yomna313_98/</t>
  </si>
  <si>
    <t>زوارالعباس</t>
  </si>
  <si>
    <t>تنکابن</t>
  </si>
  <si>
    <t>https://www.instagram.com/zovarol_abbas/</t>
  </si>
  <si>
    <t>https://t.me/mahfelzovarolabbas</t>
  </si>
  <si>
    <t>https://www.instagram.com/heyatejanatol_hosseins/</t>
  </si>
  <si>
    <t>https://t.me/janatolhoseintonekabon</t>
  </si>
  <si>
    <t>فدائیان بی بی زینب</t>
  </si>
  <si>
    <t>https://www.instagram.com/heyat_fadaeiyan_bibi_zeynab/</t>
  </si>
  <si>
    <t>https://t.me/fadaeiyanbibizeynab</t>
  </si>
  <si>
    <t>رزمندگان</t>
  </si>
  <si>
    <t>https://eitaa.com/razmandegantonekabon</t>
  </si>
  <si>
    <t>عاشقان ابالفضل</t>
  </si>
  <si>
    <t>https://www.instagram.com/asheghanabalfazll/</t>
  </si>
  <si>
    <t>شاه کربلا</t>
  </si>
  <si>
    <t>https://www.instagram.com/heiat.shahekarbala</t>
  </si>
  <si>
    <t>https://t.me/heiatshahekarbala</t>
  </si>
  <si>
    <t>یالثارات الحسین</t>
  </si>
  <si>
    <t>https://eitaa.com/yalesaratalhosyntnkabon</t>
  </si>
  <si>
    <t>انصارالمهدی شهدا</t>
  </si>
  <si>
    <t>https://www.instagram.com/heyatansarir/</t>
  </si>
  <si>
    <t>https://eitaa.com/heyatansarir</t>
  </si>
  <si>
    <t>علمدار مودب</t>
  </si>
  <si>
    <t>شیرود</t>
  </si>
  <si>
    <t>https://www.instagram.com/alamdar_moaddab/</t>
  </si>
  <si>
    <t>https://t.me/alamdar_moaddab</t>
  </si>
  <si>
    <t>https://eitaa.com/alamdar_moaddab</t>
  </si>
  <si>
    <t>جوانان علمدار</t>
  </si>
  <si>
    <t>قلعه‌گردن/ بلده‌سفلی/ مسجد حضرت ابوالفضل علیه‌السلام</t>
  </si>
  <si>
    <t>https://www.instagram.com/heyat_alamdar</t>
  </si>
  <si>
    <t>https://t.me/heyat_alamdar313</t>
  </si>
  <si>
    <t>جوانان عشاق الرضا</t>
  </si>
  <si>
    <t>https://www.instagram.com/oshaghoreza_ir/</t>
  </si>
  <si>
    <t>https://t.me/oshaghoreza_ir</t>
  </si>
  <si>
    <t>https://eitaa.com/oshaghorezair</t>
  </si>
  <si>
    <t>انصارالزهرا</t>
  </si>
  <si>
    <t>https://www.instagram.com/ansarozzahra_ir/</t>
  </si>
  <si>
    <t>https://t.me/ansarozzahra_ir</t>
  </si>
  <si>
    <t>سقاخونه</t>
  </si>
  <si>
    <t>https://www.instagram.com/saghakhuneh.ir/</t>
  </si>
  <si>
    <t>https://t.me/saghakhuneh_ir</t>
  </si>
  <si>
    <t>جویبار</t>
  </si>
  <si>
    <t>https://www.instagram.com/ansarolhosein_juybar/</t>
  </si>
  <si>
    <t>https://t.me/ansarolhosein_juybar</t>
  </si>
  <si>
    <t>https://eitaa.com/ansarrol_hossein</t>
  </si>
  <si>
    <t>https://www.youtube.com/@resalatolhossein</t>
  </si>
  <si>
    <t>https://www.instagram.com/mohebbinahlebeitjuybar313/</t>
  </si>
  <si>
    <t>https://t.me/Mohebbinahlebeitjuybar</t>
  </si>
  <si>
    <t>محبان ولیعصر کوهیخیل</t>
  </si>
  <si>
    <t>کوهیخیل</t>
  </si>
  <si>
    <t>https://www.instagram.com/moheban_valiasr_k/</t>
  </si>
  <si>
    <t>https://t.me/moheban_valiasr_k</t>
  </si>
  <si>
    <t>https://www.instagram.com/ansaralmahdi_juybar/</t>
  </si>
  <si>
    <t>https://t.me/ansarjoybar</t>
  </si>
  <si>
    <t>https://www.instagram.com/heyat_seyedoshohada_jouybar/</t>
  </si>
  <si>
    <t>https://www.instagram.com/hazratealiakbar</t>
  </si>
  <si>
    <t>https://eitaa.com/heiatsarallahjouybar</t>
  </si>
  <si>
    <t>پنج تن آل عبا(ع)</t>
  </si>
  <si>
    <t>https://www.instagram.com/heyatpanjtanaleaba/</t>
  </si>
  <si>
    <t>محفل شباب کربلاء</t>
  </si>
  <si>
    <t>https://www.instagram.com/shababekarbala/</t>
  </si>
  <si>
    <t>https://t.me/shababekarbala</t>
  </si>
  <si>
    <t>https://eitaa.com/shababekarbala</t>
  </si>
  <si>
    <t>https://www.instagram.com/rowzatolhosein_juybar/</t>
  </si>
  <si>
    <t>https://t.me/rowzatolhosein_juybar</t>
  </si>
  <si>
    <t>متوسلین جواد الائمه</t>
  </si>
  <si>
    <t>https://www.instagram.com/heyate_javadolaeme_jouybar/</t>
  </si>
  <si>
    <t>https://t.me/heyatejavadolaeme</t>
  </si>
  <si>
    <t>بسیجیان رهروان شهدا</t>
  </si>
  <si>
    <t>شورکا</t>
  </si>
  <si>
    <t>https://www.instagram.com/rahrovan_shohada_shorka/</t>
  </si>
  <si>
    <t>رهروان امام رضا</t>
  </si>
  <si>
    <t>https://www.instagram.com/mojtameemamreza/</t>
  </si>
  <si>
    <t>https://t.me/Mojtame_Emamreza</t>
  </si>
  <si>
    <t>https://eitaa.com/MojtameEmamreza</t>
  </si>
  <si>
    <t>https://www.instagram.com/rowzatolabas.jouybar/</t>
  </si>
  <si>
    <t>الکریم</t>
  </si>
  <si>
    <t>چالوس</t>
  </si>
  <si>
    <t>https://www.instagram.com/heyatolkarimchalus/</t>
  </si>
  <si>
    <t>https://t.me/heyatolkarimchalus</t>
  </si>
  <si>
    <t>حسین آل حبیب</t>
  </si>
  <si>
    <t>https://www.instagram.com/hossein_alehabib/</t>
  </si>
  <si>
    <t>محبان حضرت قاسم</t>
  </si>
  <si>
    <t>عسلسر</t>
  </si>
  <si>
    <t>https://www.instagram.com/heiaate.hazrat.ghasem/</t>
  </si>
  <si>
    <t>جوانان عاشورایی</t>
  </si>
  <si>
    <t>هچیرود</t>
  </si>
  <si>
    <t>https://www.instagram.com/javanan.ashoraii_hachiroud.ir/</t>
  </si>
  <si>
    <t>محبین الائمه</t>
  </si>
  <si>
    <t>https://www.instagram.com/mohebin_aemeh_chalos/</t>
  </si>
  <si>
    <t>https://t.me/mohebin_aemeh_chalus</t>
  </si>
  <si>
    <t>ابوالفضلی</t>
  </si>
  <si>
    <t>هلستان</t>
  </si>
  <si>
    <t>https://www.instagram.com/heyat_abolfazli__halestan/</t>
  </si>
  <si>
    <t>https://t.me/heyat_abolfazli_halestan</t>
  </si>
  <si>
    <t>امام حسین</t>
  </si>
  <si>
    <t>https://www.instagram.com/heyat_emamhosein_chalous/</t>
  </si>
  <si>
    <t>https://www.instagram.com/ansarolhosein_chaloos72</t>
  </si>
  <si>
    <t>https://t.me/ansarolhosein_72</t>
  </si>
  <si>
    <t>علی اصغر</t>
  </si>
  <si>
    <t>https://www.instagram.com/heyat_aliasghar_.chalus/</t>
  </si>
  <si>
    <t>https://t.me/heyat_aliasghar_chalus</t>
  </si>
  <si>
    <t>https://www.instagram.com/heiaat_hazrat_ghasem_chalous</t>
  </si>
  <si>
    <t>روح الله</t>
  </si>
  <si>
    <t>https://www.instagram.com/heyat_rohollah_chalus/</t>
  </si>
  <si>
    <t>منتظران مهدی (عج)</t>
  </si>
  <si>
    <t>https://www.instagram.com/heyat.montazeran</t>
  </si>
  <si>
    <t>https://www.instagram.com/beytalroghaye_315/</t>
  </si>
  <si>
    <t>الحسین</t>
  </si>
  <si>
    <t>https://www.instagram.com/heyat_olhossein1403/</t>
  </si>
  <si>
    <t>https://www.instagram.com/mohebinaemeh_chalus/</t>
  </si>
  <si>
    <t>https://t.me/mohebinaemeh_chalus</t>
  </si>
  <si>
    <t>دلسوختگان حضرت رقیه</t>
  </si>
  <si>
    <t>https://www.instagram.com/delsoukhtegan69/</t>
  </si>
  <si>
    <t>رامسر</t>
  </si>
  <si>
    <t>https://www.instagram.com/h_ansar_ramsar/</t>
  </si>
  <si>
    <t>https://eitaa.com/h_ansaralmahdiramsar</t>
  </si>
  <si>
    <t>حضرت حر</t>
  </si>
  <si>
    <t>https://www.instagram.com/horramsar</t>
  </si>
  <si>
    <t>https://t.me/h_hor_ramsar</t>
  </si>
  <si>
    <t>حضرت ولیعصر</t>
  </si>
  <si>
    <t>https://www.instagram.com/valiasr_heyat</t>
  </si>
  <si>
    <t>رزمندگان اسلام</t>
  </si>
  <si>
    <t>https://www.instagram.com/heyati.ramsar</t>
  </si>
  <si>
    <t>https://t.me/rheyat_ir</t>
  </si>
  <si>
    <t>https://eitaa.com/rheyat_ir</t>
  </si>
  <si>
    <t>طالش محله فتوک</t>
  </si>
  <si>
    <t>https://www.instagram.com/fatemiyoun_ramsar/</t>
  </si>
  <si>
    <t>https://eitaa.com/FATEMIONRAMSAR</t>
  </si>
  <si>
    <t>https://www.instagram.com/abalfazliha_sadatshahr/</t>
  </si>
  <si>
    <t>https://www.instagram.com/heyat_aliakbar_ramsar/</t>
  </si>
  <si>
    <t>باب الحسین</t>
  </si>
  <si>
    <t>https://www.instagram.com/babolhosein_rostamkola/</t>
  </si>
  <si>
    <t>https://t.me/babolhosein_ir</t>
  </si>
  <si>
    <t>https://www.instagram.com/javadolaeme_ir/</t>
  </si>
  <si>
    <t>https://t.me/javanan_javadolaemeh_rostamkola</t>
  </si>
  <si>
    <t>رستمکلا</t>
  </si>
  <si>
    <t>https://www.instagram.com/ansaralmahdi.rostamkola/</t>
  </si>
  <si>
    <t>مکتب الصادق</t>
  </si>
  <si>
    <t>ساری</t>
  </si>
  <si>
    <t>https://www.instagram.com/maktab.sadegh84/</t>
  </si>
  <si>
    <t>https://www.instagram.com/gharibe_madine_sari</t>
  </si>
  <si>
    <t>رهروان امام خمینی</t>
  </si>
  <si>
    <t>https://www.instagram.com/beitozzahra_ir</t>
  </si>
  <si>
    <t>https://t.me/beitozzahra_ir</t>
  </si>
  <si>
    <t>انصارالفاطمه</t>
  </si>
  <si>
    <t>https://www.instagram.com/ansaresarii/</t>
  </si>
  <si>
    <t>https://t.me/ansaresarii</t>
  </si>
  <si>
    <t>https://eitaa.com/ansaresarii</t>
  </si>
  <si>
    <t>انصارالمهدی (اتحادیه)</t>
  </si>
  <si>
    <t>https://www.instagram.com/ansariha_sari/</t>
  </si>
  <si>
    <t>خدام الشهدا</t>
  </si>
  <si>
    <t>https://www.instagram.com/khoddam_shohada_sari</t>
  </si>
  <si>
    <t>https://t.me/heyat_khodam</t>
  </si>
  <si>
    <t>https://eitaa.com/khodamoshohada_sari</t>
  </si>
  <si>
    <t>https://www.instagram.com/heydariion/</t>
  </si>
  <si>
    <t>https://www.instagram.com/rahrovan_sari/</t>
  </si>
  <si>
    <t>https://www.instagram.com/rahrovanshohadasari/</t>
  </si>
  <si>
    <t>https://t.me/rahrovanshohadasari</t>
  </si>
  <si>
    <t>https://eitaa.com/rahrovan_shohada_sari</t>
  </si>
  <si>
    <t>https://www.instagram.com/qamarbanihashem.info/</t>
  </si>
  <si>
    <t>https://t.me/beiraq_ir</t>
  </si>
  <si>
    <t>مرکز نیکو کاری و خیریه کریم اهل بیت (ع)</t>
  </si>
  <si>
    <t>جمعیت جهادی مردمی سلمان</t>
  </si>
  <si>
    <t>https://www.instagram.com/oshagholhosein_sari</t>
  </si>
  <si>
    <t>https://eitaa.com/oshagholhosein_sari</t>
  </si>
  <si>
    <t>https://www.instagram.com/beynolharameynsari/</t>
  </si>
  <si>
    <t>https://t.me/beynolharameynsari</t>
  </si>
  <si>
    <t>https://maps.app.goo.gl/uC2ir1cB6oEJPQKh6</t>
  </si>
  <si>
    <t>https://www.instagram.com/sarallah_sari1/</t>
  </si>
  <si>
    <t>https://t.me/sarallah_sari1</t>
  </si>
  <si>
    <t>https://eitaa.com/sarallah_sari1</t>
  </si>
  <si>
    <t>https://www.youtube.com/@sarallah_sari1</t>
  </si>
  <si>
    <t>سه شنبه ها</t>
  </si>
  <si>
    <t>https://www.instagram.com/javadolaemeh_sari/</t>
  </si>
  <si>
    <t>https://www.instagram.com/zeynabioun_ir</t>
  </si>
  <si>
    <t>https://t.me/zeynabioun_ir</t>
  </si>
  <si>
    <t>تکیه شاه خراسان</t>
  </si>
  <si>
    <t>https://www.instagram.com/shahe_khourasan_sari/</t>
  </si>
  <si>
    <t>https://t.me/shahekhorasan</t>
  </si>
  <si>
    <t>روضه عمه سادات</t>
  </si>
  <si>
    <t>https://www.instagram.com/amesadatsari/</t>
  </si>
  <si>
    <t>https://t.me/amesadatsari</t>
  </si>
  <si>
    <t>شباب الاباالفضل</t>
  </si>
  <si>
    <t>https://www.instagram.com/shabab_abalfazl/</t>
  </si>
  <si>
    <t>https://eitaa.com/shabab_abalfazl</t>
  </si>
  <si>
    <t>شاه خراسان</t>
  </si>
  <si>
    <t>https://www.instagram.com/shahe_khorasan_media/</t>
  </si>
  <si>
    <t>نقاره</t>
  </si>
  <si>
    <t>https://www.instagram.com/naqqare/</t>
  </si>
  <si>
    <t>https://t.me/naqqaremedia</t>
  </si>
  <si>
    <t>سدره</t>
  </si>
  <si>
    <t>https://www.instagram.com/sedre.media/</t>
  </si>
  <si>
    <t>سینا فضل الله نژاد</t>
  </si>
  <si>
    <t>https://www.instagram.com/sina_fazlollahnezhad/</t>
  </si>
  <si>
    <t>https://t.me/fazlollahnezhad_ir</t>
  </si>
  <si>
    <t>https://eitaa.com/sina_fazlollahnezhad</t>
  </si>
  <si>
    <t>محمدعلی رضاپور</t>
  </si>
  <si>
    <t>https://www.instagram.com/rezapuor.ir/</t>
  </si>
  <si>
    <t>زوارالرضا</t>
  </si>
  <si>
    <t>https://www.instagram.com/zovar_ir</t>
  </si>
  <si>
    <t>https://eitaa.com/zovar_ir</t>
  </si>
  <si>
    <t>بیرق خانم ام البنین</t>
  </si>
  <si>
    <t>https://www.instagram.com/ommolbanin_sari/</t>
  </si>
  <si>
    <t>https://t.me/ommolbanin_sari</t>
  </si>
  <si>
    <t>https://www.instagram.com/184panah/</t>
  </si>
  <si>
    <t>https://www.instagram.com/maaktab/</t>
  </si>
  <si>
    <t>https://t.me/maktabozahrasari</t>
  </si>
  <si>
    <t>https://www.instagram.com/heyat_hazrat_aliakbar_sari/</t>
  </si>
  <si>
    <t>https://t.me/aliakbar278</t>
  </si>
  <si>
    <t>دلدادگان حضرت رقیه</t>
  </si>
  <si>
    <t>https://www.instagram.com/heiat_deldadegan_sari/</t>
  </si>
  <si>
    <t>https://t.me/heiat_deldadegan_sari</t>
  </si>
  <si>
    <t>https://eitaa.com/s/heiat_deldadegan_sari</t>
  </si>
  <si>
    <t>جمعه ها</t>
  </si>
  <si>
    <t>https://www.instagram.com/heiat_beytolabbas</t>
  </si>
  <si>
    <t>محبان حضرت مهدی</t>
  </si>
  <si>
    <t>https://www.instagram.com/moheban_hazratmahdi_sari/</t>
  </si>
  <si>
    <t>آل الرسول</t>
  </si>
  <si>
    <t>https://www.instagram.com/ale.rasoul/</t>
  </si>
  <si>
    <t>https://t.me/alerasoul</t>
  </si>
  <si>
    <t>https://eitaa.com/alerasoul</t>
  </si>
  <si>
    <t>https://www.instagram.com/heyat_razmandegan_sari/</t>
  </si>
  <si>
    <t>https://eitaa.com/razmandegane_eslam_sari</t>
  </si>
  <si>
    <t>https://www.instagram.com/heiat.abolfazl_sari/</t>
  </si>
  <si>
    <t>https://www.instagram.com/asheghaneesarallah</t>
  </si>
  <si>
    <t>https://t.me/asheghaneesarallah</t>
  </si>
  <si>
    <t>https://www.instagram.com/maktabolreza.sari/</t>
  </si>
  <si>
    <t>https://t.me/maktabolreza_sari</t>
  </si>
  <si>
    <t>لواء الزهرا</t>
  </si>
  <si>
    <t>https://www.instagram.com/levaozzahra/</t>
  </si>
  <si>
    <t>https://t.me/lvaozzahra</t>
  </si>
  <si>
    <t>https://www.instagram.com/moheban_aliakbar_sari/</t>
  </si>
  <si>
    <t>https://t.me/mohebban_aliakbar_sari</t>
  </si>
  <si>
    <t>https://eitaa.com/aliakbar_sari</t>
  </si>
  <si>
    <t>دانشگاه علوم پزشکی مازندران</t>
  </si>
  <si>
    <t>https://www.instagram.com/heiat.mazums/</t>
  </si>
  <si>
    <t>https://www.instagram.com/heyat_karbala_sari/</t>
  </si>
  <si>
    <t>خیمه گاه</t>
  </si>
  <si>
    <t>https://www.instagram.com/kheymegah_sari</t>
  </si>
  <si>
    <t>https://t.me/kelta_ir</t>
  </si>
  <si>
    <t>جوانان حضرت علی اکبر گلزار شهدا</t>
  </si>
  <si>
    <t>سوادکوه</t>
  </si>
  <si>
    <t>پل سفید</t>
  </si>
  <si>
    <t>https://www.instagram.com/golzarshohada.polsefid/</t>
  </si>
  <si>
    <t>زیرآب</t>
  </si>
  <si>
    <t>https://www.instagram.com/al_hadi_ir/</t>
  </si>
  <si>
    <t>حسینیه مرکزی قادیکلای سوادکوه</t>
  </si>
  <si>
    <t>قادیکلای</t>
  </si>
  <si>
    <t>https://www.instagram.com/hoseinieemarkazi</t>
  </si>
  <si>
    <t>https://t.me/hoseinieemarkazi</t>
  </si>
  <si>
    <t>سیمرغ</t>
  </si>
  <si>
    <t>https://www.instagram.com/montazeran_simorgh313/</t>
  </si>
  <si>
    <t>https://t.me/montazeran_simorgh313</t>
  </si>
  <si>
    <t>https://eitaa.com/montazeran_simorgh</t>
  </si>
  <si>
    <t>عباس آباد</t>
  </si>
  <si>
    <t>https://www.instagram.com/oshagholhosein_ir</t>
  </si>
  <si>
    <t>https://t.me/oshagholhosein86_ir</t>
  </si>
  <si>
    <t>جنت الحسن</t>
  </si>
  <si>
    <t>https://www.instagram.com/janatolhasan.ir/</t>
  </si>
  <si>
    <t>https://t.me/beheshtemamhasan</t>
  </si>
  <si>
    <t>فریدونکنار</t>
  </si>
  <si>
    <t>https://www.instagram.com/razavioon_ir</t>
  </si>
  <si>
    <t>https://t.me/razavioon_ir</t>
  </si>
  <si>
    <t>مخیم العباس</t>
  </si>
  <si>
    <t>https://www.instagram.com/mokhayem/</t>
  </si>
  <si>
    <t>https://t.me/mokhayem_ir</t>
  </si>
  <si>
    <t>کارکردمحله</t>
  </si>
  <si>
    <t>https://www.instagram.com/heiate_abolfazl/</t>
  </si>
  <si>
    <t>https://t.me/heiate_abolfazl</t>
  </si>
  <si>
    <t>کربلایی ها</t>
  </si>
  <si>
    <t>https://www.instagram.com/karbalaeeha.fereidonkenar</t>
  </si>
  <si>
    <t>https://www.instagram.com/heyat.karbalaeeha/</t>
  </si>
  <si>
    <t>https://eitaa.com/mahdieh1fri</t>
  </si>
  <si>
    <t>حسنیه کریم اهل بیت</t>
  </si>
  <si>
    <t>https://www.instagram.com/hasanieh_ir/</t>
  </si>
  <si>
    <t>https://www.instagram.com/beitolhasani_ir</t>
  </si>
  <si>
    <t>محفل بیت الرقیه</t>
  </si>
  <si>
    <t>https://www.instagram.com/beit_alroghaye_315/</t>
  </si>
  <si>
    <t>https://www.instagram.com/hosseiniha.ir</t>
  </si>
  <si>
    <t>https://t.me/jannatgroup</t>
  </si>
  <si>
    <t>https://eitaa.com/jannatgroup</t>
  </si>
  <si>
    <t>https://www.instagram.com/ansarolhosein.fk/</t>
  </si>
  <si>
    <t>https://www.instagram.com/moheban_ahlebeyt/</t>
  </si>
  <si>
    <t>https://t.me/moheban_ahlebeyt</t>
  </si>
  <si>
    <t>http://Eitaa.com/moheban_ahlebeyt</t>
  </si>
  <si>
    <t>https://www.instagram.com/parvaztakhoda12/</t>
  </si>
  <si>
    <t>قرارگاه کربلا</t>
  </si>
  <si>
    <t>https://www.instagram.com/qarar_info/</t>
  </si>
  <si>
    <t>https://t.me/qarar_info</t>
  </si>
  <si>
    <t>https://eitaa.com/qarar_info</t>
  </si>
  <si>
    <t>روضه الشهداء</t>
  </si>
  <si>
    <t>https://www.instagram.com/rozatolshohada_info</t>
  </si>
  <si>
    <t>https://t.me/rozatolshohada_info</t>
  </si>
  <si>
    <t>عشاق الرضا</t>
  </si>
  <si>
    <t>https://www.instagram.com/nojavanan_oshagholreza1001/</t>
  </si>
  <si>
    <t>https://eitaa.com/nojavanan_oshagholreza1001</t>
  </si>
  <si>
    <t>حسین پیروی</t>
  </si>
  <si>
    <t>https://www.instagram.com/hoseinpeirovi118/</t>
  </si>
  <si>
    <t>https://t.me/hoseinpeirovi118</t>
  </si>
  <si>
    <t>رضا پیروی</t>
  </si>
  <si>
    <t>https://www.instagram.com/rezapeirovii/</t>
  </si>
  <si>
    <t>https://t.me/rezapeirovi_channel</t>
  </si>
  <si>
    <t>https://www.youtube.com/@rezapeirovi</t>
  </si>
  <si>
    <t>آهنگرکلا بیشه سر</t>
  </si>
  <si>
    <t>https://www.instagram.com/ghasembenhasan201</t>
  </si>
  <si>
    <t>https://www.instagram.com/heyatalzahra.ir/</t>
  </si>
  <si>
    <t>https://t.me/heyatalzahra_ir</t>
  </si>
  <si>
    <t>https://eitaa.com/s/heyatalzahra_ir</t>
  </si>
  <si>
    <t>https://www.instagram.com/heyat_maktabolshohada/</t>
  </si>
  <si>
    <t>https://t.me/heyat_maktabolshohada</t>
  </si>
  <si>
    <t>https://eitaa.com/heyat_maktabolshohada</t>
  </si>
  <si>
    <t>https://www.instagram.com/jannatolhosein315/</t>
  </si>
  <si>
    <t>https://t.me/jannatolhosein315</t>
  </si>
  <si>
    <t>https://www.instagram.com/emam.hasani.ha/</t>
  </si>
  <si>
    <t>https://www.instagram.com/maktabolhasan1</t>
  </si>
  <si>
    <t>روضه الزهرا</t>
  </si>
  <si>
    <t>https://www.instagram.com/sayedatyzahra</t>
  </si>
  <si>
    <t>چشمه سر</t>
  </si>
  <si>
    <t>https://www.instagram.com/heyate_javanane_montazeran/</t>
  </si>
  <si>
    <t>https://eitaa.com/razmandegan_qaem</t>
  </si>
  <si>
    <t>متوسلین به حضرت علی اصغر</t>
  </si>
  <si>
    <t>https://www.instagram.com/heyate.aliasghare.javanan</t>
  </si>
  <si>
    <t>https://t.me/heyatjavananaliasghar</t>
  </si>
  <si>
    <t>عاشقان بین الحرمین</t>
  </si>
  <si>
    <t>https://www.instagram.com/beytolzahra_com</t>
  </si>
  <si>
    <t>https://t.me/beytolzahra_com</t>
  </si>
  <si>
    <t>https://www.instagram.com/htfatemion313</t>
  </si>
  <si>
    <t>بقیة الله</t>
  </si>
  <si>
    <t>https://www.instagram.com/baghiat_allah_ir/</t>
  </si>
  <si>
    <t>https://eitaa.com/Baghiatallah_nojavan_313</t>
  </si>
  <si>
    <t>حضرت زینب (س)</t>
  </si>
  <si>
    <t>کلاردشت</t>
  </si>
  <si>
    <t>روستای پیمور</t>
  </si>
  <si>
    <t>https://www.instagram.com/msq.zeynab/</t>
  </si>
  <si>
    <t>گلوگاه</t>
  </si>
  <si>
    <t>https://www.instagram.com/heiate_saheb_zaman_galougah/</t>
  </si>
  <si>
    <t>https://t.me/heyatesahebazzamangalougah</t>
  </si>
  <si>
    <t>فداییان حضرت زینب (س)</t>
  </si>
  <si>
    <t>https://www.instagram.com/fadaeeyanezeynab313/</t>
  </si>
  <si>
    <t>بنت الرسول</t>
  </si>
  <si>
    <t>محمودآباد</t>
  </si>
  <si>
    <t>https://www.instagram.com/bentalrasol/</t>
  </si>
  <si>
    <t>حسینیه محمودآباد</t>
  </si>
  <si>
    <t>https://www.instagram.com/hoseiniyeh_mahmodabad/</t>
  </si>
  <si>
    <t>https://www.instagram.com/heyatgomnam/</t>
  </si>
  <si>
    <t>https://eitaa.com/HeyatGomnam</t>
  </si>
  <si>
    <t>سرخرود</t>
  </si>
  <si>
    <t>https://www.instagram.com/seyedoshohadasorkhrood/</t>
  </si>
  <si>
    <t>محبین حضرت علی اصغر</t>
  </si>
  <si>
    <t>https://www.instagram.com/heyataliasgharmollakola/</t>
  </si>
  <si>
    <t>https://t.me/mohebinaliasghar</t>
  </si>
  <si>
    <t>معلم کلا</t>
  </si>
  <si>
    <t>https://www.instagram.com/asheghanevelayat94/</t>
  </si>
  <si>
    <t>https://www.instagram.com/heyat_sahebzaman/</t>
  </si>
  <si>
    <t>نسل سلیمانی</t>
  </si>
  <si>
    <t>https://www.instagram.com/aghighe1/</t>
  </si>
  <si>
    <t>https://t.me/naslesoleimani_ir</t>
  </si>
  <si>
    <t>https://eitaa.com/aghighe1</t>
  </si>
  <si>
    <t>میاندورود</t>
  </si>
  <si>
    <t>سورک</t>
  </si>
  <si>
    <t>https://www.instagram.com/khademhosein313/</t>
  </si>
  <si>
    <t>حسینیا</t>
  </si>
  <si>
    <t>https://www.instagram.com/heyat_hoseynia_sourak/</t>
  </si>
  <si>
    <t>دلسوختگان بقیع فاطمیه</t>
  </si>
  <si>
    <t>نکاء</t>
  </si>
  <si>
    <t>https://www.instagram.com/fatemiyeh_neka</t>
  </si>
  <si>
    <t>https://t.me/fatemiyehneka</t>
  </si>
  <si>
    <t>https://eitaa.com/fatemiyehneka</t>
  </si>
  <si>
    <t>شیفتگان آل یاسین</t>
  </si>
  <si>
    <t>https://www.instagram.com/aleyasin_83</t>
  </si>
  <si>
    <t>https://t.me/aleyasin83</t>
  </si>
  <si>
    <t>https://www.instagram.com/heyat.razmandegan.neka/</t>
  </si>
  <si>
    <t>https://eitaa.com/heyatrazmandeganneka</t>
  </si>
  <si>
    <t>هیئت عزاداران متوسلین به امام سجاد (ع)</t>
  </si>
  <si>
    <t>https://www.instagram.com/masjede_sajadie_neka</t>
  </si>
  <si>
    <t>حضرت ابوالفضل اطرب</t>
  </si>
  <si>
    <t>روستای اطرب</t>
  </si>
  <si>
    <t>https://www.instagram.com/heyat_abolfazl.atrab</t>
  </si>
  <si>
    <t>https://eitaa.com/heyat_abolfazl_atrab</t>
  </si>
  <si>
    <t>انصارالمحسن</t>
  </si>
  <si>
    <t>نور</t>
  </si>
  <si>
    <t>https://www.instagram.com/ansaralmohsennoo</t>
  </si>
  <si>
    <t>https://t.me/ansaralmohsennoor</t>
  </si>
  <si>
    <t>محبان اباصالح المهدی (عج)</t>
  </si>
  <si>
    <t>چمستان</t>
  </si>
  <si>
    <t>https://eitaa.com/heyat_abasaleh_chamestan</t>
  </si>
  <si>
    <t>مادر سادات</t>
  </si>
  <si>
    <t>https://www.instagram.com/heyat_madar_sadat_noor/</t>
  </si>
  <si>
    <t>رویان</t>
  </si>
  <si>
    <t>https://www.instagram.com/heiat_jenabaliakbar/</t>
  </si>
  <si>
    <t>https://www.instagram.com/babalhavaejnoor</t>
  </si>
  <si>
    <t>محبان اهل بیت (ع)</t>
  </si>
  <si>
    <t>https://www.instagram.com/mohebbannoor_ir/</t>
  </si>
  <si>
    <t>https://eitaa.com/heyatrazmandegannor</t>
  </si>
  <si>
    <t>عاشقان ثارالله (ع)</t>
  </si>
  <si>
    <t>نوشهر</t>
  </si>
  <si>
    <t>https://www.instagram.com/mojib_org/</t>
  </si>
  <si>
    <t>https://t.me/mojib_org</t>
  </si>
  <si>
    <t>https://www.instagram.com/farzandan_madar_bineshan/</t>
  </si>
  <si>
    <t>https://www.instagram.com/maktabshohada</t>
  </si>
  <si>
    <t>ابوالفضلیا</t>
  </si>
  <si>
    <t>https://www.instagram.com/h_abalfazlia</t>
  </si>
  <si>
    <t>مجیر</t>
  </si>
  <si>
    <t>https://www.instagram.com/mojir.ir</t>
  </si>
  <si>
    <t>https://t.me/mojiir_org</t>
  </si>
  <si>
    <t>https://www.instagram.com/montazeran_noshahr</t>
  </si>
  <si>
    <t>https://t.me/montazerannoshahr94</t>
  </si>
  <si>
    <t>جوانان مسجدامام جعفرصادق ع</t>
  </si>
  <si>
    <t>https://www.instagram.com/m.emam.jafar.sadegh.nowshahr/</t>
  </si>
  <si>
    <t>https://eitaa.com/emam_jafar_sadegh_nowshahr_01</t>
  </si>
  <si>
    <t>کانون فرهنگی تبلیغی میثاق</t>
  </si>
  <si>
    <t>https://www.instagram.com/kanoon_misagh/</t>
  </si>
  <si>
    <t>https://t.me/kheyrroodmisagh</t>
  </si>
  <si>
    <t>https://www.instagram.com/heyat5tan_nowshahr/</t>
  </si>
  <si>
    <t>https://t.me/heyat5tan_nowshahr</t>
  </si>
  <si>
    <t>یاوران موعود</t>
  </si>
  <si>
    <t>https://www.instagram.com/kanoon_kdnn/</t>
  </si>
  <si>
    <t>https://t.me/kanoon_kdnn</t>
  </si>
  <si>
    <t>https://www.instagram.com/heyat_beytozahra14/</t>
  </si>
  <si>
    <t>https://t.me/heyAte_fatemezahra</t>
  </si>
  <si>
    <t>محبان حضرت ابوالفضل</t>
  </si>
  <si>
    <t>https://www.instagram.com/moheban_abalfazl_nowshahr/</t>
  </si>
  <si>
    <t>جان نثاران قمربنی هاشم(ع)</t>
  </si>
  <si>
    <t>https://www.instagram.com/heyat_jannesaran_nowshahr</t>
  </si>
  <si>
    <t>https://www.instagram.com/shahzadealiakbar.ir/</t>
  </si>
  <si>
    <t>https://t.me/shahzadealiakbar1349</t>
  </si>
  <si>
    <t>https://www.instagram.com/mosleh118_info/</t>
  </si>
  <si>
    <t>https://t.me/mosleh118_info</t>
  </si>
  <si>
    <t>https://www.instagram.com/beytolabas133/</t>
  </si>
  <si>
    <t>بیرق نوکران مادر پهلو شکسته</t>
  </si>
  <si>
    <t>https://www.instagram.com/nokaran135/</t>
  </si>
  <si>
    <t>خادم مدیا</t>
  </si>
  <si>
    <t>https://www.instagram.com/khademmedia_ir/</t>
  </si>
  <si>
    <t>https://t.me/khademmedia_ir</t>
  </si>
  <si>
    <t>https://eitaa.com/khademmedia_ir</t>
  </si>
  <si>
    <t>یوما</t>
  </si>
  <si>
    <t>https://www.instagram.com/yumma_org/</t>
  </si>
  <si>
    <t>شبیر مدیا</t>
  </si>
  <si>
    <t>https://www.instagram.com/shobeyr.media/</t>
  </si>
  <si>
    <t>بوریا گراف</t>
  </si>
  <si>
    <t>https://www.instagram.com/booriya_graph/</t>
  </si>
  <si>
    <t>گروه رسانه ای تابش</t>
  </si>
  <si>
    <t>https://www.instagram.com/tabesh___group/</t>
  </si>
  <si>
    <t>https://t.me/tabesh_telegram</t>
  </si>
  <si>
    <t>استدیو هنری ماهورا</t>
  </si>
  <si>
    <t>سانه</t>
  </si>
  <si>
    <t>قمرمدیا</t>
  </si>
  <si>
    <t>https://www.instagram.com/qamar_media_ir/</t>
  </si>
  <si>
    <t xml:space="preserve">رسانه </t>
  </si>
  <si>
    <t>مشک</t>
  </si>
  <si>
    <t>https://www.instagram.com/moshk_info/</t>
  </si>
  <si>
    <t>رسانه هنری ریحان</t>
  </si>
  <si>
    <t>https://www.instagram.com/reyhan_artmedia/</t>
  </si>
  <si>
    <t>آوایِ شیعه</t>
  </si>
  <si>
    <t>https://www.instagram.com/avaye_shieh/</t>
  </si>
  <si>
    <t>مقیــم</t>
  </si>
  <si>
    <t>https://www.instagram.com/moghim118/</t>
  </si>
  <si>
    <t>فراق</t>
  </si>
  <si>
    <t>https://www.instagram.com/feraq.media/</t>
  </si>
  <si>
    <t>حر مدیا</t>
  </si>
  <si>
    <t>https://www.instagram.com/horr_media/</t>
  </si>
  <si>
    <t>موکب انصار الحسین (ع) نکاء</t>
  </si>
  <si>
    <t>https://eitaa.com/mookeeb</t>
  </si>
  <si>
    <t>محبان اهل بیت قائمشهر</t>
  </si>
  <si>
    <t>https://www.instagram.com/moheban_ahlebeyt</t>
  </si>
  <si>
    <t>https://eitaa.com/moheban_ahlebeyt</t>
  </si>
  <si>
    <t>https://eitaa.com/rahianekarbala</t>
  </si>
  <si>
    <t>شهدای شهرستان بهشهر</t>
  </si>
  <si>
    <t>https://eitaa.com/Behshahr_Arbaeen</t>
  </si>
  <si>
    <t>الزهرا قائمشهر</t>
  </si>
  <si>
    <t>https://eitaa.com/heyatalzahra_ir</t>
  </si>
  <si>
    <t>بیت النور شهرستان بهشهر</t>
  </si>
  <si>
    <t>https://eitaa.com/hbnoor</t>
  </si>
  <si>
    <t>https://eitaa.com/razmandegan_babol</t>
  </si>
  <si>
    <t>مقاومت بیت العباس</t>
  </si>
  <si>
    <t>https://eitaa.com/heiat_beytolabbas</t>
  </si>
  <si>
    <t>انصار المهدی شهدای تنکابن</t>
  </si>
  <si>
    <t>فرهنگی تربیتی رایه المهدی</t>
  </si>
  <si>
    <t>https://eitaa.com/raayatalmahdi</t>
  </si>
  <si>
    <t>ایتا / بله/سروش/روبیکا</t>
  </si>
  <si>
    <t>آپارات</t>
  </si>
  <si>
    <t>قزوین</t>
  </si>
  <si>
    <t>آبیک</t>
  </si>
  <si>
    <t>https://www.instagram.com/razmandegan_abyek</t>
  </si>
  <si>
    <t>https://eitaa.com/razmandegan_abyek</t>
  </si>
  <si>
    <t>ابن الکریم (ع)</t>
  </si>
  <si>
    <t>https://www.instagram.com/ebnolkarim315/</t>
  </si>
  <si>
    <r>
      <rPr>
        <rFont val="-apple-system, BlinkMacSystemFont, &quot;Segoe UI&quot;, Roboto, Helvetica, Arial, sans-serif"/>
        <color rgb="FF1155CC"/>
        <sz val="11.0"/>
        <u/>
      </rPr>
      <t>t.me/ebnolkarim315</t>
    </r>
  </si>
  <si>
    <t>عشاق الحسین (ع) قشلاق</t>
  </si>
  <si>
    <t>https://eitaa.com/oshagholhossein1376</t>
  </si>
  <si>
    <t>https://www.instagram.com/oshagh__abyek/</t>
  </si>
  <si>
    <r>
      <rPr>
        <rFont val="-apple-system, BlinkMacSystemFont, &quot;Segoe UI&quot;, Roboto, Helvetica, Arial, sans-serif"/>
        <color rgb="FF1155CC"/>
        <sz val="11.0"/>
        <u/>
      </rPr>
      <t>t.me/oshagh_abyek</t>
    </r>
  </si>
  <si>
    <t>مسجد ولی عصر(عج)</t>
  </si>
  <si>
    <t>https://t.me/masjedvaliasrabyek97</t>
  </si>
  <si>
    <t>ورزشکاران</t>
  </si>
  <si>
    <t>https://www.instagram.com/hose_ynie_varzeshkaran</t>
  </si>
  <si>
    <t>شیفتگان امام حسین</t>
  </si>
  <si>
    <t>https://www.instagram.com/heyat.shiftegan.emamhossein/</t>
  </si>
  <si>
    <t>ابناءفاطمه(س)</t>
  </si>
  <si>
    <t>https://www.instagram.com/abnafateme/</t>
  </si>
  <si>
    <t>https://t.me/abnafateme</t>
  </si>
  <si>
    <t>https://eitaa.com/abnafateme</t>
  </si>
  <si>
    <t>بیرق معظم رضویون</t>
  </si>
  <si>
    <t>https://www.instagram.com/razavioon.ir/</t>
  </si>
  <si>
    <t>مکتب العباس (ع)</t>
  </si>
  <si>
    <t>https://www.instagram.com/h.j.abyek/</t>
  </si>
  <si>
    <t>محبان امام رضا (ع)</t>
  </si>
  <si>
    <t>https://www.instagram.com/mohebban_ab1/</t>
  </si>
  <si>
    <t xml:space="preserve"> آیین مافی</t>
  </si>
  <si>
    <t>زیاران</t>
  </si>
  <si>
    <t>https://www.instagram.com/heiat_mafi_ziyaran/</t>
  </si>
  <si>
    <t>جوانان شهدا</t>
  </si>
  <si>
    <t>https://www.instagram.com/sabeghoon_heyat/</t>
  </si>
  <si>
    <t>الوند</t>
  </si>
  <si>
    <t>https://www.instagram.com/shohada_gomnam_alvand/</t>
  </si>
  <si>
    <t>https://t.me/shohada_gomnam_alvand</t>
  </si>
  <si>
    <t>https://eitaa.com/shohada_gomnam_alvand</t>
  </si>
  <si>
    <t>https://www.instagram.com/mahfel_ansaralhosein/</t>
  </si>
  <si>
    <t>https://www.instagram.com/fatemion_alvand/</t>
  </si>
  <si>
    <r>
      <rPr>
        <rFont val="-apple-system, BlinkMacSystemFont, &quot;Segoe UI&quot;, Roboto, Helvetica, Arial, sans-serif"/>
        <color rgb="FF1155CC"/>
        <sz val="11.0"/>
        <u/>
      </rPr>
      <t>t.me/fatemiuon</t>
    </r>
  </si>
  <si>
    <t>https://www.instagram.com/maktabolabbasalvand</t>
  </si>
  <si>
    <t>https://eitaa.com/Maktab97</t>
  </si>
  <si>
    <t>جوانان بزرگ مسجد قمربنی هاشم‌</t>
  </si>
  <si>
    <t>https://www.instagram.com/javanan_ghamarbani_cpehesham/</t>
  </si>
  <si>
    <t>منتظران ظهور</t>
  </si>
  <si>
    <t>https://www.instagram.com/montazeranzohoor12/</t>
  </si>
  <si>
    <t>http://t.me/montazeranzohoor12</t>
  </si>
  <si>
    <t>حضرت رقیه (س)</t>
  </si>
  <si>
    <t>https://t.me/yaroghayeh1380</t>
  </si>
  <si>
    <t>لواءالزینب</t>
  </si>
  <si>
    <t>https://www.instagram.com/levaozzeinab_alvand/</t>
  </si>
  <si>
    <t>https://www.instagram.com/mahfel_ansar_alhossein/</t>
  </si>
  <si>
    <t>عشاق الرقیة</t>
  </si>
  <si>
    <t>https://www.instagram.com/heeyatosagolrogey128/</t>
  </si>
  <si>
    <t>بیت الحسن</t>
  </si>
  <si>
    <t>بیدستان</t>
  </si>
  <si>
    <t>https://www.instagram.com/beytolhasan2/</t>
  </si>
  <si>
    <t>مدافعان حرم</t>
  </si>
  <si>
    <t>https://www.instagram.com/heyat_modafean_haram14/</t>
  </si>
  <si>
    <t>https://t.me/heyaat_Modafeane_Haram</t>
  </si>
  <si>
    <t>https://eitaa.com/heyaat_modafeane_haram</t>
  </si>
  <si>
    <t>بنت الحسین (س)</t>
  </si>
  <si>
    <t>شریفیه</t>
  </si>
  <si>
    <t>https://eitaa.com/bentolhossin_salamola</t>
  </si>
  <si>
    <t>http://instagram.com/Oshaghozahra_ir</t>
  </si>
  <si>
    <t>https://t.me/Oshaghozahra_ir</t>
  </si>
  <si>
    <t>https://www.instagram.com/heyat.qasem201/</t>
  </si>
  <si>
    <t>یازهرا (س)</t>
  </si>
  <si>
    <t>https://www.instagram.com/yazahra.ir/</t>
  </si>
  <si>
    <r>
      <rPr>
        <rFont val="-apple-system, BlinkMacSystemFont, &quot;Segoe UI&quot;, Roboto, Helvetica, Arial, sans-serif"/>
        <color rgb="FF1155CC"/>
        <sz val="11.0"/>
        <u/>
      </rPr>
      <t>t.me/yazahra_ir</t>
    </r>
  </si>
  <si>
    <t>حضرت قاسم (ع)</t>
  </si>
  <si>
    <t>https://www.instagram.com/asheghan.hazrate.ghasem/</t>
  </si>
  <si>
    <t>انصار المهدی (عج)</t>
  </si>
  <si>
    <t>https://www.instagram.com/ansaralmahdy313/</t>
  </si>
  <si>
    <r>
      <rPr>
        <rFont val="-apple-system, BlinkMacSystemFont, &quot;Segoe UI&quot;, Roboto, Helvetica, Arial, sans-serif"/>
        <color rgb="FF1155CC"/>
        <sz val="11.0"/>
        <u/>
      </rPr>
      <t>t.me/akhbarheyat</t>
    </r>
  </si>
  <si>
    <t>فاطمه الزهرا</t>
  </si>
  <si>
    <t>https://eitaa.com/fatemeh_alzahra</t>
  </si>
  <si>
    <t xml:space="preserve">قمربنی هاشم و قاسم بن الحسن (ع) </t>
  </si>
  <si>
    <t>محمدیه، باورس</t>
  </si>
  <si>
    <t>https://eitaa.com/heyat2bavers</t>
  </si>
  <si>
    <t>مهرگان</t>
  </si>
  <si>
    <t>https://www.instagram.com/imam_hasan_mojtaba_mehregan/</t>
  </si>
  <si>
    <t>https://www.instagram.com/yazahra.mehregan/</t>
  </si>
  <si>
    <t>https://t.me/yazahra_mehregan</t>
  </si>
  <si>
    <t>بوئین زهرا</t>
  </si>
  <si>
    <t>دانسفهان</t>
  </si>
  <si>
    <t>https://www.instagram.com/danesfahanheiat/</t>
  </si>
  <si>
    <r>
      <rPr>
        <rFont val="-apple-system, BlinkMacSystemFont, &quot;Segoe UI&quot;, Roboto, Helvetica, Arial, sans-serif"/>
        <color rgb="FF1155CC"/>
        <sz val="11.0"/>
        <u/>
      </rPr>
      <t>t.me/danesfahanheiat</t>
    </r>
  </si>
  <si>
    <t>شال</t>
  </si>
  <si>
    <t>https://www.instagram.com/heyat_moheban_ahlebeit/</t>
  </si>
  <si>
    <t>ثارالله (ع)</t>
  </si>
  <si>
    <t>https://www.instagram.com/heyat_saralah_shall/</t>
  </si>
  <si>
    <t>چهارده معصوم (ع) مسجدصاحب الزمان</t>
  </si>
  <si>
    <t>https://www.instagram.com/heyat_14masom_shal/</t>
  </si>
  <si>
    <t>عاشورائیان</t>
  </si>
  <si>
    <t>https://www.instagram.com/heyat_ashuraiyan_shall/</t>
  </si>
  <si>
    <t>https://www.instagram.com/hrbshall/</t>
  </si>
  <si>
    <t>آقا علی بن موسی الرضا علیه السلام</t>
  </si>
  <si>
    <t>https://www.instagram.com/heyate_emam_reza_shal/</t>
  </si>
  <si>
    <t xml:space="preserve">انصارالمهدی (عج) </t>
  </si>
  <si>
    <t>قلعه گنجی</t>
  </si>
  <si>
    <t>https://www.instagram.com/ansarmahdi_galeganji/</t>
  </si>
  <si>
    <t>https://eitaa.com/h_ansaralmahdi</t>
  </si>
  <si>
    <t>انصارالحسین(ع) (خوزنین)</t>
  </si>
  <si>
    <t>https://www.instagram.com/ansaralhosein_khoznin1/</t>
  </si>
  <si>
    <t>https://t.me/ansaralhosein_khoznin</t>
  </si>
  <si>
    <t xml:space="preserve">حسینه </t>
  </si>
  <si>
    <t>https://www.instagram.com/hoseynieh_aliasghar_buinzahra/</t>
  </si>
  <si>
    <t>جوانان طفلان مسلم</t>
  </si>
  <si>
    <t>https://www.instagram.com/teflannemoslem/</t>
  </si>
  <si>
    <t>https://t.me/teflanemoslam</t>
  </si>
  <si>
    <t>عماریاسر</t>
  </si>
  <si>
    <t>تاکستان</t>
  </si>
  <si>
    <t>اسفرورین</t>
  </si>
  <si>
    <t>https://eitaa.com/ammaryaseresfarvarin</t>
  </si>
  <si>
    <t>https://www.instagram.com/mohebban.ahl.beyt/</t>
  </si>
  <si>
    <t>عمار یاسر</t>
  </si>
  <si>
    <t>https://www.instagram.com/ammaryaseresfarvarin/</t>
  </si>
  <si>
    <t>خرمدشت</t>
  </si>
  <si>
    <t>https://eitaa.com/heyatoshohaada</t>
  </si>
  <si>
    <t>شهدای</t>
  </si>
  <si>
    <t>زینبیه</t>
  </si>
  <si>
    <t>ضیاءآباد</t>
  </si>
  <si>
    <t>https://www.instagram.com/zeinabei2/</t>
  </si>
  <si>
    <t>https://t.me/Zeinabei1</t>
  </si>
  <si>
    <t>حضرت فاطمه الزهرا (س)</t>
  </si>
  <si>
    <t>نرجه</t>
  </si>
  <si>
    <t>https://www.instagram.com/heiat_fateme_zahra_narjeh/</t>
  </si>
  <si>
    <t>مهدی آل محمد(عج) مسجد امام حسین(ع)</t>
  </si>
  <si>
    <t>https://www.instagram.com/mahdialmohamad_</t>
  </si>
  <si>
    <t>https://eitaa.com/mahdialmohamad</t>
  </si>
  <si>
    <t>مکتب الزهرا (س) (رزمندگان اسلام)</t>
  </si>
  <si>
    <t>https://t.me/mahfel_maktab_zahra</t>
  </si>
  <si>
    <t>https://www.instagram.com/mahfel_maktab_zahra/</t>
  </si>
  <si>
    <r>
      <rPr>
        <rFont val="-apple-system, BlinkMacSystemFont, &quot;Segoe UI&quot;, Roboto, Helvetica, Arial, sans-serif"/>
        <color rgb="FF1155CC"/>
        <sz val="11.0"/>
        <u/>
      </rPr>
      <t>t.me/mahfel_maktab_zahra</t>
    </r>
  </si>
  <si>
    <t>https://www.instagram.com/maktabalabbas133/channel/</t>
  </si>
  <si>
    <r>
      <rPr>
        <rFont val="-apple-system, BlinkMacSystemFont, &quot;Segoe UI&quot;, Roboto, Helvetica, Arial, sans-serif"/>
        <color rgb="FF1155CC"/>
        <sz val="11.0"/>
        <u/>
      </rPr>
      <t>t.me/maktabalabbas133</t>
    </r>
  </si>
  <si>
    <t>فدائیان حسین (ع)</t>
  </si>
  <si>
    <t>https://www.instagram.com/fadayanehosien</t>
  </si>
  <si>
    <t>https://www.instagram.com/fatemiyoun_tak/</t>
  </si>
  <si>
    <t>https://www.instagram.com/bh_takestan/</t>
  </si>
  <si>
    <t>https://www.instagram.com/heyat_misagh_ba_shohada/</t>
  </si>
  <si>
    <t>طریق الجنة</t>
  </si>
  <si>
    <t>https://www.instagram.com/tarigh.aljane/</t>
  </si>
  <si>
    <t>https://telegram.me/Tarigh_aljane</t>
  </si>
  <si>
    <t xml:space="preserve">بقیة الله ارواحنا له الفدا </t>
  </si>
  <si>
    <t>https://www.instagram.com/heyat_bageyatallah/</t>
  </si>
  <si>
    <t xml:space="preserve">مسجد امام حسن عسکری(ع) </t>
  </si>
  <si>
    <t>(شهرک کوثر)</t>
  </si>
  <si>
    <t>https://eitaa.com/MasjedjameEmamHasanAskary</t>
  </si>
  <si>
    <t>اقبالیه</t>
  </si>
  <si>
    <t>https://www.instagram.com/oshaqh_almahdi/</t>
  </si>
  <si>
    <t>مکتب خادمین حسینی (مجمع الحسنین)</t>
  </si>
  <si>
    <t>https://www.instagram.com/majmaolhasanin/</t>
  </si>
  <si>
    <t>پیروان ولایت مسجد جهارده معصوم(ع)</t>
  </si>
  <si>
    <t>https://eitaa.com/peyrovanvelayat_egbaliye</t>
  </si>
  <si>
    <t>https://www.instagram.com/heiatoshohada92/</t>
  </si>
  <si>
    <t>https://www.instagram.com/gomnam__1394/</t>
  </si>
  <si>
    <t>https://www.instagram.com/zeiynabyon</t>
  </si>
  <si>
    <t>https://telegram.dog/zeiynabyon1441</t>
  </si>
  <si>
    <t>https://www.instagram.com/asgari_martyr/</t>
  </si>
  <si>
    <t>پیروان ولایت</t>
  </si>
  <si>
    <t>https://www.instagram.com/peyrovanvelayat_egbaliye/</t>
  </si>
  <si>
    <t>https://t.me/HeyatepeyrovaneVelayat96</t>
  </si>
  <si>
    <t>مکتب خادمین الحسین(ع)</t>
  </si>
  <si>
    <t>https://www.instagram.com/maktab1382/</t>
  </si>
  <si>
    <t>https://www.instagram.com/maktabreza75/</t>
  </si>
  <si>
    <t>https://www.instagram.com/heiat_14masom_eghbaliye/</t>
  </si>
  <si>
    <t>https://eitaa.com/heiat_14masom_eghbaliiye</t>
  </si>
  <si>
    <t>محبین اهل‌بیت‌ (ع)</t>
  </si>
  <si>
    <t>دانشگاه بین المللی امام خمینی</t>
  </si>
  <si>
    <t>https://www.instagram.com/mohebbin.info/</t>
  </si>
  <si>
    <t>https://t.me/mohebbin_info</t>
  </si>
  <si>
    <t>دانشگاه علوم پزشكي</t>
  </si>
  <si>
    <t>https://www.instagram.com/heyat.qums/</t>
  </si>
  <si>
    <t>https://t.me/heyatqums</t>
  </si>
  <si>
    <t>جنت الحسن علیه السلام</t>
  </si>
  <si>
    <t>رزجرد</t>
  </si>
  <si>
    <t>https://www.instagram.com/janathasan_razjerd/</t>
  </si>
  <si>
    <t>https://t.me/janathasan2</t>
  </si>
  <si>
    <t>محبین اهل‌ بیت</t>
  </si>
  <si>
    <t>شهرک حصارآباد</t>
  </si>
  <si>
    <t>https://www.instagram.com/mohebbin_ahlebeyt_hassar/</t>
  </si>
  <si>
    <t>محبان علی اکبر(ع)</t>
  </si>
  <si>
    <t>شهرک کوثر</t>
  </si>
  <si>
    <t>https://www.instagram.com/mohebanaliakbar_qazvin/</t>
  </si>
  <si>
    <t>خاکنشینان بقیع</t>
  </si>
  <si>
    <t>شهرک مدرس</t>
  </si>
  <si>
    <t>https://www.instagram.com/khakneshinan_ir/</t>
  </si>
  <si>
    <t>https://t.me/khakneshinan_ir</t>
  </si>
  <si>
    <t>مسجد حضرت صاحب الزمان(عج)</t>
  </si>
  <si>
    <t>شهرک مهدیه</t>
  </si>
  <si>
    <t>https://eitaa.com/masjedesz</t>
  </si>
  <si>
    <t>رقیه جان (س)</t>
  </si>
  <si>
    <t>شهرک ناصرآباد</t>
  </si>
  <si>
    <t>https://www.instagram.com/roghayehjan_info/</t>
  </si>
  <si>
    <t>کریم اهل بیت(ع)</t>
  </si>
  <si>
    <t>https://www.instagram.com/heyate_karimahlebeyt</t>
  </si>
  <si>
    <t>19846‍</t>
  </si>
  <si>
    <t>روضه الشهدا (روضه الزهرا)</t>
  </si>
  <si>
    <t>مسجد امام خمینی (ره)</t>
  </si>
  <si>
    <t>https://www.instagram.com/rozatoshoohada/</t>
  </si>
  <si>
    <t>الزهرا (س)</t>
  </si>
  <si>
    <t>مینودر</t>
  </si>
  <si>
    <t>https://www.instagram.com/alzahra125.ir/</t>
  </si>
  <si>
    <t>مهدی جان</t>
  </si>
  <si>
    <t>https://www.instagram.com/mf_mahdijan/</t>
  </si>
  <si>
    <t>لثارات الحسین علیه السلام</t>
  </si>
  <si>
    <t>https://www.instagram.com/lasarat_qazvin/</t>
  </si>
  <si>
    <t>نصرت آباد</t>
  </si>
  <si>
    <t>https://www.instagram.com/heyat_ehm/</t>
  </si>
  <si>
    <t>هیأت هفتگی</t>
  </si>
  <si>
    <t>خادمان حضرت مهدی (عج)</t>
  </si>
  <si>
    <t>https://www.instagram.com/khademanmahdi_ir</t>
  </si>
  <si>
    <t>https://eitaa.com/khademanmahdi_ir</t>
  </si>
  <si>
    <t>https://www.instagram.com/hasanjan_qazvin/</t>
  </si>
  <si>
    <t>پنجره فولاد</t>
  </si>
  <si>
    <t>https://www.instagram.com/panjarefolad_ir/</t>
  </si>
  <si>
    <t>شباب الشمس</t>
  </si>
  <si>
    <t>https://www.instagram.com/shabab8_info/</t>
  </si>
  <si>
    <t>https://eitaa.com/shabab8_info</t>
  </si>
  <si>
    <t>محبان اهل البیت (ع)</t>
  </si>
  <si>
    <t>https://www.instagram.com/h_mohebaneahlebeyt/</t>
  </si>
  <si>
    <t>https://t.me/h_mohebaneahlebeyt</t>
  </si>
  <si>
    <t>https://eitaa.com/H_Mohebaneahlebeyt</t>
  </si>
  <si>
    <t xml:space="preserve">شمس الشموس
</t>
  </si>
  <si>
    <t>https://eitaa.com/Shamsoshomous_info</t>
  </si>
  <si>
    <t>https://www.instagram.com/heeyat_rozatoreza/</t>
  </si>
  <si>
    <r>
      <rPr>
        <rFont val="-apple-system, BlinkMacSystemFont, &quot;Segoe UI&quot;, Roboto, Helvetica, Arial, sans-serif"/>
        <color rgb="FF1155CC"/>
        <sz val="11.0"/>
        <u/>
      </rPr>
      <t>t.me/heyat_rozatoreza</t>
    </r>
  </si>
  <si>
    <t>https://www.instagram.com/heyatalshohada/</t>
  </si>
  <si>
    <r>
      <rPr>
        <rFont val="-apple-system, BlinkMacSystemFont, &quot;Segoe UI&quot;, Roboto, Helvetica, Arial, sans-serif"/>
        <color rgb="FF1155CC"/>
        <sz val="11.0"/>
        <u/>
      </rPr>
      <t>telegram.dog/heyatalshohada_qaz</t>
    </r>
  </si>
  <si>
    <t>انصارالصلاه</t>
  </si>
  <si>
    <t>https://eitaa.com/yaranenamaz</t>
  </si>
  <si>
    <t>ابن الرضا (ع) _ امام زاده حسین</t>
  </si>
  <si>
    <t>https://eitaa.com/ebn_reza_qazvin</t>
  </si>
  <si>
    <t>امام حسین(ع)</t>
  </si>
  <si>
    <t>https://www.instagram.com/emamhosein_qaz/</t>
  </si>
  <si>
    <r>
      <rPr>
        <rFont val="-apple-system, BlinkMacSystemFont, &quot;Segoe UI&quot;, Roboto, Helvetica, Arial, sans-serif"/>
        <color rgb="FF1155CC"/>
        <sz val="11.0"/>
        <u/>
      </rPr>
      <t>qazvin.com/</t>
    </r>
  </si>
  <si>
    <t>عاشقان اهل بیت (ع)</t>
  </si>
  <si>
    <t>https://eitaa.com/heyatasheghaneqazvin</t>
  </si>
  <si>
    <t>جوادالائمه(ع)</t>
  </si>
  <si>
    <t>https://www.instagram.com/javadolaemeh_qazvin/</t>
  </si>
  <si>
    <t>مکتب المهدی (عج)</t>
  </si>
  <si>
    <t>https://eitaa.com/ansarolmahdiqazvin</t>
  </si>
  <si>
    <t>میثم تمار</t>
  </si>
  <si>
    <t>https://www.instagram.com/meysamtammar_qz.ir/</t>
  </si>
  <si>
    <t>https://eitaa.com/meysamtammar_qz</t>
  </si>
  <si>
    <t>عاشورا</t>
  </si>
  <si>
    <t>https://www.instagram.com/heyaat_ashoora_qazvin/</t>
  </si>
  <si>
    <r>
      <rPr>
        <rFont val="-apple-system, BlinkMacSystemFont, &quot;Segoe UI&quot;, Roboto, Helvetica, Arial, sans-serif"/>
        <color rgb="FF1155CC"/>
        <sz val="11.0"/>
        <u/>
      </rPr>
      <t>t.me/heyaat_ashoora</t>
    </r>
  </si>
  <si>
    <t>https://www.instagram.com/maktabalzahra.qazvin/</t>
  </si>
  <si>
    <r>
      <rPr>
        <rFont val="-apple-system, BlinkMacSystemFont, &quot;Segoe UI&quot;, Roboto, Helvetica, Arial, sans-serif"/>
        <color rgb="FF1155CC"/>
        <sz val="11.0"/>
        <u/>
      </rPr>
      <t>telegram.me/Maktabalzahraa</t>
    </r>
  </si>
  <si>
    <t>محبان الزهرا(س)</t>
  </si>
  <si>
    <t>https://www.instagram.com/heiat_mohebanalzahra/</t>
  </si>
  <si>
    <r>
      <rPr>
        <rFont val="-apple-system, BlinkMacSystemFont, &quot;Segoe UI&quot;, Roboto, Helvetica, Arial, sans-serif"/>
        <color rgb="FF1155CC"/>
        <sz val="11.0"/>
        <u/>
      </rPr>
      <t>t.me/heiat_mohebanalzahra</t>
    </r>
  </si>
  <si>
    <t>کانون تربیتی آستان امامزاده اسماعیل _ حسینیه امامزاده اسماعیل</t>
  </si>
  <si>
    <t>https://www.instagram.com/i_esmaeil/</t>
  </si>
  <si>
    <t>https://www.instagram.com/alzahraqazvin/</t>
  </si>
  <si>
    <r>
      <rPr>
        <rFont val="-apple-system, BlinkMacSystemFont, &quot;Segoe UI&quot;, Roboto, Helvetica, Arial, sans-serif"/>
        <color rgb="FF1155CC"/>
        <sz val="11.0"/>
        <u/>
      </rPr>
      <t>www.alzahraqazvin.ir</t>
    </r>
  </si>
  <si>
    <t>https://www.instagram.com/razmandegan_qazvin.ir/</t>
  </si>
  <si>
    <t>https://eitaa.com/hasanieh_heyat</t>
  </si>
  <si>
    <t>رزمندگان انصارالمهدی (عج)</t>
  </si>
  <si>
    <t>https://www.instagram.com/ansarolmahdi_qazvin/</t>
  </si>
  <si>
    <t>یاوران ولایت (مسجد مهدیه)</t>
  </si>
  <si>
    <t>https://www.instagram.com/yavaranevelayat_qazvin/</t>
  </si>
  <si>
    <r>
      <rPr>
        <rFont val="-apple-system, BlinkMacSystemFont, &quot;Segoe UI&quot;, Roboto, Helvetica, Arial, sans-serif"/>
        <color rgb="FF1155CC"/>
        <sz val="11.0"/>
        <u/>
      </rPr>
      <t>eitaa.com/yavaranevelayat_qazvin</t>
    </r>
  </si>
  <si>
    <t>خیمه العباس (ع) مسجد حضرت امیر</t>
  </si>
  <si>
    <t>https://www.instagram.com/masjedamir.net_/</t>
  </si>
  <si>
    <t>بیت العباس(ع) مسجد سنجیده</t>
  </si>
  <si>
    <t>https://www.instagram.com/beitolabbasqazvin/</t>
  </si>
  <si>
    <t>https://www.instagram.com/maktabalabas/</t>
  </si>
  <si>
    <t>https://www.instagram.com/sarallah_qaz/</t>
  </si>
  <si>
    <t>خدام الرضا (ع)</t>
  </si>
  <si>
    <t>https://www.instagram.com/khoddamor_reza_qazvin/</t>
  </si>
  <si>
    <r>
      <rPr>
        <rFont val="-apple-system, BlinkMacSystemFont, &quot;Segoe UI&quot;, Roboto, Helvetica, Arial, sans-serif"/>
        <color rgb="FF1155CC"/>
        <sz val="11.0"/>
        <u/>
      </rPr>
      <t>t.me/khoddamor_reza</t>
    </r>
  </si>
  <si>
    <t>محسن الزهرا(ع) (مسجد صاحب الزمان(عج))</t>
  </si>
  <si>
    <t>https://eitaa.com/mohsenzahra_qazvin</t>
  </si>
  <si>
    <t>عاشورائیان (شهرک کوثر)</t>
  </si>
  <si>
    <t>https://www.instagram.com/ashouraiyanqazvin</t>
  </si>
  <si>
    <r>
      <rPr>
        <rFont val="-apple-system, BlinkMacSystemFont, &quot;Segoe UI&quot;, Roboto, Helvetica, Arial, sans-serif"/>
        <color rgb="FF1155CC"/>
        <sz val="11.0"/>
        <u/>
      </rPr>
      <t>t.me/ashouraiyanqazvin</t>
    </r>
  </si>
  <si>
    <t>https://eitaa.com/ashouraiyanqazvin</t>
  </si>
  <si>
    <t>حسین جان(ع) (مسجد جامع المهدی)</t>
  </si>
  <si>
    <t>https://www.instagram.com/hosseinjan_qazvin/</t>
  </si>
  <si>
    <t>محبین ام ابیها</t>
  </si>
  <si>
    <t>https://www.instagram.com/hussainia_omm_abiha1437/</t>
  </si>
  <si>
    <t>https://t.me/mohebbin_ommeabiha</t>
  </si>
  <si>
    <t>https://www.instagram.com/hasanjaanqazvin/</t>
  </si>
  <si>
    <t>https://t.me/hasanjaan_qazvin</t>
  </si>
  <si>
    <t>حضرت مسلم علیه السلام</t>
  </si>
  <si>
    <t>https://www.instagram.com/hazratmoslem_qazvin/</t>
  </si>
  <si>
    <t>https://t.me/majmoe_hazratmoslem</t>
  </si>
  <si>
    <t>محفل معظم یا علی (ع)</t>
  </si>
  <si>
    <t>https://www.instagram.com/mahfel_moazam_yaali_qazvin/</t>
  </si>
  <si>
    <t>بیت العباس (ع)</t>
  </si>
  <si>
    <t>https://www.instagram.com/beitol_abbas_qazvinn/</t>
  </si>
  <si>
    <t>محسنیه کربلایی ها</t>
  </si>
  <si>
    <t>https://www.instagram.com/mohseniyeqazvin/</t>
  </si>
  <si>
    <t>هنری</t>
  </si>
  <si>
    <t>فدک</t>
  </si>
  <si>
    <t>https://www.instagram.com/fadak.qazvin/</t>
  </si>
  <si>
    <t>پیامبــراعظــم</t>
  </si>
  <si>
    <t>https://www.instagram.com/mohammadeamin_info/</t>
  </si>
  <si>
    <t>https://t.me/Mohammadeamin_info</t>
  </si>
  <si>
    <t>اباصالح المهدی</t>
  </si>
  <si>
    <t>https://eitaa.com/abasaleh_inf</t>
  </si>
  <si>
    <t>محبان امام حسن مجتبی (ع)</t>
  </si>
  <si>
    <t>انصارالصلاه (موسسه فرهنگی کمیل)</t>
  </si>
  <si>
    <t>https://www.instagram.com/yaranenamaz/</t>
  </si>
  <si>
    <t>https://t.me/yaranenamaz</t>
  </si>
  <si>
    <r>
      <rPr>
        <rFont val="-apple-system, BlinkMacSystemFont, &quot;Segoe UI&quot;, Roboto, Helvetica, Arial, sans-serif"/>
        <color rgb="FF1155CC"/>
        <sz val="11.0"/>
        <u/>
      </rPr>
      <t>www.yaranenamaz.com</t>
    </r>
  </si>
  <si>
    <t>بیت الرقیه (س) اعظم</t>
  </si>
  <si>
    <t>https://www.instagram.com/beytorroqayyeh/</t>
  </si>
  <si>
    <r>
      <rPr>
        <rFont val="-apple-system, BlinkMacSystemFont, &quot;Segoe UI&quot;, Roboto, Helvetica, Arial, sans-serif"/>
        <color rgb="FF1155CC"/>
        <sz val="11.0"/>
        <u/>
      </rPr>
      <t>t.me/beytorroqayyeh</t>
    </r>
  </si>
  <si>
    <t>حسین جان</t>
  </si>
  <si>
    <t>https://telegram.me/hosseinjan_qazvin</t>
  </si>
  <si>
    <t>https://eitaa.com/hosseinjan_qazvin</t>
  </si>
  <si>
    <t>https://www.instagram.com/roghaye_jaan315/</t>
  </si>
  <si>
    <r>
      <rPr>
        <rFont val="-apple-system, BlinkMacSystemFont, &quot;Segoe UI&quot;, Roboto, Helvetica, Arial, sans-serif"/>
        <color rgb="FF1155CC"/>
        <sz val="11.0"/>
        <u/>
      </rPr>
      <t>t.me/Roghaye_jaan315</t>
    </r>
  </si>
  <si>
    <t>رقیه خاتون (س)</t>
  </si>
  <si>
    <t>https://www.instagram.com/roghayeh_khatun_qazvin/</t>
  </si>
  <si>
    <t>https://www.instagram.com/sedreh_qazvin/</t>
  </si>
  <si>
    <r>
      <rPr>
        <rFont val="-apple-system, BlinkMacSystemFont, &quot;Segoe UI&quot;, Roboto, Helvetica, Arial, sans-serif"/>
        <color rgb="FF1155CC"/>
        <sz val="11.0"/>
        <u/>
      </rPr>
      <t>t.me/Sedreh_Qazvin</t>
    </r>
  </si>
  <si>
    <t>https://www.instagram.com/ashouraian_ir/</t>
  </si>
  <si>
    <t>دسترسی صفحه قفل بود</t>
  </si>
  <si>
    <t>https://eitaa.com/oshaqh_almahdi</t>
  </si>
  <si>
    <t>https://www.instagram.com/imamhosseinmosque/</t>
  </si>
  <si>
    <r>
      <rPr>
        <rFont val="-apple-system, BlinkMacSystemFont, &quot;Segoe UI&quot;, Roboto, Helvetica, Arial, sans-serif"/>
        <color rgb="FF1155CC"/>
        <sz val="11.0"/>
        <u/>
      </rPr>
      <t>t.me/Atresib_ir</t>
    </r>
  </si>
  <si>
    <t>کانون فرهنگی هنری توحید</t>
  </si>
  <si>
    <t>https://eitaa.com/kanoonetowhid</t>
  </si>
  <si>
    <t>https://www.instagram.com/heyat_asheghan_ahle_beyt/</t>
  </si>
  <si>
    <t>مجمع الذاکرین</t>
  </si>
  <si>
    <t>https://www.instagram.com/majmaa110/</t>
  </si>
  <si>
    <t>محبین حضرت محسن(ع)</t>
  </si>
  <si>
    <t>https://www.instagram.com/heyate.mohebin.hazrate.mohsen/</t>
  </si>
  <si>
    <t>https://www.instagram.com/pirejamaran_com/</t>
  </si>
  <si>
    <t>https://www.instagram.com/mahdion_qazvin/</t>
  </si>
  <si>
    <t>نسیم معرفت</t>
  </si>
  <si>
    <t>https://eitaa.com/nasimmarefat13</t>
  </si>
  <si>
    <t>https://www.instagram.com/norolhoda_daneshgah/</t>
  </si>
  <si>
    <t>تنهاترین سردار</t>
  </si>
  <si>
    <t>https://www.instagram.com/tanhatarin.sardar.qazvn/</t>
  </si>
  <si>
    <t>https://www.instagram.com/h_ansaralmahdi/</t>
  </si>
  <si>
    <t>https://t.me/h_ansaralmahdi</t>
  </si>
  <si>
    <t>https://eitaa.com/ansaralmahdy1197</t>
  </si>
  <si>
    <t>https://www.instagram.com/heyat.1342.ir/</t>
  </si>
  <si>
    <t>https://t.me/heyat1342</t>
  </si>
  <si>
    <t>https://eitaa.com/heyat1342</t>
  </si>
  <si>
    <t>https://www.instagram.com/heiatolhadiqazvin/</t>
  </si>
  <si>
    <t>https://www.instagram.com/khoddamalhusein/</t>
  </si>
  <si>
    <t>https://t.me/khoddamalhusein</t>
  </si>
  <si>
    <t>جوانان باغ دبیر</t>
  </si>
  <si>
    <t>https://www.instagram.com/javanan_baghedabir</t>
  </si>
  <si>
    <t>https://t.me/javanan_baghedabir</t>
  </si>
  <si>
    <t>جوانان ولیـعصر ﴿عج﴾</t>
  </si>
  <si>
    <t>https://www.instagram.com/javanan_valiasr.qazvin/</t>
  </si>
  <si>
    <t>https://t.me/javanan_valiasr_qaz</t>
  </si>
  <si>
    <t>سیدالشهداء علیه السلام</t>
  </si>
  <si>
    <t>https://www.instagram.com/karbalaeihayqazvin/</t>
  </si>
  <si>
    <t>https://t.me/karbalaeihayqazvin</t>
  </si>
  <si>
    <t xml:space="preserve"> آل یاسین(ع)</t>
  </si>
  <si>
    <t>https://www.instagram.com/aleyasin_qazvin/</t>
  </si>
  <si>
    <t>محبان امام زمان(عج)</t>
  </si>
  <si>
    <t>https://www.instagram.com/mohebbanemamzaman</t>
  </si>
  <si>
    <t>https://t.me/mohebban_emamzaman</t>
  </si>
  <si>
    <t>لواءالحیدر(ع)</t>
  </si>
  <si>
    <t>https://www.instagram.com/leva_al_heydar/</t>
  </si>
  <si>
    <t>جوانان کوروش</t>
  </si>
  <si>
    <t>https://www.instagram.com/javanan_korosh_qazvin/</t>
  </si>
  <si>
    <t>توحید</t>
  </si>
  <si>
    <t>https://www.instagram.com/masjed_tohid_qazvin/</t>
  </si>
  <si>
    <t>https://www.instagram.com/heyataliakbarzibashahr/</t>
  </si>
  <si>
    <t>https://t.me/heyataliakbarzibashahr</t>
  </si>
  <si>
    <t>ره یافتگان اَباعَبدِالله الحُسَین(ع)</t>
  </si>
  <si>
    <t>https://www.instagram.com/rahyafteganqazvin/</t>
  </si>
  <si>
    <t>علی اکبری</t>
  </si>
  <si>
    <t>https://www.instagram.com/hyeataliakbari/</t>
  </si>
  <si>
    <t>جوانان کوثر</t>
  </si>
  <si>
    <t>https://www.instagram.com/javanankosarqazvin</t>
  </si>
  <si>
    <t>https://www.instagram.com/oshagh_alabbas_qaz/</t>
  </si>
  <si>
    <t>https://t.me/oshagh_alabbas_gh</t>
  </si>
  <si>
    <t>جوانان فردوسی</t>
  </si>
  <si>
    <t>https://www.instagram.com/javananferdosiqazvin</t>
  </si>
  <si>
    <t>https://www.instagram.com/zovarolhossein_qazvin/</t>
  </si>
  <si>
    <t>جوانان توحید</t>
  </si>
  <si>
    <t>https://www.instagram.com/javanane_tohid/</t>
  </si>
  <si>
    <t>https://t.me/javanane_tohid</t>
  </si>
  <si>
    <t>روضة الحسین (ع)</t>
  </si>
  <si>
    <t>https://www.instagram.com/rozatolhossein.ir/</t>
  </si>
  <si>
    <t>https://t.me/rozatolhosain_ir</t>
  </si>
  <si>
    <t>ابوترابی</t>
  </si>
  <si>
    <t>https://www.instagram.com/aboutorabi_hosseiniyeh/</t>
  </si>
  <si>
    <t>https://t.me/aboutorabi_hosseiniyeh</t>
  </si>
  <si>
    <t>https://eitaa.com/aboutorabi_hosseiniyeh</t>
  </si>
  <si>
    <t>مرحوم محمدی نسب</t>
  </si>
  <si>
    <t>https://www.instagram.com/ayatolvelayat/</t>
  </si>
  <si>
    <t>https://t.me/ayatolvelayat</t>
  </si>
  <si>
    <t>https://www.instagram.com/saghaa_ir/</t>
  </si>
  <si>
    <t>https://www.instagram.com/heiatshohada.q/</t>
  </si>
  <si>
    <t>https://www.instagram.com/heyaat_aliakbar_qazvin/</t>
  </si>
  <si>
    <t>بچه های پیامبر</t>
  </si>
  <si>
    <t>https://www.instagram.com/bachehayepayambar/</t>
  </si>
  <si>
    <t>https://www.instagram.com/atresib_ir/</t>
  </si>
  <si>
    <t>https://t.me/Atresib_ir</t>
  </si>
  <si>
    <t>بیت السادات</t>
  </si>
  <si>
    <t>https://www.instagram.com/beyt_sadat/</t>
  </si>
  <si>
    <t>https://t.me/beyt_sadat</t>
  </si>
  <si>
    <t>https://eitaa.com/beyt_sadat</t>
  </si>
  <si>
    <t>امامزاده حسین</t>
  </si>
  <si>
    <t>https://www.instagram.com/hoseynieh_qazvin/</t>
  </si>
  <si>
    <t>نوای جنون</t>
  </si>
  <si>
    <t>https://t.me/njonon</t>
  </si>
  <si>
    <t>خیمه هنر</t>
  </si>
  <si>
    <t>https://www.instagram.com/kheymehonar/</t>
  </si>
  <si>
    <t>https://t.me/kheymehonar</t>
  </si>
  <si>
    <t>تشکل دخترانه نورا</t>
  </si>
  <si>
    <t>https://www.instagram.com/dokhtarannoora/</t>
  </si>
  <si>
    <t>https://eitaa.com/dokhtaran_noora</t>
  </si>
  <si>
    <t>پیروان امین</t>
  </si>
  <si>
    <t>https://www.instagram.com/peyrovan_amin/</t>
  </si>
  <si>
    <t>https://eitaa.com/Peyrovan_amin</t>
  </si>
  <si>
    <t xml:space="preserve"> اباصالح المهدی</t>
  </si>
  <si>
    <t>https://www.instagram.com/abasaleh_inf/</t>
  </si>
  <si>
    <t>https://t.me/abasaleh_inf</t>
  </si>
  <si>
    <t>شهدای حسینی (ع)</t>
  </si>
  <si>
    <t>https://www.instagram.com/shohadayehosseini/</t>
  </si>
  <si>
    <t>https://www.instagram.com/r.shohada/</t>
  </si>
  <si>
    <t>https://www.instagram.com/beyt_roghayeh_ir/</t>
  </si>
  <si>
    <t>https://www.instagram.com/farhangi_javadolaeme/</t>
  </si>
  <si>
    <t>https://t.me/masged_javadol_aemeh</t>
  </si>
  <si>
    <t>https://www.instagram.com/mohsenzahra.qazvin/</t>
  </si>
  <si>
    <t>https://t.me/mohsenzahra</t>
  </si>
  <si>
    <t>معراج الشهدا</t>
  </si>
  <si>
    <t>https://www.instagram.com/alamdar_shohada/</t>
  </si>
  <si>
    <t>شهدای مدافع حرم</t>
  </si>
  <si>
    <t>https://www.instagram.com/shohada_media.ir/</t>
  </si>
  <si>
    <t>https://eitaa.com/shohada_media_ir</t>
  </si>
  <si>
    <t>حضرت جوادالائمه علیه السلام</t>
  </si>
  <si>
    <t>https://www.instagram.com/heyat_hazrat_javadolaemeh/</t>
  </si>
  <si>
    <t>مرحوم حجت الاسلام والمسلمین محمدی نسب(ره)</t>
  </si>
  <si>
    <t>https://www.instagram.com/ayat_velayat/</t>
  </si>
  <si>
    <t>https://www.instagram.com/rozatoalzahra.qaz/</t>
  </si>
  <si>
    <t>https://www.instagram.com/h.oshagalmahdi/</t>
  </si>
  <si>
    <t>بیرق معظم مکتب الهادی(علیـہ السلام)</t>
  </si>
  <si>
    <t>https://www.instagram.com/maktabolhadi_qazvin/</t>
  </si>
  <si>
    <t>https://t.me/maktabolhadi_qazvin</t>
  </si>
  <si>
    <t>https://eitaa.com/h_maktabolhadi_qazvin</t>
  </si>
  <si>
    <t>https://www.instagram.com/roghayeh.khatun.qazvin/</t>
  </si>
  <si>
    <t>https://t.me/Roghayeh_Khatun_Qazvin</t>
  </si>
  <si>
    <t>https://eitaa.com/Roghayeh_Khatun_Qazvin</t>
  </si>
  <si>
    <t>قاسم ابن الحسن (ع)</t>
  </si>
  <si>
    <t>https://www.instagram.com/kheymegah_201/</t>
  </si>
  <si>
    <t>غلامان آل حیدر (ع)</t>
  </si>
  <si>
    <t>همدان</t>
  </si>
  <si>
    <t>بهار</t>
  </si>
  <si>
    <t>https://www.instagram.com/gholaman_ale_heydar/</t>
  </si>
  <si>
    <r>
      <rPr>
        <rFont val="-apple-system, BlinkMacSystemFont, &quot;Segoe UI&quot;, Roboto, Helvetica, Arial, sans-serif"/>
        <color rgb="FF1155CC"/>
        <sz val="11.0"/>
        <u/>
      </rPr>
      <t>t.me/gholaman_ale_heydar</t>
    </r>
  </si>
  <si>
    <t>https://eitaa.com/gholaman_all_hidar</t>
  </si>
  <si>
    <t>علمدار (ع)</t>
  </si>
  <si>
    <t>https://www.instagram.com/alamdarinfo/</t>
  </si>
  <si>
    <t>https://eitaa.com/Fatemiee313_hmd</t>
  </si>
  <si>
    <t>جوانان سائلین المهدی (عج)</t>
  </si>
  <si>
    <t>https://eitaa.com/saelin_almahdi</t>
  </si>
  <si>
    <t>عمه سادات</t>
  </si>
  <si>
    <t>نهاوند</t>
  </si>
  <si>
    <t>https://www.instagram.com/heyat_ameh_sadat/</t>
  </si>
  <si>
    <t>محبین اهل بیت (ع)</t>
  </si>
  <si>
    <t>دانشگاه بوعلی سینا</t>
  </si>
  <si>
    <t>https://www.instagram.com/heyatbasu/</t>
  </si>
  <si>
    <t>https://eitaa.com/heyatbasu</t>
  </si>
  <si>
    <t>کانون عباسیه و عاشقان ثارالله(ع) (مسجد عباسیه کوچه مشکی)</t>
  </si>
  <si>
    <t>https://www.instagram.com/abbasiye_kochmeshki/</t>
  </si>
  <si>
    <t>https://eitaa.com/abbasiye_kochmeshki</t>
  </si>
  <si>
    <t>عباسیه جولان</t>
  </si>
  <si>
    <t>https://www.instagram.com/abbasie_julan/</t>
  </si>
  <si>
    <t>ملایر</t>
  </si>
  <si>
    <t>https://www.instagram.com/seyedoshohada_malayer_/</t>
  </si>
  <si>
    <t>https://t.me/seyedoshohada_malayer</t>
  </si>
  <si>
    <t>سائلین اباصالح المهدی (عج)</t>
  </si>
  <si>
    <t>https://www.instagram.com/heiate_saelin/</t>
  </si>
  <si>
    <t>جوانان حزب الله</t>
  </si>
  <si>
    <t>روستا کرتیل آباد</t>
  </si>
  <si>
    <t>https://eitaa.com/hezbollahemalayer</t>
  </si>
  <si>
    <t>اباصالح المهدی (عج)</t>
  </si>
  <si>
    <t>رزن</t>
  </si>
  <si>
    <t>https://www.instagram.com/heyatabasalehrazan/</t>
  </si>
  <si>
    <t>https://t.me/Heyatabasalehrazan</t>
  </si>
  <si>
    <t>https://eitaa.com/heyatabasalehrazan</t>
  </si>
  <si>
    <t>حضرت علی اکبر(ع)</t>
  </si>
  <si>
    <t>https://www.instagram.com/h_aliakbar1378/</t>
  </si>
  <si>
    <t>دوبانوی دمشق(س)</t>
  </si>
  <si>
    <t>https://www.instagram.com/_2banoyedameshgh/</t>
  </si>
  <si>
    <r>
      <rPr>
        <rFont val="-apple-system, BlinkMacSystemFont, &quot;Segoe UI&quot;, Roboto, Helvetica, Arial, sans-serif"/>
        <color rgb="FF1155CC"/>
        <sz val="11.0"/>
        <u/>
      </rPr>
      <t>eitaa.com/dobanoydameshg</t>
    </r>
  </si>
  <si>
    <t>خاتم الانبیا (ص)</t>
  </si>
  <si>
    <t>https://www.instagram.com/hoosineh.khatm_anbia1402/</t>
  </si>
  <si>
    <t>عاشقان حضرت مهدی (عج)</t>
  </si>
  <si>
    <t>https://www.instagram.com/asheghan_mahdi_/</t>
  </si>
  <si>
    <r>
      <rPr>
        <rFont val="-apple-system, BlinkMacSystemFont, &quot;Segoe UI&quot;, Roboto, Helvetica, Arial, sans-serif"/>
        <color rgb="FF1155CC"/>
        <sz val="11.0"/>
        <u/>
      </rPr>
      <t>t.me/montazran94</t>
    </r>
  </si>
  <si>
    <t xml:space="preserve">محبین الحسین (ع) </t>
  </si>
  <si>
    <t>اعتمادیه</t>
  </si>
  <si>
    <t>https://www.instagram.com/mohebin_al_hosein_hamedan/</t>
  </si>
  <si>
    <t>https://eitaa.com/mohebin_ir</t>
  </si>
  <si>
    <t>محبین الحسین (ع) مسجد ولایت</t>
  </si>
  <si>
    <t>https://www.instagram.com/abes.ir_</t>
  </si>
  <si>
    <t>https://t.me/mohebin_org</t>
  </si>
  <si>
    <t>انصارالشهدا</t>
  </si>
  <si>
    <t>https://www.instagram.com/ansaroshohada/</t>
  </si>
  <si>
    <r>
      <rPr>
        <rFont val="-apple-system, BlinkMacSystemFont, &quot;Segoe UI&quot;, Roboto, Helvetica, Arial, sans-serif"/>
        <color rgb="FF1155CC"/>
        <sz val="11.0"/>
        <u/>
      </rPr>
      <t>tlgrm.me/ansaroshohada</t>
    </r>
  </si>
  <si>
    <t>https://eitaa.com/ansaroshohada</t>
  </si>
  <si>
    <t>شهرک مدنی</t>
  </si>
  <si>
    <t>https://www.instagram.com/ansaralmahdiag313/</t>
  </si>
  <si>
    <r>
      <rPr>
        <rFont val="-apple-system, BlinkMacSystemFont, &quot;Segoe UI&quot;, Roboto, Helvetica, Arial, sans-serif"/>
        <color rgb="FF1155CC"/>
        <sz val="11.0"/>
        <u/>
      </rPr>
      <t>eitaa.com/ansar813</t>
    </r>
  </si>
  <si>
    <t>علی بن ابیطالب (ع)</t>
  </si>
  <si>
    <t>https://www.instagram.com/aliebnabitaleb_hmd/</t>
  </si>
  <si>
    <r>
      <rPr>
        <rFont val="-apple-system, BlinkMacSystemFont, &quot;Segoe UI&quot;, Roboto, Helvetica, Arial, sans-serif"/>
        <color rgb="FF1155CC"/>
        <sz val="11.0"/>
        <u/>
      </rPr>
      <t>t.me/aliebnabitaleb110</t>
    </r>
  </si>
  <si>
    <t>مجمع الذاکرین خواهران</t>
  </si>
  <si>
    <t>https://eitaa.com/majmaozakerinhameda</t>
  </si>
  <si>
    <t>انصارالحسین (ع)</t>
  </si>
  <si>
    <t>https://www.instagram.com/heyat_ansar_alhoseyn/</t>
  </si>
  <si>
    <t>غریبان مدینه</t>
  </si>
  <si>
    <t>https://www.instagram.com/ghariban_ir/</t>
  </si>
  <si>
    <t>انصارالزهرا (س)</t>
  </si>
  <si>
    <t>https://www.instagram.com/ansarozahra.s/</t>
  </si>
  <si>
    <t>طفلان مسلم (دعای ندبه)</t>
  </si>
  <si>
    <t>https://www.instagram.com/heyatteflanemoslem_75/</t>
  </si>
  <si>
    <t>جوانان ثقلین</t>
  </si>
  <si>
    <t>https://www.instagram.com/javanan_saghaleyn_hamedan/</t>
  </si>
  <si>
    <t>ارادتمندان به ائمه اطهار (ع) / محفل بسیجیان و رهروان شهدا</t>
  </si>
  <si>
    <t>https://rubika.ir/heyat_eradatmandan</t>
  </si>
  <si>
    <t>حضرت علی اکبر (ع) حسینیه شهدا</t>
  </si>
  <si>
    <t>شهرک فرهنگیان</t>
  </si>
  <si>
    <t>https://eitaa.com/hshohada_ir</t>
  </si>
  <si>
    <t>https://www.instagram.com/fatemion_nahavand/</t>
  </si>
  <si>
    <t>https://eitaa.com/fatemion_nahavand</t>
  </si>
  <si>
    <t>جنبش منتظران ظهور</t>
  </si>
  <si>
    <t>https://eitaa.com/jmzohur</t>
  </si>
  <si>
    <t>فدائیان حضرت زهرا(س)</t>
  </si>
  <si>
    <t>https://www.instagram.com/fadaeiyan_ir/</t>
  </si>
  <si>
    <t>https://eitaa.com/fadayian_hamedan</t>
  </si>
  <si>
    <t>حضرت علی اصغر(ع)</t>
  </si>
  <si>
    <t>https://eitaa.com/heyate_h_aliasghar_a</t>
  </si>
  <si>
    <t>https://www.instagram.com/jannatoreza313/</t>
  </si>
  <si>
    <r>
      <rPr>
        <rFont val="-apple-system, BlinkMacSystemFont, &quot;Segoe UI&quot;, Roboto, Helvetica, Arial, sans-serif"/>
        <color rgb="FF1155CC"/>
        <sz val="11.0"/>
        <u/>
      </rPr>
      <t>t.me/jannatoreza313</t>
    </r>
  </si>
  <si>
    <t>تابعین آل محمد (ص)</t>
  </si>
  <si>
    <t>https://www.instagram.com/htabein1376/</t>
  </si>
  <si>
    <t>عاشقان امام حسین(ع)</t>
  </si>
  <si>
    <t>https://eitaa.com/heyatasheghanhosein</t>
  </si>
  <si>
    <t>محبان المهدی(عج)</t>
  </si>
  <si>
    <t>https://www.instagram.com/mohebban_saveh/</t>
  </si>
  <si>
    <t>https://eitaa.com/sahebzamanHAMEDAN1</t>
  </si>
  <si>
    <t>پیروان مهدی(عج)</t>
  </si>
  <si>
    <t>https://www.instagram.com/peyrovane_hazrate_mahdi/</t>
  </si>
  <si>
    <t>حضرت موسی بن جعفر(ع) (مسجد علی بن ابیطالب(ع))</t>
  </si>
  <si>
    <t>https://www.instagram.com/heyat_mosabnejafar_bahar/</t>
  </si>
  <si>
    <t>منتظران قائم(عج)</t>
  </si>
  <si>
    <t>تویسرکان</t>
  </si>
  <si>
    <t>https://www.instagram.com/montazeranserkan_ir/</t>
  </si>
  <si>
    <r>
      <rPr>
        <rFont val="-apple-system, BlinkMacSystemFont, &quot;Segoe UI&quot;, Roboto, Helvetica, Arial, sans-serif"/>
        <color rgb="FF1155CC"/>
        <sz val="11.0"/>
        <u/>
      </rPr>
      <t>montazeranserkan.ir</t>
    </r>
  </si>
  <si>
    <t>ثارالله(ع)</t>
  </si>
  <si>
    <t>https://www.instagram.com/heiat_sarallah_toy/</t>
  </si>
  <si>
    <t>اسد آباد</t>
  </si>
  <si>
    <t>https://www.instagram.com/heydaryon110/</t>
  </si>
  <si>
    <t>https://t.me/heydaryon110</t>
  </si>
  <si>
    <t>حضرت قاسم بن الحسن(ع)</t>
  </si>
  <si>
    <t>https://www.instagram.com/hieat_hazrat_ghasem/</t>
  </si>
  <si>
    <t>فامنین</t>
  </si>
  <si>
    <t>https://eitaa.com/zovvarolzahraa</t>
  </si>
  <si>
    <t>مشتاقان کربلا</t>
  </si>
  <si>
    <t>https://www.instagram.com/moshtaghankarbala/</t>
  </si>
  <si>
    <t>https://www.instagram.com/montazeran.mu/</t>
  </si>
  <si>
    <t>بیت العباس(ع)</t>
  </si>
  <si>
    <t>https://www.instagram.com/heyat_beytol_abaas/</t>
  </si>
  <si>
    <t>چهارده معصوم (ع)</t>
  </si>
  <si>
    <t>https://www.instagram.com/heyat.chahardahmasom.nhv/</t>
  </si>
  <si>
    <t>https://www.instagram.com/ansar_almahdi_nahavand</t>
  </si>
  <si>
    <t>https://eitaa.com/ansar_almahdi_nahavand</t>
  </si>
  <si>
    <t>https://www.instagram.com/shahenajaf_nahavand/</t>
  </si>
  <si>
    <t>https://eitaa.com/maktabalsadegh</t>
  </si>
  <si>
    <t>عاشقان امام علی(ع)</t>
  </si>
  <si>
    <t>https://www.instagram.com/beitolheydar/</t>
  </si>
  <si>
    <r>
      <rPr>
        <rFont val="-apple-system, BlinkMacSystemFont, &quot;Segoe UI&quot;, Roboto, Helvetica, Arial, sans-serif"/>
        <color rgb="FF1155CC"/>
        <sz val="11.0"/>
        <u/>
      </rPr>
      <t>tlgrm.me/beitolheydar</t>
    </r>
  </si>
  <si>
    <t>رایه الهدی (عج)</t>
  </si>
  <si>
    <t>https://eitaa.com/rayatalhoda</t>
  </si>
  <si>
    <t>جوانان محبین المهدی(عج)</t>
  </si>
  <si>
    <t>https://www.instagram.com/mohebin_mahdi_hamedan</t>
  </si>
  <si>
    <r>
      <rPr>
        <rFont val="-apple-system, BlinkMacSystemFont, &quot;Segoe UI&quot;, Roboto, Helvetica, Arial, sans-serif"/>
        <color rgb="FF1155CC"/>
        <sz val="11.0"/>
        <u/>
      </rPr>
      <t>t.me/mohebin_mahdi_hamedan</t>
    </r>
  </si>
  <si>
    <t>https://eitaa.com/mohebin_mahdi_hamedan</t>
  </si>
  <si>
    <t>شالبافان</t>
  </si>
  <si>
    <t>https://www.instagram.com/maktab.ashoura/</t>
  </si>
  <si>
    <t>تعزیه خوانان شاهزاده علی اصغر(ع)</t>
  </si>
  <si>
    <t>https://t.me/tazye96</t>
  </si>
  <si>
    <t>امیرالمومنین (ع)</t>
  </si>
  <si>
    <t>https://www.instagram.com/h_amiralmomenin.ir/</t>
  </si>
  <si>
    <t>https://t.me/hashf110</t>
  </si>
  <si>
    <t xml:space="preserve">مسجد </t>
  </si>
  <si>
    <t>https://www.instagram.com/masjed_emam_hoseyn/</t>
  </si>
  <si>
    <t>رایه الاحرار</t>
  </si>
  <si>
    <t>https://eitaa.com/rayatolahrar</t>
  </si>
  <si>
    <t>https://www.instagram.com/m.f.ahmadiye.hamedan/</t>
  </si>
  <si>
    <t>شاهزاده علی اصغر (ع)</t>
  </si>
  <si>
    <t>https://www.instagram.com/teflrobab_ir/</t>
  </si>
  <si>
    <t>کبابیان</t>
  </si>
  <si>
    <t>https://eitaa.com/heyatpeyrovan59</t>
  </si>
  <si>
    <t>چهارده معصوم(ع)</t>
  </si>
  <si>
    <t>https://www.instagram.com/h_chhardh_mesvm1354/</t>
  </si>
  <si>
    <t>ائمه بقیع(ع)</t>
  </si>
  <si>
    <t>https://www.instagram.com/aemme_baghi/</t>
  </si>
  <si>
    <t>https://eitaa.com/aemme_baghi</t>
  </si>
  <si>
    <t>https://www.instagram.com/zeynabiee_1343/</t>
  </si>
  <si>
    <t>https://www.instagram.com/beytol.abbas/</t>
  </si>
  <si>
    <t>https://t.me/beytolabbas_toy</t>
  </si>
  <si>
    <t>https://eitaa.com/beytolabbastoyserkan</t>
  </si>
  <si>
    <t>https://www.instagram.com/mahfel_mohebin_aemme_hamedan/</t>
  </si>
  <si>
    <t>کوثر (س)</t>
  </si>
  <si>
    <t>https://www.instagram.com/heyat.kosar.bahar.dh/</t>
  </si>
  <si>
    <t>ریحانه الحسین (ع)</t>
  </si>
  <si>
    <t>t.me/reyhanatolhossein315</t>
  </si>
  <si>
    <t>محبین الزهرا (س) (ماماهان)</t>
  </si>
  <si>
    <t>https://www.instagram.com/mohebbin_azzahra/</t>
  </si>
  <si>
    <t>https://eitaa.com/mohebbin_azzahra</t>
  </si>
  <si>
    <t>جوانان حضرت ابوالفضل(ع)</t>
  </si>
  <si>
    <t>https://www.instagram.com/heyatjavananfamenin/</t>
  </si>
  <si>
    <t>شیفتگان اباعبدالله الحسین (ع)</t>
  </si>
  <si>
    <t>https://www.instagram.com/shiftegan_abaabdelah/</t>
  </si>
  <si>
    <t>eitaa.com/shiftegan_abaabdelah</t>
  </si>
  <si>
    <t>محبین امام حسین(ع)</t>
  </si>
  <si>
    <t>اسدآباد</t>
  </si>
  <si>
    <t>https://www.instagram.com/Heyattmohebbin/</t>
  </si>
  <si>
    <t>https://t.me/hayatemohebin</t>
  </si>
  <si>
    <t>خادمین الشهدا</t>
  </si>
  <si>
    <t>https://www.instagram.com/khademoshohada_mly/</t>
  </si>
  <si>
    <r>
      <rPr>
        <rFont val="-apple-system, BlinkMacSystemFont, &quot;Segoe UI&quot;, Roboto, Helvetica, Arial, sans-serif"/>
        <color rgb="FF1155CC"/>
        <sz val="11.0"/>
        <u/>
      </rPr>
      <t>eitaa.com/khademoshohada_mly</t>
    </r>
  </si>
  <si>
    <t>https://www.instagram.com/shohadayegomnam_nahavand</t>
  </si>
  <si>
    <t>eitaa.com/shohadayegomnam_nahavand</t>
  </si>
  <si>
    <t>eitaa.com/heydarion_hmd</t>
  </si>
  <si>
    <t>جوانان حضرت رقیه(س)</t>
  </si>
  <si>
    <t>https://www.instagram.com/khatoon_heyat/</t>
  </si>
  <si>
    <t>فاطمیون (خواهران)</t>
  </si>
  <si>
    <t>https://eitaa.com/fatemiyon_khaharan</t>
  </si>
  <si>
    <t>انصارالمهدی(عج)</t>
  </si>
  <si>
    <t>https://sapp.ir/ansarolmahdi_tochghaz2</t>
  </si>
  <si>
    <t>سیده زینب (س)</t>
  </si>
  <si>
    <t>https://eitaa.com/HeyateSeyyedeZeynab</t>
  </si>
  <si>
    <t>شیفتگان حضرت رقیه</t>
  </si>
  <si>
    <t>https://www.instagram.com/shifteganeh_roghayyeh/</t>
  </si>
  <si>
    <t>https://t.me/shifteganeroghayeh</t>
  </si>
  <si>
    <t>https://eitaa.com/shifteganeroghayeh</t>
  </si>
  <si>
    <t>صاحب الزمان (عج)</t>
  </si>
  <si>
    <t>https://www.instagram.com/heyat_sahebalzaman_nhv/</t>
  </si>
  <si>
    <t>محبان حرم</t>
  </si>
  <si>
    <t>https://www.instagram.com/mohebanharam/</t>
  </si>
  <si>
    <t>https://eitaa.com/mohebaneharam</t>
  </si>
  <si>
    <t>https://www.instagram.com/alamdar110ir</t>
  </si>
  <si>
    <t>https://t.me/alamdar110ir</t>
  </si>
  <si>
    <t>https://eitaa.com/alamdar110ir</t>
  </si>
  <si>
    <t>روضه الحسین (ع)</t>
  </si>
  <si>
    <t>https://www.instagram.com/rozatolhosein_ir</t>
  </si>
  <si>
    <t>https://eitaa.com/heyat_rozatol_hosein</t>
  </si>
  <si>
    <t>حسین جان (ع)</t>
  </si>
  <si>
    <t>https://www.instagram.com/heyat_hossin_jan_hamedan/</t>
  </si>
  <si>
    <t>پیروان عترت(مادرانه)</t>
  </si>
  <si>
    <t>https://eitaa.com/hamedanpeyrovan</t>
  </si>
  <si>
    <t>آیت الله بهاری</t>
  </si>
  <si>
    <t>https://www.instagram.com/heyat_ayatollah_bahari/</t>
  </si>
  <si>
    <t>https://www.instagram.com/maktabo__shohada</t>
  </si>
  <si>
    <t>https://t.me/maktaboshohada2</t>
  </si>
  <si>
    <t>https://eitaa.com/heyatmaktaboshohada</t>
  </si>
  <si>
    <t>عاشقان حضرت ابولفضل</t>
  </si>
  <si>
    <t>https://www.instagram.com/abolfazliya133</t>
  </si>
  <si>
    <t>https://eitaa.com/abolfazliya133</t>
  </si>
  <si>
    <t>کریمه اهل بیت س</t>
  </si>
  <si>
    <t>https://www.instagram.com/heyat.karimeh</t>
  </si>
  <si>
    <t>https://eitaa.com/heyat_karime</t>
  </si>
  <si>
    <t>محبین الزهرا(س)</t>
  </si>
  <si>
    <t>دانشگاه آزاد همدان</t>
  </si>
  <si>
    <t>https://www.instagram.com/heyatiauh_mohebinfatemezahra</t>
  </si>
  <si>
    <t>https://t.me/Heyatiauh_mohebinfatemezahra</t>
  </si>
  <si>
    <t>جوانان انقلابی قرارگاه راه شهیدان</t>
  </si>
  <si>
    <t>لالجین</t>
  </si>
  <si>
    <t>eitaa.com/shuada/</t>
  </si>
  <si>
    <t>زوار الزهرا(س) رهروان امام و شهدا</t>
  </si>
  <si>
    <t>کبودرآهنگ</t>
  </si>
  <si>
    <t>https://www.instagram.com/zovarozahra_kb.ir/</t>
  </si>
  <si>
    <t>eitaa.ir/zovarozahra_kb/</t>
  </si>
  <si>
    <t>نوجوانان عاشقان آل طه شهرک مدنی</t>
  </si>
  <si>
    <t>https://www.instagram.com/heyat_aaletaha</t>
  </si>
  <si>
    <t>نوجوانان حضرت زهرا (س)</t>
  </si>
  <si>
    <t>https://www.instagram.com/yazahra_92</t>
  </si>
  <si>
    <t>نوجوانان حضرت زهرا(س)</t>
  </si>
  <si>
    <t>https://www.instagram.com/heiat_nojavanan1398/</t>
  </si>
  <si>
    <t>https://www.instagram.com/hytmkhtblbshmdn/</t>
  </si>
  <si>
    <t>فرهنگی جهادی مصباح</t>
  </si>
  <si>
    <t>https://www.instagram.com/mesbah_kb/</t>
  </si>
  <si>
    <t>جوانان فاطمیون</t>
  </si>
  <si>
    <t>https://www.instagram.com/ehsasejavan.ir</t>
  </si>
  <si>
    <t>https://eitaa.com/ehsasejavan_ir</t>
  </si>
  <si>
    <t>محفل روضه الرقیه (س)</t>
  </si>
  <si>
    <t>https://www.instagram.com/rozatol_roughaye/</t>
  </si>
  <si>
    <r>
      <rPr>
        <rFont val="-apple-system, BlinkMacSystemFont, &quot;Segoe UI&quot;, Roboto, Helvetica, Arial, sans-serif"/>
        <color rgb="FF1155CC"/>
        <sz val="11.0"/>
        <u/>
      </rPr>
      <t>t.me/rozatol_roghaye_bahar</t>
    </r>
  </si>
  <si>
    <t>یا ابوالفضل(ع)</t>
  </si>
  <si>
    <t>https://www.instagram.com/ya_abalfazll_133</t>
  </si>
  <si>
    <t>سرادر حاج حسین همدانی</t>
  </si>
  <si>
    <t>https://www.instagram.com/advar_hmd/</t>
  </si>
  <si>
    <t>https://t.me/advar_hmd</t>
  </si>
  <si>
    <t>https://eitaa.com/heiiat_shahidhamedani</t>
  </si>
  <si>
    <t>ستاد بازسازی عتبات</t>
  </si>
  <si>
    <t>https://eitaa.com/atabatHMD</t>
  </si>
  <si>
    <t>https://www.instagram.com/motevaselin_hmd</t>
  </si>
  <si>
    <t>محفل الصادقین</t>
  </si>
  <si>
    <t>https://www.instagram.com/mahfelosadeghin/</t>
  </si>
  <si>
    <r>
      <rPr>
        <rFont val="-apple-system, BlinkMacSystemFont, &quot;Segoe UI&quot;, Roboto, Helvetica, Arial, sans-serif"/>
        <color rgb="FF1155CC"/>
        <sz val="11.0"/>
        <u/>
      </rPr>
      <t>t.me/mahfelosadeghien</t>
    </r>
  </si>
  <si>
    <t>متوسلین به اهل بیت (ع)</t>
  </si>
  <si>
    <t>https://eitaa.com/Motavaselin_ahle_beyt</t>
  </si>
  <si>
    <t>لواء الزهرا (س)</t>
  </si>
  <si>
    <t>https://instagram.com/levaozahra_ir</t>
  </si>
  <si>
    <t>https://eitaa.com/levaozahra_ir</t>
  </si>
  <si>
    <t>محبین الرقیه (س)</t>
  </si>
  <si>
    <t>https://www.instagram.com/h.mohebbin/</t>
  </si>
  <si>
    <t>محفل شاه کربلا</t>
  </si>
  <si>
    <t>https://www.instagram.com/shahkarballa</t>
  </si>
  <si>
    <t>https://eitaa.com/maktabozahratoy_ir</t>
  </si>
  <si>
    <t>https://www.instagram.com/htabein1376</t>
  </si>
  <si>
    <t>https://www.instagram.com/rozato__shohada</t>
  </si>
  <si>
    <t>https://t.me/seyed_alahrar</t>
  </si>
  <si>
    <t>سردار شهید حاج حسین همدانی</t>
  </si>
  <si>
    <t>https://www.instagram.com/mokeb_shahid__hamedani</t>
  </si>
  <si>
    <t>اباعبدالله الحسین (ع)</t>
  </si>
  <si>
    <t>https://www.instagram.com/abaabdellah_dinarabad/</t>
  </si>
  <si>
    <t>شیفتگان حسینی</t>
  </si>
  <si>
    <t>https://www.instagram.com/shiftegan_malayer/</t>
  </si>
  <si>
    <t>مجمع علویون</t>
  </si>
  <si>
    <t>https://www.instagram.com/majma_alavion_malayer/</t>
  </si>
  <si>
    <r>
      <rPr>
        <rFont val="-apple-system, BlinkMacSystemFont, &quot;Segoe UI&quot;, Roboto, Helvetica, Arial, sans-serif"/>
        <color rgb="FF1155CC"/>
        <sz val="11.0"/>
        <u/>
      </rPr>
      <t>eitaa.com/majma_alavion_malayer</t>
    </r>
  </si>
  <si>
    <t>مجموعه ملت امام حسین (ع)</t>
  </si>
  <si>
    <t>https://eitaa.com/mah_hmd</t>
  </si>
  <si>
    <t>کانون نخبگان آفتابگردان</t>
  </si>
  <si>
    <t>https://eitaa.com/Sunflower_Science_Club</t>
  </si>
  <si>
    <t>بیت الاحزان</t>
  </si>
  <si>
    <t>https://www.instagram.com/beytolahzan_hamedan</t>
  </si>
  <si>
    <t>https://t.me/beytolahzane_hamedan</t>
  </si>
  <si>
    <t>https://eitaa.com/beytolahzan_hamedan</t>
  </si>
  <si>
    <t>ثامن الحجج (ع) _ مسجد حاج احمد</t>
  </si>
  <si>
    <t>https://www.instagram.com/___hajahmad___</t>
  </si>
  <si>
    <t>https://eitaa.com/masjed_hajahmad</t>
  </si>
  <si>
    <t>حضرت امام حسن مجتبی (ع)</t>
  </si>
  <si>
    <t>https://t.me/yagharibemadineh</t>
  </si>
  <si>
    <t>مشکات الزهرا</t>
  </si>
  <si>
    <t>https://www.instagram.com/meshkat_zahra_</t>
  </si>
  <si>
    <t>https://t.me/meshkatzahra</t>
  </si>
  <si>
    <t>https://eitaa.com/meshkat_zahra</t>
  </si>
  <si>
    <t>خیریه امیرالمومنین</t>
  </si>
  <si>
    <t>https://www.instagram.com/amiralmomenin_yaraniliya</t>
  </si>
  <si>
    <t>موسسه فرهنگی جوانان قرآنی انوارالزهرا (س)</t>
  </si>
  <si>
    <t>https://www.instagram.com/anvarmedia_</t>
  </si>
  <si>
    <t>https://eitaa.com/anvarozahra</t>
  </si>
  <si>
    <t>هیأت دانش آموزی</t>
  </si>
  <si>
    <t>https://www.instagram.com/ansaralmahdi_hmd</t>
  </si>
  <si>
    <t>https://eitaa.com/ansar_hmd</t>
  </si>
  <si>
    <t>https://eitaa.com/Masjed_sahebzaman_asadabad</t>
  </si>
  <si>
    <t>ابوالفضل</t>
  </si>
  <si>
    <t>https://www.instagram.com/heyat.abalfazl_abbas</t>
  </si>
  <si>
    <t>چهار باب الحوایج (ع)</t>
  </si>
  <si>
    <t>https://www.instagram.com/hoseinieh_hmd</t>
  </si>
  <si>
    <t>https://eitaa.com/hoseinieh_hmd</t>
  </si>
  <si>
    <t>حضرت ابوالفضل (ع)</t>
  </si>
  <si>
    <t>https://t.me/heyatmasjedeyn</t>
  </si>
  <si>
    <t>https://www.instagram.com/rahrovan_shohada_hamedan</t>
  </si>
  <si>
    <t>https://eitaa.com/hoseinsafinatonnejat313</t>
  </si>
  <si>
    <t>عاشقان ابوالفضل(ع)</t>
  </si>
  <si>
    <t>https://eitaa.com/asheghaneabalfazll1383</t>
  </si>
  <si>
    <t>سیدالشباب</t>
  </si>
  <si>
    <t>https://www.instagram.com/heyat_sayedalshabab</t>
  </si>
  <si>
    <t>https://t.me/heyat_sayedalshabab</t>
  </si>
  <si>
    <t>https://eitaa.com/heyat_sayedalshabab</t>
  </si>
  <si>
    <t>حسینی شاهزاده محمد</t>
  </si>
  <si>
    <t>http://instagram.com/heyat_shahzadehmohamad</t>
  </si>
  <si>
    <t>https://t.me/heyat_shahzademohamad_nahavand</t>
  </si>
  <si>
    <t>https://www.instagram.com/Reyhanatolhossein_nahavand/</t>
  </si>
  <si>
    <t>https://eitaa.com/Reyhanatolhossein_nahavand</t>
  </si>
  <si>
    <t>https://www.instagram.com/heyate_ghamarebanihashem.133</t>
  </si>
  <si>
    <t>https://eitaa.com/ghamarbanihashem113</t>
  </si>
  <si>
    <t>عشاق الحسین (ع)</t>
  </si>
  <si>
    <t>https://www.instagram.com/oshagholhossein_/</t>
  </si>
  <si>
    <r>
      <rPr>
        <rFont val="-apple-system, BlinkMacSystemFont, &quot;Segoe UI&quot;, Roboto, Helvetica, Arial, sans-serif"/>
        <color rgb="FF1155CC"/>
        <sz val="11.0"/>
        <u/>
      </rPr>
      <t>t.me/oshagholhossein_1</t>
    </r>
  </si>
  <si>
    <t>https://eitaa.com/heiatalzahranahavand</t>
  </si>
  <si>
    <t>محمد رسول الله (ص)</t>
  </si>
  <si>
    <t>https://www.instagram.com/rasolemehr</t>
  </si>
  <si>
    <t>https://eitaa.com/heyatemohamadrasololah</t>
  </si>
  <si>
    <t>باب الحوایج (ع)</t>
  </si>
  <si>
    <t>https://www.instagram.com/heyat.babolhavaej.hamedan</t>
  </si>
  <si>
    <t>https://t.me/babolhavaej_hamedan</t>
  </si>
  <si>
    <t>https://eitaa.com/babolhavaej_hamedan</t>
  </si>
  <si>
    <t>https://www.instagram.com/maktabezeinab_hamedan</t>
  </si>
  <si>
    <t>https://eitaa.com/maktabezeinab_hamedan</t>
  </si>
  <si>
    <t>https://eitaa.com/AlYassinheyat1404</t>
  </si>
  <si>
    <t>https://eitaa.com/sahebalzaman_n</t>
  </si>
  <si>
    <t>اباصالح المهدی عج بازار</t>
  </si>
  <si>
    <t>https://www.instagram.com/heyat_aba.saleh_nahavand/</t>
  </si>
  <si>
    <t>شاهزاده علی اکبر (ع)</t>
  </si>
  <si>
    <t>https://www.instagram.com/shahzadeh.aliakbar_info</t>
  </si>
  <si>
    <t>العباس</t>
  </si>
  <si>
    <t>https://www.instagram.com/heyatalabbas</t>
  </si>
  <si>
    <t>https://eitaa.com/heyatalabas</t>
  </si>
  <si>
    <t>تربت</t>
  </si>
  <si>
    <t>https://www.instagram.com/heyattorbat</t>
  </si>
  <si>
    <t>https://t.me/heyattorbat</t>
  </si>
  <si>
    <t>مجموعه فرهنگی و تربیتی ثارالله</t>
  </si>
  <si>
    <t>https://www.instagram.com/sarallah_hmd</t>
  </si>
  <si>
    <t>https://eitaa.com/sarallah_hmd</t>
  </si>
  <si>
    <t>هنر</t>
  </si>
  <si>
    <t>https://www.instagram.com/heyathonar_hmd</t>
  </si>
  <si>
    <t>https://eitaa.com/heyathonar_hmd</t>
  </si>
  <si>
    <t>قرآنی حضرت علی بن ابیطالب (ع)</t>
  </si>
  <si>
    <t>ثامن الائمه (ع)</t>
  </si>
  <si>
    <t>https://www.instagram.com/samenol_aemmeh_hamedan.ir</t>
  </si>
  <si>
    <t>https://eitaa.com/samenolaemehhamedan</t>
  </si>
  <si>
    <t>جولان</t>
  </si>
  <si>
    <t>https://www.instagram.com/hoseinie_jolan</t>
  </si>
  <si>
    <t>https://www.instagram.com/mokeb_ghasem_ibn_al_hassan</t>
  </si>
  <si>
    <t>https://eitaa.com/heiat_ghasem1</t>
  </si>
  <si>
    <t>https://www.instagram.com/heydarioonfamenin/</t>
  </si>
  <si>
    <t>فرهنگیان مسجد محمدیه</t>
  </si>
  <si>
    <t>https://www.instagram.com/heyat_farhangiyan</t>
  </si>
  <si>
    <t>https://t.me/masjed_mohammadieh</t>
  </si>
  <si>
    <t>دختران حاج قاسم</t>
  </si>
  <si>
    <t>https://eitaa.com/Dokhtaran_haaj_ghasem</t>
  </si>
  <si>
    <t>رضوان الجواد</t>
  </si>
  <si>
    <t>https://www.instagram.com/heyat_rezvanoljavad</t>
  </si>
  <si>
    <t>https://eitaa.com/heyat_rezvanoljavad</t>
  </si>
  <si>
    <t>سادات</t>
  </si>
  <si>
    <t>https://www.instagram.com/heyat_sadat.hamedan</t>
  </si>
  <si>
    <t>گروه فرهنگی مذهبی رهپویان ولایت</t>
  </si>
  <si>
    <t>https://www.instagram.com/rahpouyanvelayathmd</t>
  </si>
  <si>
    <t>https://eitaa.com/rahpouyanvelayathmd</t>
  </si>
  <si>
    <t>https://www.instagram.com/heyatozahraa.hamedan</t>
  </si>
  <si>
    <t>انصارالامام المجتبی (ع)</t>
  </si>
  <si>
    <t>https://www.instagram.com/ansaralemamalmojtaba</t>
  </si>
  <si>
    <t>https://eitaa.com/ansaralemamalmojtaba400</t>
  </si>
  <si>
    <t xml:space="preserve"> شهرک قائم</t>
  </si>
  <si>
    <t>https://www.instagram.com/sarallah_tuy1/</t>
  </si>
  <si>
    <t>https://www.instagram.com/heyat_fatemiuon/</t>
  </si>
  <si>
    <t>حسینی سرچشمه</t>
  </si>
  <si>
    <t>https://www.instagram.com/sarcheshmemalayer/</t>
  </si>
  <si>
    <t>https://www.instagram.com/mnmesbah/</t>
  </si>
  <si>
    <t>https://www.instagram.com/heyat_aliebn_abitalb/</t>
  </si>
  <si>
    <t>eitaa.com/Aliebnabitalbb</t>
  </si>
  <si>
    <t>https://www.instagram.com/samen_bahar/</t>
  </si>
  <si>
    <t>صادقیه</t>
  </si>
  <si>
    <t>https://www.instagram.com/heyat_sadeghieh_malayer/</t>
  </si>
  <si>
    <t>امام جواد(ع)</t>
  </si>
  <si>
    <t>https://www.instagram.com/javadolaemeh_malayer</t>
  </si>
  <si>
    <t>https://eitaa.com/javadolaemeh_malayer</t>
  </si>
  <si>
    <t>https://www.instagram.com/heyat_qamar_133/</t>
  </si>
  <si>
    <t>محبین الزهرا (س)</t>
  </si>
  <si>
    <t>https://www.instagram.com/heyat.mohebin.fatemezahra</t>
  </si>
  <si>
    <t>یاران حسین (ع)</t>
  </si>
  <si>
    <t>https://eitaa.com/yarane_hossein</t>
  </si>
  <si>
    <t xml:space="preserve">حضرت علی اصغر (ع) </t>
  </si>
  <si>
    <t>روستای ازوندره</t>
  </si>
  <si>
    <t>https://www.instagram.com/heiat_as</t>
  </si>
  <si>
    <t>https://t.me/Heiat_as</t>
  </si>
  <si>
    <t>لثارت الحسین (ع)</t>
  </si>
  <si>
    <t>https://www.instagram.com/h.yalasaratzanjan</t>
  </si>
  <si>
    <t>عاشقان اباالفضل علیه السلام</t>
  </si>
  <si>
    <t>https://www.instagram.com/asheghaneabalfazl1383/</t>
  </si>
  <si>
    <t>https://www.instagram.com/fatemiyoun_bahar/</t>
  </si>
  <si>
    <t>https://t.me/fatemiyoun_bahar</t>
  </si>
  <si>
    <t>https://www.instagram.com/heyat_moheban_mahdi201/</t>
  </si>
  <si>
    <t>محبین ثامن الائمه (ع)</t>
  </si>
  <si>
    <t>t.me/samenolaemehtuyserkan</t>
  </si>
  <si>
    <t>زیارت آل یاسین</t>
  </si>
  <si>
    <t>سرکان</t>
  </si>
  <si>
    <t>https://www.instagram.com/ziarat_aale_yasin/</t>
  </si>
  <si>
    <t xml:space="preserve">عزاداران </t>
  </si>
  <si>
    <t>درگزین</t>
  </si>
  <si>
    <t>https://www.instagram.com/heiat_azadaran_dargazin/</t>
  </si>
  <si>
    <t>https://www.instagram.com/heyatmoheban_dargazin278/</t>
  </si>
  <si>
    <t>یاوران مهدی (عج)</t>
  </si>
  <si>
    <t>https://www.instagram.com/yavaran_mahdi_orginal/</t>
  </si>
  <si>
    <t>https://www.instagram.com/yavaran_mahdi_orginal2/</t>
  </si>
  <si>
    <t>اکبریون</t>
  </si>
  <si>
    <t>https://www.instagram.com/akbarion.ir/</t>
  </si>
  <si>
    <t>حوزه علمیه فاطمه الزهرا(س)</t>
  </si>
  <si>
    <t>https://eitaa.com/h_fatimatzahra</t>
  </si>
  <si>
    <t>عزاداران‌حضرت‌زینب‌س</t>
  </si>
  <si>
    <t>https://www.instagram.com/mokeb_azadaran69/</t>
  </si>
  <si>
    <t>جواد الائمه(ع)‌</t>
  </si>
  <si>
    <t>https://www.instagram.com/heyat_javadalaemeh_kb/</t>
  </si>
  <si>
    <t>https://www.instagram.com/kanalkomail_ir/</t>
  </si>
  <si>
    <r>
      <rPr>
        <rFont val="-apple-system, BlinkMacSystemFont, &quot;Segoe UI&quot;, Roboto, Helvetica, Arial, sans-serif"/>
        <color rgb="FF1155CC"/>
        <sz val="11.0"/>
        <u/>
      </rPr>
      <t>tlgrm.me/kanalkomail</t>
    </r>
  </si>
  <si>
    <t>عقیله بنی هاشم</t>
  </si>
  <si>
    <t>https://www.instagram.com/mokeb_aghile_malayer/</t>
  </si>
  <si>
    <t>سیدالشهدا(ع)</t>
  </si>
  <si>
    <t>https://www.instagram.com/heyat.seyedoshohada/</t>
  </si>
  <si>
    <t>https://www.instagram.com/_heiatoreza_/</t>
  </si>
  <si>
    <t>https://t.me/Heiatorza</t>
  </si>
  <si>
    <t>https://www.instagram.com/hezbollahemalayer</t>
  </si>
  <si>
    <t>https://t.me/hezbollahemalayer</t>
  </si>
  <si>
    <t>خدام الحسن</t>
  </si>
  <si>
    <t>https://www.instagram.com/khodamalhassan/</t>
  </si>
  <si>
    <t>https://t.me/khodamalhassan</t>
  </si>
  <si>
    <t>https://eitaa.com/khodamalhassan</t>
  </si>
  <si>
    <t>https://www.youtube.com/@khodamalhassan</t>
  </si>
  <si>
    <t>فدائیان زهرا(س)</t>
  </si>
  <si>
    <t>https://www.instagram.com/heyat_fadaeiyan_zahra</t>
  </si>
  <si>
    <t>https://eitaa.com/FadaiyanHazratZahraMalayeri</t>
  </si>
  <si>
    <t>جنت العباس(ع)</t>
  </si>
  <si>
    <t>https://www.instagram.com/janatolabass/</t>
  </si>
  <si>
    <t>شیفتگان اباالفضل(ع)</t>
  </si>
  <si>
    <t>https://www.instagram.com/shifteganabalfazl</t>
  </si>
  <si>
    <t>https://t.me/shifteganabalfazl</t>
  </si>
  <si>
    <t>امام حسن مجتبی (ع)</t>
  </si>
  <si>
    <t>https://www.instagram.com/emamhasan_info/</t>
  </si>
  <si>
    <t>https://t.me/emamhasan_info</t>
  </si>
  <si>
    <t>https://eitaa.com/emamhasan_info</t>
  </si>
  <si>
    <t>https://www.instagram.com/mahfeleashk.malayer</t>
  </si>
  <si>
    <t>https://eitaa.com/MahfelAshkMalayer</t>
  </si>
  <si>
    <t>فدائیان مهدی(عج)</t>
  </si>
  <si>
    <t>https://www.instagram.com/heiatfadaeianmahdi/</t>
  </si>
  <si>
    <t>https://eitaa.com/heiat_fadaeian_mahdi</t>
  </si>
  <si>
    <t>https://www.instagram.com/maktaboshohada_malayer</t>
  </si>
  <si>
    <t>https://eitaa.com/maktabolshohadamalayer</t>
  </si>
  <si>
    <t>جوانان محبین الائمه(ع)</t>
  </si>
  <si>
    <t>https://www.instagram.com/heyat_mohebinalaeme/</t>
  </si>
  <si>
    <t>خادمین اقاموسی بن جعفر(ع)</t>
  </si>
  <si>
    <t>https://www.instagram.com/shohada_gomnam1404/</t>
  </si>
  <si>
    <t>حدیث کساء</t>
  </si>
  <si>
    <t>https://www.instagram.com/heyathadiskesa</t>
  </si>
  <si>
    <t xml:space="preserve">متوسلین به علی ابن موسی الرضا </t>
  </si>
  <si>
    <t>https://www.instagram.com/heyat.aliebnemosareza/</t>
  </si>
  <si>
    <t>منتظران ابا صالح المهدی</t>
  </si>
  <si>
    <t>روستای گوراب</t>
  </si>
  <si>
    <t>https://www.instagram.com/montazeran_mahdi_gourab/</t>
  </si>
  <si>
    <t>https://www.instagram.com/heiatoreza_shm/</t>
  </si>
  <si>
    <t>https://www.instagram.com/heyatfatemiyehmalayer/</t>
  </si>
  <si>
    <t>https://www.instagram.com/heyat_sadeghie_malayer/</t>
  </si>
  <si>
    <t>حیدرمدیا</t>
  </si>
  <si>
    <t>https://www.instagram.com/heydar_media110/</t>
  </si>
  <si>
    <t>https://t.me/heydar_media110</t>
  </si>
  <si>
    <t>https://eitaa.com/heydarmedia110</t>
  </si>
  <si>
    <t>الزهرا (خونه مادری)</t>
  </si>
  <si>
    <t>https://www.instagram.com/heiatozahra.nahavand/</t>
  </si>
  <si>
    <t>https://t.me/heiatalzahranahavand</t>
  </si>
  <si>
    <t>معلی</t>
  </si>
  <si>
    <t>https://www.instagram.com/moallanahavand/</t>
  </si>
  <si>
    <t>دوخواهران</t>
  </si>
  <si>
    <t>https://www.instagram.com/heyat_do_khaharan1319/</t>
  </si>
  <si>
    <t>امام حسن مجتبی(علیه السّلام)</t>
  </si>
  <si>
    <t>روستای گوشه بدیع الزمان</t>
  </si>
  <si>
    <t>https://www.instagram.com/h.emam.hasan/</t>
  </si>
  <si>
    <t>امام حسن مجتبی(ع)</t>
  </si>
  <si>
    <t>https://www.instagram.com/emam__hasan__mojtaba/</t>
  </si>
  <si>
    <t>حسینی جوانان</t>
  </si>
  <si>
    <t>https://www.instagram.com/heiat.hosseiny.javanan_1331</t>
  </si>
  <si>
    <t>https://www.instagram.com/sarallah_nhv/</t>
  </si>
  <si>
    <t>https://t.me/Sarallahnahavand</t>
  </si>
  <si>
    <t>https://eitaa.com/sarallahnahavand</t>
  </si>
  <si>
    <t>حسینی میدان</t>
  </si>
  <si>
    <t>https://www.instagram.com/heiatemeidan1280</t>
  </si>
  <si>
    <t>https://eitaa.com/heiatehoseinymeidannahavand1210</t>
  </si>
  <si>
    <t>قاسم ابن الحسن ع</t>
  </si>
  <si>
    <t>https://www.instagram.com/ghasemioon78/</t>
  </si>
  <si>
    <t>https://www.instagram.com/heyat_emam_hasanmojtaba/</t>
  </si>
  <si>
    <t>امام رئوف</t>
  </si>
  <si>
    <t>https://www.instagram.com/ashk_1001/</t>
  </si>
  <si>
    <t>انصارالشهداء</t>
  </si>
  <si>
    <t>https://www.instagram.com/ansaroshohada.ir/</t>
  </si>
  <si>
    <t>https://www.instagram.com/sarallah_hamedan/</t>
  </si>
  <si>
    <t>جوانان سائلین المهدی عج</t>
  </si>
  <si>
    <t>https://www.instagram.com/saelin_almahdi/</t>
  </si>
  <si>
    <t>https://eitaa.com/saelin_1374</t>
  </si>
  <si>
    <t>دردانه رباب</t>
  </si>
  <si>
    <t>https://www.instagram.com/dordane_robab/</t>
  </si>
  <si>
    <t xml:space="preserve">روضة الرقیه </t>
  </si>
  <si>
    <t>https://www.instagram.com/horie.ir/</t>
  </si>
  <si>
    <t>https://t.me/roze_roghaye</t>
  </si>
  <si>
    <t>سائلین المهدی(عج)</t>
  </si>
  <si>
    <t>https://www.instagram.com/saelin.ir/</t>
  </si>
  <si>
    <t>https://t.me/saelin.ir</t>
  </si>
  <si>
    <t>عاشقان علی اصغر(ع)</t>
  </si>
  <si>
    <r>
      <rPr>
        <rFont val="-apple-system, BlinkMacSystemFont, &quot;Segoe UI&quot;, Roboto, Helvetica, Arial, sans-serif"/>
        <color rgb="FF1155CC"/>
        <sz val="11.0"/>
        <u/>
      </rPr>
      <t>eitaa.com/teflrobab_ir</t>
    </r>
  </si>
  <si>
    <t>لــواءالـزهـرا‌سـلام‌الله‌علـیهـا‌</t>
  </si>
  <si>
    <t>https://www.instagram.com/levao_zahra_hamedan/</t>
  </si>
  <si>
    <t>https://t.me/levao_zahra_hamedan</t>
  </si>
  <si>
    <t>محبین الحسین (ع)</t>
  </si>
  <si>
    <t>https://www.instagram.com/mohbin_al_hosein_hamedan.info/</t>
  </si>
  <si>
    <r>
      <rPr>
        <rFont val="-apple-system, BlinkMacSystemFont, &quot;Segoe UI&quot;, Roboto, Helvetica, Arial, sans-serif"/>
        <color rgb="FF1155CC"/>
        <sz val="11.0"/>
        <u/>
      </rPr>
      <t>telegram.me/mohebinhoseinbot</t>
    </r>
  </si>
  <si>
    <t>نرجسانه</t>
  </si>
  <si>
    <t>https://www.instagram.com/narjesaneh.ir</t>
  </si>
  <si>
    <t>https://www.instagram.com/_montazerane_zohoor_313/</t>
  </si>
  <si>
    <t>متوسلین به‌قمر‌بنی‌هاشم ع</t>
  </si>
  <si>
    <t>حصار امام خمینی</t>
  </si>
  <si>
    <t>https://www.instagram.com/hamedan_ir_128/</t>
  </si>
  <si>
    <t>الزهرا(س)</t>
  </si>
  <si>
    <t>https://www.instagram.com/heyatoalzahra/</t>
  </si>
  <si>
    <t>https://eitaa.com/heyatoalzahra</t>
  </si>
  <si>
    <t>مکتب نماز</t>
  </si>
  <si>
    <t>https://www.instagram.com/maktabnamaz_hamedan/</t>
  </si>
  <si>
    <t>https://www.instagram.com/mohebin_hazrat_zahra.hmd5/</t>
  </si>
  <si>
    <t>https://eitaa.com/mohebinhazratzahrahmd</t>
  </si>
  <si>
    <t>عاشقان اباعبدالله (ع) ورکانه ای ها</t>
  </si>
  <si>
    <t>https://www.instagram.com/heyat_varkaneh_eiha/</t>
  </si>
  <si>
    <t>ریحانةالحسین(س)</t>
  </si>
  <si>
    <t>https://www.instagram.com/reyhanatolhoossein315/</t>
  </si>
  <si>
    <t>https://www.instagram.com/reyhanatolhossein3/</t>
  </si>
  <si>
    <t>بیت الرقیه (س)</t>
  </si>
  <si>
    <t>https://www.instagram.com/beyt.oroghaye/</t>
  </si>
  <si>
    <t>جوانان قاسم ابن الحسن علیه السلام</t>
  </si>
  <si>
    <t>https://www.instagram.com/javanan.qasemebne.hasan.118/</t>
  </si>
  <si>
    <t>محبیـن حضرٺ خدیجـه</t>
  </si>
  <si>
    <t>https://www.instagram.com/mohebin_hazrat/</t>
  </si>
  <si>
    <t>رضاجان</t>
  </si>
  <si>
    <t>https://www.instagram.com/reza_jan_hamedan/</t>
  </si>
  <si>
    <t>https://t.me/rezajaan1001</t>
  </si>
  <si>
    <t>یک جرعه زندگی</t>
  </si>
  <si>
    <t>https://www.instagram.com/yekjorehiha/</t>
  </si>
  <si>
    <t>https://www.instagram.com/mohebin_mersad/</t>
  </si>
  <si>
    <t>محبین حضرت اباالفضل العباس(ع)</t>
  </si>
  <si>
    <t>https://www.instagram.com/mohebine_hazrate_abalfazl/</t>
  </si>
  <si>
    <t>محبان علمدارکربلا</t>
  </si>
  <si>
    <t>https://www.instagram.com/mo73792/</t>
  </si>
  <si>
    <t>https://t.me/Moheban_alamdar_karballa_1382</t>
  </si>
  <si>
    <t>خادم النبی (ص)</t>
  </si>
  <si>
    <t>https://www.instagram.com/khadem92_/</t>
  </si>
  <si>
    <t>محمديه</t>
  </si>
  <si>
    <t>https://www.instagram.com/mmohamadie.ir/</t>
  </si>
  <si>
    <t>رُوضَةٌ الرُبابِ</t>
  </si>
  <si>
    <t>مریانج</t>
  </si>
  <si>
    <t>https://www.instagram.com/rozatol_robab/</t>
  </si>
  <si>
    <t>https://t.me/rozatol_robab_maryanaj</t>
  </si>
  <si>
    <t>https://www.instagram.com/zakerinhmd/</t>
  </si>
  <si>
    <t>جان نثاران علمدار(ع)</t>
  </si>
  <si>
    <t>https://www.instagram.com/jan_nesaran_alamdar/</t>
  </si>
  <si>
    <t xml:space="preserve">محبان علمدار کربلا </t>
  </si>
  <si>
    <t>https://www.instagram.com/mohebane_alamdare_karbala/</t>
  </si>
  <si>
    <t>موئیجین</t>
  </si>
  <si>
    <t>https://www.instagram.com/beinolharamein_hamedan.co/</t>
  </si>
  <si>
    <t>مختاران</t>
  </si>
  <si>
    <t>https://www.instagram.com/heiat_mkhtaran_hmd/</t>
  </si>
  <si>
    <t>شیخ الائمه علیه‌السلام</t>
  </si>
  <si>
    <t>https://www.instagram.com/mahfele_195/</t>
  </si>
  <si>
    <t>https://t.me/mahfele_195</t>
  </si>
  <si>
    <t>جوانان قمربنی هاشم</t>
  </si>
  <si>
    <t>https://www.instagram.com/ghamar_bani_hashem133/</t>
  </si>
  <si>
    <t>خیمة العباس (ع)</t>
  </si>
  <si>
    <t>https://www.instagram.com/kheymatolabbas_kb/</t>
  </si>
  <si>
    <t>https://eitaa.com/kheymatolabbas_kb</t>
  </si>
  <si>
    <t>رضوان الزهرا (س)</t>
  </si>
  <si>
    <t>https://www.instagram.com/rezvanzahra.ir/</t>
  </si>
  <si>
    <t>https://t.me/rezvanzahra1403</t>
  </si>
  <si>
    <t>https://eitaa.com/rezvanlozahra</t>
  </si>
  <si>
    <t>ابوالاحرار</t>
  </si>
  <si>
    <t>دانشگاه علوم پزشکی</t>
  </si>
  <si>
    <t>https://www.instagram.com/heyat_abolahrar/</t>
  </si>
  <si>
    <t>https://t.me/heyat_abolahrarr</t>
  </si>
  <si>
    <t>https://www.instagram.com/javanan_mahdieh</t>
  </si>
  <si>
    <t>https://t.me/Javanan_mahdieh</t>
  </si>
  <si>
    <t>https://eitaa.com/Javanan_mahdieh</t>
  </si>
  <si>
    <t>سراج الحسین</t>
  </si>
  <si>
    <t>https://www.instagram.com/serajalhoseyn_hamedan/</t>
  </si>
  <si>
    <t>https://t.me/seraj_hamedan</t>
  </si>
  <si>
    <t>ارادتمندان به ائمه اطهار</t>
  </si>
  <si>
    <t>https://www.instagram.com/heyat_eradatmandan</t>
  </si>
  <si>
    <t>بـنـت الـحـسـیـن</t>
  </si>
  <si>
    <t>https://www.instagram.com/bento_hoseyn/</t>
  </si>
  <si>
    <t>قاسم آباد</t>
  </si>
  <si>
    <t>https://www.instagram.com/heyat.ghasemabad.hamedan/</t>
  </si>
  <si>
    <t>عمه سادات(س)</t>
  </si>
  <si>
    <t>https://www.instagram.com/heyate_amme_sadat_hamedan</t>
  </si>
  <si>
    <t>بنت الحسین</t>
  </si>
  <si>
    <t>https://www.instagram.com/bentolhosein.lalejin/</t>
  </si>
  <si>
    <t>https://t.me/bentolhoseinlalejin</t>
  </si>
  <si>
    <t>حضرت ابوالفضل ع</t>
  </si>
  <si>
    <t>https://www.instagram.com/heiate.hazrate.abolfazl/</t>
  </si>
  <si>
    <t>https://t.me/hhabolfazle</t>
  </si>
  <si>
    <t>https://www.instagram.com/tighe.zaban/</t>
  </si>
  <si>
    <t>علمداران</t>
  </si>
  <si>
    <t>https://www.instagram.com/alamdaran.lalejin.hamedan/</t>
  </si>
  <si>
    <t>شایسته</t>
  </si>
  <si>
    <t>https://www.instagram.com/shayesteheiat/</t>
  </si>
  <si>
    <t>سنتی دوره دوش</t>
  </si>
  <si>
    <t>https://www.instagram.com/heiat_sonati_dorehdosh_famenin/</t>
  </si>
  <si>
    <t>دیوانگان جنت الحیدر (ع)</t>
  </si>
  <si>
    <t>جورقان</t>
  </si>
  <si>
    <t>https://www.instagram.com/jannatolheydar_110</t>
  </si>
  <si>
    <t>سامن</t>
  </si>
  <si>
    <t>https://www.instagram.com/samen.city/</t>
  </si>
  <si>
    <t>زنگنه</t>
  </si>
  <si>
    <t>https://www.instagram.com/sarallah_zanganeh/</t>
  </si>
  <si>
    <t>هیئت خواهران خادم الزهراسپهبد شهید حاج قاسم سلیمانی_همدان</t>
  </si>
  <si>
    <t>https://eitaa.com/khaharankhademozahra</t>
  </si>
  <si>
    <t xml:space="preserve"> حضرت زهرا </t>
  </si>
  <si>
    <t>https://eitaa.com/MokebeHazrateZahra</t>
  </si>
  <si>
    <t>حضرت علی اکبر حزب الله</t>
  </si>
  <si>
    <t>https://eitaa.com/hazrat_aliakbar_hmd</t>
  </si>
  <si>
    <t xml:space="preserve">مردمی حضرت بقیه الله الاعظم </t>
  </si>
  <si>
    <t>https://eitaa.com/setadghadirm</t>
  </si>
  <si>
    <t>https://www.instagram.com/ziarat_nahieh/</t>
  </si>
  <si>
    <t>ابناءالحیدر</t>
  </si>
  <si>
    <t>https://www.instagram.com/abna.heydar_110/</t>
  </si>
  <si>
    <t>اخت الرضا</t>
  </si>
  <si>
    <t>https://www.instagram.com/okht.al.reza/</t>
  </si>
  <si>
    <t>https://t.me/okhtalreza</t>
  </si>
  <si>
    <t>الزهراء</t>
  </si>
  <si>
    <t>https://www.instagram.com/masjedazzahra_qom/</t>
  </si>
  <si>
    <r>
      <rPr>
        <rFont val="-apple-system, BlinkMacSystemFont, &quot;Segoe UI&quot;, Roboto, Helvetica, Arial, sans-serif"/>
        <color rgb="FF1155CC"/>
        <sz val="11.0"/>
        <u/>
      </rPr>
      <t>eitaa.com/masjedazzahra_qom</t>
    </r>
  </si>
  <si>
    <t>https://www.instagram.com/heyat__alshohada/</t>
  </si>
  <si>
    <t>https://eitaa.com/heyatashohada</t>
  </si>
  <si>
    <t>المتمسکین بالقرآن و العترة</t>
  </si>
  <si>
    <t>https://www.instagram.com/motemasekin/</t>
  </si>
  <si>
    <t>https://telegram.me/motemasekin</t>
  </si>
  <si>
    <t>https://www.instagram.com/heyatolhadi_qom/</t>
  </si>
  <si>
    <t>الهادی (ع)</t>
  </si>
  <si>
    <r>
      <rPr>
        <rFont val="-apple-system, BlinkMacSystemFont, &quot;Segoe UI&quot;, Roboto, Helvetica, Arial, sans-serif"/>
        <color rgb="FF1155CC"/>
        <sz val="11.0"/>
        <u/>
      </rPr>
      <t>t.me/heyatolhadiqom</t>
    </r>
  </si>
  <si>
    <t>https://www.instagram.com/heiat_imamhasan/</t>
  </si>
  <si>
    <t>https://eitaa.com/heiat_imamhasan</t>
  </si>
  <si>
    <t>https://www.instagram.com/hoseyniyeh_qom/</t>
  </si>
  <si>
    <t>انصارالزهراء</t>
  </si>
  <si>
    <t>https://www.instagram.com/ansar_alzahra1421/</t>
  </si>
  <si>
    <t>مسجد هیأت</t>
  </si>
  <si>
    <t>https://www.instagram.com/ansarolmahdiqom/</t>
  </si>
  <si>
    <r>
      <rPr>
        <rFont val="-apple-system, BlinkMacSystemFont, &quot;Segoe UI&quot;, Roboto, Helvetica, Arial, sans-serif"/>
        <color rgb="FF1155CC"/>
        <sz val="11.0"/>
        <u/>
      </rPr>
      <t>t.me/ansarolmahdiqom</t>
    </r>
  </si>
  <si>
    <t>https://www.instagram.com/babolhoseinqom/</t>
  </si>
  <si>
    <t>https://t.me/babolhoseinqom</t>
  </si>
  <si>
    <t>باب المراد</t>
  </si>
  <si>
    <t>https://www.instagram.com/heiatbabalmorad/</t>
  </si>
  <si>
    <t>https://t.me/heiat_babalmorad</t>
  </si>
  <si>
    <t>بيت الزهراء</t>
  </si>
  <si>
    <t>https://www.instagram.com/beyt_alzzahra/</t>
  </si>
  <si>
    <t>https://t.me/Beyt_alzzahra</t>
  </si>
  <si>
    <t>بیت الرضا (ع)</t>
  </si>
  <si>
    <t>https://www.instagram.com/beytoalreza/</t>
  </si>
  <si>
    <t>https://www.instagram.com/beitorooghaieh.qom/</t>
  </si>
  <si>
    <t>https://t.me/beitorooghaieh</t>
  </si>
  <si>
    <t>بیرق شریف کفیل الزینب (س)</t>
  </si>
  <si>
    <t>https://www.instagram.com/kafilozzeynab_qom/</t>
  </si>
  <si>
    <r>
      <rPr>
        <rFont val="-apple-system, BlinkMacSystemFont, &quot;Segoe UI&quot;, Roboto, Helvetica, Arial, sans-serif"/>
        <color rgb="FF1155CC"/>
        <sz val="11.0"/>
        <u/>
      </rPr>
      <t>t.me/kafilozeynab</t>
    </r>
  </si>
  <si>
    <t>تولیت</t>
  </si>
  <si>
    <t>https://www.instagram.com/masjed_toliat/</t>
  </si>
  <si>
    <t>https://eitaa.com/masjed_toliat</t>
  </si>
  <si>
    <t>محسنیه</t>
  </si>
  <si>
    <t>https://www.instagram.com/mohsenieh_samen/</t>
  </si>
  <si>
    <t>https://www.instagram.com/jannatalroghaye315/</t>
  </si>
  <si>
    <t>https://t.me/jannatalroghayeqom</t>
  </si>
  <si>
    <t>جواد رضایی</t>
  </si>
  <si>
    <t>https://www.instagram.com/javad_rezaei313.313/</t>
  </si>
  <si>
    <t>https://t.me/miadgah_313</t>
  </si>
  <si>
    <t>https://eitaa.com/javadrezaei3</t>
  </si>
  <si>
    <t>https://www.instagram.com/javadalaima_qom/</t>
  </si>
  <si>
    <t>جوانان امام جعفر صادق</t>
  </si>
  <si>
    <t>https://www.instagram.com/imamsadegh_qom/</t>
  </si>
  <si>
    <t>https://t.me/imamsadegh_qom</t>
  </si>
  <si>
    <t>حسن ابن الحیدر</t>
  </si>
  <si>
    <t>https://www.instagram.com/hassan_ebn_heidar/</t>
  </si>
  <si>
    <t>حسینیه کودک</t>
  </si>
  <si>
    <t>https://www.instagram.com/hoseinie_koodak/</t>
  </si>
  <si>
    <t>https://eitaa.com/hoseiniekoodak</t>
  </si>
  <si>
    <t>حضرت علی اکبر (ع)</t>
  </si>
  <si>
    <t>https://www.instagram.com/heyataliakbarr/</t>
  </si>
  <si>
    <t>https://eitaa.com/ali_e_akbar_pardisan</t>
  </si>
  <si>
    <t>https://www.instagram.com/heyat_alzahraaqom/</t>
  </si>
  <si>
    <t>https://eitaa.com/hfatemealzahra</t>
  </si>
  <si>
    <t>حضرت فاطمه زهرا</t>
  </si>
  <si>
    <t>https://www.instagram.com/heyate_fatemeh_zahra/</t>
  </si>
  <si>
    <t>https://www.instagram.com/heidariun_qom/</t>
  </si>
  <si>
    <t>https://t.me/heidariun_qom</t>
  </si>
  <si>
    <t>خادم الحسین</t>
  </si>
  <si>
    <t>https://www.instagram.com/heyat_khademalhossein/</t>
  </si>
  <si>
    <t>https://t.me/heyat_khademalhossein</t>
  </si>
  <si>
    <t>خادم الرقیه</t>
  </si>
  <si>
    <t>https://www.instagram.com/khadem_alroghaye315/</t>
  </si>
  <si>
    <t>https://t.me/khadem_alroghaye315</t>
  </si>
  <si>
    <t>خادم الزهرا</t>
  </si>
  <si>
    <t>https://www.instagram.com/khademozahraqom/</t>
  </si>
  <si>
    <t>https://t.me/khademozahraqom</t>
  </si>
  <si>
    <t>خادم المهدی</t>
  </si>
  <si>
    <t>https://www.instagram.com/khadem_almahdy/</t>
  </si>
  <si>
    <t>https://t.me/khadem_almahdy</t>
  </si>
  <si>
    <t>https://eitaa.com/khaadem_almahdy</t>
  </si>
  <si>
    <t>خادمان المهدی</t>
  </si>
  <si>
    <t>https://www.instagram.com/khadem_al_mahdi_ir/</t>
  </si>
  <si>
    <t>خدام الشهداء</t>
  </si>
  <si>
    <t>https://www.instagram.com/khademoshohadaqom</t>
  </si>
  <si>
    <t>https://t.me/khademoshohadaqom</t>
  </si>
  <si>
    <t>https://eitaa.com/khademoshohadaqom</t>
  </si>
  <si>
    <t>خیمه گاه سیدالشهداء</t>
  </si>
  <si>
    <t>https://www.instagram.com/kheimegah_qom/</t>
  </si>
  <si>
    <t>دمعة رقیه (س)</t>
  </si>
  <si>
    <t>https://www.instagram.com/bokaa315/</t>
  </si>
  <si>
    <t>رایة الحسین</t>
  </si>
  <si>
    <t>https://www.instagram.com/rayatalhosein_ir/</t>
  </si>
  <si>
    <t>https://t.me/rayatalhosein_ir</t>
  </si>
  <si>
    <t>رایه الحسین (ع)</t>
  </si>
  <si>
    <t>https://eitaa.com/rayatalhosein_ir</t>
  </si>
  <si>
    <t>رقیه بنت الحسین (ع)</t>
  </si>
  <si>
    <t>https://www.instagram.com/roghaye_bentol_hoseinn/</t>
  </si>
  <si>
    <t>رهروان امام و شهدا</t>
  </si>
  <si>
    <t>https://www.instagram.com/rahrovanshohada_qom/</t>
  </si>
  <si>
    <r>
      <rPr>
        <rFont val="-apple-system, BlinkMacSystemFont, &quot;Segoe UI&quot;, Roboto, Helvetica, Arial, sans-serif"/>
        <color rgb="FF1155CC"/>
        <sz val="11.0"/>
        <u/>
      </rPr>
      <t>t.me/rahrovanshoohada</t>
    </r>
  </si>
  <si>
    <t>https://www.instagram.com/rovzatozzeinab/</t>
  </si>
  <si>
    <t>https://www.instagram.com/rozeh_alabas133/</t>
  </si>
  <si>
    <t>https://t.me/rozeh_alabas133</t>
  </si>
  <si>
    <t>https://www.instagram.com/reyhane__info/</t>
  </si>
  <si>
    <t>https://t.me/heyat_rozat_al_roghaye</t>
  </si>
  <si>
    <t>https://www.instagram.com/rshohada/</t>
  </si>
  <si>
    <t>https://www.instagram.com/zavaralzahra/</t>
  </si>
  <si>
    <t>https://t.me/zavaralzahra</t>
  </si>
  <si>
    <t>https://www.instagram.com/zeynabion_qom</t>
  </si>
  <si>
    <t>https://t.me/zeynabion_qom</t>
  </si>
  <si>
    <t>زینبیون (مجتمع کوثر ولایت)</t>
  </si>
  <si>
    <t>https://www.instagram.com/zeynabion.qom</t>
  </si>
  <si>
    <t>سراج علوی</t>
  </si>
  <si>
    <t>https://eitaa.com/serajalavi</t>
  </si>
  <si>
    <t>سینه چاکان حضرت ابوالفضل</t>
  </si>
  <si>
    <t>https://www.instagram.com/sine_chakan/</t>
  </si>
  <si>
    <t>https://t.me/sinechakanqom</t>
  </si>
  <si>
    <t>شباب الرقیه</t>
  </si>
  <si>
    <t>https://www.instagram.com/shababalroqieh/</t>
  </si>
  <si>
    <t>https://t.me/shababalroqieh</t>
  </si>
  <si>
    <t>https://www.instagram.com/hoseinyeh_shohada/</t>
  </si>
  <si>
    <t>https://t.me/hoseinyeh_shohada</t>
  </si>
  <si>
    <t>شهزاده قاسم ابن الحسن(ع)</t>
  </si>
  <si>
    <t>https://www.instagram.com/shahzadeqasemqom/</t>
  </si>
  <si>
    <t>https://t.me/shahzadeQasemQom110</t>
  </si>
  <si>
    <t>صاحب الامر (ع)</t>
  </si>
  <si>
    <t>https://www.instagram.com/sahebolamr_313/</t>
  </si>
  <si>
    <t>https://www.instagram.com/asheghan.sarallah.nerogah.qom/</t>
  </si>
  <si>
    <t>عاشقان صاحب الزمان (عج)</t>
  </si>
  <si>
    <t>https://www.instagram.com/ashegane_emamzaman_qom/</t>
  </si>
  <si>
    <t>https://www.instagram.com/heiate_ashooraeian_qom/</t>
  </si>
  <si>
    <t>عقیلة العرب</t>
  </si>
  <si>
    <t>https://www.instagram.com/aghilatolarab.qom/</t>
  </si>
  <si>
    <t>https://t.me/yaaaaazeinab</t>
  </si>
  <si>
    <t>علم العباس</t>
  </si>
  <si>
    <t>https://www.instagram.com/alamolabas_qom/</t>
  </si>
  <si>
    <t>https://t.me/alamolabas_qom</t>
  </si>
  <si>
    <t>https://www.instagram.com/alamdarhossein_qom</t>
  </si>
  <si>
    <t>https://t.me/alamdaar_qom</t>
  </si>
  <si>
    <t>https://www.instagram.com/ghmqom/</t>
  </si>
  <si>
    <t>https://t.me/ghmqom</t>
  </si>
  <si>
    <t>https://www.instagram.com/fatemiyeh_qom/</t>
  </si>
  <si>
    <t>فدائیان بی بی رقیه</t>
  </si>
  <si>
    <t>https://www.instagram.com/fadaeiyan.bibi/</t>
  </si>
  <si>
    <t>فدائیان حضرت رقیه</t>
  </si>
  <si>
    <t>https://www.instagram.com/mahfel_fadaaeian/</t>
  </si>
  <si>
    <t>https://t.me/mahfel_fadaeeian</t>
  </si>
  <si>
    <t>فقه و شهادت مدرسه علمیه معصومیه</t>
  </si>
  <si>
    <t>https://eitaa.com/feghhoshahadat</t>
  </si>
  <si>
    <t>https://www.instagram.com/qasemebnhasanqom/</t>
  </si>
  <si>
    <t>https://t.me/qasemebnhasanqom</t>
  </si>
  <si>
    <t>قمر الحسین</t>
  </si>
  <si>
    <t>https://www.instagram.com/heyat_ghamar_alhosein/</t>
  </si>
  <si>
    <t>https://t.me/ghamaralhosein</t>
  </si>
  <si>
    <t>https://www.instagram.com/ghamarbh/</t>
  </si>
  <si>
    <t>https://eitaa.com/qamarbanihashemqom</t>
  </si>
  <si>
    <t>https://eitaa.com/emam_hasan_jan</t>
  </si>
  <si>
    <t>کریمه اهل بیت</t>
  </si>
  <si>
    <t>https://www.instagram.com/h.karimeh/</t>
  </si>
  <si>
    <r>
      <rPr>
        <rFont val="-apple-system, BlinkMacSystemFont, &quot;Segoe UI&quot;, Roboto, Helvetica, Arial, sans-serif"/>
        <color rgb="FF1155CC"/>
        <sz val="11.0"/>
        <u/>
      </rPr>
      <t>t.me/heiatkarimeh</t>
    </r>
  </si>
  <si>
    <t>کفیل الزینب</t>
  </si>
  <si>
    <t>پردیسان</t>
  </si>
  <si>
    <t>https://www.instagram.com/kafil_zeynab_qom/</t>
  </si>
  <si>
    <t>https://t.me/kafil_zeynab_qom/</t>
  </si>
  <si>
    <t>مجانین الرقیه</t>
  </si>
  <si>
    <t>https://www.instagram.com/majanin_qom/</t>
  </si>
  <si>
    <t>مجمع المنتظرین</t>
  </si>
  <si>
    <t>https://www.instagram.com/almontazerin</t>
  </si>
  <si>
    <t>https://eitaa.com/almontazerin_ir</t>
  </si>
  <si>
    <t>مجمع جوانان کربلایی قم مقدسه</t>
  </si>
  <si>
    <t>https://www.instagram.com/majmaa_javanan_karbalaii/</t>
  </si>
  <si>
    <t>https://t.me/majmaa_javanan_karbalaii</t>
  </si>
  <si>
    <t>https://eitaa.com/moheban4</t>
  </si>
  <si>
    <t>محبان ثارالله</t>
  </si>
  <si>
    <t>https://www.instagram.com/moheban.sarallah_qom/</t>
  </si>
  <si>
    <t>https://www.instagram.com/mohebbin_com/</t>
  </si>
  <si>
    <t>محبین حضرت علی اکبر</t>
  </si>
  <si>
    <t>https://www.instagram.com/shahzade_aliakbarr/</t>
  </si>
  <si>
    <t>https://eitaa.com/aliakbar_heyatt</t>
  </si>
  <si>
    <t>محبین حضرت معصومه</t>
  </si>
  <si>
    <t>https://www.instagram.com/mohebin.h.masomeh/</t>
  </si>
  <si>
    <t>محبین سیدالشهدا (ع)</t>
  </si>
  <si>
    <t>https://eitaa.com/mohebenseedashohad</t>
  </si>
  <si>
    <t>محفل اشک انصارالحسین</t>
  </si>
  <si>
    <t>https://www.instagram.com/ansarhosein1437/</t>
  </si>
  <si>
    <t>https://eitaa.com/ansarhosein1437</t>
  </si>
  <si>
    <t>مریدان حضرت زینب</t>
  </si>
  <si>
    <t>https://www.instagram.com/moridane_zeynab/</t>
  </si>
  <si>
    <t>https://www.instagram.com/mesbahalhoda_ir/</t>
  </si>
  <si>
    <t>https://www.instagram.com/maktab_69_zeynab/</t>
  </si>
  <si>
    <t>منتظران فرج</t>
  </si>
  <si>
    <t>https://www.instagram.com/montazeranfaraj.ir/</t>
  </si>
  <si>
    <t>https://t.me/montazeranfaraj1389</t>
  </si>
  <si>
    <t>https://www.instagram.com/montazerane_mahdi_heyat</t>
  </si>
  <si>
    <t>https://eitaa.com/montazerane_mahdi_heyat</t>
  </si>
  <si>
    <t>هم ناله با رقیه</t>
  </si>
  <si>
    <t>https://www.instagram.com/ham.naleh.ba.roghayeh/</t>
  </si>
  <si>
    <r>
      <rPr>
        <rFont val="-apple-system, BlinkMacSystemFont, &quot;Segoe UI&quot;, Roboto, Helvetica, Arial, sans-serif"/>
        <color rgb="FF1155CC"/>
        <sz val="11.0"/>
        <u/>
      </rPr>
      <t>t.me/hamnaleh_baroghayeh</t>
    </r>
  </si>
  <si>
    <t>یا رقیه</t>
  </si>
  <si>
    <t>https://www.instagram.com/yaroghaiehe_ir/</t>
  </si>
  <si>
    <t>https://t.me/yaroghaiehe_ir</t>
  </si>
  <si>
    <t>یا لثارات الحسین (ع)</t>
  </si>
  <si>
    <t>https://www.instagram.com/r.yalesaratalhoseine_qom/</t>
  </si>
  <si>
    <t>یاوران حضرت زینب (س)</t>
  </si>
  <si>
    <t>https://www.instagram.com/yavaranzeinabqom/</t>
  </si>
  <si>
    <t>حسنیه</t>
  </si>
  <si>
    <t>آل علی</t>
  </si>
  <si>
    <t>https://www.instagram.com/aaleali.qom/</t>
  </si>
  <si>
    <t>https://t.me/AaleAli</t>
  </si>
  <si>
    <t>أهالي الكاظمية</t>
  </si>
  <si>
    <t>https://www.instagram.com/kadhimain_qom/</t>
  </si>
  <si>
    <t>اباصالح</t>
  </si>
  <si>
    <t>https://eitaa.com/heyatabasalehqom</t>
  </si>
  <si>
    <t>ابالایتام</t>
  </si>
  <si>
    <t>https://www.instagram.com/heyat_abalaytam110/</t>
  </si>
  <si>
    <t>ابالفضل العباس (ع)</t>
  </si>
  <si>
    <t>https://eitaa.com/ThedelegationofHazratAbulfazl</t>
  </si>
  <si>
    <t>الامام الحسن المجتبی</t>
  </si>
  <si>
    <t>https://www.instagram.com/huseiniye.imam.hasan/</t>
  </si>
  <si>
    <t>https://www.instagram.com/alzahra_qom/</t>
  </si>
  <si>
    <t>https://t.me/al_zahra_com</t>
  </si>
  <si>
    <t>النجف الاشرف</t>
  </si>
  <si>
    <t>https://www.instagram.com/h_alnajafiye/</t>
  </si>
  <si>
    <t>https://t.me/h_alnajafiye</t>
  </si>
  <si>
    <t>https://www.youtube.com/@H.alnajafiye</t>
  </si>
  <si>
    <t>https://www.instagram.com/hasanieh_qom/</t>
  </si>
  <si>
    <t>امام رضا</t>
  </si>
  <si>
    <t>https://www.instagram.com/heyat_emamreza.qom/</t>
  </si>
  <si>
    <t>https://www.instagram.com/heyatemamreza_qom/</t>
  </si>
  <si>
    <t>https://eitaa.com/Heyatemamreza_qom</t>
  </si>
  <si>
    <t>https://eitaa.com/hazrat_mahdi</t>
  </si>
  <si>
    <t>امیر المومنین (ع)</t>
  </si>
  <si>
    <t>https://www.instagram.com/heyat_amiralmomenin_qom/</t>
  </si>
  <si>
    <t>شبیه خوانی طفلان حضرت مسلم(ع)</t>
  </si>
  <si>
    <t>https://eitaa.com/doteflanemoslem</t>
  </si>
  <si>
    <t>جعفریه</t>
  </si>
  <si>
    <t>https://www.instagram.com/ansaralzahra135/</t>
  </si>
  <si>
    <t>https://www.instagram.com/hoseyniyeh_hamedani_ha/</t>
  </si>
  <si>
    <t>https://www.instagram.com/banealzahra_ir/</t>
  </si>
  <si>
    <t>https://eitaa.com/banealzahra_ir</t>
  </si>
  <si>
    <t>بهشت رضویه</t>
  </si>
  <si>
    <t>https://eitaa.com/razaviekh8</t>
  </si>
  <si>
    <t>بیت السجاد</t>
  </si>
  <si>
    <t>https://www.instagram.com/beyt_al_sajjad_offical/</t>
  </si>
  <si>
    <t>https://t.me/beyt_al_sajjad_offical</t>
  </si>
  <si>
    <t>تاسوعا</t>
  </si>
  <si>
    <t>https://www.instagram.com/heyat_tasooa_qom/</t>
  </si>
  <si>
    <t>https://eitaa.com/Heyat_tasooa</t>
  </si>
  <si>
    <t>جنت الحسین(ع)</t>
  </si>
  <si>
    <t>https://www.instagram.com/jannatalhoseinqom/</t>
  </si>
  <si>
    <t>https://t.me/jannatalhoseinqom</t>
  </si>
  <si>
    <t>https://eitaa.com/jannatorreza401</t>
  </si>
  <si>
    <t>https://www.instagram.com/heiat_javanan_qom_1/</t>
  </si>
  <si>
    <t>https://eitaa.com/heiat_javanan_qom_1</t>
  </si>
  <si>
    <t>حــرم الـحـسن</t>
  </si>
  <si>
    <t>https://www.instagram.com/haramolhasanqom1438/</t>
  </si>
  <si>
    <t>https://eitaa.com/haramolhasanqom</t>
  </si>
  <si>
    <t>حسینیه یخچال قاضی متوسلین به قمربنی هاشم</t>
  </si>
  <si>
    <t>https://www.instagram.com/beitol_ahzan_fatemeh_zahra/</t>
  </si>
  <si>
    <t>https://www.instagram.com/heiate.aliasghar</t>
  </si>
  <si>
    <t>-</t>
  </si>
  <si>
    <t>heiataliasgharqom.ir</t>
  </si>
  <si>
    <t>مسجد المصطفی</t>
  </si>
  <si>
    <t>https://eitaa.com/Heyataliakbarqom</t>
  </si>
  <si>
    <t>https://www.instagram.com/heyat_aliakbar_qom/</t>
  </si>
  <si>
    <r>
      <rPr>
        <rFont val="-apple-system, BlinkMacSystemFont, &quot;Segoe UI&quot;, Roboto, Helvetica, Arial, sans-serif"/>
        <color rgb="FF1155CC"/>
        <sz val="11.0"/>
        <u/>
      </rPr>
      <t>t.me/heyat_aliakbar_qom</t>
    </r>
  </si>
  <si>
    <t>https://www.instagram.com/khademalhasan_qom</t>
  </si>
  <si>
    <t>https://t.me/khademalhasan_qom</t>
  </si>
  <si>
    <t>https://eitaa.com/khademalhasan_qom</t>
  </si>
  <si>
    <t>https://heyat-khademalhasan.ir/</t>
  </si>
  <si>
    <t>https://www.instagram.com/khademozahra_qom/</t>
  </si>
  <si>
    <r>
      <rPr>
        <rFont val="-apple-system, BlinkMacSystemFont, &quot;Segoe UI&quot;, Roboto, Helvetica, Arial, sans-serif"/>
        <color rgb="FF1155CC"/>
        <sz val="11.0"/>
        <u/>
      </rPr>
      <t>t.me/khademozahra_qom</t>
    </r>
  </si>
  <si>
    <t>خادمین حجت</t>
  </si>
  <si>
    <t>https://www.instagram.com/khademin_hojat/</t>
  </si>
  <si>
    <t>https://t.me/khademin_hojat</t>
  </si>
  <si>
    <t>خدام امیرالمومنین</t>
  </si>
  <si>
    <t>https://www.instagram.com/k.a.almominin/</t>
  </si>
  <si>
    <t>دخیل العباس</t>
  </si>
  <si>
    <t>https://www.instagram.com/dakhil_ol_abbas</t>
  </si>
  <si>
    <t>دلسوختگان زینب کبری(س)</t>
  </si>
  <si>
    <t>https://www.instagram.com/delsukhteganeqom/</t>
  </si>
  <si>
    <t>دمام زنان قاسم ابن الحسن</t>
  </si>
  <si>
    <t>https://www.instagram.com/dammam1401/</t>
  </si>
  <si>
    <t>https://eitaa.com/dammam1401</t>
  </si>
  <si>
    <t>راه فاطمه</t>
  </si>
  <si>
    <t>https://www.instagram.com/rahe_fatemeh/</t>
  </si>
  <si>
    <t>https://www.instagram.com/mahfel_roghaye_sadat_315/</t>
  </si>
  <si>
    <t>https://eitaa.com/rozatozinab</t>
  </si>
  <si>
    <t>سراج منیر</t>
  </si>
  <si>
    <t>https://eitaa.com/qom14masoom</t>
  </si>
  <si>
    <t>شهدای گمنام دارالحدیث</t>
  </si>
  <si>
    <t>https://www.instagram.com/gomnam_darolhadith/</t>
  </si>
  <si>
    <t>https://eitaa.com/gomnam_darolhadith</t>
  </si>
  <si>
    <t>https://eitaa.com/heyatkiau</t>
  </si>
  <si>
    <t>صاحب الفتح</t>
  </si>
  <si>
    <t>https://eitaa.com/sahebalfath_ir</t>
  </si>
  <si>
    <t>صاحبنا</t>
  </si>
  <si>
    <t>https://eitaa.com/sahebona_ir</t>
  </si>
  <si>
    <t>صراط الحیدر</t>
  </si>
  <si>
    <t>https://www.instagram.com/serat_alheydar/</t>
  </si>
  <si>
    <t>https://t.me/serat_alheydar</t>
  </si>
  <si>
    <t>هیأت زنانه</t>
  </si>
  <si>
    <t>عاشقان حضرت زهرا(س)</t>
  </si>
  <si>
    <t>https://eitaa.com/asheghan_zahra</t>
  </si>
  <si>
    <t>عاشقان حضرت علی اکبر (ع)</t>
  </si>
  <si>
    <t>https://eitaa.com/asheghanaliakbar</t>
  </si>
  <si>
    <t>https://www.instagram.com/alamdar_qom79/</t>
  </si>
  <si>
    <r>
      <rPr>
        <rFont val="-apple-system, BlinkMacSystemFont, &quot;Segoe UI&quot;, Roboto, Helvetica, Arial, sans-serif"/>
        <color rgb="FF1155CC"/>
        <sz val="11.0"/>
        <u/>
      </rPr>
      <t>eitaa.com/alamdar_qom79</t>
    </r>
  </si>
  <si>
    <t>غریب سامراء</t>
  </si>
  <si>
    <t>https://www.instagram.com/gharibesamera20/</t>
  </si>
  <si>
    <t>فاطمه معصومه</t>
  </si>
  <si>
    <t>https://eitaa.com/hazratemasome313</t>
  </si>
  <si>
    <t>باغ پنبه</t>
  </si>
  <si>
    <t>https://www.instagram.com/fatemiyoon_qom</t>
  </si>
  <si>
    <t>https://eitaa.com/Fatemiyoon_Qom</t>
  </si>
  <si>
    <t>فدائیان حسین</t>
  </si>
  <si>
    <t>https://www.instagram.com/fadaeianhosein_qom/</t>
  </si>
  <si>
    <t>https://t.me/fadaeianhosein_qom/</t>
  </si>
  <si>
    <t>https://eitaa.com/fadaeianhosein_qom</t>
  </si>
  <si>
    <t>فدائیان فاطمه</t>
  </si>
  <si>
    <t>https://www.instagram.com/fadaeyan_ir/</t>
  </si>
  <si>
    <t>https://eitaa.com/fadaeyan_ir</t>
  </si>
  <si>
    <t>https://www.instagram.com/qasim_bin_alhassan/</t>
  </si>
  <si>
    <t>کانون حضرت زهرا_س_</t>
  </si>
  <si>
    <t>https://eitaa.com/kalzahra_ir</t>
  </si>
  <si>
    <t>مادرِسادات حضرت فاطمةالزهرا سلام الله علیها</t>
  </si>
  <si>
    <t>https://eitaa.com/RozeMadareSadatt</t>
  </si>
  <si>
    <t>متوسلین به امام حسن عسکری (ع)</t>
  </si>
  <si>
    <t>https://eitaa.com/ABALmontazar</t>
  </si>
  <si>
    <t>متوسلین به حضرت زهرا (س)</t>
  </si>
  <si>
    <t>https://eitaa.com/tazeyehqom</t>
  </si>
  <si>
    <t>متوسلین به حضرت علی اکبر</t>
  </si>
  <si>
    <t>https://www.instagram.com/motevaselin.aliakbar1392/</t>
  </si>
  <si>
    <t>https://eitaa.com/motevaselinaliakbar</t>
  </si>
  <si>
    <t>متوسلین به صاحب الزمان (عج)</t>
  </si>
  <si>
    <t>https://eitaa.com/heyat_emam_zaman</t>
  </si>
  <si>
    <t>متوسلین به قمربنی هاشم</t>
  </si>
  <si>
    <t>https://www.instagram.com/qamarbanihashemir/</t>
  </si>
  <si>
    <t>https://t.me/qamarbanihashemir</t>
  </si>
  <si>
    <t>مجمع دلسوختگان حضرت زینب</t>
  </si>
  <si>
    <t>https://www.instagram.com/delsukhtegan_qom/</t>
  </si>
  <si>
    <t>https://t.me/delsukhtegan</t>
  </si>
  <si>
    <t>مجمع عاشقان بقیع</t>
  </si>
  <si>
    <t>https://eitaa.com/majmaeasheqan</t>
  </si>
  <si>
    <t>مجمع محسنیون</t>
  </si>
  <si>
    <t>https://www.instagram.com/majmamohseniun_qom/</t>
  </si>
  <si>
    <t>https://t.me/majmamohseniunqom</t>
  </si>
  <si>
    <t>https://www.instagram.com/mahfel_moheban/</t>
  </si>
  <si>
    <t>https://t.me/mohebanalhoseinqom</t>
  </si>
  <si>
    <t>https://www.instagram.com/mohebbanrezainfo/</t>
  </si>
  <si>
    <t>https://t.me/mohebbanrezainfo</t>
  </si>
  <si>
    <t>https://eitaa.com/mohebbanrezainfo</t>
  </si>
  <si>
    <t>محبان قاسم ابن الحسن</t>
  </si>
  <si>
    <t>https://www.instagram.com/mohebban.ghasem201/</t>
  </si>
  <si>
    <t>https://t.me/GHASEMebnelHASANqom</t>
  </si>
  <si>
    <t>https://www.instagram.com/mohebbin_alzahra.ir/</t>
  </si>
  <si>
    <t>https://www.mohebbin-alzahra.ir/</t>
  </si>
  <si>
    <t>محبین بنی الزهرا (س)</t>
  </si>
  <si>
    <t>https://eitaa.com/mohebbinbanezzahra</t>
  </si>
  <si>
    <t>https://eitaa.com/mohedinzahra</t>
  </si>
  <si>
    <t>https://www.instagram.com/mohebin_hazratezahra/</t>
  </si>
  <si>
    <t>https://eitaa.com/mohebin_hazratezahra</t>
  </si>
  <si>
    <t>محبین موسی بن جعفر(ع)</t>
  </si>
  <si>
    <t>https://www.instagram.com/mohebin_musabnjafar_qom/</t>
  </si>
  <si>
    <t>محفل زیارت امین الله</t>
  </si>
  <si>
    <t>https://www.instagram.com/aminalla.ir/</t>
  </si>
  <si>
    <t>محمدرسول الله و رهروان شهدا</t>
  </si>
  <si>
    <t>https://eitaa.com/HmrasullahQom</t>
  </si>
  <si>
    <t>32892‍‍‍</t>
  </si>
  <si>
    <t>مرکز رشد و توانمندسازی هاد</t>
  </si>
  <si>
    <t>https://eitaa.com/quran_had</t>
  </si>
  <si>
    <t>مکتب الرقیه</t>
  </si>
  <si>
    <t>https://www.instagram.com/maktabalroghaye_qom/</t>
  </si>
  <si>
    <t>https://www.instagram.com/maktabalzahraqom.media/</t>
  </si>
  <si>
    <t>https://eitaa.com/maktabalzahraqom</t>
  </si>
  <si>
    <t>منتظران صاحب الامر (عج)</t>
  </si>
  <si>
    <t>https://eitaa.com/montzaranemahdi</t>
  </si>
  <si>
    <t>موسی بن جعفر</t>
  </si>
  <si>
    <t>https://eitaa.com/babalhavaej1</t>
  </si>
  <si>
    <t>امام زاده</t>
  </si>
  <si>
    <t>میقات الرضا (ع)</t>
  </si>
  <si>
    <t>https://eitaa.com/MighatAlReza</t>
  </si>
  <si>
    <t>نور الزهرا (س)</t>
  </si>
  <si>
    <t xml:space="preserve"> دانشگاه پیام نور</t>
  </si>
  <si>
    <t>https://eitaa.com/pnunooralzahra</t>
  </si>
  <si>
    <t>هنر و رسانه</t>
  </si>
  <si>
    <t>https://www.instagram.com/honarvarasaneh/</t>
  </si>
  <si>
    <t>https://t.me/hoormediafiles</t>
  </si>
  <si>
    <t>اباالفضل</t>
  </si>
  <si>
    <t>https://www.instagram.com/bit_olabbas/</t>
  </si>
  <si>
    <r>
      <rPr>
        <rFont val="-apple-system, BlinkMacSystemFont, &quot;Segoe UI&quot;, Roboto, Helvetica, Arial, sans-serif"/>
        <color rgb="FF1155CC"/>
        <sz val="11.0"/>
        <u/>
      </rPr>
      <t>eitaa.com/javananAbolfazlQom</t>
    </r>
  </si>
  <si>
    <t>امام حسن (ع)</t>
  </si>
  <si>
    <t>https://www.instagram.com/heyat_emamhasan_mojtaba</t>
  </si>
  <si>
    <t>https://t.me/heyat_emamhasan_mojtaba</t>
  </si>
  <si>
    <t>https://eitaa.com/heyat_emamhasan_mojtaba</t>
  </si>
  <si>
    <t>https://eitaa.com/ansar_alhosseyn313</t>
  </si>
  <si>
    <t>https://www.instagram.com/ansaralmahdiqom</t>
  </si>
  <si>
    <t>https://t.me/AnsaralmahdiQom</t>
  </si>
  <si>
    <t>18169‍‍</t>
  </si>
  <si>
    <t>بنی الزهرا(س)</t>
  </si>
  <si>
    <t>https://www.instagram.com/h_banezahra118/</t>
  </si>
  <si>
    <r>
      <rPr>
        <rFont val="-apple-system, BlinkMacSystemFont, &quot;Segoe UI&quot;, Roboto, Helvetica, Arial, sans-serif"/>
        <color rgb="FF1155CC"/>
        <sz val="11.0"/>
        <u/>
      </rPr>
      <t>eitaa.com/h_banezahra118</t>
    </r>
  </si>
  <si>
    <t>ثامن الحجج</t>
  </si>
  <si>
    <t>https://www.instagram.com/samenall_hojaj/</t>
  </si>
  <si>
    <t>https://eitaa.com/samenallhojaj</t>
  </si>
  <si>
    <t>جنة البکاء</t>
  </si>
  <si>
    <t>https://www.instagram.com/jannatolboka.ir/</t>
  </si>
  <si>
    <t>جنت الزینب</t>
  </si>
  <si>
    <t>https://www.instagram.com/jannatalzeinabqom/</t>
  </si>
  <si>
    <t>https://t.me/jannatalzeinabqom</t>
  </si>
  <si>
    <t>جوانان امام حسن مجتبی</t>
  </si>
  <si>
    <t>https://www.instagram.com/hasanie_qom/</t>
  </si>
  <si>
    <t>https://t.me/hasanieqom</t>
  </si>
  <si>
    <t>https://eitaa.com/hasanie_qom</t>
  </si>
  <si>
    <t>https://www.instagram.com/heiat_14masoume/</t>
  </si>
  <si>
    <t>حجت بن الحسن (عج)</t>
  </si>
  <si>
    <t>https://eitaa.com/heyathojjat</t>
  </si>
  <si>
    <t>حداث الحسین(ع)</t>
  </si>
  <si>
    <r>
      <rPr>
        <color rgb="FF000000"/>
      </rPr>
      <t xml:space="preserve"> </t>
    </r>
    <r>
      <rPr>
        <color rgb="FF1155CC"/>
        <u/>
      </rPr>
      <t>https://www.instagram.com/mirzamohammadi_ir</t>
    </r>
  </si>
  <si>
    <t>https://eitaa.com/huddath_al_hussain_ir</t>
  </si>
  <si>
    <t>حضرت حمزه(ع)</t>
  </si>
  <si>
    <t>https://eitaa.com/Heyat_hamze</t>
  </si>
  <si>
    <t>https://www.instagram.com/heyat_hazrate_sahebalzaman/</t>
  </si>
  <si>
    <t>https://eitaa.com/miadgah_313</t>
  </si>
  <si>
    <t>https://www.instagram.com/khademin_h_zahra/</t>
  </si>
  <si>
    <t>خیمه گاه علی ابن موسی الرضا</t>
  </si>
  <si>
    <t>https://www.instagram.com/kheimegah_aliebnemousaalreza/</t>
  </si>
  <si>
    <t>https://t.me/kheimegah_aliebnemousaalreza</t>
  </si>
  <si>
    <t>https://eitaa.com/kheymeh_gah_emam_reza</t>
  </si>
  <si>
    <t>دارالبکاء دختران موسی بن جعفر</t>
  </si>
  <si>
    <t>https://www.instagram.com/dokhtarane_mosa_ibn_jafar_/</t>
  </si>
  <si>
    <t>دیوانگان‌ام‌المصائب</t>
  </si>
  <si>
    <t>https://www.instagram.com/umm_al_masaib/</t>
  </si>
  <si>
    <t>ریحانه الرسول (س)</t>
  </si>
  <si>
    <t>https://www.instagram.com/reyhanatorrasoul_ir/</t>
  </si>
  <si>
    <t>سلالة النبی (ص)</t>
  </si>
  <si>
    <t>https://eitaa.com/heiatsolaleqom</t>
  </si>
  <si>
    <t>https://eitaa.com/sarallaheqom128</t>
  </si>
  <si>
    <t>عاشقان موسی بن جعفر</t>
  </si>
  <si>
    <t>https://www.instagram.com/asheghan_mosabnejafar/</t>
  </si>
  <si>
    <t>https://www.instagram.com/oshaghe_ol_abbas_/</t>
  </si>
  <si>
    <t>https://t.me/oshage</t>
  </si>
  <si>
    <t>https://www.instagram.com/oshshagolmahdi</t>
  </si>
  <si>
    <t>https://eitaa.com/oshshagolmahdi</t>
  </si>
  <si>
    <t>غمکده اباعبدالله</t>
  </si>
  <si>
    <t>https://www.instagram.com/moharam_qom/</t>
  </si>
  <si>
    <t>https://t.me/moharam_qom</t>
  </si>
  <si>
    <t>غیرت العباس</t>
  </si>
  <si>
    <t>https://www.instagram.com/qeiratolabbas.qom/</t>
  </si>
  <si>
    <t>https://t.me/qeiratolabbas</t>
  </si>
  <si>
    <t>https://www.instagram.com/qeiratolabbas_online/</t>
  </si>
  <si>
    <t>فدائیان امیرالمومنین (ع)</t>
  </si>
  <si>
    <t>https://eitaa.com/fadaiyaninfo</t>
  </si>
  <si>
    <t>https://eitaa.com/heyatghasem1440</t>
  </si>
  <si>
    <t>https://eitaa.com/HazratQasim110</t>
  </si>
  <si>
    <t>ماتمکده حضرت رباب</t>
  </si>
  <si>
    <t>https://www.instagram.com/matamkade_hazrat_robab/</t>
  </si>
  <si>
    <t>https://t.me/Matamkade_Hazrat_Robab</t>
  </si>
  <si>
    <t>مجموعه بوی سیب حسینی (بقعه علی بن بابویه)</t>
  </si>
  <si>
    <t>https://eitaa.com/kargahmadahinojavanan</t>
  </si>
  <si>
    <t>https://www.instagram.com/mohebanozahra_heyat/</t>
  </si>
  <si>
    <t>https://eitaa.com/mohebanozahra_heyat</t>
  </si>
  <si>
    <t>https://eitaa.com/mohebbin_net</t>
  </si>
  <si>
    <t>مرکز فرهنگی جهادی هیات الرضا (ع)</t>
  </si>
  <si>
    <t>https://www.instagram.com/heyatalreza_ir</t>
  </si>
  <si>
    <t>https://eitaa.com/heyatalreza_ir</t>
  </si>
  <si>
    <t>مسجدالنبی (ص)</t>
  </si>
  <si>
    <t>https://www.instagram.com/masjed_alnabi_salarie/</t>
  </si>
  <si>
    <t>مصباح الهدی (عج)</t>
  </si>
  <si>
    <t>https://eitaa.com/mesbaholhodaqom</t>
  </si>
  <si>
    <t>معاصران حضرت ولی عصر (عجل الله تعالی فرجه الشریف)</t>
  </si>
  <si>
    <t>https://www.instagram.com/valiasr_heiat/</t>
  </si>
  <si>
    <t>https://eitaa.com/heyatvalieasr</t>
  </si>
  <si>
    <t>دسته عزاداری</t>
  </si>
  <si>
    <t>https://www.instagram.com/maktabolzeinab1390/</t>
  </si>
  <si>
    <t>https://www.instagram.com/maktabalsadegh_qom</t>
  </si>
  <si>
    <t>https://t.me/maktabalsadegh_qom</t>
  </si>
  <si>
    <t>https://eitaa.com/Maktab_Sadeg_Qom</t>
  </si>
  <si>
    <t>یا زینب (س)</t>
  </si>
  <si>
    <t>https://www.instagram.com/yazeinaba.ir/</t>
  </si>
  <si>
    <t>https://eitaa.com/yazeinaba_ir</t>
  </si>
  <si>
    <t>https://www.instagram.com/heyatyazahra_1/</t>
  </si>
  <si>
    <t>https://t.me/heyatyazahra_213</t>
  </si>
  <si>
    <t>https://eitaa.com/heyatyazahra_213</t>
  </si>
  <si>
    <t>یاوران مهدی (ع)</t>
  </si>
  <si>
    <t>https://eitaa.com/yyavarann</t>
  </si>
  <si>
    <t>انا من حسین (ع)</t>
  </si>
  <si>
    <t>https://eitaa.com/heiat_ana_men_hosein</t>
  </si>
  <si>
    <t>https://www.instagram.com/beyt_alzahra1382/</t>
  </si>
  <si>
    <t>حضرت ام البنین</t>
  </si>
  <si>
    <t>https://www.instagram.com/heyat_ommolbanin_qom/</t>
  </si>
  <si>
    <t>حضرت زهرا (س)</t>
  </si>
  <si>
    <t>https://www.instagram.com/heyat_seyedalshohada_qom/</t>
  </si>
  <si>
    <t>https://eitaa.com/ashouraeyan313</t>
  </si>
  <si>
    <t>27523‍</t>
  </si>
  <si>
    <t>https://www.instagram.com/ghatilalabarat_qom</t>
  </si>
  <si>
    <t>https://eitaa.com/ghatilalabarat_qom</t>
  </si>
  <si>
    <t>کاشف الکرب</t>
  </si>
  <si>
    <t>https://www.instagram.com/kashefalkarb_qom/</t>
  </si>
  <si>
    <t>https://eitaa.com/kashefalkarb_qom</t>
  </si>
  <si>
    <t>کربلاء المقدسه</t>
  </si>
  <si>
    <t>https://www.instagram.com/karbalaeihaqom/</t>
  </si>
  <si>
    <t>https://t.me/karbalaeihaqom</t>
  </si>
  <si>
    <t>https://eitaa.com/karbalaeihaqom</t>
  </si>
  <si>
    <t>محبین صاحب الزمان</t>
  </si>
  <si>
    <t>https://www.instagram.com/mohebin313_qom/</t>
  </si>
  <si>
    <t>معزالمومنین(علیه السلام)</t>
  </si>
  <si>
    <t>https://www.instagram.com/moezolmomeninqom_ir/</t>
  </si>
  <si>
    <t>https://www.instagram.com/kheyzaran.128/</t>
  </si>
  <si>
    <t>https://t.me/maktabroghaye_qom</t>
  </si>
  <si>
    <t>https://www.instagram.com/maktabozahra_qom/</t>
  </si>
  <si>
    <t>موج الحسین (ع)</t>
  </si>
  <si>
    <t>https://www.instagram.com/heyat_aba_abdellah/</t>
  </si>
  <si>
    <t>https://eitaa.com/moj_al_hossein</t>
  </si>
  <si>
    <t>الزینب (سلام‌الله‌علیها)</t>
  </si>
  <si>
    <t>شعبان</t>
  </si>
  <si>
    <t>https://www.instagram.com/heyatozeynab</t>
  </si>
  <si>
    <t>https://eitaa.com/heyatozzeynab</t>
  </si>
  <si>
    <t>https://www.instagram.com/ansarlhasan_qom/</t>
  </si>
  <si>
    <t>https://t.me/ansar_lhasan_118</t>
  </si>
  <si>
    <t>https://www.instagram.com/ansaar_128/</t>
  </si>
  <si>
    <t>https://t.me/ansaar_128</t>
  </si>
  <si>
    <t>https://www.instagram.com/baitolabbas_qom/</t>
  </si>
  <si>
    <t>https://www.youtube.com/baitolabbas_qom</t>
  </si>
  <si>
    <t>https://www.instagram.com/heyat.beynolharameyn.qom/</t>
  </si>
  <si>
    <t>https://t.me/heyat_beynolharameyn_qom_118</t>
  </si>
  <si>
    <t>رمضان - شعبان</t>
  </si>
  <si>
    <t>https://www.instagram.com/sarallahqom</t>
  </si>
  <si>
    <t>https://eitaa.com/sarallahqom</t>
  </si>
  <si>
    <t>https://sarallahqom.ir/</t>
  </si>
  <si>
    <t>ثناگویان حضرت هو</t>
  </si>
  <si>
    <t xml:space="preserve">رمضان  </t>
  </si>
  <si>
    <t>https://www.instagram.com/sana_goyane_hazrate_ho_online/</t>
  </si>
  <si>
    <t>https://t.me/sana_goyane_hazrate_ho</t>
  </si>
  <si>
    <t>تکیه</t>
  </si>
  <si>
    <t>حاج سید حسن</t>
  </si>
  <si>
    <t>https://www.instagram.com/tekyeqom/</t>
  </si>
  <si>
    <t>https://t.me/tekyeqom</t>
  </si>
  <si>
    <t>جوانان‌امام‌حسن‌مجتبی</t>
  </si>
  <si>
    <t>https://www.instagram.com/hasanie_qom</t>
  </si>
  <si>
    <t>https://www.instagram.com/hu_hazrat_zahra.qom</t>
  </si>
  <si>
    <t>https://eitaa.com/hoseinefatematazahra</t>
  </si>
  <si>
    <t>https://www.instagram.com/khademalreza.qom/</t>
  </si>
  <si>
    <t>https://t.me/khademalrezaqom1</t>
  </si>
  <si>
    <t>https://eitaa.com/khademalreza_qom</t>
  </si>
  <si>
    <t>https://khademalreza.ir/</t>
  </si>
  <si>
    <t>خادمین حضرت زینب</t>
  </si>
  <si>
    <t>https://www.instagram.com/khademin_hazrat_zeynab/</t>
  </si>
  <si>
    <t>https://t.me/khademin_hazrat_zeynab</t>
  </si>
  <si>
    <t>دلدادگان حضرت ام البنین</t>
  </si>
  <si>
    <t>https://www.instagram.com/mahfel_omebanin/</t>
  </si>
  <si>
    <t>https://t.me/mahfel_omebanin_GOM</t>
  </si>
  <si>
    <t>https://www.instagram.com/razmandeganqom/</t>
  </si>
  <si>
    <t>https://t.me/RazmandeganQom</t>
  </si>
  <si>
    <t>https://eitaa.com/razmandeganqom</t>
  </si>
  <si>
    <t>https://www.instagram.com/razmandeganqom.live/</t>
  </si>
  <si>
    <t>https://razmandeganqom.ir/</t>
  </si>
  <si>
    <t>https://www.instagram.com/h_rozato_zahra/</t>
  </si>
  <si>
    <t>https://t.me/H_Rozato_zahra</t>
  </si>
  <si>
    <t>https://eitaa.com/h_rozato_zahra</t>
  </si>
  <si>
    <t>ام ابیها</t>
  </si>
  <si>
    <t>https://www.instagram.com/heyat_ome_abiha</t>
  </si>
  <si>
    <t>https://t.me/heyat_ome_abiha</t>
  </si>
  <si>
    <t>https://www.instagram.com/heyatomeabiha.ensiatalhora/</t>
  </si>
  <si>
    <t>https://www.instagram.com/mehremadari.charity</t>
  </si>
  <si>
    <t>بهشت عباس</t>
  </si>
  <si>
    <t>https://www.instagram.com/behesht_abbas/</t>
  </si>
  <si>
    <t>https://t.me/behesht_abbas</t>
  </si>
  <si>
    <t>https://www.instagram.com/beytozahraqom/</t>
  </si>
  <si>
    <t>https://t.me/beytozahra_qom</t>
  </si>
  <si>
    <t>حسن بن علی (ع)</t>
  </si>
  <si>
    <t>https://www.instagram.com/heyat.hasanebnali.qom/</t>
  </si>
  <si>
    <r>
      <rPr>
        <color rgb="FF1155CC"/>
        <u/>
      </rPr>
      <t>https://eitaa.com/fatemiyoun_ir</t>
    </r>
    <r>
      <rPr>
        <color rgb="FF000000"/>
      </rPr>
      <t xml:space="preserve">    </t>
    </r>
    <r>
      <rPr>
        <color rgb="FF1155CC"/>
        <u/>
      </rPr>
      <t>eitaa.com/mahdisalahshuor</t>
    </r>
  </si>
  <si>
    <t>بیت النبی(ص) پیروان ولایت</t>
  </si>
  <si>
    <t>https://www.instagram.com/beytonabi_ir</t>
  </si>
  <si>
    <t>https://eitaa.com/beytonabi_ir</t>
  </si>
  <si>
    <t>https://beytonabi.ir/</t>
  </si>
  <si>
    <t>رایة المقاومه</t>
  </si>
  <si>
    <t>https://eitaa.com/rayatolmoghavemat</t>
  </si>
  <si>
    <t>محبین حضرت زینب (س)</t>
  </si>
  <si>
    <t>https://www.instagram.com/mohebbin_zeynab/</t>
  </si>
  <si>
    <t>https://t.me/mohebbin_zeynab</t>
  </si>
  <si>
    <t>https://eitaa.com/mohebbin_zeynab</t>
  </si>
  <si>
    <t>دیوانگان حضرت رباب سلام الله علیها</t>
  </si>
  <si>
    <t>https://www.instagram.com/divangan_205/</t>
  </si>
  <si>
    <t>https://t.me/divangan_205</t>
  </si>
  <si>
    <t>دیوانگان حضرت رقیه</t>
  </si>
  <si>
    <t>https://www.instagram.com/divaneganroqaie/</t>
  </si>
  <si>
    <t>https://t.me/devaneganroqaie</t>
  </si>
  <si>
    <t>https://www.instagram.com/reyhanatolhosein315_qom/</t>
  </si>
  <si>
    <t>https://t.me/reyhanatolhoseinqom315</t>
  </si>
  <si>
    <t>شاه علقمه</t>
  </si>
  <si>
    <t>https://www.instagram.com/shah_alghame/</t>
  </si>
  <si>
    <t>https://t.me/shah_alghame</t>
  </si>
  <si>
    <t>https://www.instagram.com/mahfel_shahnajaf_qom</t>
  </si>
  <si>
    <t>https://t.me/mahfel_shah_najaf_110</t>
  </si>
  <si>
    <t>https://www.instagram.com/hayat_shabab_alruqaia</t>
  </si>
  <si>
    <t>https://t.me/hayat_shabab_alruqaia</t>
  </si>
  <si>
    <t>https://www.youtube.com/@hayatshababalruqaia3287</t>
  </si>
  <si>
    <t>https://www.instagram.com/oshaqheydar</t>
  </si>
  <si>
    <t>https://t.me/oshaqheydar110</t>
  </si>
  <si>
    <t>عصرهای جمعه آل یاسین</t>
  </si>
  <si>
    <t>https://www.instagram.com/aleyasinqom/</t>
  </si>
  <si>
    <t>https://www.instagram.com/heyate_gharibe_madineh_qom/</t>
  </si>
  <si>
    <t>http://t.me/GHM_Qom</t>
  </si>
  <si>
    <t>فاطمةالزهرا(س)</t>
  </si>
  <si>
    <t>https://www.instagram.com/h_yazahra69/</t>
  </si>
  <si>
    <t>https://t.me/h_yazahra69</t>
  </si>
  <si>
    <t>https://www.instagram.com/levaozzeynab/</t>
  </si>
  <si>
    <t>https://t.me/levaozzeynab_com</t>
  </si>
  <si>
    <t>https://eitaa.com/levaozzeynab_qom</t>
  </si>
  <si>
    <t>https://www.youtube.com/@levaozzeynab_com</t>
  </si>
  <si>
    <t>لیلة القدر</t>
  </si>
  <si>
    <t>https://www.instagram.com/l_ghadr/</t>
  </si>
  <si>
    <t>https://t.me/l_ghadr</t>
  </si>
  <si>
    <t>یازهرا(س)</t>
  </si>
  <si>
    <t>https://www.instagram.com/heyatyazahra.ir/</t>
  </si>
  <si>
    <t>متوسلین به حضرت علی اصغر (ع)</t>
  </si>
  <si>
    <t>https://eitaa.com/haliasghar</t>
  </si>
  <si>
    <t>منتظر المهدی</t>
  </si>
  <si>
    <t>https://www.instagram.com/vetr.info</t>
  </si>
  <si>
    <t>https://t.me/vetrinfo_channel</t>
  </si>
  <si>
    <t>https://eitaa.com/vetrinfo_channel</t>
  </si>
  <si>
    <t>شنبه های ام البنینی</t>
  </si>
  <si>
    <t>https://www.instagram.com/khademin_behesht</t>
  </si>
  <si>
    <t>https://www.instagram.com/jannat.info/</t>
  </si>
  <si>
    <t>شباب الحسین موکب اهالی کربلا</t>
  </si>
  <si>
    <t>https://www.instagram.com/shabab_al_hosein/</t>
  </si>
  <si>
    <t>https://t.me/shabab_al_hosein</t>
  </si>
  <si>
    <t>غمخانه بی بی شهربانو</t>
  </si>
  <si>
    <t>https://www.instagram.com/ghamkhanehqom</t>
  </si>
  <si>
    <t>https://t.me/Ghamkhanehqom</t>
  </si>
  <si>
    <t>https://eitaa.com/ghamkhaneh_qom</t>
  </si>
  <si>
    <t>منتظرالمهدی (عج)</t>
  </si>
  <si>
    <t>https://eitaa.com/h_montazeralmahdi</t>
  </si>
  <si>
    <t>قرارگاه فرهنگی پیر غلامان امام حسین ع قم</t>
  </si>
  <si>
    <t>--</t>
  </si>
  <si>
    <t>https://eitaa.com/emame_hosein</t>
  </si>
  <si>
    <t>اطلاع رسانی</t>
  </si>
  <si>
    <t>هیئات دانش آموزی</t>
  </si>
  <si>
    <t>----</t>
  </si>
  <si>
    <t>https://eitaa.com/hkeimeh</t>
  </si>
  <si>
    <t>🤔</t>
  </si>
  <si>
    <t>https://www.instagram.com/maktab_abbas_media/</t>
  </si>
  <si>
    <t>https://t.me/maktab_abbas_qom</t>
  </si>
  <si>
    <t>https://www.instagram.com/maktab_abbas_qom/</t>
  </si>
  <si>
    <t>دانش آموزی</t>
  </si>
  <si>
    <t>انصارالمهدی (عج) ( دانش آموزی )</t>
  </si>
  <si>
    <t>1😔</t>
  </si>
  <si>
    <t>https://www.instagram.com/ansariha_qom</t>
  </si>
  <si>
    <t>https://eitaa.com/ansariha_qom</t>
  </si>
  <si>
    <t>https://www.instagram.com/moazam.hazrat.roghaieh/</t>
  </si>
  <si>
    <t>https://t.me/roghai</t>
  </si>
  <si>
    <t>شباب المهدی</t>
  </si>
  <si>
    <t>https://www.instagram.com/shabab_almahdi</t>
  </si>
  <si>
    <t>https://t.me/shabab_almahdi</t>
  </si>
  <si>
    <t>شبفتگان حضرت رقیه</t>
  </si>
  <si>
    <t>https://www.instagram.com/shiftegan315qom/</t>
  </si>
  <si>
    <t>https://t.me/Shiftegan315qom</t>
  </si>
  <si>
    <t>https://eitaa.com/Shiftegan315qom</t>
  </si>
  <si>
    <t>کف العباس(ع)</t>
  </si>
  <si>
    <t>https://www.instagram.com/kaf.abbas/</t>
  </si>
  <si>
    <t>حسینیه سیدالشهدا _ آذربایجانیهای مقیم قم</t>
  </si>
  <si>
    <t>1فعال غیر هیأت</t>
  </si>
  <si>
    <t>https://eitaa.com/arasgoni</t>
  </si>
  <si>
    <t>2🤐</t>
  </si>
  <si>
    <t>https://www.instagram.com/saran.be.ney_qom/</t>
  </si>
  <si>
    <t>https://t.me/saran_be_ney_qom</t>
  </si>
  <si>
    <t>https://eitaa.com/saranbeney59</t>
  </si>
  <si>
    <t>اسلام میرزایی</t>
  </si>
  <si>
    <t>https://www.instagram.com/eslammirzaei1191/</t>
  </si>
  <si>
    <t>https://t.me/eslam_mirzaei</t>
  </si>
  <si>
    <t>حسن شالبافان</t>
  </si>
  <si>
    <t>https://www.instagram.com/hasan__shalbafan/</t>
  </si>
  <si>
    <t>https://t.me/hasan_shalbafan_118</t>
  </si>
  <si>
    <t>https://eitaa.com/hasanshalbafan110</t>
  </si>
  <si>
    <t>حسن عطایی</t>
  </si>
  <si>
    <t>https://www.instagram.com/hassanataie/</t>
  </si>
  <si>
    <t>https://t.me/hassanataie1</t>
  </si>
  <si>
    <t>https://eitaa.com/hassanataie</t>
  </si>
  <si>
    <t>زیر گنبد طلا</t>
  </si>
  <si>
    <t>https://eitaa.com/ziregonbadetala</t>
  </si>
  <si>
    <t>سید رضا تحویلدار</t>
  </si>
  <si>
    <t>https://www.instagram.com/seyedrezatahvildar/</t>
  </si>
  <si>
    <t>سید مهدی میرداماد</t>
  </si>
  <si>
    <t>https://www.instagram.com/aabes_ir/</t>
  </si>
  <si>
    <t>http://t.me/s_mahdi_mirdamad</t>
  </si>
  <si>
    <r>
      <rPr>
        <rFont val="-apple-system, BlinkMacSystemFont, &quot;Segoe UI&quot;, Roboto, Helvetica, Arial, sans-serif"/>
        <color rgb="FF1155CC"/>
        <sz val="11.0"/>
        <u/>
      </rPr>
      <t>aabes.ir</t>
    </r>
  </si>
  <si>
    <t>علی اکبر حائری</t>
  </si>
  <si>
    <t>https://www.instagram.com/aliakbarhaeri/</t>
  </si>
  <si>
    <t>https://t.me/ALIAKBARHAERI</t>
  </si>
  <si>
    <t>https://eitaa.com/aliakbarhaeri_info</t>
  </si>
  <si>
    <t>علی حبیب زاده</t>
  </si>
  <si>
    <t>https://www.instagram.com/ali_habibzadeh315/</t>
  </si>
  <si>
    <t>https://t.me/ali_habibzadeh315</t>
  </si>
  <si>
    <t>گروه جهادی خواهران مطاف عشق</t>
  </si>
  <si>
    <t>havayenoo.ir</t>
  </si>
  <si>
    <t>مجموعه</t>
  </si>
  <si>
    <t>مجموعه ی مقداد (کارهای فرهنگی و رسانه ای نماهنگ)</t>
  </si>
  <si>
    <t>https://www.instagram.com/meghdadmedia.af/</t>
  </si>
  <si>
    <t>https://eitaa.com/Meghdadmediaaf</t>
  </si>
  <si>
    <t>محسن توکلیان</t>
  </si>
  <si>
    <t>https://www.instagram.com/mohsen.tavakolyan/</t>
  </si>
  <si>
    <t>https://t.me/mohsentavakolian_channel</t>
  </si>
  <si>
    <t>موسسه</t>
  </si>
  <si>
    <t>موسسه فرهنگی تبلیغی ثاقب</t>
  </si>
  <si>
    <t>مداحی آنلاین</t>
  </si>
  <si>
    <t>https://eitaa.com/maddahionlin</t>
  </si>
  <si>
    <t>عشاق الحسین (محب الحسین)</t>
  </si>
  <si>
    <t>https://eitaa.com/oshaghalhosein_313</t>
  </si>
  <si>
    <t>حمیدرضا مهدوی ارفع</t>
  </si>
  <si>
    <t>https://eitaa.com/mahdavi_arfae</t>
  </si>
  <si>
    <t>زائر عتبات</t>
  </si>
  <si>
    <t>https://eitaa.com/Heyatsarallah_qom</t>
  </si>
  <si>
    <t>محسن قنبریان</t>
  </si>
  <si>
    <t>https://www.instagram.com/ghanbarian.ir/</t>
  </si>
  <si>
    <t>https://eitaa.com/m_ghanbarian</t>
  </si>
  <si>
    <t>عباسیه صاحب الزمان</t>
  </si>
  <si>
    <t>https://eitaa.com/abasiyesahebalzaman</t>
  </si>
  <si>
    <t>فاطمه معصومه اهالی قم</t>
  </si>
  <si>
    <t>https://eitaa.com/MokebAhaliQom</t>
  </si>
  <si>
    <t>موکب و هیئت حضرت خدیجه سلام علیها جمکران</t>
  </si>
  <si>
    <t>https://eitaa.com/hazratkhadijajamkaran</t>
  </si>
  <si>
    <t xml:space="preserve">آل یاسین </t>
  </si>
  <si>
    <t>https://eitaa.com/aleyasinqom</t>
  </si>
  <si>
    <t>https://t.me/heyatalreza_ir</t>
  </si>
  <si>
    <t>انصار المهدی عجل الله تعالی فرجه الشریف</t>
  </si>
  <si>
    <t>https://eitaa.com/ansarolmahdi_aj</t>
  </si>
  <si>
    <t>فاطمیون قم خواهران</t>
  </si>
  <si>
    <t>https://eitaa.com/Fatemiyonkhaharan</t>
  </si>
  <si>
    <t>https://eitaa.com/alamdar_qom79</t>
  </si>
  <si>
    <t>https://eitaa.com/khoneh_madari</t>
  </si>
  <si>
    <t xml:space="preserve">عاشورا </t>
  </si>
  <si>
    <t>https://eitaa.com/heyatashoraqom</t>
  </si>
  <si>
    <t>اندیشه</t>
  </si>
  <si>
    <t>https://eitaa.com/HossiniehAndisheh</t>
  </si>
  <si>
    <t>https://www.instagram.com/heyatyazahra.ir</t>
  </si>
  <si>
    <t>https://eitaa.com/heyatyazahra_ir</t>
  </si>
  <si>
    <t xml:space="preserve">انصار المهدی  </t>
  </si>
  <si>
    <t>https://eitaa.com/mokebe_ansarolmahdi</t>
  </si>
  <si>
    <t>https://eitaa.com/QatilAlabarat</t>
  </si>
  <si>
    <t>خادم الشهدا</t>
  </si>
  <si>
    <t>https://eitaa.com/kh_alshohada</t>
  </si>
  <si>
    <t>https://eitaa.com/heyat_omeabiha</t>
  </si>
  <si>
    <t>https://eitaa.com/fatemiyeh_qom</t>
  </si>
  <si>
    <t>اعظم آلانقی های مقیم قم</t>
  </si>
  <si>
    <t>https://eitaa.com/mahdiyehalanaghiha</t>
  </si>
  <si>
    <t>https://eitaa.com/mohebin313_qom</t>
  </si>
  <si>
    <t>بنات الزهرا</t>
  </si>
  <si>
    <t>https://eitaa.com/banatozzahra</t>
  </si>
  <si>
    <t>https://eitaa.com/Zeinabiyye</t>
  </si>
  <si>
    <t>حضرت خدیجه کبری سلام الله علیها</t>
  </si>
  <si>
    <t>https://eitaa.com/khadijeh622</t>
  </si>
  <si>
    <t>https://eitaa.com/kaffolabbas</t>
  </si>
  <si>
    <t>شهدای راهجرد</t>
  </si>
  <si>
    <t>راهجرد</t>
  </si>
  <si>
    <t>https://eitaa.com/h_shohada_rahjerd</t>
  </si>
  <si>
    <t>توضیحات</t>
  </si>
  <si>
    <t>امام حسن المجتبی (ع)</t>
  </si>
  <si>
    <t>آبادان</t>
  </si>
  <si>
    <t>https://www.instagram.com/emamhasan_ab/</t>
  </si>
  <si>
    <t>باقریون</t>
  </si>
  <si>
    <t>https://www.instagram.com/bagheriyon.ir/</t>
  </si>
  <si>
    <t>بوشهری ها</t>
  </si>
  <si>
    <t>https://www.instagram.com/khaghani_1321/</t>
  </si>
  <si>
    <t>بوشهریها</t>
  </si>
  <si>
    <t>https://www.instagram.com/hoseinie_booshehriha</t>
  </si>
  <si>
    <t>https://t.me/hoseinie_booshehriha</t>
  </si>
  <si>
    <t>https://www.instagram.com/masjed.samen/</t>
  </si>
  <si>
    <t>https://www.instagram.com/heyat_hazrat_roghayeh.ab/</t>
  </si>
  <si>
    <t>داونی ها</t>
  </si>
  <si>
    <t>https://www.instagram.com/hoseiniye_davaniha_abadan/</t>
  </si>
  <si>
    <t>رایة العباس (ع)</t>
  </si>
  <si>
    <t>https://www.instagram.com/ferdosabadan</t>
  </si>
  <si>
    <t>https://t.me/ferdosabadan</t>
  </si>
  <si>
    <t>صاحب الزمان عج</t>
  </si>
  <si>
    <t>https://www.instagram.com/hosseinyeh.sahebalzaman/</t>
  </si>
  <si>
    <t>هیأت دختران</t>
  </si>
  <si>
    <t>قرآنی</t>
  </si>
  <si>
    <t>https://www.instagram.com/quran_abadan_ir/</t>
  </si>
  <si>
    <t>مکتب الرسول (ص)</t>
  </si>
  <si>
    <t>https://www.instagram.com/masjed.hojatabadan/</t>
  </si>
  <si>
    <t>جوانان بنی هاشم (ع)</t>
  </si>
  <si>
    <t>امیدیه</t>
  </si>
  <si>
    <t xml:space="preserve"> شهر میانکوه</t>
  </si>
  <si>
    <t>http://instagram.com/heiat.javananbanihashem/</t>
  </si>
  <si>
    <t>اندیمشک</t>
  </si>
  <si>
    <t>https://eitaa.com/dokhtaran_haj_ghasem4</t>
  </si>
  <si>
    <t>شهید سلیمانی</t>
  </si>
  <si>
    <t>29570‍‍‍</t>
  </si>
  <si>
    <t>عاشورا اندیمشک</t>
  </si>
  <si>
    <t>https://www.instagram.com/ashoraandimeshk/</t>
  </si>
  <si>
    <t>أنصار الحسین (ع)</t>
  </si>
  <si>
    <t>اهواز</t>
  </si>
  <si>
    <t>https://www.instagram.com/ansar_alhussein_board_956/</t>
  </si>
  <si>
    <t>ابوالفضل العباس (ع)</t>
  </si>
  <si>
    <t>https://www.instagram.com/heyat.abalfazl.ahvaz/</t>
  </si>
  <si>
    <t>الانبیا(ص)</t>
  </si>
  <si>
    <t>https://www.instagram.com/masjede_anbia/</t>
  </si>
  <si>
    <t>https://www.instagram.com/heiatozahra_ahwaz/</t>
  </si>
  <si>
    <t>امام موسی الکاظم</t>
  </si>
  <si>
    <t>https://www.instagram.com/heiat_emam_moosa_alkazem</t>
  </si>
  <si>
    <t>جهادگران</t>
  </si>
  <si>
    <t>https://www.instagram.com/jahadgaran.heyat/</t>
  </si>
  <si>
    <t>https://eitaa.com/heyat_jahad_kh</t>
  </si>
  <si>
    <t>جوانان جوادالائمه (ع)</t>
  </si>
  <si>
    <t>https://www.instagram.com/heyat_javanan_jvadolaemehahwaz/</t>
  </si>
  <si>
    <r>
      <rPr>
        <rFont val="Calibri"/>
        <color rgb="FF1155CC"/>
        <sz val="11.0"/>
        <u/>
      </rPr>
      <t>telegram.me./jvadolaemeh1391</t>
    </r>
  </si>
  <si>
    <t>https://www.instagram.com/heiatkhdamalhusinahwazmandali/</t>
  </si>
  <si>
    <t>خدام الحسین حی سید خلف</t>
  </si>
  <si>
    <t>https://www.instagram.com/samihamadi1/</t>
  </si>
  <si>
    <t>خدام الزهرا (س)</t>
  </si>
  <si>
    <t>https://www.instagram.com/heyat_khoddam_alzahra/</t>
  </si>
  <si>
    <t>خورشید آل یاسین</t>
  </si>
  <si>
    <t>https://www.instagram.com/khorshed_al_easin_ahvaz/</t>
  </si>
  <si>
    <t>ریحانه الرسول(س)</t>
  </si>
  <si>
    <t>https://www.instagram.com/heyat.reihanealrasol/</t>
  </si>
  <si>
    <t>زوارالحسن (ع)</t>
  </si>
  <si>
    <t>https://www.instagram.com/zovaralhasan_ahwaz/</t>
  </si>
  <si>
    <t>https://www.instagram.com/sajadiyeahvaz/</t>
  </si>
  <si>
    <t>شهرک نفت</t>
  </si>
  <si>
    <t>https://www.instagram.com/hosseiniyeh.seyed.al.shohada</t>
  </si>
  <si>
    <t>صاحب‌الامر(عج)</t>
  </si>
  <si>
    <t>https://www.instagram.com/sangar.313_ir/</t>
  </si>
  <si>
    <t>عاشقان ثارالله(ع) (رزمندگان اسلام)</t>
  </si>
  <si>
    <t>https://www.instagram.com/sarallah_mahshahr/</t>
  </si>
  <si>
    <t>https://www.instagram.com/shyrhzbh/</t>
  </si>
  <si>
    <t>https://www.instagram.com/fatemioon_ahwaz/</t>
  </si>
  <si>
    <t>https://t.me/fatemioon_ahwaz</t>
  </si>
  <si>
    <t>https://eitaa.com/fatemioon_ahwaz</t>
  </si>
  <si>
    <t>پردیس فاطمه الزهرا(س)اهواز</t>
  </si>
  <si>
    <t>https://www.instagram.com/heyat_cfuf</t>
  </si>
  <si>
    <t>کوله بار مهربانی</t>
  </si>
  <si>
    <t>https://www.instagram.com/koolebaremehrabanii/</t>
  </si>
  <si>
    <t>گمنام های مهدوی</t>
  </si>
  <si>
    <t>https://www.instagram.com/gomnaman_mahdavi/</t>
  </si>
  <si>
    <t>لبیک یاحسین (ع)</t>
  </si>
  <si>
    <t>https://www.instagram.com/labbaik_ya_hosain/</t>
  </si>
  <si>
    <t>مجمع عشاق اهل بیت(ع)</t>
  </si>
  <si>
    <t>https://www.instagram.com/majmae_oshagh/</t>
  </si>
  <si>
    <t>محبان ابوالفضل العباس(ع)</t>
  </si>
  <si>
    <t>https://www.instagram.com/mohebandez/</t>
  </si>
  <si>
    <r>
      <rPr>
        <rFont val="var(--font-family-system)"/>
        <color rgb="FF1155CC"/>
        <u/>
      </rPr>
      <t>tlgrm.me/mohebandez</t>
    </r>
  </si>
  <si>
    <t>محبان ام البنین (س)</t>
  </si>
  <si>
    <t>https://www.instagram.com/mohebban_omalbanin/</t>
  </si>
  <si>
    <t>محبین اهل البیت (ع)</t>
  </si>
  <si>
    <t>https://www.instagram.com/mohebin.ahlbait/</t>
  </si>
  <si>
    <t>رهروان شهداء</t>
  </si>
  <si>
    <t>ایذه</t>
  </si>
  <si>
    <t>https://www.instagram.com/rahrovanshohada_ir/</t>
  </si>
  <si>
    <t>فاطمه الزهرا(س)</t>
  </si>
  <si>
    <t>https://www.instagram.com/hoseynieh_fatematozahra/</t>
  </si>
  <si>
    <t>محبین‌الحسن(ع)</t>
  </si>
  <si>
    <t>https://www.instagram.com/mohebinolhasan.izeh</t>
  </si>
  <si>
    <t>https://t.me/mohebinolhasanizeh</t>
  </si>
  <si>
    <t>https://eitaa.com/mohbinalhasan</t>
  </si>
  <si>
    <t>ابوالفضل عباس کفیل زینب خیط الرواس</t>
  </si>
  <si>
    <t>باوی</t>
  </si>
  <si>
    <t>https://www.instagram.com/hyytbwlfdllbskhfyl/</t>
  </si>
  <si>
    <t>جوادیون</t>
  </si>
  <si>
    <t>بندر امام خمینی</t>
  </si>
  <si>
    <t>https://www.instagram.com/khaneh.javanan</t>
  </si>
  <si>
    <t>طالقانی</t>
  </si>
  <si>
    <t>https://www.instagram.com/hosseiniye.taleghani.bik</t>
  </si>
  <si>
    <t>علی الاکبر(ع)سادات</t>
  </si>
  <si>
    <t>https://www.instagram.com/sydmhmdlkhrsn9/</t>
  </si>
  <si>
    <t>ثامن الحجج(ع)</t>
  </si>
  <si>
    <t>بندر ماهشهر</t>
  </si>
  <si>
    <t>https://www.instagram.com/samenalhojaj_mahshahr/</t>
  </si>
  <si>
    <t>مسجد شهدا ماهشهر</t>
  </si>
  <si>
    <t>https://www.instagram.com/masjed.shohada.mahshahr/</t>
  </si>
  <si>
    <t>بندرامام خمینی</t>
  </si>
  <si>
    <t>http://instagram.com/heyat_rayatolabas/</t>
  </si>
  <si>
    <t>بندرماهشهر</t>
  </si>
  <si>
    <t>https://www.instagram.com/ansarolmahdi_mahshahr/</t>
  </si>
  <si>
    <t>telegram.me/ansaralmahdi14</t>
  </si>
  <si>
    <t>https://www.instagram.com/hyat.alzahrea/</t>
  </si>
  <si>
    <t>زین العابدین (ع)</t>
  </si>
  <si>
    <t>https://www.instagram.com/mahshahr_zinalabedin/</t>
  </si>
  <si>
    <t>امام حسن مجتبی (ع) منصوریه</t>
  </si>
  <si>
    <t>بهبهان</t>
  </si>
  <si>
    <t>https://www.instagram.com/heyat_emam_hasan95/</t>
  </si>
  <si>
    <r>
      <rPr>
        <rFont val="Calibri"/>
        <color rgb="FF1155CC"/>
        <sz val="11.0"/>
        <u/>
      </rPr>
      <t>t.me/heyat_emam_hasan_95</t>
    </r>
  </si>
  <si>
    <t>بیت العباس ع</t>
  </si>
  <si>
    <t>https://www.instagram.com/beitolabbas_heiat</t>
  </si>
  <si>
    <t>https://www.instagram.com/jannatt_al_hossein/</t>
  </si>
  <si>
    <t>https://eitaa.com/jannat_info</t>
  </si>
  <si>
    <t>جنت‌الحسین‌(علیہ‌السلام)</t>
  </si>
  <si>
    <t>https://www.instagram.com/jannat_info</t>
  </si>
  <si>
    <t>https://t.me/jannat_info</t>
  </si>
  <si>
    <t>حضرت عباس(ع)</t>
  </si>
  <si>
    <t>https://www.instagram.com/heyat_1384</t>
  </si>
  <si>
    <t>خاتم‌ الانبیاء(ص)</t>
  </si>
  <si>
    <t>https://www.instagram.com/khatamolanbia_behbahan</t>
  </si>
  <si>
    <t>خادم امام زاده فضل</t>
  </si>
  <si>
    <t>https://www.instagram.com/mehdi.f_m.behbahan2145/</t>
  </si>
  <si>
    <t>دمعة الرُقیَة (س)</t>
  </si>
  <si>
    <t>https://www.instagram.com/damat_alruqayyeh</t>
  </si>
  <si>
    <t>https://t.me/damat_alruqayyeh</t>
  </si>
  <si>
    <t>رایةالعباس(ع)</t>
  </si>
  <si>
    <t>منصوریه</t>
  </si>
  <si>
    <t>https://www.instagram.com/rayat86man</t>
  </si>
  <si>
    <t>https://t.me/rayat86man</t>
  </si>
  <si>
    <r>
      <rPr>
        <rFont val="Calibri"/>
        <color rgb="FF1155CC"/>
        <sz val="11.0"/>
        <u/>
      </rPr>
      <t>rayat86man</t>
    </r>
  </si>
  <si>
    <t>https://www.instagram.com/razmandegan.behbahan/</t>
  </si>
  <si>
    <t>روضة العباس (ع)</t>
  </si>
  <si>
    <t>https://www.instagram.com/rozatolabas.behbahan</t>
  </si>
  <si>
    <t>دانشگاه فرهنگیان امام جعفر صادق بهبهان</t>
  </si>
  <si>
    <t>https://www.instagram.com/cfu_heyat</t>
  </si>
  <si>
    <t>https://ble.ir/cfu_heyat</t>
  </si>
  <si>
    <t>https://www.instagram.com/h_asheghan_sarallah/</t>
  </si>
  <si>
    <t>مرآت الشهدا</t>
  </si>
  <si>
    <t>https://ble.ir/mrat1377</t>
  </si>
  <si>
    <t>مکتــب الشهــدا</t>
  </si>
  <si>
    <t>https://www.instagram.com/maktaboshohada99</t>
  </si>
  <si>
    <t>https://t.me/maktaboshohada99</t>
  </si>
  <si>
    <t>خرمشهر</t>
  </si>
  <si>
    <t>https://t.me/rahrovankhorramshahr</t>
  </si>
  <si>
    <t>امام زین العابدین (ع)</t>
  </si>
  <si>
    <t>دزفول</t>
  </si>
  <si>
    <t>https://www.instagram.com/imam_zayn_alabidin_khaibar/</t>
  </si>
  <si>
    <t>پیرعباس</t>
  </si>
  <si>
    <t xml:space="preserve"> محله سیاهپوشان</t>
  </si>
  <si>
    <t>https://www.instagram.com/hossinie_pirabas_dazful/</t>
  </si>
  <si>
    <t>لواءالحسین(ع)</t>
  </si>
  <si>
    <t>https://www.instagram.com/leva.dez/</t>
  </si>
  <si>
    <t>https://t.me/leva.dez/</t>
  </si>
  <si>
    <t>مارش علی ابن موسی الرضا</t>
  </si>
  <si>
    <t>https://www.instagram.com/marshaliebnmosaalreza/</t>
  </si>
  <si>
    <t>شهرک خیبر</t>
  </si>
  <si>
    <t>https://www.instagram.com/khybar_heiat_mohebinahlalbeit/</t>
  </si>
  <si>
    <t>مسجد صاحب الزمان</t>
  </si>
  <si>
    <t>https://www.instagram.com/mszdir/</t>
  </si>
  <si>
    <t>https://eitaa.com/mszdir</t>
  </si>
  <si>
    <t>https://www.mszd.ir</t>
  </si>
  <si>
    <t>https://www.instagram.com/maktab_alrughayeh/</t>
  </si>
  <si>
    <t>یالثارات الحسین (ع)</t>
  </si>
  <si>
    <t>https://www.instagram.com/yalesaratdez_ir/</t>
  </si>
  <si>
    <r>
      <rPr>
        <rFont val="-apple-system, BlinkMacSystemFont, &quot;Segoe UI&quot;, Roboto, Helvetica, Arial, sans-serif"/>
        <color rgb="FF1155CC"/>
        <sz val="11.0"/>
        <u/>
      </rPr>
      <t>www.yalesaratdez.ir</t>
    </r>
  </si>
  <si>
    <t>اباالفضل العباس (ع)</t>
  </si>
  <si>
    <t>رامشیر</t>
  </si>
  <si>
    <t>https://www.instagram.com/beytolabbas.ramshir/</t>
  </si>
  <si>
    <t>عشاق الحسين (ع)</t>
  </si>
  <si>
    <t xml:space="preserve"> "https://www.instagram.com/oshaghalhosein_ramshir/"</t>
  </si>
  <si>
    <t>https://www.instagram.com/h.g.b.h.alamdar/</t>
  </si>
  <si>
    <t>https://www.instagram.com/hkarimhasanjan/</t>
  </si>
  <si>
    <r>
      <rPr>
        <rFont val="-apple-system, BlinkMacSystemFont, &quot;Segoe UI&quot;, Roboto, Helvetica, Arial, sans-serif"/>
        <color rgb="FF1155CC"/>
        <sz val="11.0"/>
        <u/>
      </rPr>
      <t>t.me/hkarimhasanjan</t>
    </r>
  </si>
  <si>
    <t>رامهرمز</t>
  </si>
  <si>
    <t>https://eitaa.com/mohebinazahra1</t>
  </si>
  <si>
    <t>قمر بنی هاشم (ع)</t>
  </si>
  <si>
    <t>شادگان</t>
  </si>
  <si>
    <t>https://www.instagram.com/mirhashmi.h/</t>
  </si>
  <si>
    <t>https://www.instagram.com/heyat__omolbanin/</t>
  </si>
  <si>
    <r>
      <rPr>
        <rFont val="-apple-system, BlinkMacSystemFont, &quot;Segoe UI&quot;, Roboto, Helvetica, Arial, sans-serif"/>
        <color rgb="FF1155CC"/>
        <sz val="11.0"/>
        <u/>
      </rPr>
      <t>www.aparat.com/v/8skZi</t>
    </r>
  </si>
  <si>
    <t>https://www.instagram.com/heyat.aliasghar.shoush.94/</t>
  </si>
  <si>
    <t>خدام الحسین (ع)</t>
  </si>
  <si>
    <t>https://www.instagram.com/hyaat_khaddamal_hussein/</t>
  </si>
  <si>
    <t>مجمع اهل البیت</t>
  </si>
  <si>
    <t>https://t.me/majmaahlebeytshoush</t>
  </si>
  <si>
    <t>یاوران حضرت مهدی</t>
  </si>
  <si>
    <t>https://www.instagram.com/yavaran_mahdi_alaihesalam/</t>
  </si>
  <si>
    <r>
      <rPr>
        <rFont val="Calibri"/>
        <color rgb="FF1155CC"/>
        <sz val="11.0"/>
        <u/>
      </rPr>
      <t>t.me/yavaranmahdialaihesalam</t>
    </r>
  </si>
  <si>
    <t>اعظم</t>
  </si>
  <si>
    <t>شوشتر</t>
  </si>
  <si>
    <t>https://www.instagram.com/hoseynie_azam.str/</t>
  </si>
  <si>
    <t>امّ البنین</t>
  </si>
  <si>
    <t>https://www.instagram.com/hoseyniyeomalbanin1434/</t>
  </si>
  <si>
    <t>https://t.me/hoseyniyeomalbanin</t>
  </si>
  <si>
    <t>امام حسنیا</t>
  </si>
  <si>
    <t>https://www.instagram.com/h_emam_hassania_str97/</t>
  </si>
  <si>
    <t>خادم الرضا(ع)</t>
  </si>
  <si>
    <t>https://www.instagram.com/shushtarkhademalrezaa/</t>
  </si>
  <si>
    <t>زنجیرزنان موسی بن جعفر(ع)</t>
  </si>
  <si>
    <t>https://www.instagram.com/zanjirzanan_mosabne_jafar_sush/</t>
  </si>
  <si>
    <t>https://www.instagram.com/heyat_sadat.shooshtar/</t>
  </si>
  <si>
    <t>https://www.instagram.com/alamdar_shushtar_official</t>
  </si>
  <si>
    <t>https://t.me/khadem345</t>
  </si>
  <si>
    <t>https://www.instagram.com/h_alamdar.ir</t>
  </si>
  <si>
    <t>https://t.me/alamdarshushtar_bot</t>
  </si>
  <si>
    <t>متوسلین به چهارده معصوم(ع)</t>
  </si>
  <si>
    <t>https://www.instagram.com/masjed_ahangran/</t>
  </si>
  <si>
    <t>متوسلین به طفلان مسلم (ع)</t>
  </si>
  <si>
    <t>https://www.instagram.com/masjed.abrishamkaran/</t>
  </si>
  <si>
    <t>مهدویون</t>
  </si>
  <si>
    <t>https://www.instagram.com/heyat_mahdavioun/</t>
  </si>
  <si>
    <t>گتوند</t>
  </si>
  <si>
    <t>https://t.me/fatemiyoongotvand</t>
  </si>
  <si>
    <t>منتظران حضرت مهدی (عج)</t>
  </si>
  <si>
    <t>مسجدسلیمان</t>
  </si>
  <si>
    <t>https://www.instagram.com/heyat_montazeran_mis/</t>
  </si>
  <si>
    <t xml:space="preserve">حضرت ابوالفضل العباس(ع) </t>
  </si>
  <si>
    <t>هفتگل</t>
  </si>
  <si>
    <t>(مسجد امام سجاداسلام آباد)</t>
  </si>
  <si>
    <t>https://www.instagram.com/m_i_s_7kl/</t>
  </si>
  <si>
    <t>خسرو شهید محمدی</t>
  </si>
  <si>
    <t>https://www.instagram.com/heyat.mohamadi/</t>
  </si>
  <si>
    <t>28405‍‍‍</t>
  </si>
  <si>
    <t>https://www.instagram.com/hyytsydlshhdmsjd/</t>
  </si>
  <si>
    <t>فارس الحجاز</t>
  </si>
  <si>
    <t>هندیجان</t>
  </si>
  <si>
    <t>https://www.instagram.com/faresalhejaz1/</t>
  </si>
  <si>
    <t>مجمع</t>
  </si>
  <si>
    <t>هویزه</t>
  </si>
  <si>
    <t>https://www.instagram.com/ansar_shahed/</t>
  </si>
  <si>
    <t>موسسه فرهنگی مذهبی کاظمین (ع)</t>
  </si>
  <si>
    <t>ویس</t>
  </si>
  <si>
    <t>https://www.instagram.com/kazemeyn.veys/</t>
  </si>
  <si>
    <t>الحسين سيد الشهداء</t>
  </si>
  <si>
    <t>https://www.instagram.com/hossein_alhossein_seyyed_shaha/</t>
  </si>
  <si>
    <t>دانشگاه علوم پزشکی آبادان</t>
  </si>
  <si>
    <t>https://www.instagram.com/heyatolreza8_aums</t>
  </si>
  <si>
    <t>الصدیقة الشهیدة</t>
  </si>
  <si>
    <t>https://www.instagram.com/h_alzahraaa/</t>
  </si>
  <si>
    <t>امام هادی(ع</t>
  </si>
  <si>
    <t>اروندکنار</t>
  </si>
  <si>
    <t>https://www.instagram.com/imam_hadi12/</t>
  </si>
  <si>
    <t>جوانان بنی هاشم</t>
  </si>
  <si>
    <t>https://www.instagram.com/hoseiniye_javanane_banihashem</t>
  </si>
  <si>
    <t>https://eitaa.com/Hazeatrogayehabadan</t>
  </si>
  <si>
    <t>مکتب الصادق (ع)</t>
  </si>
  <si>
    <t>https://www.instagram.com/maktab_allsadegh/</t>
  </si>
  <si>
    <t>https://eitaa.com/heiathozeabadan</t>
  </si>
  <si>
    <t>https://www.instagram.com/maktab_alabbas_ab/</t>
  </si>
  <si>
    <t>زنجیر زنی قمر بنی هاشم (ع)</t>
  </si>
  <si>
    <t>https://www.instagram.com/qamar.banihashem/</t>
  </si>
  <si>
    <t>عزاداری حسینی حزب الله</t>
  </si>
  <si>
    <t>https://eitaa.com/kahfolvara</t>
  </si>
  <si>
    <t>کوی لور</t>
  </si>
  <si>
    <t>https://eitaa.com/jameloor</t>
  </si>
  <si>
    <t>https://www.instagram.com/heyat_mohebin_ahl_albait/</t>
  </si>
  <si>
    <t>محمدی</t>
  </si>
  <si>
    <t>https://eitaa.com/masjed_andimeshk1400</t>
  </si>
  <si>
    <t>https://eitaa.com/masjedmohamadi</t>
  </si>
  <si>
    <t>اباصالح المهدی(عج)</t>
  </si>
  <si>
    <t>https://eitaa.com/masjed_sahebzaman_313</t>
  </si>
  <si>
    <t>https://eitaa.com/masjed_azam_ahvaz</t>
  </si>
  <si>
    <t>النبأ العظیم</t>
  </si>
  <si>
    <t>https://www.instagram.com/naba_alazim34</t>
  </si>
  <si>
    <t>امام سجاد (ع)</t>
  </si>
  <si>
    <t>https://www.instagram.com/heyat_imamsajad02/</t>
  </si>
  <si>
    <t>بانوان بشری</t>
  </si>
  <si>
    <t>https://eitaa.com/heyat_banovan_boshra</t>
  </si>
  <si>
    <t>بصیری</t>
  </si>
  <si>
    <t>دانشگاه پیام نور</t>
  </si>
  <si>
    <t>https://eitaa.com/Basij_pnuahvaz</t>
  </si>
  <si>
    <t>https://www.instagram.com/janat.alreza_ahw/</t>
  </si>
  <si>
    <t>جواد الائمه (ع)</t>
  </si>
  <si>
    <t>https://eitaa.com/masjed_hj</t>
  </si>
  <si>
    <t>خاتم الانبیا(ص)</t>
  </si>
  <si>
    <t>https://eitaa.com/masjedkhatam</t>
  </si>
  <si>
    <t>کاال خبری است</t>
  </si>
  <si>
    <t>https://eitaa.com/hajghasem_d</t>
  </si>
  <si>
    <t>حسینیه ثارالله اهواز</t>
  </si>
  <si>
    <t>https://www.instagram.com/heyatrazmandegan_khz/</t>
  </si>
  <si>
    <t>رهروان زینبی</t>
  </si>
  <si>
    <t>https://eitaa.com/rahrovanzeinabi</t>
  </si>
  <si>
    <t>https://www.instagram.com/roza.tolzahra213</t>
  </si>
  <si>
    <t>https://t.me/rozat_olzahra213</t>
  </si>
  <si>
    <t>https://www.instagram.com/heyat.seyedalshohada_ahvaz/</t>
  </si>
  <si>
    <t>شهدای بهمئی</t>
  </si>
  <si>
    <t>https://www.instagram.com/bahmai_iran/</t>
  </si>
  <si>
    <t>https://www.instagram.com/asheghan_ab</t>
  </si>
  <si>
    <t>https://t.me/Asheghan_eb</t>
  </si>
  <si>
    <t>عزاداران مسجد حضرت علی(ع)</t>
  </si>
  <si>
    <t>https://www.instagram.com/heyat_1345/</t>
  </si>
  <si>
    <r>
      <rPr>
        <rFont val="-apple-system, BlinkMacSystemFont, &quot;Segoe UI&quot;, Roboto, Helvetica, Arial, sans-serif"/>
        <color rgb="FF1155CC"/>
        <sz val="11.0"/>
        <u/>
      </rPr>
      <t>t.me/heyat_1345</t>
    </r>
  </si>
  <si>
    <t>https://www.instagram.com/oshagholhosseinahwaz</t>
  </si>
  <si>
    <t>https://t.me/oshagholhosseinahwaz</t>
  </si>
  <si>
    <t>https://eitaa.com/oshagholhosseinahwaz</t>
  </si>
  <si>
    <t>https://www.instagram.com/iahsin1404/</t>
  </si>
  <si>
    <t>فدائیان حسین جان</t>
  </si>
  <si>
    <t>https://www.instagram.com/_fadaiyanhosseinjan</t>
  </si>
  <si>
    <t>https://t.me/fadaiyan_hosseinjan</t>
  </si>
  <si>
    <t>https://eitaa.com/fadaeyan_hossein_jan</t>
  </si>
  <si>
    <t>قبا</t>
  </si>
  <si>
    <t>https://eitaa.com/masjed_ghobaa</t>
  </si>
  <si>
    <t>دانشگاه علوم کشاورزی ومنابع طبیعی خوزستان</t>
  </si>
  <si>
    <t>https://www.instagram.com/heyat_asnrukh</t>
  </si>
  <si>
    <t>https://eitaa.com/heyat_asnrukh</t>
  </si>
  <si>
    <t>دانشگاه فرهنگیان پردیس حضرت رسول اکرم ص</t>
  </si>
  <si>
    <t>https://www.instagram.com/heyat_cfu</t>
  </si>
  <si>
    <t>https://eitaa.com/heyat_cfu</t>
  </si>
  <si>
    <t>دانشگاه شهید چمران اهواز</t>
  </si>
  <si>
    <t>https://www.instagram.com/heyat_scu</t>
  </si>
  <si>
    <t>دانشگاه علوم پزشکی جندی شاپور</t>
  </si>
  <si>
    <t>https://www.instagram.com/mohebanajums</t>
  </si>
  <si>
    <t>https://t.me/mohebbanajums</t>
  </si>
  <si>
    <t>دانشکده نفت اهواز</t>
  </si>
  <si>
    <t>https://www.instagram.com/heyat_put/</t>
  </si>
  <si>
    <t>https://www.instagram.com/m.a_ashabolhossein_ahw</t>
  </si>
  <si>
    <t>https://eitaa.com/ma_ashabolhossein_ahw</t>
  </si>
  <si>
    <t>مسجد ولایت</t>
  </si>
  <si>
    <t>https://eitaa.com/masjedevelayat</t>
  </si>
  <si>
    <t>امام موسی کاظم (ع)</t>
  </si>
  <si>
    <t>https://eitaa.com/masjed_imk</t>
  </si>
  <si>
    <t>https://www.instagram.com/asheghanekarbala86</t>
  </si>
  <si>
    <t>https://t.me/asheghankarbala86</t>
  </si>
  <si>
    <t>کانون فرهنگی اجتماعی بانوان</t>
  </si>
  <si>
    <t>https://eitaa.com/k_izeh</t>
  </si>
  <si>
    <t>https://www.instagram.com/heyat_abolfazlalabaas/</t>
  </si>
  <si>
    <t>https://www.instagram.com/razmandegan_bik</t>
  </si>
  <si>
    <t>https://www.instagram.com/masjed.emam_hasan/</t>
  </si>
  <si>
    <t>https://www.instagram.com/jannatolhosein128</t>
  </si>
  <si>
    <t>https://t.me/jannatolhosein128</t>
  </si>
  <si>
    <t>https://eitaa.com/s/Jannatolhosein128</t>
  </si>
  <si>
    <t>https://www.instagram.com/gahvareh_info/</t>
  </si>
  <si>
    <t>https://eitaa.com/gahvareh_info</t>
  </si>
  <si>
    <t>https://www.instagram.com/ghasem_ebnelhassan/</t>
  </si>
  <si>
    <t>https://eitaa.com/dokhtaran_bik</t>
  </si>
  <si>
    <t>امام‏زاده حیدر</t>
  </si>
  <si>
    <t>https://www.instagram.com/emamzadehheydar/</t>
  </si>
  <si>
    <t>https://www.instagram.com/moheban81beh</t>
  </si>
  <si>
    <t>پوستر های خوب</t>
  </si>
  <si>
    <t>محبان حضرت زینب (س)</t>
  </si>
  <si>
    <t>https://eitaa.com/zainabion_ir</t>
  </si>
  <si>
    <t>مارش کرناسیان</t>
  </si>
  <si>
    <t>https://www.instagram.com/marsh_kornasian.1360/</t>
  </si>
  <si>
    <t>https://t.me/marshkornasian</t>
  </si>
  <si>
    <t>رهروان شهدای گمنام</t>
  </si>
  <si>
    <t>دهدز</t>
  </si>
  <si>
    <t>https://www.instagram.com/heyatrahrowan_dhz/</t>
  </si>
  <si>
    <t>نور المهدی (عج)</t>
  </si>
  <si>
    <t>https://www.instagram.com/shem.a4794/</t>
  </si>
  <si>
    <t>انصارالمهدی (عج) چم خلف عیسی</t>
  </si>
  <si>
    <t>زهره</t>
  </si>
  <si>
    <t>https://www.instagram.com/cham_khalaf_official/</t>
  </si>
  <si>
    <r>
      <rPr>
        <rFont val="-apple-system, BlinkMacSystemFont, &quot;Segoe UI&quot;, Roboto, Helvetica, Arial, sans-serif"/>
        <color rgb="FF1155CC"/>
        <sz val="11.0"/>
        <u/>
      </rPr>
      <t>t.me/cham_khalaf_official</t>
    </r>
  </si>
  <si>
    <t>محبان کریم اهل بیت (ع)</t>
  </si>
  <si>
    <t>https://www.instagram.com/moheban.karim.ahl.beyt/</t>
  </si>
  <si>
    <t>محبى الزهراء</t>
  </si>
  <si>
    <t>خنافره</t>
  </si>
  <si>
    <t>https://www.instagram.com/heyat_mohibiy_alzahra/</t>
  </si>
  <si>
    <t>دعای کمیل (مسجد امام سجاد (ع))</t>
  </si>
  <si>
    <t>https://www.instagram.com/masjedesajjad_ir</t>
  </si>
  <si>
    <t>https://t.me/Masjed_Sajjad_Shush</t>
  </si>
  <si>
    <t>عزاداران ثاراللّه</t>
  </si>
  <si>
    <t>https://www.instagram.com/heyat_sarala/</t>
  </si>
  <si>
    <t>احــباب الحــســین</t>
  </si>
  <si>
    <t>https://www.instagram.com/ahbabalhussain1345/</t>
  </si>
  <si>
    <t>بین ‌الحرمین‌</t>
  </si>
  <si>
    <t>https://www.instagram.com/beynolharameyn.shushtar/</t>
  </si>
  <si>
    <t>حاج شیخ جعفر شوشتری</t>
  </si>
  <si>
    <t>https://www.instagram.com/masjed.sheykh.jafar</t>
  </si>
  <si>
    <t>https://www.instagram.com/shushtarkhademalreza/</t>
  </si>
  <si>
    <t>https://www.instagram.com/rayatalabbas_shoushtar/</t>
  </si>
  <si>
    <t>زنجیرزنان حسینی</t>
  </si>
  <si>
    <t>منطقه بلیتی</t>
  </si>
  <si>
    <t>https://www.instagram.com/boleyti.heiat/</t>
  </si>
  <si>
    <t>کوی دلدل</t>
  </si>
  <si>
    <t>https://www.instagram.com/hosseiniyeh_doldol.str/</t>
  </si>
  <si>
    <t>محبان آل یاسین</t>
  </si>
  <si>
    <t>https://www.instagram.com/moheban.aleyasin.str</t>
  </si>
  <si>
    <t>محله کوره</t>
  </si>
  <si>
    <t>https://www.instagram.com/mahale_koore.str/</t>
  </si>
  <si>
    <t>بیت الرقیه (س) / محفل رهروان شهدا</t>
  </si>
  <si>
    <t>https://www.instagram.com/beytolroghayeh3</t>
  </si>
  <si>
    <t>https://ble.ir/beytolroghayeh3</t>
  </si>
  <si>
    <t>https://www.instagram.com/khodam___alhossein/</t>
  </si>
  <si>
    <t>https://www.instagram.com/heyatsahebzaman1355/</t>
  </si>
  <si>
    <t>https://www.instagram.com/fatemiyon_h/</t>
  </si>
  <si>
    <t>انصار الحجه</t>
  </si>
  <si>
    <t>https://www.instagram.com/h_a_alhojah/</t>
  </si>
  <si>
    <t>انصار الحسين ع</t>
  </si>
  <si>
    <t>https://www.instagram.com/ansar_al_hossein/</t>
  </si>
  <si>
    <t>https://www.youtube.com/@ansar.alhosainhovizeh</t>
  </si>
  <si>
    <t>الفاطمیون</t>
  </si>
  <si>
    <t>https://www.instagram.com/rao___213/</t>
  </si>
  <si>
    <t>https://t.me/hsgfaomnvc213</t>
  </si>
  <si>
    <t>https://www.instagram.com/beytolahzanabadan</t>
  </si>
  <si>
    <t>https://www.youtube.com/@Beytolahzanabadan</t>
  </si>
  <si>
    <t>حسین ابن علی</t>
  </si>
  <si>
    <t>https://www.instagram.com/hoseiniy_hosen_ebnali_abadan/</t>
  </si>
  <si>
    <t>خاتم الانبیاء</t>
  </si>
  <si>
    <t>https://www.instagram.com/khatam_media</t>
  </si>
  <si>
    <t>https://t.me/ya_khatam_abadan</t>
  </si>
  <si>
    <t>سفیرالحسین</t>
  </si>
  <si>
    <t>https://www.instagram.com/safiralhosein_abadan/</t>
  </si>
  <si>
    <t>https://t.me/safir_alhosein_abadan</t>
  </si>
  <si>
    <t>https://eitaa.com/safir_alhosein_abadan</t>
  </si>
  <si>
    <t>https://www.instagram.com/hoseiniye_shohadaye_abadan</t>
  </si>
  <si>
    <t>https://www.instagram.com/maktabosadegh128/</t>
  </si>
  <si>
    <t>مهدا</t>
  </si>
  <si>
    <t>https://www.instagram.com/mahda_abadan/</t>
  </si>
  <si>
    <t>https://eitaa.com/mahda_abadan</t>
  </si>
  <si>
    <t>https://www.instagram.com/heyaat.beynol.harameyn.omd/</t>
  </si>
  <si>
    <t>https://eitaa.com/Heyaat_beynol_harameyn_omd</t>
  </si>
  <si>
    <t>https://eitaa.com/motevaselin_ir</t>
  </si>
  <si>
    <t>دارالمحسن</t>
  </si>
  <si>
    <t>https://www.instagram.com/dar_almohsen158/</t>
  </si>
  <si>
    <t>https://t.me/daralmohsn</t>
  </si>
  <si>
    <t>https://www.instagram.com/heiat_alamdar_hosein</t>
  </si>
  <si>
    <t>https://eitaa.com/Heiat_Alamdar_Hosein</t>
  </si>
  <si>
    <t>علی اصغر و علی اکبر</t>
  </si>
  <si>
    <t>https://www.instagram.com/heyat_aliasghar_aliakbar/</t>
  </si>
  <si>
    <t>مراسم عشق</t>
  </si>
  <si>
    <t>https://www.instagram.com/maraseme.eshgh</t>
  </si>
  <si>
    <t>https://t.me/marasemeeshgh_ahwaz</t>
  </si>
  <si>
    <t>موکب الی طریق کربلا</t>
  </si>
  <si>
    <t>https://www.instagram.com/mokebkarbala</t>
  </si>
  <si>
    <t>نوجوانان عاشورایی</t>
  </si>
  <si>
    <t>https://www.instagram.com/nojavananashoorai</t>
  </si>
  <si>
    <t>وجیها بالحسین</t>
  </si>
  <si>
    <t>https://www.instagram.com/vajih128</t>
  </si>
  <si>
    <t>https://eitaa.com/vajih128</t>
  </si>
  <si>
    <t>عزاداری ابوالفضل عباس ع غریبی ها</t>
  </si>
  <si>
    <t>https://www.instagram.com/abaalfazlalabas133/</t>
  </si>
  <si>
    <t>https://eitaa.com/abaalfazlalabas133</t>
  </si>
  <si>
    <t>https://www.instagram.com/heyat_khoddam/</t>
  </si>
  <si>
    <t>https://eitaa.com/heyat_khoddam</t>
  </si>
  <si>
    <t>https://www.instagram.com/hoseinieh_alzainabieh/</t>
  </si>
  <si>
    <t>العباسیه</t>
  </si>
  <si>
    <t>https://www.instagram.com/hoseinieh_alabbasieh/</t>
  </si>
  <si>
    <t xml:space="preserve">دمعة رقیه </t>
  </si>
  <si>
    <t>https://www.instagram.com/damat_roghaye315</t>
  </si>
  <si>
    <t>محبان ولایت</t>
  </si>
  <si>
    <t>چمران</t>
  </si>
  <si>
    <t>https://www.instagram.com/mohebanvelaya/</t>
  </si>
  <si>
    <t>https://eitaa.com/mohebanvelayat</t>
  </si>
  <si>
    <t>https://www.instagram.com/maktab_al_hassan118/</t>
  </si>
  <si>
    <t>منتظران صاحب الزمان</t>
  </si>
  <si>
    <t>https://www.instagram.com/heyat_montazeran.313/</t>
  </si>
  <si>
    <t>https://t.me/heiat_montazeran313ir</t>
  </si>
  <si>
    <t>https://eitaa.com/razmandeganmahshahr</t>
  </si>
  <si>
    <t>الرضا علیه السلام</t>
  </si>
  <si>
    <t>https://www.instagram.com/heiatalreza_behbahan8</t>
  </si>
  <si>
    <t>https://www.youtube.com/@heiatalreza_behbahan8</t>
  </si>
  <si>
    <t>دانشگاه خاتم الانبیاء بهبهان</t>
  </si>
  <si>
    <t>https://www.instagram.com/heyat_bkatu</t>
  </si>
  <si>
    <t>جوانان حسینی</t>
  </si>
  <si>
    <t>https://www.instagram.com/heyat.jh</t>
  </si>
  <si>
    <t>https://www.instagram.com/alamdar_karbala_96/</t>
  </si>
  <si>
    <t>https://eitaa.com/alamdar_karbala_72</t>
  </si>
  <si>
    <t>محبین قاسم بن الحسن (ع)</t>
  </si>
  <si>
    <t>https://eitaa.com/ghasemiyon</t>
  </si>
  <si>
    <t>محل کاروانسرا</t>
  </si>
  <si>
    <t>https://www.instagram.com/mahale_karsara</t>
  </si>
  <si>
    <t>https://www.instagram.com/zeynabiyon_ab</t>
  </si>
  <si>
    <t>https://t.me/zeynabiyon_ab</t>
  </si>
  <si>
    <t>https://eitaa.com/s/zeynabiyon_ab</t>
  </si>
  <si>
    <t>باب الحوایج موسی بن جعفر (ع)</t>
  </si>
  <si>
    <t>آغاجاری</t>
  </si>
  <si>
    <t>https://www.instagram.com/babalhavaej1384/</t>
  </si>
  <si>
    <t>https://t.me/babalhavaejj1384</t>
  </si>
  <si>
    <t>انصار</t>
  </si>
  <si>
    <t>https://www.instagram.com/heat.ansar/</t>
  </si>
  <si>
    <t>heat_ansar</t>
  </si>
  <si>
    <t>ابوالقضل العباس</t>
  </si>
  <si>
    <t>https://www.instagram.com/ahvz_heyat/</t>
  </si>
  <si>
    <t>https://www.instagram.com/imamhussain_ahvaz/</t>
  </si>
  <si>
    <t>https://t.me/imamhussain_ahvaz</t>
  </si>
  <si>
    <t>https://eitaa.com/imamhussain_ahvaz</t>
  </si>
  <si>
    <t>انصارالحجه (عج)</t>
  </si>
  <si>
    <t>https://www.instagram.com/ansaralhojah</t>
  </si>
  <si>
    <t>https://t.me/ansaralhojah1</t>
  </si>
  <si>
    <t>https://eitaa.com/Ansar_alhojah</t>
  </si>
  <si>
    <t>https://www.instagram.com/kafil_net</t>
  </si>
  <si>
    <t>https://t.me/kafil_net</t>
  </si>
  <si>
    <t>https://eitaa.com/kafil_net</t>
  </si>
  <si>
    <t>جنة المجتبی</t>
  </si>
  <si>
    <t>https://www.instagram.com/janat_al_mojtaba</t>
  </si>
  <si>
    <t>https://www.instagram.com/javanan_ahwaz/</t>
  </si>
  <si>
    <t>حضرت صاحب الامر (عج)</t>
  </si>
  <si>
    <t>اهـواز آخراسفالت سمت رودخانه نبش خ نشان بیـت الـرقـیه سلام الله علیها</t>
  </si>
  <si>
    <t>https://www.instagram.com/saheb_alamr313/</t>
  </si>
  <si>
    <t>aparat.com/sakha313</t>
  </si>
  <si>
    <t>https://www.instagram.com/khadem_olreza/</t>
  </si>
  <si>
    <t>https://t.me/khadem_olreza</t>
  </si>
  <si>
    <t>https://eitaa.com/kanal_KHADEMO_REZA</t>
  </si>
  <si>
    <t>خدام العباس</t>
  </si>
  <si>
    <t>https://www.instagram.com/khodamolabas/</t>
  </si>
  <si>
    <t>https://t.me/khodamolabas_ir</t>
  </si>
  <si>
    <t>https://eitaa.com/khodamolabas_ir</t>
  </si>
  <si>
    <t>خدمةالزهرا</t>
  </si>
  <si>
    <t>https://www.instagram.com/alfatemiyon313</t>
  </si>
  <si>
    <t>https://t.me/alfatemiyon313</t>
  </si>
  <si>
    <t>https://www.youtube.com/@alfatemiyon313</t>
  </si>
  <si>
    <t>سطح تولیدات خوب</t>
  </si>
  <si>
    <t>رایه المهدی (عج)</t>
  </si>
  <si>
    <t>https://www.instagram.com/rayatolmahdi59/</t>
  </si>
  <si>
    <t>https://l.instagram.com/?u=http%3A%2F%2Ft.me%2FRayatolmahdi59%3Ffbclid%3DPAZXh0bgNhZW0CMTEAAacN7y4NdLP-9voQaD-FUVBKIVBiIfFosC6nrkhfDJZhbJWElWUokIoCpszlEg_aem_gYV8DtTKGAIqOEXVa_eRrA&amp;e=AT2RCNvnIJXsrz-VW5kMot_obCreEwBfIIndq10dKEjpgMeQg111CfUAJNs_by-nEwvvusqI1VCP2wdSobHiZCz7NZIoa2THgS5NfwY</t>
  </si>
  <si>
    <t>کم کار</t>
  </si>
  <si>
    <t>https://www.instagram.com/seyedehzeinab_ahwaz/</t>
  </si>
  <si>
    <t>https://eitaa.com/masjed_sahebazaman_shahrknaft</t>
  </si>
  <si>
    <t>https://www.instagram.com/heyat_alialkbar</t>
  </si>
  <si>
    <t>علی الاکبر (ع)</t>
  </si>
  <si>
    <t>https://www.instagram.com/heat_ali_alakbar/</t>
  </si>
  <si>
    <t>https://www.instagram.com/mohebbin.ahlalbeyt</t>
  </si>
  <si>
    <t>https://t.me/mohbin_ahlalbyt</t>
  </si>
  <si>
    <t>https://www.youtube.com/@mohebin.ahlalbi</t>
  </si>
  <si>
    <t>نورالائمه (ع)</t>
  </si>
  <si>
    <t>باغ ملک</t>
  </si>
  <si>
    <t>https://www.instagram.com/noorolaeme_live/</t>
  </si>
  <si>
    <r>
      <rPr>
        <rFont val="-apple-system, BlinkMacSystemFont, &quot;Segoe UI&quot;, Roboto, Helvetica, Arial, sans-serif"/>
        <color rgb="FF1155CC"/>
        <sz val="11.0"/>
        <u/>
      </rPr>
      <t>t.me/NOOROLAEME_NET</t>
    </r>
  </si>
  <si>
    <t>https://www.instagram.com/hmohebban</t>
  </si>
  <si>
    <t>https://sapp.ir/heyaat_moheban</t>
  </si>
  <si>
    <t>https://www.aparat.com/hmohebban</t>
  </si>
  <si>
    <t>https://www.instagram.com/h_maktab.alhossein/</t>
  </si>
  <si>
    <t>https://www.instagram.com/rayat_susa/</t>
  </si>
  <si>
    <t>https://eitaa.com/rayat_susa</t>
  </si>
  <si>
    <t>https://www.aparat.com/rayat_susa</t>
  </si>
  <si>
    <t>https://www.instagram.com/ghamarbanihashem_ir/</t>
  </si>
  <si>
    <t>https://t.me/MasjedJame_mahshahr</t>
  </si>
  <si>
    <t>https://eitaa.com/ghamarbanihashem_ir</t>
  </si>
  <si>
    <t>https://www.instagram.com/aleyasin.beh/</t>
  </si>
  <si>
    <t>https://eitaa.com/aleyasinbeh</t>
  </si>
  <si>
    <t>https://www.instagram.com/raayatoolabbas/</t>
  </si>
  <si>
    <t>https://www.instagram.com/mahfelshohada.ir/</t>
  </si>
  <si>
    <t>https://eitaa.com/mahfelshohada_ir</t>
  </si>
  <si>
    <t>سطح کیفی پایین است</t>
  </si>
  <si>
    <t>انصار الثقلین</t>
  </si>
  <si>
    <t>شعبان - رمضان</t>
  </si>
  <si>
    <t>https://www.instagram.com/ansar_al_thaghalein/</t>
  </si>
  <si>
    <t>https://t.me/ansar1401</t>
  </si>
  <si>
    <t>https://eitaa.com/ansar1437</t>
  </si>
  <si>
    <t>توانایی بالا و حاشیهنگاری خوبی دارند</t>
  </si>
  <si>
    <t>رمضان</t>
  </si>
  <si>
    <t>https://www.instagram.com/fatemeyoon/</t>
  </si>
  <si>
    <t>https://t.me/fatemeyoon</t>
  </si>
  <si>
    <t>https://eitaa.com/fatemeyoon</t>
  </si>
  <si>
    <t>https://eitaa.com/jahadiabadan</t>
  </si>
  <si>
    <t xml:space="preserve">تولیدات صوتی و ویدیویی ندارد اما تولیدات روایی دارد </t>
  </si>
  <si>
    <t>دختران سلیمانی</t>
  </si>
  <si>
    <t>https://eitaa.com/dokhtaranesoleymani3</t>
  </si>
  <si>
    <t>ابناء الزهرا (س)</t>
  </si>
  <si>
    <t>https://www.instagram.com/feyz.info/</t>
  </si>
  <si>
    <t>https://t.me/Feyz_info</t>
  </si>
  <si>
    <t>https://eitaa.com/Feyz_info</t>
  </si>
  <si>
    <t xml:space="preserve">خوش انرژی در تولیدات، یک نفر پایکار دارند </t>
  </si>
  <si>
    <t>https://www.instagram.com/heyat_omolbanin_omd</t>
  </si>
  <si>
    <t>https://t.me/omolbanin_184_133</t>
  </si>
  <si>
    <t>به نظر ضد وحدتی</t>
  </si>
  <si>
    <t>محفل زینبیون</t>
  </si>
  <si>
    <t>https://www.instagram.com/om.al.mosaeb/</t>
  </si>
  <si>
    <r>
      <rPr>
        <rFont val="Calibri"/>
        <color rgb="FF1155CC"/>
        <sz val="11.0"/>
        <u/>
      </rPr>
      <t>t.me/omalmosaeb</t>
    </r>
  </si>
  <si>
    <t>ام البنین سلام الله علیها</t>
  </si>
  <si>
    <t>https://www.instagram.com/heyat_omolbanin_ahvaz</t>
  </si>
  <si>
    <t>https://t.me/heyat_omolbanin_ahvaz</t>
  </si>
  <si>
    <t>https://eitaa.com/s/heyat_omolbanin_ahvaz</t>
  </si>
  <si>
    <t>https://www.instagram.com/beytolahzan_ahwaz/</t>
  </si>
  <si>
    <t xml:space="preserve">خیلی کم مراسم میگیرندو کم فعالیت </t>
  </si>
  <si>
    <t>https://www.instagram.com/khademin315.ir</t>
  </si>
  <si>
    <t>https://t.me/khademin315ahwaz</t>
  </si>
  <si>
    <t>https://www.instagram.com/shah_najaf_ahwaz/</t>
  </si>
  <si>
    <t>https://t.me/shah_najaf_ahwaz</t>
  </si>
  <si>
    <t xml:space="preserve">تولیدات ویدیویی کم </t>
  </si>
  <si>
    <t>شهدای دانشگاه</t>
  </si>
  <si>
    <t>دانشاه آزاد اسلامی اهواز</t>
  </si>
  <si>
    <t>https://www.instagram.com/heyat_iau</t>
  </si>
  <si>
    <t xml:space="preserve">گاهی تولیدات بیرونیوگاهی خارجی است </t>
  </si>
  <si>
    <t>عـزاء الـثـکلـیٰ</t>
  </si>
  <si>
    <t>https://www.instagram.com/aza.althakla128</t>
  </si>
  <si>
    <t>https://t.me/aza_althakla</t>
  </si>
  <si>
    <t>https://www.instagram.com/heyat_mohebin_ahlebeit110</t>
  </si>
  <si>
    <t>https://t.me/heyatmohbinahlalbeit</t>
  </si>
  <si>
    <t>آشفتگانِ مقام حضرت علی اکبر (علیه السلام)</t>
  </si>
  <si>
    <t>https://www.instagram.com/maqam_aliakbar/</t>
  </si>
  <si>
    <t>https://t.me/ashofte_maqam</t>
  </si>
  <si>
    <t>https://www.instagram.com/ansar.abozar/</t>
  </si>
  <si>
    <t>https://www.instagram.com/bab_alqeble</t>
  </si>
  <si>
    <t>https://t.me/bab_alqeble</t>
  </si>
  <si>
    <t>شهزادگان کربلا</t>
  </si>
  <si>
    <t>https://www.instagram.com/shahzadegan_mahshahr/</t>
  </si>
  <si>
    <t>https://t.me/Shahzadegan_mahshahr</t>
  </si>
  <si>
    <t>الغدیر</t>
  </si>
  <si>
    <t>https://www.instagram.com/masjed.alghadir1/</t>
  </si>
  <si>
    <t>https://eitaa.com/masjedalghadir1</t>
  </si>
  <si>
    <t>تویات ویدیویی کمی دارد با اینکه ظرفیت دارد</t>
  </si>
  <si>
    <t>https://www.instagram.com/bakiehir</t>
  </si>
  <si>
    <t>https://t.me/bakiehir</t>
  </si>
  <si>
    <t>https://eitaa.com/bakiehir</t>
  </si>
  <si>
    <t>https://www.instagram.com/r.shohada_ir/</t>
  </si>
  <si>
    <t>https://t.me/heyat_rahrovanshohada</t>
  </si>
  <si>
    <t>https://www.instagram.com/hj_mahshahr</t>
  </si>
  <si>
    <t>https://eitaa.com/hj_mahshahr</t>
  </si>
  <si>
    <t>خُدّام زهرای سه ساله</t>
  </si>
  <si>
    <t>https://www.instagram.com/zahraye3saleh</t>
  </si>
  <si>
    <t>https://t.me/zahraye3saleh</t>
  </si>
  <si>
    <t>محبین الرقیه</t>
  </si>
  <si>
    <t>https://www.instagram.com/mohebbinalroghaye</t>
  </si>
  <si>
    <t>https://t.me/mohebbinalroghaye</t>
  </si>
  <si>
    <t>https://eitaa.com/mohebbinalroghaye</t>
  </si>
  <si>
    <t>آل طه خدام المهدی</t>
  </si>
  <si>
    <t>https://www.instagram.com/hyat_altaha</t>
  </si>
  <si>
    <t>https://t.me/altahakhodamalmahdi</t>
  </si>
  <si>
    <t>https://www.youtube.com/@HYAT_ALTAHA</t>
  </si>
  <si>
    <t>https://www.instagram.com/hasanjan_info</t>
  </si>
  <si>
    <t>https://t.me/hasanjan_info</t>
  </si>
  <si>
    <t>https://eitaa.com/hasanjan_info</t>
  </si>
  <si>
    <t>https://www.instagram.com/heyat_ashaq_alhussain</t>
  </si>
  <si>
    <t>https://www.youtube.com/@heyatashagathussain</t>
  </si>
  <si>
    <t>عقیلة الطالبیين</t>
  </si>
  <si>
    <t>https://www.instagram.com/alaghileir/</t>
  </si>
  <si>
    <t>https://www.youtube.com/@alaghileir</t>
  </si>
  <si>
    <t>https://www.instagram.com/ghobe_ir/</t>
  </si>
  <si>
    <t>https://eitaa.com/ghobe_ir</t>
  </si>
  <si>
    <t>محبان فاطمة الزهرا</t>
  </si>
  <si>
    <t>https://www.instagram.com/fater.14</t>
  </si>
  <si>
    <t>https://eitaa.com/fater14</t>
  </si>
  <si>
    <t>https://www.instagram.com/bokaeinfo</t>
  </si>
  <si>
    <t>https://t.me/bokaeinfo</t>
  </si>
  <si>
    <t>https://eitaa.com/BokaeInfo</t>
  </si>
  <si>
    <t>https://www.instagram.com/heyatoreza.mahshahr</t>
  </si>
  <si>
    <t>https://t.me/Heyatorreza</t>
  </si>
  <si>
    <t>https://eitaa.com/heyatorrezaa</t>
  </si>
  <si>
    <t>https://www.instagram.com/khoddamalhoseyn</t>
  </si>
  <si>
    <t>https://t.me/khoddamalhooseyn</t>
  </si>
  <si>
    <t>عزاداران چادر خاکی سلام الله علیها</t>
  </si>
  <si>
    <t>https://www.instagram.com/chadoorkhaki69/</t>
  </si>
  <si>
    <t>https://t.me/chadoorkhaki69</t>
  </si>
  <si>
    <t>https://www.instagram.com/karbala_mahshahr1/</t>
  </si>
  <si>
    <t>https://t.me/karbala_mahshahr1</t>
  </si>
  <si>
    <t>https://eitaa.com/karbala_mahshahr1</t>
  </si>
  <si>
    <t>محبان حضرت رقیه</t>
  </si>
  <si>
    <t>https://www.instagram.com/moheban_roqaye_315/</t>
  </si>
  <si>
    <t>عشاق الزهرا«س»</t>
  </si>
  <si>
    <t>https://www.instagram.com/oshaghozahra.beh</t>
  </si>
  <si>
    <t>https://eitaa.com/oshaghozahrabeh</t>
  </si>
  <si>
    <t xml:space="preserve">سطح موبایلی و یککم پایین </t>
  </si>
  <si>
    <t>بهشت معزالمومنین</t>
  </si>
  <si>
    <t>https://www.instagram.com/behesht_moezolmomenin/</t>
  </si>
  <si>
    <t>https://t.me/moezolmomenin_ir</t>
  </si>
  <si>
    <t>https://eitaa.com/Moezolmomeninir</t>
  </si>
  <si>
    <t>معزالمؤمنین</t>
  </si>
  <si>
    <t>https://www.instagram.com/moezolmomenin_ir</t>
  </si>
  <si>
    <t>محبین امام حسن العسکری</t>
  </si>
  <si>
    <t>https://www.instagram.com/abamahdi313/</t>
  </si>
  <si>
    <t>https://eitaa.com/abamahdi</t>
  </si>
  <si>
    <t>کریم اهل بیت فاطمیه</t>
  </si>
  <si>
    <t>3😔</t>
  </si>
  <si>
    <t>https://www.instagram.com/seyyedolkarim</t>
  </si>
  <si>
    <t>https://eitaa.com/seyyedolkarim</t>
  </si>
  <si>
    <t>قبلا خیلی بهتربوده</t>
  </si>
  <si>
    <t>آقا امام حسین علیه السلام</t>
  </si>
  <si>
    <t>هدف</t>
  </si>
  <si>
    <t>https://www.instagram.com/heiat.official/</t>
  </si>
  <si>
    <t>https://eitaa.com/heiateitaa</t>
  </si>
  <si>
    <t>سه شنبه های مهدوی</t>
  </si>
  <si>
    <t>https://eitaa.com/sshanbehaye_mahdavi_abadan</t>
  </si>
  <si>
    <t>مصطفی مروانی</t>
  </si>
  <si>
    <t>---</t>
  </si>
  <si>
    <t>https://www.instagram.com/mostafa_marvani</t>
  </si>
  <si>
    <t>https://rubika.ir/marvani_mostafa</t>
  </si>
  <si>
    <t>خبرگزاری</t>
  </si>
  <si>
    <t xml:space="preserve">بسیج دانشجویی </t>
  </si>
  <si>
    <t>بستان</t>
  </si>
  <si>
    <t>‍</t>
  </si>
  <si>
    <t>https://eitaa.com/basijnews_DashtAzadagan</t>
  </si>
  <si>
    <t>https://www.instagram.com/tajil_ir/</t>
  </si>
  <si>
    <t>موسسه فرهنگی هنری سراج</t>
  </si>
  <si>
    <t>https://www.instagram.com/seraj_behbahan/</t>
  </si>
  <si>
    <t>https://www.instagram.com/zohrabpours/</t>
  </si>
  <si>
    <t>خرمشهر خیابان نقدی مسجد امام محمدباقر(ع)</t>
  </si>
  <si>
    <t>https://www.instagram.com/ansaralmahdi_kh</t>
  </si>
  <si>
    <t>https://eitaa.com/Ansaralmahdi_kho</t>
  </si>
  <si>
    <t>دار الأمام الرضا صلوات الله عليه</t>
  </si>
  <si>
    <t>https://www.instagram.com/dar.al.imam.alreza/</t>
  </si>
  <si>
    <t>شباب القاسم</t>
  </si>
  <si>
    <t>https://www.instagram.com/mwkib.shbabalqasim</t>
  </si>
  <si>
    <t>https://www.instagram.com/shohada_gomnam_khoramshahr/</t>
  </si>
  <si>
    <t>عشاق حضرت رقیه (س)</t>
  </si>
  <si>
    <t>https://www.instagram.com/heyat_hazrat_roghaye/</t>
  </si>
  <si>
    <t>قطیع‌ الکفین</t>
  </si>
  <si>
    <t>https://www.instagram.com/heyat.ghatia.alkafain/</t>
  </si>
  <si>
    <t>http://t.me/heyat_ghatia_alkafain</t>
  </si>
  <si>
    <t>قمرالعشیره(ع)</t>
  </si>
  <si>
    <t>مسجد فاطمه الزهرا (س)</t>
  </si>
  <si>
    <t>https://www.instagram.com/ghamar.alashireh_kh/</t>
  </si>
  <si>
    <t>لواء سیدة زینب</t>
  </si>
  <si>
    <t>https://www.instagram.com/lwaa.zainab_1432/</t>
  </si>
  <si>
    <t>https://t.me/tl_lwaa_zainab_1432</t>
  </si>
  <si>
    <t>دانشگاه علوم وفنون دریایی خرمشهر</t>
  </si>
  <si>
    <t>https://www.instagram.com/heyetkmsu</t>
  </si>
  <si>
    <t>https://eitaa.com/heyetkmsu</t>
  </si>
  <si>
    <t>محمد رسول الله(ص)</t>
  </si>
  <si>
    <t>https://www.instagram.com/hosseineh_mohamad_rasoulallah/</t>
  </si>
  <si>
    <t>https://www.instagram.com/hmz.kh/</t>
  </si>
  <si>
    <t>https://www.instagram.com/montazeran_1427/</t>
  </si>
  <si>
    <t>https://www.instagram.com/masjed_khatam_dez/</t>
  </si>
  <si>
    <t>https://eitaa.com/masjed_khatam_dez</t>
  </si>
  <si>
    <t>https://www.instagram.com/heyatorreza_ir</t>
  </si>
  <si>
    <t>امام رضا(ع)</t>
  </si>
  <si>
    <t>https://www.instagram.com/hoseinie_emamreza/</t>
  </si>
  <si>
    <t>https://eitaa.com/hoseinieemamreza</t>
  </si>
  <si>
    <t xml:space="preserve">گروه فرهنگی جهادی </t>
  </si>
  <si>
    <t>امام هادی(ع)</t>
  </si>
  <si>
    <t>[طلاب انقلابی شهرستان دزفول]</t>
  </si>
  <si>
    <t>https://www.instagram.com/jahadi_emamhadi/</t>
  </si>
  <si>
    <t>https://www.instagram.com/ansaralmahdi.dezful/</t>
  </si>
  <si>
    <t>https://www.instagram.com/beytolhasan.dez/</t>
  </si>
  <si>
    <t>https://eitaa.com/Baytolhasandez</t>
  </si>
  <si>
    <t>تكيه كوچه نخل کربلایی علی خان‌</t>
  </si>
  <si>
    <t>https://www.instagram.com/tekiyenakhl/</t>
  </si>
  <si>
    <t>https://www.instagram.com/masjed_zeynab_dezful/</t>
  </si>
  <si>
    <r>
      <rPr>
        <rFont val="Calibri"/>
        <color rgb="FF1155CC"/>
        <sz val="11.0"/>
        <u/>
      </rPr>
      <t>eitaa.com/masjed_zeynab_dezful</t>
    </r>
  </si>
  <si>
    <t>حضرت علی اکبر ع</t>
  </si>
  <si>
    <t>https://www.instagram.com/aliakbaradl/</t>
  </si>
  <si>
    <t>خدام الامام‌زین العابدین</t>
  </si>
  <si>
    <t>https://www.instagram.com/imam.zaynalabidin/</t>
  </si>
  <si>
    <t>https://www.instagram.com/khodamalhossein118/</t>
  </si>
  <si>
    <t>خدام العباس (ع)</t>
  </si>
  <si>
    <t>https://www.instagram.com/khodam_alabbas/</t>
  </si>
  <si>
    <t>https://eitaa.com/khodam_alabbas</t>
  </si>
  <si>
    <t>خدام المهدی عج</t>
  </si>
  <si>
    <t>https://www.instagram.com/khoddamdez/</t>
  </si>
  <si>
    <t>https://t.me/khoddam_dez</t>
  </si>
  <si>
    <t>https://eitaa.com/khodamalmahdi_dezfoul</t>
  </si>
  <si>
    <t>خیمه‌گاه عاشقان ابوالفضل العباس</t>
  </si>
  <si>
    <t>https://www.instagram.com/kheimegah_dez/</t>
  </si>
  <si>
    <t>https://www.instagram.com/rayatalhoda_dezful/</t>
  </si>
  <si>
    <t>https://www.instagram.com/razmandegandezful/</t>
  </si>
  <si>
    <t>https://eitaa.com/Razmandegan_Dezful</t>
  </si>
  <si>
    <t>https://www.instagram.com/rahrovane_shohada_/</t>
  </si>
  <si>
    <t>https://eitaa.com/rahrovan_shohada110</t>
  </si>
  <si>
    <t>https://www.instagram.com/rozatoalzahrair/</t>
  </si>
  <si>
    <t>https://eitaa.ir/rozatoalzahra_ir</t>
  </si>
  <si>
    <t>ریحانة النبی</t>
  </si>
  <si>
    <t>https://www.instagram.com/reyhanaalnabi.ir/</t>
  </si>
  <si>
    <t>زنجیرزنان امام سجاد</t>
  </si>
  <si>
    <t>https://www.instagram.com/heyat.emam.sajjad/</t>
  </si>
  <si>
    <t>https://t.me/heyat_emam_sajjad_1371</t>
  </si>
  <si>
    <t>زنجیرزنان حضرت سبزقبا(ع)</t>
  </si>
  <si>
    <t>https://www.instagram.com/zanjir_sabzeghaba/</t>
  </si>
  <si>
    <t>زنجیرزنان حضرت قاسم</t>
  </si>
  <si>
    <t>https://www.instagram.com/zanjirzanan.hazrat.ghasem/</t>
  </si>
  <si>
    <t>زنجیرزنان مسجد النبی (ص)</t>
  </si>
  <si>
    <t>https://www.instagram.com/nabiyazahra/</t>
  </si>
  <si>
    <t>https://t.me/nabiyazahra</t>
  </si>
  <si>
    <t>https://eitaa.com/nabiyazahra</t>
  </si>
  <si>
    <t>زنجیرزنان مسجد امام حسین (ع)</t>
  </si>
  <si>
    <t>https://www.instagram.com/imamhosseinghalehseyyed/</t>
  </si>
  <si>
    <t>کانون فرهنگی تبلیغی</t>
  </si>
  <si>
    <t>سفیر</t>
  </si>
  <si>
    <t>https://www.instagram.com/safir_khz/</t>
  </si>
  <si>
    <t>سنج و دمام عاشقان حسین بن علی (ع)</t>
  </si>
  <si>
    <t>https://www.instagram.com/tekyeasheghanehosseinebneali_a/</t>
  </si>
  <si>
    <t>سنج و دمام مالک اشتر</t>
  </si>
  <si>
    <t>https://www.instagram.com/malekashtar_dezful/</t>
  </si>
  <si>
    <t>سیدالشهدا فرهنگ شهر</t>
  </si>
  <si>
    <t>https://www.instagram.com/serat_jalasat/</t>
  </si>
  <si>
    <t>https://www.instagram.com/hoseniye.seyed.shohada/</t>
  </si>
  <si>
    <t>https://t.me/HosseiniehSeyedolshohada</t>
  </si>
  <si>
    <t>شهداء</t>
  </si>
  <si>
    <t>https://www.instagram.com/hoseinieh.shohada/</t>
  </si>
  <si>
    <t>https://t.me/hoseinieh_shohada_dezful</t>
  </si>
  <si>
    <t>شهدای کارگر</t>
  </si>
  <si>
    <t>https://www.instagram.com/heyat_shohday_kargar/</t>
  </si>
  <si>
    <t>دانشگاه آزاد اسلامی دزفول</t>
  </si>
  <si>
    <t>https://www.instagram.com/heyat_iaudez</t>
  </si>
  <si>
    <t>شیدانه امام رضا</t>
  </si>
  <si>
    <t>https://www.instagram.com/emam.reza.dezful/</t>
  </si>
  <si>
    <t>https://www.instagram.com/heyat.saheb.alzaman/</t>
  </si>
  <si>
    <t>عاشقان حسینی(ع)</t>
  </si>
  <si>
    <t>https://www.instagram.com/takiye_asheqan_hoseyni/</t>
  </si>
  <si>
    <t>عزاداران تکیه قمر بنی هاشم (ع)</t>
  </si>
  <si>
    <t>https://www.instagram.com/ghamar_benjafar/</t>
  </si>
  <si>
    <t>عزاداران حجله گاه حضرت قاسم(ع)</t>
  </si>
  <si>
    <t>https://www.instagram.com/heyat_hejlegah_qasem/</t>
  </si>
  <si>
    <t>عزاداران مسجد بعثت</t>
  </si>
  <si>
    <t>https://www.instagram.com/masjed_besat_dezful/</t>
  </si>
  <si>
    <t>عزاداران مسجد بعثت(چینی سازان )</t>
  </si>
  <si>
    <t>https://www.instagram.com/masjed.besat.dezful/</t>
  </si>
  <si>
    <t>عزاداران مسجد علویه</t>
  </si>
  <si>
    <t>https://www.instagram.com/mosque.alavie.dez/</t>
  </si>
  <si>
    <t>عزادارن مسجد شهید توتونچی</t>
  </si>
  <si>
    <t>https://www.instagram.com/heyat_totonchi/</t>
  </si>
  <si>
    <t>https://t.me/heyat_totonchi</t>
  </si>
  <si>
    <t>علم عباس</t>
  </si>
  <si>
    <t>https://www.instagram.com/hoseynieh.alamabbas/</t>
  </si>
  <si>
    <t>https://www.instagram.com/alamdar_heyat/</t>
  </si>
  <si>
    <t>علی‌ ابن ابی طالب (ع)</t>
  </si>
  <si>
    <t>https://www.instagram.com/masjed_aliabneabitaleb_dezfoul/</t>
  </si>
  <si>
    <t>https://t.me/mobinrezazadeh70</t>
  </si>
  <si>
    <t>غدیر (هیأت باب الحوائج)</t>
  </si>
  <si>
    <t>https://www.instagram.com/alghadir_dez/</t>
  </si>
  <si>
    <t>https://eitaa.com/sh_farokhi</t>
  </si>
  <si>
    <t>https://www.instagram.com/hosseinieh.fatemeh.alzahra/</t>
  </si>
  <si>
    <t>https://t.me/fadakieh_beytolahzan</t>
  </si>
  <si>
    <t>https://eitaa.com/hosseinieh_fatemh_alzahra</t>
  </si>
  <si>
    <t>کاظمین</t>
  </si>
  <si>
    <t>https://www.instagram.com/hoseiniye.kazemeyn.dezfoul/</t>
  </si>
  <si>
    <t>کف العباس</t>
  </si>
  <si>
    <t>https://www.instagram.com/kafolabas_ir/</t>
  </si>
  <si>
    <t>https://t.me/kafolabbas_ir</t>
  </si>
  <si>
    <t>ماتمکده حضرت نرجس خاتون سلام الله علیها</t>
  </si>
  <si>
    <t>https://www.instagram.com/matamkade_narjes_khatoon/</t>
  </si>
  <si>
    <t>https://t.me/matamkadehazratnarjeskhaton</t>
  </si>
  <si>
    <t>متحده ابوالفضل العباس</t>
  </si>
  <si>
    <t>https://www.instagram.com/abasieh.ir/</t>
  </si>
  <si>
    <t>https://t.me/abasiehir</t>
  </si>
  <si>
    <t>محبان امیرالمومنین (ع) معروف به قدمگاه</t>
  </si>
  <si>
    <t>https://www.instagram.com/moheban_ali_ir_</t>
  </si>
  <si>
    <t>https://eitaa.com/s/moheban_ali_ir/</t>
  </si>
  <si>
    <t>محرم</t>
  </si>
  <si>
    <t>https://www.instagram.com/moharam.dezfull/</t>
  </si>
  <si>
    <t>https://www.instagram.com/fatemiedezful.ir/</t>
  </si>
  <si>
    <t>https://t.me/fatemiedezfulir</t>
  </si>
  <si>
    <t>https://www.instagram.com/maktabalabbas/</t>
  </si>
  <si>
    <t>https://www.instagram.com/yalesaratdez/</t>
  </si>
  <si>
    <t>https://eitaa.com/yalesaratdezful</t>
  </si>
  <si>
    <t>https://l.instagram.com/?u=http%3A%2F%2Fwww.yalesaratdez.ir%2F%3Ffbclid%3DPAZXh0bgNhZW0CMTEAAafeSF74GVVfA6lg7WEv2GRzSoSAJ7cBRsnKsdtdDTZ6qK7VF7BIVZ1rK1tr9Q_aem_JLBtH4ZWiOmSBqA9jCNAdA&amp;e=AT0wRMaoPCvOxPczftax35Pz57D1pIME-c1mdCJddmUkuW3_HDPlzrjgrdXJjzvxoIXPNmy_CYWrGJlZiAYHRwZ0qp-c1gDbmIRAf30</t>
  </si>
  <si>
    <t>ثقلین</t>
  </si>
  <si>
    <t>https://www.instagram.com/thaqalainheyat/</t>
  </si>
  <si>
    <r>
      <rPr>
        <rFont val="Calibri"/>
        <color rgb="FF1155CC"/>
        <sz val="11.0"/>
        <u/>
      </rPr>
      <t>t.me/the_thaqalain</t>
    </r>
  </si>
  <si>
    <t>قاسم‌بن‌الحسن(ع)</t>
  </si>
  <si>
    <t>https://www.instagram.com/hyat_ghasem_ramshir/</t>
  </si>
  <si>
    <t>الحیدر (ع)</t>
  </si>
  <si>
    <t>https://eitaa.com/alheydar_rmz</t>
  </si>
  <si>
    <t>https://www.instagram.com/hosseinjan_rmz</t>
  </si>
  <si>
    <t>https://t.me/hosseinjan_rmz</t>
  </si>
  <si>
    <t>https://eitaa.com/hosseinjan_rmz</t>
  </si>
  <si>
    <t>https://eitaa.com/shohadaye_gomnam_rmz</t>
  </si>
  <si>
    <t>دانشگاه آزاد اسلامی رامهرمز</t>
  </si>
  <si>
    <t>https://www.instagram.com/heyat_fzu</t>
  </si>
  <si>
    <t>https://eitaa.com/heyat_fzu</t>
  </si>
  <si>
    <t>https://www.instagram.com/karime_rmzz/</t>
  </si>
  <si>
    <t>کریمه اهل بیت (س)</t>
  </si>
  <si>
    <t>https://eitaa.com/Karime_rmz</t>
  </si>
  <si>
    <t>سوسنگرد</t>
  </si>
  <si>
    <t>https://www.instagram.com/husseiniyah_alazam_alkhafajie/</t>
  </si>
  <si>
    <t>https://www.youtube.com/@husseiniyahalazamalkhafajie</t>
  </si>
  <si>
    <t>ابناءالحسين</t>
  </si>
  <si>
    <t>فلاحیه</t>
  </si>
  <si>
    <t>https://www.instagram.com/abna_alhussein/</t>
  </si>
  <si>
    <t>https://www.youtube.com/@abna_alhussein_1</t>
  </si>
  <si>
    <t>https://www.instagram.com/heyat_mohebanomolbanin/</t>
  </si>
  <si>
    <t>ودیعت الحسین (ع)</t>
  </si>
  <si>
    <t>https://www.instagram.com/vadiatolhosein</t>
  </si>
  <si>
    <t>https://t.me/vadiatolhosein</t>
  </si>
  <si>
    <t>https://www.instagram.com/heiatsarallah_78/</t>
  </si>
  <si>
    <r>
      <rPr>
        <rFont val="Calibri"/>
        <color rgb="FF1155CC"/>
        <sz val="11.0"/>
        <u/>
      </rPr>
      <t>eitaa.com/heiatsarallah_78</t>
    </r>
  </si>
  <si>
    <t>زنجیرزنان قاسمیه</t>
  </si>
  <si>
    <t>https://www.instagram.com/ghasemieh.shoosh.1352/</t>
  </si>
  <si>
    <t>زیارت عاشورای مسجد حضرت رسول (ص)</t>
  </si>
  <si>
    <t>https://eitaa.com/masjederasool_ir1</t>
  </si>
  <si>
    <t>کانون فرهنگی تبلیغی شهید ابراهیم هادی</t>
  </si>
  <si>
    <t>https://eitaa.com/kanon_1403</t>
  </si>
  <si>
    <t>مبارکه کربلا</t>
  </si>
  <si>
    <t>https://www.instagram.com/hossine_mobarke_karbala_shush_/</t>
  </si>
  <si>
    <r>
      <rPr>
        <rFont val="-apple-system, BlinkMacSystemFont, &quot;Segoe UI&quot;, Roboto, Helvetica, Arial, sans-serif"/>
        <color rgb="FF1155CC"/>
        <sz val="11.0"/>
        <u/>
      </rPr>
      <t>tlgrm.me/hossine_mobarke_karbala</t>
    </r>
  </si>
  <si>
    <t>متوسلین به حضرت فاطمه الزهرا (س)</t>
  </si>
  <si>
    <t>https://www.instagram.com/kheimegah1381/</t>
  </si>
  <si>
    <r>
      <rPr>
        <rFont val="Calibri"/>
        <color rgb="FF1155CC"/>
        <sz val="11.0"/>
        <u/>
      </rPr>
      <t>t.me/kheimegah1381</t>
    </r>
  </si>
  <si>
    <t>مسجد سبزپوش</t>
  </si>
  <si>
    <t>https://www.instagram.com/masjed_sabzpoush</t>
  </si>
  <si>
    <t>امـام حسیـن(علیه السلام)</t>
  </si>
  <si>
    <t>https://www.instagram.com/heyatolhosein69/</t>
  </si>
  <si>
    <t>بهشت الرقیه(س)</t>
  </si>
  <si>
    <t>https://www.instagram.com/behshtolrogye_1404/</t>
  </si>
  <si>
    <t>پناهندگان امام حسین</t>
  </si>
  <si>
    <t>https://www.instagram.com/panahandegan_shooshtar</t>
  </si>
  <si>
    <t>https://www.instagram.com/ashuraee.str/</t>
  </si>
  <si>
    <t>https://www.instagram.com/heyat_sadat_313/</t>
  </si>
  <si>
    <t>شهرک مهدی آباد</t>
  </si>
  <si>
    <t>https://www.instagram.com/heyate_seyedalshohada</t>
  </si>
  <si>
    <t>صادقیون</t>
  </si>
  <si>
    <t>https://www.instagram.com/heyat_sadeghione_shoushtar</t>
  </si>
  <si>
    <t>عاشقان عباس(ع)</t>
  </si>
  <si>
    <t>https://www.instagram.com/asheghanabas_313/</t>
  </si>
  <si>
    <t>https://t.me/asheghan_abas_str</t>
  </si>
  <si>
    <t>https://www.instagram.com/oshagh128_1390/</t>
  </si>
  <si>
    <t>علامه شیخ شوشتری ره</t>
  </si>
  <si>
    <t>https://www.instagram.com/masjed_allameh/</t>
  </si>
  <si>
    <t>https://eitaa.com/masjed_allameh</t>
  </si>
  <si>
    <t>علی‌ابن‌موسی‌الرضا(ع)</t>
  </si>
  <si>
    <t>https://www.instagram.com/heyatolreza83</t>
  </si>
  <si>
    <t>https://t.me/heyatolreza83</t>
  </si>
  <si>
    <t>https://eitaa.com/heyatolreza83</t>
  </si>
  <si>
    <t>لنگر</t>
  </si>
  <si>
    <t>https://www.instagram.com/heyatfatemioonlongor/</t>
  </si>
  <si>
    <t>https://eitaa.com/heyatfatemioonlongor</t>
  </si>
  <si>
    <t>فداییون سیده زینب</t>
  </si>
  <si>
    <t>https://www.instagram.com/fadaeiyon_seyedezeynab</t>
  </si>
  <si>
    <t>محبان آل طاها(ع)</t>
  </si>
  <si>
    <t>https://www.instagram.com/heyat_al.taha313</t>
  </si>
  <si>
    <t>https://t.me/mohebanaltaha313</t>
  </si>
  <si>
    <t>محبان مقام علی ابن ابیطالب(ع)</t>
  </si>
  <si>
    <t>https://www.instagram.com/magham_alishoshtar/</t>
  </si>
  <si>
    <t>یوسف الزهرا(عج)</t>
  </si>
  <si>
    <t>https://www.instagram.com/heyat_yosefalzahra_shoushtar/</t>
  </si>
  <si>
    <t>https://t.me/heyat_yousef_alzahra</t>
  </si>
  <si>
    <t>جان نثاران حضرت اباالفضل العباس (ع)</t>
  </si>
  <si>
    <t>https://www.instagram.com/jan__nsaran/</t>
  </si>
  <si>
    <t>https://eitaa.com/zohoor7kL</t>
  </si>
  <si>
    <t>الرضا (ع)</t>
  </si>
  <si>
    <t>https://eitaa.com/heyatorezahendijan</t>
  </si>
  <si>
    <t>أهالي الحویزه</t>
  </si>
  <si>
    <t>https://www.instagram.com/ahali.alhoveyzeh/</t>
  </si>
  <si>
    <t>رسانه شهــــــــــــــزاده</t>
  </si>
  <si>
    <t>https://www.instagram.com/shahzadeh.art/</t>
  </si>
  <si>
    <t>رسانه هنری 315</t>
  </si>
  <si>
    <t>https://www.instagram.com/315info/</t>
  </si>
  <si>
    <t>رسانه هنری علقمه</t>
  </si>
  <si>
    <t>https://www.instagram.com/alghameh_media/</t>
  </si>
  <si>
    <t>گروه تصویر و صدابرداری حوراء</t>
  </si>
  <si>
    <t>https://www.instagram.com/haora_studioo/</t>
  </si>
  <si>
    <t>نجف استوری</t>
  </si>
  <si>
    <t>https://www.instagram.com/najaf.stori/</t>
  </si>
  <si>
    <t xml:space="preserve"> مربوط به هیأت عزاداران چادر خاکی سلام الله علیها </t>
  </si>
  <si>
    <t>موسسه هنری فائق</t>
  </si>
  <si>
    <t>https://www.instagram.com/faegh_ir/</t>
  </si>
  <si>
    <t xml:space="preserve"> مربوط به هیأت خُدّام زهرای سه ساله </t>
  </si>
  <si>
    <t>کربلایی مرتضی یبرنژاد</t>
  </si>
  <si>
    <t>https://www.instagram.com/_.133__</t>
  </si>
  <si>
    <t>https://t.me/morteza_yebor313</t>
  </si>
  <si>
    <t>https://eitaa.com/morteza_yebor313</t>
  </si>
  <si>
    <t>حسینیه ثارالله اهواز هیأت رزمندگان اسلام</t>
  </si>
  <si>
    <t>https://eitaa.com/sarallah_awz</t>
  </si>
  <si>
    <t>هیأت حجت بن الحسن</t>
  </si>
  <si>
    <t>https://eitaa.com/ostadelahi</t>
  </si>
  <si>
    <t xml:space="preserve">خوزستان </t>
  </si>
  <si>
    <t>https://eitaa.com/rozatoalzahra_ir</t>
  </si>
  <si>
    <t>https://eitaa.com/Sarallah_Dezful</t>
  </si>
  <si>
    <t>شهید محمدرضا آل مبارک</t>
  </si>
  <si>
    <t>https://eitaa.com/khadimalreza</t>
  </si>
  <si>
    <t xml:space="preserve">محبان امیر المومنین علی (ع) - قدمگاه امام رضا (ع) </t>
  </si>
  <si>
    <t>https://eitaa.com/moheban_ali_ir</t>
  </si>
  <si>
    <t>منتظران حضرت مهدی (عج) بهبهان</t>
  </si>
  <si>
    <t>https://www.instagram.com/tajil_ir</t>
  </si>
  <si>
    <t>https://eitaa.com/tajil_ir</t>
  </si>
  <si>
    <t xml:space="preserve">محبان اباالفضل العباس </t>
  </si>
  <si>
    <t>https://eitaa.com/mohebandez</t>
  </si>
  <si>
    <t>https://eitaa.com/ansar_alhojah</t>
  </si>
  <si>
    <t>حسینیه شهدا (حاج صادق آهنگران )یاد بود حاج حبیب الله معلمی
 #کانال_حسینیه_شهدا_حاج_صادق_آهنگران</t>
  </si>
  <si>
    <t>https://eitaa.com/ahangran401</t>
  </si>
  <si>
    <t>https://eitaa.com/HosseinehEmamReza</t>
  </si>
  <si>
    <t>https://eitaa.com/saheb_alamr313</t>
  </si>
  <si>
    <t>https://eitaa.com/ali_asghar_abarkooh</t>
  </si>
  <si>
    <t>ندای بهشت</t>
  </si>
  <si>
    <t>https://eitaa.com/nedayebehesht</t>
  </si>
  <si>
    <t>https://www.instagram.com/fatmeun_abarkoh</t>
  </si>
  <si>
    <t>https://eitaa.com/fatmeun_abarkoh</t>
  </si>
  <si>
    <t>https://t.me/hayhatmennazellah</t>
  </si>
  <si>
    <t>بلوار دهه فجر مریم آباد</t>
  </si>
  <si>
    <t>https://eitaa.com/maryamabadyazd</t>
  </si>
  <si>
    <t>https://www.instagram.com/ansar_almahdi_abarkooh</t>
  </si>
  <si>
    <t>https://eitaa.com/ansarolmahdiabarkooh</t>
  </si>
  <si>
    <t>علمدار حسین (ع)</t>
  </si>
  <si>
    <t>https://eitaa.com/alamdaarehosein</t>
  </si>
  <si>
    <t>پیروان عترت (خواهران)</t>
  </si>
  <si>
    <t>https://eitaa.com/heyatrazmandeganabar</t>
  </si>
  <si>
    <t>https://www.instagram.com/heyat_razmandegan.abar</t>
  </si>
  <si>
    <t>https://www.instagram.com/benttolhossein</t>
  </si>
  <si>
    <t>مذهبی محله گلکاران</t>
  </si>
  <si>
    <t>https://www.instagram.com/h_o_golkaran</t>
  </si>
  <si>
    <t>اردکان</t>
  </si>
  <si>
    <t>https://eitaa.com/yasegharibardakan</t>
  </si>
  <si>
    <t>قمربنی هاشم(ع)</t>
  </si>
  <si>
    <t>https://eitaa.com/baradarebavafa</t>
  </si>
  <si>
    <t>ارشاد مزرعه سیف</t>
  </si>
  <si>
    <t>https://eitaa.com/hosseinie_ershad</t>
  </si>
  <si>
    <t>علوی</t>
  </si>
  <si>
    <t>https://eitaa.com/rasa_ar</t>
  </si>
  <si>
    <t>مجمع یاحسین(ع) (رزمندگان اسلام)</t>
  </si>
  <si>
    <t>https://eitaa.com/amvatardakan</t>
  </si>
  <si>
    <t>نوجوانان قمربنی هاشم (ع)</t>
  </si>
  <si>
    <t>https://eitaa.com/Baradarebavafa</t>
  </si>
  <si>
    <t>https://www.instagram.com/mahdie_ardakan/</t>
  </si>
  <si>
    <t>https://t.me/mahdie_ardakan</t>
  </si>
  <si>
    <t>https://eitaa.com/mahdie_ardakan</t>
  </si>
  <si>
    <t>https://eitaa.com/Masjdsahibalzaman</t>
  </si>
  <si>
    <t>بیت الحسین(ع)</t>
  </si>
  <si>
    <t>https://eitaa.com/HOMEHOSINEBNALIARDAKAN</t>
  </si>
  <si>
    <t>مسجد امیرالمومنین(ع)</t>
  </si>
  <si>
    <t>https://eitaa.com/masjed110</t>
  </si>
  <si>
    <t>رزمندگان اسلام / پیروان عترت (خواهران)</t>
  </si>
  <si>
    <t>https://eitaa.com/peyrovan_etrat</t>
  </si>
  <si>
    <t>ابناء الحسین (ع)</t>
  </si>
  <si>
    <t>https://www.instagram.com/abnaolhosseyn/</t>
  </si>
  <si>
    <t>تعزیه خوانی ثارالله (ع)</t>
  </si>
  <si>
    <t>https://www.instagram.com/hoseinie_sarallah</t>
  </si>
  <si>
    <t>https://eitaa.com/masjedkhatam25</t>
  </si>
  <si>
    <t>حسینی بازار نو</t>
  </si>
  <si>
    <t>https://www.instagram.com/bazarno.ardakan</t>
  </si>
  <si>
    <t>https://eitaa.com/bazarnoardakan</t>
  </si>
  <si>
    <t>حضرت امام حسین (ع)</t>
  </si>
  <si>
    <t>https://www.instagram.com/emamhosein_ardakan</t>
  </si>
  <si>
    <t>https://eitaa.com/eamamhosein_ardakan</t>
  </si>
  <si>
    <t>خیمه گاه بیت الزهرا</t>
  </si>
  <si>
    <t>https://eitaa.com/khimegah_bitozahra</t>
  </si>
  <si>
    <t>بیت الحسین (ع) سردارشهیدزفاک</t>
  </si>
  <si>
    <t>https://eitaa.com/beitolhosseinshahidzaffak</t>
  </si>
  <si>
    <t>کانون قرآن اردکان</t>
  </si>
  <si>
    <t>https://www.instagram.com/kaanoonquran</t>
  </si>
  <si>
    <t>https://eitaa.com/KanoonQuran</t>
  </si>
  <si>
    <t>بیت دلدادگان حسین (ع)</t>
  </si>
  <si>
    <t>https://eitaa.com/sarallahdeldadegan</t>
  </si>
  <si>
    <t>حسینیه حضرت ابوالفضل العباس اردکان</t>
  </si>
  <si>
    <t>https://eitaa.com/Hossineh_Hazrat_Abolfazl</t>
  </si>
  <si>
    <t>جان نثاران ابوالفضل</t>
  </si>
  <si>
    <t>https://www.instagram.com/heyat_abolfazl_ardakan</t>
  </si>
  <si>
    <t>حسینیه ارشاد</t>
  </si>
  <si>
    <t>ابوالفضل جنت آباد</t>
  </si>
  <si>
    <t>https://www.instagram.com/heyat_abbalfazl/</t>
  </si>
  <si>
    <t>حسینیه ثارالله</t>
  </si>
  <si>
    <t>https://www.instagram.com/heyatsarallah_ardakan</t>
  </si>
  <si>
    <t>https://eitaa.com/heyatsarallah_ardakan</t>
  </si>
  <si>
    <t>موسسه قرآنی نورالزهرا (س)</t>
  </si>
  <si>
    <t>https://t.me/noorozahraardakan</t>
  </si>
  <si>
    <t>https://eitaa.com/noorozahraardakan</t>
  </si>
  <si>
    <t>کمیته خادم الشهدا</t>
  </si>
  <si>
    <t>https://www.instagram.com/khadem_alshohada_ardakan</t>
  </si>
  <si>
    <t>https://eitaa.com/khademin_shohada_Ardakan</t>
  </si>
  <si>
    <t>خیمه گاه ام البنین</t>
  </si>
  <si>
    <t>https://eitaa.com/khaimmegahArdakan</t>
  </si>
  <si>
    <t>https://www.instagram.com/iahosin2816</t>
  </si>
  <si>
    <t>متوسلین به حضرت ابوالفضل مسجد حاج محمدحسین</t>
  </si>
  <si>
    <t>https://eitaa.com/msq_abolfazl</t>
  </si>
  <si>
    <t>خیمه گاه قاسم ابن الحسن</t>
  </si>
  <si>
    <t>https://www.instagram.com/kheaymahgah_ghasamabnalhasan</t>
  </si>
  <si>
    <t>حسینیه علی بیک</t>
  </si>
  <si>
    <t>https://www.instagram.com/hosseinieh_alibeyk</t>
  </si>
  <si>
    <t>https://eitaa.com/hosseinieh_alibeyk</t>
  </si>
  <si>
    <t>حسینی چرخاب</t>
  </si>
  <si>
    <t>https://www.instagram.com/hoseiniecharkhab</t>
  </si>
  <si>
    <t>دوطفلان مسلم</t>
  </si>
  <si>
    <t>https://www.instagram.com/hosseiniyeh_teflan_moslem</t>
  </si>
  <si>
    <t>امام حسن مجتبی فرخی های مقیم اردکان</t>
  </si>
  <si>
    <t>https://t.me/gharibmadinehemamhasanmojtaba</t>
  </si>
  <si>
    <t>ابوالفضل العباس (ع) حسینیه شهدا</t>
  </si>
  <si>
    <t>روستای شریف آباد</t>
  </si>
  <si>
    <t>https://www.instagram.com/hoseinieh.sh.sh</t>
  </si>
  <si>
    <t>https://t.me/sthshsh</t>
  </si>
  <si>
    <t>امام حسین (ع)</t>
  </si>
  <si>
    <t>https://www.instagram.com/sadeghieh_ardakan</t>
  </si>
  <si>
    <t>https://eitaa.com/Sadeghieh_ardakan</t>
  </si>
  <si>
    <t>https://eitaa.com/noojavanhosini</t>
  </si>
  <si>
    <t>بسیج دانشجویی دانشگاه اردکان</t>
  </si>
  <si>
    <t>https://eitaa.com/bso_ardakan</t>
  </si>
  <si>
    <t>حسینی کوشکنو</t>
  </si>
  <si>
    <t>https://www.instagram.com/koshkenow_yazd</t>
  </si>
  <si>
    <t>https://t.me/koshkenow_yazd</t>
  </si>
  <si>
    <t>https://eitaa.com/koshkenow_yazd</t>
  </si>
  <si>
    <t>کانون نشر و تعلیم قرآن کریم</t>
  </si>
  <si>
    <t>فاطمه الزهرا دیلم</t>
  </si>
  <si>
    <t>https://www.instagram.com/heyatfatematazzahra/</t>
  </si>
  <si>
    <t>https://eitaa.com/fatemeazhra</t>
  </si>
  <si>
    <t>https://heyatrazmandeganardakan.blog.ir/</t>
  </si>
  <si>
    <t>https://www.instagram.com/ansarolmohsen</t>
  </si>
  <si>
    <t>https://eitaa.com/hansarolmohsen_ardakan</t>
  </si>
  <si>
    <t>زین‌الدین‌</t>
  </si>
  <si>
    <t>https://www.instagram.com/heiatemamhasanardakan11</t>
  </si>
  <si>
    <t>ریحانة الحسین(س)</t>
  </si>
  <si>
    <t>https://www.instagram.com/reyhanatolhossein_ir/</t>
  </si>
  <si>
    <t>https://t.me/reyhanatolhosseyn315</t>
  </si>
  <si>
    <t>https://www.instagram.com/reyhanatonabi.a</t>
  </si>
  <si>
    <t>https://eitaa.com/reyhanatolnabi_a</t>
  </si>
  <si>
    <t>https://www.instagram.com/mokebalhoseinardakan</t>
  </si>
  <si>
    <t>خرانق</t>
  </si>
  <si>
    <t>https://www.instagram.com/heiat.fatemieh.kharanaq/</t>
  </si>
  <si>
    <t>انصارالحسین (ع) حسینیه شهدا</t>
  </si>
  <si>
    <t>اشکذر</t>
  </si>
  <si>
    <t>https://www.instagram.com/emamhossein_shohada_ashkezar/</t>
  </si>
  <si>
    <t>اباعبدالله(ع)</t>
  </si>
  <si>
    <t>https://www.instagram.com/abaabdeallah</t>
  </si>
  <si>
    <t>https://t.me/abaabdellah_hosein</t>
  </si>
  <si>
    <t>عاشورای اسلام آباد</t>
  </si>
  <si>
    <t>https://t.me/Eslamabadyazd</t>
  </si>
  <si>
    <t>هزار شهید دانش آموز اشکذر استان یزد</t>
  </si>
  <si>
    <t>https://eitaa.com/hezarcheshmeh</t>
  </si>
  <si>
    <t>https://www.instagram.com/heyate_hazeratealiakbar</t>
  </si>
  <si>
    <t>https://www.instagram.com/heyat_14_masom</t>
  </si>
  <si>
    <t>https://eitaa.com/mf14masoumemamshahr</t>
  </si>
  <si>
    <t>https://www.instagram.com/majmaozakerinyazd</t>
  </si>
  <si>
    <t>https://t.me/majmaozakerinyazd</t>
  </si>
  <si>
    <t>https://eitaa.com/majmaozakerinyazd</t>
  </si>
  <si>
    <t>سفید</t>
  </si>
  <si>
    <t>https://www.instagram.com/hosseinieh_sefid_ashkezar/</t>
  </si>
  <si>
    <t>https://www.instagram.com/hayat_emamhasan_mojtaba/</t>
  </si>
  <si>
    <t>مجومرد</t>
  </si>
  <si>
    <t>https://www.instagram.com/heyat_aliasghar_majoomerd/</t>
  </si>
  <si>
    <t>بیت الزهرا(س)رضوانشهر</t>
  </si>
  <si>
    <t>https://www.instagram.com/baitozahra.rezvanshahr/</t>
  </si>
  <si>
    <t>جوانان</t>
  </si>
  <si>
    <t>https://www.instagram.com/heiat.javananshahrmajomerd/</t>
  </si>
  <si>
    <t>مسجدابوالفضل (ع)</t>
  </si>
  <si>
    <t>خضرآباد</t>
  </si>
  <si>
    <t>https://www.instagram.com/heyat.khezrabad/</t>
  </si>
  <si>
    <t>بیت الرضا(ع) (موسسه خیریه فرهنگی مذهبی )</t>
  </si>
  <si>
    <t>بافق</t>
  </si>
  <si>
    <t>https://www.instagram.com/beitreza/</t>
  </si>
  <si>
    <t>https://www.instagram.com/mohebanbafgh</t>
  </si>
  <si>
    <t>https://www.instagram.com/kheymehgahebafgh13</t>
  </si>
  <si>
    <t>https://t.me/kheymehgahebafgh</t>
  </si>
  <si>
    <t>https://eitaa.com/kheymehgahebafgh</t>
  </si>
  <si>
    <t>قاسم بن الحسن(ع)</t>
  </si>
  <si>
    <t>https://www.instagram.com/heiatghasemebnelhassan</t>
  </si>
  <si>
    <t>بچه های فاطمه (س)</t>
  </si>
  <si>
    <t>https://eitaa.com/Bafeq_Board</t>
  </si>
  <si>
    <t>حسن بن علی(ع)</t>
  </si>
  <si>
    <t>https://eitaa.com/hasanebnealii</t>
  </si>
  <si>
    <t>https://www.instagram.com/sahebzamanbafq/</t>
  </si>
  <si>
    <t>https://www.instagram.com/fadaeianhazratzahrabafq</t>
  </si>
  <si>
    <t>حجت بن حسن عسکری ع</t>
  </si>
  <si>
    <t>https://www.instagram.com/heyat.hazrate.hojat.bafgh1354</t>
  </si>
  <si>
    <t>https://www.instagram.com/heyat_montazeran_bafgh/</t>
  </si>
  <si>
    <t>https://eitaa.com/montazeranbafgh</t>
  </si>
  <si>
    <t>روضه الزهرا (س)</t>
  </si>
  <si>
    <t>https://eitaa.com/rozatozahra_bafq</t>
  </si>
  <si>
    <t>روضه الرقیه (س)</t>
  </si>
  <si>
    <t>https://www.instagram.com/heyate.rozatolroghayeh</t>
  </si>
  <si>
    <t>https://t.me/heyaterozatolroghaye</t>
  </si>
  <si>
    <t>مکتب زینبیون</t>
  </si>
  <si>
    <t>https://www.instagram.com/zeynabiion_69</t>
  </si>
  <si>
    <t>https://www.instagram.com/khadem_alshohada_bafgh</t>
  </si>
  <si>
    <t>https://eitaa.com/khademin_shohada_bafgh</t>
  </si>
  <si>
    <t>جوانان بافق وابسته علی اکبر</t>
  </si>
  <si>
    <t>https://www.instagram.com/heyat_javanan</t>
  </si>
  <si>
    <t>https://eitaa.com/hjavananbafgh</t>
  </si>
  <si>
    <t>معراج شهدا</t>
  </si>
  <si>
    <t>https://www.instagram.com/mearajoshohada</t>
  </si>
  <si>
    <t>https://eitaa.com/merajshohadabir</t>
  </si>
  <si>
    <t>قاسم ابن الحسن(ع)</t>
  </si>
  <si>
    <t>https://www.instagram.com/beithasan/</t>
  </si>
  <si>
    <t>جوانان حضرت علی اصغر (ع)</t>
  </si>
  <si>
    <t>https://www.instagram.com/heyatjavananhazrataliasghar_6/</t>
  </si>
  <si>
    <t>حبیب ابن مظاهر</t>
  </si>
  <si>
    <t>https://www.instagram.com/heyate_habib_mazaher12/</t>
  </si>
  <si>
    <t>https://t.me/heyatehabib</t>
  </si>
  <si>
    <t>https://www.instagram.com/alqamehbafgh/</t>
  </si>
  <si>
    <t>بدون شهرستان</t>
  </si>
  <si>
    <t>https://www.instagram.com/samenalaemeyzd</t>
  </si>
  <si>
    <t>محبین زینب(س)</t>
  </si>
  <si>
    <t>https://www.instagram.com/mohebbin_zeinab_yazd</t>
  </si>
  <si>
    <t>سفینه النجاه</t>
  </si>
  <si>
    <t>https://www.instagram.com/safina.nejat</t>
  </si>
  <si>
    <t>https://t.me/safinanejat</t>
  </si>
  <si>
    <t>انصارالعباس(ع)</t>
  </si>
  <si>
    <t>https://www.instagram.com/h_ansar133</t>
  </si>
  <si>
    <t>https://eitaa.com/AnsarAl_abass</t>
  </si>
  <si>
    <t>بهاباد</t>
  </si>
  <si>
    <t>https://www.instagram.com/beynolharameyn_bahabad/</t>
  </si>
  <si>
    <t>جان نثاران حضرت ابوالفضل(ع)</t>
  </si>
  <si>
    <t>https://eitaa.com/jannesaranabalfazlebahabad</t>
  </si>
  <si>
    <t>https://www.instagram.com/heydarion_dammamzani</t>
  </si>
  <si>
    <t>https://eitaa.com/heydariunir</t>
  </si>
  <si>
    <t>بین الحرمین شهرستان بهاباد</t>
  </si>
  <si>
    <t>https://www.instagram.com/beynolharameyn_bahabad</t>
  </si>
  <si>
    <t>https://eitaa.com/beinolharameinbahabad</t>
  </si>
  <si>
    <t>مذهبی بیت الرضا (ع)</t>
  </si>
  <si>
    <t>https://eitaa.com/beitrezayazd</t>
  </si>
  <si>
    <t>حضرت علی اکبر علیه السلام</t>
  </si>
  <si>
    <t>https://www.instagram.com/aliakbarbahabad/</t>
  </si>
  <si>
    <t>جان نثاران مسجد ابوالفضل</t>
  </si>
  <si>
    <t>https://www.instagram.com/heyat.janesaran.abolfazl/</t>
  </si>
  <si>
    <t>https://t.me/heyat_jannesaran_abolfazl</t>
  </si>
  <si>
    <t>تفت</t>
  </si>
  <si>
    <t>https://eitaa.com/maktabeyar</t>
  </si>
  <si>
    <t>علمداران ولایت</t>
  </si>
  <si>
    <t>https://eitaa.com/alamdaranevelayat110</t>
  </si>
  <si>
    <t>https://www.instagram.com/heyat_babal_havaej_1401</t>
  </si>
  <si>
    <t>عاشقان بقیع (هیات خانوادگی)</t>
  </si>
  <si>
    <t>https://www.instagram.com/asheghanbaghitaft</t>
  </si>
  <si>
    <t>https://t.me/AsheghanBaghiTaft</t>
  </si>
  <si>
    <t>رهروان حضرت علی اصغر(ع)</t>
  </si>
  <si>
    <t>https://www.instagram.com/h_hazrataliasghar</t>
  </si>
  <si>
    <t>مسجد صاحب الزمان(عج)</t>
  </si>
  <si>
    <t>https://eitaa.com/m_sahebalzaman</t>
  </si>
  <si>
    <t>https://www.instagram.com/majmaalzakrin</t>
  </si>
  <si>
    <t>https://www.instagram.com/saredehtaft</t>
  </si>
  <si>
    <t>http://t.me/heyatesaredeh</t>
  </si>
  <si>
    <t>https://eitaa.com/heyatesaredeh</t>
  </si>
  <si>
    <t>سیدالشهدا(ع) (دشتک علیا)</t>
  </si>
  <si>
    <t>https://eitaa.com/dashtak_oolia</t>
  </si>
  <si>
    <t>سلطان آباد</t>
  </si>
  <si>
    <t>https://www.instagram.com/heiat.aboalfazl</t>
  </si>
  <si>
    <t>فدائیان امام حسن (ع)</t>
  </si>
  <si>
    <t>https://www.instagram.com/fadaeyan.hasan._</t>
  </si>
  <si>
    <t>رهروان ولایت نیر</t>
  </si>
  <si>
    <t>نیر</t>
  </si>
  <si>
    <t>https://www.instagram.com/rv_nir_yazd/</t>
  </si>
  <si>
    <t>https://eitaa.com/r_velayat_nir_yazd</t>
  </si>
  <si>
    <t>الرضا (ع) دهشیر</t>
  </si>
  <si>
    <t>دهشیر</t>
  </si>
  <si>
    <t>https://eitaa.com/heyatoreza_dehshir</t>
  </si>
  <si>
    <t>شهدای اسلامیه</t>
  </si>
  <si>
    <t>https://www.instagram.com/shohadayeeslamieh</t>
  </si>
  <si>
    <t>https://www.instagram.com/azakhaneh_taft</t>
  </si>
  <si>
    <t>https://instagram.com/saredehtaft</t>
  </si>
  <si>
    <t>https://t.me/heyatesaredeh</t>
  </si>
  <si>
    <t>سیدالشهدا و فاطمیه اسلامیه</t>
  </si>
  <si>
    <t>https://www.instagram.com/heyhat_seyedoshohada</t>
  </si>
  <si>
    <t>https://www.instagram.com/heyate_hazrate_ali_asghar</t>
  </si>
  <si>
    <t>بازار تفت</t>
  </si>
  <si>
    <t>https://www.instagram.com/bazartaft/</t>
  </si>
  <si>
    <t>ياوران‌مهدی(عج)</t>
  </si>
  <si>
    <t>محله‌غیاث‌آباد</t>
  </si>
  <si>
    <t>https://www.instagram.com/yavaranmahditaft/</t>
  </si>
  <si>
    <t>https://t.me/ghiasabad</t>
  </si>
  <si>
    <t>مُوکِبُ العَبّآس</t>
  </si>
  <si>
    <t>https://www.instagram.com/mokebol_abbas_/</t>
  </si>
  <si>
    <t>عزاداران ثامن الحجج</t>
  </si>
  <si>
    <t>https://www.instagram.com/heyatesamentaft/</t>
  </si>
  <si>
    <t>https://t.me/heyatsamentaft</t>
  </si>
  <si>
    <t>محبان حيدرکرار</t>
  </si>
  <si>
    <t>https://www.instagram.com/heydarekarar_taft_110</t>
  </si>
  <si>
    <t>https://www.instagram.com/khadem.roghayeh_315/</t>
  </si>
  <si>
    <t>مجنون الحسین</t>
  </si>
  <si>
    <t>https://www.instagram.com/majnoon_alhosaintft</t>
  </si>
  <si>
    <t>16789‍‍</t>
  </si>
  <si>
    <t>انصار حزب الله</t>
  </si>
  <si>
    <t>حمیدیا</t>
  </si>
  <si>
    <t>https://eitaa.com/hezbollahyazd</t>
  </si>
  <si>
    <t>خاتم</t>
  </si>
  <si>
    <t>https://www.instagram.com/heyat_ansar_almahdi85</t>
  </si>
  <si>
    <t>سلمان فارسی</t>
  </si>
  <si>
    <t>https://www.instagram.com/salmanefarsi97</t>
  </si>
  <si>
    <t>https://eitaa.com/heiatesalmanefarsi97</t>
  </si>
  <si>
    <t>https://www.instagram.com/maktabeshohada.135</t>
  </si>
  <si>
    <t>https://eitaa.com/seshanbehayeshohadaii</t>
  </si>
  <si>
    <t>https://www.instagram.com/ansarozahrayazd</t>
  </si>
  <si>
    <t>https://t.me/ansarozahrayazd</t>
  </si>
  <si>
    <t>قلعه محمد کریم خان</t>
  </si>
  <si>
    <t>هرات</t>
  </si>
  <si>
    <t>https://www.instagram.com/hossinye.gh.1/</t>
  </si>
  <si>
    <t>روضه العباس (ع)</t>
  </si>
  <si>
    <t>زارچ</t>
  </si>
  <si>
    <t>https://www.instagram.com/mahfel133zarch</t>
  </si>
  <si>
    <t>https://eitaa.com/mahfel133zarch</t>
  </si>
  <si>
    <t>محبین الزهراء (س)</t>
  </si>
  <si>
    <t>https://instagram.com/mohebbin213</t>
  </si>
  <si>
    <t>https://t.me/mohebbin213</t>
  </si>
  <si>
    <t>https://eitaa.com/mohebbine213</t>
  </si>
  <si>
    <t>https://www.instagram.com/samen_zarch</t>
  </si>
  <si>
    <t>https://t.me/samenalhadid</t>
  </si>
  <si>
    <t>https://eitaa.com/samenalhadid</t>
  </si>
  <si>
    <t>https://www.instagram.com/qbh_zarch</t>
  </si>
  <si>
    <t>https://t.me/qbh_zarch</t>
  </si>
  <si>
    <t>https://eitaa.com/qbh_zarch</t>
  </si>
  <si>
    <t>https://www.instagram.com/zarch_husseiniyeh_yazd/</t>
  </si>
  <si>
    <t>تعزیه خوانی و عزاداری علقمه</t>
  </si>
  <si>
    <t>https://www.instagram.com/taziyeh_alghame_zarch/</t>
  </si>
  <si>
    <t>نینوا</t>
  </si>
  <si>
    <t>https://www.instagram.com/neynava.zarch.yazd/</t>
  </si>
  <si>
    <t>https://t.me/neynava_zarch</t>
  </si>
  <si>
    <t>https://www.instagram.com/mohebbin213/</t>
  </si>
  <si>
    <t>کفن‌پوشان‌‌</t>
  </si>
  <si>
    <t>https://www.instagram.com/shrouded_in_zarch/</t>
  </si>
  <si>
    <t>تکـیه</t>
  </si>
  <si>
    <t>حضرت ابوالفضل‌(ع)</t>
  </si>
  <si>
    <t>https://www.instagram.com/takiye_hazrat_abalfazl/</t>
  </si>
  <si>
    <t>طبس</t>
  </si>
  <si>
    <t>https://www.instagram.com/abolfazlitabas</t>
  </si>
  <si>
    <t>حسینی</t>
  </si>
  <si>
    <t>https://www.instagram.com/heyathoseynitabas</t>
  </si>
  <si>
    <t>https://t.me/s/heyathoseynitabas/2552</t>
  </si>
  <si>
    <t>صاحب الزمانی</t>
  </si>
  <si>
    <t>https://www.instagram.com/heyat_sahebazamani_tabas</t>
  </si>
  <si>
    <t>https://t.me/sahebazamanitabas</t>
  </si>
  <si>
    <t>مروست</t>
  </si>
  <si>
    <t>https://eitaa.com/esteghamaii</t>
  </si>
  <si>
    <t>تعزیه سالارشهیدان (ع)</t>
  </si>
  <si>
    <t>https://www.instagram.com/taziye_salare_shahidan_marvast</t>
  </si>
  <si>
    <t>منتظران‌حضرت‌مهدی‌</t>
  </si>
  <si>
    <t>https://www.instagram.com/montazaran_mahdi_marwast/</t>
  </si>
  <si>
    <t>علویون مهرآباد</t>
  </si>
  <si>
    <t>مهردشت</t>
  </si>
  <si>
    <t>https://www.instagram.com/alavioon_mehrdasht/</t>
  </si>
  <si>
    <r>
      <rPr>
        <rFont val="-apple-system, BlinkMacSystemFont, &quot;Segoe UI&quot;, Roboto, Helvetica, Arial, sans-serif"/>
        <color rgb="FF1155CC"/>
        <sz val="11.0"/>
        <u/>
      </rPr>
      <t>eitaa.com/alavioon_mehrdasht</t>
    </r>
  </si>
  <si>
    <t xml:space="preserve"> الرسول(ص)</t>
  </si>
  <si>
    <t>مهریز</t>
  </si>
  <si>
    <t>https://www.instagram.com/masjed_rasol_mehriz</t>
  </si>
  <si>
    <t>https://www.instagram.com/h_ghamar_bani_hashem</t>
  </si>
  <si>
    <t>https://www.instagram.com/aliasghar.mehriz</t>
  </si>
  <si>
    <t>https://eitaa.com/aliasghar_mehriz</t>
  </si>
  <si>
    <t>https://www.instagram.com/rozatolshohada.live</t>
  </si>
  <si>
    <t>https://eitaa.com/rozatolshohadamehriz</t>
  </si>
  <si>
    <r>
      <rPr>
        <rFont val="-apple-system, BlinkMacSystemFont, &quot;Segoe UI&quot;, Roboto, Helvetica, Arial, sans-serif"/>
        <color rgb="FF1155CC"/>
        <sz val="11.0"/>
        <u/>
      </rPr>
      <t>rozatolshohada.ir</t>
    </r>
  </si>
  <si>
    <t>انصارالحیدر (ع)</t>
  </si>
  <si>
    <t>https://www.instagram.com/ansarolheidar_ir</t>
  </si>
  <si>
    <t>https://eitaa.com/ansarolheidar_ir</t>
  </si>
  <si>
    <t>https://instagram.com/Ansarmehriz</t>
  </si>
  <si>
    <t>https://eitaa.com/ansarmehriz</t>
  </si>
  <si>
    <t>https://www.instagram.com/heiate_aliebneabitaleb/</t>
  </si>
  <si>
    <t>سریزد</t>
  </si>
  <si>
    <t>https://www.instagram.com/saryazd1</t>
  </si>
  <si>
    <t>خادم االائمه(ع)</t>
  </si>
  <si>
    <t>https://www.instagram.com/khadimalaemeh</t>
  </si>
  <si>
    <t>عزاداران حضرت ابوالفضل (ع) (خورمیز علیا)</t>
  </si>
  <si>
    <t>https://www.instagram.com/mosqueeazratabolfazl_ir</t>
  </si>
  <si>
    <t>https://eitaa.com/mosqueeazratabolfazl_ir</t>
  </si>
  <si>
    <t>حسینیه سینه زنی محله بازار نو</t>
  </si>
  <si>
    <t>https://www.instagram.com/khane_imamhossini_yazd</t>
  </si>
  <si>
    <t>https://www.instagram.com/masjed_abolfazl_yazd</t>
  </si>
  <si>
    <t>زنجیرزنی حضرت قاسم ابن الحسن</t>
  </si>
  <si>
    <t>https://www.instagram.com/heeyat.ghasmbanelhasan</t>
  </si>
  <si>
    <t>https://eitaa.com/heyatghasmbanelhasan</t>
  </si>
  <si>
    <t>عزاداران حسینی سرچشمه</t>
  </si>
  <si>
    <t>https://eitaa.com/heyatsarcheshme</t>
  </si>
  <si>
    <t>https://www.instagram.com/heyat_abolfazll_alabbas</t>
  </si>
  <si>
    <t>https://Instagram.com/ashouraeiyan_ir</t>
  </si>
  <si>
    <t>https://t.me/ashouraeiyan_ir</t>
  </si>
  <si>
    <t>https://eitaa.com/ashouraeiyan_ir</t>
  </si>
  <si>
    <t>https://www.instagram.com/moheban_hazrat_roghaye</t>
  </si>
  <si>
    <t>https://eitaa.com/yarogayee</t>
  </si>
  <si>
    <t>حضرت عباس</t>
  </si>
  <si>
    <t>https://instagram.com/sarallahmehriz</t>
  </si>
  <si>
    <t>https://t.me/sarallahmehriz</t>
  </si>
  <si>
    <t>https://eitaa.com/sarallahmehriz</t>
  </si>
  <si>
    <t xml:space="preserve">یزد </t>
  </si>
  <si>
    <t>https://www.instagram.com/ansarolhosain_mehriz</t>
  </si>
  <si>
    <t>https://t.me/ansarolhosain_mehriz</t>
  </si>
  <si>
    <t>سینه زنی خورمیز سفلا</t>
  </si>
  <si>
    <t>https://www.instagram.com/khaterate_khormiz</t>
  </si>
  <si>
    <t>عزاداران حسینی</t>
  </si>
  <si>
    <t>https://www.instagram.com/azadaransarcheshme.ir</t>
  </si>
  <si>
    <t>https://www.instagram.com/heyat_ghamare_bany_hashem</t>
  </si>
  <si>
    <t>قدیم الاحسان</t>
  </si>
  <si>
    <t>https://eitaa.com/ghadimal_ehsan_mehriz</t>
  </si>
  <si>
    <t>https://www.instagram.com/ansarmehriz</t>
  </si>
  <si>
    <t>https://instagram.com/allamdarkarbala</t>
  </si>
  <si>
    <t>https://eitaa.com/Allamdarkarbala</t>
  </si>
  <si>
    <t>قمر بنی هاشم استهریج</t>
  </si>
  <si>
    <t>https://www.instagram.com/heyat.ghamar.banihashem1/</t>
  </si>
  <si>
    <t>مزویرآباد</t>
  </si>
  <si>
    <t>https://www.instagram.com/hoseinie_azam_mazvirabad/</t>
  </si>
  <si>
    <t>مجمع العباس</t>
  </si>
  <si>
    <t>https://www.instagram.com/majmeabbas/</t>
  </si>
  <si>
    <t>https://t.me/majmeabbas</t>
  </si>
  <si>
    <t>باغبهار</t>
  </si>
  <si>
    <t>https://www.instagram.com/mehrizbaghebahar/</t>
  </si>
  <si>
    <t>https://t.me/mehrizbaghebahar</t>
  </si>
  <si>
    <t>https://eitaa.com/mehrizbaghebahar</t>
  </si>
  <si>
    <t>https://www.instagram.com/beytonoor_mehriz/</t>
  </si>
  <si>
    <t>https://eitaa.com/beytonoor_mehriz</t>
  </si>
  <si>
    <t>تل زینبیه مدوار</t>
  </si>
  <si>
    <t>https://www.instagram.com/tal_zaynabiah/</t>
  </si>
  <si>
    <t>مکتب العباس(ع)</t>
  </si>
  <si>
    <t>https://www.instagram.com/maktabolabbas_meybod</t>
  </si>
  <si>
    <t>مجمع محبان العباس(ع)</t>
  </si>
  <si>
    <t>https://eitaa.com/moheban_alabas</t>
  </si>
  <si>
    <t>امامزاده سیدشمس الحق</t>
  </si>
  <si>
    <t>https://www.instagram.com/imamhossein6</t>
  </si>
  <si>
    <t>https://eitaa.com/mirshamsolhaghmeybod</t>
  </si>
  <si>
    <t>فرهنگی دفتر امام جمعه میبد</t>
  </si>
  <si>
    <t>https://eitaa.com/Meybodmosala</t>
  </si>
  <si>
    <t xml:space="preserve"> (شهرک شهدا)</t>
  </si>
  <si>
    <t>https://www.instagram.com/heyat_abolfazli_sharak_shohada</t>
  </si>
  <si>
    <t>مهدیه امیرآباد</t>
  </si>
  <si>
    <t>https://eitaa.com/m_amirabad</t>
  </si>
  <si>
    <t>https://www.instagram.com/ashouraeiyan_ir/</t>
  </si>
  <si>
    <t>https://www.instagram.com/mabm_77</t>
  </si>
  <si>
    <t>https://eitaa.com/mabm77</t>
  </si>
  <si>
    <t>بقیه الله (عج)</t>
  </si>
  <si>
    <t>https://www.instagram.com/yasenili_ir/</t>
  </si>
  <si>
    <t>https://t.me/yasenili_ir</t>
  </si>
  <si>
    <t>https://eitaa.com/yasenili_ir</t>
  </si>
  <si>
    <t>علی بن موسی الرضا(ع)</t>
  </si>
  <si>
    <t>https://www.instagram.com/heyat_saeedi_meybod</t>
  </si>
  <si>
    <t>https://www.instagram.com/heyat.ghasemebnelhasan.dehabad</t>
  </si>
  <si>
    <t>محمدرسول الله (ص)</t>
  </si>
  <si>
    <t>https://eitaa.com/m_Rasoolallah_m</t>
  </si>
  <si>
    <t>جوانان رزمندگان اسلام</t>
  </si>
  <si>
    <t>https://eitaa.com/H_razmandegan_meybod</t>
  </si>
  <si>
    <t>https://eitaa.com/etratkhaharan313</t>
  </si>
  <si>
    <t>https://www.instagram.com/fatemiahb10</t>
  </si>
  <si>
    <t>https://eitaa.com/fatemiahb10</t>
  </si>
  <si>
    <t>رضوی مهدیه</t>
  </si>
  <si>
    <t>https://www.instagram.com/mahdiehmeybod</t>
  </si>
  <si>
    <t>https://eitaa.com/mahdiehmeybod</t>
  </si>
  <si>
    <t>ابوالفضل اکبرآباد</t>
  </si>
  <si>
    <t>https://www.instagram.com/akbarabadyazd</t>
  </si>
  <si>
    <t>https://eitaa.com/heyateakbarabadyazd</t>
  </si>
  <si>
    <t>https://www.instagram.com/fatemioon_meybod/</t>
  </si>
  <si>
    <t>https://t.me/fatemioon_meybod</t>
  </si>
  <si>
    <t>https://eitaa.com/fatemioon_meybod</t>
  </si>
  <si>
    <t>جان نثاران حسيني</t>
  </si>
  <si>
    <t>حسن آباد</t>
  </si>
  <si>
    <t>https://www.instagram.com/jannesaran_hosseini/</t>
  </si>
  <si>
    <t>https://eitaa.com/iranhusseeiniva</t>
  </si>
  <si>
    <t>فاطمه الزهرا خانقاه</t>
  </si>
  <si>
    <t>https://www.instagram.com/fatemiha_khanaghah/</t>
  </si>
  <si>
    <t>https://t.me/fatemiha_khanaghah</t>
  </si>
  <si>
    <t>بزرگ ده آباد</t>
  </si>
  <si>
    <t>ده آباد</t>
  </si>
  <si>
    <t>https://www.instagram.com/hussainiyah.b.d/</t>
  </si>
  <si>
    <t>رقیه خاتون</t>
  </si>
  <si>
    <t>https://www.instagram.com/heyate_roghayeh/</t>
  </si>
  <si>
    <t>https://t.me/heyate_roghayeh</t>
  </si>
  <si>
    <t>عزاداران علی اکبر(ع)</t>
  </si>
  <si>
    <t>https://www.instagram.com/heyat.aliakbar.sh/</t>
  </si>
  <si>
    <t>بفروئیه</t>
  </si>
  <si>
    <t>https://www.instagram.com/heyat_fatemiyeh_bafru/</t>
  </si>
  <si>
    <t>جوادالائمه</t>
  </si>
  <si>
    <t>https://www.instagram.com/heyat_javadolaeme_bafrueyeh/</t>
  </si>
  <si>
    <t>https://www.instagram.com/beyto.roghaye.bafruiyeh/</t>
  </si>
  <si>
    <t>https://eitaa.com/beyto_roghaye</t>
  </si>
  <si>
    <t>ندوشن</t>
  </si>
  <si>
    <t>https://www.instagram.com/ansarolmahdi_nodoushan/</t>
  </si>
  <si>
    <t>https://t.me/Ansarolmahdi_nodoushan</t>
  </si>
  <si>
    <t>https://eitaa.com/Ansarolmahdi_nodoushan</t>
  </si>
  <si>
    <t>https://www.instagram.com/heiatsalmanfarsi</t>
  </si>
  <si>
    <t>t.me/heiatsalmanfarsi</t>
  </si>
  <si>
    <t>بقیه الله (عج) (پایگاه ابوذر)</t>
  </si>
  <si>
    <t>https://www.instagram.com/Baqiatallah_aj/</t>
  </si>
  <si>
    <t>https://t.me/Baqiatallah_aj</t>
  </si>
  <si>
    <t>https://eitaa.com/Baqiatallah_aj</t>
  </si>
  <si>
    <t>محبان العباس(ع)</t>
  </si>
  <si>
    <t>https://www.instagram.com/moheban.yazd/</t>
  </si>
  <si>
    <t>فاطمیه آزادشهر</t>
  </si>
  <si>
    <t>https://www.instagram.com/heiat_fatemieh/</t>
  </si>
  <si>
    <t>https://t.me/heiat_fatemieh_yazd</t>
  </si>
  <si>
    <t>https://www.instagram.com/darulfeiz.ir/</t>
  </si>
  <si>
    <t>عرفه / انتشارات دارالعباده</t>
  </si>
  <si>
    <t>https://eitaa.com/nehzat_yazd</t>
  </si>
  <si>
    <t>فدائیان حضرت زینب(س)</t>
  </si>
  <si>
    <t>https://www.instagram.com/fadaeian_info</t>
  </si>
  <si>
    <t>https://t.me/fadaeian_info69</t>
  </si>
  <si>
    <t>https://www.instagram.com/farajyazd</t>
  </si>
  <si>
    <t>https://t.me/farajyazd</t>
  </si>
  <si>
    <t>انصارالائمه(ع)</t>
  </si>
  <si>
    <t>https://www.instagram.com/ansareaemeh/</t>
  </si>
  <si>
    <t>https://t.me/ansareaemeh</t>
  </si>
  <si>
    <t>https://eitaa.com/ansareaemeh</t>
  </si>
  <si>
    <t>انصارالرقیه(س)</t>
  </si>
  <si>
    <t>https://www.instagram.com/ansaroghayeh_yazd</t>
  </si>
  <si>
    <t>https://t.me/ansaroghayeh_yazd</t>
  </si>
  <si>
    <t>https://eitaa.com/ansaroghayeh_yazd</t>
  </si>
  <si>
    <t>https://www.instagram.com/heyat_javadolaemeh_yazd/</t>
  </si>
  <si>
    <t>مدرسه عشق</t>
  </si>
  <si>
    <t>https://eitaa.com/madrese_eshgh_yazd</t>
  </si>
  <si>
    <t>کانون فرهنگی هنری امام رضا(ع) (مسجد ولایت)</t>
  </si>
  <si>
    <t>https://eitaa.com/masjedvelayatyazd</t>
  </si>
  <si>
    <t>نینوا صفاییه</t>
  </si>
  <si>
    <t>https://www.instagram.com/neynavasafaieh/</t>
  </si>
  <si>
    <t>https://eitaa.com/butorab_info</t>
  </si>
  <si>
    <t>https://www.instagram.com/heyat_asheghan_zarch</t>
  </si>
  <si>
    <t>انصارالحسن مجتبی(ع)</t>
  </si>
  <si>
    <t>https://www.instagram.com/ansar118118</t>
  </si>
  <si>
    <t>https://www.instagram.com/haram128.ir</t>
  </si>
  <si>
    <t>امامزاده سید‏ جعفر محمد و شاهزاده فاضل</t>
  </si>
  <si>
    <t>https://www.instagram.com/shahzadefazel.yazd</t>
  </si>
  <si>
    <t>https://eitaa.com/emamzade_jafar_yazd</t>
  </si>
  <si>
    <t>https://www.instagram.com/moheban_alzahras/</t>
  </si>
  <si>
    <t>https://eitaa.com/Moheban313zahra</t>
  </si>
  <si>
    <t>https://www.instagram.com/heydaryun110/</t>
  </si>
  <si>
    <t>ابوالفضل العباس(ع)</t>
  </si>
  <si>
    <t>https://www.instagram.com/abulfazl_alabbas_yazd</t>
  </si>
  <si>
    <t>امام حسن مجتبی(ع) ( دانشجویی/جهاد دانشگاهی)</t>
  </si>
  <si>
    <t>https://eitaa.com/heiatemamhasan_elmohonar</t>
  </si>
  <si>
    <t>https://www.instagram.com/binolharamien.yazd/</t>
  </si>
  <si>
    <t>https://t.me/+qQwUPeI4u2U5MGVk</t>
  </si>
  <si>
    <t>https://eitaa.com/binolharamienyazd</t>
  </si>
  <si>
    <t>عاشقان ابناءالزهرا (س)</t>
  </si>
  <si>
    <t>https://www.instagram.com/asheghanbanizahra</t>
  </si>
  <si>
    <t>روضه کربلا</t>
  </si>
  <si>
    <t>https://www.instagram.com/rozatolkarbala</t>
  </si>
  <si>
    <t>https://eitaa.com/rozatolkarbala</t>
  </si>
  <si>
    <t>مکتب الحسین(ع)</t>
  </si>
  <si>
    <t>https://eitaa.com/maddahanyazd</t>
  </si>
  <si>
    <t>اباصالح(عج)</t>
  </si>
  <si>
    <t>https://www.instagram.com/heyat_abasalehyazd/</t>
  </si>
  <si>
    <t>عزاداران اسلام آباد</t>
  </si>
  <si>
    <t>https://www.instagram.com/eslamabadyazd/</t>
  </si>
  <si>
    <t>جوانان قمربنی هاشم(ع)</t>
  </si>
  <si>
    <t>https://www.instagram.com/javanane_ghamare_bani_hashem</t>
  </si>
  <si>
    <t>https://www.instagram.com/moheban313_ir/</t>
  </si>
  <si>
    <t>https://www.instagram.com/moheban_al_hosein_yazd</t>
  </si>
  <si>
    <t>https://eitaa.com/moheban313ir</t>
  </si>
  <si>
    <t>خلف باغ</t>
  </si>
  <si>
    <t>https://www.instagram.com/heyatekhalfebagh_yazd</t>
  </si>
  <si>
    <t>چهارمنار</t>
  </si>
  <si>
    <t>https://www.instagram.com/chaharmonar.yazd/</t>
  </si>
  <si>
    <t>https://t.me/chaharmonaryazd</t>
  </si>
  <si>
    <t>فهادان</t>
  </si>
  <si>
    <t>https://www.instagram.com/fahadan.yazd</t>
  </si>
  <si>
    <t>ماه بنی هاشم(ع) (دروازه شاهی)</t>
  </si>
  <si>
    <t>https://www.instagram.com/darvazeshahi_yazd/</t>
  </si>
  <si>
    <t>مسجد امام جعفرصادق(ع)</t>
  </si>
  <si>
    <t>https://eitaa.com/nooralhodainfo</t>
  </si>
  <si>
    <t>https://www.instagram.com/yazdsalavat1384/</t>
  </si>
  <si>
    <r>
      <rPr>
        <rFont val="-apple-system, BlinkMacSystemFont, &quot;Segoe UI&quot;, Roboto, Helvetica, Arial, sans-serif"/>
        <color rgb="FF1155CC"/>
        <sz val="11.0"/>
        <u/>
      </rPr>
      <t>t.me/yazdsalavat1384</t>
    </r>
  </si>
  <si>
    <t>مکتب الزهرا (س) دارالعباده</t>
  </si>
  <si>
    <t>https://www.instagram.com/yaomah_ir/</t>
  </si>
  <si>
    <t>https://yek.link/yaomah_com</t>
  </si>
  <si>
    <r>
      <rPr>
        <rFont val="-apple-system, BlinkMacSystemFont, &quot;Segoe UI&quot;, Roboto, Helvetica, Arial, sans-serif"/>
        <color rgb="FF1155CC"/>
        <sz val="11.0"/>
        <u/>
      </rPr>
      <t>eitaa.com/yaomah_com</t>
    </r>
  </si>
  <si>
    <t>بسیج دانشجویی</t>
  </si>
  <si>
    <t>https://eitaa.com/bso_yazd</t>
  </si>
  <si>
    <t>انصار ولایت دارالعباده</t>
  </si>
  <si>
    <t>https://www.instagram.com/darozzekr/</t>
  </si>
  <si>
    <t>https://eitaa.com/darozzekr_com</t>
  </si>
  <si>
    <t>https://www.darozzekr.com</t>
  </si>
  <si>
    <t>http://http//Instagram.com/qolub.2</t>
  </si>
  <si>
    <t>https://eitaa.com/qolub1</t>
  </si>
  <si>
    <t>رایه الزهرا (س)</t>
  </si>
  <si>
    <t>https://www.instagram.com/rayat.zahra213</t>
  </si>
  <si>
    <t>https://eitaa.com/rayat_zahra213</t>
  </si>
  <si>
    <t>https://instagram.com/jannatorreza_yazd</t>
  </si>
  <si>
    <t>https://t.me/jannatorreza</t>
  </si>
  <si>
    <t>https://eitaa.com/jannatorreza</t>
  </si>
  <si>
    <t>رایه الهدی (عج) (خواهران)</t>
  </si>
  <si>
    <t>https://eitaa.com/rayat_khaharan</t>
  </si>
  <si>
    <t>جوانان فاطمی</t>
  </si>
  <si>
    <t>https://www.instagram.com/javanan.fatemi/</t>
  </si>
  <si>
    <t>https://eitaa.com/aleyasinyazd</t>
  </si>
  <si>
    <t>انصار اباعبدالله (ع)</t>
  </si>
  <si>
    <t>https://eitaa.com/Heyat72</t>
  </si>
  <si>
    <t>https://www.instagram.com/darolhedayeh/</t>
  </si>
  <si>
    <t>https://eitaa.com/rayat_info</t>
  </si>
  <si>
    <t>https://www.instagram.com/rayatolmahdim</t>
  </si>
  <si>
    <t>https://eitaa.com/rayatolmahdim</t>
  </si>
  <si>
    <t>قرارگاه نور (بسیج دانشجویی دانشجویان حسینی)</t>
  </si>
  <si>
    <t>https://eitaa.com/Qnooryazd</t>
  </si>
  <si>
    <t>https://www.instagram.com/booyesib_ir</t>
  </si>
  <si>
    <t>https://eitaa.com/booyesib_ir</t>
  </si>
  <si>
    <t>گروه جهادی فاطمه الزهرا (س)</t>
  </si>
  <si>
    <t>https://www.instagram.com/jahadi_fatemeh97</t>
  </si>
  <si>
    <t>انصارالمهدی (عج) (اتحادیه انجمن های اسلامی دانش آموزی)</t>
  </si>
  <si>
    <t>https://eitaa.com/ansarolmahdi_yazd</t>
  </si>
  <si>
    <t>https://www.instagram.com/heyattoshohada</t>
  </si>
  <si>
    <t>https://eitaa.com/heyattoshohada</t>
  </si>
  <si>
    <t>https://www.instagram.com/heyatrouhollah</t>
  </si>
  <si>
    <t>شباب الحسن (ع)</t>
  </si>
  <si>
    <t>https://www.instagram.com/shababolhasan</t>
  </si>
  <si>
    <t>https://eitaa.com/shababalhasan</t>
  </si>
  <si>
    <t>شیفتگان حضرت مهدی(عج)</t>
  </si>
  <si>
    <t>https://eitaa.com/plack_313</t>
  </si>
  <si>
    <t>قرارگاه نور</t>
  </si>
  <si>
    <t>انصار الائمه</t>
  </si>
  <si>
    <t>https://www.instagram.com/hasaniye_yazd/</t>
  </si>
  <si>
    <t>جوانان مکتب حاج قاسم (دانشجویی)</t>
  </si>
  <si>
    <t>https://eitaa.com/maktab_yazd</t>
  </si>
  <si>
    <t>https://t.me/beyt_al_zahra_s</t>
  </si>
  <si>
    <t>لواءالمهدی (عج)</t>
  </si>
  <si>
    <t>https://eitaa.com/levaolmahdi_ir</t>
  </si>
  <si>
    <t>https://www.instagram.com/gomnamy_ir</t>
  </si>
  <si>
    <t>https://eitaa.com/gomnamy_ir</t>
  </si>
  <si>
    <t>http://instagram.com/heyatfatemiyun</t>
  </si>
  <si>
    <t>https://t.me/heyatfatemiyun</t>
  </si>
  <si>
    <t>https://eitaa.com/heyatfatemiyun</t>
  </si>
  <si>
    <t>https://eitaa.com/ahla_ghasem201</t>
  </si>
  <si>
    <t>عاشقان حضرت مهدی(عج)</t>
  </si>
  <si>
    <t>https://www.instagram.com/_asheghanmahdi_academy</t>
  </si>
  <si>
    <t>https://eitaa.com/mf14masoum</t>
  </si>
  <si>
    <t>https://www.instagram.com/ahd313ir/</t>
  </si>
  <si>
    <t>https://eitaa.com/ahd313ir</t>
  </si>
  <si>
    <t>متوسلین به حضرت صاحبالزمان(ع)</t>
  </si>
  <si>
    <t>کانون سه شنبه های مهدوی</t>
  </si>
  <si>
    <t>https://www.instagram.com/mahdavee__1400/</t>
  </si>
  <si>
    <t>https://eitaa.com/mahdavee1400</t>
  </si>
  <si>
    <t>بنات الحیدر</t>
  </si>
  <si>
    <t>https://www.instagram.com/banatolheydar_yazd</t>
  </si>
  <si>
    <t>https://eitaa.com/banatolheydar_ir</t>
  </si>
  <si>
    <t>https://eitaa.com/bachehaye_fateme</t>
  </si>
  <si>
    <t>انصار امیر المومنین (ع)</t>
  </si>
  <si>
    <t>https://www.instagram.com/ansareamir_ir</t>
  </si>
  <si>
    <t>https://eitaa.com/ansareamir</t>
  </si>
  <si>
    <t>طریق الشهدا</t>
  </si>
  <si>
    <t>https://www.instagram.com/tarigh_shohada_yazd</t>
  </si>
  <si>
    <t>https://eitaa.com/tarighoshohadayazd</t>
  </si>
  <si>
    <t>موسسه احمدی روشن</t>
  </si>
  <si>
    <t>https://eitaa.com/m_ahmadiroshan</t>
  </si>
  <si>
    <t>روضه الحسن (ع)</t>
  </si>
  <si>
    <t>https://www.instagram.com/rozatolhasn118</t>
  </si>
  <si>
    <t>https://eitaa.com/darolkerame</t>
  </si>
  <si>
    <t>مجموعه مکتب الحسین</t>
  </si>
  <si>
    <t>https://www.instagram.com/heiat_alamdar_hosein_yazd</t>
  </si>
  <si>
    <t>https://t.me/alamdarehossein_yazd</t>
  </si>
  <si>
    <t>https://eitaa.com/alamdarehossein_yazd</t>
  </si>
  <si>
    <t>حیدریون یزد</t>
  </si>
  <si>
    <t>https://www.instagram.com/heydarion_yazd</t>
  </si>
  <si>
    <t>دانشجویی فاطمه الزهرا (س) دانشگاه آزاد اسلامی</t>
  </si>
  <si>
    <t>https://www.instagram.com/heyat_iauy</t>
  </si>
  <si>
    <t>https://eitaa.com/heyat_iauy</t>
  </si>
  <si>
    <t>مرام مهدوی</t>
  </si>
  <si>
    <t>https://eitaa.com/marammahdavi_marvast1402</t>
  </si>
  <si>
    <t>انصار الزهراء (س)</t>
  </si>
  <si>
    <t>https://www.instagram.com/ansarozahrayazd/</t>
  </si>
  <si>
    <t>https://eitaa.com/ansarozahrayazd</t>
  </si>
  <si>
    <t>انصار الحیدر (ع)</t>
  </si>
  <si>
    <t>حریم حوراء</t>
  </si>
  <si>
    <t>https://eitaa.com/harime_haura</t>
  </si>
  <si>
    <t>گروه فرهنگی مرصاد</t>
  </si>
  <si>
    <t>https://www.instagram.com/mersad.yazd</t>
  </si>
  <si>
    <t>https://eitaa.com/mersad_yazd</t>
  </si>
  <si>
    <t>وارثین بشری</t>
  </si>
  <si>
    <t>https://www.instagram.com/moasesa_boshra</t>
  </si>
  <si>
    <t>https://eitaa.com/heyatvaresin</t>
  </si>
  <si>
    <t>امامزاده سید نصرالله</t>
  </si>
  <si>
    <t>https://eitaa.com/bargah_noor</t>
  </si>
  <si>
    <t>ستایشگران اهل بیت(ع)</t>
  </si>
  <si>
    <t>https://www.instagram.com/setayeshgaran.yazd</t>
  </si>
  <si>
    <t>https://eitaa.com/madahaneyazdi</t>
  </si>
  <si>
    <t>اطلاع رسانی مراسمات یزد</t>
  </si>
  <si>
    <t>https://www.instagram.com/marasemat_yazd</t>
  </si>
  <si>
    <t>https://eitaa.com/marasemat_yazd</t>
  </si>
  <si>
    <t>غدیر امیرآباد یزد</t>
  </si>
  <si>
    <t>https://www.instagram.com/heiatghadiramirabad</t>
  </si>
  <si>
    <t>https://t.me/heiatghadiramirabad</t>
  </si>
  <si>
    <t>جان نثاران یزدباف</t>
  </si>
  <si>
    <t>https://www.instagram.com/jannesaranabalfazlchaleshtor</t>
  </si>
  <si>
    <t>عزاداران حسینی کوی گنبد سبز</t>
  </si>
  <si>
    <t>https://www.instagram.com/gonbadsabz_yazd</t>
  </si>
  <si>
    <t>https://t.me/GonbadsabzYazd</t>
  </si>
  <si>
    <t>عاشقان ولایت سخوید</t>
  </si>
  <si>
    <t>https://www.instagram.com/asheghan.velayat.sakhvid</t>
  </si>
  <si>
    <t>https://t.me/asheghanvelayat_sakhvid</t>
  </si>
  <si>
    <t>امیربیان یزد</t>
  </si>
  <si>
    <t>https://www.instagram.com/amirbayanyazd</t>
  </si>
  <si>
    <t>https://eitaa.com/amirbayanyazd</t>
  </si>
  <si>
    <t>مجموعه فرهنگی تبلیغی روشنا</t>
  </si>
  <si>
    <t>https://www.instagram.com/roshanatourism</t>
  </si>
  <si>
    <t>روضه المهدی</t>
  </si>
  <si>
    <t>https://www.instagram.com/heyatrozatolmahdi/</t>
  </si>
  <si>
    <t>https://eitaa.com/heyatrozatolmahdi</t>
  </si>
  <si>
    <t>متوسلین به حضرت ابوالفضل</t>
  </si>
  <si>
    <t>https://www.instagram.com/heiat.hazrat.abalfazl</t>
  </si>
  <si>
    <t>https://eitaa.com/heiathazratabalfazl</t>
  </si>
  <si>
    <t>عاشقان مهدی</t>
  </si>
  <si>
    <t>https://www.instagram.com/ansarolhossein.yazd</t>
  </si>
  <si>
    <t>https://t.me/Ansarolhosseinyazd</t>
  </si>
  <si>
    <t>https://eitaa.com/ansarolhosseinyazd1</t>
  </si>
  <si>
    <t>پیمان</t>
  </si>
  <si>
    <t>https://www.instagram.com/peyman_e_yazd</t>
  </si>
  <si>
    <t>https://Instagram.com/ahd313ir</t>
  </si>
  <si>
    <t>https://www.instagram.com/heyat_zeinabieh_yazd</t>
  </si>
  <si>
    <t>https://t.me/heyat_zeinabieh</t>
  </si>
  <si>
    <t>https://www.instagram.com/hayat_emamhasan_mojtaba</t>
  </si>
  <si>
    <t>https://eitaa.com/hm3611</t>
  </si>
  <si>
    <t>ستاد دعبل</t>
  </si>
  <si>
    <t>https://t.me/s/deabel_ir</t>
  </si>
  <si>
    <t>https://t.me/s/deabel_ir?after=15341</t>
  </si>
  <si>
    <t>https://eitaa.com/debelyazd</t>
  </si>
  <si>
    <t>کوی یعقوبی</t>
  </si>
  <si>
    <t>https://www.instagram.com/yaghobiyazd/</t>
  </si>
  <si>
    <t>شیخداد</t>
  </si>
  <si>
    <t>https://www.instagram.com/sheikhdad.yazd/</t>
  </si>
  <si>
    <t>باغ گندم</t>
  </si>
  <si>
    <t>https://www.instagram.com/baghegandom_official/</t>
  </si>
  <si>
    <t>خرمشاه</t>
  </si>
  <si>
    <t>https://www.instagram.com/khorramshah_yazd/</t>
  </si>
  <si>
    <t>عزاداران کوی حجت(اتابکی)</t>
  </si>
  <si>
    <t>https://www.instagram.com/koyehojat/</t>
  </si>
  <si>
    <t>کوی تل</t>
  </si>
  <si>
    <t>https://www.instagram.com/kooyetalyazd/</t>
  </si>
  <si>
    <t>ابوالفضل‌العباس کوی زنگی</t>
  </si>
  <si>
    <t>https://www.instagram.com/zangi_yazd/</t>
  </si>
  <si>
    <t>عزاداران حسینی کوی علیا</t>
  </si>
  <si>
    <t>https://www.instagram.com/kouyeoliaonline/</t>
  </si>
  <si>
    <t>عیش آباد</t>
  </si>
  <si>
    <t>https://www.instagram.com/eayshabad.yazd/</t>
  </si>
  <si>
    <t>https://t.me/masjddd</t>
  </si>
  <si>
    <t>کوی‌ سعدی</t>
  </si>
  <si>
    <t>https://www.instagram.com/koyesaadiyazd/</t>
  </si>
  <si>
    <t>کوی اهرستان</t>
  </si>
  <si>
    <t>https://www.instagram.com/ahrestan.yazd/</t>
  </si>
  <si>
    <t>https://t.me/heyatahrestanyazd</t>
  </si>
  <si>
    <t>https://eitaa.com/ahrestan_yazd</t>
  </si>
  <si>
    <t>کربلائی ها</t>
  </si>
  <si>
    <t>https://www.instagram.com/karbalaeiha_yazd/</t>
  </si>
  <si>
    <t>نعیم آباد</t>
  </si>
  <si>
    <t>https://www.instagram.com/naeeimabadyazd/</t>
  </si>
  <si>
    <t>کوی گلچینان</t>
  </si>
  <si>
    <t>https://www.instagram.com/heiat.golchinan.yazd/</t>
  </si>
  <si>
    <t>https://www.instagram.com/khorramshah.yazd/</t>
  </si>
  <si>
    <t>خیمه گاه ثارالله</t>
  </si>
  <si>
    <t>https://www.instagram.com/kheimah_sarallah/</t>
  </si>
  <si>
    <t>قـمـر بنی‌هاشـم کسـنویه</t>
  </si>
  <si>
    <t>https://www.instagram.com/bani.hashem_yazd/</t>
  </si>
  <si>
    <t>عزاداران فرات</t>
  </si>
  <si>
    <t>https://www.instagram.com/forat.yazd/</t>
  </si>
  <si>
    <t>https://t.me/foratrasaneh_yazd</t>
  </si>
  <si>
    <t>فدائیان ابوالفضل باغ ‌گندم</t>
  </si>
  <si>
    <t>https://www.instagram.com/bagh_gandom/</t>
  </si>
  <si>
    <t>https://t.me/bagh_gandom_yazd</t>
  </si>
  <si>
    <t>عزاداران حسینی منشاد</t>
  </si>
  <si>
    <t>https://www.instagram.com/manshadheyat/</t>
  </si>
  <si>
    <t>https://t.me/manshadheyat</t>
  </si>
  <si>
    <t>محمدآباد</t>
  </si>
  <si>
    <t>https://www.instagram.com/mokeb_arbaeen_1444/</t>
  </si>
  <si>
    <t>مردآباد</t>
  </si>
  <si>
    <t>https://www.instagram.com/heyat_mardabad_yazd/</t>
  </si>
  <si>
    <t>https://t.me/Heyat_Sahebalzaman_Yazd</t>
  </si>
  <si>
    <t>عزاداران حسینی آزادشهر</t>
  </si>
  <si>
    <t>https://www.instagram.com/heiat_azadshahr/</t>
  </si>
  <si>
    <t>https://t.me/Heiat_Azadshahr</t>
  </si>
  <si>
    <t>https://eitaa.com/heiat_azadshahr</t>
  </si>
  <si>
    <t>عزاداران حسینی کوچه بیوک</t>
  </si>
  <si>
    <t>https://www.instagram.com/koochebiuk.ir/</t>
  </si>
  <si>
    <t>https://eitaa.com/kouchebiuk</t>
  </si>
  <si>
    <t>کوی محمدی(پنبه کاران)</t>
  </si>
  <si>
    <t>https://www.instagram.com/panbekaran/</t>
  </si>
  <si>
    <t>http://t.me/panbekaran</t>
  </si>
  <si>
    <t>عزاداران‌علقمه‌امامشهر‌</t>
  </si>
  <si>
    <t>https://www.instagram.com/alghamehh/</t>
  </si>
  <si>
    <t>فدائیان حسینیه حاجی یوسف</t>
  </si>
  <si>
    <t>https://www.instagram.com/hoseynieh.hajiyousef.yazd/</t>
  </si>
  <si>
    <t>حضرت علی اکبر(ع)کوی حنا</t>
  </si>
  <si>
    <t>https://www.instagram.com/heiate.aliakbar/</t>
  </si>
  <si>
    <t>اعظم شاهدیه</t>
  </si>
  <si>
    <t>https://www.instagram.com/mahdieh_shahedieh/</t>
  </si>
  <si>
    <t>عزاداران خواجه خضر</t>
  </si>
  <si>
    <t>https://www.instagram.com/khajekhezryazd/</t>
  </si>
  <si>
    <t>کوی سرجمع</t>
  </si>
  <si>
    <t>https://www.instagram.com/heyat.sarejam/</t>
  </si>
  <si>
    <t>سجاديه كوي پيروبرج</t>
  </si>
  <si>
    <t>https://www.instagram.com/piroborj.yazd/</t>
  </si>
  <si>
    <t>https://t.me/piroborj</t>
  </si>
  <si>
    <t>عزادارن کوی میرقطب</t>
  </si>
  <si>
    <t>https://www.instagram.com/mirghotb_yazd/</t>
  </si>
  <si>
    <t>https://www.instagram.com/alamdar.yazd/</t>
  </si>
  <si>
    <t>https://t.me/mostafa_khomeynii</t>
  </si>
  <si>
    <t>https://eitaa.com/alamdar_mostafa_khomeyni</t>
  </si>
  <si>
    <t>جان‌نثاران‌حضرت‌علی‌اکبرسیدالشهداء(ع)</t>
  </si>
  <si>
    <t>https://www.instagram.com/shahzadeh_aliakbar_yazd/</t>
  </si>
  <si>
    <t>https://www.instagram.com/hoseinie_abolfazl_yazd/</t>
  </si>
  <si>
    <t>گازرگاه</t>
  </si>
  <si>
    <t>https://www.instagram.com/hosseinieh_gazorgah/</t>
  </si>
  <si>
    <t>حضرت جوادالائمه (ع)</t>
  </si>
  <si>
    <t>https://www.instagram.com/javadolaemeh.yazd/</t>
  </si>
  <si>
    <t>https://eitaa.com/heyat_javadolaemeh_yazd</t>
  </si>
  <si>
    <t>عزاداران عطش چاه ملکی</t>
  </si>
  <si>
    <t>https://www.instagram.com/atash.yazd/</t>
  </si>
  <si>
    <t>عزاداران حسيني سردوراه</t>
  </si>
  <si>
    <t>https://www.instagram.com/heiat.sarodorah/</t>
  </si>
  <si>
    <t>گاریز</t>
  </si>
  <si>
    <t>https://www.instagram.com/heyaate_gariz/</t>
  </si>
  <si>
    <t>جان نثاران ابوالفضل(ع)تعزیه خوانان</t>
  </si>
  <si>
    <t>https://www.instagram.com/heyat_janesaran_abolfazl_yazd/</t>
  </si>
  <si>
    <t>عزاداران کوی یعقوبی</t>
  </si>
  <si>
    <t>https://www.instagram.com/yaghobi_yazd/</t>
  </si>
  <si>
    <t>https://eitaa.com/yaghobi_yazd</t>
  </si>
  <si>
    <t>https://www.instagram.com/ashoora.yazd/</t>
  </si>
  <si>
    <t>عزاداران حسینی خیرآباد</t>
  </si>
  <si>
    <t>https://www.instagram.com/kheirabad_yazd/</t>
  </si>
  <si>
    <t>https://t.me/kheirabad_yazd</t>
  </si>
  <si>
    <t>شاه ابوالقاسم</t>
  </si>
  <si>
    <t>https://www.instagram.com/shahabolghasem_yazd/</t>
  </si>
  <si>
    <t>حـسن آباد مشیر</t>
  </si>
  <si>
    <t>https://www.instagram.com/heyat_hasanabadmoshir/</t>
  </si>
  <si>
    <t>اباالفضل (ع) پُل نواب</t>
  </si>
  <si>
    <t>https://www.instagram.com/pole.navab.yazd/</t>
  </si>
  <si>
    <t>https://t.me/polenavvabyazd</t>
  </si>
  <si>
    <t>بعثت</t>
  </si>
  <si>
    <t>https://www.instagram.com/heyaatbesatyazd/</t>
  </si>
  <si>
    <t>https://t.me/heyaatbesatyazd</t>
  </si>
  <si>
    <t>https://www.instagram.com/heyat_abolfazl.abbas_yazd/</t>
  </si>
  <si>
    <t>آزادشهر</t>
  </si>
  <si>
    <t>https://www.instagram.com/heiat_neinava_azadshahr/</t>
  </si>
  <si>
    <t>حسینی مریم آباد</t>
  </si>
  <si>
    <t>مریم آباد</t>
  </si>
  <si>
    <t>https://www.instagram.com/maryamabad_yazd/</t>
  </si>
  <si>
    <t>https://t.me/maryamabad_yazd</t>
  </si>
  <si>
    <t>مظفری</t>
  </si>
  <si>
    <t>https://www.instagram.com/hoseiniye_mozafari_yazd/</t>
  </si>
  <si>
    <t>عزاداران حسینی رحمت آباد</t>
  </si>
  <si>
    <t>https://www.instagram.com/rahmatabad_ir/</t>
  </si>
  <si>
    <t>https://t.me/rahmatabad_ir</t>
  </si>
  <si>
    <t>https://eitaa.com/rahmatabad_ir</t>
  </si>
  <si>
    <t>مکتب امام</t>
  </si>
  <si>
    <t>https://www.instagram.com/maktabeemam/</t>
  </si>
  <si>
    <t>چهارده معصوم امامشهر</t>
  </si>
  <si>
    <t>https://www.instagram.com/mf14masoum/</t>
  </si>
  <si>
    <t>دمام‌زنی‌نعیم‌اباد‌</t>
  </si>
  <si>
    <t>https://www.instagram.com/damamzani_naemabad/</t>
  </si>
  <si>
    <t>دمام زینبیون مریم آباد</t>
  </si>
  <si>
    <t>https://www.instagram.com/damam_zeinabiyoun/</t>
  </si>
  <si>
    <t>اباالفضل(ع)قاسم آباد</t>
  </si>
  <si>
    <t>https://www.instagram.com/heyate_ghasem_abad_yazd/</t>
  </si>
  <si>
    <t>https://www.instagram.com/hoseinie.azam/</t>
  </si>
  <si>
    <t>ابوالفضلی مهرجرد</t>
  </si>
  <si>
    <t>https://www.instagram.com/abalfazli_mehrjard/</t>
  </si>
  <si>
    <t>https://eitaa.com/abalfazli_mehrjard</t>
  </si>
  <si>
    <t>حسینی کویِ گازُرگاه</t>
  </si>
  <si>
    <t>https://www.instagram.com/gazorgah.yazd/</t>
  </si>
  <si>
    <t>امامزادگان سَیّدُصَّحرا</t>
  </si>
  <si>
    <t>https://www.instagram.com/heyat.seyed.sahra.yazd/</t>
  </si>
  <si>
    <t>عزاداران قمر بنی هاشم</t>
  </si>
  <si>
    <t>https://www.instagram.com/qhamar.bani.hashem/</t>
  </si>
  <si>
    <t>عزاداران حسینی اعظم</t>
  </si>
  <si>
    <t>https://www.instagram.com/hosseiniyehazam/</t>
  </si>
  <si>
    <t>https://www.instagram.com/neynava_yazd/</t>
  </si>
  <si>
    <t>ابراهیم آباد</t>
  </si>
  <si>
    <t>https://www.instagram.com/ebrahimabad.yazd/</t>
  </si>
  <si>
    <t>دارالشفا ابوالفضل</t>
  </si>
  <si>
    <t>https://www.instagram.com/daroshefa.yazd/</t>
  </si>
  <si>
    <t>علمداران قمربنی هاشم</t>
  </si>
  <si>
    <t>https://www.instagram.com/alamdaran.yazd/</t>
  </si>
  <si>
    <t>ابوالفضل (ع) آبشور</t>
  </si>
  <si>
    <t>https://www.instagram.com/heyat_abolfazle_abeshoor_yazd/</t>
  </si>
  <si>
    <t>دارالعباس</t>
  </si>
  <si>
    <t>https://www.instagram.com/darolabbas/</t>
  </si>
  <si>
    <t>نظرکرده کلک و غفور ابرندآباد</t>
  </si>
  <si>
    <t>https://www.instagram.com/kalak_ghafur_original/</t>
  </si>
  <si>
    <t>https://t.me/Ghafournews</t>
  </si>
  <si>
    <t>عزاداران حسینی کوی سرسنگ</t>
  </si>
  <si>
    <t>https://www.instagram.com/mahale_saresang_yazd/</t>
  </si>
  <si>
    <t>جنــت آباد</t>
  </si>
  <si>
    <t>https://www.instagram.com/janatabad_yazd/</t>
  </si>
  <si>
    <t>خیمه گاه عباس(ع)</t>
  </si>
  <si>
    <t>https://www.instagram.com/kheymeh.gahe_abas/</t>
  </si>
  <si>
    <t>مالمیر</t>
  </si>
  <si>
    <t>https://www.instagram.com/malamir_yazd/</t>
  </si>
  <si>
    <t>صباغان</t>
  </si>
  <si>
    <t>https://www.instagram.com/sabbaghan_yazd/</t>
  </si>
  <si>
    <t>http://t.me/sabbaghan_yazd</t>
  </si>
  <si>
    <t>https://www.instagram.com/haram133.info</t>
  </si>
  <si>
    <t>https://t.me/haram133</t>
  </si>
  <si>
    <t>محمد علی وطن خواه</t>
  </si>
  <si>
    <t>https://www.instagram.com/mohammadalivatankhah/</t>
  </si>
  <si>
    <t>Www.haram133.com</t>
  </si>
  <si>
    <t>هیأت شباب الحسین</t>
  </si>
  <si>
    <t>حسینیه ایران | هیئتی های یزد</t>
  </si>
  <si>
    <t>https://eitaa.com/yhi_com</t>
  </si>
  <si>
    <t>باغ بهار - پخش زنده</t>
  </si>
  <si>
    <t>https://www.instagram.com/mehrizbaghebahar</t>
  </si>
  <si>
    <t>https://eitaa.com/baghebahar</t>
  </si>
  <si>
    <t>شهدای گمنام و شهدای محمد آباد دار العباده یزد</t>
  </si>
  <si>
    <t>https://eitaa.com/mokeb_arbaeen_1444</t>
  </si>
  <si>
    <t>موکب علی بن موسی الرضا(ع)</t>
  </si>
  <si>
    <t>https://eitaa.com/Mokeb_emamreza_yzd</t>
  </si>
  <si>
    <t>https://www.instagram.com/heyat.fatemieh.firoozabad1351</t>
  </si>
  <si>
    <t>حضرت ابوالفضل‌ (ع) گردفرامرز</t>
  </si>
  <si>
    <t>گردفرامرز</t>
  </si>
  <si>
    <t>https://eitaa.com/beytolabbasyazd133</t>
  </si>
  <si>
    <t>https://eitaa.com/yazdmokeb</t>
  </si>
  <si>
    <t xml:space="preserve">عزاداران حسینی رایه الهدی </t>
  </si>
  <si>
    <t>https://eitaa.com/rayat_yazd</t>
  </si>
  <si>
    <t>https://eitaa.com/ansarollhosrinnajaf</t>
  </si>
  <si>
    <t>هیئتـــ‌ رَیآحیـن‌الهُـ❤️ـدے</t>
  </si>
  <si>
    <t>https://eitaa.com/rayahin_ir</t>
  </si>
  <si>
    <t>زنجیر زنی ابالفضل</t>
  </si>
  <si>
    <t>سخوید</t>
  </si>
  <si>
    <t>https://eitaa.com/MournersofSakhvid2023</t>
  </si>
  <si>
    <t>جان نثاران حضرت علی اکبر سید الشهدا - سرچشمه گردفرامرز</t>
  </si>
  <si>
    <t>https://eitaa.com/shahzadeh_aliakbar_yazd</t>
  </si>
  <si>
    <t>شباب الزهرا</t>
  </si>
  <si>
    <t>https://eitaa.com/shabab_al_zahra_yazd</t>
  </si>
  <si>
    <t>منشاد</t>
  </si>
  <si>
    <t>https://eitaa.com/manshadheyat</t>
  </si>
  <si>
    <t>جامع مصباح الهدی (حوزه علمیه پیامبر اعظم)</t>
  </si>
  <si>
    <t>https://eitaa.com/Mesbah_Alhoda72</t>
  </si>
  <si>
    <t>گنبد کاووس</t>
  </si>
  <si>
    <t>مڪان:فلاح، خ ابوذر ،میـدان مقدم، خ شهسوار حقیقی شمالی ،ڪوچه باقر یوسفی، پلاڪ۱۰</t>
  </si>
  <si>
    <t>https://www.instagram.com/heiate5tanealeaba</t>
  </si>
  <si>
    <t>گرگان</t>
  </si>
  <si>
    <t>https://www.instagram.com/mohebbanolmahdi_s</t>
  </si>
  <si>
    <t>https://t.me/mohebbanolmahdi_sooderjan</t>
  </si>
  <si>
    <t>عشاق الرقیه (س)</t>
  </si>
  <si>
    <t>https://www.instagram.com/oshagh_roghaye315</t>
  </si>
  <si>
    <t>کلاله</t>
  </si>
  <si>
    <t>https://www.instagram.com/heyat_moheban_333</t>
  </si>
  <si>
    <r>
      <rPr>
        <rFont val="Arial"/>
        <color rgb="FF1155CC"/>
        <u/>
      </rPr>
      <t>@heyat_moheban_333</t>
    </r>
  </si>
  <si>
    <t>بین الحرمین (مهدیه کشتیرانی)</t>
  </si>
  <si>
    <t>بندرگز</t>
  </si>
  <si>
    <t>https://www.instagram.com/heiat_beinolharamein110</t>
  </si>
  <si>
    <t>t.me/heiat_bein_ol_harameni_110</t>
  </si>
  <si>
    <t>مسجد الاقصی</t>
  </si>
  <si>
    <t>https://www.instagram.com/masjed_aghsa_gorgan</t>
  </si>
  <si>
    <t>https://www.instagram.com/heyat_saheb_zaman</t>
  </si>
  <si>
    <t>فدک الزهرا(س)</t>
  </si>
  <si>
    <t>https://www.instagram.com/kalaleh.heyat</t>
  </si>
  <si>
    <t>مسجد جامع</t>
  </si>
  <si>
    <t>علی بن ابیطالب _ بیت الزهرا (س)</t>
  </si>
  <si>
    <t>https://t.me/bytozzahra</t>
  </si>
  <si>
    <t>منتظران قائم(عج) (مسجد صاحب الزمان(عج))</t>
  </si>
  <si>
    <t>مینودشت</t>
  </si>
  <si>
    <t>خیابان فردوسی 5 علامت پرچم</t>
  </si>
  <si>
    <t>https://www.instagram.com/montazeringhaem313</t>
  </si>
  <si>
    <t>هفتگی و مناسبتی</t>
  </si>
  <si>
    <t>https://www.instagram.com/h_faresalhejaz_gorgan</t>
  </si>
  <si>
    <t>مسجد امام خمینی(ره)</t>
  </si>
  <si>
    <t>https://www.instagram.com/masjed_emam_khomeini/</t>
  </si>
  <si>
    <t>ولی عصر(عج)</t>
  </si>
  <si>
    <t>https://www.instagram.com/khademinemamasr</t>
  </si>
  <si>
    <t>کردکوی</t>
  </si>
  <si>
    <t>https://www.instagram.com/beynolharmeyn_kordkoy</t>
  </si>
  <si>
    <t>t.me/beynolharmeyn_kordkoy</t>
  </si>
  <si>
    <t>متوسلین اباعبدالله الحسین(ع) / جوانان کوی سجادیه</t>
  </si>
  <si>
    <t>https://www.instagram.com/javanan_sajadieh</t>
  </si>
  <si>
    <t>ابوالفضل العباس(ع) (بسیجیان روستای گز)</t>
  </si>
  <si>
    <t>بندرگز، گزشرقی، پایگاه مقاومت بسیج امام حسن مجتبیٰ(ع)</t>
  </si>
  <si>
    <t>https://www.instagram.com/heyat_al_abbas</t>
  </si>
  <si>
    <t>https://www.instagram.com/oshagh_alzahra_s</t>
  </si>
  <si>
    <r>
      <rPr>
        <rFont val="Arial"/>
        <color rgb="FF1155CC"/>
        <u/>
      </rPr>
      <t>@razmandegan_kordkuy</t>
    </r>
  </si>
  <si>
    <t>متوسلین به حضرت ولی عصر(عج)</t>
  </si>
  <si>
    <t>https://eitaa.com/Valiasr_eslamabad</t>
  </si>
  <si>
    <t>کانون</t>
  </si>
  <si>
    <t>منتظرین قائم(عج) (پایگاه امام حسن مجتبی(ع)) (مسجد پنج تن آل عبا(ع))</t>
  </si>
  <si>
    <t>مینودشت مسجد پنج تن ال عبا</t>
  </si>
  <si>
    <t>https://telegram.me/s/masjed5tanminoodasht</t>
  </si>
  <si>
    <t>عشاق الحسین(ع)</t>
  </si>
  <si>
    <t>https://www.instagram.com/oshaghel_hossein</t>
  </si>
  <si>
    <t>بیت الزهرا(س) / زوارالحسن(ع)</t>
  </si>
  <si>
    <t>https://www.instagram.com/beytozzahra79</t>
  </si>
  <si>
    <t>t.me/bytozzahra</t>
  </si>
  <si>
    <t>https://www.instagram.com/rayatolabbas_resane?</t>
  </si>
  <si>
    <t>https://www.instagram.com/asheghanemahdigorgan</t>
  </si>
  <si>
    <t>https://t.me/s/HeiateAsheghanemahdi</t>
  </si>
  <si>
    <t>https://eitaa.com/Heiat_asheghanemahdi_gorgan</t>
  </si>
  <si>
    <t>محبان حضرت ابوالفضل (ع) / حیدریون</t>
  </si>
  <si>
    <t>https://www.instagram.com/heydariun_gorgann</t>
  </si>
  <si>
    <t>heydarion_gorgan</t>
  </si>
  <si>
    <t>خیمه العباس (ع) (هیات مسجد صاحب الزمان (عج))</t>
  </si>
  <si>
    <t>https://www.instagram.com/kheymatol_abas</t>
  </si>
  <si>
    <t>جوانان بنی هاشم(ع)</t>
  </si>
  <si>
    <t>https://www.instagram.com/javananbani_bani_hashem</t>
  </si>
  <si>
    <t>علی آباد کتول</t>
  </si>
  <si>
    <t>https://www.instagram.com/bacheh_haye_masjed</t>
  </si>
  <si>
    <t>آزادشهر؛خیابان مکتب الزهرا کوچه عشقی</t>
  </si>
  <si>
    <t>https://www.instagram.com/bytbibi_3_sale</t>
  </si>
  <si>
    <t>https://t.me/bytbibi</t>
  </si>
  <si>
    <t>https://eitaa.com/bytbibi3</t>
  </si>
  <si>
    <t>هرهفته شب های پنج شنبه</t>
  </si>
  <si>
    <t>https://www.instagram.com/heyatemamhasanmojtaba</t>
  </si>
  <si>
    <t>یاوران منجی (مجموعه فرهنگی مذهبی)</t>
  </si>
  <si>
    <t>کمربندی صیاد شیرازی گلزار شهدای گمنام</t>
  </si>
  <si>
    <t>https://www.instagram.com/yavaranemonji</t>
  </si>
  <si>
    <t>شهدای آل یاسین</t>
  </si>
  <si>
    <t>https://eitaa.com/heyatshohadayealeyasin</t>
  </si>
  <si>
    <t>مسجد جامع آزادشهر</t>
  </si>
  <si>
    <t>https://www.instagram.com/kanoonazadshahr</t>
  </si>
  <si>
    <t>جوانان فدائیان امام حسین (ع)</t>
  </si>
  <si>
    <t>https://www.instagram.com/heyat_javanan_kordkuy</t>
  </si>
  <si>
    <r>
      <rPr>
        <rFont val="Arial"/>
        <color rgb="FF1155CC"/>
        <u/>
      </rPr>
      <t>@kashkkuol</t>
    </r>
  </si>
  <si>
    <t>محبین حضرت علی اکبر (ع)</t>
  </si>
  <si>
    <t>https://t.me/s/mohebbin_aliakbar</t>
  </si>
  <si>
    <t>گرگان- نبش جمهوری ۹ - مجموعه فرهنگی بیت الحسن علیه السلام</t>
  </si>
  <si>
    <t>www.instagram.com/heyat.peyrovan.velaya</t>
  </si>
  <si>
    <t>https://t.me/h_p_v</t>
  </si>
  <si>
    <t>https://eitaa.com/h_p_v_gorgan</t>
  </si>
  <si>
    <t>هفتگی شنبه ها</t>
  </si>
  <si>
    <t>عاشقان قمربنی هاشم(ع)</t>
  </si>
  <si>
    <t>https://www.instagram.com/navayeabas</t>
  </si>
  <si>
    <t>دلباختگان حضرت ابوالفضل العباس(ع)</t>
  </si>
  <si>
    <t>https://www.instagram.com/del.bakhtegan81?</t>
  </si>
  <si>
    <t>خادم الائمه(ع)</t>
  </si>
  <si>
    <t>https://www.instagram.com/khademolaemehgonbad</t>
  </si>
  <si>
    <t>https://t.me/khademolaemegonbad</t>
  </si>
  <si>
    <t>گنبد خیابان امام رضا مسجد المهدی</t>
  </si>
  <si>
    <t>https://www.instagram.com/moheban.gonbad</t>
  </si>
  <si>
    <t>مناسبتی</t>
  </si>
  <si>
    <t>حسینیه ولی عصر(عج)</t>
  </si>
  <si>
    <t>گنبدکاووس ، خیابان سرابی روبه روی شبکه بهداشت</t>
  </si>
  <si>
    <t>https://www.instagram.com/hoseinie_valiasr_gonbad</t>
  </si>
  <si>
    <t>رزمندگان اسلام (خواهران)</t>
  </si>
  <si>
    <t>https://www.instagram.com/razmandegan__gonbad</t>
  </si>
  <si>
    <t>اداره تبلیغات اسلامی</t>
  </si>
  <si>
    <t>https://eitaa.com/nehzat_eslami_minoodasht</t>
  </si>
  <si>
    <t>مینودشت، خیابان ولیعصر، مهدیه مینودشت</t>
  </si>
  <si>
    <t>https://www.instagram.com/mahdiehminoodasht</t>
  </si>
  <si>
    <t>خادم الحسین(ع)</t>
  </si>
  <si>
    <t>https://www.instagram.com/khademolhossain.ir</t>
  </si>
  <si>
    <t>شباب الجنه</t>
  </si>
  <si>
    <t>گردان مرزی ، خیابان عترت، جنب نانوایی بارانی ، علامت تابلو</t>
  </si>
  <si>
    <t>https://www.instagram.com/heyat118_gonbad</t>
  </si>
  <si>
    <t>https://t.me/heyat118</t>
  </si>
  <si>
    <t>حسینیه قائم آل محمد(عج)</t>
  </si>
  <si>
    <t>گنبد کاووس، انتهای گردانمرزی ، شهرک بخاراییان مسجد قائم ال محمد عج</t>
  </si>
  <si>
    <t>https://www.instagram.com/ghaem5418</t>
  </si>
  <si>
    <t>حرم مطهر حضرت یحیی بن زید(ع)</t>
  </si>
  <si>
    <t>https://www.instagram.com/fatemiun_com1</t>
  </si>
  <si>
    <t>https://eitaa.com/fatemiun_com1</t>
  </si>
  <si>
    <t>https://rubika.ir/fatemiun_com1</t>
  </si>
  <si>
    <t>https://www.instagram.com/janamalamdar133</t>
  </si>
  <si>
    <t>شیفتگان حضرت رقیه (س)</t>
  </si>
  <si>
    <t>https://www.instagram.com/heiat_hazrat_roghaye_</t>
  </si>
  <si>
    <t xml:space="preserve">                 امام زاده عبدالله</t>
  </si>
  <si>
    <r>
      <rPr>
        <rFont val="Arial"/>
        <color rgb="FF1155CC"/>
        <u/>
      </rPr>
      <t>emamzadehabdollah1gorgan</t>
    </r>
  </si>
  <si>
    <t>محبین اهل بیت(ع)</t>
  </si>
  <si>
    <t>https://www.instagram.com/mooheban_ahle_byt</t>
  </si>
  <si>
    <t>اباصالح (عج) (جوانان مسجد جامع / شبهای بهشت)</t>
  </si>
  <si>
    <t>مسجد جامع مینودشت سالن فاطمیه</t>
  </si>
  <si>
    <t>https://www.instagram.com/abasaleh.minodasht</t>
  </si>
  <si>
    <t>مینودشت ،خیابان شهیدبشتر، مجتمع حدادی،هیئت حضرت علی‌ اصغر علیه سلام.</t>
  </si>
  <si>
    <t>https://www.instagram.com/h.hazrat_aliasghar</t>
  </si>
  <si>
    <t>مناسبتثی</t>
  </si>
  <si>
    <t>حضرت امیرالمومنین(ع) (جوانان آزادشهر)</t>
  </si>
  <si>
    <t>آزادشهر ، خیابان امام - نبش قرض الحسنه - چهارراه دوم</t>
  </si>
  <si>
    <t>https://www.instagram.com/heyatamiralmomeninazadshahr</t>
  </si>
  <si>
    <t>یاحسین (ع)</t>
  </si>
  <si>
    <t>https://www.instagram.com/heyat_ya_hosein</t>
  </si>
  <si>
    <t>@heyat_ya_hosein</t>
  </si>
  <si>
    <t>https://eitaa.com/heyat_ya_hossein</t>
  </si>
  <si>
    <t>https://www.instagram.com/khiabangorgan</t>
  </si>
  <si>
    <t>خادم الجواد (ع)</t>
  </si>
  <si>
    <t>https://www.instagram.com/khademoljavad.ir</t>
  </si>
  <si>
    <t>https://www.instagram.com/razmandegan_kalale</t>
  </si>
  <si>
    <t>مجموعه فرهنگی محفل اشک (رهروان ولایت)</t>
  </si>
  <si>
    <t>https://instagram.com/rahrovan_velayat_ir</t>
  </si>
  <si>
    <t xml:space="preserve">https://t.me/rahrovan_velayat_ir </t>
  </si>
  <si>
    <t>https://eitaa.com/rahrovan_velayat_ir</t>
  </si>
  <si>
    <t>جوانان متوسلین به ائمه اطهار (ع)</t>
  </si>
  <si>
    <t>فاضل آباد</t>
  </si>
  <si>
    <t>https://www.instagram.com/heyatiha14</t>
  </si>
  <si>
    <t>هیأت تعزیه</t>
  </si>
  <si>
    <t>تعزیه حضرت ابوالفضل(ع)</t>
  </si>
  <si>
    <t xml:space="preserve"> استان گلستان شهرستان علی آباد کتول ، محله .جنگلده . جنگلده ۳۹ بیت العباس
</t>
  </si>
  <si>
    <t>https://www.instagram.com/ht_hazrateabolfazl</t>
  </si>
  <si>
    <t>https://www.instagram.com/masjed_sahebalzaman_aliabad</t>
  </si>
  <si>
    <t>مسجد امام رضا(ع)</t>
  </si>
  <si>
    <t>https://www.instagram.com/masjed.emamreza.gorgan</t>
  </si>
  <si>
    <t>https://www.instagram.com/razmandegan.eslam.gor</t>
  </si>
  <si>
    <t>محبین امیرالمومنین (ع)</t>
  </si>
  <si>
    <t>https://www.instagram.com/mohebanali_110</t>
  </si>
  <si>
    <t>میثاق الحسین(ع)</t>
  </si>
  <si>
    <t>https://www.instagram.com/heyat.misaghalhossein.gorgan</t>
  </si>
  <si>
    <t>مجموعه فرهنگی مذهبی الزهرا (س)</t>
  </si>
  <si>
    <t>گنبد ٫ بلوار دانشجو ٫ ۲۰متری شقایق / مسجد و پایگاه امام جعفر صادق (ع) / مجموعه فرهنگی الزهرا سلام‌الله‌علیها</t>
  </si>
  <si>
    <t>https://eitaa.com/alzahra135</t>
  </si>
  <si>
    <t>https://www.instagram.com/rozat_133ir</t>
  </si>
  <si>
    <t>https://t.me/rozat_133ir</t>
  </si>
  <si>
    <t>https://www.instagram.com/rozatolroghaie</t>
  </si>
  <si>
    <t>https://t.me/Roztolroghaye</t>
  </si>
  <si>
    <t>متوسلین حضرت زینب(س)</t>
  </si>
  <si>
    <t>https://www.instagram.com/zeynabiyeh_kalaleh</t>
  </si>
  <si>
    <t>https://www.instagram.com/peyrovanetrat</t>
  </si>
  <si>
    <t>گرگان،خ شهدا ،لاله ۶ ،محله میخچه گران،حسینه بخشیانی ها</t>
  </si>
  <si>
    <t>https://www.instagram.com/mahdaviun_gorgan</t>
  </si>
  <si>
    <t>https://www.instagram.com/chahardah.masom_ozinee</t>
  </si>
  <si>
    <t>محبین مهدی (عج) (محله امام رضا(ع))</t>
  </si>
  <si>
    <t>https://www.instagram.com/mohebbin_gorgan</t>
  </si>
  <si>
    <t>احرار المهدی</t>
  </si>
  <si>
    <t>https://www.instagram.com/ahraralmahdi.313</t>
  </si>
  <si>
    <r>
      <rPr>
        <rFont val="Arial"/>
        <color rgb="FF1155CC"/>
        <u/>
      </rPr>
      <t>@ahraralmahdi313</t>
    </r>
  </si>
  <si>
    <t>محسن بن علی (ع)</t>
  </si>
  <si>
    <t>https://www.instagram.com/mohsenebnealia</t>
  </si>
  <si>
    <t>دلباختگان حضرت علی اکبر(ع)</t>
  </si>
  <si>
    <t>https://www.instagram.com/delbakhtegan.ir</t>
  </si>
  <si>
    <t>نورالشهدا</t>
  </si>
  <si>
    <t>https://www.instagram.com/nooroshohada.ir</t>
  </si>
  <si>
    <t>هیآت الرضا(ع) (مسجد امام رضا)</t>
  </si>
  <si>
    <t>خـیابان امـام رضـا (علیه السلام) ،
حسینیه مسـجـد امام رضـا(علیه السلام) گـرگــان</t>
  </si>
  <si>
    <t>https://www.instagram.com/heyaatolreza</t>
  </si>
  <si>
    <t>https://www.instagram.com/shohada_m_h</t>
  </si>
  <si>
    <t>منتظران ظهور(عج) / منتظران مهدی</t>
  </si>
  <si>
    <t>انتهای گلشن ۷، فاطمیه امامزاده نه تن</t>
  </si>
  <si>
    <t>https://www.instagram.com/montazeran_mahdi_gorgan</t>
  </si>
  <si>
    <t>رهروان حاج قاسم دانشگاهیان</t>
  </si>
  <si>
    <t>https://www.instagram.com/rahrovan_uni</t>
  </si>
  <si>
    <t>کریم اهل بیت (ع)</t>
  </si>
  <si>
    <t>https://www.instagram.com/heyat_karimahlebeyt118</t>
  </si>
  <si>
    <t>حضرت بقیه الله (عج)</t>
  </si>
  <si>
    <t>https://www.instagram.com/masjed_baghiatallah14</t>
  </si>
  <si>
    <t>مینودشت_خ شهیدعلیرضا_گلستان۱ _حسنیه غریب مدینه</t>
  </si>
  <si>
    <t>https://www.instagram.com/gharibemadine_info</t>
  </si>
  <si>
    <t>https://t.me/gharibemadine_info</t>
  </si>
  <si>
    <t>هفتگی جمعه شب ها ساعت 20</t>
  </si>
  <si>
    <t>امامزاده عبدالله</t>
  </si>
  <si>
    <t>https://www.instagram.com/emamzadeh.abdollah.gorgan</t>
  </si>
  <si>
    <t>عترت</t>
  </si>
  <si>
    <t>گنبد کاووس، خیابان ولیعصر شمالی(سیاوش) کوچه دوازدهم</t>
  </si>
  <si>
    <t>https://www.instagram.com/hoseynieh.etrat</t>
  </si>
  <si>
    <t>شبکه</t>
  </si>
  <si>
    <t>شبکه جوانان رضوی</t>
  </si>
  <si>
    <t>https://www.instagram.com/aliabadshajar</t>
  </si>
  <si>
    <t>جوانان انصارالحسین(ع)</t>
  </si>
  <si>
    <t>https://www.instagram.com/ansar_al.hossein</t>
  </si>
  <si>
    <t>گنبد کاووس سیداباد مسجد حضرت ابوالفضل</t>
  </si>
  <si>
    <t>https://www.instagram.com/313montazeran_com</t>
  </si>
  <si>
    <t>https://t.me/montazeran_mahdi_aj_gonbad</t>
  </si>
  <si>
    <t>جمعه بعد از نمازمغرب وعشاء، زیارت عاشورا وسینه زنی</t>
  </si>
  <si>
    <t>آزادشهر ، خیابان شهید بهشتی ، پارک شهر ، گلزار شهدای گمنام</t>
  </si>
  <si>
    <t>https://www.instagram.com/eheyat_azadshahr
https://www.instagram.com/eheyat.azadshahr</t>
  </si>
  <si>
    <t>https://t.me/Eheyat_Azadshahr</t>
  </si>
  <si>
    <t>https://eitaa.com/razmandegan_azadshahr</t>
  </si>
  <si>
    <t>قرارگاه_جهادی_مردمی_فاتح /  سه شنبه های مهدوی</t>
  </si>
  <si>
    <t>گالیکش</t>
  </si>
  <si>
    <r>
      <rPr>
        <rFont val="Arial"/>
        <color rgb="FF1155CC"/>
        <u/>
      </rPr>
      <t>@bainolharamaingalikesh</t>
    </r>
  </si>
  <si>
    <t>منتظران ظهور / جوانان منتظرین مهدی</t>
  </si>
  <si>
    <t>https://www.instagram.com/montazerinmahdigorgan</t>
  </si>
  <si>
    <t>rubika.ir/montazerinmahdi</t>
  </si>
  <si>
    <t xml:space="preserve">خانببین </t>
  </si>
  <si>
    <t>https://www.instagram.com/ali_asghariha/</t>
  </si>
  <si>
    <t>انصارالمهدی (عج) (دانش آموزی)</t>
  </si>
  <si>
    <t>ایرانمهر پایین، روبروی ابوذر ٣، حسینیه‌ی شهدای دانش‌آموز</t>
  </si>
  <si>
    <t>https://www.instagram.com/ansariha_gorgan/</t>
  </si>
  <si>
    <r>
      <rPr>
        <rFont val="-apple-system, BlinkMacSystemFont, &quot;Segoe UI&quot;, Roboto, Helvetica, Arial, sans-serif"/>
        <color rgb="FF1155CC"/>
        <sz val="11.0"/>
        <u/>
      </rPr>
      <t>eitaa.com/ansariha_gorgan</t>
    </r>
  </si>
  <si>
    <t>گلستان،شهرستان آزادشهر،خیابان شهید کلاهدوز،پاسدار۱۲</t>
  </si>
  <si>
    <t>https://www.instagram.com/beytol_ahzan135</t>
  </si>
  <si>
    <t>مسجد جامع (روستای حاجی کلاته)</t>
  </si>
  <si>
    <t>https://www.instagram.com/m_hajikalateh</t>
  </si>
  <si>
    <t>جوانان قمربنی هاشم (ع) محله پل هاشم</t>
  </si>
  <si>
    <t>تکیه امام رضا (ع) محله ی پل هاشم</t>
  </si>
  <si>
    <t>https://www.instagram.com/heyat_qamarbani.hashem</t>
  </si>
  <si>
    <t>https://www.instagram.com/heyat_amar_yaser</t>
  </si>
  <si>
    <t>جوانان علی بن موسی الرضا (ع)</t>
  </si>
  <si>
    <t>https://www.instagram.com/heiat.javanan.aliebnemosareza</t>
  </si>
  <si>
    <t>پیروان قرآن مجید سالیکنده حسینیه اعطم</t>
  </si>
  <si>
    <t>https://www.instagram.com/hosseinieh_azam_salikandeh</t>
  </si>
  <si>
    <t>@Hosseinieh_azam_salikandeh</t>
  </si>
  <si>
    <t>چهارده معصوم (ع) روستای گل افرا</t>
  </si>
  <si>
    <t>https://www.instagram.com/golafrayema</t>
  </si>
  <si>
    <t>امام حسین ع</t>
  </si>
  <si>
    <r>
      <rPr>
        <rFont val="Arial"/>
        <color rgb="FF1155CC"/>
        <u/>
      </rPr>
      <t>@masjed_nama_kalaleh</t>
    </r>
  </si>
  <si>
    <t>عُشّاقُ‌ الزَّهرا(س)</t>
  </si>
  <si>
    <t>رامیان</t>
  </si>
  <si>
    <t>https://www.instagram.com/heiat_oshaqozahra_ramian</t>
  </si>
  <si>
    <r>
      <rPr>
        <rFont val="Arial"/>
        <color rgb="FF1155CC"/>
        <u/>
      </rPr>
      <t>@abolfazlrajabloomadahi</t>
    </r>
  </si>
  <si>
    <t>https://www.instagram.com/heyatshohadaigomnam.gonbad</t>
  </si>
  <si>
    <t>مسجد جوانان صاحب الزمان(عج)</t>
  </si>
  <si>
    <t>https://www.instagram.com/saheb.a.zaman313</t>
  </si>
  <si>
    <r>
      <rPr>
        <rFont val="Arial"/>
        <color rgb="FF1155CC"/>
        <u/>
      </rPr>
      <t>@saheb_azaman313</t>
    </r>
  </si>
  <si>
    <t>شهرک بهارستان خیابان ارغوان 17</t>
  </si>
  <si>
    <t>https://www.instagram.com/hasaniooun118</t>
  </si>
  <si>
    <t>https://t.me/Hasaniooun</t>
  </si>
  <si>
    <t>جنت العباس</t>
  </si>
  <si>
    <t>https://www.instagram.com/janatolabas_gonbad</t>
  </si>
  <si>
    <t>https://t.me/antolabasgonbad?</t>
  </si>
  <si>
    <t>قرارگاه صدرا</t>
  </si>
  <si>
    <t>https://www.instagram.com/gharargah_sadra</t>
  </si>
  <si>
    <t>یاران آفتاب</t>
  </si>
  <si>
    <t>https://www.instagram.com/yaran.aftab.gorgan</t>
  </si>
  <si>
    <t>علی بن موسی الرضا</t>
  </si>
  <si>
    <t>https://www.instagram.com/heyat_emameraouf</t>
  </si>
  <si>
    <r>
      <rPr>
        <rFont val="-apple-system, BlinkMacSystemFont, &quot;Segoe UI&quot;, Roboto, Helvetica, Arial, sans-serif"/>
        <color rgb="FF1155CC"/>
        <sz val="11.0"/>
        <u/>
      </rPr>
      <t>eitaa.com/heyat_emameraouf</t>
    </r>
  </si>
  <si>
    <t>گرگان خیابان طهماسبی کوچه 18 بین فخرالدین 1 و 3 محسنیه</t>
  </si>
  <si>
    <t>https://www.instagram.com/mohsenebnali.ir</t>
  </si>
  <si>
    <t>مجموعه فرهنگی مذهبی مشکات الحسین (ع)</t>
  </si>
  <si>
    <t>https://www.instagram.com/meshkat_alhosein</t>
  </si>
  <si>
    <t>https://www.instagram.com/mokeb_minoodasht</t>
  </si>
  <si>
    <t>https://t.me/MOKEBEHAZRATEZEYNABMINOODASHT</t>
  </si>
  <si>
    <t>https://eitaa.com/MOKEBEHAZRATEZEYNABMINOODASHT</t>
  </si>
  <si>
    <t xml:space="preserve">ابالفضل العباس </t>
  </si>
  <si>
    <t>https://www.instagram.com/hyet_abolfazl_abas/</t>
  </si>
  <si>
    <r>
      <rPr>
        <rFont val="Arial"/>
        <color rgb="FF1155CC"/>
        <u/>
      </rPr>
      <t>@rayatolabbasgorgan</t>
    </r>
  </si>
  <si>
    <t>https://www.instagram.com/seyed_shohada128</t>
  </si>
  <si>
    <t>محبان اهلبیت_ ثارالله</t>
  </si>
  <si>
    <t>https://www.instagram.com/heyat_moheban_ahle_beyt</t>
  </si>
  <si>
    <t>متوسلین به حضرت ابوالفضل (ع)</t>
  </si>
  <si>
    <t>https://www.instagram.com/heyat_motavasselin_313</t>
  </si>
  <si>
    <t>احرار الزهرا س</t>
  </si>
  <si>
    <t>https://www.instagram.com/ahrarozahra.info</t>
  </si>
  <si>
    <t>telegram.im/beyki213</t>
  </si>
  <si>
    <t>اجتماع قلوب</t>
  </si>
  <si>
    <t>https://www.instagram.com/ejtema_gorgan</t>
  </si>
  <si>
    <t>متوسلین به امام زمان (عج)</t>
  </si>
  <si>
    <r>
      <rPr>
        <rFont val="Arial"/>
        <color rgb="FF1155CC"/>
        <u/>
      </rPr>
      <t>@heyatemotavasselin_313</t>
    </r>
  </si>
  <si>
    <t>علمداران و علمکشان گلستان</t>
  </si>
  <si>
    <t>https://www.instagram.com/alamdaran.alamkshan</t>
  </si>
  <si>
    <t>جوانان جان نثاران قمربنی هاشم (ع)</t>
  </si>
  <si>
    <t>https://www.instagram.com/ghamar_bh</t>
  </si>
  <si>
    <t>t.me/GHAMR_BH</t>
  </si>
  <si>
    <t xml:space="preserve">گرگان خیابان جمهوری چهار راه رسالت
مسجد خضر نبی (علیه السلام)
</t>
  </si>
  <si>
    <t>https://www.instagram.com/maktabeshohada_gorgan</t>
  </si>
  <si>
    <t>eitaa.com/maktabeshohada_gorgan</t>
  </si>
  <si>
    <t>https://www.instagram.com/khademozahra_gor</t>
  </si>
  <si>
    <t>https://www.instagram.com/ansaralmahdi_azadshahr/</t>
  </si>
  <si>
    <t>https://eitta.com/AnsarAlmahdi_Media</t>
  </si>
  <si>
    <t>https://www.instagram.com/eheyat.azadshahr_/</t>
  </si>
  <si>
    <t>هیأت دانــش آمــوزی</t>
  </si>
  <si>
    <t>احباب الـرضا</t>
  </si>
  <si>
    <t>روستای سوسرا</t>
  </si>
  <si>
    <t>https://www.instagram.com/hayyat_ahbab_alreza_susra</t>
  </si>
  <si>
    <t>جوانان امام زمان</t>
  </si>
  <si>
    <t xml:space="preserve"> آزادشهر خیابان شاهرود انتهای شنبه بازار قدیم</t>
  </si>
  <si>
    <t>https://www.instagram.com/heyat_emam_zaman_azadshahr</t>
  </si>
  <si>
    <t>منتظران مهدی(عج</t>
  </si>
  <si>
    <t>نگین شهر</t>
  </si>
  <si>
    <t>https://www.instagram.com/montazeranemahdi.ng/</t>
  </si>
  <si>
    <t>https://t.me/montazeranajneginshahr</t>
  </si>
  <si>
    <t>نوده خاندوز</t>
  </si>
  <si>
    <t>https://www.instagram.com/heyyat_khademolreza/</t>
  </si>
  <si>
    <t>اباالفضـلیا</t>
  </si>
  <si>
    <t>آق قلا</t>
  </si>
  <si>
    <t>انبارالوم</t>
  </si>
  <si>
    <t>https://www.instagram.com/abal.fazliya/</t>
  </si>
  <si>
    <t>https://t.me/abal_fazliya</t>
  </si>
  <si>
    <t>https://www.instagram.com/abalfazliya.ir/</t>
  </si>
  <si>
    <t>بندر گز</t>
  </si>
  <si>
    <t>https://www.instagram.com/heiatorreza_bandargaz/</t>
  </si>
  <si>
    <t>https://t.me/heiatorreza_bandargaz</t>
  </si>
  <si>
    <t>https://www.instagram.com/heyat_abolfazlel_abas/</t>
  </si>
  <si>
    <t>عاشقان مولا حسین</t>
  </si>
  <si>
    <t>https://www.instagram.com/asheghan_molahossein/</t>
  </si>
  <si>
    <t>https://www.instagram.com/heiatolrezabandargaz</t>
  </si>
  <si>
    <t>نوکنده</t>
  </si>
  <si>
    <t>https://www.instagram.com/heyat_qamar_bani_hashem</t>
  </si>
  <si>
    <t>https://t.me/ghamar_baniii_hashem</t>
  </si>
  <si>
    <t>کریم آل طه</t>
  </si>
  <si>
    <t>https://www.instagram.com/heyatkarimaltaha/</t>
  </si>
  <si>
    <t>بندرترکمن</t>
  </si>
  <si>
    <t>https://www.instagram.com/ansar_bandar/</t>
  </si>
  <si>
    <t>انصار حضرت زینب (س)</t>
  </si>
  <si>
    <t>https://www.instagram.com/ansar_ol_zeynab313</t>
  </si>
  <si>
    <t>مسجد محمدیه بندرگز</t>
  </si>
  <si>
    <t>https://www.instagram.com/heyat_abolfazlel_abas</t>
  </si>
  <si>
    <t>https://www.instagram.com/ghamar_bh/</t>
  </si>
  <si>
    <t>https://www.instagram.com/tekiyeh_hazratabolfazl/</t>
  </si>
  <si>
    <t>معظم عشاق‌الحسن(ع)</t>
  </si>
  <si>
    <t>https://www.instagram.com/mahfel_oshaqolhasan</t>
  </si>
  <si>
    <t>https://t.me/oshaqolhasan</t>
  </si>
  <si>
    <t>زنجیر زنی سید الشهدا(ع)</t>
  </si>
  <si>
    <t>https://www.instagram.com/tekiyeh_seyedshohada/</t>
  </si>
  <si>
    <t>https://www.instagram.com/aliabadekatul</t>
  </si>
  <si>
    <t>امام جواد</t>
  </si>
  <si>
    <t>https://www.instagram.com/emamjavad14/</t>
  </si>
  <si>
    <t>https://t.me/emamjavad14_ir</t>
  </si>
  <si>
    <t>https://eitaa.com/emamjavad14_ir</t>
  </si>
  <si>
    <t>ارباب حسین(ع)</t>
  </si>
  <si>
    <t>https://www.instagram.com/arbabhosein87/</t>
  </si>
  <si>
    <t>eitaa.com/mokebarbabhosein87</t>
  </si>
  <si>
    <t xml:space="preserve">علی آباد کتول،شهرک منابع طبیعی
</t>
  </si>
  <si>
    <t>https://www.instagram.com/heyat_asheghan_hazrataliasghar</t>
  </si>
  <si>
    <t>منتظران مهدی ولاغوز</t>
  </si>
  <si>
    <t>ولاغوز</t>
  </si>
  <si>
    <t>https://www.instagram.com/montazeran_mahdi_valaghoz/</t>
  </si>
  <si>
    <t>رضوی</t>
  </si>
  <si>
    <t>https://www.instagram.com/heyat_razavi_kordkuy</t>
  </si>
  <si>
    <t>https://www.instagram.com/heyat_sajjadieh</t>
  </si>
  <si>
    <t>https://eitaa.com/heyat_sajjadieh_kordkoy</t>
  </si>
  <si>
    <t>https://www.instagram.com/heyat.karim.ahle.beyt/</t>
  </si>
  <si>
    <t>محبان اهل بیت-ثارالله</t>
  </si>
  <si>
    <t>https://www.instagram.com/heyat_moheban_ahle_beyt/</t>
  </si>
  <si>
    <t>https://www.instagram.com/beynolharmeyn_kordkoy/</t>
  </si>
  <si>
    <t>https://t.me/beynolharmeyn_kordkoy</t>
  </si>
  <si>
    <t>عشاق الحسن</t>
  </si>
  <si>
    <t>https://www.instagram.com/eshagh_elhasan118/</t>
  </si>
  <si>
    <t>https://eitaa.com/eshagh_elhasan118</t>
  </si>
  <si>
    <t>https://www.instagram.com/heyatansar_313/</t>
  </si>
  <si>
    <t>محبان‌حضرت علی‌اکبر(ع)</t>
  </si>
  <si>
    <t>https://www.instagram.com/heyat_moheban_333/</t>
  </si>
  <si>
    <t>جوانان بیت الزهرا</t>
  </si>
  <si>
    <t>https://www.instagram.com/beytozahra_kalaleh/</t>
  </si>
  <si>
    <t>فدک‌الزهرا‌سلا‌م‌الله‌علیها‌</t>
  </si>
  <si>
    <t>https://www.instagram.com/fadaktv.ir/</t>
  </si>
  <si>
    <t>عزادارن حسین ابن علی(ع)</t>
  </si>
  <si>
    <t>https://www.instagram.com/masjed.sahebzaman.galikesh</t>
  </si>
  <si>
    <t>اعظم سیدالشهدا</t>
  </si>
  <si>
    <t>https://www.instagram.com/hosseinie.azam.seyedoshohada/</t>
  </si>
  <si>
    <t>https://t.me/hoseiniyeazamgalikesh</t>
  </si>
  <si>
    <t>بیت‌الاحزان‌حضرت‌زینب‌(س)</t>
  </si>
  <si>
    <t xml:space="preserve">درس میدان نامجو(گرگان)
انتهای خیابان برزگران
</t>
  </si>
  <si>
    <t>https://www.instagram.com/beeytolahzan</t>
  </si>
  <si>
    <t xml:space="preserve">هیأت دخترانه </t>
  </si>
  <si>
    <t>خامس آل عبا</t>
  </si>
  <si>
    <t>https://www.instagram.com/dokhtarane_khames_aleaba/</t>
  </si>
  <si>
    <t>https://eitaa.com/s/dokhtaran_khames_aleaba</t>
  </si>
  <si>
    <t>https://www.instagram.com/fatemioongorgan/</t>
  </si>
  <si>
    <t>عزاداران گرگان</t>
  </si>
  <si>
    <t>https://www.instagram.com/h.azadaran</t>
  </si>
  <si>
    <t>عزاداری محمدآباد</t>
  </si>
  <si>
    <t>https://www.instagram.com/heiat.mohammadabad.gorgan</t>
  </si>
  <si>
    <t>رایت العباس (ع)</t>
  </si>
  <si>
    <t xml:space="preserve">
گرگان خیابان امام رضا (علیه السلام) نبش کوچه (۱۶ )
اللهم عجل لولیک الفرج
</t>
  </si>
  <si>
    <t>https://www.instagram.com/heyat_rayatol_abbas</t>
  </si>
  <si>
    <t>محبان فاطمه الزهرا</t>
  </si>
  <si>
    <t>https://www.instagram.com/hyat.mohebn.fatema.zahra/</t>
  </si>
  <si>
    <t>پنج تن آل عبا</t>
  </si>
  <si>
    <t>https://www.instagram.com/khames.alaba/</t>
  </si>
  <si>
    <t>https://rubika.ir/khames_alaba_110</t>
  </si>
  <si>
    <t>https://www.instagram.com/maktabeshohada_gorgan/</t>
  </si>
  <si>
    <t>https://eitaa.com/maktabeshohada_gorgan</t>
  </si>
  <si>
    <t>مسجد جامع گلشن گرگان</t>
  </si>
  <si>
    <t>https://www.instagram.com/masjed_jame_golshan</t>
  </si>
  <si>
    <t>دانشجویی</t>
  </si>
  <si>
    <t xml:space="preserve">محبان‌الزهرا(س)
</t>
  </si>
  <si>
    <t>https://www.instagram.com/moheban.o.zahra</t>
  </si>
  <si>
    <t>گلستان،گرگان،کوی دخانیات، بلوار شهید صیاد شیرازی،صیاد ١۴،مسجد امام علی علیه السلام.</t>
  </si>
  <si>
    <t>https://www.instagram.com/nooroshohada.ir/</t>
  </si>
  <si>
    <t>https://eitaa.com/s/noorolshohada_ir</t>
  </si>
  <si>
    <t>رهروان حاج قاسم</t>
  </si>
  <si>
    <t>https://www.instagram.com/rahrovann_ir/</t>
  </si>
  <si>
    <t>https://t.me/rahrovann_ir</t>
  </si>
  <si>
    <t>https://eitaa.com/rahrovann_ir</t>
  </si>
  <si>
    <t>نورالشهداء</t>
  </si>
  <si>
    <t>https://www.instagram.com/noorolshohada.ir/</t>
  </si>
  <si>
    <t>سرخنکلاته</t>
  </si>
  <si>
    <t>https://www.instagram.com/heyate_emam_hasan_mojtaba</t>
  </si>
  <si>
    <t>https://www.instagram.com/heiatsarallah96/</t>
  </si>
  <si>
    <t>حضرت رقیه(س)</t>
  </si>
  <si>
    <t>https://www.instagram.com/heyate_hazrate_roqayeh95/</t>
  </si>
  <si>
    <t>https://www.instagram.com/javanan_bnihashem</t>
  </si>
  <si>
    <t>خادمین حضرت علی اکبر علیه السلام</t>
  </si>
  <si>
    <t>مصلے امـام جـعفر صـادق(ع)</t>
  </si>
  <si>
    <t>https://www.instagram.com/aliakbar_h333</t>
  </si>
  <si>
    <r>
      <rPr>
        <rFont val="-apple-system, BlinkMacSystemFont, &quot;Segoe UI&quot;, Roboto, Helvetica, Arial, sans-serif"/>
        <color rgb="FF1155CC"/>
        <sz val="11.0"/>
        <u/>
      </rPr>
      <t>eitaa.com/aliakbar_h333</t>
    </r>
  </si>
  <si>
    <t>جمعه شب ها</t>
  </si>
  <si>
    <t>حسن جعفری</t>
  </si>
  <si>
    <t>https://www.instagram.com/hasan.jafary313/</t>
  </si>
  <si>
    <t>منتظران مهدی(عج)</t>
  </si>
  <si>
    <t>https://www.instagram.com/313montazeran_com/</t>
  </si>
  <si>
    <t>https://www.instagram.com/emam.reza116/</t>
  </si>
  <si>
    <t>فدائیان حسین{ع}</t>
  </si>
  <si>
    <t>https://www.instagram.com/fadaeian_gonbad/</t>
  </si>
  <si>
    <t>https://www.instagram.com/janatolabas__gonbad/</t>
  </si>
  <si>
    <t>https://www.instagram.com/beinolharameinminudasht/</t>
  </si>
  <si>
    <t>https://t.me/beinolharamein_minoodasht</t>
  </si>
  <si>
    <t>هیأت منتظران مهدی (عج)</t>
  </si>
  <si>
    <t>https://eitaa.com/montazeran_com</t>
  </si>
  <si>
    <t>https://www.instagram.com/mokeb_minoodasht?utm_source=ig_web_button_share_sheet&amp;igsh=ZDNlZDc0MzIxNw==</t>
  </si>
  <si>
    <t xml:space="preserve"> ابوالفضلیا</t>
  </si>
  <si>
    <t>خیابان پاسداران روبری بلوار بسیج خیابان معلم</t>
  </si>
  <si>
    <t>https://www.instagram.com/abolfazlia_minoodasht?utm_source=ig_web_button_share_sheet&amp;igsh=ZDNlZDc0MzIxNw==</t>
  </si>
  <si>
    <t>هیات مسجد علی بن ابیطالب _ بیت الزهرا (س)</t>
  </si>
  <si>
    <r>
      <rPr>
        <rFont val="Arial"/>
        <color rgb="FF1155CC"/>
        <u/>
      </rPr>
      <t>@bytozzahra</t>
    </r>
  </si>
  <si>
    <r>
      <rPr>
        <rFont val="Arial"/>
        <color rgb="FF1155CC"/>
        <u/>
      </rPr>
      <t>@razmandegan_kordkuy</t>
    </r>
  </si>
  <si>
    <t>مسجد جامع کردکوی</t>
  </si>
  <si>
    <r>
      <rPr>
        <rFont val="Arial"/>
        <color rgb="FF1155CC"/>
        <u/>
      </rPr>
      <t>@kashkkuol</t>
    </r>
  </si>
  <si>
    <r>
      <rPr>
        <rFont val="Arial"/>
        <color rgb="FF1155CC"/>
        <u/>
      </rPr>
      <t>@saheb_azaman313</t>
    </r>
  </si>
  <si>
    <t>مسجد امام حسین ع</t>
  </si>
  <si>
    <r>
      <rPr>
        <rFont val="Arial"/>
        <color rgb="FF1155CC"/>
        <u/>
      </rPr>
      <t>@masjed_nama_kalaleh</t>
    </r>
  </si>
  <si>
    <r>
      <rPr>
        <rFont val="Arial"/>
        <color rgb="FF1155CC"/>
        <u/>
      </rPr>
      <t>@heyatemotavasselin_313</t>
    </r>
  </si>
  <si>
    <r>
      <rPr>
        <rFont val="Arial"/>
        <color rgb="FF1155CC"/>
        <u/>
      </rPr>
      <t>@bainolharamaingalikesh</t>
    </r>
  </si>
  <si>
    <r>
      <rPr>
        <rFont val="Arial"/>
        <color rgb="FF1155CC"/>
        <u/>
      </rPr>
      <t>emamzadehabdollah1gorgan</t>
    </r>
  </si>
  <si>
    <t>https://www.instagram.com/heyat_amar_yaser?</t>
  </si>
  <si>
    <t>https://www.instagram.com/sabre_zeinab?utm_source=ig_web_button_share_sheet&amp;igsh=ZDNlZDc0MzIxNw==</t>
  </si>
  <si>
    <t>مدافعان ولایت</t>
  </si>
  <si>
    <t>بهارستان</t>
  </si>
  <si>
    <t>https://eitaa.com/mv_1396</t>
  </si>
  <si>
    <t>https://eitaa.com/mokebhazrataliasghargorgan</t>
  </si>
  <si>
    <t>گلپایگان</t>
  </si>
  <si>
    <t>https://www.instagram.com/yahosein_golpayegan/</t>
  </si>
  <si>
    <t xml:space="preserve">لنجان </t>
  </si>
  <si>
    <t xml:space="preserve">فولادشهر </t>
  </si>
  <si>
    <t>https://www.instagram.com/ashouraiyan_313/</t>
  </si>
  <si>
    <t>برخوار</t>
  </si>
  <si>
    <t>دولت آباد</t>
  </si>
  <si>
    <t>https://www.instagram.com/heyat_aliakbar_dolatabad8/</t>
  </si>
  <si>
    <t xml:space="preserve">نجف اباد </t>
  </si>
  <si>
    <t>https://www.instagram.com/fatimieh_waliasr/</t>
  </si>
  <si>
    <t>ذاکرین اهل بیت(ع)</t>
  </si>
  <si>
    <t>https://www.instagram.com/zakerinahlebeyt/</t>
  </si>
  <si>
    <t>امام حسن مجتبی (ع) طوفاحته الفردوس</t>
  </si>
  <si>
    <t>https://www.instagram.com/imam_mojtaba_h/</t>
  </si>
  <si>
    <t>مجموعه فرهنگی یادگاران امام(ره)</t>
  </si>
  <si>
    <t>https://www.instagram.com/yadegaran_ir/</t>
  </si>
  <si>
    <t>https://www.instagram.com/qamarbanihashem_nasrabad/</t>
  </si>
  <si>
    <t>مرکز فرهنگی فانوس</t>
  </si>
  <si>
    <t>https://www.instagram.com/fanousgroup_ir</t>
  </si>
  <si>
    <t>https://eitaa.com/Fanousgroup_ir</t>
  </si>
  <si>
    <t>مجمع فرهنگی علویون</t>
  </si>
  <si>
    <t>https://www.instagram.com/alaviyoonisf</t>
  </si>
  <si>
    <t>https://t.me/Alaviyoonisf</t>
  </si>
  <si>
    <t>https://www.instagram.com/fadaeianhoseinir</t>
  </si>
  <si>
    <t>https://eitaa.com/fadaeianhoseinir</t>
  </si>
  <si>
    <t>سیدرضا نریمانی</t>
  </si>
  <si>
    <t>مجتمع فرهنگی باران (ویژه نوجوانان)</t>
  </si>
  <si>
    <t>https://www.instagram.com/m.baraniha/</t>
  </si>
  <si>
    <t>یاران خورشید ، رهروان حضرت مهدی (عج)</t>
  </si>
  <si>
    <t>https://www.instagram.com/yarane_khorshid/</t>
  </si>
  <si>
    <t>رزمندگان اسلام (عاشقان ثارالله(ع)</t>
  </si>
  <si>
    <t>تیران و کرون</t>
  </si>
  <si>
    <t>https://eitaa.com/razmandegantiran</t>
  </si>
  <si>
    <t>انصارالحسین(ع) (موسسه فرهنگی شهید بهشتی)</t>
  </si>
  <si>
    <t>https://www.instagram.com/beheshtyian</t>
  </si>
  <si>
    <t>https://t.me/Beheshtyian</t>
  </si>
  <si>
    <t>امامزاده هارونیه</t>
  </si>
  <si>
    <t>https://www.instagram.com/haroniieh</t>
  </si>
  <si>
    <t>https://t.me/haronieh</t>
  </si>
  <si>
    <t>عترت بینه</t>
  </si>
  <si>
    <t>https://www.instagram.com/mqebir</t>
  </si>
  <si>
    <t>https://www.instagram.com/ansarolhosain_ir/</t>
  </si>
  <si>
    <t>https://t.me/ansaroolhosain</t>
  </si>
  <si>
    <t>https://eitaa.com/ansaroolhosain</t>
  </si>
  <si>
    <t>آوارگان حرم</t>
  </si>
  <si>
    <t>https://www.instagram.com/senjvadamam3</t>
  </si>
  <si>
    <t>مجموعه فرهنگی پانزده خرداد</t>
  </si>
  <si>
    <t>https://www.instagram.com/mf_15khordad/</t>
  </si>
  <si>
    <t>https://eitaa.com/mf_15khordad</t>
  </si>
  <si>
    <t>خمینی شهر</t>
  </si>
  <si>
    <t>https://www.instagram.com/solale_ir</t>
  </si>
  <si>
    <t>مسجد قدس</t>
  </si>
  <si>
    <t>https://www.instagram.com/qods_charity</t>
  </si>
  <si>
    <t>محفل فرهنگی آسمانی ها</t>
  </si>
  <si>
    <t>https://www.instagram.com/asemaniha_ir</t>
  </si>
  <si>
    <t>کوهپایه</t>
  </si>
  <si>
    <t>https://www.instagram.com/heatabolfazlvazvan/</t>
  </si>
  <si>
    <t>https://eitaa.com/abolfazl_1345</t>
  </si>
  <si>
    <t>هیأت مسجد</t>
  </si>
  <si>
    <t>https://eitaa.com/sahebalzaman_mosque</t>
  </si>
  <si>
    <t>کانون فرهنگی گل نرگس(عج)</t>
  </si>
  <si>
    <t>https://www.instagram.com/goole_narges95</t>
  </si>
  <si>
    <t>مرکز فرهنگی قائم(عج)</t>
  </si>
  <si>
    <t>https://www.instagram.com/heyatehazrateghaem</t>
  </si>
  <si>
    <t>دارالسلام امام مهدی (عج)</t>
  </si>
  <si>
    <t>https://www.instagram.com/darosalam_esf</t>
  </si>
  <si>
    <t>https://www.instagram.com/yakarbala1001</t>
  </si>
  <si>
    <t>بیت المهدی (عج)</t>
  </si>
  <si>
    <t>https://eitaa.com/Bmjar_ir</t>
  </si>
  <si>
    <t>https://www.instagram.com/bonyadbaghyatallah</t>
  </si>
  <si>
    <t>https://www.instagram.com/heiat_ghamar_banihashem_es</t>
  </si>
  <si>
    <t>حسین جان(ع)</t>
  </si>
  <si>
    <t>https://www.instagram.com/hoseinjan.182</t>
  </si>
  <si>
    <t>https://t.me/hoseinjan182</t>
  </si>
  <si>
    <t>https://eitaa.com/hoseinjan182</t>
  </si>
  <si>
    <t>بین الحرمین (مجموعه غدیر)</t>
  </si>
  <si>
    <t>https://www.instagram.com/beynolharamein_esf</t>
  </si>
  <si>
    <t>https://eitaa.com/ghaamabnhasn</t>
  </si>
  <si>
    <t>حضرت علی بن ابیطالب(ع)</t>
  </si>
  <si>
    <t>https://www.instagram.com/heyate_aliebne_abitaleb</t>
  </si>
  <si>
    <t>موسسه و مکتب المهدی (عج)</t>
  </si>
  <si>
    <t>https://www.instagram.com/maktab_almahdi.99</t>
  </si>
  <si>
    <t>زنجیر زنان شاهزاده علی اکبر(ع)</t>
  </si>
  <si>
    <r>
      <rPr>
        <color rgb="FF1155CC"/>
        <u/>
      </rPr>
      <t>https://www.instagram.com/h_hazratealiakbar</t>
    </r>
    <r>
      <rPr>
        <color rgb="FF000000"/>
      </rPr>
      <t>\</t>
    </r>
  </si>
  <si>
    <t>https://www.instagram.com/moheban_emamhasan</t>
  </si>
  <si>
    <t>https://t.me/moheban_emamhasan</t>
  </si>
  <si>
    <t>شهدای مهدویون</t>
  </si>
  <si>
    <t>https://www.instagram.com/heyatmahdiyounesfahan</t>
  </si>
  <si>
    <t xml:space="preserve"> عشاق الحسین(ع)</t>
  </si>
  <si>
    <t>https://www.instagram.com/oshaghol_hossein1</t>
  </si>
  <si>
    <t>https://eitaa.com/oshaghol_hossein1</t>
  </si>
  <si>
    <t>قمربنی هاشم(ع) / حضرت ابوالفضل(ع)</t>
  </si>
  <si>
    <t>https://www.instagram.com/saghaa1387</t>
  </si>
  <si>
    <t>https://www.instagram.com/sahebalzaman.shahinshahr</t>
  </si>
  <si>
    <t>اردستان</t>
  </si>
  <si>
    <t>https://www.instagram.com/ansarolhojat313</t>
  </si>
  <si>
    <t>https://t.me/ansarolhojat313</t>
  </si>
  <si>
    <t>سربازان امام زمان(عج)</t>
  </si>
  <si>
    <t>زواره</t>
  </si>
  <si>
    <t>https://www.instagram.com/sahebalzaman_mosque</t>
  </si>
  <si>
    <t xml:space="preserve">ائمه بقیع(ع)
</t>
  </si>
  <si>
    <t>https://www.instagram.com/aeme_baqi</t>
  </si>
  <si>
    <t>https://t.me/aeme_baqii</t>
  </si>
  <si>
    <t>https://eitaa.com/aeme_baqiii</t>
  </si>
  <si>
    <t>کانون محبان الزهرا(س) مسجد مسلم</t>
  </si>
  <si>
    <t>https://www.instagram.com/moheban.isf</t>
  </si>
  <si>
    <t>مسلم بن عقیل(ع)</t>
  </si>
  <si>
    <t>https://www.instagram.com/moslemie_esfahan</t>
  </si>
  <si>
    <t>https://t.me/yamoslemie</t>
  </si>
  <si>
    <t>مجموعه فرهنگی مسجد الامام</t>
  </si>
  <si>
    <t>https://www.instagram.com/masjed_emam_channel</t>
  </si>
  <si>
    <t>محبان الحسین(ع) (کانون فرهنگی جنات)</t>
  </si>
  <si>
    <t>https://www.instagram.com/baghshan_farhangi313</t>
  </si>
  <si>
    <t>متوسلین به ائمه بقیع(ع)</t>
  </si>
  <si>
    <t>https://www.instagram.com/heiatbaghbadoran</t>
  </si>
  <si>
    <t>https://eitaa.com/heiatbaghbadoran</t>
  </si>
  <si>
    <t>یاس</t>
  </si>
  <si>
    <t>https://www.instagram.com/yasesf133</t>
  </si>
  <si>
    <t>بچه های انقلاب</t>
  </si>
  <si>
    <t>https://www.instagram.com/bachehaye.enghelab</t>
  </si>
  <si>
    <t>https://t.me/hiyatbachehaeenghelab</t>
  </si>
  <si>
    <t>مجمع فرهنگی شهید اژه ای</t>
  </si>
  <si>
    <t>https://www.instagram.com/majmaiha</t>
  </si>
  <si>
    <t>حسینیه مسجد مصری</t>
  </si>
  <si>
    <t>https://www.instagram.com/masjed.mesri</t>
  </si>
  <si>
    <t>https://eitaa.com/joinchat/2858287332Cbde5fce19c</t>
  </si>
  <si>
    <t>تسنیم</t>
  </si>
  <si>
    <t>https://www.instagram.com/tawashih_tasnim</t>
  </si>
  <si>
    <t>https://www.instagram.com/fatemiyejoshoghaniha</t>
  </si>
  <si>
    <t>https://t.me/heyatefatemieh133</t>
  </si>
  <si>
    <t>حضرت زهرا(س) (خواهران)</t>
  </si>
  <si>
    <t>https://www.instagram.com/banovan_fatemii</t>
  </si>
  <si>
    <t>https://eitaa.com/heiatefatematozahra</t>
  </si>
  <si>
    <t>نهاد نمایندگی مقام معظم رهبری در دانشگاه پیام نور اصفهان</t>
  </si>
  <si>
    <t>https://eitaa.com/pnuesf_nahad_ir</t>
  </si>
  <si>
    <t>سائلان الحسین (ع)</t>
  </si>
  <si>
    <t>https://www.instagram.com/saelanelhossein</t>
  </si>
  <si>
    <t>حضرت قاسم بن الحسن (ع)</t>
  </si>
  <si>
    <t>https://www.instagram.com/hazratghasem_94</t>
  </si>
  <si>
    <t>موسسه امیر بیان</t>
  </si>
  <si>
    <t>https://eitaa.com/amirebayanesf</t>
  </si>
  <si>
    <t>https://www.instagram.com/mokeb_aleyasin</t>
  </si>
  <si>
    <t>علی بن ابیطالب(ع)</t>
  </si>
  <si>
    <t>https://eitaa.com/aheyatiha_ir</t>
  </si>
  <si>
    <t>مسجد و مجموعه فرهنگی امام حسن عسکری (ع)</t>
  </si>
  <si>
    <t>https://www.instagram.com/maktabalabbas313</t>
  </si>
  <si>
    <t>حضرت علی بن موسی الرضا(ع)</t>
  </si>
  <si>
    <t>https://www.instagram.com/heyat_rezaie_kashan</t>
  </si>
  <si>
    <t>https://t.me/heyat_rezaie_kashan</t>
  </si>
  <si>
    <t>https://eitaa.com/heyat_rezaie_kashan</t>
  </si>
  <si>
    <t>حب الائمه(ع)</t>
  </si>
  <si>
    <t>https://eitaa.com/hobesf</t>
  </si>
  <si>
    <t>https://www.instagram.com/music.hazratqasem_/</t>
  </si>
  <si>
    <t>محبان حضرت زهرا (س)</t>
  </si>
  <si>
    <t>https://www.instagram.com/mohebanalzahra.isf</t>
  </si>
  <si>
    <t>https://eitaa.com/MOHEBAN_AL_ZAHRA</t>
  </si>
  <si>
    <t>https://www.instagram.com/mohebanalmahdi_110</t>
  </si>
  <si>
    <t>https://t.me/mohebanalmahdi110</t>
  </si>
  <si>
    <t>آران وبیدگل</t>
  </si>
  <si>
    <t>https://www.instagram.com/heyateansaralmahdi</t>
  </si>
  <si>
    <t>https://www.instagram.com/heyat_emam.reza</t>
  </si>
  <si>
    <t>https://www.instagram.com/haramtaharam</t>
  </si>
  <si>
    <t>https://t.me/heyat_abalfazliaran</t>
  </si>
  <si>
    <t>شمیم ولایت</t>
  </si>
  <si>
    <t>https://eitaa.com/ravabetesf1</t>
  </si>
  <si>
    <t>لنجان</t>
  </si>
  <si>
    <t>https://www.instagram.com/ansaralmahdi_lapouei</t>
  </si>
  <si>
    <t>https://t.me/ansaralmahdi_lapouei</t>
  </si>
  <si>
    <t>https://www.instagram.com/mohebban_m</t>
  </si>
  <si>
    <t>https://eitaa.com/Heyat_fatemiun_esferenjan</t>
  </si>
  <si>
    <t>حسینیه حضرت حضرت ابوالفضل (ع)</t>
  </si>
  <si>
    <t>مبارکه</t>
  </si>
  <si>
    <t>https://www.instagram.com/montazeranemahdiaj</t>
  </si>
  <si>
    <t>https://t.me/montazeranemahdiaj</t>
  </si>
  <si>
    <t>https://www.instagram.com/salman.isf</t>
  </si>
  <si>
    <t>https://eitaa.com/salman_isf</t>
  </si>
  <si>
    <t>دهاقان</t>
  </si>
  <si>
    <t>https://www.instagram.com/moheban_hoseyn128</t>
  </si>
  <si>
    <t>https://www.instagram.com/heyyat_hazrat_abalfazl</t>
  </si>
  <si>
    <t>https://www.instagram.com/heyat_mohebban_almahdi</t>
  </si>
  <si>
    <t>حضرت قائم(عج)</t>
  </si>
  <si>
    <t>https://www.instagram.com/masjed_hazratghaem</t>
  </si>
  <si>
    <t>کانون شهید مطهری (ره)</t>
  </si>
  <si>
    <t>https://eitaa.com/kanon_motahari_razan</t>
  </si>
  <si>
    <t>صاحب الزمان (عج) روستای مهدی آباد</t>
  </si>
  <si>
    <t>https://www.instagram.com/saheb_alzaman_heyat</t>
  </si>
  <si>
    <t>حضرت ابوالفضل العباس(ع)</t>
  </si>
  <si>
    <t>https://www.instagram.com/board12998</t>
  </si>
  <si>
    <t>امام حسن عسکری (ع)</t>
  </si>
  <si>
    <t>چادگان</t>
  </si>
  <si>
    <t>https://www.instagram.com/heyat_emamhasan_askari</t>
  </si>
  <si>
    <t>منتظران یوسف زهرا (عج)</t>
  </si>
  <si>
    <t>https://www.instagram.com/mokebyousofezahra</t>
  </si>
  <si>
    <t>خور و بیابانک</t>
  </si>
  <si>
    <t>https://www.instagram.com/kheirestan</t>
  </si>
  <si>
    <t>مسجد النبی (ص) (دانشگاه ازاد)</t>
  </si>
  <si>
    <t>https://eitaa.com/nahadazadesf</t>
  </si>
  <si>
    <t>دارالقرآن رضوی</t>
  </si>
  <si>
    <t>https://www.instagram.com/razavi_q</t>
  </si>
  <si>
    <t>https://www.instagram.com/alamdarhossein473</t>
  </si>
  <si>
    <t>https://t.me/Alamdar_hossain473</t>
  </si>
  <si>
    <t>مکتب الرضا(ع) / فاطمیه</t>
  </si>
  <si>
    <t>https://www.instagram.com/maktabolreza184</t>
  </si>
  <si>
    <t>محفل قرآن امام رضا(ع)</t>
  </si>
  <si>
    <t>https://eitaa.com/mahfelimamreza</t>
  </si>
  <si>
    <t>هیأت خانگی</t>
  </si>
  <si>
    <t>متوسلین بحضرت موسی بن جعفر (ع)</t>
  </si>
  <si>
    <t>https://www.instagram.com/heyat_musabnejafar</t>
  </si>
  <si>
    <t>باب الحوائج(ع)</t>
  </si>
  <si>
    <t>خوانسار</t>
  </si>
  <si>
    <t>https://www.instagram.com/babal_havaej1</t>
  </si>
  <si>
    <t>خوراسگان</t>
  </si>
  <si>
    <t>https://www.instagram.com/heiat.maktabol.abbas</t>
  </si>
  <si>
    <t>حوزه علمیه امام صادق (ع)</t>
  </si>
  <si>
    <t>https://eitaa.com/hozehimamsadeq</t>
  </si>
  <si>
    <t>عزاداران حسینی / قمربنی هاشم (ع)</t>
  </si>
  <si>
    <t>https://www.instagram.com/heyat_ghamar315</t>
  </si>
  <si>
    <t>https://eitaa.com/ghamar_p</t>
  </si>
  <si>
    <t>https://www.instagram.com/seyed.all.shohada</t>
  </si>
  <si>
    <t>کانون صاحب الزمان(عج)</t>
  </si>
  <si>
    <t>https://eitaa.com/HBSahebazzaman</t>
  </si>
  <si>
    <t>محبان الحسین(ع)</t>
  </si>
  <si>
    <t>https://www.instagram.com/heyat.mohebbanolhossein</t>
  </si>
  <si>
    <t>https://www.instagram.com/rahrovane_abas</t>
  </si>
  <si>
    <t>جوانان عاشقان ثارالله(ع)</t>
  </si>
  <si>
    <t>https://www.instagram.com/asheghan_saralh_rey</t>
  </si>
  <si>
    <t>https://t.me/Ashegan_saralah_rey</t>
  </si>
  <si>
    <t>جوانان عاشورائی</t>
  </si>
  <si>
    <t>https://www.instagram.com/javanane_ashorayi</t>
  </si>
  <si>
    <t>https://www.instagram.com/maktab_almahdi59</t>
  </si>
  <si>
    <t>جوانان متوسلین به حضرت رقیه(س)</t>
  </si>
  <si>
    <t>https://www.instagram.com/heyathazratroghayeh84</t>
  </si>
  <si>
    <t>https://eitaa.com/ansarandarzgo</t>
  </si>
  <si>
    <t>https://www.instagram.com/mohebbin_info</t>
  </si>
  <si>
    <t>https://t.me/fatemiyonmalekshahr</t>
  </si>
  <si>
    <t>https://www.instagram.com/mohebanaliakbar_ir</t>
  </si>
  <si>
    <t>سمیرم</t>
  </si>
  <si>
    <t>https://www.instagram.com/a_sahebzaman</t>
  </si>
  <si>
    <t>شاهین شهر</t>
  </si>
  <si>
    <t>https://www.instagram.com/heyat_panjtan_ale_aba</t>
  </si>
  <si>
    <t>گروه سرود</t>
  </si>
  <si>
    <t>جوانان انصارالمهدی (عج)</t>
  </si>
  <si>
    <t>https://www.instagram.com/ansaralmahdishahinshahr</t>
  </si>
  <si>
    <t>مجموعه فرهنگی آل طه</t>
  </si>
  <si>
    <t>https://eitaa.com/Aletaha_heyat</t>
  </si>
  <si>
    <t>موسسه قرآنی _ مدرسه القران الکریم</t>
  </si>
  <si>
    <t>شهرضا</t>
  </si>
  <si>
    <t>https://eitaa.com/MahdeQuran_Shahreza</t>
  </si>
  <si>
    <t>امامزاده شاه رضا(ع)</t>
  </si>
  <si>
    <t>https://www.instagram.com/astanshahreza</t>
  </si>
  <si>
    <t>https://t.me/shaahreza_ir</t>
  </si>
  <si>
    <t>https://eitaa.com/heyatjavodolaeme</t>
  </si>
  <si>
    <t>روحانی طرح هجرت</t>
  </si>
  <si>
    <t>https://eitaa.com/farhangihozeh</t>
  </si>
  <si>
    <t>کانون فرهنگی هنری الغدیر</t>
  </si>
  <si>
    <t>فلاورجان</t>
  </si>
  <si>
    <t>https://eitaa.com/kanoonghadir_tiran</t>
  </si>
  <si>
    <t>https://www.instagram.com/h_gamarbanihashem</t>
  </si>
  <si>
    <t>فرهنگی امامین عسکریین(ع)</t>
  </si>
  <si>
    <t>https://www.instagram.com/emamayn/</t>
  </si>
  <si>
    <t>https://t.me/emamayn</t>
  </si>
  <si>
    <t>فرهنگی عشاق الحسن (ع)</t>
  </si>
  <si>
    <t>https://www.instagram.com/hasanjanir/</t>
  </si>
  <si>
    <t>https://www.instagram.com/janat.al.abbas/</t>
  </si>
  <si>
    <t>https://t.me/jannat_al_abbas</t>
  </si>
  <si>
    <t>عشاق الزهرا(س) (مسجد الزهرا(س)</t>
  </si>
  <si>
    <t>حجت(عج)</t>
  </si>
  <si>
    <r>
      <rPr>
        <color rgb="FF1155CC"/>
        <u/>
      </rPr>
      <t>https://www.instagram.com/hojatol_eslam</t>
    </r>
    <r>
      <rPr>
        <color rgb="FF000000"/>
      </rPr>
      <t>\</t>
    </r>
  </si>
  <si>
    <t>عشاق الولایه</t>
  </si>
  <si>
    <t>https://www.instagram.com/heyatkaums</t>
  </si>
  <si>
    <t>https://t.me/oshaqalvelayah_kaums</t>
  </si>
  <si>
    <t>https://eitaa.com/oshaqalvelayah_kaums</t>
  </si>
  <si>
    <t>https://www.instagram.com/heyat.asheghan.sarallah</t>
  </si>
  <si>
    <t>https://www.instagram.com/heyat_fatemiyon81</t>
  </si>
  <si>
    <t>https://www.instagram.com/h.mosiebnjafar</t>
  </si>
  <si>
    <t>محبان الحسین(ع) (خیمه گاه زرنجان)</t>
  </si>
  <si>
    <t>https://www.instagram.com/kheimegahe_zerenjan</t>
  </si>
  <si>
    <t>https://eitaa.com/heiatoshagh</t>
  </si>
  <si>
    <t>https://www.instagram.com/m.shohada.ir</t>
  </si>
  <si>
    <t>https://t.me/m_shohada_pakdasht</t>
  </si>
  <si>
    <t>گوگد</t>
  </si>
  <si>
    <t>https://www.instagram.com/beyt.aljavad</t>
  </si>
  <si>
    <t>https://www.instagram.com/moontazeran.zohour</t>
  </si>
  <si>
    <t>حسینیه حضرت اباالفضل (ع)</t>
  </si>
  <si>
    <t>https://www.instagram.com/husseiniyah_prophet_abolfazl_a</t>
  </si>
  <si>
    <t>زهرائیون</t>
  </si>
  <si>
    <t>https://eitaa.com/zahraeioon</t>
  </si>
  <si>
    <t xml:space="preserve">جان نثاران قمربنی هاشم(ع) </t>
  </si>
  <si>
    <t>https://www.instagram.com/reza1369d</t>
  </si>
  <si>
    <t>ریحانه النبی (س)</t>
  </si>
  <si>
    <t>https://www.instagram.com/reyhaneyenabi</t>
  </si>
  <si>
    <t>https://www.instagram.com/faresalhejaz.aj</t>
  </si>
  <si>
    <t>https://www.instagram.com/heyat_abolfazl_najafshahr</t>
  </si>
  <si>
    <t>https://t.me/abolfazlnajafshahr</t>
  </si>
  <si>
    <t>https://eitaa.com/alamdareh_hosein</t>
  </si>
  <si>
    <t>https://www.instagram.com/heyat_hazrat_aboalfazl</t>
  </si>
  <si>
    <t>حضرت قاسم(ع) زیر نظر کانون مکتب الصادق(ع)</t>
  </si>
  <si>
    <t>https://www.instagram.com/ghasem_ebnlhasan/</t>
  </si>
  <si>
    <t>https://eitaa.com/ghasemebnelhasandastgerd</t>
  </si>
  <si>
    <t>https://eitaa.com/jameh_esf</t>
  </si>
  <si>
    <t>مسجد رسول اکرم(ص)</t>
  </si>
  <si>
    <t>https://eitaa.com/masjed_esf</t>
  </si>
  <si>
    <t>جوانان بین الحرمین</t>
  </si>
  <si>
    <t>https://eitaa.com/beynolharameinfarvi</t>
  </si>
  <si>
    <t>https://www.instagram.com/heyat__hazrat__abolfzl_yonart</t>
  </si>
  <si>
    <t>https://www.instagram.com/nehzat_eslami_isfahan</t>
  </si>
  <si>
    <t>جوانان ثارالله(ع)</t>
  </si>
  <si>
    <t>https://www.instagram.com/javanan.saralah</t>
  </si>
  <si>
    <t>حیدری میدان بالای محمدیه</t>
  </si>
  <si>
    <t>https://www.instagram.com/heyat_heydari_meydanbala</t>
  </si>
  <si>
    <t>مسجد حضرت سجاد(ع)</t>
  </si>
  <si>
    <t>https://www.instagram.com/masjedesajad</t>
  </si>
  <si>
    <t>قمربنی هاشم (ع) / خاتم الاوصیا (عج)</t>
  </si>
  <si>
    <t>نائین</t>
  </si>
  <si>
    <t>https://www.instagram.com/beytolabass133</t>
  </si>
  <si>
    <t>مسجد امام سجاد(ع)</t>
  </si>
  <si>
    <t>https://t.me/masjedsajadnaein</t>
  </si>
  <si>
    <t xml:space="preserve">نجف آباد </t>
  </si>
  <si>
    <t>https://www.instagram.com/heyat_ansarolhojah_110</t>
  </si>
  <si>
    <t>https://eitaa.com/heyat_ansarolhojah_110</t>
  </si>
  <si>
    <t>https://www.instagram.com/sarallah_njf.ir</t>
  </si>
  <si>
    <t>مجمع جهانی حضرت علی اصغر(ع)</t>
  </si>
  <si>
    <t>https://www.instagram.com/mjaliasghar_njf/</t>
  </si>
  <si>
    <t>https://www.instagram.com/heyat.razmandegan_njf/</t>
  </si>
  <si>
    <t>نطنز</t>
  </si>
  <si>
    <t>https://www.instagram.com/mohebbanenatanz</t>
  </si>
  <si>
    <t>عاشقان ابوالفضل(ع) (مسجد جامع قبا)</t>
  </si>
  <si>
    <t>مسجد جامع قبا</t>
  </si>
  <si>
    <t>https://www.instagram.com/asheghan.abalfazl</t>
  </si>
  <si>
    <t xml:space="preserve">مبارکه </t>
  </si>
  <si>
    <t>https://www.instagram.com/hoseineh_hazrat_abalfazl/</t>
  </si>
  <si>
    <t>رهروان حضرت مهدی (عج)</t>
  </si>
  <si>
    <t>https://www.instagram.com/peyrovanemamzaman/</t>
  </si>
  <si>
    <t>https://www.instagram.com/h_montazeranemahdi</t>
  </si>
  <si>
    <t>جوانان حضرت قاسم بن الحسن (ع)</t>
  </si>
  <si>
    <t>فریدن</t>
  </si>
  <si>
    <t>دامنه</t>
  </si>
  <si>
    <t>https://www.instagram.com/ghasemebnhassan201</t>
  </si>
  <si>
    <t>https://t.me/javanan_ghasm_ebn_al_hasan</t>
  </si>
  <si>
    <t>جان نثاران حضرت علی اکبر(ع) بیت الاکبر</t>
  </si>
  <si>
    <t>https://www.instagram.com/bit_aliakbar/</t>
  </si>
  <si>
    <t>https://www.instagram.com/mohebanealiakbar_ir</t>
  </si>
  <si>
    <t>گردان فرهنگی سلمان (دارالولایه)</t>
  </si>
  <si>
    <t>https://www.instagram.com/darolvelayeh_isf/</t>
  </si>
  <si>
    <t>https://t.me/darolvelayeh</t>
  </si>
  <si>
    <t>https://www.instagram.com/heyatmohebban110/</t>
  </si>
  <si>
    <t>https://t.me/heyatmohebban110</t>
  </si>
  <si>
    <t>https://eitaa.com/heyatmohebban110</t>
  </si>
  <si>
    <t>حضرت ثارالله(ع)</t>
  </si>
  <si>
    <t>https://eitaa.com/sarallah_kalemasih</t>
  </si>
  <si>
    <t>محبین الحسین(ع) (مسجد امام حسین(ع))</t>
  </si>
  <si>
    <t>https://www.instagram.com/mohebin_aba_abdellah</t>
  </si>
  <si>
    <t xml:space="preserve">جوانان محبان الشهدا </t>
  </si>
  <si>
    <t>https://www.instagram.com/javanan_mohebanshohada</t>
  </si>
  <si>
    <t>مجموعه فرهنگی زهرائیان</t>
  </si>
  <si>
    <t>https://eitaa.com/zahraeian</t>
  </si>
  <si>
    <t>مکتب الرضا(ع)</t>
  </si>
  <si>
    <t>https://www.instagram.com/maktab_alreza_shahreza</t>
  </si>
  <si>
    <t>https://eitaa.com/maktab_alreza_shahreza</t>
  </si>
  <si>
    <t>عزاداران حسینی (مسجد القدس)</t>
  </si>
  <si>
    <t>https://www.instagram.com/qods_hoseyni</t>
  </si>
  <si>
    <t>رهروان شهدا (طلاب و دانشجویان عدالت خواه شاهین شهر)</t>
  </si>
  <si>
    <t>https://www.instagram.com/edalatkhahishahinshahr58</t>
  </si>
  <si>
    <t>جوانان ثارالله‏(ع‏)‏</t>
  </si>
  <si>
    <t>نجف آباد</t>
  </si>
  <si>
    <t>https://eitaa.com/h_sarallah_njf</t>
  </si>
  <si>
    <t>دارالقرآن الکریم</t>
  </si>
  <si>
    <t>https://www.instagram.com/dar_al_quran_esfahan</t>
  </si>
  <si>
    <t>https://www.instagram.com/heyat_beytolabbas113</t>
  </si>
  <si>
    <t>مهدی جان(عج)</t>
  </si>
  <si>
    <t>https://www.instagram.com/ansarolmahdikhomainishahr</t>
  </si>
  <si>
    <t>رضویه</t>
  </si>
  <si>
    <t>https://www.instagram.com/heyat_razaviyeh</t>
  </si>
  <si>
    <t>منتظران موعود(عج) (محفل عاشقان ولایت)</t>
  </si>
  <si>
    <t>https://www.instagram.com/montazeran_mowood</t>
  </si>
  <si>
    <t>دانش آموزی و دانشجویی انصارالمهدی (عج) وابسطه به مرکز فرهنگی شهیدآیت الله مدرس</t>
  </si>
  <si>
    <t>https://eitaa.com/etehadie_esf</t>
  </si>
  <si>
    <t>امام حسین(ع) / ملاحیدر</t>
  </si>
  <si>
    <t>https://www.instagram.com/nava._.128</t>
  </si>
  <si>
    <t>محفل فرهنگی موعود / محفل فرهنگی نورباران (بسیجیان مسجد نورباران)</t>
  </si>
  <si>
    <t>https://eitaa.com/mouood</t>
  </si>
  <si>
    <t>https://www.instagram.com/heyat_oshohada/</t>
  </si>
  <si>
    <t>https://www.instagram.com/ansaar_ir</t>
  </si>
  <si>
    <t>منتظران موعود (عج)</t>
  </si>
  <si>
    <t>https://www.instagram.com/montazeranmouod128</t>
  </si>
  <si>
    <t>هیات الرضا (ع)</t>
  </si>
  <si>
    <t>https://www.instagram.com/heyatoreza_isf</t>
  </si>
  <si>
    <t>https://t.me/heyatoreza_isf</t>
  </si>
  <si>
    <t>https://eitaa.com/heyatoreza_isf</t>
  </si>
  <si>
    <t>https://www.instagram.com/monajat_online99</t>
  </si>
  <si>
    <t>قرآن و اهل بیت(ع)</t>
  </si>
  <si>
    <t>https://www.instagram.com/heyat_quran_ahlebeyt</t>
  </si>
  <si>
    <t>https://t.me/Heyat_Quran_Ahlebeyt</t>
  </si>
  <si>
    <t>امام هادی (ع)</t>
  </si>
  <si>
    <t>https://www.instagram.com/hadiannaghi</t>
  </si>
  <si>
    <t>https://t.me/hadiannaghi</t>
  </si>
  <si>
    <t>مسجد المهدی (عج)</t>
  </si>
  <si>
    <t>https://eitaa.com/MasjedAlmahdiGolpa</t>
  </si>
  <si>
    <t>https://eitaa.com/heiatmohebaneahlulbeit</t>
  </si>
  <si>
    <t>https://www.instagram.com/maktab_olhosein</t>
  </si>
  <si>
    <t>https://www.instagram.com/heyat_ghamar_banihashm</t>
  </si>
  <si>
    <t>https://www.instagram.com/ansaralmahdi1376</t>
  </si>
  <si>
    <t>مسجد الرضا(ع)</t>
  </si>
  <si>
    <t>https://eitaa.com/basijemamreza313</t>
  </si>
  <si>
    <t>فرزندان عاشورا</t>
  </si>
  <si>
    <t>https://eitaa.com/farzandan_ashura</t>
  </si>
  <si>
    <t>عاشقان مهدی (عج)</t>
  </si>
  <si>
    <t>https://www.instagram.com/asheghanemahdi_esfahan</t>
  </si>
  <si>
    <t>https://eitaa.com/asheghanemahdi_chanel</t>
  </si>
  <si>
    <t>https://www.instagram.com/h_baghiyatallah</t>
  </si>
  <si>
    <t>مجموعه فرهنگی خادم الشهدا</t>
  </si>
  <si>
    <t>https://www.instagram.com/khodamnjf_313</t>
  </si>
  <si>
    <t>https://eitaa.com/khodamnjf_313</t>
  </si>
  <si>
    <t>محبان قدس</t>
  </si>
  <si>
    <t>https://www.instagram.com/moheban_emam_esf</t>
  </si>
  <si>
    <t>https://www.instagram.com/hosseinie_ale_yasin</t>
  </si>
  <si>
    <t>یارقیه(س)</t>
  </si>
  <si>
    <t>بوئین میاندشت</t>
  </si>
  <si>
    <t>https://www.instagram.com/yaroghayeh.bm</t>
  </si>
  <si>
    <t>رقمربنی هاشم (ع)</t>
  </si>
  <si>
    <t>https://www.instagram.com/heiat.ghamar.bani.hashem.133</t>
  </si>
  <si>
    <t>https://www.instagram.com/rozatozzahra_esf</t>
  </si>
  <si>
    <t>https://www.instagram.com/mahdyieh.kh1</t>
  </si>
  <si>
    <t>https://eitaa.com/emamzade_aliakbar</t>
  </si>
  <si>
    <t>شهدای گمنام (موسسه فرهنگی شهید تورجی زاده)</t>
  </si>
  <si>
    <t>https://eitaa.com/shohada_gomnam78</t>
  </si>
  <si>
    <t>https://www.instagram.com/mohebbin_ahlobeyt</t>
  </si>
  <si>
    <t>https://t.me/mohebbinahlobeyt</t>
  </si>
  <si>
    <t>https://eitaa.com/mohebbinahlobeyt</t>
  </si>
  <si>
    <t>https://www.instagram.com/razmandegan_bh2023</t>
  </si>
  <si>
    <t>https://t.me/razmandegan_bh</t>
  </si>
  <si>
    <t>https://eitaa.com/razmandegan_bh</t>
  </si>
  <si>
    <t>https://eitaa.com/fatemeyunesf</t>
  </si>
  <si>
    <t>هارونیه</t>
  </si>
  <si>
    <t>https://eitaa.com/sayyedmahdi8</t>
  </si>
  <si>
    <t>https://www.instagram.com/ansar_almahdii_110</t>
  </si>
  <si>
    <t>https://eitaa.com/ansaralmahdi1</t>
  </si>
  <si>
    <t>https://www.instagram.com/moheban_al_hossein</t>
  </si>
  <si>
    <t>https://t.me/mohebanhosein_esf</t>
  </si>
  <si>
    <t>داران</t>
  </si>
  <si>
    <t>https://www.instagram.com/heyat_abolfazl_khansar</t>
  </si>
  <si>
    <t>https://t.me/heyat_abolfazl_khansar</t>
  </si>
  <si>
    <t>مکتب العباس (ع) رهنان</t>
  </si>
  <si>
    <t>https://www.instagram.com/maktabol_abbas1</t>
  </si>
  <si>
    <t>فاطمیون دستگردقداده</t>
  </si>
  <si>
    <t>https://www.instagram.com/fatemiundastgerd</t>
  </si>
  <si>
    <t>https://eitaa.com/fatemiundastgerd</t>
  </si>
  <si>
    <t>https://eitaa.com/hiatehazratealiakbar</t>
  </si>
  <si>
    <t>کربلایی های اصفهان</t>
  </si>
  <si>
    <t>https://eitaa.com/karbalaeiha_isf</t>
  </si>
  <si>
    <t>https://www.instagram.com/heyat.hosseini.khansar</t>
  </si>
  <si>
    <t>https://www.instagram.com/heyataaliakbar</t>
  </si>
  <si>
    <t>https://www.instagram.com/heiatsemirom</t>
  </si>
  <si>
    <t>حضرت ابوالفضل(ع) (مسجد قبا)</t>
  </si>
  <si>
    <t>https://www.instagram.com/heyat_hazrate.abalfazl</t>
  </si>
  <si>
    <t>فرهنگی هنری حضرت علی اصغر(ع)</t>
  </si>
  <si>
    <t>https://www.instagram.com/ali_asghar_heiat</t>
  </si>
  <si>
    <t>مجموعه فرهنگی رهپویان وصال</t>
  </si>
  <si>
    <t>https://eitaa.com/Rahpouyan_vesal_Isfahan</t>
  </si>
  <si>
    <t>https://eitaa.com/emamhasan_njf</t>
  </si>
  <si>
    <t>علمدار (حوزه علمیه)</t>
  </si>
  <si>
    <t>https://www.instagram.com/alamdarenajaf</t>
  </si>
  <si>
    <t>https://www.instagram.com/fatemyoun_ir</t>
  </si>
  <si>
    <t>https://eitaa.com/fatemyoon</t>
  </si>
  <si>
    <t>فرهنگی محبان الرضا (ع)</t>
  </si>
  <si>
    <t>https://www.instagram.com/mohebanreza_ir/</t>
  </si>
  <si>
    <t>https://www.instagram.com/mohebanozahra_esf</t>
  </si>
  <si>
    <t>https://t.me/mohebanozahra_esf</t>
  </si>
  <si>
    <t>https://www.instagram.com/rahrovanshohadash</t>
  </si>
  <si>
    <t>https://eitaa.com/rahrovanshohadash</t>
  </si>
  <si>
    <t>مرکز فرهنگی آینه هیات رواق الحسین (ع)</t>
  </si>
  <si>
    <t>https://eitaa.com/ayene_ir</t>
  </si>
  <si>
    <t>https://t.me/javanan_ansarolhosein_1393</t>
  </si>
  <si>
    <t>غریب مدینه امام حسن مجتبی (ع)</t>
  </si>
  <si>
    <t>https://www.instagram.com/gharibmadine1</t>
  </si>
  <si>
    <t>https://eitaa.com/gharibmadine1</t>
  </si>
  <si>
    <t>رهپویان ولایت</t>
  </si>
  <si>
    <t>https://eitaa.com/Rahpoooyan</t>
  </si>
  <si>
    <t>عشاق الحیدر(ع)</t>
  </si>
  <si>
    <t>https://www.instagram.com/oshagh_alheidar_kashan</t>
  </si>
  <si>
    <t>https://t.me/heiatnama_ir</t>
  </si>
  <si>
    <t>https://eitaa.com/oshaghalheidarkashan</t>
  </si>
  <si>
    <t>ام الحسنین(س)</t>
  </si>
  <si>
    <t>https://www.instagram.com/ommolhasanein</t>
  </si>
  <si>
    <t>دین پژوهان حسینی</t>
  </si>
  <si>
    <t>https://www.instagram.com/din.pazhohan</t>
  </si>
  <si>
    <t>https://www.instagram.com/asheghan_sarallah_isfahan</t>
  </si>
  <si>
    <t>عاشقان حسین(ع)</t>
  </si>
  <si>
    <t>https://www.instagram.com/ashegan.imam_hosuen</t>
  </si>
  <si>
    <t>عرشیان</t>
  </si>
  <si>
    <t>https://www.instagram.com/arshian._133</t>
  </si>
  <si>
    <t>https://eitaa.com/arshian133</t>
  </si>
  <si>
    <t>https://eitaa.com/mohebanolhosain1364</t>
  </si>
  <si>
    <t>فرخیقمربنی هاشم (ع)</t>
  </si>
  <si>
    <t xml:space="preserve">اصفهان </t>
  </si>
  <si>
    <t>فرخی</t>
  </si>
  <si>
    <t>https://eitaa.com/kanoon_sagha</t>
  </si>
  <si>
    <t>https://www.instagram.com/heyate.emamhadi</t>
  </si>
  <si>
    <t>جوانان عاشورائی (رزمندگان اسلام)</t>
  </si>
  <si>
    <t>https://eitaa.com/javanan_ashurai_eghlid</t>
  </si>
  <si>
    <t>رهروان امام حسین(ع)</t>
  </si>
  <si>
    <t>https://eitaa.com/rahrovanhossein</t>
  </si>
  <si>
    <t>حضرت ثارالله (هیات پایگاه)</t>
  </si>
  <si>
    <t>https://www.instagram.com/heyat.sarallah.ab</t>
  </si>
  <si>
    <t>https://www.instagram.com/oshagholzahra213</t>
  </si>
  <si>
    <t>https://t.me/oshagholzahra213</t>
  </si>
  <si>
    <t>https://eitaa.com/javananashoraiidaran</t>
  </si>
  <si>
    <t>https://www.instagram.com/heyataliebnemosareza</t>
  </si>
  <si>
    <t>https://www.instagram.com/yadegaran_ir</t>
  </si>
  <si>
    <t>https://eitaa.com/yadegaranir</t>
  </si>
  <si>
    <t>کانون فرهنگی قرآنی رسول اکرم(ص)</t>
  </si>
  <si>
    <t>https://eitaa.com/Rasool_Akram_Mosque</t>
  </si>
  <si>
    <t>محبین حضرت زهرا(س)</t>
  </si>
  <si>
    <t>https://www.instagram.com/mohebinefatemeh135</t>
  </si>
  <si>
    <t>https://eitaa.com/mohebinefatemeh135</t>
  </si>
  <si>
    <t>https://www.instagram.com/abasaleh47</t>
  </si>
  <si>
    <t>https://eitaa.com/abasalehalmahdidorche</t>
  </si>
  <si>
    <t>بنیاد فرهنگی المهدی (عج)</t>
  </si>
  <si>
    <t>https://eitaa.com/BonyadeAlmahdi</t>
  </si>
  <si>
    <t>حسین بن علی (ع)</t>
  </si>
  <si>
    <t>https://www.instagram.com/ya.hassan.118/</t>
  </si>
  <si>
    <t>https://eitaa.com/heyat_javadolaeme77</t>
  </si>
  <si>
    <t>https://eitaa.com/mohebanemamreza</t>
  </si>
  <si>
    <t>مکتب الحسین (ع)</t>
  </si>
  <si>
    <t>https://eitaa.com/maktabolhossein313archive</t>
  </si>
  <si>
    <t>https://t.me/moheban_aliasghar_esfahan</t>
  </si>
  <si>
    <t>https://eitaa.com/chahardahmasomf</t>
  </si>
  <si>
    <t>متوسلین به حضرت ابوالفضل العباس(ع) علمدار کربلا(ع)</t>
  </si>
  <si>
    <t>https://eitaa.com/alamdar_khoor</t>
  </si>
  <si>
    <t>مهد قرآن</t>
  </si>
  <si>
    <t>https://www.instagram.com/mahdehghoran_ab</t>
  </si>
  <si>
    <t>https://www.instagram.com/janat_esfahan</t>
  </si>
  <si>
    <t>مجمع فرهنگی اسلامی شهید دکتر مفتح</t>
  </si>
  <si>
    <t>https://www.instagram.com/mofattehmedia</t>
  </si>
  <si>
    <t>https://eitaa.com/hejs_m</t>
  </si>
  <si>
    <t>حضرت امام حسن عسکری(ع)</t>
  </si>
  <si>
    <t>https://www.instagram.com/heyat_emamhasanaskari</t>
  </si>
  <si>
    <t>حسینیه فاطمیون</t>
  </si>
  <si>
    <t>ابوزیدآباد</t>
  </si>
  <si>
    <t>https://www.instagram.com/fatemiyoon83</t>
  </si>
  <si>
    <t>فدائیان زینب (س)</t>
  </si>
  <si>
    <t>https://eitaa.com/fadaian_zeynab69</t>
  </si>
  <si>
    <t>متوسلین به قاسم بن الحسن (ع)</t>
  </si>
  <si>
    <t>https://www.instagram.com/h.ghasemebnlhasan_sp</t>
  </si>
  <si>
    <t>https://www.instagram.com/maktab_hosein.shahreza</t>
  </si>
  <si>
    <t>https://t.me/asheghanabalfazlll</t>
  </si>
  <si>
    <t>نورالحسین (ع)</t>
  </si>
  <si>
    <t>درچه پیاز</t>
  </si>
  <si>
    <t>https://www.instagram.com/noorolhoseyn</t>
  </si>
  <si>
    <t>هیأت داش آموزی</t>
  </si>
  <si>
    <t>https://www.instagram.com/ansaralmahdi_sh</t>
  </si>
  <si>
    <t>https://eitaa.com/panjtanallaba</t>
  </si>
  <si>
    <t>هیأت کانون</t>
  </si>
  <si>
    <t xml:space="preserve"> نسل انقلاب</t>
  </si>
  <si>
    <t>https://www.instagram.com/naslenghelab</t>
  </si>
  <si>
    <t>https://t.me/jahadefarhangi313</t>
  </si>
  <si>
    <t>جنت الماوی</t>
  </si>
  <si>
    <t>https://eitaa.com/jannatolmava</t>
  </si>
  <si>
    <t>حضرت زهرای اطهر(س)</t>
  </si>
  <si>
    <t>https://www.instagram.com/masjedefatemieh</t>
  </si>
  <si>
    <t>حضرت حجت بن الحسن(عج)</t>
  </si>
  <si>
    <t>https://eitaa.com/bicheragh118</t>
  </si>
  <si>
    <t>منادیان کربلا</t>
  </si>
  <si>
    <t>https://www.instagram.com/monadiankarbala</t>
  </si>
  <si>
    <t>https://t.me/monadiyankarbala110</t>
  </si>
  <si>
    <t>باب الجواد</t>
  </si>
  <si>
    <t>https://www.instagram.com/bab_al_javad</t>
  </si>
  <si>
    <t>https://eitaa.com/fatemioneshahreza</t>
  </si>
  <si>
    <t>رهروان ولایت کانون فرهنگی هنری امام خمینی(ره)</t>
  </si>
  <si>
    <t>https://www.instagram.com/kanoon.emam</t>
  </si>
  <si>
    <t>https://eitaa.com/yazeinab_golpa</t>
  </si>
  <si>
    <t>https://www.instagram.com/mohebanalaeme_naein</t>
  </si>
  <si>
    <t>https://t.me/mohebban_naein</t>
  </si>
  <si>
    <t>https://eitaa.com/mohebban_naein</t>
  </si>
  <si>
    <t>https://www.instagram.com/maktab_alzahra_daran</t>
  </si>
  <si>
    <t>بنی فاطمه (س)</t>
  </si>
  <si>
    <t>فولادشهر</t>
  </si>
  <si>
    <t>https://www.instagram.com/heyatbanifateme_foladshahr</t>
  </si>
  <si>
    <t>زرین شهر</t>
  </si>
  <si>
    <t>https://www.instagram.com/raayatozzahra</t>
  </si>
  <si>
    <t>https://t.me/Raayatozzahra</t>
  </si>
  <si>
    <t>https://eitaa.com/raayatozzahra1</t>
  </si>
  <si>
    <t>https://www.instagram.com/rozatolzeinabb</t>
  </si>
  <si>
    <t>https://t.me/rozatolzeinabb</t>
  </si>
  <si>
    <t>امام رضا (ع)</t>
  </si>
  <si>
    <t>https://www.instagram.com/inst_imamreza_lenjan</t>
  </si>
  <si>
    <t>اباعبدالله الحسین(ع)</t>
  </si>
  <si>
    <t>https://www.instagram.com/heyat_masjed_jame</t>
  </si>
  <si>
    <t>https://eitaa.com/maktabolabas_118</t>
  </si>
  <si>
    <t>متوسلین به اهل بیت رسول الله(ص)</t>
  </si>
  <si>
    <t>https://eitaa.com/sahebalzaman_313</t>
  </si>
  <si>
    <t>قاسم بن الحسن (ع) (دانش آموزی)</t>
  </si>
  <si>
    <t>https://www.instagram.com/qasem_ibn_hasan</t>
  </si>
  <si>
    <t>https://eitaa.com/Qasem_ibn_Hasan</t>
  </si>
  <si>
    <t>https://www.instagram.com/heyat_alamdar_99</t>
  </si>
  <si>
    <t>یاوران بقیه الله (عج)</t>
  </si>
  <si>
    <t>https://eitaa.com/NJF313</t>
  </si>
  <si>
    <t>https://www.instagram.com/zeynabioon_kashan/</t>
  </si>
  <si>
    <t>جنت الشهدا</t>
  </si>
  <si>
    <t>https://eitaa.com/jannat_shohada</t>
  </si>
  <si>
    <t>بیت الرباب (س)</t>
  </si>
  <si>
    <t>https://www.instagram.com/forat.info/</t>
  </si>
  <si>
    <t>حضرت فاطمه الزهرا (س) (خواهران)</t>
  </si>
  <si>
    <t>https://www.instagram.com/yazahra_isf/</t>
  </si>
  <si>
    <t>https://eitaa.com/yazahra_esf</t>
  </si>
  <si>
    <t>https://eitaa.com/reyhanatonnabi</t>
  </si>
  <si>
    <t>کوثریه</t>
  </si>
  <si>
    <t>https://eitaa.com/Kousariye_channel</t>
  </si>
  <si>
    <t>نرجس خاتون</t>
  </si>
  <si>
    <t>https://eitaa.com/narjes_khatoon59</t>
  </si>
  <si>
    <t>یاران مهدی(عج)</t>
  </si>
  <si>
    <t>https://www.instagram.com/yaran_mehdi1400</t>
  </si>
  <si>
    <t>https://www.instagram.com/maktabazzahra</t>
  </si>
  <si>
    <t>عترت فاطمه(س) (خواهران)</t>
  </si>
  <si>
    <t>https://www.instagram.com/fatemieh1375</t>
  </si>
  <si>
    <t>https://t.me/fatemieh1375</t>
  </si>
  <si>
    <t>سلالة النبی (دانش آموزی)</t>
  </si>
  <si>
    <t>https://eitaa.com/Heyatsolalatonabi</t>
  </si>
  <si>
    <t>پیروان ام البنین(س) غرب اصفهان</t>
  </si>
  <si>
    <t>https://www.instagram.com/hpmahdi2</t>
  </si>
  <si>
    <t>https://eitaa.com/hpmahdi2</t>
  </si>
  <si>
    <t>https://www.instagram.com/aleyasin_page</t>
  </si>
  <si>
    <t>https://eitaa.com/aleyasin_channel</t>
  </si>
  <si>
    <t>https://t.me/Nodbeh_SahebAzzaman</t>
  </si>
  <si>
    <t>هیأت مهدیه</t>
  </si>
  <si>
    <t>https://eitaa.com/mahdiehisf</t>
  </si>
  <si>
    <t>محبان امام سجاد(ع) (مجموعه فرهنگی مسجد النبی گل محمدی)</t>
  </si>
  <si>
    <t>https://t.me/alnabigolmohammadi</t>
  </si>
  <si>
    <t>محفل محبان امیرالمومنین (ع</t>
  </si>
  <si>
    <t>https://www.instagram.com/mahdienajafabad</t>
  </si>
  <si>
    <t>محفل محبان امیرالمومنین (ع)</t>
  </si>
  <si>
    <t>https://eitaa.com/mohebban_amiralmumeninn</t>
  </si>
  <si>
    <t>مکتب الزهراء (جنوب غرب اصفهان)</t>
  </si>
  <si>
    <t>https://eitaa.com/maktab_azahra</t>
  </si>
  <si>
    <t>https://www.instagram.com/ansar_housein</t>
  </si>
  <si>
    <t>https://www.instagram.com/baghiatallah.info</t>
  </si>
  <si>
    <t>https://eitaa.com/Qasimson</t>
  </si>
  <si>
    <t>فاطمیه(س)</t>
  </si>
  <si>
    <t>https://www.instagram.com/fatemiekhansar</t>
  </si>
  <si>
    <t>https://www.instagram.com/montazeran.mahdi.s313</t>
  </si>
  <si>
    <t>https://eitaa.com/masjedsajjad_naein</t>
  </si>
  <si>
    <t>https://www.instagram.com/heyat_javanan_banihashem1385</t>
  </si>
  <si>
    <t>https://www.instagram.com/oshagholhosain</t>
  </si>
  <si>
    <t>https://t.me/heiatoshagh</t>
  </si>
  <si>
    <t>https://eitaa.com/moheban_almahdi_ag</t>
  </si>
  <si>
    <t>ال طه</t>
  </si>
  <si>
    <t>https://eitaa.com/aghigh_ir</t>
  </si>
  <si>
    <t>هیأت چهارده معصوم مسجد جامع ادریان</t>
  </si>
  <si>
    <t>https://www.instagram.com/14masoum_1349</t>
  </si>
  <si>
    <t>آل یس</t>
  </si>
  <si>
    <t>https://www.instagram.com/heyat_alyasin</t>
  </si>
  <si>
    <t>https://t.me/heyat_Alyasin</t>
  </si>
  <si>
    <t>علویون</t>
  </si>
  <si>
    <t>https://www.instagram.com/alavioonshahinshahr_noja</t>
  </si>
  <si>
    <t>جنت الرقیه (س)</t>
  </si>
  <si>
    <t>https://eitaa.com/jannatolroghayekashan315</t>
  </si>
  <si>
    <t>حسینی نخل</t>
  </si>
  <si>
    <t>https://www.instagram.com/nakhlekashan/</t>
  </si>
  <si>
    <t>https://t.me/nakhlekashan</t>
  </si>
  <si>
    <t>https://eitaa.com/nakhlekashan</t>
  </si>
  <si>
    <t>یافاطمه الزهرا (س)</t>
  </si>
  <si>
    <t>https://www.instagram.com/heyatefatemezahra/</t>
  </si>
  <si>
    <t>https://eitaa.com/Najvaye_lea</t>
  </si>
  <si>
    <t>جوانان فدائیان حسین (ع) (امیدان حسین) (هیات کودک و نوجوان آقای نریمانی)</t>
  </si>
  <si>
    <t>https://t.me/fadaeianhoseinir</t>
  </si>
  <si>
    <t>مجموعه فرهنگی سائلین الزهرا (س) مسجد مهدیه</t>
  </si>
  <si>
    <t>https://eitaa.com/SAELIN_ZAHRA</t>
  </si>
  <si>
    <t>حضرت اباالفضل (ع) (حسینیه روستای مزرعه امام)</t>
  </si>
  <si>
    <t>https://www.instagram.com/me_heyat</t>
  </si>
  <si>
    <t>مرکز مدرس اصفهان (خواهران)</t>
  </si>
  <si>
    <t>https://www.instagram.com/markaz_modaresw</t>
  </si>
  <si>
    <t>https://eitaa.com/markazmodaresw</t>
  </si>
  <si>
    <t>https://eitaa.com/fatemeih_adaryan_213</t>
  </si>
  <si>
    <t>https://www.instagram.com/mohebanzahra110</t>
  </si>
  <si>
    <t>آل طه</t>
  </si>
  <si>
    <t>https://www.instagram.com/karim_al_taha118</t>
  </si>
  <si>
    <t>https://t.me/karim_ale_tahaa</t>
  </si>
  <si>
    <t>https://eitaa.com/karime_al_taha</t>
  </si>
  <si>
    <t>طلوع</t>
  </si>
  <si>
    <t>https://eitaa.com/heyatTolou</t>
  </si>
  <si>
    <t>محبان مهدی(عج)</t>
  </si>
  <si>
    <t>https://www.instagram.com/moheban_all_mahdi</t>
  </si>
  <si>
    <t>قرانی حضرت علی اصغر(ع)</t>
  </si>
  <si>
    <t>https://www.instagram.com/_heiat_hazrataliasghar</t>
  </si>
  <si>
    <t>ام ابیها (س)</t>
  </si>
  <si>
    <t>https://www.instagram.com/heyat_ommeabiha_esf</t>
  </si>
  <si>
    <t>https://eitaa.com/Beit_ol_abas_khomeinishahr</t>
  </si>
  <si>
    <t>https://www.instagram.com/hazratezahra_zarinshahr</t>
  </si>
  <si>
    <t>منتظران حضرت مهدی(عج)</t>
  </si>
  <si>
    <t>https://www.instagram.com/montazeranlenjan313</t>
  </si>
  <si>
    <t>https://www.instagram.com/abolfazlabbas_esf</t>
  </si>
  <si>
    <t>رزمندگان اسلام درچه</t>
  </si>
  <si>
    <t>https://www.instagram.com/hytrzmndgnslmjnwb</t>
  </si>
  <si>
    <t>https://www.instagram.com/oshaghalmahdii</t>
  </si>
  <si>
    <t>https://eitaa.com/yousefi_original</t>
  </si>
  <si>
    <t>میثاق الله</t>
  </si>
  <si>
    <t>https://www.instagram.com/misaqalah</t>
  </si>
  <si>
    <t>https://t.me/misaqalah</t>
  </si>
  <si>
    <t>خادم الشهدا (دانشگاه فرهنگیان شهید باهنر)</t>
  </si>
  <si>
    <t>https://eitaa.com/khadem_bahonar</t>
  </si>
  <si>
    <t>رزمندگان اسلام (محبان اهل بیت)</t>
  </si>
  <si>
    <t>https://www.instagram.com/h.razmandegan</t>
  </si>
  <si>
    <t>منتظران مهدی(عج) انجمن اسلامی دانش آموزان</t>
  </si>
  <si>
    <t>https://www.instagram.com/montazran.esf</t>
  </si>
  <si>
    <t>https://eitaa.com/Montazeran_esf</t>
  </si>
  <si>
    <t>قهدریجان</t>
  </si>
  <si>
    <t>https://www.instagram.com/heyat_hazrat_zahra1</t>
  </si>
  <si>
    <t>فرهنگی تربیتی جهادی فاطمیون</t>
  </si>
  <si>
    <t>https://www.instagram.com/mahfel_ashk_213</t>
  </si>
  <si>
    <t>https://www.instagram.com/ashouraiyan_313</t>
  </si>
  <si>
    <t>https://www.instagram.com/gol_heyaat</t>
  </si>
  <si>
    <t>https://eitaa.com/sorood_ansaralmahdy</t>
  </si>
  <si>
    <t>https://www.instagram.com/khadem.almahd</t>
  </si>
  <si>
    <t>خادمین حضرت زهرا (س)</t>
  </si>
  <si>
    <t>https://www.instagram.com/khademm_alzahra</t>
  </si>
  <si>
    <t>عشاق المهدی (عج) روستای یزدل</t>
  </si>
  <si>
    <t>https://eitaa.com/oshagh_yazdel</t>
  </si>
  <si>
    <t>https://www.instagram.com/mohebine_karime_ahlebeyt</t>
  </si>
  <si>
    <t>https://t.me/mohebin_karime_ahl</t>
  </si>
  <si>
    <t>https://www.instagram.com/zeynabion.daran</t>
  </si>
  <si>
    <t>https://t.me/zeynabiondaran</t>
  </si>
  <si>
    <t>https://www.instagram.com/ansar_alhosein_daran</t>
  </si>
  <si>
    <t>https://www.instagram.com/a_velayat_live</t>
  </si>
  <si>
    <t>https://www.instagram.com/pgomnam/</t>
  </si>
  <si>
    <t>https://eitaa.com/pgomnam</t>
  </si>
  <si>
    <t>مرکز فرهنگی رواق</t>
  </si>
  <si>
    <t>https://www.instagram.com/m_ravaagh</t>
  </si>
  <si>
    <t>میثاق با شهیدان</t>
  </si>
  <si>
    <t>https://www.instagram.com/misagh_shahidan</t>
  </si>
  <si>
    <t>https://eitaa.com/misagh_shahidan</t>
  </si>
  <si>
    <t>https://eitaa.com/asheghan_velayat_ntz</t>
  </si>
  <si>
    <t>https://eitaa.com/sarala551</t>
  </si>
  <si>
    <t>https://www.instagram.com/h_mohebbane_h_zahra135</t>
  </si>
  <si>
    <t>https://eitaa.com/h_mohebbane_h_zahra135</t>
  </si>
  <si>
    <t>عاشقان روح الله</t>
  </si>
  <si>
    <t>https://www.instagram.com/heiat_asheghane_rohollah</t>
  </si>
  <si>
    <t>https://t.me/heiat_Asheghane_rohollah</t>
  </si>
  <si>
    <t>امام صادق(ع)</t>
  </si>
  <si>
    <t>https://www.instagram.com/hejs_m</t>
  </si>
  <si>
    <t>https://t.me/hejs_m</t>
  </si>
  <si>
    <t>https://www.instagram.com/ansarolmahdi137</t>
  </si>
  <si>
    <t>هیات الزهرا (س)</t>
  </si>
  <si>
    <t>https://eitaa.com/heyatallzahra</t>
  </si>
  <si>
    <t>حضرت علی اصغر (ع) (خواهران)</t>
  </si>
  <si>
    <t>https://www.instagram.com/mahale_paeen_kachooeiyeh</t>
  </si>
  <si>
    <t>https://www.instagram.com/ghariibemadine.118</t>
  </si>
  <si>
    <t>https://t.me/ghriibemadine_118</t>
  </si>
  <si>
    <t>https://eitaa.com/ghriibemadine_118</t>
  </si>
  <si>
    <t>متوسلین به شهدای کربلای معلی</t>
  </si>
  <si>
    <t>https://www.instagram.com/heiat1349_ir</t>
  </si>
  <si>
    <t>https://t.me/heiat1349_ir</t>
  </si>
  <si>
    <t>https://eitaa.com/heiat1349_ir</t>
  </si>
  <si>
    <t>کانون فرهنگی آیت اله میرجلال الدین جشوقان</t>
  </si>
  <si>
    <t>https://t.me/kanoonmirjalal</t>
  </si>
  <si>
    <t>https://eitaa.com/mirjalaljeshvaghan</t>
  </si>
  <si>
    <t>محبان امیرالمومنین (ع)</t>
  </si>
  <si>
    <t>https://www.instagram.com/heyet_amiralmomenin_damane</t>
  </si>
  <si>
    <t>انصارالمهدی (عج) مرکز مدرس اصفهان (برادران)</t>
  </si>
  <si>
    <t>https://www.instagram.com/markazmodares</t>
  </si>
  <si>
    <t>https://eitaa.com/markazmodares</t>
  </si>
  <si>
    <t>https://www.instagram.com/shohadagomnam_dehaghan</t>
  </si>
  <si>
    <t>https://www.instagram.com/heyaat.ansar1375</t>
  </si>
  <si>
    <t>آل یاسین / انصارالمهدی(ع)</t>
  </si>
  <si>
    <t>https://www.instagram.com/al.yasin.ir</t>
  </si>
  <si>
    <t>https://www.instagram.com/maktabossadegh94/</t>
  </si>
  <si>
    <t>هیات حسینی سلمقان</t>
  </si>
  <si>
    <t>https://www.instagram.com/salmaghan_bidgol</t>
  </si>
  <si>
    <t>شاهین شهر و میمه</t>
  </si>
  <si>
    <t>https://www.instagram.com/soroud_rahrovane_velayat</t>
  </si>
  <si>
    <t>حضرت اباالفضل العباس (ع) روستای قائم آباد</t>
  </si>
  <si>
    <t>https://www.instagram.com/heiat_abolfazelabas</t>
  </si>
  <si>
    <t>حضرت ابوالفضل العباس(ع) بازار</t>
  </si>
  <si>
    <t>https://www.instagram.com/hazrat.abolfazl_bm</t>
  </si>
  <si>
    <t>https://t.me/Abolfazl_b_bm</t>
  </si>
  <si>
    <t>مجموعه فرهنگی مسجدالنبی (ص) / محبان امام سجاد (ع)</t>
  </si>
  <si>
    <t>https://www.instagram.com/nojavan_sayeban</t>
  </si>
  <si>
    <t>https://eitaa.com/nojavan_sayeban</t>
  </si>
  <si>
    <t>https://www.instagram.com/h.mohebban_ahlebayt</t>
  </si>
  <si>
    <t>https://www.instagram.com/heyathazratzahra</t>
  </si>
  <si>
    <t>بنی الزهرا (س)</t>
  </si>
  <si>
    <t>https://t.me/heyatebanifatameh</t>
  </si>
  <si>
    <t>https://www.instagram.com/sahebazaman_a</t>
  </si>
  <si>
    <t>فدائیان مهدی (عج)</t>
  </si>
  <si>
    <t>https://www.instagram.com/fadaeiane_mahdi</t>
  </si>
  <si>
    <t>فاطمیون ملک شهر</t>
  </si>
  <si>
    <t>https://www.instagram.com/fatemiyonmalekshahr</t>
  </si>
  <si>
    <t>https://eitaa.com/fatemiyonmalekshahr</t>
  </si>
  <si>
    <t>https://eitaa.com/Ansar_al_Mahdi_72</t>
  </si>
  <si>
    <t>https://www.instagram.com/alamdar_345</t>
  </si>
  <si>
    <t xml:space="preserve"> لبیک یاحسین (ع)</t>
  </si>
  <si>
    <t>https://www.instagram.com/labaykyaahossein</t>
  </si>
  <si>
    <t>https://t.me/labaykyaahossein</t>
  </si>
  <si>
    <t>ائمه اطهار(ع)</t>
  </si>
  <si>
    <t>https://eitaa.com/aemeatthar</t>
  </si>
  <si>
    <t>حیدری جلال آباد</t>
  </si>
  <si>
    <t>https://www.instagram.com/heydari_jalalabad_bidgol</t>
  </si>
  <si>
    <t>https://www.instagram.com/rozatolhossein_ir</t>
  </si>
  <si>
    <t>https://t.me/rozatolhossein_ir</t>
  </si>
  <si>
    <t>مسجد المهدی(عج)</t>
  </si>
  <si>
    <t>https://eitaa.com/masjedalmahde</t>
  </si>
  <si>
    <t>مکتب امام جعفرصادق (ع)</t>
  </si>
  <si>
    <t>https://www.instagram.com/heyat.emam.jafar_sadegh</t>
  </si>
  <si>
    <t>https://www.instagram.com/roghayehkhaton315</t>
  </si>
  <si>
    <t>https://t.me/roghayehkhaatoon_315</t>
  </si>
  <si>
    <t>منتظران صاحب الزمان (عج)</t>
  </si>
  <si>
    <t>https://eitaa.com/montazeran_isf</t>
  </si>
  <si>
    <t>https://www.instagram.com/h_ansarolheydar</t>
  </si>
  <si>
    <t>مسجد الزهرا (س)</t>
  </si>
  <si>
    <t>https://www.instagram.com/masjed.alzahra.naein</t>
  </si>
  <si>
    <t>محبان حضرت علی (ع)</t>
  </si>
  <si>
    <t>https://www.instagram.com/mohebban_amiralmumenin</t>
  </si>
  <si>
    <t>امام زاده باب المراد حضرت قاسم بن امام هادی (ع)</t>
  </si>
  <si>
    <t>https://www.instagram.com/heyatehazrateghasem</t>
  </si>
  <si>
    <t>حرم حضرت زینب (س)</t>
  </si>
  <si>
    <t>https://www.instagram.com/haramzeinabieh</t>
  </si>
  <si>
    <t>https://t.me/haramzeinabie</t>
  </si>
  <si>
    <t>https://eitaa.com/haramzeinabie</t>
  </si>
  <si>
    <t>آل محمد (ص)</t>
  </si>
  <si>
    <t>https://www.instagram.com/almohammadbm</t>
  </si>
  <si>
    <t>https://t.me/almohammadbm</t>
  </si>
  <si>
    <t>https://eitaa.com/tashkoidiniabozydabad</t>
  </si>
  <si>
    <t>امام زمان(عج)</t>
  </si>
  <si>
    <t>https://www.instagram.com/kanoon.emamzaman</t>
  </si>
  <si>
    <t>ابالفضل(ع)</t>
  </si>
  <si>
    <t>https://t.me/atashsagha</t>
  </si>
  <si>
    <t>https://t.me/Ya_Ghasem_ebnelHasan</t>
  </si>
  <si>
    <t>https://www.instagram.com/javad_ol_aeme14</t>
  </si>
  <si>
    <t>حسینیه  محله سلمقان</t>
  </si>
  <si>
    <t>https://eitaa.com/hyatsalmghanbidghol</t>
  </si>
  <si>
    <t>https://www.instagram.com/heyat_montazeran_zohour</t>
  </si>
  <si>
    <t>https://www.instagram.com/abaabdelah.ir</t>
  </si>
  <si>
    <t>https://www.instagram.com/masjedjameesfahan110</t>
  </si>
  <si>
    <t>شهدای کربلا</t>
  </si>
  <si>
    <t>https://www.instagram.com/heyat_shohada_khajoo</t>
  </si>
  <si>
    <t>علی بن موسی الرضا (ع)</t>
  </si>
  <si>
    <t>https://www.instagram.com/emamreza88888</t>
  </si>
  <si>
    <t>https://www.instagram.com/fatemiyonesff.ir</t>
  </si>
  <si>
    <t>https://www.instagram.com/ansarolhosein_shahreza</t>
  </si>
  <si>
    <t>https://t.me/fatemiyoon1391</t>
  </si>
  <si>
    <t>مرکز نیکوکاری حضرت ابالفضل(ع)</t>
  </si>
  <si>
    <t>https://www.instagram.com/anjomankheyriyeabolfazl</t>
  </si>
  <si>
    <t>مرکز نیکوکاری امام حسین(ع) مجموعه بزرگ جهادی</t>
  </si>
  <si>
    <t>https://www.instagram.com/imamhosein_com</t>
  </si>
  <si>
    <t>https://t.me/imamhosein_com</t>
  </si>
  <si>
    <t>https://eitaa.com/imamhoseincharity_com</t>
  </si>
  <si>
    <t>حضرت اباالفضل (ع)</t>
  </si>
  <si>
    <t>https://www.instagram.com/hoseineh_hazrat_abalfazl</t>
  </si>
  <si>
    <t>https://www.instagram.com/heyat.sajadiye.kashan</t>
  </si>
  <si>
    <t>https://www.instagram.com/maktabazzahra201</t>
  </si>
  <si>
    <t>حضرت علی اصغر امام حسین(ع)</t>
  </si>
  <si>
    <t>https://www.instagram.com/heyat_hazrataliasghar</t>
  </si>
  <si>
    <t>https://www.instagram.com/oshagholhossein_mobarake</t>
  </si>
  <si>
    <t>ستاد عتبات</t>
  </si>
  <si>
    <t>https://www.instagram.com/isfahan.atabat</t>
  </si>
  <si>
    <t>https://www.instagram.com/movkebnaein</t>
  </si>
  <si>
    <t>https://www.instagram.com/njfheyat</t>
  </si>
  <si>
    <t>حسینیه حضرت اباالفضل</t>
  </si>
  <si>
    <t>https://www.instagram.com/natanz.markaz.heyateabolfazl</t>
  </si>
  <si>
    <t>https://www.instagram.com/montazeraniha313</t>
  </si>
  <si>
    <t>https://t.me/montazeraniha313</t>
  </si>
  <si>
    <t>هیات رزمندگان</t>
  </si>
  <si>
    <t>https://eitaa.com/BSJ_LENJAN_STUDENTS</t>
  </si>
  <si>
    <t>مهتدون</t>
  </si>
  <si>
    <t>https://eitaa.com/muhtadoun</t>
  </si>
  <si>
    <t>خادمین امام رضا(ع)</t>
  </si>
  <si>
    <t>https://www.instagram.com/ahoahoo_nojavan/</t>
  </si>
  <si>
    <t>https://www.instagram.com/fatemion_com</t>
  </si>
  <si>
    <t>https://eitaa.com/fatemion_com</t>
  </si>
  <si>
    <t>صدیقه طاهره (س)</t>
  </si>
  <si>
    <t>https://www.instagram.com/mokeb_sedighe_tahere/</t>
  </si>
  <si>
    <t>https://eitaa.com/mokeb_sedighe_tahere</t>
  </si>
  <si>
    <t>https://www.instagram.com/ansare_fatemeh</t>
  </si>
  <si>
    <t>زهراییان</t>
  </si>
  <si>
    <t>https://www.instagram.com/zahraun.esf</t>
  </si>
  <si>
    <t>محفل انس با امام زمان</t>
  </si>
  <si>
    <t>https://www.instagram.com/onsbamahdi</t>
  </si>
  <si>
    <t>جوانان حضرت علی اکبر(ع)</t>
  </si>
  <si>
    <t>https://www.instagram.com/jvananaliakbar_1390</t>
  </si>
  <si>
    <t>سفیرالحسین (ع)</t>
  </si>
  <si>
    <t>https://www.instagram.com/heyatsafir110</t>
  </si>
  <si>
    <t>کانون معارف زهرا (س)</t>
  </si>
  <si>
    <t>https://www.instagram.com/kanoonmaaref</t>
  </si>
  <si>
    <t>https://www.instagram.com/shabihkhaniiran</t>
  </si>
  <si>
    <t>https://eitaa.com/shabihkhaniiran</t>
  </si>
  <si>
    <t>رزمندگان - انصار المهدی (عج)</t>
  </si>
  <si>
    <t>https://eitaa.com/mokbansaralmahdi</t>
  </si>
  <si>
    <t>مکتب القرآن</t>
  </si>
  <si>
    <t>https://www.instagram.com/isfmaktabq</t>
  </si>
  <si>
    <t>https://www.instagram.com/heyathazratfatemehzahra</t>
  </si>
  <si>
    <t>https://www.instagram.com/heyat.razmandegan_njf</t>
  </si>
  <si>
    <t>ابالفضلی</t>
  </si>
  <si>
    <t>https://www.instagram.com/heyat_abalfazliaran</t>
  </si>
  <si>
    <t>https://eitaa.com/heyat_abalfazliaran</t>
  </si>
  <si>
    <t>https://www.instagram.com/heyat_fatemehzahra_ss</t>
  </si>
  <si>
    <t>https://www.instagram.com/abolfazl_finkashan</t>
  </si>
  <si>
    <t>محبان حضرت زهرا (س) افجد</t>
  </si>
  <si>
    <t>https://www.instagram.com/mohebbane_hazrate_zahra</t>
  </si>
  <si>
    <t>https://t.me/ahlekasa</t>
  </si>
  <si>
    <t>عزاداران جوانان بنی هاشم</t>
  </si>
  <si>
    <t>https://www.instagram.com/javanan360</t>
  </si>
  <si>
    <t>https://www.instagram.com/heyat_abalfazly_aran</t>
  </si>
  <si>
    <t>https://www.instagram.com/tiransarallah</t>
  </si>
  <si>
    <t>https://t.me/tiran_sarallah</t>
  </si>
  <si>
    <t>موسسه و بنیاد ملی بینش مطهر</t>
  </si>
  <si>
    <t>https://eitaa.com/bineshmotahar</t>
  </si>
  <si>
    <t>فریدونشهر</t>
  </si>
  <si>
    <t>https://www.instagram.com/h.razmandeganfereydunshahr/</t>
  </si>
  <si>
    <t>موسسه قرآنی تسنیم لنجان</t>
  </si>
  <si>
    <t>https://www.instagram.com/tasnimlenjan</t>
  </si>
  <si>
    <t>https://www.instagram.com/reyhaneh.esfahan</t>
  </si>
  <si>
    <t>معظم روضه العباس (ع)</t>
  </si>
  <si>
    <t>https://www.instagram.com/zokhrolhossein</t>
  </si>
  <si>
    <t>حضرت سجاد (ع)</t>
  </si>
  <si>
    <t>https://www.instagram.com/heyat_hazratsajjad.esfahan</t>
  </si>
  <si>
    <t>https://www.instagram.com/heyate_h_ali_akbar</t>
  </si>
  <si>
    <t>کانون فرهنگی مهدویت و آینده پژوهی</t>
  </si>
  <si>
    <t>https://www.instagram.com/mahdaviat_isf</t>
  </si>
  <si>
    <t>https://eitaa.com/bonyadmahdaviatesf</t>
  </si>
  <si>
    <t>https://t.me/aleyasinnj</t>
  </si>
  <si>
    <t>https://eitaa.com/FatemiyehESF</t>
  </si>
  <si>
    <t>https://www.instagram.com/heyate_alavioon110</t>
  </si>
  <si>
    <t>https://t.me/heyate_alavioon110</t>
  </si>
  <si>
    <t>https://www.instagram.com/habib_ebneh_mazaher</t>
  </si>
  <si>
    <t>https://www.instagram.com/mohebinhazratzahra</t>
  </si>
  <si>
    <t>https://eitaa.com/mohebinhazratzahra</t>
  </si>
  <si>
    <t>https://www.instagram.com/mahdaviyoon_esf</t>
  </si>
  <si>
    <t>https://eitaa.com/mahdaviyoon_esf</t>
  </si>
  <si>
    <t>https://www.instagram.com/fatemyoun_esfahan</t>
  </si>
  <si>
    <t>محبین حضرت فاطمه (س)</t>
  </si>
  <si>
    <t>https://www.instagram.com/fatemiye.isfahan</t>
  </si>
  <si>
    <t>فاطمیه سر کوچه آران</t>
  </si>
  <si>
    <t>https://www.instagram.com/heyat_fatemiye_aran</t>
  </si>
  <si>
    <t>https://www.instagram.com/abalfazle_al_abbas</t>
  </si>
  <si>
    <t>https://t.me/abalfazle_al_abbas</t>
  </si>
  <si>
    <t>https://eitaa.com/yazahra_isfahan</t>
  </si>
  <si>
    <t>https://www.instagram.com/moheban_alzahra135</t>
  </si>
  <si>
    <t>محفل لثارات الحسین (ع)</t>
  </si>
  <si>
    <t>https://www.instagram.com/haiat_lasarat_alhossin</t>
  </si>
  <si>
    <t>https://eitaa.com/Lasarat_Alhossinir</t>
  </si>
  <si>
    <t>مجموعه فرهنگی آفاق</t>
  </si>
  <si>
    <t>https://eitaa.com/Afagh_aci</t>
  </si>
  <si>
    <t>https://www.instagram.com/janatalhosein_esf</t>
  </si>
  <si>
    <t>https://t.me/janatalhosein</t>
  </si>
  <si>
    <t>https://www.instagram.com/oshaghalmahdi_ag</t>
  </si>
  <si>
    <t>موسسه شهید چمران / آسمان</t>
  </si>
  <si>
    <t>https://eitaa.com/heiataseman</t>
  </si>
  <si>
    <t>https://eitaa.com/mohebbanozzahra</t>
  </si>
  <si>
    <t>حضرت حجت بن الحسن (عج)</t>
  </si>
  <si>
    <r>
      <rPr>
        <color rgb="FF1155CC"/>
        <u/>
      </rPr>
      <t>https://www.instagram.com/heyat_hazrate_hojat_bafgh</t>
    </r>
    <r>
      <rPr>
        <color rgb="FF000000"/>
      </rPr>
      <t>\</t>
    </r>
  </si>
  <si>
    <t>https://www.instagram.com/maktab_al_hasan_esf</t>
  </si>
  <si>
    <t>https://www.instagram.com/montazeranzohoorgarmaseh</t>
  </si>
  <si>
    <t>https://www.instagram.com/seshanbemahdavi_ui</t>
  </si>
  <si>
    <t>https://www.instagram.com/heyatzeynab.ir</t>
  </si>
  <si>
    <t>فدائیان حضرت زهرا (س)</t>
  </si>
  <si>
    <t>https://www.instagram.com/fadaeyanezahra</t>
  </si>
  <si>
    <t>هنر اصفهان (حضرت علی اکبر (ع) )</t>
  </si>
  <si>
    <t>https://www.instagram.com/heyathonarisf</t>
  </si>
  <si>
    <t>https://t.me/heyathonarisf</t>
  </si>
  <si>
    <t>https://eitaa.com/heyathonarisf</t>
  </si>
  <si>
    <t>https://instagram.com/gomnam_ui</t>
  </si>
  <si>
    <t>https://t.me/gomnam_ui</t>
  </si>
  <si>
    <t>https://eitaa.com/gomnam_ui</t>
  </si>
  <si>
    <t>مرکز فرهنگی انصارالمهدی (عج)</t>
  </si>
  <si>
    <t>https://eitaa.com/markaz_ansar</t>
  </si>
  <si>
    <t>مجموعه فرهنگی مهدقرآن / طرح نور</t>
  </si>
  <si>
    <t>https://eitaa.com/Mahd_quran_Lahoor</t>
  </si>
  <si>
    <t>https://www.instagram.com/heyate_aliebn_abitaleb</t>
  </si>
  <si>
    <t>https://www.instagram.com/rasane_aliasghar1390</t>
  </si>
  <si>
    <t>https://eitaa.com/Rasane_Aliasghar313</t>
  </si>
  <si>
    <t>حضرت جوادالائمه</t>
  </si>
  <si>
    <t>https://www.instagram.com/hvamjavadolaemmeh</t>
  </si>
  <si>
    <t>https://eitaa.com/emamjavadhasanabadiha</t>
  </si>
  <si>
    <t>قمربنی هاشم ع)</t>
  </si>
  <si>
    <t>https://www.instagram.com/holaghghamarbanihashemheyat</t>
  </si>
  <si>
    <t>سبحان</t>
  </si>
  <si>
    <t>https://eitaa.com/sobhaniha</t>
  </si>
  <si>
    <t>https://www.instagram.com/fadaiyanzahra</t>
  </si>
  <si>
    <t>https://t.me/fadaiyanzahra</t>
  </si>
  <si>
    <t>عقیله العرب (س)</t>
  </si>
  <si>
    <t>https://t.me/jabalossabr69</t>
  </si>
  <si>
    <t>https://www.instagram.com/razmandeganeslam/</t>
  </si>
  <si>
    <t>https://eitaa.com/heyat_razmande</t>
  </si>
  <si>
    <t>نوجوانان امام رضایی (ع)</t>
  </si>
  <si>
    <t>https://www.instagram.com/javananemamreza</t>
  </si>
  <si>
    <t>https://www.instagram.com/javananemamreza/</t>
  </si>
  <si>
    <t>هیات موکب حضرت ابوابفضل العباس (ع)</t>
  </si>
  <si>
    <t>https://eitaa.com/mokeb_133</t>
  </si>
  <si>
    <t xml:space="preserve">هیأت دانش آموزی </t>
  </si>
  <si>
    <t xml:space="preserve">آسمان نجف </t>
  </si>
  <si>
    <t>https://eitaa.com/Aseman_Najaf</t>
  </si>
  <si>
    <t>دانش آموزی آسمان نجف</t>
  </si>
  <si>
    <t>https://www.instagram.com/heyat_paeindarvazeh</t>
  </si>
  <si>
    <t xml:space="preserve">شهرستان داران </t>
  </si>
  <si>
    <t>https://www.instagram.com/heyat14masom.daran/</t>
  </si>
  <si>
    <t>حسینی پامنار</t>
  </si>
  <si>
    <t>https://www.instagram.com/pamenar.esf</t>
  </si>
  <si>
    <t>https://www.instagram.com/pamenar.esf/</t>
  </si>
  <si>
    <t>https://www.instagram.com/alamdar_tiran/</t>
  </si>
  <si>
    <t>https://eitaa.com/alamdar_tiran</t>
  </si>
  <si>
    <t>https://eitaa.com/alamdar_345</t>
  </si>
  <si>
    <t>مجموعه فرهنگی آینه</t>
  </si>
  <si>
    <t>https://www.instagram.com/ayene.ir</t>
  </si>
  <si>
    <t>https://www.instagram.com/ayene.ir/</t>
  </si>
  <si>
    <t xml:space="preserve">هیأت بانوان </t>
  </si>
  <si>
    <t>https://instagram.com/banovanfadaeianhosein</t>
  </si>
  <si>
    <t>https://t.me/banovanfadaeianhosein</t>
  </si>
  <si>
    <t>https://eitaa.com/banovanfadaeianhosein</t>
  </si>
  <si>
    <t>فدائیان حسین (ع) بانوان</t>
  </si>
  <si>
    <t>https://www.instagram.com/banovanfadaeianhosein</t>
  </si>
  <si>
    <t>https://www.instagram.com/heiat_hazratzahra_esf/</t>
  </si>
  <si>
    <t>منتظران گل نرگس</t>
  </si>
  <si>
    <t>https://www.instagram.com/montazeran_majazi/</t>
  </si>
  <si>
    <t>https://eitaa.com/montazeran_majazi</t>
  </si>
  <si>
    <t>یازینب</t>
  </si>
  <si>
    <t>https://eitaa.com/yazeinab1380esf</t>
  </si>
  <si>
    <t>کانون و موسسه قرآن و عترت</t>
  </si>
  <si>
    <t>https://eitaa.com/kanon_Quran_ui</t>
  </si>
  <si>
    <t xml:space="preserve"> مسجد بقیه الله</t>
  </si>
  <si>
    <t>https://www.instagram.com/mohebbanalmahdi_ir</t>
  </si>
  <si>
    <t>محبین قائم آل محمد محله دارالسلام</t>
  </si>
  <si>
    <t>https://eitaa.com/MohebinDarosalam</t>
  </si>
  <si>
    <t>https://www.instagram.com/heyat_panjtan_aleaba</t>
  </si>
  <si>
    <t>انصارالمهدی2</t>
  </si>
  <si>
    <t>راه نشان (حسینیه هنر اصفهان)</t>
  </si>
  <si>
    <t>https://t.me/hhonar_org</t>
  </si>
  <si>
    <t>https://eitaa.com/hhonar_ir</t>
  </si>
  <si>
    <t>شباب الجنت</t>
  </si>
  <si>
    <t>https://www.instagram.com/shababaljaneh</t>
  </si>
  <si>
    <t>https://eitaa.com/heyatebanifatameh</t>
  </si>
  <si>
    <t>https://www.instagram.com/heiat.aliasghar.galougah</t>
  </si>
  <si>
    <t>مهدویه</t>
  </si>
  <si>
    <t>https://eitaa.com/mahdaviye_isf</t>
  </si>
  <si>
    <t>https://www.instagram.com/emamolmontazar_masjed</t>
  </si>
  <si>
    <t>شیفتگان امام حسین (ع) _ شرق اصفهان</t>
  </si>
  <si>
    <t>https://www.instagram.com/shiftegan_128</t>
  </si>
  <si>
    <t>مرواریدهای شهر (جامعه زینب (س))</t>
  </si>
  <si>
    <t>https://eitaa.com/morvaridhayeshaahr</t>
  </si>
  <si>
    <t>https://www.instagram.com/montazeranzohuor_313</t>
  </si>
  <si>
    <t>https://eitaa.com/beytozahra_esfahan</t>
  </si>
  <si>
    <t>مرکز آموزش مداحی</t>
  </si>
  <si>
    <t>https://eitaa.com/maddahanesf</t>
  </si>
  <si>
    <t>محبان  امام حسن مجتبی (ع)</t>
  </si>
  <si>
    <t>https://eitaa.com/moheban_emamhasan</t>
  </si>
  <si>
    <t>انصار العباس (ع)</t>
  </si>
  <si>
    <t>https://www.instagram.com/h_ansaralabbas_p</t>
  </si>
  <si>
    <t>https://eitaa.com/h_ansaralabbas_p</t>
  </si>
  <si>
    <t>https://www.instagram.com/noralhoda_sorod</t>
  </si>
  <si>
    <t>https://eitaa.com/noralhoda_sorod</t>
  </si>
  <si>
    <t>عاشقان حضرت مهدی (عج)/هیات مذهبی شهرستان تیران و کرون</t>
  </si>
  <si>
    <t>حسینی نخل کاشان</t>
  </si>
  <si>
    <t>https://www.instagram.com/nakhlekashan</t>
  </si>
  <si>
    <t>جوانان امام حسن مجتبی (ع)</t>
  </si>
  <si>
    <t>https://www.instagram.com/javanan_emamhasan</t>
  </si>
  <si>
    <t>مذهبی زینبیه کاشان</t>
  </si>
  <si>
    <t>https://www.instagram.com/zeynabie.kashan</t>
  </si>
  <si>
    <t>حسینی محله ده قمصر</t>
  </si>
  <si>
    <t>https://www.instagram.com/heyat_hosini_qamsar</t>
  </si>
  <si>
    <t>https://eitaa.com/hiatrihaneh</t>
  </si>
  <si>
    <t>جان نثاران حضرت علی اصغر (ع)</t>
  </si>
  <si>
    <t>https://www.instagram.com/h.ali.asghar.shz</t>
  </si>
  <si>
    <t>ستاد مردمی احیاگران غدیر شهرضا</t>
  </si>
  <si>
    <t>https://eitaa.com/setadghadirshahreza</t>
  </si>
  <si>
    <t>https://www.instagram.com/emam_hasan_mojtaba_sh</t>
  </si>
  <si>
    <t>https://www.instagram.com/ghamarebanihashem133a</t>
  </si>
  <si>
    <t>محبان امام حسین (ع)</t>
  </si>
  <si>
    <t>https://www.instagram.com/deehagh</t>
  </si>
  <si>
    <t>https://www.instagram.com/heiat_ghasem_arisman</t>
  </si>
  <si>
    <t>https://t.me/kheirieghasem</t>
  </si>
  <si>
    <t>عاشقان ثارالله رزمندگان اسلام</t>
  </si>
  <si>
    <t>https://www.instagram.com/heiat_razmandegan_shoshtar</t>
  </si>
  <si>
    <t>منتظران ظهور شهر گلدشت</t>
  </si>
  <si>
    <t>https://www.instagram.com/gol_nodbeh2</t>
  </si>
  <si>
    <t>https://eitaa.com/Gol_Nodbeh</t>
  </si>
  <si>
    <t>اباالفضلی کوی فخارخانه</t>
  </si>
  <si>
    <t>https://www.instagram.com/heyat_abolfazl_fakharkhane</t>
  </si>
  <si>
    <t>https://t.me/heiatfakharkhane</t>
  </si>
  <si>
    <t>رزمندگان اسلام آران وبیدگل</t>
  </si>
  <si>
    <t>https://eitaa.com/heyatrazmandeganab</t>
  </si>
  <si>
    <t>قمربنی هاشم (ع) روستای کاغذی</t>
  </si>
  <si>
    <t>https://eitaa.com/ghamarbaniihashem</t>
  </si>
  <si>
    <t>سید الشهدا</t>
  </si>
  <si>
    <t>https://www.instagram.com/hosseinian_ghaletaki</t>
  </si>
  <si>
    <t>مهدیه ولی عصر</t>
  </si>
  <si>
    <t>https://www.instagram.com/valiasriya</t>
  </si>
  <si>
    <t>انسیه الحورا</t>
  </si>
  <si>
    <t>https://www.instagram.com/ensiatalhaora135</t>
  </si>
  <si>
    <t>https://www.instagram.com/rahrovanvelayat1380</t>
  </si>
  <si>
    <t>مجموعه فرهنگی رسانه ای رویش</t>
  </si>
  <si>
    <t>https://www.instagram.com/rouyesh_ir</t>
  </si>
  <si>
    <t>https://eitaa.com/m_rouyesh_ir</t>
  </si>
  <si>
    <t>صدیقه کبری</t>
  </si>
  <si>
    <t>https://www.instagram.com/sadighehkobra</t>
  </si>
  <si>
    <t>خانوادگی زهرائیان (خانواده کتابی)</t>
  </si>
  <si>
    <t>https://eitaa.com/zahraeyoon_esf</t>
  </si>
  <si>
    <t>https://www.instagram.com/rahrovanshohada.isf</t>
  </si>
  <si>
    <t>ثارالله هیات رزمندگان اسلام</t>
  </si>
  <si>
    <t>https://www.instagram.com/heiat_saralah_ir</t>
  </si>
  <si>
    <t>https://eitaa.com/heyat_saralah_ir</t>
  </si>
  <si>
    <t>حسینی آران</t>
  </si>
  <si>
    <t>https://www.instagram.com/heyat.hosseini.aran</t>
  </si>
  <si>
    <t>https://eitaa.com/heyathosseiniaran</t>
  </si>
  <si>
    <t>غدیریه دیانی</t>
  </si>
  <si>
    <t>https://t.me/Ghadiriyeh_dayani</t>
  </si>
  <si>
    <t>منتظران گل نرگس روستای پوده</t>
  </si>
  <si>
    <t>https://eitaa.com/yavaranvelayat_ir</t>
  </si>
  <si>
    <t>هیأتدانشجویی</t>
  </si>
  <si>
    <t>https://www.instagram.com/khademoshohadaesf</t>
  </si>
  <si>
    <t>https://www.instagram.com/yakarballa133</t>
  </si>
  <si>
    <t>رسانه جوانان شهرضا</t>
  </si>
  <si>
    <t>https://www.instagram.com/javanan_heyati_shahrezaa/</t>
  </si>
  <si>
    <t>کتاب الثقلین</t>
  </si>
  <si>
    <t>https://eitaa.com/kottabsaghalain</t>
  </si>
  <si>
    <t>https://www.instagram.com/bytol.abas</t>
  </si>
  <si>
    <t>تعزیه خوانی باب الحوایج (ع)</t>
  </si>
  <si>
    <t>https://www.instagram.com/taziyeh.babalhavaej</t>
  </si>
  <si>
    <t>https://www.instagram.com/heyat_mesbahalhoda</t>
  </si>
  <si>
    <t xml:space="preserve">هیأت نوجوانان </t>
  </si>
  <si>
    <t>https://www.instagram.com/heyat.javanane_aliakbar/</t>
  </si>
  <si>
    <t>https://www.instagram.com/heiataliasghar/</t>
  </si>
  <si>
    <t>بانوان آل طاها</t>
  </si>
  <si>
    <t xml:space="preserve">برخوار </t>
  </si>
  <si>
    <t>https://www.instagram.com/heyat_ale_taha/</t>
  </si>
  <si>
    <t>https://www.instagram.com/montazeran_zohour1393/</t>
  </si>
  <si>
    <t>https://eitaa.com/montazeran_zohour1393</t>
  </si>
  <si>
    <t>قمربنی هاشم (ع) _ مسجد فاطمیه</t>
  </si>
  <si>
    <t>https://www.instagram.com/mohebanhosein_esf/</t>
  </si>
  <si>
    <t xml:space="preserve">جوانان علی اکبر امام حسین </t>
  </si>
  <si>
    <t>کوی امام سمیرم</t>
  </si>
  <si>
    <t>https://www.instagram.com/heyatejavananaliakbar/</t>
  </si>
  <si>
    <t>جوانان متوسلین به قمربنی هاشم (ع) چاهملک</t>
  </si>
  <si>
    <t>https://www.instagram.com/ya_abolfzl.1342/</t>
  </si>
  <si>
    <t>حضرت ابا عبدالحسین (ع)</t>
  </si>
  <si>
    <t>https://www.instagram.com/heyat_abaabdeallhalhossein/</t>
  </si>
  <si>
    <t>مکتب الرقیه (س)</t>
  </si>
  <si>
    <t>دیزیچه</t>
  </si>
  <si>
    <t>https://www.instagram.com/p/DHTowlDRE2D/</t>
  </si>
  <si>
    <t xml:space="preserve">خدام الحسین </t>
  </si>
  <si>
    <t>https://www.instagram.com/khodam_al_hossein/</t>
  </si>
  <si>
    <t>https://eitaa.com/heyathazratabalfazl</t>
  </si>
  <si>
    <t>https://eitaa.com/sahebzamanesfahan</t>
  </si>
  <si>
    <t>https://www.instagram.com/heatabaalfazlshahreza</t>
  </si>
  <si>
    <t>https://t.me/bashahreza</t>
  </si>
  <si>
    <t>https://www.instagram.com/alav_i313</t>
  </si>
  <si>
    <t>حضرت محمد رسول الله(س)</t>
  </si>
  <si>
    <t>https://www.instagram.com/mohammad_rasoolallah_</t>
  </si>
  <si>
    <t>حضرت ابوالفضل دستگرد</t>
  </si>
  <si>
    <t>https://www.instagram.com/mosque_abalfazl_dastgerd</t>
  </si>
  <si>
    <t>حضرت مهدی (عج)</t>
  </si>
  <si>
    <t>https://www.instagram.com/leva.olmahdi</t>
  </si>
  <si>
    <t>https://eitaa.com/leva135</t>
  </si>
  <si>
    <t>https://www.instagram.com/ghamar_bani_hashem_dara</t>
  </si>
  <si>
    <t>لوای ثارالله (ع)</t>
  </si>
  <si>
    <t>https://www.instagram.com/sarallahesfahan</t>
  </si>
  <si>
    <t>https://www.instagram.com/sarallah_isf</t>
  </si>
  <si>
    <t>https://eitaa.com/heyat_saralah</t>
  </si>
  <si>
    <t>مجموعه مهر ثامن</t>
  </si>
  <si>
    <t>https://www.instagram.com/mehre_samen</t>
  </si>
  <si>
    <t>https://www.instagram.com/hoseiniyeh_seyed_shohada</t>
  </si>
  <si>
    <t>https://www.instagram.com/heyyate_hazrate_aliakbar</t>
  </si>
  <si>
    <t>https://t.me/heyataliakbarbostan4</t>
  </si>
  <si>
    <t>مسجد الرضا</t>
  </si>
  <si>
    <t>https://www.instagram.com/masjedalrezaesfahan</t>
  </si>
  <si>
    <t>https://t.me/MasjedAlrezaEsfahan</t>
  </si>
  <si>
    <t>فاطمیون شاهین شهر</t>
  </si>
  <si>
    <t>https://www.instagram.com/fatemiyon_info</t>
  </si>
  <si>
    <t>https://t.me/Fatemiyon_info</t>
  </si>
  <si>
    <t>حضرت ابوالفضل (ع) سفیدشهر</t>
  </si>
  <si>
    <t>https://www.instagram.com/yaabalfazl.ir</t>
  </si>
  <si>
    <t>https://eitaa.com/yaabalfazl_1325</t>
  </si>
  <si>
    <t>https://www.instagram.com/omeabiha.esf/</t>
  </si>
  <si>
    <t>https://t.me/omeAbiha110</t>
  </si>
  <si>
    <t>حجت ابن الحسن العسکری عج</t>
  </si>
  <si>
    <t>نیک آباد</t>
  </si>
  <si>
    <t>https://www.instagram.com/hojjatebnalhasankhansar</t>
  </si>
  <si>
    <t>https://t.me/Hojjat_ebn_alhasan_khansar</t>
  </si>
  <si>
    <t>یاسین سده</t>
  </si>
  <si>
    <t>https://eitaa.com/yasinsedehlenjan</t>
  </si>
  <si>
    <t>مجمع فدائیان حضرت زهرا (س) فاطمیون اصفهان</t>
  </si>
  <si>
    <t>https://eitaa.com/fatemiyonesff</t>
  </si>
  <si>
    <t>باب الرحمه</t>
  </si>
  <si>
    <t>https://eitaa.com/pm_aliasghar</t>
  </si>
  <si>
    <t>رایحه ی حرم _ حسینیه سیار کانون مداحان فلاورجان</t>
  </si>
  <si>
    <t>https://eitaa.com/madahanfalavarjan</t>
  </si>
  <si>
    <t>مجموعه فرهنگی رواق</t>
  </si>
  <si>
    <t>https://eitaa.com/m_ravaagh</t>
  </si>
  <si>
    <t>جنت الزهرا (س) خیابان شیخ آباد</t>
  </si>
  <si>
    <t>https://eitaa.com/janatalzahra_s</t>
  </si>
  <si>
    <t>حوزه علمیه طالخونچه</t>
  </si>
  <si>
    <t>https://www.instagram.com/e_talkhoncheh</t>
  </si>
  <si>
    <t>https://t.me/E_Talkhooncheh</t>
  </si>
  <si>
    <t>https://eitaa.com/E_Talkhoncheh</t>
  </si>
  <si>
    <t>انصارالمهدی شمال اصفهان</t>
  </si>
  <si>
    <t>https://www.instagram.com/ansaralmahdi313esf110</t>
  </si>
  <si>
    <t>https://www.instagram.com/ansar_almahdi_esfahan</t>
  </si>
  <si>
    <t>https://www.instagram.com/heyaatroghaye</t>
  </si>
  <si>
    <t>https://eitaa.com/HeyatRoghaye</t>
  </si>
  <si>
    <t>حضرت اباعبدالله الحسین (ع)</t>
  </si>
  <si>
    <t>هرند</t>
  </si>
  <si>
    <t>https://www.instagram.com/abaabdelah.darahbid</t>
  </si>
  <si>
    <t>https://www.instagram.com/hiataliebneabitaleb</t>
  </si>
  <si>
    <t>https://eitaa.com/h_h_aliakbar_a</t>
  </si>
  <si>
    <t>https://www.instagram.com/heyateimamhasan</t>
  </si>
  <si>
    <t>یاوران مهدی</t>
  </si>
  <si>
    <t>https://www.instagram.com/yavaranmahdi12</t>
  </si>
  <si>
    <t>احباب الرضا</t>
  </si>
  <si>
    <t>https://www.instagram.com/ahbabborreza/</t>
  </si>
  <si>
    <t>https://t.me/ahbabborreza</t>
  </si>
  <si>
    <t>عاشقان ولایت نایین</t>
  </si>
  <si>
    <t>https://www.instagram.com/asheghanevelayat94</t>
  </si>
  <si>
    <t>حضرت علی اصغر (ع) خیابان چهارسوق</t>
  </si>
  <si>
    <t>https://www.instagram.com/aliasghariaran</t>
  </si>
  <si>
    <t>https://eitaa.com/chaharsogh_aran</t>
  </si>
  <si>
    <t>فدائیان علی اکبر (ع)</t>
  </si>
  <si>
    <t>https://eitaa.com/mahfelaliakbar</t>
  </si>
  <si>
    <t>https://www.instagram.com/heyate_emam_hasan_mojtaba.esf</t>
  </si>
  <si>
    <t>کانون فرهنگی هنری شیفتگان امام ره</t>
  </si>
  <si>
    <t>https://eitaa.com/shiftegan_emam</t>
  </si>
  <si>
    <t>رزمندگان اصفهان</t>
  </si>
  <si>
    <t>https://www.instagram.com/razmandeh_com</t>
  </si>
  <si>
    <t>مجمع سائلین الزهرا</t>
  </si>
  <si>
    <t>https://www.instagram.com/saelin18</t>
  </si>
  <si>
    <t>https://www.instagram.com/ghasem_ebneel_hassan</t>
  </si>
  <si>
    <t>مهد قران کریم</t>
  </si>
  <si>
    <t>https://eitaa.com/Mahd_quran_esfahan</t>
  </si>
  <si>
    <t>تشکل جامعه زینب (س) اصفهان گروه مرواریدهای شهر</t>
  </si>
  <si>
    <t>https://eitaa.com/jameezeinab</t>
  </si>
  <si>
    <t>https://www.instagram.com/hezeinolabedin</t>
  </si>
  <si>
    <t>مجموعه فرهنگی رضوان</t>
  </si>
  <si>
    <t>https://www.instagram.com/rezvanir110</t>
  </si>
  <si>
    <t>https://t.me/rezvanir110</t>
  </si>
  <si>
    <t>https://eitaa.com/rezvanir</t>
  </si>
  <si>
    <t>https://eitaa.com/almdar_karbala_133</t>
  </si>
  <si>
    <t>مهدیه بادرود</t>
  </si>
  <si>
    <t>https://www.instagram.com/mahdiye_badrood/</t>
  </si>
  <si>
    <t>صاحب الزمان (عج) روستای آرتیجان</t>
  </si>
  <si>
    <t>https://www.instagram.com/heyat_saheb_zaman_313</t>
  </si>
  <si>
    <t>موسسه فرهنگی تبلیغی عفیفه</t>
  </si>
  <si>
    <t>https://eitaa.com/BanovaneAfifeh</t>
  </si>
  <si>
    <t>عزاداران مسجدامام محمدباقر یزدانشهر</t>
  </si>
  <si>
    <t>https://www.instagram.com/masjed_embgh</t>
  </si>
  <si>
    <t>https://www.instagram.com/mokebzahraii</t>
  </si>
  <si>
    <t>هیت متوسلین به حضرت ابوالفضل</t>
  </si>
  <si>
    <t>جرقویه</t>
  </si>
  <si>
    <t>https://www.instagram.com/motevaslinhazratabolfazl</t>
  </si>
  <si>
    <t>باب الحوایج حضرت علی اصغر (ع)</t>
  </si>
  <si>
    <t>https://eitaa.com/Ali_asghar_razie</t>
  </si>
  <si>
    <t>هیات جوانان جوادالا ئمه روستای قفر</t>
  </si>
  <si>
    <t>https://www.instagram.com/heiatjavadolaemme</t>
  </si>
  <si>
    <t>https://eitaa.com/bablhavaej</t>
  </si>
  <si>
    <t>https://eitaa.com/ansar_zahra_info</t>
  </si>
  <si>
    <t>https://eitaa.com/kanonjavadalaeme</t>
  </si>
  <si>
    <t>مجتمع فرهنگی قطره های باران (نونهالان - کودکان - نوجوانان)</t>
  </si>
  <si>
    <t>https://eitaa.com/ghatrehayebarani</t>
  </si>
  <si>
    <t>قمربنی هاشم (ع) قهه</t>
  </si>
  <si>
    <t>https://www.instagram.com/heyat_ghamarbani_hashem_ghaheh</t>
  </si>
  <si>
    <t>https://eitaa.com/heyat_ghamarbani_hashem_ghaheh</t>
  </si>
  <si>
    <t>رضوانشهر</t>
  </si>
  <si>
    <t>https://www.instagram.com/hiat_sarallah</t>
  </si>
  <si>
    <t>https://t.me/hiat_sarallah</t>
  </si>
  <si>
    <t>https://Eitaa.com/hiat_sarallah</t>
  </si>
  <si>
    <t>ثارالله خوانسار</t>
  </si>
  <si>
    <t>https://Instagram.com/hiat_sarallah</t>
  </si>
  <si>
    <t>هیآت</t>
  </si>
  <si>
    <t>حضرت محمد هلال(ع)</t>
  </si>
  <si>
    <t>https://www.instagram.com/helalali_holy_shrine</t>
  </si>
  <si>
    <t>https://www.instagram.com/razavi_esf</t>
  </si>
  <si>
    <t>زوارالزهرا(س) / حضرت علی اصغر(ع)</t>
  </si>
  <si>
    <t>https://www.instagram.com/zovaralzahraesf</t>
  </si>
  <si>
    <t>https://t.me/zovaralzahraesf</t>
  </si>
  <si>
    <t>https://eitaa.com/zovaralzahraesf</t>
  </si>
  <si>
    <t>مرکز فرهنگی آینه ، هیات رواق الحسین (ع)</t>
  </si>
  <si>
    <t>https://eitaa.com/ravagholhosein</t>
  </si>
  <si>
    <t>https://www.instagram.com/darolkhadem.ir</t>
  </si>
  <si>
    <t>https://eitaa.com/mokeb_emamreza</t>
  </si>
  <si>
    <t>متوسلین حضرت زهرا (س)</t>
  </si>
  <si>
    <t>https://www.instagram.com/yazahra_esf</t>
  </si>
  <si>
    <t>https://www.instagram.com/heyate_hazrate_roqayeh</t>
  </si>
  <si>
    <t>شاهزاده قاسم بن الحسن (ع)</t>
  </si>
  <si>
    <t>https://www.instagram.com/nava.shahzadeh</t>
  </si>
  <si>
    <t>رقیه بنت الحسین</t>
  </si>
  <si>
    <t>https://www.instagram.com/ho_ya_roghayeh315</t>
  </si>
  <si>
    <t>https://t.me/ho_ya_roghayeh315</t>
  </si>
  <si>
    <t>https://www.instagram.com/ali_asghar_heit/</t>
  </si>
  <si>
    <t>https://t.me/Ali_Asghar1396</t>
  </si>
  <si>
    <t>هیت جوادالائمه(ع)</t>
  </si>
  <si>
    <t>فرهنگی مذهبی عاشورائیان جوزدان</t>
  </si>
  <si>
    <t>https://www.instagram.com/ashouraiyanjuzdan</t>
  </si>
  <si>
    <t>https://t.me/HeiatAbalfazl_esf</t>
  </si>
  <si>
    <t>هیات مذهبی ابا عبدالله الحسین کوی رهن</t>
  </si>
  <si>
    <t>https://www.instagram.com/heyat_abaabdeallhalhossein</t>
  </si>
  <si>
    <t>رزمندگان اسلام (منطقه هفتصد دستگاه)</t>
  </si>
  <si>
    <t>https://www.instagram.com/razmandeganeslam</t>
  </si>
  <si>
    <t>مکتب الحیدر (ع)</t>
  </si>
  <si>
    <t>https://www.instagram.com/maktabol_heydar</t>
  </si>
  <si>
    <t>حضرت رقیه"س</t>
  </si>
  <si>
    <t>https://www.instagram.com/hazrat_roghaeh_esfahan</t>
  </si>
  <si>
    <t>قرآن و اهل بیت (ع)</t>
  </si>
  <si>
    <t>https://eitaa.com/heyat_quran_ahlebeyt</t>
  </si>
  <si>
    <t>https://eitaa.com/reyhanatollhosseinir</t>
  </si>
  <si>
    <t>محبان علی بن ابیطالب(ع) روستای اردیب</t>
  </si>
  <si>
    <t>https://eitaa.com/mohibanaliibnabitalib110</t>
  </si>
  <si>
    <t>محبین اباعبدالله الحسین (ع)</t>
  </si>
  <si>
    <t>https://www.instagram.com/mohebanhosein_esf</t>
  </si>
  <si>
    <t>منتظر ان مهدی</t>
  </si>
  <si>
    <t>https://www.instagram.com/heiataliasghar</t>
  </si>
  <si>
    <t>سادات بنی الزهرا</t>
  </si>
  <si>
    <t>https://www.instagram.com/bane_zzahra</t>
  </si>
  <si>
    <t>هیات جوانان علی اکبر امام حسین کوی امام سمیرم</t>
  </si>
  <si>
    <t>https://www.instagram.com/heyaat_javananaliakbar</t>
  </si>
  <si>
    <t>محبان اهل البیت</t>
  </si>
  <si>
    <t>https://www.instagram.com/mohebaneahlebeyt</t>
  </si>
  <si>
    <t>https://eitaa.com/mohebanahlebeyt8</t>
  </si>
  <si>
    <t>سده لنجان</t>
  </si>
  <si>
    <t>موسی بن جعفر (ع)</t>
  </si>
  <si>
    <t>https://www.instagram.com/musabnejafar.esf</t>
  </si>
  <si>
    <t>حضرت ابالفضل(ع)</t>
  </si>
  <si>
    <t>https://www.instagram.com/heiatabalfazl_esf.ir</t>
  </si>
  <si>
    <t>فرهنگی مذهبی ابوالفضل العباس</t>
  </si>
  <si>
    <t>https://www.instagram.com/heiat_abolfazleabas</t>
  </si>
  <si>
    <t>https://eitaa.com/AbaalFazlalAbbas133</t>
  </si>
  <si>
    <t>هیات خونگی مکتب الزهرا</t>
  </si>
  <si>
    <t>https://www.instagram.com/maktab_az_zahra</t>
  </si>
  <si>
    <t>https://www.instagram.com/shahzadeh_aliakbar</t>
  </si>
  <si>
    <t>https://t.me/MahdiyeFateme</t>
  </si>
  <si>
    <t>https://www.instagram.com/h_q_seyedalshohda</t>
  </si>
  <si>
    <t>https://t.me/Heiatghoran</t>
  </si>
  <si>
    <t>هیات بقیه الله دستگردخیار</t>
  </si>
  <si>
    <t>https://www.instagram.com/hballah82</t>
  </si>
  <si>
    <t>https://eitaa.com/heyat_hazrat_ali_akbar</t>
  </si>
  <si>
    <t>https://www.instagram.com/emam.rauf</t>
  </si>
  <si>
    <t>https://t.me/emamrauf</t>
  </si>
  <si>
    <t>عاشقان اباعبدالله الحسین</t>
  </si>
  <si>
    <t>https://eitaa.com/alhadiashagan</t>
  </si>
  <si>
    <t>لوالحسین (ع)</t>
  </si>
  <si>
    <t>https://www.instagram.com/leva_info</t>
  </si>
  <si>
    <t>https://eitaa.com/leva_info</t>
  </si>
  <si>
    <t>https://www.instagram.com/heyatghasem201</t>
  </si>
  <si>
    <t>https://t.me/hghasem201</t>
  </si>
  <si>
    <t>https://eitaa.com/hqasem201</t>
  </si>
  <si>
    <t>https://www.instagram.com/esfheyat</t>
  </si>
  <si>
    <t>https://eitaa.com/esfheyat_ir</t>
  </si>
  <si>
    <t>https://www.instagram.com/yazahra_isfahan</t>
  </si>
  <si>
    <t>https://t.me/yazahra_isfahan</t>
  </si>
  <si>
    <t>https://www.instagram.com/maajar.69/</t>
  </si>
  <si>
    <t>https://t.me/maajar_69</t>
  </si>
  <si>
    <t>https://www.instagram.com/heyat_javadolaeme</t>
  </si>
  <si>
    <t>محبان الزینب (س)</t>
  </si>
  <si>
    <t>https://www.instagram.com/mohebanzeinab</t>
  </si>
  <si>
    <t>https://t.me/mohebanzeinab</t>
  </si>
  <si>
    <t>https://eitaa.com/mohebanzeinab</t>
  </si>
  <si>
    <t>https://www.instagram.com/hoseinjan_128</t>
  </si>
  <si>
    <t>https://t.me/hoseinjan_128</t>
  </si>
  <si>
    <t>https://eitaa.org/hoseinjan_128</t>
  </si>
  <si>
    <t>کانون شمس الشموس رضوی</t>
  </si>
  <si>
    <t>https://www.instagram.com/shamsalshomous</t>
  </si>
  <si>
    <t>https://eitaa.com/shamsalshomous</t>
  </si>
  <si>
    <t>مسجد امام رضا (ع)</t>
  </si>
  <si>
    <t>https://t.me/masjedlemjir</t>
  </si>
  <si>
    <t>https://eitaa.com/masjedlemjir</t>
  </si>
  <si>
    <t>مسجد امیرالمومنین (ع)</t>
  </si>
  <si>
    <t>https://www.instagram.com/masjedali/</t>
  </si>
  <si>
    <t>https://t.me/masjedamiralmomnin</t>
  </si>
  <si>
    <t>محبان حضرت مهدی (عج)</t>
  </si>
  <si>
    <t>https://eitaa.com/mooheban_mahdi</t>
  </si>
  <si>
    <t>سیدالساجدین (ع)</t>
  </si>
  <si>
    <t>https://www.instagram.com/sayyedosajedin</t>
  </si>
  <si>
    <t>دارالسلام</t>
  </si>
  <si>
    <t>https://eitaa.com/m_darosalam</t>
  </si>
  <si>
    <t>محبین الزهرا حوزه علمیه</t>
  </si>
  <si>
    <t>https://www.instagram.com/mohebin_azahra/</t>
  </si>
  <si>
    <t>https://www.instagram.com/14masoume_sfahan/</t>
  </si>
  <si>
    <t>https://www.instagram.com/javad_alaemeh_ir/</t>
  </si>
  <si>
    <t>https://eitaa.com/javad_alaemeh_ir</t>
  </si>
  <si>
    <t>https://www.instagram.com/saghalain_isf/</t>
  </si>
  <si>
    <t>https://eitaa.com/saghalain_isf</t>
  </si>
  <si>
    <t>https://www.instagram.com/heiatkarimeh.esfahan/</t>
  </si>
  <si>
    <t>https://www.instagram.com/bicheragh118/</t>
  </si>
  <si>
    <t>https://t.me/bicheragh118</t>
  </si>
  <si>
    <t>محفل فدائیان حضرت علی اکبر (ع)</t>
  </si>
  <si>
    <t xml:space="preserve">دولت اباد </t>
  </si>
  <si>
    <t>https://www.instagram.com/samenolhojj/reels/</t>
  </si>
  <si>
    <t xml:space="preserve">خمینی شهر </t>
  </si>
  <si>
    <t>https://www.instagram.com/heat_alsiedah_zeinab/</t>
  </si>
  <si>
    <t>https://eitaa.com/hazratezeinab3</t>
  </si>
  <si>
    <t>ثار الله</t>
  </si>
  <si>
    <t>https://www.instagram.com/sarallahmui/</t>
  </si>
  <si>
    <t>https://t.me/sarallahmui</t>
  </si>
  <si>
    <t>کانون خدمت رضوی</t>
  </si>
  <si>
    <t>https://www.instagram.com/k.kh.r_shahrezaa/</t>
  </si>
  <si>
    <t>متوسلین به چهارده معصوم</t>
  </si>
  <si>
    <t>https://www.instagram.com/h14maasom</t>
  </si>
  <si>
    <t>https://t.me/h14maasom</t>
  </si>
  <si>
    <t xml:space="preserve">قمربنی هاشم (ع) </t>
  </si>
  <si>
    <t>روستای ننادگان</t>
  </si>
  <si>
    <t>https://www.instagram.com/heiat_ghamare_bani_hashem/</t>
  </si>
  <si>
    <t xml:space="preserve">حضرت علی اکبر (ع)
</t>
  </si>
  <si>
    <t>https://www.instagram.com/heyaat_ali_akbar_alamat/</t>
  </si>
  <si>
    <t>مرکز فرهنگی قدس</t>
  </si>
  <si>
    <t>https://www.instagram.com/qodsian_com/</t>
  </si>
  <si>
    <t>https://eitaa.com/qodsian_com</t>
  </si>
  <si>
    <t>مجموعه فرهنگی عاشوراییان</t>
  </si>
  <si>
    <t>https://www.instagram.com/ashouraiyan</t>
  </si>
  <si>
    <t>https://eitaa.com/ashouraiyan_ir</t>
  </si>
  <si>
    <t>موکب انصارالمهدی (عج)</t>
  </si>
  <si>
    <t>https://www.instagram.com/nahno_ansarolmahdi/</t>
  </si>
  <si>
    <t>https://t.me/heyateansarolmahdi313</t>
  </si>
  <si>
    <t xml:space="preserve">محبین الزهرا (س)
</t>
  </si>
  <si>
    <t>https://www.instagram.com/mohebin_zahra135/</t>
  </si>
  <si>
    <t>https://eitaa.com/mohebin_zahra135</t>
  </si>
  <si>
    <t>https://www.instagram.com/hmzg.ir/</t>
  </si>
  <si>
    <t>https://eitaa.com/sahebazzaman313_1402</t>
  </si>
  <si>
    <t xml:space="preserve">شاهین شهر و میمه </t>
  </si>
  <si>
    <t xml:space="preserve">شاهین شهر </t>
  </si>
  <si>
    <t>https://www.instagram.com/maktabolhossein313</t>
  </si>
  <si>
    <t>https://eitaa.com/maktabolhossein313</t>
  </si>
  <si>
    <t>هیأت الشهید</t>
  </si>
  <si>
    <t>https://www.instagram.com/heyat_al_shahid</t>
  </si>
  <si>
    <t>https://eitaa.com/heyat_Al_shahid_shahreza</t>
  </si>
  <si>
    <t xml:space="preserve">سمیرم </t>
  </si>
  <si>
    <t>روستای حنا</t>
  </si>
  <si>
    <t>https://www.instagram.com/qamare.bani.hashem/</t>
  </si>
  <si>
    <t>سمرم</t>
  </si>
  <si>
    <t>https://eitaa.com/omolbanin_98</t>
  </si>
  <si>
    <t xml:space="preserve">خمینی شهر
</t>
  </si>
  <si>
    <t>https://www.instagram.com/khshohada_ir1</t>
  </si>
  <si>
    <t>https://eitaa.com/khshohada_ir</t>
  </si>
  <si>
    <t>https://eitaa.com/pesaranefahmide</t>
  </si>
  <si>
    <t>مجموعه شهید مطهری</t>
  </si>
  <si>
    <t>https://www.instagram.com/ostad_motahary/</t>
  </si>
  <si>
    <t>https://eitaa.com/ostad_motahary</t>
  </si>
  <si>
    <t>https://eitaa.com/aqrkhomeinishahr</t>
  </si>
  <si>
    <t>لبیک</t>
  </si>
  <si>
    <t>https://www.instagram.com/heiat_labbayk/</t>
  </si>
  <si>
    <t>https://t.me/Heiat_Labbayk</t>
  </si>
  <si>
    <t>https://eitaa.com/Heiat_Labbayk</t>
  </si>
  <si>
    <t>مسجد علی بن ابیطالب</t>
  </si>
  <si>
    <t>https://eitaa.com/heyat_kh</t>
  </si>
  <si>
    <t xml:space="preserve">	مصباح </t>
  </si>
  <si>
    <t>محله آدریان</t>
  </si>
  <si>
    <t>https://www.instagram.com/Mesbah315.esf</t>
  </si>
  <si>
    <t>https://t.me/heyatsf</t>
  </si>
  <si>
    <t>https://eitaa.com/heyatsf315</t>
  </si>
  <si>
    <t>ذکرالرحمه</t>
  </si>
  <si>
    <t>https://www.instagram.com/kanun.zekr/</t>
  </si>
  <si>
    <t>https://eitaa.com/kanuonzekr</t>
  </si>
  <si>
    <t>https://www.instagram.com/maktab_alreza1379/</t>
  </si>
  <si>
    <t>https://t.me/maktab_alreza</t>
  </si>
  <si>
    <t>https://www.instagram.com/maktabo_ssadegh/</t>
  </si>
  <si>
    <t>https://eitaa.com/maktabo_ssadegh</t>
  </si>
  <si>
    <t>پاتوق دختران آفتاب</t>
  </si>
  <si>
    <t>https://www.instagram.com/patogh2khtarane/</t>
  </si>
  <si>
    <t>https://eitaa.com/patogh2khtaran</t>
  </si>
  <si>
    <t>دانشجویی شهدای گمنام دانشگاه اصفهان</t>
  </si>
  <si>
    <t>https://www.instagram.com/gomnam_ui</t>
  </si>
  <si>
    <t>https://t.me/gomnam_uisf</t>
  </si>
  <si>
    <t>شهدای گمنام دانشگاه اصفهان</t>
  </si>
  <si>
    <t>https://www.instagram.com/gomnam_ui/</t>
  </si>
  <si>
    <t>دانشجویی مسجد دانشگاه صنعتی</t>
  </si>
  <si>
    <t>https://www.instagram.com/masjed_iut</t>
  </si>
  <si>
    <t>https://t.me/masjed_iut</t>
  </si>
  <si>
    <t>https://eitaa.com/masjed_iut</t>
  </si>
  <si>
    <t>https://www.instagram.com/rozato_labbas133</t>
  </si>
  <si>
    <t>https://eitaa.com/rozatolabbas1</t>
  </si>
  <si>
    <t>تبیان ، متوسلین حضرت مهدی (عج)</t>
  </si>
  <si>
    <t xml:space="preserve">گوگد </t>
  </si>
  <si>
    <t>https://www.instagram.com/heyat_javanan14/reels/</t>
  </si>
  <si>
    <t>https://t.me/ALMAHDI1360</t>
  </si>
  <si>
    <t xml:space="preserve">متوسلین به سیدالشهدا (ع)
</t>
  </si>
  <si>
    <t xml:space="preserve">هرند </t>
  </si>
  <si>
    <t>https://www.instagram.com/motevaselin_mashha/</t>
  </si>
  <si>
    <t>https://t.me/Motevaselin_mashhad</t>
  </si>
  <si>
    <t xml:space="preserve">خادم الحسن و الحسین (ع)
</t>
  </si>
  <si>
    <t>https://www.instagram.com/khademo_lhasan_valhosein/</t>
  </si>
  <si>
    <t>https://t.me/khademo_lhasan_valhosein</t>
  </si>
  <si>
    <t xml:space="preserve">حضرت اباالفضل (ع)
</t>
  </si>
  <si>
    <t>https://www.instagram.com/heyat.abalfazl.harand/</t>
  </si>
  <si>
    <t>https://t.me/harandheatabalfazlabas</t>
  </si>
  <si>
    <t>https://www.instagram.com/mf_darosalam/</t>
  </si>
  <si>
    <t>https://t.me/m_darosalam</t>
  </si>
  <si>
    <t>فدائیان حضرت علی اصغر (ع</t>
  </si>
  <si>
    <t>https://www.instagram.com/ya_aliasghar.ir/</t>
  </si>
  <si>
    <t xml:space="preserve">پایگاه حضرت مریم (س) </t>
  </si>
  <si>
    <t>https://eitaa.com/roze_borkhar</t>
  </si>
  <si>
    <t xml:space="preserve">محبان الائمه (ع)
</t>
  </si>
  <si>
    <t>https://www.instagram.com/moheban70</t>
  </si>
  <si>
    <t>https://eitaa.com/moheban70</t>
  </si>
  <si>
    <t xml:space="preserve"> ریحانة النبی (س)</t>
  </si>
  <si>
    <t>https://eitaa.com/reyhaneh_info</t>
  </si>
  <si>
    <t xml:space="preserve">سراج </t>
  </si>
  <si>
    <t xml:space="preserve">روستای رباط سرخ </t>
  </si>
  <si>
    <t>https://www.instagram.com/seraj_media</t>
  </si>
  <si>
    <t>https://eitaa.com/heyatseraj</t>
  </si>
  <si>
    <t>الزهرا (سَلام اللّٰه عَلَیها)</t>
  </si>
  <si>
    <t>https://www.instagram.com/heyatallzahra/</t>
  </si>
  <si>
    <t>https://t.me/heyatallzahra</t>
  </si>
  <si>
    <t>https://eitaa.com/heyatalzahragolpa</t>
  </si>
  <si>
    <t>https://www.instagram.com/ensiatolhaoraa</t>
  </si>
  <si>
    <t>https://eitaa.com/ensiatalhora</t>
  </si>
  <si>
    <t>https://www.instagram.com/ansarolhossein.esf</t>
  </si>
  <si>
    <t>https://eitaa.com/ansarolhossein_esf</t>
  </si>
  <si>
    <t>https://www.instagram.com/heydariioon</t>
  </si>
  <si>
    <t>هیأت خانوادگی</t>
  </si>
  <si>
    <t>دارالعشق</t>
  </si>
  <si>
    <t>https://www.instagram.com/heyat_daroleshgh/</t>
  </si>
  <si>
    <t>https://eitaa.com/heyat_daroleshgh</t>
  </si>
  <si>
    <t>دلسوختگان</t>
  </si>
  <si>
    <t>https://www.instagram.com/delsuokhtegan/</t>
  </si>
  <si>
    <t>رزمندگان جنوب غرب (قرارگاه شهید ردانی پور)</t>
  </si>
  <si>
    <t>https://www.instagram.com/hytrzmndgnslmjnwb/</t>
  </si>
  <si>
    <t>رواق الحسین</t>
  </si>
  <si>
    <t>https://www.instagram.com/ravagholhosein/</t>
  </si>
  <si>
    <t>https://t.me/ravagholhosein</t>
  </si>
  <si>
    <t>استرک</t>
  </si>
  <si>
    <t>https://www.instagram.com/heyataliakbar_estark</t>
  </si>
  <si>
    <t>https://t.me/aliakbarestark</t>
  </si>
  <si>
    <t>https://www.instagram.com/fatemye_kashan/</t>
  </si>
  <si>
    <t>https://t.me/fatemye_kashan</t>
  </si>
  <si>
    <t>https://www.instagram.com/fatemiyun_mahmoodabad/</t>
  </si>
  <si>
    <t>https://www.instagram.com/fadaeianhoseinir/</t>
  </si>
  <si>
    <t>https://www.instagram.com/mohebanozahra_90/</t>
  </si>
  <si>
    <t>https://www.instagram.com/mohben_ahle_bet</t>
  </si>
  <si>
    <t>یوسف زهرا</t>
  </si>
  <si>
    <t>https://www.instagram.com/h.yusofezahra/</t>
  </si>
  <si>
    <t>https://eitaa.com/yusofe_zahra</t>
  </si>
  <si>
    <t>https://www.instagram.com/pelak69_ir/</t>
  </si>
  <si>
    <t>https://t.me/pelak69_ir</t>
  </si>
  <si>
    <t>https://eitaa.com/pelak69_ir</t>
  </si>
  <si>
    <t>مزرعه امام</t>
  </si>
  <si>
    <t>https://www.instagram.com/heyat.alreza</t>
  </si>
  <si>
    <t>جنت المجتبی</t>
  </si>
  <si>
    <t>https://www.instagram.com/jannat_al_mojtaba/</t>
  </si>
  <si>
    <t>https://eitaa.com/jannat_al_mojtaba</t>
  </si>
  <si>
    <t>ابوالفضل(ع)</t>
  </si>
  <si>
    <t>https://www.instagram.com/heyat_abolfazl_saresang/</t>
  </si>
  <si>
    <t>https://t.me/saresang</t>
  </si>
  <si>
    <t>برزک</t>
  </si>
  <si>
    <t>https://www.instagram.com/babalhavaeg_barzok/</t>
  </si>
  <si>
    <t>https://eitaa.com/babalhavaeg_barzok</t>
  </si>
  <si>
    <t>http://instagram.com/safiralhossein/</t>
  </si>
  <si>
    <t>https://t.me/safiralhossain</t>
  </si>
  <si>
    <t>متحده چهارده معصوم</t>
  </si>
  <si>
    <t>https://www.instagram.com/14masoomkashan/</t>
  </si>
  <si>
    <t>وارثان شهید اردهال</t>
  </si>
  <si>
    <t>فین</t>
  </si>
  <si>
    <t>https://www.instagram.com/mokebefin/</t>
  </si>
  <si>
    <t>https://www.instagram.com/jannatroghayekashan315/</t>
  </si>
  <si>
    <t>https://t.me/jannatolroghayekashan315</t>
  </si>
  <si>
    <t>https://www.instagram.com/_mohtadoun_/</t>
  </si>
  <si>
    <t>https://t.me/mohtadoun</t>
  </si>
  <si>
    <t>جنة الزهرا سلام اللّه علیها</t>
  </si>
  <si>
    <t>آران و بیدگل</t>
  </si>
  <si>
    <t>https://www.instagram.com/jannatol_zahra/</t>
  </si>
  <si>
    <t>https://t.me/janatol_zahra_AranandBidgol</t>
  </si>
  <si>
    <t>روضة العبّاس علیه السلام</t>
  </si>
  <si>
    <t>نوش آباد</t>
  </si>
  <si>
    <t>https://www.instagram.com/rozatolabbas_noushabad/</t>
  </si>
  <si>
    <t>https://t.me/rozatolabbas_noushabad</t>
  </si>
  <si>
    <t>https://eitaa.com/rozatolabbas_noushabad</t>
  </si>
  <si>
    <t>https://www.instagram.com/aliakbarpamenar/</t>
  </si>
  <si>
    <t>https://t.me/hazrat_aliakbr</t>
  </si>
  <si>
    <t>انصارالحسن کاشان</t>
  </si>
  <si>
    <t>https://www.instagram.com/ansarhasan_resane/</t>
  </si>
  <si>
    <t>https://www.instagram.com/alamdar_kashan/</t>
  </si>
  <si>
    <t>https://t.me/alamdarkashan</t>
  </si>
  <si>
    <t>https://eitaa.com/Alamdarkashan</t>
  </si>
  <si>
    <t>https://www.instagram.com/hosseininoushabad/</t>
  </si>
  <si>
    <t>یاعباس ع</t>
  </si>
  <si>
    <t>https://www.instagram.com/ya_abbas82/</t>
  </si>
  <si>
    <t>https://t.me/ya_abbas_82</t>
  </si>
  <si>
    <t>شاهزاده علی اصغر(علیه السلام)</t>
  </si>
  <si>
    <t>https://www.instagram.com/shahzade.aliasghar.kashan_1401/</t>
  </si>
  <si>
    <t>https://t.me/shahzadehaliasgharkashan</t>
  </si>
  <si>
    <t>عاشـــورائیان</t>
  </si>
  <si>
    <t>https://www.instagram.com/ashooraiyan69/</t>
  </si>
  <si>
    <t>https://t.me/ashooraiyan69</t>
  </si>
  <si>
    <t>سید رضا نریمانی</t>
  </si>
  <si>
    <t>https://www.instagram.com/seyedrezanarimanifan</t>
  </si>
  <si>
    <t>https://eitaa.com/seyedrezanarimani</t>
  </si>
  <si>
    <t>خیمه گاه آران و بیدگل</t>
  </si>
  <si>
    <t>https://eitaa.com/kheymegah</t>
  </si>
  <si>
    <t>هیأت کشتی استان اصفهان</t>
  </si>
  <si>
    <t>https://eitaa.com/isf_wr</t>
  </si>
  <si>
    <t>حسینیه و یادمان شهدای نجف آباد (درجوارمزارشهیدمحسن‌حججی)</t>
  </si>
  <si>
    <t>https://eitaa.com/yadmanshohada</t>
  </si>
  <si>
    <t>https://eitaa.com/karbalayebaran</t>
  </si>
  <si>
    <t>امامزاده ولی بن موسی الکاظم علیه السلام راوند</t>
  </si>
  <si>
    <t>راوند</t>
  </si>
  <si>
    <t>https://eitaa.com/mokabvaliebnmosa</t>
  </si>
  <si>
    <t>انصارالحسین‌علیه‌السلام‌روستای‌قهی</t>
  </si>
  <si>
    <t>https://eitaa.com/ansar313ghehi</t>
  </si>
  <si>
    <t>رزمی کاران شهدا</t>
  </si>
  <si>
    <t>https://eitaa.com/razmikaraneshohada</t>
  </si>
  <si>
    <t>حضرت علی بن باقر</t>
  </si>
  <si>
    <t>https://www.instagram.com/mokab_kashan</t>
  </si>
  <si>
    <t>https://eitaa.com/mokab_kashan</t>
  </si>
  <si>
    <t>حسینی نوش آباد</t>
  </si>
  <si>
    <t>https://eitaa.com/hosseinynooshabad</t>
  </si>
  <si>
    <t xml:space="preserve">حسین جان علیه السلام </t>
  </si>
  <si>
    <t>https://eitaa.com/hoseinjan_128</t>
  </si>
  <si>
    <t>https://eitaa.com/bab_al_javad</t>
  </si>
  <si>
    <t xml:space="preserve">شهدا و رزمندگان فاطمیون اصفهان متوسلین به حضرت زهرا </t>
  </si>
  <si>
    <t>https://eitaa.com/fatemiyoun_esfahan</t>
  </si>
  <si>
    <t>فرهنگی مذهبی خادم المهدی عج</t>
  </si>
  <si>
    <t>https://eitaa.com/javanan_khadem_almahdi</t>
  </si>
  <si>
    <t>حسینی مختص آباد بیدگل</t>
  </si>
  <si>
    <t>https://eitaa.com/hosseini_mokhtasabad</t>
  </si>
  <si>
    <t>احمدیه آزران</t>
  </si>
  <si>
    <t>https://eitaa.com/hoseiniye_ahmadiye</t>
  </si>
  <si>
    <t>محبان امام رضا میمه</t>
  </si>
  <si>
    <t>https://eitaa.com/meymechannel</t>
  </si>
  <si>
    <t>بقیه الله عجل الله</t>
  </si>
  <si>
    <t>https://eitaa.com/Mokeb_esf</t>
  </si>
  <si>
    <t>مبارکه سجادیه</t>
  </si>
  <si>
    <t>https://eitaa.com/sajjadie_ravand</t>
  </si>
  <si>
    <t>اصفهانیها</t>
  </si>
  <si>
    <t>https://eitaa.com/hoseiniyeh_esfahaniha</t>
  </si>
  <si>
    <t>مولی الموحدین خدام امیر المومنین</t>
  </si>
  <si>
    <t>https://eitaa.com/molalmovahden</t>
  </si>
  <si>
    <t>https://eitaa.com/mokeb_yousef_Zahra</t>
  </si>
  <si>
    <t xml:space="preserve">فرهنگی عشاق الحسن </t>
  </si>
  <si>
    <t>https://eitaa.com/oshagh_al_hasan</t>
  </si>
  <si>
    <t>امام حسین کربلا شهر قهدریجان</t>
  </si>
  <si>
    <t>https://eitaa.com/mokeb_ghahderijan</t>
  </si>
  <si>
    <t>خیمه سبز حسینی زواره</t>
  </si>
  <si>
    <t>https://eitaa.com/kheymehsabzhoseini</t>
  </si>
  <si>
    <t>حضرت ابوالفضل راوند</t>
  </si>
  <si>
    <t>https://eitaa.com/tekieravand</t>
  </si>
  <si>
    <t>https://eitaa.com/mokebzeynab</t>
  </si>
  <si>
    <t>چهارده معصوم روستای ویدوجا</t>
  </si>
  <si>
    <t>https://eitaa.com/heyat_14masoum_viduja</t>
  </si>
  <si>
    <t>وزوان</t>
  </si>
  <si>
    <t>https://eitaa.com/shifteganvazvan</t>
  </si>
  <si>
    <t>https://eitaa.com/ansaralmahdishahinshahr</t>
  </si>
  <si>
    <t>حضرت ابوالفضل روستای خم پیچ</t>
  </si>
  <si>
    <t>https://eitaa.com/hheiatekhompich</t>
  </si>
  <si>
    <t>کانال هیئت حضرت موسی ابن جعفر علیهم السلام</t>
  </si>
  <si>
    <t>https://eitaa.com/heyate_mosabnejafar</t>
  </si>
  <si>
    <t>https://eitaa.com/JavananeGhasem</t>
  </si>
  <si>
    <t xml:space="preserve">موکب </t>
  </si>
  <si>
    <t xml:space="preserve">بقیه الله الاعظم </t>
  </si>
  <si>
    <t>https://eitaa.com/mowkebbaqiyyatollah</t>
  </si>
  <si>
    <t>امیدان حسین</t>
  </si>
  <si>
    <t>https://eitaa.com/omidanhosein</t>
  </si>
  <si>
    <t>راه شهدا تا ظهور</t>
  </si>
  <si>
    <t>https://eitaa.com/rhshohada</t>
  </si>
  <si>
    <t>نائینی ها</t>
  </si>
  <si>
    <t>https://eitaa.com/hoseinieh_naeiniha</t>
  </si>
  <si>
    <t>بنی فاطمه علیهم السلام درچه</t>
  </si>
  <si>
    <t>درچه</t>
  </si>
  <si>
    <t>https://eitaa.com/heiat_banifatemeh</t>
  </si>
  <si>
    <t xml:space="preserve">هیأت دخترانه بنت الهدی </t>
  </si>
  <si>
    <t>https://eitaa.com/bentolhoda_kashan</t>
  </si>
  <si>
    <t>مرکزی آذرخواران جرقویه اصفهان</t>
  </si>
  <si>
    <t>https://eitaa.com/hosinazar</t>
  </si>
  <si>
    <t>https://eitaa.com/mokeb_seyed_shohada128</t>
  </si>
  <si>
    <t>کرسگان</t>
  </si>
  <si>
    <t>https://eitaa.com/heyat_hazrat_zeynab_s</t>
  </si>
  <si>
    <t>آستارا</t>
  </si>
  <si>
    <t>https://www.instagram.com/asheghan_zeynab_astaraa/</t>
  </si>
  <si>
    <t>https://www.instagram.com/reyhanatolhoseyn_astara/</t>
  </si>
  <si>
    <t>شبیه خوانی</t>
  </si>
  <si>
    <t>https://www.instagram.com/heyat_sar_allah_/</t>
  </si>
  <si>
    <t>نوای زینب</t>
  </si>
  <si>
    <t>https://www.instagram.com/navayezeynabastara/</t>
  </si>
  <si>
    <t>https://www.instagram.com/heyate_emamhasan_mojtaba/</t>
  </si>
  <si>
    <t>https://www.instagram.com/ehmojtaba</t>
  </si>
  <si>
    <t>https://t.me/ehmojtaba</t>
  </si>
  <si>
    <t>https://eitaa.com/ehmojtaba</t>
  </si>
  <si>
    <t>پرچمداران امام حسین</t>
  </si>
  <si>
    <t>https://www.instagram.com/parchamdaran_astanehashrafiyeh/</t>
  </si>
  <si>
    <t>حضرت حجت ابن الحسن</t>
  </si>
  <si>
    <t>https://www.instagram.com/hoseyniye_majazi/</t>
  </si>
  <si>
    <t>https://www.instagram.com/heiyat_fatematozahra/</t>
  </si>
  <si>
    <t>https://t.me/heyat_fatematolzahra</t>
  </si>
  <si>
    <t>https://www.instagram.com/heyat.razmandegan/</t>
  </si>
  <si>
    <t>https://eitaa.com/hayat_razmandegan_astaneh</t>
  </si>
  <si>
    <t>سوگواران حضرت ابالفضل</t>
  </si>
  <si>
    <t>https://www.instagram.com/heyat_abalfazl_astaneh/</t>
  </si>
  <si>
    <t>https://t.me/heyat_abalfazl_astaneh</t>
  </si>
  <si>
    <t>محفل محبان قمر بنی هاشم</t>
  </si>
  <si>
    <t>https://www.instagram.com/mahfell_moheban_gilan</t>
  </si>
  <si>
    <t>https://www.instagram.com/maktabolabbas_astaneh</t>
  </si>
  <si>
    <t>صادق آل محمد</t>
  </si>
  <si>
    <t>https://www.instagram.com/hoseinie_sadeghalmohammad/</t>
  </si>
  <si>
    <t>https://www.instagram.com/heyatemamreza.astaneh/</t>
  </si>
  <si>
    <t>https://www.instagram.com/mahdavion_astaneh/</t>
  </si>
  <si>
    <t>https://t.me/mahdavion_astaneh</t>
  </si>
  <si>
    <t>خیمة العباس</t>
  </si>
  <si>
    <t>https://www.instagram.com/kheymatol_abas/</t>
  </si>
  <si>
    <t>حیدر کرار</t>
  </si>
  <si>
    <t>https://www.instagram.com/heyate_heydar_karrar/</t>
  </si>
  <si>
    <t>https://t.me/heydarkarrar_astaneh</t>
  </si>
  <si>
    <t>املش</t>
  </si>
  <si>
    <t>https://www.instagram.com/heyat_baghiyatallah_amlash/</t>
  </si>
  <si>
    <t>https://t.me/ya_baghiyatallah_313_amlash</t>
  </si>
  <si>
    <t>قاسم بن الحسم</t>
  </si>
  <si>
    <t>https://www.instagram.com/heiyat_ghasem_ben_hassan1390/</t>
  </si>
  <si>
    <t>https://www.instagram.com/sadatamlash</t>
  </si>
  <si>
    <t>https://www.instagram.com/heyat_fatemiyon_1431/</t>
  </si>
  <si>
    <t>https://t.me/heyaatfatemiyoun</t>
  </si>
  <si>
    <t>رانکوه</t>
  </si>
  <si>
    <t>https://www.instagram.com/heyat_aliakbar_rankoh/</t>
  </si>
  <si>
    <t>https://t.me/heyat_aliakbar_rankoh</t>
  </si>
  <si>
    <t>نصرآباد</t>
  </si>
  <si>
    <t>https://www.instagram.com/ya_lesarat_ol_hosein/</t>
  </si>
  <si>
    <t>https://t.me/lesaratol_hosein</t>
  </si>
  <si>
    <t>بندر انزلی</t>
  </si>
  <si>
    <t>نویر</t>
  </si>
  <si>
    <t>https://www.instagram.com/ghaamarebanihashem1384/</t>
  </si>
  <si>
    <t>https://t.me/javanan_ghamar_bani_hashem1384</t>
  </si>
  <si>
    <t>حضرت ابالفضل</t>
  </si>
  <si>
    <t>تالش</t>
  </si>
  <si>
    <t>اسالم</t>
  </si>
  <si>
    <t>https://www.instagram.com/heyatasalem/</t>
  </si>
  <si>
    <t>https://www.instagram.com/heiat.panjtan.aleaba/</t>
  </si>
  <si>
    <t>هیئت روضَةُالحسين مسجد جامع چوکام</t>
  </si>
  <si>
    <t>خمام</t>
  </si>
  <si>
    <t>مسجد جامع چوکام</t>
  </si>
  <si>
    <t>https://www.instagram.com/rouzatolhossein.choukam/</t>
  </si>
  <si>
    <t>هیئت انصارالمهدی(عج)</t>
  </si>
  <si>
    <t>https://www.instagram.com/heyatansaralmahdi.ir/</t>
  </si>
  <si>
    <t>انصارالله</t>
  </si>
  <si>
    <t>https://www.instagram.com/heyat_ansarallah/</t>
  </si>
  <si>
    <t>صفحه قبلی هیأت</t>
  </si>
  <si>
    <t>https://www.instagram.com/revagh8/</t>
  </si>
  <si>
    <t>https://www.instagram.com/janatoreza_ir</t>
  </si>
  <si>
    <t>https://t.me/janatoreza_ir</t>
  </si>
  <si>
    <t>https://eitaa.com/janatoreza_ir</t>
  </si>
  <si>
    <t>https://www.instagram.com/heyat_imamreza/</t>
  </si>
  <si>
    <t>https://t.me/Heyat_imamreza0</t>
  </si>
  <si>
    <t>https://eitaa.com/Heyat_imamreza0</t>
  </si>
  <si>
    <t>هیئت روضات الحسین(ع) رشت</t>
  </si>
  <si>
    <t>مسجد امام رضا(ع) گلسار</t>
  </si>
  <si>
    <t>https://www.instagram.com/rozat_ir/</t>
  </si>
  <si>
    <t>https://t.me/rozatieh</t>
  </si>
  <si>
    <t>https://eitaa.com/rozatieh</t>
  </si>
  <si>
    <t>دوشنبه ها</t>
  </si>
  <si>
    <t>هیأت ثارالله رشت</t>
  </si>
  <si>
    <t>بلوار شهید مطهری . گذر خواهر امام . آستان مقدس حضرت فاطمه اُخریٰ (س)</t>
  </si>
  <si>
    <t>https://www.instagram.com/sarollah_com/</t>
  </si>
  <si>
    <t>https://t.me/Sarollah_com</t>
  </si>
  <si>
    <t>https://eitaa.com/Sarollah_com</t>
  </si>
  <si>
    <t>ابوذر بیوکافی</t>
  </si>
  <si>
    <t>هیئت یازهرا و رهروان شهدا رشت</t>
  </si>
  <si>
    <t>مـسـجـدصـادقـیـه</t>
  </si>
  <si>
    <t>https://www.instagram.com/yazahra135_info/</t>
  </si>
  <si>
    <t>https://t.me/yazahra135_info</t>
  </si>
  <si>
    <t>چهارشنبه ها</t>
  </si>
  <si>
    <t>هیئت امام حاضر(عج) رشت</t>
  </si>
  <si>
    <t>جانبازان،روبه‌روی گلزار شهدا،مجموعه مفتاح،حسینیه امام حاضر(عج)</t>
  </si>
  <si>
    <t>https://www.instagram.com/emam_hazer_info/</t>
  </si>
  <si>
    <t>هیئت حضرت علی اصغر (ع) رشت</t>
  </si>
  <si>
    <t>https://www.instagram.com/heiyat.aliasghar/</t>
  </si>
  <si>
    <t>باقرالعلوم</t>
  </si>
  <si>
    <t>دانشگاه گیلان</t>
  </si>
  <si>
    <t>https://www.instagram.com/heyat_db/</t>
  </si>
  <si>
    <t>https://www.instagram.com/h.shohada1382/</t>
  </si>
  <si>
    <t>نقره دشت</t>
  </si>
  <si>
    <t>https://www.instagram.com/ansaralhossain_ir/</t>
  </si>
  <si>
    <t>https://t.me/ansaralhossain_ir</t>
  </si>
  <si>
    <r>
      <rPr>
        <color rgb="FF1155CC"/>
        <u/>
      </rPr>
      <t>ایتا - هیئت انصارالحسین(ع)ا🚩</t>
    </r>
  </si>
  <si>
    <t>امامزاده</t>
  </si>
  <si>
    <t>آستان مقدس فاطمه اخری</t>
  </si>
  <si>
    <t>https://www.instagram.com/astanrasht/</t>
  </si>
  <si>
    <t>https://t.me/astanrasht</t>
  </si>
  <si>
    <t>https://eitaa.com/astanrasht</t>
  </si>
  <si>
    <t>https://www.instagram.com/ansaralhussein_rasht/</t>
  </si>
  <si>
    <t>https://www.instagram.com/ansaralhoseinrasht/</t>
  </si>
  <si>
    <t>خادمین امام رضا</t>
  </si>
  <si>
    <t>https://www.instagram.com/kesa.info/</t>
  </si>
  <si>
    <t>https://t.me/khademinalreza</t>
  </si>
  <si>
    <t>https://eitaa.com/khademinalreza</t>
  </si>
  <si>
    <t>امامزاده حسنی ها</t>
  </si>
  <si>
    <t>https://www.instagram.com/emamzadehhasaniha/</t>
  </si>
  <si>
    <t>https://t.me/emamzadehasaniha</t>
  </si>
  <si>
    <t>https://eitaa.com/hasanihakhomam</t>
  </si>
  <si>
    <t>https://www.instagram.com/misaq_ba_shohada_rasht/</t>
  </si>
  <si>
    <t>https://t.me/misaq_ba_shohada_rasht</t>
  </si>
  <si>
    <t>https://eitaa.com/misaq_ba_shohada_rasht</t>
  </si>
  <si>
    <t>سائلین حسن جان</t>
  </si>
  <si>
    <t>https://www.instagram.com/mouod.info/</t>
  </si>
  <si>
    <t>سنگر</t>
  </si>
  <si>
    <t>https://www.instagram.com/motavasselin_info/</t>
  </si>
  <si>
    <t>https://t.me/motavasselin_info</t>
  </si>
  <si>
    <t>https://eitaa.com/motavasselin_info</t>
  </si>
  <si>
    <t>https://www.instagram.com/ebnozzahra_com/</t>
  </si>
  <si>
    <t>https://eitaa.com/ebnozzahra_com</t>
  </si>
  <si>
    <t xml:space="preserve">شهدای گمنام </t>
  </si>
  <si>
    <t>سنگسر ویشکاننک</t>
  </si>
  <si>
    <t>https://www.instagram.com/gomnam.vishka/</t>
  </si>
  <si>
    <t>https://www.instagram.com/beyragh_110/</t>
  </si>
  <si>
    <t>https://t.me/beyragh_110_2</t>
  </si>
  <si>
    <t>https://eitaa.com/beyragh_110_2</t>
  </si>
  <si>
    <t>https://www.instagram.com/shams_info/</t>
  </si>
  <si>
    <t>صراط الرقیه</t>
  </si>
  <si>
    <t>https://www.instagram.com/serat_315/</t>
  </si>
  <si>
    <t>https://t.me/serat_315</t>
  </si>
  <si>
    <t>https://www.instagram.com/mohebban_velayat/</t>
  </si>
  <si>
    <t>https://t.me/mohebban_velayat</t>
  </si>
  <si>
    <t>محفل هاشمیون</t>
  </si>
  <si>
    <t>https://www.instagram.com/hashemion_rasht/</t>
  </si>
  <si>
    <t>https://t.me/hashemion_rasht</t>
  </si>
  <si>
    <t>https://www.instagram.com/gomnam_info/</t>
  </si>
  <si>
    <t>https://t.me/shohadagomnamrasht</t>
  </si>
  <si>
    <t>علقمة العباس</t>
  </si>
  <si>
    <t>https://www.instagram.com/alghameeh_info/</t>
  </si>
  <si>
    <t>https://t.me/ALGHAMEEH_INFO</t>
  </si>
  <si>
    <t>هیئت یازهرا و رهروان شهدا</t>
  </si>
  <si>
    <t>https://www.instagram.com/omeabiha_ir/</t>
  </si>
  <si>
    <t>https://t.me/omeabiha_com</t>
  </si>
  <si>
    <t>https://eitaa.com/omeabiha_com</t>
  </si>
  <si>
    <t>https://www.instagram.com/heyataleyasin.ir/</t>
  </si>
  <si>
    <t>https://t.me/heyataleyasin</t>
  </si>
  <si>
    <t>خیمة الرضا</t>
  </si>
  <si>
    <t>https://www.instagram.com/kheyme_8/</t>
  </si>
  <si>
    <t>https://t.me/kheyme_8</t>
  </si>
  <si>
    <t>https://www.instagram.com/shohadagomnam_rasht/</t>
  </si>
  <si>
    <t>متحده سیده زینب</t>
  </si>
  <si>
    <t>https://www.instagram.com/seyedeh_zeynab_rasht/</t>
  </si>
  <si>
    <t>https://t.me/seyedeh69</t>
  </si>
  <si>
    <t>یازهرا رهروان شهدا</t>
  </si>
  <si>
    <t>https://www.instagram.com/yazahra_rahrovan_shohada/</t>
  </si>
  <si>
    <t>https://www.instagram.com/torbat_info/</t>
  </si>
  <si>
    <t>https://t.me/torbatinfo_channel</t>
  </si>
  <si>
    <t>https://eitaa.com/torbatinfo_channel</t>
  </si>
  <si>
    <t>https://www.instagram.com/mahfel133/</t>
  </si>
  <si>
    <t>https://www.instagram.com/mohebin128/</t>
  </si>
  <si>
    <t>https://t.me/MOHEBIN128</t>
  </si>
  <si>
    <t>متوسلین به آل نبی</t>
  </si>
  <si>
    <t>https://www.instagram.com/alenabi.rasht/</t>
  </si>
  <si>
    <t>رهروان کربلا</t>
  </si>
  <si>
    <t>https://www.instagram.com/haram_info/</t>
  </si>
  <si>
    <t>https://www.instagram.com/heyat.beytolzahra.313/</t>
  </si>
  <si>
    <t>https://t.me/beytozahra_rasht</t>
  </si>
  <si>
    <t>https://www.instagram.com/jnat___133/</t>
  </si>
  <si>
    <t>https://www.instagram.com/razmandeganeslam_ir/</t>
  </si>
  <si>
    <t>https://t.me/razmandeganeslam_ir</t>
  </si>
  <si>
    <t>خدام الحیدر</t>
  </si>
  <si>
    <t>https://www.instagram.com/khoddamolheydar.ir/</t>
  </si>
  <si>
    <t>https://t.me/khodam_rasht</t>
  </si>
  <si>
    <t>https://eitaa.com/khoddam_rasht</t>
  </si>
  <si>
    <t>https://www.instagram.com/oshaghol_alhosein/</t>
  </si>
  <si>
    <t>https://www.instagram.com/janate_zeynab/</t>
  </si>
  <si>
    <t>حضرت امیر</t>
  </si>
  <si>
    <t>https://www.instagram.com/heyat_hazrat_amir/</t>
  </si>
  <si>
    <t>https://t.me/heyat_hazrat_amir</t>
  </si>
  <si>
    <t>https://www.instagram.com/heyat_oshagholreza/</t>
  </si>
  <si>
    <t>https://t.me/heyat_oshagholreza</t>
  </si>
  <si>
    <t>https://www.instagram.com/beheshtt_info/</t>
  </si>
  <si>
    <t>کوچصفهان</t>
  </si>
  <si>
    <t>https://www.instagram.com/jannatal_hussain/</t>
  </si>
  <si>
    <t>سنگر کیاسرا</t>
  </si>
  <si>
    <t>https://www.instagram.com/hazrat.abolfazl.live/</t>
  </si>
  <si>
    <t>https://t.me/hazrat_abolfazl_info</t>
  </si>
  <si>
    <t>قائمیه</t>
  </si>
  <si>
    <t>https://www.instagram.com/heyat_ghaemie_rasht/</t>
  </si>
  <si>
    <t>https://www.instagram.com/rozatazahra/</t>
  </si>
  <si>
    <t>https://t.me/rozatazahra_ir</t>
  </si>
  <si>
    <t>https://eitaa.com/rozatoozahra</t>
  </si>
  <si>
    <t>https://www.instagram.com/fatematazahra_ir/</t>
  </si>
  <si>
    <t>لشت نشاء</t>
  </si>
  <si>
    <t>https://www.instagram.com/bentol_hossein1403/</t>
  </si>
  <si>
    <t>https://www.instagram.com/oshagh.media/</t>
  </si>
  <si>
    <t xml:space="preserve">یازهرا </t>
  </si>
  <si>
    <t>خشکبیجار</t>
  </si>
  <si>
    <t>https://www.instagram.com/yazaahra_ir/</t>
  </si>
  <si>
    <t>https://t.me/yazaahra_ir</t>
  </si>
  <si>
    <t>رقیة الحسین</t>
  </si>
  <si>
    <t>https://www.instagram.com/roghayeeh_315/</t>
  </si>
  <si>
    <t>روضة الامیر</t>
  </si>
  <si>
    <t>https://www.instagram.com/rozatolamirrasht_ir/</t>
  </si>
  <si>
    <t>https://www.instagram.com/montazeransahebazaman/</t>
  </si>
  <si>
    <t>https://t.me/montazeransahebazaman313</t>
  </si>
  <si>
    <t>https://www.instagram.com/janatezeynab.ir/</t>
  </si>
  <si>
    <t>https://t.me/janate_zeynab</t>
  </si>
  <si>
    <t>https://www.instagram.com/heyat_abolfazl.abbas/</t>
  </si>
  <si>
    <t>خشکبیجار، تمل</t>
  </si>
  <si>
    <t>https://www.instagram.com/heiyat.hazrat.abalfazl.tamal/</t>
  </si>
  <si>
    <t>https://t.me/masjed_jamee_tamal</t>
  </si>
  <si>
    <t>ریحانة الرسول</t>
  </si>
  <si>
    <t>https://www.instagram.com/reyhanatorrasoul/</t>
  </si>
  <si>
    <t>https://eitaa.com/reihanatorasoul</t>
  </si>
  <si>
    <t>خادمین الزهرا</t>
  </si>
  <si>
    <t>https://www.instagram.com/khademin__alzahra/</t>
  </si>
  <si>
    <t>https://www.instagram.com/khademin__info/</t>
  </si>
  <si>
    <t>https://t.me/khademin_135</t>
  </si>
  <si>
    <t>پایگاه المهدی</t>
  </si>
  <si>
    <t>https://www.instagram.com/payegahealmahdi/</t>
  </si>
  <si>
    <t>https://www.instagram.com/khonemadari_135/</t>
  </si>
  <si>
    <t>جنة المهدی</t>
  </si>
  <si>
    <t>https://www.instagram.com/janat.ir/</t>
  </si>
  <si>
    <t>https://t.me/heyatjanat</t>
  </si>
  <si>
    <t>https://eitaa.com/heyatjanat</t>
  </si>
  <si>
    <t>منتظران منجی</t>
  </si>
  <si>
    <t>https://www.instagram.com/montazeran_monji_rasht/</t>
  </si>
  <si>
    <t>منتظران بقیة الله</t>
  </si>
  <si>
    <t>https://www.instagram.com/montazeran_rasht313/</t>
  </si>
  <si>
    <t>https://t.me/montazeran_rasht313</t>
  </si>
  <si>
    <t>خیمة الحیدر</t>
  </si>
  <si>
    <t>https://www.instagram.com/khaymatolhaydar/</t>
  </si>
  <si>
    <t>مولا علی</t>
  </si>
  <si>
    <t>https://www.instagram.com/heyatmowlaali/</t>
  </si>
  <si>
    <t>https://t.me/heyatmowlaali</t>
  </si>
  <si>
    <t>https://www.instagram.com/heyat_bahonar/</t>
  </si>
  <si>
    <t>https://t.me/heyat_bahonar</t>
  </si>
  <si>
    <t>https://www.instagram.com/mohebin_com/</t>
  </si>
  <si>
    <t>https://t.me/Mohebin_AhlalBayt</t>
  </si>
  <si>
    <t>https://www.instagram.com/ashk_info/</t>
  </si>
  <si>
    <t>https://t.me/ashk_info</t>
  </si>
  <si>
    <t>https://www.instagram.com/ukhtalreza_101/</t>
  </si>
  <si>
    <t>https://www.instagram.com/oshagh_mahdi_/</t>
  </si>
  <si>
    <t>https://www.instagram.com/sadid.heiat/</t>
  </si>
  <si>
    <t>مصباح الحسین</t>
  </si>
  <si>
    <t>https://www.instagram.com/mesbaholhossein_org/</t>
  </si>
  <si>
    <t>غمخانه بنت علی</t>
  </si>
  <si>
    <t>https://www.instagram.com/ghamkhanehbentali/</t>
  </si>
  <si>
    <t>خدام العتره</t>
  </si>
  <si>
    <t>https://www.instagram.com/khoddamoletra/</t>
  </si>
  <si>
    <t>https://www.instagram.com/heyat.razmandegan.gilan/</t>
  </si>
  <si>
    <t>روضات العباس</t>
  </si>
  <si>
    <t>https://www.instagram.com/rozat_133/</t>
  </si>
  <si>
    <t>https://t.me/rozat_133</t>
  </si>
  <si>
    <t>https://www.instagram.com/moheban.al.hosein/</t>
  </si>
  <si>
    <t>حضرت بنت الحیدر</t>
  </si>
  <si>
    <t>https://www.instagram.com/bentolheydar_ir/</t>
  </si>
  <si>
    <t>https://t.me/bentolheydar</t>
  </si>
  <si>
    <t>https://www.instagram.com/mohebbinoreza/</t>
  </si>
  <si>
    <t>http://t.me/mohebbinoreza</t>
  </si>
  <si>
    <t>https://eitaa.com/mohebbinoreza</t>
  </si>
  <si>
    <t>انصارالمهدی مهدیه</t>
  </si>
  <si>
    <t>https://www.instagram.com/mahdieh_rasht/</t>
  </si>
  <si>
    <t>تکیه گاه امام هادی</t>
  </si>
  <si>
    <t>https://www.instagram.com/tekyegahemamhadi/</t>
  </si>
  <si>
    <t>https://t.me/e_hadi_ir</t>
  </si>
  <si>
    <t>https://eitaa.com/Emamhadirasht</t>
  </si>
  <si>
    <t>https://www.instagram.com/mohebban.info/</t>
  </si>
  <si>
    <t>https://t.me/araf313</t>
  </si>
  <si>
    <t>https://www.instagram.com/ansar_rasht/</t>
  </si>
  <si>
    <t>https://www.instagram.com/fatemiyon_rasht/</t>
  </si>
  <si>
    <t>https://www.instagram.com/mahfelll</t>
  </si>
  <si>
    <t>https://t.me/mahfelll</t>
  </si>
  <si>
    <t>رودبار</t>
  </si>
  <si>
    <t>لوشان</t>
  </si>
  <si>
    <t>https://www.instagram.com/maktab.alzahra1420/</t>
  </si>
  <si>
    <t>رودسر</t>
  </si>
  <si>
    <t>کلاچای</t>
  </si>
  <si>
    <t>https://www.instagram.com/h.reyhanatonaby/</t>
  </si>
  <si>
    <t>https://t.me/hreyhanatonabi</t>
  </si>
  <si>
    <t>https://eitaa.com/hreyhanatonabi</t>
  </si>
  <si>
    <t>https://www.instagram.com/h.saralah_kelachay/</t>
  </si>
  <si>
    <t>https://t.me/hsaralahkelachay</t>
  </si>
  <si>
    <t>https://www.instagram.com/htsarallah/</t>
  </si>
  <si>
    <t>https://t.me/sarallahfouman</t>
  </si>
  <si>
    <t>https://eitaa.com/sarallah_kanon</t>
  </si>
  <si>
    <t>https://www.instagram.com/heyat_aliasghar1401/</t>
  </si>
  <si>
    <t>https://t.me/heyat_aliasghar1401</t>
  </si>
  <si>
    <t>https://www.instagram.com/hfatemiyoun.ir/</t>
  </si>
  <si>
    <t>https://t.me/HFatemiyoun</t>
  </si>
  <si>
    <t>https://eitaa.com/HFatemiyoun</t>
  </si>
  <si>
    <t>هیأت برپایی خیام اباعبدالله الحسین</t>
  </si>
  <si>
    <t>کومله</t>
  </si>
  <si>
    <t>https://www.instagram.com/heyat_khiam/</t>
  </si>
  <si>
    <t>https://t.me/khiamkomleh</t>
  </si>
  <si>
    <t>https://eitaa.com/khiyamkomleh</t>
  </si>
  <si>
    <t>شفت</t>
  </si>
  <si>
    <t>نصیرمحله</t>
  </si>
  <si>
    <t>https://www.instagram.com/heyatolhosein_69/</t>
  </si>
  <si>
    <t>https://www.instagram.com/heiat_baghiyatallah/</t>
  </si>
  <si>
    <t>https://t.me/heiat_baghiyatallah</t>
  </si>
  <si>
    <t>https://www.instagram.com/heiat_rahrovan/</t>
  </si>
  <si>
    <t>https://t.me/rahrovan_shaft</t>
  </si>
  <si>
    <t>https://eitaa.com/rahrovan_shohada_shaft</t>
  </si>
  <si>
    <t>https://www.instagram.com/panjtan_shaft/</t>
  </si>
  <si>
    <t>https://t.me/panjtan_shaft</t>
  </si>
  <si>
    <t>صومعه سرا</t>
  </si>
  <si>
    <t>https://www.instagram.com/shgomnam.ir/</t>
  </si>
  <si>
    <t>https://t.me/h_shgomnam</t>
  </si>
  <si>
    <t>https://www.instagram.com/hrsoomesara/</t>
  </si>
  <si>
    <t>گوراب زرمیخ</t>
  </si>
  <si>
    <t>https://www.instagram.com/h_roghayejan_315/</t>
  </si>
  <si>
    <t>https://t.me/roghaye_jan315</t>
  </si>
  <si>
    <t>https://www.instagram.com/h_fatemiyon_s/</t>
  </si>
  <si>
    <t>https://t.me/hfs135</t>
  </si>
  <si>
    <t>https://www.instagram.com/h.ansaralmahdi.s/</t>
  </si>
  <si>
    <t>فومن</t>
  </si>
  <si>
    <t>https://www.instagram.com/rayatalabbas_fuoman/</t>
  </si>
  <si>
    <t>https://t.me/rayatalabbas_fuman</t>
  </si>
  <si>
    <t>محبان فاطمه سلام الله علیها</t>
  </si>
  <si>
    <t>https://www.instagram.com/mohebbane_fatemeh/</t>
  </si>
  <si>
    <t>https://www.instagram.com/sarallah__info/</t>
  </si>
  <si>
    <t>https://www.instagram.com/alzahra.info/</t>
  </si>
  <si>
    <t>https://www.instagram.com/ansar.info/</t>
  </si>
  <si>
    <t>https://t.me/ansar_alhussain_fuman</t>
  </si>
  <si>
    <t>https://eitaa.com/ansar_info</t>
  </si>
  <si>
    <t>فدائیان امیرالمومنین</t>
  </si>
  <si>
    <t>لاهیجان</t>
  </si>
  <si>
    <t>https://www.instagram.com/mahfel_fadaeiyan110/</t>
  </si>
  <si>
    <t>منتظران امام زمان</t>
  </si>
  <si>
    <t>https://www.instagram.com/montazeran_emam_zaman_lahijan/</t>
  </si>
  <si>
    <t>https://t.me/montazeran_emam_zaman</t>
  </si>
  <si>
    <t>https://eitaa.com/montazeran_emam_zaman</t>
  </si>
  <si>
    <t>مکتب الجواد</t>
  </si>
  <si>
    <t>https://www.instagram.com/maktaboljavadd/</t>
  </si>
  <si>
    <t>https://t.me/maktaboljavadd</t>
  </si>
  <si>
    <t>https://www.instagram.com/aghilatolarab.lahijan/</t>
  </si>
  <si>
    <t>https://www.instagram.com/heyatjanatolhosein/</t>
  </si>
  <si>
    <t>https://www.instagram.com/hossein_jan_lahijan/</t>
  </si>
  <si>
    <t>https://eitaa.com/hossein_jan_lahijan</t>
  </si>
  <si>
    <t>محبین ولایت</t>
  </si>
  <si>
    <t>https://www.instagram.com/mohebbin_velayat_lahijan/</t>
  </si>
  <si>
    <t>https://t.me/mohebbin_velayat_lahijan</t>
  </si>
  <si>
    <t>https://www.instagram.com/razmandegan_eslam_lahijan/</t>
  </si>
  <si>
    <t>https://www.instagram.com/montazeranmouod/</t>
  </si>
  <si>
    <t>https://www.instagram.com/m_jhosein/</t>
  </si>
  <si>
    <t>لنگرود</t>
  </si>
  <si>
    <t>https://eitaa.com/A_velayat</t>
  </si>
  <si>
    <t>https://www.instagram.com/khazra_info/</t>
  </si>
  <si>
    <t>https://t.me/khazra_info</t>
  </si>
  <si>
    <t>https://www.instagram.com/asheghan_saralah_langarud/</t>
  </si>
  <si>
    <t>https://www.instagram.com/heyat_s.ir/</t>
  </si>
  <si>
    <t>https://t.me/heyat_s</t>
  </si>
  <si>
    <t>https://www.instagram.com/a_velayat/</t>
  </si>
  <si>
    <t>https://eitaa.com/a_velayat</t>
  </si>
  <si>
    <t>دریاکنار</t>
  </si>
  <si>
    <t>https://www.instagram.com/majma_o_zakerin/</t>
  </si>
  <si>
    <t>https://t.me/majma_o_zakerin_daryakenar</t>
  </si>
  <si>
    <t>حب العباس</t>
  </si>
  <si>
    <t>سیگارود</t>
  </si>
  <si>
    <t>https://www.instagram.com/heyat_hobe_abas/</t>
  </si>
  <si>
    <t>https://www.instagram.com/h_sahebalzaman_lan/</t>
  </si>
  <si>
    <t>https://www.instagram.com/heyat_meraj/</t>
  </si>
  <si>
    <t>https://t.me/meraj_alshohada</t>
  </si>
  <si>
    <t>https://eitaa.com/Merajalshohada313</t>
  </si>
  <si>
    <t>حضرت ولی عصر</t>
  </si>
  <si>
    <t>https://www.instagram.com/moukeb_valiasr_langarud/</t>
  </si>
  <si>
    <t>شلمان</t>
  </si>
  <si>
    <t>https://www.instagram.com/ghamar_____133/</t>
  </si>
  <si>
    <t>ماسال</t>
  </si>
  <si>
    <t>https://www.instagram.com/hmv_ir/</t>
  </si>
  <si>
    <t>https://t.me/Hmv_ir</t>
  </si>
  <si>
    <t>https://www.instagram.com/panaheharam.masal/</t>
  </si>
  <si>
    <t>https://t.me/panaheharam</t>
  </si>
  <si>
    <t>https://eitaa.com/mheyat</t>
  </si>
  <si>
    <t>مسجد جامع ماسال</t>
  </si>
  <si>
    <t>https://www.instagram.com/masjed_jame_masal</t>
  </si>
  <si>
    <t>محبان قمر بنی هاشم</t>
  </si>
  <si>
    <t>https://www.instagram.com/saghy313</t>
  </si>
  <si>
    <t>https://eitaa.com/Saghy313</t>
  </si>
  <si>
    <t>https://eitaa.com/razmandegan_eslam_lahijan</t>
  </si>
  <si>
    <t>آشتیان</t>
  </si>
  <si>
    <t>https://www.instagram.com/heyat.sarallah.ashtian/</t>
  </si>
  <si>
    <t>حسنی</t>
  </si>
  <si>
    <t>https://www.instagram.com/heyathasani.ir/</t>
  </si>
  <si>
    <t>https://www.instagram.com/husseinieh_sadeghbik</t>
  </si>
  <si>
    <t>https://www.instagram.com/heyat_hazrat_zenab/</t>
  </si>
  <si>
    <t>عشاق العباس(ع)</t>
  </si>
  <si>
    <t>https://www.instagram.com/oshagh_abas/</t>
  </si>
  <si>
    <t>https://t.me/uuuuoshaghabas</t>
  </si>
  <si>
    <t>https://www.instagram.com/heyatroghayeh.ir</t>
  </si>
  <si>
    <t>https://www.instagram.com/maktabolhusein/</t>
  </si>
  <si>
    <t>هیات زهرایی</t>
  </si>
  <si>
    <t>https://eitaa.com/heiatezahray</t>
  </si>
  <si>
    <t>شهد الشهود</t>
  </si>
  <si>
    <t>https://eitaa.com/shahde_shohod</t>
  </si>
  <si>
    <t>فرهنگی جهادی حر</t>
  </si>
  <si>
    <t>https://www.instagram.com/heyathorsaveh/</t>
  </si>
  <si>
    <r>
      <rPr>
        <rFont val="-apple-system, BlinkMacSystemFont, &quot;Segoe UI&quot;, Roboto, Helvetica, Arial, sans-serif"/>
        <color rgb="FF1155CC"/>
        <sz val="11.0"/>
        <u/>
      </rPr>
      <t>eitaa.com/heyathorsaveh</t>
    </r>
  </si>
  <si>
    <t>https://www.instagram.com/moojab135/</t>
  </si>
  <si>
    <t>بیت الحسن (ع)</t>
  </si>
  <si>
    <t>https://www.instagram.com/beitalhasan4517/</t>
  </si>
  <si>
    <r>
      <rPr>
        <rFont val="-apple-system, BlinkMacSystemFont, &quot;Segoe UI&quot;, Roboto, Helvetica, Arial, sans-serif"/>
        <color rgb="FF1155CC"/>
        <sz val="11.0"/>
        <u/>
      </rPr>
      <t>t.me/beytolhasan_arak</t>
    </r>
  </si>
  <si>
    <t>https://www.instagram.com/samenalhojaj.arak/</t>
  </si>
  <si>
    <t>https://www.instagram.com/hasanie_arak/</t>
  </si>
  <si>
    <t>https://t.me/Hasanie_arak</t>
  </si>
  <si>
    <t>مـحـفـل دیـوانـگان مـکـتـب الـحـسـيـن (ع)</t>
  </si>
  <si>
    <t>https://www.instagram.com/mahfele_maktabalhosein/</t>
  </si>
  <si>
    <r>
      <rPr>
        <rFont val="-apple-system, BlinkMacSystemFont, &quot;Segoe UI&quot;, Roboto, Helvetica, Arial, sans-serif"/>
        <color rgb="FF1155CC"/>
        <sz val="11.0"/>
        <u/>
      </rPr>
      <t>t.me/mahfele_maktabalhosein</t>
    </r>
  </si>
  <si>
    <t>رزمندگان _ حسینیه عاشقان ثارالله (ع)</t>
  </si>
  <si>
    <t>https://www.instagram.com/meheyat.ir/</t>
  </si>
  <si>
    <r>
      <rPr>
        <rFont val="-apple-system, BlinkMacSystemFont, &quot;Segoe UI&quot;, Roboto, Helvetica, Arial, sans-serif"/>
        <color rgb="FF1155CC"/>
        <sz val="11.0"/>
        <u/>
      </rPr>
      <t>eitaa.com/meheyat_ir</t>
    </r>
  </si>
  <si>
    <t>شباب الزینب (س)</t>
  </si>
  <si>
    <t>https://www.instagram.com/shababozeynab_saveh/</t>
  </si>
  <si>
    <t>https://www.instagram.com/heyat_mohebanzeynab_arak/</t>
  </si>
  <si>
    <t>محفل زینبیون (س)</t>
  </si>
  <si>
    <t>https://www.instagram.com/heyatzeynabion_arak/</t>
  </si>
  <si>
    <t>هیأت دخترانه ریحانه حداث الحسین (ع)</t>
  </si>
  <si>
    <t>https://eitaa.com/hoddas_arak</t>
  </si>
  <si>
    <t>لواء الزهرا(س)</t>
  </si>
  <si>
    <t>https://www.instagram.com/leva_ozzahra/</t>
  </si>
  <si>
    <t>بیت المهدی _ پسران و دختران برنا</t>
  </si>
  <si>
    <t>https://www.instagram.com/nodbeha/</t>
  </si>
  <si>
    <t>اصحاب المهدی (عج)</t>
  </si>
  <si>
    <t>https://www.instagram.com/varesorg/</t>
  </si>
  <si>
    <t>https://t.me/amahdi_313</t>
  </si>
  <si>
    <t>https://eitaa.com/amahdi_313</t>
  </si>
  <si>
    <t>مجموعه علمی فرهنگی صاحب العصر(عج)</t>
  </si>
  <si>
    <t>https://www.instagram.com/yalasarat__net/</t>
  </si>
  <si>
    <t>https://eitaa.com/ansarozahraarak</t>
  </si>
  <si>
    <t>فاطمیون سنجان</t>
  </si>
  <si>
    <t>https://www.instagram.com/fatemioon_senejan/</t>
  </si>
  <si>
    <t>غدیریون</t>
  </si>
  <si>
    <t>https://www.instagram.com/ghadirion_ir/</t>
  </si>
  <si>
    <t>https://eitaa.com/homaarak</t>
  </si>
  <si>
    <t>محبین خاتم الانبیا(ص)</t>
  </si>
  <si>
    <t>https://www.instagram.com/heyat_mohibin/</t>
  </si>
  <si>
    <t>https://www.instagram.com/maktabalzahra.arak/</t>
  </si>
  <si>
    <t>محبین الزهرا(س) / یادگاران شهدا شهباز</t>
  </si>
  <si>
    <t>https://eitaa.com/yadegaran_info</t>
  </si>
  <si>
    <t>https://www.yadegaran.info</t>
  </si>
  <si>
    <t>https://www.instagram.com/gomnaminfo/</t>
  </si>
  <si>
    <t>https://eitaa.com/gomnaminfo</t>
  </si>
  <si>
    <t>یهدا</t>
  </si>
  <si>
    <t>https://www.instagram.com/yahda_ir_/</t>
  </si>
  <si>
    <t>https://eitaa.com/maedeh_media</t>
  </si>
  <si>
    <t>https://www.instagram.com/heyatozahraarak/</t>
  </si>
  <si>
    <t>شفیقة الحسن</t>
  </si>
  <si>
    <t>https://www.instagram.com/shaghighatalhasan/</t>
  </si>
  <si>
    <t>https://www.instagram.com/heyatebeyn.alharameyn/</t>
  </si>
  <si>
    <t>https://t.me/heyatebeyn_alharameyn</t>
  </si>
  <si>
    <t>فدائیان امام حسن مجتبی</t>
  </si>
  <si>
    <t>https://www.instagram.com/fedak.arak/</t>
  </si>
  <si>
    <t>https://t.me/fedak_arak</t>
  </si>
  <si>
    <t>https://eitaa.com/fedak_arak</t>
  </si>
  <si>
    <t>https://www.instagram.com/levaozzeynab_arak/</t>
  </si>
  <si>
    <t>https://eitaa.com/levaozzeynab_arak</t>
  </si>
  <si>
    <t>گوار</t>
  </si>
  <si>
    <t>https://www.instagram.com/emam_gavar/</t>
  </si>
  <si>
    <t>https://t.me/emam_gavar</t>
  </si>
  <si>
    <t>کرهود</t>
  </si>
  <si>
    <t>https://www.instagram.com/asheqaneali/</t>
  </si>
  <si>
    <t>https://eitaa.com/asheqaneali</t>
  </si>
  <si>
    <t>محبین الائمه(علیهم السلام)</t>
  </si>
  <si>
    <t>https://www.instagram.com/homa_arak/</t>
  </si>
  <si>
    <t>داره</t>
  </si>
  <si>
    <t>یادگاران شهدا</t>
  </si>
  <si>
    <t>https://www.instagram.com/yadegaran_info/</t>
  </si>
  <si>
    <t>https://t.me/yadegaran_info</t>
  </si>
  <si>
    <t>قاسم‌ابن‌الحسن(ع)</t>
  </si>
  <si>
    <t>https://www.instagram.com/ebnalhasan_info/</t>
  </si>
  <si>
    <t>https://t.me/ebnalhasan_info</t>
  </si>
  <si>
    <t>https://eitaa.com/ebnalhasan_info</t>
  </si>
  <si>
    <t>سیدالشباب(ع)</t>
  </si>
  <si>
    <t>https://www.instagram.com/boka.info/</t>
  </si>
  <si>
    <t>https://t.me/bokainfo</t>
  </si>
  <si>
    <t>https://eitaa.com/bokainfo</t>
  </si>
  <si>
    <t>رایة الزهرا (س)</t>
  </si>
  <si>
    <t>https://www.instagram.com/meshkat.arak.ir/</t>
  </si>
  <si>
    <t>https://eitaa.com/Meshkat_bhr</t>
  </si>
  <si>
    <t>https://www.instagram.com/heydariyoon_arak/</t>
  </si>
  <si>
    <t>https://t.me/heydariyoon_arak</t>
  </si>
  <si>
    <t>عاشقان باب الحوائج</t>
  </si>
  <si>
    <t>https://www.instagram.com/babalhavaej_arak/</t>
  </si>
  <si>
    <t>https://t.me/asheghanebabalhavaejarak</t>
  </si>
  <si>
    <t>حضرت حسن ابن علی(ع)</t>
  </si>
  <si>
    <t>https://www.instagram.com/moazenmedia/</t>
  </si>
  <si>
    <t>https://t.me/moazenmedia</t>
  </si>
  <si>
    <t>زینبیون (س)</t>
  </si>
  <si>
    <t>https://www.instagram.com/mahfele_zeinabion/</t>
  </si>
  <si>
    <t>تفّاحة الجنّة سلام‌الله‌علیها</t>
  </si>
  <si>
    <t>https://www.instagram.com/toffahatoljannat/</t>
  </si>
  <si>
    <t>https://t.me/toffahatoljannat</t>
  </si>
  <si>
    <t>https://eitaa.com/toffahatoljannat</t>
  </si>
  <si>
    <t>زوارالحسین(ع)</t>
  </si>
  <si>
    <t>https://www.instagram.com/mahfel_zovvarolhosseinarak/</t>
  </si>
  <si>
    <t>https://t.me/zovariyon</t>
  </si>
  <si>
    <t>حداث الحسین</t>
  </si>
  <si>
    <t>https://www.instagram.com/hoddasinfo/</t>
  </si>
  <si>
    <t>تعزیه‌خوانی سقای کربلا</t>
  </si>
  <si>
    <t>https://www.instagram.com/saqaye_karbala/</t>
  </si>
  <si>
    <t>https://instagram.com/gomnaminfo</t>
  </si>
  <si>
    <t>شهود</t>
  </si>
  <si>
    <t>https://www.instagram.com/shahdeshuhod</t>
  </si>
  <si>
    <t>https://www.instagram.com/mahfelenoor_ir</t>
  </si>
  <si>
    <t>https://t.me/mahfelenoor_ir</t>
  </si>
  <si>
    <t>https://eitaa.com/mahfelenoor_ir</t>
  </si>
  <si>
    <t>عشاق الحسن علیه السلام</t>
  </si>
  <si>
    <t>https://www.instagram.com/oshagh_hasanarak</t>
  </si>
  <si>
    <t>https://t.me/oshagh_hasanarak</t>
  </si>
  <si>
    <t>https://eitaa.com/oshagh_hasanarak</t>
  </si>
  <si>
    <t>محمدی‌</t>
  </si>
  <si>
    <t>https://www.instagram.com/heyatmohammadi_arak/</t>
  </si>
  <si>
    <t>https://t.me/heyatmohammadi</t>
  </si>
  <si>
    <t>https://www.instagram.com/emamhassan.arak/</t>
  </si>
  <si>
    <t>https://www.instagram.com/maktabolhusein</t>
  </si>
  <si>
    <t>علمداران بنی الزهرا(س)</t>
  </si>
  <si>
    <t>https://www.instagram.com/heyatalamdaranarak/</t>
  </si>
  <si>
    <t>https://t.me/alamdaranarak</t>
  </si>
  <si>
    <t>https://eitaa.com/heyatalamdaranarak</t>
  </si>
  <si>
    <t>محب العباس(ع)</t>
  </si>
  <si>
    <t>https://www.instagram.com/mohebolabas_arak/</t>
  </si>
  <si>
    <t>زهرایی</t>
  </si>
  <si>
    <t>https://www.instagram.com/heyat.zahraei.masjed.seyedha</t>
  </si>
  <si>
    <t>https://t.me/heyatzahraei</t>
  </si>
  <si>
    <t>https://www.instagram.com/shahid6mahe</t>
  </si>
  <si>
    <t>https://t.me/shahid6mahe1</t>
  </si>
  <si>
    <t>https://eitaa.com/shahid6mahe</t>
  </si>
  <si>
    <t>https://www.instagram.com/beytollahzan_arak/</t>
  </si>
  <si>
    <t>http://t.me/beytollahzan_arak</t>
  </si>
  <si>
    <t>شریکة الحسین</t>
  </si>
  <si>
    <t>https://www.instagram.com/sharikatolhossein_arak/</t>
  </si>
  <si>
    <t>https://t.me/sharikatolhossein</t>
  </si>
  <si>
    <t>جوادی</t>
  </si>
  <si>
    <t>https://www.instagram.com/heyat_javadi</t>
  </si>
  <si>
    <t>https://t.m/heyat_javadi</t>
  </si>
  <si>
    <t>شهرک گردو</t>
  </si>
  <si>
    <t>https://www.instagram.com/heyaat_javanan_alzahra/</t>
  </si>
  <si>
    <t>سجادی</t>
  </si>
  <si>
    <t>https://www.instagram.com/heyat_sajjadi_arak/</t>
  </si>
  <si>
    <t>https://www.instagram.com/saheb_zaman_71/</t>
  </si>
  <si>
    <t>https://www.instagram.com/heyatmontazaranmahdi.arak/</t>
  </si>
  <si>
    <t>https://www.instagram.com/mohebin_arak</t>
  </si>
  <si>
    <t>https://www.instagram.com/moheban.ahlbeit.arak/</t>
  </si>
  <si>
    <t>علمدار بین الحرمین</t>
  </si>
  <si>
    <t>https://www.instagram.com/alamdarbeynolharameyn.arak/</t>
  </si>
  <si>
    <t>متوسلین به قمربنی هاشم علیه السلام</t>
  </si>
  <si>
    <t>https://www.instagram.com/emamhadiforat/</t>
  </si>
  <si>
    <t>https://t.m/emamhadiforat</t>
  </si>
  <si>
    <t>https://eitaa.com/emamhadiforat</t>
  </si>
  <si>
    <t>جان نثـاران امام حسین (ع)</t>
  </si>
  <si>
    <t>https://www.instagram.com/jannesaran_arak_1357/</t>
  </si>
  <si>
    <t>https://t.me/jannesaran_arak</t>
  </si>
  <si>
    <t>محبان صاحب الزمان (عج)</t>
  </si>
  <si>
    <t>پردیس باهنر دانشگاه فرهنگیان</t>
  </si>
  <si>
    <t>https://www.instagram.com/mohebancfu/</t>
  </si>
  <si>
    <t>عاشقان صاحب الزمان(عج)</t>
  </si>
  <si>
    <t>https://www.instagram.com/asheghane_saheb_zaman/</t>
  </si>
  <si>
    <t>سنجان</t>
  </si>
  <si>
    <t>https://www.instagram.com/shahzade_aliasghar</t>
  </si>
  <si>
    <t>فیجان</t>
  </si>
  <si>
    <t>https://www.instagram.com/babalhavaej_feyjan/</t>
  </si>
  <si>
    <t>شهزاده علی اکبر(ع)</t>
  </si>
  <si>
    <t>https://www.instagram.com/shahzadeee_aliakbar/</t>
  </si>
  <si>
    <t>داودآباد</t>
  </si>
  <si>
    <t>https://www.instagram.com/heyat_javanan__davoodabad</t>
  </si>
  <si>
    <t>ساروق</t>
  </si>
  <si>
    <t>https://www.instagram.com/heyat_javanan_sarogh/</t>
  </si>
  <si>
    <t>https://t.me/heyat_javanan_sarogh</t>
  </si>
  <si>
    <t>عزاداران چهارده معصوم (ع)</t>
  </si>
  <si>
    <t>کارچان</t>
  </si>
  <si>
    <t>https://www.instagram.com/azadaran14/</t>
  </si>
  <si>
    <t>https://eitaa.com/azadaran14</t>
  </si>
  <si>
    <t>https://www.instagram.com/montazerane_zohor_karchan/</t>
  </si>
  <si>
    <t>جاورسیان</t>
  </si>
  <si>
    <t>https://www.instagram.com/heyatemam_hasan1393/</t>
  </si>
  <si>
    <t>قمر بنی هاشم(ع)</t>
  </si>
  <si>
    <t>https://www.instagram.com/harimghamar/</t>
  </si>
  <si>
    <t>https://t.me/harimghamar</t>
  </si>
  <si>
    <t>محبان شهدای</t>
  </si>
  <si>
    <t>https://www.instagram.com/mohebban.shohada</t>
  </si>
  <si>
    <t>فاطمی</t>
  </si>
  <si>
    <t>جیریا</t>
  </si>
  <si>
    <t>https://www.instagram.com/fatemeeee_ir</t>
  </si>
  <si>
    <t>تفرش</t>
  </si>
  <si>
    <t>https://www.instagram.com/zeinabiun_tafresh_69/</t>
  </si>
  <si>
    <t>آل یاسین (ع)</t>
  </si>
  <si>
    <t>https://www.instagram.com/heyat_al_yasin_tafresh/</t>
  </si>
  <si>
    <t>https://t.me/aleyasinetafresh</t>
  </si>
  <si>
    <t>ریحانة‌الحسین</t>
  </si>
  <si>
    <t>https://www.instagram.com/mahfel.reyhanatolhosein315/</t>
  </si>
  <si>
    <t>ششناو</t>
  </si>
  <si>
    <t>https://www.instagram.com/heyat_fatemiye_sheshnav</t>
  </si>
  <si>
    <t>https://t.me/heyatfatemiehsheshnav</t>
  </si>
  <si>
    <t>https://www.instagram.com/beynolharameyn_tafresh</t>
  </si>
  <si>
    <t>https://t.me/beynolharameyn_tafresh</t>
  </si>
  <si>
    <t>https://www.instagram.com/tafreshhb</t>
  </si>
  <si>
    <t>https://www.instagram.com/tafresh.mokeb/</t>
  </si>
  <si>
    <t>دانشگاه تفرش</t>
  </si>
  <si>
    <t>https://www.instagram.com/heyat_azam_hazrat_abalfazl/</t>
  </si>
  <si>
    <t>https://eitaa.com/heyat_tu</t>
  </si>
  <si>
    <t>خمین</t>
  </si>
  <si>
    <t>https://eitaa.com/heiat_khatam</t>
  </si>
  <si>
    <t>ساقی عطشان کربلا</t>
  </si>
  <si>
    <t>https://instagram.com/khomeinmookeb</t>
  </si>
  <si>
    <t>https://t.me/khomeinMookeb</t>
  </si>
  <si>
    <t>https://eitaa.com/khomeinmookeb</t>
  </si>
  <si>
    <t>حوزه علمیه قرآن و عترت</t>
  </si>
  <si>
    <t>https://eitaa.com/Quran_Etrat_ac</t>
  </si>
  <si>
    <t>امیرالمؤمنین (ع)</t>
  </si>
  <si>
    <t>https://www.instagram.com/amir_momenin110/</t>
  </si>
  <si>
    <t>https://t.me/amir_momenin110</t>
  </si>
  <si>
    <t>جان نثاران حضرت اباالفضل علیه السلام</t>
  </si>
  <si>
    <t>https://www.instagram.com/jannesaran1/</t>
  </si>
  <si>
    <t>https://t.me/jannesaran1</t>
  </si>
  <si>
    <t>https://eitaa.com/jannesaran1</t>
  </si>
  <si>
    <t>https://www.instagram.com/mzkhomeyn/</t>
  </si>
  <si>
    <t>https://t.me/mzkhomeyn</t>
  </si>
  <si>
    <t>https://www.instagram.com/heyat_hoseynjan_khomein</t>
  </si>
  <si>
    <t>https://t.me/heyat_hoseyn_jan_khomeyn</t>
  </si>
  <si>
    <t>پرچمداران ثارالله (ع)</t>
  </si>
  <si>
    <t>https://www.instagram.com/parchamdaran_1392/</t>
  </si>
  <si>
    <t>حضرت قاسم ابن الحسن (علیه السلام)</t>
  </si>
  <si>
    <t>https://www.instagram.com/heiat_khatam</t>
  </si>
  <si>
    <t>https://www.instagram.com/h_14masum/</t>
  </si>
  <si>
    <t>https://www.instagram.com/montazeran_khomein/</t>
  </si>
  <si>
    <t>https://t.me/montazeran_khomein</t>
  </si>
  <si>
    <t>https://eitaa.com/montazeran_khomein</t>
  </si>
  <si>
    <t>بیت الحیدر (علیه السلام)</t>
  </si>
  <si>
    <t>https://www.instagram.com/beytolheydar_khomein/</t>
  </si>
  <si>
    <t>محبین اهل بیت ( علیه السلام ) محفل رهروان ولایت</t>
  </si>
  <si>
    <t>https://www.instagram.com/mohebin_khomein/</t>
  </si>
  <si>
    <t>https://t.me/mohebin_khomein</t>
  </si>
  <si>
    <t>ام البنین(س)</t>
  </si>
  <si>
    <t>https://www.instagram.com/heyat_omolbaninkhomein/</t>
  </si>
  <si>
    <t>https://t.me/khomeyn133</t>
  </si>
  <si>
    <t>https://www.instagram.com/hyyat_zanjir_zani.fatemyeh/</t>
  </si>
  <si>
    <t>https://www.instagram.com/heyatjanatkhomeni_110/</t>
  </si>
  <si>
    <t>https://eitaa.com/heyatjanatkhomeni_110</t>
  </si>
  <si>
    <t>خنداب</t>
  </si>
  <si>
    <t>https://eitaa.com/mohebine_alzahra</t>
  </si>
  <si>
    <t>https://eitaa.com/yavaran_mahdi_khondab</t>
  </si>
  <si>
    <t>قرآنی امام زمان</t>
  </si>
  <si>
    <t>https://www.instagram.com/quran_emam_zaman/</t>
  </si>
  <si>
    <t>https://t.me/hqemz</t>
  </si>
  <si>
    <t>مجمع حیدریون</t>
  </si>
  <si>
    <t>https://www.instagram.com/majmae_heydarion</t>
  </si>
  <si>
    <t>یاوران مهدی(عج)</t>
  </si>
  <si>
    <t>https://www.instagram.com/yavaran_mahdi_khondab</t>
  </si>
  <si>
    <t>عاشقان حضرت علی اکبر(ع)</t>
  </si>
  <si>
    <t>https://www.instagram.com/heiate_aliakbar_javersiyan/</t>
  </si>
  <si>
    <t>فطرس ملک</t>
  </si>
  <si>
    <t>دلیجان</t>
  </si>
  <si>
    <t>https://www.instagram.com/fotros_delijan</t>
  </si>
  <si>
    <t>https://t.me/fotrosdelijan</t>
  </si>
  <si>
    <t>حضرت اباالفضل</t>
  </si>
  <si>
    <t>https://www.instagram.com/heyat_hazratabalfazl_delijan</t>
  </si>
  <si>
    <t>https://www.instagram.com/heyat_aliakbri_delijan/</t>
  </si>
  <si>
    <t>https://www.instagram.com/hre_delijan/</t>
  </si>
  <si>
    <t>محبان بنی فاطمه سلام الله علیها</t>
  </si>
  <si>
    <t>https://www.instagram.com/moheban_bani_fatemeh/</t>
  </si>
  <si>
    <t>https://www.instagram.com/oshaghalhossindelijan/</t>
  </si>
  <si>
    <t>سلطان عشق</t>
  </si>
  <si>
    <t>https://www.instagram.com/soltane_eshgh_128/</t>
  </si>
  <si>
    <t>https://t.me/soltaneshghdelijan</t>
  </si>
  <si>
    <t>زرندیه</t>
  </si>
  <si>
    <t>مامونیه</t>
  </si>
  <si>
    <t>https://www.instagram.com/heyat.re.mamunieh/</t>
  </si>
  <si>
    <t>https://t.me/razmandeganeeslammamunieh</t>
  </si>
  <si>
    <t>https://www.instagram.com/heyatozzahra128</t>
  </si>
  <si>
    <t>https://eitaa.com/Heyatozzahra128</t>
  </si>
  <si>
    <t>قمربنی هاشم(بابانظری ها)</t>
  </si>
  <si>
    <t>https://www.instagram.com/heyate_ghamare.banihashem/</t>
  </si>
  <si>
    <t>پرندک</t>
  </si>
  <si>
    <t>https://www.instagram.com/oshagholabasiha/</t>
  </si>
  <si>
    <t>زاویه</t>
  </si>
  <si>
    <t>https://www.instagram.com/seyed_alshohada.zavieh</t>
  </si>
  <si>
    <t>حسینیه کربلایی های ساوه</t>
  </si>
  <si>
    <t>ساوه</t>
  </si>
  <si>
    <t>https://www.instagram.com/karbalaei_saveh/</t>
  </si>
  <si>
    <r>
      <rPr>
        <rFont val="-apple-system, BlinkMacSystemFont, &quot;Segoe UI&quot;, Roboto, Helvetica, Arial, sans-serif"/>
        <color rgb="FF1155CC"/>
        <sz val="11.0"/>
        <u/>
      </rPr>
      <t>t.me/karbalaei_saveh8</t>
    </r>
  </si>
  <si>
    <t>https://www.instagram.com/ahrar_ir/</t>
  </si>
  <si>
    <r>
      <rPr>
        <rFont val="-apple-system, BlinkMacSystemFont, &quot;Segoe UI&quot;, Roboto, Helvetica, Arial, sans-serif"/>
        <color rgb="FF1155CC"/>
        <sz val="11.0"/>
        <u/>
      </rPr>
      <t>t.me/ahrar_saveh</t>
    </r>
  </si>
  <si>
    <t>طفلان حضرت زینب (س)</t>
  </si>
  <si>
    <t>https://eitaa.com/hadisneynava</t>
  </si>
  <si>
    <t>عزیزم حسین (ع)</t>
  </si>
  <si>
    <t>https://www.instagram.com/azizamhussein/</t>
  </si>
  <si>
    <t>https://www.instagram.com/heyat_emamreza_saveh/</t>
  </si>
  <si>
    <t>زوارالزهراء</t>
  </si>
  <si>
    <t>https://www.instagram.com/zovaroalzahra_saveh/</t>
  </si>
  <si>
    <t>https://t.me/zovaroalzahra_saveh</t>
  </si>
  <si>
    <t>سیدالشهداء (ع)</t>
  </si>
  <si>
    <t>https://www.instagram.com/seyedoshohada_saveh/</t>
  </si>
  <si>
    <t>خادم الحسین علیه السلام</t>
  </si>
  <si>
    <t>https://www.instagram.com/khademalhosein_saveh/</t>
  </si>
  <si>
    <t>https://t.me/h_khademalhosein</t>
  </si>
  <si>
    <t>https://www.instagram.com/heyati_77/</t>
  </si>
  <si>
    <t>دارالشفا علمدار سیدالشهدا</t>
  </si>
  <si>
    <t>https://www.instagram.com/alamdar__saveh/</t>
  </si>
  <si>
    <t>https://www.instagram.com/javadalaemeh_saveh/</t>
  </si>
  <si>
    <t>https://t.me/javadalaemeh_saveh</t>
  </si>
  <si>
    <t>حضرت‌فاطمه‌الزهرا(س)</t>
  </si>
  <si>
    <t>https://www.instagram.com/masjedmehvar_saveh/</t>
  </si>
  <si>
    <t>https://www.instagram.com/reyhanelive.saveh/</t>
  </si>
  <si>
    <t>https://t.me/reyhanatolhooseinsaveh</t>
  </si>
  <si>
    <t>حســـنیـــون</t>
  </si>
  <si>
    <t>https://www.instagram.com/hassaniyon/</t>
  </si>
  <si>
    <t>https://t.me/hassaniyon_channel</t>
  </si>
  <si>
    <t>فدائیان حضرت زهرا سلام اللّٰه علیها</t>
  </si>
  <si>
    <t>https://www.instagram.com/mokeb_fadaeian/</t>
  </si>
  <si>
    <t>https://t.me/mokeb_fadaeian</t>
  </si>
  <si>
    <t>https://eitaa.com/mokeb_fadaeian</t>
  </si>
  <si>
    <t>بیت الحسن(ع)</t>
  </si>
  <si>
    <t>https://www.instagram.com/beytolhasaan/</t>
  </si>
  <si>
    <t>https://t.me/beytolhasaan</t>
  </si>
  <si>
    <t>فَاستَقِم</t>
  </si>
  <si>
    <t>https://www.instagram.com/heyat_fastaghem/</t>
  </si>
  <si>
    <t>https://eitaa.com/fastaghem_saveh</t>
  </si>
  <si>
    <t>ياحسين(ع)</t>
  </si>
  <si>
    <t>https://www.instagram.com/yahossein__ir/</t>
  </si>
  <si>
    <t>عماریون</t>
  </si>
  <si>
    <t>https://www.instagram.com/mahfel_ammarion/</t>
  </si>
  <si>
    <t>https://www.instagram.com/samenolaemehsaveh/</t>
  </si>
  <si>
    <t>https://t.me/samenolaemehsaveh</t>
  </si>
  <si>
    <t>آل ياسين</t>
  </si>
  <si>
    <t>http://instagram.com/alyasinsaveh/</t>
  </si>
  <si>
    <t>https://www.instagram.com/razmandegane_saveh/</t>
  </si>
  <si>
    <t>رقیه بِنت الحسین</t>
  </si>
  <si>
    <t>https://www.instagram.com/mokeb.saveh/</t>
  </si>
  <si>
    <t>https://www.instagram.com/heyat_sarallah_saveh/</t>
  </si>
  <si>
    <t>بیرق معظم روضة القاسم</t>
  </si>
  <si>
    <t>https://www.instagram.com/rozatolghasem_saveh/</t>
  </si>
  <si>
    <t>https://t.me/rozatolghasem_saveh</t>
  </si>
  <si>
    <t>https://www.instagram.com/mokeb_saheb_alzaman_saveh/</t>
  </si>
  <si>
    <t>مکتب قرآن</t>
  </si>
  <si>
    <t>https://www.instagram.com/heyat_maktab_ghoraan/</t>
  </si>
  <si>
    <t>https://www.instagram.com/abnaalzahra_saveh/</t>
  </si>
  <si>
    <t>https://eitaa.com/abnaalzahra_saveh</t>
  </si>
  <si>
    <t>شاهزاده علی اصغر ع</t>
  </si>
  <si>
    <t>https://www.instagram.com/shahzadeh_aliasghar_saveh/</t>
  </si>
  <si>
    <t>https://t.me/enghelab14</t>
  </si>
  <si>
    <t>انصار الحسن</t>
  </si>
  <si>
    <t>https://www.instagram.com/ansarlhasan_saveh/</t>
  </si>
  <si>
    <t>بیت الشهدا</t>
  </si>
  <si>
    <t>https://www.instagram.com/beitalshahda/</t>
  </si>
  <si>
    <t>https://t.me/BeitalShahda</t>
  </si>
  <si>
    <t>محبّان زينب</t>
  </si>
  <si>
    <t>https://www.instagram.com/mohebbanzeynab_ir/</t>
  </si>
  <si>
    <t>https://t.me/Mohebban_Zeynabb</t>
  </si>
  <si>
    <t>حسن‌جان</t>
  </si>
  <si>
    <t>https://www.instagram.com/hasanjaan_/</t>
  </si>
  <si>
    <t>https://t.me/hasanjan_channel</t>
  </si>
  <si>
    <t>خدّام‌امیرالمؤمنین</t>
  </si>
  <si>
    <t>https://www.instagram.com/mokeb.amiralmomenin/</t>
  </si>
  <si>
    <t>حضرت شش ماهه</t>
  </si>
  <si>
    <t>https://www.instagram.com/heyat.hazrat.6.mahe.saveh/</t>
  </si>
  <si>
    <t>https://www.instagram.com/ab72ir</t>
  </si>
  <si>
    <t>http://t.me/AB72ir</t>
  </si>
  <si>
    <t>https://www.instagram.com/merajoshohada_saveh.ir/</t>
  </si>
  <si>
    <t>https://eitaa.com/merajoshohada_saveh_ir</t>
  </si>
  <si>
    <t>https://www.instagram.com/hazrat_roghayye_saveh</t>
  </si>
  <si>
    <t>https://t.me/hazrat_roghayye_saveh</t>
  </si>
  <si>
    <t>https://www.instagram.com/khademoshohada_saveh/</t>
  </si>
  <si>
    <t>عشاق الزهراء</t>
  </si>
  <si>
    <t>https://www.instagram.com/oshaghozzahra/</t>
  </si>
  <si>
    <t>https://t.me/oshaghozzahra</t>
  </si>
  <si>
    <t>https://www.instagram.com/h_shohada133</t>
  </si>
  <si>
    <t>https://t.me/h_shohada133</t>
  </si>
  <si>
    <t>تکیه حسین‌خانه</t>
  </si>
  <si>
    <t>https://www.instagram.com/hosseinkhaaneh</t>
  </si>
  <si>
    <t>https://t.me/HoseinKhanehSaveh</t>
  </si>
  <si>
    <t>تکیه عباسیه</t>
  </si>
  <si>
    <t>https://www.instagram.com/heyat.abbasieh</t>
  </si>
  <si>
    <t>https://www.instagram.com/reyhanatolhooseinsaveh.ir/</t>
  </si>
  <si>
    <t>https://eitaa.com/reyhanatolhooseinsaveh</t>
  </si>
  <si>
    <t>روضه الزهرا(س)</t>
  </si>
  <si>
    <t>https://www.instagram.com/heyat_rozatolzahra/</t>
  </si>
  <si>
    <t>فاطميون</t>
  </si>
  <si>
    <t>https://www.instagram.com/fatemionsaveh/</t>
  </si>
  <si>
    <t>https://t.me/shahidghaffari</t>
  </si>
  <si>
    <t>دیوانگان علی اکبر (ع)</t>
  </si>
  <si>
    <t>https://www.instagram.com/divanegan.aliakbar.333/</t>
  </si>
  <si>
    <t>بیت الرقیه‌</t>
  </si>
  <si>
    <t>https://www.instagram.com/beytol_roghaye_/</t>
  </si>
  <si>
    <t>حضرت امیرالمؤمنین</t>
  </si>
  <si>
    <t>https://www.instagram.com/amiralmoemenin_saveh/</t>
  </si>
  <si>
    <t>https://eitaa.com/AmirAlmoemenin_Saveh</t>
  </si>
  <si>
    <t>https://www.instagram.com/khademalhosein__info/</t>
  </si>
  <si>
    <t>صولت آباد</t>
  </si>
  <si>
    <t>https://www.instagram.com/beyt_ol_roghayyeh/</t>
  </si>
  <si>
    <t>اُمِّ اَبیها (س)</t>
  </si>
  <si>
    <t>https://www.instagram.com/heyat.ome.abiha/</t>
  </si>
  <si>
    <t>خادمین امام زمان(عج)</t>
  </si>
  <si>
    <t>https://www.instagram.com/khademin_emam_zaman/</t>
  </si>
  <si>
    <t>https://eitaa.com/khademineemamzaman</t>
  </si>
  <si>
    <t>بیت الزهرا(س)</t>
  </si>
  <si>
    <t>https://www.instagram.com/beytolzahrasaveh/</t>
  </si>
  <si>
    <t>https://t.me/beytozahraSave</t>
  </si>
  <si>
    <t>https://eitaa.com/Heyat_Eiliya</t>
  </si>
  <si>
    <t>ایلیا</t>
  </si>
  <si>
    <t>https://www.instagram.com/heyat_eiliya/</t>
  </si>
  <si>
    <t>امام حسن مجتبی علیه السلام</t>
  </si>
  <si>
    <t>https://www.instagram.com/mokeb_emamhasan_saveh/</t>
  </si>
  <si>
    <t>قاسمیه</t>
  </si>
  <si>
    <t>https://www.instagram.com/ghasemiyeh_saveh/</t>
  </si>
  <si>
    <t>https://www.instagram.com/emam.hasan.save/</t>
  </si>
  <si>
    <t>https://www.instagram.com/resaneh_ahrar/</t>
  </si>
  <si>
    <t>https://t.me/resaneh_ahrar</t>
  </si>
  <si>
    <t>https://eitaa.com/resaneh_ahrar</t>
  </si>
  <si>
    <t>https://www.instagram.com/maktab_alhosein_saveh/</t>
  </si>
  <si>
    <t>https://t.me/maktab_alhosein_saveh</t>
  </si>
  <si>
    <t>علامت داران وعلامت کشان</t>
  </si>
  <si>
    <t>https://www.instagram.com/alamdaran_alamkeshan_saveh/</t>
  </si>
  <si>
    <t>https://www.instagram.com/mokeb.alamdar.karbala_saveh/</t>
  </si>
  <si>
    <t>منتظران حضرت ولیعصر (عج)</t>
  </si>
  <si>
    <t>https://www.instagram.com/havayehosein.heyat/</t>
  </si>
  <si>
    <t>جاماندگان كربلا</t>
  </si>
  <si>
    <t>https://www.instagram.com/mokebejamandegan/</t>
  </si>
  <si>
    <t>امامزاده سید ابورضا</t>
  </si>
  <si>
    <t>https://www.instagram.com/emamzadeh.seyedaboreza/</t>
  </si>
  <si>
    <t>شازند</t>
  </si>
  <si>
    <t>https://www.instagram.com/heyat_mohebanahlebeit_shazand/</t>
  </si>
  <si>
    <t>https://t.me/heyat_moheban_ahlebeit_shazand</t>
  </si>
  <si>
    <t>https://www.instagram.com/heyatalreza2020</t>
  </si>
  <si>
    <t>https://t.me/heyatalreza2020</t>
  </si>
  <si>
    <t>فراهان</t>
  </si>
  <si>
    <t>فرمهین</t>
  </si>
  <si>
    <t>https://www.instagram.com/byt_al_abass/</t>
  </si>
  <si>
    <t>https://www.instagram.com/ansarolmahdi_farahan/</t>
  </si>
  <si>
    <t>https://www.instagram.com/taziahfarahan/</t>
  </si>
  <si>
    <t>محلات</t>
  </si>
  <si>
    <t>https://www.instagram.com/rowzaat/</t>
  </si>
  <si>
    <t>https://eitaa.com/rowzaat</t>
  </si>
  <si>
    <t>https://www.instagram.com/heyat_ghamarbanihashem_mahalla</t>
  </si>
  <si>
    <t>https://www.instagram.com/heyat_moheban_mahalat/</t>
  </si>
  <si>
    <t>آقاسید الشهدا</t>
  </si>
  <si>
    <t>https://www.instagram.com/heyat.agha/</t>
  </si>
  <si>
    <t>حیدری</t>
  </si>
  <si>
    <t>https://www.instagram.com/heyat_heydari_mahallat</t>
  </si>
  <si>
    <t>https://t.me/heyat_heydari_mahallat</t>
  </si>
  <si>
    <t>https://www.instagram.com/shahidmahallati_hoseiniyeh</t>
  </si>
  <si>
    <t>یاد یاران</t>
  </si>
  <si>
    <t>https://www.instagram.com/heiate.yade.yaran</t>
  </si>
  <si>
    <t>https://t.me/rahiyan96yadeyaran</t>
  </si>
  <si>
    <t>https://www.instagram.com/heyat_hoseni_delijan</t>
  </si>
  <si>
    <t>عمود 1173</t>
  </si>
  <si>
    <t>https://www.instagram.com/moukeb_1173/</t>
  </si>
  <si>
    <t>خشکرود</t>
  </si>
  <si>
    <t>https://www.instagram.com/shohada_khoshkrood/</t>
  </si>
  <si>
    <t>https://www.instagram.com/sarollah_khoshkroud/</t>
  </si>
  <si>
    <t xml:space="preserve">ریحانة الحسین </t>
  </si>
  <si>
    <t>https://www.instagram.com/reyhanatolhooseinsaveh.live/</t>
  </si>
  <si>
    <t>https://www.instagram.com/heiatfatemezahraa/</t>
  </si>
  <si>
    <t>کمیجان</t>
  </si>
  <si>
    <t>https://www.instagram.com/fotros_nurolhoda/</t>
  </si>
  <si>
    <r>
      <rPr>
        <rFont val="var(--font-family-system)"/>
        <color rgb="FF1155CC"/>
        <u/>
      </rPr>
      <t>t.me/fotros_nurolhoda</t>
    </r>
  </si>
  <si>
    <t>https://www.instagram.com/masjedemamhosein/</t>
  </si>
  <si>
    <t>کانون فرهنگی هنری بقیه الله مسجد زاغرم</t>
  </si>
  <si>
    <t>https://eitaa.com/kanoontafresh</t>
  </si>
  <si>
    <t>https://www.instagram.com/ghamar_bani_hashem_robatmil/</t>
  </si>
  <si>
    <t>https://www.instagram.com/ansariha_arak/</t>
  </si>
  <si>
    <t>https://www.instagram.com/heyat_reihanton_nabi/</t>
  </si>
  <si>
    <t>محبین ام الائمه فاطمه زهرا (س)</t>
  </si>
  <si>
    <t>https://eitaa.com/shahide1546</t>
  </si>
  <si>
    <t>https://www.instagram.com/motevaselin_be_ahlebeit/</t>
  </si>
  <si>
    <r>
      <rPr>
        <rFont val="-apple-system, BlinkMacSystemFont, &quot;Segoe UI&quot;, Roboto, Helvetica, Arial, sans-serif"/>
        <color rgb="FF1155CC"/>
        <sz val="11.0"/>
        <u/>
      </rPr>
      <t>telegram.dog/heiatemotevaselinbeahlebeit</t>
    </r>
  </si>
  <si>
    <t>https://eitaa.com/heyat_saveh</t>
  </si>
  <si>
    <t>فاطمیون جوانان کربلایی</t>
  </si>
  <si>
    <t>https://www.instagram.com/fatemiun_karbalaee/</t>
  </si>
  <si>
    <t>https://eitaa.com/hasanie_arak</t>
  </si>
  <si>
    <t>دیوانگان حیدر کرار (ع)</t>
  </si>
  <si>
    <t>https://t.me/divaneganheydarkarararark</t>
  </si>
  <si>
    <t>https://eitaa.com/nodbeha</t>
  </si>
  <si>
    <t>https://eitaa.com/heiathazrataliasghar</t>
  </si>
  <si>
    <t>فرهنگی مذهبی جوادالائمه(ع)</t>
  </si>
  <si>
    <t>https://www.instagram.com/babol_javad_arak/</t>
  </si>
  <si>
    <r>
      <rPr>
        <rFont val="-apple-system, BlinkMacSystemFont, &quot;Segoe UI&quot;, Roboto, Helvetica, Arial, sans-serif"/>
        <color rgb="FF1155CC"/>
        <sz val="11.0"/>
        <u/>
      </rPr>
      <t>t.me/babol_javad</t>
    </r>
  </si>
  <si>
    <t>https://eitaa.com/babol_javad</t>
  </si>
  <si>
    <t>عزاداران عشاق الحسین (ع)</t>
  </si>
  <si>
    <t>https://eitaa.com/oshagholhoseiyn</t>
  </si>
  <si>
    <t>https://eitaa.com/maktabzeynab_03</t>
  </si>
  <si>
    <t>https://www.instagram.com/heyate_sadate_shahre_nimvar/</t>
  </si>
  <si>
    <t>https://t.me/heyat_sadat_nimvar</t>
  </si>
  <si>
    <t>محبان اهل بیت(ع) (دانشجویی)</t>
  </si>
  <si>
    <t>https://t.me/mohebbin_araku</t>
  </si>
  <si>
    <t>https://www.instagram.com/ghaem_almohammad/</t>
  </si>
  <si>
    <r>
      <rPr>
        <rFont val="-apple-system, BlinkMacSystemFont, &quot;Segoe UI&quot;, Roboto, Helvetica, Arial, sans-serif"/>
        <color rgb="FF1155CC"/>
        <sz val="11.0"/>
        <u/>
      </rPr>
      <t>t.me/heyatghaemalmo</t>
    </r>
  </si>
  <si>
    <t>https://www.instagram.com/karimaltaha__/</t>
  </si>
  <si>
    <t>متوسلین به ائمه اطهار(ع)</t>
  </si>
  <si>
    <t>https://www.instagram.com/motavaselininfo/</t>
  </si>
  <si>
    <r>
      <rPr>
        <rFont val="-apple-system, BlinkMacSystemFont, &quot;Segoe UI&quot;, Roboto, Helvetica, Arial, sans-serif"/>
        <color rgb="FF1155CC"/>
        <sz val="11.0"/>
        <u/>
      </rPr>
      <t>eitaa.com/motavaselein</t>
    </r>
  </si>
  <si>
    <t>بی بی رقیه (س)</t>
  </si>
  <si>
    <t>https://t.me/bibiroghayeh_arak</t>
  </si>
  <si>
    <t>ولیعصر (عج)</t>
  </si>
  <si>
    <t>https://www.instagram.com/hyyat_masjed_valiasr/</t>
  </si>
  <si>
    <r>
      <rPr>
        <rFont val="-apple-system, BlinkMacSystemFont, &quot;Segoe UI&quot;, Roboto, Helvetica, Arial, sans-serif"/>
        <color rgb="FF1155CC"/>
        <sz val="11.0"/>
        <u/>
      </rPr>
      <t>t.me/hayatvaleasr1348</t>
    </r>
  </si>
  <si>
    <t>https://www.instagram.com/maktabosadeq_net/</t>
  </si>
  <si>
    <t>https://t.me/alamdarbeinoalharamein</t>
  </si>
  <si>
    <t>https://www.instagram.com/b_rogayesenjan/</t>
  </si>
  <si>
    <t>https://eitaa.com/bibiroghayeh_arak</t>
  </si>
  <si>
    <t>https://t.me/maktabozahra90</t>
  </si>
  <si>
    <t>https://www.instagram.com/montazeran_arak/</t>
  </si>
  <si>
    <t>https://t.me/Montazeran_arak</t>
  </si>
  <si>
    <t>https://eitaa.com/Montazeran_Arak</t>
  </si>
  <si>
    <t>صاحب العصر</t>
  </si>
  <si>
    <t>https://eitaa.com/yalasaratnet</t>
  </si>
  <si>
    <t>https://eitaa.com/meheyat_ir</t>
  </si>
  <si>
    <t>فاطمه الزهرا (مادر سادات)</t>
  </si>
  <si>
    <t>https://eitaa.com/madaresadat_ir</t>
  </si>
  <si>
    <t>کفسان</t>
  </si>
  <si>
    <t>https://eitaa.com/hoseiniehkafsan</t>
  </si>
  <si>
    <t>https://www.instagram.com/hobbol_hosseein/</t>
  </si>
  <si>
    <t>https://eitaa.com/hobbolhosseein</t>
  </si>
  <si>
    <t>https://eitaa.com/ansaralmahdishazand</t>
  </si>
  <si>
    <t>عاشقان علمدار</t>
  </si>
  <si>
    <t>رفسنجان</t>
  </si>
  <si>
    <t>https://www.instagram.com/alamdar.ra/</t>
  </si>
  <si>
    <r>
      <rPr>
        <rFont val="-apple-system, BlinkMacSystemFont, &quot;Segoe UI&quot;, Roboto, Helvetica, Arial, sans-serif"/>
        <color rgb="FF1155CC"/>
        <sz val="11.0"/>
        <u/>
      </rPr>
      <t>t.me/heiat_asheghan_alamdar</t>
    </r>
  </si>
  <si>
    <t>سید الساجدین (ع)</t>
  </si>
  <si>
    <t>https://www.instagram.com/heyaat_s_sajedin/</t>
  </si>
  <si>
    <t>https://www.instagram.com/heyat_maktabol_zahra/</t>
  </si>
  <si>
    <t>خانوک</t>
  </si>
  <si>
    <t>https://www.instagram.com/fatemiyeh_khanook/</t>
  </si>
  <si>
    <t>مجمع فاطمیون</t>
  </si>
  <si>
    <t>https://www.instagram.com/fatemiyoon__/</t>
  </si>
  <si>
    <t>رایةالمهدی(عج)</t>
  </si>
  <si>
    <t>https://www.instagram.com/heyatrayatolmahdi313/</t>
  </si>
  <si>
    <t>https://eitaa.com/heyatrayatolmahdi313</t>
  </si>
  <si>
    <t>جنت الحسن (ع)</t>
  </si>
  <si>
    <t>اختیارآباد</t>
  </si>
  <si>
    <t>https://www.instagram.com/janatol_hasan_118/</t>
  </si>
  <si>
    <r>
      <rPr>
        <rFont val="-apple-system, BlinkMacSystemFont, &quot;Segoe UI&quot;, Roboto, Helvetica, Arial, sans-serif"/>
        <color rgb="FF1155CC"/>
        <sz val="11.0"/>
        <u/>
      </rPr>
      <t>t.me/Janatol_Hasan_118</t>
    </r>
  </si>
  <si>
    <t>پسران ام البنین (س)</t>
  </si>
  <si>
    <t>https://www.instagram.com/pesaraneomolbanin/</t>
  </si>
  <si>
    <t>https://eitaa.com/pesaraneomolbanin</t>
  </si>
  <si>
    <t>https://www.instagram.com/roze_zahra_kerman/</t>
  </si>
  <si>
    <t>غلامان ابوالفضل العباس(ع)</t>
  </si>
  <si>
    <t>https://www.instagram.com/gholaman_abolfazl/</t>
  </si>
  <si>
    <t>https://t.me/gholaman_abolfazl</t>
  </si>
  <si>
    <t>بیت الحسن مجتبی (ع)</t>
  </si>
  <si>
    <t>https://www.instagram.com/beytolhassan_ker/</t>
  </si>
  <si>
    <t>اندوهجرد</t>
  </si>
  <si>
    <t>https://www.instagram.com/fatemeyoon_andohjerd/</t>
  </si>
  <si>
    <t>https://www.instagram.com/heiat.beitoalzahra.kerman/</t>
  </si>
  <si>
    <t>خادم الرقیه (س)</t>
  </si>
  <si>
    <t>https://www.instagram.com/khadem_roghayye/</t>
  </si>
  <si>
    <t>https://www.instagram.com/heyatseyedoshohada_kerman/</t>
  </si>
  <si>
    <r>
      <rPr>
        <rFont val="-apple-system, BlinkMacSystemFont, &quot;Segoe UI&quot;, Roboto, Helvetica, Arial, sans-serif"/>
        <color rgb="FF1155CC"/>
        <sz val="11.0"/>
        <u/>
      </rPr>
      <t>t.me/heyatseyedoshohada_kerman</t>
    </r>
  </si>
  <si>
    <t>محفل زوارالحسین (ع) کاظم اباد</t>
  </si>
  <si>
    <t>کاظم آباد</t>
  </si>
  <si>
    <t>https://www.instagram.com/zovar_olhossein/</t>
  </si>
  <si>
    <t>معراج الحسین (ع)</t>
  </si>
  <si>
    <t>https://www.instagram.com/meraj_hosein_kerman/</t>
  </si>
  <si>
    <t>نمایش عروسکی سیار بچه های امام حسین ع</t>
  </si>
  <si>
    <t>شهربابک</t>
  </si>
  <si>
    <t>https://www.instagram.com/baziran.shahrbabak</t>
  </si>
  <si>
    <t>گلخانه های کودک</t>
  </si>
  <si>
    <t>https://www.instagram.com/golkhane_koodak/</t>
  </si>
  <si>
    <t>روضه الرقیه (س) محله سعیدی</t>
  </si>
  <si>
    <t>https://www.instagram.com/rozatolrogheyeh_315/</t>
  </si>
  <si>
    <t>هیات رهروان شهدا متوسلین به حضرت رقیه س رباط</t>
  </si>
  <si>
    <t>https://www.instagram.com/rahrovanshohadarobat_315/</t>
  </si>
  <si>
    <t>هیات شهید حججی</t>
  </si>
  <si>
    <t>https://eitaa.com/Heiat_Shahid_Mohsen_Hojaji</t>
  </si>
  <si>
    <t>هیأت دوازده امام کرمان</t>
  </si>
  <si>
    <t>https://www.instagram.com/heyat.12emam/</t>
  </si>
  <si>
    <t>اجتماع مدافعان حریم ولایت</t>
  </si>
  <si>
    <t>نرماشیر</t>
  </si>
  <si>
    <t>https://www.instagram.com/modafein__harimvelayat/</t>
  </si>
  <si>
    <t>منتظران یوسف زهرا (عج) حاجی آباد</t>
  </si>
  <si>
    <t>https://www.instagram.com/montazeran88/</t>
  </si>
  <si>
    <t>عشاق الرسول (ص)</t>
  </si>
  <si>
    <t>زرند</t>
  </si>
  <si>
    <t>https://www.instagram.com/oshaghorasool_cyb2/</t>
  </si>
  <si>
    <t>فاطمیون شهدای گمنام</t>
  </si>
  <si>
    <t>قلعه گنج</t>
  </si>
  <si>
    <t>https://www.instagram.com/shohadaygomnam.ghaleganj/</t>
  </si>
  <si>
    <t>حضرت علی اصغر (ع) منطقه سلیمانیه</t>
  </si>
  <si>
    <t>سیرجان</t>
  </si>
  <si>
    <t>https://www.instagram.com/aliasghar_soleymanieh/</t>
  </si>
  <si>
    <t>https://www.instagram.com/heyat_fatemiyeh_kerman/</t>
  </si>
  <si>
    <t>کوهبنان</t>
  </si>
  <si>
    <t>https://www.instagram.com/masjedjamekouhbanan/</t>
  </si>
  <si>
    <t>باقر العلوم (ع)</t>
  </si>
  <si>
    <t>https://eitaa.com/heatbagheralolomkerman</t>
  </si>
  <si>
    <t>https://www.instagram.com/heyatozahrakerman.ir/</t>
  </si>
  <si>
    <t>ماهان</t>
  </si>
  <si>
    <t>https://www.instagram.com/heiat_hazrat_roghaye_/</t>
  </si>
  <si>
    <t>بم</t>
  </si>
  <si>
    <t>آل یاسین (حسین آباد پشترود)</t>
  </si>
  <si>
    <t>https://www.instagram.com/heiate.al_yassin/</t>
  </si>
  <si>
    <t>https://www.instagram.com/heiat_abolfazl_kerman/</t>
  </si>
  <si>
    <t>جوانان خادم الرضا(ع)</t>
  </si>
  <si>
    <t>بردسیر</t>
  </si>
  <si>
    <t>https://www.instagram.com/khademreza_resane/</t>
  </si>
  <si>
    <t>https://www.instagram.com/heiat.abaabdelah/</t>
  </si>
  <si>
    <t>ذبیح العطشان</t>
  </si>
  <si>
    <t>https://www.instagram.com/zabihkerman/</t>
  </si>
  <si>
    <r>
      <rPr>
        <rFont val="-apple-system, BlinkMacSystemFont, &quot;Segoe UI&quot;, Roboto, Helvetica, Arial, sans-serif"/>
        <color rgb="FF1155CC"/>
        <sz val="11.0"/>
        <u/>
      </rPr>
      <t>t.me/zabihkerman</t>
    </r>
  </si>
  <si>
    <t>بقیه الله (مسجد انصارالمهدی)</t>
  </si>
  <si>
    <t>https://www.instagram.com/baghiyatallah_59/</t>
  </si>
  <si>
    <t>https://eitaa.com/Mahfelalghamerafsanjan</t>
  </si>
  <si>
    <t>امین شهر</t>
  </si>
  <si>
    <t>https://eitaa.com/yalesaratalhoseinanar</t>
  </si>
  <si>
    <t>رودبارجنوب</t>
  </si>
  <si>
    <t>https://www.instagram.com/reyhanatoanabiroodbar/</t>
  </si>
  <si>
    <t>https://www.instagram.com/beyragholhosain/</t>
  </si>
  <si>
    <t>مدافعان حریم اهل بیت (ع) دارالصابرین (شهدای گمنام)</t>
  </si>
  <si>
    <t>https://eitaa.com/valaeiyan</t>
  </si>
  <si>
    <t>محب الرضا(ع)</t>
  </si>
  <si>
    <t>https://www.instagram.com/mohebolreza__bam/</t>
  </si>
  <si>
    <t>مهدیه سیرجان</t>
  </si>
  <si>
    <t>https://www.instagram.com/majma_mahdiyeh_sirjan/</t>
  </si>
  <si>
    <r>
      <rPr>
        <rFont val="-apple-system, BlinkMacSystemFont, &quot;Segoe UI&quot;, Roboto, Helvetica, Arial, sans-serif"/>
        <color rgb="FF1155CC"/>
        <sz val="11.0"/>
        <u/>
      </rPr>
      <t>t.me/majma_mahdiyeh_sirjan</t>
    </r>
  </si>
  <si>
    <t>https://www.instagram.com/ansar_srj/</t>
  </si>
  <si>
    <t>یاوران امام عصر(عج)</t>
  </si>
  <si>
    <t>https://www.instagram.com/yavaran_kerman/</t>
  </si>
  <si>
    <t>https://www.instagram.com/heyatreza/</t>
  </si>
  <si>
    <r>
      <rPr>
        <rFont val="-apple-system, BlinkMacSystemFont, &quot;Segoe UI&quot;, Roboto, Helvetica, Arial, sans-serif"/>
        <color rgb="FF1155CC"/>
        <sz val="11.0"/>
        <u/>
      </rPr>
      <t>t.me/heyatrezaa</t>
    </r>
  </si>
  <si>
    <t>19572‍</t>
  </si>
  <si>
    <t>تفحص سیره شهدا</t>
  </si>
  <si>
    <t>https://www.instagram.com/heyat_tafahos/</t>
  </si>
  <si>
    <r>
      <rPr>
        <rFont val="-apple-system, BlinkMacSystemFont, &quot;Segoe UI&quot;, Roboto, Helvetica, Arial, sans-serif"/>
        <color rgb="FF1155CC"/>
        <sz val="11.0"/>
        <u/>
      </rPr>
      <t>t.me/heyat_tafahos</t>
    </r>
  </si>
  <si>
    <t>انار</t>
  </si>
  <si>
    <t>https://eitaa.com/mohebin18</t>
  </si>
  <si>
    <t>https://www.instagram.com/ansarolmahdi_bam/</t>
  </si>
  <si>
    <t>جوانان مهدوی</t>
  </si>
  <si>
    <t>راور</t>
  </si>
  <si>
    <t>https://eitaa.com/javananmahdaviravar</t>
  </si>
  <si>
    <t>https://eitaa.com/masjedorezakoohbanan</t>
  </si>
  <si>
    <t xml:space="preserve">زینبیون
</t>
  </si>
  <si>
    <t>فهرج</t>
  </si>
  <si>
    <t>https://www.instagram.com/dfueijwjk/</t>
  </si>
  <si>
    <t>https://www.instagram.com/sarallah_sirjan/</t>
  </si>
  <si>
    <t>راین</t>
  </si>
  <si>
    <t>https://www.instagram.com/oshagholhosein_rayen/</t>
  </si>
  <si>
    <t>https://www.instagram.com/heyatemamhasan_/</t>
  </si>
  <si>
    <r>
      <rPr>
        <rFont val="-apple-system, BlinkMacSystemFont, &quot;Segoe UI&quot;, Roboto, Helvetica, Arial, sans-serif"/>
        <color rgb="FF1155CC"/>
        <sz val="11.0"/>
        <u/>
      </rPr>
      <t>eitaa.com/heyatemamhasan_sh</t>
    </r>
  </si>
  <si>
    <t>https://www.instagram.com/mahfele__zeynabiyon/</t>
  </si>
  <si>
    <t>سفره حضرت ام البنین (س)</t>
  </si>
  <si>
    <t>https://www.instagram.com/sofre_omalbanin_zarand/</t>
  </si>
  <si>
    <t>https://www.instagram.com/shg_bam/</t>
  </si>
  <si>
    <t>https://t.me/shg_bam</t>
  </si>
  <si>
    <t>https://www.instagram.com/alamdar_bam/</t>
  </si>
  <si>
    <t>https://www.instagram.com/heyat_azadaran_fatemeh_zahra/</t>
  </si>
  <si>
    <t>https://www.instagram.com/heyat.bardsir/</t>
  </si>
  <si>
    <t>فاطمیون روستای هنزا</t>
  </si>
  <si>
    <t>هنزا</t>
  </si>
  <si>
    <t>https://eitaa.com/fatemiyoonhanza</t>
  </si>
  <si>
    <t>https://eitaa.com/ansarolmahdi_kerman</t>
  </si>
  <si>
    <t>محبین المجتبی (ع)</t>
  </si>
  <si>
    <t>https://www.instagram.com/mohebbinemojtaba_kerman/</t>
  </si>
  <si>
    <t>خادم الرضا (ع)</t>
  </si>
  <si>
    <t>https://www.instagram.com/khadem_alreza_kerman/</t>
  </si>
  <si>
    <r>
      <rPr>
        <rFont val="-apple-system, BlinkMacSystemFont, &quot;Segoe UI&quot;, Roboto, Helvetica, Arial, sans-serif"/>
        <color rgb="FF1155CC"/>
        <sz val="11.0"/>
        <u/>
      </rPr>
      <t>t.me/khadem_alreza_kerman</t>
    </r>
  </si>
  <si>
    <t>دلباختگان یوسف زهرا (عج)</t>
  </si>
  <si>
    <t>https://www.instagram.com/delbakhtegan_ker/</t>
  </si>
  <si>
    <t>https://www.instagram.com/ommolmasaeb_kerman/</t>
  </si>
  <si>
    <t>https://www.instagram.com/h.r.shohada/</t>
  </si>
  <si>
    <t>https://eitaa.com/rahrovane_shohadaa</t>
  </si>
  <si>
    <t>https://www.instagram.com/emamhasan_kerman/</t>
  </si>
  <si>
    <t>محبان شاهزاده علی اصغر(ع) روستای سیرج</t>
  </si>
  <si>
    <t>شهداد</t>
  </si>
  <si>
    <t>https://www.instagram.com/shahzadeh_aliasghar_sirch/</t>
  </si>
  <si>
    <t>ام الائمه (س)</t>
  </si>
  <si>
    <t>گلباف</t>
  </si>
  <si>
    <t>https://www.instagram.com/ommolaemmeh1387/</t>
  </si>
  <si>
    <t>مکتب الائمه(ع)</t>
  </si>
  <si>
    <t>چترود</t>
  </si>
  <si>
    <t>https://t.me/chmaktab</t>
  </si>
  <si>
    <t>هیات مسجد شهدای بیت الله الحرام</t>
  </si>
  <si>
    <t>https://eitaa.com/beitollah</t>
  </si>
  <si>
    <t>عشاق الرقیه (س) حسینیه اعظم</t>
  </si>
  <si>
    <t>https://www.instagram.com/oshagh.alroghayeh.kerman/</t>
  </si>
  <si>
    <t>https://www.instagram.com/fatemion_rafsanjan/</t>
  </si>
  <si>
    <t>https://www.instagram.com/moheban.315/</t>
  </si>
  <si>
    <r>
      <rPr>
        <rFont val="-apple-system, BlinkMacSystemFont, &quot;Segoe UI&quot;, Roboto, Helvetica, Arial, sans-serif"/>
        <color rgb="FF1155CC"/>
        <sz val="11.0"/>
        <u/>
      </rPr>
      <t>eitaa.com/moheban315</t>
    </r>
  </si>
  <si>
    <t>لواء الزینب (س)</t>
  </si>
  <si>
    <t>https://www.instagram.com/levaalzeynab_kerman/</t>
  </si>
  <si>
    <r>
      <rPr>
        <rFont val="-apple-system, BlinkMacSystemFont, &quot;Segoe UI&quot;, Roboto, Helvetica, Arial, sans-serif"/>
        <color rgb="FF1155CC"/>
        <sz val="11.0"/>
        <u/>
      </rPr>
      <t>t.me/levaalzeynab_kerman</t>
    </r>
  </si>
  <si>
    <t>https://www.instagram.com/mohebinahlebeit.mahan/</t>
  </si>
  <si>
    <t>تشنگان فرات محبان حضرت زینب (س)</t>
  </si>
  <si>
    <t>https://www.instagram.com/teshnegan_ir/</t>
  </si>
  <si>
    <r>
      <rPr>
        <rFont val="-apple-system, BlinkMacSystemFont, &quot;Segoe UI&quot;, Roboto, Helvetica, Arial, sans-serif"/>
        <color rgb="FF1155CC"/>
        <sz val="11.0"/>
        <u/>
      </rPr>
      <t>t.me/Teshnegan_ir</t>
    </r>
  </si>
  <si>
    <t>محبان قائم (عج)</t>
  </si>
  <si>
    <t>https://eitaa.com/mohebbanqaem1347</t>
  </si>
  <si>
    <t>https://eitaa.com/h_sarallah</t>
  </si>
  <si>
    <t>https://www.instagram.com/maktabol_zahra/</t>
  </si>
  <si>
    <r>
      <rPr>
        <rFont val="-apple-system, BlinkMacSystemFont, &quot;Segoe UI&quot;, Roboto, Helvetica, Arial, sans-serif"/>
        <color rgb="FF1155CC"/>
        <sz val="11.0"/>
        <u/>
      </rPr>
      <t>t.me/maktabollzahra</t>
    </r>
  </si>
  <si>
    <t>https://www.instagram.com/sarallah_bardsir/</t>
  </si>
  <si>
    <t>وارثین فدک</t>
  </si>
  <si>
    <t>https://www.instagram.com/varesinfadak/</t>
  </si>
  <si>
    <t>https://www.instagram.com/h_beytolahzan_kerman/</t>
  </si>
  <si>
    <t>https://www.instagram.com/imam_hussain_valfajr/</t>
  </si>
  <si>
    <t>https://eitaa.com/h_janatoreza</t>
  </si>
  <si>
    <t>دلدادگان بین الحرمین (هیات مسجد ابوالفضل (ع))</t>
  </si>
  <si>
    <t>https://www.instagram.com/d.beynolharameyn/</t>
  </si>
  <si>
    <r>
      <rPr>
        <rFont val="-apple-system, BlinkMacSystemFont, &quot;Segoe UI&quot;, Roboto, Helvetica, Arial, sans-serif"/>
        <color rgb="FF1155CC"/>
        <sz val="11.0"/>
        <u/>
      </rPr>
      <t>t.me/d_beynolharameyn</t>
    </r>
  </si>
  <si>
    <t>مکتب الصادق (ع) سرآسیاب فرسنگی</t>
  </si>
  <si>
    <t>https://www.instagram.com/maktabalsadegh195/</t>
  </si>
  <si>
    <t>دانشگاه فرهنگیان پردیس باهنر</t>
  </si>
  <si>
    <t>https://www.instagram.com/maktabzahracfu/</t>
  </si>
  <si>
    <t>https://eitaa.com/maktabzahracfu</t>
  </si>
  <si>
    <t>دانشگاه فرهنگیان پردیس خواجه نصیرالدین طوسی</t>
  </si>
  <si>
    <t>https://www.instagram.com/maktab_alsadegh_kerman/</t>
  </si>
  <si>
    <t>https://eitaa.com/maktab_alsadegh_kerman</t>
  </si>
  <si>
    <t>حضرت خدیجه</t>
  </si>
  <si>
    <t>https://www.instagram.com/heyat_hazratkhadijeh/</t>
  </si>
  <si>
    <t>https://eitaa.com/HomemadeRoza</t>
  </si>
  <si>
    <t>ایوان نجف</t>
  </si>
  <si>
    <t>https://www.instagram.com/eyvannajaf_kerman</t>
  </si>
  <si>
    <t>هیات حسینیه اعظم سعدی</t>
  </si>
  <si>
    <t>https://www.instagram.com/hoseiniehazam.kerman</t>
  </si>
  <si>
    <t>راویان نینوا</t>
  </si>
  <si>
    <t>https://www.instagram.com/ravianneynava313</t>
  </si>
  <si>
    <t>محبان امام سجاد (ع)</t>
  </si>
  <si>
    <t>https://www.instagram.com/emaam_sajaad</t>
  </si>
  <si>
    <t>خادم الحسین (ع) محله ولی عصر</t>
  </si>
  <si>
    <t>https://www.instagram.com/khademolhasan_kerman</t>
  </si>
  <si>
    <t>حسینیه معظم بهاالدین شهر گلزار</t>
  </si>
  <si>
    <t>https://www.instagram.com/behaaldin_golzar</t>
  </si>
  <si>
    <t>https://t.me/Behaaldin_golzar</t>
  </si>
  <si>
    <t>https://www.instagram.com/maktabolzahraa</t>
  </si>
  <si>
    <t>https://t.me/maktabolzahra_kerman</t>
  </si>
  <si>
    <t>محبان الحسن (ع)</t>
  </si>
  <si>
    <t>https://www.instagram.com/mohebbanheiat</t>
  </si>
  <si>
    <t>https://eitaa.com/mohebanalhasan</t>
  </si>
  <si>
    <t>مهر حسین (ع)</t>
  </si>
  <si>
    <t>https://eitaa.com/mehr_hosein</t>
  </si>
  <si>
    <t>https://www.instagram.com/h_sarallah</t>
  </si>
  <si>
    <t>دار الثقیلین</t>
  </si>
  <si>
    <t>https://www.instagram.com/darolsaghalein_sbu</t>
  </si>
  <si>
    <t>https://t.me/darolsaghalein_tm</t>
  </si>
  <si>
    <t>https://eitaa.com/darolsaghalein</t>
  </si>
  <si>
    <t>حسینیه معظم بهاءالدین</t>
  </si>
  <si>
    <t xml:space="preserve">رزمندگان اسلام   </t>
  </si>
  <si>
    <t>https://www.instagram.com/heyat_razmandegan_kerman</t>
  </si>
  <si>
    <t>https://t.me/razmandegan_eslam_kerman</t>
  </si>
  <si>
    <t>کانون فرهنگی تربیتی مسجد امام محمد باقر (ع)</t>
  </si>
  <si>
    <t>https://eitaa.com/kanoonemb</t>
  </si>
  <si>
    <t>https://www.instagram.com/sahebolamr_ir</t>
  </si>
  <si>
    <t>https://www.instagram.com/ansarolmahdi_kerman</t>
  </si>
  <si>
    <t>عنبرآباد</t>
  </si>
  <si>
    <t>https://www.instagram.com/anbarabad_city_council313</t>
  </si>
  <si>
    <t>https://www.instagram.com/tazieh.saraye.fatemehzahra</t>
  </si>
  <si>
    <t>سقاخانه حضرت ابوالفضل (ع)</t>
  </si>
  <si>
    <t>https://www.instagram.com/saghakhane_abalfazl_zarand</t>
  </si>
  <si>
    <t>https://eitaa.com/Sagha_Khaneh_Aballfazl</t>
  </si>
  <si>
    <t>رابر</t>
  </si>
  <si>
    <t>https://www.instagram.com/shohada_gomnam_rabor</t>
  </si>
  <si>
    <t>بافت</t>
  </si>
  <si>
    <t>https://www.instagram.com/heyat_aliakbaar</t>
  </si>
  <si>
    <t>https://www.instagram.com/heyat.karimahlebeyt</t>
  </si>
  <si>
    <t>عاشقان حیدر کرار (ع)</t>
  </si>
  <si>
    <t>https://www.instagram.com/asheghan_heydarkarar</t>
  </si>
  <si>
    <t>https://t.me/heiatasheghanheydarkararrafsanjn</t>
  </si>
  <si>
    <t>https://www.instagram.com/heiatghamarbanihashem</t>
  </si>
  <si>
    <t>https://t.me/ghamarbanihashembaghin</t>
  </si>
  <si>
    <t>https://www.instagram.com/mahdieh_rafsanjan</t>
  </si>
  <si>
    <t>عاشقان علی اصغر</t>
  </si>
  <si>
    <t>https://www.instagram.com/heyat.ashghanaliasghar</t>
  </si>
  <si>
    <t>متوسلین به فاطمه الزهرا</t>
  </si>
  <si>
    <t>https://www.instagram.com/emam_reza_baft</t>
  </si>
  <si>
    <t>حسینیه ابراهیمی</t>
  </si>
  <si>
    <t>https://www.instagram.com/hoseiniehseyedebrahimi</t>
  </si>
  <si>
    <t>https://t.me/hmse1</t>
  </si>
  <si>
    <t>https://www.instagram.com/heyathazratabolfazlbardsir</t>
  </si>
  <si>
    <t>تکیه حضرت ابوالفضل (ع)</t>
  </si>
  <si>
    <t>https://www.instagram.com/heiat_abolfazl_kerman</t>
  </si>
  <si>
    <t>https://www.instagram.com/heyat.abalfazl_</t>
  </si>
  <si>
    <t>ابا عبدالله</t>
  </si>
  <si>
    <t>https://www.instagram.com/heiat.abaabdelah</t>
  </si>
  <si>
    <t>https://www.instagram.com/heyaatozahra1383</t>
  </si>
  <si>
    <t>مشکوه الرسول</t>
  </si>
  <si>
    <t>https://www.instagram.com/masjed.meshkatalrasol</t>
  </si>
  <si>
    <t>https://eitaa.com/meshkatalrasool</t>
  </si>
  <si>
    <t>بانوی بی نشان مدینه</t>
  </si>
  <si>
    <t>https://www.instagram.com/banooyebineshanemadineh</t>
  </si>
  <si>
    <t>آئینه خانه</t>
  </si>
  <si>
    <t>https://www.instagram.com/aeeneh_khaneh</t>
  </si>
  <si>
    <t>رهروان مکتب شهید سلیمانی</t>
  </si>
  <si>
    <t>https://eitaa.com/heyatrahrovan</t>
  </si>
  <si>
    <t>تشنگان فرات خیابان جامی</t>
  </si>
  <si>
    <t>https://www.instagram.com/teshnegan_live</t>
  </si>
  <si>
    <t>https://eitaa.com/yaranebiriyaa</t>
  </si>
  <si>
    <t>معظم ثارالله شهرک امام رضا علیه</t>
  </si>
  <si>
    <t>https://www.instagram.com/heyat.saralah.kouhbanan</t>
  </si>
  <si>
    <t>محبان حضرت علی اکبر (ع)</t>
  </si>
  <si>
    <t>https://www.instagram.com/hazrataliakbar1377</t>
  </si>
  <si>
    <t>مجمع جوانان عاشورایی هیات مسجد صاحب الزمان عج</t>
  </si>
  <si>
    <t>https://www.instagram.com/heiat_sahebazaman</t>
  </si>
  <si>
    <t>https://www.instagram.com/heyate.abolfazlbaft</t>
  </si>
  <si>
    <t>https://www.instagram.com/qasamibnlhasan</t>
  </si>
  <si>
    <t>https://t.me/QasimibnlHasanbaghin</t>
  </si>
  <si>
    <t>ولی عصر</t>
  </si>
  <si>
    <t>https://www.instagram.com/mamh__valiasr</t>
  </si>
  <si>
    <t>https://eitaa.com/azadaranaliakbar</t>
  </si>
  <si>
    <t>محبان الزهراء</t>
  </si>
  <si>
    <t>https://www.instagram.com/_moheban.alzahra.kerman</t>
  </si>
  <si>
    <t>https://t.me/Mohebanzahraykerman</t>
  </si>
  <si>
    <t>تکیه حضرت رقیه س</t>
  </si>
  <si>
    <t>https://www.instagram.com/tekye_roghaye</t>
  </si>
  <si>
    <t>عزاداران غلامان ابوالفضل ع</t>
  </si>
  <si>
    <t>https://www.instagram.com/heyat.gholaman.kerman</t>
  </si>
  <si>
    <t>https://t.me/gholaman_kerman</t>
  </si>
  <si>
    <t>ولیعصر عج</t>
  </si>
  <si>
    <t>https://eitaa.com/mosque_Vali_Asr_town_Elahiye</t>
  </si>
  <si>
    <t>باب الحوایج امام حسن مجتبی (ع)</t>
  </si>
  <si>
    <t>https://www.instagram.com/heyat_babalhavaej</t>
  </si>
  <si>
    <t>https://www.instagram.com/navaye_heydariyon</t>
  </si>
  <si>
    <t>https://t.me/navaye_heydariyon</t>
  </si>
  <si>
    <t>https://www.instagram.com/ansarmahdi_galeganji</t>
  </si>
  <si>
    <t>شهیدباکری</t>
  </si>
  <si>
    <t>https://www.instagram.com/jahadi_shahid_bakerii</t>
  </si>
  <si>
    <t>غلامان علی اکبر</t>
  </si>
  <si>
    <t>جیرفت</t>
  </si>
  <si>
    <t>https://www.instagram.com/gholaman_ali_akbar</t>
  </si>
  <si>
    <t>https://eitaa.com/gholaman_aliakbar</t>
  </si>
  <si>
    <t>روضه الرقیه (س) شهرک فجر</t>
  </si>
  <si>
    <t>https://www.instagram.com/rozatoroghayeh</t>
  </si>
  <si>
    <t>https://eitaa.com/rozatorroghaye</t>
  </si>
  <si>
    <t>عبدالله بن الحسن صدرا</t>
  </si>
  <si>
    <t>https://www.instagram.com/sadra__live/</t>
  </si>
  <si>
    <t>https://www.instagram.com/maktab_al_zahra118</t>
  </si>
  <si>
    <t>ابوالفضل محمدیه زیدآباد سیرجان</t>
  </si>
  <si>
    <t>https://www.instagram.com/heiatjavananabaolfazl.z</t>
  </si>
  <si>
    <t>ام البنین سقاخانه</t>
  </si>
  <si>
    <t>https://www.instagram.com/heyate_omolbanin_saqakhane</t>
  </si>
  <si>
    <t>کانون فرهنگی مذهبی علمدار روستای داوران</t>
  </si>
  <si>
    <t>https://www.instagram.com/alamdar_davaran/</t>
  </si>
  <si>
    <t>https://t.me/alamdar_davaran</t>
  </si>
  <si>
    <t>https://eitaa.com/alamdar_davaran</t>
  </si>
  <si>
    <t>https://www.instagram.com/heiatkarbala</t>
  </si>
  <si>
    <t>https://eitaa.com/heiatkarbala</t>
  </si>
  <si>
    <t>https://eitaa.com/montazerankerman</t>
  </si>
  <si>
    <t>کهنوج</t>
  </si>
  <si>
    <t>https://www.instagram.com/sarallah.vaziriha.kahnooj</t>
  </si>
  <si>
    <t>https://www.instagram.com/aliasghar_soleymanieh</t>
  </si>
  <si>
    <t>https://www.instagram.com/tekie_fatemie_kerman_</t>
  </si>
  <si>
    <t>سینه زنی وتعزیه خوانی سیدالشهدا</t>
  </si>
  <si>
    <t>https://www.instagram.com/taziye1368</t>
  </si>
  <si>
    <t>https://www.eitaa.com/khademin_anbarabad_kerman</t>
  </si>
  <si>
    <t>نسیم مهربانی</t>
  </si>
  <si>
    <t>https://www.instagram.com/nasime_mehrabani.anbarabad</t>
  </si>
  <si>
    <t>https://www.instagram.com/masjedjamekouhbanan</t>
  </si>
  <si>
    <t>https://eitaa.com/bagheralulum</t>
  </si>
  <si>
    <t>زائر علقمه</t>
  </si>
  <si>
    <t>https://www.instagram.com/mookeb_zaer_alqame</t>
  </si>
  <si>
    <t>https://www.instagram.com/heyatrayatolmahdi313</t>
  </si>
  <si>
    <t>وارثان غدیر</t>
  </si>
  <si>
    <t>https://www.instagram.com/varesan.ghadir</t>
  </si>
  <si>
    <t>https://eitaa.com/etelaeresanikerman</t>
  </si>
  <si>
    <t>غیاث</t>
  </si>
  <si>
    <t>https://www.instagram.com/ghiaskerman</t>
  </si>
  <si>
    <t>مسجد امام حسن مجتبی(ع)</t>
  </si>
  <si>
    <t>https://www.instagram.com/emamhasankerman</t>
  </si>
  <si>
    <t>https://www.instagram.com/moheban.mahdii</t>
  </si>
  <si>
    <t>محبان حضرت ابوالفضل (عج)</t>
  </si>
  <si>
    <t>https://www.instagram.com/heyat_mohebban_abolfazl_jiroft</t>
  </si>
  <si>
    <t>هیات الحسین (ع)</t>
  </si>
  <si>
    <t>https://www.instagram.com/heyat_alhoosinkerman</t>
  </si>
  <si>
    <t>https://www.instagram.com/heyat_gamarbanihashemkuyraberi</t>
  </si>
  <si>
    <t>https://www.instagram.com/hosseinie.abalfazl.nakhlestan</t>
  </si>
  <si>
    <t>https://www.instagram.com/tv_alamdarkerman</t>
  </si>
  <si>
    <t>https://t.me/alamdarkerman</t>
  </si>
  <si>
    <t>https://www.instagram.com/heyat_ansaralhossein</t>
  </si>
  <si>
    <t>مسجد المهدی</t>
  </si>
  <si>
    <t>https://www.instagram.com/masjjed_almahdi</t>
  </si>
  <si>
    <t>ابوالفضل العباس(ع) مسجد صاحب الزمان روستای علی آبادعلیا</t>
  </si>
  <si>
    <t>https://t.me/sahebazaman88</t>
  </si>
  <si>
    <t>محبان علی اصغر(ع)</t>
  </si>
  <si>
    <t>https://www.instagram.com/mohebanaliasghar1141</t>
  </si>
  <si>
    <t>حسینیون</t>
  </si>
  <si>
    <t>https://www.instagram.com/hoseinyun313</t>
  </si>
  <si>
    <t>غلامان حسینی</t>
  </si>
  <si>
    <t>https://www.instagram.com/gholaman_hasani_bam</t>
  </si>
  <si>
    <t>ریحانه الحسین (ع) روستای هوتک</t>
  </si>
  <si>
    <t>https://www.instagram.com/tazieh.reyhanatolhossein</t>
  </si>
  <si>
    <t>https://www.instagram.com/beinolharamein.r</t>
  </si>
  <si>
    <t>https://eitaa.com/Beynolharameynrafsanjan</t>
  </si>
  <si>
    <t>https://www.instagram.com/rayatalmahdi_ir</t>
  </si>
  <si>
    <t>https://www.instagram.com/masjedazahra</t>
  </si>
  <si>
    <t>محفل آل یاسین</t>
  </si>
  <si>
    <t>https://eitaa.com/alyasin_anar</t>
  </si>
  <si>
    <t>مسجد ابوالفضل نخلستان</t>
  </si>
  <si>
    <t>محبان امام زمان (عج)</t>
  </si>
  <si>
    <t>https://www.instagram.com/h.m.sahebazaman.kerman</t>
  </si>
  <si>
    <t>تفحص شهدا</t>
  </si>
  <si>
    <t>https://www.instagram.com/heyat_tafahos</t>
  </si>
  <si>
    <t>https://t.me/heyat_tafahos</t>
  </si>
  <si>
    <t>خاتم الانبیا</t>
  </si>
  <si>
    <t>https://www.instagram.com/mokeb.khatamolanbia</t>
  </si>
  <si>
    <t>https://t.me/mukebekhatamolanbia</t>
  </si>
  <si>
    <t>مهدی صاحب الزمان (عج)</t>
  </si>
  <si>
    <t>https://www.instagram.com/mubamheyat</t>
  </si>
  <si>
    <t>https://www.instagram.com/mokebmeraj.ir</t>
  </si>
  <si>
    <t>https://t.me/tafahoseshohada</t>
  </si>
  <si>
    <t>https://www.eitaa.com/merajshohadaa</t>
  </si>
  <si>
    <t>https://www.instagram.com/zaynabion.fahraj</t>
  </si>
  <si>
    <t>جوانان علی اکبر(ع)</t>
  </si>
  <si>
    <t>https://www.instagram.com/javanan_kerman</t>
  </si>
  <si>
    <t>https://t.me/javanaan_kerman</t>
  </si>
  <si>
    <t>https://www.instagram.com/levaalzeynab_kerman</t>
  </si>
  <si>
    <t>https://t.me/levaalzeynab_kerman</t>
  </si>
  <si>
    <t>https://www.instagram.com/heyat_mohebban_mahdi</t>
  </si>
  <si>
    <t>هیات اعظم بانوان</t>
  </si>
  <si>
    <t>https://www.instagram.com/heyat_azam</t>
  </si>
  <si>
    <t>https://www.instagram.com/javanan_khadem_reza</t>
  </si>
  <si>
    <t>اداره کل سازمان اوقاف</t>
  </si>
  <si>
    <t>https://www.instagram.com/oghaf.kr</t>
  </si>
  <si>
    <t>شهدای گمنام زنگی آباد</t>
  </si>
  <si>
    <t>https://www.instagram.com/shohadayegomnam.zangiabad</t>
  </si>
  <si>
    <t>https://www.instagram.com/maktabolmahdi1392</t>
  </si>
  <si>
    <t>رزمندگان اسلام سیرچ</t>
  </si>
  <si>
    <t>https://www.instagram.com/r.razmandegan.ir/</t>
  </si>
  <si>
    <t>متوسلین به امام الزمان(عج)</t>
  </si>
  <si>
    <t>https://www.instagram.com/reza.vala.1365/</t>
  </si>
  <si>
    <t>https://www.instagram.com/seyede_shohada_rodbar</t>
  </si>
  <si>
    <t>حضرت فاطمه معصومه(س)</t>
  </si>
  <si>
    <t>https://www.instagram.com/heiat_fatemeh_masomeh</t>
  </si>
  <si>
    <t>https://t.me/jiroft_heat_fatemeh_masomeh</t>
  </si>
  <si>
    <t>https://eitaa.com/razmandegan_eslam_kerman</t>
  </si>
  <si>
    <t>https://www.instagram.com/taziye_alamdar_ravar</t>
  </si>
  <si>
    <t>https://www.instagram.com/alghame.133/</t>
  </si>
  <si>
    <t>https://t.me/alghame0133</t>
  </si>
  <si>
    <t>https://www.instagram.com/heyat.yalesaratalhossein.anar</t>
  </si>
  <si>
    <t>https://t.me/wwwyalesaratalhosseinir</t>
  </si>
  <si>
    <t>https://www.instagram.com/javanan_mahdavi_ravar</t>
  </si>
  <si>
    <t>محبان علمدار کربلا</t>
  </si>
  <si>
    <t>https://youtube.com/channel/UCkmrEeosFO1hSppRUJtOlfQ?si=lKUO8N8FKPmgIzFX</t>
  </si>
  <si>
    <t>https://www.instagram.com/sarallah_sirjan</t>
  </si>
  <si>
    <t>https://www.instagram.com/heiatoshaghalhosein1443</t>
  </si>
  <si>
    <t>شاهزاده علی اصغر(ع)</t>
  </si>
  <si>
    <t>https://www.instagram.com/heyat_shahzadealiasghar</t>
  </si>
  <si>
    <t>https://eitaa.com/heyat_shahzadealiasghar</t>
  </si>
  <si>
    <t>https://www.instagram.com/h.montazeran.bam</t>
  </si>
  <si>
    <t>بیت الله الحرام</t>
  </si>
  <si>
    <t>https://www.instagram.com/beitollah.media</t>
  </si>
  <si>
    <t>خادمین مهدیه مسجد امام زمان(عج)</t>
  </si>
  <si>
    <t>https://www.instagram.com/khademolmahdi_kerman</t>
  </si>
  <si>
    <t>https://www.instagram.com/kaffolabas133</t>
  </si>
  <si>
    <t>شهدا شاهرخ آباد</t>
  </si>
  <si>
    <t>https://www.instagram.com/h.shohada.sh</t>
  </si>
  <si>
    <t>انصارالمهدی(عج) (کهوروییه)</t>
  </si>
  <si>
    <t>https://www.instagram.com/ansar_almahdi_343</t>
  </si>
  <si>
    <t>https://t.me/heatansaralmahdik</t>
  </si>
  <si>
    <t>https://www.instagram.com/heat.abolfazlelabbas</t>
  </si>
  <si>
    <t>اهل بیت(ع)</t>
  </si>
  <si>
    <t>https://www.instagram.com/heyat_fatemiyoon_chatrood</t>
  </si>
  <si>
    <t>https://t.me/kowsar_chatrod</t>
  </si>
  <si>
    <t>طفلان مسلم(ع)</t>
  </si>
  <si>
    <t>https://www.instagram.com/teflan.moslem.rafsanjan</t>
  </si>
  <si>
    <t>شهدای خانوک</t>
  </si>
  <si>
    <t>https://eitaa.com/heyat_shohada_khanook</t>
  </si>
  <si>
    <t>بیت المهدی</t>
  </si>
  <si>
    <t>https://www.instagram.com/beytolmahdi</t>
  </si>
  <si>
    <t>جان نثاران امام حسین(ع)</t>
  </si>
  <si>
    <t>https://www.instagram.com/jannesaran.kerman</t>
  </si>
  <si>
    <t>https://www.instagram.com/heiat.rahruvan.shohada</t>
  </si>
  <si>
    <t>https://www.instagram.com/moheban.alhusseinbam</t>
  </si>
  <si>
    <t>مسجد امام باقر(ع)</t>
  </si>
  <si>
    <t>https://www.instagram.com/heyate_imam_mohammad_bagher_b</t>
  </si>
  <si>
    <t>https://t.me/emam_mohamad_bagher_baft</t>
  </si>
  <si>
    <t>عاشقان بقیع</t>
  </si>
  <si>
    <t>https://www.instagram.com/asheghan_baqhi_kerman</t>
  </si>
  <si>
    <t>https://www.instagram.com/hasanioun_ravari</t>
  </si>
  <si>
    <t>https://www.instagram.com/beytolahzanzarand</t>
  </si>
  <si>
    <t>https://www.instagram.com/m.emamreza_zarand1</t>
  </si>
  <si>
    <t>https://www.instagram.com/jannat.alhossein</t>
  </si>
  <si>
    <t>محبین الزهرا (س) (مجموعه عام المنفعه)</t>
  </si>
  <si>
    <t>https://www.instagram.com/mohebin18</t>
  </si>
  <si>
    <t>ثارالله (مسجد النبی(ص))</t>
  </si>
  <si>
    <t>https://www.instagram.com/heyat_sarallah_masjednabi</t>
  </si>
  <si>
    <t>https://t.me/heyat_sarallah_masjednabi</t>
  </si>
  <si>
    <t>https://www.instagram.com/ansaralmahdi_shahrebabak</t>
  </si>
  <si>
    <t>https://eitaa.com/ansaralmahdiii1404</t>
  </si>
  <si>
    <t>مهدیه صاحب الزمان(عج)</t>
  </si>
  <si>
    <t>https://www.instagram.com/mahdiehbam</t>
  </si>
  <si>
    <t>https://www.instagram.com/heiat.rahrovan.shohada.bam</t>
  </si>
  <si>
    <t>https://www.instagram.com/bh_bam1365</t>
  </si>
  <si>
    <t>انصارالرسول(ص)</t>
  </si>
  <si>
    <t>https://www.instagram.com/ansarorasool/</t>
  </si>
  <si>
    <t>https://t.me/ansarorasool</t>
  </si>
  <si>
    <t>محبان امام علی(ع)</t>
  </si>
  <si>
    <t>https://eitaa.com/moheban_bam</t>
  </si>
  <si>
    <t>جوادالائمه (ع) / هیات الزهرا (س)</t>
  </si>
  <si>
    <t>https://www.instagram.com/javadolaemeh_kerman.ir</t>
  </si>
  <si>
    <t>بیت الاحزان (شهدای گمنام)</t>
  </si>
  <si>
    <t>https://eitaa.com/beytolahzanbam</t>
  </si>
  <si>
    <t>عاشقان امام رضا(ع)</t>
  </si>
  <si>
    <t>https://eitaa.com/asheghaneharameEMAMREZA</t>
  </si>
  <si>
    <t>عشاق المهدی(عج)</t>
  </si>
  <si>
    <t>https://www.instagram.com/oshagholmahdi.313.kerman</t>
  </si>
  <si>
    <t>حضرت علی اکبر(ع) جوشان</t>
  </si>
  <si>
    <t>https://www.instagram.com/hyate_javanan_aliakbar_joshan</t>
  </si>
  <si>
    <t>محفل حیدریون</t>
  </si>
  <si>
    <t>https://www.instagram.com/mahfele110</t>
  </si>
  <si>
    <t>کانون فرهنگی تربیتی حاج داوود فقیه</t>
  </si>
  <si>
    <t>https://eitaa.com/kanoonsirjan</t>
  </si>
  <si>
    <t>سیدالساجدین(ع)</t>
  </si>
  <si>
    <t>https://www.instagram.com/heiatseyedolsajedin</t>
  </si>
  <si>
    <t>محبان اهل بیت(ع) (دانشگاه علوم پزشکی)</t>
  </si>
  <si>
    <t>https://www.instagram.com/heyat_moheban_kmu</t>
  </si>
  <si>
    <t>شهیدین</t>
  </si>
  <si>
    <t>https://eitaa.com/Shahideyn</t>
  </si>
  <si>
    <t>https://www.instagram.com/yasekabood99</t>
  </si>
  <si>
    <t>https://t.me/rozatolabbaskerman</t>
  </si>
  <si>
    <t>هیات‌ الزهرا (س)</t>
  </si>
  <si>
    <t>https://www.instagram.com/heyatozahrakerman.ir</t>
  </si>
  <si>
    <t>محبان امام حسین(ع)</t>
  </si>
  <si>
    <t>https://www.instagram.com/heyat_mohebban_lmam_hossein</t>
  </si>
  <si>
    <t>مسجد امام حسین(ع)</t>
  </si>
  <si>
    <t>https://www.instagram.com/imam_hussain_valfajr</t>
  </si>
  <si>
    <t>https://eitaa.com/E_hosein_kerman</t>
  </si>
  <si>
    <t>دفتر امام جمعه</t>
  </si>
  <si>
    <t>https://eitaa.com/imamjomekerman</t>
  </si>
  <si>
    <t>موسسه فرهنگی مذهبی سردار شهید علویان</t>
  </si>
  <si>
    <t>https://t.me/shahidalavian</t>
  </si>
  <si>
    <t>https://www.instagram.com/heyaat_shahzadeh_aliakbar</t>
  </si>
  <si>
    <t>غلامان حضرت ابوالفضل(ع)</t>
  </si>
  <si>
    <t>https://www.instagram.com/gharib_madineh_sirjan118</t>
  </si>
  <si>
    <t>https://www.instagram.com/hsynyhbynlhrmyn</t>
  </si>
  <si>
    <t>https://t.me/bynoulharamaynsirjan</t>
  </si>
  <si>
    <t>مسجد حضرت ابوالفضل(ع)</t>
  </si>
  <si>
    <t>https://www.instagram.com/heyatabalfazl1</t>
  </si>
  <si>
    <t>https://eitaa.com/Masjed_Abalfazl_ZangiAbad</t>
  </si>
  <si>
    <t>احمدآباد</t>
  </si>
  <si>
    <t>https://www.instagram.com/ahmadabad_deilamghani</t>
  </si>
  <si>
    <t>https://t.me/AhmadAbadDeilamghani</t>
  </si>
  <si>
    <t>https://www.instagram.com/heyatmohebanorezaa</t>
  </si>
  <si>
    <t>https://t.me/heyatmohebanorezaa</t>
  </si>
  <si>
    <t>تکیه عاشقان حضرت ابوالفضل(ع)</t>
  </si>
  <si>
    <t>https://www.instagram.com/asheghanabolfazl</t>
  </si>
  <si>
    <t>https://t.me/asheghanabolfazlrafsnjan</t>
  </si>
  <si>
    <t>https://www.instagram.com/ansaralmahdi_raf</t>
  </si>
  <si>
    <t>https://www.instagram.com/beitoolabbas.rafsanjan</t>
  </si>
  <si>
    <t>https://eitaa.com/shohada_rafsanjan</t>
  </si>
  <si>
    <t>https://www.instagram.com/masjed.aliakbar.ravar</t>
  </si>
  <si>
    <t>مسجد صاحب زمان(عج)</t>
  </si>
  <si>
    <t>https://www.instagram.com/heiate_sahebalzaman</t>
  </si>
  <si>
    <t>https://www.instagram.com/maktabol_aemeh_kerman</t>
  </si>
  <si>
    <t>https://t.me/maktabol_aemeh_kerman</t>
  </si>
  <si>
    <t>https://www.instagram.com/maktabolabas_133</t>
  </si>
  <si>
    <t>ابوالفضل العباس(ع) (عرب خانه)</t>
  </si>
  <si>
    <t>https://www.instagram.com/heyat__abalfazalabas__bam/</t>
  </si>
  <si>
    <t>https://www.instagram.com/ansaralzahra_ir</t>
  </si>
  <si>
    <t>موسسه فرهنگی ورزشی امید فردا (امید مهدی)</t>
  </si>
  <si>
    <t>https://www.instagram.com/fc.omidmahdi.shahrbabak</t>
  </si>
  <si>
    <t>https://www.instagram.com/shohadayegomnam.1389</t>
  </si>
  <si>
    <t>https://t.me/shohadayegomnam89</t>
  </si>
  <si>
    <t>https://www.instagram.com/asheghankarbala.ir</t>
  </si>
  <si>
    <t>https://eitaa.com/asheghankarbalaanar</t>
  </si>
  <si>
    <t>کانون فرهنگی امام باقر(ع)</t>
  </si>
  <si>
    <t>مهدیه امام حسن مجتبی(ع)</t>
  </si>
  <si>
    <t>https://www.instagram.com/ih118</t>
  </si>
  <si>
    <t>https://t.me/ih_118</t>
  </si>
  <si>
    <t>مکتب الصادق(ع) (حوزه علمیه محمودیه)</t>
  </si>
  <si>
    <t>https://eitaa.com/Mahmoudiyah</t>
  </si>
  <si>
    <t>امام محمدباقر(ع)</t>
  </si>
  <si>
    <t>https://eitaa.com/masjedemb</t>
  </si>
  <si>
    <t>https://www.instagram.com/heyate_musa_ebne_jafar_kerman</t>
  </si>
  <si>
    <t>https://www.instagram.com/javadolaeeme</t>
  </si>
  <si>
    <t>فاریاب</t>
  </si>
  <si>
    <t>https://www.instagram.com/mehdi_as_waiting_board_313</t>
  </si>
  <si>
    <t>https://www.instagram.com/fatemeun_rafsanjan</t>
  </si>
  <si>
    <t>https://t.me/fatemeun_rafsanjan</t>
  </si>
  <si>
    <t>https://www.instagram.com/rahrovanshohada_ravar</t>
  </si>
  <si>
    <t>ولایت مداران بنی الزهرا (س)</t>
  </si>
  <si>
    <t>https://www.instagram.com/heyat.banizahra</t>
  </si>
  <si>
    <t>https://www.instagram.com/heydariyon_sirjan</t>
  </si>
  <si>
    <t>https://t.me/heydariyon_sirjan</t>
  </si>
  <si>
    <t>https://www.instagram.com/heiat_mohebbin_ahlebait</t>
  </si>
  <si>
    <t>https://eitaa.org/mohebbin_net</t>
  </si>
  <si>
    <t>https://www.instagram.com/heyatalamdar_</t>
  </si>
  <si>
    <t>https://eitaa.com/alam_133</t>
  </si>
  <si>
    <t>محبین اهل بیت(ع) (مسجد صاحب الزمان(عج))</t>
  </si>
  <si>
    <t>https://www.instagram.com/heyat.mohebin.ahlebeyt</t>
  </si>
  <si>
    <t>https://www.instagram.com/heyate.aliasghar/</t>
  </si>
  <si>
    <t>علمدار (دانشگاه آزاد کهنوج)</t>
  </si>
  <si>
    <t>https://www.instagram.com/iau.kahnouj</t>
  </si>
  <si>
    <t>https://t.me/iaukahnouj</t>
  </si>
  <si>
    <t>https://eitaa.com/iaukahnouj</t>
  </si>
  <si>
    <t>لثارت الحسین(ع)</t>
  </si>
  <si>
    <t>https://www.instagram.com/lesaratal.hossain</t>
  </si>
  <si>
    <t>مهدیه بقیه الله (عج)</t>
  </si>
  <si>
    <t>https://www.instagram.com/mahdie_baft</t>
  </si>
  <si>
    <t>https://www.instagram.com/heyat_shohada_khanook</t>
  </si>
  <si>
    <t>مجمع بیت العباس (ع)</t>
  </si>
  <si>
    <t>https://www.instagram.com/bitolabas</t>
  </si>
  <si>
    <t>https://www.instagram.com/namazjome.zarand</t>
  </si>
  <si>
    <t>تعذیه خوانی حضرت ابوالفضل(ع)</t>
  </si>
  <si>
    <t>https://eitaa.com/tazieh_kerman_dehziyar</t>
  </si>
  <si>
    <t>https://www.instagram.com/shahzade.ali_asghar</t>
  </si>
  <si>
    <t>https://www.instagram.com/qamar_.bani_heshm.lr</t>
  </si>
  <si>
    <t>مجمع جوانان عاشورائی صاحب الزمان(عج)</t>
  </si>
  <si>
    <t>https://www.instagram.com/shohadaaye.gomnam</t>
  </si>
  <si>
    <t>مجمع فاطمیون (قرانی)</t>
  </si>
  <si>
    <t>https://eitaa.com/heyatequranifatemiyon</t>
  </si>
  <si>
    <t>علیا مخدره حضرت رقیه (س)</t>
  </si>
  <si>
    <t>https://www.instagram.com/oliya_mokhadre/</t>
  </si>
  <si>
    <t>عاشقان علی بن موسی الرضا(ع)</t>
  </si>
  <si>
    <t>https://www.instagram.com/heyat_asheqan_reza</t>
  </si>
  <si>
    <t>حضرت امیرالمومنین(ع) (بسیج دانشجویی دانشگاه شهید باهنر)</t>
  </si>
  <si>
    <t>https://www.instagram.com/sarv.bahonar</t>
  </si>
  <si>
    <t>https://t.me/bdbahonar</t>
  </si>
  <si>
    <t>https://eitaa.com/bdbahonar</t>
  </si>
  <si>
    <t>خادمین شهدا</t>
  </si>
  <si>
    <t>https://www.instagram.com/khademin_shohada_kerman</t>
  </si>
  <si>
    <t>https://eitaa.com/Khademin_shohada_kerman</t>
  </si>
  <si>
    <t>https://www.instagram.com/moheban_ghaem</t>
  </si>
  <si>
    <t>هیات النبی (ص)</t>
  </si>
  <si>
    <t>https://www.instagram.com/heyatalnabi</t>
  </si>
  <si>
    <t>https://eitaa.com/heyatalnabi</t>
  </si>
  <si>
    <t>محفل بسیجیان و رهروان شهدای / متوسلین به حضرت زهرا (س)</t>
  </si>
  <si>
    <t>https://www.instagram.com/rahrovaneshohada.info</t>
  </si>
  <si>
    <t>https://t.me/h_sarallah</t>
  </si>
  <si>
    <t>محفل غم فدائیان حسین(ع)</t>
  </si>
  <si>
    <t>https://www.instagram.com/mahfell</t>
  </si>
  <si>
    <t>https://www.instagram.com/meraj_hosein_kerman</t>
  </si>
  <si>
    <t>شهدای طاهرآباد</t>
  </si>
  <si>
    <t>https://eitaa.com/heyatsadatTaherabad</t>
  </si>
  <si>
    <t>ابوالفضل العباس (ع) شور آباد</t>
  </si>
  <si>
    <t>https://www.instagram.com/heyat.abalfazlabbas.shorabad</t>
  </si>
  <si>
    <t>https://www.instagram.com/beytoalroghaye_bam</t>
  </si>
  <si>
    <t>https://www.instagram.com/maktabol_zahra_bravat_bam</t>
  </si>
  <si>
    <t>https://www.instagram.com/deldadegan.abbas</t>
  </si>
  <si>
    <t>بیت الاحزان حضرت زهرا(س)</t>
  </si>
  <si>
    <t>https://www.instagram.com/beytolahzan_213/</t>
  </si>
  <si>
    <t>https://www.instagram.com/varesinfadak</t>
  </si>
  <si>
    <t>https://eitaa.com/mahdeyesahebazaman</t>
  </si>
  <si>
    <t>https://www.instagram.com/jannat_alreza</t>
  </si>
  <si>
    <t>حضرت ابوالفضل(ع) الغدیر</t>
  </si>
  <si>
    <t>https://www.instagram.com/masjed_abolfazlll</t>
  </si>
  <si>
    <t>https://eitaa.com/aliakbar_rahrovan</t>
  </si>
  <si>
    <t>https://www.instagram.com/mahdijankerman</t>
  </si>
  <si>
    <t>https://www.instagram.com/h.m.sahebazaman.kerman42</t>
  </si>
  <si>
    <t>کف العباس (ع)</t>
  </si>
  <si>
    <t>https://www.instagram.com/heiat_kaffolabbas/</t>
  </si>
  <si>
    <t>منتظران مهدی / منتظران ظهور</t>
  </si>
  <si>
    <t>https://t.me/montazerankerman</t>
  </si>
  <si>
    <t>https://eitaa.com/heatmontazeranzohorkerman</t>
  </si>
  <si>
    <t>جوانان علقمه</t>
  </si>
  <si>
    <t>https://www.instagram.com/alghameh_kerman/</t>
  </si>
  <si>
    <t>مجمع اسلامی محبین اهل بیت (ع)</t>
  </si>
  <si>
    <t>https://www.instagram.com/majma_313/</t>
  </si>
  <si>
    <t>https://eitaa.com/majmamohebin</t>
  </si>
  <si>
    <t>امام حسین(ع) / انصارالرسول(ص)</t>
  </si>
  <si>
    <t>http://eitaa.com/Ansarorasool</t>
  </si>
  <si>
    <t>https://www.instagram.com/imamjavad_kerman14</t>
  </si>
  <si>
    <t>هیأت روح الله رفسنجان</t>
  </si>
  <si>
    <t>https://eitaa.com/hoseyniye_roh_alah</t>
  </si>
  <si>
    <t>موکب امیرالمؤمنین امام علی علیه السلام</t>
  </si>
  <si>
    <t>https://eitaa.com/Mokebnoogh</t>
  </si>
  <si>
    <t>حسینیه حاج ماشاءالله خدادادپور-کرمان</t>
  </si>
  <si>
    <t>https://eitaa.com/hajmashallah</t>
  </si>
  <si>
    <t>https://eitaa.com/BaytalAhzan</t>
  </si>
  <si>
    <t>بنی هاشمی قناتغستان</t>
  </si>
  <si>
    <t>قناتغستان</t>
  </si>
  <si>
    <t>https://eitaa.com/banihashemii1355</t>
  </si>
  <si>
    <t>ثارالله زنگی آباد</t>
  </si>
  <si>
    <t>زنگی آباد</t>
  </si>
  <si>
    <t>https://eitaa.com/heyatezangiabad</t>
  </si>
  <si>
    <t>خراسان شمالی</t>
  </si>
  <si>
    <t>آشخانه</t>
  </si>
  <si>
    <t>https://www.instagram.com/heyat_qamarbanihashem_ash.ir</t>
  </si>
  <si>
    <t>https://t.me/ASHKHANEH133</t>
  </si>
  <si>
    <t>اسفراین</t>
  </si>
  <si>
    <t>https://www.instagram.com/alamdar_esf133/</t>
  </si>
  <si>
    <t>https://eitaa.com/alamdar_esf133</t>
  </si>
  <si>
    <t>https://www.instagram.com/rayat_esf/</t>
  </si>
  <si>
    <t>https://eitaa.com/rayat_esf</t>
  </si>
  <si>
    <t>زوار الزهرا (س)</t>
  </si>
  <si>
    <t>https://www.instagram.com/zovarozahra_esf/</t>
  </si>
  <si>
    <t>https://t.me/zovarozahra_esf</t>
  </si>
  <si>
    <t>https://eitaa.com/zovarzahra_esf</t>
  </si>
  <si>
    <t>امام حسن عسکری</t>
  </si>
  <si>
    <t>https://www.instagram.com/emamhasanaskari_esf99/</t>
  </si>
  <si>
    <t>https://www.instagram.com/mshohada_ir/</t>
  </si>
  <si>
    <t>mshohada_ir</t>
  </si>
  <si>
    <t>شهید توفیقیان</t>
  </si>
  <si>
    <t>https://www.instagram.com/tofighian_133/</t>
  </si>
  <si>
    <t>https://t.me/tofighian_133</t>
  </si>
  <si>
    <t>https://www.instagram.com/emamhasanaskari_esf/</t>
  </si>
  <si>
    <t>https://t.me/emamhasanaskari_esf</t>
  </si>
  <si>
    <t>https://www.instagram.com/hoseinjan_bojnord</t>
  </si>
  <si>
    <t>https://eitaa.com/mahdiye_heyat</t>
  </si>
  <si>
    <t>https://eitaa.com/razmande</t>
  </si>
  <si>
    <t>https://www.instagram.com/sarallah.esf/</t>
  </si>
  <si>
    <t>https://www.instagram.com/aliasgharjavan_esf</t>
  </si>
  <si>
    <t>https://t.me/aliasgharjavan</t>
  </si>
  <si>
    <t>حضرت عبدالله بن الحسن (ع)</t>
  </si>
  <si>
    <t>بام و صفی آباد</t>
  </si>
  <si>
    <t>صفی آباد</t>
  </si>
  <si>
    <t>https://www.instagram.com/norolmahdi313/</t>
  </si>
  <si>
    <t>https://t.me/norolmahdi313</t>
  </si>
  <si>
    <t>خانه هنر نجم</t>
  </si>
  <si>
    <t>بجنورد</t>
  </si>
  <si>
    <t>https://www.instagram.com/najm_oficial/</t>
  </si>
  <si>
    <t>https://www.instagram.com/masjedbaghyatallah/</t>
  </si>
  <si>
    <t>https://www.instagram.com/mahdie_emam_hasan_mojtaba/</t>
  </si>
  <si>
    <t>https://www.instagram.com/razmandeganbojnurd/</t>
  </si>
  <si>
    <t>https://t.me/razmandeganbojnurd</t>
  </si>
  <si>
    <t>https://eitaa.com/razmndgan_jame</t>
  </si>
  <si>
    <t>https://eitaa.com/hoseinjan_bojnord</t>
  </si>
  <si>
    <t>https://www.instagram.com/mohebbane_ahlebeyt_boj/</t>
  </si>
  <si>
    <t>https://tel.me/mohebbane_ahlebeyt_boj</t>
  </si>
  <si>
    <t>متوسلین جوادالائمه</t>
  </si>
  <si>
    <t>https://www.instagram.com/heyat.javadolaemh/</t>
  </si>
  <si>
    <t>https://www.instagram.com/yazeinab.bojnord/</t>
  </si>
  <si>
    <t>https://www.instagram.com/heiatroghayejan/</t>
  </si>
  <si>
    <t>https://t.me/heiatroghayejan</t>
  </si>
  <si>
    <t>یافاطمه الزهراسلام الله علیها</t>
  </si>
  <si>
    <t>https://www.instagram.com/ya.fatematazahra135</t>
  </si>
  <si>
    <t>https://eitaa.com/yafatematazahrainfo</t>
  </si>
  <si>
    <t>https://www.instagram.com/heyatmodafeanbojnord</t>
  </si>
  <si>
    <t>https://t.me/modafeanharambojnord</t>
  </si>
  <si>
    <t>جوانان شاهزاده علی اصغر (ع)</t>
  </si>
  <si>
    <t>https://www.instagram.com/shahzadealiasghar_bojnord/</t>
  </si>
  <si>
    <t>متوسلین‌جوادالائمه</t>
  </si>
  <si>
    <t>https://www.instagram.com/javadolaemh/</t>
  </si>
  <si>
    <t>https://eitaa.com/javadolaemhe</t>
  </si>
  <si>
    <t>زوارالزهرا(س)</t>
  </si>
  <si>
    <t>https://www.instagram.com/zavarolzahra/</t>
  </si>
  <si>
    <t>https://t.me/zavarolzahra</t>
  </si>
  <si>
    <t>جوانان حضرت علی اکبر (ع)</t>
  </si>
  <si>
    <t>https://www.instagram.com/aliakbar_bojnord/</t>
  </si>
  <si>
    <t>https://www.instagram.com/h_beytoolreza/</t>
  </si>
  <si>
    <t>https://eitaa.com/H_beytolreza</t>
  </si>
  <si>
    <t xml:space="preserve">چهارده معصوم </t>
  </si>
  <si>
    <t>https://www.instagram.com/azamchhardhemasom</t>
  </si>
  <si>
    <t>https://www.instagram.com/heyat_saheb_azaman/</t>
  </si>
  <si>
    <t xml:space="preserve"> الهادی(علیه‌السلام)</t>
  </si>
  <si>
    <t>https://www.instagram.com/heyat_alhadi</t>
  </si>
  <si>
    <t>https://eitaa.com/HEYAT_ALHADI</t>
  </si>
  <si>
    <t>عشاق سیدالشهداء</t>
  </si>
  <si>
    <t>https://www.instagram.com/seyedushohada1/</t>
  </si>
  <si>
    <t>https://t.me/Seyedushohada1</t>
  </si>
  <si>
    <t>https://eitaa.com/seyedushohada1</t>
  </si>
  <si>
    <t>https://www.instagram.com/nkums_heiat/</t>
  </si>
  <si>
    <t>https://t.me/nkums_heiat</t>
  </si>
  <si>
    <t>https://www.instagram.com/heyat_asheghan_binolharamein/</t>
  </si>
  <si>
    <t>دو طفلان</t>
  </si>
  <si>
    <t>https://www.instagram.com/doteflanmoslem_bojnourd/</t>
  </si>
  <si>
    <t>یا فاطمة الزهرا  (واحد بانوان)</t>
  </si>
  <si>
    <t>https://www.instagram.com/ya.fatemezahra.banovan/</t>
  </si>
  <si>
    <t>https://eitaa.com/banovanyafatemezahr</t>
  </si>
  <si>
    <t>https://www.instagram.com/heyatbaghyatallah/</t>
  </si>
  <si>
    <t>https://t.me/heyatbaghyatallah</t>
  </si>
  <si>
    <t>عشاق المهدي(عج)</t>
  </si>
  <si>
    <t>https://www.instagram.com/oshaghalmahdi313/</t>
  </si>
  <si>
    <t>https://t.me/h_oshaghalmahdi</t>
  </si>
  <si>
    <t>https://www.instagram.com/heiathobbolhosin_313/</t>
  </si>
  <si>
    <t>محفل بیت الحسن مجتبی علیه السلام</t>
  </si>
  <si>
    <t>https://www.instagram.com/baitul_hassan_mojtaba/</t>
  </si>
  <si>
    <t>جوانان صاحب الزمان سادات حسینی</t>
  </si>
  <si>
    <t>https://www.instagram.com/hyatjavanansahebalzman/</t>
  </si>
  <si>
    <t>https://t.me/heatjavanansahebalzman</t>
  </si>
  <si>
    <t>جوانان صاحب الزمان (ع)</t>
  </si>
  <si>
    <t>https://www.instagram.com/hyatjavanansahebalzaman1401/</t>
  </si>
  <si>
    <t>ابولفضلی‌ها</t>
  </si>
  <si>
    <t>https://www.instagram.com/heyat.abolfazlihaa/</t>
  </si>
  <si>
    <t>فدوائیان شهزاده علی اکبر (ع)</t>
  </si>
  <si>
    <t>https://www.instagram.com/shahzade_alieakbar/</t>
  </si>
  <si>
    <t>ابولفضلی رضوی</t>
  </si>
  <si>
    <t>https://www.instagram.com/abolfazlirazavi_bojnourd/</t>
  </si>
  <si>
    <t>اصحاب الحسین(ع)</t>
  </si>
  <si>
    <t>https://www.instagram.com/ashab.alhosein/</t>
  </si>
  <si>
    <t>https://www.instagram.com/rozatolhossein.boj/</t>
  </si>
  <si>
    <t>https://t.me/RozatolHossein128</t>
  </si>
  <si>
    <t>جوانان بقیه الله</t>
  </si>
  <si>
    <t>https://www.instagram.com/hy_javanan.baghyatallah/</t>
  </si>
  <si>
    <t>https://t.me/javananbaqiatolah</t>
  </si>
  <si>
    <t>دیوانگان حسینی</t>
  </si>
  <si>
    <t>https://www.instagram.com/heyat_divaneganhoseini/</t>
  </si>
  <si>
    <t>حضرت‌قاسم‌بن‌الحسن(ع)</t>
  </si>
  <si>
    <t>https://www.instagram.com/heyat_hazratghasem_boj/</t>
  </si>
  <si>
    <t>مصباح الهدی بجنورد</t>
  </si>
  <si>
    <t>https://www.instagram.com/mesbaholhoda_bojnourd/</t>
  </si>
  <si>
    <t>https://t.me/mesbaholhoda_bojnourd</t>
  </si>
  <si>
    <t>https://eitaa.com/mesbaholhoda_bojnourd</t>
  </si>
  <si>
    <t>https://www.instagram.com/asheghan.haramein/</t>
  </si>
  <si>
    <t>https://www.instagram.com/rozatolshohada_boj/</t>
  </si>
  <si>
    <t>جوانان مسجد انقلاب</t>
  </si>
  <si>
    <t>https://www.instagram.com/masjedenqelab/</t>
  </si>
  <si>
    <t>https://www.instagram.com/mahdaviyoon_bojnurd/</t>
  </si>
  <si>
    <t>https://www.instagram.com/heyatmontazeranmahdibojnurd/</t>
  </si>
  <si>
    <t>https://t.me/montazeranmahdibojnurd</t>
  </si>
  <si>
    <t>https://www.instagram.com/heyat_sajadieh_bojnurd/</t>
  </si>
  <si>
    <t>https://www.instagram.com/maktabolhosain/</t>
  </si>
  <si>
    <t>https://www.instagram.com/ansaralmahdi_bojnord/</t>
  </si>
  <si>
    <t>https://www.instagram.com/heyat.almahdi_ub/</t>
  </si>
  <si>
    <t>https://www.instagram.com/seyyedoshohada_boj/</t>
  </si>
  <si>
    <t>https://www.instagram.com/mohebbanolreza</t>
  </si>
  <si>
    <t>https://t.me/mohebbanolreza</t>
  </si>
  <si>
    <t>https://www.instagram.com/shahzadealiasghar_bojnord</t>
  </si>
  <si>
    <t>روستای شیخ تیمور</t>
  </si>
  <si>
    <t>https://www.instagram.com/shaykh_teiymoor/</t>
  </si>
  <si>
    <t>ابوالفضلی رضوی</t>
  </si>
  <si>
    <t>عزاداران چهارده معصوم(ع)</t>
  </si>
  <si>
    <t>https://www.instagram.com/azamchhardhemasom/</t>
  </si>
  <si>
    <t>https://www.instagram.com/beytolahzan__hazratzahra/</t>
  </si>
  <si>
    <t>https://t.me/BeytolAhzan_HazratZahra</t>
  </si>
  <si>
    <t>مدرسه علمیه امام صادق(ع)</t>
  </si>
  <si>
    <t>https://eitaa.com/emam_sadegh_bojnord</t>
  </si>
  <si>
    <t>متوسلین جوادالائمه(ع)</t>
  </si>
  <si>
    <t>منتظران</t>
  </si>
  <si>
    <t>https://eitaa.com/joinchat/1696465154C418c2e0693</t>
  </si>
  <si>
    <t>https://www.instagram.com/masjedemamreza_bojnourd/</t>
  </si>
  <si>
    <t>مجمع الذاکرین / مصباح الهدی(عج)</t>
  </si>
  <si>
    <t>قمربنی هاشم(ع) (جانبازان)</t>
  </si>
  <si>
    <t>https://www.instagram.com/janbazan_boj/</t>
  </si>
  <si>
    <t>https://t.me/janbazan_boj</t>
  </si>
  <si>
    <t>https://www.instagram.com/heiate5tanealeaba/</t>
  </si>
  <si>
    <t>https://www.instagram.com/heyat_sajadieh_bojnurd</t>
  </si>
  <si>
    <t>بجنورد ،میدان آزادگان،خیابان بهزیستی</t>
  </si>
  <si>
    <t>https://www.instagram.com/h_beytoolreza</t>
  </si>
  <si>
    <t>هیأت یافاطمه الزهراسلام الله علیها بجنورد</t>
  </si>
  <si>
    <t>https://www.instagram.com/seyyedoshohada_boj</t>
  </si>
  <si>
    <t>صاحب الزمان(عج) ( باغ منتظری)</t>
  </si>
  <si>
    <t>محفل زوارالزهرا (س)</t>
  </si>
  <si>
    <t>فاطمه الزهرا (س) حسینیه مصباح الهدی</t>
  </si>
  <si>
    <t>https://www.instagram.com/mesbaholhoda_bojnourd</t>
  </si>
  <si>
    <t>https://www.instagram.com/nkums_heiat</t>
  </si>
  <si>
    <t>عشاق سیدالشهدا (ع) محله جوادیه</t>
  </si>
  <si>
    <t>https://www.instagram.com/seyedushohada1</t>
  </si>
  <si>
    <t>هیئت دانش آموزی انصارالمهدی (عج)بجنورد</t>
  </si>
  <si>
    <t>https://www.instagram.com/ansaralmahdi_bojnord</t>
  </si>
  <si>
    <t>قمربنی هاشم (ع) جانبازان بجنورد</t>
  </si>
  <si>
    <t>https://www.instagram.com/janbazan_boj</t>
  </si>
  <si>
    <t>هیات مسجد بقیه الله (عج)</t>
  </si>
  <si>
    <t>https://eitaa.com/masjedbaghyatallah</t>
  </si>
  <si>
    <t>https://eitaa.com/aliakbar_bojnord</t>
  </si>
  <si>
    <t xml:space="preserve">هیئت جوانان شاهزاده علی اصغر </t>
  </si>
  <si>
    <t>https://www.instagram.com/heyat_saheb_azaman</t>
  </si>
  <si>
    <t>تکیه سجادیه</t>
  </si>
  <si>
    <t>https://www.instagram.com/tekieeh.sajadieh_bojnord</t>
  </si>
  <si>
    <t>https://www.instagram.com/heyat_safine_nejat/</t>
  </si>
  <si>
    <t>https://t.me/heyat_safine_nejat</t>
  </si>
  <si>
    <t>مسجد حضرت جوادالائمه(ع)</t>
  </si>
  <si>
    <t>https://www.instagram.com/javadolaemh</t>
  </si>
  <si>
    <t xml:space="preserve">هیئت شهدای مدافع حرم- بجنورد
</t>
  </si>
  <si>
    <t>https://www.instagram.com/heyatmodafeanbojnord/</t>
  </si>
  <si>
    <t>هیأت الهادی(علیه‌السلام) بجنورد</t>
  </si>
  <si>
    <t>هیئت محبان اهل بیت علیهم السلام بجنورد</t>
  </si>
  <si>
    <t>https://www.instagram.com/mohebbane_ahlebeyt_boj</t>
  </si>
  <si>
    <t>المهدی(دانشگاه)</t>
  </si>
  <si>
    <t>https://www.instagram.com/heyat.almahdi_ub</t>
  </si>
  <si>
    <t>هیئت سجادیه(علیه السلام) بجنورد</t>
  </si>
  <si>
    <t>مکتب الشهدا / کهف الشهدا</t>
  </si>
  <si>
    <t>https://www.instagram.com/kahfe_shohada</t>
  </si>
  <si>
    <t>هیئت رقیه جان«س» بجنورد</t>
  </si>
  <si>
    <t>https://www.instagram.com/heiatroghayejan</t>
  </si>
  <si>
    <t>علمدار کربلا(ع) دانشگاه علوم پزشکی</t>
  </si>
  <si>
    <t>هيئت عشاق المهدي(عج) بجنورد‌</t>
  </si>
  <si>
    <t>https://www.instagram.com/oshaghalmahdi313</t>
  </si>
  <si>
    <t>https://www.instagram.com/heyatbaghyatallah</t>
  </si>
  <si>
    <t xml:space="preserve">محبان الزهرا(س) </t>
  </si>
  <si>
    <t>جاجرم</t>
  </si>
  <si>
    <t>https://www.instagram.com/mohebban_jajarm/</t>
  </si>
  <si>
    <t>https://t.me/mohebban_jajarm</t>
  </si>
  <si>
    <t>https://www.instagram.com/javanan_bani_hashem_jajarm/</t>
  </si>
  <si>
    <t xml:space="preserve">صاحب الزمان عج </t>
  </si>
  <si>
    <t>شوقان</t>
  </si>
  <si>
    <t>https://www.instagram.com/saheb_alzaman7/</t>
  </si>
  <si>
    <t>https://www.instagram.com/razmandegan_jajarm/</t>
  </si>
  <si>
    <t>https://www.instagram.com/mohebban_jajarm</t>
  </si>
  <si>
    <t>https://www.instagram.com/ansar.jajarm/</t>
  </si>
  <si>
    <t>https://eitaa.com/ansarjajarm</t>
  </si>
  <si>
    <t>https://www.instagram.com/mohebbanalhosein_jajarm/</t>
  </si>
  <si>
    <t>https://t.me/mohebbanalhossein_jajarm</t>
  </si>
  <si>
    <t>هیات یازینب (س)بجنورد</t>
  </si>
  <si>
    <t>https://www.instagram.com/yazeinab.bojnord</t>
  </si>
  <si>
    <t>درق</t>
  </si>
  <si>
    <t>https://www.instagram.com/tarigh_shohada57</t>
  </si>
  <si>
    <t>https://t.me/tarigh_Shohada57</t>
  </si>
  <si>
    <t>حضرت امیرالمومنین(ع)</t>
  </si>
  <si>
    <t>https://eitaa.com/MAFMA_DARGH</t>
  </si>
  <si>
    <t>راز و جرگلان</t>
  </si>
  <si>
    <t>راز</t>
  </si>
  <si>
    <t>https://www.instagram.com/heyatreza.raz/</t>
  </si>
  <si>
    <t xml:space="preserve">شوقان </t>
  </si>
  <si>
    <t>https://www.instagram.com/saheb_alzaman7</t>
  </si>
  <si>
    <t>آذربایجانیها</t>
  </si>
  <si>
    <t>شیروان</t>
  </si>
  <si>
    <t>https://www.instagram.com/masjed_tork/</t>
  </si>
  <si>
    <t>عزاداران</t>
  </si>
  <si>
    <t>https://www.instagram.com/azadaran_sh/</t>
  </si>
  <si>
    <t>https://t.me/azadaran_sh</t>
  </si>
  <si>
    <t>https://eitaa.com/azadaran_sh</t>
  </si>
  <si>
    <t>https://www.instagram.com/hasan_jan_118_shirvan/</t>
  </si>
  <si>
    <t>https://www.instagram.com/ansarolmahdi_sh/</t>
  </si>
  <si>
    <t>https://www.instagram.com/javanan_banihashem_shirvan/</t>
  </si>
  <si>
    <t>https://www.instagram.com/babolhavaej.shirvan/</t>
  </si>
  <si>
    <t>https://www.instagram.com/hiatejavanan_banihashem_/</t>
  </si>
  <si>
    <t>https://www.instagram.com/heyate.baghiatallah/</t>
  </si>
  <si>
    <t>https://www.instagram.com/alaviyoon.shirvan/</t>
  </si>
  <si>
    <t>https://www.instagram.com/ansariha.shirvan/</t>
  </si>
  <si>
    <t>بنی هاشم(ع)</t>
  </si>
  <si>
    <t>https://eitaa.com/javanan_banihashem_Shirvan?</t>
  </si>
  <si>
    <t>انصارالحسین(ع) (دانشجویی)</t>
  </si>
  <si>
    <t>https://www.instagram.com/ansarolhossein_com/</t>
  </si>
  <si>
    <t>شرح و تفسیر نهج البلاغه علویون</t>
  </si>
  <si>
    <t>https://t.me/s/alaviyoon_shirvan</t>
  </si>
  <si>
    <t>https://www.instagram.com/ansarolmahdi_sh</t>
  </si>
  <si>
    <t>حسینیه اعظم شیروان</t>
  </si>
  <si>
    <t>https://www.instagram.com/hoseiniehazam.shirvan</t>
  </si>
  <si>
    <t>https://www.instagram.com/montazeran_sq/</t>
  </si>
  <si>
    <t>منتظران ولی عصر (عج)</t>
  </si>
  <si>
    <t>https://www.instagram.com/heatmontazeranvaliasershirvan/</t>
  </si>
  <si>
    <t>https://eitaa.com/heyatmontazeranevalyaser_shirvan</t>
  </si>
  <si>
    <t>https://www.instagram.com/javanan_banihashem_shirvan</t>
  </si>
  <si>
    <t>https://www.instagram.com/hiatejavanan_banihashem_</t>
  </si>
  <si>
    <t>عبدالله بن الحسن (ع)</t>
  </si>
  <si>
    <t xml:space="preserve">صفی اباد </t>
  </si>
  <si>
    <t>https://www.instagram.com/norolmahdi313</t>
  </si>
  <si>
    <t>هیئت منتظران امام زمان غلامان</t>
  </si>
  <si>
    <t xml:space="preserve">غلامان </t>
  </si>
  <si>
    <t>https://www.instagram.com/montazeranheyat</t>
  </si>
  <si>
    <t>متوسلین به قمربنی هاشم(ع)</t>
  </si>
  <si>
    <t>فاروج</t>
  </si>
  <si>
    <t>https://www.instagram.com/heiat_motevaseliiin</t>
  </si>
  <si>
    <t>https://t.me/heiat_motevaseliiin</t>
  </si>
  <si>
    <t>حلما</t>
  </si>
  <si>
    <t>گرمه</t>
  </si>
  <si>
    <t>https://www.instagram.com/helma.art.media/</t>
  </si>
  <si>
    <t>عزاداران شاهزاده علی اصغر</t>
  </si>
  <si>
    <t>https://www.instagram.com/teflorrazie110/</t>
  </si>
  <si>
    <t>https://www.instagram.com/h_fatemiyon_daragh/</t>
  </si>
  <si>
    <t>https://www.instagram.com/heyatolreza1001/</t>
  </si>
  <si>
    <t>https://t.me/heyatolreza1001</t>
  </si>
  <si>
    <t>طریق الشهداء</t>
  </si>
  <si>
    <t>https://www.instagram.com/tarigh_shohada57/</t>
  </si>
  <si>
    <t>https://www.instagram.com/hasan.jaan118/</t>
  </si>
  <si>
    <t>https://www.instagram.com/khademin__213/</t>
  </si>
  <si>
    <t>https://t.me/Khademinn_213</t>
  </si>
  <si>
    <t>جوانان مکتب العباس (ع)</t>
  </si>
  <si>
    <t>https://www.instagram.com/maktab_abbas_garmeh</t>
  </si>
  <si>
    <t>خانه هنر مصباح</t>
  </si>
  <si>
    <t>https://www.instagram.com/mesbaah_art/</t>
  </si>
  <si>
    <t>https://eitaa.com/ansaralmahdi_bojnord</t>
  </si>
  <si>
    <t>خالدآباد</t>
  </si>
  <si>
    <t>https://eitaa.com/hosseineyehkhaledabad</t>
  </si>
  <si>
    <t>یا فاطمه الزهرا سلام الله علیها</t>
  </si>
  <si>
    <t>مدینة النبی</t>
  </si>
  <si>
    <t>فارس</t>
  </si>
  <si>
    <t>شیراز</t>
  </si>
  <si>
    <t>چهارراه هوابرد، خیابان شهید اسلامی</t>
  </si>
  <si>
    <t>https://www.instagram.com/madinealnabi__vkh/</t>
  </si>
  <si>
    <t>https://eitaa.com/madinealnabi_vkh</t>
  </si>
  <si>
    <t>بیت الزهرا (س) (روضه خانگی)</t>
  </si>
  <si>
    <t>قیر</t>
  </si>
  <si>
    <t>https://eitaa.com/beytozzahra77</t>
  </si>
  <si>
    <t>منتظران مهدی موعود (عج)</t>
  </si>
  <si>
    <t>کوار</t>
  </si>
  <si>
    <t>https://eitaa.com/montazaran_313m</t>
  </si>
  <si>
    <t>https://eitaa.com/shohaday_gomnam_kavar</t>
  </si>
  <si>
    <t>نوگلان حسینی</t>
  </si>
  <si>
    <t>لارستان</t>
  </si>
  <si>
    <t>https://www.instagram.com/heyat_nogolan_hosseini/#</t>
  </si>
  <si>
    <t xml:space="preserve">محمد رسول الله (ص) </t>
  </si>
  <si>
    <t>https://www.instagram.com/heiat_mohammad_rasoul_allah/#</t>
  </si>
  <si>
    <t>میثاق با شهدا (نوجوان)</t>
  </si>
  <si>
    <t>داراب</t>
  </si>
  <si>
    <t>http://instagram.com/misaq_ba_shohada</t>
  </si>
  <si>
    <t>https://eitaa.com/misaq_ba_shohada</t>
  </si>
  <si>
    <t>مرودشت</t>
  </si>
  <si>
    <t>https://www.instagram.com/rowzatoshohada/#</t>
  </si>
  <si>
    <t>https://eitaa.com/rowzatoshohada</t>
  </si>
  <si>
    <t>https://www.instagram.com/razmandegan313/#</t>
  </si>
  <si>
    <t>https://eitaa.com/razmandeganboard</t>
  </si>
  <si>
    <t>هیات رزمندگان اسلام اقلید</t>
  </si>
  <si>
    <t>اقلید</t>
  </si>
  <si>
    <t>https://www.instagram.com/khademin14.ir</t>
  </si>
  <si>
    <t>هیات عشاق الحسین (ع)شیراز</t>
  </si>
  <si>
    <t xml:space="preserve">شیراز </t>
  </si>
  <si>
    <t>https://www.instagram.com/_oshagh_alhosein</t>
  </si>
  <si>
    <t>عاشقان سالارشهیدان</t>
  </si>
  <si>
    <t>https://www.instagram.com/salarshahidan8</t>
  </si>
  <si>
    <t>https://www.instagram.com/hpaa.ir</t>
  </si>
  <si>
    <t>مرکز فرهنگی مدینه النبی (ص)</t>
  </si>
  <si>
    <t>https://www.instagram.com/madinealnabi_ir</t>
  </si>
  <si>
    <t xml:space="preserve">شیراز خیابان لطفعلی خان زند جنب مسجد نصیرالملک
</t>
  </si>
  <si>
    <t>https://www.instagram.com/karbalaeeha_shiraz</t>
  </si>
  <si>
    <t>جان نثاران حسینی</t>
  </si>
  <si>
    <t xml:space="preserve">هيئت جان نثاران امام حسين(عليه السلام)-شيراز،فرهنگشهر،كوچه٣٣،مسجدالقدس،(به كانال تلگرامي ما بپيونديد)
</t>
  </si>
  <si>
    <t>https://www.instagram.com/jannesaranhossein</t>
  </si>
  <si>
    <t>استهبان</t>
  </si>
  <si>
    <t>https://www.instagram.com/h.panar.ir</t>
  </si>
  <si>
    <t>فاطمیون (دانشکده شهید باهنر)</t>
  </si>
  <si>
    <t xml:space="preserve">داراب </t>
  </si>
  <si>
    <t>https://www.instagram.com/fatemiyon_drb</t>
  </si>
  <si>
    <t>https://www.instagram.com/zainabiun.lar</t>
  </si>
  <si>
    <t>شهرک مهدی آباد حرم مطهر امامزاده سید صادق (ع)</t>
  </si>
  <si>
    <t>https://www.instagram.com/moheban_al_mahdi_shiraz_313</t>
  </si>
  <si>
    <t>محبان ثارالله(ع)</t>
  </si>
  <si>
    <t>https://www.instagram.com/sarallahshiraz</t>
  </si>
  <si>
    <t>خیابان‌استاد‌شهریار
پردیس هنر و اندیشه ره آوین(فرهنگسرای رسانه</t>
  </si>
  <si>
    <t>https://www.instagram.com/lesaratshiraz</t>
  </si>
  <si>
    <t>میدان احمدی . مسجد خاتم الانبیاء (ص)</t>
  </si>
  <si>
    <t>https://www.instagram.com/mesbaholhoda_shiraz.</t>
  </si>
  <si>
    <t>محبان شهدا</t>
  </si>
  <si>
    <t xml:space="preserve">فیروز اباد </t>
  </si>
  <si>
    <t>https://www.instagram.com/mohebane_shohada_ir</t>
  </si>
  <si>
    <t xml:space="preserve">چهارراه تحویلی💥 انتهای 20متری لاله، مهدیه شهدا
</t>
  </si>
  <si>
    <t>https://www.instagram.com/oshagh.olheydar</t>
  </si>
  <si>
    <t xml:space="preserve">فسا </t>
  </si>
  <si>
    <t>https://www.instagram.com/heyate_shohadaye_gomnam</t>
  </si>
  <si>
    <t>محبان ابوالفضل(ع)</t>
  </si>
  <si>
    <t>دراب</t>
  </si>
  <si>
    <t>https://www.instagram.com/mohebanabolfazl.1</t>
  </si>
  <si>
    <t>محبین اهل بیت(ع) (دانشجویان دانشگاه‌های شیراز و علوم پزشکی)</t>
  </si>
  <si>
    <t>https://www.instagram.com/heiatsu_ir</t>
  </si>
  <si>
    <t>کانون فرهنگی رهپویان وصال</t>
  </si>
  <si>
    <t>کازرون</t>
  </si>
  <si>
    <t>https://www.instagram.com/rahpouyan_vesal</t>
  </si>
  <si>
    <t>https://www.instagram.com/hosseinieh_hazrat_abolfazl</t>
  </si>
  <si>
    <t>مسجد امام حسین(ع)جنب گلزار شهدا</t>
  </si>
  <si>
    <t>https://www.instagram.com/eshlow.ir</t>
  </si>
  <si>
    <t>عاشقان ولایت (سپاه ناحیه)</t>
  </si>
  <si>
    <t>https://www.instagram.com/asheghane_velayat_es/</t>
  </si>
  <si>
    <t xml:space="preserve">شیراز  </t>
  </si>
  <si>
    <t>https://www.instagram.com/oshagh_alroghayeh_shiraz</t>
  </si>
  <si>
    <t>اباده</t>
  </si>
  <si>
    <t>https://www.instagram.com/maktabolhossein</t>
  </si>
  <si>
    <t>جهرم</t>
  </si>
  <si>
    <t xml:space="preserve">یابان حرم تا حرم ابتدای خیابان علمدار ڪربلا
حسینیه حضرت اباالفضل العباس ع
</t>
  </si>
  <si>
    <t>https://www.instagram.com/h.abasaleh.almahdi</t>
  </si>
  <si>
    <t>https://www.instagram.com/maktabozahra.jahrom</t>
  </si>
  <si>
    <t>https://www.instagram.com/pahlooshekaste</t>
  </si>
  <si>
    <t xml:space="preserve"> بلوار امام خمینی کوچه ۵۵ - حسینیه‌ی حضرت امیرالمومنین(ع</t>
  </si>
  <si>
    <t>https://www.instagram.com/solale.info</t>
  </si>
  <si>
    <t>عاشقان علمدار کربلا(ع)</t>
  </si>
  <si>
    <t>https://www.instagram.com/alamdarkarbala133</t>
  </si>
  <si>
    <t>https://www.instagram.com/ansaralhosein.jahrom</t>
  </si>
  <si>
    <t>https://www.instagram.com/majar_media/</t>
  </si>
  <si>
    <t>https://www.instagram.com/jums_fatemion</t>
  </si>
  <si>
    <t>خادمین حضرت زینب(س)</t>
  </si>
  <si>
    <t>https://www.instagram.com/fadaeeianzeynab</t>
  </si>
  <si>
    <t xml:space="preserve">خاوران </t>
  </si>
  <si>
    <t>https://www.instagram.com/montazeran11.11</t>
  </si>
  <si>
    <t>رزمندگان اسلام داراب</t>
  </si>
  <si>
    <t>https://www.instagram.com/razmandegandarab.ir</t>
  </si>
  <si>
    <t>https://www.instagram.com/zarghan_almahdi</t>
  </si>
  <si>
    <t>مهد و دبستان شاکرین</t>
  </si>
  <si>
    <t>https://www.instagram.com/shakerin.ir</t>
  </si>
  <si>
    <t>انصارالائمه(ع) (دانش آموزی)</t>
  </si>
  <si>
    <t>https://www.instagram.com/heyateansar_shiraz/</t>
  </si>
  <si>
    <t>https://www.instagram.com/oshagh_zahra_shiraz1</t>
  </si>
  <si>
    <t>https://www.instagram.com/heyat_ansaral_mahdi</t>
  </si>
  <si>
    <t>https://www.instagram.com/heiat_asheghan_karbala_gouyom/</t>
  </si>
  <si>
    <t>کانون غیر انتفاعی پیام(مدرسه پیام)</t>
  </si>
  <si>
    <t>https://www.instagram.com/payamedu</t>
  </si>
  <si>
    <t>https://www.instagram.com/heyat_rahrovan_shohada</t>
  </si>
  <si>
    <t>کانون فرهنگی مذهبی کمیل</t>
  </si>
  <si>
    <t>https://www.instagram.com/javanan_komeyl_shiraz</t>
  </si>
  <si>
    <t>محبین حضرت علی اصغر(ع)</t>
  </si>
  <si>
    <t>https://www.instagram.com/mohebin_aliasghar_shiraz/</t>
  </si>
  <si>
    <t>https://www.instagram.com/Heyat_EmamHasan1/</t>
  </si>
  <si>
    <t>کانون فرهنگی رهپویان وصال (برادران)</t>
  </si>
  <si>
    <t>دخترانه های پاک</t>
  </si>
  <si>
    <t>https://www.instagram.com/dokhtarane_haye_pak</t>
  </si>
  <si>
    <t>https://www.instagram.com/asheghanebainolharamainshiraaz/</t>
  </si>
  <si>
    <t>https://www.instagram.com/aliebnmousalrezashiraz</t>
  </si>
  <si>
    <t>https://www.instagram.com/heyat_emamreza_shiraz</t>
  </si>
  <si>
    <t>مسجد جامع خاتم الانبیا(ص)</t>
  </si>
  <si>
    <t>https://www.instagram.com/masjed__khatamolanbyia/</t>
  </si>
  <si>
    <t>جمعیت دلدادگان حضرت علی اکبر(ع)</t>
  </si>
  <si>
    <t>https://www.instagram.com/holyaliakbar/</t>
  </si>
  <si>
    <t>https://www.instagram.com/eyvanekarbala</t>
  </si>
  <si>
    <t>متوسلین به حضرت ابوالفضل(ع)</t>
  </si>
  <si>
    <t>https://www.instagram.com/motevaselin_hazratabbas</t>
  </si>
  <si>
    <t>محفل ماتمکده حضرت رقیه (س)</t>
  </si>
  <si>
    <t>https://www.instagram.com/hagh_mola</t>
  </si>
  <si>
    <t>https://www.instagram.com/moeez_info</t>
  </si>
  <si>
    <t>زوارالعباس(ع)</t>
  </si>
  <si>
    <t>https://www.instagram.com/zovarolabbas_shiraz</t>
  </si>
  <si>
    <t>مسجد امام علی(ع)</t>
  </si>
  <si>
    <t>https://www.instagram.com/masjede.ali/</t>
  </si>
  <si>
    <t>https://www.instagram.com/heiatmontazer/</t>
  </si>
  <si>
    <t>محفل الشهدا</t>
  </si>
  <si>
    <t>https://www.instagram.com/mahfeleshohada/</t>
  </si>
  <si>
    <t>عاشقان اهل ‌بیت (ع)</t>
  </si>
  <si>
    <t>https://www.instagram.com/heyat_asheghan_ahlebeyt/</t>
  </si>
  <si>
    <t>عاشقان ثارالله(ع) (مسجد زید)</t>
  </si>
  <si>
    <t>https://www.instagram.com/asheghan.saarallah/</t>
  </si>
  <si>
    <t>https://www.instagram.com/fatemioon_kazeroon/</t>
  </si>
  <si>
    <t>https://www.instagram.com/khorshide.hashtom/</t>
  </si>
  <si>
    <t>گراش</t>
  </si>
  <si>
    <t>https://www.instagram.com/beinolharamein_gerash1393/</t>
  </si>
  <si>
    <t>https://www.instagram.com/aleyasinz</t>
  </si>
  <si>
    <t>https://www.instagram.com/heiatozzahra.shiraz</t>
  </si>
  <si>
    <t>هیات کودکانه پسرانه فتاح</t>
  </si>
  <si>
    <t>https://www.instagram.com/koodakane.fatah</t>
  </si>
  <si>
    <t>هیات الرضا دانشگاه علوم پزشکی شیراز</t>
  </si>
  <si>
    <t>https://www.instagram.com/heiat_alreza</t>
  </si>
  <si>
    <t>هیات العباسی</t>
  </si>
  <si>
    <t>https://www.instagram.com/heyat.alabbasieh</t>
  </si>
  <si>
    <t>https://www.instagram.com/chahardahmasom_org</t>
  </si>
  <si>
    <t>محبین المهدی (عج)</t>
  </si>
  <si>
    <t>https://www.instagram.com/mohebbinlar</t>
  </si>
  <si>
    <t>خادم العباس (ع)</t>
  </si>
  <si>
    <t xml:space="preserve">نی ریز </t>
  </si>
  <si>
    <t>https://www.instagram.com/khademin133</t>
  </si>
  <si>
    <t>لامرد</t>
  </si>
  <si>
    <t>https://eitaa.com/heyat_razmandegan_lamerd</t>
  </si>
  <si>
    <t>ابوفاضل بیت العباس(ع)</t>
  </si>
  <si>
    <t>https://www.instagram.com/hoseinieh_beitolabbas_lamerd</t>
  </si>
  <si>
    <t>زرقان</t>
  </si>
  <si>
    <t>https://www.instagram.com/aleyasinz/</t>
  </si>
  <si>
    <t>https://www.instagram.com/gbh313/</t>
  </si>
  <si>
    <t>مصباح الهدایه</t>
  </si>
  <si>
    <t>https://www.instagram.com/mesbaholhoda_shiraz</t>
  </si>
  <si>
    <t>محبین جوادالائمه (ع)</t>
  </si>
  <si>
    <t>https://www.instagram.com/mohebbin_javad_ol_aemeh</t>
  </si>
  <si>
    <t>عشاق الرضا(ع)</t>
  </si>
  <si>
    <t>https://www.instagram.com/oshaghorezashiraz</t>
  </si>
  <si>
    <t>چایخانه ام البنین (س)</t>
  </si>
  <si>
    <t>https://www.instagram.com/chaykhaneh_omalbanin</t>
  </si>
  <si>
    <t>موسی بن جعفر روستای فتح آباد</t>
  </si>
  <si>
    <t>https://www.instagram.com/heyat_musabnejafar_fatehabad</t>
  </si>
  <si>
    <t>نی ریز</t>
  </si>
  <si>
    <t>https://www.instagram.com/sajedin.neyriz</t>
  </si>
  <si>
    <t>https://www.instagram.com/h.r.eslam_neyriz/</t>
  </si>
  <si>
    <t>https://www.instagram.com/heiatolabbas_firoozabbad</t>
  </si>
  <si>
    <t>https://www.instagram.com/saheb_alzaman_shiraz</t>
  </si>
  <si>
    <t>هیات الرضا (ع) (محفل امت حزب الله و رهروان شهدا)</t>
  </si>
  <si>
    <t>https://www.instagram.com/heyatorezaneyriz/</t>
  </si>
  <si>
    <t>محبین الحسین (س)</t>
  </si>
  <si>
    <t>https://www.instagram.com/moheban_hosein_shz</t>
  </si>
  <si>
    <t>https://www.instagram.com/safiran_zeynab95</t>
  </si>
  <si>
    <t>فاطمیون / مظلومه ی بقیع(مادر گمنام)</t>
  </si>
  <si>
    <t>https://eitaa.com/fatemiyounlamerd</t>
  </si>
  <si>
    <t xml:space="preserve">خرامه </t>
  </si>
  <si>
    <t>https://www.instagram.com/shohada313gomnam</t>
  </si>
  <si>
    <t>https://www.instagram.com/moheban.hazrat.zeynab</t>
  </si>
  <si>
    <t>https://www.instagram.com/mzohoor_ir/</t>
  </si>
  <si>
    <t>قادراباد</t>
  </si>
  <si>
    <t>https://www.instagram.com/tazieh.qaderabad</t>
  </si>
  <si>
    <t>https://www.instagram.com/bab.alhavaej.marvdasht</t>
  </si>
  <si>
    <t>متوسلین به حضرت زهرا(س) (شعبه3 امامزاده بی بی فاطمه)</t>
  </si>
  <si>
    <t>https://www.instagram.com/fatemiyeh_com/</t>
  </si>
  <si>
    <t>متوسلین به حضرت ام البنین (س) (بانوان)</t>
  </si>
  <si>
    <t>https://www.instagram.com/heiatomolbanin_faz2/</t>
  </si>
  <si>
    <t>خادم العباس(ع)</t>
  </si>
  <si>
    <t>https://www.instagram.com/khademin133/</t>
  </si>
  <si>
    <t>مسجد امام علی بن ابیطالب اشکنان</t>
  </si>
  <si>
    <t xml:space="preserve">اشکنان </t>
  </si>
  <si>
    <t>https://www.instagram.com/masjedemamali_ashkanan</t>
  </si>
  <si>
    <t>آباده</t>
  </si>
  <si>
    <t>https://www.instagram.com/sayedalshohadaa128/</t>
  </si>
  <si>
    <t>کارزین</t>
  </si>
  <si>
    <t>https://www.instagram.com/h.fatemiyon</t>
  </si>
  <si>
    <t>https://www.instagram.com/maktab_a_zahra/</t>
  </si>
  <si>
    <t>منتظران ظهور منجی</t>
  </si>
  <si>
    <t>https://www.instagram.com/m_z_shiraz</t>
  </si>
  <si>
    <t>الثارات الحسین(ع)</t>
  </si>
  <si>
    <t>https://www.instagram.com/lesaratshiraz/</t>
  </si>
  <si>
    <t>https://www.instagram.com/khademo_reza9/</t>
  </si>
  <si>
    <t>https://www.instagram.com/_rozeh_shohada/</t>
  </si>
  <si>
    <t>https://www.instagram.com/fatemyion</t>
  </si>
  <si>
    <t>https://www.instagram.com/heyatalhossein</t>
  </si>
  <si>
    <t>مسجد الزهرا(س)</t>
  </si>
  <si>
    <t>https://www.instagram.com/tekye.f.zahra/</t>
  </si>
  <si>
    <t>https://www.instagram.com/_oshagh_alhosein/</t>
  </si>
  <si>
    <t>حضرت علی اصغر(ع) (شهرک والفجر) _ مجمع اسلامی محبین اهل بیت (ع)</t>
  </si>
  <si>
    <t>https://eitaa.com/majmashiraz313/?</t>
  </si>
  <si>
    <t>https://www.instagram.com/heiatorezashiraz</t>
  </si>
  <si>
    <t>جنت الحسین (ع) (مسجد محمدی)</t>
  </si>
  <si>
    <t>https://www.instagram.com/heiat_janat_alhossein/</t>
  </si>
  <si>
    <t>https://www.instagram.com/beyt_alzahra_shiraz/</t>
  </si>
  <si>
    <t>خدام الحسین(ع)</t>
  </si>
  <si>
    <t xml:space="preserve">فیروزاباد </t>
  </si>
  <si>
    <t>https://www.instagram.com/masjed_hazratzinab.s</t>
  </si>
  <si>
    <t>عقیله العرب (س) (عقیله کربلا)</t>
  </si>
  <si>
    <t>https://www.instagram.com/heyat_aghilatolarab1</t>
  </si>
  <si>
    <t>نوجوانان قاسم بن الحسن (ع)</t>
  </si>
  <si>
    <t xml:space="preserve">اقلید </t>
  </si>
  <si>
    <t>https://www.instagram.com/ghasemibnalhasan1388</t>
  </si>
  <si>
    <t>علمدار کربلا(ع)</t>
  </si>
  <si>
    <t>https://www.instagram.com/alamdarkarbala43390</t>
  </si>
  <si>
    <t>صفاشهر</t>
  </si>
  <si>
    <t>https://www.instagram.com/ghamar.bani.hashem_</t>
  </si>
  <si>
    <t>مسجد امام صادق(ع)</t>
  </si>
  <si>
    <t>https://www.instagram.com/masjed_sadegh/</t>
  </si>
  <si>
    <t>https://www.instagram.com/hiaat_abalfazl_abas</t>
  </si>
  <si>
    <t>فدائیان ابوالفضل (ع)</t>
  </si>
  <si>
    <t>https://www.instagram.com/fadaeeyane_abalfazl/</t>
  </si>
  <si>
    <t>حسین جان (ع) / مدینه النبی (ص)</t>
  </si>
  <si>
    <t>کف العباس (حسینیه ولی عصر(عج)</t>
  </si>
  <si>
    <t>https://www.instagram.com/kaffolabbas1/</t>
  </si>
  <si>
    <t>فدائیان المهدی (عج)</t>
  </si>
  <si>
    <t>https://www.instagram.com/almahdi_shiraz/</t>
  </si>
  <si>
    <t>https://www.instagram.com/aliasgharshiraz.h</t>
  </si>
  <si>
    <t>https://www.instagram.com/maktabshiraz1388/</t>
  </si>
  <si>
    <t>https://www.instagram.com/mohebbine_ale_taha_shiraz</t>
  </si>
  <si>
    <t>جان نثاران ابوالفضل(ع)</t>
  </si>
  <si>
    <t>https://www.instagram.com/jannesaran_133/</t>
  </si>
  <si>
    <t>https://www.instagram.com/heyat.hazrat.ali.akbar</t>
  </si>
  <si>
    <t>https://www.instagram.com/mohebin_azahra</t>
  </si>
  <si>
    <t>مجمع مداحین یاسین / مرکز فرهنگی مذهبی یاسین</t>
  </si>
  <si>
    <t>https://www.instagram.com/yasininfo/</t>
  </si>
  <si>
    <t>کانون فرهنگی فدائیان حضرت مهدی (عج)</t>
  </si>
  <si>
    <t>https://www.instagram.com/kanoon_fadaeian</t>
  </si>
  <si>
    <t>انقلابی شهدای گمنام</t>
  </si>
  <si>
    <t>https://www.instagram.com/torbat_page/</t>
  </si>
  <si>
    <t>رایه المهدی (عج) (حسینیه آقاکاظمی)</t>
  </si>
  <si>
    <t>لار</t>
  </si>
  <si>
    <t>https://www.instagram.com/rayatolmahdi</t>
  </si>
  <si>
    <t>منتظران وصل</t>
  </si>
  <si>
    <t>https://www.instagram.com/vasl313_/</t>
  </si>
  <si>
    <t>https://www.instagram.com/ansarevelayat.safashahr/</t>
  </si>
  <si>
    <t>https://www.instagram.com/heate_zenabeyon_lamerd/</t>
  </si>
  <si>
    <t>گروه جهادی حلما</t>
  </si>
  <si>
    <t>https://www.instagram.com/helma_group_/</t>
  </si>
  <si>
    <t>شهدای گمنام (خواهران)</t>
  </si>
  <si>
    <t>https://www.instagram.com/ravayat.gomnami/</t>
  </si>
  <si>
    <t>مسجد ابوالفضل(ع)</t>
  </si>
  <si>
    <t>https://www.instagram.com/masjed.abolfazl.kolbeh</t>
  </si>
  <si>
    <t>قرارگاه فرهنگی رضوان</t>
  </si>
  <si>
    <t>ارسنجان</t>
  </si>
  <si>
    <t>https://www.instagram.com/rezwan_ir</t>
  </si>
  <si>
    <t>آستان شاهزاده قاسم(ع)</t>
  </si>
  <si>
    <t>فسا</t>
  </si>
  <si>
    <t>https://www.instagram.com/haram_shahzadeghasem</t>
  </si>
  <si>
    <t>https://www.instagram.com/h_r_z_fa/</t>
  </si>
  <si>
    <t>منتظران ظهور (بسیج دانش آموزی)</t>
  </si>
  <si>
    <t>https://www.instagram.com/mzohoor.ir/</t>
  </si>
  <si>
    <t>فاطمیون روستای مظفری</t>
  </si>
  <si>
    <t>https://www.instagram.com/heyat_fatemion_mozafari/</t>
  </si>
  <si>
    <t>https://www.instagram.com/razmandegan_ars</t>
  </si>
  <si>
    <t>ثارالله (ع) (خواهران)</t>
  </si>
  <si>
    <t>https://www.instagram.com/sarallah_shiraz</t>
  </si>
  <si>
    <t>کافه الشهدا</t>
  </si>
  <si>
    <t>https://www.instagram.com/cafe.shohada</t>
  </si>
  <si>
    <t>https://www.instagram.com/m_z_shiraz/</t>
  </si>
  <si>
    <t>محبین حضرت رقیه (س)</t>
  </si>
  <si>
    <t>https://www.instagram.com/mohebin_315</t>
  </si>
  <si>
    <t>فرهنگی مذهبی بکاء الحسین (ع)</t>
  </si>
  <si>
    <t>https://www.instagram.com/bokaalhosein/</t>
  </si>
  <si>
    <t>کانون فرهنگی سیدالشهدا شیراز</t>
  </si>
  <si>
    <t>https://www.instagram.com/kanonnfarhangi_cilip</t>
  </si>
  <si>
    <t>https://www.instagram.com/_m_h1394/</t>
  </si>
  <si>
    <t>https://www.instagram.com/fatemiyoun_firoozabad/</t>
  </si>
  <si>
    <t>مجتمع فرهنگی محبان الشهدا</t>
  </si>
  <si>
    <t>فیروزآباد</t>
  </si>
  <si>
    <t>https://www.instagram.com/mohebbaneshohada/</t>
  </si>
  <si>
    <t>رزمندگان(جوانان عاشورایی)</t>
  </si>
  <si>
    <t>https://www.instagram.com/moheban_mahdi_darab</t>
  </si>
  <si>
    <t>گروه فرهنگی تربیتی جهادی فاطمیون</t>
  </si>
  <si>
    <t>https://www.instagram.com/fatemiyounlamerd/</t>
  </si>
  <si>
    <t>https://www.instagram.com/fatemiyon_drb/</t>
  </si>
  <si>
    <t>https://eitaa.com/mokebAnsaralHussein1212</t>
  </si>
  <si>
    <t>https://www.instagram.com/chahardahmasom_org/</t>
  </si>
  <si>
    <t>حضرت سیدالساجدین (ع) شهر سیدان</t>
  </si>
  <si>
    <t>https://www.instagram.com/seyyedanmokeb/</t>
  </si>
  <si>
    <t>جمعیت اتحاد حسینی</t>
  </si>
  <si>
    <t>https://www.instagram.com/jehsh.ir</t>
  </si>
  <si>
    <t>https://www.instagram.com/javadiun_ir/</t>
  </si>
  <si>
    <t>شهدای گمنام (هیات جهادی)</t>
  </si>
  <si>
    <t>https://www.instagram.com/mohebban_ahlebeit_shiraz/</t>
  </si>
  <si>
    <t>https://www.instagram.com/heiat_hobolhossein_shiraz</t>
  </si>
  <si>
    <t>https://www.instagram.com/heyat_maktababbas/</t>
  </si>
  <si>
    <t>مدرسه تربیتی پسرانه رایه الهدی</t>
  </si>
  <si>
    <t>https://www.instagram.com/heiat_rayatolhoda_fasa/</t>
  </si>
  <si>
    <t>تشنگان شهادت</t>
  </si>
  <si>
    <t>https://www.instagram.com/teshnegan_e_shahadat/</t>
  </si>
  <si>
    <t>بدون شهر</t>
  </si>
  <si>
    <t>هیات متحده فدائیان اباالفضل (ع)</t>
  </si>
  <si>
    <t>مسجد بلال</t>
  </si>
  <si>
    <t>https://www.instagram.com/belal.enghlab</t>
  </si>
  <si>
    <t>فدائیان ابوالفضل(ع)</t>
  </si>
  <si>
    <t>سروستان</t>
  </si>
  <si>
    <t>https://www.instagram.com/heiatefadaeeaneabalfazl/</t>
  </si>
  <si>
    <t>صراط الشهدا</t>
  </si>
  <si>
    <t>https://www.instagram.com/fater_ir/</t>
  </si>
  <si>
    <t>https://www.instagram.com/masjed_abolfazl_ghir/</t>
  </si>
  <si>
    <t>مسجد عظیمی</t>
  </si>
  <si>
    <t>https://www.instagram.com/azimimosque/</t>
  </si>
  <si>
    <t>مسجد امام زمان(عج)</t>
  </si>
  <si>
    <t>https://www.instagram.com/masjed_emamzaman_abadeh</t>
  </si>
  <si>
    <t>https://www.instagram.com/heatabolfazl</t>
  </si>
  <si>
    <t>دانش آموز فاطمیون</t>
  </si>
  <si>
    <t>اشکنان</t>
  </si>
  <si>
    <t>https://www.instagram.com/heyat__fatemioon/</t>
  </si>
  <si>
    <t>میعاد امام رضا (ع)</t>
  </si>
  <si>
    <t>https://www.instagram.com/miadimamreza</t>
  </si>
  <si>
    <t>https://www.instagram.com/rozatolshohada.ir/</t>
  </si>
  <si>
    <t>علمداران ظهور</t>
  </si>
  <si>
    <t>جنت شهر</t>
  </si>
  <si>
    <t>https://www.instagram.com/alamdaran_zohor</t>
  </si>
  <si>
    <t>خاکریز فرهنگی شیراز</t>
  </si>
  <si>
    <t>https://www.instagram.com/khakriz_shiraz</t>
  </si>
  <si>
    <t>خدام الزهرا</t>
  </si>
  <si>
    <t>https://www.instagram.com/khodam_alzahra_shiraz/</t>
  </si>
  <si>
    <t>کانون فرهنگی تبلیغی معیار</t>
  </si>
  <si>
    <t>https://www.instagram.com/Kanoon_meyar/</t>
  </si>
  <si>
    <t>عاشقان اهل بیت ع</t>
  </si>
  <si>
    <t>https://www.instagram.com/asheghan.ahlebayt/</t>
  </si>
  <si>
    <t>پایگاه مقاومت حضرت رقیه (س)</t>
  </si>
  <si>
    <t>https://www.instagram.com/p_hazrat_roghayeh_ashkanan1/</t>
  </si>
  <si>
    <t>مهدا | شبکه فعالان هیأت و کودک</t>
  </si>
  <si>
    <t>https://eitaa.com/heyatkoodak</t>
  </si>
  <si>
    <t>هیأت کودکانه</t>
  </si>
  <si>
    <t>هیئت کودکانه فتاح شیراز</t>
  </si>
  <si>
    <t>https://eitaa.com/koodakanefatah</t>
  </si>
  <si>
    <t>https://eitaa.com/mokeb_khadem</t>
  </si>
  <si>
    <t>هیئت دخترانه های پاک شیراز</t>
  </si>
  <si>
    <t xml:space="preserve">فارس </t>
  </si>
  <si>
    <t>https://eitaa.com/dokhtaranehayepak</t>
  </si>
  <si>
    <t>روضه العباس فسا</t>
  </si>
  <si>
    <t>https://eitaa.com/rouzeh133</t>
  </si>
  <si>
    <t>مصباح الهدی شیراز</t>
  </si>
  <si>
    <t>https://eitaa.com/mesbaholhodashiraz</t>
  </si>
  <si>
    <t>https://t.me/heiatsu_ir</t>
  </si>
  <si>
    <t>https://eitaa.com/heiatsuir</t>
  </si>
  <si>
    <t xml:space="preserve">یاران مهدی </t>
  </si>
  <si>
    <t>https://eitaa.com/mokeb_yaranmahdi</t>
  </si>
  <si>
    <t>خدام الرضا (ع) آباده</t>
  </si>
  <si>
    <t>https://eitaa.com/khoddamrezaabadeh</t>
  </si>
  <si>
    <t>مدینه النبی</t>
  </si>
  <si>
    <t>https://eitaa.com/madinealnabi_ir</t>
  </si>
  <si>
    <t>ارجمان</t>
  </si>
  <si>
    <t>https://eitaa.com/hosseiniehorjaman</t>
  </si>
  <si>
    <t>مردمی غدیر نی ریز</t>
  </si>
  <si>
    <t>https://eitaa.com/moukebghadir_neyriz</t>
  </si>
  <si>
    <t>زنجان</t>
  </si>
  <si>
    <t>ابهر</t>
  </si>
  <si>
    <t>https://www.instagram.com/heiaat_mohebbin_shenat/</t>
  </si>
  <si>
    <t>https://t.me/heiaat_mohebbin_shenat/</t>
  </si>
  <si>
    <t>https://eitaa.com/heiaat_mohebbin</t>
  </si>
  <si>
    <t>سائلین/فدائیان حضرت الزهرا (س)</t>
  </si>
  <si>
    <t>https://eitaa.com/saelinalzahra_abhar</t>
  </si>
  <si>
    <t>https://eitaa.com/fadaeiyan_abhar</t>
  </si>
  <si>
    <t>https://eitaa.com/hsg_abhar</t>
  </si>
  <si>
    <t>https://www.instagram.com/zanjir_zanan_hoseini/</t>
  </si>
  <si>
    <t>محبین الزهرا (س) _ فاطمیه</t>
  </si>
  <si>
    <t>https://www.instagram.com/mohebin.fatemezahra.abhar/</t>
  </si>
  <si>
    <r>
      <rPr>
        <rFont val="-apple-system, BlinkMacSystemFont, &quot;Segoe UI&quot;, Roboto, Helvetica, Arial, sans-serif"/>
        <color rgb="FF1155CC"/>
        <sz val="11.0"/>
        <u/>
      </rPr>
      <t>t.me/mohebinfatemeabhar</t>
    </r>
  </si>
  <si>
    <t>https://www.instagram.com/abasiyehabhar/</t>
  </si>
  <si>
    <t>مسجد رسول الله (ص)</t>
  </si>
  <si>
    <t>خرمدره</t>
  </si>
  <si>
    <t>https://www.instagram.com/masjed_rasulullah/</t>
  </si>
  <si>
    <t>https://www.instagram.com/maktabosadq/</t>
  </si>
  <si>
    <t>https://t.me/maktabosadq</t>
  </si>
  <si>
    <t>https://eitaa.com/maktabosadq</t>
  </si>
  <si>
    <t>شیفتگان مولا علی(ع)</t>
  </si>
  <si>
    <t>https://www.instagram.com/shifteghan_ali_znj/</t>
  </si>
  <si>
    <t>https://www.instagram.com/heyat_ashegan_hazrate_aliakbar/</t>
  </si>
  <si>
    <t>ثارالله (ع) (رهروان امام و شهدا)</t>
  </si>
  <si>
    <t>https://www.instagram.com/sarallahzanjan</t>
  </si>
  <si>
    <t>t.me/sarallah_zanjan</t>
  </si>
  <si>
    <t>https://eitaa.com/sarallah_zanjan</t>
  </si>
  <si>
    <t>حسینیه حضرت علی اصغر (ع)</t>
  </si>
  <si>
    <t>https://www.instagram.com/heyat_aliasghar_zanjan/</t>
  </si>
  <si>
    <r>
      <rPr>
        <rFont val="-apple-system, BlinkMacSystemFont, &quot;Segoe UI&quot;, Roboto, Helvetica, Arial, sans-serif"/>
        <color rgb="FF1155CC"/>
        <sz val="11.0"/>
        <u/>
      </rPr>
      <t>t.me/heyat_aliasghar_zanjan</t>
    </r>
  </si>
  <si>
    <t>دانشجویی مکتب الزهرا (س)</t>
  </si>
  <si>
    <t>https://eitaa.com/znu_maktab</t>
  </si>
  <si>
    <t>eitaa.com/mosabnejafarzanjan</t>
  </si>
  <si>
    <t>https://www.instagram.com/ashoraeian_ir/</t>
  </si>
  <si>
    <t>فدائیان حضرت رقیه (س)</t>
  </si>
  <si>
    <t>t.me/zooljanah</t>
  </si>
  <si>
    <t>جان نثاران حضرت زینب (س)</t>
  </si>
  <si>
    <t>https://www.instagram.com/jannesaran.znj/</t>
  </si>
  <si>
    <t>داعیان کمیل</t>
  </si>
  <si>
    <t>https://www.instagram.com/daeyan.komeil/</t>
  </si>
  <si>
    <t>https://eitaa.com/daeyan_komeil</t>
  </si>
  <si>
    <t>منتظران محی المومنین (ع)</t>
  </si>
  <si>
    <t>http://instagram.com/heyat_montazeran_m</t>
  </si>
  <si>
    <t>https://eitaa.com/heyat_montazeran_m</t>
  </si>
  <si>
    <t>https://www.instagram.com/maktabolzahra_zn/</t>
  </si>
  <si>
    <t>https://eitaa.com/maktabolzahra_zn</t>
  </si>
  <si>
    <t>حسینیه اعظم زنجان</t>
  </si>
  <si>
    <t>https://eitaa.com/haz_ir</t>
  </si>
  <si>
    <t>https://www.instagram.com/montazeran.zn/</t>
  </si>
  <si>
    <t>عباسیه</t>
  </si>
  <si>
    <t>https://www.instagram.com/abbasih.zn/</t>
  </si>
  <si>
    <t>https://eitaa.com/g_alabarat</t>
  </si>
  <si>
    <t>مسجد نورالزهرا(س) پونک</t>
  </si>
  <si>
    <t>https://www.instagram.com/noorozahra_info</t>
  </si>
  <si>
    <t>https://t.me/noorozahra_info</t>
  </si>
  <si>
    <t>https://eitaa.com/noorozahra_info/</t>
  </si>
  <si>
    <t>https://www.instagram.com/reyhane_zn_ir/</t>
  </si>
  <si>
    <t>https://t.me/reyhane_zn_ir</t>
  </si>
  <si>
    <t>https://eitaa.com/reyhane_zn_ir</t>
  </si>
  <si>
    <t>مجمع فدائیان حضرت زینب (س)</t>
  </si>
  <si>
    <t>https://eitaa.com/Fadaeian_Zeynab_Gheydar</t>
  </si>
  <si>
    <t>https://www.instagram.com/fatemiun.zanjan/</t>
  </si>
  <si>
    <t>https://eitaa.com/fatemiunzanjan</t>
  </si>
  <si>
    <t>کهف الحسن</t>
  </si>
  <si>
    <t>https://www.instagram.com/kahfalhasan_zn.ir/</t>
  </si>
  <si>
    <r>
      <rPr>
        <rFont val="-apple-system, BlinkMacSystemFont, &quot;Segoe UI&quot;, Roboto, Helvetica, Arial, sans-serif"/>
        <color rgb="FF1155CC"/>
        <sz val="11.0"/>
        <u/>
      </rPr>
      <t>t.me/kahfalhasan</t>
    </r>
  </si>
  <si>
    <t>سیدالساجدین (ع) _ مسجد امام سجاد زیباشهر</t>
  </si>
  <si>
    <t>https://eitaa.com/heyat_zn</t>
  </si>
  <si>
    <t>نورالزهرا</t>
  </si>
  <si>
    <t>https://www.instagram.com/noorolzahra_zn/</t>
  </si>
  <si>
    <r>
      <rPr>
        <rFont val="-apple-system, BlinkMacSystemFont, &quot;Segoe UI&quot;, Roboto, Helvetica, Arial, sans-serif"/>
        <color rgb="FF1155CC"/>
        <sz val="11.0"/>
        <u/>
      </rPr>
      <t>t.me/noorolzahra_zn</t>
    </r>
  </si>
  <si>
    <t>https://www.instagram.com/rahrovanvelaiat/</t>
  </si>
  <si>
    <r>
      <rPr>
        <rFont val="-apple-system, BlinkMacSystemFont, &quot;Segoe UI&quot;, Roboto, Helvetica, Arial, sans-serif"/>
        <color rgb="FF1155CC"/>
        <sz val="11.0"/>
        <u/>
      </rPr>
      <t>tlgrm.me/rahrovanvelaiat_ir</t>
    </r>
  </si>
  <si>
    <t>https://www.instagram.com/heyat_azadaran_hazrat_aliakbar/</t>
  </si>
  <si>
    <t>https://eitaa.com/heyate_khademoshohada</t>
  </si>
  <si>
    <t>https://eitaa.com/h_yalasaratzanjan</t>
  </si>
  <si>
    <t>جنت البقیع ( دانشجویی )</t>
  </si>
  <si>
    <t>https://eitaa.com/jannatolbaqi_azu</t>
  </si>
  <si>
    <t>https://eitaa.com/ashurae</t>
  </si>
  <si>
    <t>https://eitaa.com/razmandegan_zanjan</t>
  </si>
  <si>
    <t>جوانان حسینی (ع)</t>
  </si>
  <si>
    <t>http://instagram.com/javananhoseini_ir</t>
  </si>
  <si>
    <r>
      <rPr>
        <rFont val="-apple-system, BlinkMacSystemFont, &quot;Segoe UI&quot;, Roboto, Helvetica, Arial, sans-serif"/>
        <color rgb="FF1155CC"/>
        <sz val="11.0"/>
        <u/>
      </rPr>
      <t>t.me/JavananHoseini_ir</t>
    </r>
  </si>
  <si>
    <t>https://eitaa.com/JavananHoseini_ir</t>
  </si>
  <si>
    <t>https://www.instagram.com/montazeran_zohur_zanjan/</t>
  </si>
  <si>
    <t>مسجد سقاخانه</t>
  </si>
  <si>
    <t>https://www.instagram.com/alamdarsaggakhanezanjan/</t>
  </si>
  <si>
    <t>https://t.me/alamdarsaggakhanezanjan</t>
  </si>
  <si>
    <t>https://eitaa.com/alamdarsaggakhanezanjan</t>
  </si>
  <si>
    <t>https://www.instagram.com/beyto_zahra_zanjan_1359/</t>
  </si>
  <si>
    <t>هیات الجواد (ع)</t>
  </si>
  <si>
    <t>https://www.instagram.com/heyatoljavad.zanjan/</t>
  </si>
  <si>
    <r>
      <rPr>
        <rFont val="-apple-system, BlinkMacSystemFont, &quot;Segoe UI&quot;, Roboto, Helvetica, Arial, sans-serif"/>
        <color rgb="FF1155CC"/>
        <sz val="11.0"/>
        <u/>
      </rPr>
      <t>t.me/Heyatoljavad_Zanjan</t>
    </r>
  </si>
  <si>
    <t>موکب الزهرا (س)</t>
  </si>
  <si>
    <t>https://www.instagram.com/mokeb_alzahra_znj/</t>
  </si>
  <si>
    <t>https://www.instagram.com/heydarioonzanjan/</t>
  </si>
  <si>
    <t>t.me/heydarioon_zanjan</t>
  </si>
  <si>
    <t>https://www.instagram.com/saheb.azzman/</t>
  </si>
  <si>
    <r>
      <rPr>
        <rFont val="-apple-system, BlinkMacSystemFont, &quot;Segoe UI&quot;, Roboto, Helvetica, Arial, sans-serif"/>
        <color rgb="FF1155CC"/>
        <sz val="11.0"/>
        <u/>
      </rPr>
      <t>t.me/RahpoyaneVesal313</t>
    </r>
  </si>
  <si>
    <t>https://eitaa.com/ImamHadiZn</t>
  </si>
  <si>
    <t>https://www.instagram.com/h.n.roghayeh/</t>
  </si>
  <si>
    <t>هیدج</t>
  </si>
  <si>
    <t>https://www.instagram.com/ansaralhosein_hidaj/</t>
  </si>
  <si>
    <t>https://eitaa.com/mosabnejafarzanjan</t>
  </si>
  <si>
    <t>https://www.instagram.com/maktabolreza_znj/</t>
  </si>
  <si>
    <t>https://www.instagram.com/aliasgharznj1378/</t>
  </si>
  <si>
    <t>https://www.instagram.com/aliakbarsharifabad/</t>
  </si>
  <si>
    <t>https://www.instagram.com/masjed_hazrat_rogaye_zn/</t>
  </si>
  <si>
    <t>امیرالمؤمنین</t>
  </si>
  <si>
    <t>https://www.instagram.com/masjedamiralmomenin313/</t>
  </si>
  <si>
    <t>خدابنده</t>
  </si>
  <si>
    <t>https://www.instagram.com/heyatfatemiyoun/</t>
  </si>
  <si>
    <r>
      <rPr>
        <rFont val="var(--font-family-system)"/>
        <color rgb="FF1155CC"/>
        <u/>
      </rPr>
      <t>t.me/heyate_fatemiyoun</t>
    </r>
  </si>
  <si>
    <t>عاشقان حضرت ابوالفضل (ع)</t>
  </si>
  <si>
    <t>https://t.me/heyaateashegan</t>
  </si>
  <si>
    <t>دلباختگان حسین</t>
  </si>
  <si>
    <t>https://www.instagram.com/delbakhtegane_hosein_zanjan/</t>
  </si>
  <si>
    <r>
      <rPr>
        <rFont val="var(--font-family-system)"/>
        <color rgb="FF1155CC"/>
        <u/>
      </rPr>
      <t>t.me/mohsendadashi</t>
    </r>
  </si>
  <si>
    <t>https://www.instagram.com/heyat._emam_hasan_abhar/</t>
  </si>
  <si>
    <t>https://eitaa.com/heyateemamhasaneabhar</t>
  </si>
  <si>
    <t>یاوران ولایت طلاب شهرستان خدابنده</t>
  </si>
  <si>
    <t xml:space="preserve">                                                                                                                                                                                           </t>
  </si>
  <si>
    <t>https://t.me/yavaranevelayat_qom</t>
  </si>
  <si>
    <t>مجمع اصغریون</t>
  </si>
  <si>
    <t>https://www.instagram.com/asghariyoon.znjan/</t>
  </si>
  <si>
    <t>https://www.instagram.com/heyat.hoseini_zanjan/</t>
  </si>
  <si>
    <t>کفن پوشان</t>
  </si>
  <si>
    <t xml:space="preserve">                            </t>
  </si>
  <si>
    <t>https://t.me/kafanpooshaneabolfazlezanjan</t>
  </si>
  <si>
    <t>امام جواد (ع)</t>
  </si>
  <si>
    <t>https://www.instagram.com/h_emamjavad.zn/</t>
  </si>
  <si>
    <t>https://eitaa.com/bentolhoda_znj</t>
  </si>
  <si>
    <t>https://www.instagram.com/reyhane_nabi98/</t>
  </si>
  <si>
    <t>https://www.instagram.com/mohebanroghayeh/</t>
  </si>
  <si>
    <t>عاشقان اباصالح المهدی (عج)</t>
  </si>
  <si>
    <t>https://www.instagram.com/ashegan_abasaleh_almahdi/</t>
  </si>
  <si>
    <r>
      <rPr>
        <rFont val="-apple-system, BlinkMacSystemFont, &quot;Segoe UI&quot;, Roboto, Helvetica, Arial, sans-serif"/>
        <color rgb="FF1155CC"/>
        <sz val="11.0"/>
        <u/>
      </rPr>
      <t>rubika.ir/ashegan_abasaleh_almahdi</t>
    </r>
  </si>
  <si>
    <t>کانون گلهای بهشتی</t>
  </si>
  <si>
    <t>https://www.instagram.com/kanone.golhaye.beheshti/</t>
  </si>
  <si>
    <t>جامعه القران الکریم و اهل البیت (ع)</t>
  </si>
  <si>
    <t>https://www.instagram.com/jameatolghoraan.zanjan/</t>
  </si>
  <si>
    <t>ام الائمه (ع)</t>
  </si>
  <si>
    <t>https://www.instagram.com/_ommolaeme_zanjan_/</t>
  </si>
  <si>
    <t>https://www.instagram.com/official.haz.ir/</t>
  </si>
  <si>
    <t>https://www.instagram.com/heyat_maktabozeynabdandi1/</t>
  </si>
  <si>
    <t>https://www.instagram.com/montazeranmonji_zanjan/</t>
  </si>
  <si>
    <t>جوانان حضرت ابوالفضل (ع)</t>
  </si>
  <si>
    <t>https://www.instagram.com/heiathazratabolfazl1446/</t>
  </si>
  <si>
    <t>https://www.instagram.com/maktabolzahra_ir/</t>
  </si>
  <si>
    <r>
      <rPr>
        <rFont val="-apple-system, BlinkMacSystemFont, &quot;Segoe UI&quot;, Roboto, Helvetica, Arial, sans-serif"/>
        <color rgb="FF1155CC"/>
        <sz val="11.0"/>
        <u/>
      </rPr>
      <t>t.me/maktabolzahra_ir</t>
    </r>
  </si>
  <si>
    <t xml:space="preserve">دانشجویی </t>
  </si>
  <si>
    <t>دانشگاه زنجان</t>
  </si>
  <si>
    <t>https://www.instagram.com/znu.farhangi/</t>
  </si>
  <si>
    <r>
      <rPr>
        <rFont val="-apple-system, BlinkMacSystemFont, &quot;Segoe UI&quot;, Roboto, Helvetica, Arial, sans-serif"/>
        <color rgb="FF1155CC"/>
        <sz val="11.0"/>
        <u/>
      </rPr>
      <t>eitaa.com/Znu_farhangi</t>
    </r>
  </si>
  <si>
    <t>بیت العباس علمدار کربلا</t>
  </si>
  <si>
    <t>https://t.me/alamdare82</t>
  </si>
  <si>
    <t>خیمه سرای حضرت رقیه (س)</t>
  </si>
  <si>
    <t>https://eitaa.com/Kheimesarayezanjan</t>
  </si>
  <si>
    <t>زینبیه اعظم</t>
  </si>
  <si>
    <t>https://www.instagram.com/zaz_ir</t>
  </si>
  <si>
    <r>
      <rPr>
        <rFont val="-apple-system, BlinkMacSystemFont, &quot;Segoe UI&quot;, Roboto, Helvetica, Arial, sans-serif"/>
        <color rgb="FF1155CC"/>
        <sz val="11.0"/>
        <u/>
      </rPr>
      <t>t.me/ZAZ_ir</t>
    </r>
  </si>
  <si>
    <t>https://eitaa.com/zaz_ir</t>
  </si>
  <si>
    <t>قرآنی ولایت</t>
  </si>
  <si>
    <t>https://eitaa.com/heiat_ghorani_velayat</t>
  </si>
  <si>
    <t>https://www.instagram.com/g_alabarat/</t>
  </si>
  <si>
    <t>مکتب القاسم فاطمیه</t>
  </si>
  <si>
    <t>https://www.instagram.com/fatemiye.zanjan/</t>
  </si>
  <si>
    <t>حسینیه بی سیم</t>
  </si>
  <si>
    <t>https://eitaa.com/hosiniyehbisim</t>
  </si>
  <si>
    <t>https://www.instagram.com/abaabdelah.zanjan/</t>
  </si>
  <si>
    <t xml:space="preserve"> دانشگاه علوم پزشکی زنجان (دانشجویی)</t>
  </si>
  <si>
    <t>https://t.me/fatemiyonzums</t>
  </si>
  <si>
    <t>https://www.instagram.com/m_khatam_alanbiyaa/</t>
  </si>
  <si>
    <r>
      <rPr>
        <rFont val="-apple-system, BlinkMacSystemFont, &quot;Segoe UI&quot;, Roboto, Helvetica, Arial, sans-serif"/>
        <color rgb="FF1155CC"/>
        <sz val="11.0"/>
        <u/>
      </rPr>
      <t>t.me/m_khatam_alanbiyaa</t>
    </r>
  </si>
  <si>
    <t>طارم</t>
  </si>
  <si>
    <t>https://eitaa.com/seshanbemahdavitarom</t>
  </si>
  <si>
    <t>https://www.instagram.com/maktabolhosein_zanjan/</t>
  </si>
  <si>
    <r>
      <rPr>
        <rFont val="-apple-system, BlinkMacSystemFont, &quot;Segoe UI&quot;, Roboto, Helvetica, Arial, sans-serif"/>
        <color rgb="FF1155CC"/>
        <sz val="11.0"/>
        <u/>
      </rPr>
      <t>t.me/maktab_alhosein_zanjan</t>
    </r>
  </si>
  <si>
    <t>https://www.instagram.com/maha_zn.ir/</t>
  </si>
  <si>
    <t>https://t.me/mahazanjan1360</t>
  </si>
  <si>
    <t>دفتر آیت الله حسینی</t>
  </si>
  <si>
    <t>https://www.instagram.com/ayatollahzanjani/</t>
  </si>
  <si>
    <r>
      <rPr>
        <rFont val="-apple-system, BlinkMacSystemFont, &quot;Segoe UI&quot;, Roboto, Helvetica, Arial, sans-serif"/>
        <color rgb="FF1155CC"/>
        <sz val="11.0"/>
        <u/>
      </rPr>
      <t>t.me/Alzanjani</t>
    </r>
  </si>
  <si>
    <t>https://www.instagram.com/molaghatekhoda/</t>
  </si>
  <si>
    <t>ایثار</t>
  </si>
  <si>
    <t>https://eitaa.com/isaar_zanjan</t>
  </si>
  <si>
    <t>https://www.instagram.com/fadaeyan_hazrat_roghaye_znj/</t>
  </si>
  <si>
    <r>
      <rPr>
        <rFont val="-apple-system, BlinkMacSystemFont, &quot;Segoe UI&quot;, Roboto, Helvetica, Arial, sans-serif"/>
        <color rgb="FF1155CC"/>
        <sz val="11.0"/>
        <u/>
      </rPr>
      <t>t.me/zooljanah</t>
    </r>
  </si>
  <si>
    <t>https://www.instagram.com/zohoor_znj/</t>
  </si>
  <si>
    <t>t.me/zoohoor_zn</t>
  </si>
  <si>
    <t>متوسلین موسی بن جعفر(ع)</t>
  </si>
  <si>
    <t>https://www.instagram.com/mosabnejafarzanjan/</t>
  </si>
  <si>
    <r>
      <rPr>
        <rFont val="-apple-system, BlinkMacSystemFont, &quot;Segoe UI&quot;, Roboto, Helvetica, Arial, sans-serif"/>
        <color rgb="FF1155CC"/>
        <sz val="11.0"/>
        <u/>
      </rPr>
      <t>tlgrm.me/mosabnejafarzanjan</t>
    </r>
  </si>
  <si>
    <t>https://www.instagram.com/rahrovanemam1374/</t>
  </si>
  <si>
    <t>https://t.me/shifteghan_ali_znj</t>
  </si>
  <si>
    <t>عاشقان حضرت رقیه (س)</t>
  </si>
  <si>
    <t>https://www.instagram.com/asheghan_roghayeh/</t>
  </si>
  <si>
    <t>حاج مهدی رسولی</t>
  </si>
  <si>
    <t>https://www.instagram.com/mahdirasuli_ir</t>
  </si>
  <si>
    <t>https://t.me/mahdirasuli_ir</t>
  </si>
  <si>
    <t>https://eitaa.com/mahdirasuli_ir</t>
  </si>
  <si>
    <t>معارف انقلاب اسلامی</t>
  </si>
  <si>
    <t>https://eitaa.com/hoseiniehmaaref</t>
  </si>
  <si>
    <t>لرستان</t>
  </si>
  <si>
    <t>بروجرد</t>
  </si>
  <si>
    <t>https://www.instagram.com/alaviyon110/</t>
  </si>
  <si>
    <t>کوهدشت</t>
  </si>
  <si>
    <t>https://eitaa.com/mahfeleshohada61/</t>
  </si>
  <si>
    <t>https://eitaa.com/motevaselein</t>
  </si>
  <si>
    <t>الیگودرز</t>
  </si>
  <si>
    <t>https://eitaa.com/heiat_h_aliakbar</t>
  </si>
  <si>
    <t>منتظران المهدی (عج)</t>
  </si>
  <si>
    <t>خرم آباد</t>
  </si>
  <si>
    <t>https://www.instagram.com/montazeran_mahdi_khoramabad/</t>
  </si>
  <si>
    <t>https://eitaa.com/heyatzeynabion</t>
  </si>
  <si>
    <t>https://www.instagram.com/b_harameyn_ir</t>
  </si>
  <si>
    <t>https://eitaa.com/b_harameyn_ir</t>
  </si>
  <si>
    <t>https://www.instagram.com/aman59.brj/</t>
  </si>
  <si>
    <t>https://eitaa.com/aman59brj</t>
  </si>
  <si>
    <t>https://www.instagram.com/heyat_montazeran313/</t>
  </si>
  <si>
    <r>
      <rPr>
        <rFont val="-apple-system, BlinkMacSystemFont, &quot;Segoe UI&quot;, Roboto, Helvetica, Arial, sans-serif"/>
        <color rgb="FF1155CC"/>
        <sz val="11.0"/>
        <u/>
      </rPr>
      <t>t.me/heyat_montazeran_alg</t>
    </r>
  </si>
  <si>
    <t>مجمع حیدریون ارادتمندان به حضرت زهرا (س)</t>
  </si>
  <si>
    <t>https://eitaa.com/majmaeheydarioon</t>
  </si>
  <si>
    <t>https://www.instagram.com/fatemiyon_khoramabad/</t>
  </si>
  <si>
    <r>
      <rPr>
        <rFont val="-apple-system, BlinkMacSystemFont, &quot;Segoe UI&quot;, Roboto, Helvetica, Arial, sans-serif"/>
        <color rgb="FF1155CC"/>
        <sz val="11.0"/>
        <u/>
      </rPr>
      <t>t.me/fatemiyun_khorramabad</t>
    </r>
  </si>
  <si>
    <t>https://eitaa.com/shohadagomnam_1398</t>
  </si>
  <si>
    <t>امام حسن عسکری(ع)</t>
  </si>
  <si>
    <t>https://eitaa.com/heiat_emamhasan_askari</t>
  </si>
  <si>
    <t>https://eitaa.com/beyt_al_zahra_s</t>
  </si>
  <si>
    <t>کریم اهل بیت(ع) (محفل بسیجیان و رهروان ولایت وشهدا)</t>
  </si>
  <si>
    <t>دورود</t>
  </si>
  <si>
    <t>https://ble.ir/h_karim_ahlebeit</t>
  </si>
  <si>
    <t>https://www.instagram.com/info_rnd/</t>
  </si>
  <si>
    <t>رایت العباس (علیه السلام)</t>
  </si>
  <si>
    <t>پلدختر</t>
  </si>
  <si>
    <t>https://instagram.com/rayat_alabas_pol/</t>
  </si>
  <si>
    <t>بنت الرسول(س)</t>
  </si>
  <si>
    <t>https://www.instagram.com/bentolrasool/</t>
  </si>
  <si>
    <t>https://www.instagram.com/seyedoshohadaaa/</t>
  </si>
  <si>
    <t>https://www.instagram.com/oshaghozahra_aligoodarz/</t>
  </si>
  <si>
    <t>حسینیه ثارالله(ع)</t>
  </si>
  <si>
    <t>نورآباد</t>
  </si>
  <si>
    <t>https://www.instagram.com/hoseiniehsaralah/</t>
  </si>
  <si>
    <t>ازنا</t>
  </si>
  <si>
    <t>https://eitaa.com/ansarolmahdiazna</t>
  </si>
  <si>
    <t>https://www.instagram.com/eheyat.mamasani.ir/</t>
  </si>
  <si>
    <t>https://www.instagram.com/zoovarolhosein128/</t>
  </si>
  <si>
    <t>محفل شمع زینب (س)</t>
  </si>
  <si>
    <t>https://eitaa.com/shamezeinab</t>
  </si>
  <si>
    <t>https://www.instagram.com/heyat_khademolabbas_azna/</t>
  </si>
  <si>
    <t>https://www.instagram.com/heiatefatemehzahraa/</t>
  </si>
  <si>
    <t>عاشقان ثارالله(ع) / بسیج ایثار</t>
  </si>
  <si>
    <t>https://www.instagram.com/asheghane_sarallah_boroujerd/</t>
  </si>
  <si>
    <t>https://www.instagram.com/yaletharat_dorod/</t>
  </si>
  <si>
    <t>https://www.instagram.com/heyaat_alamdar/</t>
  </si>
  <si>
    <r>
      <rPr>
        <rFont val="-apple-system, BlinkMacSystemFont, &quot;Segoe UI&quot;, Roboto, Helvetica, Arial, sans-serif"/>
        <color rgb="FF1155CC"/>
        <sz val="11.0"/>
        <u/>
      </rPr>
      <t>telegram.me/heyatalamdar</t>
    </r>
  </si>
  <si>
    <t>حضرت یوسف زهرا (عج)</t>
  </si>
  <si>
    <t>خرم اباد</t>
  </si>
  <si>
    <t>https://eitaa.com/yousofezahra_ir</t>
  </si>
  <si>
    <t>یاوران مهدی فاطمه (عج)</t>
  </si>
  <si>
    <r>
      <rPr>
        <color rgb="FF1155CC"/>
        <u/>
      </rPr>
      <t>https://www.instagram.com/yavaranmahdi59/</t>
    </r>
    <r>
      <rPr/>
      <t xml:space="preserve"> </t>
    </r>
  </si>
  <si>
    <t>مساکین الزهرا (س)</t>
  </si>
  <si>
    <t>https://eitaa.com/masakin_alzahra</t>
  </si>
  <si>
    <t>https://www.instagram.com/karimeahlebet86/</t>
  </si>
  <si>
    <t>محبین امام حسن مجتبی (ع)</t>
  </si>
  <si>
    <t>https://www.instagram.com/mohebin.emamhasan/</t>
  </si>
  <si>
    <t>انصارالحسین(ع) مسجد جامع</t>
  </si>
  <si>
    <t>https://eitaa.com/ansarolhosein5711</t>
  </si>
  <si>
    <t>https://www.instagram.com/nooralshohada_31/</t>
  </si>
  <si>
    <t>امیرالمومنین(ع)</t>
  </si>
  <si>
    <t>https://www.instagram.com/heiat_amir/</t>
  </si>
  <si>
    <t>https://www.instagram.com/Aleya30n/</t>
  </si>
  <si>
    <r>
      <rPr>
        <rFont val="-apple-system, BlinkMacSystemFont, &quot;Segoe UI&quot;, Roboto, Helvetica, Arial, sans-serif"/>
        <color rgb="FF1155CC"/>
        <sz val="11.0"/>
        <u/>
      </rPr>
      <t>tlgrm.me//aleya30n</t>
    </r>
  </si>
  <si>
    <t>محبین آل یاسین</t>
  </si>
  <si>
    <t>https://eitaa.com/mohebin_ale_yassin</t>
  </si>
  <si>
    <t>شهدای گمنام / عاشقان عاشورا</t>
  </si>
  <si>
    <t>https://www.instagram.com/asheghaneashora_1374/</t>
  </si>
  <si>
    <t>https://www.instagram.com/kheimeh_fatemiyon/</t>
  </si>
  <si>
    <t>محبین اهل ‌بیت (ع)</t>
  </si>
  <si>
    <t>https://eitaa.com/heyatmohebindelfan</t>
  </si>
  <si>
    <t>محفل عشاق العباس (ع)</t>
  </si>
  <si>
    <t>https://www.instagram.com/oshaghabbas_brj/</t>
  </si>
  <si>
    <t>خیمه</t>
  </si>
  <si>
    <t>https://www.instagram.com/kheymeh_brj/</t>
  </si>
  <si>
    <t>https://www.instagram.com/heyatalzahra_borujerd/</t>
  </si>
  <si>
    <r>
      <rPr>
        <rFont val="-apple-system, BlinkMacSystemFont, &quot;Segoe UI&quot;, Roboto, Helvetica, Arial, sans-serif"/>
        <color rgb="FF1155CC"/>
        <sz val="11.0"/>
        <u/>
      </rPr>
      <t>eitaa.com/HeyatAlzahra_Borujerd</t>
    </r>
  </si>
  <si>
    <t>دانشجویی امام جواد (ع)</t>
  </si>
  <si>
    <t>https://www.instagram.com/h_daneshjoei/</t>
  </si>
  <si>
    <t>دلفان</t>
  </si>
  <si>
    <t>https://www.instagram.com/ashab_delfan_ir/</t>
  </si>
  <si>
    <r>
      <rPr>
        <rFont val="-apple-system, BlinkMacSystemFont, &quot;Segoe UI&quot;, Roboto, Helvetica, Arial, sans-serif"/>
        <color rgb="FF1155CC"/>
        <sz val="11.0"/>
        <u/>
      </rPr>
      <t>t.me/ashab_delfan_ir</t>
    </r>
  </si>
  <si>
    <t>https://www.instagram.com/heiatefatemehzahraa</t>
  </si>
  <si>
    <r>
      <rPr>
        <rFont val="-apple-system, BlinkMacSystemFont, &quot;Segoe UI&quot;, Roboto, Helvetica, Arial, sans-serif"/>
        <color rgb="FF1155CC"/>
        <sz val="11.0"/>
        <u/>
      </rPr>
      <t>t.me/heiatefatemehzahra</t>
    </r>
  </si>
  <si>
    <t>https://t.me/Emamasgari_ir</t>
  </si>
  <si>
    <t>مسجدالرسول</t>
  </si>
  <si>
    <t>https://www.instagram.com/masjed_al_rasool/</t>
  </si>
  <si>
    <t>https://www.instagram.com/zainabiun_69/</t>
  </si>
  <si>
    <t>https://t.me/zeinabioun_69</t>
  </si>
  <si>
    <t>https://www.instagram.com/oshagholhosein_khorramabad/</t>
  </si>
  <si>
    <r>
      <rPr>
        <rFont val="-apple-system, BlinkMacSystemFont, &quot;Segoe UI&quot;, Roboto, Helvetica, Arial, sans-serif"/>
        <color rgb="FF1155CC"/>
        <sz val="11.0"/>
        <u/>
      </rPr>
      <t>hohkhoramabad.blogfa.com</t>
    </r>
  </si>
  <si>
    <t>https://www.instagram.com/moheban_ahlebeiyt/</t>
  </si>
  <si>
    <r>
      <rPr>
        <rFont val="-apple-system, BlinkMacSystemFont, &quot;Segoe UI&quot;, Roboto, Helvetica, Arial, sans-serif"/>
        <color rgb="FF1155CC"/>
        <sz val="11.0"/>
        <u/>
      </rPr>
      <t>t.me/heiate_moheban_ahlebiyt</t>
    </r>
  </si>
  <si>
    <t>https://t.me/yalasarat_alhossein_ir</t>
  </si>
  <si>
    <t>علمداران محمد رسول الله (ص)</t>
  </si>
  <si>
    <t>https://www.instagram.com/hyat_alamdaramohamad_rasolalah/</t>
  </si>
  <si>
    <t xml:space="preserve">کریم اهل بیت </t>
  </si>
  <si>
    <r>
      <rPr>
        <rFont val="-apple-system, BlinkMacSystemFont, &quot;Segoe UI&quot;, Roboto, Helvetica, Arial, sans-serif"/>
        <color rgb="FF1155CC"/>
        <sz val="11.0"/>
        <u/>
      </rPr>
      <t>eitaa.com/karimeahlebet</t>
    </r>
  </si>
  <si>
    <t xml:space="preserve"> رهروان مهدویت</t>
  </si>
  <si>
    <t>https://eitaa.com/rahrovanmahdaviyat</t>
  </si>
  <si>
    <t>بوتراب (ع)</t>
  </si>
  <si>
    <t>https://www.instagram.com/botorab.94/</t>
  </si>
  <si>
    <r>
      <rPr>
        <rFont val="-apple-system, BlinkMacSystemFont, &quot;Segoe UI&quot;, Roboto, Helvetica, Arial, sans-serif"/>
        <color rgb="FF1155CC"/>
        <sz val="11.0"/>
        <u/>
      </rPr>
      <t>tlgrm.me/botorab94</t>
    </r>
  </si>
  <si>
    <t xml:space="preserve"> رزمندگان اسلام</t>
  </si>
  <si>
    <t>https://eitaa.com/moazna</t>
  </si>
  <si>
    <t>هیأت شهدا</t>
  </si>
  <si>
    <t>https://www.instagram.com/shohadaye_delfan</t>
  </si>
  <si>
    <t>https://t.me/shohadaye_delfan</t>
  </si>
  <si>
    <r>
      <rPr>
        <rFont val="-apple-system, BlinkMacSystemFont, &quot;Segoe UI&quot;, Roboto, Helvetica, Arial, sans-serif"/>
        <color rgb="FF1155CC"/>
        <sz val="11.0"/>
        <u/>
      </rPr>
      <t>eitaa.com/shohadaye_delfan</t>
    </r>
  </si>
  <si>
    <t xml:space="preserve">موکب مردمی صاحب الزمان عج </t>
  </si>
  <si>
    <t>https://eitaa.com/mukeb313</t>
  </si>
  <si>
    <t>الشتر</t>
  </si>
  <si>
    <t>https://www.instagram.com/heyat_montazeranmahdi313/</t>
  </si>
  <si>
    <t>https://eitaa.com/ashab_ir</t>
  </si>
  <si>
    <t>https://eitaa.com/hoseiniehsaralah</t>
  </si>
  <si>
    <t>https://www.instagram.com/heyatmohebindelfan/</t>
  </si>
  <si>
    <t>https://t.me/heyatmohebindelfan</t>
  </si>
  <si>
    <t>بیرق معظم دلسوختگان حضرت زهرا(س)</t>
  </si>
  <si>
    <t>https://www.instagram.com/delsookhtegan.h.zahra135/</t>
  </si>
  <si>
    <t>https://t.me/delsookhtegan135</t>
  </si>
  <si>
    <t>مساکین الزهرا سلام الله علیها</t>
  </si>
  <si>
    <t>ویژه</t>
  </si>
  <si>
    <t>https://www.instagram.com/masakin_ir/</t>
  </si>
  <si>
    <t>https://t.me/heyatmasakin_ir</t>
  </si>
  <si>
    <t>رایة الحسین(ع)</t>
  </si>
  <si>
    <t>https://www.instagram.com/heyat_rayatollhossein/</t>
  </si>
  <si>
    <t>https://t.me/rayatollhossein99</t>
  </si>
  <si>
    <t>انصار قمربنی هاشم</t>
  </si>
  <si>
    <t>https://www.instagram.com/heyate_ansar_delfan/</t>
  </si>
  <si>
    <t>http://instagram.com/ansaralmahdi1384/</t>
  </si>
  <si>
    <r>
      <rPr>
        <rFont val="-apple-system, BlinkMacSystemFont, &quot;Segoe UI&quot;, Roboto, Helvetica, Arial, sans-serif"/>
        <color rgb="FF1155CC"/>
        <sz val="11.0"/>
        <u/>
      </rPr>
      <t>t.me/ansarpol</t>
    </r>
  </si>
  <si>
    <t>https://www.instagram.com/rezajan_khorramabad/</t>
  </si>
  <si>
    <t>https://eitaa.com/rezajankhorramabad</t>
  </si>
  <si>
    <t>غوث‌الفقراء‌عج</t>
  </si>
  <si>
    <t>https://www.instagram.com/ghosalfoghara/</t>
  </si>
  <si>
    <t>https://www.instagram.com/aleyasin1khorram/</t>
  </si>
  <si>
    <r>
      <rPr>
        <rFont val="-apple-system, BlinkMacSystemFont, &quot;Segoe UI&quot;, Roboto, Helvetica, Arial, sans-serif"/>
        <color rgb="FF1155CC"/>
        <sz val="11.0"/>
        <u/>
      </rPr>
      <t>t.me/aleyasin1khorram</t>
    </r>
  </si>
  <si>
    <t>https://www.instagram.com/saelin_h_zeinab/</t>
  </si>
  <si>
    <r>
      <rPr>
        <rFont val="-apple-system, BlinkMacSystemFont, &quot;Segoe UI&quot;, Roboto, Helvetica, Arial, sans-serif"/>
        <color rgb="FF1155CC"/>
        <sz val="11.0"/>
        <u/>
      </rPr>
      <t>t.me/saelin_h_zeinab</t>
    </r>
  </si>
  <si>
    <t>محبان امیرالمومنین علی (ع)</t>
  </si>
  <si>
    <t>https://www.instagram.com/heyat.mohebban.azna/</t>
  </si>
  <si>
    <t>ناصرین حسین</t>
  </si>
  <si>
    <t>https://t.me/heyaatnaserinhosseinbroujerd</t>
  </si>
  <si>
    <t>محفل قرآنی امام موسی ابن جعفر (ع)</t>
  </si>
  <si>
    <t>https://eitaa.com/MahfeleQorani14</t>
  </si>
  <si>
    <t>https://www.instagram.com/maktabalhosein.128/</t>
  </si>
  <si>
    <t>https://t.me/maktab_all_hosein_khoramabad</t>
  </si>
  <si>
    <t>https://eitaa.com/maktab_al_hosein</t>
  </si>
  <si>
    <t>محبان بقیه الله (عج)</t>
  </si>
  <si>
    <t>https://www.instagram.com/mooheban/</t>
  </si>
  <si>
    <t>صاحب ذوالفقار (ع)</t>
  </si>
  <si>
    <t>https://www.instagram.com/sahebzolfaghar/</t>
  </si>
  <si>
    <t>https://eitaa.com/masjed_ghods1402</t>
  </si>
  <si>
    <t>https://eitaa.com/beytalhasan_com</t>
  </si>
  <si>
    <t>https://www.instagram.com/ansar_khorramabad/</t>
  </si>
  <si>
    <r>
      <rPr>
        <rFont val="-apple-system, BlinkMacSystemFont, &quot;Segoe UI&quot;, Roboto, Helvetica, Arial, sans-serif"/>
        <color rgb="FF1155CC"/>
        <sz val="11.0"/>
        <u/>
      </rPr>
      <t>t.me/ansar_khorramabad</t>
    </r>
  </si>
  <si>
    <t>انصار العباس</t>
  </si>
  <si>
    <t>https://www.instagram.com/h_ansarolabbas_brj/</t>
  </si>
  <si>
    <t>انصار الحسین(ع)</t>
  </si>
  <si>
    <t>https://www.instagram.com/ansarhussainie.brj/</t>
  </si>
  <si>
    <t>https://www.instagram.com/majmae_heydrioon/</t>
  </si>
  <si>
    <t>https://eitaa.com/mohebin1373</t>
  </si>
  <si>
    <t>https://www.instagram.com/javadalaemeh/</t>
  </si>
  <si>
    <r>
      <rPr>
        <rFont val="-apple-system, BlinkMacSystemFont, &quot;Segoe UI&quot;, Roboto, Helvetica, Arial, sans-serif"/>
        <color rgb="FF1155CC"/>
        <sz val="11.0"/>
        <u/>
      </rPr>
      <t>t.me/javadalaemeh95</t>
    </r>
  </si>
  <si>
    <r>
      <rPr>
        <rFont val="-apple-system, BlinkMacSystemFont, &quot;Segoe UI&quot;, Roboto, Helvetica, Arial, sans-serif"/>
        <color rgb="FF1155CC"/>
        <sz val="11.0"/>
        <u/>
      </rPr>
      <t>t.me/oshaq_zahra_alg</t>
    </r>
  </si>
  <si>
    <t>https://www.instagram.com/jehadi_group/</t>
  </si>
  <si>
    <r>
      <rPr>
        <rFont val="-apple-system, BlinkMacSystemFont, &quot;Segoe UI&quot;, Roboto, Helvetica, Arial, sans-serif"/>
        <color rgb="FF1155CC"/>
        <sz val="11.0"/>
        <u/>
      </rPr>
      <t>heyathami.ir</t>
    </r>
  </si>
  <si>
    <t>محبان علی ابن ابی طالب (ع)</t>
  </si>
  <si>
    <t>https://eitaa.com/mohebanali1</t>
  </si>
  <si>
    <t>https://www.instagram.com/oshagmahdi/</t>
  </si>
  <si>
    <t>کاظمیون</t>
  </si>
  <si>
    <t>https://www.instagram.com/kazemiuon313/</t>
  </si>
  <si>
    <t>زنجیرزنی قمربنی هاشم(ع)</t>
  </si>
  <si>
    <t>https://www.instagram.com/heyatzanjirzani/</t>
  </si>
  <si>
    <r>
      <rPr>
        <rFont val="-apple-system, BlinkMacSystemFont, &quot;Segoe UI&quot;, Roboto, Helvetica, Arial, sans-serif"/>
        <color rgb="FF1155CC"/>
        <sz val="11.0"/>
        <u/>
      </rPr>
      <t>t.me/heyatzanjirzani</t>
    </r>
  </si>
  <si>
    <t>ام الائمه</t>
  </si>
  <si>
    <t>خرم‌ آباد</t>
  </si>
  <si>
    <t>https://www.instagram.com/omolaemeh_ir/</t>
  </si>
  <si>
    <t>مجانین العباس</t>
  </si>
  <si>
    <t>https://www.instagram.com/majanin_al_abas133/</t>
  </si>
  <si>
    <t xml:space="preserve">رایة العباس </t>
  </si>
  <si>
    <t>https://www.instagram.com/heyat_raitolabbas_azna/</t>
  </si>
  <si>
    <t>https://www.instagram.com/mahfel_e_alamdar/</t>
  </si>
  <si>
    <t>https://eitaa.com/heyat_razmandegan_lorestan</t>
  </si>
  <si>
    <t>https://eitaa.com/mohebanazna14</t>
  </si>
  <si>
    <t>https://www.instagram.com/heiat.zeinabeun.mamasani/</t>
  </si>
  <si>
    <t>https://www.instagram.com/eheyat_azna/</t>
  </si>
  <si>
    <r>
      <rPr>
        <rFont val="-apple-system, BlinkMacSystemFont, &quot;Segoe UI&quot;, Roboto, Helvetica, Arial, sans-serif"/>
        <color rgb="FF1155CC"/>
        <sz val="11.0"/>
        <u/>
      </rPr>
      <t>telegram.me/heyatalamdar</t>
    </r>
  </si>
  <si>
    <t>https://www.instagram.com/janathoosin1381/</t>
  </si>
  <si>
    <t>https://www.instagram.com/heyat_lu/</t>
  </si>
  <si>
    <t>متوسلین به باقرالعلوم (ع)</t>
  </si>
  <si>
    <t>https://www.instagram.com/heyat_motavaslin_m_belal/</t>
  </si>
  <si>
    <r>
      <rPr>
        <rFont val="-apple-system, BlinkMacSystemFont, &quot;Segoe UI&quot;, Roboto, Helvetica, Arial, sans-serif"/>
        <color rgb="FF1155CC"/>
        <sz val="11.0"/>
        <u/>
      </rPr>
      <t>t.me/heyat_motavaslin_m_belal</t>
    </r>
  </si>
  <si>
    <t>https://www.instagram.com/abalfazl.mamasani/</t>
  </si>
  <si>
    <t>نورالزهرا (س)</t>
  </si>
  <si>
    <t>https://www.instagram.com/nooor.alzahra/</t>
  </si>
  <si>
    <r>
      <rPr>
        <rFont val="-apple-system, BlinkMacSystemFont, &quot;Segoe UI&quot;, Roboto, Helvetica, Arial, sans-serif"/>
        <color rgb="FF1155CC"/>
        <sz val="11.0"/>
        <u/>
      </rPr>
      <t>eitaa.com/noooralzahra</t>
    </r>
  </si>
  <si>
    <t>غوث الفقرا</t>
  </si>
  <si>
    <t>https://www.instagram.com/h_ghosalfoghara/</t>
  </si>
  <si>
    <t>https://eitaa.com/b_zahra_ir</t>
  </si>
  <si>
    <t>https://www.instagram.com/roqayeh_bent_hosein_/</t>
  </si>
  <si>
    <t>متوسلین شاه مردان علی(ع)</t>
  </si>
  <si>
    <t>https://www.instagram.com/heyateshahemardan/</t>
  </si>
  <si>
    <t>https://www.instagram.com/roghayeh_bentolhossein/</t>
  </si>
  <si>
    <t>https://www.instagram.com/maktabool_zeinab_69/</t>
  </si>
  <si>
    <r>
      <rPr>
        <rFont val="-apple-system, BlinkMacSystemFont, &quot;Segoe UI&quot;, Roboto, Helvetica, Arial, sans-serif"/>
        <color rgb="FF1155CC"/>
        <sz val="11.0"/>
        <u/>
      </rPr>
      <t>tlgrm.me//aleya30n</t>
    </r>
  </si>
  <si>
    <t>https://www.instagram.com/mohebin_ale_yassin/</t>
  </si>
  <si>
    <t>محبیین گل یاس (محبان حضرت صدیقه طاهره(س))</t>
  </si>
  <si>
    <t>https://www.instagram.com/mohebingoleyas/</t>
  </si>
  <si>
    <t>بسیجیان بقیه الله (مسجد ولی عصر (عج)</t>
  </si>
  <si>
    <t>https://eitaa.com/Masjednakhi</t>
  </si>
  <si>
    <t>https://www.instagram.com/heiiat_shohaday_gomnam/</t>
  </si>
  <si>
    <t>https://www.instagram.com/javananbnihashm/</t>
  </si>
  <si>
    <t>https://eitaa.com/mohebinroghayeh</t>
  </si>
  <si>
    <t xml:space="preserve"> (دانشگاه آیت الله بروجردی)</t>
  </si>
  <si>
    <t>https://www.instagram.com/h_shohada_g/</t>
  </si>
  <si>
    <t xml:space="preserve"> النبی (ص)</t>
  </si>
  <si>
    <t>https://www.instagram.com/nabi.brj/</t>
  </si>
  <si>
    <t>سیدالشهدا(ع) مسجد جامع</t>
  </si>
  <si>
    <t>https://www.instagram.com/heiatseyyedoshohada/</t>
  </si>
  <si>
    <t>https://www.instagram.com/ashegan.ahlebeit.aleshtar/</t>
  </si>
  <si>
    <t>https://www.instagram.com/fater.313/</t>
  </si>
  <si>
    <t>محبان امیر المومنین</t>
  </si>
  <si>
    <t>https://eitaa.com/Heyat_Mohebban_Azna</t>
  </si>
  <si>
    <t>https://eitaa.com/heyat_bani_fatemeh_delfan</t>
  </si>
  <si>
    <t>هیئت</t>
  </si>
  <si>
    <t>کمال شهر</t>
  </si>
  <si>
    <t>https://www.instagram.com/raayat_alhoda.ir</t>
  </si>
  <si>
    <t>هیئت جوانان</t>
  </si>
  <si>
    <t>https://www.instagram.com/1382seyedolshohada/</t>
  </si>
  <si>
    <t>هیئت جوانانِ</t>
  </si>
  <si>
    <t>عباسِ ابن علی(ع</t>
  </si>
  <si>
    <t xml:space="preserve">شهرک نو </t>
  </si>
  <si>
    <t>https://www.instagram.com/abasebneali_karaj/</t>
  </si>
  <si>
    <t>https://t.me/abasebneali_karaj</t>
  </si>
  <si>
    <t>أبناء الرضا</t>
  </si>
  <si>
    <t>https://www.instagram.com/abnaalreza/</t>
  </si>
  <si>
    <t>https://www.instagram.com/alamdar_karaj/</t>
  </si>
  <si>
    <t>https://eitaa.com/Heyate_Alamdar</t>
  </si>
  <si>
    <t>فردیس</t>
  </si>
  <si>
    <t>https://www.instagram.com/alamdaranefardis/</t>
  </si>
  <si>
    <t>علمدار بصیرت</t>
  </si>
  <si>
    <t>https://www.instagram.com/alamdare_basirat/</t>
  </si>
  <si>
    <t xml:space="preserve">مشکین دشت </t>
  </si>
  <si>
    <t>https://www.instagram.com/alghame_karaj</t>
  </si>
  <si>
    <t>https://www.instagram.com/ali_akbar_javanan</t>
  </si>
  <si>
    <t>https://eitaa.com/ali_akbar_javanan</t>
  </si>
  <si>
    <t>https://www.instagram.com/aliasqar_313</t>
  </si>
  <si>
    <t xml:space="preserve">کرج </t>
  </si>
  <si>
    <t xml:space="preserve">محمد شهر </t>
  </si>
  <si>
    <t>https://www.instagram.com/ansa.rolhosein/</t>
  </si>
  <si>
    <t>https://eitaa.com/ansaar_ir</t>
  </si>
  <si>
    <t>https://www.instagram.com/ansar_alabas/</t>
  </si>
  <si>
    <r>
      <rPr>
        <rFont val="-apple-system, BlinkMacSystemFont, &quot;Segoe UI&quot;, Roboto, Helvetica, Arial, sans-serif"/>
        <color rgb="FF1155CC"/>
        <sz val="11.0"/>
        <u/>
      </rPr>
      <t>t.me/ansarabass</t>
    </r>
  </si>
  <si>
    <t>انصارالرضا(ع) / رهروان شهدا</t>
  </si>
  <si>
    <t>https://www.instagram.com/ansar_alreza1380</t>
  </si>
  <si>
    <t>https://t.me/Sajjadieh_1380</t>
  </si>
  <si>
    <t>https://www.instagram.com/ansar_jahadi</t>
  </si>
  <si>
    <t>انصارالامام (رزمندگان اسلام)</t>
  </si>
  <si>
    <t>https://www.instagram.com/ansaremam.ir/</t>
  </si>
  <si>
    <t>https://t.me/ansaremam_ir</t>
  </si>
  <si>
    <t>https://eitaa.com/ansaremamir</t>
  </si>
  <si>
    <t>https://www.instagram.com/ansaremam/</t>
  </si>
  <si>
    <t>https://www.instagram.com/ansarolmahdi_karaj</t>
  </si>
  <si>
    <t>https://t.me/Ansarolmahdi_Karaj</t>
  </si>
  <si>
    <t>https://l.instagram.com/?u=https%3A%2F%2Feitaa.com%2Fjoinchat%2F3946578260C24fe94a0ac%3Futm_source%3Dig%26utm_medium%3Dsocial%26utm_content%3Dlink_in_bio%26fbclid%3DPAZXh0bgNhZW0CMTEAc3J0YwZhcHBfaWQMMjU2MjgxMDQwNTU4AAGnC9BNTRe2XXheGHJQVe7Ol8GQB1NE3IlU7pyFna2MEA4VAotCoRgmS7p19zI_aem_sMqTBjJEpi1ePtdmY8J9KQ&amp;e=AT11gQIUK1vDnrmbGWx7bHmzl9Aqj53CtE6wfdHjU5akSM1Yucv5Wbayvm5TNHs1dvS3bItYogUeoelu9swN3G-7dg55Jdorrza7kCWr0Q</t>
  </si>
  <si>
    <t>https://www.instagram.com/ansarolmahdi.nazarabad/</t>
  </si>
  <si>
    <r>
      <rPr>
        <rFont val="-apple-system, BlinkMacSystemFont, &quot;Segoe UI&quot;, Roboto, Helvetica, Arial, sans-serif"/>
        <color rgb="FF1155CC"/>
        <sz val="11.0"/>
        <u/>
      </rPr>
      <t>t.me/@ansarolmahdinazarabad</t>
    </r>
  </si>
  <si>
    <t>https://www.instagram.com/ansarolmahdi.pnu.ir</t>
  </si>
  <si>
    <t>https://t.me/ansarolmahdipnuir</t>
  </si>
  <si>
    <t>https://www.instagram.com/ansarozahra_rozeh/</t>
  </si>
  <si>
    <t>https://www.instagram.com/ashaab_almahdi</t>
  </si>
  <si>
    <t>کانون عاشقان شهادت</t>
  </si>
  <si>
    <t>https://www.instagram.com/asheghane_shahadat110</t>
  </si>
  <si>
    <t>اول مظلوم/امیرالمومنین (ع)</t>
  </si>
  <si>
    <t>https://l.instagram.com/?u=https%3A%2F%2Ft.me%2Favval_mazlom%3Futm_source%3Dig%26utm_medium%3Dsocial%26utm_content%3Dlink_in_bio%26fbclid%3DPAZXh0bgNhZW0CMTEAc3J0YwZhcHBfaWQMMjU2MjgxMDQwNTU4AAGnNBsINHoJwpn-BVKRbsuYyn8gq1bOSR4xJ0Tax6H1OTiIV8OI7Y3vQ8zmViA_aem_zWdQGRLmGvVtTpCqTikMrw&amp;e=AT2mgfSG0o6MD0KIkBG-MTzcrvNSALR6ivfPQrFsaw6JEFrZ9chiJJXQQO46ZppG61f5wmh0WcfG8bFGVCB6ODqtizDZQHaVJVMfip8PcQ</t>
  </si>
  <si>
    <t xml:space="preserve">هیئت دخترانه </t>
  </si>
  <si>
    <t>https://www.instagram.com/banatolheydar</t>
  </si>
  <si>
    <t>https://eitaa.com/banatolheydar</t>
  </si>
  <si>
    <t>بیت المهدی(عج)</t>
  </si>
  <si>
    <t>https://www.instagram.com/bargah.ir</t>
  </si>
  <si>
    <t>https://t.me/rahmannavazani</t>
  </si>
  <si>
    <t>https://eitaa.com/baregah</t>
  </si>
  <si>
    <t>بچه‌های بهشت</t>
  </si>
  <si>
    <t>https://www.instagram.com/beheshttv</t>
  </si>
  <si>
    <t>بنت النور</t>
  </si>
  <si>
    <t>https://www.instagram.com/beitonoor.alborz</t>
  </si>
  <si>
    <t>کربلای بیت المهدی (عج)</t>
  </si>
  <si>
    <t>محمدشهر</t>
  </si>
  <si>
    <t>https://www.instagram.com/beitoolmahdi/</t>
  </si>
  <si>
    <t>بیت الرضا(ع)</t>
  </si>
  <si>
    <t>https://www.instagram.com/beitoreza_ir</t>
  </si>
  <si>
    <t>https://eitaa.com/beitoreza_ir</t>
  </si>
  <si>
    <t>بنت الهدی(س)</t>
  </si>
  <si>
    <t>https://www.instagram.com/bentolhoda81</t>
  </si>
  <si>
    <t>https://eitaa.com/bentolhoda_81</t>
  </si>
  <si>
    <t>https://www.instagram.com/beynollharamein8/</t>
  </si>
  <si>
    <t>ریحانه الحسین (س)</t>
  </si>
  <si>
    <t>https://www.instagram.com/beyragh.info/</t>
  </si>
  <si>
    <r>
      <rPr>
        <rFont val="-apple-system, BlinkMacSystemFont, &quot;Segoe UI&quot;, Roboto, Helvetica, Arial, sans-serif"/>
        <color rgb="FF1155CC"/>
        <sz val="11.0"/>
        <u/>
      </rPr>
      <t>t.me/Beyraghinfo</t>
    </r>
  </si>
  <si>
    <t>بیت الاحزان حضرت رقیه(س)</t>
  </si>
  <si>
    <t>مشکین دشت</t>
  </si>
  <si>
    <t>https://www.instagram.com/beytalhzanhzratroghe</t>
  </si>
  <si>
    <t>https://www.instagram.com/beytolabbas_133</t>
  </si>
  <si>
    <t>https://t.me/beytol_abbas_133</t>
  </si>
  <si>
    <t>رزمندگان اسلام شمال</t>
  </si>
  <si>
    <t>https://www.instagram.com/beytolahzan_karaj</t>
  </si>
  <si>
    <t>https://www.instagram.com/beytolhosseinkarajj/</t>
  </si>
  <si>
    <t>محبان فاطمة الزهرا(س)</t>
  </si>
  <si>
    <t>https://www.instagram.com/bokae_ir</t>
  </si>
  <si>
    <t>https://t.me/moheban_azahra_karaj</t>
  </si>
  <si>
    <t>امامزاده محمد</t>
  </si>
  <si>
    <t>https://www.instagram.com/boqe_ir</t>
  </si>
  <si>
    <t>https://t.me/boqe_ir</t>
  </si>
  <si>
    <t>https://eitaa.com/boqe_ir</t>
  </si>
  <si>
    <t>https://www.instagram.com/bouriya_video/</t>
  </si>
  <si>
    <t>https://eitaa.com/asheghansarallah_karaj</t>
  </si>
  <si>
    <t>محفل دلسوختگان حضرت رقیه(س)</t>
  </si>
  <si>
    <t>گرمدره</t>
  </si>
  <si>
    <t>https://www.instagram.com/delsookhteganhazratroghaie/</t>
  </si>
  <si>
    <t>امامزاده حیدر</t>
  </si>
  <si>
    <t>https://www.instagram.com/emamzadeh_heidar_karaj</t>
  </si>
  <si>
    <t>https://t.me/emamzadehheidarkaraj</t>
  </si>
  <si>
    <t>https://eitaa.com/em_heidar</t>
  </si>
  <si>
    <t>اتحادیه انجمن اسلامی</t>
  </si>
  <si>
    <t>https://www.instagram.com/etehadye_alborz/</t>
  </si>
  <si>
    <t>حسینیه فدائیان حضرت مهدی (عج)</t>
  </si>
  <si>
    <t>https://www.instagram.com/fadaeian_mahdi.ir</t>
  </si>
  <si>
    <t>فاطمیون (امام زاده سلیمان)</t>
  </si>
  <si>
    <t>https://www.instagram.com/fatemion_hashtgerd/</t>
  </si>
  <si>
    <t>https://t.me/fatemion_hashtgerd</t>
  </si>
  <si>
    <t>https://www.instagram.com/ghamar_bani.hashem/</t>
  </si>
  <si>
    <t>https://l.instagram.com/?u=https%3A%2F%2Ft.me%2Fjoinchat%2FBLe4mkLCUpJ_NrDpkXq4JQ%3Futm_source%3Dig%26utm_medium%3Dsocial%26utm_content%3Dlink_in_bio%26fbclid%3DPAZXh0bgNhZW0CMTEAc3J0YwZhcHBfaWQMMjU2MjgxMDQwNTU4AAGnRDoGeAlx3BfuqJIcdTjddyG62umqlFU7UZRsEvQMmAc39wXuX2AyD7FI4I4_aem_AyD9Unx8xJntxug39DQKGQ&amp;e=AT2Dh8V58yPK0TgRPwsyM6ILVyMK5_0Cw28u-VD9tsqhy2cJDsSDNFQDGNFQyZZBOP6Mxzi_G6AZXqEiIHwiYQjnl3haewBfjDJry_zQgg</t>
  </si>
  <si>
    <t>https://www.instagram.com/ghasemiyounn</t>
  </si>
  <si>
    <t>https://www.instagram.com/h_beytozahraa</t>
  </si>
  <si>
    <t>https://www.instagram.com/h_h_roghaye_karaj/</t>
  </si>
  <si>
    <t>https://l.instagram.com/?u=https%3A%2F%2Ftlgrm.me%2Fjoinchat%2FBlHfjjye2vsP7j9qx4mAaQ%3Futm_source%3Dig%26utm_medium%3Dsocial%26utm_content%3Dlink_in_bio%26fbclid%3DPAZXh0bgNhZW0CMTEAc3J0YwZhcHBfaWQMMjU2MjgxMDQwNTU4AAGnK6RTfdnR37k4_W9Ti5pgqcgKVPrmlY1shzdf8oZjhhJ0ni8LhCW9JvAAgq8_aem_x4RXqcSmK3AQ5XBVRYkt3A&amp;e=AT2mltbJvO9PJJRrN42KryVgq79pRLHngr99FZplUfJe-eHuzCetYNKseuY3rQJ_U_Fx5-qxUlPJZ5YVvo3FjIxvFOC11ordAX0_hN9qYw</t>
  </si>
  <si>
    <t>محبان الرضا(ع) (رزمندگان کرج امام زاده حسن)</t>
  </si>
  <si>
    <t>https://www.instagram.com/h_mohebanolreza</t>
  </si>
  <si>
    <t>https://t.me/h_m_Reza</t>
  </si>
  <si>
    <t>https://eitaa.com/h_m_reza11</t>
  </si>
  <si>
    <t>https://www.instagram.com/h_yazahra_fardis/</t>
  </si>
  <si>
    <r>
      <rPr>
        <rFont val="-apple-system, BlinkMacSystemFont, &quot;Segoe UI&quot;, Roboto, Helvetica, Arial, sans-serif"/>
        <color rgb="FF1155CC"/>
        <sz val="11.0"/>
        <u/>
      </rPr>
      <t>t.me/h_yazahra_fardis</t>
    </r>
  </si>
  <si>
    <t>https://www.instagram.com/hasanieh_oshagholmahdi/</t>
  </si>
  <si>
    <t xml:space="preserve">هیئت بانوان </t>
  </si>
  <si>
    <t>دیوانگان حسین (ع)</t>
  </si>
  <si>
    <t>https://www.instagram.com/hayat.divanegane_hossain/</t>
  </si>
  <si>
    <t>https://www.instagram.com/hazrat_zahrayiha/</t>
  </si>
  <si>
    <t>https://t.me/hazratzahrayihaa</t>
  </si>
  <si>
    <t>https://www.instagram.com/heat_asheghan_roghaye/</t>
  </si>
  <si>
    <t xml:space="preserve">طالقان </t>
  </si>
  <si>
    <t>https://www.instagram.com/heiat_ansaralmahdi/</t>
  </si>
  <si>
    <t>https://l.instagram.com/?u=http%3A%2F%2Fte.me%2Fheiatansaralmahdi313%3Futm_source%3Dig%26utm_medium%3Dsocial%26utm_content%3Dlink_in_bio%26fbclid%3DPAZXh0bgNhZW0CMTEAc3J0YwZhcHBfaWQMMjU2MjgxMDQwNTU4AAGnuSOmnL0b9aRtK6S8DdbpMrZkMVcD_SPeqr6IdfUVpMztm7Ink2POb4lz9SM_aem_TDHKIEm-lPFR-gR0gyifsg&amp;e=AT19VihR2bHQuSdGIpFmYYwpaZbhtq-0yasgu8hW-_0UR_KHO39VX8N4dgDULY2dvgHF0rv1VAD4Z2XItt1WsZajaE93nGehynYSZMeiWg</t>
  </si>
  <si>
    <t>شیفتگان حضرت رقیه(س)</t>
  </si>
  <si>
    <t>https://www.instagram.com/heiat_jvanan_aliasghar</t>
  </si>
  <si>
    <t>https://www.instagram.com/heiat_montazerane_mahdi/</t>
  </si>
  <si>
    <t>منتظران مهدی (ع)</t>
  </si>
  <si>
    <t>https://www.instagram.com/heiate_banifatemeh/</t>
  </si>
  <si>
    <t>https://www.instagram.com/heiatealeyasiin</t>
  </si>
  <si>
    <t>مسجد امام حسن(ع)</t>
  </si>
  <si>
    <t>https://www.instagram.com/heiatemamhasanmojtaba6</t>
  </si>
  <si>
    <t>شباب امام خمینی (ره)</t>
  </si>
  <si>
    <t>https://www.instagram.com/heiateshabab/</t>
  </si>
  <si>
    <t>https://eitaa.com/heiateshabab</t>
  </si>
  <si>
    <t>سائلین ثامن الحجج (ع)</t>
  </si>
  <si>
    <t>https://www.instagram.com/heiatsamen.info</t>
  </si>
  <si>
    <t>https://t.me/samen_channel</t>
  </si>
  <si>
    <t>هنرمندان استان البرز</t>
  </si>
  <si>
    <t>https://www.instagram.com/hey_at_honarmandan_alborz/</t>
  </si>
  <si>
    <t>https://www.instagram.com/heyaat_karim_ahlebeyt</t>
  </si>
  <si>
    <t>https://www.instagram.com/heyat__fatemiyon/</t>
  </si>
  <si>
    <t>https://eitaa.com/Heyat_fatemiyon</t>
  </si>
  <si>
    <t>https://www.instagram.com/heyat_abalfazllabas133/</t>
  </si>
  <si>
    <t>عاشقان حضرت عباس (ع)</t>
  </si>
  <si>
    <t>https://www.instagram.com/heyat_asheghan_hazrat_abulfazl/</t>
  </si>
  <si>
    <t>بنت الحسین(س)</t>
  </si>
  <si>
    <t>https://www.instagram.com/heyat_bentolhossein/</t>
  </si>
  <si>
    <r>
      <rPr>
        <rFont val="-apple-system, BlinkMacSystemFont, &quot;Segoe UI&quot;, Roboto, Helvetica, Arial, sans-serif"/>
        <color rgb="FF1155CC"/>
        <sz val="11.0"/>
        <u/>
      </rPr>
      <t>t.me/bentolhossein_heyat</t>
    </r>
  </si>
  <si>
    <t>https://www.instagram.com/heyat_emamhassan/</t>
  </si>
  <si>
    <t>قمربنی هاشم علیه السلام</t>
  </si>
  <si>
    <t>https://www.instagram.com/heyat_ghamarebanihashem_1374</t>
  </si>
  <si>
    <t>حضرت ولی عصر(عج)</t>
  </si>
  <si>
    <t>https://www.instagram.com/heyat_hazrat_valiasr/</t>
  </si>
  <si>
    <t>https://www.instagram.com/heyat_hazratabalfazll68</t>
  </si>
  <si>
    <t>https://www.instagram.com/heyat_janatolhassan_karj</t>
  </si>
  <si>
    <t xml:space="preserve">کمالشهر </t>
  </si>
  <si>
    <t>https://www.instagram.com/heyat_javanan_ansaralmahdi</t>
  </si>
  <si>
    <t>مهدیون(عج)</t>
  </si>
  <si>
    <t>https://www.instagram.com/heyat_mahdion</t>
  </si>
  <si>
    <t>https://t.me/Mahdioun</t>
  </si>
  <si>
    <t>چهارباغ</t>
  </si>
  <si>
    <t>https://www.instagram.com/heyat_maktabol_abas</t>
  </si>
  <si>
    <t xml:space="preserve">محبان العباس </t>
  </si>
  <si>
    <t xml:space="preserve">محمدشهر </t>
  </si>
  <si>
    <t>https://www.instagram.com/heyat_mohebban_alabbas/</t>
  </si>
  <si>
    <t>https://t.me/mohebban_alabbas133</t>
  </si>
  <si>
    <t>رایـت‌العبـاس علیه السلام</t>
  </si>
  <si>
    <t>https://www.instagram.com/heyat_raayatolabbass/</t>
  </si>
  <si>
    <t>https://t.me/Heyat_RaayatolAbbas</t>
  </si>
  <si>
    <t>بسیج رزمندگان اسلام (خواهران)</t>
  </si>
  <si>
    <t>https://www.instagram.com/heyat_razmandegan_ostan_alborz</t>
  </si>
  <si>
    <t>https://www.instagram.com/heyat_sahebazzaman</t>
  </si>
  <si>
    <t>ثــارالله</t>
  </si>
  <si>
    <t>https://www.instagram.com/heyat._sarallah/</t>
  </si>
  <si>
    <t>https://www.instagram.com/heyat.abalfazll/</t>
  </si>
  <si>
    <t>حسن جان (ع)</t>
  </si>
  <si>
    <t>https://www.instagram.com/heyat.hasanjan</t>
  </si>
  <si>
    <t>https://t.me/heyat_hasan_jan</t>
  </si>
  <si>
    <t>https://www.instagram.com/heyat.heydarion.karaj/?hl=fa</t>
  </si>
  <si>
    <t>نوجوانان امام حسن مجتبی (ع)</t>
  </si>
  <si>
    <t>https://www.instagram.com/heyatamamhasan.1389/</t>
  </si>
  <si>
    <t>https://www.instagram.com/heyate_asheghane_hossein</t>
  </si>
  <si>
    <t>https://www.instagram.com/heyate_hazratabolfazl/</t>
  </si>
  <si>
    <t>خادمین ولایت</t>
  </si>
  <si>
    <t>https://www.instagram.com/heyate_khademine_hosein_karaj/</t>
  </si>
  <si>
    <t>محبین موسی بن جعفر علیه السلام"</t>
  </si>
  <si>
    <t>https://www.instagram.com/heyate_mohebeen/</t>
  </si>
  <si>
    <t>https://l.instagram.com/?u=https%3A%2F%2Ft.me%2Fheyatemohebeen%3Futm_source%3Dig%26utm_medium%3Dsocial%26utm_content%3Dlink_in_bio%26fbclid%3DPAZXh0bgNhZW0CMTEAc3J0YwZhcHBfaWQMMjU2MjgxMDQwNTU4AAGn9-9n5ZA7Q9QLMhFDBW8IAi2S0V3CEAk8JXBrQQPNxDGwkBpG2nmoHAttwNw_aem_as4lNfHRa27fIgO8ceirKA&amp;e=AT0NddbP_br_nTI9fNxK98KKsNjTkh0dCaQ2LtYf_uodPmHoQwDjWMGA21NAjqd2bT3WfrMxEv9VjvQw-lKkVd7U_RXZiLgQd5lDPL3y9g</t>
  </si>
  <si>
    <t>https://l.instagram.com/?u=https%3A%2F%2Feitaa.com%2Fheyatemohebeen%3Futm_source%3Dig%26utm_medium%3Dsocial%26utm_content%3Dlink_in_bio%26fbclid%3DPAZXh0bgNhZW0CMTEAc3J0YwZhcHBfaWQMMjU2MjgxMDQwNTU4AAGnJmp72f-3BEJp_TfKCjC-tV0pQjHo1CdedvWcZT5_YGY1hcY2qG7G0ovTfYk_aem_ykwDuxRoFvmMbShdgu9HYw&amp;e=AT27f-anThbwXK9MSTlYp6GDT5rtIHOSiWUTjfDUE4KrLPeXRiN9lTunGzhu9glU4KXkNTZ-XG84JbKn2muSq_19ReMyayxZu2v5OFozzg</t>
  </si>
  <si>
    <t>شاهزاده علی اکبر (ع) (هیات مسجد ولیعصر (عج))</t>
  </si>
  <si>
    <t>https://www.instagram.com/heyate_shahzade_ali_akbar</t>
  </si>
  <si>
    <t>https://t.me/heyateshahzadehaliakbar</t>
  </si>
  <si>
    <t>زیـنــبــیـون</t>
  </si>
  <si>
    <t>https://www.instagram.com/heyate_zeynabiyoun/</t>
  </si>
  <si>
    <t>https://l.instagram.com/?u=http%3A%2F%2Ft.me%2Fheyate_zeynabiyoun%3Futm_source%3Dig%26utm_medium%3Dsocial%26utm_content%3Dlink_in_bio%26fbclid%3DPAZXh0bgNhZW0CMTEAc3J0YwZhcHBfaWQMMjU2MjgxMDQwNTU4AAGnW4VKtwMI0nnGJlb7P2nfQHJB1CcASrqy4pCUIr11PrtjZhNf6TQqMgCekGU_aem_D6cQUEDlGN1G-ntr3USEcA&amp;e=AT07Q277d5HO4n_c6rZzTbX9g9PjXst5rMpl42WK50n53SGvSzl7W2z0J-Rdzxw9AJRDO0dqk-9VeFwcyaqvIH4AruYxfHLwlZMXquU53A</t>
  </si>
  <si>
    <t>ائمه بقیع</t>
  </si>
  <si>
    <t>https://www.instagram.com/heyate.aemebaghi.karj</t>
  </si>
  <si>
    <t>محبّـان‌ثارالله‌</t>
  </si>
  <si>
    <t>https://www.instagram.com/heyatemohebbanesarallah/</t>
  </si>
  <si>
    <t>https://www.instagram.com/heyatjavananhoseini</t>
  </si>
  <si>
    <t>هیئت دانشجویی</t>
  </si>
  <si>
    <t>https://www.instagram.com/heyatkhu/</t>
  </si>
  <si>
    <t>امام الرئوف(ع) (مهدیون حصارک)</t>
  </si>
  <si>
    <t>https://www.instagram.com/heyatmahdioun/</t>
  </si>
  <si>
    <t>الرقیه</t>
  </si>
  <si>
    <t xml:space="preserve">فردیس </t>
  </si>
  <si>
    <t>https://www.instagram.com/heyatolroghaye_fardis/</t>
  </si>
  <si>
    <t>https://www.instagram.com/heyatoshohada_karaj313/</t>
  </si>
  <si>
    <t>https://l.instagram.com/?u=http%3A%2F%2Ft.me%2Fheyatoshohada_karaj313%3Futm_source%3Dig%26utm_medium%3Dsocial%26utm_content%3Dlink_in_bio%26fbclid%3DPAZXh0bgNhZW0CMTEAc3J0YwZhcHBfaWQMMjU2MjgxMDQwNTU4AAGnEoJpCNvTfGGH7P6Po_TPwtDSyJt3_fajxY4rzssnkcWLy8h9-dAhIOvp3e0_aem_f8MKMRukXtqcitnUJn7NdA&amp;e=AT1JtLVk2iWmQjW0zkb4Cx-MHMNF5i62EZjEnowHiuWHZ093F_TbWYLaVO5rC-JxFmija1FOsoYztvpwzfysSOC0IWnznLbKLU9RJwh5LQ</t>
  </si>
  <si>
    <t>https://www.instagram.com/heyatozahra.ir</t>
  </si>
  <si>
    <t>https://www.instagram.com/heyethussein2025/</t>
  </si>
  <si>
    <t>https://www.instagram.com/hmodafean.haram</t>
  </si>
  <si>
    <t>https://www.instagram.com/hoseinie.azahra</t>
  </si>
  <si>
    <t>https://t.me/hoseinieazahra</t>
  </si>
  <si>
    <t>حسینیه ی حضرت اباالفضل (ع) (هشترودی های مقیم کرج)</t>
  </si>
  <si>
    <t>https://www.instagram.com/hoseinieabolfazl</t>
  </si>
  <si>
    <t>https://www.instagram.com/hoseinieh_14maesum/</t>
  </si>
  <si>
    <t>https://t.me/hoseinieh_14maesum</t>
  </si>
  <si>
    <t>https://www.instagram.com/hoseinjan.krj/</t>
  </si>
  <si>
    <t>حسینیه حضرت جوادالائمه علیه‌السلام</t>
  </si>
  <si>
    <t>https://www.instagram.com/hoseyniyeh_javadolaeme/</t>
  </si>
  <si>
    <t>https://l.instagram.com/?u=https%3A%2F%2Feitaa.com%2FjavadolAeme_heyAt%3Futm_source%3Dig%26utm_medium%3Dsocial%26utm_content%3Dlink_in_bio%26fbclid%3DPAZXh0bgNhZW0CMTEAc3J0YwZhcHBfaWQMMjU2MjgxMDQwNTU4AAGnsNkVQaYxOLOk9ZvV7h8rpE_2vThzvCQI5d9sP8sd_Nae_G1AOsnXGDecwCs_aem_SM9Ov7JKytctYgeRSWD1qQ&amp;e=AT0DF8lnsXcnSoxGdMxlsSKcxxyPR54Bca79ZJeFmI78K_v7BwWotJm6yX_hI3L6UQTfnP8h1mEiuBPgFRa2nhNjJPLFxHp7H2LEkf66QA</t>
  </si>
  <si>
    <t>https://www.instagram.com/hoseyniyonkaraj/</t>
  </si>
  <si>
    <t>https://www.instagram.com/hyat_javadalaemeh/</t>
  </si>
  <si>
    <t>https://www.instagram.com/javad_ol_aemea</t>
  </si>
  <si>
    <t>https://www.instagram.com/javadolaemeh_info</t>
  </si>
  <si>
    <t>https://l.instagram.com/?u=http%3A%2F%2Ft.me%2Fjavadolaemehh_karaj%3Futm_source%3Dig%26utm_medium%3Dsocial%26utm_content%3Dlink_in_bio%26fbclid%3DPAZXh0bgNhZW0CMTEAc3J0YwZhcHBfaWQMMjU2MjgxMDQwNTU4AAGnB1up1CAUrlV9zD_wLnx2ruieCUPW6K_P-l2dX3itQmzIqyY0aPSogSG0ZGM_aem_eJVi1LakPUUb1qyR5er8RA&amp;e=AT2a78FcAuI22BQDaRD4VPaCtzZ8LaxKXe4K-MxTfY68onX5dFGYpQZ_U_2uY3IzBztq-gWvAMIRM61yDrWhcHx6QdRGjioXQl_hzD3LPA</t>
  </si>
  <si>
    <t>ساوجبلاغ</t>
  </si>
  <si>
    <t>https://www.instagram.com/javadolaemeh313.ir/</t>
  </si>
  <si>
    <t xml:space="preserve">اشتهارد </t>
  </si>
  <si>
    <t>https://www.instagram.com/jghamarbanihashem/</t>
  </si>
  <si>
    <t>https://l.instagram.com/?u=http%3A%2F%2Ft.me%2Fjgamarbanihashem%3Futm_source%3Dig%26utm_medium%3Dsocial%26utm_content%3Dlink_in_bio%26fbclid%3DPAZXh0bgNhZW0CMTEAc3J0YwZhcHBfaWQMMjU2MjgxMDQwNTU4AAGnFm8tXNfynTz-CFWHt_SG7K3LNtuylSnLPnnTQJ5gKV6UfwhkrHio3eG-vhA_aem_P7IkIndMEN5PevC-ZP-FhA&amp;e=AT2Yi9ExyYH4pjwUuuPsxfIDld9lASABLRUac4U2gQEa-ote-A8crsSc34pR4708ydF7laJ3VWnto6nuRHBNKoM3cEDsQUOynNW0m2CMuw</t>
  </si>
  <si>
    <t>کانــون فرهنگـــی غـــدیر</t>
  </si>
  <si>
    <t>https://www.instagram.com/kanonghadir/</t>
  </si>
  <si>
    <t>گوهرشاد</t>
  </si>
  <si>
    <t>https://www.instagram.com/kanoon.goharshad/</t>
  </si>
  <si>
    <t>https://t.me/kanoongoharshad</t>
  </si>
  <si>
    <t>https://www.instagram.com/karbala8.ir/</t>
  </si>
  <si>
    <t>https://www.instagram.com/karimeahlebeyt128/</t>
  </si>
  <si>
    <t>https://l.instagram.com/?u=http%3A%2F%2Ft.me%2Fkhoddamekarimeahlebeyt%3Futm_source%3Dig%26utm_medium%3Dsocial%26utm_content%3Dlink_in_bio%26fbclid%3DPAZXh0bgNhZW0CMTEAc3J0YwZhcHBfaWQMMjU2MjgxMDQwNTU4AAGnSDlpkZWQlXkPX_fufx84cFcpj7ZLvcBKlrd-CjzLfxgioXpFD93B5LyBX9U_aem_gAv0VCFckxmdgYiwHPQkQQ&amp;e=AT12rdI51bwBrLbThg1qbY25Uqaz3l74fJrJHVHta9Xnxum6HzpFFT-4ta65K_U9AHBVxufRYq__U3as6F2LoyEuvhEQK0LAhHlntle_Sw</t>
  </si>
  <si>
    <t>https://www.instagram.com/kh_beytozahraa/</t>
  </si>
  <si>
    <t>کانون نخبه پروری صراط</t>
  </si>
  <si>
    <t>https://www.instagram.com/kn_serat</t>
  </si>
  <si>
    <t>https://www.instagram.com/leva_heidar_karar</t>
  </si>
  <si>
    <t>https://l.instagram.com/?u=https%3A%2F%2Ft.me%2Fleva_heidar_karar%3Futm_source%3Dig%26utm_medium%3Dsocial%26utm_content%3Dlink_in_bio%26fbclid%3DPAZXh0bgNhZW0CMTEAc3J0YwZhcHBfaWQMMjU2MjgxMDQwNTU4AAGnLuZ9knG_xFnyMgBMmMqZ7FBYbRgeyaPnZAH0ZTjWyJhmULnFenIHEtUPOmU_aem_NFSaqOkT4ss5d-3i4bbYIA&amp;e=AT0NXn3zkjLZMU6z3Hlsjc3kMt6eAZDCXaWcxiKytnfVKOqu2wtQS3bhJIrOzMPppl67KQ6e5_Un8F8uHgCiSgz3gR8oxrC4baD2Od4zIA</t>
  </si>
  <si>
    <t>لواءالزهــراء سلام‌الله‌علیها</t>
  </si>
  <si>
    <t>https://www.instagram.com/levazahra_karaj/</t>
  </si>
  <si>
    <t>https://l.instagram.com/?u=http%3A%2F%2Ft.me%2Fleva_media_karaj%3Futm_source%3Dig%26utm_medium%3Dsocial%26utm_content%3Dlink_in_bio%26fbclid%3DPAZXh0bgNhZW0CMTEAc3J0YwZhcHBfaWQMMjU2MjgxMDQwNTU4AAGni9ivmU2E3JqtoCcLexXcdqTyercGkNtfkDYFL7ntkhQic7tTVjeNwcxoACg_aem_KO45FUFw-rHh08qoYMUPnw&amp;e=AT3xBZRAzk6IKYl26VH0K3dEtsrq3BazvEV3cA18I1Q1Tj-ja8FJCGAJ7CvyK8o0YnMmIohetkf6AB0aY-qlyF4VMUQfI7Uguy9F-ax9YQ</t>
  </si>
  <si>
    <t>ثامن الائمه(ع) (کانون بهشت)</t>
  </si>
  <si>
    <t>https://www.instagram.com/m.beheshtesamen</t>
  </si>
  <si>
    <t>https://eitaa.com/beheshtesamen</t>
  </si>
  <si>
    <t>https://www.instagram.com/mahdiekaraj.ir/</t>
  </si>
  <si>
    <t>محمد شهر</t>
  </si>
  <si>
    <t>https://www.instagram.com/mahdiiieh313/</t>
  </si>
  <si>
    <t>مهدی دلان</t>
  </si>
  <si>
    <t>https://www.instagram.com/mahdiyeinfo/</t>
  </si>
  <si>
    <t>https://eitaa.com/mahdiyeinfo</t>
  </si>
  <si>
    <t>محفل شاه کاظمین</t>
  </si>
  <si>
    <t>https://www.instagram.com/mahfel7/</t>
  </si>
  <si>
    <t>https://www.instagram.com/majma.fatemiyoun/</t>
  </si>
  <si>
    <t>https://www.instagram.com/majmae_montazeran313/</t>
  </si>
  <si>
    <t>https://www.instagram.com/maktab.zahra.fardis.fan/</t>
  </si>
  <si>
    <t xml:space="preserve">ماهدشت </t>
  </si>
  <si>
    <t>https://www.instagram.com/maktabol_zahra_karaj/</t>
  </si>
  <si>
    <t>https://www.instagram.com/maktabsadegh_karaj/</t>
  </si>
  <si>
    <t>مسجد علی بن ابیطالب(ع)</t>
  </si>
  <si>
    <t>مهستان (شهرجدیدهشتگرد)</t>
  </si>
  <si>
    <t>https://www.instagram.com/masjed__aliebnabitaleb</t>
  </si>
  <si>
    <t>https://www.instagram.com/masjed_imamjafarsadegh/</t>
  </si>
  <si>
    <t>مسجد جامع رجایی شهر</t>
  </si>
  <si>
    <t>رجایی شهر</t>
  </si>
  <si>
    <t>https://www.instagram.com/masjed_jameraja</t>
  </si>
  <si>
    <t>https://eitaa.com/masjed_jameraja</t>
  </si>
  <si>
    <t>مسجد موسی بن جعفر(ع)</t>
  </si>
  <si>
    <t>https://www.instagram.com/masjed_mousabne_jafar</t>
  </si>
  <si>
    <t>https://www.instagram.com/masjed.abolfazl.karaj/</t>
  </si>
  <si>
    <t>مسجد جامع پیامبراعظم (ص)</t>
  </si>
  <si>
    <t>https://www.instagram.com/masjedepayambar</t>
  </si>
  <si>
    <t>جوانان زینبیه</t>
  </si>
  <si>
    <t>https://www.instagram.com/masjedezeynabiyeh</t>
  </si>
  <si>
    <t>منهاج المهدی (عج)</t>
  </si>
  <si>
    <t>https://www.instagram.com/menhajalmahdi/</t>
  </si>
  <si>
    <t>https://www.instagram.com/mohammad_mahdi_malakzadeh/</t>
  </si>
  <si>
    <r>
      <rPr>
        <rFont val="-apple-system, BlinkMacSystemFont, &quot;Segoe UI&quot;, Roboto, Helvetica, Arial, sans-serif"/>
        <color rgb="FF1155CC"/>
        <sz val="11.0"/>
        <u/>
      </rPr>
      <t>t.me/sajjadieh_1380</t>
    </r>
  </si>
  <si>
    <t>محبان حضرت جوادالائمه(ع)</t>
  </si>
  <si>
    <t xml:space="preserve">مسجد جامع کرج </t>
  </si>
  <si>
    <t>https://www.instagram.com/moheban_javadolaeme/</t>
  </si>
  <si>
    <t>https://www.instagram.com/moheban_shohada2</t>
  </si>
  <si>
    <t>https://t.me/moheban_shohada2</t>
  </si>
  <si>
    <t>کوهسار</t>
  </si>
  <si>
    <t>https://www.instagram.com/moheban.mahdi.heyat</t>
  </si>
  <si>
    <t>https://eitaa.com/heyat_moheban_mahdi</t>
  </si>
  <si>
    <t>محبان حضرت اباالفضل (ع)</t>
  </si>
  <si>
    <t>https://www.instagram.com/mohebanabalfazl_video</t>
  </si>
  <si>
    <t>https://www.instagram.com/mohebanalmahdii</t>
  </si>
  <si>
    <t>http://t.me/mohbanalmahdi</t>
  </si>
  <si>
    <t>https://eitaa.com/mohbanalmahdii</t>
  </si>
  <si>
    <t>https://www.instagram.com/mohebanolhossein.ir</t>
  </si>
  <si>
    <t>محبان الائمه(ع)</t>
  </si>
  <si>
    <t>https://www.instagram.com/mohebbanolaemmeh_313</t>
  </si>
  <si>
    <t>https://www.instagram.com/mohebin_ahle_beyt_</t>
  </si>
  <si>
    <t>محبین الحسنین(ع) / امام الرئوف(ع)</t>
  </si>
  <si>
    <t>https://www.instagram.com/mohebinolhasanein_karaj/</t>
  </si>
  <si>
    <r>
      <rPr>
        <rFont val="-apple-system, BlinkMacSystemFont, &quot;Segoe UI&quot;, Roboto, Helvetica, Arial, sans-serif"/>
        <color rgb="FF1155CC"/>
        <sz val="11.0"/>
        <u/>
      </rPr>
      <t>t.me/heiatmohebinolhasanein201</t>
    </r>
  </si>
  <si>
    <t>https://www.instagram.com/mohseniekaraj/</t>
  </si>
  <si>
    <r>
      <rPr>
        <rFont val="-apple-system, BlinkMacSystemFont, &quot;Segoe UI&quot;, Roboto, Helvetica, Arial, sans-serif"/>
        <color rgb="FF1155CC"/>
        <sz val="11.0"/>
        <u/>
      </rPr>
      <t>t.me/MohsenieKaraj</t>
    </r>
  </si>
  <si>
    <t>منتقم الزهرا(عج)</t>
  </si>
  <si>
    <t>https://www.instagram.com/montaghemozahra313/</t>
  </si>
  <si>
    <t>https://t.me/Montaghem135</t>
  </si>
  <si>
    <t>https://www.instagram.com/montazeran_faraj110/</t>
  </si>
  <si>
    <t>https://l.instagram.com/?u=http%3A%2F%2Ft.me%2Fmontazeranfaraj110%3Futm_source%3Dig%26utm_medium%3Dsocial%26utm_content%3Dlink_in_bio%26fbclid%3DPAZXh0bgNhZW0CMTEAc3J0YwZhcHBfaWQMMjU2MjgxMDQwNTU4AAGnaCcsfAo5lrg23xomRjkL1AeOSxq-R7uPqQ4Bzm1XItTsfnqbbCYzFMyvii0_aem_KjU4MszVSb12TJF9jHqnOA&amp;e=AT20lYT6TxiyFZeAMej8Cfa7M6eb8YeavZ8ROovjQKCR9Sh2pbG3Pc_rEPOlSSJulAoFM7xNkxYAZ5ll3xKnaEX5HGmEGjq5rXeaAQHYpg</t>
  </si>
  <si>
    <t>https://www.instagram.com/montazeran_maahdi313</t>
  </si>
  <si>
    <t>https://t.me/montazeranmaahdii313</t>
  </si>
  <si>
    <t>منتظران مهدی موعود(عج)</t>
  </si>
  <si>
    <t>https://www.instagram.com/montazeran.87/</t>
  </si>
  <si>
    <t>منتظران مهدی(عج) (رزمندگان اسلام)</t>
  </si>
  <si>
    <t>https://www.instagram.com/Montazerane_karaj</t>
  </si>
  <si>
    <r>
      <rPr>
        <rFont val="-apple-system, BlinkMacSystemFont, &quot;Segoe UI&quot;, Roboto, Helvetica, Arial, sans-serif"/>
        <color rgb="FF1155CC"/>
        <sz val="11.0"/>
        <u/>
      </rPr>
      <t>t.me/montazerane_karaj</t>
    </r>
  </si>
  <si>
    <t>https://eitaa.com/montazerane_karaj</t>
  </si>
  <si>
    <t>منتظران موعود(عج)</t>
  </si>
  <si>
    <t>https://www.instagram.com/montazeranmouod128/</t>
  </si>
  <si>
    <t>https://www.instagram.com/moraghebine2/</t>
  </si>
  <si>
    <t>مصلی</t>
  </si>
  <si>
    <t>https://www.instagram.com/mosalla.karaj/</t>
  </si>
  <si>
    <t>گروه فرهنگی هنری مسجد امام حسین(ع)</t>
  </si>
  <si>
    <t>https://www.instagram.com/mosque_imam_hossein/</t>
  </si>
  <si>
    <t>https://t.me/mosque_imam_hossein</t>
  </si>
  <si>
    <t>https://www.instagram.com/motevaselin213/</t>
  </si>
  <si>
    <t>گروه موزیک</t>
  </si>
  <si>
    <t>https://www.instagram.com/music_shahzade_aliasqar/</t>
  </si>
  <si>
    <t>کبوتران حرم رضوی</t>
  </si>
  <si>
    <t>https://www.instagram.com/navayekabootar/</t>
  </si>
  <si>
    <t>کانون فرهنگی تبلیغی نورالهدی</t>
  </si>
  <si>
    <t>https://www.instagram.com/nooralhoda_8/</t>
  </si>
  <si>
    <t>موسسه نور و معرفت</t>
  </si>
  <si>
    <t>https://www.instagram.com/noorvamarefat/</t>
  </si>
  <si>
    <r>
      <rPr>
        <rFont val="-apple-system, BlinkMacSystemFont, &quot;Segoe UI&quot;, Roboto, Helvetica, Arial, sans-serif"/>
        <color rgb="FF1155CC"/>
        <sz val="11.0"/>
        <u/>
      </rPr>
      <t>t.me/noorvamarefat</t>
    </r>
  </si>
  <si>
    <t>https://www.instagram.com/noroshohada</t>
  </si>
  <si>
    <t>https://eitaa.com/nouroshohada</t>
  </si>
  <si>
    <t>https://www.instagram.com/oshagh.reza88/</t>
  </si>
  <si>
    <t>https://www.instagram.com/oshagholhosayn/</t>
  </si>
  <si>
    <t>https://t.me/heyat_oshagh</t>
  </si>
  <si>
    <t>https://www.instagram.com/rahrovaneshohada_karaj/</t>
  </si>
  <si>
    <t>https://eitaa.com/Rahrovaneshohada_karaj</t>
  </si>
  <si>
    <t>https://www.instagram.com/razmandeganefardis/</t>
  </si>
  <si>
    <r>
      <rPr>
        <rFont val="-apple-system, BlinkMacSystemFont, &quot;Segoe UI&quot;, Roboto, Helvetica, Arial, sans-serif"/>
        <color rgb="FF1155CC"/>
        <sz val="11.0"/>
        <u/>
      </rPr>
      <t>t.me/RazmandeganFardis</t>
    </r>
  </si>
  <si>
    <t>موسسه فرهنگی هنري کاربردي خیبر</t>
  </si>
  <si>
    <t>https://www.instagram.com/reihane_kheybar/</t>
  </si>
  <si>
    <t>ریحانه الحسین(س)</t>
  </si>
  <si>
    <t>https://www.instagram.com/reyhanatolhossein_es</t>
  </si>
  <si>
    <t>https://t.me/reyhanatolhossein_esh</t>
  </si>
  <si>
    <t>ريحانة النبي(سلام الله علیها)</t>
  </si>
  <si>
    <t>https://www.instagram.com/reyhanehat_alnabi_karaj/</t>
  </si>
  <si>
    <t>https://www.instagram.com/reyhanenabi.ir1</t>
  </si>
  <si>
    <t>روضه الارباب</t>
  </si>
  <si>
    <t>https://www.instagram.com/rozatolarbab110/</t>
  </si>
  <si>
    <t>https://t.me/rozatolarbab_karaj</t>
  </si>
  <si>
    <t>https://www.instagram.com/rozatolhosein_karaj</t>
  </si>
  <si>
    <t>https://l.instagram.com/?u=https%3A%2F%2Ft.me%2Frozatolhosein_krj%3Futm_source%3Dig%26utm_medium%3Dsocial%26utm_content%3Dlink_in_bio%26fbclid%3DPAZXh0bgNhZW0CMTEAc3J0YwZhcHBfaWQMMjU2MjgxMDQwNTU4AAGnfleIUdbEqsMuuyv03BS-SqPZrPs-wzPQ8EYtlGQEmj5EZEp7eZRcZkxghu0_aem_k67u_KZ-WzGv8-ZoTXWqUA&amp;e=AT0jKTT_oH90Off0bMa-VwG_P9DHB13xHvqCjCHKeHUIoclMEaDSoQ9seLwN5mxq1vYIhiaA-eVx4HxockHW_4bS2teCP8r9_JYBhVb8uQ</t>
  </si>
  <si>
    <t>https://www.instagram.com/sahebzaman_karaj</t>
  </si>
  <si>
    <t>موسسه قرآنی تسنیم</t>
  </si>
  <si>
    <t>https://www.instagram.com/tasnimqoran</t>
  </si>
  <si>
    <t>https://www.instagram.com/ya.zeynab.karaj/</t>
  </si>
  <si>
    <t>https://www.instagram.com/zeinabiyon_alborz</t>
  </si>
  <si>
    <t>زینبیه حصارک</t>
  </si>
  <si>
    <t>https://www.instagram.com/zeynabieh_karaj</t>
  </si>
  <si>
    <t>مجتمع فرهنگی مذهبی زینبیه</t>
  </si>
  <si>
    <t>گلشهر</t>
  </si>
  <si>
    <t>https://www.instagram.com/zeynabiyeh_golshahr_karaj</t>
  </si>
  <si>
    <t>https://eitaa.com/ZeynabiyehGolshahrKaraj</t>
  </si>
  <si>
    <t>زوارالرضا (ع)</t>
  </si>
  <si>
    <t>https://www.instagram.com/zovaralreza_8/</t>
  </si>
  <si>
    <t>https://eitaa.com/zovaralreza8</t>
  </si>
  <si>
    <t>ائمه اطهار (ع)</t>
  </si>
  <si>
    <t>https://eitaa.com/abna_lzahra</t>
  </si>
  <si>
    <t>اصحاب الحسین (ع)</t>
  </si>
  <si>
    <t>https://eitaa.com/ashabolhousein</t>
  </si>
  <si>
    <t>https://eitaa.com/AlborzHussainiyah</t>
  </si>
  <si>
    <t>الشهدا پیشاهنگی</t>
  </si>
  <si>
    <t>https://eitaa.com/heyatshohadapishahangi</t>
  </si>
  <si>
    <t>کمالشهر</t>
  </si>
  <si>
    <t>https://eitaa.com/ansaaar</t>
  </si>
  <si>
    <t>https://eitaa.com/ansarozzahra_mehestan1</t>
  </si>
  <si>
    <t>هیأت مناسبتی</t>
  </si>
  <si>
    <t>https://eitaa.com/heyyat_ansaralmhd</t>
  </si>
  <si>
    <t>https://eitaa.com/ansaralmahdi_krj</t>
  </si>
  <si>
    <t>بانوان مهدوی</t>
  </si>
  <si>
    <t>https://eitaa.com/Salam_bar_mahdi_fatemehh</t>
  </si>
  <si>
    <t xml:space="preserve">بنات الزهرا </t>
  </si>
  <si>
    <t>https://eitaa.com/H_banatozahra</t>
  </si>
  <si>
    <t>پایگاه  بسیج ترکیان</t>
  </si>
  <si>
    <t>https://t.me/shahidan_torkian</t>
  </si>
  <si>
    <t>https://eitaa.com/shahidan_torkian</t>
  </si>
  <si>
    <t>پایگاه بسیج ترکیان</t>
  </si>
  <si>
    <t>https://eitaa.com/SarallahKaraj</t>
  </si>
  <si>
    <t>جوانان عاشورایی علقمه</t>
  </si>
  <si>
    <t>https://t.me/Alghame133</t>
  </si>
  <si>
    <t>https://eitaa.com/alghame133</t>
  </si>
  <si>
    <t>حسینیه صنف لباس فروشان</t>
  </si>
  <si>
    <t>https://t.me/senflebasforoshan</t>
  </si>
  <si>
    <t xml:space="preserve">نظر آباد </t>
  </si>
  <si>
    <t>https://t.me/hazratrogayye</t>
  </si>
  <si>
    <t xml:space="preserve">نظرآباد </t>
  </si>
  <si>
    <t xml:space="preserve">محله رسالت </t>
  </si>
  <si>
    <t>https://eitaa.com/aliakbarkaraj</t>
  </si>
  <si>
    <t>دارالشهدا</t>
  </si>
  <si>
    <t>https://eitaa.com/daroshohada</t>
  </si>
  <si>
    <t xml:space="preserve">استهارد </t>
  </si>
  <si>
    <t xml:space="preserve">مهر شهر </t>
  </si>
  <si>
    <t>https://eitaa.com/razmandeganeshtehard</t>
  </si>
  <si>
    <t>رزمندگان اسلام (نورالشهدا)</t>
  </si>
  <si>
    <t>رزمندگان اسلام غرب (فاطمیون)</t>
  </si>
  <si>
    <t>https://eitaa.com/rhvkrj</t>
  </si>
  <si>
    <t>روضه الشهدا رزمندگان مهرشهر</t>
  </si>
  <si>
    <t>هیئت دانش آموزی</t>
  </si>
  <si>
    <t>https://eitaa.com/reihane_al_nabi</t>
  </si>
  <si>
    <t>زینبیه حضرت رقیه</t>
  </si>
  <si>
    <t>https://eitaa.com/zeynabie8gerd</t>
  </si>
  <si>
    <t>https://t.me/seyedezeinab</t>
  </si>
  <si>
    <t>https://eitaa.com/seyede_zeinab</t>
  </si>
  <si>
    <t>شهدای گمنام (متوسلین به حضرت زهرا(س))</t>
  </si>
  <si>
    <t>اشتهارد</t>
  </si>
  <si>
    <t>https://eitaa.com/hiatshohada</t>
  </si>
  <si>
    <t>عاشقان ثارالله(ع) مصباح</t>
  </si>
  <si>
    <t>https://eitaa.com/bouriyainfo</t>
  </si>
  <si>
    <t>عاشقان‌ثارالله</t>
  </si>
  <si>
    <t>https://t.me/asheghansarallah_karaj</t>
  </si>
  <si>
    <t>عاشورائی _ انصارالامام کرج</t>
  </si>
  <si>
    <t>https://t.me/n_ansaremam</t>
  </si>
  <si>
    <t>https://t.me/mokb_madine</t>
  </si>
  <si>
    <t>قرارگاه فرهنگی عمار</t>
  </si>
  <si>
    <t>https://eitaa.com/ammar_enghlab</t>
  </si>
  <si>
    <t>https://eitaa.com/hosseinieh313</t>
  </si>
  <si>
    <t>کانون فرهنگی غدیر</t>
  </si>
  <si>
    <t>https://eitaa.com/kanoon_ghaadir</t>
  </si>
  <si>
    <t>متوسلین به مسلم بن عقیل(ع)</t>
  </si>
  <si>
    <t>https://eitaa.com/haj_moslem_hadian</t>
  </si>
  <si>
    <t>محبان الائمه (ع) رزمندگان فردیس</t>
  </si>
  <si>
    <t>https://eitaa.com/mohebbanallemmehfardis</t>
  </si>
  <si>
    <t>https://eitaa.com/mohebban_almahdii</t>
  </si>
  <si>
    <t>https://eitaa.com/mohebban_mahdi1</t>
  </si>
  <si>
    <t>محبان امام حسن(ع)</t>
  </si>
  <si>
    <t>https://eitaa.com/LoversofHassan</t>
  </si>
  <si>
    <t>https://t.me/mohebbinolaeemekhor</t>
  </si>
  <si>
    <t>محبین الائمه(ع)</t>
  </si>
  <si>
    <t>https://eitaa.com/mohebbinolaemmeh79</t>
  </si>
  <si>
    <t>https://eitaa.com/masjedalmahdi_karaj</t>
  </si>
  <si>
    <t>مسجد المهدی(ع)</t>
  </si>
  <si>
    <t>مسجد جامع المهدی (عج) / حضرت روح الله (ره)</t>
  </si>
  <si>
    <t>https://eitaa.com/almahdifardis</t>
  </si>
  <si>
    <t>مسجد جامع حصارک</t>
  </si>
  <si>
    <t>https://eitaa.com/masjeed_jame</t>
  </si>
  <si>
    <t>مسجدحضرت خدیجه (س)</t>
  </si>
  <si>
    <t>https://eitaa.com/masjed_hazratkhadijeh</t>
  </si>
  <si>
    <t>ساوجبلاغ هشتگرد</t>
  </si>
  <si>
    <t>https://eitaa.com/meraajoshohadaa</t>
  </si>
  <si>
    <t>معظم بنات الحیدر</t>
  </si>
  <si>
    <t>https://eitaa.com/montazeranfardis</t>
  </si>
  <si>
    <t>نصارالحسین(ع)</t>
  </si>
  <si>
    <t>https://eitaa.com/ansarollhosain</t>
  </si>
  <si>
    <t>یافاطمه الزهرا (س) / خادمین بیت الشهدا</t>
  </si>
  <si>
    <t>https://eitaa.com/yafatemekhadmin</t>
  </si>
  <si>
    <t>زائرین بهشت(موکب خدام الزهراء)</t>
  </si>
  <si>
    <t>https://eitaa.com/mokeb_khodam_alzahra</t>
  </si>
  <si>
    <t>رزمندگان اسلام مکشین دشت</t>
  </si>
  <si>
    <t>https://www.instagram.com/montazerane_karaj</t>
  </si>
  <si>
    <t>http://t.me/Montazerane_karaj</t>
  </si>
  <si>
    <t>https://eitaa.com/HEYATOZAHRA_IR</t>
  </si>
  <si>
    <t>انصار الامام</t>
  </si>
  <si>
    <t>https://eitaa.com/etrate_ansar</t>
  </si>
  <si>
    <t>https://eitaa.com/zeinabiyon_it</t>
  </si>
  <si>
    <t>دانشگاه سمنان</t>
  </si>
  <si>
    <t>https://www.instagram.com/abna_heyat/</t>
  </si>
  <si>
    <t>https://eitaa.com/abna_heyat</t>
  </si>
  <si>
    <t>ابناالحسین</t>
  </si>
  <si>
    <t>احرار الحسن(ع)</t>
  </si>
  <si>
    <t>مهدیشهر</t>
  </si>
  <si>
    <t>https://www.instagram.com/ahrarolhoseinn/</t>
  </si>
  <si>
    <t>https://t.me/ahrarolhosseinn/</t>
  </si>
  <si>
    <t>https://eitaa.com/ahrarolhosseinn</t>
  </si>
  <si>
    <t>https://eitaa.com/alzahrashahrood</t>
  </si>
  <si>
    <t>https://www.instagram.com/asheghanmahdi_ir/</t>
  </si>
  <si>
    <t>https://eitaa.com/asheghanmahdi_ir</t>
  </si>
  <si>
    <t>https://eitaa.com/asheghansarallah1</t>
  </si>
  <si>
    <t>کهن اباد</t>
  </si>
  <si>
    <t>https://eitaa.com/beitolzahra_kohanabad</t>
  </si>
  <si>
    <t>محبان اهل بیت - ساختمان بیت الزهرا (س)</t>
  </si>
  <si>
    <t>مهدی شهر</t>
  </si>
  <si>
    <t>https://eitaa.com/beytozzahra_mahdishahr</t>
  </si>
  <si>
    <t>سرخه</t>
  </si>
  <si>
    <t>https://eitaa.com/Ehasanir</t>
  </si>
  <si>
    <t>فدائیان شهید علقمه</t>
  </si>
  <si>
    <t>https://www.instagram.com/fadaeian_shahid_alghame/</t>
  </si>
  <si>
    <t>https://eitaa.com/fadaeian_shahid_alghame</t>
  </si>
  <si>
    <t>https://eitaa.com/fatemiunsemnan</t>
  </si>
  <si>
    <t>فاطمیون دیزج</t>
  </si>
  <si>
    <t>https://www.instagram.com/fatemiyondizej</t>
  </si>
  <si>
    <t>https://www.instagram.com/heiatorreza_sem/</t>
  </si>
  <si>
    <t>https://eitaa.com/heiatorreza_sem</t>
  </si>
  <si>
    <t>https://www.instagram.com/heyat.hazrat_aliakbar/</t>
  </si>
  <si>
    <t>https://eitaa.com/heyataliakbarsemnan</t>
  </si>
  <si>
    <t>حسینیه کودک هیات الشهدا</t>
  </si>
  <si>
    <t>https://eitaa.com/heyatshohadashahrood</t>
  </si>
  <si>
    <t>ایوانکی</t>
  </si>
  <si>
    <t>https://eitaa.com/hfatemieh_eyvaneky</t>
  </si>
  <si>
    <t>https://www.instagram.com/janatolroghayeh_semnan/</t>
  </si>
  <si>
    <t>https://eitaa.com/janatolroghaye</t>
  </si>
  <si>
    <t>خادم العباس</t>
  </si>
  <si>
    <t>https://www.instagram.com/h_khademolabbas/</t>
  </si>
  <si>
    <t>https://t.me/com_khademinabbas</t>
  </si>
  <si>
    <t>https://eitaa.com/khademinabbas</t>
  </si>
  <si>
    <t>https://www.instagram.com/levaozeynab_semnan</t>
  </si>
  <si>
    <t>https://t.me/levaozeynab_semnan1387</t>
  </si>
  <si>
    <t>https://eitaa.com/levaozeynab_semnan1387</t>
  </si>
  <si>
    <t>https://www.instagram.com/mahfel.moheban.hosein/</t>
  </si>
  <si>
    <t>https://t.me/mahfelmohebanhosein</t>
  </si>
  <si>
    <t>https://eitaa.com/mahfel_moheban_hosein</t>
  </si>
  <si>
    <t>https://www.instagram.com/majma_abolfazl_sorkheh</t>
  </si>
  <si>
    <t>t.me/majma_abolfazl_sorkheh</t>
  </si>
  <si>
    <t>https://eitaa.com/majma_abolfazl_sorkheh</t>
  </si>
  <si>
    <t>https://www.instagram.com/maktab.semnan/</t>
  </si>
  <si>
    <t>https://eitaa.com/maktab_semnan</t>
  </si>
  <si>
    <t>مصباح الهدی مدینه الشهدا</t>
  </si>
  <si>
    <t>دامغان</t>
  </si>
  <si>
    <t>https://eitaa.com/media_mesbah_damghan</t>
  </si>
  <si>
    <t>میانداران خدمت</t>
  </si>
  <si>
    <t>https://eitaa.com/miandaranekhedmat</t>
  </si>
  <si>
    <t>محبین فاطمه الزهرا</t>
  </si>
  <si>
    <t>https://www.instagram.com/mohebin135/</t>
  </si>
  <si>
    <t>https://t.me/mohebiin</t>
  </si>
  <si>
    <t>https://eitaa.com/mohebiin135</t>
  </si>
  <si>
    <t>https://www.instagram.com/mokeb_damghan</t>
  </si>
  <si>
    <t>https://t.me/mokeb_damghan</t>
  </si>
  <si>
    <t>https://eitaa.com/mokeb_damghan</t>
  </si>
  <si>
    <t>متوسلین موسی بن جعفر</t>
  </si>
  <si>
    <t>https://www.instagram.com/motavaselin.mosabnejafar/</t>
  </si>
  <si>
    <t>https://eitaa.com/motavaselinmosabengafarsemnan</t>
  </si>
  <si>
    <t>کانون فرهنگی موسسه فرهنگی تربیتی نورا</t>
  </si>
  <si>
    <t>https://eitaa.com/noora_ir1</t>
  </si>
  <si>
    <t>https://eitaa.com/oshagh92</t>
  </si>
  <si>
    <t>https://eitaa.com/oshagholhosaingarman</t>
  </si>
  <si>
    <t>رایةالعباس</t>
  </si>
  <si>
    <t>https://www.instagram.com/alkafiiil/</t>
  </si>
  <si>
    <t>https://t.me/rayatoolabas</t>
  </si>
  <si>
    <t>https://eitaa.com/rayatoolabas</t>
  </si>
  <si>
    <t>ریحانه الحسین(ع)</t>
  </si>
  <si>
    <t>آرادان</t>
  </si>
  <si>
    <t>https://www.instagram.com/reyhanatolhossein315</t>
  </si>
  <si>
    <r>
      <rPr>
        <rFont val="-apple-system, BlinkMacSystemFont, &quot;Segoe UI&quot;, Roboto, Helvetica, Arial, sans-serif"/>
        <color rgb="FF1155CC"/>
        <sz val="10.0"/>
        <u/>
      </rPr>
      <t>t.me/Reyhana_hosein</t>
    </r>
  </si>
  <si>
    <t>https://eitaa.com/reyhanatolhoseinaradan</t>
  </si>
  <si>
    <t>امامین جوادین</t>
  </si>
  <si>
    <t>https://www.instagram.com/javadein14/</t>
  </si>
  <si>
    <t>https://t.me/javadein14</t>
  </si>
  <si>
    <t>https://eitaa.com/s/Javadein14</t>
  </si>
  <si>
    <t>https://eitaa.com/shohadayegomnaam</t>
  </si>
  <si>
    <t>https://eitaa.com/yazahra_semnan</t>
  </si>
  <si>
    <t>https://t.me/ansaralhossinsorkheh</t>
  </si>
  <si>
    <t>https://www.instagram.com/asheghansarallah/</t>
  </si>
  <si>
    <t>https://www.eitaa.com/asheghansarallah1</t>
  </si>
  <si>
    <t>حسینیه اعظم سمنان</t>
  </si>
  <si>
    <t>https://www.instagram.com/hoseinie_azam_semnan/</t>
  </si>
  <si>
    <t>https://t.me/Hoseyniyeh_Azam_Semnan</t>
  </si>
  <si>
    <t>https://www.eitaa.com/hoseyniyeh_azam_semnan</t>
  </si>
  <si>
    <t>https://www.instagram.com/_beytol_abbas_/</t>
  </si>
  <si>
    <t>https://www.instagram.com/ahlbayt_ir/</t>
  </si>
  <si>
    <t>https://t.me/ahlbayt_ir</t>
  </si>
  <si>
    <t>گرمسار</t>
  </si>
  <si>
    <t>https://www.instagram.com/ahrar_alhasan118/</t>
  </si>
  <si>
    <r>
      <rPr>
        <rFont val="-apple-system, BlinkMacSystemFont, &quot;Segoe UI&quot;, Roboto, Helvetica, Arial, sans-serif"/>
        <color rgb="FF1155CC"/>
        <sz val="11.0"/>
        <u/>
      </rPr>
      <t>t.me/zarih.net</t>
    </r>
  </si>
  <si>
    <t>https://www.instagram.com/ahrarhoseyndamghan/</t>
  </si>
  <si>
    <t>https://www.instagram.com/alamdar_damghan/</t>
  </si>
  <si>
    <r>
      <rPr>
        <rFont val="-apple-system, BlinkMacSystemFont, &quot;Segoe UI&quot;, Roboto, Helvetica, Arial, sans-serif"/>
        <color rgb="FF1155CC"/>
        <sz val="11.0"/>
        <u/>
      </rPr>
      <t>tlgrm.me/mahfeleashck133</t>
    </r>
  </si>
  <si>
    <t>https://www.instagram.com/alamdar_shahrood/</t>
  </si>
  <si>
    <t>https://t.me/alamdar_shahrood</t>
  </si>
  <si>
    <t>https://www.instagram.com/aliasghar.1380.ir/</t>
  </si>
  <si>
    <t>https://www.instagram.com/ammeyesadatdamghan/</t>
  </si>
  <si>
    <r>
      <rPr>
        <rFont val="-apple-system, BlinkMacSystemFont, &quot;Segoe UI&quot;, Roboto, Helvetica, Arial, sans-serif"/>
        <color rgb="FF1155CC"/>
        <sz val="11.0"/>
        <u/>
      </rPr>
      <t>t.me/ammehsadat69</t>
    </r>
  </si>
  <si>
    <t>انصار الرضا</t>
  </si>
  <si>
    <t>https://www.instagram.com/ansarolreza_semnan/</t>
  </si>
  <si>
    <t>https://t.me/a_ro_reza</t>
  </si>
  <si>
    <t>https://www.instagram.com/ansaroreza_damghan/</t>
  </si>
  <si>
    <t>https://www.instagram.com/asheghan_abolfazl_1396/</t>
  </si>
  <si>
    <r>
      <rPr>
        <rFont val="-apple-system, BlinkMacSystemFont, &quot;Segoe UI&quot;, Roboto, Helvetica, Arial, sans-serif"/>
        <color rgb="FF1155CC"/>
        <sz val="11.0"/>
        <u/>
      </rPr>
      <t>t.me/asheghan_abolfazl_1396</t>
    </r>
  </si>
  <si>
    <t>شهمیرزاد</t>
  </si>
  <si>
    <t>https://www.instagram.com/ashooraeishahmirzad/</t>
  </si>
  <si>
    <t>بانوی مدینه</t>
  </si>
  <si>
    <t>درجزین</t>
  </si>
  <si>
    <t>https://www.instagram.com/bano_madene/</t>
  </si>
  <si>
    <t>https://www.instagram.com/beytolabbas_semnan/</t>
  </si>
  <si>
    <t>https://t.me/beyt133</t>
  </si>
  <si>
    <t>https://www.instagram.com/beytozahra_semnan/</t>
  </si>
  <si>
    <r>
      <rPr>
        <rFont val="-apple-system, BlinkMacSystemFont, &quot;Segoe UI&quot;, Roboto, Helvetica, Arial, sans-serif"/>
        <color rgb="FF1155CC"/>
        <sz val="11.0"/>
        <u/>
      </rPr>
      <t>t.me/beytozahrasemnan</t>
    </r>
  </si>
  <si>
    <t>محبین حسن ابن علی</t>
  </si>
  <si>
    <t>https://www.instagram.com/bi_haram118/</t>
  </si>
  <si>
    <t>https://www.instagram.com/dabaghan_dm</t>
  </si>
  <si>
    <t>https://www.instagram.com/darolboka_128/</t>
  </si>
  <si>
    <t>https://www.instagram.com/emam.hossein.semnan/</t>
  </si>
  <si>
    <r>
      <rPr>
        <rFont val="-apple-system, BlinkMacSystemFont, &quot;Segoe UI&quot;, Roboto, Helvetica, Arial, sans-serif"/>
        <color rgb="FF1155CC"/>
        <sz val="11.0"/>
        <u/>
      </rPr>
      <t>t.me/heyat_emamhossein_semnan</t>
    </r>
  </si>
  <si>
    <t>https://www.instagram.com/fatemiunsemnan/</t>
  </si>
  <si>
    <t>https://t.me/fatemiunsemnan</t>
  </si>
  <si>
    <t>قتلگاه</t>
  </si>
  <si>
    <t>https://www.instagram.com/ghatlegah_semnan/</t>
  </si>
  <si>
    <t>https://t.me/ghatlegah_semnan</t>
  </si>
  <si>
    <t>رزمندگان اسلام _ عاشقان ثارالله (ع)</t>
  </si>
  <si>
    <t>https://www.instagram.com/h_razmandegan_semnan/</t>
  </si>
  <si>
    <t>حضرت قاسم</t>
  </si>
  <si>
    <t>بسطام</t>
  </si>
  <si>
    <t>https://www.instagram.com/hazratghasem_/</t>
  </si>
  <si>
    <t>https://www.instagram.com/heiatozahra.ir/</t>
  </si>
  <si>
    <r>
      <rPr>
        <rFont val="-apple-system, BlinkMacSystemFont, &quot;Segoe UI&quot;, Roboto, Helvetica, Arial, sans-serif"/>
        <color rgb="FF1155CC"/>
        <sz val="11.0"/>
        <u/>
      </rPr>
      <t>t.me/heiatolzahra_ir</t>
    </r>
  </si>
  <si>
    <t>https://www.instagram.com/heyat_aliakbar_garmsar/</t>
  </si>
  <si>
    <t>https://www.instagram.com/heyat_ansarshohada/</t>
  </si>
  <si>
    <t>عاشقان صاحب الزمان</t>
  </si>
  <si>
    <t>https://www.instagram.com/heyat_asheghan_saheb_alzaman/</t>
  </si>
  <si>
    <t>عزاداران حسینی جهادیه</t>
  </si>
  <si>
    <t>https://www.instagram.com/heyat_jahadie/</t>
  </si>
  <si>
    <t>محبین قمر بنی هاشم</t>
  </si>
  <si>
    <t>https://www.instagram.com/heyat_qamar/</t>
  </si>
  <si>
    <t>18137‍‍‍</t>
  </si>
  <si>
    <t>https://www.instagram.com/heyat_yasekabood/</t>
  </si>
  <si>
    <r>
      <rPr>
        <rFont val="-apple-system, BlinkMacSystemFont, &quot;Segoe UI&quot;, Roboto, Helvetica, Arial, sans-serif"/>
        <color rgb="FF1155CC"/>
        <sz val="11.0"/>
        <u/>
      </rPr>
      <t>t.me/heyat_yasekabood</t>
    </r>
  </si>
  <si>
    <t>https://www.instagram.com/heyat_zeynabiyoon_semnan/</t>
  </si>
  <si>
    <t>https://t.me/zeynabiyoon69semnan</t>
  </si>
  <si>
    <t>بیت الاحزان حضرت زهرا</t>
  </si>
  <si>
    <t>https://www.instagram.com/heyat.beytolahzan/</t>
  </si>
  <si>
    <t>https://t.me/beytoalahzan110</t>
  </si>
  <si>
    <t>جوادلائمه (ع)</t>
  </si>
  <si>
    <t>https://www.instagram.com/heyat.javadolaeme</t>
  </si>
  <si>
    <t>علمداران باب الحوائج</t>
  </si>
  <si>
    <t>https://www.instagram.com/heyatalamdaran_sangesar/</t>
  </si>
  <si>
    <t>22859‍‍</t>
  </si>
  <si>
    <t>عاشقان ثارالله (ع) / عاشقان ولایت</t>
  </si>
  <si>
    <t>https://www.instagram.com/heyatasheghansarallahdarjezin/</t>
  </si>
  <si>
    <t>https://www.instagram.com/heyatasheghanvelayat_semnan/</t>
  </si>
  <si>
    <t>https://t.me/asheghanvelayat_sem</t>
  </si>
  <si>
    <t>https://www.instagram.com/heyatasheghanvelayat.semnan/</t>
  </si>
  <si>
    <t>امام جعفر صادق</t>
  </si>
  <si>
    <t>https://www.instagram.com/heyate_emam_jafare_sadegh/</t>
  </si>
  <si>
    <t>https://www.instagram.com/heyathonar_semnan/</t>
  </si>
  <si>
    <t>الشهدای</t>
  </si>
  <si>
    <t>https://www.instagram.com/heyatshohadashahrood/</t>
  </si>
  <si>
    <r>
      <rPr>
        <rFont val="-apple-system, BlinkMacSystemFont, &quot;Segoe UI&quot;, Roboto, Helvetica, Arial, sans-serif"/>
        <color rgb="FF1155CC"/>
        <sz val="11.0"/>
        <u/>
      </rPr>
      <t>t.me/heyatshohadashahrood‌</t>
    </r>
  </si>
  <si>
    <t>https://www.instagram.com/hmvd1378/</t>
  </si>
  <si>
    <t>https://www.instagram.com/hoseyniyeh_azam.semnan/</t>
  </si>
  <si>
    <t>https://www.instagram.com/jannatolhossein_semnan/</t>
  </si>
  <si>
    <t>https://eitaa.com/jannatolhossein_semnan</t>
  </si>
  <si>
    <t>کهف العباس</t>
  </si>
  <si>
    <t>https://www.instagram.com/kahfol_abbas_133/</t>
  </si>
  <si>
    <t>خیمةالحسین</t>
  </si>
  <si>
    <t>https://www.instagram.com/kheymatolhosein128/</t>
  </si>
  <si>
    <t>https://www.instagram.com/levaozeynab_semnan/</t>
  </si>
  <si>
    <t>https://www.instagram.com/mahdiehsemnan/</t>
  </si>
  <si>
    <t>محفل اشک زینب (س)</t>
  </si>
  <si>
    <t>https://www.instagram.com/mahfelashk69/</t>
  </si>
  <si>
    <t>https://www.instagram.com/mahfelrozatolhosain/</t>
  </si>
  <si>
    <t>https://www.instagram.com/maktab_sem/</t>
  </si>
  <si>
    <t>https://t.me/maktab_sem</t>
  </si>
  <si>
    <t>https://www.instagram.com/maktabazzahra_ir/</t>
  </si>
  <si>
    <r>
      <rPr>
        <rFont val="-apple-system, BlinkMacSystemFont, &quot;Segoe UI&quot;, Roboto, Helvetica, Arial, sans-serif"/>
        <color rgb="FF1155CC"/>
        <sz val="11.0"/>
        <u/>
      </rPr>
      <t>t.me/maktabazzahra_ir</t>
    </r>
  </si>
  <si>
    <t>https://www.instagram.com/maktabolabas.semnan/</t>
  </si>
  <si>
    <t>https://www.instagram.com/moheban_hossein7/</t>
  </si>
  <si>
    <t>https://t.me/Moheban_Hossein7</t>
  </si>
  <si>
    <t>محبان روح الله</t>
  </si>
  <si>
    <t>https://www.instagram.com/mohebane_rouhollah/</t>
  </si>
  <si>
    <t>https://t.me/mohebane_rouhollah‌</t>
  </si>
  <si>
    <t>https://www.instagram.com/mohebbin_/</t>
  </si>
  <si>
    <t>محبین آل رسول الله</t>
  </si>
  <si>
    <t>https://www.instagram.com/mohebinalrasolall/</t>
  </si>
  <si>
    <t>محبین الزهرا پنج تن آل عبا</t>
  </si>
  <si>
    <t>شهرک گلستان</t>
  </si>
  <si>
    <t>https://www.instagram.com/mohebinoozahra/</t>
  </si>
  <si>
    <t>https://www.instagram.com/mokeb_oshagh_abas_semnan/</t>
  </si>
  <si>
    <t>انصار المهدی(عج)</t>
  </si>
  <si>
    <t>https://www.instagram.com/nojaba_net/</t>
  </si>
  <si>
    <t>https://www.instagram.com/noralzahra135/</t>
  </si>
  <si>
    <t>https://www.instagram.com/om_almasaeb_/</t>
  </si>
  <si>
    <t>https://www.instagram.com/oshagh_alroghayeh_semnan/</t>
  </si>
  <si>
    <t>https://www.instagram.com/oshagh.almahdi.semnan/</t>
  </si>
  <si>
    <t>روستای گرمن</t>
  </si>
  <si>
    <t>https://www.instagram.com/oshagholhosaingarman/</t>
  </si>
  <si>
    <t>https://www.instagram.com/gharargahe_mersad</t>
  </si>
  <si>
    <t>https://www.instagram.com/resaneh_kosar315</t>
  </si>
  <si>
    <t>https://www.instagram.com/reyhaneh_al.hossein.board/</t>
  </si>
  <si>
    <t>روضةالمخدرات</t>
  </si>
  <si>
    <t>https://www.instagram.com/rozatolmokhadarat/</t>
  </si>
  <si>
    <t>https://t.me/rozatolmokhadarat</t>
  </si>
  <si>
    <t>https://www.instagram.com/rozatoshohada_garmsar/</t>
  </si>
  <si>
    <t>https://www.instagram.com/samen_heiat/</t>
  </si>
  <si>
    <t>https://t.me/samen_heiat</t>
  </si>
  <si>
    <t>رزمندگان اسلام - عاشقان ثارالله</t>
  </si>
  <si>
    <t>https://www.instagram.com/sarallah__garmsar/</t>
  </si>
  <si>
    <t>https://t.me/sarallah_garmsar</t>
  </si>
  <si>
    <t>موسسه سید الشهدا</t>
  </si>
  <si>
    <t>https://www.instagram.com/sayyed_ashohada/</t>
  </si>
  <si>
    <t>محبان فاطمه (س)</t>
  </si>
  <si>
    <t>https://www.instagram.com/semnan.mohebban/</t>
  </si>
  <si>
    <t>https://www.instagram.com/seyedoshohada_semnan/</t>
  </si>
  <si>
    <t>https://www.instagram.com/tekyeh_posht_khandagh_sorkheh/</t>
  </si>
  <si>
    <t>https://t.me/tkyeh_posht_khandagh</t>
  </si>
  <si>
    <t>زوارالحسین (ع)</t>
  </si>
  <si>
    <t>https://www.instagram.com/zavar_al_hosein_semnan/</t>
  </si>
  <si>
    <t>https://www.instagram.com/zovaarolzahra.ir/</t>
  </si>
  <si>
    <t>https://t.me/shahidegomnam133</t>
  </si>
  <si>
    <t>https://www.instagram.com/heyat_imam.reza1365</t>
  </si>
  <si>
    <t>https://eitaa.com/heyat_yasekabood</t>
  </si>
  <si>
    <t>https://eitaa.com/namazjome_semnan</t>
  </si>
  <si>
    <t>حوزه علمیه برادران</t>
  </si>
  <si>
    <t>https://www.instagram.com/sadeghie_hozeh</t>
  </si>
  <si>
    <t>https://eitaa.com/m_haw_baradar_semnan</t>
  </si>
  <si>
    <t>https://www.instagram.com/alzahrasem</t>
  </si>
  <si>
    <t>https://eitaa.com/alzahrasem</t>
  </si>
  <si>
    <t>https://www.instagram.com/ansaralmahdi_semnan</t>
  </si>
  <si>
    <t>https://www.instagram.com/heyat.hazrat_aliakbar</t>
  </si>
  <si>
    <t>https://www.instagram.com/maktab_du</t>
  </si>
  <si>
    <t>https://eitaa.com/maktab_du</t>
  </si>
  <si>
    <t>https://www.instagram.com/asheghan_abolfazl_1396</t>
  </si>
  <si>
    <t>https://eitaa.com/asheghan_abolfazl_1396</t>
  </si>
  <si>
    <t>https://www.instagram.com/moheban.damghan</t>
  </si>
  <si>
    <t>امام سجاد(ع)</t>
  </si>
  <si>
    <t>https://eitaa.com/hosseiniesajjad</t>
  </si>
  <si>
    <t>تکیه ابوالفضل(ع)</t>
  </si>
  <si>
    <t>https://www.instagram.com/tekiye133</t>
  </si>
  <si>
    <t>https://eitaa.com/tekiye_133</t>
  </si>
  <si>
    <t>https://www.instagram.com/banifatemehdamghan</t>
  </si>
  <si>
    <t>https://www.instagram.com/mukeb14</t>
  </si>
  <si>
    <t>https://t.me/asheghanhosyini</t>
  </si>
  <si>
    <t>امام موسی بن جعفر(ع)</t>
  </si>
  <si>
    <t>https://eitaa.com/masjed_313</t>
  </si>
  <si>
    <t>https://www.instagram.com/heyate_beynolharamein</t>
  </si>
  <si>
    <t>https://www.instagram.com/2rahi.eshgh</t>
  </si>
  <si>
    <t>علمداران دوکوهه</t>
  </si>
  <si>
    <t>https://t.me/dokohe313</t>
  </si>
  <si>
    <t>https://eitaa.com/dokohe313</t>
  </si>
  <si>
    <t>https://eitaa.com/razmandganz</t>
  </si>
  <si>
    <t>https://www.instagram.com/ghasemebnelhasan88</t>
  </si>
  <si>
    <t>https://t.me/ghasemabnelhasan88</t>
  </si>
  <si>
    <t>https://www.instagram.com/nojaba_net</t>
  </si>
  <si>
    <t>مهدیه / سخن سرای امام زمان(عج)</t>
  </si>
  <si>
    <t>https://www.instagram.com/mahdeieh.sorkhe</t>
  </si>
  <si>
    <t>https://eitaa.com/mahdiyesorkheh</t>
  </si>
  <si>
    <t>https://www.instagram.com/masjed_valiasr_sorkheh</t>
  </si>
  <si>
    <t>https://www.instagram.com/oshshagholhosein</t>
  </si>
  <si>
    <t>https://t.me/oshshagholhosein</t>
  </si>
  <si>
    <t>https://eitaa.com/oshshagholhosein</t>
  </si>
  <si>
    <t>رزمندگان سیدالشهدا (ع)</t>
  </si>
  <si>
    <t>https://www.instagram.com/seyyedalshohadasorkheh</t>
  </si>
  <si>
    <t>https://t.me/seyyedalshohadasorkheh</t>
  </si>
  <si>
    <t>https://www.eitaa.com/seyyedalshohadasorkheh</t>
  </si>
  <si>
    <t>https://www.instagram.com/emam.hossein.semnan</t>
  </si>
  <si>
    <t>https://www.instagram.com/zavar_al_hosein_semnan</t>
  </si>
  <si>
    <t>https://eitaa.com/zovaralhoseinsemnan</t>
  </si>
  <si>
    <t>دانش آموزی انصارالمهدی (عج)</t>
  </si>
  <si>
    <t>https://t.me/Ansarol_mahdi_semnan</t>
  </si>
  <si>
    <t>https://eitaa.com/ansarihair</t>
  </si>
  <si>
    <t>مجموعه فرهنگی تربیتی محیا</t>
  </si>
  <si>
    <t>https://www.instagram.com/mft.mahya</t>
  </si>
  <si>
    <t>https://t.me/khadememahdi1</t>
  </si>
  <si>
    <t>پایگاه</t>
  </si>
  <si>
    <t>https://eitaa.com/paygah_javad_al_aemme_semnan</t>
  </si>
  <si>
    <t>https://www.instagram.com/semnan__hamdeli</t>
  </si>
  <si>
    <t>https://eitaa.com/semnan_hamdeli</t>
  </si>
  <si>
    <t>رزمندگان اسلام عاشقان ولایت</t>
  </si>
  <si>
    <t>https://www.instagram.com/heyatasheghanvelayat_live</t>
  </si>
  <si>
    <t>https://www.instagram.com/roze213_</t>
  </si>
  <si>
    <t>ام المومنین حضرت خدیجه کبری (س)</t>
  </si>
  <si>
    <t>https://eitaa.com/ya_khadije_kobra</t>
  </si>
  <si>
    <t>https://www.instagram.com/alkafiiil</t>
  </si>
  <si>
    <t>رهروان بقیه الله (عج)</t>
  </si>
  <si>
    <t>https://t.me/rahrovan_semnan</t>
  </si>
  <si>
    <t>https://eitaa.com/rahrovan_semnan</t>
  </si>
  <si>
    <t>https://www.instagram.com/_montazeran.mhdi_</t>
  </si>
  <si>
    <t>https://www.instagram.com/heyatoshohada_semnan</t>
  </si>
  <si>
    <t>https://t.me/heyatalshohada</t>
  </si>
  <si>
    <t>موسسه فرهنگی اندیشه نو</t>
  </si>
  <si>
    <t>https://www.instagram.com/andishe_noe</t>
  </si>
  <si>
    <t>بنیاد دعبل خزاعی</t>
  </si>
  <si>
    <t>https://t.me/deabel_ir</t>
  </si>
  <si>
    <t>https://eitaa.com/deabel_ir</t>
  </si>
  <si>
    <t>متوسلین به موسی بن جعفر (ع)</t>
  </si>
  <si>
    <t>https://t.me/mtvslynmusabnjafar</t>
  </si>
  <si>
    <t>https://www.instagram.com/tekiye.abbasiyeh</t>
  </si>
  <si>
    <t>https://www.instagram.com/reyhanatonnabyy1437</t>
  </si>
  <si>
    <t>https://eitaa.com/REYHANATONNABYY1437</t>
  </si>
  <si>
    <t>شبیه خوانی نوای کربلا</t>
  </si>
  <si>
    <t>https://www.instagram.com/navayekarbala__shahrood</t>
  </si>
  <si>
    <t>زنجیرزنی موسی بن جعفر (ع)بسطام</t>
  </si>
  <si>
    <t>https://www.instagram.com/masjed_musabnjafar_bastam4373/</t>
  </si>
  <si>
    <t>https://t.me/muosabne_jafar</t>
  </si>
  <si>
    <t>هیأت الرضا (ع) شاهرود</t>
  </si>
  <si>
    <t>https://www.instagram.com/hyat_oreza_shahrood_</t>
  </si>
  <si>
    <t>https://t.me/hyattoreza</t>
  </si>
  <si>
    <t>اندیشه ی کوثر</t>
  </si>
  <si>
    <t>https://eitaa.com/resaneh_kosar</t>
  </si>
  <si>
    <t>https://www.instagram.com/heyatasheghanvelayat</t>
  </si>
  <si>
    <t>یا مهدی (عج)</t>
  </si>
  <si>
    <t>https://www.instagram.com/yamahdi_shahrood</t>
  </si>
  <si>
    <t>https://eitaa.com/yamahdi_shahrood</t>
  </si>
  <si>
    <t>متوسلین به حضرت علی اصغر (ع) دیزج</t>
  </si>
  <si>
    <t>https://www.instagram.com/heyat_hazrat_aliasghar1375</t>
  </si>
  <si>
    <t>https://eitaa.com/HeyatAli_asghar</t>
  </si>
  <si>
    <t>https://www.instagram.com/omeabiha.59</t>
  </si>
  <si>
    <t>مسجد امام رضا</t>
  </si>
  <si>
    <t>https://www.instagram.com/masjed_imamreza_</t>
  </si>
  <si>
    <t>https://eitaa.com/masjed_imamreza</t>
  </si>
  <si>
    <t>https://eitaa.com/Ghasemebenalhasan1440</t>
  </si>
  <si>
    <t>جان نثاران اباعبدلله الحسین(ع)</t>
  </si>
  <si>
    <t>https://www.instagram.com/masjed_ghoraba</t>
  </si>
  <si>
    <t>https://www.eitaa.com/masjed_ghoraba</t>
  </si>
  <si>
    <t>https://www.instagram.com/sayyed_ashohada</t>
  </si>
  <si>
    <t>https://eitaa.com/sayyed_ashohada</t>
  </si>
  <si>
    <t>https://www.instagram.com/heyatbentolhoseyn_sardrod</t>
  </si>
  <si>
    <t>https://www.instagram.com/heyat_moheban_ahlebeyt</t>
  </si>
  <si>
    <t>جان نثاران اباعبدالله(ع)</t>
  </si>
  <si>
    <t>https://www.instagram.com/reihanatolhossein_shahroud</t>
  </si>
  <si>
    <t>شهدای شاهرود</t>
  </si>
  <si>
    <t>https://www.instagram.com/heyatshohadashahrood</t>
  </si>
  <si>
    <t>جامعه مداحان شهرستان شاهرود</t>
  </si>
  <si>
    <t>https://eitaa.com/maddahanshahrood</t>
  </si>
  <si>
    <t>فاطمیون دانشگاه صنعتی شاهرود</t>
  </si>
  <si>
    <t>https://www.instagram.com/hfatemiyoun_sut</t>
  </si>
  <si>
    <t>https://t.me/hfatemiyoun_sut</t>
  </si>
  <si>
    <t>https://eitaa.com/hfatemiyoun_sut</t>
  </si>
  <si>
    <t>https://www.instagram.com/gomnamshahroud</t>
  </si>
  <si>
    <t>https://eitaa.com/gomnamshahrood</t>
  </si>
  <si>
    <t>https://www.instagram.com/masjed_media</t>
  </si>
  <si>
    <t>https://www.instagram.com/ya_zahra_11_213</t>
  </si>
  <si>
    <t>فاطمیون (دانشجویی)</t>
  </si>
  <si>
    <t>https://www.instagram.com/h_fatemion</t>
  </si>
  <si>
    <t>https://www.instagram.com/mahdeyeh.shahrood</t>
  </si>
  <si>
    <t>https://t.me/mahdeyehshahrood</t>
  </si>
  <si>
    <t>https://www.instagram.com/ashoorayanshahrood</t>
  </si>
  <si>
    <t>https://www.instagram.com/heatmontazeranezohr</t>
  </si>
  <si>
    <t>https://eitaa.com/heyatrazmandeganshahrud</t>
  </si>
  <si>
    <t>شباب هاشمی</t>
  </si>
  <si>
    <t>https://www.instagram.com/khozestanihaye_moghim_shahrood</t>
  </si>
  <si>
    <t>https://www.instagram.com/h_babalhavaej</t>
  </si>
  <si>
    <t>https://www.instagram.com/aghilatolarab.shahroud</t>
  </si>
  <si>
    <t>کانون فرهنگی رسول اکرم(ص)</t>
  </si>
  <si>
    <t>https://eitaa.com/kanoonrasool</t>
  </si>
  <si>
    <t>https://www.instagram.com/rahrovane_velayate_shahrood</t>
  </si>
  <si>
    <t>مسجد زینبیه</t>
  </si>
  <si>
    <t>https://eitaa.com/zeinabiehshahrood</t>
  </si>
  <si>
    <t>عماریون (محفل عمارهای انقلاب)</t>
  </si>
  <si>
    <t>https://www.instagram.com/heyate_ammaryioun</t>
  </si>
  <si>
    <t>https://eitaa.com/heyate_ammariyon</t>
  </si>
  <si>
    <t>https://eitaa.com/Inavab</t>
  </si>
  <si>
    <t>https://www.instagram.com/sout_janat</t>
  </si>
  <si>
    <t>https://eitaa.com/sout_janat</t>
  </si>
  <si>
    <t>محبین حسن بن علی (ع)</t>
  </si>
  <si>
    <t>https://www.instagram.com/bi_haram118</t>
  </si>
  <si>
    <t>https://www.instagram.com/jannesarane_abalfazl</t>
  </si>
  <si>
    <t>https://t.me/jannesarane_abalfazl</t>
  </si>
  <si>
    <t>https://eitaa.com/jannesarane_abalfazl</t>
  </si>
  <si>
    <t>آستان مقدس امامزاده احمد دیزج</t>
  </si>
  <si>
    <t>https://t.me/emamzadedizej</t>
  </si>
  <si>
    <t>https://eitaa.com/emamzademohamddizj</t>
  </si>
  <si>
    <t>https://eitaa.com/javananaliakbar</t>
  </si>
  <si>
    <t>https://www.instagram.com/heiatozahra2.ir</t>
  </si>
  <si>
    <t>https://www.instagram.com/heyat_saheb_al_zaman_garmsar</t>
  </si>
  <si>
    <t>عزاداران امام حسین(ع)</t>
  </si>
  <si>
    <t>https://www.instagram.com/heiat.azadaran.e.hosein</t>
  </si>
  <si>
    <t>https://www.instagram.com/sarallah.garmsar</t>
  </si>
  <si>
    <t>https://eitaa.com/sarallah_garmsar</t>
  </si>
  <si>
    <t>https://www.instagram.com/heyate_qasem_fanpage/</t>
  </si>
  <si>
    <t>جنت الحسین (ع) / بچه های حرم</t>
  </si>
  <si>
    <t>https://www.instagram.com/janatolhosein_garmsar</t>
  </si>
  <si>
    <t>اباعبدالحسین(ع)</t>
  </si>
  <si>
    <t>https://www.instagram.com/heyate_abaabdellahalhosein</t>
  </si>
  <si>
    <t>https://www.instagram.com/heyat.jannesaran.ghiyasabad/</t>
  </si>
  <si>
    <t>مسجد صاحب الزمان(عج) ساروزن</t>
  </si>
  <si>
    <t>قلعه نو</t>
  </si>
  <si>
    <t>https://www.instagram.com/heyatghaleno</t>
  </si>
  <si>
    <t>https://www.instagram.com/heyat_ablfazle_garmsar</t>
  </si>
  <si>
    <t>https://eitaa.com/imamalimosque313</t>
  </si>
  <si>
    <t>خادم العباس (ع) (هیات مسجد حضرت ابوالفضل (ع)</t>
  </si>
  <si>
    <t>https://www.instagram.com/h_khademolabbas</t>
  </si>
  <si>
    <t>امام جمعه مهدی شهر</t>
  </si>
  <si>
    <t>https://eitaa.com/setadnamazjomemahdishahr</t>
  </si>
  <si>
    <t>حضرت ابوالفضل العباس (ع) روستای حسین آبادکالپوش</t>
  </si>
  <si>
    <t>میامی</t>
  </si>
  <si>
    <t>https://www.instagram.com/heyat___abalfazl</t>
  </si>
  <si>
    <t>جوانان متوسلین به نبی اکرم (ص)</t>
  </si>
  <si>
    <t>https://eitaa.com/heyatjavananmayamey</t>
  </si>
  <si>
    <t>بی بی رقیه خاتون</t>
  </si>
  <si>
    <t>https://eitaa.com/konje_haram313</t>
  </si>
  <si>
    <t>هرمزگان</t>
  </si>
  <si>
    <t>بندرعباس</t>
  </si>
  <si>
    <t>https://www.instagram.com/heiat_oshaghzahra_s/</t>
  </si>
  <si>
    <r>
      <rPr>
        <rFont val="-apple-system, BlinkMacSystemFont, &quot;Segoe UI&quot;, Roboto, Helvetica, Arial, sans-serif"/>
        <color rgb="FF1155CC"/>
        <sz val="11.0"/>
        <u/>
      </rPr>
      <t>t.me/oshaghzahra</t>
    </r>
  </si>
  <si>
    <t>https://www.instagram.com/mahdavion12/</t>
  </si>
  <si>
    <t>https://www.instagram.com/maktabolhosein1/</t>
  </si>
  <si>
    <r>
      <rPr>
        <rFont val="-apple-system, BlinkMacSystemFont, &quot;Segoe UI&quot;, Roboto, Helvetica, Arial, sans-serif"/>
        <color rgb="FF1155CC"/>
        <sz val="11.0"/>
        <u/>
      </rPr>
      <t>t.me/maktabolhosein1</t>
    </r>
  </si>
  <si>
    <t>مجموعه انتظار</t>
  </si>
  <si>
    <t>https://www.instagram.com/intezar.ir/</t>
  </si>
  <si>
    <t>محفل عزاداران حضرت زهرا / بیت الزهرا</t>
  </si>
  <si>
    <t>میناب</t>
  </si>
  <si>
    <t>https://www.instagram.com/beytozahra.135/</t>
  </si>
  <si>
    <t>t.me/beytalzahra_135</t>
  </si>
  <si>
    <t>https://www.instagram.com/mohebban_alabbas_bnd/</t>
  </si>
  <si>
    <t>https://eitaa.com/asghariyoon</t>
  </si>
  <si>
    <r>
      <rPr>
        <rFont val="-apple-system, BlinkMacSystemFont, &quot;Segoe UI&quot;, Roboto, Helvetica, Arial, sans-serif"/>
        <color rgb="FF1155CC"/>
        <sz val="11.0"/>
        <u/>
      </rPr>
      <t>t.me/maktabolhosein1</t>
    </r>
  </si>
  <si>
    <t>https://www.instagram.com/moheban_mahdi_118/</t>
  </si>
  <si>
    <t>شهدای پارسیان</t>
  </si>
  <si>
    <t>پارسیان</t>
  </si>
  <si>
    <t>https://eitaa.com/Khademin_parsian</t>
  </si>
  <si>
    <t>قشم</t>
  </si>
  <si>
    <t>https://www.instagram.com/razmandegan_qeshm/</t>
  </si>
  <si>
    <r>
      <rPr>
        <rFont val="-apple-system, BlinkMacSystemFont, &quot;Segoe UI&quot;, Roboto, Helvetica, Arial, sans-serif"/>
        <color rgb="FF1155CC"/>
        <sz val="11.0"/>
        <u/>
      </rPr>
      <t>eitaa.com/Razmandegan_Qeshm</t>
    </r>
  </si>
  <si>
    <t>https://www.instagram.com/heyatmasjedemamzeynolabedin/</t>
  </si>
  <si>
    <t>خمیر</t>
  </si>
  <si>
    <t>https://www.instagram.com/aliebnabitaleb_m/</t>
  </si>
  <si>
    <t>منتظران ظهور (عج)</t>
  </si>
  <si>
    <t>https://www.instagram.com/hiatmontazranzohoorminab/</t>
  </si>
  <si>
    <t>نوجوانان عاشورائی روستای روتان</t>
  </si>
  <si>
    <t>سیریک</t>
  </si>
  <si>
    <t>https://www.instagram.com/rovtan.sirik/</t>
  </si>
  <si>
    <t>بندرلنگه</t>
  </si>
  <si>
    <t>https://www.instagram.com/fatemiyoun_com/</t>
  </si>
  <si>
    <t>حاجی اباد</t>
  </si>
  <si>
    <t>https://www.instagram.com/maktab_zahra_1399/</t>
  </si>
  <si>
    <t>16026‍‍</t>
  </si>
  <si>
    <t>بندرچارک</t>
  </si>
  <si>
    <t>https://eitaa.com/muhiban1396</t>
  </si>
  <si>
    <t>بیت الاحزان حضرت زهرا (س)</t>
  </si>
  <si>
    <t>https://eitaa.com/beytolahzanebandarabbas</t>
  </si>
  <si>
    <t>حضرت امام رضا(ع) (روستا کردر رضی)</t>
  </si>
  <si>
    <t>بندزرک</t>
  </si>
  <si>
    <t>https://eitaa.com/shahriyarzakeri</t>
  </si>
  <si>
    <t>https://www.instagram.com/imam_sajad_qeshm/</t>
  </si>
  <si>
    <t>https://eitaa.com/imam_sajad_qeshm</t>
  </si>
  <si>
    <t>حسینیه حضرت اباالفضل العباس (ع)</t>
  </si>
  <si>
    <t>https://www.instagram.com/mahalleh_hedayati/</t>
  </si>
  <si>
    <t>https://www.instagram.com/hoseinieh.sahebalzaman.zibashr/</t>
  </si>
  <si>
    <t>https://www.instagram.com/hmaktababbas_ir/</t>
  </si>
  <si>
    <t>https://www.instagram.com/maktab_net/</t>
  </si>
  <si>
    <t>https://www.instagram.com/bagheriyun_heiat/</t>
  </si>
  <si>
    <t>https://www.instagram.com/heyat_beyt_roghayeh/</t>
  </si>
  <si>
    <t>دخترانه ریحانه النبی س</t>
  </si>
  <si>
    <t>https://www.instagram.com/reyhane_com/</t>
  </si>
  <si>
    <t>https://eitaa.com/reyhane_com</t>
  </si>
  <si>
    <t>عشاق الحسین (ع) روستای زهوکی</t>
  </si>
  <si>
    <t>https://www.instagram.com/oshaqolhosein</t>
  </si>
  <si>
    <t>https://t.me/heyateoshaqolhosein</t>
  </si>
  <si>
    <t>علی اصغر نخل ناخدا</t>
  </si>
  <si>
    <t>https://www.instagram.com/h.aliasghar.nakhlmina</t>
  </si>
  <si>
    <t>https://www.instagram.com/maktabozahra.minab</t>
  </si>
  <si>
    <t>حضرت ابوالفضل العباس ع</t>
  </si>
  <si>
    <t>رودان</t>
  </si>
  <si>
    <t>https://www.instagram.com/jonoubiha0136</t>
  </si>
  <si>
    <t>هیات حاجی خادمی</t>
  </si>
  <si>
    <t>https://www.instagram.com/heyat_taziyehkhani_hajikhademi</t>
  </si>
  <si>
    <t>حضرت ابوالفضل العباس</t>
  </si>
  <si>
    <t>https://www.instagram.com/hoseyniyeh_abolfazl</t>
  </si>
  <si>
    <t>https://eitaa.com/hoseyniyeh_abolfazl</t>
  </si>
  <si>
    <t>محبین اهل بیت دانشگاه هرمزگان</t>
  </si>
  <si>
    <t>https://eitaa.com/heyat_hu</t>
  </si>
  <si>
    <t>انصارالمهدی (عج) دلگشا</t>
  </si>
  <si>
    <t>https://www.instagram.com/heiat_ansar_mehdi</t>
  </si>
  <si>
    <t>https://www.instagram.com/heyat.beytalshohada</t>
  </si>
  <si>
    <t>چادرخاکی بندرعباس</t>
  </si>
  <si>
    <t>https://www.instagram.com/chadorkhakibnd</t>
  </si>
  <si>
    <t>https://t.me/chadorkhakibnd</t>
  </si>
  <si>
    <t>آل البیت (ع)</t>
  </si>
  <si>
    <t>https://www.instagram.com/howzeh_bandrlengeh</t>
  </si>
  <si>
    <t>https://eitaa.com/howzeh_bandrlengeh</t>
  </si>
  <si>
    <t>https://www.instagram.com/moheban_alhoseiin</t>
  </si>
  <si>
    <t>https://www.instagram.com/masjed5886</t>
  </si>
  <si>
    <t>https://www.instagram.com/mahdavion12</t>
  </si>
  <si>
    <t>https://www.instagram.com/hoseinieh.sahebalzaman.zibashr</t>
  </si>
  <si>
    <t>ابوالفضل پل خواجو</t>
  </si>
  <si>
    <t>https://www.instagram.com/mohebban_alabbas_bnd</t>
  </si>
  <si>
    <t>https://eitaa.com/ya_saqqa</t>
  </si>
  <si>
    <t>https://www.instagram.com/heyat_moheban.mahdi</t>
  </si>
  <si>
    <t>https://t.me/heyat_mohebnmahdi</t>
  </si>
  <si>
    <t>https://www.instagram.com/baytonnoor</t>
  </si>
  <si>
    <t>حضرت موسی بن جعفر (ع)</t>
  </si>
  <si>
    <t>https://www.instagram.com/kazemioun7</t>
  </si>
  <si>
    <t>https://www.instagram.com/heyat.ansaralhosien</t>
  </si>
  <si>
    <t>ستاد مردمی قاسمیون</t>
  </si>
  <si>
    <t>https://www.instagram.com/irani699m</t>
  </si>
  <si>
    <t>مسجد انقلاب</t>
  </si>
  <si>
    <t>https://www.instagram.com/masjedenghelab400</t>
  </si>
  <si>
    <t>هیأت المهدی</t>
  </si>
  <si>
    <t>https://www.instagram.com/heyat.almahdi</t>
  </si>
  <si>
    <t>https://eitaa.com/heyatalmahdiminab</t>
  </si>
  <si>
    <t>متوسلین به حضرت علی اکبر(ع) مسجد النبی</t>
  </si>
  <si>
    <t>جاسک</t>
  </si>
  <si>
    <t>https://www.instagram.com/gomnam_tarin7899</t>
  </si>
  <si>
    <t>موکب قمربنی هاشم (ع)</t>
  </si>
  <si>
    <t>https://www.instagram.com/minab_arbain</t>
  </si>
  <si>
    <t>https://eitaa.com/heyate_ghamarebanihashem</t>
  </si>
  <si>
    <t>کمیته خادم الشهدا شهرستان پارسیان</t>
  </si>
  <si>
    <t>https://www.instagram.com/khademin_parsian</t>
  </si>
  <si>
    <t>https://www.instagram.com/hasaniyoon118_bnd_live</t>
  </si>
  <si>
    <t>https://t.me/hasaniyoon_bnd118</t>
  </si>
  <si>
    <t>https://eitaa.com/hasaniyoon_bnd</t>
  </si>
  <si>
    <t>https://www.instagram.com/razmandegan_qeshm</t>
  </si>
  <si>
    <t>https://eitaa.com/Razmandegan_Qeshm</t>
  </si>
  <si>
    <t>https://www.instagram.com/minab.2020</t>
  </si>
  <si>
    <t>موسسه خیریه نبی اکرم (ص)</t>
  </si>
  <si>
    <t>https://www.instagram.com/nabiakram2</t>
  </si>
  <si>
    <t>نورالهدی / بنت النبی</t>
  </si>
  <si>
    <t>https://eitaa.com/noorolhoda_bandr</t>
  </si>
  <si>
    <t>https://www.instagram.com/masjedaboalfazl</t>
  </si>
  <si>
    <t>https://www.instagram.com/heyathormozgan</t>
  </si>
  <si>
    <t>https://eitaa.com/heyat_bnd</t>
  </si>
  <si>
    <t>دختران فاطمی (هیات مدرسه علمیه کوثر)</t>
  </si>
  <si>
    <t>https://eitaa.com/dokhtarane_fatemi_bandare_lengeh</t>
  </si>
  <si>
    <t>مسجدامام حسین (ع)</t>
  </si>
  <si>
    <t>https://www.instagram.com/masjed_emam_hosain_qeshm</t>
  </si>
  <si>
    <t>سیدالشهدا کهنوج</t>
  </si>
  <si>
    <t>حاجی آباد</t>
  </si>
  <si>
    <t>https://www.instagram.com/heyat_seyedoshohada_kahnuj</t>
  </si>
  <si>
    <t>دفترنمایندگی ولی فقیه درامور اهل سنت بندرعباس</t>
  </si>
  <si>
    <t>https://eitaa.com/ebadizadeh</t>
  </si>
  <si>
    <t>خادمین گلزار شهدا</t>
  </si>
  <si>
    <t>https://www.instagram.com/khademin_hrm</t>
  </si>
  <si>
    <t>https://t.me/heiat_khademin_golzareshohada</t>
  </si>
  <si>
    <t>https://www.instagram.com/kahfelvara_313</t>
  </si>
  <si>
    <t>https://www.instagram.com/oshaghe_alhossein</t>
  </si>
  <si>
    <t>https://eitaa.com/fatemiyoun_com</t>
  </si>
  <si>
    <t>https://www.instagram.com/heyat_abolfazlabbas</t>
  </si>
  <si>
    <t>https://www.instagram.com/hoseyniyeh.sarrig.bnd</t>
  </si>
  <si>
    <t>https://www.instagram.com/heiat_zeinabioon</t>
  </si>
  <si>
    <t>https://eitaa.com/zenabeeon</t>
  </si>
  <si>
    <t>https://www.instagram.com/heyat_moheban_minab</t>
  </si>
  <si>
    <t>حضرت امام رضا (ع) (روستا کردر رضی)</t>
  </si>
  <si>
    <t>خادم الولایه</t>
  </si>
  <si>
    <t>https://eitaa.com/khadem_al_velayah_bnd</t>
  </si>
  <si>
    <t>کاروان عشق</t>
  </si>
  <si>
    <t>https://www.instagram.com/karvaneshq313</t>
  </si>
  <si>
    <t>https://www.instagram.com/aliakbarfin</t>
  </si>
  <si>
    <t>موسسه فرهنگی هنری پیامبراعظم(ص)</t>
  </si>
  <si>
    <t>https://www.instagram.com/alzoha313</t>
  </si>
  <si>
    <t>https://www.instagram.com/heyat_imam_sajad_qeshm</t>
  </si>
  <si>
    <t>کوثر(س)</t>
  </si>
  <si>
    <t>https://www.instagram.com/hayat_kosar</t>
  </si>
  <si>
    <t>https://www.instagram.com/kanoon.alaviyun</t>
  </si>
  <si>
    <t>https://www.instagram.com/heyat_seyed_al_shohada_</t>
  </si>
  <si>
    <t>https://eitaa.com/heyat_seyedoshohada_bnd1</t>
  </si>
  <si>
    <t>https://www.instagram.com/heyat_samenalhojaj</t>
  </si>
  <si>
    <t>https://www.instagram.com/mohebaneahlebeyt.hajeabad</t>
  </si>
  <si>
    <t>https://www.instagram.com/hoseyniye.hazrat.abalfazl/</t>
  </si>
  <si>
    <t>حسینیه سید‏محمد عالم</t>
  </si>
  <si>
    <t>https://www.instagram.com/msjed_saeed_m_a_kong</t>
  </si>
  <si>
    <t>مسجد مالک اشتر</t>
  </si>
  <si>
    <t>https://www.instagram.com/howzeh.malekashtar_</t>
  </si>
  <si>
    <t>https://eitaa.com/howzehmalek</t>
  </si>
  <si>
    <t>https://www.instagram.com/masjed.imam.hussain</t>
  </si>
  <si>
    <t>https://eitaa.com/masjed_lmam_hussain</t>
  </si>
  <si>
    <t>صاحب الزمان (عج) درخت سبز</t>
  </si>
  <si>
    <t>https://www.instagram.com/masjed_bnd1402</t>
  </si>
  <si>
    <t>https://www.instagram.com/montazeranmahdi_fin</t>
  </si>
  <si>
    <t>مجموعه فرهنگی انتظار</t>
  </si>
  <si>
    <t>https://eitaa.com/intezar_ir</t>
  </si>
  <si>
    <t>https://www.instagram.com/motevaselein</t>
  </si>
  <si>
    <t>https://www.instagram.com/heyeat_javanan_sarallah</t>
  </si>
  <si>
    <t>مسجد پنج تن آل عبا (ع)</t>
  </si>
  <si>
    <t>https://www.instagram.com/hytpnjtnal</t>
  </si>
  <si>
    <t>https://www.instagram.com/kanonfarhangi_aletaha</t>
  </si>
  <si>
    <t>https://t.me/Aletaha</t>
  </si>
  <si>
    <t>کانون تخصصی امام رضا(ع)</t>
  </si>
  <si>
    <t>https://eitaa.com/hormozgan_razavi</t>
  </si>
  <si>
    <t>شهید عمرانی</t>
  </si>
  <si>
    <t>https://www.instagram.com/kanoonomrani_minab</t>
  </si>
  <si>
    <t>https://www.instagram.com/montazeranzohoorbnd/</t>
  </si>
  <si>
    <t>https://eitaa.com/montazeranzohoorbnd</t>
  </si>
  <si>
    <t>https://www.instagram.com/maktab_al.shuhada/</t>
  </si>
  <si>
    <t>انجمن هنر</t>
  </si>
  <si>
    <t>https://www.instagram.com/honarhaye_namayeshi_hormozgan</t>
  </si>
  <si>
    <t>انقلاب</t>
  </si>
  <si>
    <t>https://www.instagram.com/arthormozgan/</t>
  </si>
  <si>
    <t>مولود کعبه</t>
  </si>
  <si>
    <t>https://www.instagram.com/gharargah.azadshahr/</t>
  </si>
  <si>
    <t>مکتب الباقر(ع)</t>
  </si>
  <si>
    <t>https://www.instagram.com/maktabalbagher</t>
  </si>
  <si>
    <t>عزاداران مسجد صاحب الزمان (عج)</t>
  </si>
  <si>
    <t>https://www.instagram.com/hoseiniyeh_saheb_alzaman</t>
  </si>
  <si>
    <t>قمربنی هاشم (ع) روستای روتان</t>
  </si>
  <si>
    <t>https://www.instagram.com/rovtan.sirik</t>
  </si>
  <si>
    <t>شهدای شلمچه</t>
  </si>
  <si>
    <t>https://www.instagram.com/shohadaye_shalamche/</t>
  </si>
  <si>
    <t>https://www.instagram.com/bagheriyun_heiat</t>
  </si>
  <si>
    <t>https://t.me/bagheriyunheiat</t>
  </si>
  <si>
    <t>https://eitaa.com/bagheriyun_heiat</t>
  </si>
  <si>
    <t>https://www.instagram.com/masjed14maesom_roudan</t>
  </si>
  <si>
    <t>https://www.instagram.com/masjed_sahebalzamann</t>
  </si>
  <si>
    <t>مسجد جامع بزرگ قشم</t>
  </si>
  <si>
    <t>https://www.instagram.com/masjed_jame_qeshm</t>
  </si>
  <si>
    <t>امامزاده مظفر</t>
  </si>
  <si>
    <t>https://www.instagram.com/seyyedmozafar_qeshm</t>
  </si>
  <si>
    <t>امام جعفرصادق(ع)</t>
  </si>
  <si>
    <t>https://www.instagram.com/masjed_lmam_jafar_sadegh</t>
  </si>
  <si>
    <t>https://www.instagram.com/masjedvaliasr_8bandi2/</t>
  </si>
  <si>
    <t>https://t.me/masjedneynava_ir</t>
  </si>
  <si>
    <t>https://www.instagram.com/masjedabalfazl_bandarabbas</t>
  </si>
  <si>
    <t>https://www.instagram.com/masjedhajiabad</t>
  </si>
  <si>
    <t>https://www.instagram.com/heyat_rostay_hajiabad</t>
  </si>
  <si>
    <t>https://eitaa.com/Board_ansaralmahdi</t>
  </si>
  <si>
    <t>https://www.instagram.com/hyatt_khoddamoalhasan</t>
  </si>
  <si>
    <t>https://t.me/sadeghsabbagh110</t>
  </si>
  <si>
    <t>https://www.instagram.com/heyat.roghayehjan</t>
  </si>
  <si>
    <t>عاشقان بقیة الله</t>
  </si>
  <si>
    <t xml:space="preserve">خراسان رضوی </t>
  </si>
  <si>
    <t>https://www.instagram.com/asheeghan313</t>
  </si>
  <si>
    <t>نور الشهدا</t>
  </si>
  <si>
    <t>https://www.instagram.com/heyat.noroshohada</t>
  </si>
  <si>
    <t>عاشوراییان</t>
  </si>
  <si>
    <t>https://www.instagram.com/heyat.ashoraiyan</t>
  </si>
  <si>
    <t>آل طه و یاسین</t>
  </si>
  <si>
    <t>https://www.instagram.com/heiat_aletahayasin</t>
  </si>
  <si>
    <t xml:space="preserve"> امام علی مدافعان ولایت</t>
  </si>
  <si>
    <t>https://www.instagram.com/imamali86</t>
  </si>
  <si>
    <t>https://t.me/heiat_emamAli</t>
  </si>
  <si>
    <t>https://eitaa.com/heiat_imamAli</t>
  </si>
  <si>
    <t>امام محمد باقر</t>
  </si>
  <si>
    <t>دانشگاه بیرجند</t>
  </si>
  <si>
    <t>https://www.instagram.com/heyat_danesh</t>
  </si>
  <si>
    <t xml:space="preserve">انصار الزینب </t>
  </si>
  <si>
    <t>https://www.instagram.com/ansar_al_zynaab</t>
  </si>
  <si>
    <t>https://t.me/ansar_al_zynaab</t>
  </si>
  <si>
    <t>شیفتگان اهلبیت</t>
  </si>
  <si>
    <t>https://www.instagram.com/shifteganahlebeyt</t>
  </si>
  <si>
    <t>https://t.me/shifteganahlebeyt</t>
  </si>
  <si>
    <t xml:space="preserve"> انصارالحجه</t>
  </si>
  <si>
    <t>https://www.instagram.com/ansarolhojah</t>
  </si>
  <si>
    <t>https://www.instagram.com/heyatekarbala128/</t>
  </si>
  <si>
    <t>https://t.me/heyatekarbala128</t>
  </si>
  <si>
    <t>https://eitaa.com/heyatekarbala128</t>
  </si>
  <si>
    <t>https://heyatekarbala.ir/</t>
  </si>
  <si>
    <t>https://www.instagram.com/aleyasinhusainie/</t>
  </si>
  <si>
    <t>https://t.me/aleyasinhusainie</t>
  </si>
  <si>
    <t>https://eitaa.com/aleyasinhusainie</t>
  </si>
  <si>
    <t>محبان الزینب</t>
  </si>
  <si>
    <t>https://www.instagram.com/moheban_zeinab1376/</t>
  </si>
  <si>
    <t>https://t.me/moheban_zeinab1376</t>
  </si>
  <si>
    <t>https://eitaa.com/moheban_zeinab1376</t>
  </si>
  <si>
    <t>جان نثاران امام زمان</t>
  </si>
  <si>
    <t>https://www.instagram.com/jannesaran_59/</t>
  </si>
  <si>
    <t>https://t.me/jannesaran_59</t>
  </si>
  <si>
    <t>https://www.instagram.com/rozatolhosein.ir/</t>
  </si>
  <si>
    <t>https://t.me/heiaterozatolhossein</t>
  </si>
  <si>
    <t>https://www.instagram.com/maktabalzahra313/</t>
  </si>
  <si>
    <t>https://t.me/maktabalzahra39</t>
  </si>
  <si>
    <t>بقیهة الله الاعظم</t>
  </si>
  <si>
    <t>https://www.instagram.com/baqiatollah_ir/</t>
  </si>
  <si>
    <t>https://t.me/baqiatollah_ir</t>
  </si>
  <si>
    <t>محبی الزهرا</t>
  </si>
  <si>
    <t>https://www.instagram.com/hosseinie_alzahra/</t>
  </si>
  <si>
    <t>https://t.me/hosseinie_mohebiolzahra</t>
  </si>
  <si>
    <t>خیمة الزینب</t>
  </si>
  <si>
    <t>https://www.instagram.com/kheyme_69/</t>
  </si>
  <si>
    <t>https://t.me/kheyme69</t>
  </si>
  <si>
    <t>https://eitaa.com/kheyme69</t>
  </si>
  <si>
    <t>عشاق الزهرا</t>
  </si>
  <si>
    <t>https://www.instagram.com/oshagh_alzahra_s/</t>
  </si>
  <si>
    <t>https://t.me/oshaghzahras</t>
  </si>
  <si>
    <t>روضة العطش</t>
  </si>
  <si>
    <t>https://www.instagram.com/r_alatash/</t>
  </si>
  <si>
    <t>https://t.me/rozatolatash</t>
  </si>
  <si>
    <t>أئمه اطهار مشهد مقدس</t>
  </si>
  <si>
    <t xml:space="preserve">مشهد </t>
  </si>
  <si>
    <t>https://www.instagram.com/aemme.athar86</t>
  </si>
  <si>
    <t>بقیة الله مشهد</t>
  </si>
  <si>
    <t>https://www.instagram.com/heyatbaghiatallah</t>
  </si>
  <si>
    <t>https://www.instagram.com/gharibsameraa</t>
  </si>
  <si>
    <t>https://www.instagram.com/oshagh.al.hosein</t>
  </si>
  <si>
    <t>https://t.me/oshagh_al_hosein315</t>
  </si>
  <si>
    <t>https://www.instagram.com/beynolharamayn133_128</t>
  </si>
  <si>
    <t>جوانان محرم مشهد</t>
  </si>
  <si>
    <t>https://www.instagram.com/javanan_moharam</t>
  </si>
  <si>
    <t>جوانان انصار الحسین</t>
  </si>
  <si>
    <t>https://eitaa.com/javanan_ansarol_hosein</t>
  </si>
  <si>
    <t>جوانان محبان الرقیه</t>
  </si>
  <si>
    <t>https://www.instagram.com/moheban_al_roghaye</t>
  </si>
  <si>
    <t>https://t.me/MohebanAlroghay</t>
  </si>
  <si>
    <t>جوانان آل یاسین سبزه مشهد</t>
  </si>
  <si>
    <t>https://www.instagram.com/javananaleyasin</t>
  </si>
  <si>
    <t>https://www.instagram.com/fatemiuonmashhad_313</t>
  </si>
  <si>
    <t>https://t.me/Fatemiuon_mashhad</t>
  </si>
  <si>
    <t>مطیع أمر رهبر</t>
  </si>
  <si>
    <t>https://www.instagram.com/motie_amr</t>
  </si>
  <si>
    <t>https://t.me/motie_amr</t>
  </si>
  <si>
    <t>جوانان صراط الحسین</t>
  </si>
  <si>
    <t>https://www.instagram.com/nojavanansratalhossein_ir</t>
  </si>
  <si>
    <t>https://t.me/nojavananalhosein</t>
  </si>
  <si>
    <t>https://eitaa.com/nojavananalhosein</t>
  </si>
  <si>
    <t>مکتب البکاء</t>
  </si>
  <si>
    <t>https://www.instagram.com/alemehinfo</t>
  </si>
  <si>
    <t>https://t.me/alemehinfo</t>
  </si>
  <si>
    <t xml:space="preserve">اباعبدالله الحسین </t>
  </si>
  <si>
    <t>https://t.me/h_asheqan</t>
  </si>
  <si>
    <t>https://eitaa.com/ashegan313</t>
  </si>
  <si>
    <t xml:space="preserve">ابوالفضلی </t>
  </si>
  <si>
    <t>https://www.instagram.com/hoseiniyemashhad</t>
  </si>
  <si>
    <t>https://t.me/hoseiniyemashhad</t>
  </si>
  <si>
    <t>https://eitaa.com/hoseiniyemashhad1</t>
  </si>
  <si>
    <t>أبناء الزهرا</t>
  </si>
  <si>
    <t>http://Instagram.com/heyatabna</t>
  </si>
  <si>
    <t>https://t.me/heyatabna</t>
  </si>
  <si>
    <t>https://eitaa.com/heyatabna</t>
  </si>
  <si>
    <t>أبنا الرسول</t>
  </si>
  <si>
    <t>https://www.instagram.com/heyatalrasool</t>
  </si>
  <si>
    <t>احباب رضا</t>
  </si>
  <si>
    <t>https://eitaa.com/ahbab_alrezaa</t>
  </si>
  <si>
    <t>https://zil.ink/ahbab_alrezaa</t>
  </si>
  <si>
    <t xml:space="preserve"> ارادتمندان حضرت زهرا</t>
  </si>
  <si>
    <t>https://www.instagram.com/eradatmandan_135</t>
  </si>
  <si>
    <t>https://t.me/alirezajafari_chanel</t>
  </si>
  <si>
    <t xml:space="preserve"> ام ابیها</t>
  </si>
  <si>
    <t>https://www.instagram.com/ome_abiha213</t>
  </si>
  <si>
    <t>https://t.me/Ome_Abiha213</t>
  </si>
  <si>
    <t>https://eitaa.com/ome_abiha213</t>
  </si>
  <si>
    <t>بیت الصاذق</t>
  </si>
  <si>
    <t>https://www.instagram.com/_beyt_ol_sadegh</t>
  </si>
  <si>
    <t>https://t.me/beyt_sadegh_mashhad</t>
  </si>
  <si>
    <t xml:space="preserve">امام رضا </t>
  </si>
  <si>
    <t>https://t.me/heiatemamreza</t>
  </si>
  <si>
    <t>امام سجاد</t>
  </si>
  <si>
    <t>https://eitaa.com/imamsajjad1391</t>
  </si>
  <si>
    <t xml:space="preserve">انصار الحسین </t>
  </si>
  <si>
    <t>https://www.instagram.com/ansaralhosein1382</t>
  </si>
  <si>
    <t>https://eitaa.com/ansar313ir</t>
  </si>
  <si>
    <t xml:space="preserve">انصار الأئمه </t>
  </si>
  <si>
    <t>https://eitaa.com/ansarheyat313</t>
  </si>
  <si>
    <t xml:space="preserve"> انصارالجواد</t>
  </si>
  <si>
    <t>https://eitaa.com/ansaroljavad</t>
  </si>
  <si>
    <t xml:space="preserve"> انصارالحیدر</t>
  </si>
  <si>
    <t>https://eitaa.com/ansaralhaydar</t>
  </si>
  <si>
    <t xml:space="preserve"> انصارالرقیه</t>
  </si>
  <si>
    <t>https://www.instagram.com/ansar_alroqaye</t>
  </si>
  <si>
    <t>https://t.me/ansaralroqaye</t>
  </si>
  <si>
    <t xml:space="preserve"> انصارالمهدی</t>
  </si>
  <si>
    <t>https://www.instagram.com/ansaralmahdi_mashhad</t>
  </si>
  <si>
    <t>https://t.me/ansaralmahdi_mashhad</t>
  </si>
  <si>
    <t xml:space="preserve"> انصارالهادی</t>
  </si>
  <si>
    <t>https://www.instagram.com/ansarolhadi_mashhad_315</t>
  </si>
  <si>
    <t>انقلابیون مشهد</t>
  </si>
  <si>
    <t>https://eitaa.com/M_Enghelabion</t>
  </si>
  <si>
    <t>https://www.instagram.com/majnonalhosein/</t>
  </si>
  <si>
    <t>https://t.me/majnonalhosein</t>
  </si>
  <si>
    <t>https://www.youtube.com/c/majnonalhosein</t>
  </si>
  <si>
    <t>https://t.me/h_beynolharameyn</t>
  </si>
  <si>
    <t>https://eitaa.com/hbeynolharameyn</t>
  </si>
  <si>
    <t>https://www.instagram.com/seyyedalshohada_ir/</t>
  </si>
  <si>
    <t>https://t.me/seyyedalshohada_ir</t>
  </si>
  <si>
    <t>میثاق با ولایت</t>
  </si>
  <si>
    <t>دانشگاه علوم اسلامی رضوی</t>
  </si>
  <si>
    <t>https://www.instagram.com/misaq_razavi/</t>
  </si>
  <si>
    <r>
      <rPr>
        <rFont val="Calibri"/>
        <color rgb="FF1155CC"/>
        <sz val="11.0"/>
        <u/>
      </rPr>
      <t>eitaa.com/misagh_bavelayat</t>
    </r>
  </si>
  <si>
    <t>روار</t>
  </si>
  <si>
    <t>https://www.instagram.com/heydrion_ravar/</t>
  </si>
  <si>
    <t>باب السدره</t>
  </si>
  <si>
    <t>https://www.instagram.com/bab_sedre/</t>
  </si>
  <si>
    <t>https://t.me/bab_sedre_mashhad</t>
  </si>
  <si>
    <t>محفل امام حسن</t>
  </si>
  <si>
    <t>https://www.instagram.com/emamhasan118_ir/</t>
  </si>
  <si>
    <t>https://t.me/emamhasan118_ir</t>
  </si>
  <si>
    <t>https://eitaa.com/emamhasan118_ir</t>
  </si>
  <si>
    <t>فدویان پنج باب الحوائج</t>
  </si>
  <si>
    <t>https://www.instagram.com/heatfadavian/</t>
  </si>
  <si>
    <t>https://t.me/heatfadavian</t>
  </si>
  <si>
    <t>https://www.instagram.com/m_seyedoshohadaa/</t>
  </si>
  <si>
    <t>https://t.me/m_seyedoshohadaa</t>
  </si>
  <si>
    <t>https://eitaa.com/n_seyedoshohada</t>
  </si>
  <si>
    <t>https://www.instagram.com/beytoljavad_80_mashhad/</t>
  </si>
  <si>
    <t>متوسلین به حضرت عباس</t>
  </si>
  <si>
    <t>https://www.instagram.com/motevasselin133/</t>
  </si>
  <si>
    <t>https://t.me/motevasselin133</t>
  </si>
  <si>
    <t>https://eitaa.com/motevasselin133</t>
  </si>
  <si>
    <t>محبان الحسن</t>
  </si>
  <si>
    <t>https://www.instagram.com/moheban_hasan118/</t>
  </si>
  <si>
    <t>https://t.me/moheban_hasan</t>
  </si>
  <si>
    <t>https://www.instagram.com/mohebinalhosein/</t>
  </si>
  <si>
    <t>https://t.me/mohebbinalhoseinmashhad</t>
  </si>
  <si>
    <t>خیمة الحسین</t>
  </si>
  <si>
    <t>https://www.instagram.com/kheimatoalhossein110/</t>
  </si>
  <si>
    <t>https://t.me/kheimatoalhossein110</t>
  </si>
  <si>
    <t>https://www.instagram.com/mohebanalzahra5998/</t>
  </si>
  <si>
    <t>https://www.instagram.com/omolayama/</t>
  </si>
  <si>
    <t>https://eitaa.com/Omolayama</t>
  </si>
  <si>
    <t>https://www.instagram.com/rowzatolmahdi/</t>
  </si>
  <si>
    <t>https://t.me/rowzatolmahdi</t>
  </si>
  <si>
    <t>https://eitaa.com/rowzatolmahdi1</t>
  </si>
  <si>
    <t>ذبیج العطشان</t>
  </si>
  <si>
    <t>https://www.instagram.com/zabih_alatshan/</t>
  </si>
  <si>
    <t>https://www.instagram.com/lesaratelhossain/</t>
  </si>
  <si>
    <t>https://t.me/lesaratelhossain</t>
  </si>
  <si>
    <t>https://eitaa.com/lesaratelhossain</t>
  </si>
  <si>
    <t>https://www.instagram.com/maktabolhoseinmashhad/</t>
  </si>
  <si>
    <t>https://t.ME/Maktabolhoseinmashhad</t>
  </si>
  <si>
    <t>هاشمی شاهرودی</t>
  </si>
  <si>
    <t>https://www.instagram.com/h_shahroudi</t>
  </si>
  <si>
    <t>https://t.me/h_shahroudi</t>
  </si>
  <si>
    <t>https://ble.ir/saralahnet</t>
  </si>
  <si>
    <t>روضة الرقیه</t>
  </si>
  <si>
    <t>https://www.instagram.com/rozatolroghaye_mashhad/</t>
  </si>
  <si>
    <t>https://t.me/rozatolroghaye1</t>
  </si>
  <si>
    <t>عزاداران حسین مظلوم</t>
  </si>
  <si>
    <t>https://www.instagram.com/hosein.mazloom/</t>
  </si>
  <si>
    <t>https://t.me/hoseinmazloom</t>
  </si>
  <si>
    <t>علی اکبریها</t>
  </si>
  <si>
    <t>نوغان</t>
  </si>
  <si>
    <t>https://www.instagram.com/heyat_aliakbariha/</t>
  </si>
  <si>
    <t>https://t.me/mohebbanaliakbar</t>
  </si>
  <si>
    <t xml:space="preserve"> باب الحسین</t>
  </si>
  <si>
    <t>https://www.instagram.com/heiat_bab_alhosein</t>
  </si>
  <si>
    <t>https://t.me/heiat_bab_alhosein</t>
  </si>
  <si>
    <t>https://eitaa.com/heiat_bab_alhosein</t>
  </si>
  <si>
    <t xml:space="preserve"> باب الهدی</t>
  </si>
  <si>
    <t>https://www.instagram.com/mesbaholhoda8</t>
  </si>
  <si>
    <t>https://www.instagram.com/alemeh.ir/</t>
  </si>
  <si>
    <t>https://t.me/alemeh.ir</t>
  </si>
  <si>
    <t>https://www.instagram.com/alam_dar.ir</t>
  </si>
  <si>
    <t>https://t.me/heiateALAMDAR</t>
  </si>
  <si>
    <t>https://eitaa.com/heiatealamdar</t>
  </si>
  <si>
    <t>https://www.youtube.com/@heiatealamdar</t>
  </si>
  <si>
    <t>https://www.instagram.com/alsebt_com</t>
  </si>
  <si>
    <t>انصالرالعباس</t>
  </si>
  <si>
    <t>https://www.instagram.com/ansar73</t>
  </si>
  <si>
    <t>https://www.instagram.com/oshagh_alabbas_mashhad</t>
  </si>
  <si>
    <t>https://t.me/oshagh_alabas_mashhad110</t>
  </si>
  <si>
    <t>https://www.instagram.com/mahfelreyhana315</t>
  </si>
  <si>
    <t>https://t.me/mahfelreyhana315</t>
  </si>
  <si>
    <t>الحسن</t>
  </si>
  <si>
    <t>https://www.instagram.com/_heyatolhasan_</t>
  </si>
  <si>
    <t>https://www.instagram.com/rozato.zahra</t>
  </si>
  <si>
    <t>https://www.instagram.com/bentolhosein_ir</t>
  </si>
  <si>
    <t xml:space="preserve"> بیت الاحزان</t>
  </si>
  <si>
    <t>https://www.instagram.com/beitolahzan315</t>
  </si>
  <si>
    <t>کانون فرهنگی</t>
  </si>
  <si>
    <t xml:space="preserve"> بیت الثقلین</t>
  </si>
  <si>
    <t>https://www.instagram.com/beytalsaghalein</t>
  </si>
  <si>
    <t xml:space="preserve"> بیت الحسین</t>
  </si>
  <si>
    <t>https://www.instagram.com/beit_133</t>
  </si>
  <si>
    <t xml:space="preserve"> بیت الرضا</t>
  </si>
  <si>
    <t>https://www.instagram.com/beytolreza.info</t>
  </si>
  <si>
    <t>https://t.me/beytolreza1001</t>
  </si>
  <si>
    <t xml:space="preserve"> بیت الزهرا</t>
  </si>
  <si>
    <t>https://www.instagram.com/beyto_zahra68</t>
  </si>
  <si>
    <t>https://eitaa.com/beytozahrasalamollahalayha</t>
  </si>
  <si>
    <t xml:space="preserve"> بیت الاحزان حضرت زینب</t>
  </si>
  <si>
    <t>https://www.instagram.com/beytolahzan.official/</t>
  </si>
  <si>
    <t>https://www.instagram.com/beytolahzan_video</t>
  </si>
  <si>
    <t xml:space="preserve"> بیت الشهدا</t>
  </si>
  <si>
    <t>https://www.instagram.com/beytoshohada110</t>
  </si>
  <si>
    <t>جوانان  بیت العباس</t>
  </si>
  <si>
    <t>https://www.instagram.com/beytolabbass_haram1</t>
  </si>
  <si>
    <t>https://t.me/haram1</t>
  </si>
  <si>
    <t>https://www.instagram.com/montazeranzohour__313</t>
  </si>
  <si>
    <t xml:space="preserve">رهروان شهدا </t>
  </si>
  <si>
    <t>https://www.instagram.com/r_shohada313</t>
  </si>
  <si>
    <t>https://t.me/fanos1357</t>
  </si>
  <si>
    <t xml:space="preserve">محبان قائم آل محمد </t>
  </si>
  <si>
    <t>https://www.instagram.com/moheban_75</t>
  </si>
  <si>
    <t>https://eitaa.com/heydarieh_ir</t>
  </si>
  <si>
    <t>https://www.aparat.com/v/ighr5vj</t>
  </si>
  <si>
    <t>تشنگان علقمه</t>
  </si>
  <si>
    <t>https://t.me/teshnegane_alghame</t>
  </si>
  <si>
    <t>https://sarallah1.blog.ir/</t>
  </si>
  <si>
    <t xml:space="preserve">ثامن الأئمه </t>
  </si>
  <si>
    <t>https://www.instagram.com/heyat_samen1379</t>
  </si>
  <si>
    <t xml:space="preserve"> ثامن الحجج</t>
  </si>
  <si>
    <t>https://www.instagram.com/samen_alhojaj1376</t>
  </si>
  <si>
    <t xml:space="preserve"> جامعة الحسین</t>
  </si>
  <si>
    <t>https://www.instagram.com/ahraar_ir</t>
  </si>
  <si>
    <t>https://eitaa.com/jameatolhosayn</t>
  </si>
  <si>
    <t xml:space="preserve"> جامعه الشهدا</t>
  </si>
  <si>
    <t>https://www.instagram.com/jameato_shohada</t>
  </si>
  <si>
    <t>https://t.me/Jameato_shohada</t>
  </si>
  <si>
    <t>https://eitaa.com/jameato_shohada</t>
  </si>
  <si>
    <t xml:space="preserve"> جامعه المهدی</t>
  </si>
  <si>
    <t>https://www.instagram.com/jameatol_mahdi59</t>
  </si>
  <si>
    <t>https://t.me/jameatol_mahdi59</t>
  </si>
  <si>
    <t xml:space="preserve"> جان نثاران</t>
  </si>
  <si>
    <t>https://www.instagram.com/jannesaran_59</t>
  </si>
  <si>
    <t xml:space="preserve"> جنت الحسین</t>
  </si>
  <si>
    <t>https://www.instagram.com/heyatejannatolhossein</t>
  </si>
  <si>
    <t>https://t.me/heyatejannatolhossein</t>
  </si>
  <si>
    <t>https://eitaa.com/jannat_al_hosseinn</t>
  </si>
  <si>
    <t xml:space="preserve"> جنت الزهرا</t>
  </si>
  <si>
    <t>https://www.instagram.com/jannatolzahra</t>
  </si>
  <si>
    <t xml:space="preserve"> جوادالائمه</t>
  </si>
  <si>
    <t>https://www.instagram.com/emamjavad_mashhad</t>
  </si>
  <si>
    <t>https://t.me/EMAMJAVAD_MASHHAD</t>
  </si>
  <si>
    <t>https://eitaa.com/mokebehazratejavadolaememashhad</t>
  </si>
  <si>
    <t xml:space="preserve"> جوانان امیرالمومنین</t>
  </si>
  <si>
    <t>https://www.instagram.com/javanan_110</t>
  </si>
  <si>
    <t>https://t.me/javanan_110</t>
  </si>
  <si>
    <t>هیأت جوانان بنی هاشم</t>
  </si>
  <si>
    <t>https://eitaa.com/heyatjavananbanihahem</t>
  </si>
  <si>
    <t xml:space="preserve"> جوانان جوادالائمه</t>
  </si>
  <si>
    <t>https://www.instagram.com/mavali_ir</t>
  </si>
  <si>
    <t xml:space="preserve">موسسه قرآنی </t>
  </si>
  <si>
    <t xml:space="preserve"> جوانان خاتم الانبیاء</t>
  </si>
  <si>
    <t>https://www.instagram.com/mqkhatam.ir</t>
  </si>
  <si>
    <t>https://www.mqkhatam.ir/?fbclid=PAb21jcAN5eRFleHRuA2FlbQIxMQBzcnRjBmFwcF9pZA81NjcwNjczNDMzNTI0MjcAAafJ11Y9Sp_1SGMSPRT1G4-5d4h5SxtiBbaNSWXeqVKYP4uE-buS9djBiJfCcg_aem_w1ECBilSa6f_oGnZNRGUfw</t>
  </si>
  <si>
    <t>روح و ریحان</t>
  </si>
  <si>
    <t>https://www.instagram.com/heiaaterohoreihan</t>
  </si>
  <si>
    <t>-https://t.me/heiaaterohoreihan</t>
  </si>
  <si>
    <t>https://eitaa.com/heiaaterohoreihan</t>
  </si>
  <si>
    <t>https://rohoreihan.com/</t>
  </si>
  <si>
    <t xml:space="preserve"> جوانان قاسم بن الحسن</t>
  </si>
  <si>
    <t>https://eitaa.com/ghasem_ebn_alhasan_110</t>
  </si>
  <si>
    <t xml:space="preserve"> جوانان مکتب الرضا</t>
  </si>
  <si>
    <t>https://www.instagram.com/maktabrezaa</t>
  </si>
  <si>
    <t>https://eitaa.com/maktabreza</t>
  </si>
  <si>
    <t>الست مدیا</t>
  </si>
  <si>
    <t>https://www.instagram.com/alast_media/</t>
  </si>
  <si>
    <t>خرسان رضوی</t>
  </si>
  <si>
    <t>https://www.instagram.com/shohadaygomnam_ir/</t>
  </si>
  <si>
    <t>سبزوار</t>
  </si>
  <si>
    <t>https://www.instagram.com/seshanbeh_mahdavi_sbz/</t>
  </si>
  <si>
    <t>محب الزهرا</t>
  </si>
  <si>
    <t>تربت حیدریه</t>
  </si>
  <si>
    <t>https://www.instagram.com/mohebozahra.torbate.heydariyeh/</t>
  </si>
  <si>
    <r>
      <rPr>
        <rFont val="Calibri"/>
        <color rgb="FF1155CC"/>
        <sz val="11.0"/>
        <u/>
      </rPr>
      <t>telegram.me/mohebozahra1</t>
    </r>
  </si>
  <si>
    <t>رایه الشهدا</t>
  </si>
  <si>
    <t>https://www.instagram.com/rayat_shohada_g/</t>
  </si>
  <si>
    <t>نیشابور</t>
  </si>
  <si>
    <t>https://www.instagram.com/heyat_asheghan_mahdi313/</t>
  </si>
  <si>
    <t>محفل ریحانة الحسین</t>
  </si>
  <si>
    <t>https://eitaa.com/mahfelreyhana315</t>
  </si>
  <si>
    <t>باب الرجا</t>
  </si>
  <si>
    <t>https://www.instagram.com/heyatbaboraja/</t>
  </si>
  <si>
    <r>
      <rPr>
        <rFont val="Calibri"/>
        <color rgb="FF1155CC"/>
        <sz val="11.0"/>
        <u/>
      </rPr>
      <t>eitaa.com/heyatbaboraja</t>
    </r>
  </si>
  <si>
    <t>قوچان</t>
  </si>
  <si>
    <t>https://www.instagram.com/heyatmohebanolhossein.quchan/</t>
  </si>
  <si>
    <t>عزاداران سیده زینب (ع)</t>
  </si>
  <si>
    <t>https://www.instagram.com/seyedezeynab.th/</t>
  </si>
  <si>
    <r>
      <rPr>
        <rFont val="Calibri"/>
        <color rgb="FF1155CC"/>
        <sz val="11.0"/>
        <u/>
      </rPr>
      <t>t.me/seyedezeynab_th</t>
    </r>
  </si>
  <si>
    <t>https://t.me/heyat_kaffolabbas</t>
  </si>
  <si>
    <t xml:space="preserve">آستان مقدس شهیدان </t>
  </si>
  <si>
    <t>https://www.instagram.com/astane_shahidane_sabzevar_/</t>
  </si>
  <si>
    <t>متوسلین به قمر بنی هاشم</t>
  </si>
  <si>
    <t>https://www.instagram.com/heyat_motevaselin_b/</t>
  </si>
  <si>
    <t>https://www.instagram.com/beynolharameyn.live/</t>
  </si>
  <si>
    <t>هیأت شباب الرضا</t>
  </si>
  <si>
    <t>https://www.instagram.com/shababolreza</t>
  </si>
  <si>
    <t>https://eitaa.com/shababolreza</t>
  </si>
  <si>
    <t>هیأت مجنون الحسین</t>
  </si>
  <si>
    <t>https://eitaa.com/majnonalhosein</t>
  </si>
  <si>
    <t>مسجد و حسینیه اللــهُ اَکْبَــر</t>
  </si>
  <si>
    <t>https://eitaa.com/MASJED_ALLAHAKBAR</t>
  </si>
  <si>
    <t>رایت العباس</t>
  </si>
  <si>
    <t>https://www.instagram.com/rayat_113/</t>
  </si>
  <si>
    <r>
      <rPr>
        <rFont val="Calibri"/>
        <color rgb="FF1155CC"/>
        <sz val="11.0"/>
        <u/>
      </rPr>
      <t>t.me/rayatalabbasmashhad</t>
    </r>
  </si>
  <si>
    <t>https://www.instagram.com/masjede_ghods/</t>
  </si>
  <si>
    <r>
      <rPr>
        <rFont val="Calibri"/>
        <color rgb="FF1155CC"/>
        <sz val="11.0"/>
        <u/>
      </rPr>
      <t>t.me/masjede_ghods</t>
    </r>
  </si>
  <si>
    <t>https://www.instagram.com/aliakbari_ney/</t>
  </si>
  <si>
    <r>
      <rPr>
        <rFont val="Calibri"/>
        <color rgb="FF1155CC"/>
        <sz val="11.0"/>
        <u/>
      </rPr>
      <t>t.me/aliakbari_ney</t>
    </r>
  </si>
  <si>
    <t>https://www.instagram.com/khoddam_ir/</t>
  </si>
  <si>
    <t>کاشمر</t>
  </si>
  <si>
    <t>https://www.instagram.com/heyatrazmandegan_kashmar/</t>
  </si>
  <si>
    <t>چهارده معصوم متوسل به حضرت علی اصغر</t>
  </si>
  <si>
    <t>طرقبه</t>
  </si>
  <si>
    <t>https://www.instagram.com/heyatshandiz/</t>
  </si>
  <si>
    <r>
      <rPr>
        <rFont val="Calibri"/>
        <color rgb="FF1155CC"/>
        <sz val="11.0"/>
        <u/>
      </rPr>
      <t>t.me/heyatshandiz</t>
    </r>
  </si>
  <si>
    <t>https://www.instagram.com/alzahramasjed_ir/</t>
  </si>
  <si>
    <t>eitaa.com/alzahramasjed_ir</t>
  </si>
  <si>
    <t>https://www.instagram.com/rayat_alhoda_313/</t>
  </si>
  <si>
    <t>عزاداران حضرت ابالفضل</t>
  </si>
  <si>
    <t>https://t.me/heatabolfazl</t>
  </si>
  <si>
    <t>https://www.instagram.com/www_3raj_ir/</t>
  </si>
  <si>
    <t>https://www.instagram.com/heyat_shohada_mashhad/</t>
  </si>
  <si>
    <t>محبان مهدی (س)</t>
  </si>
  <si>
    <t>https://www.instagram.com/moheban_mahdi_aj77/</t>
  </si>
  <si>
    <r>
      <rPr>
        <rFont val="Calibri"/>
        <color rgb="FF1155CC"/>
        <sz val="11.0"/>
        <u/>
      </rPr>
      <t>t.me/mohebanmahdi_aj313</t>
    </r>
  </si>
  <si>
    <t>https://www.instagram.com/heiatabalfazli92/</t>
  </si>
  <si>
    <r>
      <rPr>
        <rFont val="Calibri"/>
        <color rgb="FF1155CC"/>
        <sz val="11.0"/>
        <u/>
      </rPr>
      <t>t.me/heiatabalfazli92</t>
    </r>
  </si>
  <si>
    <t>دوام ثامن</t>
  </si>
  <si>
    <t>https://www.instagram.com/davamsamen/</t>
  </si>
  <si>
    <t>چناران</t>
  </si>
  <si>
    <t>https://eitaa.com/Karimahlebeyt_118</t>
  </si>
  <si>
    <t>https://www.instagram.com/rayatallabbas/</t>
  </si>
  <si>
    <r>
      <rPr>
        <rFont val="Calibri"/>
        <color rgb="FF1155CC"/>
        <sz val="11.0"/>
        <u/>
      </rPr>
      <t>t.me/rayatallabbas</t>
    </r>
  </si>
  <si>
    <t>https://www.instagram.com/fatemiyon_sbz/</t>
  </si>
  <si>
    <t>https://www.instagram.com/asheghanmedia313/</t>
  </si>
  <si>
    <r>
      <rPr>
        <rFont val="Calibri"/>
        <color rgb="FF1155CC"/>
        <sz val="11.0"/>
        <u/>
      </rPr>
      <t>t.me/asheghanmedia</t>
    </r>
  </si>
  <si>
    <t>محبان الجواد (ع)</t>
  </si>
  <si>
    <t>https://www.instagram.com/mohebanaljavad/</t>
  </si>
  <si>
    <t>https://t.me/mohebanaljavad</t>
  </si>
  <si>
    <t>هیئت خواهران طلبه 👈یک دقیقه تأمل🧐</t>
  </si>
  <si>
    <t>https://eitaa.com/heyat_kh_talabe_mashhad</t>
  </si>
  <si>
    <t>کرامت</t>
  </si>
  <si>
    <t>https://eitaa.com/keramat_mashhad</t>
  </si>
  <si>
    <t>https://www.instagram.com/masjed_emam_hassan/</t>
  </si>
  <si>
    <t>https://www.instagram.com/heyat_rozatlhosin.ney/</t>
  </si>
  <si>
    <t>هیئت‌دخترانه‌فاطمه‌الزهراسلام‌الله‌علیها</t>
  </si>
  <si>
    <t>https://eitaa.com/aqrj_heyat</t>
  </si>
  <si>
    <t>مجموعه فرهنگی و تربیتی هیئتُ المهدی (عج)</t>
  </si>
  <si>
    <t>https://eitaa.com/heyatolmahdi313</t>
  </si>
  <si>
    <t>الساجدین</t>
  </si>
  <si>
    <t>https://www.instagram.com/heyatsajedeen/</t>
  </si>
  <si>
    <r>
      <rPr>
        <rFont val="Calibri"/>
        <color rgb="FF1155CC"/>
        <sz val="11.0"/>
        <u/>
      </rPr>
      <t>t.me/heyatsajedeen</t>
    </r>
  </si>
  <si>
    <t>خادمین اربعین حسینی</t>
  </si>
  <si>
    <t>https://www.instagram.com/khademinarbaien/</t>
  </si>
  <si>
    <r>
      <rPr>
        <rFont val="Calibri"/>
        <color rgb="FF1155CC"/>
        <sz val="11.0"/>
        <u/>
      </rPr>
      <t>t.me/khademinarbaien</t>
    </r>
  </si>
  <si>
    <t>https://www.instagram.com/hosseinieh_fatemieh1393/</t>
  </si>
  <si>
    <t>قائم آل محمد (عج)</t>
  </si>
  <si>
    <t>https://www.instagram.com/qaeem_al_mohammad_135/</t>
  </si>
  <si>
    <t>https://www.instagram.com/sarallahkosar/</t>
  </si>
  <si>
    <r>
      <rPr>
        <rFont val="Calibri"/>
        <color rgb="FF1155CC"/>
        <sz val="11.0"/>
        <u/>
      </rPr>
      <t>t.me/sarallahkosar</t>
    </r>
  </si>
  <si>
    <t>شیفتگان امام حسین (ع)</t>
  </si>
  <si>
    <t>https://www.instagram.com/shiftegan.ir/</t>
  </si>
  <si>
    <t>https://www.instagram.com/heyateamiralmomenin110/</t>
  </si>
  <si>
    <r>
      <rPr>
        <rFont val="Calibri"/>
        <color rgb="FF1155CC"/>
        <sz val="11.0"/>
        <u/>
      </rPr>
      <t>t.me/heyateamiralmomnin</t>
    </r>
  </si>
  <si>
    <t>نوجوانان فاطمیون</t>
  </si>
  <si>
    <t>بردسکن</t>
  </si>
  <si>
    <t>https://www.instagram.com/fatemiyon_bist_litriha/</t>
  </si>
  <si>
    <t>جامعة الشهدا</t>
  </si>
  <si>
    <t>گلبهار</t>
  </si>
  <si>
    <t>https://www.instagram.com/jamatoalshohada/</t>
  </si>
  <si>
    <t>https://www.instagram.com/montazeran_mahdi_org/</t>
  </si>
  <si>
    <r>
      <rPr>
        <rFont val="var(--font-family-system)"/>
        <color rgb="FF1155CC"/>
        <u/>
      </rPr>
      <t>t.me/Motazeranmahdi_31</t>
    </r>
  </si>
  <si>
    <t>محبین الصادق</t>
  </si>
  <si>
    <t>https://eitaa.com/mohebinsadegh</t>
  </si>
  <si>
    <t>متوسلین به حضرت ولی عصر ارواحنافداه</t>
  </si>
  <si>
    <t>https://www.instagram.com/motvaslin1379</t>
  </si>
  <si>
    <t>https://eitaa.com/motvaslin</t>
  </si>
  <si>
    <t>الامام الرضا</t>
  </si>
  <si>
    <t>https://eitaa.com/mokeb_imamareza</t>
  </si>
  <si>
    <t>مسجد امام حسین (محبان المهدی)</t>
  </si>
  <si>
    <t>https://eitaa.com/Mohebbanalmahdi73</t>
  </si>
  <si>
    <t>روضه الحسین (ع) مشهد الرضا</t>
  </si>
  <si>
    <t>https://eitaa.com/rozatolhosein_mashhad</t>
  </si>
  <si>
    <t>حضرت اباالفضل علیه السلام دهسرخ</t>
  </si>
  <si>
    <t>https://eitaa.com/heyat_abalfazl_dehsorkh</t>
  </si>
  <si>
    <t>https://eitaa.com/montazeranzohor_n</t>
  </si>
  <si>
    <t>https://eitaa.com/karimahlebeet</t>
  </si>
  <si>
    <t>امام رضا فروشانی ها مشهد مقدس</t>
  </si>
  <si>
    <t>https://eitaa.com/Hosseinie_forushaniha_Mashhad</t>
  </si>
  <si>
    <t>داورزن</t>
  </si>
  <si>
    <t>https://eitaa.com/ansarhoseindavarzan</t>
  </si>
  <si>
    <t>مجمع انصار الحسین</t>
  </si>
  <si>
    <t>https://eitaa.com/ansaralhoseinney</t>
  </si>
  <si>
    <t>https://www.instagram.com/abolfazli_bardaskan.1370/</t>
  </si>
  <si>
    <t>خدمتگزاران</t>
  </si>
  <si>
    <t>https://www.instagram.com/khedmatgozaran__shop/</t>
  </si>
  <si>
    <t>https://www.instagram.com/rozatolroghaye/</t>
  </si>
  <si>
    <r>
      <rPr>
        <rFont val="var(--font-family-system)"/>
        <color rgb="FF1155CC"/>
        <sz val="11.0"/>
        <u/>
      </rPr>
      <t>t.me/HarimEshgh</t>
    </r>
  </si>
  <si>
    <t>https://www.instagram.com/bey.tozahra/</t>
  </si>
  <si>
    <t>مه ولات</t>
  </si>
  <si>
    <t>https://www.instagram.com/razmandegan.mahvelat/</t>
  </si>
  <si>
    <t>ابوالفضلی (ع)</t>
  </si>
  <si>
    <t>https://www.instagram.com/musavi_quchani/</t>
  </si>
  <si>
    <r>
      <rPr>
        <rFont val="var(--font-family-system)"/>
        <color rgb="FF1155CC"/>
        <u/>
      </rPr>
      <t>rubika.ir/musavi_quchani</t>
    </r>
  </si>
  <si>
    <t>https://www.instagram.com/beynalharamein_ney/</t>
  </si>
  <si>
    <t>حضرت رسول</t>
  </si>
  <si>
    <t>https://www.instagram.com/heydarion_mashhad/</t>
  </si>
  <si>
    <t>نورالثقلین</t>
  </si>
  <si>
    <t>https://www.instagram.com/noorosaghaleinn/</t>
  </si>
  <si>
    <t>https://www.instagram.com/mohebozahra.info/</t>
  </si>
  <si>
    <t>جوانان مسجد ولیعصر</t>
  </si>
  <si>
    <t>https://www.instagram.com/javanan_valiasr74</t>
  </si>
  <si>
    <t>https://eitaa.com/javananvaliasr74/</t>
  </si>
  <si>
    <t xml:space="preserve">کریم آل الله </t>
  </si>
  <si>
    <t>جوین</t>
  </si>
  <si>
    <t>https://www.instagram.com/karim.al.allah/</t>
  </si>
  <si>
    <r>
      <rPr>
        <rFont val="var(--font-family-system)"/>
        <color rgb="FF1155CC"/>
        <u/>
      </rPr>
      <t>t.me/karim_al_allah_jovein</t>
    </r>
  </si>
  <si>
    <t>هادویون</t>
  </si>
  <si>
    <t>https://www.instagram.com/hadavion_sbz/</t>
  </si>
  <si>
    <t>جغتای</t>
  </si>
  <si>
    <t>https://www.instagram.com/hmz_joghatay/</t>
  </si>
  <si>
    <t>https://www.instagram.com/h_ghamarbanihashem/</t>
  </si>
  <si>
    <t>https://www.instagram.com/fatemye_gonabad/</t>
  </si>
  <si>
    <r>
      <rPr>
        <rFont val="var(--font-family-system)"/>
        <color rgb="FF1155CC"/>
        <sz val="11.0"/>
        <u/>
      </rPr>
      <t>t.me/fatemye_gonabad</t>
    </r>
  </si>
  <si>
    <t>https://www.instagram.com/heiat_karime_ahlebeit/</t>
  </si>
  <si>
    <r>
      <rPr>
        <rFont val="var(--font-family-system)"/>
        <color rgb="FF1155CC"/>
        <u/>
      </rPr>
      <t>t.me/heiat_karime_ahlebeit_joghatay</t>
    </r>
  </si>
  <si>
    <t>https://www.instagram.com/beito_labbas/</t>
  </si>
  <si>
    <t>https://eitaa.com/binolharamingonabad</t>
  </si>
  <si>
    <t>الشهدا امام زمان (عج)</t>
  </si>
  <si>
    <t>https://eitaa.com/zarih_8</t>
  </si>
  <si>
    <t xml:space="preserve">شهدای امنیت </t>
  </si>
  <si>
    <t>https://www.instagram.com/shohada_amniyat_mashhad/</t>
  </si>
  <si>
    <r>
      <rPr>
        <rFont val="var(--font-family-system)"/>
        <color rgb="FF1155CC"/>
        <u/>
      </rPr>
      <t>eitaa.com/shohada_amniyat_mashhad</t>
    </r>
  </si>
  <si>
    <t>https://www.instagram.com/heyateabalfazl_joghatay/</t>
  </si>
  <si>
    <t>علمداران ثارالله</t>
  </si>
  <si>
    <t>تایباد</t>
  </si>
  <si>
    <t>https://www.instagram.com/alamdaran_taybad/</t>
  </si>
  <si>
    <r>
      <rPr>
        <rFont val="var(--font-family-system)"/>
        <color rgb="FF1155CC"/>
        <u/>
      </rPr>
      <t>t.me/alamdaransaralahtaybad</t>
    </r>
  </si>
  <si>
    <t>https://www.instagram.com/meimam_hassan_mojtaba/</t>
  </si>
  <si>
    <t>بیت الحسین (ع)</t>
  </si>
  <si>
    <t>https://www.instagram.com/beittollhossein/</t>
  </si>
  <si>
    <t>https://www.instagram.com/ghamar_banihashem_1383/</t>
  </si>
  <si>
    <t>شیفتگان قاسم ابن الحسن (ع)</t>
  </si>
  <si>
    <t>https://www.instagram.com/shiftegan_ghasem_ebne_hasan/</t>
  </si>
  <si>
    <t>عشاق العباس (ع)</t>
  </si>
  <si>
    <t>https://www.instagram.com/oshagholabbass_133/</t>
  </si>
  <si>
    <t>بیدخت</t>
  </si>
  <si>
    <t>https://eitaa.com/mohebanrezab</t>
  </si>
  <si>
    <t>https://www.instagram.com/misagh_bavelayat/</t>
  </si>
  <si>
    <t>دعای ندبه</t>
  </si>
  <si>
    <t>https://www.instagram.com/nodbe_chenaran/</t>
  </si>
  <si>
    <t>دلسوختگان اهل بیت (ع)</t>
  </si>
  <si>
    <t>https://www.instagram.com/delsukhtegan_th/</t>
  </si>
  <si>
    <r>
      <rPr>
        <rFont val="var(--font-family-system)"/>
        <color rgb="FF1155CC"/>
        <u/>
      </rPr>
      <t>t.me/delsukhtegan_th</t>
    </r>
  </si>
  <si>
    <t>https://www.instagram.com/mohebanazzahra_mashhad/</t>
  </si>
  <si>
    <r>
      <rPr>
        <rFont val="var(--font-family-system)"/>
        <color rgb="FF1155CC"/>
        <u/>
      </rPr>
      <t>t.me/mohebanazzahra</t>
    </r>
  </si>
  <si>
    <t>درگز</t>
  </si>
  <si>
    <t>https://eitaa.com/alamdardaregaz</t>
  </si>
  <si>
    <t>https://www.instagram.com/heyat_montazeran_zohur/</t>
  </si>
  <si>
    <r>
      <rPr>
        <rFont val="var(--font-family-system)"/>
        <color rgb="FF1155CC"/>
        <u/>
      </rPr>
      <t>t.me/n_montazeran</t>
    </r>
  </si>
  <si>
    <t>جان نثاران صاحب الزمان (عج)</t>
  </si>
  <si>
    <t>https://www.instagram.com/jannesaran.59.ir/</t>
  </si>
  <si>
    <r>
      <rPr>
        <rFont val="var(--font-family-system)"/>
        <color rgb="FF1155CC"/>
        <u/>
      </rPr>
      <t>t.me/janesaran59</t>
    </r>
  </si>
  <si>
    <t>https://www.instagram.com/resane_mahfel/</t>
  </si>
  <si>
    <r>
      <rPr>
        <rFont val="var(--font-family-system)"/>
        <color rgb="FF1155CC"/>
        <u/>
      </rPr>
      <t>tlgrm.me/resane3mahfel</t>
    </r>
  </si>
  <si>
    <t>جوانان امام سجاد (ع)</t>
  </si>
  <si>
    <t>https://eitaa.com/sayedsajedin</t>
  </si>
  <si>
    <t>دانشگاه فردوسی</t>
  </si>
  <si>
    <t>https://www.instagram.com/khatekhoon/</t>
  </si>
  <si>
    <t>https://www.instagram.com/aliakbari_k/</t>
  </si>
  <si>
    <t>https://www.instagram.com/ansarmahdi.gonabad</t>
  </si>
  <si>
    <r>
      <rPr>
        <rFont val="var(--font-family-system)"/>
        <color rgb="FF1155CC"/>
        <u/>
      </rPr>
      <t>t.me/ansaralmahdi82gonabad</t>
    </r>
  </si>
  <si>
    <t>خادمین چهارده معصوم</t>
  </si>
  <si>
    <t>https://www.instagram.com/khademine_14/</t>
  </si>
  <si>
    <t>آستان مقدس شهیدان</t>
  </si>
  <si>
    <t>https://eitaa.com/Astane_shahidane_sabzevar</t>
  </si>
  <si>
    <t>https://www.instagram.com/ansar_hosein_sbz/</t>
  </si>
  <si>
    <r>
      <rPr>
        <rFont val="var(--font-family-system)"/>
        <color rgb="FF1155CC"/>
        <u/>
      </rPr>
      <t>eitaa.com/ansarhosseinim</t>
    </r>
  </si>
  <si>
    <t>رهروان حضرت قاسم (ع)</t>
  </si>
  <si>
    <t>فریمان</t>
  </si>
  <si>
    <t>https://www.instagram.com/rahrovan_ghasem_f/</t>
  </si>
  <si>
    <t>خواف</t>
  </si>
  <si>
    <t>‍‍</t>
  </si>
  <si>
    <t>https://www.instagram.com/heyate_javanan_salami/</t>
  </si>
  <si>
    <t>https://www.instagram.com/joghatay_heyat/</t>
  </si>
  <si>
    <t>https://www.instagram.com/nokarha_315/</t>
  </si>
  <si>
    <t>https://www.instagram.com/zarih_8/</t>
  </si>
  <si>
    <t>https://eitaa.com/aghilatolarabgonabad</t>
  </si>
  <si>
    <t xml:space="preserve">متحده ابوالفضلی </t>
  </si>
  <si>
    <t>https://www.instagram.com/abolfazli.kashmar/</t>
  </si>
  <si>
    <t>https://www.instagram.com/heyat_javadallaemeh_hesar/</t>
  </si>
  <si>
    <r>
      <rPr>
        <rFont val="var(--font-family-system)"/>
        <color rgb="FF1155CC"/>
        <u/>
      </rPr>
      <t>t.me/hyate_javadallaemeh_hesark</t>
    </r>
  </si>
  <si>
    <t>یوسف زهرا (س)</t>
  </si>
  <si>
    <t>https://www.instagram.com/heyat.yosef.zahra/</t>
  </si>
  <si>
    <t>https://t.me/sarall36</t>
  </si>
  <si>
    <t>عزیزالزهرا (متوسلین به مادر سادات) (س)</t>
  </si>
  <si>
    <t>https://www.instagram.com/heyat_azizo_zahra/</t>
  </si>
  <si>
    <t>https://t.me/Motahari1400</t>
  </si>
  <si>
    <t>https://www.instagram.com/rayatolabbas_gh/</t>
  </si>
  <si>
    <r>
      <rPr>
        <rFont val="var(--font-family-system)"/>
        <color rgb="FF1155CC"/>
        <u/>
      </rPr>
      <t>t.me/rayatolabbas_gh</t>
    </r>
  </si>
  <si>
    <t>مکتب النبی(ص)</t>
  </si>
  <si>
    <t>https://www.instagram.com/maktab_nabi/</t>
  </si>
  <si>
    <t>https://www.instagram.com/mohebbanolhosseinn/</t>
  </si>
  <si>
    <r>
      <rPr>
        <rFont val="var(--font-family-system)"/>
        <color rgb="FF1155CC"/>
        <u/>
      </rPr>
      <t>t.me/mohebbanalhosin</t>
    </r>
  </si>
  <si>
    <t xml:space="preserve">محبان اهل بیت </t>
  </si>
  <si>
    <t>https://www.instagram.com/m_ahlebeit/</t>
  </si>
  <si>
    <t>https://www.instagram.com/heyate_shohadaye_gomnam_kh/</t>
  </si>
  <si>
    <r>
      <rPr>
        <rFont val="var(--font-family-system)"/>
        <color rgb="FF1155CC"/>
        <u/>
      </rPr>
      <t>t.me/heyate_shohadaye_gomnam_kh</t>
    </r>
  </si>
  <si>
    <t>https://www.instagram.com/moheban_abalfazll/</t>
  </si>
  <si>
    <r>
      <rPr>
        <rFont val="var(--font-family-system)"/>
        <color rgb="FF1155CC"/>
        <u/>
      </rPr>
      <t>t.me/moheban_abalfazll</t>
    </r>
  </si>
  <si>
    <t>https://www.instagram.com/ansargonabad/</t>
  </si>
  <si>
    <r>
      <rPr>
        <rFont val="var(--font-family-system)"/>
        <color rgb="FF1155CC"/>
        <u/>
      </rPr>
      <t>t.me/ansargonabad</t>
    </r>
  </si>
  <si>
    <t>خادمین ائمه اطهار(ع)</t>
  </si>
  <si>
    <t>https://www.instagram.com/m_khademin/</t>
  </si>
  <si>
    <r>
      <rPr>
        <rFont val="var(--font-family-system)"/>
        <color rgb="FF1155CC"/>
        <u/>
      </rPr>
      <t>t.me/M_khademin</t>
    </r>
  </si>
  <si>
    <t>والامقام کف العباس</t>
  </si>
  <si>
    <t>https://www.instagram.com/kafol.abbas.sabzevar/</t>
  </si>
  <si>
    <t>https://www.instagram.com/ansarolmahdi_quchan/</t>
  </si>
  <si>
    <t>عاشقان اباعبدالله(ع)</t>
  </si>
  <si>
    <t>https://www.instagram.com/a_abaabdellah/</t>
  </si>
  <si>
    <r>
      <rPr>
        <rFont val="var(--font-family-system)"/>
        <color rgb="FF1155CC"/>
        <u/>
      </rPr>
      <t>t.me/a_abaabdellah</t>
    </r>
  </si>
  <si>
    <t>https://www.instagram.com/chardahmassom/</t>
  </si>
  <si>
    <r>
      <rPr>
        <rFont val="var(--font-family-system)"/>
        <color rgb="FF1155CC"/>
        <u/>
      </rPr>
      <t>t.me/chardahmassom</t>
    </r>
  </si>
  <si>
    <t>فاطمیون یاران خراسانی</t>
  </si>
  <si>
    <t>https://www.instagram.com/fatemiun_mashhad313/</t>
  </si>
  <si>
    <t>محبان امیرالمومنین(ع)</t>
  </si>
  <si>
    <t>https://www.instagram.com/mohebaneali/</t>
  </si>
  <si>
    <t>سید الشهدا (ع)</t>
  </si>
  <si>
    <t>https://www.instagram.com/pooyeshparcham8/</t>
  </si>
  <si>
    <r>
      <rPr>
        <rFont val="var(--font-family-system)"/>
        <color rgb="FF1155CC"/>
        <u/>
      </rPr>
      <t>eitaa.com/pooyeshparcham8</t>
    </r>
  </si>
  <si>
    <t>https://www.instagram.com/moslemebneaghil_sabzevar/</t>
  </si>
  <si>
    <t>https://www.instagram.com/alamdar_brd/</t>
  </si>
  <si>
    <t>https://t.me/alamdarbrd98</t>
  </si>
  <si>
    <t>https://www.instagram.com/mohebban_27/</t>
  </si>
  <si>
    <t>https://www.instagram.com/oshaghalhossayn/</t>
  </si>
  <si>
    <t>سائلان حیدر کرار(ع)</t>
  </si>
  <si>
    <t>https://www.instagram.com/saelanheydar/</t>
  </si>
  <si>
    <r>
      <rPr>
        <rFont val="var(--font-family-system)"/>
        <color rgb="FF1155CC"/>
        <u/>
      </rPr>
      <t>tlgrm.me/saelanheydar</t>
    </r>
  </si>
  <si>
    <t>جلسه زیارت عاشورا</t>
  </si>
  <si>
    <t>https://www.instagram.com/ziarat_ashora/</t>
  </si>
  <si>
    <r>
      <rPr>
        <rFont val="var(--font-family-system)"/>
        <color rgb="FF1155CC"/>
        <u/>
      </rPr>
      <t>t.me/ziyarat69</t>
    </r>
  </si>
  <si>
    <t>آل طاها</t>
  </si>
  <si>
    <t>https://www.instagram.com/heyate_ale_taha/</t>
  </si>
  <si>
    <t>https://www.instagram.com/ale_taha_yasin/</t>
  </si>
  <si>
    <t>https://www.instagram.com/mokebabalfazl/</t>
  </si>
  <si>
    <t>انصار المهدی رهروان شهدا</t>
  </si>
  <si>
    <t>https://eitaa.com/ansarolmahdi1431</t>
  </si>
  <si>
    <t xml:space="preserve">مذهبی </t>
  </si>
  <si>
    <t>https://www.instagram.com/beyat_gonabad/</t>
  </si>
  <si>
    <r>
      <rPr>
        <rFont val="var(--font-family-system)"/>
        <color rgb="FF1155CC"/>
        <u/>
      </rPr>
      <t>t.me/Beyat_Gonabad</t>
    </r>
  </si>
  <si>
    <t>https://www.instagram.com/sayedshohada128/</t>
  </si>
  <si>
    <r>
      <rPr>
        <rFont val="var(--font-family-system)"/>
        <color rgb="FF1155CC"/>
        <u/>
      </rPr>
      <t>t.me/sayedshohada_128</t>
    </r>
  </si>
  <si>
    <t>https://eitaa.com/hayyat_ahbab_alreza_susra</t>
  </si>
  <si>
    <t>https://www.instagram.com/moheban_alhasan</t>
  </si>
  <si>
    <t>https://www.instagram.com/mahdiehthr/</t>
  </si>
  <si>
    <t>https://www.instagram.com/zeynabiun1382/</t>
  </si>
  <si>
    <r>
      <rPr>
        <rFont val="var(--font-family-system)"/>
        <color rgb="FF1155CC"/>
        <u/>
      </rPr>
      <t>t.me/zeynabiuun69</t>
    </r>
  </si>
  <si>
    <t>فاطمیون شاهد</t>
  </si>
  <si>
    <t>https://www.instagram.com/fatemionshahed_ney/</t>
  </si>
  <si>
    <t>https://www.instagram.com/gharibemadine_mashhad/</t>
  </si>
  <si>
    <r>
      <rPr>
        <rFont val="var(--font-family-system)"/>
        <color rgb="FF1155CC"/>
        <sz val="11.0"/>
        <u/>
      </rPr>
      <t>t.me/gharibemadine113</t>
    </r>
  </si>
  <si>
    <t>پیشمرگان بقیه الله</t>
  </si>
  <si>
    <t>قروه</t>
  </si>
  <si>
    <t>https://www.instagram.com/peshmerg313/</t>
  </si>
  <si>
    <t>احباب الحسن</t>
  </si>
  <si>
    <t>https://www.instagram.com/ahbab_m/</t>
  </si>
  <si>
    <t xml:space="preserve">محبین اهل بیت </t>
  </si>
  <si>
    <t>محبان حضرت علی اصغر</t>
  </si>
  <si>
    <t>https://eitaa.com/aliasghar535</t>
  </si>
  <si>
    <t>فرهنگی مذهبی محبان الائمه</t>
  </si>
  <si>
    <t>https://eitaa.com/mohebbanaeme</t>
  </si>
  <si>
    <t>مذهبی مهاجرین افغانستانی خراسان رضوی</t>
  </si>
  <si>
    <t>https://eitaa.com/hayaat_mohajerin</t>
  </si>
  <si>
    <t>مکتب الزهرا - پایگاه حضرت امیر</t>
  </si>
  <si>
    <t>https://eitaa.com/maktabalzahra_brd</t>
  </si>
  <si>
    <t>مذهبی رایه العباس</t>
  </si>
  <si>
    <t>https://eitaa.com/raytalabbasmashhad</t>
  </si>
  <si>
    <t>سید الشهدا دانشگاه فردوسی - خط خون</t>
  </si>
  <si>
    <t>https://eitaa.com/khatekhoon</t>
  </si>
  <si>
    <t>ودیعه الحسین</t>
  </si>
  <si>
    <t>https://eitaa.com/vadieh_org</t>
  </si>
  <si>
    <t>https://eitaa.com/mukebemamhasan</t>
  </si>
  <si>
    <t>کانال مسجد الزهرا وحسینیه کدکنی های مقیم مشهد و (هئیت ابوالفضلی )</t>
  </si>
  <si>
    <t>https://eitaa.com/masjedekadkaniha</t>
  </si>
  <si>
    <t>عالم آل محمد</t>
  </si>
  <si>
    <t>https://eitaa.com/heiateharam</t>
  </si>
  <si>
    <t>مجمع جوانان انتظار / مهد قرآن و عترت</t>
  </si>
  <si>
    <t>آذربایجان شرقی</t>
  </si>
  <si>
    <t>آذرشهر</t>
  </si>
  <si>
    <t>https://www.instagram.com/javanan_entezaar/</t>
  </si>
  <si>
    <t>اسکو</t>
  </si>
  <si>
    <t>https://www.instagram.com/heyat_razmandegan_osku</t>
  </si>
  <si>
    <t>https://eitaa.com/heyat_razmandegan_osku1</t>
  </si>
  <si>
    <t>تبریز</t>
  </si>
  <si>
    <t>https://www.instagram.com/hazratfatemezahrabarogiyan/</t>
  </si>
  <si>
    <t>https://www.instagram.com/maktabozzahra_tabriz/</t>
  </si>
  <si>
    <t>https://www.instagram.com/heyat14masoum.tabriz/</t>
  </si>
  <si>
    <t>سینه زنان عرب</t>
  </si>
  <si>
    <t>https://www.instagram.com/arab_kuchebag_tabriz/</t>
  </si>
  <si>
    <t>https://www.instagram.com/heyatealzahrayetabriz/</t>
  </si>
  <si>
    <t>https://www.instagram.com/mosabnjafar.tbz/</t>
  </si>
  <si>
    <t>مصباح الشیعه</t>
  </si>
  <si>
    <t>https://www.instagram.com/h_mesbaholshia/</t>
  </si>
  <si>
    <r>
      <rPr>
        <rFont val="Calibri"/>
        <color rgb="FF1155CC"/>
        <sz val="11.0"/>
        <u/>
      </rPr>
      <t>rubika.ir/mesbaholshia</t>
    </r>
  </si>
  <si>
    <t>موکب عزادارن عرب بنی هاشم محله سرخاب</t>
  </si>
  <si>
    <t>https://www.instagram.com/mokabearabebanihashem/</t>
  </si>
  <si>
    <t>سینه زنان شتربان تبریز (زنده یاد فخرالذاکرین)</t>
  </si>
  <si>
    <t>https://www.instagram.com/sinezanan_ir/</t>
  </si>
  <si>
    <t>خیمه الرقیه (س)</t>
  </si>
  <si>
    <t>https://www.instagram.com/kheyme_roghayeh/</t>
  </si>
  <si>
    <t>أبناء الحسن (ع)</t>
  </si>
  <si>
    <t>https://www.instagram.com/abna.alhasan.tabriz/</t>
  </si>
  <si>
    <t>حمزه سیدالشهدا (ع)</t>
  </si>
  <si>
    <t>https://www.instagram.com/hamze_seyad_alshohada/</t>
  </si>
  <si>
    <r>
      <rPr>
        <rFont val="Calibri"/>
        <color rgb="FF1155CC"/>
        <sz val="11.0"/>
        <u/>
      </rPr>
      <t>eitaa.com/hamze_seyedalshohada</t>
    </r>
  </si>
  <si>
    <t>شهدای کربلای محله نوبر</t>
  </si>
  <si>
    <t>https://www.instagram.com/heat_shohadaye_karbala_nobar/</t>
  </si>
  <si>
    <t>t.me/Shohadayekarbala_Ht</t>
  </si>
  <si>
    <t>https://www.instagram.com/mokabaliakbar/</t>
  </si>
  <si>
    <t>https://t.me/s/aliakbartabriz1</t>
  </si>
  <si>
    <t>https://www.instagram.com/rayatolhossein_tabriz/</t>
  </si>
  <si>
    <r>
      <rPr>
        <rFont val="Calibri"/>
        <color rgb="FF1155CC"/>
        <sz val="11.0"/>
        <u/>
      </rPr>
      <t>t.me/rayatolhossein_tabriz</t>
    </r>
  </si>
  <si>
    <t>عزاداران عرب میرچوپان</t>
  </si>
  <si>
    <t>https://www.instagram.com/heyaat.mirchoopan/</t>
  </si>
  <si>
    <t>باب الحسین (ع)</t>
  </si>
  <si>
    <t>https://www.instagram.com/babolhosseintabriz/</t>
  </si>
  <si>
    <t>https://www.instagram.com/tasnimsarallahh/</t>
  </si>
  <si>
    <t>https://eitaa.com/tasnimsarallahh</t>
  </si>
  <si>
    <t>https://www.instagram.com/heyatolreza_/</t>
  </si>
  <si>
    <t>بیت الحیدر (ع)</t>
  </si>
  <si>
    <t>https://www.instagram.com/mokeb.beytolheydar/</t>
  </si>
  <si>
    <t>هنر تبریز</t>
  </si>
  <si>
    <t>https://www.instagram.com/heyat.honar/</t>
  </si>
  <si>
    <r>
      <rPr>
        <rFont val="Calibri"/>
        <color rgb="FF1155CC"/>
        <sz val="11.0"/>
        <u/>
      </rPr>
      <t>t.me/heyathonartabriz</t>
    </r>
  </si>
  <si>
    <t>قاسمیه سرخاب</t>
  </si>
  <si>
    <t>https://www.instagram.com/ghasemiye_live/</t>
  </si>
  <si>
    <t>https://www.instagram.com/montazerane_moud/</t>
  </si>
  <si>
    <r>
      <rPr>
        <rFont val="Calibri"/>
        <color rgb="FF1155CC"/>
        <sz val="11.0"/>
        <u/>
      </rPr>
      <t>eitaa.com/montazerane_moud</t>
    </r>
  </si>
  <si>
    <t>https://www.instagram.com/heyat.ashabalhosein.tabriz/</t>
  </si>
  <si>
    <r>
      <rPr>
        <rFont val="Calibri"/>
        <color rgb="FF1155CC"/>
        <sz val="11.0"/>
        <u/>
      </rPr>
      <t>t.me/ashabalhoseintabriz</t>
    </r>
  </si>
  <si>
    <t>https://www.instagram.com/heyatolrogaye/</t>
  </si>
  <si>
    <r>
      <rPr>
        <rFont val="Calibri"/>
        <color rgb="FF1155CC"/>
        <sz val="11.0"/>
        <u/>
      </rPr>
      <t>t.me/heyatolrogaye</t>
    </r>
  </si>
  <si>
    <t>هیأت ماهانه</t>
  </si>
  <si>
    <t>انصارالهادی (ع)</t>
  </si>
  <si>
    <t>https://www.instagram.com/ansarolhadi_tabriz/</t>
  </si>
  <si>
    <t>t.me/ansarolhadi_tabriz</t>
  </si>
  <si>
    <t>مکتب سیدالشهدا(ع)</t>
  </si>
  <si>
    <t>https://www.instagram.com/maktab_seyedolshohada/</t>
  </si>
  <si>
    <t>انصارالفاطمه (س)</t>
  </si>
  <si>
    <t>https://www.instagram.com/ansarolfateme/</t>
  </si>
  <si>
    <t>زیارت عاشورا مدافعان حرم</t>
  </si>
  <si>
    <t>https://www.instagram.com/ziarat_ashura_tabriz/</t>
  </si>
  <si>
    <t>https://www.instagram.com/modafana_haram_hzrata_zaynab/</t>
  </si>
  <si>
    <t>https://www.instagram.com/noorolhossein_ir/</t>
  </si>
  <si>
    <t>متوسلین حضرت مهدی(عج)</t>
  </si>
  <si>
    <t>https://www.instagram.com/gabas313/</t>
  </si>
  <si>
    <r>
      <rPr>
        <rFont val="Calibri"/>
        <color rgb="FF1155CC"/>
        <sz val="11.0"/>
        <u/>
      </rPr>
      <t>t.me/gabas313</t>
    </r>
  </si>
  <si>
    <t>مکتب الفائزون</t>
  </si>
  <si>
    <t>https://www.instagram.com/faezoun_tabriz/</t>
  </si>
  <si>
    <t>مکتب باقریه تبریز</t>
  </si>
  <si>
    <t>https://www.instagram.com/bageriyetabriz/channel/</t>
  </si>
  <si>
    <t>https://www.instagram.com/shahzade.aliasghar.tabriz/</t>
  </si>
  <si>
    <r>
      <rPr>
        <rFont val="Calibri"/>
        <color rgb="FF1155CC"/>
        <sz val="11.0"/>
        <u/>
      </rPr>
      <t>t.me/shahzadealiasgar</t>
    </r>
  </si>
  <si>
    <t>محبین عقیله العرب (س)</t>
  </si>
  <si>
    <t>https://www.instagram.com/aghilatalarab_tb/</t>
  </si>
  <si>
    <t>قائم آل محمد (عج) - منتظران حضرت مهدی (عج)</t>
  </si>
  <si>
    <t>https://www.instagram.com/heiaat_gaem/</t>
  </si>
  <si>
    <t>https://www.instagram.com/asheganealiakbar79/</t>
  </si>
  <si>
    <t>عزاداران زینبیه خیابان آذربایجان</t>
  </si>
  <si>
    <t>https://www.instagram.com/zeinabietabriz/</t>
  </si>
  <si>
    <t>عزاداران حسین بن علی (ع)</t>
  </si>
  <si>
    <t>https://www.instagram.com/hosseinebnali.ir/</t>
  </si>
  <si>
    <t>https://www.instagram.com/samenolaemeh1/</t>
  </si>
  <si>
    <t>منتظران انصارالمهدی (عج)</t>
  </si>
  <si>
    <t>https://www.instagram.com/heyat_ansarolmahditabriz/</t>
  </si>
  <si>
    <t>صبح وصال</t>
  </si>
  <si>
    <t>https://www.instagram.com/sobhevesal_ir/</t>
  </si>
  <si>
    <t>عاشقان ثارالله (ع) (جوانان عاشورایی رزمندگان اسلام)</t>
  </si>
  <si>
    <t>https://www.instagram.com/sarallahm/</t>
  </si>
  <si>
    <r>
      <rPr>
        <rFont val="Calibri"/>
        <color rgb="FF1155CC"/>
        <sz val="11.0"/>
        <u/>
      </rPr>
      <t>t.me/sarallahm</t>
    </r>
  </si>
  <si>
    <t>رئوف آل طه (ع)</t>
  </si>
  <si>
    <t>https://www.instagram.com/rauofealetaha_ir/</t>
  </si>
  <si>
    <t>https://www.instagram.com/ashegane_velayat_tabriz/</t>
  </si>
  <si>
    <t>https://www.instagram.com/bentolhossein_tb/</t>
  </si>
  <si>
    <t>کانون منتظران حضرت مهدی (عج)</t>
  </si>
  <si>
    <t>https://www.instagram.com/montazeranemahdi.tb/</t>
  </si>
  <si>
    <t>https://www.instagram.com/eheyat_azsh/</t>
  </si>
  <si>
    <t>https://www.instagram.com/heyat_ghamarbani_hashem_tabriz/</t>
  </si>
  <si>
    <t>عاشقان حضرت سیدالشهدا (ع)</t>
  </si>
  <si>
    <t>https://www.instagram.com/asheganeseidalshohada/</t>
  </si>
  <si>
    <r>
      <rPr>
        <rFont val="Calibri"/>
        <color rgb="FF1155CC"/>
        <sz val="11.0"/>
        <u/>
      </rPr>
      <t>telegram.me/AsheganeSeidAlshohada</t>
    </r>
  </si>
  <si>
    <t>https://www.instagram.com/shohadayegomnam.tabriz/</t>
  </si>
  <si>
    <t>https://eitaa.com/shohadayeghomnamT</t>
  </si>
  <si>
    <t>عزاداران محمد رسول الله (ص)</t>
  </si>
  <si>
    <t>https://www.instagram.com/heyatemohammadrasolallah/</t>
  </si>
  <si>
    <t>عزاداران انصارالحسین (ع)</t>
  </si>
  <si>
    <t>https://www.instagram.com/ansaralhusseintabriz/</t>
  </si>
  <si>
    <r>
      <rPr>
        <rFont val="Calibri"/>
        <color rgb="FF1155CC"/>
        <sz val="11.0"/>
        <u/>
      </rPr>
      <t>t.me/ansaralhussaintabriz</t>
    </r>
  </si>
  <si>
    <t>حضرت المهدی (عج)</t>
  </si>
  <si>
    <t>https://www.instagram.com/heyate_almahdi/</t>
  </si>
  <si>
    <t>t.me/heyateealmahdi</t>
  </si>
  <si>
    <t>eitaa.com/heyatealmahdi</t>
  </si>
  <si>
    <t>وارثان ثارالله شاهد</t>
  </si>
  <si>
    <t>https://www.instagram.com/varesan_sarallah/</t>
  </si>
  <si>
    <r>
      <rPr>
        <rFont val="Calibri"/>
        <color rgb="FF1155CC"/>
        <sz val="11.0"/>
        <u/>
      </rPr>
      <t>eitaa.com/varesansarallah</t>
    </r>
  </si>
  <si>
    <t>https://www.instagram.com/maktabalshohada_tb/</t>
  </si>
  <si>
    <t>eitaa.com/maktab_alshouhada</t>
  </si>
  <si>
    <t>عزاخانه اکبریه</t>
  </si>
  <si>
    <t>https://www.instagram.com/azakhane_akbariye/</t>
  </si>
  <si>
    <t>اکبریه خسروشاه</t>
  </si>
  <si>
    <t>خسروشاه</t>
  </si>
  <si>
    <t>https://www.instagram.com/akbarieh_khosrowshah/</t>
  </si>
  <si>
    <t>مراغه</t>
  </si>
  <si>
    <t>https://www.instagram.com/heyat_fatemeh_alzahra/</t>
  </si>
  <si>
    <r>
      <rPr>
        <rFont val="Calibri"/>
        <color rgb="FF1155CC"/>
        <sz val="11.0"/>
        <u/>
      </rPr>
      <t>t.me/heyat_gallery</t>
    </r>
  </si>
  <si>
    <t>حسینی قرآنی عاشورائیان</t>
  </si>
  <si>
    <t>https://www.instagram.com/ashuraeyan_maragheh2/</t>
  </si>
  <si>
    <t>رایة الرضا</t>
  </si>
  <si>
    <t>https://www.instagram.com/rayatolrezakondroud/</t>
  </si>
  <si>
    <t>https://www.instagram.com/mokebfatemiunosku</t>
  </si>
  <si>
    <t>https://t.me/arbaeinosku</t>
  </si>
  <si>
    <t>ثامن الائمه (ع) چایکنار</t>
  </si>
  <si>
    <t>https://www.instagram.com/heiatesamen</t>
  </si>
  <si>
    <t>یاحسین مظلوم(ع)</t>
  </si>
  <si>
    <t>https://www.instagram.com/heyat_yahosein_oskou</t>
  </si>
  <si>
    <t>عزاداران بسیج دانشجویی دانشگاه صنعتی سهند</t>
  </si>
  <si>
    <t>https://t.me/bdsut_ir</t>
  </si>
  <si>
    <t>محبان الزهرا (س) / دانشگاه صنعتی سهند</t>
  </si>
  <si>
    <t>https://www.instagram.com/mohebban213_ir</t>
  </si>
  <si>
    <t>https://t.me/mohebban213_ir</t>
  </si>
  <si>
    <t>حضرت ابوالفضل العباس (ع) روستای بایرام</t>
  </si>
  <si>
    <t>https://www.instagram.com/heyat.abolfazl.bayram/</t>
  </si>
  <si>
    <t>https://www.instagram.com/heyat_mohebin_sahand</t>
  </si>
  <si>
    <t>ثارالله الحسین (ع)</t>
  </si>
  <si>
    <t>اهر</t>
  </si>
  <si>
    <t>https://www.instagram.com/saralahahar</t>
  </si>
  <si>
    <t>https://www.instagram.com/montazeran.zohur.ahar</t>
  </si>
  <si>
    <t>حضرت فاطمه الزهر س تشنگان کوثر اهر</t>
  </si>
  <si>
    <t>https://www.instagram.com/tashnaganakosar.ahar</t>
  </si>
  <si>
    <t>https://t.me/teshnganekosar</t>
  </si>
  <si>
    <t>سینه زنان جوانان مسجد موسی بن جعفر (ع)</t>
  </si>
  <si>
    <t>https://www.instagram.com/emame_mosabne_jafar</t>
  </si>
  <si>
    <t>ماتمکده حضرت زینب (س)</t>
  </si>
  <si>
    <t>https://www.instagram.com/matamkade_hazrat_zienab_ahar</t>
  </si>
  <si>
    <t>https://www.instagram.com/maktab.zahra.ahar</t>
  </si>
  <si>
    <t>https://t.me/maktabolzahra_ahar</t>
  </si>
  <si>
    <t>انصار سیدالشهدا(ع)</t>
  </si>
  <si>
    <t>https://www.instagram.com/hoseyniye_ansar.ahar</t>
  </si>
  <si>
    <t>لواء زینب</t>
  </si>
  <si>
    <t>https://www.instagram.com/levazeynab_ahar</t>
  </si>
  <si>
    <t>https://www.instagram.com/jannatolhosein_ahar</t>
  </si>
  <si>
    <t>سبزپوشان علوی</t>
  </si>
  <si>
    <t>https://www.instagram.com/sabzposhanealavi.ahar</t>
  </si>
  <si>
    <t>https://t.me/sabzposhanalavi1385</t>
  </si>
  <si>
    <t>جان نثاران حضرت قاسم(ع)</t>
  </si>
  <si>
    <t>https://www.instagram.com/jan_nsaran.ahr/</t>
  </si>
  <si>
    <t>https://www.instagram.com/heyyateemamsajjad</t>
  </si>
  <si>
    <t>https://www.instagram.com/heyat.sahebalzaman.ahar</t>
  </si>
  <si>
    <t>اصغریه</t>
  </si>
  <si>
    <t>https://www.instagram.com/asghariyehahar_ir</t>
  </si>
  <si>
    <t>تشنگان کوثر</t>
  </si>
  <si>
    <t>https://www.instagram.com/teshneghan_kosar_ahar</t>
  </si>
  <si>
    <t>https://www.instagram.com/heyatasheghankarbla_ahar1376</t>
  </si>
  <si>
    <t>سینه زنان فاطمه الزهرا (س)</t>
  </si>
  <si>
    <t>https://www.instagram.com/heiat_fatemealzahra_ahar</t>
  </si>
  <si>
    <t>https://t.me/fatemealzahra97</t>
  </si>
  <si>
    <t>https://www.instagram.com/maktabolabas.ahar</t>
  </si>
  <si>
    <t>کانون خدمت رضوی اهر</t>
  </si>
  <si>
    <t>https://www.instagram.com/razavi.ahar</t>
  </si>
  <si>
    <t>https://www.instagram.com/mashar_110</t>
  </si>
  <si>
    <t>https://www.instagram.com/heyat_maktabzahra_azarshahr</t>
  </si>
  <si>
    <t>https://t.me/maktabzahra</t>
  </si>
  <si>
    <t>عزاداران حسینیه گوگان</t>
  </si>
  <si>
    <t>https://www.instagram.com/heyat_akbarye_gogan</t>
  </si>
  <si>
    <t>https://www.instagram.com/hayet_baytolahzan_azarhsahr</t>
  </si>
  <si>
    <t>عباسیون</t>
  </si>
  <si>
    <t>https://www.instagram.com/abbasion_heyat</t>
  </si>
  <si>
    <t>https://t.me/Abbasion_heyat</t>
  </si>
  <si>
    <t>https://eitaa.com/abbasion_heyat</t>
  </si>
  <si>
    <t>https://www.youtube.com/@heyat_abbasion</t>
  </si>
  <si>
    <t>https://www.instagram.com/levaolmahdi_1/</t>
  </si>
  <si>
    <t>https://t.me/levaolmahdi_1</t>
  </si>
  <si>
    <t>عزاداران ریحانه الرسول (س)</t>
  </si>
  <si>
    <t>https://www.instagram.com/heyatereyhanatolrasuletabriz/</t>
  </si>
  <si>
    <t>مرحوم شوری</t>
  </si>
  <si>
    <t>https://www.instagram.com/heyat.seyyed.shouri</t>
  </si>
  <si>
    <t>مسجد حضرت علی (ع)</t>
  </si>
  <si>
    <t>https://www.instagram.com/imamalimosque</t>
  </si>
  <si>
    <t>عزاداران ثارالله (ع)</t>
  </si>
  <si>
    <t>https://www.instagram.com/sarallah_fajr</t>
  </si>
  <si>
    <t>https://www.instagram.com/rahrovan_shohada79</t>
  </si>
  <si>
    <t>https://eitaa.com/rahrovaneshohada79</t>
  </si>
  <si>
    <t>عزاداران سرباز شش ماهه</t>
  </si>
  <si>
    <t>https://www.instagram.com/sarbaz_sheshmahe/</t>
  </si>
  <si>
    <t>https://t.me/sarbaze6mahe?</t>
  </si>
  <si>
    <t>طفلان مسلم (ع)</t>
  </si>
  <si>
    <t>https://www.instagram.com/teflane_muslem</t>
  </si>
  <si>
    <t>https://t.me/teflane_muslem_tbz1</t>
  </si>
  <si>
    <t>بستان آباد</t>
  </si>
  <si>
    <t>https://www.instagram.com/masjed_jame_bostanabad</t>
  </si>
  <si>
    <t>حضرت ابوالفضل (ع) / الغدیر</t>
  </si>
  <si>
    <t>https://www.instagram.com/masjed_hazrat_abolfazl_1354/</t>
  </si>
  <si>
    <t>https://www.instagram.com/h.javanan.hazrat.abolfazl/</t>
  </si>
  <si>
    <t>بناب</t>
  </si>
  <si>
    <t>https://www.instagram.com/heyat.14.masoom</t>
  </si>
  <si>
    <t>https://www.instagram.com/bouria_ir</t>
  </si>
  <si>
    <t>https://t.me/bouria</t>
  </si>
  <si>
    <t>مکتب الزهرا بناب</t>
  </si>
  <si>
    <t>https://www.instagram.com/maktab_azahra</t>
  </si>
  <si>
    <t>https://eitaa.com/maktabezahra1401</t>
  </si>
  <si>
    <t>جوانان تل زینبیه کوی سهند</t>
  </si>
  <si>
    <t>https://t.me/mannokarehoseinam</t>
  </si>
  <si>
    <t>https://www.instagram.com/heyat_rozatol_hosein</t>
  </si>
  <si>
    <t>https://www.instagram.com/javadolaemah</t>
  </si>
  <si>
    <t>https://eitaa.com/javadol_aemah</t>
  </si>
  <si>
    <t>گروه جهادی حوزه علمیه حضرت ولی عصر(عج)</t>
  </si>
  <si>
    <t>https://www.instagram.com/jahadigrop_howzeh</t>
  </si>
  <si>
    <t>کانون فرهنگی هنری امام حسین (ع)</t>
  </si>
  <si>
    <t>https://www.instagram.com/kanon_emam_hosein/</t>
  </si>
  <si>
    <t>https://www.instagram.com/heyat.reyhane.alnabi</t>
  </si>
  <si>
    <t>لواء الرقیه (س)</t>
  </si>
  <si>
    <t>https://www.instagram.com/levaorroghayye</t>
  </si>
  <si>
    <t>هیات عرب باغ میشه</t>
  </si>
  <si>
    <t>https://www.instagram.com/ajam_baghmisheh</t>
  </si>
  <si>
    <t>https://www.instagram.com/hazraterogayeh</t>
  </si>
  <si>
    <t>عزاداران سیدالشهدا (ع)</t>
  </si>
  <si>
    <t>https://www.instagram.com/seyedolshohada_gholghasht</t>
  </si>
  <si>
    <t>https://t.me/seyedolshohada_golgashttabriz</t>
  </si>
  <si>
    <t>https://www.instagram.com/norzahra_tabriz</t>
  </si>
  <si>
    <t>https://t.me/Nooralzahra_tbz</t>
  </si>
  <si>
    <t>https://www.instagram.com/shohadayekarbala1330</t>
  </si>
  <si>
    <t>https://t.me/negar_shohadayekarbala1330</t>
  </si>
  <si>
    <t>مکتب تشیع</t>
  </si>
  <si>
    <t>https://www.instagram.com/maktab_tashayo_tabriz</t>
  </si>
  <si>
    <t>https://t.me/maktab_tashayo</t>
  </si>
  <si>
    <t>متوسلین ام الائمه (ع)</t>
  </si>
  <si>
    <t>https://www.instagram.com/motavaselin_ommolaeme/</t>
  </si>
  <si>
    <t>https://eitaa.com/heyat_madar1379</t>
  </si>
  <si>
    <t>موسسه خیریه سعادت اندیشان رحمت تبریز</t>
  </si>
  <si>
    <t>https://www.instagram.com/mohammad.sheikhzadeh_</t>
  </si>
  <si>
    <t>هیات علمی فرهنگی سبز سرخ</t>
  </si>
  <si>
    <t>https://www.instagram.com/sabz.sorkh.313</t>
  </si>
  <si>
    <t>https://eitaa.com/sabzesorkhh</t>
  </si>
  <si>
    <t>روضه نورالحسین</t>
  </si>
  <si>
    <t>https://www.instagram.com/noorolhossein_ir</t>
  </si>
  <si>
    <t>https://eitaa.com/noorolhoseintabriz</t>
  </si>
  <si>
    <t>https://www.instagram.com/maktabolmahdiei</t>
  </si>
  <si>
    <t>رایت الحسین (ع)</t>
  </si>
  <si>
    <t>https://www.instagram.com/rayatolhossein_tabriz</t>
  </si>
  <si>
    <t>https://t.me/rayatolhossein_tabriz</t>
  </si>
  <si>
    <t>https://www.instagram.com/heyatvaliamr</t>
  </si>
  <si>
    <t>https://t.me/heyatvaliamr</t>
  </si>
  <si>
    <t>منتظران حضرت مهدی (عج) عجمه محله سرخاب تبریز</t>
  </si>
  <si>
    <t>https://www.instagram.com/montazerane_.mahdi_sorkhab</t>
  </si>
  <si>
    <t>https://www.instagram.com/khoddamozzahra_tabriz</t>
  </si>
  <si>
    <t>https://t.me/Khoddamozzahra_Tabriz</t>
  </si>
  <si>
    <t>عاشقان یا زهرا (س)</t>
  </si>
  <si>
    <t>https://www.instagram.com/ashegane_yazahra</t>
  </si>
  <si>
    <t>https://www.instagram.com/ansarolhojjat_org</t>
  </si>
  <si>
    <t>https://t.me/ansarolhojjat_org</t>
  </si>
  <si>
    <t>https://eitaa.com/ansarolhojjat_org</t>
  </si>
  <si>
    <t>رایت المهدی</t>
  </si>
  <si>
    <t>https://www.instagram.com/rayatolmahdi313_tab</t>
  </si>
  <si>
    <t>https://www.instagram.com/rayatolmahdi_tabriz</t>
  </si>
  <si>
    <t>https://eitaa.com/rayatolmahdi_tabriz</t>
  </si>
  <si>
    <t>https://eitaa.com/ansar_alreza8</t>
  </si>
  <si>
    <t>بنیاد فرهنگی طوبی</t>
  </si>
  <si>
    <t>https://www.instagram.com/bonyadtooba</t>
  </si>
  <si>
    <t>روضه طوبی</t>
  </si>
  <si>
    <t>https://www.instagram.com/rowzeyetooba</t>
  </si>
  <si>
    <t>سقای کربلاوعباسیه اعظم سردرود</t>
  </si>
  <si>
    <t>https://www.instagram.com/sagaye.karbala.sardrud</t>
  </si>
  <si>
    <t>حضرت بقیه الله الاعظم (عج)</t>
  </si>
  <si>
    <t>https://www.instagram.com/baghiyatallah.tabriz</t>
  </si>
  <si>
    <t>https://www.instagram.com/heyatolreza_</t>
  </si>
  <si>
    <t>https://eitaa.com/heiatolreza_ir</t>
  </si>
  <si>
    <t>کانون فرهنگی فطرت</t>
  </si>
  <si>
    <t>https://www.instagram.com/kanoun.jahadi.fetrat</t>
  </si>
  <si>
    <t>ریحانه الزهرا (س)</t>
  </si>
  <si>
    <t>https://www.instagram.com/reyhanezahratabriz213</t>
  </si>
  <si>
    <t>https://eitaa.com/reyhanezahratabriz95</t>
  </si>
  <si>
    <t>مکتب نهج البلاغه</t>
  </si>
  <si>
    <t>https://www.instagram.com/maktabe_nahjolbalaghe_tabriz</t>
  </si>
  <si>
    <t>جان نثاران حضرت قاسم (ع)</t>
  </si>
  <si>
    <t>https://www.instagram.com/jannesaran_hazrat_gasem_tabriz</t>
  </si>
  <si>
    <t>کوثر</t>
  </si>
  <si>
    <t>https://www.instagram.com/kosar_tabriz</t>
  </si>
  <si>
    <t>https://t.me/KosarTabriz</t>
  </si>
  <si>
    <t>https://www.instagram.com/aletahatabriz</t>
  </si>
  <si>
    <t>https://t.me/aletahasorkhab</t>
  </si>
  <si>
    <t>https://eitaa.com/RauofeAleTaha</t>
  </si>
  <si>
    <t>https://www.instagram.com/heyate_javananaliakbar1</t>
  </si>
  <si>
    <t>https://eitaa.com/Javanane_AlieAkbar</t>
  </si>
  <si>
    <t>https://www.instagram.com/rozatolabbas_tabriz</t>
  </si>
  <si>
    <t>https://t.me/Rozatolabbas_Tabriz</t>
  </si>
  <si>
    <t>https://www.instagram.com/rozat.alabas.shotorban_tabriz</t>
  </si>
  <si>
    <t>هیأت الزهرا (س) پایگاه شهید شریفی</t>
  </si>
  <si>
    <t>https://eitaa.com/heyat_alzahra</t>
  </si>
  <si>
    <t>https://www.instagram.com/seyedezeynabtabriz</t>
  </si>
  <si>
    <t>https://t.me/seyedezeynabtabriz</t>
  </si>
  <si>
    <t>https://www.instagram.com/bentolhossein_tb</t>
  </si>
  <si>
    <t>https://t.me/madahi_imani</t>
  </si>
  <si>
    <t>https://eitaa.com/Bentolhose</t>
  </si>
  <si>
    <t>کانون فرهنگی ولیعصر (عج)</t>
  </si>
  <si>
    <t>https://www.instagram.com/kanunevaliasr_tabriz</t>
  </si>
  <si>
    <t>https://www.instagram.com/kanunvaliasr_tabriz</t>
  </si>
  <si>
    <t>https://www.instagram.com/jannatol_hossein_tabriz</t>
  </si>
  <si>
    <t>سینه زنان عجم محبان امام رضا(ع)</t>
  </si>
  <si>
    <t>https://www.instagram.com/ajammohebbanemamrezatabriz</t>
  </si>
  <si>
    <t>https://t.me/ajammohebbanemamrezatabriz</t>
  </si>
  <si>
    <t>https://www.instagram.com/heyateasheganekarbala</t>
  </si>
  <si>
    <t>https://eitaa.com/ashgkarbala</t>
  </si>
  <si>
    <t>https://www.instagram.com/heyatazadarana_panjtan</t>
  </si>
  <si>
    <t>https://t.me/panjtane_aleaba_tabriz</t>
  </si>
  <si>
    <t>مشتاقان چهارده معصوم تبریز</t>
  </si>
  <si>
    <t>https://www.instagram.com/moshtagan_tabriz</t>
  </si>
  <si>
    <t>دلدادگان حضرت زهرا (س)</t>
  </si>
  <si>
    <t>https://www.instagram.com/deldadegan_zahra</t>
  </si>
  <si>
    <t>زنجیر زنان محله ی مارالان</t>
  </si>
  <si>
    <t>https://www.instagram.com/zanjir.maralan</t>
  </si>
  <si>
    <t>https://t.me/zanjir_maralan</t>
  </si>
  <si>
    <t>تشنگان کوثر مراغه</t>
  </si>
  <si>
    <t>https://www.instagram.com/teshneekosar</t>
  </si>
  <si>
    <t>https://t.me/teshneekosar</t>
  </si>
  <si>
    <t>هیات موکب رایحه الحسین (ع)</t>
  </si>
  <si>
    <t>https://www.instagram.com/rayehatolhosein_tabriz</t>
  </si>
  <si>
    <t>https://www.instagram.com/reihaneh_tabriz</t>
  </si>
  <si>
    <t>عاشقان مڪتب قمر منیر بنی هاشم کوی دانشگاه تبریز</t>
  </si>
  <si>
    <t>https://www.instagram.com/heyate_gamar</t>
  </si>
  <si>
    <t>https://t.me/HeyateGamar</t>
  </si>
  <si>
    <t>https://eitaa.com/joinchat/1490289242C66a8d75d9c</t>
  </si>
  <si>
    <t>مهد قرآن و عترت</t>
  </si>
  <si>
    <t>https://www.instagram.com/mahdquran.ir</t>
  </si>
  <si>
    <t>هیات موکب جوانان چهارده معصوم (ع) آخماقیه</t>
  </si>
  <si>
    <t>https://www.instagram.com/14maasom_axmagye</t>
  </si>
  <si>
    <t>لواءالزینب تبریز</t>
  </si>
  <si>
    <t>https://www.instagram.com/levaolzeynabtabriz</t>
  </si>
  <si>
    <t>https://www.instagram.com/levaolzeinab1394</t>
  </si>
  <si>
    <t>عاشقان سیدالشهدا</t>
  </si>
  <si>
    <t>https://www.instagram.com/asheganseiedalshohada_tabriz</t>
  </si>
  <si>
    <t>https://t.me/AsheganeSeidAlshohada</t>
  </si>
  <si>
    <t>https://eitaa.com/heiatghasemiehtabriz</t>
  </si>
  <si>
    <t>زنجیر زنان حکم آباد</t>
  </si>
  <si>
    <t>https://www.instagram.com/zanjirzananhokmabad</t>
  </si>
  <si>
    <t>https://t.me/zanjirzanHokmabad</t>
  </si>
  <si>
    <t>شهدای گردان امام حسین (ع)</t>
  </si>
  <si>
    <t>https://www.instagram.com/gordaneemamhossin</t>
  </si>
  <si>
    <t>https://t.me/gordaneemamhossin</t>
  </si>
  <si>
    <t>ولی الله</t>
  </si>
  <si>
    <t>https://www.instagram.com/mokabe_valiyatollah</t>
  </si>
  <si>
    <t>https://t.me/mokabe_valiyatollah</t>
  </si>
  <si>
    <t>عاشقان حضرت ابوالفضل شهرک باغمیشه</t>
  </si>
  <si>
    <t>https://www.instagram.com/hyt_asheghan_hazratabolfazl</t>
  </si>
  <si>
    <t>https://t.me/hyt_asheghan_hzrt_abolfazl90</t>
  </si>
  <si>
    <t>https://www.instagram.com/maktabzahra97</t>
  </si>
  <si>
    <t>https://eitaa.com/heyat_maktabolzahra_tbz</t>
  </si>
  <si>
    <t>هیات موکب العباس (ع)</t>
  </si>
  <si>
    <t>https://www.instagram.com/mokabolabas_tabriz</t>
  </si>
  <si>
    <t>https://t.me/MAHABOLFAZL</t>
  </si>
  <si>
    <t>حوزه بسیج مدافع حرم</t>
  </si>
  <si>
    <t>https://eitaa.com/basijnews_tabriz</t>
  </si>
  <si>
    <t>متوسلین شهدای اسلام</t>
  </si>
  <si>
    <t>https://www.instagram.com/heyatmsetabriz.info</t>
  </si>
  <si>
    <t>https://t.me/HEYATMSETABRIZ</t>
  </si>
  <si>
    <t>هیات موکب علی کبر (ع)</t>
  </si>
  <si>
    <t>https://www.instagram.com/mokabaliakbar</t>
  </si>
  <si>
    <t>مسلمیه</t>
  </si>
  <si>
    <t>https://www.instagram.com/heiat.moslemie</t>
  </si>
  <si>
    <t>شورای هیات</t>
  </si>
  <si>
    <t>https://eitaa.com/shorayeheyatmazhabitabriz</t>
  </si>
  <si>
    <t>دانشگاه تبریز</t>
  </si>
  <si>
    <t>https://www.instagram.com/safineh_nejaat</t>
  </si>
  <si>
    <t>https://t.me/publictabrizuniversity</t>
  </si>
  <si>
    <t>https://eitaa.com/heyatshohadayeghomnam</t>
  </si>
  <si>
    <t>سیرت</t>
  </si>
  <si>
    <t>https://www.instagram.com/sirat.media</t>
  </si>
  <si>
    <t>زیارت عاشورا</t>
  </si>
  <si>
    <t>https://www.instagram.com/jalaseh_zeyarat_ashora</t>
  </si>
  <si>
    <t>یاحسین شهید (ع)</t>
  </si>
  <si>
    <t>https://www.instagram.com/y.hossein.shahid</t>
  </si>
  <si>
    <t>https://t.me/hyhsh</t>
  </si>
  <si>
    <t>https://www.instagram.com/heyat_yahosein.shahid_tabriz</t>
  </si>
  <si>
    <t>یاحسین مظلوم (ع)</t>
  </si>
  <si>
    <t>https://t.me/YAHOSEINEMAZLOMETABRIZ</t>
  </si>
  <si>
    <t>یا حسین (ع) فاتح</t>
  </si>
  <si>
    <t>https://www.instagram.com/yahosseinefatehetabriz</t>
  </si>
  <si>
    <t>الی الحبیب</t>
  </si>
  <si>
    <t>https://www.instagram.com/elalhabib_1401</t>
  </si>
  <si>
    <t>https://eitaa.com/elalhabibk</t>
  </si>
  <si>
    <t>https://www.instagram.com/jannesarane_tabriz</t>
  </si>
  <si>
    <t>https://t.me/janesarantabriz69</t>
  </si>
  <si>
    <t>موسسه قرآن و عترت نور</t>
  </si>
  <si>
    <t>https://www.instagram.com/noorquran_ir</t>
  </si>
  <si>
    <t>https://eitaa.com/noorquran_ir</t>
  </si>
  <si>
    <t>https://www.instagram.com/majmaol_zakerin_tabriz</t>
  </si>
  <si>
    <t>باب الحوائج (ع)</t>
  </si>
  <si>
    <t>https://t.me/babalhavaejan</t>
  </si>
  <si>
    <t>حضرت ولی عصر (عج)</t>
  </si>
  <si>
    <t>https://www.instagram.com/hoze_valeasr_tabriz</t>
  </si>
  <si>
    <t>https://eitaa.com/howzehtabriz313</t>
  </si>
  <si>
    <t>مجمع دستجات حسینی (محله مارالان)</t>
  </si>
  <si>
    <t>https://www.instagram.com/dastajat_maralan</t>
  </si>
  <si>
    <t>عزاداران ثامن الائمه (ع)</t>
  </si>
  <si>
    <t>https://www.instagram.com/samenolaemeh1</t>
  </si>
  <si>
    <t>مکتب النبی (ص)</t>
  </si>
  <si>
    <t>https://www.instagram.com/maktabonabitabriz</t>
  </si>
  <si>
    <t>https://t.me/maktabonnabitabriz</t>
  </si>
  <si>
    <t>https://www.instagram.com/heyate_maktabe_hossein_1387</t>
  </si>
  <si>
    <t>https://t.me/maktabalhoseiyn</t>
  </si>
  <si>
    <t>سینه زنان شتربان تبریز مسجد گرگری</t>
  </si>
  <si>
    <t>https://eitaa.com/sinezanan_shotorban_tabriz</t>
  </si>
  <si>
    <t>زنجیرزنان چرنداب تبریز</t>
  </si>
  <si>
    <t>https://www.instagram.com/zanjir_charandab</t>
  </si>
  <si>
    <t>چهارده معصوم چرنداب تبریز</t>
  </si>
  <si>
    <t>https://www.instagram.com/chahardahmasom.charandab</t>
  </si>
  <si>
    <t>https://eitaa.com/maktabegoorantabriz</t>
  </si>
  <si>
    <t>فاطمیون تبریز</t>
  </si>
  <si>
    <t>https://www.instagram.com/fatemiyune.tabriz</t>
  </si>
  <si>
    <t>https://www.instagram.com/fatemiyyontabriz</t>
  </si>
  <si>
    <t>https://eitaa.com/fatemiyyontabriz</t>
  </si>
  <si>
    <t>عزاداران جوادالائمه (ع)</t>
  </si>
  <si>
    <t>https://www.instagram.com/emam_javadolaeme</t>
  </si>
  <si>
    <t>عزاداران پابوسان علی اکبر (ع)</t>
  </si>
  <si>
    <t>https://www.instagram.com/pabusan.ir</t>
  </si>
  <si>
    <t>عزاداران مصباح الهدی (عج)</t>
  </si>
  <si>
    <t>https://www.instagram.com/mesbah_olhoda_tb</t>
  </si>
  <si>
    <t>https://t.me/mesbaholhodatabriz</t>
  </si>
  <si>
    <t>عزاداران عاشقان حضرت رقیه (س)</t>
  </si>
  <si>
    <t>https://www.instagram.com/hazrate.rogeye</t>
  </si>
  <si>
    <t>عزاداران ثامن الائمه (ع) (محله طالقانی)</t>
  </si>
  <si>
    <t>https://www.instagram.com/heyat_samenalaemeh</t>
  </si>
  <si>
    <t>عزاداران مکتب اخلاق انصار باقرالعلوم (ع)</t>
  </si>
  <si>
    <t>https://www.instagram.com/ansar_bagher_al_ouloum</t>
  </si>
  <si>
    <t>عزاداران حضرت فاطمه الزهرا (س) (شهرک ارم)</t>
  </si>
  <si>
    <t>https://www.instagram.com/fatematol_zahra</t>
  </si>
  <si>
    <t>عزاداران عباسیه چرنداب</t>
  </si>
  <si>
    <t>https://www.instagram.com/abbasie_charandab</t>
  </si>
  <si>
    <t>https://www.instagram.com/heyat_alzahra.ir</t>
  </si>
  <si>
    <t>https://www.instagram.com/heyat_ansarolmahditabriz</t>
  </si>
  <si>
    <t>https://t.me/heyatansarolmahditabriz</t>
  </si>
  <si>
    <t>https://eitaa.com/ansarolmahditabriz</t>
  </si>
  <si>
    <t>وارثان ثارالله (ع)</t>
  </si>
  <si>
    <t>https://www.instagram.com/varesansarallah</t>
  </si>
  <si>
    <t>https://t.me/VaresanSarallahTabriz1</t>
  </si>
  <si>
    <t>هیات موکب عزاداران مکتب العباس (ع)</t>
  </si>
  <si>
    <t>https://www.instagram.com/maktabol_abbas_tabriz</t>
  </si>
  <si>
    <t>https://eitaa.com/heyat_chahardah_masom</t>
  </si>
  <si>
    <t>اکبریه (شتربان)</t>
  </si>
  <si>
    <t>https://www.instagram.com/akbariyeh_shotorban_ir</t>
  </si>
  <si>
    <t>https://t.me/AKBARIYEHshotorban</t>
  </si>
  <si>
    <t>عزاداران امام حسن مجتبی (ع)</t>
  </si>
  <si>
    <t>https://www.instagram.com/heiate_baghmishe</t>
  </si>
  <si>
    <t>عزاداران الزهرا (س)</t>
  </si>
  <si>
    <t>https://www.instagram.com/azzahraetabriz</t>
  </si>
  <si>
    <t>https://t.me/azzahraetabriz</t>
  </si>
  <si>
    <t>https://eitaa.com/azzahraetabriz</t>
  </si>
  <si>
    <t>بنیاد نیمه شعبان</t>
  </si>
  <si>
    <t>https://www.instagram.com/shamsevelayat</t>
  </si>
  <si>
    <t>کانون فرهنگی صراط</t>
  </si>
  <si>
    <t>https://www.instagram.com/serat.tb</t>
  </si>
  <si>
    <t>https://eitaa.com/serattb</t>
  </si>
  <si>
    <t>فاطمیون (دانشگاه فرهنگیان علامه امینی)</t>
  </si>
  <si>
    <t>https://www.instagram.com/cfu.fatemiyon</t>
  </si>
  <si>
    <t>https://t.me/cfu_fatemiyon</t>
  </si>
  <si>
    <t>عزاداران مسجد آل محمد (ص)</t>
  </si>
  <si>
    <t>https://eitaa.com/heiatalemohammad</t>
  </si>
  <si>
    <t>https://www.instagram.com/heyat_sajjadiyetabriz</t>
  </si>
  <si>
    <t>خیمه علی اصغر (ع)</t>
  </si>
  <si>
    <t>https://www.instagram.com/kheimealiasghar</t>
  </si>
  <si>
    <t>https://t.me/kheimealiasghar</t>
  </si>
  <si>
    <t>https://www.instagram.com/mokab.babalhavaej.tabriz</t>
  </si>
  <si>
    <t>https://www.instagram.com/aba_taleb_ir</t>
  </si>
  <si>
    <t>https://www.instagram.com/asgharieazametabriz</t>
  </si>
  <si>
    <t>https://t.me/asgharieazametabriz</t>
  </si>
  <si>
    <t>پیروان آل هاشم (ع)</t>
  </si>
  <si>
    <t>https://www.instagram.com/peyrovane.alehashem</t>
  </si>
  <si>
    <t>عزاداران جوانان بنی هاشم (ع)</t>
  </si>
  <si>
    <t>https://www.instagram.com/javanan_banihashem_tabriz</t>
  </si>
  <si>
    <t>https://www.instagram.com/javanan_banihashm.tb</t>
  </si>
  <si>
    <t>محبان بقیع</t>
  </si>
  <si>
    <t>https://www.instagram.com/mohebbane_baghei</t>
  </si>
  <si>
    <t>عزاداران ثارالله (ع) فجر</t>
  </si>
  <si>
    <t>موسسه قرآنی نور</t>
  </si>
  <si>
    <t>عزاداران قمر بنی هاشم (ع)</t>
  </si>
  <si>
    <t>https://www.instagram.com/heiat_gamar_bani_hashem</t>
  </si>
  <si>
    <t>https://www.instagram.com/heyat_hazrat_abolfazl_tabriz</t>
  </si>
  <si>
    <t>مهدیه تبریز/ دعای ندبه مسجد کرامت</t>
  </si>
  <si>
    <t>https://www.instagram.com/mahdieh_taabriz/</t>
  </si>
  <si>
    <t>کوی فاطمی</t>
  </si>
  <si>
    <t>https://www.instagram.com/koyfathemi_tabriz/</t>
  </si>
  <si>
    <t>نهاد مقام معظم رهبری</t>
  </si>
  <si>
    <t>https://www.instagram.com/tabriz.nahad.ir</t>
  </si>
  <si>
    <t>https://eitaa.com/nahad_tabriz</t>
  </si>
  <si>
    <t>آل علی (ع)</t>
  </si>
  <si>
    <t>https://www.instagram.com/heyaate_azadaran_alaliatabriz/</t>
  </si>
  <si>
    <t>جان نثاران امام سجاد (ع)</t>
  </si>
  <si>
    <t>https://www.instagram.com/imam_sajjad_tabriz</t>
  </si>
  <si>
    <t>https://t.me/imam_sajjad</t>
  </si>
  <si>
    <t>عزاداران قمرمنیر بنی هاشم (ع)</t>
  </si>
  <si>
    <t>https://www.instagram.com/ghamar_monire_banihashem</t>
  </si>
  <si>
    <t>بسیج دانشجویی دانشگاه تبریز</t>
  </si>
  <si>
    <t>https://www.instagram.com/rahavard.tbz</t>
  </si>
  <si>
    <t>https://eitaa.com/bsd_tabriz</t>
  </si>
  <si>
    <t>کانون فرهنگی حضرت ولی عصر (عج)</t>
  </si>
  <si>
    <t>https://www.instagram.com/kanunevaliasr_tabriz/</t>
  </si>
  <si>
    <t>حضرت محمد رسول الله (ص)</t>
  </si>
  <si>
    <t>https://www.instagram.com/mohammadrasolallahtabriz110</t>
  </si>
  <si>
    <t>https://t.me/heyatemohammadrasolallah</t>
  </si>
  <si>
    <t>https://www.instagram.com/shohadayekarbala1330/</t>
  </si>
  <si>
    <t>دانشگاه علوم پزشکی تبریز</t>
  </si>
  <si>
    <t>https://www.instagram.com/tbzmed</t>
  </si>
  <si>
    <t>بنیاد فرهنگی حضرت زهرا (س) (مسجد شعبان)</t>
  </si>
  <si>
    <t>https://www.instagram.com/hazratezahra_ir/</t>
  </si>
  <si>
    <t>https://www.instagram.com/javanan_banihashm.tb/</t>
  </si>
  <si>
    <t>عاشقان بقيع</t>
  </si>
  <si>
    <t>https://www.instagram.com/asheghanebagitabriz</t>
  </si>
  <si>
    <t>https://www.instagram.com/ya_hoseine_mazloum_tabriz</t>
  </si>
  <si>
    <t>پابوسان امام رضا (ع)</t>
  </si>
  <si>
    <t>https://www.instagram.com/pabusanemamreza.tabriz/</t>
  </si>
  <si>
    <t>رهروان خانم زینب (س) / مهد قرآن امام حسن مجتبی (ع)</t>
  </si>
  <si>
    <t>https://www.instagram.com/heyat_rahrovan_hazrate_zeynab/</t>
  </si>
  <si>
    <t>رهپیویان کوثر فاطمیه</t>
  </si>
  <si>
    <t>جلفا</t>
  </si>
  <si>
    <t>https://www.instagram.com/rahpuyanekosar</t>
  </si>
  <si>
    <t>https://eitaa.com/Rahpoyankosarfatemeye</t>
  </si>
  <si>
    <t>هیأت اعظم فاطمیه علمدار</t>
  </si>
  <si>
    <t>https://www.instagram.com/h.a.alamdar</t>
  </si>
  <si>
    <t>عزاداران امام حسین</t>
  </si>
  <si>
    <t>سراب</t>
  </si>
  <si>
    <t>https://www.instagram.com/aharloo.sarab</t>
  </si>
  <si>
    <t>https://t.me/hoseynie_aharloo</t>
  </si>
  <si>
    <t>عزاداران علی اصغر</t>
  </si>
  <si>
    <t>https://eitaa.com/hayat_aliasgar_sarab</t>
  </si>
  <si>
    <t>شاه حسین گویان حضرت فاطمه س دریان</t>
  </si>
  <si>
    <t>شبستر</t>
  </si>
  <si>
    <t>https://www.instagram.com/_shahhosein_goyandaryan1400</t>
  </si>
  <si>
    <t>https://www.instagram.com/heyat_sarallh_shabestar</t>
  </si>
  <si>
    <t>عجب شیر</t>
  </si>
  <si>
    <t>https://www.instagram.com/heyaterogaye</t>
  </si>
  <si>
    <t>https://t.me/heyaterogaye</t>
  </si>
  <si>
    <t>زنجیر زنان حضرت ابوالفضل (ع)</t>
  </si>
  <si>
    <t>کلیبر</t>
  </si>
  <si>
    <t>https://www.instagram.com/emamzadeh_kaleybar</t>
  </si>
  <si>
    <t>https://t.me/imamzadekaleibar</t>
  </si>
  <si>
    <t>ولی عصر (عج)</t>
  </si>
  <si>
    <t>https://www.instagram.com/m_valiasr_kaleibar</t>
  </si>
  <si>
    <t>https://t.me/m_valiasr_kaleibar</t>
  </si>
  <si>
    <t>موسسه قرآنی اباصالح</t>
  </si>
  <si>
    <t>https://t.me/abasaleh_m1</t>
  </si>
  <si>
    <t>https://eitaa.com/abasaleh_m1</t>
  </si>
  <si>
    <t>https://www.instagram.com/heyategasemebnelhasan</t>
  </si>
  <si>
    <t>https://www.instagram.com/heiatolzahramr</t>
  </si>
  <si>
    <t>انصارالحسین مراغه</t>
  </si>
  <si>
    <t>https://www.instagram.com/ansaralhosein_maragheh</t>
  </si>
  <si>
    <t>https://www.instagram.com/ashaganrogaya</t>
  </si>
  <si>
    <t>سالارشهیدان کربلا</t>
  </si>
  <si>
    <t>https://www.instagram.com/salarshahidan_ir</t>
  </si>
  <si>
    <t>https://t.me/salarshahidan</t>
  </si>
  <si>
    <t>https://www.instagram.com/jannatolhossein_com</t>
  </si>
  <si>
    <t>https://t.me/jannatolhossein_com</t>
  </si>
  <si>
    <t>شعرا و نوحه خوانان مراغه</t>
  </si>
  <si>
    <t>https://www.instagram.com/shoara_nohekhanan_maragheh</t>
  </si>
  <si>
    <t>حضرت فاطمه صغری</t>
  </si>
  <si>
    <t>https://www.instagram.com/fateme.hsoghra1370</t>
  </si>
  <si>
    <t>https://t.me/wwwfatemehsoghra</t>
  </si>
  <si>
    <t>https://www.instagram.com/m.fatemiyon</t>
  </si>
  <si>
    <t>https://eitaa.com/m_fatemiyon_maragheh</t>
  </si>
  <si>
    <t>https://www.instagram.com/mosabnjafar_maraghe</t>
  </si>
  <si>
    <t>https://t.me/mosabnjafar_maraghe</t>
  </si>
  <si>
    <t>عزاداران شهدای گمنام</t>
  </si>
  <si>
    <t>https://www.instagram.com/shohadayegomnam110</t>
  </si>
  <si>
    <t>https://t.me/shohadayegomnam133</t>
  </si>
  <si>
    <t>https://eitaa.com/shohadayegomnammaraghe</t>
  </si>
  <si>
    <t>عزاداران جوانان منتظر</t>
  </si>
  <si>
    <t>https://www.instagram.com/javanane.montazer</t>
  </si>
  <si>
    <t>حسینیه دانشگاه مراغه</t>
  </si>
  <si>
    <t>https://eitaa.com/maraghehac</t>
  </si>
  <si>
    <t>بیت الشهدا (ع)</t>
  </si>
  <si>
    <t>https://eitaa.com/beyt_shohadaa</t>
  </si>
  <si>
    <t>جان نثاران سیدالشهدا (ع)</t>
  </si>
  <si>
    <t>https://www.instagram.com/j.seyedeshohada/</t>
  </si>
  <si>
    <t>مظلوم کربلا</t>
  </si>
  <si>
    <t>https://www.instagram.com/mazlome_karbala/</t>
  </si>
  <si>
    <t>https://www.instagram.com/montazeran.h.mahdi</t>
  </si>
  <si>
    <t>https://t.me/heyat_abolfazlelabbas</t>
  </si>
  <si>
    <t>مذهبی حماسه عاشورای مرند</t>
  </si>
  <si>
    <t>مرند</t>
  </si>
  <si>
    <t>https://www.instagram.com/hamase_ashura</t>
  </si>
  <si>
    <t>https://www.instagram.com/heyat_ansar_marand</t>
  </si>
  <si>
    <t>https://t.me/heyat_ansar_marand</t>
  </si>
  <si>
    <t>https://eitaa.com/heyat_ansar_marand</t>
  </si>
  <si>
    <t>فرهنگی مذهبی محبان حضرت اباالفضل مرند</t>
  </si>
  <si>
    <t>https://www.instagram.com/mohebbaneabolfazl</t>
  </si>
  <si>
    <t>https://t.me/mohebbaneabolfazl</t>
  </si>
  <si>
    <t>اکبریه رفیع آباد مرند</t>
  </si>
  <si>
    <t>https://www.instagram.com/heyat_akbariye_rafiabad</t>
  </si>
  <si>
    <t>اصغریه (محله استمز روستای اردک لو)</t>
  </si>
  <si>
    <t>https://www.instagram.com/heyat_asghriih1391</t>
  </si>
  <si>
    <t>https://www.instagram.com/gamarbanihashem_marand</t>
  </si>
  <si>
    <t>https://t.me/gamarbanihashemmarand</t>
  </si>
  <si>
    <t>جان نثاران حضرت ولیعصر(عج)</t>
  </si>
  <si>
    <t>https://www.instagram.com/jannesaran_hazrat_valiasr</t>
  </si>
  <si>
    <t>https://t.me/jannesaran_hazrat_valiasr</t>
  </si>
  <si>
    <t>الغدیر مرند</t>
  </si>
  <si>
    <t>https://www.instagram.com/heyate_alghadire_marand</t>
  </si>
  <si>
    <t>حضرت علی بن موسی الرضا (ع) دیزج حسین بیگ</t>
  </si>
  <si>
    <t>https://www.instagram.com/heyat_aliebn_mosarrezaa.marand</t>
  </si>
  <si>
    <t>https://t.me/heyat_aliebn_mosarrezaa</t>
  </si>
  <si>
    <t>سالار شهیدان کربلا روستای میدانجوق</t>
  </si>
  <si>
    <t>ملکان</t>
  </si>
  <si>
    <t>https://www.instagram.com/salarshahidan._</t>
  </si>
  <si>
    <t>لواءالحیدر محفل پیروان ولایت</t>
  </si>
  <si>
    <t>میانه</t>
  </si>
  <si>
    <t>https://www.instagram.com/leva_alheidar</t>
  </si>
  <si>
    <t>https://www.instagram.com/maktabol_shohada_mianeh</t>
  </si>
  <si>
    <t>https://t.me/maktabol_shohada_mianeh</t>
  </si>
  <si>
    <t>https://www.instagram.com/heyate_teflanemoslem1357</t>
  </si>
  <si>
    <t>https://www.instagram.com/heyat_sarallah_miyaneh</t>
  </si>
  <si>
    <t>https://t.me/sarallahemiyaneh</t>
  </si>
  <si>
    <t>https://www.instagram.com/razmandeghan_miyaneh</t>
  </si>
  <si>
    <t>مراسم تعزیه خوانی بخشایش</t>
  </si>
  <si>
    <t>هریس</t>
  </si>
  <si>
    <t>https://www.instagram.com/shabihkhanibakhshayesh</t>
  </si>
  <si>
    <t>انصار الفاطمه</t>
  </si>
  <si>
    <t>https://eitaa.com/ansarolfateme</t>
  </si>
  <si>
    <t>خدام الرضا</t>
  </si>
  <si>
    <t>https://eitaa.com/khddamreza</t>
  </si>
  <si>
    <t>عاشورائیان مراغه</t>
  </si>
  <si>
    <t>https://eitaa.com/ashuraeyan_maragheh</t>
  </si>
  <si>
    <t>https://eitaa.com/heyatolreza</t>
  </si>
  <si>
    <t>آذربایجان غربی</t>
  </si>
  <si>
    <t>ارومیه</t>
  </si>
  <si>
    <t>https://www.instagram.com/_maktabalhossein_/</t>
  </si>
  <si>
    <r>
      <rPr>
        <rFont val="-apple-system, BlinkMacSystemFont, &quot;Segoe UI&quot;, Roboto, Helvetica, Arial, sans-serif"/>
        <color rgb="FF1155CC"/>
        <sz val="11.0"/>
        <u/>
      </rPr>
      <t>t.me/urmiaazadheiaat</t>
    </r>
  </si>
  <si>
    <t>https://www.instagram.com/hussainjan.urmia/</t>
  </si>
  <si>
    <r>
      <rPr>
        <rFont val="-apple-system, BlinkMacSystemFont, &quot;Segoe UI&quot;, Roboto, Helvetica, Arial, sans-serif"/>
        <color rgb="FF1155CC"/>
        <sz val="11.0"/>
        <u/>
      </rPr>
      <t>t.me/Hussainjanurmia</t>
    </r>
  </si>
  <si>
    <t>هیات موکب پابوسان قمربنی هاشم (ع)</t>
  </si>
  <si>
    <t>https://www.instagram.com/mokabe.pabusan.urmia/</t>
  </si>
  <si>
    <t>https://www.instagram.com/heyat_bagiatolahazam/</t>
  </si>
  <si>
    <t>عاشقان حضرت اباالفضل (ع)</t>
  </si>
  <si>
    <t>https://www.instagram.com/asheghaneh_hazrateh_abolfazl/</t>
  </si>
  <si>
    <t>مکتب شیر زن کربلا</t>
  </si>
  <si>
    <t>https://www.instagram.com/maktabshirzankarbala/</t>
  </si>
  <si>
    <t>مکتب ثارالله (ع)</t>
  </si>
  <si>
    <t>https://www.instagram.com/maktab.sarallahh/</t>
  </si>
  <si>
    <t>مسجد بقیه الله</t>
  </si>
  <si>
    <t>https://www.instagram.com/baghiyat__allah/</t>
  </si>
  <si>
    <t>یارالی حسین</t>
  </si>
  <si>
    <t>https://www.instagram.com/heyat_yarali_hoseyn/</t>
  </si>
  <si>
    <t>t.me/heyate_fatemiye</t>
  </si>
  <si>
    <t>یا زهرا</t>
  </si>
  <si>
    <t>https://www.instagram.com/heyyat_alzahra_urumiya/</t>
  </si>
  <si>
    <t>https://www.instagram.com/maktabolabas.urmia313/</t>
  </si>
  <si>
    <t>پیام عاشورا</t>
  </si>
  <si>
    <t>https://www.instagram.com/payamashura/</t>
  </si>
  <si>
    <t>مجمع سیدالشهدا (ع) (هفته مجالس ارومیه)</t>
  </si>
  <si>
    <t>https://eitaa.com/majmae_sydlashohada</t>
  </si>
  <si>
    <t>عاشقان امام زمان (عج)</t>
  </si>
  <si>
    <t>https://www.instagram.com/heyat_ashegan/</t>
  </si>
  <si>
    <t>مسجد خاتم الانبیاء دیگاله</t>
  </si>
  <si>
    <t>https://www.instagram.com/masjed.khatamolanbia/</t>
  </si>
  <si>
    <t>شیرخوار حضرت علی اصغر (ع)</t>
  </si>
  <si>
    <t>https://www.instagram.com/shirkhar_aliasghar/</t>
  </si>
  <si>
    <t>رزمندگان ثارالله</t>
  </si>
  <si>
    <t>https://www.instagram.com/sarallahurmia/</t>
  </si>
  <si>
    <t>نوجوانان حضرت قاسم(ع)</t>
  </si>
  <si>
    <t>https://www.instagram.com/hnhgasem1395/</t>
  </si>
  <si>
    <t>https://www.instagram.com/razmandeganurmia/</t>
  </si>
  <si>
    <r>
      <rPr>
        <rFont val="-apple-system, BlinkMacSystemFont, &quot;Segoe UI&quot;, Roboto, Helvetica, Arial, sans-serif"/>
        <color rgb="FF1155CC"/>
        <sz val="11.0"/>
        <u/>
      </rPr>
      <t>t.me/razmandeganurmia</t>
    </r>
  </si>
  <si>
    <t>هیات موکب رضوی</t>
  </si>
  <si>
    <t>https://www.instagram.com/mokaberazavi/</t>
  </si>
  <si>
    <r>
      <rPr>
        <rFont val="-apple-system, BlinkMacSystemFont, &quot;Segoe UI&quot;, Roboto, Helvetica, Arial, sans-serif"/>
        <color rgb="FF1155CC"/>
        <sz val="11.0"/>
        <u/>
      </rPr>
      <t>t.me/mokabrazviurmia</t>
    </r>
  </si>
  <si>
    <t>حسینیان</t>
  </si>
  <si>
    <t>https://www.instagram.com/heyat_hosseinyan/</t>
  </si>
  <si>
    <t>مدافعین حرم</t>
  </si>
  <si>
    <t>https://www.instagram.com/modafeane_haram_urmia/</t>
  </si>
  <si>
    <t>t.me/heiat_modafean_haram_urmia</t>
  </si>
  <si>
    <t>شیفتگان امام حسین(ع)</t>
  </si>
  <si>
    <t>https://www.instagram.com/shiftgane.emamhosein/</t>
  </si>
  <si>
    <t>https://www.instagram.com/fatemiyoun_urmia/</t>
  </si>
  <si>
    <r>
      <rPr>
        <rFont val="-apple-system, BlinkMacSystemFont, &quot;Segoe UI&quot;, Roboto, Helvetica, Arial, sans-serif"/>
        <color rgb="FF1155CC"/>
        <sz val="11.0"/>
        <u/>
      </rPr>
      <t>eitaa.com/fatemiyoun_urmia</t>
    </r>
  </si>
  <si>
    <t>https://www.instagram.com/ashegane_karbala9/</t>
  </si>
  <si>
    <t>شیفتگان بقیه الله الاعظم (عج)</t>
  </si>
  <si>
    <t>https://www.instagram.com/shiftegan_orumia/</t>
  </si>
  <si>
    <t>https://www.instagram.com/maktabosadeg_urmia/</t>
  </si>
  <si>
    <r>
      <rPr>
        <rFont val="-apple-system, BlinkMacSystemFont, &quot;Segoe UI&quot;, Roboto, Helvetica, Arial, sans-serif"/>
        <color rgb="FF1155CC"/>
        <sz val="11.0"/>
        <u/>
      </rPr>
      <t>eitaa.com/arshivemaktab/</t>
    </r>
  </si>
  <si>
    <r>
      <rPr>
        <rFont val="-apple-system, BlinkMacSystemFont, &quot;Segoe UI&quot;, Roboto, Helvetica, Arial, sans-serif"/>
        <color rgb="FF1155CC"/>
        <sz val="11.0"/>
        <u/>
      </rPr>
      <t>t.me/heyat_ashegan</t>
    </r>
  </si>
  <si>
    <t>علمدار نینوا (ع)</t>
  </si>
  <si>
    <t>https://www.instagram.com/kochehaye_banihashem/</t>
  </si>
  <si>
    <t>t.me/ashegan_velayat_orumiyeh</t>
  </si>
  <si>
    <t>https://www.instagram.com/moheban_urmia/</t>
  </si>
  <si>
    <t>مسجد جنرال</t>
  </si>
  <si>
    <t>https://www.instagram.com/tarigh_vesal.2/</t>
  </si>
  <si>
    <t>https://www.instagram.com/abaalhasanir/</t>
  </si>
  <si>
    <t>قیام زینبیه</t>
  </si>
  <si>
    <t>خوی</t>
  </si>
  <si>
    <t>https://www.instagram.com/giam.69/</t>
  </si>
  <si>
    <t>https://www.instagram.com/alamdar.khoy/</t>
  </si>
  <si>
    <r>
      <rPr>
        <rFont val="-apple-system, BlinkMacSystemFont, &quot;Segoe UI&quot;, Roboto, Helvetica, Arial, sans-serif"/>
        <color rgb="FF1155CC"/>
        <sz val="11.0"/>
        <u/>
      </rPr>
      <t>t.me/allaamdar</t>
    </r>
  </si>
  <si>
    <t>دیوانگان کربلا</t>
  </si>
  <si>
    <t>https://www.instagram.com/divanegankarbala.khoy/</t>
  </si>
  <si>
    <r>
      <rPr>
        <rFont val="-apple-system, BlinkMacSystemFont, &quot;Segoe UI&quot;, Roboto, Helvetica, Arial, sans-serif"/>
        <color rgb="FF1155CC"/>
        <sz val="11.0"/>
        <u/>
      </rPr>
      <t>t.me/Divanegann</t>
    </r>
  </si>
  <si>
    <t>شیفتگان حضرت زهرا (س) / شهیدانه</t>
  </si>
  <si>
    <t>https://www.instagram.com/fatemezahra_khoy/</t>
  </si>
  <si>
    <t>https://www.instagram.com/maktabkhoy/</t>
  </si>
  <si>
    <t>https://www.instagram.com/yalasarat__alhosein/</t>
  </si>
  <si>
    <t xml:space="preserve"> مهدوی یار جمکرانی</t>
  </si>
  <si>
    <t>سلماس</t>
  </si>
  <si>
    <t>https://www.instagram.com/heiatyarejamkarani_salmas/</t>
  </si>
  <si>
    <t>خادمین اهل بیت (ع)</t>
  </si>
  <si>
    <t>https://www.instagram.com/khademin__ahlebeyt/</t>
  </si>
  <si>
    <r>
      <rPr>
        <rFont val="-apple-system, BlinkMacSystemFont, &quot;Segoe UI&quot;, Roboto, Helvetica, Arial, sans-serif"/>
        <color rgb="FF1155CC"/>
        <sz val="11.0"/>
        <u/>
      </rPr>
      <t>t.me/khadminsalmass</t>
    </r>
  </si>
  <si>
    <t>https://t.me/heydariye96</t>
  </si>
  <si>
    <t>شوط</t>
  </si>
  <si>
    <t>https://www.instagram.com/ashegan_313/</t>
  </si>
  <si>
    <t>شهدای قره تپه</t>
  </si>
  <si>
    <t>ماکو</t>
  </si>
  <si>
    <t>https://www.instagram.com/heyat.azadarane.garatape/</t>
  </si>
  <si>
    <r>
      <rPr>
        <rFont val="-apple-system, BlinkMacSystemFont, &quot;Segoe UI&quot;, Roboto, Helvetica, Arial, sans-serif"/>
        <color rgb="FF1155CC"/>
        <sz val="11.0"/>
        <u/>
      </rPr>
      <t>t.me/heyatazadarane_garatape</t>
    </r>
  </si>
  <si>
    <t>رهروان علی اکبر (ع)</t>
  </si>
  <si>
    <t>https://www.instagram.com/heyate.rahrovane.aliakbar/</t>
  </si>
  <si>
    <t>https://www.instagram.com/heyat_javadolaeme_maku/</t>
  </si>
  <si>
    <t>https://www.instagram.com/modafanharam_maku/</t>
  </si>
  <si>
    <t>حر الشهید</t>
  </si>
  <si>
    <t>https://www.instagram.com/heyat_horshahid_maku/</t>
  </si>
  <si>
    <t>https://www.instagram.com/heyat_panjtan.aleaba/</t>
  </si>
  <si>
    <t>از کربلا تا ظهور</t>
  </si>
  <si>
    <t>میاندوآب</t>
  </si>
  <si>
    <t>https://eitaa.com/azkarbalatazuhur</t>
  </si>
  <si>
    <t>https://www.instagram.com/maktaboll_hossein_ir/</t>
  </si>
  <si>
    <t>بصائر حسینی</t>
  </si>
  <si>
    <t>https://www.instagram.com/heyat_basaer_hoseini/</t>
  </si>
  <si>
    <r>
      <rPr>
        <rFont val="-apple-system, BlinkMacSystemFont, &quot;Segoe UI&quot;, Roboto, Helvetica, Arial, sans-serif"/>
        <color rgb="FF1155CC"/>
        <sz val="11.0"/>
        <u/>
      </rPr>
      <t>eitaa.com/moasese_basaer</t>
    </r>
  </si>
  <si>
    <t>https://www.instagram.com/heiat_mohaban_mahdi/</t>
  </si>
  <si>
    <t>نقده</t>
  </si>
  <si>
    <t>https://www.instagram.com/mohebin1390/</t>
  </si>
  <si>
    <t>جوانان نینوا</t>
  </si>
  <si>
    <t>https://www.instagram.com/heyat_javanane_neynava.urmia</t>
  </si>
  <si>
    <t>https://www.instagram.com/javanaeneynavaa</t>
  </si>
  <si>
    <t>شهید باکری</t>
  </si>
  <si>
    <t>https://eitaa.com/hajmehdiebakeri</t>
  </si>
  <si>
    <t>عاشقان صاحب لوا</t>
  </si>
  <si>
    <t>https://www.instagram.com/heyatazadaraneashegansaheblava</t>
  </si>
  <si>
    <t>https://t.me/Hussainjanurmia</t>
  </si>
  <si>
    <t>https://eitaa.com/hussainjanurmia</t>
  </si>
  <si>
    <t>https://www.instagram.com/amir_almomeninn</t>
  </si>
  <si>
    <t>مسجد سبحان</t>
  </si>
  <si>
    <t>https://www.instagram.com/sobhanmosque</t>
  </si>
  <si>
    <t>https://www.instagram.com/heyat_bagiatolahazam</t>
  </si>
  <si>
    <t>تشکلهای دینی سازمان تبلیغات اسلامی</t>
  </si>
  <si>
    <t>https://eitaa.com/tashakkol_Azarbayjan</t>
  </si>
  <si>
    <t>علمداران ارومیه</t>
  </si>
  <si>
    <t>https://www.instagram.com/alamdarane_urmia</t>
  </si>
  <si>
    <t>https://eitaa.com/alamdarane_urmiaa</t>
  </si>
  <si>
    <t>هیأت رزمندگان اسلام شهرستان ارومیه</t>
  </si>
  <si>
    <t>https://eitaa.com/Razmandegan_ag</t>
  </si>
  <si>
    <t>هفته مجالس ارومیه</t>
  </si>
  <si>
    <t>https://www.instagram.com/hafte.majales_urmia</t>
  </si>
  <si>
    <t>https://eitaa.com/haftemajalesurmia</t>
  </si>
  <si>
    <t>جوانان علمدار کربلا</t>
  </si>
  <si>
    <t>https://www.instagram.com/alamdarurmia</t>
  </si>
  <si>
    <t>https://eitaa.com/alamdarurmia</t>
  </si>
  <si>
    <t>منتظران مهدی(عج)کوی احسان</t>
  </si>
  <si>
    <t>https://www.instagram.com/heiat_montazeran_mahdi</t>
  </si>
  <si>
    <t>شیفتگان حضرت ابوالفضل (ع)</t>
  </si>
  <si>
    <t>https://www.instagram.com/heyatshiftegane.hazratabolfazl</t>
  </si>
  <si>
    <t>دلسوختگان حضرت زهرا (س) علیخای ارومیه</t>
  </si>
  <si>
    <t>https://www.instagram.com/delsokhtegan_hazrat_zahra</t>
  </si>
  <si>
    <t>https://t.me/dellsokhtegan</t>
  </si>
  <si>
    <t>https://eitaa.com/delsokhtegan_hz_ir</t>
  </si>
  <si>
    <t>حوزه علمیه</t>
  </si>
  <si>
    <t>زینب کبری (س)</t>
  </si>
  <si>
    <t>https://eitaa.com/hozeh_zeynabkobra</t>
  </si>
  <si>
    <t>موسسه علوم قرآنی یاسین ارومیه</t>
  </si>
  <si>
    <t>https://www.instagram.com/moassese_yasin_urmia</t>
  </si>
  <si>
    <t>https://www.instagram.com/ansarol_mahdiii</t>
  </si>
  <si>
    <t>https://www.instagram.com/emameraouf.ir</t>
  </si>
  <si>
    <t>https://www.instagram.com/modafeane_haram_urmia</t>
  </si>
  <si>
    <t>https://eitaa.com/modafeane_haram_urmia</t>
  </si>
  <si>
    <t>https://t.me/tahaurmia</t>
  </si>
  <si>
    <t>https://eitaa.com/tahaurmia</t>
  </si>
  <si>
    <t>https://www.instagram.com/heyateansarolhosyn.urmia1397</t>
  </si>
  <si>
    <t>https://www.instagram.com/ansarolhossein_ir</t>
  </si>
  <si>
    <t>انصار الحسین (ع) تیلیهای مقیم ارومیه</t>
  </si>
  <si>
    <t>https://www.instagram.com/tilnews_orumieh</t>
  </si>
  <si>
    <t>مسجد جامع علی بن ابیطالب (ع)</t>
  </si>
  <si>
    <t>https://t.me/masjedisar</t>
  </si>
  <si>
    <t>شیفتگان ائمه اطهار</t>
  </si>
  <si>
    <t>https://www.instagram.com/shiftegan_aeme.athar</t>
  </si>
  <si>
    <t>https://t.me/heiat_shiftegan_urmie</t>
  </si>
  <si>
    <t>شیفتگان حضرت ولیعصر (عج)</t>
  </si>
  <si>
    <t>https://www.instagram.com/heyat_shiftegan_valiasr</t>
  </si>
  <si>
    <t>https://www.instagram.com/maktabe__hossein_</t>
  </si>
  <si>
    <t>مسجد جوانمرد قصاب ارومیه</t>
  </si>
  <si>
    <t>https://www.instagram.com/jmghasab</t>
  </si>
  <si>
    <t>https://t.me/jmghasab</t>
  </si>
  <si>
    <t>https://eitaa.com/jmghasab</t>
  </si>
  <si>
    <t>https://www.instagram.com/yalesarat_urmia</t>
  </si>
  <si>
    <t>https://www.instagram.com/heyyat_alzahra_urumiya</t>
  </si>
  <si>
    <t>عزادارن موکب اصغریه</t>
  </si>
  <si>
    <t>https://www.instagram.com/shabih_khani_mokbasgharie</t>
  </si>
  <si>
    <t>جوانان کربلایی</t>
  </si>
  <si>
    <t>https://www.instagram.com/heyat.javanan.karbala</t>
  </si>
  <si>
    <t>https://t.me/basijtakarbala</t>
  </si>
  <si>
    <t>قرارگاه شهدا</t>
  </si>
  <si>
    <t>https://www.instagram.com/gharargah.shohada</t>
  </si>
  <si>
    <t>https://eitaa.com/martyrscomp</t>
  </si>
  <si>
    <t>مجمع جوانان انقلابی</t>
  </si>
  <si>
    <t>https://eitaa.com/mjem2u</t>
  </si>
  <si>
    <t>جوانان ائمه بقیع (ع)</t>
  </si>
  <si>
    <t>شهدای بدر ارومیه</t>
  </si>
  <si>
    <t>مجمع جوانان</t>
  </si>
  <si>
    <t>عزاداری روستای اسبوا</t>
  </si>
  <si>
    <t>دانشگاه آزاد اسلامی واحد ارومیه</t>
  </si>
  <si>
    <t>شیفتگان ولایت و شهادت</t>
  </si>
  <si>
    <t>حوزه علمیه امام خمینی (ره)</t>
  </si>
  <si>
    <t>زینبیه اعظم زوار ضامن آهو</t>
  </si>
  <si>
    <t>رهروان حضرت علی (ع)</t>
  </si>
  <si>
    <t>مهدی آل محمد (عج)</t>
  </si>
  <si>
    <t>حضرت مهدی آل محمد (عج)</t>
  </si>
  <si>
    <t>جلسه معارف دانشجویی</t>
  </si>
  <si>
    <t>تشنه لبان عاشورا</t>
  </si>
  <si>
    <t>کانون فرهنگی محمد رسول الله (ص)</t>
  </si>
  <si>
    <t>کانون علامه طباطبایی/ جوانان مسجد رسول الله (ص)</t>
  </si>
  <si>
    <t>سربازان قرآن خوانی امام زمان (عج)</t>
  </si>
  <si>
    <t>یاوران حضرت مهدی (عج)</t>
  </si>
  <si>
    <t>کانون قرآنی جوانان سربازان امام زمان (عج)</t>
  </si>
  <si>
    <t>نرجس خاتون (س)</t>
  </si>
  <si>
    <t>عاشقان امام حسین (ع)</t>
  </si>
  <si>
    <t>خیره النسا (س)</t>
  </si>
  <si>
    <t>مجمع نوجوانان ارومیه</t>
  </si>
  <si>
    <t>کانون فرهنگی تربیتی منتظران مصلح (عج)</t>
  </si>
  <si>
    <t>سربازان امام زمان (عج)</t>
  </si>
  <si>
    <t>متوسلین به قرآن و عترت</t>
  </si>
  <si>
    <t>شیفتگان علمدار کربلا (ع)</t>
  </si>
  <si>
    <t>جوانان علمدار کربلا (ع)</t>
  </si>
  <si>
    <t>قیام حضرت زینب (س)</t>
  </si>
  <si>
    <t>حضرت امیرالمومنین حیدر (ع)</t>
  </si>
  <si>
    <t>مسجد نبی اکرم (ص)</t>
  </si>
  <si>
    <t>کانون شهید جهان آرا (دارالحافظین)</t>
  </si>
  <si>
    <t>حضرت رقیه باب الحوائج (س)</t>
  </si>
  <si>
    <t>فدائیان امام عصر (عج)</t>
  </si>
  <si>
    <t>پایگاه امام سجاد (ع)</t>
  </si>
  <si>
    <t>قرآنی و فرهنگی عشیره الاقربین</t>
  </si>
  <si>
    <t>موسسه پیروان آل یاسین</t>
  </si>
  <si>
    <t>موسسه دارالحافظین قرآن کریم</t>
  </si>
  <si>
    <t>عزاداران قمربنی هاشم (ع) (مسجد امام هادی (ع) کشتارگاه)</t>
  </si>
  <si>
    <t>حضرت علی اکبر (ع) / آل یاسین</t>
  </si>
  <si>
    <t>مسجد کوثر</t>
  </si>
  <si>
    <t>شیفتگان حضرت ولی عصر (عج)</t>
  </si>
  <si>
    <t>مجمع پیام آوران عصر بصیرت</t>
  </si>
  <si>
    <t>علی بن ابیطالب (ع) شهرک ایثار</t>
  </si>
  <si>
    <t>عاشقان امام رضا (ع)</t>
  </si>
  <si>
    <t>جامعه القرآن / یاوران ولایت</t>
  </si>
  <si>
    <t>مهدی موعود (عج)</t>
  </si>
  <si>
    <t>مجمع محبان آل یاسین</t>
  </si>
  <si>
    <t>اباعبدالله الحسین (ع) (محفل عاشقان و رهروان شهدا)</t>
  </si>
  <si>
    <t>متوسلین اهل کسا (مسجد وکیل باشی)</t>
  </si>
  <si>
    <t>قرآنی (خواهران)</t>
  </si>
  <si>
    <t>باروق</t>
  </si>
  <si>
    <t>رهپویان</t>
  </si>
  <si>
    <t>حزب الله</t>
  </si>
  <si>
    <t>عشیره الاقربین</t>
  </si>
  <si>
    <t>زنجیر زنی اباعبدالله الحسین (ع)</t>
  </si>
  <si>
    <t>مهدیه حسنلویی</t>
  </si>
  <si>
    <t>عزاداران مسجد جامع</t>
  </si>
  <si>
    <t>عارفان</t>
  </si>
  <si>
    <t>کانون فرهنگی هنری مسجد عمار</t>
  </si>
  <si>
    <t>مجموعه وصال موعود</t>
  </si>
  <si>
    <t>بوکان</t>
  </si>
  <si>
    <t>یرریری</t>
  </si>
  <si>
    <t>عاشقان اباعبدالله الحسین (ع)</t>
  </si>
  <si>
    <t>پلدشت</t>
  </si>
  <si>
    <t>عباسیه ارشاد</t>
  </si>
  <si>
    <t>تکاب</t>
  </si>
  <si>
    <t>تکیه اصغریه روستای دورباش</t>
  </si>
  <si>
    <t>نامشخص</t>
  </si>
  <si>
    <t>جان نثاران شهید بهشتی</t>
  </si>
  <si>
    <t>حضرت فاطمه الزهرا (س) یارعزیز</t>
  </si>
  <si>
    <t>شاه حسین گویان سیدالشهدا (ع)</t>
  </si>
  <si>
    <t>ابناءالخمینی (ره)</t>
  </si>
  <si>
    <t>متوسلین به حضرت موسی بن جعفر (ع)</t>
  </si>
  <si>
    <t>مسجد متوسلین به موسی بن جعفر (ع)</t>
  </si>
  <si>
    <t>عباسی ارشاد</t>
  </si>
  <si>
    <t>مسجد بقیه الله (عج) _ مسجد جامع</t>
  </si>
  <si>
    <t>غمخانه حضرت زینب (س)</t>
  </si>
  <si>
    <t>بی بی زینب (س)</t>
  </si>
  <si>
    <t>جان نثاران (مسجد جامع)</t>
  </si>
  <si>
    <t>چالدران</t>
  </si>
  <si>
    <t>شاه حسین گویان</t>
  </si>
  <si>
    <t>علی اصغر(ع)</t>
  </si>
  <si>
    <t>عزاداری مسجدجامع</t>
  </si>
  <si>
    <t>اباعبدالله الحسین (ع) روستای خضرلو</t>
  </si>
  <si>
    <t>اباعبدالله (ع) روستای بابالو</t>
  </si>
  <si>
    <t>جوانان خادم الائمه (ع)</t>
  </si>
  <si>
    <t>انصارالحسین (ع) روستای سعدل</t>
  </si>
  <si>
    <t>لواء زینب (س)</t>
  </si>
  <si>
    <t>جوانان بنی هاشم (ع) (روستای قرنقو) به به جیک</t>
  </si>
  <si>
    <t>انجمن پیشگیری از اعتیاد ارشاد</t>
  </si>
  <si>
    <t>حضرت ابوالفضل (ع) محله آغسو</t>
  </si>
  <si>
    <t>حسینیه غربا</t>
  </si>
  <si>
    <t>هیات عزاداران مسجد جامع چایپاره</t>
  </si>
  <si>
    <t>چایپاره</t>
  </si>
  <si>
    <t>امین</t>
  </si>
  <si>
    <t>پنج تن آل عبا (ع) روستا و محله قره کندی</t>
  </si>
  <si>
    <t>عزاداران مصلی نماز جمعه</t>
  </si>
  <si>
    <t>قرآنی (مسجد جامع) کوی تقی آباد</t>
  </si>
  <si>
    <t>چهاربرج</t>
  </si>
  <si>
    <t>مسجد حضرت ابالفضل (ع)</t>
  </si>
  <si>
    <t>هیات قلندر</t>
  </si>
  <si>
    <t>شهیدانه گلزار شهدا</t>
  </si>
  <si>
    <t>قرارگاه فرهنگی جهادی</t>
  </si>
  <si>
    <t>مکتب المهدی(عج)</t>
  </si>
  <si>
    <t>بنات الحسین</t>
  </si>
  <si>
    <t>شیفتگان حضرت زهرا</t>
  </si>
  <si>
    <t>حدیث کسا</t>
  </si>
  <si>
    <t>عزاداران حسینی سیدبهلول محله امامزاده</t>
  </si>
  <si>
    <t>حضرت ام البنین (س)</t>
  </si>
  <si>
    <t>عزاداران امام رضا(ع)</t>
  </si>
  <si>
    <t>عاشقان حجت بن الحسن(ع) (خواهران)</t>
  </si>
  <si>
    <t>خواهران</t>
  </si>
  <si>
    <t>انصارالمهدی (عج) (دانش آموزی) / شهدای گمنام</t>
  </si>
  <si>
    <t>بسیج مداحان محبان اهل بیت (ع)</t>
  </si>
  <si>
    <t>عاشقان حضرت ابالفضل العباس (ع)</t>
  </si>
  <si>
    <t>دلدادگان امام حسین (ع)</t>
  </si>
  <si>
    <t>دارالقرآن فاطمیه</t>
  </si>
  <si>
    <t>خادمین غریب مدینه</t>
  </si>
  <si>
    <t>متوسلین به مسلم بن عقیل (ع)</t>
  </si>
  <si>
    <t>مسجد ابوالفضل (ع)</t>
  </si>
  <si>
    <t>محبان جوادالائمه (ع)</t>
  </si>
  <si>
    <t>مکتب القرآن امام حسین (ع)</t>
  </si>
  <si>
    <t>عشاق الحسین (ع) پیروان ولایت</t>
  </si>
  <si>
    <t>شاهین دژ</t>
  </si>
  <si>
    <t>هیات جان ساران حضرت علی اکبر</t>
  </si>
  <si>
    <t>امام صادق (ع)</t>
  </si>
  <si>
    <t>منتظران ظهور حضرت ولیعصر</t>
  </si>
  <si>
    <t>هیأت الزهرا (س)</t>
  </si>
  <si>
    <t>مهدی همت زاده</t>
  </si>
  <si>
    <t>شیفتگان حضرت رقیه س</t>
  </si>
  <si>
    <t>عزاداران حضرت اباعبدالله الحسین (ع)</t>
  </si>
  <si>
    <t>سینه زنی سیدالشهدا (ع) محله خرمده</t>
  </si>
  <si>
    <t>حوزه علمیه امام باقر (ع)</t>
  </si>
  <si>
    <t>حسینیه سیدالشهدا (مهدیه همت ‏زاده)</t>
  </si>
  <si>
    <t>موسسه قرآنی توحید</t>
  </si>
  <si>
    <t>عزاداران حضرت علی اصغر (ع) حسینیه شهید ابراهیم عباسی</t>
  </si>
  <si>
    <t>عزاداران شهیدان اکبری</t>
  </si>
  <si>
    <t>عزاداران مسجد فاطمه الزهرا (س)</t>
  </si>
  <si>
    <t>سیدالشهدا (ع) روستای صوفی</t>
  </si>
  <si>
    <t>کانون امام صادق(ع)</t>
  </si>
  <si>
    <t>عاشقان المهدی (عج)</t>
  </si>
  <si>
    <t>حبل المتین / عاشقان مهدی (عج) سابق</t>
  </si>
  <si>
    <t>باب الحوائج (ع) شهرک ولعیصر</t>
  </si>
  <si>
    <t>حوزه علمیه (خواهران)</t>
  </si>
  <si>
    <t>زنجیرزنی حضرت ابوالفضل العباس (ع)</t>
  </si>
  <si>
    <t>هیات زنجیر زنی حضرت ابوالفضل العباس (ع) (محله برج)</t>
  </si>
  <si>
    <t>پیام آوران عاشورا</t>
  </si>
  <si>
    <t>متوسلین به امام رضا (ع)</t>
  </si>
  <si>
    <t>مسجد جامع ماکو</t>
  </si>
  <si>
    <t>روحانیون</t>
  </si>
  <si>
    <t>متوسلین چهارده معصوم (ع)</t>
  </si>
  <si>
    <t>جوانان امام حسین (ع)</t>
  </si>
  <si>
    <t>انصارالمهدی (عج) (اتحادیه انجمن های اسلامی دانش آموزان)</t>
  </si>
  <si>
    <t>هیأت سفیران ملکوت</t>
  </si>
  <si>
    <t>عاشقان باب الحوایج (ع)</t>
  </si>
  <si>
    <t>انصار الولایه</t>
  </si>
  <si>
    <t>محمد رسول الله (ص) کوی وکیل کندی</t>
  </si>
  <si>
    <t>هیأت قرآنی</t>
  </si>
  <si>
    <t>خواهران زینبیون</t>
  </si>
  <si>
    <t>نور الهدی</t>
  </si>
  <si>
    <t>عزاداران حضرت ابوالفضل</t>
  </si>
  <si>
    <t>محبان علی اصغر</t>
  </si>
  <si>
    <t>بانوان الزهرا</t>
  </si>
  <si>
    <t>محبان علی اکبر (ع)</t>
  </si>
  <si>
    <t>مکتب الحسین (ع) محفل بسیجیان و رهروان امام شهدا</t>
  </si>
  <si>
    <t>عزاداران سیدالشهدا(ع)</t>
  </si>
  <si>
    <t>مجموعه فرهنگی انصار ولایت (مهد قرآن و عترت)</t>
  </si>
  <si>
    <t>هیات قرآنی و مداحی باب الحوائج (ع)</t>
  </si>
  <si>
    <t>راهیان اربعین</t>
  </si>
  <si>
    <t>قرآنی سیدالشهدا (ع)</t>
  </si>
  <si>
    <t>مهد قرآن و عترت میاندوآب</t>
  </si>
  <si>
    <t>قرآنی روستای مظفرآباد</t>
  </si>
  <si>
    <t>قانی شهدای روستای چالخماز</t>
  </si>
  <si>
    <t>امام</t>
  </si>
  <si>
    <t>زینب زهرا (س) روستای ساتلمیش محمدلو</t>
  </si>
  <si>
    <t>مسجد خیرالنسا (س)</t>
  </si>
  <si>
    <t>فاطمیه روستای بکتاش</t>
  </si>
  <si>
    <t>نورالمبین</t>
  </si>
  <si>
    <t>صاحب الزمان (عج) روستای گل سلیمان آباد</t>
  </si>
  <si>
    <t>شهید نوری (روضه خانگی)</t>
  </si>
  <si>
    <t>حسینیه حضرت ابوالفضل (ع)</t>
  </si>
  <si>
    <t>فاطمه (س)</t>
  </si>
  <si>
    <t>عزاداران فاطمیه</t>
  </si>
  <si>
    <t>کانون حبل المتین _ پایگاه صدیقه هیأت ام البنین</t>
  </si>
  <si>
    <t>جوانان فاطمیه سولدوز</t>
  </si>
  <si>
    <t>عاشورائیان سلدوز نقده</t>
  </si>
  <si>
    <t>ام بنین (ع)</t>
  </si>
  <si>
    <t>قائم آل محمد (ص)</t>
  </si>
  <si>
    <t>هیات جوانان قمی بنی هاشم</t>
  </si>
  <si>
    <t>محبین الائمه(ع) (دانش آموزی)</t>
  </si>
  <si>
    <t>کرامتنا الشهاده</t>
  </si>
  <si>
    <t>عزاداری امام حسین (ع)</t>
  </si>
  <si>
    <t>حسین جیلر روستای فرحزاد</t>
  </si>
  <si>
    <t>سالار شهیدان (ع)</t>
  </si>
  <si>
    <t>مسجد امام جعفر صادق (ع)</t>
  </si>
  <si>
    <t>حضرت فاطمه الزهرا (س) (روضه خانگی)</t>
  </si>
  <si>
    <t>جوانان روح ‏الله</t>
  </si>
  <si>
    <t>عزاداران اباعبدالله (ع)</t>
  </si>
  <si>
    <t>مسلم بن عقیل (ع)</t>
  </si>
  <si>
    <t>زنجیر زنی حسین چلر</t>
  </si>
  <si>
    <t>اباعبدالله (ع)</t>
  </si>
  <si>
    <t>زنجیر زنی سیدالشهدا (ع)</t>
  </si>
  <si>
    <t>عزاداران روح ‏الله (ره)</t>
  </si>
  <si>
    <t>اعظم ثارالله ارومیه</t>
  </si>
  <si>
    <t>https://eitaa.com/sarallahurmia</t>
  </si>
  <si>
    <t>اردبیل</t>
  </si>
  <si>
    <t>https://www.instagram.com/maktab_ir/</t>
  </si>
  <si>
    <t>eitaa.com/maktab_ir</t>
  </si>
  <si>
    <t>رایه المهدی</t>
  </si>
  <si>
    <t>https://www.instagram.com/rayatolmahdi_ardebil/</t>
  </si>
  <si>
    <t>هیأت الرضا (ع)</t>
  </si>
  <si>
    <t>https://www.instagram.com/ravag.ir/</t>
  </si>
  <si>
    <t>t.me/Ravag_ir</t>
  </si>
  <si>
    <t>eitaa.com/ravag_ir/</t>
  </si>
  <si>
    <t>https://www.instagram.com/miqat_info/</t>
  </si>
  <si>
    <r>
      <rPr>
        <rFont val="-apple-system, BlinkMacSystemFont, &quot;Segoe UI&quot;, Roboto, Helvetica, Arial, sans-serif"/>
        <color rgb="FF1155CC"/>
        <sz val="11.0"/>
        <u/>
      </rPr>
      <t>eitaa.com/razmandegan_ardabil</t>
    </r>
  </si>
  <si>
    <t>https://www.instagram.com/hoseinieh_razavi/</t>
  </si>
  <si>
    <t>eitaa.com/hoseinieh_razavi</t>
  </si>
  <si>
    <t>مصباح</t>
  </si>
  <si>
    <t>https://www.instagram.com/alam_dar_ir</t>
  </si>
  <si>
    <t>https://eitaa.com/alamdar_ardabil</t>
  </si>
  <si>
    <t>https://www.instagram.com/yavaran.mahdi.ardebil/</t>
  </si>
  <si>
    <t>قمربنی هاشم حضرت ابوالفضل العباس (ع)</t>
  </si>
  <si>
    <t>https://www.instagram.com/gamarebanyhashem/</t>
  </si>
  <si>
    <r>
      <rPr>
        <rFont val="-apple-system, BlinkMacSystemFont, &quot;Segoe UI&quot;, Roboto, Helvetica, Arial, sans-serif"/>
        <color rgb="FF1155CC"/>
        <sz val="11.0"/>
        <u/>
      </rPr>
      <t>tlgrm.in/gamarbanyhashm</t>
    </r>
  </si>
  <si>
    <t>https://www.instagram.com/seyedalshohada1321/</t>
  </si>
  <si>
    <r>
      <rPr>
        <rFont val="-apple-system, BlinkMacSystemFont, &quot;Segoe UI&quot;, Roboto, Helvetica, Arial, sans-serif"/>
        <color rgb="FF1155CC"/>
        <sz val="11.0"/>
        <u/>
      </rPr>
      <t>t.me/seyedalshohada1321</t>
    </r>
  </si>
  <si>
    <t xml:space="preserve">مجمع زینبیون </t>
  </si>
  <si>
    <t>t.me/zenabyoonardebil</t>
  </si>
  <si>
    <t>زینب کبری(س) (زینبیه روستای باروق)</t>
  </si>
  <si>
    <t>https://www.instagram.com/heyat_hazrat_zaynab_barog/</t>
  </si>
  <si>
    <t>https://www.instagram.com/heyat_omoolbanin/</t>
  </si>
  <si>
    <t>https://www.instagram.com/ziarat_ashoora_ardabil/</t>
  </si>
  <si>
    <t>https://ble.ir/ziarat_ashoora_ardabil</t>
  </si>
  <si>
    <t>ام ابیها(س)</t>
  </si>
  <si>
    <t>https://www.instagram.com/heyate_omeabiha_ardabil/</t>
  </si>
  <si>
    <t>t.me/omeabiha01</t>
  </si>
  <si>
    <t>https://www.instagram.com/heyate_asheganeh_velayat/</t>
  </si>
  <si>
    <t>https://eitaa.com/heyate_asheganeh_velayat</t>
  </si>
  <si>
    <r>
      <rPr>
        <rFont val="-apple-system, BlinkMacSystemFont, &quot;Segoe UI&quot;, Roboto, Helvetica, Arial, sans-serif"/>
        <color rgb="FF1155CC"/>
        <sz val="11.0"/>
        <u/>
      </rPr>
      <t>tlgrm.in/gamarbanyhashm</t>
    </r>
  </si>
  <si>
    <t>https://www.instagram.com/heyat_alzahraardabil/</t>
  </si>
  <si>
    <t xml:space="preserve"> النور</t>
  </si>
  <si>
    <t>https://www.instagram.com/heyat_alnoor_ardebil/</t>
  </si>
  <si>
    <t>https://www.instagram.com/heyat_mohebbinalmahdi83/</t>
  </si>
  <si>
    <t>https://www.instagram.com/javananeashoraee/</t>
  </si>
  <si>
    <r>
      <rPr>
        <rFont val="-apple-system, BlinkMacSystemFont, &quot;Segoe UI&quot;, Roboto, Helvetica, Arial, sans-serif"/>
        <color rgb="FF1155CC"/>
        <sz val="11.0"/>
        <u/>
      </rPr>
      <t>eitaa.com/javananeashoraee</t>
    </r>
  </si>
  <si>
    <t>https://www.instagram.com/heat_maktab_zahra_ardbil_/</t>
  </si>
  <si>
    <r>
      <rPr>
        <rFont val="-apple-system, BlinkMacSystemFont, &quot;Segoe UI&quot;, Roboto, Helvetica, Arial, sans-serif"/>
        <color rgb="FF1155CC"/>
        <sz val="11.0"/>
        <u/>
      </rPr>
      <t>t.me/heat_maktab_zahra</t>
    </r>
  </si>
  <si>
    <t>https://www.instagram.com/ansarolmahdiardabil/</t>
  </si>
  <si>
    <t>https://eitaa.com/ansarolmahdiardabil</t>
  </si>
  <si>
    <t>جوانان مسجد امام صادق(ع)</t>
  </si>
  <si>
    <t>خلخال</t>
  </si>
  <si>
    <t>https://eitaa.com/emamesadeg</t>
  </si>
  <si>
    <t>مشگین شهر</t>
  </si>
  <si>
    <t>t.me/maktab_alzeinab</t>
  </si>
  <si>
    <t>https://www.instagram.com/gomnam.1391/</t>
  </si>
  <si>
    <r>
      <rPr>
        <rFont val="-apple-system, BlinkMacSystemFont, &quot;Segoe UI&quot;, Roboto, Helvetica, Arial, sans-serif"/>
        <color rgb="FF1155CC"/>
        <sz val="11.0"/>
        <u/>
      </rPr>
      <t>t.me/gomnam1391</t>
    </r>
  </si>
  <si>
    <t>https://www.instagram.com/ansarolmahdiardabil</t>
  </si>
  <si>
    <t>باب الحوائج حضرت ابوالفضل (ع)</t>
  </si>
  <si>
    <t>https://www.instagram.com/heyata.babalhavaaj.abolfazl/</t>
  </si>
  <si>
    <t>ستاد زیارت عاشورا</t>
  </si>
  <si>
    <t>https://www.instagram.com/ziyarat_ashoora_ard</t>
  </si>
  <si>
    <t>ستاد دعای کمیل</t>
  </si>
  <si>
    <t>https://www.instagram.com/doaye.komeil.ard/</t>
  </si>
  <si>
    <t>https://www.instagram.com/heyat_moslem_ebn_aqil/</t>
  </si>
  <si>
    <t>زنجیر زنان بیت الاحزان</t>
  </si>
  <si>
    <t>https://t.me/s/beit_al_ahzan?before</t>
  </si>
  <si>
    <t>بنیاد مهدویت و هویت</t>
  </si>
  <si>
    <t>https://www.instagram.com/bmh_ir</t>
  </si>
  <si>
    <t>https://eitaa.com/razmandegan_ardabil</t>
  </si>
  <si>
    <t>https://eitaa.com/javananeashoraee</t>
  </si>
  <si>
    <t>https://t.me/seyedalshohada1321</t>
  </si>
  <si>
    <t>https://www.instagram.com/heyat_mohebbinalmahdi83</t>
  </si>
  <si>
    <t>حضرت معصومه (س)</t>
  </si>
  <si>
    <t>https://www.instagram.com/heyat.hazrat.masomeh/</t>
  </si>
  <si>
    <t>https://www.instagram.com/montazeran_zohour_ardabil/</t>
  </si>
  <si>
    <t>https://www.instagram.com/heyat_aliakbar_ardebil/</t>
  </si>
  <si>
    <t>https://www.instagram.com/ali_ebne_abitaleb1372/</t>
  </si>
  <si>
    <t>https://www.instagram.com/alam_dar_ir/</t>
  </si>
  <si>
    <t>هیات النور</t>
  </si>
  <si>
    <t>https://www.instagram.com/heyat_alnoor_ardebil</t>
  </si>
  <si>
    <t>https://t.me/Heyatalnoor</t>
  </si>
  <si>
    <t>https://eitaa.com/heyatnoorardabil</t>
  </si>
  <si>
    <t>https://www.instagram.com/maktab_ir</t>
  </si>
  <si>
    <t>https://eitaa.com/maktab_ir</t>
  </si>
  <si>
    <t>عباسی</t>
  </si>
  <si>
    <t>https://www.instagram.com/heyateabasii</t>
  </si>
  <si>
    <t>حب الحسین (ع)</t>
  </si>
  <si>
    <t>https://www.instagram.com/heyat_hobbol_hosseyn_ardabil</t>
  </si>
  <si>
    <t>https://www.instagram.com/heyat_emamhadi/</t>
  </si>
  <si>
    <t>https://www.instagram.com/sarallah_ard/</t>
  </si>
  <si>
    <t>https://www.instagram.com/heyate_shohada_gomnam_ardabil/</t>
  </si>
  <si>
    <t>فجرالارشاد</t>
  </si>
  <si>
    <t>https://www.instagram.com/hoseiniyane.ardebil/</t>
  </si>
  <si>
    <t>https://t.me/hoseiniyaneardebil?</t>
  </si>
  <si>
    <t>سپه سالار / مکتب فاطمه الزهرا (س) / سید ‏و سالار شهیدان (ع)</t>
  </si>
  <si>
    <t>https://www.instagram.com/heyate.sepahsalar.khalkhal/</t>
  </si>
  <si>
    <t>https://t.me/khalkhalheya</t>
  </si>
  <si>
    <t>https://www.instagram.com/hyat_chahardah_masom</t>
  </si>
  <si>
    <t>https://t.me/h14masoumekhalkhal</t>
  </si>
  <si>
    <t>حضرت سیدالشهدا (ع)</t>
  </si>
  <si>
    <t>گرمی</t>
  </si>
  <si>
    <t>https://www.instagram.com/heyat.seyedoshohadaa</t>
  </si>
  <si>
    <t>https://www.instagram.com/adineh_meshkin</t>
  </si>
  <si>
    <t>مسجد امام حسین (ع)</t>
  </si>
  <si>
    <t>https://www.instagram.com/masjede_emamhussain_chaypara/</t>
  </si>
  <si>
    <t>https://www.instagram.com/masjed_ghasemiah</t>
  </si>
  <si>
    <t>https://t.me/gomnam1391</t>
  </si>
  <si>
    <t>مسجد سادات</t>
  </si>
  <si>
    <t>https://www.instagram.com/masjed_sadat.ard/</t>
  </si>
  <si>
    <t>تازه کند</t>
  </si>
  <si>
    <t>https://www.instagram.com/javanan_aliackbar_90</t>
  </si>
  <si>
    <t>https://t.me/javanan_aliackbar_90</t>
  </si>
  <si>
    <t>جان نثاران المهدی (عج)</t>
  </si>
  <si>
    <t>https://www.instagram.com/janesarane_almahdi12/</t>
  </si>
  <si>
    <t>https://t.me/janesarane_almahdi12</t>
  </si>
  <si>
    <t>هیات الرضا (ع) (محفل بسیجیان و رهروان شهدا)</t>
  </si>
  <si>
    <t>https://www.instagram.com/ravag.ir</t>
  </si>
  <si>
    <t>https://t.me/Ravag_ir</t>
  </si>
  <si>
    <t>https://eitaa.com/@ravag_ir</t>
  </si>
  <si>
    <t>شش ماهه کربلا (ع)</t>
  </si>
  <si>
    <t>https://www.instagram.com/ya_aliasghar_</t>
  </si>
  <si>
    <t>https://www.instagram.com/h_safiralhosseinardabil.ir/</t>
  </si>
  <si>
    <t>عاشقان و سینه زنان حضرت رقیه (س)</t>
  </si>
  <si>
    <t>https://www.instagram.com/asheghan_roghaye_ardabiliha</t>
  </si>
  <si>
    <t>https://t.me/roghayekhaton1395</t>
  </si>
  <si>
    <t>عاشقان حضرت زینب (س)</t>
  </si>
  <si>
    <t>https://www.instagram.com/asheghanezeinab/</t>
  </si>
  <si>
    <t>https://t.me/asheghanzeynnab</t>
  </si>
  <si>
    <t>هشتجین</t>
  </si>
  <si>
    <t>https://www.instagram.com/ali_akbar_mosque</t>
  </si>
  <si>
    <t>https://t.me/ali_akbar_mosque_8jin</t>
  </si>
  <si>
    <t>حوزه هنری</t>
  </si>
  <si>
    <t>https://www.instagram.com/hoze_honari_ardabil/</t>
  </si>
  <si>
    <t>https://www.instagram.com/heydarion_ardebil/</t>
  </si>
  <si>
    <t>https://www.instagram.com/rozatollhoosein_ard/</t>
  </si>
  <si>
    <t>قرارگاه امام رضا(ع)</t>
  </si>
  <si>
    <t>https://www.instagram.com/g_emamreza.ardabil/</t>
  </si>
  <si>
    <t>زینبیون منتظر</t>
  </si>
  <si>
    <t>https://www.instagram.com/heyat_zeynabiyun_montazer</t>
  </si>
  <si>
    <t>مهرورزان باب الحوایج حضرت ابوالفضل (ع) محله سلمان آباد</t>
  </si>
  <si>
    <t>پارس آباد</t>
  </si>
  <si>
    <t>اسلام اباد</t>
  </si>
  <si>
    <t>https://www.instagram.com/heyat__babalhavaejagaabalfazl/</t>
  </si>
  <si>
    <t>مسجد حسینیه</t>
  </si>
  <si>
    <t>https://www.instagram.com/masjed_hoseinie</t>
  </si>
  <si>
    <t>https://www.instagram.com/ziarat_ashoora_ardabil</t>
  </si>
  <si>
    <t>https://www.instagram.com/heyat_saheb_zeman_ej/</t>
  </si>
  <si>
    <t>محسنین</t>
  </si>
  <si>
    <t>https://www.instagram.com/yaran.mohsenin.ardabil</t>
  </si>
  <si>
    <t>https://www.instagram.com/rayatolmahdi_ardebil</t>
  </si>
  <si>
    <t>https://www.instagram.com/maktabol_hosein.ard/</t>
  </si>
  <si>
    <t>انجمن کوتاه قامتان بلندهمت اردبیل</t>
  </si>
  <si>
    <t>https://www.instagram.com/kotahgamatan/</t>
  </si>
  <si>
    <t>تبلیغات اسلامی</t>
  </si>
  <si>
    <t>https://www.instagram.com/nehzat_eslami_ard/</t>
  </si>
  <si>
    <t>https://www.instagram.com/heyaate_montazerane_mahdi/</t>
  </si>
  <si>
    <t>https://www.instagram.com/heyyat_aliasghar/</t>
  </si>
  <si>
    <t>فرهنگی تبلیغات اسلامی</t>
  </si>
  <si>
    <t>نمین</t>
  </si>
  <si>
    <t>https://www.instagram.com/nehzat_namin/</t>
  </si>
  <si>
    <t>https://www.instagram.com/aliebnabitaleb_2001</t>
  </si>
  <si>
    <t>حضرت قمربنی هاشم (ع)</t>
  </si>
  <si>
    <t>https://www.instagram.com/heyat_ghamar_banyhashem/</t>
  </si>
  <si>
    <t>https://www.instagram.com/heyat_beit_alahzan_parsabad/</t>
  </si>
  <si>
    <t>https://www.instagram.com/mokebeparsabad_fatematozzahra/</t>
  </si>
  <si>
    <t>مکتب‌ حیدریون اردبیل متوسلین به حضرت علی بن ابیطالب (ع)</t>
  </si>
  <si>
    <t>https://www.instagram.com/maktabe_heydarun_ardabil/</t>
  </si>
  <si>
    <t>جان نثاران المهدی (عجل الله تعالی فرجه الشریف)</t>
  </si>
  <si>
    <t>https://www.instagram.com/jannesaran_almahdi</t>
  </si>
  <si>
    <t>قمربنی هاشم حضرت ابوالفضل العباس (ع) وحدت اسلامی اردبیل</t>
  </si>
  <si>
    <t xml:space="preserve"> بیت العلی</t>
  </si>
  <si>
    <t>https://www.instagram.com/beyt_ol_ali/</t>
  </si>
  <si>
    <t>رایة المهدی(عج)</t>
  </si>
  <si>
    <t>https://www.instagram.com/rayatolmahdi_ardebil/?hl=en</t>
  </si>
  <si>
    <t>https://www.instagram.com/heyateandabil/</t>
  </si>
  <si>
    <t>اهل کساء</t>
  </si>
  <si>
    <t>https://www.instagram.com/ahlekaassa/</t>
  </si>
  <si>
    <t>سیدالشهدا روستای آلوارس</t>
  </si>
  <si>
    <t>سرعین</t>
  </si>
  <si>
    <t>https://www.instagram.com/haj_as_amini2219/</t>
  </si>
  <si>
    <t>https://www.instagram.com/oshaqalmahdi_khalkhal/</t>
  </si>
  <si>
    <t>https://t.me/oshaqalmahdi_khalkhal</t>
  </si>
  <si>
    <t>باب الحوایج (ع) روستای فیروزآباد</t>
  </si>
  <si>
    <t>https://www.instagram.com/hoseiniye_babalhavaej</t>
  </si>
  <si>
    <t>عاشقان ظهور</t>
  </si>
  <si>
    <t>https://www.instagram.com/asheghan.zohurardabil</t>
  </si>
  <si>
    <t>شباب المهدی (عج)</t>
  </si>
  <si>
    <t>https://www.instagram.com/heyatshababalmahdi/</t>
  </si>
  <si>
    <t>نمایشگاه لب های عطشان</t>
  </si>
  <si>
    <t>https://www.instagram.com/labatshan/</t>
  </si>
  <si>
    <t>حضرت قاسم(ع)شهرآلنی</t>
  </si>
  <si>
    <t>https://www.instagram.com/heyat.gasem/</t>
  </si>
  <si>
    <t>https://t.me/gasemalni?</t>
  </si>
  <si>
    <t>https://www.instagram.com/tasht_gozari_heyat_alamdar</t>
  </si>
  <si>
    <t>سینه زنان عاشقان حضرت ابوالفضل ع</t>
  </si>
  <si>
    <t>https://www.instagram.com/heyate_ashegane_abolfazl/</t>
  </si>
  <si>
    <t>تشنگان عاشورا</t>
  </si>
  <si>
    <t>بیله سوار</t>
  </si>
  <si>
    <t>https://www.instagram.com/teshnegane_ashura/</t>
  </si>
  <si>
    <t>https://www.instagram.com/hayat_ansarolmahdi/</t>
  </si>
  <si>
    <t>https://www.instagram.com/ravag.ir/?hl=en</t>
  </si>
  <si>
    <t>هیات رضوی</t>
  </si>
  <si>
    <t>https://www.instagram.com/heyatasheganeabolfazl/reels/</t>
  </si>
  <si>
    <t>https://www.instagram.com/heyat_zeynabiyun_montazer/?hl=en</t>
  </si>
  <si>
    <t>https://www.instagram.com/hazratabolfazll/</t>
  </si>
  <si>
    <t>https://www.instagram.com/heyaat.14masuom/</t>
  </si>
  <si>
    <t>https://www.instagram.com/babalhavaej.1/reels/</t>
  </si>
  <si>
    <t>https://www.instagram.com/heyat_gorani_aletaha/</t>
  </si>
  <si>
    <t>حضرت فاطمه معصومه (س)</t>
  </si>
  <si>
    <t>https://www.instagram.com/heyat.hazrat.masomeh/?hl=en</t>
  </si>
  <si>
    <t>عاشقان اباالفضل (ع)</t>
  </si>
  <si>
    <t>https://www.instagram.com/heyatasheganeabolfazl/</t>
  </si>
  <si>
    <t>https://www.instagram.com/masjed_14masoum/</t>
  </si>
  <si>
    <t>https://www.instagram.com/jannesaran_hazrate_abolfazl/</t>
  </si>
  <si>
    <t>حضرت ولیعصر عج</t>
  </si>
  <si>
    <t>https://www.instagram.com/heyat_valiasr_parsabad</t>
  </si>
  <si>
    <t>https://www.instagram.com/heyat_baghiatallah95/</t>
  </si>
  <si>
    <t>https://eitaa.com/fatematazzahra1</t>
  </si>
  <si>
    <t>حب العباس (ع)</t>
  </si>
  <si>
    <t>https://www.instagram.com/heyate_hobbol_abbas/</t>
  </si>
  <si>
    <t>https://www.instagram.com/beytozahra_meshkinshahr/</t>
  </si>
  <si>
    <t>https://www.instagram.com/heyat63_aliasgar_ardebil/</t>
  </si>
  <si>
    <t>شهزاده علی اکبر (ع)</t>
  </si>
  <si>
    <t>https://www.instagram.com/jabi_dastasy/?hl=en</t>
  </si>
  <si>
    <t>سینه زنان و عاشقان حضرت علی اصغر(ع)</t>
  </si>
  <si>
    <t>بوشهر</t>
  </si>
  <si>
    <t>https://eitaa.com/razmandegan_bushehr</t>
  </si>
  <si>
    <t>الرضا ع</t>
  </si>
  <si>
    <t>دشتی</t>
  </si>
  <si>
    <t>https://www.instagram.com/heiatoreza.khormuj/</t>
  </si>
  <si>
    <t>دیلم</t>
  </si>
  <si>
    <t>https://www.instagram.com/Masjed_Emam_Hossein_Deylam1400</t>
  </si>
  <si>
    <t>https://t.me/joinchat/AAAAAD_F9WJKDeOtbYkhbg</t>
  </si>
  <si>
    <t>https://eitaa.com/joinchat/2436170036C43cebb0be0</t>
  </si>
  <si>
    <t>جم</t>
  </si>
  <si>
    <t>استان بوشهر ٫شهرستان جم ،بخش ریز ،جنب امام زاده حبیب الله و جنت الشهدا</t>
  </si>
  <si>
    <t>https://www.instagram.com/seyyedoshohada_riz</t>
  </si>
  <si>
    <t>https://eitaa.com/seyyedoshohada_riz</t>
  </si>
  <si>
    <t>بندردیر</t>
  </si>
  <si>
    <t>خیابان شهید بهشتی📍</t>
  </si>
  <si>
    <t>https://www.instagram.com/heyatozzahra313/</t>
  </si>
  <si>
    <t>https://www.aparat.com/heyatozzahraa</t>
  </si>
  <si>
    <t>کنگان</t>
  </si>
  <si>
    <t>https://www.instagram.com/ansaralhosaine/</t>
  </si>
  <si>
    <t>گناوه</t>
  </si>
  <si>
    <t>https://www.aparat.com/ansar_almahdi_g</t>
  </si>
  <si>
    <t>محبان حضرت مهدی شهر آبدان</t>
  </si>
  <si>
    <t>آبدان</t>
  </si>
  <si>
    <t>https://www.instagram.com/mohebban_mahdi_313/</t>
  </si>
  <si>
    <t>چغادک</t>
  </si>
  <si>
    <t>https://www.instagram.com/heiatalzahra.bu/</t>
  </si>
  <si>
    <t>https://www.instagram.com/heyat.shohadayegomnam/</t>
  </si>
  <si>
    <t>https://t.me/heyatshohadayegomnam</t>
  </si>
  <si>
    <t>https://eitaa.com/heyatshohadayegomnam</t>
  </si>
  <si>
    <t>سائلین الزینب (س)</t>
  </si>
  <si>
    <t>https://www.instagram.com/saelinolzeynab69</t>
  </si>
  <si>
    <t>رایه العباس / رهروان شهدا</t>
  </si>
  <si>
    <t>https://www.instagram.com/rayatolabbas128</t>
  </si>
  <si>
    <t>https://t.me/rayatolabbas128</t>
  </si>
  <si>
    <t>https://eitaa.com/rayatolabbas128</t>
  </si>
  <si>
    <t>https://www.instagram.com/montazeranmahdi_bushehr/</t>
  </si>
  <si>
    <t>https://www.instagram.com/janatolabbass_69/</t>
  </si>
  <si>
    <t>https://eitaa.com/levaolzahra</t>
  </si>
  <si>
    <t>مکتب الحسن (ع)</t>
  </si>
  <si>
    <t>https://www.instagram.com/maktabalhasan118/</t>
  </si>
  <si>
    <t>https://t.me/maktabalhasan118</t>
  </si>
  <si>
    <t>https://eitaa.com/s/maktabalhasn118</t>
  </si>
  <si>
    <t>https://www.instagram.com/mohebbinalyasin162/</t>
  </si>
  <si>
    <t>https://www.aparat.com/Mohebbinalyasin162</t>
  </si>
  <si>
    <t>عالی‌شهر</t>
  </si>
  <si>
    <t>https://www.instagram.com/heyatoreza_alsr/</t>
  </si>
  <si>
    <t>https://t.me/heyatoreza_alsr</t>
  </si>
  <si>
    <t>https://eitaa.com/heyatoreza_alsr</t>
  </si>
  <si>
    <t>https://www.instagram.com/bachehaye_reyhane/</t>
  </si>
  <si>
    <t xml:space="preserve">بوشهر </t>
  </si>
  <si>
    <t>https://www.instagram.com/heiat_motevasllin/</t>
  </si>
  <si>
    <t>https://www.instagram.com/oshagh.alabbas/</t>
  </si>
  <si>
    <t>t.me/oshagh1388</t>
  </si>
  <si>
    <t>eitaa.com/oshagh_88</t>
  </si>
  <si>
    <t>https://www.instagram.com/heyat.montazeran.bg/</t>
  </si>
  <si>
    <t>https://eitaa.com/montazeranBg</t>
  </si>
  <si>
    <t>هیأت محبین قمر بنی هاشم (ع)</t>
  </si>
  <si>
    <t>https://www.instagram.com/mohebin_qamar_bani_hashem/</t>
  </si>
  <si>
    <t>https://www.instagram.com/kafil_o_zeynab128/</t>
  </si>
  <si>
    <t>خورموج</t>
  </si>
  <si>
    <t>https://www.instagram.com/kazemiun/</t>
  </si>
  <si>
    <t>https://t.me/kazemiun</t>
  </si>
  <si>
    <t>ابن الرضا (ع)</t>
  </si>
  <si>
    <t>آب پخش</t>
  </si>
  <si>
    <t>«استان بوشهر،آبـپخش،خیابان‌مــعلم؛مسـجد النـبی»</t>
  </si>
  <si>
    <t>https://www.instagram.com/aleyasin313.ir/</t>
  </si>
  <si>
    <t>https://www.instagram.com/fatemiyoon_com/</t>
  </si>
  <si>
    <t>عاشقان حضرت ابوالفضل العباس (ع) روستای علی آباد</t>
  </si>
  <si>
    <t>برازجان</t>
  </si>
  <si>
    <t>https://www.instagram.com/asheghan133.ir/</t>
  </si>
  <si>
    <t>https://eitaa.com/asheghan133</t>
  </si>
  <si>
    <t>https://eitaa.com/panjshanbeshohadaei_bu</t>
  </si>
  <si>
    <t>کهگیلویه و بویراحمد</t>
  </si>
  <si>
    <t>سوق</t>
  </si>
  <si>
    <t>https://www.instagram.com/ansarsuq.ir/</t>
  </si>
  <si>
    <t>هیات جوانان حسینی</t>
  </si>
  <si>
    <t>یاسوج</t>
  </si>
  <si>
    <t>https://www.instagram.com/javananhosseyniyasuj/</t>
  </si>
  <si>
    <t>https://eitaa.com/jhyasuj</t>
  </si>
  <si>
    <t>باشت</t>
  </si>
  <si>
    <t>https://t.me/oshaghalmahdi3135</t>
  </si>
  <si>
    <t>لنده</t>
  </si>
  <si>
    <t>https://www.instagram.com/beytozahraa1400/</t>
  </si>
  <si>
    <t>علمدار ولایت</t>
  </si>
  <si>
    <t>https://eitaa.com/eita_alamdarvelayat_313</t>
  </si>
  <si>
    <t>جوانان و نوجوانان حسینی</t>
  </si>
  <si>
    <t>لیکک</t>
  </si>
  <si>
    <t>https://eitaa.com/heyate_javanan_hoseyni</t>
  </si>
  <si>
    <t>انصارالحسن(ع)</t>
  </si>
  <si>
    <t>دوگنبدان</t>
  </si>
  <si>
    <t>https://www.instagram.com/ansar_al_hasan/</t>
  </si>
  <si>
    <t>محبین آل طه (ع) (هیات مسجد امام حسن عسکری (ع))</t>
  </si>
  <si>
    <t>https://www.instagram.com/aletaha_yasuj</t>
  </si>
  <si>
    <t>https://eitaa.com/aletaha_yasuj</t>
  </si>
  <si>
    <t>معظم زینبیون</t>
  </si>
  <si>
    <t>https://eitaa.com/zeynabiyoun_ysj</t>
  </si>
  <si>
    <t>https://eitaa.com/misaq_yasouj</t>
  </si>
  <si>
    <t>https://eitaa.com/razmandegankb</t>
  </si>
  <si>
    <t>https://eitaa.com/misaagh_ir</t>
  </si>
  <si>
    <t>حضرت زینب(س)</t>
  </si>
  <si>
    <t>دهدشت</t>
  </si>
  <si>
    <t>https://www.instagram.com/heyat_hazratezeynab/</t>
  </si>
  <si>
    <t>https://www.instagram.com/maktab_alroghayeh_basht/</t>
  </si>
  <si>
    <t>انصارالثقلین</t>
  </si>
  <si>
    <t>https://www.instagram.com/ansar1372.ir/</t>
  </si>
  <si>
    <t>https://eitaa.com/ansarir</t>
  </si>
  <si>
    <t>https://eitaa.com/masjd_sayedalshohada</t>
  </si>
  <si>
    <t>محبین‌الزهراعمود ‌1094</t>
  </si>
  <si>
    <t>https://eitaa.com/mokeb_313</t>
  </si>
  <si>
    <t>شیفتگان مهدی</t>
  </si>
  <si>
    <t>https://www.instagram.com/shifteganemahdiiii/</t>
  </si>
  <si>
    <t>مذهبی محبین آل طاها (ع)</t>
  </si>
  <si>
    <t>https://www.instagram.com/aletaha_yasuj/</t>
  </si>
  <si>
    <r>
      <rPr>
        <rFont val="Calibri"/>
        <color rgb="FF1155CC"/>
        <sz val="11.0"/>
        <u/>
      </rPr>
      <t>eitaa.com/aletaha_yasuj</t>
    </r>
  </si>
  <si>
    <t>کانون فرهنگی مذهبی حضرت رقیه(س)</t>
  </si>
  <si>
    <t>https://www.instagram.com/heyyat_hazrat_rooghayeh/</t>
  </si>
  <si>
    <t xml:space="preserve">خادم الرضا </t>
  </si>
  <si>
    <t>https://www.instagram.com/khademalreza.1/</t>
  </si>
  <si>
    <t>سالار شهیدان</t>
  </si>
  <si>
    <t>گچساران</t>
  </si>
  <si>
    <t>https://www.instagram.com/heyat.salar.shahidan/</t>
  </si>
  <si>
    <t>https://www.instagram.com/qamarbanihashem_/</t>
  </si>
  <si>
    <t>https://www.instagram.com/zeynabion_ysj/</t>
  </si>
  <si>
    <t>https://www.instagram.com/beynolharameyn_gachsaran/</t>
  </si>
  <si>
    <r>
      <rPr>
        <rFont val="Calibri"/>
        <color rgb="FF1155CC"/>
        <sz val="11.0"/>
        <u/>
      </rPr>
      <t>t.me/beynolharameyn_gachsaran</t>
    </r>
  </si>
  <si>
    <t>https://www.instagram.com/alamdarvelayat_313/</t>
  </si>
  <si>
    <t>https://t.me/alamdarvelayat313</t>
  </si>
  <si>
    <t>بهمئی</t>
  </si>
  <si>
    <t>https://www.instagram.com/misaagh_ir/</t>
  </si>
  <si>
    <t>شهید سینا اراسته</t>
  </si>
  <si>
    <t>https://www.instagram.com/shahid_araste_yasuj/</t>
  </si>
  <si>
    <t>خادم الشهدای</t>
  </si>
  <si>
    <t>چرام</t>
  </si>
  <si>
    <t>https://www.instagram.com/khademoshohada.choram/</t>
  </si>
  <si>
    <r>
      <rPr>
        <rFont val="var(--font-family-system)"/>
        <color rgb="FF1155CC"/>
        <u/>
      </rPr>
      <t>eitaa.com/choram7</t>
    </r>
  </si>
  <si>
    <t>https://www.instagram.com/javananehoseini/</t>
  </si>
  <si>
    <t>انصار قمربنی هاشم (ع) عباسیه</t>
  </si>
  <si>
    <t>https://www.instagram.com/abasie_kermanshah/</t>
  </si>
  <si>
    <t>https://www.instagram.com/seyedal_shahada/</t>
  </si>
  <si>
    <t>https://eitaa.com/asheghanabasaleh_ir</t>
  </si>
  <si>
    <t>محبان الهادی (ع)</t>
  </si>
  <si>
    <t>https://www.instagram.com/mohebaneemamhadi/</t>
  </si>
  <si>
    <r>
      <rPr>
        <rFont val="-apple-system, BlinkMacSystemFont, &quot;Segoe UI&quot;, Roboto, Helvetica, Arial, sans-serif"/>
        <color rgb="FF1155CC"/>
        <sz val="11.0"/>
        <u/>
      </rPr>
      <t>eitaa.com/mohebaneemamhadi</t>
    </r>
  </si>
  <si>
    <t>محبان اهل بیت دانشگاه رازی ( دانشجویی )</t>
  </si>
  <si>
    <t>https://www.instagram.com/heyat_razi</t>
  </si>
  <si>
    <t>https://eitaa.com/heyat_razi</t>
  </si>
  <si>
    <t>https://eitaa.com/heiat_ansarolmahdi_ksh</t>
  </si>
  <si>
    <t>روضه رضوان</t>
  </si>
  <si>
    <t>https://www.instagram.com/roze_rezvan_info</t>
  </si>
  <si>
    <t>https://eitaa.com/RozeRezvanKsh</t>
  </si>
  <si>
    <t>متوسلین به حضرت اباالفضل (ع)</t>
  </si>
  <si>
    <t>سنقر</t>
  </si>
  <si>
    <t>https://eitaa.com/abalfazlia</t>
  </si>
  <si>
    <t>https://www.instagram.com/heyat_emamreza_kermanshah/</t>
  </si>
  <si>
    <t>یا زهرا (س) (هیات موسسه آیت الله جلیلی)</t>
  </si>
  <si>
    <t>https://www.instagram.com/heyat_yazahra.s/</t>
  </si>
  <si>
    <t>حسینیه معظم علمدارکربلا</t>
  </si>
  <si>
    <t>https://www.instagram.com/hosseiniyeh_alamdar_karbala/</t>
  </si>
  <si>
    <t>https://www.instagram.com/69aghilatolarab/</t>
  </si>
  <si>
    <t>جان نثاران قمربنی هاشم(ع) مسجد رشید</t>
  </si>
  <si>
    <t>https://eitaa.com/badralhavashem</t>
  </si>
  <si>
    <t>گیلانغرب</t>
  </si>
  <si>
    <t>مسجد حضرت امیر(ع)</t>
  </si>
  <si>
    <t>اسلام آبادغرب</t>
  </si>
  <si>
    <t>https://eitaa.com/mosqueimamaliwestlslamabad</t>
  </si>
  <si>
    <t>https://www.instagram.com/heiatesarallah</t>
  </si>
  <si>
    <t>https://t.me/HeiatesarallaH</t>
  </si>
  <si>
    <t>https://eitaa.com/HeiatesarallaH</t>
  </si>
  <si>
    <t>کانون فاطمیون</t>
  </si>
  <si>
    <t>https://www.instagram.com/fatemion135/</t>
  </si>
  <si>
    <t>هرسین</t>
  </si>
  <si>
    <t>https://www.instagram.com/leva_zeynab_harsin/</t>
  </si>
  <si>
    <t>https://www.instagram.com/reyhane_krsh/</t>
  </si>
  <si>
    <t>https://eitaa.com/reyhane_krsh</t>
  </si>
  <si>
    <t>متوسلین به اهل بیت حافظیه (حسینیه علمدار)</t>
  </si>
  <si>
    <t>https://www.instagram.com/alamdar_kermanshah/</t>
  </si>
  <si>
    <t>https://www.instagram.com/ali.asghar.kermanshah/</t>
  </si>
  <si>
    <t>https://www.instagram.com/fatemiuoon/</t>
  </si>
  <si>
    <r>
      <rPr>
        <rFont val="-apple-system, BlinkMacSystemFont, &quot;Segoe UI&quot;, Roboto, Helvetica, Arial, sans-serif"/>
        <color rgb="FF1155CC"/>
        <sz val="11.0"/>
        <u/>
      </rPr>
      <t>t.me/fatemiuoonsonghor</t>
    </r>
  </si>
  <si>
    <t>خادم‌الشهداء</t>
  </si>
  <si>
    <t>https://www.instagram.com/hkhademoshohada/</t>
  </si>
  <si>
    <t>https://www.instagram.com/norolhussain/</t>
  </si>
  <si>
    <r>
      <rPr>
        <rFont val="-apple-system, BlinkMacSystemFont, &quot;Segoe UI&quot;, Roboto, Helvetica, Arial, sans-serif"/>
        <color rgb="FF1155CC"/>
        <sz val="11.0"/>
        <u/>
      </rPr>
      <t>t.me/norolhussain</t>
    </r>
  </si>
  <si>
    <t>متوسلین به اهل‌ بیت (حسینیه بیت الحسن(ع)</t>
  </si>
  <si>
    <t>https://www.instagram.com/beytolhassan_118/</t>
  </si>
  <si>
    <t>رزمندگان اسلام (حضرت عباس(ع))</t>
  </si>
  <si>
    <t>https://eitaa.com/heiat_alnabi</t>
  </si>
  <si>
    <t>عشاق الزینب (س)</t>
  </si>
  <si>
    <t>https://www.instagram.com/oshagholzaiinab/</t>
  </si>
  <si>
    <t>جلسه حدیث کسا</t>
  </si>
  <si>
    <t>https://www.instagram.com/hadis_kasa/</t>
  </si>
  <si>
    <r>
      <rPr>
        <rFont val="-apple-system, BlinkMacSystemFont, &quot;Segoe UI&quot;, Roboto, Helvetica, Arial, sans-serif"/>
        <color rgb="FF1155CC"/>
        <sz val="11.0"/>
        <u/>
      </rPr>
      <t>t.me/hadiskasaa</t>
    </r>
  </si>
  <si>
    <t>انصار صاحب الزمان(عج) جلسه هفتگی جوادالائمه (مسجد هاشمی)</t>
  </si>
  <si>
    <t>https://eitaa.com/M_hazrat_saheb_alzaman</t>
  </si>
  <si>
    <t>محبان شاهزاده حضرت علی اکبر(ع)</t>
  </si>
  <si>
    <t>https://www.instagram.com/moghadasi.info/</t>
  </si>
  <si>
    <t>قصرشیرین</t>
  </si>
  <si>
    <t>https://eitaa.com/aleyasingasr</t>
  </si>
  <si>
    <t>https://www.instagram.com/moslem_ebn_aghil_kermanshah/</t>
  </si>
  <si>
    <r>
      <rPr>
        <rFont val="-apple-system, BlinkMacSystemFont, &quot;Segoe UI&quot;, Roboto, Helvetica, Arial, sans-serif"/>
        <color rgb="FF1155CC"/>
        <sz val="11.0"/>
        <u/>
      </rPr>
      <t>tlgrm.me/moslemebnaghilkermanshah</t>
    </r>
  </si>
  <si>
    <t>منتظران بقیه الله (عج) (مجمع زینبیون)</t>
  </si>
  <si>
    <t>https://www.instagram.com/heatmontazeranbagheatalah/</t>
  </si>
  <si>
    <t>منتظران موعود(عج) (مسجدفاطمیه)</t>
  </si>
  <si>
    <t>کنگاور</t>
  </si>
  <si>
    <t>https://eitaa.com/Hmontazeran</t>
  </si>
  <si>
    <t>https://www.instagram.com/heyat_ome_abiha_kr/</t>
  </si>
  <si>
    <t>https://www.instagram.com/heiat_reza_kermanshah/</t>
  </si>
  <si>
    <t>https://eitaa.com/Rayat_Al_Abbas</t>
  </si>
  <si>
    <t>سائلین حضرت زهرا (س) / سائلین حضرت زینب (س)</t>
  </si>
  <si>
    <t>https://www.instagram.com/saelinzahra/</t>
  </si>
  <si>
    <t>https://www.instagram.com/heiatalzahra_kermanshah/</t>
  </si>
  <si>
    <t>https://www.instagram.com/maktab_zahra_31/</t>
  </si>
  <si>
    <t>امام زمان عج</t>
  </si>
  <si>
    <t>https://eitaa.com/hemamzaman</t>
  </si>
  <si>
    <t>https://eitaa.com/alamdar_kermanshah</t>
  </si>
  <si>
    <t>صاحب الزمان ناشنوایان کرمانشاه</t>
  </si>
  <si>
    <t>https://eitaa.com/heyat_saheb_alzaman_deaf</t>
  </si>
  <si>
    <t>ایلام</t>
  </si>
  <si>
    <t>دره شهر</t>
  </si>
  <si>
    <t>مجمع جوانان شهرستان ملکشاهی</t>
  </si>
  <si>
    <t>ملکشاهی</t>
  </si>
  <si>
    <t>https://www.instagram.com/majma_javanan_malekshahi/</t>
  </si>
  <si>
    <t>جامعه المهدی (عج) مسجد سیدالشهدا</t>
  </si>
  <si>
    <t>مسجد سید الشهداء</t>
  </si>
  <si>
    <t>https://eitaa.com/jamatolmahdi_ilam</t>
  </si>
  <si>
    <t xml:space="preserve"> هیأت هفتگی</t>
  </si>
  <si>
    <t>دلسوختگان بقیع</t>
  </si>
  <si>
    <t>ایوان</t>
  </si>
  <si>
    <t>https://eitaa.com/delsookhtgan</t>
  </si>
  <si>
    <t>https://www.instagram.com/mohebanalabbas313/</t>
  </si>
  <si>
    <t>https://eitaa.com/mohebanalabbas313</t>
  </si>
  <si>
    <t>متوسلین به امیرالمومنین(ع)</t>
  </si>
  <si>
    <t>https://www.instagram.com/masjed_hazeratamir</t>
  </si>
  <si>
    <t>جامعه الحسین (ع)</t>
  </si>
  <si>
    <t>https://www.eitaa.com/s/jameatol_hosein/</t>
  </si>
  <si>
    <t>دهلران</t>
  </si>
  <si>
    <t>https://Instagram.com/Ansaralmahdi_dehloran</t>
  </si>
  <si>
    <t>https://eitaa.com/ansaralmahdi_dehloran</t>
  </si>
  <si>
    <t>محبان حضرت امیرالمومنین(ع)</t>
  </si>
  <si>
    <t>https://www.instagram.com/rahekarbala.dehloran</t>
  </si>
  <si>
    <t>http://eitaa.com/Amir_alMominin313</t>
  </si>
  <si>
    <t>https://eitaa.com/Emamhasane_mojtaba</t>
  </si>
  <si>
    <t>خادمین اهل بیت(ع) (مسجد خاتم الانبیا(ص))</t>
  </si>
  <si>
    <t>https://www.instagram.com/khatamolanbia.ilam/</t>
  </si>
  <si>
    <t>انصارالحسین (ع) (حسینیه امام علی(ع))</t>
  </si>
  <si>
    <t>https://www.instagram.com/h_seyedmousavi.ilam/</t>
  </si>
  <si>
    <t>محبان امام جعفرصادق(ع)</t>
  </si>
  <si>
    <t>https://eitaa.com/emamsadeghilam</t>
  </si>
  <si>
    <t>محبان آل عبا</t>
  </si>
  <si>
    <t>https://www.instagram.com/mohebanealeabailam/</t>
  </si>
  <si>
    <t>محبان اهل بیت (ع) (روستای باسکله گرمه)</t>
  </si>
  <si>
    <t>https://eitaa.com/mhbn_ir</t>
  </si>
  <si>
    <t>محبان علی بن ابیطالب (ع)</t>
  </si>
  <si>
    <t>https://eitaa.com/mohebanilam</t>
  </si>
  <si>
    <t>جامعة المهدی</t>
  </si>
  <si>
    <t>http://instagram.com/heyat.jameatalmahdi/</t>
  </si>
  <si>
    <r>
      <rPr>
        <rFont val="-apple-system, BlinkMacSystemFont, &quot;Segoe UI&quot;, Roboto, Helvetica, Arial, sans-serif"/>
        <color rgb="FF1155CC"/>
        <sz val="11.0"/>
        <u/>
      </rPr>
      <t>eitaa.com/jamatolmahdi_ilam</t>
    </r>
  </si>
  <si>
    <t>http://instagram.com/mohebanilam</t>
  </si>
  <si>
    <r>
      <rPr>
        <rFont val="-apple-system, BlinkMacSystemFont, &quot;Segoe UI&quot;, Roboto, Helvetica, Arial, sans-serif"/>
        <color rgb="FF1155CC"/>
        <sz val="11.0"/>
        <u/>
      </rPr>
      <t>t.me/mohebanilam</t>
    </r>
  </si>
  <si>
    <t>https://www.instagram.com/aletaha_ilam/</t>
  </si>
  <si>
    <r>
      <rPr>
        <rFont val="-apple-system, BlinkMacSystemFont, &quot;Segoe UI&quot;, Roboto, Helvetica, Arial, sans-serif"/>
        <color rgb="FF1155CC"/>
        <sz val="11.0"/>
        <u/>
      </rPr>
      <t>t.me/Aletaha_ilam</t>
    </r>
  </si>
  <si>
    <t>انصار حسین ابن علی</t>
  </si>
  <si>
    <t>مقدس صاحب الزمان (عج)</t>
  </si>
  <si>
    <t>https://eitaa.com/ofough</t>
  </si>
  <si>
    <t>دخترانه فادیا</t>
  </si>
  <si>
    <t>https://www.instagram.com/fadia.heyat_ilam/</t>
  </si>
  <si>
    <t>انصار تکیه مقدس و معظم حضرت اباالفضل (ع)</t>
  </si>
  <si>
    <t>https://www.instagram.com/hata_ilam/</t>
  </si>
  <si>
    <r>
      <rPr>
        <rFont val="-apple-system, BlinkMacSystemFont, &quot;Segoe UI&quot;, Roboto, Helvetica, Arial, sans-serif"/>
        <color rgb="FF1155CC"/>
        <sz val="11.0"/>
        <u/>
      </rPr>
      <t>eitaa.com/hata_ilam</t>
    </r>
  </si>
  <si>
    <t>مهران</t>
  </si>
  <si>
    <t>https://eitaa.com/alamdarkarbalaa3_13</t>
  </si>
  <si>
    <t>https://www.instagram.com/sahebolamr.ilam110/</t>
  </si>
  <si>
    <t>دانشگاه ایلام</t>
  </si>
  <si>
    <t>https://eitaa.com/heyat_hazrat_aliakbar_ilamuni</t>
  </si>
  <si>
    <t>عصر حضور</t>
  </si>
  <si>
    <t>https://www.instagram.com/asrehozur/</t>
  </si>
  <si>
    <t>https://eitaa.com/jameatol_hosein</t>
  </si>
  <si>
    <t>https://www.instagram.com/ansaralmahdi_dehloran/</t>
  </si>
  <si>
    <r>
      <rPr>
        <rFont val="var(--font-family-system)"/>
        <color rgb="FF1155CC"/>
        <u/>
      </rPr>
      <t>eitaa.com/ansaralmahdi_dehloran</t>
    </r>
  </si>
  <si>
    <t>https://eitaa.com/jahadekabiredehloran</t>
  </si>
  <si>
    <t>آبدانان</t>
  </si>
  <si>
    <t>https://eitaa.com/abaabdellahabdanan</t>
  </si>
  <si>
    <t>https://www.instagram.com/ilamuni_heyat/</t>
  </si>
  <si>
    <r>
      <rPr>
        <rFont val="var(--font-family-system)"/>
        <color rgb="FF1155CC"/>
        <u/>
      </rPr>
      <t>t.me/heyat_ali_akbar_uni_ilam</t>
    </r>
  </si>
  <si>
    <t>شهدای کربلا آدریان</t>
  </si>
  <si>
    <t>https://eitaa.com/mokebadarian</t>
  </si>
  <si>
    <t>استان ایلام</t>
  </si>
  <si>
    <t>https://eitaa.com/hoseynieh_ilam</t>
  </si>
  <si>
    <t>کردستان</t>
  </si>
  <si>
    <t>بیجار</t>
  </si>
  <si>
    <t>https://www.instagram.com/rozatoshohada_bijar/</t>
  </si>
  <si>
    <r>
      <rPr>
        <rFont val="-apple-system, BlinkMacSystemFont, &quot;Segoe UI&quot;, Roboto, Helvetica, Arial, sans-serif"/>
        <color rgb="FF1155CC"/>
        <sz val="11.0"/>
        <u/>
      </rPr>
      <t>t.me/rozatoshohada_bijar</t>
    </r>
  </si>
  <si>
    <t>https://www.instagram.com/heyate_motevaselin_be_abalfazl/</t>
  </si>
  <si>
    <r>
      <rPr>
        <rFont val="-apple-system, BlinkMacSystemFont, &quot;Segoe UI&quot;, Roboto, Helvetica, Arial, sans-serif"/>
        <color rgb="FF1155CC"/>
        <sz val="11.0"/>
        <u/>
      </rPr>
      <t>t.me/heyate_motevaselin_be_abalfazl</t>
    </r>
  </si>
  <si>
    <t>https://www.instagram.com/beytolroghayeh_bijar_315/</t>
  </si>
  <si>
    <r>
      <rPr>
        <rFont val="-apple-system, BlinkMacSystemFont, &quot;Segoe UI&quot;, Roboto, Helvetica, Arial, sans-serif"/>
        <color rgb="FF1155CC"/>
        <sz val="11.0"/>
        <u/>
      </rPr>
      <t>‌t.me/beytolroghayeh_bijar_315</t>
    </r>
  </si>
  <si>
    <t>سنندج</t>
  </si>
  <si>
    <t>https://www.instagram.com/javananhoseini_ir</t>
  </si>
  <si>
    <t>https://eitaa.com/ahbabolhasan_ir</t>
  </si>
  <si>
    <t>بیرق الزهرا (س)</t>
  </si>
  <si>
    <t>https://www.instagram.com/beyragh.alzahra/</t>
  </si>
  <si>
    <t>https://eitaa.com/bayraghalzahra313</t>
  </si>
  <si>
    <t>http://instagram.com/maktab_ol_hosein_korani/</t>
  </si>
  <si>
    <t>https://eitaa.com/haeiat_razmandegan_51</t>
  </si>
  <si>
    <t>https://eitaa.com/ansar_al_Haider_bijar</t>
  </si>
  <si>
    <t>سریش آباد</t>
  </si>
  <si>
    <t>https://eitaa.com/Beitolabbas1378</t>
  </si>
  <si>
    <t>حسینیه خاتم الانبیاء</t>
  </si>
  <si>
    <t>بانه</t>
  </si>
  <si>
    <t>https://www.instagram.com/khatamol_anbia_65/</t>
  </si>
  <si>
    <t>https://eitaa.com/khatamol_anbia_65</t>
  </si>
  <si>
    <t>https://eitaa.com/mohebbinqorveh</t>
  </si>
  <si>
    <t>https://www.instagram.com/gharibmadineh118/</t>
  </si>
  <si>
    <t>https://eitaa.com/gharibmadineh118</t>
  </si>
  <si>
    <t>https://eitaa.com/alamdar_alkafill</t>
  </si>
  <si>
    <t>https://www.instagram.com/alamdar_alkafil_qurve/</t>
  </si>
  <si>
    <r>
      <rPr>
        <rFont val="-apple-system, BlinkMacSystemFont, &quot;Segoe UI&quot;, Roboto, Helvetica, Arial, sans-serif"/>
        <color rgb="FF1155CC"/>
        <sz val="11.0"/>
        <u/>
      </rPr>
      <t>t.me/alamdarAlkafil</t>
    </r>
  </si>
  <si>
    <t>https://www.instagram.com/fatemeyooon/</t>
  </si>
  <si>
    <t>https://www.instagram.com/fatemiun.ghorveh/</t>
  </si>
  <si>
    <t>https://www.instagram.com/banihashem_bijar/</t>
  </si>
  <si>
    <r>
      <rPr>
        <rFont val="-apple-system, BlinkMacSystemFont, &quot;Segoe UI&quot;, Roboto, Helvetica, Arial, sans-serif"/>
        <color rgb="FF1155CC"/>
        <sz val="11.0"/>
        <u/>
      </rPr>
      <t>t.me/ghamarebanyhashem</t>
    </r>
  </si>
  <si>
    <t>عاشقان ثارالله کامیاران</t>
  </si>
  <si>
    <t>کامیاران</t>
  </si>
  <si>
    <t>https://eitaa.com/sarallahkamyaran</t>
  </si>
  <si>
    <t>https://eitaa.com/hoseinieh_sanandaj</t>
  </si>
  <si>
    <t>https://www.instagram.com/heiat.mohebin_zahra/</t>
  </si>
  <si>
    <r>
      <rPr>
        <rFont val="var(--font-family-system)"/>
        <color rgb="FF1155CC"/>
        <u/>
      </rPr>
      <t>t.me/Mohebin_zahra</t>
    </r>
  </si>
  <si>
    <t>https://eitaa.com/fatemiunqorveh</t>
  </si>
  <si>
    <t>https://t.me/mohebbinqorveh</t>
  </si>
  <si>
    <t>https://www.instagram.com/alamdar_alkafil/</t>
  </si>
  <si>
    <t>https://www.instagram.com/hoseinieh_sanandaj/</t>
  </si>
  <si>
    <t>https://www.instagram.com/ghamar_banihashem_/</t>
  </si>
  <si>
    <t>قائم</t>
  </si>
  <si>
    <t>https://www.instagram.com/ghaem_bijar_mosque/</t>
  </si>
  <si>
    <t>چهارمحال و بختیاری</t>
  </si>
  <si>
    <t>شهرکرد</t>
  </si>
  <si>
    <t>https://eitaa.com/ansariha_ir</t>
  </si>
  <si>
    <t>https://eitaa.com/h_r_shohada</t>
  </si>
  <si>
    <t>کهف الشهدا</t>
  </si>
  <si>
    <t>بیرجند</t>
  </si>
  <si>
    <t>https://eitaa.com/kahf_shohada</t>
  </si>
  <si>
    <t>متحده ابوالفضلی آسیابان</t>
  </si>
  <si>
    <t>قهستان</t>
  </si>
  <si>
    <t>https://eitaa.com/asiaban_heyat</t>
  </si>
  <si>
    <t>روضه الشهدا بیرجند</t>
  </si>
  <si>
    <t>https://www.instagram.com/alatash_info</t>
  </si>
  <si>
    <t>https://t.me/Alatash_Info</t>
  </si>
  <si>
    <t>https://eitaa.com/Alatash_Info</t>
  </si>
  <si>
    <t>https://eitaa.com/hajiabad_heyat</t>
  </si>
  <si>
    <t>شهدای آیسک</t>
  </si>
  <si>
    <t>آیسک</t>
  </si>
  <si>
    <t>https://eitaa.com/hossainiyeh_shohada_ayask</t>
  </si>
  <si>
    <t>https://eitaa.com/abolfazli_birjand</t>
  </si>
  <si>
    <t>قاینات</t>
  </si>
  <si>
    <t>https://eitaa.com/oshagh135313</t>
  </si>
  <si>
    <t>متوسلین به موسی بن جعفر</t>
  </si>
  <si>
    <t>آرین شهر</t>
  </si>
  <si>
    <t>https://eitaa.com/hmotavaselin</t>
  </si>
  <si>
    <t>حاج علی اشرف بشرویه</t>
  </si>
  <si>
    <t>بشرویه</t>
  </si>
  <si>
    <t>https://eitaa.com/hhajaliashraf</t>
  </si>
  <si>
    <t>https://eitaa.com/mohebanolzahra</t>
  </si>
  <si>
    <t>https://eitaa.com/reyhanato_alnabi_Qayen</t>
  </si>
  <si>
    <t>https://www.instagram.com/tarighshohada_ir/</t>
  </si>
  <si>
    <t xml:space="preserve">صاحب الزمانی </t>
  </si>
  <si>
    <t>https://www.instagram.com/sahebzamani_birjand/</t>
  </si>
  <si>
    <r>
      <rPr>
        <rFont val="var(--font-family-system)"/>
        <color rgb="FF1155CC"/>
        <u/>
      </rPr>
      <t>t.me/@sahebzamanibirjand</t>
    </r>
  </si>
  <si>
    <t>سیستان و بلوچستان</t>
  </si>
  <si>
    <t>https://www.instagram.com/rozatol_hoseyn_313/</t>
  </si>
  <si>
    <t>https://www.instagram.com/alamdar.sistan/</t>
  </si>
  <si>
    <r>
      <rPr>
        <rFont val="-apple-system, BlinkMacSystemFont, &quot;Segoe UI&quot;, Roboto, Helvetica, Arial, sans-serif"/>
        <color rgb="FF1155CC"/>
        <sz val="11.0"/>
        <u/>
      </rPr>
      <t>t.me/alamdarsistan</t>
    </r>
  </si>
  <si>
    <t>https://www.instagram.com/aleyaseen.ir/</t>
  </si>
  <si>
    <t>باب الحوائچ</t>
  </si>
  <si>
    <t>https://www.instagram.com/hoseinieh.babol.havayej/</t>
  </si>
  <si>
    <t>ابوالفضل علیه السلام</t>
  </si>
  <si>
    <t>https://www.instagram.com/m_asheghaneabalfazl/</t>
  </si>
  <si>
    <t>زابل</t>
  </si>
  <si>
    <t>https://www.instagram.com/q_banihashem_sistan/</t>
  </si>
  <si>
    <t>محبان حضرت زهرا سلام الله علیها</t>
  </si>
  <si>
    <t>زاهدان</t>
  </si>
  <si>
    <t>https://www.instagram.com/bakin_ir/</t>
  </si>
  <si>
    <t>عشاق الرضا علیه السلام</t>
  </si>
  <si>
    <t>https://www.instagram.com/osh.aghreza/</t>
  </si>
  <si>
    <t>کوچه به کوچه با سیدالشهدا علیه السلام</t>
  </si>
  <si>
    <t>https://www.instagram.com/seyedoshohada_sb/</t>
  </si>
  <si>
    <t>حسینیه حضرت علی و فاطمه علیهم السلام زاهدان</t>
  </si>
  <si>
    <t>https://www.instagram.com/khane_ali.fatemeh_zahedan/</t>
  </si>
  <si>
    <t>https://www.instagram.com/levau.zeynab.zahedan/</t>
  </si>
  <si>
    <t>https://eitaa.com/hoseiniealiasgharzahedan</t>
  </si>
  <si>
    <t>خادمین حضرت رقیه(س)</t>
  </si>
  <si>
    <t>https://www.instagram.com/khadem_alroqayeh/</t>
  </si>
  <si>
    <t>https://www.instagram.com/reyhaneh_al_hossein_315/</t>
  </si>
  <si>
    <t>محبان حضرت زهرا(س)</t>
  </si>
  <si>
    <t>انصارالمهدی (عج) مسجد حضرت علی(ع)</t>
  </si>
  <si>
    <t>https://www.instagram.com/h_ansar_zahedan/</t>
  </si>
  <si>
    <t>https://www.instagram.com/beytolroghaye.zahedan/</t>
  </si>
  <si>
    <t>https://eitaa.com/ansarreza_zahedan</t>
  </si>
  <si>
    <t>https://www.instagram.com/beytolabbas_zahedan/</t>
  </si>
  <si>
    <t>https://www.instagram.com/beytolheydar_zahedan</t>
  </si>
  <si>
    <t>https://eitaa.com/beytolheydar_zahedan</t>
  </si>
  <si>
    <t>اصحاب الشهدا</t>
  </si>
  <si>
    <t>https://eitaa.com/ashaboshohada_sb</t>
  </si>
  <si>
    <t>انصارالمهدی(عج) / انصار الحسین(ع)</t>
  </si>
  <si>
    <t>زهک</t>
  </si>
  <si>
    <t>https://splus.ir/heyat_zahak</t>
  </si>
  <si>
    <t>امیرالمومنین حیدر</t>
  </si>
  <si>
    <t>https://www.instagram.com/hheydarkarar/</t>
  </si>
  <si>
    <t>https://www.instagram.com/h_mohbin_ahle_beyt/</t>
  </si>
  <si>
    <t>https://www.instagram.com/bytolmahdi/</t>
  </si>
  <si>
    <t>طفلان مسلم</t>
  </si>
  <si>
    <t>https://www.instagram.com/heiat_moslem_zahedan/</t>
  </si>
  <si>
    <t>عزاداران پنج تن آل عبا</t>
  </si>
  <si>
    <t>https://www.instagram.com/moheban_panjtan/</t>
  </si>
  <si>
    <t>https://www.instagram.com/heyaat.14masoum/</t>
  </si>
  <si>
    <t>https://www.instagram.com/ashaboshohada_sb</t>
  </si>
  <si>
    <t>t.me/ashaboshohada_sb</t>
  </si>
  <si>
    <t>https://www.instagram.com/masjed_emamhosein_zahedan/</t>
  </si>
  <si>
    <r>
      <rPr>
        <rFont val="var(--font-family-system)"/>
        <color rgb="FF1155CC"/>
        <u/>
      </rPr>
      <t>eitaa.com/masjed_emamhosein_zahedan</t>
    </r>
  </si>
  <si>
    <t xml:space="preserve">بیت الزینب </t>
  </si>
  <si>
    <t>https://www.instagram.com/beit_zeinab_zahedan/</t>
  </si>
  <si>
    <r>
      <rPr>
        <rFont val="var(--font-family-system)"/>
        <color rgb="FF1155CC"/>
        <u/>
      </rPr>
      <t>t.me/Beit_Zeinab_Zahedan</t>
    </r>
  </si>
  <si>
    <t>https://www.instagram.com/heiat_yazahra_zahedan/</t>
  </si>
  <si>
    <t>https://www.instagram.com/boghe_seyedbagher/</t>
  </si>
  <si>
    <t>هیات و گروه جهادی یاوران منجی موعود (عج)</t>
  </si>
  <si>
    <t>https://www.instagram.com/yava.ranmonjmoud313/</t>
  </si>
  <si>
    <t>سیستان</t>
  </si>
  <si>
    <t>https://www.instagram.com/ashooraeyan_sistan/</t>
  </si>
  <si>
    <t>https://www.instagram.com/aqilatol_arab/</t>
  </si>
  <si>
    <t>شیفتگان کوثر</t>
  </si>
  <si>
    <t>https://www.instagram.com/shifteganekosarsistan/</t>
  </si>
  <si>
    <t>عزاداران بیت الحسین (ع)</t>
  </si>
  <si>
    <t>https://www.instagram.com/beitolhossein_sb/</t>
  </si>
  <si>
    <t>https://www.instagram.com/masjedemamhasanmojtabazahedan/</t>
  </si>
  <si>
    <t>اباذر</t>
  </si>
  <si>
    <t>https://www.instagram.com/masjad_abozar/</t>
  </si>
  <si>
    <r>
      <rPr>
        <rFont val="var(--font-family-system)"/>
        <color rgb="FF1155CC"/>
        <u/>
      </rPr>
      <t>t.me/masjad_abozar</t>
    </r>
  </si>
  <si>
    <t>شیفتگان اهل بیت (ع)</t>
  </si>
  <si>
    <t>https://www.instagram.com/shiftegan_ahlebeit_zahedan72/</t>
  </si>
  <si>
    <t xml:space="preserve">انصار العباس </t>
  </si>
  <si>
    <t>https://www.instagram.com/ansarolabbas_zahedan/</t>
  </si>
  <si>
    <r>
      <rPr>
        <rFont val="var(--font-family-system)"/>
        <color rgb="FF1155CC"/>
        <u/>
      </rPr>
      <t>t.me/ansarolabbas_zahedan</t>
    </r>
  </si>
  <si>
    <t>حضرت رقیه خاتون</t>
  </si>
  <si>
    <t>https://www.instagram.com/roghayekhaton.0313/</t>
  </si>
  <si>
    <t>محبان حضرت علی(ع)</t>
  </si>
  <si>
    <t>https://www.instagram.com/heyatmohebbanali/</t>
  </si>
  <si>
    <t>https://www.instagram.com/masjed_besat_zahedan/</t>
  </si>
  <si>
    <t>https://www.instagram.com/masjed_mohammadie1360/</t>
  </si>
  <si>
    <t>آمریکا</t>
  </si>
  <si>
    <t>میشیگان</t>
  </si>
  <si>
    <t>https://www.instagram.com/heyatulzahra/</t>
  </si>
  <si>
    <t>https://t.me/heyatulzahra</t>
  </si>
  <si>
    <t>تورنتو</t>
  </si>
  <si>
    <t>https://www.instagram.com/karbala.ca/</t>
  </si>
  <si>
    <t>https://t.me/karbalaca</t>
  </si>
  <si>
    <t>https://karbalacenter.ca/</t>
  </si>
  <si>
    <t>راية العبّاس</t>
  </si>
  <si>
    <t>لبنان</t>
  </si>
  <si>
    <t>https://www.instagram.com/hayaatrayat.alabbas/</t>
  </si>
  <si>
    <t>https://t.me/Hayaat_Rayat_Al_Abbas</t>
  </si>
  <si>
    <t>ام البنین</t>
  </si>
  <si>
    <t>بغداد</t>
  </si>
  <si>
    <t>https://www.instagram.com/am_albninhia</t>
  </si>
  <si>
    <t>https://www.instagram.com/ansaralzahraa</t>
  </si>
  <si>
    <t>https://www.instagram.com/ali_alasghar</t>
  </si>
  <si>
    <t>مأتم</t>
  </si>
  <si>
    <t>العباس (ع)</t>
  </si>
  <si>
    <t>عمان</t>
  </si>
  <si>
    <t>صحار</t>
  </si>
  <si>
    <t>https://www.instagram.com/matam_alabass_sohar/</t>
  </si>
  <si>
    <t>https://www.youtube.com/@matam-alabass-sohar</t>
  </si>
  <si>
    <t>دار الزهراء سلام الله عليها محفل ابناءالحیدر</t>
  </si>
  <si>
    <t>بیروت</t>
  </si>
  <si>
    <t>https://www.instagram.com/dar_alzahraa1444/</t>
  </si>
  <si>
    <t>https://t.me/daralzahraalb</t>
  </si>
  <si>
    <t>https://www.youtube.com/@dar.al.zahraa</t>
  </si>
  <si>
    <t>کربلا.</t>
  </si>
  <si>
    <t>https://eitaa.com/seyedatonnesaa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</si>
</sst>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:ss am/pm"/>
    <numFmt numFmtId="165" formatCode="m/d"/>
  </numFmts>
  <fonts count="162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1.0"/>
      <color theme="1"/>
      <name val="Calibri"/>
    </font>
    <font>
      <u/>
      <color rgb="FF0000FF"/>
    </font>
    <font>
      <b/>
      <color theme="1"/>
      <name val="Arial"/>
      <scheme val="minor"/>
    </font>
    <font>
      <sz val="11.0"/>
      <color rgb="FF0C1014"/>
      <name val="-apple-system"/>
    </font>
    <font>
      <color theme="1"/>
      <name val="Arial"/>
    </font>
    <font>
      <sz val="11.0"/>
      <color rgb="FF0C1014"/>
      <name val="Arial"/>
    </font>
    <font>
      <u/>
      <color rgb="FF1155CC"/>
      <name val="Arial"/>
    </font>
    <font>
      <u/>
      <color rgb="FF1155CC"/>
      <name val="Arial"/>
    </font>
    <font>
      <sz val="11.0"/>
      <color rgb="FF000000"/>
      <name val="&quot;Aptos Narrow&quot;"/>
    </font>
    <font>
      <sz val="11.0"/>
      <color rgb="FFF5F5F5"/>
      <name val="Calibri"/>
    </font>
    <font>
      <u/>
      <sz val="11.0"/>
      <color rgb="FF0000FF"/>
      <name val="Calibri"/>
    </font>
    <font>
      <u/>
      <color rgb="FF0000FF"/>
    </font>
    <font>
      <sz val="11.0"/>
      <color rgb="FF0C1014"/>
      <name val="Calibri"/>
    </font>
    <font>
      <u/>
      <sz val="11.0"/>
      <color rgb="FF0000FF"/>
      <name val="Calibri"/>
    </font>
    <font>
      <u/>
      <sz val="11.0"/>
      <color rgb="FFF5F5F5"/>
      <name val="Calibri"/>
    </font>
    <font>
      <u/>
      <sz val="11.0"/>
      <color rgb="FF0000FF"/>
      <name val="Calibri"/>
    </font>
    <font>
      <u/>
      <sz val="11.0"/>
      <color rgb="FF0C1014"/>
      <name val="Calibri"/>
    </font>
    <font>
      <u/>
      <sz val="11.0"/>
      <color rgb="FF0C1014"/>
      <name val="Calibri"/>
    </font>
    <font>
      <u/>
      <color rgb="FF0000FF"/>
    </font>
    <font>
      <u/>
      <sz val="11.0"/>
      <color rgb="FF0C1014"/>
      <name val="-apple-system"/>
    </font>
    <font>
      <u/>
      <sz val="11.0"/>
      <color rgb="FF0C1014"/>
      <name val="-apple-system"/>
    </font>
    <font>
      <sz val="11.0"/>
      <color rgb="FF0C1014"/>
      <name val="Inherit"/>
    </font>
    <font>
      <u/>
      <sz val="11.0"/>
      <color rgb="FFF5F5F5"/>
      <name val="-apple-system"/>
    </font>
    <font>
      <u/>
      <sz val="11.0"/>
      <color rgb="FF0000FF"/>
      <name val="Calibri"/>
    </font>
    <font>
      <u/>
      <sz val="11.0"/>
      <color rgb="FFF5F5F5"/>
      <name val="-apple-system"/>
    </font>
    <font>
      <color theme="1"/>
      <name val="Var(--font-family-system)"/>
    </font>
    <font>
      <sz val="11.0"/>
      <color rgb="FF000000"/>
      <name val="Arial"/>
    </font>
    <font>
      <sz val="11.0"/>
      <color rgb="FFF5F5F5"/>
      <name val="Inherit"/>
    </font>
    <font>
      <u/>
      <sz val="11.0"/>
      <color rgb="FF0000FF"/>
      <name val="Calibri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C1014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30303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u/>
      <sz val="11.0"/>
      <color rgb="FF0000FF"/>
      <name val="Calibri"/>
    </font>
    <font>
      <color rgb="FF464E5F"/>
      <name val="Iranyekan"/>
    </font>
    <font>
      <sz val="9.0"/>
      <color rgb="FF464E5F"/>
      <name val="Iranyekan"/>
    </font>
    <font>
      <u/>
      <sz val="11.0"/>
      <color rgb="FF0000FF"/>
      <name val="Calibri"/>
    </font>
    <font>
      <sz val="11.0"/>
      <color rgb="FF000000"/>
      <name val="Inherit"/>
    </font>
    <font>
      <color rgb="FF000000"/>
    </font>
    <font>
      <u/>
      <sz val="11.0"/>
      <color rgb="FF000000"/>
      <name val="-apple-system"/>
    </font>
    <font>
      <color rgb="FF000000"/>
      <name val="Arial"/>
      <scheme val="minor"/>
    </font>
    <font>
      <u/>
      <sz val="11.0"/>
      <color rgb="FF000000"/>
      <name val="Inherit"/>
    </font>
    <font>
      <sz val="11.0"/>
      <color rgb="FF000000"/>
      <name val="-apple-system"/>
    </font>
    <font>
      <u/>
      <sz val="11.0"/>
      <color rgb="FF0000FF"/>
      <name val="Inherit"/>
    </font>
    <font>
      <u/>
      <sz val="11.0"/>
      <color rgb="FF0000FF"/>
      <name val="Calibri"/>
    </font>
    <font>
      <b/>
      <u/>
      <color rgb="FF0000FF"/>
    </font>
    <font>
      <b/>
      <sz val="11.0"/>
      <color rgb="FF7D7F81"/>
      <name val="Vazirmatn"/>
    </font>
    <font>
      <u/>
      <sz val="11.0"/>
      <color rgb="FF000000"/>
      <name val="-apple-system"/>
    </font>
    <font>
      <sz val="11.0"/>
      <color rgb="FF00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sz val="11.0"/>
      <color rgb="FF000000"/>
      <name val="&quot;Aptos Narrow&quot;"/>
    </font>
    <font>
      <u/>
      <color rgb="FF0000FF"/>
    </font>
    <font>
      <u/>
      <sz val="11.0"/>
      <color rgb="FF000000"/>
      <name val="&quot;Aptos Narrow&quot;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000000"/>
      <name val="Calibri"/>
    </font>
    <font>
      <u/>
      <color rgb="FF0000FF"/>
    </font>
    <font>
      <u/>
      <color rgb="FF0000FF"/>
    </font>
    <font>
      <b/>
      <u/>
      <sz val="11.0"/>
      <color rgb="FF7D7F8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00"/>
      <name val="Arial"/>
    </font>
    <font>
      <u/>
      <color rgb="FF0000FF"/>
      <name val="Arial"/>
    </font>
    <font>
      <u/>
      <sz val="11.0"/>
      <color rgb="FFF5F5F5"/>
      <name val="-apple-system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sz val="11.0"/>
      <color rgb="FF1155CC"/>
      <name val="Arial"/>
    </font>
    <font>
      <u/>
      <sz val="11.0"/>
      <color rgb="FF0000FF"/>
    </font>
    <font>
      <sz val="11.0"/>
      <color rgb="FFF5F5F5"/>
      <name val="-apple-system"/>
    </font>
    <font>
      <u/>
      <sz val="11.0"/>
      <color rgb="FF0C1014"/>
      <name val="-apple-system"/>
    </font>
    <font>
      <u/>
      <sz val="11.0"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0000FF"/>
    </font>
    <font>
      <sz val="11.0"/>
      <color theme="1"/>
      <name val="Arial"/>
      <scheme val="minor"/>
    </font>
    <font>
      <u/>
      <color rgb="FF0000FF"/>
    </font>
    <font>
      <u/>
      <sz val="11.0"/>
      <color rgb="FF0000FF"/>
    </font>
    <font>
      <u/>
      <sz val="11.0"/>
      <color rgb="FF0000FF"/>
      <name val="Arial"/>
    </font>
    <font>
      <sz val="11.0"/>
      <color theme="1"/>
      <name val="Arial"/>
    </font>
    <font>
      <sz val="12.0"/>
      <color rgb="FFFEFEFE"/>
      <name val="Dana"/>
    </font>
    <font>
      <u/>
      <sz val="11.0"/>
      <color rgb="FF000000"/>
      <name val="Arial"/>
    </font>
    <font>
      <sz val="11.0"/>
      <color rgb="FF737373"/>
      <name val="-apple-system"/>
    </font>
    <font>
      <u/>
      <sz val="11.0"/>
      <color rgb="FF0000FF"/>
      <name val="Arial"/>
    </font>
    <font>
      <sz val="11.0"/>
      <color rgb="FF000000"/>
      <name val="Vazirmatn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sz val="11.0"/>
      <color rgb="FF0C1014"/>
      <name val="-apple-system"/>
    </font>
    <font>
      <u/>
      <sz val="11.0"/>
      <color rgb="FF0C1014"/>
      <name val="-apple-system"/>
    </font>
    <font>
      <u/>
      <sz val="11.0"/>
      <color rgb="FF0C1014"/>
      <name val="Inherit"/>
    </font>
    <font>
      <u/>
      <sz val="11.0"/>
      <color rgb="FF0000FF"/>
      <name val="Calibri"/>
    </font>
    <font>
      <u/>
      <color rgb="FF1155CC"/>
      <name val="Arial"/>
    </font>
    <font>
      <u/>
      <sz val="11.0"/>
      <color rgb="FF1155CC"/>
      <name val="Calibri"/>
    </font>
    <font>
      <b/>
      <color theme="1"/>
      <name val="Arial"/>
    </font>
    <font>
      <u/>
      <color rgb="FF0000FF"/>
      <name val="Arial"/>
    </font>
    <font>
      <b/>
      <u/>
      <color rgb="FF1155CC"/>
      <name val="Arial"/>
    </font>
    <font>
      <u/>
      <color rgb="FF1155CC"/>
      <name val="Arial"/>
    </font>
    <font>
      <u/>
      <sz val="11.0"/>
      <color rgb="FF0000FF"/>
      <name val="Inherit"/>
    </font>
    <font>
      <u/>
      <color rgb="FF0000FF"/>
    </font>
    <font>
      <u/>
      <color rgb="FF0000FF"/>
    </font>
    <font>
      <u/>
      <sz val="11.0"/>
      <color rgb="FF000000"/>
      <name val="-apple-system"/>
    </font>
    <font>
      <u/>
      <color rgb="FF0000FF"/>
    </font>
    <font>
      <u/>
      <sz val="11.0"/>
      <color rgb="FF000000"/>
      <name val="Arial"/>
    </font>
    <font>
      <b/>
      <u/>
      <sz val="11.0"/>
      <color rgb="FF7D7F81"/>
      <name val="Vazirmatn"/>
    </font>
    <font>
      <u/>
      <sz val="11.0"/>
      <color rgb="FF000000"/>
      <name val="-apple-system"/>
    </font>
    <font>
      <u/>
      <sz val="11.0"/>
      <color rgb="FF0C1014"/>
      <name val="Arial"/>
    </font>
    <font>
      <u/>
      <sz val="11.0"/>
      <color rgb="FF0C1014"/>
      <name val="Inherit"/>
    </font>
    <font>
      <b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Inherit"/>
    </font>
    <font>
      <u/>
      <sz val="10.0"/>
      <color rgb="FF0000FF"/>
    </font>
    <font>
      <u/>
      <sz val="11.0"/>
      <color rgb="FF0000FF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F5F5F5"/>
      <name val="Calibri"/>
    </font>
    <font>
      <u/>
      <sz val="11.0"/>
      <color rgb="FF0000FF"/>
      <name val="Calibri"/>
    </font>
    <font>
      <u/>
      <sz val="11.0"/>
      <color rgb="FFF5F5F5"/>
      <name val="Calibri"/>
    </font>
    <font>
      <u/>
      <sz val="11.0"/>
      <color rgb="FF000000"/>
      <name val="Calibri"/>
    </font>
    <font>
      <sz val="11.0"/>
      <color theme="1"/>
      <name val="Inherit"/>
    </font>
    <font>
      <sz val="11.0"/>
      <color rgb="FF7D7F81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sz val="11.0"/>
      <color rgb="FF1155CC"/>
      <name val="Calibri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000000"/>
    </font>
    <font>
      <b/>
      <u/>
      <color rgb="FF0000FF"/>
    </font>
    <font>
      <u/>
      <sz val="11.0"/>
      <color rgb="FF0000FF"/>
      <name val="Calibri"/>
    </font>
    <font>
      <u/>
      <sz val="11.0"/>
      <color rgb="FF1155CC"/>
      <name val="-apple-system"/>
    </font>
    <font>
      <u/>
      <sz val="11.0"/>
      <color rgb="FF1155CC"/>
      <name val="Arial"/>
    </font>
    <font>
      <u/>
      <sz val="11.0"/>
      <color rgb="FF1155CC"/>
      <name val="Calibri"/>
    </font>
    <font>
      <u/>
      <color rgb="FF0000FF"/>
    </font>
    <font>
      <u/>
      <color rgb="FF0000FF"/>
    </font>
    <font>
      <sz val="11.0"/>
      <color rgb="FFFEFEFE"/>
      <name val="Calibri"/>
    </font>
    <font>
      <sz val="12.0"/>
      <color rgb="FF000000"/>
      <name val="Vazirmatn"/>
    </font>
    <font>
      <b/>
      <u/>
      <sz val="11.0"/>
      <color rgb="FF7D7F81"/>
      <name val="Calibri"/>
    </font>
    <font>
      <b/>
      <sz val="11.0"/>
      <color rgb="FF7D7F81"/>
      <name val="Calibri"/>
    </font>
    <font>
      <sz val="11.0"/>
      <color rgb="FFF5F5F5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3F6F9"/>
        <bgColor rgb="FFF3F6F9"/>
      </patternFill>
    </fill>
    <fill>
      <patternFill patternType="solid">
        <fgColor rgb="FFB7E1CD"/>
        <bgColor rgb="FFB7E1CD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0C1014"/>
        <bgColor rgb="FF0C1014"/>
      </patternFill>
    </fill>
    <fill>
      <patternFill patternType="solid">
        <fgColor rgb="FFF1C232"/>
        <bgColor rgb="FFF1C232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/>
    </xf>
    <xf borderId="0" fillId="0" fontId="6" numFmtId="0" xfId="0" applyFont="1"/>
    <xf borderId="0" fillId="2" fontId="7" numFmtId="0" xfId="0" applyAlignment="1" applyFill="1" applyFont="1">
      <alignment readingOrder="0"/>
    </xf>
    <xf borderId="0" fillId="0" fontId="8" numFmtId="0" xfId="0" applyFont="1"/>
    <xf borderId="0" fillId="0" fontId="8" numFmtId="0" xfId="0" applyAlignment="1" applyFont="1">
      <alignment horizontal="right" shrinkToFit="0" wrapText="1"/>
    </xf>
    <xf borderId="0" fillId="0" fontId="8" numFmtId="0" xfId="0" applyAlignment="1" applyFont="1">
      <alignment horizontal="right"/>
    </xf>
    <xf borderId="0" fillId="2" fontId="9" numFmtId="0" xfId="0" applyAlignment="1" applyFont="1">
      <alignment horizontal="right" readingOrder="0" shrinkToFit="0" vertical="bottom" wrapText="1"/>
    </xf>
    <xf borderId="0" fillId="0" fontId="10" numFmtId="0" xfId="0" applyAlignment="1" applyFont="1">
      <alignment horizontal="left" shrinkToFit="0" wrapText="1"/>
    </xf>
    <xf borderId="0" fillId="0" fontId="11" numFmtId="0" xfId="0" applyAlignment="1" applyFont="1">
      <alignment horizontal="left"/>
    </xf>
    <xf borderId="1" fillId="2" fontId="12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right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3" fontId="13" numFmtId="0" xfId="0" applyAlignment="1" applyBorder="1" applyFill="1" applyFont="1">
      <alignment readingOrder="0"/>
    </xf>
    <xf borderId="1" fillId="0" fontId="14" numFmtId="0" xfId="0" applyAlignment="1" applyBorder="1" applyFont="1">
      <alignment readingOrder="0"/>
    </xf>
    <xf borderId="1" fillId="0" fontId="1" numFmtId="0" xfId="0" applyBorder="1" applyFont="1"/>
    <xf borderId="1" fillId="0" fontId="4" numFmtId="0" xfId="0" applyAlignment="1" applyBorder="1" applyFont="1">
      <alignment horizontal="right" readingOrder="0" shrinkToFit="0" vertical="bottom" wrapText="0"/>
    </xf>
    <xf borderId="1" fillId="0" fontId="15" numFmtId="0" xfId="0" applyAlignment="1" applyBorder="1" applyFont="1">
      <alignment readingOrder="0"/>
    </xf>
    <xf borderId="1" fillId="2" fontId="16" numFmtId="0" xfId="0" applyAlignment="1" applyBorder="1" applyFont="1">
      <alignment shrinkToFit="0" wrapText="0"/>
    </xf>
    <xf borderId="1" fillId="0" fontId="4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7" numFmtId="0" xfId="0" applyAlignment="1" applyBorder="1" applyFont="1">
      <alignment readingOrder="0"/>
    </xf>
    <xf borderId="1" fillId="3" fontId="18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/>
    </xf>
    <xf borderId="1" fillId="2" fontId="19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4" numFmtId="0" xfId="0" applyAlignment="1" applyBorder="1" applyFont="1">
      <alignment horizontal="right" readingOrder="0"/>
    </xf>
    <xf borderId="1" fillId="0" fontId="20" numFmtId="0" xfId="0" applyAlignment="1" applyBorder="1" applyFont="1">
      <alignment readingOrder="0"/>
    </xf>
    <xf borderId="1" fillId="2" fontId="16" numFmtId="0" xfId="0" applyAlignment="1" applyBorder="1" applyFont="1">
      <alignment readingOrder="0"/>
    </xf>
    <xf borderId="1" fillId="2" fontId="21" numFmtId="0" xfId="0" applyAlignment="1" applyBorder="1" applyFont="1">
      <alignment readingOrder="0"/>
    </xf>
    <xf borderId="1" fillId="2" fontId="16" numFmtId="0" xfId="0" applyBorder="1" applyFont="1"/>
    <xf borderId="1" fillId="0" fontId="22" numFmtId="0" xfId="0" applyAlignment="1" applyBorder="1" applyFont="1">
      <alignment readingOrder="0"/>
    </xf>
    <xf borderId="1" fillId="2" fontId="23" numFmtId="0" xfId="0" applyAlignment="1" applyBorder="1" applyFont="1">
      <alignment readingOrder="0"/>
    </xf>
    <xf borderId="1" fillId="0" fontId="24" numFmtId="0" xfId="0" applyAlignment="1" applyBorder="1" applyFont="1">
      <alignment readingOrder="0"/>
    </xf>
    <xf borderId="1" fillId="2" fontId="25" numFmtId="0" xfId="0" applyBorder="1" applyFont="1"/>
    <xf borderId="1" fillId="0" fontId="26" numFmtId="0" xfId="0" applyAlignment="1" applyBorder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29" numFmtId="0" xfId="0" applyAlignment="1" applyFont="1">
      <alignment horizontal="center" readingOrder="0" shrinkToFit="0" wrapText="0"/>
    </xf>
    <xf borderId="0" fillId="2" fontId="30" numFmtId="0" xfId="0" applyAlignment="1" applyFont="1">
      <alignment readingOrder="0"/>
    </xf>
    <xf borderId="0" fillId="2" fontId="31" numFmtId="0" xfId="0" applyAlignment="1" applyFont="1">
      <alignment shrinkToFit="0" wrapText="0"/>
    </xf>
    <xf borderId="0" fillId="0" fontId="32" numFmtId="0" xfId="0" applyAlignment="1" applyFont="1">
      <alignment readingOrder="0"/>
    </xf>
    <xf borderId="0" fillId="2" fontId="33" numFmtId="0" xfId="0" applyAlignment="1" applyFont="1">
      <alignment readingOrder="0"/>
    </xf>
    <xf borderId="0" fillId="2" fontId="12" numFmtId="0" xfId="0" applyAlignment="1" applyFont="1">
      <alignment horizontal="center" readingOrder="0" shrinkToFit="0" wrapText="0"/>
    </xf>
    <xf borderId="0" fillId="2" fontId="30" numFmtId="0" xfId="0" applyAlignment="1" applyFont="1">
      <alignment horizontal="center" readingOrder="0" shrinkToFit="0" wrapText="0"/>
    </xf>
    <xf borderId="0" fillId="0" fontId="4" numFmtId="0" xfId="0" applyAlignment="1" applyFont="1">
      <alignment readingOrder="0"/>
    </xf>
    <xf borderId="0" fillId="2" fontId="12" numFmtId="0" xfId="0" applyAlignment="1" applyFont="1">
      <alignment horizontal="right" readingOrder="0" shrinkToFit="0" wrapText="0"/>
    </xf>
    <xf borderId="0" fillId="2" fontId="34" numFmtId="0" xfId="0" applyAlignment="1" applyFont="1">
      <alignment horizontal="center" readingOrder="0" shrinkToFit="0" wrapText="0"/>
    </xf>
    <xf borderId="0" fillId="2" fontId="12" numFmtId="0" xfId="0" applyAlignment="1" applyFont="1">
      <alignment horizontal="center" readingOrder="0" shrinkToFit="0" wrapText="0"/>
    </xf>
    <xf borderId="0" fillId="0" fontId="35" numFmtId="0" xfId="0" applyAlignment="1" applyFont="1">
      <alignment readingOrder="0"/>
    </xf>
    <xf borderId="0" fillId="3" fontId="1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36" numFmtId="0" xfId="0" applyAlignment="1" applyFont="1">
      <alignment readingOrder="0"/>
    </xf>
    <xf borderId="0" fillId="0" fontId="37" numFmtId="0" xfId="0" applyAlignment="1" applyFont="1">
      <alignment horizontal="left" readingOrder="0"/>
    </xf>
    <xf borderId="0" fillId="0" fontId="38" numFmtId="0" xfId="0" applyAlignment="1" applyFont="1">
      <alignment readingOrder="0"/>
    </xf>
    <xf borderId="0" fillId="2" fontId="39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40" numFmtId="0" xfId="0" applyFont="1"/>
    <xf borderId="0" fillId="0" fontId="41" numFmtId="0" xfId="0" applyAlignment="1" applyFont="1">
      <alignment horizontal="left" readingOrder="0"/>
    </xf>
    <xf borderId="0" fillId="0" fontId="42" numFmtId="0" xfId="0" applyAlignment="1" applyFont="1">
      <alignment readingOrder="0"/>
    </xf>
    <xf borderId="1" fillId="0" fontId="4" numFmtId="0" xfId="0" applyAlignment="1" applyBorder="1" applyFont="1">
      <alignment horizontal="right" readingOrder="0" shrinkToFit="0" vertical="bottom" wrapText="0"/>
    </xf>
    <xf borderId="1" fillId="2" fontId="43" numFmtId="0" xfId="0" applyAlignment="1" applyBorder="1" applyFont="1">
      <alignment horizontal="right" readingOrder="0"/>
    </xf>
    <xf borderId="1" fillId="4" fontId="43" numFmtId="0" xfId="0" applyAlignment="1" applyBorder="1" applyFill="1" applyFont="1">
      <alignment horizontal="right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/>
    </xf>
    <xf borderId="0" fillId="0" fontId="1" numFmtId="164" xfId="0" applyFont="1" applyNumberFormat="1"/>
    <xf borderId="1" fillId="0" fontId="1" numFmtId="164" xfId="0" applyAlignment="1" applyBorder="1" applyFont="1" applyNumberFormat="1">
      <alignment horizontal="right"/>
    </xf>
    <xf borderId="1" fillId="0" fontId="1" numFmtId="164" xfId="0" applyBorder="1" applyFont="1" applyNumberFormat="1"/>
    <xf borderId="1" fillId="0" fontId="43" numFmtId="0" xfId="0" applyAlignment="1" applyBorder="1" applyFont="1">
      <alignment readingOrder="0"/>
    </xf>
    <xf borderId="1" fillId="4" fontId="44" numFmtId="0" xfId="0" applyAlignment="1" applyBorder="1" applyFont="1">
      <alignment horizontal="center" readingOrder="0"/>
    </xf>
    <xf borderId="1" fillId="0" fontId="45" numFmtId="0" xfId="0" applyAlignment="1" applyBorder="1" applyFont="1">
      <alignment horizontal="right" readingOrder="0" shrinkToFit="0" vertical="bottom" wrapText="0"/>
    </xf>
    <xf borderId="1" fillId="2" fontId="46" numFmtId="0" xfId="0" applyAlignment="1" applyBorder="1" applyFont="1">
      <alignment shrinkToFit="0" wrapText="0"/>
    </xf>
    <xf borderId="1" fillId="0" fontId="47" numFmtId="0" xfId="0" applyAlignment="1" applyBorder="1" applyFont="1">
      <alignment readingOrder="0"/>
    </xf>
    <xf borderId="1" fillId="0" fontId="48" numFmtId="0" xfId="0" applyAlignment="1" applyBorder="1" applyFont="1">
      <alignment readingOrder="0"/>
    </xf>
    <xf borderId="1" fillId="0" fontId="49" numFmtId="0" xfId="0" applyAlignment="1" applyBorder="1" applyFont="1">
      <alignment readingOrder="0"/>
    </xf>
    <xf borderId="1" fillId="2" fontId="50" numFmtId="0" xfId="0" applyAlignment="1" applyBorder="1" applyFont="1">
      <alignment readingOrder="0" shrinkToFit="0" wrapText="0"/>
    </xf>
    <xf borderId="1" fillId="2" fontId="51" numFmtId="0" xfId="0" applyBorder="1" applyFont="1"/>
    <xf borderId="1" fillId="2" fontId="51" numFmtId="0" xfId="0" applyAlignment="1" applyBorder="1" applyFont="1">
      <alignment readingOrder="0"/>
    </xf>
    <xf borderId="1" fillId="2" fontId="52" numFmtId="0" xfId="0" applyAlignment="1" applyBorder="1" applyFont="1">
      <alignment readingOrder="0"/>
    </xf>
    <xf borderId="1" fillId="2" fontId="46" numFmtId="0" xfId="0" applyBorder="1" applyFont="1"/>
    <xf borderId="1" fillId="0" fontId="53" numFmtId="0" xfId="0" applyAlignment="1" applyBorder="1" applyFont="1">
      <alignment horizontal="left" readingOrder="0" shrinkToFit="0" vertical="bottom" wrapText="0"/>
    </xf>
    <xf borderId="1" fillId="2" fontId="30" numFmtId="0" xfId="0" applyAlignment="1" applyBorder="1" applyFont="1">
      <alignment readingOrder="0"/>
    </xf>
    <xf borderId="1" fillId="0" fontId="54" numFmtId="0" xfId="0" applyAlignment="1" applyBorder="1" applyFont="1">
      <alignment readingOrder="0"/>
    </xf>
    <xf borderId="1" fillId="0" fontId="55" numFmtId="0" xfId="0" applyAlignment="1" applyBorder="1" applyFont="1">
      <alignment horizontal="center" readingOrder="0" shrinkToFit="0" wrapText="0"/>
    </xf>
    <xf borderId="1" fillId="2" fontId="56" numFmtId="0" xfId="0" applyAlignment="1" applyBorder="1" applyFont="1">
      <alignment readingOrder="0"/>
    </xf>
    <xf borderId="1" fillId="0" fontId="57" numFmtId="0" xfId="0" applyAlignment="1" applyBorder="1" applyFon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1" fillId="0" fontId="58" numFmtId="0" xfId="0" applyAlignment="1" applyBorder="1" applyFont="1">
      <alignment horizontal="left" readingOrder="0"/>
    </xf>
    <xf borderId="1" fillId="0" fontId="59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/>
    </xf>
    <xf borderId="1" fillId="0" fontId="60" numFmtId="0" xfId="0" applyBorder="1" applyFont="1"/>
    <xf borderId="1" fillId="0" fontId="1" numFmtId="0" xfId="0" applyAlignment="1" applyBorder="1" applyFont="1">
      <alignment horizontal="left" readingOrder="0"/>
    </xf>
    <xf borderId="0" fillId="0" fontId="61" numFmtId="0" xfId="0" applyAlignment="1" applyFont="1">
      <alignment horizontal="left" readingOrder="0"/>
    </xf>
    <xf borderId="1" fillId="0" fontId="47" numFmtId="0" xfId="0" applyAlignment="1" applyBorder="1" applyFont="1">
      <alignment horizontal="left" readingOrder="0"/>
    </xf>
    <xf borderId="1" fillId="2" fontId="7" numFmtId="0" xfId="0" applyAlignment="1" applyBorder="1" applyFont="1">
      <alignment readingOrder="0"/>
    </xf>
    <xf borderId="1" fillId="0" fontId="1" numFmtId="165" xfId="0" applyAlignment="1" applyBorder="1" applyFont="1" applyNumberFormat="1">
      <alignment readingOrder="0"/>
    </xf>
    <xf borderId="1" fillId="0" fontId="1" numFmtId="0" xfId="0" applyAlignment="1" applyBorder="1" applyFont="1">
      <alignment horizontal="left" readingOrder="0"/>
    </xf>
    <xf borderId="1" fillId="2" fontId="12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left"/>
    </xf>
    <xf borderId="1" fillId="2" fontId="62" numFmtId="0" xfId="0" applyAlignment="1" applyBorder="1" applyFont="1">
      <alignment horizontal="center" readingOrder="0" shrinkToFit="0" wrapText="0"/>
    </xf>
    <xf borderId="1" fillId="2" fontId="30" numFmtId="0" xfId="0" applyAlignment="1" applyBorder="1" applyFont="1">
      <alignment horizontal="center" readingOrder="0" shrinkToFit="0" wrapText="0"/>
    </xf>
    <xf borderId="1" fillId="2" fontId="12" numFmtId="0" xfId="0" applyAlignment="1" applyBorder="1" applyFont="1">
      <alignment horizontal="right" readingOrder="0" shrinkToFit="0" wrapText="0"/>
    </xf>
    <xf borderId="1" fillId="2" fontId="30" numFmtId="0" xfId="0" applyAlignment="1" applyBorder="1" applyFont="1">
      <alignment horizontal="right" readingOrder="0" shrinkToFit="0" wrapText="0"/>
    </xf>
    <xf borderId="0" fillId="0" fontId="63" numFmtId="0" xfId="0" applyAlignment="1" applyFont="1">
      <alignment horizontal="left" readingOrder="0"/>
    </xf>
    <xf borderId="1" fillId="2" fontId="30" numFmtId="0" xfId="0" applyAlignment="1" applyBorder="1" applyFont="1">
      <alignment horizontal="center" readingOrder="0" shrinkToFit="0" wrapText="0"/>
    </xf>
    <xf borderId="1" fillId="2" fontId="64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horizontal="right"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0" fillId="5" fontId="1" numFmtId="0" xfId="0" applyAlignment="1" applyFill="1" applyFont="1">
      <alignment readingOrder="0"/>
    </xf>
    <xf borderId="1" fillId="0" fontId="4" numFmtId="0" xfId="0" applyAlignment="1" applyBorder="1" applyFont="1">
      <alignment horizontal="right"/>
    </xf>
    <xf borderId="1" fillId="0" fontId="4" numFmtId="0" xfId="0" applyAlignment="1" applyBorder="1" applyFont="1">
      <alignment horizontal="center" readingOrder="0"/>
    </xf>
    <xf borderId="1" fillId="0" fontId="65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/>
    </xf>
    <xf borderId="1" fillId="0" fontId="66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/>
    </xf>
    <xf borderId="1" fillId="0" fontId="67" numFmtId="0" xfId="0" applyAlignment="1" applyBorder="1" applyFont="1">
      <alignment horizontal="left" readingOrder="0"/>
    </xf>
    <xf borderId="1" fillId="2" fontId="51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68" numFmtId="0" xfId="0" applyAlignment="1" applyBorder="1" applyFont="1">
      <alignment horizontal="right" readingOrder="0"/>
    </xf>
    <xf borderId="1" fillId="2" fontId="67" numFmtId="0" xfId="0" applyAlignment="1" applyBorder="1" applyFont="1">
      <alignment horizontal="center" readingOrder="0"/>
    </xf>
    <xf borderId="1" fillId="0" fontId="67" numFmtId="0" xfId="0" applyAlignment="1" applyBorder="1" applyFont="1">
      <alignment horizontal="right" readingOrder="0" shrinkToFit="0" vertical="bottom" wrapText="0"/>
    </xf>
    <xf borderId="1" fillId="6" fontId="4" numFmtId="0" xfId="0" applyAlignment="1" applyBorder="1" applyFill="1" applyFont="1">
      <alignment horizontal="right" readingOrder="0"/>
    </xf>
    <xf borderId="1" fillId="2" fontId="4" numFmtId="0" xfId="0" applyAlignment="1" applyBorder="1" applyFont="1">
      <alignment horizontal="center" readingOrder="0"/>
    </xf>
    <xf borderId="1" fillId="0" fontId="69" numFmtId="0" xfId="0" applyAlignment="1" applyBorder="1" applyFont="1">
      <alignment horizontal="right" readingOrder="0"/>
    </xf>
    <xf borderId="1" fillId="0" fontId="4" numFmtId="165" xfId="0" applyAlignment="1" applyBorder="1" applyFont="1" applyNumberFormat="1">
      <alignment horizontal="center" readingOrder="0"/>
    </xf>
    <xf borderId="1" fillId="2" fontId="4" numFmtId="165" xfId="0" applyAlignment="1" applyBorder="1" applyFont="1" applyNumberFormat="1">
      <alignment horizontal="center" readingOrder="0"/>
    </xf>
    <xf borderId="1" fillId="6" fontId="4" numFmtId="165" xfId="0" applyAlignment="1" applyBorder="1" applyFont="1" applyNumberFormat="1">
      <alignment horizontal="center" readingOrder="0"/>
    </xf>
    <xf borderId="1" fillId="6" fontId="4" numFmtId="0" xfId="0" applyAlignment="1" applyBorder="1" applyFont="1">
      <alignment horizontal="right" readingOrder="0" shrinkToFit="0" vertical="bottom" wrapText="0"/>
    </xf>
    <xf borderId="1" fillId="6" fontId="4" numFmtId="0" xfId="0" applyAlignment="1" applyBorder="1" applyFont="1">
      <alignment horizontal="center" readingOrder="0"/>
    </xf>
    <xf borderId="1" fillId="2" fontId="67" numFmtId="165" xfId="0" applyAlignment="1" applyBorder="1" applyFont="1" applyNumberFormat="1">
      <alignment horizontal="center" readingOrder="0"/>
    </xf>
    <xf borderId="1" fillId="0" fontId="70" numFmtId="0" xfId="0" applyAlignment="1" applyBorder="1" applyFont="1">
      <alignment horizontal="left" readingOrder="0" shrinkToFit="0" wrapText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right"/>
    </xf>
    <xf borderId="0" fillId="0" fontId="71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1" fillId="7" fontId="1" numFmtId="0" xfId="0" applyAlignment="1" applyBorder="1" applyFill="1" applyFont="1">
      <alignment readingOrder="0"/>
    </xf>
    <xf borderId="1" fillId="8" fontId="4" numFmtId="0" xfId="0" applyAlignment="1" applyBorder="1" applyFill="1" applyFont="1">
      <alignment horizontal="right" readingOrder="0" shrinkToFit="0" vertical="bottom" wrapText="0"/>
    </xf>
    <xf borderId="1" fillId="0" fontId="72" numFmtId="0" xfId="0" applyAlignment="1" applyBorder="1" applyFont="1">
      <alignment horizontal="right" readingOrder="0" shrinkToFit="0" vertical="bottom" wrapText="0"/>
    </xf>
    <xf borderId="1" fillId="0" fontId="73" numFmtId="0" xfId="0" applyAlignment="1" applyBorder="1" applyFont="1">
      <alignment horizontal="right" readingOrder="0" shrinkToFit="0" vertical="bottom" wrapText="0"/>
    </xf>
    <xf borderId="1" fillId="2" fontId="30" numFmtId="0" xfId="0" applyAlignment="1" applyBorder="1" applyFont="1">
      <alignment readingOrder="0"/>
    </xf>
    <xf borderId="1" fillId="2" fontId="74" numFmtId="0" xfId="0" applyAlignment="1" applyBorder="1" applyFont="1">
      <alignment horizontal="center" readingOrder="0" shrinkToFit="0" wrapText="0"/>
    </xf>
    <xf borderId="1" fillId="0" fontId="8" numFmtId="0" xfId="0" applyBorder="1" applyFont="1"/>
    <xf borderId="1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right" shrinkToFit="0" wrapText="1"/>
    </xf>
    <xf borderId="1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right"/>
    </xf>
    <xf borderId="1" fillId="0" fontId="8" numFmtId="0" xfId="0" applyBorder="1" applyFont="1"/>
    <xf borderId="1" fillId="0" fontId="75" numFmtId="0" xfId="0" applyAlignment="1" applyBorder="1" applyFont="1">
      <alignment horizontal="left" readingOrder="0" shrinkToFit="0" wrapText="1"/>
    </xf>
    <xf borderId="1" fillId="0" fontId="76" numFmtId="0" xfId="0" applyAlignment="1" applyBorder="1" applyFont="1">
      <alignment horizontal="left" vertical="bottom"/>
    </xf>
    <xf borderId="1" fillId="0" fontId="8" numFmtId="0" xfId="0" applyAlignment="1" applyBorder="1" applyFont="1">
      <alignment horizontal="left"/>
    </xf>
    <xf borderId="1" fillId="0" fontId="77" numFmtId="0" xfId="0" applyAlignment="1" applyBorder="1" applyFont="1">
      <alignment horizontal="left" shrinkToFit="0" wrapText="1"/>
    </xf>
    <xf borderId="1" fillId="0" fontId="78" numFmtId="0" xfId="0" applyAlignment="1" applyBorder="1" applyFont="1">
      <alignment horizontal="left" vertical="bottom"/>
    </xf>
    <xf borderId="1" fillId="0" fontId="79" numFmtId="0" xfId="0" applyAlignment="1" applyBorder="1" applyFont="1">
      <alignment horizontal="left"/>
    </xf>
    <xf borderId="1" fillId="0" fontId="8" numFmtId="0" xfId="0" applyAlignment="1" applyBorder="1" applyFont="1">
      <alignment horizontal="left" shrinkToFit="0" wrapText="1"/>
    </xf>
    <xf borderId="1" fillId="2" fontId="8" numFmtId="0" xfId="0" applyAlignment="1" applyBorder="1" applyFont="1">
      <alignment horizontal="center"/>
    </xf>
    <xf borderId="1" fillId="2" fontId="8" numFmtId="0" xfId="0" applyBorder="1" applyFont="1"/>
    <xf borderId="1" fillId="9" fontId="4" numFmtId="0" xfId="0" applyAlignment="1" applyBorder="1" applyFill="1" applyFont="1">
      <alignment horizontal="center"/>
    </xf>
    <xf borderId="1" fillId="0" fontId="80" numFmtId="0" xfId="0" applyAlignment="1" applyBorder="1" applyFont="1">
      <alignment horizontal="left" vertical="bottom"/>
    </xf>
    <xf borderId="1" fillId="0" fontId="8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right" vertical="bottom"/>
    </xf>
    <xf borderId="1" fillId="0" fontId="8" numFmtId="0" xfId="0" applyAlignment="1" applyBorder="1" applyFont="1">
      <alignment horizontal="right" readingOrder="0" shrinkToFit="0" wrapText="1"/>
    </xf>
    <xf borderId="1" fillId="2" fontId="9" numFmtId="0" xfId="0" applyAlignment="1" applyBorder="1" applyFont="1">
      <alignment horizontal="right" vertical="bottom"/>
    </xf>
    <xf borderId="1" fillId="2" fontId="8" numFmtId="0" xfId="0" applyAlignment="1" applyBorder="1" applyFont="1">
      <alignment vertical="bottom"/>
    </xf>
    <xf borderId="1" fillId="0" fontId="8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right"/>
    </xf>
    <xf borderId="1" fillId="0" fontId="81" numFmtId="0" xfId="0" applyAlignment="1" applyBorder="1" applyFont="1">
      <alignment horizontal="left" readingOrder="0"/>
    </xf>
    <xf borderId="1" fillId="10" fontId="4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left" vertical="bottom"/>
    </xf>
    <xf borderId="1" fillId="8" fontId="8" numFmtId="0" xfId="0" applyAlignment="1" applyBorder="1" applyFont="1">
      <alignment horizontal="center"/>
    </xf>
    <xf borderId="1" fillId="0" fontId="82" numFmtId="0" xfId="0" applyAlignment="1" applyBorder="1" applyFont="1">
      <alignment horizontal="right" vertical="bottom"/>
    </xf>
    <xf borderId="1" fillId="0" fontId="8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 shrinkToFit="0" wrapText="1"/>
    </xf>
    <xf borderId="1" fillId="2" fontId="7" numFmtId="0" xfId="0" applyAlignment="1" applyBorder="1" applyFont="1">
      <alignment horizontal="left" vertical="bottom"/>
    </xf>
    <xf borderId="1" fillId="0" fontId="83" numFmtId="0" xfId="0" applyAlignment="1" applyBorder="1" applyFont="1">
      <alignment horizontal="left" vertical="bottom"/>
    </xf>
    <xf borderId="1" fillId="2" fontId="8" numFmtId="0" xfId="0" applyAlignment="1" applyBorder="1" applyFont="1">
      <alignment horizontal="left" vertical="bottom"/>
    </xf>
    <xf borderId="1" fillId="2" fontId="84" numFmtId="0" xfId="0" applyAlignment="1" applyBorder="1" applyFont="1">
      <alignment readingOrder="0"/>
    </xf>
    <xf borderId="0" fillId="0" fontId="1" numFmtId="0" xfId="0" applyAlignment="1" applyFont="1">
      <alignment horizontal="left" readingOrder="0"/>
    </xf>
    <xf borderId="1" fillId="2" fontId="8" numFmtId="0" xfId="0" applyAlignment="1" applyBorder="1" applyFont="1">
      <alignment horizontal="center" shrinkToFit="0" wrapText="1"/>
    </xf>
    <xf borderId="1" fillId="2" fontId="8" numFmtId="0" xfId="0" applyAlignment="1" applyBorder="1" applyFont="1">
      <alignment horizontal="center"/>
    </xf>
    <xf borderId="1" fillId="2" fontId="8" numFmtId="0" xfId="0" applyBorder="1" applyFont="1"/>
    <xf borderId="1" fillId="2" fontId="85" numFmtId="0" xfId="0" applyAlignment="1" applyBorder="1" applyFont="1">
      <alignment horizontal="center"/>
    </xf>
    <xf borderId="1" fillId="2" fontId="86" numFmtId="0" xfId="0" applyAlignment="1" applyBorder="1" applyFont="1">
      <alignment horizontal="center" shrinkToFit="0" wrapText="1"/>
    </xf>
    <xf borderId="1" fillId="0" fontId="87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88" numFmtId="0" xfId="0" applyAlignment="1" applyBorder="1" applyFont="1">
      <alignment vertical="bottom"/>
    </xf>
    <xf borderId="0" fillId="0" fontId="8" numFmtId="0" xfId="0" applyAlignment="1" applyFont="1">
      <alignment horizontal="center" vertical="bottom"/>
    </xf>
    <xf borderId="0" fillId="0" fontId="89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1" fillId="0" fontId="90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center"/>
    </xf>
    <xf borderId="0" fillId="0" fontId="8" numFmtId="0" xfId="0" applyFont="1"/>
    <xf borderId="0" fillId="0" fontId="91" numFmtId="0" xfId="0" applyAlignment="1" applyFont="1">
      <alignment horizontal="center" shrinkToFit="0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right" readingOrder="0" vertical="center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92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vertical="center"/>
    </xf>
    <xf borderId="1" fillId="0" fontId="93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 vertical="center"/>
    </xf>
    <xf borderId="1" fillId="0" fontId="94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right" vertical="center"/>
    </xf>
    <xf borderId="1" fillId="0" fontId="95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right" readingOrder="0" shrinkToFit="0" vertical="center" wrapText="0"/>
    </xf>
    <xf borderId="1" fillId="0" fontId="96" numFmtId="0" xfId="0" applyAlignment="1" applyBorder="1" applyFont="1">
      <alignment horizontal="left" readingOrder="0" vertical="center"/>
    </xf>
    <xf borderId="1" fillId="2" fontId="46" numFmtId="0" xfId="0" applyAlignment="1" applyBorder="1" applyFont="1">
      <alignment horizontal="left" shrinkToFit="0" vertical="center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97" numFmtId="0" xfId="0" applyAlignment="1" applyBorder="1" applyFont="1">
      <alignment horizontal="left" readingOrder="0" vertical="center"/>
    </xf>
    <xf borderId="1" fillId="2" fontId="98" numFmtId="0" xfId="0" applyAlignment="1" applyBorder="1" applyFont="1">
      <alignment horizontal="center" readingOrder="0" vertical="center"/>
    </xf>
    <xf borderId="1" fillId="2" fontId="99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2" fontId="8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0"/>
    </xf>
    <xf borderId="1" fillId="2" fontId="100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 vertical="center"/>
    </xf>
    <xf borderId="1" fillId="2" fontId="101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right" readingOrder="0" shrinkToFit="0" vertical="center" wrapText="0"/>
    </xf>
    <xf borderId="1" fillId="2" fontId="102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 vertical="center"/>
    </xf>
    <xf borderId="1" fillId="2" fontId="103" numFmtId="0" xfId="0" applyAlignment="1" applyBorder="1" applyFont="1">
      <alignment horizontal="right" readingOrder="0" vertical="center"/>
    </xf>
    <xf borderId="1" fillId="2" fontId="51" numFmtId="0" xfId="0" applyAlignment="1" applyBorder="1" applyFont="1">
      <alignment horizontal="right" readingOrder="0" vertical="center"/>
    </xf>
    <xf borderId="0" fillId="0" fontId="1" numFmtId="0" xfId="0" applyAlignment="1" applyFont="1">
      <alignment horizontal="right" readingOrder="0" vertical="center"/>
    </xf>
    <xf borderId="0" fillId="0" fontId="104" numFmtId="0" xfId="0" applyAlignment="1" applyFont="1">
      <alignment horizontal="left" readingOrder="0" vertical="center"/>
    </xf>
    <xf borderId="0" fillId="0" fontId="51" numFmtId="0" xfId="0" applyAlignment="1" applyFont="1">
      <alignment readingOrder="0"/>
    </xf>
    <xf borderId="0" fillId="2" fontId="46" numFmtId="0" xfId="0" applyAlignment="1" applyFont="1">
      <alignment shrinkToFit="0" wrapText="0"/>
    </xf>
    <xf borderId="0" fillId="0" fontId="1" numFmtId="0" xfId="0" applyAlignment="1" applyFont="1">
      <alignment horizontal="center" readingOrder="0" vertical="center"/>
    </xf>
    <xf borderId="0" fillId="0" fontId="105" numFmtId="0" xfId="0" applyAlignment="1" applyFont="1">
      <alignment horizontal="left" readingOrder="0"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readingOrder="0" vertical="center"/>
    </xf>
    <xf borderId="0" fillId="0" fontId="106" numFmtId="0" xfId="0" applyAlignment="1" applyFont="1">
      <alignment horizontal="right" readingOrder="0" vertic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107" numFmtId="0" xfId="0" applyAlignment="1" applyBorder="1" applyFont="1">
      <alignment horizontal="left" readingOrder="0"/>
    </xf>
    <xf borderId="1" fillId="0" fontId="108" numFmtId="0" xfId="0" applyAlignment="1" applyBorder="1" applyFont="1">
      <alignment readingOrder="0"/>
    </xf>
    <xf borderId="1" fillId="6" fontId="1" numFmtId="0" xfId="0" applyAlignment="1" applyBorder="1" applyFont="1">
      <alignment horizontal="right" readingOrder="0"/>
    </xf>
    <xf borderId="0" fillId="0" fontId="49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09" numFmtId="0" xfId="0" applyAlignment="1" applyFont="1">
      <alignment readingOrder="0"/>
    </xf>
    <xf borderId="0" fillId="2" fontId="25" numFmtId="0" xfId="0" applyAlignment="1" applyFont="1">
      <alignment shrinkToFit="0" wrapText="0"/>
    </xf>
    <xf borderId="0" fillId="2" fontId="110" numFmtId="0" xfId="0" applyAlignment="1" applyFont="1">
      <alignment readingOrder="0"/>
    </xf>
    <xf borderId="0" fillId="2" fontId="25" numFmtId="0" xfId="0" applyFont="1"/>
    <xf borderId="0" fillId="2" fontId="111" numFmtId="0" xfId="0" applyAlignment="1" applyFont="1">
      <alignment readingOrder="0"/>
    </xf>
    <xf borderId="1" fillId="2" fontId="82" numFmtId="0" xfId="0" applyAlignment="1" applyBorder="1" applyFont="1">
      <alignment readingOrder="0"/>
    </xf>
    <xf borderId="1" fillId="2" fontId="99" numFmtId="0" xfId="0" applyAlignment="1" applyBorder="1" applyFont="1">
      <alignment readingOrder="0"/>
    </xf>
    <xf borderId="0" fillId="2" fontId="98" numFmtId="0" xfId="0" applyAlignment="1" applyFont="1">
      <alignment readingOrder="0"/>
    </xf>
    <xf borderId="0" fillId="0" fontId="112" numFmtId="0" xfId="0" applyAlignment="1" applyFont="1">
      <alignment horizontal="right" readingOrder="0" shrinkToFit="0" vertical="bottom" wrapText="0"/>
    </xf>
    <xf borderId="0" fillId="2" fontId="30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11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3" fontId="82" numFmtId="0" xfId="0" applyAlignment="1" applyFont="1">
      <alignment readingOrder="0"/>
    </xf>
    <xf borderId="0" fillId="2" fontId="4" numFmtId="0" xfId="0" applyAlignment="1" applyFont="1">
      <alignment horizontal="right" vertical="bottom"/>
    </xf>
    <xf borderId="0" fillId="0" fontId="114" numFmtId="0" xfId="0" applyAlignment="1" applyFont="1">
      <alignment horizontal="left" vertical="bottom"/>
    </xf>
    <xf borderId="0" fillId="0" fontId="115" numFmtId="0" xfId="0" applyAlignment="1" applyFont="1">
      <alignment horizontal="right" vertical="bottom"/>
    </xf>
    <xf borderId="0" fillId="0" fontId="116" numFmtId="0" xfId="0" applyAlignment="1" applyFont="1">
      <alignment readingOrder="0" vertical="bottom"/>
    </xf>
    <xf borderId="0" fillId="11" fontId="82" numFmtId="0" xfId="0" applyAlignment="1" applyFill="1" applyFont="1">
      <alignment horizontal="right" vertical="bottom"/>
    </xf>
    <xf borderId="0" fillId="0" fontId="117" numFmtId="0" xfId="0" applyAlignment="1" applyFont="1">
      <alignment vertical="bottom"/>
    </xf>
    <xf borderId="0" fillId="0" fontId="118" numFmtId="0" xfId="0" applyAlignment="1" applyFont="1">
      <alignment readingOrder="0" vertical="bottom"/>
    </xf>
    <xf borderId="0" fillId="2" fontId="119" numFmtId="0" xfId="0" applyAlignment="1" applyFont="1">
      <alignment readingOrder="0"/>
    </xf>
    <xf borderId="0" fillId="2" fontId="120" numFmtId="0" xfId="0" applyAlignment="1" applyFont="1">
      <alignment readingOrder="0"/>
    </xf>
    <xf borderId="0" fillId="12" fontId="121" numFmtId="0" xfId="0" applyAlignment="1" applyFill="1" applyFont="1">
      <alignment readingOrder="0"/>
    </xf>
    <xf borderId="0" fillId="0" fontId="122" numFmtId="0" xfId="0" applyAlignment="1" applyFont="1">
      <alignment readingOrder="0"/>
    </xf>
    <xf borderId="0" fillId="2" fontId="51" numFmtId="0" xfId="0" applyAlignment="1" applyFont="1">
      <alignment readingOrder="0"/>
    </xf>
    <xf borderId="0" fillId="12" fontId="123" numFmtId="0" xfId="0" applyAlignment="1" applyFont="1">
      <alignment readingOrder="0"/>
    </xf>
    <xf borderId="0" fillId="2" fontId="51" numFmtId="0" xfId="0" applyAlignment="1" applyFont="1">
      <alignment readingOrder="0"/>
    </xf>
    <xf borderId="0" fillId="2" fontId="46" numFmtId="0" xfId="0" applyFont="1"/>
    <xf borderId="0" fillId="0" fontId="4" numFmtId="0" xfId="0" applyAlignment="1" applyFont="1">
      <alignment horizontal="left" readingOrder="0" shrinkToFit="0" vertical="bottom" wrapText="0"/>
    </xf>
    <xf borderId="0" fillId="2" fontId="124" numFmtId="0" xfId="0" applyAlignment="1" applyFont="1">
      <alignment readingOrder="0"/>
    </xf>
    <xf borderId="0" fillId="0" fontId="125" numFmtId="0" xfId="0" applyAlignment="1" applyFont="1">
      <alignment horizontal="center" readingOrder="0" shrinkToFit="0" wrapText="0"/>
    </xf>
    <xf borderId="0" fillId="0" fontId="57" numFmtId="0" xfId="0" applyAlignment="1" applyFont="1">
      <alignment readingOrder="0"/>
    </xf>
    <xf borderId="0" fillId="2" fontId="126" numFmtId="0" xfId="0" applyAlignment="1" applyFont="1">
      <alignment readingOrder="0"/>
    </xf>
    <xf borderId="0" fillId="2" fontId="51" numFmtId="0" xfId="0" applyFont="1"/>
    <xf borderId="0" fillId="2" fontId="127" numFmtId="0" xfId="0" applyAlignment="1" applyFont="1">
      <alignment readingOrder="0"/>
    </xf>
    <xf borderId="0" fillId="0" fontId="47" numFmtId="0" xfId="0" applyAlignment="1" applyFont="1">
      <alignment readingOrder="0"/>
    </xf>
    <xf borderId="0" fillId="2" fontId="128" numFmtId="0" xfId="0" applyAlignment="1" applyFont="1">
      <alignment readingOrder="0" shrinkToFit="0" wrapText="0"/>
    </xf>
    <xf borderId="0" fillId="6" fontId="1" numFmtId="0" xfId="0" applyAlignment="1" applyFont="1">
      <alignment readingOrder="0"/>
    </xf>
    <xf borderId="0" fillId="2" fontId="7" numFmtId="0" xfId="0" applyAlignment="1" applyFont="1">
      <alignment horizontal="right" vertical="bottom"/>
    </xf>
    <xf borderId="0" fillId="2" fontId="9" numFmtId="0" xfId="0" applyAlignment="1" applyFont="1">
      <alignment readingOrder="0"/>
    </xf>
    <xf borderId="0" fillId="2" fontId="7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7" numFmtId="0" xfId="0" applyAlignment="1" applyFont="1">
      <alignment readingOrder="0"/>
    </xf>
    <xf borderId="0" fillId="2" fontId="7" numFmtId="0" xfId="0" applyAlignment="1" applyFont="1">
      <alignment readingOrder="0" shrinkToFit="0" wrapText="1"/>
    </xf>
    <xf borderId="0" fillId="0" fontId="8" numFmtId="0" xfId="0" applyAlignment="1" applyFont="1">
      <alignment horizontal="right" readingOrder="0" vertical="bottom"/>
    </xf>
    <xf borderId="0" fillId="2" fontId="4" numFmtId="0" xfId="0" applyAlignment="1" applyFont="1">
      <alignment horizontal="right" readingOrder="0" shrinkToFit="0" vertical="bottom" wrapText="0"/>
    </xf>
    <xf borderId="0" fillId="2" fontId="9" numFmtId="0" xfId="0" applyAlignment="1" applyFont="1">
      <alignment horizontal="right" readingOrder="0" vertical="bottom"/>
    </xf>
    <xf borderId="0" fillId="2" fontId="9" numFmtId="0" xfId="0" applyAlignment="1" applyFont="1">
      <alignment horizontal="right" vertical="bottom"/>
    </xf>
    <xf borderId="0" fillId="2" fontId="9" numFmtId="0" xfId="0" applyAlignment="1" applyFont="1">
      <alignment readingOrder="0" shrinkToFit="0" wrapText="1"/>
    </xf>
    <xf borderId="0" fillId="2" fontId="129" numFmtId="0" xfId="0" applyAlignment="1" applyFont="1">
      <alignment horizontal="right" readingOrder="0"/>
    </xf>
    <xf borderId="0" fillId="0" fontId="4" numFmtId="0" xfId="0" applyAlignment="1" applyFont="1">
      <alignment horizontal="right" readingOrder="0" vertical="bottom"/>
    </xf>
    <xf borderId="0" fillId="0" fontId="130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0" fillId="2" fontId="13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32" numFmtId="0" xfId="0" applyAlignment="1" applyFont="1">
      <alignment readingOrder="0"/>
    </xf>
    <xf borderId="0" fillId="0" fontId="133" numFmtId="0" xfId="0" applyAlignment="1" applyFont="1">
      <alignment readingOrder="0"/>
    </xf>
    <xf borderId="0" fillId="0" fontId="134" numFmtId="0" xfId="0" applyAlignment="1" applyFont="1">
      <alignment horizontal="left" readingOrder="0" shrinkToFit="0" vertical="bottom" wrapText="0"/>
    </xf>
    <xf borderId="0" fillId="5" fontId="4" numFmtId="0" xfId="0" applyAlignment="1" applyFont="1">
      <alignment horizontal="right" readingOrder="0" vertical="bottom"/>
    </xf>
    <xf borderId="1" fillId="5" fontId="4" numFmtId="0" xfId="0" applyAlignment="1" applyBorder="1" applyFont="1">
      <alignment horizontal="right" vertical="bottom"/>
    </xf>
    <xf borderId="1" fillId="5" fontId="8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0" fillId="0" fontId="13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36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137" numFmtId="0" xfId="0" applyAlignment="1" applyFont="1">
      <alignment readingOrder="0" vertical="bottom"/>
    </xf>
    <xf borderId="0" fillId="0" fontId="138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139" numFmtId="0" xfId="0" applyAlignment="1" applyFont="1">
      <alignment readingOrder="0" vertical="bottom"/>
    </xf>
    <xf borderId="0" fillId="0" fontId="4" numFmtId="165" xfId="0" applyAlignment="1" applyFont="1" applyNumberFormat="1">
      <alignment readingOrder="0" vertical="bottom"/>
    </xf>
    <xf borderId="1" fillId="2" fontId="67" numFmtId="0" xfId="0" applyAlignment="1" applyBorder="1" applyFont="1">
      <alignment horizontal="center" readingOrder="0" shrinkToFit="0" wrapText="0"/>
    </xf>
    <xf borderId="1" fillId="2" fontId="67" numFmtId="0" xfId="0" applyAlignment="1" applyBorder="1" applyFont="1">
      <alignment horizontal="center" readingOrder="0" shrinkToFit="0" wrapText="0"/>
    </xf>
    <xf borderId="0" fillId="0" fontId="140" numFmtId="0" xfId="0" applyAlignment="1" applyFont="1">
      <alignment readingOrder="0"/>
    </xf>
    <xf borderId="0" fillId="0" fontId="4" numFmtId="0" xfId="0" applyAlignment="1" applyFont="1">
      <alignment horizontal="center" readingOrder="0" shrinkToFit="0" wrapText="0"/>
    </xf>
    <xf borderId="0" fillId="2" fontId="67" numFmtId="0" xfId="0" applyAlignment="1" applyFont="1">
      <alignment shrinkToFit="0" wrapText="0"/>
    </xf>
    <xf borderId="0" fillId="0" fontId="4" numFmtId="0" xfId="0" applyAlignment="1" applyFont="1">
      <alignment horizontal="center" readingOrder="0" shrinkToFit="0" vertical="bottom" wrapText="0"/>
    </xf>
    <xf borderId="0" fillId="2" fontId="141" numFmtId="0" xfId="0" applyAlignment="1" applyFont="1">
      <alignment readingOrder="0" shrinkToFit="0" wrapText="0"/>
    </xf>
    <xf borderId="0" fillId="2" fontId="142" numFmtId="0" xfId="0" applyAlignment="1" applyFont="1">
      <alignment shrinkToFit="0" wrapText="0"/>
    </xf>
    <xf borderId="1" fillId="2" fontId="67" numFmtId="0" xfId="0" applyBorder="1" applyFont="1"/>
    <xf borderId="1" fillId="2" fontId="1" numFmtId="0" xfId="0" applyBorder="1" applyFont="1"/>
    <xf borderId="0" fillId="2" fontId="1" numFmtId="0" xfId="0" applyFont="1"/>
    <xf borderId="0" fillId="0" fontId="143" numFmtId="0" xfId="0" applyAlignment="1" applyFont="1">
      <alignment horizontal="center" readingOrder="0" shrinkToFit="0" wrapText="0"/>
    </xf>
    <xf borderId="0" fillId="2" fontId="67" numFmtId="0" xfId="0" applyAlignment="1" applyFont="1">
      <alignment readingOrder="0"/>
    </xf>
    <xf borderId="0" fillId="2" fontId="67" numFmtId="0" xfId="0" applyAlignment="1" applyFont="1">
      <alignment readingOrder="0"/>
    </xf>
    <xf borderId="0" fillId="2" fontId="144" numFmtId="0" xfId="0" applyAlignment="1" applyFont="1">
      <alignment readingOrder="0"/>
    </xf>
    <xf borderId="0" fillId="2" fontId="145" numFmtId="0" xfId="0" applyAlignment="1" applyFont="1">
      <alignment readingOrder="0"/>
    </xf>
    <xf borderId="0" fillId="2" fontId="67" numFmtId="0" xfId="0" applyFont="1"/>
    <xf borderId="0" fillId="0" fontId="146" numFmtId="0" xfId="0" applyAlignment="1" applyFont="1">
      <alignment readingOrder="0"/>
    </xf>
    <xf borderId="0" fillId="2" fontId="147" numFmtId="0" xfId="0" applyAlignment="1" applyFont="1">
      <alignment readingOrder="0" shrinkToFit="0" wrapText="1"/>
    </xf>
    <xf borderId="0" fillId="2" fontId="148" numFmtId="0" xfId="0" applyAlignment="1" applyFont="1">
      <alignment readingOrder="0" shrinkToFit="0" wrapText="1"/>
    </xf>
    <xf borderId="0" fillId="0" fontId="149" numFmtId="0" xfId="0" applyAlignment="1" applyFont="1">
      <alignment readingOrder="0"/>
    </xf>
    <xf borderId="0" fillId="0" fontId="55" numFmtId="0" xfId="0" applyAlignment="1" applyFont="1">
      <alignment horizontal="center" readingOrder="0" shrinkToFit="0" wrapText="0"/>
    </xf>
    <xf borderId="0" fillId="0" fontId="150" numFmtId="0" xfId="0" applyAlignment="1" applyFont="1">
      <alignment readingOrder="0"/>
    </xf>
    <xf borderId="0" fillId="0" fontId="151" numFmtId="0" xfId="0" applyAlignment="1" applyFont="1">
      <alignment horizontal="left" readingOrder="0" shrinkToFit="0" vertical="bottom" wrapText="0"/>
    </xf>
    <xf borderId="0" fillId="2" fontId="103" numFmtId="0" xfId="0" applyAlignment="1" applyFont="1">
      <alignment readingOrder="0"/>
    </xf>
    <xf borderId="0" fillId="2" fontId="152" numFmtId="0" xfId="0" applyAlignment="1" applyFont="1">
      <alignment vertical="bottom"/>
    </xf>
    <xf borderId="0" fillId="2" fontId="153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2" fontId="9" numFmtId="0" xfId="0" applyAlignment="1" applyFont="1">
      <alignment horizontal="right" vertical="bottom"/>
    </xf>
    <xf borderId="0" fillId="0" fontId="154" numFmtId="0" xfId="0" applyAlignment="1" applyFont="1">
      <alignment horizontal="right" vertical="bottom"/>
    </xf>
    <xf borderId="0" fillId="13" fontId="4" numFmtId="0" xfId="0" applyAlignment="1" applyFill="1" applyFont="1">
      <alignment horizontal="right" readingOrder="0" shrinkToFit="0" vertical="bottom" wrapText="0"/>
    </xf>
    <xf borderId="0" fillId="13" fontId="1" numFmtId="0" xfId="0" applyAlignment="1" applyFont="1">
      <alignment readingOrder="0"/>
    </xf>
    <xf borderId="0" fillId="13" fontId="4" numFmtId="0" xfId="0" applyAlignment="1" applyFont="1">
      <alignment horizontal="right" readingOrder="0" shrinkToFit="0" vertical="bottom" wrapText="0"/>
    </xf>
    <xf borderId="0" fillId="13" fontId="30" numFmtId="0" xfId="0" applyAlignment="1" applyFont="1">
      <alignment readingOrder="0"/>
    </xf>
    <xf borderId="0" fillId="13" fontId="155" numFmtId="0" xfId="0" applyAlignment="1" applyFont="1">
      <alignment readingOrder="0"/>
    </xf>
    <xf borderId="0" fillId="13" fontId="156" numFmtId="0" xfId="0" applyAlignment="1" applyFont="1">
      <alignment readingOrder="0"/>
    </xf>
    <xf borderId="0" fillId="13" fontId="1" numFmtId="0" xfId="0" applyFont="1"/>
    <xf borderId="0" fillId="2" fontId="13" numFmtId="0" xfId="0" applyAlignment="1" applyFont="1">
      <alignment readingOrder="0"/>
    </xf>
    <xf borderId="0" fillId="2" fontId="157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67" numFmtId="0" xfId="0" applyAlignment="1" applyFont="1">
      <alignment readingOrder="0"/>
    </xf>
    <xf borderId="0" fillId="2" fontId="82" numFmtId="0" xfId="0" applyAlignment="1" applyFont="1">
      <alignment readingOrder="0"/>
    </xf>
    <xf borderId="0" fillId="2" fontId="99" numFmtId="0" xfId="0" applyAlignment="1" applyFont="1">
      <alignment readingOrder="0"/>
    </xf>
    <xf borderId="0" fillId="2" fontId="158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0" fontId="159" numFmtId="0" xfId="0" applyAlignment="1" applyFont="1">
      <alignment horizontal="center" readingOrder="0" shrinkToFit="0" wrapText="0"/>
    </xf>
    <xf borderId="0" fillId="0" fontId="160" numFmtId="0" xfId="0" applyAlignment="1" applyFont="1">
      <alignment horizontal="center" shrinkToFit="0" wrapText="0"/>
    </xf>
    <xf borderId="0" fillId="0" fontId="1" numFmtId="0" xfId="0" applyAlignment="1" applyFont="1">
      <alignment horizontal="center" readingOrder="0"/>
    </xf>
    <xf borderId="0" fillId="0" fontId="51" numFmtId="0" xfId="0" applyAlignment="1" applyFont="1">
      <alignment shrinkToFit="0" wrapText="0"/>
    </xf>
    <xf borderId="0" fillId="3" fontId="161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instagram.com/kooyetalyazd/" TargetMode="External"/><Relationship Id="rId9618" Type="http://schemas.openxmlformats.org/officeDocument/2006/relationships/hyperlink" Target="https://www.instagram.com/zangi_yazd/" TargetMode="External"/><Relationship Id="rId9619" Type="http://schemas.openxmlformats.org/officeDocument/2006/relationships/hyperlink" Target="https://www.instagram.com/kouyeoliaonline/" TargetMode="External"/><Relationship Id="rId9613" Type="http://schemas.openxmlformats.org/officeDocument/2006/relationships/hyperlink" Target="https://www.instagram.com/sheikhdad.yazd/" TargetMode="External"/><Relationship Id="rId9614" Type="http://schemas.openxmlformats.org/officeDocument/2006/relationships/hyperlink" Target="https://www.instagram.com/baghegandom_official/" TargetMode="External"/><Relationship Id="rId9615" Type="http://schemas.openxmlformats.org/officeDocument/2006/relationships/hyperlink" Target="https://www.instagram.com/khorramshah_yazd/" TargetMode="External"/><Relationship Id="rId9616" Type="http://schemas.openxmlformats.org/officeDocument/2006/relationships/hyperlink" Target="https://www.instagram.com/koyehojat/" TargetMode="External"/><Relationship Id="rId9610" Type="http://schemas.openxmlformats.org/officeDocument/2006/relationships/hyperlink" Target="https://www.instagram.com/ansarozahrayazd" TargetMode="External"/><Relationship Id="rId9611" Type="http://schemas.openxmlformats.org/officeDocument/2006/relationships/hyperlink" Target="https://t.me/ansarozahrayazd" TargetMode="External"/><Relationship Id="rId9612" Type="http://schemas.openxmlformats.org/officeDocument/2006/relationships/hyperlink" Target="https://www.instagram.com/yaghobiyazd/" TargetMode="External"/><Relationship Id="rId9606" Type="http://schemas.openxmlformats.org/officeDocument/2006/relationships/hyperlink" Target="https://eitaa.com/hm3611" TargetMode="External"/><Relationship Id="rId9607" Type="http://schemas.openxmlformats.org/officeDocument/2006/relationships/hyperlink" Target="https://t.me/s/deabel_ir" TargetMode="External"/><Relationship Id="rId9608" Type="http://schemas.openxmlformats.org/officeDocument/2006/relationships/hyperlink" Target="https://t.me/s/deabel_ir?after=15341" TargetMode="External"/><Relationship Id="rId9609" Type="http://schemas.openxmlformats.org/officeDocument/2006/relationships/hyperlink" Target="https://eitaa.com/debelyazd" TargetMode="External"/><Relationship Id="rId9602" Type="http://schemas.openxmlformats.org/officeDocument/2006/relationships/hyperlink" Target="https://eitaa.com/ahd313ir" TargetMode="External"/><Relationship Id="rId9603" Type="http://schemas.openxmlformats.org/officeDocument/2006/relationships/hyperlink" Target="https://www.instagram.com/heyat_zeinabieh_yazd" TargetMode="External"/><Relationship Id="rId9604" Type="http://schemas.openxmlformats.org/officeDocument/2006/relationships/hyperlink" Target="https://t.me/heyat_zeinabieh" TargetMode="External"/><Relationship Id="rId9605" Type="http://schemas.openxmlformats.org/officeDocument/2006/relationships/hyperlink" Target="https://www.instagram.com/hayat_emamhasan_mojtaba" TargetMode="External"/><Relationship Id="rId9600" Type="http://schemas.openxmlformats.org/officeDocument/2006/relationships/hyperlink" Target="https://www.instagram.com/peyman_e_yazd" TargetMode="External"/><Relationship Id="rId9601" Type="http://schemas.openxmlformats.org/officeDocument/2006/relationships/hyperlink" Target="https://instagram.com/ahd313ir" TargetMode="External"/><Relationship Id="rId8309" Type="http://schemas.openxmlformats.org/officeDocument/2006/relationships/hyperlink" Target="https://eitaa.com/Ali_asghar_razie" TargetMode="External"/><Relationship Id="rId8308" Type="http://schemas.openxmlformats.org/officeDocument/2006/relationships/hyperlink" Target="https://www.instagram.com/motevaslinhazratabolfazl" TargetMode="External"/><Relationship Id="rId9639" Type="http://schemas.openxmlformats.org/officeDocument/2006/relationships/hyperlink" Target="https://www.instagram.com/heyat_mardabad_yazd/" TargetMode="External"/><Relationship Id="rId9630" Type="http://schemas.openxmlformats.org/officeDocument/2006/relationships/hyperlink" Target="https://www.instagram.com/kheimah_sarallah/" TargetMode="External"/><Relationship Id="rId8303" Type="http://schemas.openxmlformats.org/officeDocument/2006/relationships/hyperlink" Target="https://www.instagram.com/mahdiye_badrood/" TargetMode="External"/><Relationship Id="rId9635" Type="http://schemas.openxmlformats.org/officeDocument/2006/relationships/hyperlink" Target="https://t.me/bagh_gandom_yazd" TargetMode="External"/><Relationship Id="rId8302" Type="http://schemas.openxmlformats.org/officeDocument/2006/relationships/hyperlink" Target="https://eitaa.com/almdar_karbala_133" TargetMode="External"/><Relationship Id="rId9636" Type="http://schemas.openxmlformats.org/officeDocument/2006/relationships/hyperlink" Target="https://www.instagram.com/manshadheyat/" TargetMode="External"/><Relationship Id="rId8301" Type="http://schemas.openxmlformats.org/officeDocument/2006/relationships/hyperlink" Target="https://eitaa.com/rezvanir" TargetMode="External"/><Relationship Id="rId9637" Type="http://schemas.openxmlformats.org/officeDocument/2006/relationships/hyperlink" Target="https://t.me/manshadheyat" TargetMode="External"/><Relationship Id="rId8300" Type="http://schemas.openxmlformats.org/officeDocument/2006/relationships/hyperlink" Target="https://t.me/rezvanir110" TargetMode="External"/><Relationship Id="rId9638" Type="http://schemas.openxmlformats.org/officeDocument/2006/relationships/hyperlink" Target="https://www.instagram.com/mokeb_arbaeen_1444/" TargetMode="External"/><Relationship Id="rId8307" Type="http://schemas.openxmlformats.org/officeDocument/2006/relationships/hyperlink" Target="https://www.instagram.com/mokebzahraii" TargetMode="External"/><Relationship Id="rId9631" Type="http://schemas.openxmlformats.org/officeDocument/2006/relationships/hyperlink" Target="https://www.instagram.com/bani.hashem_yazd/" TargetMode="External"/><Relationship Id="rId8306" Type="http://schemas.openxmlformats.org/officeDocument/2006/relationships/hyperlink" Target="https://www.instagram.com/masjed_embgh" TargetMode="External"/><Relationship Id="rId9632" Type="http://schemas.openxmlformats.org/officeDocument/2006/relationships/hyperlink" Target="https://www.instagram.com/forat.yazd/" TargetMode="External"/><Relationship Id="rId8305" Type="http://schemas.openxmlformats.org/officeDocument/2006/relationships/hyperlink" Target="https://eitaa.com/BanovaneAfifeh" TargetMode="External"/><Relationship Id="rId9633" Type="http://schemas.openxmlformats.org/officeDocument/2006/relationships/hyperlink" Target="https://t.me/foratrasaneh_yazd" TargetMode="External"/><Relationship Id="rId8304" Type="http://schemas.openxmlformats.org/officeDocument/2006/relationships/hyperlink" Target="https://www.instagram.com/heyat_saheb_zaman_313" TargetMode="External"/><Relationship Id="rId9634" Type="http://schemas.openxmlformats.org/officeDocument/2006/relationships/hyperlink" Target="https://www.instagram.com/bagh_gandom/" TargetMode="External"/><Relationship Id="rId9628" Type="http://schemas.openxmlformats.org/officeDocument/2006/relationships/hyperlink" Target="https://www.instagram.com/heiat.golchinan.yazd/" TargetMode="External"/><Relationship Id="rId9629" Type="http://schemas.openxmlformats.org/officeDocument/2006/relationships/hyperlink" Target="https://www.instagram.com/khorramshah.yazd/" TargetMode="External"/><Relationship Id="rId9624" Type="http://schemas.openxmlformats.org/officeDocument/2006/relationships/hyperlink" Target="https://t.me/heyatahrestanyazd" TargetMode="External"/><Relationship Id="rId9625" Type="http://schemas.openxmlformats.org/officeDocument/2006/relationships/hyperlink" Target="https://eitaa.com/ahrestan_yazd" TargetMode="External"/><Relationship Id="rId9626" Type="http://schemas.openxmlformats.org/officeDocument/2006/relationships/hyperlink" Target="https://www.instagram.com/karbalaeiha_yazd/" TargetMode="External"/><Relationship Id="rId9627" Type="http://schemas.openxmlformats.org/officeDocument/2006/relationships/hyperlink" Target="https://www.instagram.com/naeeimabadyazd/" TargetMode="External"/><Relationship Id="rId9620" Type="http://schemas.openxmlformats.org/officeDocument/2006/relationships/hyperlink" Target="https://www.instagram.com/eayshabad.yazd/" TargetMode="External"/><Relationship Id="rId9621" Type="http://schemas.openxmlformats.org/officeDocument/2006/relationships/hyperlink" Target="https://t.me/masjddd" TargetMode="External"/><Relationship Id="rId9622" Type="http://schemas.openxmlformats.org/officeDocument/2006/relationships/hyperlink" Target="https://www.instagram.com/koyesaadiyazd/" TargetMode="External"/><Relationship Id="rId9623" Type="http://schemas.openxmlformats.org/officeDocument/2006/relationships/hyperlink" Target="https://www.instagram.com/ahrestan.yazd/" TargetMode="External"/><Relationship Id="rId2180" Type="http://schemas.openxmlformats.org/officeDocument/2006/relationships/hyperlink" Target="https://t.me/rozatieh" TargetMode="External"/><Relationship Id="rId2181" Type="http://schemas.openxmlformats.org/officeDocument/2006/relationships/hyperlink" Target="https://eitaa.com/rozatieh" TargetMode="External"/><Relationship Id="rId2182" Type="http://schemas.openxmlformats.org/officeDocument/2006/relationships/hyperlink" Target="https://www.instagram.com/sarollah_com/" TargetMode="External"/><Relationship Id="rId2183" Type="http://schemas.openxmlformats.org/officeDocument/2006/relationships/hyperlink" Target="https://t.me/Sarollah_com" TargetMode="External"/><Relationship Id="rId2184" Type="http://schemas.openxmlformats.org/officeDocument/2006/relationships/hyperlink" Target="https://eitaa.com/Sarollah_com" TargetMode="External"/><Relationship Id="rId2185" Type="http://schemas.openxmlformats.org/officeDocument/2006/relationships/hyperlink" Target="https://www.instagram.com/yazahra135_info/" TargetMode="External"/><Relationship Id="rId2186" Type="http://schemas.openxmlformats.org/officeDocument/2006/relationships/hyperlink" Target="https://t.me/yazahra135_info" TargetMode="External"/><Relationship Id="rId2187" Type="http://schemas.openxmlformats.org/officeDocument/2006/relationships/hyperlink" Target="https://www.instagram.com/emam_hazer_info/" TargetMode="External"/><Relationship Id="rId2188" Type="http://schemas.openxmlformats.org/officeDocument/2006/relationships/hyperlink" Target="https://www.instagram.com/heiyat.aliasghar/" TargetMode="External"/><Relationship Id="rId2189" Type="http://schemas.openxmlformats.org/officeDocument/2006/relationships/hyperlink" Target="https://www.instagram.com/heyat_db/" TargetMode="External"/><Relationship Id="rId2170" Type="http://schemas.openxmlformats.org/officeDocument/2006/relationships/hyperlink" Target="https://www.instagram.com/heyatansaralmahdi.ir/" TargetMode="External"/><Relationship Id="rId2171" Type="http://schemas.openxmlformats.org/officeDocument/2006/relationships/hyperlink" Target="https://www.instagram.com/heyat_ansarallah/" TargetMode="External"/><Relationship Id="rId2172" Type="http://schemas.openxmlformats.org/officeDocument/2006/relationships/hyperlink" Target="https://www.instagram.com/revagh8/" TargetMode="External"/><Relationship Id="rId2173" Type="http://schemas.openxmlformats.org/officeDocument/2006/relationships/hyperlink" Target="https://www.instagram.com/janatoreza_ir" TargetMode="External"/><Relationship Id="rId2174" Type="http://schemas.openxmlformats.org/officeDocument/2006/relationships/hyperlink" Target="https://t.me/janatoreza_ir" TargetMode="External"/><Relationship Id="rId2175" Type="http://schemas.openxmlformats.org/officeDocument/2006/relationships/hyperlink" Target="https://eitaa.com/janatoreza_ir" TargetMode="External"/><Relationship Id="rId2176" Type="http://schemas.openxmlformats.org/officeDocument/2006/relationships/hyperlink" Target="https://www.instagram.com/heyat_imamreza/" TargetMode="External"/><Relationship Id="rId2177" Type="http://schemas.openxmlformats.org/officeDocument/2006/relationships/hyperlink" Target="https://t.me/Heyat_imamreza0" TargetMode="External"/><Relationship Id="rId2178" Type="http://schemas.openxmlformats.org/officeDocument/2006/relationships/hyperlink" Target="https://eitaa.com/Heyat_imamreza0" TargetMode="External"/><Relationship Id="rId2179" Type="http://schemas.openxmlformats.org/officeDocument/2006/relationships/hyperlink" Target="https://www.instagram.com/rozat_ir/" TargetMode="External"/><Relationship Id="rId2190" Type="http://schemas.openxmlformats.org/officeDocument/2006/relationships/hyperlink" Target="https://www.instagram.com/h.shohada1382/" TargetMode="External"/><Relationship Id="rId2191" Type="http://schemas.openxmlformats.org/officeDocument/2006/relationships/hyperlink" Target="https://www.instagram.com/ansaralhossain_ir/" TargetMode="External"/><Relationship Id="rId2192" Type="http://schemas.openxmlformats.org/officeDocument/2006/relationships/hyperlink" Target="https://t.me/ansaralhossain_ir" TargetMode="External"/><Relationship Id="rId2193" Type="http://schemas.openxmlformats.org/officeDocument/2006/relationships/hyperlink" Target="https://www.instagram.com/astanrasht/" TargetMode="External"/><Relationship Id="rId2194" Type="http://schemas.openxmlformats.org/officeDocument/2006/relationships/hyperlink" Target="https://t.me/astanrasht" TargetMode="External"/><Relationship Id="rId2195" Type="http://schemas.openxmlformats.org/officeDocument/2006/relationships/hyperlink" Target="https://eitaa.com/astanrasht" TargetMode="External"/><Relationship Id="rId2196" Type="http://schemas.openxmlformats.org/officeDocument/2006/relationships/hyperlink" Target="https://www.instagram.com/ansaralhussein_rasht/" TargetMode="External"/><Relationship Id="rId2197" Type="http://schemas.openxmlformats.org/officeDocument/2006/relationships/hyperlink" Target="https://www.instagram.com/ansaralhoseinrasht/" TargetMode="External"/><Relationship Id="rId2198" Type="http://schemas.openxmlformats.org/officeDocument/2006/relationships/hyperlink" Target="https://www.instagram.com/kesa.info/" TargetMode="External"/><Relationship Id="rId2199" Type="http://schemas.openxmlformats.org/officeDocument/2006/relationships/hyperlink" Target="https://t.me/khademinalreza" TargetMode="External"/><Relationship Id="rId7030" Type="http://schemas.openxmlformats.org/officeDocument/2006/relationships/hyperlink" Target="https://www.instagram.com/heyaat_javanan_alzahra/" TargetMode="External"/><Relationship Id="rId8361" Type="http://schemas.openxmlformats.org/officeDocument/2006/relationships/hyperlink" Target="https://www.instagram.com/maktab_az_zahra" TargetMode="External"/><Relationship Id="rId9693" Type="http://schemas.openxmlformats.org/officeDocument/2006/relationships/hyperlink" Target="https://www.instagram.com/hoseinie.azam/" TargetMode="External"/><Relationship Id="rId8360" Type="http://schemas.openxmlformats.org/officeDocument/2006/relationships/hyperlink" Target="https://eitaa.com/AbaalFazlalAbbas133" TargetMode="External"/><Relationship Id="rId9694" Type="http://schemas.openxmlformats.org/officeDocument/2006/relationships/hyperlink" Target="https://www.instagram.com/abalfazli_mehrjard/" TargetMode="External"/><Relationship Id="rId9695" Type="http://schemas.openxmlformats.org/officeDocument/2006/relationships/hyperlink" Target="https://eitaa.com/abalfazli_mehrjard" TargetMode="External"/><Relationship Id="rId9696" Type="http://schemas.openxmlformats.org/officeDocument/2006/relationships/hyperlink" Target="https://www.instagram.com/gazorgah.yazd/" TargetMode="External"/><Relationship Id="rId7034" Type="http://schemas.openxmlformats.org/officeDocument/2006/relationships/hyperlink" Target="https://www.instagram.com/mohebin_arak" TargetMode="External"/><Relationship Id="rId8365" Type="http://schemas.openxmlformats.org/officeDocument/2006/relationships/hyperlink" Target="https://www.instagram.com/h_q_seyedalshohda" TargetMode="External"/><Relationship Id="rId7033" Type="http://schemas.openxmlformats.org/officeDocument/2006/relationships/hyperlink" Target="https://www.instagram.com/heyatmontazaranmahdi.arak/" TargetMode="External"/><Relationship Id="rId8364" Type="http://schemas.openxmlformats.org/officeDocument/2006/relationships/hyperlink" Target="https://eitaa.com/heiatoshagh" TargetMode="External"/><Relationship Id="rId9690" Type="http://schemas.openxmlformats.org/officeDocument/2006/relationships/hyperlink" Target="https://www.instagram.com/damamzani_naemabad/" TargetMode="External"/><Relationship Id="rId7032" Type="http://schemas.openxmlformats.org/officeDocument/2006/relationships/hyperlink" Target="https://www.instagram.com/saheb_zaman_71/" TargetMode="External"/><Relationship Id="rId8363" Type="http://schemas.openxmlformats.org/officeDocument/2006/relationships/hyperlink" Target="https://t.me/MahdiyeFateme" TargetMode="External"/><Relationship Id="rId9691" Type="http://schemas.openxmlformats.org/officeDocument/2006/relationships/hyperlink" Target="https://www.instagram.com/damam_zeinabiyoun/" TargetMode="External"/><Relationship Id="rId7031" Type="http://schemas.openxmlformats.org/officeDocument/2006/relationships/hyperlink" Target="https://www.instagram.com/heyat_sajjadi_arak/" TargetMode="External"/><Relationship Id="rId8362" Type="http://schemas.openxmlformats.org/officeDocument/2006/relationships/hyperlink" Target="https://www.instagram.com/shahzadeh_aliakbar" TargetMode="External"/><Relationship Id="rId9692" Type="http://schemas.openxmlformats.org/officeDocument/2006/relationships/hyperlink" Target="https://www.instagram.com/heyate_ghasem_abad_yazd/" TargetMode="External"/><Relationship Id="rId7038" Type="http://schemas.openxmlformats.org/officeDocument/2006/relationships/hyperlink" Target="https://t.m/emamhadiforat" TargetMode="External"/><Relationship Id="rId8369" Type="http://schemas.openxmlformats.org/officeDocument/2006/relationships/hyperlink" Target="https://www.instagram.com/emam.rauf" TargetMode="External"/><Relationship Id="rId7037" Type="http://schemas.openxmlformats.org/officeDocument/2006/relationships/hyperlink" Target="https://www.instagram.com/emamhadiforat/" TargetMode="External"/><Relationship Id="rId8368" Type="http://schemas.openxmlformats.org/officeDocument/2006/relationships/hyperlink" Target="https://eitaa.com/heyat_hazrat_ali_akbar" TargetMode="External"/><Relationship Id="rId7036" Type="http://schemas.openxmlformats.org/officeDocument/2006/relationships/hyperlink" Target="https://www.instagram.com/alamdarbeynolharameyn.arak/" TargetMode="External"/><Relationship Id="rId8367" Type="http://schemas.openxmlformats.org/officeDocument/2006/relationships/hyperlink" Target="https://www.instagram.com/hballah82" TargetMode="External"/><Relationship Id="rId7035" Type="http://schemas.openxmlformats.org/officeDocument/2006/relationships/hyperlink" Target="https://www.instagram.com/moheban.ahlbeit.arak/" TargetMode="External"/><Relationship Id="rId8366" Type="http://schemas.openxmlformats.org/officeDocument/2006/relationships/hyperlink" Target="https://t.me/Heiatghoran" TargetMode="External"/><Relationship Id="rId9697" Type="http://schemas.openxmlformats.org/officeDocument/2006/relationships/hyperlink" Target="https://www.instagram.com/heyat.seyed.sahra.yazd/" TargetMode="External"/><Relationship Id="rId9698" Type="http://schemas.openxmlformats.org/officeDocument/2006/relationships/hyperlink" Target="https://www.instagram.com/qhamar.bani.hashem/" TargetMode="External"/><Relationship Id="rId9699" Type="http://schemas.openxmlformats.org/officeDocument/2006/relationships/hyperlink" Target="https://www.instagram.com/hosseiniyehazam/" TargetMode="External"/><Relationship Id="rId7039" Type="http://schemas.openxmlformats.org/officeDocument/2006/relationships/hyperlink" Target="https://eitaa.com/emamhadiforat" TargetMode="External"/><Relationship Id="rId8350" Type="http://schemas.openxmlformats.org/officeDocument/2006/relationships/hyperlink" Target="https://eitaa.com/Montazeran_esf" TargetMode="External"/><Relationship Id="rId9682" Type="http://schemas.openxmlformats.org/officeDocument/2006/relationships/hyperlink" Target="https://www.instagram.com/maryamabad_yazd/" TargetMode="External"/><Relationship Id="rId9683" Type="http://schemas.openxmlformats.org/officeDocument/2006/relationships/hyperlink" Target="https://t.me/maryamabad_yazd" TargetMode="External"/><Relationship Id="rId9684" Type="http://schemas.openxmlformats.org/officeDocument/2006/relationships/hyperlink" Target="https://www.instagram.com/hoseiniye_mozafari_yazd/" TargetMode="External"/><Relationship Id="rId9685" Type="http://schemas.openxmlformats.org/officeDocument/2006/relationships/hyperlink" Target="https://www.instagram.com/rahmatabad_ir/" TargetMode="External"/><Relationship Id="rId7023" Type="http://schemas.openxmlformats.org/officeDocument/2006/relationships/hyperlink" Target="https://eitaa.com/shahid6mahe" TargetMode="External"/><Relationship Id="rId8354" Type="http://schemas.openxmlformats.org/officeDocument/2006/relationships/hyperlink" Target="https://www.instagram.com/mohebaneahlebeyt" TargetMode="External"/><Relationship Id="rId7022" Type="http://schemas.openxmlformats.org/officeDocument/2006/relationships/hyperlink" Target="https://t.me/shahid6mahe1" TargetMode="External"/><Relationship Id="rId8353" Type="http://schemas.openxmlformats.org/officeDocument/2006/relationships/hyperlink" Target="https://www.instagram.com/heyaat_javananaliakbar" TargetMode="External"/><Relationship Id="rId7021" Type="http://schemas.openxmlformats.org/officeDocument/2006/relationships/hyperlink" Target="https://www.instagram.com/shahid6mahe" TargetMode="External"/><Relationship Id="rId8352" Type="http://schemas.openxmlformats.org/officeDocument/2006/relationships/hyperlink" Target="https://www.instagram.com/bane_zzahra" TargetMode="External"/><Relationship Id="rId9680" Type="http://schemas.openxmlformats.org/officeDocument/2006/relationships/hyperlink" Target="https://www.instagram.com/heyat_abolfazl.abbas_yazd/" TargetMode="External"/><Relationship Id="rId7020" Type="http://schemas.openxmlformats.org/officeDocument/2006/relationships/hyperlink" Target="https://t.me/heyatzahraei" TargetMode="External"/><Relationship Id="rId8351" Type="http://schemas.openxmlformats.org/officeDocument/2006/relationships/hyperlink" Target="https://www.instagram.com/heiataliasghar" TargetMode="External"/><Relationship Id="rId9681" Type="http://schemas.openxmlformats.org/officeDocument/2006/relationships/hyperlink" Target="https://www.instagram.com/heiat_neinava_azadshahr/" TargetMode="External"/><Relationship Id="rId7027" Type="http://schemas.openxmlformats.org/officeDocument/2006/relationships/hyperlink" Target="https://t.me/sharikatolhossein" TargetMode="External"/><Relationship Id="rId8358" Type="http://schemas.openxmlformats.org/officeDocument/2006/relationships/hyperlink" Target="https://www.instagram.com/heiatabalfazl_esf.ir" TargetMode="External"/><Relationship Id="rId7026" Type="http://schemas.openxmlformats.org/officeDocument/2006/relationships/hyperlink" Target="https://www.instagram.com/sharikatolhossein_arak/" TargetMode="External"/><Relationship Id="rId8357" Type="http://schemas.openxmlformats.org/officeDocument/2006/relationships/hyperlink" Target="https://www.instagram.com/musabnejafar.esf" TargetMode="External"/><Relationship Id="rId7025" Type="http://schemas.openxmlformats.org/officeDocument/2006/relationships/hyperlink" Target="http://t.me/beytollahzan_arak" TargetMode="External"/><Relationship Id="rId8356" Type="http://schemas.openxmlformats.org/officeDocument/2006/relationships/hyperlink" Target="https://eitaa.com/raayatozzahra1" TargetMode="External"/><Relationship Id="rId7024" Type="http://schemas.openxmlformats.org/officeDocument/2006/relationships/hyperlink" Target="https://www.instagram.com/beytollahzan_arak/" TargetMode="External"/><Relationship Id="rId8355" Type="http://schemas.openxmlformats.org/officeDocument/2006/relationships/hyperlink" Target="https://eitaa.com/mohebanahlebeyt8" TargetMode="External"/><Relationship Id="rId9686" Type="http://schemas.openxmlformats.org/officeDocument/2006/relationships/hyperlink" Target="https://t.me/rahmatabad_ir" TargetMode="External"/><Relationship Id="rId9687" Type="http://schemas.openxmlformats.org/officeDocument/2006/relationships/hyperlink" Target="https://eitaa.com/rahmatabad_ir" TargetMode="External"/><Relationship Id="rId7029" Type="http://schemas.openxmlformats.org/officeDocument/2006/relationships/hyperlink" Target="https://t.m/heyat_javadi" TargetMode="External"/><Relationship Id="rId9688" Type="http://schemas.openxmlformats.org/officeDocument/2006/relationships/hyperlink" Target="https://www.instagram.com/maktabeemam/" TargetMode="External"/><Relationship Id="rId7028" Type="http://schemas.openxmlformats.org/officeDocument/2006/relationships/hyperlink" Target="https://www.instagram.com/heyat_javadi" TargetMode="External"/><Relationship Id="rId8359" Type="http://schemas.openxmlformats.org/officeDocument/2006/relationships/hyperlink" Target="https://www.instagram.com/heiat_abolfazleabas" TargetMode="External"/><Relationship Id="rId9689" Type="http://schemas.openxmlformats.org/officeDocument/2006/relationships/hyperlink" Target="https://www.instagram.com/mf14masoum/" TargetMode="External"/><Relationship Id="rId8390" Type="http://schemas.openxmlformats.org/officeDocument/2006/relationships/hyperlink" Target="https://eitaa.org/hoseinjan_128" TargetMode="External"/><Relationship Id="rId7052" Type="http://schemas.openxmlformats.org/officeDocument/2006/relationships/hyperlink" Target="https://www.instagram.com/montazerane_zohor_karchan/" TargetMode="External"/><Relationship Id="rId8383" Type="http://schemas.openxmlformats.org/officeDocument/2006/relationships/hyperlink" Target="https://t.me/maajar_69" TargetMode="External"/><Relationship Id="rId7051" Type="http://schemas.openxmlformats.org/officeDocument/2006/relationships/hyperlink" Target="https://eitaa.com/azadaran14" TargetMode="External"/><Relationship Id="rId8382" Type="http://schemas.openxmlformats.org/officeDocument/2006/relationships/hyperlink" Target="https://www.instagram.com/maajar.69/" TargetMode="External"/><Relationship Id="rId7050" Type="http://schemas.openxmlformats.org/officeDocument/2006/relationships/hyperlink" Target="https://www.instagram.com/azadaran14/" TargetMode="External"/><Relationship Id="rId8381" Type="http://schemas.openxmlformats.org/officeDocument/2006/relationships/hyperlink" Target="https://eitaa.com/yazahra_isfahan" TargetMode="External"/><Relationship Id="rId8380" Type="http://schemas.openxmlformats.org/officeDocument/2006/relationships/hyperlink" Target="https://t.me/yazahra_isfahan" TargetMode="External"/><Relationship Id="rId7056" Type="http://schemas.openxmlformats.org/officeDocument/2006/relationships/hyperlink" Target="https://www.instagram.com/mohebban.shohada" TargetMode="External"/><Relationship Id="rId8387" Type="http://schemas.openxmlformats.org/officeDocument/2006/relationships/hyperlink" Target="https://eitaa.com/mohebanzeinab" TargetMode="External"/><Relationship Id="rId7055" Type="http://schemas.openxmlformats.org/officeDocument/2006/relationships/hyperlink" Target="https://t.me/harimghamar" TargetMode="External"/><Relationship Id="rId8386" Type="http://schemas.openxmlformats.org/officeDocument/2006/relationships/hyperlink" Target="https://t.me/mohebanzeinab" TargetMode="External"/><Relationship Id="rId7054" Type="http://schemas.openxmlformats.org/officeDocument/2006/relationships/hyperlink" Target="https://www.instagram.com/harimghamar/" TargetMode="External"/><Relationship Id="rId8385" Type="http://schemas.openxmlformats.org/officeDocument/2006/relationships/hyperlink" Target="https://www.instagram.com/mohebanzeinab" TargetMode="External"/><Relationship Id="rId7053" Type="http://schemas.openxmlformats.org/officeDocument/2006/relationships/hyperlink" Target="https://www.instagram.com/heyatemam_hasan1393/" TargetMode="External"/><Relationship Id="rId8384" Type="http://schemas.openxmlformats.org/officeDocument/2006/relationships/hyperlink" Target="https://www.instagram.com/heyat_javadolaeme" TargetMode="External"/><Relationship Id="rId7059" Type="http://schemas.openxmlformats.org/officeDocument/2006/relationships/hyperlink" Target="https://www.instagram.com/heyat_al_yasin_tafresh/" TargetMode="External"/><Relationship Id="rId7058" Type="http://schemas.openxmlformats.org/officeDocument/2006/relationships/hyperlink" Target="https://www.instagram.com/zeinabiun_tafresh_69/" TargetMode="External"/><Relationship Id="rId8389" Type="http://schemas.openxmlformats.org/officeDocument/2006/relationships/hyperlink" Target="https://t.me/hoseinjan_128" TargetMode="External"/><Relationship Id="rId7057" Type="http://schemas.openxmlformats.org/officeDocument/2006/relationships/hyperlink" Target="https://www.instagram.com/fatemeeee_ir" TargetMode="External"/><Relationship Id="rId8388" Type="http://schemas.openxmlformats.org/officeDocument/2006/relationships/hyperlink" Target="https://www.instagram.com/hoseinjan_128" TargetMode="External"/><Relationship Id="rId7041" Type="http://schemas.openxmlformats.org/officeDocument/2006/relationships/hyperlink" Target="https://t.me/jannesaran_arak" TargetMode="External"/><Relationship Id="rId8372" Type="http://schemas.openxmlformats.org/officeDocument/2006/relationships/hyperlink" Target="https://www.instagram.com/leva_info" TargetMode="External"/><Relationship Id="rId7040" Type="http://schemas.openxmlformats.org/officeDocument/2006/relationships/hyperlink" Target="https://www.instagram.com/jannesaran_arak_1357/" TargetMode="External"/><Relationship Id="rId8371" Type="http://schemas.openxmlformats.org/officeDocument/2006/relationships/hyperlink" Target="https://eitaa.com/alhadiashagan" TargetMode="External"/><Relationship Id="rId8370" Type="http://schemas.openxmlformats.org/officeDocument/2006/relationships/hyperlink" Target="https://t.me/emamrauf" TargetMode="External"/><Relationship Id="rId7045" Type="http://schemas.openxmlformats.org/officeDocument/2006/relationships/hyperlink" Target="https://www.instagram.com/babalhavaej_feyjan/" TargetMode="External"/><Relationship Id="rId8376" Type="http://schemas.openxmlformats.org/officeDocument/2006/relationships/hyperlink" Target="https://eitaa.com/hqasem201" TargetMode="External"/><Relationship Id="rId7044" Type="http://schemas.openxmlformats.org/officeDocument/2006/relationships/hyperlink" Target="https://www.instagram.com/shahzade_aliasghar" TargetMode="External"/><Relationship Id="rId8375" Type="http://schemas.openxmlformats.org/officeDocument/2006/relationships/hyperlink" Target="https://t.me/hghasem201" TargetMode="External"/><Relationship Id="rId7043" Type="http://schemas.openxmlformats.org/officeDocument/2006/relationships/hyperlink" Target="https://www.instagram.com/asheghane_saheb_zaman/" TargetMode="External"/><Relationship Id="rId8374" Type="http://schemas.openxmlformats.org/officeDocument/2006/relationships/hyperlink" Target="https://www.instagram.com/heyatghasem201" TargetMode="External"/><Relationship Id="rId7042" Type="http://schemas.openxmlformats.org/officeDocument/2006/relationships/hyperlink" Target="https://www.instagram.com/mohebancfu/" TargetMode="External"/><Relationship Id="rId8373" Type="http://schemas.openxmlformats.org/officeDocument/2006/relationships/hyperlink" Target="https://eitaa.com/leva_info" TargetMode="External"/><Relationship Id="rId7049" Type="http://schemas.openxmlformats.org/officeDocument/2006/relationships/hyperlink" Target="https://t.me/heyat_javanan_sarogh" TargetMode="External"/><Relationship Id="rId7048" Type="http://schemas.openxmlformats.org/officeDocument/2006/relationships/hyperlink" Target="https://www.instagram.com/heyat_javanan_sarogh/" TargetMode="External"/><Relationship Id="rId8379" Type="http://schemas.openxmlformats.org/officeDocument/2006/relationships/hyperlink" Target="https://www.instagram.com/yazahra_isfahan" TargetMode="External"/><Relationship Id="rId7047" Type="http://schemas.openxmlformats.org/officeDocument/2006/relationships/hyperlink" Target="https://www.instagram.com/heyat_javanan__davoodabad" TargetMode="External"/><Relationship Id="rId8378" Type="http://schemas.openxmlformats.org/officeDocument/2006/relationships/hyperlink" Target="https://eitaa.com/esfheyat_ir" TargetMode="External"/><Relationship Id="rId7046" Type="http://schemas.openxmlformats.org/officeDocument/2006/relationships/hyperlink" Target="https://www.instagram.com/shahzadeee_aliakbar/" TargetMode="External"/><Relationship Id="rId8377" Type="http://schemas.openxmlformats.org/officeDocument/2006/relationships/hyperlink" Target="https://www.instagram.com/esfheyat" TargetMode="External"/><Relationship Id="rId9650" Type="http://schemas.openxmlformats.org/officeDocument/2006/relationships/hyperlink" Target="https://www.instagram.com/heiate.aliakbar/" TargetMode="External"/><Relationship Id="rId9651" Type="http://schemas.openxmlformats.org/officeDocument/2006/relationships/hyperlink" Target="https://www.instagram.com/mahdieh_shahedieh/" TargetMode="External"/><Relationship Id="rId9652" Type="http://schemas.openxmlformats.org/officeDocument/2006/relationships/hyperlink" Target="https://www.instagram.com/khajekhezryazd/" TargetMode="External"/><Relationship Id="rId8321" Type="http://schemas.openxmlformats.org/officeDocument/2006/relationships/hyperlink" Target="https://t.me/hiat_sarallah" TargetMode="External"/><Relationship Id="rId8320" Type="http://schemas.openxmlformats.org/officeDocument/2006/relationships/hyperlink" Target="https://instagram.com/hiat_sarallah" TargetMode="External"/><Relationship Id="rId8325" Type="http://schemas.openxmlformats.org/officeDocument/2006/relationships/hyperlink" Target="https://www.instagram.com/zovaralzahraesf" TargetMode="External"/><Relationship Id="rId9657" Type="http://schemas.openxmlformats.org/officeDocument/2006/relationships/hyperlink" Target="https://www.instagram.com/alamdar.yazd/" TargetMode="External"/><Relationship Id="rId8324" Type="http://schemas.openxmlformats.org/officeDocument/2006/relationships/hyperlink" Target="https://www.instagram.com/razavi_esf" TargetMode="External"/><Relationship Id="rId9658" Type="http://schemas.openxmlformats.org/officeDocument/2006/relationships/hyperlink" Target="https://t.me/mostafa_khomeynii" TargetMode="External"/><Relationship Id="rId8323" Type="http://schemas.openxmlformats.org/officeDocument/2006/relationships/hyperlink" Target="https://www.instagram.com/helalali_holy_shrine" TargetMode="External"/><Relationship Id="rId9659" Type="http://schemas.openxmlformats.org/officeDocument/2006/relationships/hyperlink" Target="https://eitaa.com/alamdar_mostafa_khomeyni" TargetMode="External"/><Relationship Id="rId8322" Type="http://schemas.openxmlformats.org/officeDocument/2006/relationships/hyperlink" Target="https://eitaa.com/hiat_sarallah" TargetMode="External"/><Relationship Id="rId8329" Type="http://schemas.openxmlformats.org/officeDocument/2006/relationships/hyperlink" Target="https://www.instagram.com/darolkhadem.ir" TargetMode="External"/><Relationship Id="rId9653" Type="http://schemas.openxmlformats.org/officeDocument/2006/relationships/hyperlink" Target="https://www.instagram.com/heyat.sarejam/" TargetMode="External"/><Relationship Id="rId8328" Type="http://schemas.openxmlformats.org/officeDocument/2006/relationships/hyperlink" Target="https://eitaa.com/ravagholhosein" TargetMode="External"/><Relationship Id="rId9654" Type="http://schemas.openxmlformats.org/officeDocument/2006/relationships/hyperlink" Target="https://www.instagram.com/piroborj.yazd/" TargetMode="External"/><Relationship Id="rId8327" Type="http://schemas.openxmlformats.org/officeDocument/2006/relationships/hyperlink" Target="https://eitaa.com/zovaralzahraesf" TargetMode="External"/><Relationship Id="rId9655" Type="http://schemas.openxmlformats.org/officeDocument/2006/relationships/hyperlink" Target="https://t.me/piroborj" TargetMode="External"/><Relationship Id="rId8326" Type="http://schemas.openxmlformats.org/officeDocument/2006/relationships/hyperlink" Target="https://t.me/zovaralzahraesf" TargetMode="External"/><Relationship Id="rId9656" Type="http://schemas.openxmlformats.org/officeDocument/2006/relationships/hyperlink" Target="https://www.instagram.com/mirghotb_yazd/" TargetMode="External"/><Relationship Id="rId8319" Type="http://schemas.openxmlformats.org/officeDocument/2006/relationships/hyperlink" Target="https://eitaa.com/hiat_sarallah" TargetMode="External"/><Relationship Id="rId9640" Type="http://schemas.openxmlformats.org/officeDocument/2006/relationships/hyperlink" Target="https://t.me/Heyat_Sahebalzaman_Yazd" TargetMode="External"/><Relationship Id="rId9641" Type="http://schemas.openxmlformats.org/officeDocument/2006/relationships/hyperlink" Target="https://www.instagram.com/heiat_azadshahr/" TargetMode="External"/><Relationship Id="rId8310" Type="http://schemas.openxmlformats.org/officeDocument/2006/relationships/hyperlink" Target="https://www.instagram.com/heiatjavadolaemme" TargetMode="External"/><Relationship Id="rId8314" Type="http://schemas.openxmlformats.org/officeDocument/2006/relationships/hyperlink" Target="https://eitaa.com/ghatrehayebarani" TargetMode="External"/><Relationship Id="rId9646" Type="http://schemas.openxmlformats.org/officeDocument/2006/relationships/hyperlink" Target="https://www.instagram.com/panbekaran/" TargetMode="External"/><Relationship Id="rId8313" Type="http://schemas.openxmlformats.org/officeDocument/2006/relationships/hyperlink" Target="https://eitaa.com/kanonjavadalaeme" TargetMode="External"/><Relationship Id="rId9647" Type="http://schemas.openxmlformats.org/officeDocument/2006/relationships/hyperlink" Target="http://t.me/panbekaran" TargetMode="External"/><Relationship Id="rId8312" Type="http://schemas.openxmlformats.org/officeDocument/2006/relationships/hyperlink" Target="https://eitaa.com/ansar_zahra_info" TargetMode="External"/><Relationship Id="rId9648" Type="http://schemas.openxmlformats.org/officeDocument/2006/relationships/hyperlink" Target="https://www.instagram.com/alghamehh/" TargetMode="External"/><Relationship Id="rId8311" Type="http://schemas.openxmlformats.org/officeDocument/2006/relationships/hyperlink" Target="https://eitaa.com/bablhavaej" TargetMode="External"/><Relationship Id="rId9649" Type="http://schemas.openxmlformats.org/officeDocument/2006/relationships/hyperlink" Target="https://www.instagram.com/hoseynieh.hajiyousef.yazd/" TargetMode="External"/><Relationship Id="rId8318" Type="http://schemas.openxmlformats.org/officeDocument/2006/relationships/hyperlink" Target="https://t.me/hiat_sarallah" TargetMode="External"/><Relationship Id="rId9642" Type="http://schemas.openxmlformats.org/officeDocument/2006/relationships/hyperlink" Target="https://t.me/Heiat_Azadshahr" TargetMode="External"/><Relationship Id="rId8317" Type="http://schemas.openxmlformats.org/officeDocument/2006/relationships/hyperlink" Target="https://www.instagram.com/hiat_sarallah" TargetMode="External"/><Relationship Id="rId9643" Type="http://schemas.openxmlformats.org/officeDocument/2006/relationships/hyperlink" Target="https://eitaa.com/heiat_azadshahr" TargetMode="External"/><Relationship Id="rId8316" Type="http://schemas.openxmlformats.org/officeDocument/2006/relationships/hyperlink" Target="https://eitaa.com/heyat_ghamarbani_hashem_ghaheh" TargetMode="External"/><Relationship Id="rId9644" Type="http://schemas.openxmlformats.org/officeDocument/2006/relationships/hyperlink" Target="https://www.instagram.com/koochebiuk.ir/" TargetMode="External"/><Relationship Id="rId8315" Type="http://schemas.openxmlformats.org/officeDocument/2006/relationships/hyperlink" Target="https://www.instagram.com/heyat_ghamarbani_hashem_ghaheh" TargetMode="External"/><Relationship Id="rId9645" Type="http://schemas.openxmlformats.org/officeDocument/2006/relationships/hyperlink" Target="https://eitaa.com/kouchebiuk" TargetMode="External"/><Relationship Id="rId9671" Type="http://schemas.openxmlformats.org/officeDocument/2006/relationships/hyperlink" Target="https://www.instagram.com/ashoora.yazd/" TargetMode="External"/><Relationship Id="rId9672" Type="http://schemas.openxmlformats.org/officeDocument/2006/relationships/hyperlink" Target="https://www.instagram.com/kheirabad_yazd/" TargetMode="External"/><Relationship Id="rId9673" Type="http://schemas.openxmlformats.org/officeDocument/2006/relationships/hyperlink" Target="https://t.me/kheirabad_yazd" TargetMode="External"/><Relationship Id="rId9674" Type="http://schemas.openxmlformats.org/officeDocument/2006/relationships/hyperlink" Target="https://www.instagram.com/shahabolghasem_yazd/" TargetMode="External"/><Relationship Id="rId7012" Type="http://schemas.openxmlformats.org/officeDocument/2006/relationships/hyperlink" Target="https://t.me/heyatmohammadi" TargetMode="External"/><Relationship Id="rId8343" Type="http://schemas.openxmlformats.org/officeDocument/2006/relationships/hyperlink" Target="https://www.instagram.com/maktabol_heydar" TargetMode="External"/><Relationship Id="rId7011" Type="http://schemas.openxmlformats.org/officeDocument/2006/relationships/hyperlink" Target="https://www.instagram.com/heyatmohammadi_arak/" TargetMode="External"/><Relationship Id="rId8342" Type="http://schemas.openxmlformats.org/officeDocument/2006/relationships/hyperlink" Target="https://www.instagram.com/razmandeganeslam" TargetMode="External"/><Relationship Id="rId7010" Type="http://schemas.openxmlformats.org/officeDocument/2006/relationships/hyperlink" Target="https://eitaa.com/oshagh_hasanarak" TargetMode="External"/><Relationship Id="rId8341" Type="http://schemas.openxmlformats.org/officeDocument/2006/relationships/hyperlink" Target="https://www.instagram.com/heyat_abaabdeallhalhossein" TargetMode="External"/><Relationship Id="rId8340" Type="http://schemas.openxmlformats.org/officeDocument/2006/relationships/hyperlink" Target="https://t.me/HeiatAbalfazl_esf" TargetMode="External"/><Relationship Id="rId9670" Type="http://schemas.openxmlformats.org/officeDocument/2006/relationships/hyperlink" Target="https://eitaa.com/yaghobi_yazd" TargetMode="External"/><Relationship Id="rId7016" Type="http://schemas.openxmlformats.org/officeDocument/2006/relationships/hyperlink" Target="https://t.me/alamdaranarak" TargetMode="External"/><Relationship Id="rId8347" Type="http://schemas.openxmlformats.org/officeDocument/2006/relationships/hyperlink" Target="https://eitaa.com/mohibanaliibnabitalib110" TargetMode="External"/><Relationship Id="rId9679" Type="http://schemas.openxmlformats.org/officeDocument/2006/relationships/hyperlink" Target="https://t.me/heyaatbesatyazd" TargetMode="External"/><Relationship Id="rId7015" Type="http://schemas.openxmlformats.org/officeDocument/2006/relationships/hyperlink" Target="https://www.instagram.com/heyatalamdaranarak/" TargetMode="External"/><Relationship Id="rId8346" Type="http://schemas.openxmlformats.org/officeDocument/2006/relationships/hyperlink" Target="https://eitaa.com/reyhanatollhosseinir" TargetMode="External"/><Relationship Id="rId7014" Type="http://schemas.openxmlformats.org/officeDocument/2006/relationships/hyperlink" Target="https://www.instagram.com/maktabolhusein" TargetMode="External"/><Relationship Id="rId8345" Type="http://schemas.openxmlformats.org/officeDocument/2006/relationships/hyperlink" Target="https://eitaa.com/heyat_quran_ahlebeyt" TargetMode="External"/><Relationship Id="rId7013" Type="http://schemas.openxmlformats.org/officeDocument/2006/relationships/hyperlink" Target="https://www.instagram.com/emamhassan.arak/" TargetMode="External"/><Relationship Id="rId8344" Type="http://schemas.openxmlformats.org/officeDocument/2006/relationships/hyperlink" Target="https://www.instagram.com/hazrat_roghaeh_esfahan" TargetMode="External"/><Relationship Id="rId9675" Type="http://schemas.openxmlformats.org/officeDocument/2006/relationships/hyperlink" Target="https://www.instagram.com/heyat_hasanabadmoshir/" TargetMode="External"/><Relationship Id="rId7019" Type="http://schemas.openxmlformats.org/officeDocument/2006/relationships/hyperlink" Target="https://www.instagram.com/heyat.zahraei.masjed.seyedha" TargetMode="External"/><Relationship Id="rId9676" Type="http://schemas.openxmlformats.org/officeDocument/2006/relationships/hyperlink" Target="https://www.instagram.com/pole.navab.yazd/" TargetMode="External"/><Relationship Id="rId7018" Type="http://schemas.openxmlformats.org/officeDocument/2006/relationships/hyperlink" Target="https://www.instagram.com/mohebolabas_arak/" TargetMode="External"/><Relationship Id="rId8349" Type="http://schemas.openxmlformats.org/officeDocument/2006/relationships/hyperlink" Target="https://t.me/mohebanhosein_esf" TargetMode="External"/><Relationship Id="rId9677" Type="http://schemas.openxmlformats.org/officeDocument/2006/relationships/hyperlink" Target="https://t.me/polenavvabyazd" TargetMode="External"/><Relationship Id="rId7017" Type="http://schemas.openxmlformats.org/officeDocument/2006/relationships/hyperlink" Target="https://eitaa.com/heyatalamdaranarak" TargetMode="External"/><Relationship Id="rId8348" Type="http://schemas.openxmlformats.org/officeDocument/2006/relationships/hyperlink" Target="https://www.instagram.com/mohebanhosein_esf" TargetMode="External"/><Relationship Id="rId9678" Type="http://schemas.openxmlformats.org/officeDocument/2006/relationships/hyperlink" Target="https://www.instagram.com/heyaatbesatyazd/" TargetMode="External"/><Relationship Id="rId9660" Type="http://schemas.openxmlformats.org/officeDocument/2006/relationships/hyperlink" Target="https://www.instagram.com/shahzadeh_aliakbar_yazd/" TargetMode="External"/><Relationship Id="rId9661" Type="http://schemas.openxmlformats.org/officeDocument/2006/relationships/hyperlink" Target="https://www.instagram.com/hoseinie_abolfazl_yazd/" TargetMode="External"/><Relationship Id="rId9662" Type="http://schemas.openxmlformats.org/officeDocument/2006/relationships/hyperlink" Target="https://www.instagram.com/hosseinieh_gazorgah/" TargetMode="External"/><Relationship Id="rId9663" Type="http://schemas.openxmlformats.org/officeDocument/2006/relationships/hyperlink" Target="https://www.instagram.com/javadolaemeh.yazd/" TargetMode="External"/><Relationship Id="rId7001" Type="http://schemas.openxmlformats.org/officeDocument/2006/relationships/hyperlink" Target="https://instagram.com/gomnaminfo" TargetMode="External"/><Relationship Id="rId8332" Type="http://schemas.openxmlformats.org/officeDocument/2006/relationships/hyperlink" Target="https://www.instagram.com/heyate_hazrate_roqayeh" TargetMode="External"/><Relationship Id="rId7000" Type="http://schemas.openxmlformats.org/officeDocument/2006/relationships/hyperlink" Target="https://www.instagram.com/saqaye_karbala/" TargetMode="External"/><Relationship Id="rId8331" Type="http://schemas.openxmlformats.org/officeDocument/2006/relationships/hyperlink" Target="https://www.instagram.com/yazahra_esf" TargetMode="External"/><Relationship Id="rId8330" Type="http://schemas.openxmlformats.org/officeDocument/2006/relationships/hyperlink" Target="https://eitaa.com/mokeb_emamreza" TargetMode="External"/><Relationship Id="rId7005" Type="http://schemas.openxmlformats.org/officeDocument/2006/relationships/hyperlink" Target="https://www.instagram.com/mahfelenoor_ir" TargetMode="External"/><Relationship Id="rId8336" Type="http://schemas.openxmlformats.org/officeDocument/2006/relationships/hyperlink" Target="https://www.instagram.com/ali_asghar_heit/" TargetMode="External"/><Relationship Id="rId9668" Type="http://schemas.openxmlformats.org/officeDocument/2006/relationships/hyperlink" Target="https://www.instagram.com/heyat_janesaran_abolfazl_yazd/" TargetMode="External"/><Relationship Id="rId7004" Type="http://schemas.openxmlformats.org/officeDocument/2006/relationships/hyperlink" Target="https://eitaa.com/shahde_shohod" TargetMode="External"/><Relationship Id="rId8335" Type="http://schemas.openxmlformats.org/officeDocument/2006/relationships/hyperlink" Target="https://t.me/ho_ya_roghayeh315" TargetMode="External"/><Relationship Id="rId9669" Type="http://schemas.openxmlformats.org/officeDocument/2006/relationships/hyperlink" Target="https://www.instagram.com/yaghobi_yazd/" TargetMode="External"/><Relationship Id="rId7003" Type="http://schemas.openxmlformats.org/officeDocument/2006/relationships/hyperlink" Target="https://www.instagram.com/shahdeshuhod" TargetMode="External"/><Relationship Id="rId8334" Type="http://schemas.openxmlformats.org/officeDocument/2006/relationships/hyperlink" Target="https://www.instagram.com/ho_ya_roghayeh315" TargetMode="External"/><Relationship Id="rId7002" Type="http://schemas.openxmlformats.org/officeDocument/2006/relationships/hyperlink" Target="https://eitaa.com/gomnaminfo" TargetMode="External"/><Relationship Id="rId8333" Type="http://schemas.openxmlformats.org/officeDocument/2006/relationships/hyperlink" Target="https://www.instagram.com/nava.shahzadeh" TargetMode="External"/><Relationship Id="rId7009" Type="http://schemas.openxmlformats.org/officeDocument/2006/relationships/hyperlink" Target="https://t.me/oshagh_hasanarak" TargetMode="External"/><Relationship Id="rId9664" Type="http://schemas.openxmlformats.org/officeDocument/2006/relationships/hyperlink" Target="https://eitaa.com/heyat_javadolaemeh_yazd" TargetMode="External"/><Relationship Id="rId7008" Type="http://schemas.openxmlformats.org/officeDocument/2006/relationships/hyperlink" Target="https://www.instagram.com/oshagh_hasanarak" TargetMode="External"/><Relationship Id="rId8339" Type="http://schemas.openxmlformats.org/officeDocument/2006/relationships/hyperlink" Target="https://www.instagram.com/ashouraiyanjuzdan" TargetMode="External"/><Relationship Id="rId9665" Type="http://schemas.openxmlformats.org/officeDocument/2006/relationships/hyperlink" Target="https://www.instagram.com/atash.yazd/" TargetMode="External"/><Relationship Id="rId7007" Type="http://schemas.openxmlformats.org/officeDocument/2006/relationships/hyperlink" Target="https://eitaa.com/mahfelenoor_ir" TargetMode="External"/><Relationship Id="rId8338" Type="http://schemas.openxmlformats.org/officeDocument/2006/relationships/hyperlink" Target="https://eitaa.com/emamjavadhasanabadiha" TargetMode="External"/><Relationship Id="rId9666" Type="http://schemas.openxmlformats.org/officeDocument/2006/relationships/hyperlink" Target="https://www.instagram.com/heiat.sarodorah/" TargetMode="External"/><Relationship Id="rId7006" Type="http://schemas.openxmlformats.org/officeDocument/2006/relationships/hyperlink" Target="https://t.me/mahfelenoor_ir" TargetMode="External"/><Relationship Id="rId8337" Type="http://schemas.openxmlformats.org/officeDocument/2006/relationships/hyperlink" Target="https://t.me/Ali_Asghar1396" TargetMode="External"/><Relationship Id="rId9667" Type="http://schemas.openxmlformats.org/officeDocument/2006/relationships/hyperlink" Target="https://www.instagram.com/heyaate_gariz/" TargetMode="External"/><Relationship Id="rId3513" Type="http://schemas.openxmlformats.org/officeDocument/2006/relationships/hyperlink" Target="https://www.instagram.com/heyat__babalhavaejagaabalfazl/" TargetMode="External"/><Relationship Id="rId4844" Type="http://schemas.openxmlformats.org/officeDocument/2006/relationships/hyperlink" Target="https://www.instagram.com/heiatolrezabandargaz" TargetMode="External"/><Relationship Id="rId3512" Type="http://schemas.openxmlformats.org/officeDocument/2006/relationships/hyperlink" Target="https://www.instagram.com/heyat_zeynabiyun_montazer" TargetMode="External"/><Relationship Id="rId4843" Type="http://schemas.openxmlformats.org/officeDocument/2006/relationships/hyperlink" Target="https://www.instagram.com/asheghan_molahossein/" TargetMode="External"/><Relationship Id="rId3515" Type="http://schemas.openxmlformats.org/officeDocument/2006/relationships/hyperlink" Target="https://www.instagram.com/ziarat_ashoora_ardabil" TargetMode="External"/><Relationship Id="rId4846" Type="http://schemas.openxmlformats.org/officeDocument/2006/relationships/hyperlink" Target="https://t.me/ghamar_baniii_hashem" TargetMode="External"/><Relationship Id="rId3514" Type="http://schemas.openxmlformats.org/officeDocument/2006/relationships/hyperlink" Target="https://www.instagram.com/masjed_hoseinie" TargetMode="External"/><Relationship Id="rId4845" Type="http://schemas.openxmlformats.org/officeDocument/2006/relationships/hyperlink" Target="https://www.instagram.com/heyat_qamar_bani_hashem" TargetMode="External"/><Relationship Id="rId3517" Type="http://schemas.openxmlformats.org/officeDocument/2006/relationships/hyperlink" Target="https://www.instagram.com/heyat_saheb_zeman_ej/" TargetMode="External"/><Relationship Id="rId4848" Type="http://schemas.openxmlformats.org/officeDocument/2006/relationships/hyperlink" Target="https://www.instagram.com/ansar_bandar/" TargetMode="External"/><Relationship Id="rId3516" Type="http://schemas.openxmlformats.org/officeDocument/2006/relationships/hyperlink" Target="https://www.instagram.com/heyat_hazrat_zaynab_barog/" TargetMode="External"/><Relationship Id="rId4847" Type="http://schemas.openxmlformats.org/officeDocument/2006/relationships/hyperlink" Target="https://www.instagram.com/heyatkarimaltaha/" TargetMode="External"/><Relationship Id="rId3519" Type="http://schemas.openxmlformats.org/officeDocument/2006/relationships/hyperlink" Target="https://www.instagram.com/rayatolmahdi_ardebil" TargetMode="External"/><Relationship Id="rId3518" Type="http://schemas.openxmlformats.org/officeDocument/2006/relationships/hyperlink" Target="https://www.instagram.com/yaran.mohsenin.ardabil" TargetMode="External"/><Relationship Id="rId4849" Type="http://schemas.openxmlformats.org/officeDocument/2006/relationships/hyperlink" Target="https://www.instagram.com/ansar_ol_zeynab313" TargetMode="External"/><Relationship Id="rId4840" Type="http://schemas.openxmlformats.org/officeDocument/2006/relationships/hyperlink" Target="https://www.instagram.com/heiatorreza_bandargaz/" TargetMode="External"/><Relationship Id="rId3511" Type="http://schemas.openxmlformats.org/officeDocument/2006/relationships/hyperlink" Target="https://www.instagram.com/g_emamreza.ardabil/" TargetMode="External"/><Relationship Id="rId4842" Type="http://schemas.openxmlformats.org/officeDocument/2006/relationships/hyperlink" Target="https://www.instagram.com/heyat_abolfazlel_abas/" TargetMode="External"/><Relationship Id="rId3510" Type="http://schemas.openxmlformats.org/officeDocument/2006/relationships/hyperlink" Target="https://www.instagram.com/heyate_asheganeh_velayat/" TargetMode="External"/><Relationship Id="rId4841" Type="http://schemas.openxmlformats.org/officeDocument/2006/relationships/hyperlink" Target="https://t.me/heiatorreza_bandargaz" TargetMode="External"/><Relationship Id="rId3502" Type="http://schemas.openxmlformats.org/officeDocument/2006/relationships/hyperlink" Target="https://t.me/roghayekhaton1395" TargetMode="External"/><Relationship Id="rId4833" Type="http://schemas.openxmlformats.org/officeDocument/2006/relationships/hyperlink" Target="https://www.instagram.com/heyat_emam_zaman_azadshahr" TargetMode="External"/><Relationship Id="rId3501" Type="http://schemas.openxmlformats.org/officeDocument/2006/relationships/hyperlink" Target="https://www.instagram.com/asheghan_roghaye_ardabiliha" TargetMode="External"/><Relationship Id="rId4832" Type="http://schemas.openxmlformats.org/officeDocument/2006/relationships/hyperlink" Target="https://www.instagram.com/hayyat_ahbab_alreza_susra" TargetMode="External"/><Relationship Id="rId3504" Type="http://schemas.openxmlformats.org/officeDocument/2006/relationships/hyperlink" Target="https://t.me/asheghanzeynnab" TargetMode="External"/><Relationship Id="rId4835" Type="http://schemas.openxmlformats.org/officeDocument/2006/relationships/hyperlink" Target="https://t.me/montazeranajneginshahr" TargetMode="External"/><Relationship Id="rId3503" Type="http://schemas.openxmlformats.org/officeDocument/2006/relationships/hyperlink" Target="https://www.instagram.com/asheghanezeinab/" TargetMode="External"/><Relationship Id="rId4834" Type="http://schemas.openxmlformats.org/officeDocument/2006/relationships/hyperlink" Target="https://www.instagram.com/montazeranemahdi.ng/" TargetMode="External"/><Relationship Id="rId3506" Type="http://schemas.openxmlformats.org/officeDocument/2006/relationships/hyperlink" Target="https://t.me/ali_akbar_mosque_8jin" TargetMode="External"/><Relationship Id="rId4837" Type="http://schemas.openxmlformats.org/officeDocument/2006/relationships/hyperlink" Target="https://www.instagram.com/abal.fazliya/" TargetMode="External"/><Relationship Id="rId3505" Type="http://schemas.openxmlformats.org/officeDocument/2006/relationships/hyperlink" Target="https://www.instagram.com/ali_akbar_mosque" TargetMode="External"/><Relationship Id="rId4836" Type="http://schemas.openxmlformats.org/officeDocument/2006/relationships/hyperlink" Target="https://www.instagram.com/heyyat_khademolreza/" TargetMode="External"/><Relationship Id="rId3508" Type="http://schemas.openxmlformats.org/officeDocument/2006/relationships/hyperlink" Target="https://www.instagram.com/heydarion_ardebil/" TargetMode="External"/><Relationship Id="rId4839" Type="http://schemas.openxmlformats.org/officeDocument/2006/relationships/hyperlink" Target="https://www.instagram.com/abalfazliya.ir/" TargetMode="External"/><Relationship Id="rId3507" Type="http://schemas.openxmlformats.org/officeDocument/2006/relationships/hyperlink" Target="https://www.instagram.com/hoze_honari_ardabil/" TargetMode="External"/><Relationship Id="rId4838" Type="http://schemas.openxmlformats.org/officeDocument/2006/relationships/hyperlink" Target="https://t.me/abal_fazliya" TargetMode="External"/><Relationship Id="rId3509" Type="http://schemas.openxmlformats.org/officeDocument/2006/relationships/hyperlink" Target="https://www.instagram.com/rozatollhoosein_ard/" TargetMode="External"/><Relationship Id="rId3500" Type="http://schemas.openxmlformats.org/officeDocument/2006/relationships/hyperlink" Target="https://www.instagram.com/h_safiralhosseinardabil.ir/" TargetMode="External"/><Relationship Id="rId4831" Type="http://schemas.openxmlformats.org/officeDocument/2006/relationships/hyperlink" Target="https://eitaa.com/razmandegan_azadshahr" TargetMode="External"/><Relationship Id="rId4830" Type="http://schemas.openxmlformats.org/officeDocument/2006/relationships/hyperlink" Target="https://www.instagram.com/eheyat.azadshahr_/" TargetMode="External"/><Relationship Id="rId2203" Type="http://schemas.openxmlformats.org/officeDocument/2006/relationships/hyperlink" Target="https://eitaa.com/hasanihakhomam" TargetMode="External"/><Relationship Id="rId3535" Type="http://schemas.openxmlformats.org/officeDocument/2006/relationships/hyperlink" Target="https://eitaa.com/alamdar_ardabil" TargetMode="External"/><Relationship Id="rId4866" Type="http://schemas.openxmlformats.org/officeDocument/2006/relationships/hyperlink" Target="https://www.instagram.com/heyat_sajjadieh" TargetMode="External"/><Relationship Id="rId2204" Type="http://schemas.openxmlformats.org/officeDocument/2006/relationships/hyperlink" Target="https://www.instagram.com/misaq_ba_shohada_rasht/" TargetMode="External"/><Relationship Id="rId3534" Type="http://schemas.openxmlformats.org/officeDocument/2006/relationships/hyperlink" Target="https://www.instagram.com/alam_dar_ir/" TargetMode="External"/><Relationship Id="rId4865" Type="http://schemas.openxmlformats.org/officeDocument/2006/relationships/hyperlink" Target="https://www.instagram.com/heyat_razavi_kordkuy" TargetMode="External"/><Relationship Id="rId2205" Type="http://schemas.openxmlformats.org/officeDocument/2006/relationships/hyperlink" Target="https://t.me/misaq_ba_shohada_rasht" TargetMode="External"/><Relationship Id="rId3537" Type="http://schemas.openxmlformats.org/officeDocument/2006/relationships/hyperlink" Target="https://www.instagram.com/heyat_aliakbar_ardebil/" TargetMode="External"/><Relationship Id="rId4868" Type="http://schemas.openxmlformats.org/officeDocument/2006/relationships/hyperlink" Target="https://www.instagram.com/heyat.karim.ahle.beyt/" TargetMode="External"/><Relationship Id="rId2206" Type="http://schemas.openxmlformats.org/officeDocument/2006/relationships/hyperlink" Target="https://eitaa.com/misaq_ba_shohada_rasht" TargetMode="External"/><Relationship Id="rId3536" Type="http://schemas.openxmlformats.org/officeDocument/2006/relationships/hyperlink" Target="https://www.instagram.com/yavaran.mahdi.ardebil/" TargetMode="External"/><Relationship Id="rId4867" Type="http://schemas.openxmlformats.org/officeDocument/2006/relationships/hyperlink" Target="https://eitaa.com/heyat_sajjadieh_kordkoy" TargetMode="External"/><Relationship Id="rId2207" Type="http://schemas.openxmlformats.org/officeDocument/2006/relationships/hyperlink" Target="https://www.instagram.com/mouod.info/" TargetMode="External"/><Relationship Id="rId3539" Type="http://schemas.openxmlformats.org/officeDocument/2006/relationships/hyperlink" Target="https://www.instagram.com/heyateandabil/" TargetMode="External"/><Relationship Id="rId2208" Type="http://schemas.openxmlformats.org/officeDocument/2006/relationships/hyperlink" Target="https://www.instagram.com/motavasselin_info/" TargetMode="External"/><Relationship Id="rId3538" Type="http://schemas.openxmlformats.org/officeDocument/2006/relationships/hyperlink" Target="https://www.instagram.com/rayatolmahdi_ardebil/?hl=en" TargetMode="External"/><Relationship Id="rId4869" Type="http://schemas.openxmlformats.org/officeDocument/2006/relationships/hyperlink" Target="https://www.instagram.com/heyat_moheban_ahle_beyt/" TargetMode="External"/><Relationship Id="rId2209" Type="http://schemas.openxmlformats.org/officeDocument/2006/relationships/hyperlink" Target="https://t.me/motavasselin_info" TargetMode="External"/><Relationship Id="rId4860" Type="http://schemas.openxmlformats.org/officeDocument/2006/relationships/hyperlink" Target="https://eitaa.com/emamjavad14_ir" TargetMode="External"/><Relationship Id="rId3531" Type="http://schemas.openxmlformats.org/officeDocument/2006/relationships/hyperlink" Target="https://www.instagram.com/jannesaran_almahdi" TargetMode="External"/><Relationship Id="rId4862" Type="http://schemas.openxmlformats.org/officeDocument/2006/relationships/hyperlink" Target="http://eitaa.com/mokebarbabhosein87" TargetMode="External"/><Relationship Id="rId2200" Type="http://schemas.openxmlformats.org/officeDocument/2006/relationships/hyperlink" Target="https://eitaa.com/khademinalreza" TargetMode="External"/><Relationship Id="rId3530" Type="http://schemas.openxmlformats.org/officeDocument/2006/relationships/hyperlink" Target="https://www.instagram.com/maktabe_heydarun_ardabil/" TargetMode="External"/><Relationship Id="rId4861" Type="http://schemas.openxmlformats.org/officeDocument/2006/relationships/hyperlink" Target="https://www.instagram.com/arbabhosein87/" TargetMode="External"/><Relationship Id="rId2201" Type="http://schemas.openxmlformats.org/officeDocument/2006/relationships/hyperlink" Target="https://www.instagram.com/emamzadehhasaniha/" TargetMode="External"/><Relationship Id="rId3533" Type="http://schemas.openxmlformats.org/officeDocument/2006/relationships/hyperlink" Target="https://www.instagram.com/beyt_ol_ali/" TargetMode="External"/><Relationship Id="rId4864" Type="http://schemas.openxmlformats.org/officeDocument/2006/relationships/hyperlink" Target="https://www.instagram.com/montazeran_mahdi_valaghoz/" TargetMode="External"/><Relationship Id="rId2202" Type="http://schemas.openxmlformats.org/officeDocument/2006/relationships/hyperlink" Target="https://t.me/emamzadehasaniha" TargetMode="External"/><Relationship Id="rId3532" Type="http://schemas.openxmlformats.org/officeDocument/2006/relationships/hyperlink" Target="https://www.instagram.com/gamarebanyhashem/" TargetMode="External"/><Relationship Id="rId4863" Type="http://schemas.openxmlformats.org/officeDocument/2006/relationships/hyperlink" Target="https://www.instagram.com/heyat_asheghan_hazrataliasghar" TargetMode="External"/><Relationship Id="rId3524" Type="http://schemas.openxmlformats.org/officeDocument/2006/relationships/hyperlink" Target="https://www.instagram.com/heyyat_aliasghar/" TargetMode="External"/><Relationship Id="rId4855" Type="http://schemas.openxmlformats.org/officeDocument/2006/relationships/hyperlink" Target="https://t.me/oshaqolhasan" TargetMode="External"/><Relationship Id="rId3523" Type="http://schemas.openxmlformats.org/officeDocument/2006/relationships/hyperlink" Target="https://www.instagram.com/heyaate_montazerane_mahdi/" TargetMode="External"/><Relationship Id="rId4854" Type="http://schemas.openxmlformats.org/officeDocument/2006/relationships/hyperlink" Target="https://www.instagram.com/mahfel_oshaqolhasan" TargetMode="External"/><Relationship Id="rId3526" Type="http://schemas.openxmlformats.org/officeDocument/2006/relationships/hyperlink" Target="https://www.instagram.com/aliebnabitaleb_2001" TargetMode="External"/><Relationship Id="rId4857" Type="http://schemas.openxmlformats.org/officeDocument/2006/relationships/hyperlink" Target="https://www.instagram.com/aliabadekatul" TargetMode="External"/><Relationship Id="rId3525" Type="http://schemas.openxmlformats.org/officeDocument/2006/relationships/hyperlink" Target="https://www.instagram.com/nehzat_namin/" TargetMode="External"/><Relationship Id="rId4856" Type="http://schemas.openxmlformats.org/officeDocument/2006/relationships/hyperlink" Target="https://www.instagram.com/tekiyeh_seyedshohada/" TargetMode="External"/><Relationship Id="rId3528" Type="http://schemas.openxmlformats.org/officeDocument/2006/relationships/hyperlink" Target="https://www.instagram.com/heyat_beit_alahzan_parsabad/" TargetMode="External"/><Relationship Id="rId4859" Type="http://schemas.openxmlformats.org/officeDocument/2006/relationships/hyperlink" Target="https://t.me/emamjavad14_ir" TargetMode="External"/><Relationship Id="rId3527" Type="http://schemas.openxmlformats.org/officeDocument/2006/relationships/hyperlink" Target="https://www.instagram.com/heyat_ghamar_banyhashem/" TargetMode="External"/><Relationship Id="rId4858" Type="http://schemas.openxmlformats.org/officeDocument/2006/relationships/hyperlink" Target="https://www.instagram.com/emamjavad14/" TargetMode="External"/><Relationship Id="rId3529" Type="http://schemas.openxmlformats.org/officeDocument/2006/relationships/hyperlink" Target="https://www.instagram.com/mokebeparsabad_fatematozzahra/" TargetMode="External"/><Relationship Id="rId3520" Type="http://schemas.openxmlformats.org/officeDocument/2006/relationships/hyperlink" Target="https://www.instagram.com/maktabol_hosein.ard/" TargetMode="External"/><Relationship Id="rId4851" Type="http://schemas.openxmlformats.org/officeDocument/2006/relationships/hyperlink" Target="https://www.instagram.com/heyat_abolfazlel_abas" TargetMode="External"/><Relationship Id="rId4850" Type="http://schemas.openxmlformats.org/officeDocument/2006/relationships/hyperlink" Target="https://www.instagram.com/heyat_abolfazlel_abas" TargetMode="External"/><Relationship Id="rId3522" Type="http://schemas.openxmlformats.org/officeDocument/2006/relationships/hyperlink" Target="https://www.instagram.com/nehzat_eslami_ard/" TargetMode="External"/><Relationship Id="rId4853" Type="http://schemas.openxmlformats.org/officeDocument/2006/relationships/hyperlink" Target="https://www.instagram.com/tekiyeh_hazratabolfazl/" TargetMode="External"/><Relationship Id="rId3521" Type="http://schemas.openxmlformats.org/officeDocument/2006/relationships/hyperlink" Target="https://www.instagram.com/kotahgamatan/" TargetMode="External"/><Relationship Id="rId4852" Type="http://schemas.openxmlformats.org/officeDocument/2006/relationships/hyperlink" Target="https://www.instagram.com/ghamar_bh/" TargetMode="External"/><Relationship Id="rId4800" Type="http://schemas.openxmlformats.org/officeDocument/2006/relationships/hyperlink" Target="https://www.instagram.com/heyatshohadaigomnam.gonbad" TargetMode="External"/><Relationship Id="rId4802" Type="http://schemas.openxmlformats.org/officeDocument/2006/relationships/hyperlink" Target="https://www.instagram.com/hasaniooun118" TargetMode="External"/><Relationship Id="rId4801" Type="http://schemas.openxmlformats.org/officeDocument/2006/relationships/hyperlink" Target="https://www.instagram.com/saheb.a.zaman313" TargetMode="External"/><Relationship Id="rId4804" Type="http://schemas.openxmlformats.org/officeDocument/2006/relationships/hyperlink" Target="https://www.instagram.com/janatolabas_gonbad" TargetMode="External"/><Relationship Id="rId4803" Type="http://schemas.openxmlformats.org/officeDocument/2006/relationships/hyperlink" Target="https://t.me/Hasaniooun" TargetMode="External"/><Relationship Id="rId4806" Type="http://schemas.openxmlformats.org/officeDocument/2006/relationships/hyperlink" Target="https://www.instagram.com/gharargah_sadra" TargetMode="External"/><Relationship Id="rId4805" Type="http://schemas.openxmlformats.org/officeDocument/2006/relationships/hyperlink" Target="https://t.me/antolabasgonbad?" TargetMode="External"/><Relationship Id="rId4808" Type="http://schemas.openxmlformats.org/officeDocument/2006/relationships/hyperlink" Target="https://www.instagram.com/heyat_emameraouf" TargetMode="External"/><Relationship Id="rId4807" Type="http://schemas.openxmlformats.org/officeDocument/2006/relationships/hyperlink" Target="https://www.instagram.com/yaran.aftab.gorgan" TargetMode="External"/><Relationship Id="rId4809" Type="http://schemas.openxmlformats.org/officeDocument/2006/relationships/hyperlink" Target="http://eitaa.com/heyat_emameraouf" TargetMode="External"/><Relationship Id="rId7081" Type="http://schemas.openxmlformats.org/officeDocument/2006/relationships/hyperlink" Target="https://t.me/mzkhomeyn" TargetMode="External"/><Relationship Id="rId7080" Type="http://schemas.openxmlformats.org/officeDocument/2006/relationships/hyperlink" Target="https://www.instagram.com/mzkhomeyn/" TargetMode="External"/><Relationship Id="rId7074" Type="http://schemas.openxmlformats.org/officeDocument/2006/relationships/hyperlink" Target="https://eitaa.com/Quran_Etrat_ac" TargetMode="External"/><Relationship Id="rId7073" Type="http://schemas.openxmlformats.org/officeDocument/2006/relationships/hyperlink" Target="https://eitaa.com/khomeinmookeb" TargetMode="External"/><Relationship Id="rId7072" Type="http://schemas.openxmlformats.org/officeDocument/2006/relationships/hyperlink" Target="https://t.me/khomeinMookeb" TargetMode="External"/><Relationship Id="rId7071" Type="http://schemas.openxmlformats.org/officeDocument/2006/relationships/hyperlink" Target="https://instagram.com/khomeinmookeb" TargetMode="External"/><Relationship Id="rId7078" Type="http://schemas.openxmlformats.org/officeDocument/2006/relationships/hyperlink" Target="https://t.me/jannesaran1" TargetMode="External"/><Relationship Id="rId7077" Type="http://schemas.openxmlformats.org/officeDocument/2006/relationships/hyperlink" Target="https://www.instagram.com/jannesaran1/" TargetMode="External"/><Relationship Id="rId7076" Type="http://schemas.openxmlformats.org/officeDocument/2006/relationships/hyperlink" Target="https://t.me/amir_momenin110" TargetMode="External"/><Relationship Id="rId7075" Type="http://schemas.openxmlformats.org/officeDocument/2006/relationships/hyperlink" Target="https://www.instagram.com/amir_momenin110/" TargetMode="External"/><Relationship Id="rId7079" Type="http://schemas.openxmlformats.org/officeDocument/2006/relationships/hyperlink" Target="https://eitaa.com/jannesaran1" TargetMode="External"/><Relationship Id="rId7070" Type="http://schemas.openxmlformats.org/officeDocument/2006/relationships/hyperlink" Target="https://eitaa.com/heiat_khatam" TargetMode="External"/><Relationship Id="rId7063" Type="http://schemas.openxmlformats.org/officeDocument/2006/relationships/hyperlink" Target="https://t.me/heyatfatemiehsheshnav" TargetMode="External"/><Relationship Id="rId8394" Type="http://schemas.openxmlformats.org/officeDocument/2006/relationships/hyperlink" Target="https://eitaa.com/masjedlemjir" TargetMode="External"/><Relationship Id="rId7062" Type="http://schemas.openxmlformats.org/officeDocument/2006/relationships/hyperlink" Target="https://www.instagram.com/heyat_fatemiye_sheshnav" TargetMode="External"/><Relationship Id="rId8393" Type="http://schemas.openxmlformats.org/officeDocument/2006/relationships/hyperlink" Target="https://t.me/masjedlemjir" TargetMode="External"/><Relationship Id="rId7061" Type="http://schemas.openxmlformats.org/officeDocument/2006/relationships/hyperlink" Target="https://www.instagram.com/mahfel.reyhanatolhosein315/" TargetMode="External"/><Relationship Id="rId8392" Type="http://schemas.openxmlformats.org/officeDocument/2006/relationships/hyperlink" Target="https://eitaa.com/shamsalshomous" TargetMode="External"/><Relationship Id="rId7060" Type="http://schemas.openxmlformats.org/officeDocument/2006/relationships/hyperlink" Target="https://t.me/aleyasinetafresh" TargetMode="External"/><Relationship Id="rId8391" Type="http://schemas.openxmlformats.org/officeDocument/2006/relationships/hyperlink" Target="https://www.instagram.com/shamsalshomous" TargetMode="External"/><Relationship Id="rId7067" Type="http://schemas.openxmlformats.org/officeDocument/2006/relationships/hyperlink" Target="https://www.instagram.com/tafresh.mokeb/" TargetMode="External"/><Relationship Id="rId8398" Type="http://schemas.openxmlformats.org/officeDocument/2006/relationships/hyperlink" Target="https://www.instagram.com/sayyedosajedin" TargetMode="External"/><Relationship Id="rId7066" Type="http://schemas.openxmlformats.org/officeDocument/2006/relationships/hyperlink" Target="https://www.instagram.com/tafreshhb" TargetMode="External"/><Relationship Id="rId8397" Type="http://schemas.openxmlformats.org/officeDocument/2006/relationships/hyperlink" Target="https://eitaa.com/mooheban_mahdi" TargetMode="External"/><Relationship Id="rId7065" Type="http://schemas.openxmlformats.org/officeDocument/2006/relationships/hyperlink" Target="https://t.me/beynolharameyn_tafresh" TargetMode="External"/><Relationship Id="rId8396" Type="http://schemas.openxmlformats.org/officeDocument/2006/relationships/hyperlink" Target="https://t.me/masjedamiralmomnin" TargetMode="External"/><Relationship Id="rId7064" Type="http://schemas.openxmlformats.org/officeDocument/2006/relationships/hyperlink" Target="https://www.instagram.com/beynolharameyn_tafresh" TargetMode="External"/><Relationship Id="rId8395" Type="http://schemas.openxmlformats.org/officeDocument/2006/relationships/hyperlink" Target="https://www.instagram.com/masjedali/" TargetMode="External"/><Relationship Id="rId7069" Type="http://schemas.openxmlformats.org/officeDocument/2006/relationships/hyperlink" Target="https://eitaa.com/heyat_tu" TargetMode="External"/><Relationship Id="rId7068" Type="http://schemas.openxmlformats.org/officeDocument/2006/relationships/hyperlink" Target="https://www.instagram.com/heyat_azam_hazrat_abalfazl/" TargetMode="External"/><Relationship Id="rId8399" Type="http://schemas.openxmlformats.org/officeDocument/2006/relationships/hyperlink" Target="https://eitaa.com/m_darosalam" TargetMode="External"/><Relationship Id="rId4822" Type="http://schemas.openxmlformats.org/officeDocument/2006/relationships/hyperlink" Target="https://www.instagram.com/alamdaran.alamkshan" TargetMode="External"/><Relationship Id="rId4821" Type="http://schemas.openxmlformats.org/officeDocument/2006/relationships/hyperlink" Target="https://www.instagram.com/ejtema_gorgan" TargetMode="External"/><Relationship Id="rId4824" Type="http://schemas.openxmlformats.org/officeDocument/2006/relationships/hyperlink" Target="http://t.me/GHAMR_BH" TargetMode="External"/><Relationship Id="rId4823" Type="http://schemas.openxmlformats.org/officeDocument/2006/relationships/hyperlink" Target="https://www.instagram.com/ghamar_bh" TargetMode="External"/><Relationship Id="rId4826" Type="http://schemas.openxmlformats.org/officeDocument/2006/relationships/hyperlink" Target="http://eitaa.com/maktabeshohada_gorgan" TargetMode="External"/><Relationship Id="rId4825" Type="http://schemas.openxmlformats.org/officeDocument/2006/relationships/hyperlink" Target="https://www.instagram.com/maktabeshohada_gorgan" TargetMode="External"/><Relationship Id="rId4828" Type="http://schemas.openxmlformats.org/officeDocument/2006/relationships/hyperlink" Target="https://www.instagram.com/ansaralmahdi_azadshahr/" TargetMode="External"/><Relationship Id="rId4827" Type="http://schemas.openxmlformats.org/officeDocument/2006/relationships/hyperlink" Target="https://www.instagram.com/khademozahra_gor" TargetMode="External"/><Relationship Id="rId4829" Type="http://schemas.openxmlformats.org/officeDocument/2006/relationships/hyperlink" Target="https://eitta.com/AnsarAlmahdi_Media" TargetMode="External"/><Relationship Id="rId7096" Type="http://schemas.openxmlformats.org/officeDocument/2006/relationships/hyperlink" Target="https://www.instagram.com/heyatjanatkhomeni_110/" TargetMode="External"/><Relationship Id="rId7095" Type="http://schemas.openxmlformats.org/officeDocument/2006/relationships/hyperlink" Target="https://www.instagram.com/hyyat_zanjir_zani.fatemyeh/" TargetMode="External"/><Relationship Id="rId7094" Type="http://schemas.openxmlformats.org/officeDocument/2006/relationships/hyperlink" Target="https://t.me/khomeyn133" TargetMode="External"/><Relationship Id="rId7093" Type="http://schemas.openxmlformats.org/officeDocument/2006/relationships/hyperlink" Target="https://www.instagram.com/heyat_omolbaninkhomein/" TargetMode="External"/><Relationship Id="rId7099" Type="http://schemas.openxmlformats.org/officeDocument/2006/relationships/hyperlink" Target="https://eitaa.com/yavaran_mahdi_khondab" TargetMode="External"/><Relationship Id="rId7098" Type="http://schemas.openxmlformats.org/officeDocument/2006/relationships/hyperlink" Target="https://eitaa.com/mohebine_alzahra" TargetMode="External"/><Relationship Id="rId7097" Type="http://schemas.openxmlformats.org/officeDocument/2006/relationships/hyperlink" Target="https://eitaa.com/heyatjanatkhomeni_110" TargetMode="External"/><Relationship Id="rId4820" Type="http://schemas.openxmlformats.org/officeDocument/2006/relationships/hyperlink" Target="http://telegram.im/beyki213" TargetMode="External"/><Relationship Id="rId4811" Type="http://schemas.openxmlformats.org/officeDocument/2006/relationships/hyperlink" Target="https://www.instagram.com/meshkat_alhosein" TargetMode="External"/><Relationship Id="rId4810" Type="http://schemas.openxmlformats.org/officeDocument/2006/relationships/hyperlink" Target="https://www.instagram.com/mohsenebnali.ir" TargetMode="External"/><Relationship Id="rId4813" Type="http://schemas.openxmlformats.org/officeDocument/2006/relationships/hyperlink" Target="https://t.me/MOKEBEHAZRATEZEYNABMINOODASHT" TargetMode="External"/><Relationship Id="rId4812" Type="http://schemas.openxmlformats.org/officeDocument/2006/relationships/hyperlink" Target="https://www.instagram.com/mokeb_minoodasht" TargetMode="External"/><Relationship Id="rId4815" Type="http://schemas.openxmlformats.org/officeDocument/2006/relationships/hyperlink" Target="https://www.instagram.com/hyet_abolfazl_abas/" TargetMode="External"/><Relationship Id="rId4814" Type="http://schemas.openxmlformats.org/officeDocument/2006/relationships/hyperlink" Target="https://eitaa.com/MOKEBEHAZRATEZEYNABMINOODASHT" TargetMode="External"/><Relationship Id="rId4817" Type="http://schemas.openxmlformats.org/officeDocument/2006/relationships/hyperlink" Target="https://www.instagram.com/heyat_moheban_ahle_beyt" TargetMode="External"/><Relationship Id="rId4816" Type="http://schemas.openxmlformats.org/officeDocument/2006/relationships/hyperlink" Target="https://www.instagram.com/seyed_shohada128" TargetMode="External"/><Relationship Id="rId4819" Type="http://schemas.openxmlformats.org/officeDocument/2006/relationships/hyperlink" Target="https://www.instagram.com/ahrarozahra.info" TargetMode="External"/><Relationship Id="rId4818" Type="http://schemas.openxmlformats.org/officeDocument/2006/relationships/hyperlink" Target="https://www.instagram.com/heyat_motavasselin_313" TargetMode="External"/><Relationship Id="rId7092" Type="http://schemas.openxmlformats.org/officeDocument/2006/relationships/hyperlink" Target="https://t.me/mohebin_khomein" TargetMode="External"/><Relationship Id="rId7091" Type="http://schemas.openxmlformats.org/officeDocument/2006/relationships/hyperlink" Target="https://www.instagram.com/mohebin_khomein/" TargetMode="External"/><Relationship Id="rId7090" Type="http://schemas.openxmlformats.org/officeDocument/2006/relationships/hyperlink" Target="https://www.instagram.com/beytolheydar_khomein/" TargetMode="External"/><Relationship Id="rId7085" Type="http://schemas.openxmlformats.org/officeDocument/2006/relationships/hyperlink" Target="https://www.instagram.com/heiat_khatam" TargetMode="External"/><Relationship Id="rId7084" Type="http://schemas.openxmlformats.org/officeDocument/2006/relationships/hyperlink" Target="https://www.instagram.com/parchamdaran_1392/" TargetMode="External"/><Relationship Id="rId7083" Type="http://schemas.openxmlformats.org/officeDocument/2006/relationships/hyperlink" Target="https://t.me/heyat_hoseyn_jan_khomeyn" TargetMode="External"/><Relationship Id="rId7082" Type="http://schemas.openxmlformats.org/officeDocument/2006/relationships/hyperlink" Target="https://www.instagram.com/heyat_hoseynjan_khomein" TargetMode="External"/><Relationship Id="rId7089" Type="http://schemas.openxmlformats.org/officeDocument/2006/relationships/hyperlink" Target="https://eitaa.com/montazeran_khomein" TargetMode="External"/><Relationship Id="rId7088" Type="http://schemas.openxmlformats.org/officeDocument/2006/relationships/hyperlink" Target="https://t.me/montazeran_khomein" TargetMode="External"/><Relationship Id="rId7087" Type="http://schemas.openxmlformats.org/officeDocument/2006/relationships/hyperlink" Target="https://www.instagram.com/montazeran_khomein/" TargetMode="External"/><Relationship Id="rId7086" Type="http://schemas.openxmlformats.org/officeDocument/2006/relationships/hyperlink" Target="https://www.instagram.com/h_14masum/" TargetMode="External"/><Relationship Id="rId2269" Type="http://schemas.openxmlformats.org/officeDocument/2006/relationships/hyperlink" Target="https://t.me/rozatazahra_ir" TargetMode="External"/><Relationship Id="rId3591" Type="http://schemas.openxmlformats.org/officeDocument/2006/relationships/hyperlink" Target="https://t.me/Heyatabasalehrazan" TargetMode="External"/><Relationship Id="rId2260" Type="http://schemas.openxmlformats.org/officeDocument/2006/relationships/hyperlink" Target="https://t.me/heyat_hazrat_amir" TargetMode="External"/><Relationship Id="rId3590" Type="http://schemas.openxmlformats.org/officeDocument/2006/relationships/hyperlink" Target="https://www.instagram.com/heyatabasalehrazan/" TargetMode="External"/><Relationship Id="rId2261" Type="http://schemas.openxmlformats.org/officeDocument/2006/relationships/hyperlink" Target="https://www.instagram.com/heyat_oshagholreza/" TargetMode="External"/><Relationship Id="rId3593" Type="http://schemas.openxmlformats.org/officeDocument/2006/relationships/hyperlink" Target="https://www.instagram.com/h_aliakbar1378/" TargetMode="External"/><Relationship Id="rId2262" Type="http://schemas.openxmlformats.org/officeDocument/2006/relationships/hyperlink" Target="https://t.me/heyat_oshagholreza" TargetMode="External"/><Relationship Id="rId3592" Type="http://schemas.openxmlformats.org/officeDocument/2006/relationships/hyperlink" Target="https://eitaa.com/heyatabasalehrazan" TargetMode="External"/><Relationship Id="rId2263" Type="http://schemas.openxmlformats.org/officeDocument/2006/relationships/hyperlink" Target="https://www.instagram.com/beheshtt_info/" TargetMode="External"/><Relationship Id="rId3595" Type="http://schemas.openxmlformats.org/officeDocument/2006/relationships/hyperlink" Target="http://eitaa.com/dobanoydameshg" TargetMode="External"/><Relationship Id="rId2264" Type="http://schemas.openxmlformats.org/officeDocument/2006/relationships/hyperlink" Target="https://www.instagram.com/jannatal_hussain/" TargetMode="External"/><Relationship Id="rId3594" Type="http://schemas.openxmlformats.org/officeDocument/2006/relationships/hyperlink" Target="https://www.instagram.com/_2banoyedameshgh/" TargetMode="External"/><Relationship Id="rId2265" Type="http://schemas.openxmlformats.org/officeDocument/2006/relationships/hyperlink" Target="https://www.instagram.com/hazrat.abolfazl.live/" TargetMode="External"/><Relationship Id="rId3597" Type="http://schemas.openxmlformats.org/officeDocument/2006/relationships/hyperlink" Target="https://www.instagram.com/asheghan_mahdi_/" TargetMode="External"/><Relationship Id="rId2266" Type="http://schemas.openxmlformats.org/officeDocument/2006/relationships/hyperlink" Target="https://t.me/hazrat_abolfazl_info" TargetMode="External"/><Relationship Id="rId3596" Type="http://schemas.openxmlformats.org/officeDocument/2006/relationships/hyperlink" Target="https://www.instagram.com/hoosineh.khatm_anbia1402/" TargetMode="External"/><Relationship Id="rId2267" Type="http://schemas.openxmlformats.org/officeDocument/2006/relationships/hyperlink" Target="https://www.instagram.com/heyat_ghaemie_rasht/" TargetMode="External"/><Relationship Id="rId3599" Type="http://schemas.openxmlformats.org/officeDocument/2006/relationships/hyperlink" Target="https://www.instagram.com/mohebin_al_hosein_hamedan/" TargetMode="External"/><Relationship Id="rId2268" Type="http://schemas.openxmlformats.org/officeDocument/2006/relationships/hyperlink" Target="https://www.instagram.com/rozatazahra/" TargetMode="External"/><Relationship Id="rId3598" Type="http://schemas.openxmlformats.org/officeDocument/2006/relationships/hyperlink" Target="http://t.me/montazran94" TargetMode="External"/><Relationship Id="rId2258" Type="http://schemas.openxmlformats.org/officeDocument/2006/relationships/hyperlink" Target="https://www.instagram.com/janate_zeynab/" TargetMode="External"/><Relationship Id="rId2259" Type="http://schemas.openxmlformats.org/officeDocument/2006/relationships/hyperlink" Target="https://www.instagram.com/heyat_hazrat_amir/" TargetMode="External"/><Relationship Id="rId3589" Type="http://schemas.openxmlformats.org/officeDocument/2006/relationships/hyperlink" Target="https://eitaa.com/hezbollahemalayer" TargetMode="External"/><Relationship Id="rId3580" Type="http://schemas.openxmlformats.org/officeDocument/2006/relationships/hyperlink" Target="https://www.instagram.com/heyat_ameh_sadat/" TargetMode="External"/><Relationship Id="rId2250" Type="http://schemas.openxmlformats.org/officeDocument/2006/relationships/hyperlink" Target="https://t.me/beytozahra_rasht" TargetMode="External"/><Relationship Id="rId3582" Type="http://schemas.openxmlformats.org/officeDocument/2006/relationships/hyperlink" Target="https://eitaa.com/heyatbasu" TargetMode="External"/><Relationship Id="rId2251" Type="http://schemas.openxmlformats.org/officeDocument/2006/relationships/hyperlink" Target="https://www.instagram.com/jnat___133/" TargetMode="External"/><Relationship Id="rId3581" Type="http://schemas.openxmlformats.org/officeDocument/2006/relationships/hyperlink" Target="https://www.instagram.com/heyatbasu/" TargetMode="External"/><Relationship Id="rId2252" Type="http://schemas.openxmlformats.org/officeDocument/2006/relationships/hyperlink" Target="https://www.instagram.com/razmandeganeslam_ir/" TargetMode="External"/><Relationship Id="rId3584" Type="http://schemas.openxmlformats.org/officeDocument/2006/relationships/hyperlink" Target="https://eitaa.com/abbasiye_kochmeshki" TargetMode="External"/><Relationship Id="rId2253" Type="http://schemas.openxmlformats.org/officeDocument/2006/relationships/hyperlink" Target="https://t.me/razmandeganeslam_ir" TargetMode="External"/><Relationship Id="rId3583" Type="http://schemas.openxmlformats.org/officeDocument/2006/relationships/hyperlink" Target="https://www.instagram.com/abbasiye_kochmeshki/" TargetMode="External"/><Relationship Id="rId2254" Type="http://schemas.openxmlformats.org/officeDocument/2006/relationships/hyperlink" Target="https://www.instagram.com/khoddamolheydar.ir/" TargetMode="External"/><Relationship Id="rId3586" Type="http://schemas.openxmlformats.org/officeDocument/2006/relationships/hyperlink" Target="https://www.instagram.com/seyedoshohada_malayer_/" TargetMode="External"/><Relationship Id="rId2255" Type="http://schemas.openxmlformats.org/officeDocument/2006/relationships/hyperlink" Target="https://t.me/khodam_rasht" TargetMode="External"/><Relationship Id="rId3585" Type="http://schemas.openxmlformats.org/officeDocument/2006/relationships/hyperlink" Target="https://www.instagram.com/abbasie_julan/" TargetMode="External"/><Relationship Id="rId2256" Type="http://schemas.openxmlformats.org/officeDocument/2006/relationships/hyperlink" Target="https://eitaa.com/khoddam_rasht" TargetMode="External"/><Relationship Id="rId3588" Type="http://schemas.openxmlformats.org/officeDocument/2006/relationships/hyperlink" Target="https://www.instagram.com/heiate_saelin/" TargetMode="External"/><Relationship Id="rId2257" Type="http://schemas.openxmlformats.org/officeDocument/2006/relationships/hyperlink" Target="https://www.instagram.com/oshaghol_alhosein/" TargetMode="External"/><Relationship Id="rId3587" Type="http://schemas.openxmlformats.org/officeDocument/2006/relationships/hyperlink" Target="https://t.me/seyedoshohada_malayer" TargetMode="External"/><Relationship Id="rId2280" Type="http://schemas.openxmlformats.org/officeDocument/2006/relationships/hyperlink" Target="https://www.instagram.com/janatezeynab.ir/" TargetMode="External"/><Relationship Id="rId2281" Type="http://schemas.openxmlformats.org/officeDocument/2006/relationships/hyperlink" Target="https://t.me/janate_zeynab" TargetMode="External"/><Relationship Id="rId2282" Type="http://schemas.openxmlformats.org/officeDocument/2006/relationships/hyperlink" Target="https://www.instagram.com/heyat_abolfazl.abbas/" TargetMode="External"/><Relationship Id="rId2283" Type="http://schemas.openxmlformats.org/officeDocument/2006/relationships/hyperlink" Target="https://www.instagram.com/heiyat.hazrat.abalfazl.tamal/" TargetMode="External"/><Relationship Id="rId2284" Type="http://schemas.openxmlformats.org/officeDocument/2006/relationships/hyperlink" Target="https://t.me/masjed_jamee_tamal" TargetMode="External"/><Relationship Id="rId2285" Type="http://schemas.openxmlformats.org/officeDocument/2006/relationships/hyperlink" Target="https://www.instagram.com/reyhanatorrasoul/" TargetMode="External"/><Relationship Id="rId2286" Type="http://schemas.openxmlformats.org/officeDocument/2006/relationships/hyperlink" Target="https://eitaa.com/reihanatorasoul" TargetMode="External"/><Relationship Id="rId2287" Type="http://schemas.openxmlformats.org/officeDocument/2006/relationships/hyperlink" Target="https://www.instagram.com/khademin__alzahra/" TargetMode="External"/><Relationship Id="rId2288" Type="http://schemas.openxmlformats.org/officeDocument/2006/relationships/hyperlink" Target="https://www.instagram.com/khademin__info/" TargetMode="External"/><Relationship Id="rId2289" Type="http://schemas.openxmlformats.org/officeDocument/2006/relationships/hyperlink" Target="https://t.me/khademin_135" TargetMode="External"/><Relationship Id="rId2270" Type="http://schemas.openxmlformats.org/officeDocument/2006/relationships/hyperlink" Target="https://eitaa.com/rozatoozahra" TargetMode="External"/><Relationship Id="rId2271" Type="http://schemas.openxmlformats.org/officeDocument/2006/relationships/hyperlink" Target="https://www.instagram.com/fatematazahra_ir/" TargetMode="External"/><Relationship Id="rId2272" Type="http://schemas.openxmlformats.org/officeDocument/2006/relationships/hyperlink" Target="https://www.instagram.com/bentol_hossein1403/" TargetMode="External"/><Relationship Id="rId2273" Type="http://schemas.openxmlformats.org/officeDocument/2006/relationships/hyperlink" Target="https://www.instagram.com/oshagh.media/" TargetMode="External"/><Relationship Id="rId2274" Type="http://schemas.openxmlformats.org/officeDocument/2006/relationships/hyperlink" Target="https://www.instagram.com/yazaahra_ir/" TargetMode="External"/><Relationship Id="rId2275" Type="http://schemas.openxmlformats.org/officeDocument/2006/relationships/hyperlink" Target="https://t.me/yazaahra_ir" TargetMode="External"/><Relationship Id="rId2276" Type="http://schemas.openxmlformats.org/officeDocument/2006/relationships/hyperlink" Target="https://www.instagram.com/roghayeeh_315/" TargetMode="External"/><Relationship Id="rId2277" Type="http://schemas.openxmlformats.org/officeDocument/2006/relationships/hyperlink" Target="https://www.instagram.com/rozatolamirrasht_ir/" TargetMode="External"/><Relationship Id="rId2278" Type="http://schemas.openxmlformats.org/officeDocument/2006/relationships/hyperlink" Target="https://www.instagram.com/montazeransahebazaman/" TargetMode="External"/><Relationship Id="rId2279" Type="http://schemas.openxmlformats.org/officeDocument/2006/relationships/hyperlink" Target="https://t.me/montazeransahebazaman313" TargetMode="External"/><Relationship Id="rId2225" Type="http://schemas.openxmlformats.org/officeDocument/2006/relationships/hyperlink" Target="https://t.me/shohadagomnamrasht" TargetMode="External"/><Relationship Id="rId3557" Type="http://schemas.openxmlformats.org/officeDocument/2006/relationships/hyperlink" Target="https://www.instagram.com/heyat_zeynabiyun_montazer/?hl=en" TargetMode="External"/><Relationship Id="rId4888" Type="http://schemas.openxmlformats.org/officeDocument/2006/relationships/hyperlink" Target="https://www.instagram.com/hyat.mohebn.fatema.zahra/" TargetMode="External"/><Relationship Id="rId2226" Type="http://schemas.openxmlformats.org/officeDocument/2006/relationships/hyperlink" Target="https://www.instagram.com/alghameeh_info/" TargetMode="External"/><Relationship Id="rId3556" Type="http://schemas.openxmlformats.org/officeDocument/2006/relationships/hyperlink" Target="https://www.instagram.com/heyatasheganeabolfazl/reels/" TargetMode="External"/><Relationship Id="rId4887" Type="http://schemas.openxmlformats.org/officeDocument/2006/relationships/hyperlink" Target="https://www.instagram.com/heyat_rayatol_abbas" TargetMode="External"/><Relationship Id="rId2227" Type="http://schemas.openxmlformats.org/officeDocument/2006/relationships/hyperlink" Target="https://t.me/ALGHAMEEH_INFO" TargetMode="External"/><Relationship Id="rId3559" Type="http://schemas.openxmlformats.org/officeDocument/2006/relationships/hyperlink" Target="https://www.instagram.com/heyaat.14masuom/" TargetMode="External"/><Relationship Id="rId2228" Type="http://schemas.openxmlformats.org/officeDocument/2006/relationships/hyperlink" Target="https://www.instagram.com/yazahra135_info/" TargetMode="External"/><Relationship Id="rId3558" Type="http://schemas.openxmlformats.org/officeDocument/2006/relationships/hyperlink" Target="https://www.instagram.com/hazratabolfazll/" TargetMode="External"/><Relationship Id="rId4889" Type="http://schemas.openxmlformats.org/officeDocument/2006/relationships/hyperlink" Target="https://www.instagram.com/khames.alaba/" TargetMode="External"/><Relationship Id="rId2229" Type="http://schemas.openxmlformats.org/officeDocument/2006/relationships/hyperlink" Target="https://t.me/yazahra135_info" TargetMode="External"/><Relationship Id="rId4880" Type="http://schemas.openxmlformats.org/officeDocument/2006/relationships/hyperlink" Target="https://t.me/hoseiniyeazamgalikesh" TargetMode="External"/><Relationship Id="rId3551" Type="http://schemas.openxmlformats.org/officeDocument/2006/relationships/hyperlink" Target="https://www.instagram.com/heyate_ashegane_abolfazl/" TargetMode="External"/><Relationship Id="rId4882" Type="http://schemas.openxmlformats.org/officeDocument/2006/relationships/hyperlink" Target="https://www.instagram.com/dokhtarane_khames_aleaba/" TargetMode="External"/><Relationship Id="rId2220" Type="http://schemas.openxmlformats.org/officeDocument/2006/relationships/hyperlink" Target="https://www.instagram.com/mohebban_velayat/" TargetMode="External"/><Relationship Id="rId3550" Type="http://schemas.openxmlformats.org/officeDocument/2006/relationships/hyperlink" Target="https://www.instagram.com/tasht_gozari_heyat_alamdar" TargetMode="External"/><Relationship Id="rId4881" Type="http://schemas.openxmlformats.org/officeDocument/2006/relationships/hyperlink" Target="https://www.instagram.com/beeytolahzan" TargetMode="External"/><Relationship Id="rId2221" Type="http://schemas.openxmlformats.org/officeDocument/2006/relationships/hyperlink" Target="https://t.me/mohebban_velayat" TargetMode="External"/><Relationship Id="rId3553" Type="http://schemas.openxmlformats.org/officeDocument/2006/relationships/hyperlink" Target="https://www.instagram.com/hayat_ansarolmahdi/" TargetMode="External"/><Relationship Id="rId4884" Type="http://schemas.openxmlformats.org/officeDocument/2006/relationships/hyperlink" Target="https://www.instagram.com/fatemioongorgan/" TargetMode="External"/><Relationship Id="rId2222" Type="http://schemas.openxmlformats.org/officeDocument/2006/relationships/hyperlink" Target="https://www.instagram.com/hashemion_rasht/" TargetMode="External"/><Relationship Id="rId3552" Type="http://schemas.openxmlformats.org/officeDocument/2006/relationships/hyperlink" Target="https://www.instagram.com/teshnegane_ashura/" TargetMode="External"/><Relationship Id="rId4883" Type="http://schemas.openxmlformats.org/officeDocument/2006/relationships/hyperlink" Target="https://eitaa.com/s/dokhtaran_khames_aleaba" TargetMode="External"/><Relationship Id="rId2223" Type="http://schemas.openxmlformats.org/officeDocument/2006/relationships/hyperlink" Target="https://t.me/hashemion_rasht" TargetMode="External"/><Relationship Id="rId3555" Type="http://schemas.openxmlformats.org/officeDocument/2006/relationships/hyperlink" Target="https://www.instagram.com/hoseinieh_razavi/" TargetMode="External"/><Relationship Id="rId4886" Type="http://schemas.openxmlformats.org/officeDocument/2006/relationships/hyperlink" Target="https://www.instagram.com/heiat.mohammadabad.gorgan" TargetMode="External"/><Relationship Id="rId2224" Type="http://schemas.openxmlformats.org/officeDocument/2006/relationships/hyperlink" Target="https://www.instagram.com/gomnam_info/" TargetMode="External"/><Relationship Id="rId3554" Type="http://schemas.openxmlformats.org/officeDocument/2006/relationships/hyperlink" Target="https://www.instagram.com/ravag.ir/?hl=en" TargetMode="External"/><Relationship Id="rId4885" Type="http://schemas.openxmlformats.org/officeDocument/2006/relationships/hyperlink" Target="https://www.instagram.com/h.azadaran" TargetMode="External"/><Relationship Id="rId2214" Type="http://schemas.openxmlformats.org/officeDocument/2006/relationships/hyperlink" Target="https://www.instagram.com/beyragh_110/" TargetMode="External"/><Relationship Id="rId3546" Type="http://schemas.openxmlformats.org/officeDocument/2006/relationships/hyperlink" Target="https://www.instagram.com/heyatshababalmahdi/" TargetMode="External"/><Relationship Id="rId4877" Type="http://schemas.openxmlformats.org/officeDocument/2006/relationships/hyperlink" Target="https://www.instagram.com/fadaktv.ir/" TargetMode="External"/><Relationship Id="rId2215" Type="http://schemas.openxmlformats.org/officeDocument/2006/relationships/hyperlink" Target="https://t.me/beyragh_110_2" TargetMode="External"/><Relationship Id="rId3545" Type="http://schemas.openxmlformats.org/officeDocument/2006/relationships/hyperlink" Target="https://www.instagram.com/asheghan.zohurardabil" TargetMode="External"/><Relationship Id="rId4876" Type="http://schemas.openxmlformats.org/officeDocument/2006/relationships/hyperlink" Target="https://www.instagram.com/beytozahra_kalaleh/" TargetMode="External"/><Relationship Id="rId2216" Type="http://schemas.openxmlformats.org/officeDocument/2006/relationships/hyperlink" Target="https://eitaa.com/beyragh_110_2" TargetMode="External"/><Relationship Id="rId3548" Type="http://schemas.openxmlformats.org/officeDocument/2006/relationships/hyperlink" Target="https://www.instagram.com/heyat.gasem/" TargetMode="External"/><Relationship Id="rId4879" Type="http://schemas.openxmlformats.org/officeDocument/2006/relationships/hyperlink" Target="https://www.instagram.com/hosseinie.azam.seyedoshohada/" TargetMode="External"/><Relationship Id="rId2217" Type="http://schemas.openxmlformats.org/officeDocument/2006/relationships/hyperlink" Target="https://www.instagram.com/shams_info/" TargetMode="External"/><Relationship Id="rId3547" Type="http://schemas.openxmlformats.org/officeDocument/2006/relationships/hyperlink" Target="https://www.instagram.com/labatshan/" TargetMode="External"/><Relationship Id="rId4878" Type="http://schemas.openxmlformats.org/officeDocument/2006/relationships/hyperlink" Target="https://www.instagram.com/masjed.sahebzaman.galikesh" TargetMode="External"/><Relationship Id="rId2218" Type="http://schemas.openxmlformats.org/officeDocument/2006/relationships/hyperlink" Target="https://www.instagram.com/serat_315/" TargetMode="External"/><Relationship Id="rId2219" Type="http://schemas.openxmlformats.org/officeDocument/2006/relationships/hyperlink" Target="https://t.me/serat_315" TargetMode="External"/><Relationship Id="rId3549" Type="http://schemas.openxmlformats.org/officeDocument/2006/relationships/hyperlink" Target="https://t.me/gasemalni?" TargetMode="External"/><Relationship Id="rId3540" Type="http://schemas.openxmlformats.org/officeDocument/2006/relationships/hyperlink" Target="https://www.instagram.com/ahlekaassa/" TargetMode="External"/><Relationship Id="rId4871" Type="http://schemas.openxmlformats.org/officeDocument/2006/relationships/hyperlink" Target="https://t.me/beynolharmeyn_kordkoy" TargetMode="External"/><Relationship Id="rId4870" Type="http://schemas.openxmlformats.org/officeDocument/2006/relationships/hyperlink" Target="https://www.instagram.com/beynolharmeyn_kordkoy/" TargetMode="External"/><Relationship Id="rId2210" Type="http://schemas.openxmlformats.org/officeDocument/2006/relationships/hyperlink" Target="https://eitaa.com/motavasselin_info" TargetMode="External"/><Relationship Id="rId3542" Type="http://schemas.openxmlformats.org/officeDocument/2006/relationships/hyperlink" Target="https://www.instagram.com/oshaqalmahdi_khalkhal/" TargetMode="External"/><Relationship Id="rId4873" Type="http://schemas.openxmlformats.org/officeDocument/2006/relationships/hyperlink" Target="https://eitaa.com/eshagh_elhasan118" TargetMode="External"/><Relationship Id="rId2211" Type="http://schemas.openxmlformats.org/officeDocument/2006/relationships/hyperlink" Target="https://www.instagram.com/ebnozzahra_com/" TargetMode="External"/><Relationship Id="rId3541" Type="http://schemas.openxmlformats.org/officeDocument/2006/relationships/hyperlink" Target="https://www.instagram.com/haj_as_amini2219/" TargetMode="External"/><Relationship Id="rId4872" Type="http://schemas.openxmlformats.org/officeDocument/2006/relationships/hyperlink" Target="https://www.instagram.com/eshagh_elhasan118/" TargetMode="External"/><Relationship Id="rId2212" Type="http://schemas.openxmlformats.org/officeDocument/2006/relationships/hyperlink" Target="https://eitaa.com/ebnozzahra_com" TargetMode="External"/><Relationship Id="rId3544" Type="http://schemas.openxmlformats.org/officeDocument/2006/relationships/hyperlink" Target="https://www.instagram.com/hoseiniye_babalhavaej" TargetMode="External"/><Relationship Id="rId4875" Type="http://schemas.openxmlformats.org/officeDocument/2006/relationships/hyperlink" Target="https://www.instagram.com/heyat_moheban_333/" TargetMode="External"/><Relationship Id="rId2213" Type="http://schemas.openxmlformats.org/officeDocument/2006/relationships/hyperlink" Target="https://www.instagram.com/gomnam.vishka/" TargetMode="External"/><Relationship Id="rId3543" Type="http://schemas.openxmlformats.org/officeDocument/2006/relationships/hyperlink" Target="https://t.me/oshaqalmahdi_khalkhal" TargetMode="External"/><Relationship Id="rId4874" Type="http://schemas.openxmlformats.org/officeDocument/2006/relationships/hyperlink" Target="https://www.instagram.com/heyatansar_313/" TargetMode="External"/><Relationship Id="rId2247" Type="http://schemas.openxmlformats.org/officeDocument/2006/relationships/hyperlink" Target="https://www.instagram.com/alenabi.rasht/" TargetMode="External"/><Relationship Id="rId3579" Type="http://schemas.openxmlformats.org/officeDocument/2006/relationships/hyperlink" Target="https://eitaa.com/saelin_almahdi" TargetMode="External"/><Relationship Id="rId2248" Type="http://schemas.openxmlformats.org/officeDocument/2006/relationships/hyperlink" Target="https://www.instagram.com/haram_info/" TargetMode="External"/><Relationship Id="rId3578" Type="http://schemas.openxmlformats.org/officeDocument/2006/relationships/hyperlink" Target="https://eitaa.com/Fatemiee313_hmd" TargetMode="External"/><Relationship Id="rId2249" Type="http://schemas.openxmlformats.org/officeDocument/2006/relationships/hyperlink" Target="https://www.instagram.com/heyat.beytolzahra.313/" TargetMode="External"/><Relationship Id="rId3571" Type="http://schemas.openxmlformats.org/officeDocument/2006/relationships/hyperlink" Target="https://www.instagram.com/heyat63_aliasgar_ardebil/" TargetMode="External"/><Relationship Id="rId2240" Type="http://schemas.openxmlformats.org/officeDocument/2006/relationships/hyperlink" Target="https://www.instagram.com/yazahra_rahrovan_shohada/" TargetMode="External"/><Relationship Id="rId3570" Type="http://schemas.openxmlformats.org/officeDocument/2006/relationships/hyperlink" Target="https://www.instagram.com/beytozahra_meshkinshahr/" TargetMode="External"/><Relationship Id="rId2241" Type="http://schemas.openxmlformats.org/officeDocument/2006/relationships/hyperlink" Target="https://www.instagram.com/torbat_info/" TargetMode="External"/><Relationship Id="rId3573" Type="http://schemas.openxmlformats.org/officeDocument/2006/relationships/hyperlink" Target="https://www.instagram.com/heyat63_aliasgar_ardebil/" TargetMode="External"/><Relationship Id="rId2242" Type="http://schemas.openxmlformats.org/officeDocument/2006/relationships/hyperlink" Target="https://t.me/torbatinfo_channel" TargetMode="External"/><Relationship Id="rId3572" Type="http://schemas.openxmlformats.org/officeDocument/2006/relationships/hyperlink" Target="https://www.instagram.com/jabi_dastasy/?hl=en" TargetMode="External"/><Relationship Id="rId2243" Type="http://schemas.openxmlformats.org/officeDocument/2006/relationships/hyperlink" Target="https://eitaa.com/torbatinfo_channel" TargetMode="External"/><Relationship Id="rId3575" Type="http://schemas.openxmlformats.org/officeDocument/2006/relationships/hyperlink" Target="http://t.me/gholaman_ale_heydar" TargetMode="External"/><Relationship Id="rId2244" Type="http://schemas.openxmlformats.org/officeDocument/2006/relationships/hyperlink" Target="https://www.instagram.com/mahfel133/" TargetMode="External"/><Relationship Id="rId3574" Type="http://schemas.openxmlformats.org/officeDocument/2006/relationships/hyperlink" Target="https://www.instagram.com/gholaman_ale_heydar/" TargetMode="External"/><Relationship Id="rId2245" Type="http://schemas.openxmlformats.org/officeDocument/2006/relationships/hyperlink" Target="https://www.instagram.com/mohebin128/" TargetMode="External"/><Relationship Id="rId3577" Type="http://schemas.openxmlformats.org/officeDocument/2006/relationships/hyperlink" Target="https://www.instagram.com/alamdarinfo/" TargetMode="External"/><Relationship Id="rId2246" Type="http://schemas.openxmlformats.org/officeDocument/2006/relationships/hyperlink" Target="https://t.me/MOHEBIN128" TargetMode="External"/><Relationship Id="rId3576" Type="http://schemas.openxmlformats.org/officeDocument/2006/relationships/hyperlink" Target="https://eitaa.com/gholaman_all_hidar" TargetMode="External"/><Relationship Id="rId2236" Type="http://schemas.openxmlformats.org/officeDocument/2006/relationships/hyperlink" Target="https://t.me/kheyme_8" TargetMode="External"/><Relationship Id="rId3568" Type="http://schemas.openxmlformats.org/officeDocument/2006/relationships/hyperlink" Target="https://eitaa.com/fatematazzahra1" TargetMode="External"/><Relationship Id="rId4899" Type="http://schemas.openxmlformats.org/officeDocument/2006/relationships/hyperlink" Target="https://eitaa.com/rahrovann_ir" TargetMode="External"/><Relationship Id="rId2237" Type="http://schemas.openxmlformats.org/officeDocument/2006/relationships/hyperlink" Target="https://www.instagram.com/shohadagomnam_rasht/" TargetMode="External"/><Relationship Id="rId3567" Type="http://schemas.openxmlformats.org/officeDocument/2006/relationships/hyperlink" Target="https://www.instagram.com/heyat_baghiatallah95/" TargetMode="External"/><Relationship Id="rId4898" Type="http://schemas.openxmlformats.org/officeDocument/2006/relationships/hyperlink" Target="https://t.me/rahrovann_ir" TargetMode="External"/><Relationship Id="rId2238" Type="http://schemas.openxmlformats.org/officeDocument/2006/relationships/hyperlink" Target="https://www.instagram.com/seyedeh_zeynab_rasht/" TargetMode="External"/><Relationship Id="rId2239" Type="http://schemas.openxmlformats.org/officeDocument/2006/relationships/hyperlink" Target="https://t.me/seyedeh69" TargetMode="External"/><Relationship Id="rId3569" Type="http://schemas.openxmlformats.org/officeDocument/2006/relationships/hyperlink" Target="https://www.instagram.com/heyate_hobbol_abbas/" TargetMode="External"/><Relationship Id="rId3560" Type="http://schemas.openxmlformats.org/officeDocument/2006/relationships/hyperlink" Target="https://www.instagram.com/babalhavaej.1/reels/" TargetMode="External"/><Relationship Id="rId4891" Type="http://schemas.openxmlformats.org/officeDocument/2006/relationships/hyperlink" Target="https://www.instagram.com/maktabeshohada_gorgan/" TargetMode="External"/><Relationship Id="rId4890" Type="http://schemas.openxmlformats.org/officeDocument/2006/relationships/hyperlink" Target="https://rubika.ir/khames_alaba_110" TargetMode="External"/><Relationship Id="rId2230" Type="http://schemas.openxmlformats.org/officeDocument/2006/relationships/hyperlink" Target="https://www.instagram.com/omeabiha_ir/" TargetMode="External"/><Relationship Id="rId3562" Type="http://schemas.openxmlformats.org/officeDocument/2006/relationships/hyperlink" Target="https://www.instagram.com/heyat.hazrat.masomeh/?hl=en" TargetMode="External"/><Relationship Id="rId4893" Type="http://schemas.openxmlformats.org/officeDocument/2006/relationships/hyperlink" Target="https://www.instagram.com/masjed_jame_golshan" TargetMode="External"/><Relationship Id="rId2231" Type="http://schemas.openxmlformats.org/officeDocument/2006/relationships/hyperlink" Target="https://t.me/omeabiha_com" TargetMode="External"/><Relationship Id="rId3561" Type="http://schemas.openxmlformats.org/officeDocument/2006/relationships/hyperlink" Target="https://www.instagram.com/heyat_gorani_aletaha/" TargetMode="External"/><Relationship Id="rId4892" Type="http://schemas.openxmlformats.org/officeDocument/2006/relationships/hyperlink" Target="https://eitaa.com/maktabeshohada_gorgan" TargetMode="External"/><Relationship Id="rId2232" Type="http://schemas.openxmlformats.org/officeDocument/2006/relationships/hyperlink" Target="https://eitaa.com/omeabiha_com" TargetMode="External"/><Relationship Id="rId3564" Type="http://schemas.openxmlformats.org/officeDocument/2006/relationships/hyperlink" Target="https://www.instagram.com/masjed_14masoum/" TargetMode="External"/><Relationship Id="rId4895" Type="http://schemas.openxmlformats.org/officeDocument/2006/relationships/hyperlink" Target="https://www.instagram.com/nooroshohada.ir/" TargetMode="External"/><Relationship Id="rId2233" Type="http://schemas.openxmlformats.org/officeDocument/2006/relationships/hyperlink" Target="https://www.instagram.com/heyataleyasin.ir/" TargetMode="External"/><Relationship Id="rId3563" Type="http://schemas.openxmlformats.org/officeDocument/2006/relationships/hyperlink" Target="https://www.instagram.com/heyatasheganeabolfazl/" TargetMode="External"/><Relationship Id="rId4894" Type="http://schemas.openxmlformats.org/officeDocument/2006/relationships/hyperlink" Target="https://www.instagram.com/moheban.o.zahra" TargetMode="External"/><Relationship Id="rId2234" Type="http://schemas.openxmlformats.org/officeDocument/2006/relationships/hyperlink" Target="https://t.me/heyataleyasin" TargetMode="External"/><Relationship Id="rId3566" Type="http://schemas.openxmlformats.org/officeDocument/2006/relationships/hyperlink" Target="https://www.instagram.com/heyat_valiasr_parsabad" TargetMode="External"/><Relationship Id="rId4897" Type="http://schemas.openxmlformats.org/officeDocument/2006/relationships/hyperlink" Target="https://www.instagram.com/rahrovann_ir/" TargetMode="External"/><Relationship Id="rId2235" Type="http://schemas.openxmlformats.org/officeDocument/2006/relationships/hyperlink" Target="https://www.instagram.com/kheyme_8/" TargetMode="External"/><Relationship Id="rId3565" Type="http://schemas.openxmlformats.org/officeDocument/2006/relationships/hyperlink" Target="https://www.instagram.com/jannesaran_hazrate_abolfazl/" TargetMode="External"/><Relationship Id="rId4896" Type="http://schemas.openxmlformats.org/officeDocument/2006/relationships/hyperlink" Target="https://eitaa.com/s/noorolshohada_ir" TargetMode="External"/><Relationship Id="rId8409" Type="http://schemas.openxmlformats.org/officeDocument/2006/relationships/hyperlink" Target="https://t.me/hghasem201" TargetMode="External"/><Relationship Id="rId8408" Type="http://schemas.openxmlformats.org/officeDocument/2006/relationships/hyperlink" Target="https://www.instagram.com/heyatghasem201" TargetMode="External"/><Relationship Id="rId8407" Type="http://schemas.openxmlformats.org/officeDocument/2006/relationships/hyperlink" Target="https://www.instagram.com/heiatkarimeh.esfahan/" TargetMode="External"/><Relationship Id="rId8402" Type="http://schemas.openxmlformats.org/officeDocument/2006/relationships/hyperlink" Target="https://www.instagram.com/14masoume_sfahan/" TargetMode="External"/><Relationship Id="rId9734" Type="http://schemas.openxmlformats.org/officeDocument/2006/relationships/hyperlink" Target="https://eitaa.com/manshadheyat" TargetMode="External"/><Relationship Id="rId8401" Type="http://schemas.openxmlformats.org/officeDocument/2006/relationships/hyperlink" Target="https://www.instagram.com/mohebin_azahra/" TargetMode="External"/><Relationship Id="rId9735" Type="http://schemas.openxmlformats.org/officeDocument/2006/relationships/hyperlink" Target="https://eitaa.com/Mesbah_Alhoda72" TargetMode="External"/><Relationship Id="rId8400" Type="http://schemas.openxmlformats.org/officeDocument/2006/relationships/hyperlink" Target="https://eitaa.com/gharibmadine1" TargetMode="External"/><Relationship Id="rId9736" Type="http://schemas.openxmlformats.org/officeDocument/2006/relationships/drawing" Target="../drawings/drawing1.xml"/><Relationship Id="rId8406" Type="http://schemas.openxmlformats.org/officeDocument/2006/relationships/hyperlink" Target="https://eitaa.com/saghalain_isf" TargetMode="External"/><Relationship Id="rId9730" Type="http://schemas.openxmlformats.org/officeDocument/2006/relationships/hyperlink" Target="https://eitaa.com/rayahin_ir" TargetMode="External"/><Relationship Id="rId8405" Type="http://schemas.openxmlformats.org/officeDocument/2006/relationships/hyperlink" Target="https://www.instagram.com/saghalain_isf/" TargetMode="External"/><Relationship Id="rId9731" Type="http://schemas.openxmlformats.org/officeDocument/2006/relationships/hyperlink" Target="https://eitaa.com/MournersofSakhvid2023" TargetMode="External"/><Relationship Id="rId8404" Type="http://schemas.openxmlformats.org/officeDocument/2006/relationships/hyperlink" Target="https://eitaa.com/javad_alaemeh_ir" TargetMode="External"/><Relationship Id="rId9732" Type="http://schemas.openxmlformats.org/officeDocument/2006/relationships/hyperlink" Target="https://eitaa.com/shahzadeh_aliakbar_yazd" TargetMode="External"/><Relationship Id="rId8403" Type="http://schemas.openxmlformats.org/officeDocument/2006/relationships/hyperlink" Target="https://www.instagram.com/javad_alaemeh_ir/" TargetMode="External"/><Relationship Id="rId9733" Type="http://schemas.openxmlformats.org/officeDocument/2006/relationships/hyperlink" Target="https://eitaa.com/shabab_al_zahra_yazd" TargetMode="External"/><Relationship Id="rId9727" Type="http://schemas.openxmlformats.org/officeDocument/2006/relationships/hyperlink" Target="https://eitaa.com/rayat_yazd" TargetMode="External"/><Relationship Id="rId9728" Type="http://schemas.openxmlformats.org/officeDocument/2006/relationships/hyperlink" Target="https://eitaa.com/mahdiehmeybod" TargetMode="External"/><Relationship Id="rId9729" Type="http://schemas.openxmlformats.org/officeDocument/2006/relationships/hyperlink" Target="https://eitaa.com/ansarollhosrinnajaf" TargetMode="External"/><Relationship Id="rId9723" Type="http://schemas.openxmlformats.org/officeDocument/2006/relationships/hyperlink" Target="https://eitaa.com/Mokeb_emamreza_yzd" TargetMode="External"/><Relationship Id="rId9724" Type="http://schemas.openxmlformats.org/officeDocument/2006/relationships/hyperlink" Target="https://www.instagram.com/heyat.fatemieh.firoozabad1351" TargetMode="External"/><Relationship Id="rId9725" Type="http://schemas.openxmlformats.org/officeDocument/2006/relationships/hyperlink" Target="https://eitaa.com/beytolabbasyazd133" TargetMode="External"/><Relationship Id="rId9726" Type="http://schemas.openxmlformats.org/officeDocument/2006/relationships/hyperlink" Target="https://eitaa.com/yazdmokeb" TargetMode="External"/><Relationship Id="rId9720" Type="http://schemas.openxmlformats.org/officeDocument/2006/relationships/hyperlink" Target="https://www.instagram.com/mehrizbaghebahar" TargetMode="External"/><Relationship Id="rId9721" Type="http://schemas.openxmlformats.org/officeDocument/2006/relationships/hyperlink" Target="https://eitaa.com/baghebahar" TargetMode="External"/><Relationship Id="rId9722" Type="http://schemas.openxmlformats.org/officeDocument/2006/relationships/hyperlink" Target="https://eitaa.com/mokeb_arbaeen_1444" TargetMode="External"/><Relationship Id="rId8429" Type="http://schemas.openxmlformats.org/officeDocument/2006/relationships/hyperlink" Target="https://t.me/heyateansarolmahdi313" TargetMode="External"/><Relationship Id="rId8420" Type="http://schemas.openxmlformats.org/officeDocument/2006/relationships/hyperlink" Target="https://www.instagram.com/h14maasom" TargetMode="External"/><Relationship Id="rId8424" Type="http://schemas.openxmlformats.org/officeDocument/2006/relationships/hyperlink" Target="https://www.instagram.com/qodsian_com/" TargetMode="External"/><Relationship Id="rId8423" Type="http://schemas.openxmlformats.org/officeDocument/2006/relationships/hyperlink" Target="https://www.instagram.com/heyaat_ali_akbar_alamat/" TargetMode="External"/><Relationship Id="rId8422" Type="http://schemas.openxmlformats.org/officeDocument/2006/relationships/hyperlink" Target="https://www.instagram.com/heiat_ghamare_bani_hashem/" TargetMode="External"/><Relationship Id="rId8421" Type="http://schemas.openxmlformats.org/officeDocument/2006/relationships/hyperlink" Target="https://t.me/h14maasom" TargetMode="External"/><Relationship Id="rId8428" Type="http://schemas.openxmlformats.org/officeDocument/2006/relationships/hyperlink" Target="https://www.instagram.com/nahno_ansarolmahdi/" TargetMode="External"/><Relationship Id="rId8427" Type="http://schemas.openxmlformats.org/officeDocument/2006/relationships/hyperlink" Target="https://eitaa.com/ashouraiyan_ir" TargetMode="External"/><Relationship Id="rId8426" Type="http://schemas.openxmlformats.org/officeDocument/2006/relationships/hyperlink" Target="https://www.instagram.com/ashouraiyan" TargetMode="External"/><Relationship Id="rId8425" Type="http://schemas.openxmlformats.org/officeDocument/2006/relationships/hyperlink" Target="https://eitaa.com/qodsian_com" TargetMode="External"/><Relationship Id="rId8419" Type="http://schemas.openxmlformats.org/officeDocument/2006/relationships/hyperlink" Target="https://www.instagram.com/k.kh.r_shahrezaa/" TargetMode="External"/><Relationship Id="rId8418" Type="http://schemas.openxmlformats.org/officeDocument/2006/relationships/hyperlink" Target="https://t.me/sarallahmui" TargetMode="External"/><Relationship Id="rId8413" Type="http://schemas.openxmlformats.org/officeDocument/2006/relationships/hyperlink" Target="https://eitaa.com/mahfelaliakbar" TargetMode="External"/><Relationship Id="rId8412" Type="http://schemas.openxmlformats.org/officeDocument/2006/relationships/hyperlink" Target="https://t.me/bicheragh118" TargetMode="External"/><Relationship Id="rId8411" Type="http://schemas.openxmlformats.org/officeDocument/2006/relationships/hyperlink" Target="https://www.instagram.com/bicheragh118/" TargetMode="External"/><Relationship Id="rId8410" Type="http://schemas.openxmlformats.org/officeDocument/2006/relationships/hyperlink" Target="https://eitaa.com/hqasem201" TargetMode="External"/><Relationship Id="rId8417" Type="http://schemas.openxmlformats.org/officeDocument/2006/relationships/hyperlink" Target="https://www.instagram.com/sarallahmui/" TargetMode="External"/><Relationship Id="rId8416" Type="http://schemas.openxmlformats.org/officeDocument/2006/relationships/hyperlink" Target="https://eitaa.com/hazratezeinab3" TargetMode="External"/><Relationship Id="rId8415" Type="http://schemas.openxmlformats.org/officeDocument/2006/relationships/hyperlink" Target="https://www.instagram.com/heat_alsiedah_zeinab/" TargetMode="External"/><Relationship Id="rId8414" Type="http://schemas.openxmlformats.org/officeDocument/2006/relationships/hyperlink" Target="https://www.instagram.com/samenolhojj/reels/" TargetMode="External"/><Relationship Id="rId2290" Type="http://schemas.openxmlformats.org/officeDocument/2006/relationships/hyperlink" Target="https://www.instagram.com/payegahealmahdi/" TargetMode="External"/><Relationship Id="rId2291" Type="http://schemas.openxmlformats.org/officeDocument/2006/relationships/hyperlink" Target="https://www.instagram.com/khonemadari_135/" TargetMode="External"/><Relationship Id="rId2292" Type="http://schemas.openxmlformats.org/officeDocument/2006/relationships/hyperlink" Target="https://www.instagram.com/janat.ir/" TargetMode="External"/><Relationship Id="rId2293" Type="http://schemas.openxmlformats.org/officeDocument/2006/relationships/hyperlink" Target="https://t.me/heyatjanat" TargetMode="External"/><Relationship Id="rId2294" Type="http://schemas.openxmlformats.org/officeDocument/2006/relationships/hyperlink" Target="https://eitaa.com/heyatjanat" TargetMode="External"/><Relationship Id="rId2295" Type="http://schemas.openxmlformats.org/officeDocument/2006/relationships/hyperlink" Target="https://www.instagram.com/montazeran_monji_rasht/" TargetMode="External"/><Relationship Id="rId2296" Type="http://schemas.openxmlformats.org/officeDocument/2006/relationships/hyperlink" Target="https://www.instagram.com/montazeran_rasht313/" TargetMode="External"/><Relationship Id="rId2297" Type="http://schemas.openxmlformats.org/officeDocument/2006/relationships/hyperlink" Target="https://t.me/montazeran_rasht313" TargetMode="External"/><Relationship Id="rId2298" Type="http://schemas.openxmlformats.org/officeDocument/2006/relationships/hyperlink" Target="https://www.instagram.com/khaymatolhaydar/" TargetMode="External"/><Relationship Id="rId2299" Type="http://schemas.openxmlformats.org/officeDocument/2006/relationships/hyperlink" Target="https://www.instagram.com/heyatmowlaali/" TargetMode="External"/><Relationship Id="rId9716" Type="http://schemas.openxmlformats.org/officeDocument/2006/relationships/hyperlink" Target="https://www.instagram.com/mohammadalivatankhah/" TargetMode="External"/><Relationship Id="rId9717" Type="http://schemas.openxmlformats.org/officeDocument/2006/relationships/hyperlink" Target="http://www.haram133.com" TargetMode="External"/><Relationship Id="rId9718" Type="http://schemas.openxmlformats.org/officeDocument/2006/relationships/hyperlink" Target="https://eitaa.com/shababalhasan" TargetMode="External"/><Relationship Id="rId9719" Type="http://schemas.openxmlformats.org/officeDocument/2006/relationships/hyperlink" Target="https://eitaa.com/yhi_com" TargetMode="External"/><Relationship Id="rId9712" Type="http://schemas.openxmlformats.org/officeDocument/2006/relationships/hyperlink" Target="https://www.instagram.com/sabbaghan_yazd/" TargetMode="External"/><Relationship Id="rId9713" Type="http://schemas.openxmlformats.org/officeDocument/2006/relationships/hyperlink" Target="http://t.me/sabbaghan_yazd" TargetMode="External"/><Relationship Id="rId9714" Type="http://schemas.openxmlformats.org/officeDocument/2006/relationships/hyperlink" Target="https://www.instagram.com/haram133.info" TargetMode="External"/><Relationship Id="rId9715" Type="http://schemas.openxmlformats.org/officeDocument/2006/relationships/hyperlink" Target="https://t.me/haram133" TargetMode="External"/><Relationship Id="rId9710" Type="http://schemas.openxmlformats.org/officeDocument/2006/relationships/hyperlink" Target="https://www.instagram.com/kheymeh.gahe_abas/" TargetMode="External"/><Relationship Id="rId9711" Type="http://schemas.openxmlformats.org/officeDocument/2006/relationships/hyperlink" Target="https://www.instagram.com/malamir_yazd/" TargetMode="External"/><Relationship Id="rId9709" Type="http://schemas.openxmlformats.org/officeDocument/2006/relationships/hyperlink" Target="https://www.instagram.com/janatabad_yazd/" TargetMode="External"/><Relationship Id="rId9705" Type="http://schemas.openxmlformats.org/officeDocument/2006/relationships/hyperlink" Target="https://www.instagram.com/darolabbas/" TargetMode="External"/><Relationship Id="rId9706" Type="http://schemas.openxmlformats.org/officeDocument/2006/relationships/hyperlink" Target="https://www.instagram.com/kalak_ghafur_original/" TargetMode="External"/><Relationship Id="rId9707" Type="http://schemas.openxmlformats.org/officeDocument/2006/relationships/hyperlink" Target="https://t.me/Ghafournews" TargetMode="External"/><Relationship Id="rId9708" Type="http://schemas.openxmlformats.org/officeDocument/2006/relationships/hyperlink" Target="https://www.instagram.com/mahale_saresang_yazd/" TargetMode="External"/><Relationship Id="rId9701" Type="http://schemas.openxmlformats.org/officeDocument/2006/relationships/hyperlink" Target="https://www.instagram.com/ebrahimabad.yazd/" TargetMode="External"/><Relationship Id="rId9702" Type="http://schemas.openxmlformats.org/officeDocument/2006/relationships/hyperlink" Target="https://www.instagram.com/daroshefa.yazd/" TargetMode="External"/><Relationship Id="rId9703" Type="http://schemas.openxmlformats.org/officeDocument/2006/relationships/hyperlink" Target="https://www.instagram.com/alamdaran.yazd/" TargetMode="External"/><Relationship Id="rId9704" Type="http://schemas.openxmlformats.org/officeDocument/2006/relationships/hyperlink" Target="https://www.instagram.com/heyat_abolfazle_abeshoor_yazd/" TargetMode="External"/><Relationship Id="rId9700" Type="http://schemas.openxmlformats.org/officeDocument/2006/relationships/hyperlink" Target="https://www.instagram.com/neynava_yazd/" TargetMode="External"/><Relationship Id="rId7151" Type="http://schemas.openxmlformats.org/officeDocument/2006/relationships/hyperlink" Target="https://www.instagram.com/mahfel_ammarion/" TargetMode="External"/><Relationship Id="rId8482" Type="http://schemas.openxmlformats.org/officeDocument/2006/relationships/hyperlink" Target="https://eitaa.com/m_darosalam" TargetMode="External"/><Relationship Id="rId7150" Type="http://schemas.openxmlformats.org/officeDocument/2006/relationships/hyperlink" Target="https://www.instagram.com/yahossein__ir/" TargetMode="External"/><Relationship Id="rId8481" Type="http://schemas.openxmlformats.org/officeDocument/2006/relationships/hyperlink" Target="https://t.me/m_darosalam" TargetMode="External"/><Relationship Id="rId8480" Type="http://schemas.openxmlformats.org/officeDocument/2006/relationships/hyperlink" Target="https://www.instagram.com/mf_darosalam/" TargetMode="External"/><Relationship Id="rId7155" Type="http://schemas.openxmlformats.org/officeDocument/2006/relationships/hyperlink" Target="https://www.instagram.com/razmandegane_saveh/" TargetMode="External"/><Relationship Id="rId8486" Type="http://schemas.openxmlformats.org/officeDocument/2006/relationships/hyperlink" Target="https://eitaa.com/moheban70" TargetMode="External"/><Relationship Id="rId7154" Type="http://schemas.openxmlformats.org/officeDocument/2006/relationships/hyperlink" Target="http://instagram.com/alyasinsaveh/" TargetMode="External"/><Relationship Id="rId8485" Type="http://schemas.openxmlformats.org/officeDocument/2006/relationships/hyperlink" Target="https://www.instagram.com/moheban70" TargetMode="External"/><Relationship Id="rId7153" Type="http://schemas.openxmlformats.org/officeDocument/2006/relationships/hyperlink" Target="https://t.me/samenolaemehsaveh" TargetMode="External"/><Relationship Id="rId8484" Type="http://schemas.openxmlformats.org/officeDocument/2006/relationships/hyperlink" Target="https://eitaa.com/roze_borkhar" TargetMode="External"/><Relationship Id="rId7152" Type="http://schemas.openxmlformats.org/officeDocument/2006/relationships/hyperlink" Target="https://www.instagram.com/samenolaemehsaveh/" TargetMode="External"/><Relationship Id="rId8483" Type="http://schemas.openxmlformats.org/officeDocument/2006/relationships/hyperlink" Target="https://www.instagram.com/ya_aliasghar.ir/" TargetMode="External"/><Relationship Id="rId7159" Type="http://schemas.openxmlformats.org/officeDocument/2006/relationships/hyperlink" Target="https://t.me/rozatolghasem_saveh" TargetMode="External"/><Relationship Id="rId7158" Type="http://schemas.openxmlformats.org/officeDocument/2006/relationships/hyperlink" Target="https://www.instagram.com/rozatolghasem_saveh/" TargetMode="External"/><Relationship Id="rId8489" Type="http://schemas.openxmlformats.org/officeDocument/2006/relationships/hyperlink" Target="https://eitaa.com/heyatseraj" TargetMode="External"/><Relationship Id="rId7157" Type="http://schemas.openxmlformats.org/officeDocument/2006/relationships/hyperlink" Target="https://www.instagram.com/heyat_sarallah_saveh/" TargetMode="External"/><Relationship Id="rId8488" Type="http://schemas.openxmlformats.org/officeDocument/2006/relationships/hyperlink" Target="https://www.instagram.com/seraj_media" TargetMode="External"/><Relationship Id="rId7156" Type="http://schemas.openxmlformats.org/officeDocument/2006/relationships/hyperlink" Target="https://www.instagram.com/mokeb.saveh/" TargetMode="External"/><Relationship Id="rId8487" Type="http://schemas.openxmlformats.org/officeDocument/2006/relationships/hyperlink" Target="https://eitaa.com/reyhaneh_info" TargetMode="External"/><Relationship Id="rId7140" Type="http://schemas.openxmlformats.org/officeDocument/2006/relationships/hyperlink" Target="https://t.me/reyhanatolhooseinsaveh" TargetMode="External"/><Relationship Id="rId8471" Type="http://schemas.openxmlformats.org/officeDocument/2006/relationships/hyperlink" Target="https://eitaa.com/rozatolabbas1" TargetMode="External"/><Relationship Id="rId8470" Type="http://schemas.openxmlformats.org/officeDocument/2006/relationships/hyperlink" Target="https://www.instagram.com/rozato_labbas133" TargetMode="External"/><Relationship Id="rId7144" Type="http://schemas.openxmlformats.org/officeDocument/2006/relationships/hyperlink" Target="https://t.me/mokeb_fadaeian" TargetMode="External"/><Relationship Id="rId8475" Type="http://schemas.openxmlformats.org/officeDocument/2006/relationships/hyperlink" Target="https://t.me/Motevaselin_mashhad" TargetMode="External"/><Relationship Id="rId7143" Type="http://schemas.openxmlformats.org/officeDocument/2006/relationships/hyperlink" Target="https://www.instagram.com/mokeb_fadaeian/" TargetMode="External"/><Relationship Id="rId8474" Type="http://schemas.openxmlformats.org/officeDocument/2006/relationships/hyperlink" Target="https://www.instagram.com/motevaselin_mashha/" TargetMode="External"/><Relationship Id="rId7142" Type="http://schemas.openxmlformats.org/officeDocument/2006/relationships/hyperlink" Target="https://t.me/hassaniyon_channel" TargetMode="External"/><Relationship Id="rId8473" Type="http://schemas.openxmlformats.org/officeDocument/2006/relationships/hyperlink" Target="https://t.me/ALMAHDI1360" TargetMode="External"/><Relationship Id="rId7141" Type="http://schemas.openxmlformats.org/officeDocument/2006/relationships/hyperlink" Target="https://www.instagram.com/hassaniyon/" TargetMode="External"/><Relationship Id="rId8472" Type="http://schemas.openxmlformats.org/officeDocument/2006/relationships/hyperlink" Target="https://www.instagram.com/heyat_javanan14/reels/" TargetMode="External"/><Relationship Id="rId7148" Type="http://schemas.openxmlformats.org/officeDocument/2006/relationships/hyperlink" Target="https://www.instagram.com/heyat_fastaghem/" TargetMode="External"/><Relationship Id="rId8479" Type="http://schemas.openxmlformats.org/officeDocument/2006/relationships/hyperlink" Target="https://t.me/harandheatabalfazlabas" TargetMode="External"/><Relationship Id="rId7147" Type="http://schemas.openxmlformats.org/officeDocument/2006/relationships/hyperlink" Target="https://t.me/beytolhasaan" TargetMode="External"/><Relationship Id="rId8478" Type="http://schemas.openxmlformats.org/officeDocument/2006/relationships/hyperlink" Target="https://www.instagram.com/heyat.abalfazl.harand/" TargetMode="External"/><Relationship Id="rId7146" Type="http://schemas.openxmlformats.org/officeDocument/2006/relationships/hyperlink" Target="https://www.instagram.com/beytolhasaan/" TargetMode="External"/><Relationship Id="rId8477" Type="http://schemas.openxmlformats.org/officeDocument/2006/relationships/hyperlink" Target="https://t.me/khademo_lhasan_valhosein" TargetMode="External"/><Relationship Id="rId7145" Type="http://schemas.openxmlformats.org/officeDocument/2006/relationships/hyperlink" Target="https://eitaa.com/mokeb_fadaeian" TargetMode="External"/><Relationship Id="rId8476" Type="http://schemas.openxmlformats.org/officeDocument/2006/relationships/hyperlink" Target="https://www.instagram.com/khademo_lhasan_valhosein/" TargetMode="External"/><Relationship Id="rId7149" Type="http://schemas.openxmlformats.org/officeDocument/2006/relationships/hyperlink" Target="https://eitaa.com/fastaghem_saveh" TargetMode="External"/><Relationship Id="rId4901" Type="http://schemas.openxmlformats.org/officeDocument/2006/relationships/hyperlink" Target="https://www.instagram.com/heyate_emam_hasan_mojtaba" TargetMode="External"/><Relationship Id="rId4900" Type="http://schemas.openxmlformats.org/officeDocument/2006/relationships/hyperlink" Target="https://www.instagram.com/noorolshohada.ir/" TargetMode="External"/><Relationship Id="rId4903" Type="http://schemas.openxmlformats.org/officeDocument/2006/relationships/hyperlink" Target="https://www.instagram.com/heyate_hazrate_roqayeh95/" TargetMode="External"/><Relationship Id="rId4902" Type="http://schemas.openxmlformats.org/officeDocument/2006/relationships/hyperlink" Target="https://www.instagram.com/heiatsarallah96/" TargetMode="External"/><Relationship Id="rId4905" Type="http://schemas.openxmlformats.org/officeDocument/2006/relationships/hyperlink" Target="https://www.instagram.com/aliakbar_h333" TargetMode="External"/><Relationship Id="rId4904" Type="http://schemas.openxmlformats.org/officeDocument/2006/relationships/hyperlink" Target="https://www.instagram.com/javanan_bnihashem" TargetMode="External"/><Relationship Id="rId4907" Type="http://schemas.openxmlformats.org/officeDocument/2006/relationships/hyperlink" Target="https://www.instagram.com/hasan.jafary313/" TargetMode="External"/><Relationship Id="rId4906" Type="http://schemas.openxmlformats.org/officeDocument/2006/relationships/hyperlink" Target="http://eitaa.com/aliakbar_h333" TargetMode="External"/><Relationship Id="rId4909" Type="http://schemas.openxmlformats.org/officeDocument/2006/relationships/hyperlink" Target="https://t.me/montazeran_mahdi_aj_gonbad" TargetMode="External"/><Relationship Id="rId4908" Type="http://schemas.openxmlformats.org/officeDocument/2006/relationships/hyperlink" Target="https://www.instagram.com/313montazeran_com/" TargetMode="External"/><Relationship Id="rId7180" Type="http://schemas.openxmlformats.org/officeDocument/2006/relationships/hyperlink" Target="https://www.instagram.com/hazrat_roghayye_saveh" TargetMode="External"/><Relationship Id="rId7173" Type="http://schemas.openxmlformats.org/officeDocument/2006/relationships/hyperlink" Target="https://www.instagram.com/mokeb.amiralmomenin/" TargetMode="External"/><Relationship Id="rId7172" Type="http://schemas.openxmlformats.org/officeDocument/2006/relationships/hyperlink" Target="https://t.me/hasanjan_channel" TargetMode="External"/><Relationship Id="rId7171" Type="http://schemas.openxmlformats.org/officeDocument/2006/relationships/hyperlink" Target="https://www.instagram.com/hasanjaan_/" TargetMode="External"/><Relationship Id="rId7170" Type="http://schemas.openxmlformats.org/officeDocument/2006/relationships/hyperlink" Target="https://t.me/Mohebban_Zeynabb" TargetMode="External"/><Relationship Id="rId7177" Type="http://schemas.openxmlformats.org/officeDocument/2006/relationships/hyperlink" Target="http://t.me/AB72ir" TargetMode="External"/><Relationship Id="rId7176" Type="http://schemas.openxmlformats.org/officeDocument/2006/relationships/hyperlink" Target="https://www.instagram.com/ab72ir" TargetMode="External"/><Relationship Id="rId7175" Type="http://schemas.openxmlformats.org/officeDocument/2006/relationships/hyperlink" Target="https://www.instagram.com/heyat.hazrat.6.mahe.saveh/" TargetMode="External"/><Relationship Id="rId7174" Type="http://schemas.openxmlformats.org/officeDocument/2006/relationships/hyperlink" Target="https://www.instagram.com/mohebban_saveh/" TargetMode="External"/><Relationship Id="rId7179" Type="http://schemas.openxmlformats.org/officeDocument/2006/relationships/hyperlink" Target="https://eitaa.com/merajoshohada_saveh_ir" TargetMode="External"/><Relationship Id="rId7178" Type="http://schemas.openxmlformats.org/officeDocument/2006/relationships/hyperlink" Target="https://www.instagram.com/merajoshohada_saveh.ir/" TargetMode="External"/><Relationship Id="rId7162" Type="http://schemas.openxmlformats.org/officeDocument/2006/relationships/hyperlink" Target="https://www.instagram.com/abnaalzahra_saveh/" TargetMode="External"/><Relationship Id="rId8493" Type="http://schemas.openxmlformats.org/officeDocument/2006/relationships/hyperlink" Target="https://www.instagram.com/ensiatolhaoraa" TargetMode="External"/><Relationship Id="rId7161" Type="http://schemas.openxmlformats.org/officeDocument/2006/relationships/hyperlink" Target="https://www.instagram.com/heyat_maktab_ghoraan/" TargetMode="External"/><Relationship Id="rId8492" Type="http://schemas.openxmlformats.org/officeDocument/2006/relationships/hyperlink" Target="https://eitaa.com/heyatalzahragolpa" TargetMode="External"/><Relationship Id="rId7160" Type="http://schemas.openxmlformats.org/officeDocument/2006/relationships/hyperlink" Target="https://www.instagram.com/mokeb_saheb_alzaman_saveh/" TargetMode="External"/><Relationship Id="rId8491" Type="http://schemas.openxmlformats.org/officeDocument/2006/relationships/hyperlink" Target="https://t.me/heyatallzahra" TargetMode="External"/><Relationship Id="rId8490" Type="http://schemas.openxmlformats.org/officeDocument/2006/relationships/hyperlink" Target="https://www.instagram.com/heyatallzahra/" TargetMode="External"/><Relationship Id="rId7166" Type="http://schemas.openxmlformats.org/officeDocument/2006/relationships/hyperlink" Target="https://www.instagram.com/ansarlhasan_saveh/" TargetMode="External"/><Relationship Id="rId8497" Type="http://schemas.openxmlformats.org/officeDocument/2006/relationships/hyperlink" Target="https://www.instagram.com/heydariioon" TargetMode="External"/><Relationship Id="rId7165" Type="http://schemas.openxmlformats.org/officeDocument/2006/relationships/hyperlink" Target="https://t.me/enghelab14" TargetMode="External"/><Relationship Id="rId8496" Type="http://schemas.openxmlformats.org/officeDocument/2006/relationships/hyperlink" Target="https://eitaa.com/ansarolhossein_esf" TargetMode="External"/><Relationship Id="rId7164" Type="http://schemas.openxmlformats.org/officeDocument/2006/relationships/hyperlink" Target="https://www.instagram.com/shahzadeh_aliasghar_saveh/" TargetMode="External"/><Relationship Id="rId8495" Type="http://schemas.openxmlformats.org/officeDocument/2006/relationships/hyperlink" Target="https://www.instagram.com/ansarolhossein.esf" TargetMode="External"/><Relationship Id="rId7163" Type="http://schemas.openxmlformats.org/officeDocument/2006/relationships/hyperlink" Target="https://eitaa.com/abnaalzahra_saveh" TargetMode="External"/><Relationship Id="rId8494" Type="http://schemas.openxmlformats.org/officeDocument/2006/relationships/hyperlink" Target="https://eitaa.com/ensiatalhora" TargetMode="External"/><Relationship Id="rId7169" Type="http://schemas.openxmlformats.org/officeDocument/2006/relationships/hyperlink" Target="https://www.instagram.com/mohebbanzeynab_ir/" TargetMode="External"/><Relationship Id="rId7168" Type="http://schemas.openxmlformats.org/officeDocument/2006/relationships/hyperlink" Target="https://t.me/BeitalShahda" TargetMode="External"/><Relationship Id="rId8499" Type="http://schemas.openxmlformats.org/officeDocument/2006/relationships/hyperlink" Target="https://www.instagram.com/heyat_daroleshgh/" TargetMode="External"/><Relationship Id="rId7167" Type="http://schemas.openxmlformats.org/officeDocument/2006/relationships/hyperlink" Target="https://www.instagram.com/beitalshahda/" TargetMode="External"/><Relationship Id="rId8498" Type="http://schemas.openxmlformats.org/officeDocument/2006/relationships/hyperlink" Target="https://eitaa.com/khshohada_ir" TargetMode="External"/><Relationship Id="rId7111" Type="http://schemas.openxmlformats.org/officeDocument/2006/relationships/hyperlink" Target="https://www.instagram.com/moheban_bani_fatemeh/" TargetMode="External"/><Relationship Id="rId8442" Type="http://schemas.openxmlformats.org/officeDocument/2006/relationships/hyperlink" Target="https://eitaa.com/pesaranefahmide" TargetMode="External"/><Relationship Id="rId7110" Type="http://schemas.openxmlformats.org/officeDocument/2006/relationships/hyperlink" Target="https://www.instagram.com/hre_delijan/" TargetMode="External"/><Relationship Id="rId8441" Type="http://schemas.openxmlformats.org/officeDocument/2006/relationships/hyperlink" Target="https://eitaa.com/khshohada_ir" TargetMode="External"/><Relationship Id="rId8440" Type="http://schemas.openxmlformats.org/officeDocument/2006/relationships/hyperlink" Target="https://www.instagram.com/khshohada_ir1" TargetMode="External"/><Relationship Id="rId7115" Type="http://schemas.openxmlformats.org/officeDocument/2006/relationships/hyperlink" Target="https://www.instagram.com/heyat.re.mamunieh/" TargetMode="External"/><Relationship Id="rId8446" Type="http://schemas.openxmlformats.org/officeDocument/2006/relationships/hyperlink" Target="https://www.instagram.com/heiat_labbayk/" TargetMode="External"/><Relationship Id="rId7114" Type="http://schemas.openxmlformats.org/officeDocument/2006/relationships/hyperlink" Target="https://t.me/soltaneshghdelijan" TargetMode="External"/><Relationship Id="rId8445" Type="http://schemas.openxmlformats.org/officeDocument/2006/relationships/hyperlink" Target="https://eitaa.com/aqrkhomeinishahr" TargetMode="External"/><Relationship Id="rId7113" Type="http://schemas.openxmlformats.org/officeDocument/2006/relationships/hyperlink" Target="https://www.instagram.com/soltane_eshgh_128/" TargetMode="External"/><Relationship Id="rId8444" Type="http://schemas.openxmlformats.org/officeDocument/2006/relationships/hyperlink" Target="https://eitaa.com/ostad_motahary" TargetMode="External"/><Relationship Id="rId7112" Type="http://schemas.openxmlformats.org/officeDocument/2006/relationships/hyperlink" Target="https://www.instagram.com/oshaghalhossindelijan/" TargetMode="External"/><Relationship Id="rId8443" Type="http://schemas.openxmlformats.org/officeDocument/2006/relationships/hyperlink" Target="https://www.instagram.com/ostad_motahary/" TargetMode="External"/><Relationship Id="rId7119" Type="http://schemas.openxmlformats.org/officeDocument/2006/relationships/hyperlink" Target="https://www.instagram.com/heyate_ghamare.banihashem/" TargetMode="External"/><Relationship Id="rId7118" Type="http://schemas.openxmlformats.org/officeDocument/2006/relationships/hyperlink" Target="https://eitaa.com/Heyatozzahra128" TargetMode="External"/><Relationship Id="rId8449" Type="http://schemas.openxmlformats.org/officeDocument/2006/relationships/hyperlink" Target="https://eitaa.com/heyat_kh" TargetMode="External"/><Relationship Id="rId7117" Type="http://schemas.openxmlformats.org/officeDocument/2006/relationships/hyperlink" Target="https://www.instagram.com/heyatozzahra128" TargetMode="External"/><Relationship Id="rId8448" Type="http://schemas.openxmlformats.org/officeDocument/2006/relationships/hyperlink" Target="https://eitaa.com/Heiat_Labbayk" TargetMode="External"/><Relationship Id="rId7116" Type="http://schemas.openxmlformats.org/officeDocument/2006/relationships/hyperlink" Target="https://t.me/razmandeganeeslammamunieh" TargetMode="External"/><Relationship Id="rId8447" Type="http://schemas.openxmlformats.org/officeDocument/2006/relationships/hyperlink" Target="https://t.me/Heiat_Labbayk" TargetMode="External"/><Relationship Id="rId7109" Type="http://schemas.openxmlformats.org/officeDocument/2006/relationships/hyperlink" Target="https://www.instagram.com/heyat_aliakbri_delijan/" TargetMode="External"/><Relationship Id="rId7100" Type="http://schemas.openxmlformats.org/officeDocument/2006/relationships/hyperlink" Target="https://www.instagram.com/heyat_azam_hazrat_abalfazl/" TargetMode="External"/><Relationship Id="rId8431" Type="http://schemas.openxmlformats.org/officeDocument/2006/relationships/hyperlink" Target="https://eitaa.com/mohebin_zahra135" TargetMode="External"/><Relationship Id="rId8430" Type="http://schemas.openxmlformats.org/officeDocument/2006/relationships/hyperlink" Target="https://www.instagram.com/mohebin_zahra135/" TargetMode="External"/><Relationship Id="rId7104" Type="http://schemas.openxmlformats.org/officeDocument/2006/relationships/hyperlink" Target="https://www.instagram.com/yavaran_mahdi_khondab" TargetMode="External"/><Relationship Id="rId8435" Type="http://schemas.openxmlformats.org/officeDocument/2006/relationships/hyperlink" Target="https://eitaa.com/maktabolhossein313" TargetMode="External"/><Relationship Id="rId7103" Type="http://schemas.openxmlformats.org/officeDocument/2006/relationships/hyperlink" Target="https://www.instagram.com/majmae_heydarion" TargetMode="External"/><Relationship Id="rId8434" Type="http://schemas.openxmlformats.org/officeDocument/2006/relationships/hyperlink" Target="https://www.instagram.com/maktabolhossein313" TargetMode="External"/><Relationship Id="rId7102" Type="http://schemas.openxmlformats.org/officeDocument/2006/relationships/hyperlink" Target="https://t.me/hqemz" TargetMode="External"/><Relationship Id="rId8433" Type="http://schemas.openxmlformats.org/officeDocument/2006/relationships/hyperlink" Target="https://eitaa.com/sahebazzaman313_1402" TargetMode="External"/><Relationship Id="rId7101" Type="http://schemas.openxmlformats.org/officeDocument/2006/relationships/hyperlink" Target="https://www.instagram.com/quran_emam_zaman/" TargetMode="External"/><Relationship Id="rId8432" Type="http://schemas.openxmlformats.org/officeDocument/2006/relationships/hyperlink" Target="https://www.instagram.com/hmzg.ir/" TargetMode="External"/><Relationship Id="rId7108" Type="http://schemas.openxmlformats.org/officeDocument/2006/relationships/hyperlink" Target="https://www.instagram.com/heyat_hazratabalfazl_delijan" TargetMode="External"/><Relationship Id="rId8439" Type="http://schemas.openxmlformats.org/officeDocument/2006/relationships/hyperlink" Target="https://eitaa.com/omolbanin_98" TargetMode="External"/><Relationship Id="rId7107" Type="http://schemas.openxmlformats.org/officeDocument/2006/relationships/hyperlink" Target="https://t.me/fotrosdelijan" TargetMode="External"/><Relationship Id="rId8438" Type="http://schemas.openxmlformats.org/officeDocument/2006/relationships/hyperlink" Target="https://www.instagram.com/qamare.bani.hashem/" TargetMode="External"/><Relationship Id="rId7106" Type="http://schemas.openxmlformats.org/officeDocument/2006/relationships/hyperlink" Target="https://www.instagram.com/fotros_delijan" TargetMode="External"/><Relationship Id="rId8437" Type="http://schemas.openxmlformats.org/officeDocument/2006/relationships/hyperlink" Target="https://eitaa.com/heyat_Al_shahid_shahreza" TargetMode="External"/><Relationship Id="rId7105" Type="http://schemas.openxmlformats.org/officeDocument/2006/relationships/hyperlink" Target="https://www.instagram.com/heiate_aliakbar_javersiyan/" TargetMode="External"/><Relationship Id="rId8436" Type="http://schemas.openxmlformats.org/officeDocument/2006/relationships/hyperlink" Target="https://www.instagram.com/heyat_al_shahid" TargetMode="External"/><Relationship Id="rId8460" Type="http://schemas.openxmlformats.org/officeDocument/2006/relationships/hyperlink" Target="https://eitaa.com/patogh2khtaran" TargetMode="External"/><Relationship Id="rId7133" Type="http://schemas.openxmlformats.org/officeDocument/2006/relationships/hyperlink" Target="https://t.me/h_khademalhosein" TargetMode="External"/><Relationship Id="rId8464" Type="http://schemas.openxmlformats.org/officeDocument/2006/relationships/hyperlink" Target="https://www.instagram.com/gomnam_ui/" TargetMode="External"/><Relationship Id="rId7132" Type="http://schemas.openxmlformats.org/officeDocument/2006/relationships/hyperlink" Target="https://www.instagram.com/khademalhosein_saveh/" TargetMode="External"/><Relationship Id="rId8463" Type="http://schemas.openxmlformats.org/officeDocument/2006/relationships/hyperlink" Target="https://eitaa.com/gomnam_ui" TargetMode="External"/><Relationship Id="rId7131" Type="http://schemas.openxmlformats.org/officeDocument/2006/relationships/hyperlink" Target="https://www.instagram.com/seyedoshohada_saveh/" TargetMode="External"/><Relationship Id="rId8462" Type="http://schemas.openxmlformats.org/officeDocument/2006/relationships/hyperlink" Target="https://t.me/gomnam_uisf" TargetMode="External"/><Relationship Id="rId7130" Type="http://schemas.openxmlformats.org/officeDocument/2006/relationships/hyperlink" Target="https://t.me/zovaroalzahra_saveh" TargetMode="External"/><Relationship Id="rId8461" Type="http://schemas.openxmlformats.org/officeDocument/2006/relationships/hyperlink" Target="https://www.instagram.com/gomnam_ui" TargetMode="External"/><Relationship Id="rId7137" Type="http://schemas.openxmlformats.org/officeDocument/2006/relationships/hyperlink" Target="https://t.me/javadalaemeh_saveh" TargetMode="External"/><Relationship Id="rId8468" Type="http://schemas.openxmlformats.org/officeDocument/2006/relationships/hyperlink" Target="https://t.me/masjed_iut" TargetMode="External"/><Relationship Id="rId7136" Type="http://schemas.openxmlformats.org/officeDocument/2006/relationships/hyperlink" Target="https://www.instagram.com/javadalaemeh_saveh/" TargetMode="External"/><Relationship Id="rId8467" Type="http://schemas.openxmlformats.org/officeDocument/2006/relationships/hyperlink" Target="https://www.instagram.com/masjed_iut" TargetMode="External"/><Relationship Id="rId7135" Type="http://schemas.openxmlformats.org/officeDocument/2006/relationships/hyperlink" Target="https://www.instagram.com/alamdar__saveh/" TargetMode="External"/><Relationship Id="rId8466" Type="http://schemas.openxmlformats.org/officeDocument/2006/relationships/hyperlink" Target="https://eitaa.com/gomnam_ui" TargetMode="External"/><Relationship Id="rId7134" Type="http://schemas.openxmlformats.org/officeDocument/2006/relationships/hyperlink" Target="https://www.instagram.com/heyati_77/" TargetMode="External"/><Relationship Id="rId8465" Type="http://schemas.openxmlformats.org/officeDocument/2006/relationships/hyperlink" Target="https://t.me/gomnam_ui" TargetMode="External"/><Relationship Id="rId7139" Type="http://schemas.openxmlformats.org/officeDocument/2006/relationships/hyperlink" Target="https://www.instagram.com/reyhanelive.saveh/" TargetMode="External"/><Relationship Id="rId7138" Type="http://schemas.openxmlformats.org/officeDocument/2006/relationships/hyperlink" Target="https://www.instagram.com/masjedmehvar_saveh/" TargetMode="External"/><Relationship Id="rId8469" Type="http://schemas.openxmlformats.org/officeDocument/2006/relationships/hyperlink" Target="https://eitaa.com/masjed_iut" TargetMode="External"/><Relationship Id="rId7122" Type="http://schemas.openxmlformats.org/officeDocument/2006/relationships/hyperlink" Target="https://www.instagram.com/karbalaei_saveh/" TargetMode="External"/><Relationship Id="rId8453" Type="http://schemas.openxmlformats.org/officeDocument/2006/relationships/hyperlink" Target="https://www.instagram.com/kanun.zekr/" TargetMode="External"/><Relationship Id="rId7121" Type="http://schemas.openxmlformats.org/officeDocument/2006/relationships/hyperlink" Target="https://www.instagram.com/seyed_alshohada.zavieh" TargetMode="External"/><Relationship Id="rId8452" Type="http://schemas.openxmlformats.org/officeDocument/2006/relationships/hyperlink" Target="https://eitaa.com/heyatsf315" TargetMode="External"/><Relationship Id="rId7120" Type="http://schemas.openxmlformats.org/officeDocument/2006/relationships/hyperlink" Target="https://www.instagram.com/oshagholabasiha/" TargetMode="External"/><Relationship Id="rId8451" Type="http://schemas.openxmlformats.org/officeDocument/2006/relationships/hyperlink" Target="https://t.me/heyatsf" TargetMode="External"/><Relationship Id="rId8450" Type="http://schemas.openxmlformats.org/officeDocument/2006/relationships/hyperlink" Target="https://www.instagram.com/Mesbah315.esf" TargetMode="External"/><Relationship Id="rId7126" Type="http://schemas.openxmlformats.org/officeDocument/2006/relationships/hyperlink" Target="https://eitaa.com/hadisneynava" TargetMode="External"/><Relationship Id="rId8457" Type="http://schemas.openxmlformats.org/officeDocument/2006/relationships/hyperlink" Target="https://www.instagram.com/maktabo_ssadegh/" TargetMode="External"/><Relationship Id="rId7125" Type="http://schemas.openxmlformats.org/officeDocument/2006/relationships/hyperlink" Target="http://t.me/ahrar_saveh" TargetMode="External"/><Relationship Id="rId8456" Type="http://schemas.openxmlformats.org/officeDocument/2006/relationships/hyperlink" Target="https://t.me/maktab_alreza" TargetMode="External"/><Relationship Id="rId7124" Type="http://schemas.openxmlformats.org/officeDocument/2006/relationships/hyperlink" Target="https://www.instagram.com/ahrar_ir/" TargetMode="External"/><Relationship Id="rId8455" Type="http://schemas.openxmlformats.org/officeDocument/2006/relationships/hyperlink" Target="https://www.instagram.com/maktab_alreza1379/" TargetMode="External"/><Relationship Id="rId7123" Type="http://schemas.openxmlformats.org/officeDocument/2006/relationships/hyperlink" Target="http://t.me/karbalaei_saveh8" TargetMode="External"/><Relationship Id="rId8454" Type="http://schemas.openxmlformats.org/officeDocument/2006/relationships/hyperlink" Target="https://eitaa.com/kanuonzekr" TargetMode="External"/><Relationship Id="rId7129" Type="http://schemas.openxmlformats.org/officeDocument/2006/relationships/hyperlink" Target="https://www.instagram.com/zovaroalzahra_saveh/" TargetMode="External"/><Relationship Id="rId7128" Type="http://schemas.openxmlformats.org/officeDocument/2006/relationships/hyperlink" Target="https://www.instagram.com/heyat_emamreza_saveh/" TargetMode="External"/><Relationship Id="rId8459" Type="http://schemas.openxmlformats.org/officeDocument/2006/relationships/hyperlink" Target="https://www.instagram.com/patogh2khtarane/" TargetMode="External"/><Relationship Id="rId7127" Type="http://schemas.openxmlformats.org/officeDocument/2006/relationships/hyperlink" Target="https://www.instagram.com/azizamhussein/" TargetMode="External"/><Relationship Id="rId8458" Type="http://schemas.openxmlformats.org/officeDocument/2006/relationships/hyperlink" Target="https://eitaa.com/maktabo_ssadegh" TargetMode="External"/><Relationship Id="rId2302" Type="http://schemas.openxmlformats.org/officeDocument/2006/relationships/hyperlink" Target="https://t.me/heyat_bahonar" TargetMode="External"/><Relationship Id="rId3634" Type="http://schemas.openxmlformats.org/officeDocument/2006/relationships/hyperlink" Target="http://montazeranserkan.ir" TargetMode="External"/><Relationship Id="rId4965" Type="http://schemas.openxmlformats.org/officeDocument/2006/relationships/hyperlink" Target="https://www.instagram.com/shahid_araste_yasuj/" TargetMode="External"/><Relationship Id="rId2303" Type="http://schemas.openxmlformats.org/officeDocument/2006/relationships/hyperlink" Target="https://www.instagram.com/mohebin_com/" TargetMode="External"/><Relationship Id="rId3633" Type="http://schemas.openxmlformats.org/officeDocument/2006/relationships/hyperlink" Target="https://www.instagram.com/montazeranserkan_ir/" TargetMode="External"/><Relationship Id="rId4964" Type="http://schemas.openxmlformats.org/officeDocument/2006/relationships/hyperlink" Target="https://www.instagram.com/heyyat_hazrat_rooghayeh/" TargetMode="External"/><Relationship Id="rId2304" Type="http://schemas.openxmlformats.org/officeDocument/2006/relationships/hyperlink" Target="https://t.me/Mohebin_AhlalBayt" TargetMode="External"/><Relationship Id="rId3636" Type="http://schemas.openxmlformats.org/officeDocument/2006/relationships/hyperlink" Target="https://www.instagram.com/heydaryon110/" TargetMode="External"/><Relationship Id="rId4967" Type="http://schemas.openxmlformats.org/officeDocument/2006/relationships/hyperlink" Target="http://eitaa.com/choram7" TargetMode="External"/><Relationship Id="rId2305" Type="http://schemas.openxmlformats.org/officeDocument/2006/relationships/hyperlink" Target="https://www.instagram.com/ashk_info/" TargetMode="External"/><Relationship Id="rId3635" Type="http://schemas.openxmlformats.org/officeDocument/2006/relationships/hyperlink" Target="https://www.instagram.com/heiat_sarallah_toy/" TargetMode="External"/><Relationship Id="rId4966" Type="http://schemas.openxmlformats.org/officeDocument/2006/relationships/hyperlink" Target="https://www.instagram.com/khademoshohada.choram/" TargetMode="External"/><Relationship Id="rId2306" Type="http://schemas.openxmlformats.org/officeDocument/2006/relationships/hyperlink" Target="https://t.me/ashk_info" TargetMode="External"/><Relationship Id="rId3638" Type="http://schemas.openxmlformats.org/officeDocument/2006/relationships/hyperlink" Target="https://www.instagram.com/hieat_hazrat_ghasem/" TargetMode="External"/><Relationship Id="rId4969" Type="http://schemas.openxmlformats.org/officeDocument/2006/relationships/hyperlink" Target="https://www.instagram.com/abasie_kermanshah/" TargetMode="External"/><Relationship Id="rId2307" Type="http://schemas.openxmlformats.org/officeDocument/2006/relationships/hyperlink" Target="https://www.instagram.com/ukhtalreza_101/" TargetMode="External"/><Relationship Id="rId3637" Type="http://schemas.openxmlformats.org/officeDocument/2006/relationships/hyperlink" Target="https://t.me/heydaryon110" TargetMode="External"/><Relationship Id="rId4968" Type="http://schemas.openxmlformats.org/officeDocument/2006/relationships/hyperlink" Target="https://www.instagram.com/javananehoseini/" TargetMode="External"/><Relationship Id="rId2308" Type="http://schemas.openxmlformats.org/officeDocument/2006/relationships/hyperlink" Target="https://www.instagram.com/oshagh_mahdi_/" TargetMode="External"/><Relationship Id="rId2309" Type="http://schemas.openxmlformats.org/officeDocument/2006/relationships/hyperlink" Target="https://www.instagram.com/sadid.heiat/" TargetMode="External"/><Relationship Id="rId3639" Type="http://schemas.openxmlformats.org/officeDocument/2006/relationships/hyperlink" Target="https://eitaa.com/zovvarolzahraa" TargetMode="External"/><Relationship Id="rId3630" Type="http://schemas.openxmlformats.org/officeDocument/2006/relationships/hyperlink" Target="https://eitaa.com/sahebzamanHAMEDAN1" TargetMode="External"/><Relationship Id="rId4961" Type="http://schemas.openxmlformats.org/officeDocument/2006/relationships/hyperlink" Target="https://t.me/alamdarvelayat313" TargetMode="External"/><Relationship Id="rId4960" Type="http://schemas.openxmlformats.org/officeDocument/2006/relationships/hyperlink" Target="https://www.instagram.com/alamdarvelayat_313/" TargetMode="External"/><Relationship Id="rId2300" Type="http://schemas.openxmlformats.org/officeDocument/2006/relationships/hyperlink" Target="https://t.me/heyatmowlaali" TargetMode="External"/><Relationship Id="rId3632" Type="http://schemas.openxmlformats.org/officeDocument/2006/relationships/hyperlink" Target="https://www.instagram.com/heyat_mosabnejafar_bahar/" TargetMode="External"/><Relationship Id="rId4963" Type="http://schemas.openxmlformats.org/officeDocument/2006/relationships/hyperlink" Target="https://www.instagram.com/misaagh_ir/" TargetMode="External"/><Relationship Id="rId2301" Type="http://schemas.openxmlformats.org/officeDocument/2006/relationships/hyperlink" Target="https://www.instagram.com/heyat_bahonar/" TargetMode="External"/><Relationship Id="rId3631" Type="http://schemas.openxmlformats.org/officeDocument/2006/relationships/hyperlink" Target="https://www.instagram.com/peyrovane_hazrate_mahdi/" TargetMode="External"/><Relationship Id="rId4962" Type="http://schemas.openxmlformats.org/officeDocument/2006/relationships/hyperlink" Target="https://eitaa.com/eita_alamdarvelayat_313" TargetMode="External"/><Relationship Id="rId3623" Type="http://schemas.openxmlformats.org/officeDocument/2006/relationships/hyperlink" Target="https://eitaa.com/fadayian_hamedan" TargetMode="External"/><Relationship Id="rId4954" Type="http://schemas.openxmlformats.org/officeDocument/2006/relationships/hyperlink" Target="https://www.instagram.com/khademalreza.1/" TargetMode="External"/><Relationship Id="rId3622" Type="http://schemas.openxmlformats.org/officeDocument/2006/relationships/hyperlink" Target="https://www.instagram.com/fadaeiyan_ir/" TargetMode="External"/><Relationship Id="rId4953" Type="http://schemas.openxmlformats.org/officeDocument/2006/relationships/hyperlink" Target="https://www.instagram.com/heyyat_hazrat_rooghayeh/" TargetMode="External"/><Relationship Id="rId3625" Type="http://schemas.openxmlformats.org/officeDocument/2006/relationships/hyperlink" Target="https://www.instagram.com/jannatoreza313/" TargetMode="External"/><Relationship Id="rId4956" Type="http://schemas.openxmlformats.org/officeDocument/2006/relationships/hyperlink" Target="https://www.instagram.com/qamarbanihashem_/" TargetMode="External"/><Relationship Id="rId3624" Type="http://schemas.openxmlformats.org/officeDocument/2006/relationships/hyperlink" Target="https://eitaa.com/heyate_h_aliasghar_a" TargetMode="External"/><Relationship Id="rId4955" Type="http://schemas.openxmlformats.org/officeDocument/2006/relationships/hyperlink" Target="https://www.instagram.com/heyat.salar.shahidan/" TargetMode="External"/><Relationship Id="rId3627" Type="http://schemas.openxmlformats.org/officeDocument/2006/relationships/hyperlink" Target="https://www.instagram.com/htabein1376/" TargetMode="External"/><Relationship Id="rId4958" Type="http://schemas.openxmlformats.org/officeDocument/2006/relationships/hyperlink" Target="https://www.instagram.com/beynolharameyn_gachsaran/" TargetMode="External"/><Relationship Id="rId3626" Type="http://schemas.openxmlformats.org/officeDocument/2006/relationships/hyperlink" Target="http://t.me/jannatoreza313" TargetMode="External"/><Relationship Id="rId4957" Type="http://schemas.openxmlformats.org/officeDocument/2006/relationships/hyperlink" Target="https://www.instagram.com/zeynabion_ysj/" TargetMode="External"/><Relationship Id="rId3629" Type="http://schemas.openxmlformats.org/officeDocument/2006/relationships/hyperlink" Target="https://www.instagram.com/mohebban_saveh/" TargetMode="External"/><Relationship Id="rId3628" Type="http://schemas.openxmlformats.org/officeDocument/2006/relationships/hyperlink" Target="https://eitaa.com/heyatasheghanhosein" TargetMode="External"/><Relationship Id="rId4959" Type="http://schemas.openxmlformats.org/officeDocument/2006/relationships/hyperlink" Target="http://t.me/beynolharameyn_gachsaran" TargetMode="External"/><Relationship Id="rId4950" Type="http://schemas.openxmlformats.org/officeDocument/2006/relationships/hyperlink" Target="https://www.instagram.com/shifteganemahdiiii/" TargetMode="External"/><Relationship Id="rId3621" Type="http://schemas.openxmlformats.org/officeDocument/2006/relationships/hyperlink" Target="https://eitaa.com/jmzohur" TargetMode="External"/><Relationship Id="rId4952" Type="http://schemas.openxmlformats.org/officeDocument/2006/relationships/hyperlink" Target="http://eitaa.com/aletaha_yasuj" TargetMode="External"/><Relationship Id="rId3620" Type="http://schemas.openxmlformats.org/officeDocument/2006/relationships/hyperlink" Target="https://eitaa.com/fatemion_nahavand" TargetMode="External"/><Relationship Id="rId4951" Type="http://schemas.openxmlformats.org/officeDocument/2006/relationships/hyperlink" Target="https://www.instagram.com/aletaha_yasuj/" TargetMode="External"/><Relationship Id="rId2324" Type="http://schemas.openxmlformats.org/officeDocument/2006/relationships/hyperlink" Target="https://t.me/e_hadi_ir" TargetMode="External"/><Relationship Id="rId3656" Type="http://schemas.openxmlformats.org/officeDocument/2006/relationships/hyperlink" Target="https://www.instagram.com/h_amiralmomenin.ir/" TargetMode="External"/><Relationship Id="rId4987" Type="http://schemas.openxmlformats.org/officeDocument/2006/relationships/hyperlink" Target="https://www.instagram.com/heiatesarallah" TargetMode="External"/><Relationship Id="rId2325" Type="http://schemas.openxmlformats.org/officeDocument/2006/relationships/hyperlink" Target="https://eitaa.com/Emamhadirasht" TargetMode="External"/><Relationship Id="rId3655" Type="http://schemas.openxmlformats.org/officeDocument/2006/relationships/hyperlink" Target="https://t.me/tazye96" TargetMode="External"/><Relationship Id="rId4986" Type="http://schemas.openxmlformats.org/officeDocument/2006/relationships/hyperlink" Target="https://eitaa.com/mosqueimamaliwestlslamabad" TargetMode="External"/><Relationship Id="rId2326" Type="http://schemas.openxmlformats.org/officeDocument/2006/relationships/hyperlink" Target="https://www.instagram.com/mohebban.info/" TargetMode="External"/><Relationship Id="rId3658" Type="http://schemas.openxmlformats.org/officeDocument/2006/relationships/hyperlink" Target="https://www.instagram.com/masjed_emam_hoseyn/" TargetMode="External"/><Relationship Id="rId4989" Type="http://schemas.openxmlformats.org/officeDocument/2006/relationships/hyperlink" Target="https://eitaa.com/HeiatesarallaH" TargetMode="External"/><Relationship Id="rId2327" Type="http://schemas.openxmlformats.org/officeDocument/2006/relationships/hyperlink" Target="https://t.me/araf313" TargetMode="External"/><Relationship Id="rId3657" Type="http://schemas.openxmlformats.org/officeDocument/2006/relationships/hyperlink" Target="https://t.me/hashf110" TargetMode="External"/><Relationship Id="rId4988" Type="http://schemas.openxmlformats.org/officeDocument/2006/relationships/hyperlink" Target="https://t.me/HeiatesarallaH" TargetMode="External"/><Relationship Id="rId2328" Type="http://schemas.openxmlformats.org/officeDocument/2006/relationships/hyperlink" Target="https://www.instagram.com/ansar_rasht/" TargetMode="External"/><Relationship Id="rId2329" Type="http://schemas.openxmlformats.org/officeDocument/2006/relationships/hyperlink" Target="https://www.instagram.com/fatemiyon_rasht/" TargetMode="External"/><Relationship Id="rId3659" Type="http://schemas.openxmlformats.org/officeDocument/2006/relationships/hyperlink" Target="https://eitaa.com/rayatolahrar" TargetMode="External"/><Relationship Id="rId3650" Type="http://schemas.openxmlformats.org/officeDocument/2006/relationships/hyperlink" Target="https://eitaa.com/rayatalhoda" TargetMode="External"/><Relationship Id="rId4981" Type="http://schemas.openxmlformats.org/officeDocument/2006/relationships/hyperlink" Target="https://www.instagram.com/heyat_yazahra.s/" TargetMode="External"/><Relationship Id="rId4980" Type="http://schemas.openxmlformats.org/officeDocument/2006/relationships/hyperlink" Target="https://www.instagram.com/heyat_emamreza_kermanshah/" TargetMode="External"/><Relationship Id="rId2320" Type="http://schemas.openxmlformats.org/officeDocument/2006/relationships/hyperlink" Target="http://t.me/mohebbinoreza" TargetMode="External"/><Relationship Id="rId3652" Type="http://schemas.openxmlformats.org/officeDocument/2006/relationships/hyperlink" Target="http://t.me/mohebin_mahdi_hamedan" TargetMode="External"/><Relationship Id="rId4983" Type="http://schemas.openxmlformats.org/officeDocument/2006/relationships/hyperlink" Target="https://www.instagram.com/69aghilatolarab/" TargetMode="External"/><Relationship Id="rId2321" Type="http://schemas.openxmlformats.org/officeDocument/2006/relationships/hyperlink" Target="https://eitaa.com/mohebbinoreza" TargetMode="External"/><Relationship Id="rId3651" Type="http://schemas.openxmlformats.org/officeDocument/2006/relationships/hyperlink" Target="https://www.instagram.com/mohebin_mahdi_hamedan" TargetMode="External"/><Relationship Id="rId4982" Type="http://schemas.openxmlformats.org/officeDocument/2006/relationships/hyperlink" Target="https://www.instagram.com/hosseiniyeh_alamdar_karbala/" TargetMode="External"/><Relationship Id="rId2322" Type="http://schemas.openxmlformats.org/officeDocument/2006/relationships/hyperlink" Target="https://www.instagram.com/mahdieh_rasht/" TargetMode="External"/><Relationship Id="rId3654" Type="http://schemas.openxmlformats.org/officeDocument/2006/relationships/hyperlink" Target="https://www.instagram.com/maktab.ashoura/" TargetMode="External"/><Relationship Id="rId4985" Type="http://schemas.openxmlformats.org/officeDocument/2006/relationships/hyperlink" Target="https://eitaa.com/razmandganz" TargetMode="External"/><Relationship Id="rId2323" Type="http://schemas.openxmlformats.org/officeDocument/2006/relationships/hyperlink" Target="https://www.instagram.com/tekyegahemamhadi/" TargetMode="External"/><Relationship Id="rId3653" Type="http://schemas.openxmlformats.org/officeDocument/2006/relationships/hyperlink" Target="https://eitaa.com/mohebin_mahdi_hamedan" TargetMode="External"/><Relationship Id="rId4984" Type="http://schemas.openxmlformats.org/officeDocument/2006/relationships/hyperlink" Target="https://eitaa.com/badralhavashem" TargetMode="External"/><Relationship Id="rId2313" Type="http://schemas.openxmlformats.org/officeDocument/2006/relationships/hyperlink" Target="https://www.instagram.com/heyat.razmandegan.gilan/" TargetMode="External"/><Relationship Id="rId3645" Type="http://schemas.openxmlformats.org/officeDocument/2006/relationships/hyperlink" Target="https://eitaa.com/ansar_almahdi_nahavand" TargetMode="External"/><Relationship Id="rId4976" Type="http://schemas.openxmlformats.org/officeDocument/2006/relationships/hyperlink" Target="https://eitaa.com/heiat_ansarolmahdi_ksh" TargetMode="External"/><Relationship Id="rId2314" Type="http://schemas.openxmlformats.org/officeDocument/2006/relationships/hyperlink" Target="https://www.instagram.com/rozat_133/" TargetMode="External"/><Relationship Id="rId3644" Type="http://schemas.openxmlformats.org/officeDocument/2006/relationships/hyperlink" Target="https://www.instagram.com/ansar_almahdi_nahavand" TargetMode="External"/><Relationship Id="rId4975" Type="http://schemas.openxmlformats.org/officeDocument/2006/relationships/hyperlink" Target="https://eitaa.com/heyat_razi" TargetMode="External"/><Relationship Id="rId2315" Type="http://schemas.openxmlformats.org/officeDocument/2006/relationships/hyperlink" Target="https://t.me/rozat_133" TargetMode="External"/><Relationship Id="rId3647" Type="http://schemas.openxmlformats.org/officeDocument/2006/relationships/hyperlink" Target="https://eitaa.com/maktabalsadegh" TargetMode="External"/><Relationship Id="rId4978" Type="http://schemas.openxmlformats.org/officeDocument/2006/relationships/hyperlink" Target="https://eitaa.com/RozeRezvanKsh" TargetMode="External"/><Relationship Id="rId2316" Type="http://schemas.openxmlformats.org/officeDocument/2006/relationships/hyperlink" Target="https://www.instagram.com/moheban.al.hosein/" TargetMode="External"/><Relationship Id="rId3646" Type="http://schemas.openxmlformats.org/officeDocument/2006/relationships/hyperlink" Target="https://www.instagram.com/shahenajaf_nahavand/" TargetMode="External"/><Relationship Id="rId4977" Type="http://schemas.openxmlformats.org/officeDocument/2006/relationships/hyperlink" Target="https://www.instagram.com/roze_rezvan_info" TargetMode="External"/><Relationship Id="rId2317" Type="http://schemas.openxmlformats.org/officeDocument/2006/relationships/hyperlink" Target="https://www.instagram.com/bentolheydar_ir/" TargetMode="External"/><Relationship Id="rId3649" Type="http://schemas.openxmlformats.org/officeDocument/2006/relationships/hyperlink" Target="http://tlgrm.me/beitolheydar" TargetMode="External"/><Relationship Id="rId2318" Type="http://schemas.openxmlformats.org/officeDocument/2006/relationships/hyperlink" Target="https://t.me/bentolheydar" TargetMode="External"/><Relationship Id="rId3648" Type="http://schemas.openxmlformats.org/officeDocument/2006/relationships/hyperlink" Target="https://www.instagram.com/beitolheydar/" TargetMode="External"/><Relationship Id="rId4979" Type="http://schemas.openxmlformats.org/officeDocument/2006/relationships/hyperlink" Target="https://eitaa.com/abalfazlia" TargetMode="External"/><Relationship Id="rId2319" Type="http://schemas.openxmlformats.org/officeDocument/2006/relationships/hyperlink" Target="https://www.instagram.com/mohebbinoreza/" TargetMode="External"/><Relationship Id="rId4970" Type="http://schemas.openxmlformats.org/officeDocument/2006/relationships/hyperlink" Target="https://www.instagram.com/seyedal_shahada/" TargetMode="External"/><Relationship Id="rId3641" Type="http://schemas.openxmlformats.org/officeDocument/2006/relationships/hyperlink" Target="https://www.instagram.com/montazeran.mu/" TargetMode="External"/><Relationship Id="rId4972" Type="http://schemas.openxmlformats.org/officeDocument/2006/relationships/hyperlink" Target="https://www.instagram.com/mohebaneemamhadi/" TargetMode="External"/><Relationship Id="rId2310" Type="http://schemas.openxmlformats.org/officeDocument/2006/relationships/hyperlink" Target="https://www.instagram.com/mesbaholhossein_org/" TargetMode="External"/><Relationship Id="rId3640" Type="http://schemas.openxmlformats.org/officeDocument/2006/relationships/hyperlink" Target="https://www.instagram.com/moshtaghankarbala/" TargetMode="External"/><Relationship Id="rId4971" Type="http://schemas.openxmlformats.org/officeDocument/2006/relationships/hyperlink" Target="https://eitaa.com/asheghanabasaleh_ir" TargetMode="External"/><Relationship Id="rId2311" Type="http://schemas.openxmlformats.org/officeDocument/2006/relationships/hyperlink" Target="https://www.instagram.com/ghamkhanehbentali/" TargetMode="External"/><Relationship Id="rId3643" Type="http://schemas.openxmlformats.org/officeDocument/2006/relationships/hyperlink" Target="https://www.instagram.com/heyat.chahardahmasom.nhv/" TargetMode="External"/><Relationship Id="rId4974" Type="http://schemas.openxmlformats.org/officeDocument/2006/relationships/hyperlink" Target="https://www.instagram.com/heyat_razi" TargetMode="External"/><Relationship Id="rId2312" Type="http://schemas.openxmlformats.org/officeDocument/2006/relationships/hyperlink" Target="https://www.instagram.com/khoddamoletra/" TargetMode="External"/><Relationship Id="rId3642" Type="http://schemas.openxmlformats.org/officeDocument/2006/relationships/hyperlink" Target="https://www.instagram.com/heyat_beytol_abaas/" TargetMode="External"/><Relationship Id="rId4973" Type="http://schemas.openxmlformats.org/officeDocument/2006/relationships/hyperlink" Target="http://eitaa.com/mohebaneemamhadi" TargetMode="External"/><Relationship Id="rId4921" Type="http://schemas.openxmlformats.org/officeDocument/2006/relationships/hyperlink" Target="https://eitaa.com/nehzat_eslami_minoodasht" TargetMode="External"/><Relationship Id="rId4920" Type="http://schemas.openxmlformats.org/officeDocument/2006/relationships/hyperlink" Target="https://www.instagram.com/abolfazlia_minoodasht?utm_source=ig_web_button_share_sheet&amp;igsh=ZDNlZDc0MzIxNw==" TargetMode="External"/><Relationship Id="rId4923" Type="http://schemas.openxmlformats.org/officeDocument/2006/relationships/hyperlink" Target="https://www.instagram.com/saheb.a.zaman313" TargetMode="External"/><Relationship Id="rId4922" Type="http://schemas.openxmlformats.org/officeDocument/2006/relationships/hyperlink" Target="https://eitaa.com/alzahra135" TargetMode="External"/><Relationship Id="rId4925" Type="http://schemas.openxmlformats.org/officeDocument/2006/relationships/hyperlink" Target="https://www.instagram.com/heyat_amar_yaser?" TargetMode="External"/><Relationship Id="rId4924" Type="http://schemas.openxmlformats.org/officeDocument/2006/relationships/hyperlink" Target="https://t.me/s/mohebbin_aliakbar" TargetMode="External"/><Relationship Id="rId4927" Type="http://schemas.openxmlformats.org/officeDocument/2006/relationships/hyperlink" Target="https://www.instagram.com/sabre_zeinab?utm_source=ig_web_button_share_sheet&amp;igsh=ZDNlZDc0MzIxNw==" TargetMode="External"/><Relationship Id="rId4926" Type="http://schemas.openxmlformats.org/officeDocument/2006/relationships/hyperlink" Target="https://www.instagram.com/m_hajikalateh" TargetMode="External"/><Relationship Id="rId4929" Type="http://schemas.openxmlformats.org/officeDocument/2006/relationships/hyperlink" Target="https://eitaa.com/mokebhazrataliasghargorgan" TargetMode="External"/><Relationship Id="rId4928" Type="http://schemas.openxmlformats.org/officeDocument/2006/relationships/hyperlink" Target="https://eitaa.com/mv_1396" TargetMode="External"/><Relationship Id="rId7195" Type="http://schemas.openxmlformats.org/officeDocument/2006/relationships/hyperlink" Target="https://t.me/shahidghaffari" TargetMode="External"/><Relationship Id="rId7194" Type="http://schemas.openxmlformats.org/officeDocument/2006/relationships/hyperlink" Target="https://www.instagram.com/fatemionsaveh/" TargetMode="External"/><Relationship Id="rId7193" Type="http://schemas.openxmlformats.org/officeDocument/2006/relationships/hyperlink" Target="https://www.instagram.com/heyat_rozatolzahra/" TargetMode="External"/><Relationship Id="rId7192" Type="http://schemas.openxmlformats.org/officeDocument/2006/relationships/hyperlink" Target="https://eitaa.com/reyhanatolhooseinsaveh" TargetMode="External"/><Relationship Id="rId7199" Type="http://schemas.openxmlformats.org/officeDocument/2006/relationships/hyperlink" Target="https://eitaa.com/AmirAlmoemenin_Saveh" TargetMode="External"/><Relationship Id="rId7198" Type="http://schemas.openxmlformats.org/officeDocument/2006/relationships/hyperlink" Target="https://www.instagram.com/amiralmoemenin_saveh/" TargetMode="External"/><Relationship Id="rId7197" Type="http://schemas.openxmlformats.org/officeDocument/2006/relationships/hyperlink" Target="https://www.instagram.com/beytol_roghaye_/" TargetMode="External"/><Relationship Id="rId7196" Type="http://schemas.openxmlformats.org/officeDocument/2006/relationships/hyperlink" Target="https://www.instagram.com/divanegan.aliakbar.333/" TargetMode="External"/><Relationship Id="rId4910" Type="http://schemas.openxmlformats.org/officeDocument/2006/relationships/hyperlink" Target="https://www.instagram.com/emam.reza116/" TargetMode="External"/><Relationship Id="rId4912" Type="http://schemas.openxmlformats.org/officeDocument/2006/relationships/hyperlink" Target="https://www.instagram.com/janatolabas__gonbad/" TargetMode="External"/><Relationship Id="rId4911" Type="http://schemas.openxmlformats.org/officeDocument/2006/relationships/hyperlink" Target="https://www.instagram.com/fadaeian_gonbad/" TargetMode="External"/><Relationship Id="rId4914" Type="http://schemas.openxmlformats.org/officeDocument/2006/relationships/hyperlink" Target="https://t.me/beinolharamein_minoodasht" TargetMode="External"/><Relationship Id="rId4913" Type="http://schemas.openxmlformats.org/officeDocument/2006/relationships/hyperlink" Target="https://www.instagram.com/beinolharameinminudasht/" TargetMode="External"/><Relationship Id="rId4916" Type="http://schemas.openxmlformats.org/officeDocument/2006/relationships/hyperlink" Target="https://telegram.me/s/masjed5tanminoodasht" TargetMode="External"/><Relationship Id="rId4915" Type="http://schemas.openxmlformats.org/officeDocument/2006/relationships/hyperlink" Target="https://eitaa.com/montazeran_com" TargetMode="External"/><Relationship Id="rId4918" Type="http://schemas.openxmlformats.org/officeDocument/2006/relationships/hyperlink" Target="https://t.me/MOKEBEHAZRATEZEYNABMINOODASHT" TargetMode="External"/><Relationship Id="rId4917" Type="http://schemas.openxmlformats.org/officeDocument/2006/relationships/hyperlink" Target="https://www.instagram.com/mokeb_minoodasht?utm_source=ig_web_button_share_sheet&amp;igsh=ZDNlZDc0MzIxNw==" TargetMode="External"/><Relationship Id="rId4919" Type="http://schemas.openxmlformats.org/officeDocument/2006/relationships/hyperlink" Target="https://eitaa.com/MOKEBEHAZRATEZEYNABMINOODASHT" TargetMode="External"/><Relationship Id="rId7191" Type="http://schemas.openxmlformats.org/officeDocument/2006/relationships/hyperlink" Target="https://t.me/reyhanatolhooseinsaveh" TargetMode="External"/><Relationship Id="rId7190" Type="http://schemas.openxmlformats.org/officeDocument/2006/relationships/hyperlink" Target="https://www.instagram.com/reyhanatolhooseinsaveh.ir/" TargetMode="External"/><Relationship Id="rId7184" Type="http://schemas.openxmlformats.org/officeDocument/2006/relationships/hyperlink" Target="https://t.me/oshaghozzahra" TargetMode="External"/><Relationship Id="rId7183" Type="http://schemas.openxmlformats.org/officeDocument/2006/relationships/hyperlink" Target="https://www.instagram.com/oshaghozzahra/" TargetMode="External"/><Relationship Id="rId7182" Type="http://schemas.openxmlformats.org/officeDocument/2006/relationships/hyperlink" Target="https://www.instagram.com/khademoshohada_saveh/" TargetMode="External"/><Relationship Id="rId7181" Type="http://schemas.openxmlformats.org/officeDocument/2006/relationships/hyperlink" Target="https://t.me/hazrat_roghayye_saveh" TargetMode="External"/><Relationship Id="rId7188" Type="http://schemas.openxmlformats.org/officeDocument/2006/relationships/hyperlink" Target="https://t.me/HoseinKhanehSaveh" TargetMode="External"/><Relationship Id="rId7187" Type="http://schemas.openxmlformats.org/officeDocument/2006/relationships/hyperlink" Target="https://www.instagram.com/hosseinkhaaneh" TargetMode="External"/><Relationship Id="rId7186" Type="http://schemas.openxmlformats.org/officeDocument/2006/relationships/hyperlink" Target="https://t.me/h_shohada133" TargetMode="External"/><Relationship Id="rId7185" Type="http://schemas.openxmlformats.org/officeDocument/2006/relationships/hyperlink" Target="https://www.instagram.com/h_shohada133" TargetMode="External"/><Relationship Id="rId7189" Type="http://schemas.openxmlformats.org/officeDocument/2006/relationships/hyperlink" Target="https://www.instagram.com/heyat.abbasieh" TargetMode="External"/><Relationship Id="rId3612" Type="http://schemas.openxmlformats.org/officeDocument/2006/relationships/hyperlink" Target="https://www.instagram.com/heyat_ansar_alhoseyn/" TargetMode="External"/><Relationship Id="rId4943" Type="http://schemas.openxmlformats.org/officeDocument/2006/relationships/hyperlink" Target="https://eitaa.com/misaagh_ir" TargetMode="External"/><Relationship Id="rId3611" Type="http://schemas.openxmlformats.org/officeDocument/2006/relationships/hyperlink" Target="https://eitaa.com/majmaozakerinhameda" TargetMode="External"/><Relationship Id="rId4942" Type="http://schemas.openxmlformats.org/officeDocument/2006/relationships/hyperlink" Target="https://eitaa.com/razmandegankb" TargetMode="External"/><Relationship Id="rId3614" Type="http://schemas.openxmlformats.org/officeDocument/2006/relationships/hyperlink" Target="https://www.instagram.com/ansarozahra.s/" TargetMode="External"/><Relationship Id="rId4945" Type="http://schemas.openxmlformats.org/officeDocument/2006/relationships/hyperlink" Target="https://www.instagram.com/maktab_alroghayeh_basht/" TargetMode="External"/><Relationship Id="rId3613" Type="http://schemas.openxmlformats.org/officeDocument/2006/relationships/hyperlink" Target="https://www.instagram.com/ghariban_ir/" TargetMode="External"/><Relationship Id="rId4944" Type="http://schemas.openxmlformats.org/officeDocument/2006/relationships/hyperlink" Target="https://www.instagram.com/heyat_hazratezeynab/" TargetMode="External"/><Relationship Id="rId3616" Type="http://schemas.openxmlformats.org/officeDocument/2006/relationships/hyperlink" Target="https://www.instagram.com/javanan_saghaleyn_hamedan/" TargetMode="External"/><Relationship Id="rId4947" Type="http://schemas.openxmlformats.org/officeDocument/2006/relationships/hyperlink" Target="https://eitaa.com/ansarir" TargetMode="External"/><Relationship Id="rId3615" Type="http://schemas.openxmlformats.org/officeDocument/2006/relationships/hyperlink" Target="https://www.instagram.com/heyatteflanemoslem_75/" TargetMode="External"/><Relationship Id="rId4946" Type="http://schemas.openxmlformats.org/officeDocument/2006/relationships/hyperlink" Target="https://www.instagram.com/ansar1372.ir/" TargetMode="External"/><Relationship Id="rId3618" Type="http://schemas.openxmlformats.org/officeDocument/2006/relationships/hyperlink" Target="https://eitaa.com/hshohada_ir" TargetMode="External"/><Relationship Id="rId4949" Type="http://schemas.openxmlformats.org/officeDocument/2006/relationships/hyperlink" Target="https://eitaa.com/mokeb_313" TargetMode="External"/><Relationship Id="rId3617" Type="http://schemas.openxmlformats.org/officeDocument/2006/relationships/hyperlink" Target="https://rubika.ir/heyat_eradatmandan" TargetMode="External"/><Relationship Id="rId4948" Type="http://schemas.openxmlformats.org/officeDocument/2006/relationships/hyperlink" Target="https://eitaa.com/masjd_sayedalshohada" TargetMode="External"/><Relationship Id="rId3619" Type="http://schemas.openxmlformats.org/officeDocument/2006/relationships/hyperlink" Target="https://www.instagram.com/fatemion_nahavand/" TargetMode="External"/><Relationship Id="rId3610" Type="http://schemas.openxmlformats.org/officeDocument/2006/relationships/hyperlink" Target="http://t.me/aliebnabitaleb110" TargetMode="External"/><Relationship Id="rId4941" Type="http://schemas.openxmlformats.org/officeDocument/2006/relationships/hyperlink" Target="https://eitaa.com/misaq_yasouj" TargetMode="External"/><Relationship Id="rId4940" Type="http://schemas.openxmlformats.org/officeDocument/2006/relationships/hyperlink" Target="https://eitaa.com/zeynabiyoun_ysj" TargetMode="External"/><Relationship Id="rId3601" Type="http://schemas.openxmlformats.org/officeDocument/2006/relationships/hyperlink" Target="https://www.instagram.com/abes.ir_" TargetMode="External"/><Relationship Id="rId4932" Type="http://schemas.openxmlformats.org/officeDocument/2006/relationships/hyperlink" Target="https://eitaa.com/jhyasuj" TargetMode="External"/><Relationship Id="rId3600" Type="http://schemas.openxmlformats.org/officeDocument/2006/relationships/hyperlink" Target="https://eitaa.com/mohebin_ir" TargetMode="External"/><Relationship Id="rId4931" Type="http://schemas.openxmlformats.org/officeDocument/2006/relationships/hyperlink" Target="https://www.instagram.com/javananhosseyniyasuj/" TargetMode="External"/><Relationship Id="rId3603" Type="http://schemas.openxmlformats.org/officeDocument/2006/relationships/hyperlink" Target="https://eitaa.com/mohebin_ir" TargetMode="External"/><Relationship Id="rId4934" Type="http://schemas.openxmlformats.org/officeDocument/2006/relationships/hyperlink" Target="https://www.instagram.com/beytozahraa1400/" TargetMode="External"/><Relationship Id="rId3602" Type="http://schemas.openxmlformats.org/officeDocument/2006/relationships/hyperlink" Target="https://t.me/mohebin_org" TargetMode="External"/><Relationship Id="rId4933" Type="http://schemas.openxmlformats.org/officeDocument/2006/relationships/hyperlink" Target="https://t.me/oshaghalmahdi3135" TargetMode="External"/><Relationship Id="rId3605" Type="http://schemas.openxmlformats.org/officeDocument/2006/relationships/hyperlink" Target="http://tlgrm.me/ansaroshohada" TargetMode="External"/><Relationship Id="rId4936" Type="http://schemas.openxmlformats.org/officeDocument/2006/relationships/hyperlink" Target="https://eitaa.com/heyate_javanan_hoseyni" TargetMode="External"/><Relationship Id="rId3604" Type="http://schemas.openxmlformats.org/officeDocument/2006/relationships/hyperlink" Target="https://www.instagram.com/ansaroshohada/" TargetMode="External"/><Relationship Id="rId4935" Type="http://schemas.openxmlformats.org/officeDocument/2006/relationships/hyperlink" Target="https://eitaa.com/eita_alamdarvelayat_313" TargetMode="External"/><Relationship Id="rId3607" Type="http://schemas.openxmlformats.org/officeDocument/2006/relationships/hyperlink" Target="https://www.instagram.com/ansaralmahdiag313/" TargetMode="External"/><Relationship Id="rId4938" Type="http://schemas.openxmlformats.org/officeDocument/2006/relationships/hyperlink" Target="https://www.instagram.com/aletaha_yasuj" TargetMode="External"/><Relationship Id="rId3606" Type="http://schemas.openxmlformats.org/officeDocument/2006/relationships/hyperlink" Target="https://eitaa.com/ansaroshohada" TargetMode="External"/><Relationship Id="rId4937" Type="http://schemas.openxmlformats.org/officeDocument/2006/relationships/hyperlink" Target="https://www.instagram.com/ansar_al_hasan/" TargetMode="External"/><Relationship Id="rId3609" Type="http://schemas.openxmlformats.org/officeDocument/2006/relationships/hyperlink" Target="https://www.instagram.com/aliebnabitaleb_hmd/" TargetMode="External"/><Relationship Id="rId3608" Type="http://schemas.openxmlformats.org/officeDocument/2006/relationships/hyperlink" Target="http://eitaa.com/ansar813" TargetMode="External"/><Relationship Id="rId4939" Type="http://schemas.openxmlformats.org/officeDocument/2006/relationships/hyperlink" Target="https://eitaa.com/aletaha_yasuj" TargetMode="External"/><Relationship Id="rId4930" Type="http://schemas.openxmlformats.org/officeDocument/2006/relationships/hyperlink" Target="https://www.instagram.com/ansarsuq.ir/" TargetMode="External"/><Relationship Id="rId1059" Type="http://schemas.openxmlformats.org/officeDocument/2006/relationships/hyperlink" Target="https://www.instagram.com/jannat_alhosein/" TargetMode="External"/><Relationship Id="rId2380" Type="http://schemas.openxmlformats.org/officeDocument/2006/relationships/hyperlink" Target="https://www.instagram.com/heyatjanatolhosein/" TargetMode="External"/><Relationship Id="rId1050" Type="http://schemas.openxmlformats.org/officeDocument/2006/relationships/hyperlink" Target="https://www.instagram.com/karbalaasalam/" TargetMode="External"/><Relationship Id="rId2381" Type="http://schemas.openxmlformats.org/officeDocument/2006/relationships/hyperlink" Target="https://www.instagram.com/hossein_jan_lahijan/" TargetMode="External"/><Relationship Id="rId1051" Type="http://schemas.openxmlformats.org/officeDocument/2006/relationships/hyperlink" Target="https://www.instagram.com/soureh_iu/" TargetMode="External"/><Relationship Id="rId2382" Type="http://schemas.openxmlformats.org/officeDocument/2006/relationships/hyperlink" Target="https://eitaa.com/hossein_jan_lahijan" TargetMode="External"/><Relationship Id="rId1052" Type="http://schemas.openxmlformats.org/officeDocument/2006/relationships/hyperlink" Target="https://eitaa.com/soore_IU" TargetMode="External"/><Relationship Id="rId2383" Type="http://schemas.openxmlformats.org/officeDocument/2006/relationships/hyperlink" Target="https://www.instagram.com/mohebbin_velayat_lahijan/" TargetMode="External"/><Relationship Id="rId1053" Type="http://schemas.openxmlformats.org/officeDocument/2006/relationships/hyperlink" Target="https://soore.ac.ir/" TargetMode="External"/><Relationship Id="rId2384" Type="http://schemas.openxmlformats.org/officeDocument/2006/relationships/hyperlink" Target="https://t.me/mohebbin_velayat_lahijan" TargetMode="External"/><Relationship Id="rId1054" Type="http://schemas.openxmlformats.org/officeDocument/2006/relationships/hyperlink" Target="https://www.instagram.com/heiatefatemion/" TargetMode="External"/><Relationship Id="rId2385" Type="http://schemas.openxmlformats.org/officeDocument/2006/relationships/hyperlink" Target="https://www.instagram.com/razmandegan_eslam_lahijan/" TargetMode="External"/><Relationship Id="rId1055" Type="http://schemas.openxmlformats.org/officeDocument/2006/relationships/hyperlink" Target="http://heyat.sbu.ac.ir" TargetMode="External"/><Relationship Id="rId2386" Type="http://schemas.openxmlformats.org/officeDocument/2006/relationships/hyperlink" Target="https://www.instagram.com/montazeranmouod/" TargetMode="External"/><Relationship Id="rId1056" Type="http://schemas.openxmlformats.org/officeDocument/2006/relationships/hyperlink" Target="https://www.instagram.com/heyatealzahra_ir/" TargetMode="External"/><Relationship Id="rId2387" Type="http://schemas.openxmlformats.org/officeDocument/2006/relationships/hyperlink" Target="https://www.instagram.com/m_jhosein/" TargetMode="External"/><Relationship Id="rId1057" Type="http://schemas.openxmlformats.org/officeDocument/2006/relationships/hyperlink" Target="https://t.me/hazratzahraiaumarkaz" TargetMode="External"/><Relationship Id="rId2388" Type="http://schemas.openxmlformats.org/officeDocument/2006/relationships/hyperlink" Target="https://eitaa.com/A_velayat" TargetMode="External"/><Relationship Id="rId1058" Type="http://schemas.openxmlformats.org/officeDocument/2006/relationships/hyperlink" Target="https://eitaa.com/nooravin" TargetMode="External"/><Relationship Id="rId2389" Type="http://schemas.openxmlformats.org/officeDocument/2006/relationships/hyperlink" Target="https://www.instagram.com/khazra_info/" TargetMode="External"/><Relationship Id="rId1048" Type="http://schemas.openxmlformats.org/officeDocument/2006/relationships/hyperlink" Target="https://www.instagram.com/avsh_ir/" TargetMode="External"/><Relationship Id="rId2379" Type="http://schemas.openxmlformats.org/officeDocument/2006/relationships/hyperlink" Target="https://www.instagram.com/aghilatolarab.lahijan/" TargetMode="External"/><Relationship Id="rId1049" Type="http://schemas.openxmlformats.org/officeDocument/2006/relationships/hyperlink" Target="http://eitaa.com/avsh_ir" TargetMode="External"/><Relationship Id="rId2370" Type="http://schemas.openxmlformats.org/officeDocument/2006/relationships/hyperlink" Target="https://www.instagram.com/ansar.info/" TargetMode="External"/><Relationship Id="rId1040" Type="http://schemas.openxmlformats.org/officeDocument/2006/relationships/hyperlink" Target="http://t.me/@mohebanabbas" TargetMode="External"/><Relationship Id="rId2371" Type="http://schemas.openxmlformats.org/officeDocument/2006/relationships/hyperlink" Target="https://t.me/ansar_alhussain_fuman" TargetMode="External"/><Relationship Id="rId1041" Type="http://schemas.openxmlformats.org/officeDocument/2006/relationships/hyperlink" Target="https://www.instagram.com/heyat_javanan_ansar/" TargetMode="External"/><Relationship Id="rId2372" Type="http://schemas.openxmlformats.org/officeDocument/2006/relationships/hyperlink" Target="https://eitaa.com/ansar_info" TargetMode="External"/><Relationship Id="rId1042" Type="http://schemas.openxmlformats.org/officeDocument/2006/relationships/hyperlink" Target="http://t.me/heyat_javanan_ansar" TargetMode="External"/><Relationship Id="rId2373" Type="http://schemas.openxmlformats.org/officeDocument/2006/relationships/hyperlink" Target="https://www.instagram.com/mahfel_fadaeiyan110/" TargetMode="External"/><Relationship Id="rId1043" Type="http://schemas.openxmlformats.org/officeDocument/2006/relationships/hyperlink" Target="https://www.instagram.com/sesalehir/" TargetMode="External"/><Relationship Id="rId2374" Type="http://schemas.openxmlformats.org/officeDocument/2006/relationships/hyperlink" Target="https://www.instagram.com/montazeran_emam_zaman_lahijan/" TargetMode="External"/><Relationship Id="rId1044" Type="http://schemas.openxmlformats.org/officeDocument/2006/relationships/hyperlink" Target="https://www.instagram.com/bit_abas/" TargetMode="External"/><Relationship Id="rId2375" Type="http://schemas.openxmlformats.org/officeDocument/2006/relationships/hyperlink" Target="https://t.me/montazeran_emam_zaman" TargetMode="External"/><Relationship Id="rId1045" Type="http://schemas.openxmlformats.org/officeDocument/2006/relationships/hyperlink" Target="https://www.instagram.com/heyat_javanan_atabak15/" TargetMode="External"/><Relationship Id="rId2376" Type="http://schemas.openxmlformats.org/officeDocument/2006/relationships/hyperlink" Target="https://eitaa.com/montazeran_emam_zaman" TargetMode="External"/><Relationship Id="rId1046" Type="http://schemas.openxmlformats.org/officeDocument/2006/relationships/hyperlink" Target="https://www.instagram.com/haidarieh/" TargetMode="External"/><Relationship Id="rId2377" Type="http://schemas.openxmlformats.org/officeDocument/2006/relationships/hyperlink" Target="https://www.instagram.com/maktaboljavadd/" TargetMode="External"/><Relationship Id="rId1047" Type="http://schemas.openxmlformats.org/officeDocument/2006/relationships/hyperlink" Target="https://t.me/haidarieh" TargetMode="External"/><Relationship Id="rId2378" Type="http://schemas.openxmlformats.org/officeDocument/2006/relationships/hyperlink" Target="https://t.me/maktaboljavadd" TargetMode="External"/><Relationship Id="rId1070" Type="http://schemas.openxmlformats.org/officeDocument/2006/relationships/hyperlink" Target="https://www.youtube.com/@abnaozahra_com" TargetMode="External"/><Relationship Id="rId1071" Type="http://schemas.openxmlformats.org/officeDocument/2006/relationships/hyperlink" Target="https://abnaozahra.com/" TargetMode="External"/><Relationship Id="rId1072" Type="http://schemas.openxmlformats.org/officeDocument/2006/relationships/hyperlink" Target="https://www.instagram.com/doteflan/" TargetMode="External"/><Relationship Id="rId1073" Type="http://schemas.openxmlformats.org/officeDocument/2006/relationships/hyperlink" Target="https://t.me/doteflan" TargetMode="External"/><Relationship Id="rId1074" Type="http://schemas.openxmlformats.org/officeDocument/2006/relationships/hyperlink" Target="https://eitaa.com/doteflan" TargetMode="External"/><Relationship Id="rId1075" Type="http://schemas.openxmlformats.org/officeDocument/2006/relationships/hyperlink" Target="https://www.instagram.com/alamdar.varamin/" TargetMode="External"/><Relationship Id="rId1076" Type="http://schemas.openxmlformats.org/officeDocument/2006/relationships/hyperlink" Target="https://www.instagram.com/heyatbabolhavaej_gharb_tehran/" TargetMode="External"/><Relationship Id="rId1077" Type="http://schemas.openxmlformats.org/officeDocument/2006/relationships/hyperlink" Target="http://t.me/babolhavaej10metri" TargetMode="External"/><Relationship Id="rId1078" Type="http://schemas.openxmlformats.org/officeDocument/2006/relationships/hyperlink" Target="https://www.instagram.com/fatemiyetehran/" TargetMode="External"/><Relationship Id="rId1079" Type="http://schemas.openxmlformats.org/officeDocument/2006/relationships/hyperlink" Target="https://www.instagram.com/rooghaye_jan/" TargetMode="External"/><Relationship Id="rId2390" Type="http://schemas.openxmlformats.org/officeDocument/2006/relationships/hyperlink" Target="https://t.me/khazra_info" TargetMode="External"/><Relationship Id="rId1060" Type="http://schemas.openxmlformats.org/officeDocument/2006/relationships/hyperlink" Target="http://t.me/jannat_alhosain" TargetMode="External"/><Relationship Id="rId2391" Type="http://schemas.openxmlformats.org/officeDocument/2006/relationships/hyperlink" Target="https://www.instagram.com/asheghan_saralah_langarud/" TargetMode="External"/><Relationship Id="rId1061" Type="http://schemas.openxmlformats.org/officeDocument/2006/relationships/hyperlink" Target="https://www.instagram.com/ansar_alreza1383/" TargetMode="External"/><Relationship Id="rId2392" Type="http://schemas.openxmlformats.org/officeDocument/2006/relationships/hyperlink" Target="https://www.instagram.com/heyat_s.ir/" TargetMode="External"/><Relationship Id="rId1062" Type="http://schemas.openxmlformats.org/officeDocument/2006/relationships/hyperlink" Target="https://www.instagram.com/aleyasin_tehran/" TargetMode="External"/><Relationship Id="rId2393" Type="http://schemas.openxmlformats.org/officeDocument/2006/relationships/hyperlink" Target="https://t.me/heyat_s" TargetMode="External"/><Relationship Id="rId1063" Type="http://schemas.openxmlformats.org/officeDocument/2006/relationships/hyperlink" Target="https://t.me/mohebanalreza_bot" TargetMode="External"/><Relationship Id="rId2394" Type="http://schemas.openxmlformats.org/officeDocument/2006/relationships/hyperlink" Target="https://www.instagram.com/a_velayat/" TargetMode="External"/><Relationship Id="rId1064" Type="http://schemas.openxmlformats.org/officeDocument/2006/relationships/hyperlink" Target="https://www.instagram.com/harameemah/" TargetMode="External"/><Relationship Id="rId2395" Type="http://schemas.openxmlformats.org/officeDocument/2006/relationships/hyperlink" Target="https://eitaa.com/a_velayat" TargetMode="External"/><Relationship Id="rId1065" Type="http://schemas.openxmlformats.org/officeDocument/2006/relationships/hyperlink" Target="http://tlgrm.in/harameemah" TargetMode="External"/><Relationship Id="rId2396" Type="http://schemas.openxmlformats.org/officeDocument/2006/relationships/hyperlink" Target="https://www.instagram.com/majma_o_zakerin/" TargetMode="External"/><Relationship Id="rId1066" Type="http://schemas.openxmlformats.org/officeDocument/2006/relationships/hyperlink" Target="https://eitaa.com/heiateDahehashtadiha" TargetMode="External"/><Relationship Id="rId2397" Type="http://schemas.openxmlformats.org/officeDocument/2006/relationships/hyperlink" Target="https://t.me/majma_o_zakerin_daryakenar" TargetMode="External"/><Relationship Id="rId1067" Type="http://schemas.openxmlformats.org/officeDocument/2006/relationships/hyperlink" Target="https://www.instagram.com/abnaozahra_com/" TargetMode="External"/><Relationship Id="rId2398" Type="http://schemas.openxmlformats.org/officeDocument/2006/relationships/hyperlink" Target="https://www.instagram.com/heyat_hobe_abas/" TargetMode="External"/><Relationship Id="rId1068" Type="http://schemas.openxmlformats.org/officeDocument/2006/relationships/hyperlink" Target="https://t.me/abnaozahra_com" TargetMode="External"/><Relationship Id="rId2399" Type="http://schemas.openxmlformats.org/officeDocument/2006/relationships/hyperlink" Target="https://www.instagram.com/h_sahebalzaman_lan/" TargetMode="External"/><Relationship Id="rId1069" Type="http://schemas.openxmlformats.org/officeDocument/2006/relationships/hyperlink" Target="https://eitaa.com/Abnaozahra_com" TargetMode="External"/><Relationship Id="rId1015" Type="http://schemas.openxmlformats.org/officeDocument/2006/relationships/hyperlink" Target="http://t.me/HHAAA1370" TargetMode="External"/><Relationship Id="rId2346" Type="http://schemas.openxmlformats.org/officeDocument/2006/relationships/hyperlink" Target="https://www.instagram.com/heyat_khiam/" TargetMode="External"/><Relationship Id="rId3678" Type="http://schemas.openxmlformats.org/officeDocument/2006/relationships/hyperlink" Target="https://www.instagram.com/Heyattmohebbin/" TargetMode="External"/><Relationship Id="rId1016" Type="http://schemas.openxmlformats.org/officeDocument/2006/relationships/hyperlink" Target="https://www.instagram.com/mokab_alzahra/" TargetMode="External"/><Relationship Id="rId2347" Type="http://schemas.openxmlformats.org/officeDocument/2006/relationships/hyperlink" Target="https://t.me/khiamkomleh" TargetMode="External"/><Relationship Id="rId3677" Type="http://schemas.openxmlformats.org/officeDocument/2006/relationships/hyperlink" Target="http://eitaa.com/shiftegan_abaabdelah" TargetMode="External"/><Relationship Id="rId1017" Type="http://schemas.openxmlformats.org/officeDocument/2006/relationships/hyperlink" Target="https://www.instagram.com/hrm_shohada2/" TargetMode="External"/><Relationship Id="rId2348" Type="http://schemas.openxmlformats.org/officeDocument/2006/relationships/hyperlink" Target="https://eitaa.com/khiyamkomleh" TargetMode="External"/><Relationship Id="rId1018" Type="http://schemas.openxmlformats.org/officeDocument/2006/relationships/hyperlink" Target="https://www.instagram.com/beytolhadi_128/" TargetMode="External"/><Relationship Id="rId2349" Type="http://schemas.openxmlformats.org/officeDocument/2006/relationships/hyperlink" Target="https://www.instagram.com/heyatolhosein_69/" TargetMode="External"/><Relationship Id="rId3679" Type="http://schemas.openxmlformats.org/officeDocument/2006/relationships/hyperlink" Target="https://t.me/hayatemohebin" TargetMode="External"/><Relationship Id="rId1019" Type="http://schemas.openxmlformats.org/officeDocument/2006/relationships/hyperlink" Target="https://www.instagram.com/shohada_1349/" TargetMode="External"/><Relationship Id="rId3670" Type="http://schemas.openxmlformats.org/officeDocument/2006/relationships/hyperlink" Target="https://www.instagram.com/mahfel_mohebin_aemme_hamedan/" TargetMode="External"/><Relationship Id="rId2340" Type="http://schemas.openxmlformats.org/officeDocument/2006/relationships/hyperlink" Target="https://eitaa.com/sarallah_kanon" TargetMode="External"/><Relationship Id="rId3672" Type="http://schemas.openxmlformats.org/officeDocument/2006/relationships/hyperlink" Target="http://t.me/reyhanatolhossein315" TargetMode="External"/><Relationship Id="rId1010" Type="http://schemas.openxmlformats.org/officeDocument/2006/relationships/hyperlink" Target="https://www.instagram.com/heiatmbaa/" TargetMode="External"/><Relationship Id="rId2341" Type="http://schemas.openxmlformats.org/officeDocument/2006/relationships/hyperlink" Target="https://www.instagram.com/heyat_aliasghar1401/" TargetMode="External"/><Relationship Id="rId3671" Type="http://schemas.openxmlformats.org/officeDocument/2006/relationships/hyperlink" Target="https://www.instagram.com/heyat.kosar.bahar.dh/" TargetMode="External"/><Relationship Id="rId1011" Type="http://schemas.openxmlformats.org/officeDocument/2006/relationships/hyperlink" Target="https://www.instagram.com/hoseinye_karegaran_kafash/" TargetMode="External"/><Relationship Id="rId2342" Type="http://schemas.openxmlformats.org/officeDocument/2006/relationships/hyperlink" Target="https://t.me/heyat_aliasghar1401" TargetMode="External"/><Relationship Id="rId3674" Type="http://schemas.openxmlformats.org/officeDocument/2006/relationships/hyperlink" Target="https://eitaa.com/mohebbin_azzahra" TargetMode="External"/><Relationship Id="rId1012" Type="http://schemas.openxmlformats.org/officeDocument/2006/relationships/hyperlink" Target="https://t.me/ghanatabad" TargetMode="External"/><Relationship Id="rId2343" Type="http://schemas.openxmlformats.org/officeDocument/2006/relationships/hyperlink" Target="https://www.instagram.com/hfatemiyoun.ir/" TargetMode="External"/><Relationship Id="rId3673" Type="http://schemas.openxmlformats.org/officeDocument/2006/relationships/hyperlink" Target="https://www.instagram.com/mohebbin_azzahra/" TargetMode="External"/><Relationship Id="rId1013" Type="http://schemas.openxmlformats.org/officeDocument/2006/relationships/hyperlink" Target="https://www.instagram.com/karbalaiha/" TargetMode="External"/><Relationship Id="rId2344" Type="http://schemas.openxmlformats.org/officeDocument/2006/relationships/hyperlink" Target="https://t.me/HFatemiyoun" TargetMode="External"/><Relationship Id="rId3676" Type="http://schemas.openxmlformats.org/officeDocument/2006/relationships/hyperlink" Target="https://www.instagram.com/shiftegan_abaabdelah/" TargetMode="External"/><Relationship Id="rId1014" Type="http://schemas.openxmlformats.org/officeDocument/2006/relationships/hyperlink" Target="https://www.instagram.com/hhaa1370_/" TargetMode="External"/><Relationship Id="rId2345" Type="http://schemas.openxmlformats.org/officeDocument/2006/relationships/hyperlink" Target="https://eitaa.com/HFatemiyoun" TargetMode="External"/><Relationship Id="rId3675" Type="http://schemas.openxmlformats.org/officeDocument/2006/relationships/hyperlink" Target="https://www.instagram.com/heyatjavananfamenin/" TargetMode="External"/><Relationship Id="rId1004" Type="http://schemas.openxmlformats.org/officeDocument/2006/relationships/hyperlink" Target="https://www.instagram.com/raziolhosein/" TargetMode="External"/><Relationship Id="rId2335" Type="http://schemas.openxmlformats.org/officeDocument/2006/relationships/hyperlink" Target="https://eitaa.com/hreyhanatonabi" TargetMode="External"/><Relationship Id="rId3667" Type="http://schemas.openxmlformats.org/officeDocument/2006/relationships/hyperlink" Target="https://www.instagram.com/beytol.abbas/" TargetMode="External"/><Relationship Id="rId4998" Type="http://schemas.openxmlformats.org/officeDocument/2006/relationships/hyperlink" Target="https://www.instagram.com/hkhademoshohada/" TargetMode="External"/><Relationship Id="rId1005" Type="http://schemas.openxmlformats.org/officeDocument/2006/relationships/hyperlink" Target="https://www.instagram.com/mohebano_zahra_s/" TargetMode="External"/><Relationship Id="rId2336" Type="http://schemas.openxmlformats.org/officeDocument/2006/relationships/hyperlink" Target="https://www.instagram.com/h.saralah_kelachay/" TargetMode="External"/><Relationship Id="rId3666" Type="http://schemas.openxmlformats.org/officeDocument/2006/relationships/hyperlink" Target="https://www.instagram.com/zeynabiee_1343/" TargetMode="External"/><Relationship Id="rId4997" Type="http://schemas.openxmlformats.org/officeDocument/2006/relationships/hyperlink" Target="http://t.me/fatemiuoonsonghor" TargetMode="External"/><Relationship Id="rId1006" Type="http://schemas.openxmlformats.org/officeDocument/2006/relationships/hyperlink" Target="https://www.instagram.com/beito_zeinab/" TargetMode="External"/><Relationship Id="rId2337" Type="http://schemas.openxmlformats.org/officeDocument/2006/relationships/hyperlink" Target="https://t.me/hsaralahkelachay" TargetMode="External"/><Relationship Id="rId3669" Type="http://schemas.openxmlformats.org/officeDocument/2006/relationships/hyperlink" Target="https://eitaa.com/beytolabbastoyserkan" TargetMode="External"/><Relationship Id="rId1007" Type="http://schemas.openxmlformats.org/officeDocument/2006/relationships/hyperlink" Target="https://eitaa.com/HeyateHazrateOmmulMasaeb" TargetMode="External"/><Relationship Id="rId2338" Type="http://schemas.openxmlformats.org/officeDocument/2006/relationships/hyperlink" Target="https://www.instagram.com/htsarallah/" TargetMode="External"/><Relationship Id="rId3668" Type="http://schemas.openxmlformats.org/officeDocument/2006/relationships/hyperlink" Target="https://t.me/beytolabbas_toy" TargetMode="External"/><Relationship Id="rId4999" Type="http://schemas.openxmlformats.org/officeDocument/2006/relationships/hyperlink" Target="https://www.instagram.com/norolhussain/" TargetMode="External"/><Relationship Id="rId1008" Type="http://schemas.openxmlformats.org/officeDocument/2006/relationships/hyperlink" Target="https://www.instagram.com/jannatol_hoseiin/" TargetMode="External"/><Relationship Id="rId2339" Type="http://schemas.openxmlformats.org/officeDocument/2006/relationships/hyperlink" Target="https://t.me/sarallahfouman" TargetMode="External"/><Relationship Id="rId1009" Type="http://schemas.openxmlformats.org/officeDocument/2006/relationships/hyperlink" Target="http://telegram.me/khazib" TargetMode="External"/><Relationship Id="rId4990" Type="http://schemas.openxmlformats.org/officeDocument/2006/relationships/hyperlink" Target="https://www.instagram.com/fatemion135/" TargetMode="External"/><Relationship Id="rId3661" Type="http://schemas.openxmlformats.org/officeDocument/2006/relationships/hyperlink" Target="https://www.instagram.com/teflrobab_ir/" TargetMode="External"/><Relationship Id="rId4992" Type="http://schemas.openxmlformats.org/officeDocument/2006/relationships/hyperlink" Target="https://www.instagram.com/reyhane_krsh/" TargetMode="External"/><Relationship Id="rId2330" Type="http://schemas.openxmlformats.org/officeDocument/2006/relationships/hyperlink" Target="https://www.instagram.com/mahfelll" TargetMode="External"/><Relationship Id="rId3660" Type="http://schemas.openxmlformats.org/officeDocument/2006/relationships/hyperlink" Target="https://www.instagram.com/m.f.ahmadiye.hamedan/" TargetMode="External"/><Relationship Id="rId4991" Type="http://schemas.openxmlformats.org/officeDocument/2006/relationships/hyperlink" Target="https://www.instagram.com/leva_zeynab_harsin/" TargetMode="External"/><Relationship Id="rId1000" Type="http://schemas.openxmlformats.org/officeDocument/2006/relationships/hyperlink" Target="https://www.instagram.com/hoseinieh_hazrat_seyedoshohada/" TargetMode="External"/><Relationship Id="rId2331" Type="http://schemas.openxmlformats.org/officeDocument/2006/relationships/hyperlink" Target="https://t.me/mahfelll" TargetMode="External"/><Relationship Id="rId3663" Type="http://schemas.openxmlformats.org/officeDocument/2006/relationships/hyperlink" Target="https://www.instagram.com/h_chhardh_mesvm1354/" TargetMode="External"/><Relationship Id="rId4994" Type="http://schemas.openxmlformats.org/officeDocument/2006/relationships/hyperlink" Target="https://www.instagram.com/alamdar_kermanshah/" TargetMode="External"/><Relationship Id="rId1001" Type="http://schemas.openxmlformats.org/officeDocument/2006/relationships/hyperlink" Target="https://www.instagram.com/ashoraeiha/" TargetMode="External"/><Relationship Id="rId2332" Type="http://schemas.openxmlformats.org/officeDocument/2006/relationships/hyperlink" Target="https://www.instagram.com/maktab.alzahra1420/" TargetMode="External"/><Relationship Id="rId3662" Type="http://schemas.openxmlformats.org/officeDocument/2006/relationships/hyperlink" Target="https://eitaa.com/heyatpeyrovan59" TargetMode="External"/><Relationship Id="rId4993" Type="http://schemas.openxmlformats.org/officeDocument/2006/relationships/hyperlink" Target="https://eitaa.com/reyhane_krsh" TargetMode="External"/><Relationship Id="rId1002" Type="http://schemas.openxmlformats.org/officeDocument/2006/relationships/hyperlink" Target="http://eitaa.com/ashoraeiha" TargetMode="External"/><Relationship Id="rId2333" Type="http://schemas.openxmlformats.org/officeDocument/2006/relationships/hyperlink" Target="https://www.instagram.com/h.reyhanatonaby/" TargetMode="External"/><Relationship Id="rId3665" Type="http://schemas.openxmlformats.org/officeDocument/2006/relationships/hyperlink" Target="https://eitaa.com/aemme_baghi" TargetMode="External"/><Relationship Id="rId4996" Type="http://schemas.openxmlformats.org/officeDocument/2006/relationships/hyperlink" Target="https://www.instagram.com/fatemiuoon/" TargetMode="External"/><Relationship Id="rId1003" Type="http://schemas.openxmlformats.org/officeDocument/2006/relationships/hyperlink" Target="https://www.instagram.com/rozatollah118/" TargetMode="External"/><Relationship Id="rId2334" Type="http://schemas.openxmlformats.org/officeDocument/2006/relationships/hyperlink" Target="https://t.me/hreyhanatonabi" TargetMode="External"/><Relationship Id="rId3664" Type="http://schemas.openxmlformats.org/officeDocument/2006/relationships/hyperlink" Target="https://www.instagram.com/aemme_baghi/" TargetMode="External"/><Relationship Id="rId4995" Type="http://schemas.openxmlformats.org/officeDocument/2006/relationships/hyperlink" Target="https://www.instagram.com/ali.asghar.kermanshah/" TargetMode="External"/><Relationship Id="rId1037" Type="http://schemas.openxmlformats.org/officeDocument/2006/relationships/hyperlink" Target="https://www.instagram.com/mohebinaemeh_ir/" TargetMode="External"/><Relationship Id="rId2368" Type="http://schemas.openxmlformats.org/officeDocument/2006/relationships/hyperlink" Target="https://www.instagram.com/sarallah__info/" TargetMode="External"/><Relationship Id="rId1038" Type="http://schemas.openxmlformats.org/officeDocument/2006/relationships/hyperlink" Target="http://t.me/Mohebbin_Alaeme" TargetMode="External"/><Relationship Id="rId2369" Type="http://schemas.openxmlformats.org/officeDocument/2006/relationships/hyperlink" Target="https://www.instagram.com/alzahra.info/" TargetMode="External"/><Relationship Id="rId3699" Type="http://schemas.openxmlformats.org/officeDocument/2006/relationships/hyperlink" Target="https://eitaa.com/heyat_rozatol_hosein" TargetMode="External"/><Relationship Id="rId1039" Type="http://schemas.openxmlformats.org/officeDocument/2006/relationships/hyperlink" Target="https://www.instagram.com/moheban.abbas.1384/" TargetMode="External"/><Relationship Id="rId3690" Type="http://schemas.openxmlformats.org/officeDocument/2006/relationships/hyperlink" Target="https://t.me/shifteganeroghayeh" TargetMode="External"/><Relationship Id="rId2360" Type="http://schemas.openxmlformats.org/officeDocument/2006/relationships/hyperlink" Target="https://www.instagram.com/h_roghayejan_315/" TargetMode="External"/><Relationship Id="rId3692" Type="http://schemas.openxmlformats.org/officeDocument/2006/relationships/hyperlink" Target="https://www.instagram.com/heyat_sahebalzaman_nhv/" TargetMode="External"/><Relationship Id="rId1030" Type="http://schemas.openxmlformats.org/officeDocument/2006/relationships/hyperlink" Target="https://www.instagram.com/zfgvhvhbj/" TargetMode="External"/><Relationship Id="rId2361" Type="http://schemas.openxmlformats.org/officeDocument/2006/relationships/hyperlink" Target="https://t.me/roghaye_jan315" TargetMode="External"/><Relationship Id="rId3691" Type="http://schemas.openxmlformats.org/officeDocument/2006/relationships/hyperlink" Target="https://eitaa.com/shifteganeroghayeh" TargetMode="External"/><Relationship Id="rId1031" Type="http://schemas.openxmlformats.org/officeDocument/2006/relationships/hyperlink" Target="http://tlgrm.me/fatemiun313" TargetMode="External"/><Relationship Id="rId2362" Type="http://schemas.openxmlformats.org/officeDocument/2006/relationships/hyperlink" Target="https://www.instagram.com/h_fatemiyon_s/" TargetMode="External"/><Relationship Id="rId3694" Type="http://schemas.openxmlformats.org/officeDocument/2006/relationships/hyperlink" Target="https://eitaa.com/mohebaneharam" TargetMode="External"/><Relationship Id="rId1032" Type="http://schemas.openxmlformats.org/officeDocument/2006/relationships/hyperlink" Target="https://www.instagram.com/heiate.khademin/" TargetMode="External"/><Relationship Id="rId2363" Type="http://schemas.openxmlformats.org/officeDocument/2006/relationships/hyperlink" Target="https://t.me/hfs135" TargetMode="External"/><Relationship Id="rId3693" Type="http://schemas.openxmlformats.org/officeDocument/2006/relationships/hyperlink" Target="https://www.instagram.com/mohebanharam/" TargetMode="External"/><Relationship Id="rId1033" Type="http://schemas.openxmlformats.org/officeDocument/2006/relationships/hyperlink" Target="https://www.instagram.com/heyate_mohebane_ali_asghar/" TargetMode="External"/><Relationship Id="rId2364" Type="http://schemas.openxmlformats.org/officeDocument/2006/relationships/hyperlink" Target="https://www.instagram.com/h.ansaralmahdi.s/" TargetMode="External"/><Relationship Id="rId3696" Type="http://schemas.openxmlformats.org/officeDocument/2006/relationships/hyperlink" Target="https://t.me/alamdar110ir" TargetMode="External"/><Relationship Id="rId1034" Type="http://schemas.openxmlformats.org/officeDocument/2006/relationships/hyperlink" Target="http://tlgrm.me/mohebanealiasghar71" TargetMode="External"/><Relationship Id="rId2365" Type="http://schemas.openxmlformats.org/officeDocument/2006/relationships/hyperlink" Target="https://www.instagram.com/rayatalabbas_fuoman/" TargetMode="External"/><Relationship Id="rId3695" Type="http://schemas.openxmlformats.org/officeDocument/2006/relationships/hyperlink" Target="https://www.instagram.com/alamdar110ir" TargetMode="External"/><Relationship Id="rId1035" Type="http://schemas.openxmlformats.org/officeDocument/2006/relationships/hyperlink" Target="https://www.instagram.com/aliasghariha/" TargetMode="External"/><Relationship Id="rId2366" Type="http://schemas.openxmlformats.org/officeDocument/2006/relationships/hyperlink" Target="https://t.me/rayatalabbas_fuman" TargetMode="External"/><Relationship Id="rId3698" Type="http://schemas.openxmlformats.org/officeDocument/2006/relationships/hyperlink" Target="https://www.instagram.com/rozatolhosein_ir" TargetMode="External"/><Relationship Id="rId1036" Type="http://schemas.openxmlformats.org/officeDocument/2006/relationships/hyperlink" Target="https://www.instagram.com/mohebbanalaemeh/" TargetMode="External"/><Relationship Id="rId2367" Type="http://schemas.openxmlformats.org/officeDocument/2006/relationships/hyperlink" Target="https://www.instagram.com/mohebbane_fatemeh/" TargetMode="External"/><Relationship Id="rId3697" Type="http://schemas.openxmlformats.org/officeDocument/2006/relationships/hyperlink" Target="https://eitaa.com/alamdar110ir" TargetMode="External"/><Relationship Id="rId1026" Type="http://schemas.openxmlformats.org/officeDocument/2006/relationships/hyperlink" Target="https://www.instagram.com/heiat_mohebban_hossein/" TargetMode="External"/><Relationship Id="rId2357" Type="http://schemas.openxmlformats.org/officeDocument/2006/relationships/hyperlink" Target="https://www.instagram.com/shgomnam.ir/" TargetMode="External"/><Relationship Id="rId3689" Type="http://schemas.openxmlformats.org/officeDocument/2006/relationships/hyperlink" Target="https://www.instagram.com/shifteganeh_roghayyeh/" TargetMode="External"/><Relationship Id="rId1027" Type="http://schemas.openxmlformats.org/officeDocument/2006/relationships/hyperlink" Target="http://t.me/mohebbanelhossein" TargetMode="External"/><Relationship Id="rId2358" Type="http://schemas.openxmlformats.org/officeDocument/2006/relationships/hyperlink" Target="https://t.me/h_shgomnam" TargetMode="External"/><Relationship Id="rId3688" Type="http://schemas.openxmlformats.org/officeDocument/2006/relationships/hyperlink" Target="https://eitaa.com/HeyateSeyyedeZeynab" TargetMode="External"/><Relationship Id="rId1028" Type="http://schemas.openxmlformats.org/officeDocument/2006/relationships/hyperlink" Target="https://www.instagram.com/heyatjavanangamarbanihashm/" TargetMode="External"/><Relationship Id="rId2359" Type="http://schemas.openxmlformats.org/officeDocument/2006/relationships/hyperlink" Target="https://www.instagram.com/hrsoomesara/" TargetMode="External"/><Relationship Id="rId1029" Type="http://schemas.openxmlformats.org/officeDocument/2006/relationships/hyperlink" Target="https://www.instagram.com/heyat.aba.abdelah/" TargetMode="External"/><Relationship Id="rId3681" Type="http://schemas.openxmlformats.org/officeDocument/2006/relationships/hyperlink" Target="http://eitaa.com/khademoshohada_mly" TargetMode="External"/><Relationship Id="rId2350" Type="http://schemas.openxmlformats.org/officeDocument/2006/relationships/hyperlink" Target="https://www.instagram.com/heiat_baghiyatallah/" TargetMode="External"/><Relationship Id="rId3680" Type="http://schemas.openxmlformats.org/officeDocument/2006/relationships/hyperlink" Target="https://www.instagram.com/khademoshohada_mly/" TargetMode="External"/><Relationship Id="rId1020" Type="http://schemas.openxmlformats.org/officeDocument/2006/relationships/hyperlink" Target="https://www.instagram.com/saralah18/" TargetMode="External"/><Relationship Id="rId2351" Type="http://schemas.openxmlformats.org/officeDocument/2006/relationships/hyperlink" Target="https://t.me/heiat_baghiyatallah" TargetMode="External"/><Relationship Id="rId3683" Type="http://schemas.openxmlformats.org/officeDocument/2006/relationships/hyperlink" Target="http://eitaa.com/shohadayegomnam_nahavand" TargetMode="External"/><Relationship Id="rId1021" Type="http://schemas.openxmlformats.org/officeDocument/2006/relationships/hyperlink" Target="http://t.me/saralah18" TargetMode="External"/><Relationship Id="rId2352" Type="http://schemas.openxmlformats.org/officeDocument/2006/relationships/hyperlink" Target="https://www.instagram.com/heiat_rahrovan/" TargetMode="External"/><Relationship Id="rId3682" Type="http://schemas.openxmlformats.org/officeDocument/2006/relationships/hyperlink" Target="https://www.instagram.com/shohadayegomnam_nahavand" TargetMode="External"/><Relationship Id="rId1022" Type="http://schemas.openxmlformats.org/officeDocument/2006/relationships/hyperlink" Target="https://eitaa.com/varesanesarallah" TargetMode="External"/><Relationship Id="rId2353" Type="http://schemas.openxmlformats.org/officeDocument/2006/relationships/hyperlink" Target="https://t.me/rahrovan_shaft" TargetMode="External"/><Relationship Id="rId3685" Type="http://schemas.openxmlformats.org/officeDocument/2006/relationships/hyperlink" Target="https://www.instagram.com/khatoon_heyat/" TargetMode="External"/><Relationship Id="rId1023" Type="http://schemas.openxmlformats.org/officeDocument/2006/relationships/hyperlink" Target="https://www.instagram.com/panjtanbakhshayesh/" TargetMode="External"/><Relationship Id="rId2354" Type="http://schemas.openxmlformats.org/officeDocument/2006/relationships/hyperlink" Target="https://eitaa.com/rahrovan_shohada_shaft" TargetMode="External"/><Relationship Id="rId3684" Type="http://schemas.openxmlformats.org/officeDocument/2006/relationships/hyperlink" Target="http://eitaa.com/heydarion_hmd" TargetMode="External"/><Relationship Id="rId1024" Type="http://schemas.openxmlformats.org/officeDocument/2006/relationships/hyperlink" Target="http://tle.me/panjtanbakhshayesh" TargetMode="External"/><Relationship Id="rId2355" Type="http://schemas.openxmlformats.org/officeDocument/2006/relationships/hyperlink" Target="https://www.instagram.com/panjtan_shaft/" TargetMode="External"/><Relationship Id="rId3687" Type="http://schemas.openxmlformats.org/officeDocument/2006/relationships/hyperlink" Target="https://sapp.ir/ansarolmahdi_tochghaz2" TargetMode="External"/><Relationship Id="rId1025" Type="http://schemas.openxmlformats.org/officeDocument/2006/relationships/hyperlink" Target="https://www.instagram.com/hosiniezanjaniha/" TargetMode="External"/><Relationship Id="rId2356" Type="http://schemas.openxmlformats.org/officeDocument/2006/relationships/hyperlink" Target="https://t.me/panjtan_shaft" TargetMode="External"/><Relationship Id="rId3686" Type="http://schemas.openxmlformats.org/officeDocument/2006/relationships/hyperlink" Target="https://eitaa.com/fatemiyon_khaharan" TargetMode="External"/><Relationship Id="rId8529" Type="http://schemas.openxmlformats.org/officeDocument/2006/relationships/hyperlink" Target="https://t.me/safiralhossain" TargetMode="External"/><Relationship Id="rId8528" Type="http://schemas.openxmlformats.org/officeDocument/2006/relationships/hyperlink" Target="http://instagram.com/safiralhossein/" TargetMode="External"/><Relationship Id="rId8523" Type="http://schemas.openxmlformats.org/officeDocument/2006/relationships/hyperlink" Target="https://eitaa.com/jannat_al_mojtaba" TargetMode="External"/><Relationship Id="rId8522" Type="http://schemas.openxmlformats.org/officeDocument/2006/relationships/hyperlink" Target="https://www.instagram.com/jannat_al_mojtaba/" TargetMode="External"/><Relationship Id="rId8521" Type="http://schemas.openxmlformats.org/officeDocument/2006/relationships/hyperlink" Target="https://www.instagram.com/heyat.alreza" TargetMode="External"/><Relationship Id="rId8520" Type="http://schemas.openxmlformats.org/officeDocument/2006/relationships/hyperlink" Target="https://eitaa.com/pelak69_ir" TargetMode="External"/><Relationship Id="rId8527" Type="http://schemas.openxmlformats.org/officeDocument/2006/relationships/hyperlink" Target="https://eitaa.com/babalhavaeg_barzok" TargetMode="External"/><Relationship Id="rId8526" Type="http://schemas.openxmlformats.org/officeDocument/2006/relationships/hyperlink" Target="https://www.instagram.com/babalhavaeg_barzok/" TargetMode="External"/><Relationship Id="rId8525" Type="http://schemas.openxmlformats.org/officeDocument/2006/relationships/hyperlink" Target="https://t.me/saresang" TargetMode="External"/><Relationship Id="rId8524" Type="http://schemas.openxmlformats.org/officeDocument/2006/relationships/hyperlink" Target="https://www.instagram.com/heyat_abolfazl_saresang/" TargetMode="External"/><Relationship Id="rId8519" Type="http://schemas.openxmlformats.org/officeDocument/2006/relationships/hyperlink" Target="https://t.me/pelak69_ir" TargetMode="External"/><Relationship Id="rId8518" Type="http://schemas.openxmlformats.org/officeDocument/2006/relationships/hyperlink" Target="https://www.instagram.com/pelak69_ir/" TargetMode="External"/><Relationship Id="rId8517" Type="http://schemas.openxmlformats.org/officeDocument/2006/relationships/hyperlink" Target="https://eitaa.com/yusofe_zahra" TargetMode="External"/><Relationship Id="rId8512" Type="http://schemas.openxmlformats.org/officeDocument/2006/relationships/hyperlink" Target="https://www.instagram.com/mohebanozahra_90/" TargetMode="External"/><Relationship Id="rId8511" Type="http://schemas.openxmlformats.org/officeDocument/2006/relationships/hyperlink" Target="https://www.instagram.com/fadaeianhoseinir/" TargetMode="External"/><Relationship Id="rId8510" Type="http://schemas.openxmlformats.org/officeDocument/2006/relationships/hyperlink" Target="https://www.instagram.com/fatemiyun_mahmoodabad/" TargetMode="External"/><Relationship Id="rId8516" Type="http://schemas.openxmlformats.org/officeDocument/2006/relationships/hyperlink" Target="https://www.instagram.com/h.yusofezahra/" TargetMode="External"/><Relationship Id="rId8515" Type="http://schemas.openxmlformats.org/officeDocument/2006/relationships/hyperlink" Target="https://t.me/K_ataieniya315" TargetMode="External"/><Relationship Id="rId8514" Type="http://schemas.openxmlformats.org/officeDocument/2006/relationships/hyperlink" Target="https://www.instagram.com/mohammad_ataieniya216/" TargetMode="External"/><Relationship Id="rId8513" Type="http://schemas.openxmlformats.org/officeDocument/2006/relationships/hyperlink" Target="https://www.instagram.com/mohben_ahle_bet" TargetMode="External"/><Relationship Id="rId7219" Type="http://schemas.openxmlformats.org/officeDocument/2006/relationships/hyperlink" Target="https://www.instagram.com/mokeb.alamdar.karbala_saveh/" TargetMode="External"/><Relationship Id="rId7210" Type="http://schemas.openxmlformats.org/officeDocument/2006/relationships/hyperlink" Target="https://www.instagram.com/mokeb_emamhasan_saveh/" TargetMode="External"/><Relationship Id="rId8541" Type="http://schemas.openxmlformats.org/officeDocument/2006/relationships/hyperlink" Target="https://eitaa.com/rozatolabbas_noushabad" TargetMode="External"/><Relationship Id="rId8540" Type="http://schemas.openxmlformats.org/officeDocument/2006/relationships/hyperlink" Target="https://t.me/rozatolabbas_noushabad" TargetMode="External"/><Relationship Id="rId7214" Type="http://schemas.openxmlformats.org/officeDocument/2006/relationships/hyperlink" Target="https://t.me/resaneh_ahrar" TargetMode="External"/><Relationship Id="rId8545" Type="http://schemas.openxmlformats.org/officeDocument/2006/relationships/hyperlink" Target="https://www.instagram.com/alamdar_kashan/" TargetMode="External"/><Relationship Id="rId7213" Type="http://schemas.openxmlformats.org/officeDocument/2006/relationships/hyperlink" Target="https://www.instagram.com/resaneh_ahrar/" TargetMode="External"/><Relationship Id="rId8544" Type="http://schemas.openxmlformats.org/officeDocument/2006/relationships/hyperlink" Target="https://www.instagram.com/ansarhasan_resane/" TargetMode="External"/><Relationship Id="rId7212" Type="http://schemas.openxmlformats.org/officeDocument/2006/relationships/hyperlink" Target="https://www.instagram.com/emam.hasan.save/" TargetMode="External"/><Relationship Id="rId8543" Type="http://schemas.openxmlformats.org/officeDocument/2006/relationships/hyperlink" Target="https://t.me/hazrat_aliakbr" TargetMode="External"/><Relationship Id="rId7211" Type="http://schemas.openxmlformats.org/officeDocument/2006/relationships/hyperlink" Target="https://www.instagram.com/ghasemiyeh_saveh/" TargetMode="External"/><Relationship Id="rId8542" Type="http://schemas.openxmlformats.org/officeDocument/2006/relationships/hyperlink" Target="https://www.instagram.com/aliakbarpamenar/" TargetMode="External"/><Relationship Id="rId7218" Type="http://schemas.openxmlformats.org/officeDocument/2006/relationships/hyperlink" Target="https://www.instagram.com/alamdaran_alamkeshan_saveh/" TargetMode="External"/><Relationship Id="rId8549" Type="http://schemas.openxmlformats.org/officeDocument/2006/relationships/hyperlink" Target="https://www.instagram.com/ya_abbas82/" TargetMode="External"/><Relationship Id="rId7217" Type="http://schemas.openxmlformats.org/officeDocument/2006/relationships/hyperlink" Target="https://t.me/maktab_alhosein_saveh" TargetMode="External"/><Relationship Id="rId8548" Type="http://schemas.openxmlformats.org/officeDocument/2006/relationships/hyperlink" Target="https://www.instagram.com/hosseininoushabad/" TargetMode="External"/><Relationship Id="rId7216" Type="http://schemas.openxmlformats.org/officeDocument/2006/relationships/hyperlink" Target="https://www.instagram.com/maktab_alhosein_saveh/" TargetMode="External"/><Relationship Id="rId8547" Type="http://schemas.openxmlformats.org/officeDocument/2006/relationships/hyperlink" Target="https://eitaa.com/Alamdarkashan" TargetMode="External"/><Relationship Id="rId7215" Type="http://schemas.openxmlformats.org/officeDocument/2006/relationships/hyperlink" Target="https://eitaa.com/resaneh_ahrar" TargetMode="External"/><Relationship Id="rId8546" Type="http://schemas.openxmlformats.org/officeDocument/2006/relationships/hyperlink" Target="https://t.me/alamdarkashan" TargetMode="External"/><Relationship Id="rId7209" Type="http://schemas.openxmlformats.org/officeDocument/2006/relationships/hyperlink" Target="https://www.instagram.com/heyat_eiliya/" TargetMode="External"/><Relationship Id="rId7208" Type="http://schemas.openxmlformats.org/officeDocument/2006/relationships/hyperlink" Target="https://eitaa.com/Heyat_Eiliya" TargetMode="External"/><Relationship Id="rId8539" Type="http://schemas.openxmlformats.org/officeDocument/2006/relationships/hyperlink" Target="https://www.instagram.com/rozatolabbas_noushabad/" TargetMode="External"/><Relationship Id="rId8530" Type="http://schemas.openxmlformats.org/officeDocument/2006/relationships/hyperlink" Target="https://www.instagram.com/14masoomkashan/" TargetMode="External"/><Relationship Id="rId7203" Type="http://schemas.openxmlformats.org/officeDocument/2006/relationships/hyperlink" Target="https://www.instagram.com/heyat.ome.abiha/" TargetMode="External"/><Relationship Id="rId8534" Type="http://schemas.openxmlformats.org/officeDocument/2006/relationships/hyperlink" Target="https://eitaa.com/jannatolroghayekashan315" TargetMode="External"/><Relationship Id="rId7202" Type="http://schemas.openxmlformats.org/officeDocument/2006/relationships/hyperlink" Target="https://www.instagram.com/beyt_ol_roghayyeh/" TargetMode="External"/><Relationship Id="rId8533" Type="http://schemas.openxmlformats.org/officeDocument/2006/relationships/hyperlink" Target="https://t.me/jannatolroghayekashan315" TargetMode="External"/><Relationship Id="rId7201" Type="http://schemas.openxmlformats.org/officeDocument/2006/relationships/hyperlink" Target="https://t.me/h_khademalhosein" TargetMode="External"/><Relationship Id="rId8532" Type="http://schemas.openxmlformats.org/officeDocument/2006/relationships/hyperlink" Target="https://www.instagram.com/jannatroghayekashan315/" TargetMode="External"/><Relationship Id="rId7200" Type="http://schemas.openxmlformats.org/officeDocument/2006/relationships/hyperlink" Target="https://www.instagram.com/khademalhosein__info/" TargetMode="External"/><Relationship Id="rId8531" Type="http://schemas.openxmlformats.org/officeDocument/2006/relationships/hyperlink" Target="https://www.instagram.com/mokebefin/" TargetMode="External"/><Relationship Id="rId7207" Type="http://schemas.openxmlformats.org/officeDocument/2006/relationships/hyperlink" Target="https://t.me/beytozahraSave" TargetMode="External"/><Relationship Id="rId8538" Type="http://schemas.openxmlformats.org/officeDocument/2006/relationships/hyperlink" Target="https://t.me/janatol_zahra_AranandBidgol" TargetMode="External"/><Relationship Id="rId7206" Type="http://schemas.openxmlformats.org/officeDocument/2006/relationships/hyperlink" Target="https://www.instagram.com/beytolzahrasaveh/" TargetMode="External"/><Relationship Id="rId8537" Type="http://schemas.openxmlformats.org/officeDocument/2006/relationships/hyperlink" Target="https://www.instagram.com/jannatol_zahra/" TargetMode="External"/><Relationship Id="rId7205" Type="http://schemas.openxmlformats.org/officeDocument/2006/relationships/hyperlink" Target="https://eitaa.com/khademineemamzaman" TargetMode="External"/><Relationship Id="rId8536" Type="http://schemas.openxmlformats.org/officeDocument/2006/relationships/hyperlink" Target="https://t.me/mohtadoun" TargetMode="External"/><Relationship Id="rId7204" Type="http://schemas.openxmlformats.org/officeDocument/2006/relationships/hyperlink" Target="https://www.instagram.com/khademin_emam_zaman/" TargetMode="External"/><Relationship Id="rId8535" Type="http://schemas.openxmlformats.org/officeDocument/2006/relationships/hyperlink" Target="https://www.instagram.com/_mohtadoun_/" TargetMode="External"/><Relationship Id="rId1090" Type="http://schemas.openxmlformats.org/officeDocument/2006/relationships/hyperlink" Target="http://ble.ir/aliebnelhossein" TargetMode="External"/><Relationship Id="rId1091" Type="http://schemas.openxmlformats.org/officeDocument/2006/relationships/hyperlink" Target="https://www.instagram.com/oshaghalzahra/" TargetMode="External"/><Relationship Id="rId1092" Type="http://schemas.openxmlformats.org/officeDocument/2006/relationships/hyperlink" Target="https://www.instagram.com/maktaborreza_qods/" TargetMode="External"/><Relationship Id="rId1093" Type="http://schemas.openxmlformats.org/officeDocument/2006/relationships/hyperlink" Target="http://t.me/HajSeyedMeysamMahmoudi" TargetMode="External"/><Relationship Id="rId1094" Type="http://schemas.openxmlformats.org/officeDocument/2006/relationships/hyperlink" Target="https://www.instagram.com/mahfell_ashk/" TargetMode="External"/><Relationship Id="rId1095" Type="http://schemas.openxmlformats.org/officeDocument/2006/relationships/hyperlink" Target="http://t.me/mahfell_ashk" TargetMode="External"/><Relationship Id="rId1096" Type="http://schemas.openxmlformats.org/officeDocument/2006/relationships/hyperlink" Target="https://eitaa.com/mohebb_ir" TargetMode="External"/><Relationship Id="rId1097" Type="http://schemas.openxmlformats.org/officeDocument/2006/relationships/hyperlink" Target="http://mohebb.ir" TargetMode="External"/><Relationship Id="rId1098" Type="http://schemas.openxmlformats.org/officeDocument/2006/relationships/hyperlink" Target="https://www.instagram.com/maktabozzahra_official/" TargetMode="External"/><Relationship Id="rId1099" Type="http://schemas.openxmlformats.org/officeDocument/2006/relationships/hyperlink" Target="http://t.me/maktabozzahra1368" TargetMode="External"/><Relationship Id="rId1080" Type="http://schemas.openxmlformats.org/officeDocument/2006/relationships/hyperlink" Target="https://eitaa.com/b59313" TargetMode="External"/><Relationship Id="rId1081" Type="http://schemas.openxmlformats.org/officeDocument/2006/relationships/hyperlink" Target="https://www.instagram.com/ehyaae_amr/" TargetMode="External"/><Relationship Id="rId1082" Type="http://schemas.openxmlformats.org/officeDocument/2006/relationships/hyperlink" Target="http://t.me/ehyaae_amr" TargetMode="External"/><Relationship Id="rId1083" Type="http://schemas.openxmlformats.org/officeDocument/2006/relationships/hyperlink" Target="https://www.instagram.com/heyatejavananehazratealiakbar/" TargetMode="External"/><Relationship Id="rId1084" Type="http://schemas.openxmlformats.org/officeDocument/2006/relationships/hyperlink" Target="http://t.me/heyatejavananehazratealiakbarr" TargetMode="External"/><Relationship Id="rId1085" Type="http://schemas.openxmlformats.org/officeDocument/2006/relationships/hyperlink" Target="https://www.instagram.com/h.maktab_omonojaba/" TargetMode="External"/><Relationship Id="rId1086" Type="http://schemas.openxmlformats.org/officeDocument/2006/relationships/hyperlink" Target="https://eitaa.com/ahbabolhojah" TargetMode="External"/><Relationship Id="rId1087" Type="http://schemas.openxmlformats.org/officeDocument/2006/relationships/hyperlink" Target="https://www.instagram.com/kheymekarimahlbeyt" TargetMode="External"/><Relationship Id="rId1088" Type="http://schemas.openxmlformats.org/officeDocument/2006/relationships/hyperlink" Target="https://eitaa.com/kheymekarimahlbeyt" TargetMode="External"/><Relationship Id="rId1089" Type="http://schemas.openxmlformats.org/officeDocument/2006/relationships/hyperlink" Target="https://www.instagram.com/masjedaliebnelhossein/" TargetMode="External"/><Relationship Id="rId8509" Type="http://schemas.openxmlformats.org/officeDocument/2006/relationships/hyperlink" Target="https://t.me/fatemye_kashan" TargetMode="External"/><Relationship Id="rId8508" Type="http://schemas.openxmlformats.org/officeDocument/2006/relationships/hyperlink" Target="https://www.instagram.com/fatemye_kashan/" TargetMode="External"/><Relationship Id="rId8507" Type="http://schemas.openxmlformats.org/officeDocument/2006/relationships/hyperlink" Target="https://t.me/aliakbarestark" TargetMode="External"/><Relationship Id="rId8506" Type="http://schemas.openxmlformats.org/officeDocument/2006/relationships/hyperlink" Target="https://www.instagram.com/heyataliakbar_estark" TargetMode="External"/><Relationship Id="rId8501" Type="http://schemas.openxmlformats.org/officeDocument/2006/relationships/hyperlink" Target="https://www.instagram.com/delsuokhtegan/" TargetMode="External"/><Relationship Id="rId8500" Type="http://schemas.openxmlformats.org/officeDocument/2006/relationships/hyperlink" Target="https://eitaa.com/heyat_daroleshgh" TargetMode="External"/><Relationship Id="rId8505" Type="http://schemas.openxmlformats.org/officeDocument/2006/relationships/hyperlink" Target="https://eitaa.com/ravagholhosein" TargetMode="External"/><Relationship Id="rId8504" Type="http://schemas.openxmlformats.org/officeDocument/2006/relationships/hyperlink" Target="https://t.me/ravagholhosein" TargetMode="External"/><Relationship Id="rId8503" Type="http://schemas.openxmlformats.org/officeDocument/2006/relationships/hyperlink" Target="https://www.instagram.com/ravagholhosein/" TargetMode="External"/><Relationship Id="rId8502" Type="http://schemas.openxmlformats.org/officeDocument/2006/relationships/hyperlink" Target="https://www.instagram.com/hytrzmndgnslmjnwb/" TargetMode="External"/><Relationship Id="rId7272" Type="http://schemas.openxmlformats.org/officeDocument/2006/relationships/hyperlink" Target="https://www.instagram.com/ghaem_almohammad/" TargetMode="External"/><Relationship Id="rId7271" Type="http://schemas.openxmlformats.org/officeDocument/2006/relationships/hyperlink" Target="https://t.me/mohebbin_araku" TargetMode="External"/><Relationship Id="rId7270" Type="http://schemas.openxmlformats.org/officeDocument/2006/relationships/hyperlink" Target="https://t.me/heyat_sadat_nimvar" TargetMode="External"/><Relationship Id="rId7276" Type="http://schemas.openxmlformats.org/officeDocument/2006/relationships/hyperlink" Target="http://eitaa.com/motavaselein" TargetMode="External"/><Relationship Id="rId7275" Type="http://schemas.openxmlformats.org/officeDocument/2006/relationships/hyperlink" Target="https://www.instagram.com/motavaselininfo/" TargetMode="External"/><Relationship Id="rId7274" Type="http://schemas.openxmlformats.org/officeDocument/2006/relationships/hyperlink" Target="https://www.instagram.com/karimaltaha__/" TargetMode="External"/><Relationship Id="rId7273" Type="http://schemas.openxmlformats.org/officeDocument/2006/relationships/hyperlink" Target="http://t.me/heyatghaemalmo" TargetMode="External"/><Relationship Id="rId7279" Type="http://schemas.openxmlformats.org/officeDocument/2006/relationships/hyperlink" Target="https://www.instagram.com/hyyat_masjed_valiasr/" TargetMode="External"/><Relationship Id="rId7278" Type="http://schemas.openxmlformats.org/officeDocument/2006/relationships/hyperlink" Target="https://eitaa.com/yavaran_mahdi_khondab" TargetMode="External"/><Relationship Id="rId7277" Type="http://schemas.openxmlformats.org/officeDocument/2006/relationships/hyperlink" Target="https://t.me/bibiroghayeh_arak" TargetMode="External"/><Relationship Id="rId7261" Type="http://schemas.openxmlformats.org/officeDocument/2006/relationships/hyperlink" Target="https://t.me/divaneganheydarkarararark" TargetMode="External"/><Relationship Id="rId8592" Type="http://schemas.openxmlformats.org/officeDocument/2006/relationships/hyperlink" Target="https://eitaa.com/mowkebbaqiyyatollah" TargetMode="External"/><Relationship Id="rId7260" Type="http://schemas.openxmlformats.org/officeDocument/2006/relationships/hyperlink" Target="https://eitaa.com/hasanie_arak" TargetMode="External"/><Relationship Id="rId8591" Type="http://schemas.openxmlformats.org/officeDocument/2006/relationships/hyperlink" Target="https://eitaa.com/JavananeGhasem" TargetMode="External"/><Relationship Id="rId8590" Type="http://schemas.openxmlformats.org/officeDocument/2006/relationships/hyperlink" Target="https://eitaa.com/heyate_mosabnejafar" TargetMode="External"/><Relationship Id="rId7265" Type="http://schemas.openxmlformats.org/officeDocument/2006/relationships/hyperlink" Target="http://t.me/babol_javad" TargetMode="External"/><Relationship Id="rId8596" Type="http://schemas.openxmlformats.org/officeDocument/2006/relationships/hyperlink" Target="https://eitaa.com/heiat_banifatemeh" TargetMode="External"/><Relationship Id="rId7264" Type="http://schemas.openxmlformats.org/officeDocument/2006/relationships/hyperlink" Target="https://www.instagram.com/babol_javad_arak/" TargetMode="External"/><Relationship Id="rId8595" Type="http://schemas.openxmlformats.org/officeDocument/2006/relationships/hyperlink" Target="https://eitaa.com/hoseinieh_naeiniha" TargetMode="External"/><Relationship Id="rId7263" Type="http://schemas.openxmlformats.org/officeDocument/2006/relationships/hyperlink" Target="https://eitaa.com/heiathazrataliasghar" TargetMode="External"/><Relationship Id="rId8594" Type="http://schemas.openxmlformats.org/officeDocument/2006/relationships/hyperlink" Target="https://eitaa.com/rhshohada" TargetMode="External"/><Relationship Id="rId7262" Type="http://schemas.openxmlformats.org/officeDocument/2006/relationships/hyperlink" Target="https://eitaa.com/nodbeha" TargetMode="External"/><Relationship Id="rId8593" Type="http://schemas.openxmlformats.org/officeDocument/2006/relationships/hyperlink" Target="https://eitaa.com/omidanhosein" TargetMode="External"/><Relationship Id="rId7269" Type="http://schemas.openxmlformats.org/officeDocument/2006/relationships/hyperlink" Target="https://www.instagram.com/heyate_sadate_shahre_nimvar/" TargetMode="External"/><Relationship Id="rId7268" Type="http://schemas.openxmlformats.org/officeDocument/2006/relationships/hyperlink" Target="https://eitaa.com/maktabzeynab_03" TargetMode="External"/><Relationship Id="rId8599" Type="http://schemas.openxmlformats.org/officeDocument/2006/relationships/hyperlink" Target="https://eitaa.com/hosinazar" TargetMode="External"/><Relationship Id="rId7267" Type="http://schemas.openxmlformats.org/officeDocument/2006/relationships/hyperlink" Target="https://eitaa.com/oshagholhoseiyn" TargetMode="External"/><Relationship Id="rId8598" Type="http://schemas.openxmlformats.org/officeDocument/2006/relationships/hyperlink" Target="https://eitaa.com/bentolhoda_kashan" TargetMode="External"/><Relationship Id="rId7266" Type="http://schemas.openxmlformats.org/officeDocument/2006/relationships/hyperlink" Target="https://eitaa.com/babol_javad" TargetMode="External"/><Relationship Id="rId8597" Type="http://schemas.openxmlformats.org/officeDocument/2006/relationships/hyperlink" Target="https://eitaa.com/reyhanatolhossein_channell" TargetMode="External"/><Relationship Id="rId7294" Type="http://schemas.openxmlformats.org/officeDocument/2006/relationships/hyperlink" Target="https://www.instagram.com/hobbol_hosseein/" TargetMode="External"/><Relationship Id="rId7293" Type="http://schemas.openxmlformats.org/officeDocument/2006/relationships/hyperlink" Target="https://eitaa.com/hoseiniehkafsan" TargetMode="External"/><Relationship Id="rId7292" Type="http://schemas.openxmlformats.org/officeDocument/2006/relationships/hyperlink" Target="https://eitaa.com/madaresadat_ir" TargetMode="External"/><Relationship Id="rId7291" Type="http://schemas.openxmlformats.org/officeDocument/2006/relationships/hyperlink" Target="https://eitaa.com/meheyat_ir" TargetMode="External"/><Relationship Id="rId7298" Type="http://schemas.openxmlformats.org/officeDocument/2006/relationships/hyperlink" Target="https://eitaa.com/mahfeleshohada61/" TargetMode="External"/><Relationship Id="rId7297" Type="http://schemas.openxmlformats.org/officeDocument/2006/relationships/hyperlink" Target="https://www.instagram.com/alaviyon110/" TargetMode="External"/><Relationship Id="rId7296" Type="http://schemas.openxmlformats.org/officeDocument/2006/relationships/hyperlink" Target="https://eitaa.com/ansaralmahdishazand" TargetMode="External"/><Relationship Id="rId7295" Type="http://schemas.openxmlformats.org/officeDocument/2006/relationships/hyperlink" Target="https://eitaa.com/hobbolhosseein" TargetMode="External"/><Relationship Id="rId7299" Type="http://schemas.openxmlformats.org/officeDocument/2006/relationships/hyperlink" Target="https://eitaa.com/motevaselein" TargetMode="External"/><Relationship Id="rId7290" Type="http://schemas.openxmlformats.org/officeDocument/2006/relationships/hyperlink" Target="https://eitaa.com/yalasaratnet" TargetMode="External"/><Relationship Id="rId7283" Type="http://schemas.openxmlformats.org/officeDocument/2006/relationships/hyperlink" Target="https://t.me/alamdarbeinoalharamein" TargetMode="External"/><Relationship Id="rId7282" Type="http://schemas.openxmlformats.org/officeDocument/2006/relationships/hyperlink" Target="https://www.instagram.com/maktabosadeq_net/" TargetMode="External"/><Relationship Id="rId7281" Type="http://schemas.openxmlformats.org/officeDocument/2006/relationships/hyperlink" Target="https://t.me/heyatmohammadi" TargetMode="External"/><Relationship Id="rId7280" Type="http://schemas.openxmlformats.org/officeDocument/2006/relationships/hyperlink" Target="http://t.me/hayatvaleasr1348" TargetMode="External"/><Relationship Id="rId7287" Type="http://schemas.openxmlformats.org/officeDocument/2006/relationships/hyperlink" Target="https://www.instagram.com/montazeran_arak/" TargetMode="External"/><Relationship Id="rId7286" Type="http://schemas.openxmlformats.org/officeDocument/2006/relationships/hyperlink" Target="https://t.me/maktabozahra90" TargetMode="External"/><Relationship Id="rId7285" Type="http://schemas.openxmlformats.org/officeDocument/2006/relationships/hyperlink" Target="https://eitaa.com/bibiroghayeh_arak" TargetMode="External"/><Relationship Id="rId7284" Type="http://schemas.openxmlformats.org/officeDocument/2006/relationships/hyperlink" Target="https://www.instagram.com/b_rogayesenjan/" TargetMode="External"/><Relationship Id="rId7289" Type="http://schemas.openxmlformats.org/officeDocument/2006/relationships/hyperlink" Target="https://eitaa.com/Montazeran_Arak" TargetMode="External"/><Relationship Id="rId7288" Type="http://schemas.openxmlformats.org/officeDocument/2006/relationships/hyperlink" Target="https://t.me/Montazeran_arak" TargetMode="External"/><Relationship Id="rId7232" Type="http://schemas.openxmlformats.org/officeDocument/2006/relationships/hyperlink" Target="https://www.instagram.com/heyat_ghamarbanihashem_mahalla" TargetMode="External"/><Relationship Id="rId8563" Type="http://schemas.openxmlformats.org/officeDocument/2006/relationships/hyperlink" Target="https://eitaa.com/ansar313ghehi" TargetMode="External"/><Relationship Id="rId7231" Type="http://schemas.openxmlformats.org/officeDocument/2006/relationships/hyperlink" Target="https://eitaa.com/rowzaat" TargetMode="External"/><Relationship Id="rId8562" Type="http://schemas.openxmlformats.org/officeDocument/2006/relationships/hyperlink" Target="https://eitaa.com/mokabvaliebnmosa" TargetMode="External"/><Relationship Id="rId7230" Type="http://schemas.openxmlformats.org/officeDocument/2006/relationships/hyperlink" Target="https://www.instagram.com/rowzaat/" TargetMode="External"/><Relationship Id="rId8561" Type="http://schemas.openxmlformats.org/officeDocument/2006/relationships/hyperlink" Target="https://eitaa.com/karbalayebaran" TargetMode="External"/><Relationship Id="rId8560" Type="http://schemas.openxmlformats.org/officeDocument/2006/relationships/hyperlink" Target="https://eitaa.com/yadmanshohada" TargetMode="External"/><Relationship Id="rId7236" Type="http://schemas.openxmlformats.org/officeDocument/2006/relationships/hyperlink" Target="https://t.me/heyat_heydari_mahallat" TargetMode="External"/><Relationship Id="rId8567" Type="http://schemas.openxmlformats.org/officeDocument/2006/relationships/hyperlink" Target="https://eitaa.com/hosseinynooshabad" TargetMode="External"/><Relationship Id="rId7235" Type="http://schemas.openxmlformats.org/officeDocument/2006/relationships/hyperlink" Target="https://www.instagram.com/heyat_heydari_mahallat" TargetMode="External"/><Relationship Id="rId8566" Type="http://schemas.openxmlformats.org/officeDocument/2006/relationships/hyperlink" Target="https://eitaa.com/mokab_kashan" TargetMode="External"/><Relationship Id="rId7234" Type="http://schemas.openxmlformats.org/officeDocument/2006/relationships/hyperlink" Target="https://www.instagram.com/heyat.agha/" TargetMode="External"/><Relationship Id="rId8565" Type="http://schemas.openxmlformats.org/officeDocument/2006/relationships/hyperlink" Target="https://www.instagram.com/mokab_kashan" TargetMode="External"/><Relationship Id="rId7233" Type="http://schemas.openxmlformats.org/officeDocument/2006/relationships/hyperlink" Target="https://www.instagram.com/heyat_moheban_mahalat/" TargetMode="External"/><Relationship Id="rId8564" Type="http://schemas.openxmlformats.org/officeDocument/2006/relationships/hyperlink" Target="https://eitaa.com/razmikaraneshohada" TargetMode="External"/><Relationship Id="rId7239" Type="http://schemas.openxmlformats.org/officeDocument/2006/relationships/hyperlink" Target="https://t.me/rahiyan96yadeyaran" TargetMode="External"/><Relationship Id="rId7238" Type="http://schemas.openxmlformats.org/officeDocument/2006/relationships/hyperlink" Target="https://www.instagram.com/heiate.yade.yaran" TargetMode="External"/><Relationship Id="rId8569" Type="http://schemas.openxmlformats.org/officeDocument/2006/relationships/hyperlink" Target="https://eitaa.com/bab_al_javad" TargetMode="External"/><Relationship Id="rId7237" Type="http://schemas.openxmlformats.org/officeDocument/2006/relationships/hyperlink" Target="https://www.instagram.com/shahidmahallati_hoseiniyeh" TargetMode="External"/><Relationship Id="rId8568" Type="http://schemas.openxmlformats.org/officeDocument/2006/relationships/hyperlink" Target="https://eitaa.com/hoseinjan_128" TargetMode="External"/><Relationship Id="rId7221" Type="http://schemas.openxmlformats.org/officeDocument/2006/relationships/hyperlink" Target="https://www.instagram.com/mokebejamandegan/" TargetMode="External"/><Relationship Id="rId8552" Type="http://schemas.openxmlformats.org/officeDocument/2006/relationships/hyperlink" Target="https://t.me/shahzadehaliasgharkashan" TargetMode="External"/><Relationship Id="rId7220" Type="http://schemas.openxmlformats.org/officeDocument/2006/relationships/hyperlink" Target="https://www.instagram.com/havayehosein.heyat/" TargetMode="External"/><Relationship Id="rId8551" Type="http://schemas.openxmlformats.org/officeDocument/2006/relationships/hyperlink" Target="https://www.instagram.com/shahzade.aliasghar.kashan_1401/" TargetMode="External"/><Relationship Id="rId8550" Type="http://schemas.openxmlformats.org/officeDocument/2006/relationships/hyperlink" Target="https://t.me/ya_abbas_82" TargetMode="External"/><Relationship Id="rId7225" Type="http://schemas.openxmlformats.org/officeDocument/2006/relationships/hyperlink" Target="https://www.instagram.com/heyatalreza2020" TargetMode="External"/><Relationship Id="rId8556" Type="http://schemas.openxmlformats.org/officeDocument/2006/relationships/hyperlink" Target="https://t.me/fadaeianhoseinir" TargetMode="External"/><Relationship Id="rId7224" Type="http://schemas.openxmlformats.org/officeDocument/2006/relationships/hyperlink" Target="https://t.me/heyat_moheban_ahlebeit_shazand" TargetMode="External"/><Relationship Id="rId8555" Type="http://schemas.openxmlformats.org/officeDocument/2006/relationships/hyperlink" Target="https://www.instagram.com/seyedrezanarimanifan" TargetMode="External"/><Relationship Id="rId7223" Type="http://schemas.openxmlformats.org/officeDocument/2006/relationships/hyperlink" Target="https://www.instagram.com/heyat_mohebanahlebeit_shazand/" TargetMode="External"/><Relationship Id="rId8554" Type="http://schemas.openxmlformats.org/officeDocument/2006/relationships/hyperlink" Target="https://t.me/ashooraiyan69" TargetMode="External"/><Relationship Id="rId7222" Type="http://schemas.openxmlformats.org/officeDocument/2006/relationships/hyperlink" Target="https://www.instagram.com/emamzadeh.seyedaboreza/" TargetMode="External"/><Relationship Id="rId8553" Type="http://schemas.openxmlformats.org/officeDocument/2006/relationships/hyperlink" Target="https://www.instagram.com/ashooraiyan69/" TargetMode="External"/><Relationship Id="rId7229" Type="http://schemas.openxmlformats.org/officeDocument/2006/relationships/hyperlink" Target="https://www.instagram.com/taziahfarahan/" TargetMode="External"/><Relationship Id="rId7228" Type="http://schemas.openxmlformats.org/officeDocument/2006/relationships/hyperlink" Target="https://www.instagram.com/ansarolmahdi_farahan/" TargetMode="External"/><Relationship Id="rId8559" Type="http://schemas.openxmlformats.org/officeDocument/2006/relationships/hyperlink" Target="https://eitaa.com/isf_wr" TargetMode="External"/><Relationship Id="rId7227" Type="http://schemas.openxmlformats.org/officeDocument/2006/relationships/hyperlink" Target="https://www.instagram.com/byt_al_abass/" TargetMode="External"/><Relationship Id="rId8558" Type="http://schemas.openxmlformats.org/officeDocument/2006/relationships/hyperlink" Target="https://eitaa.com/kheymegah" TargetMode="External"/><Relationship Id="rId7226" Type="http://schemas.openxmlformats.org/officeDocument/2006/relationships/hyperlink" Target="https://t.me/heyatalreza2020" TargetMode="External"/><Relationship Id="rId8557" Type="http://schemas.openxmlformats.org/officeDocument/2006/relationships/hyperlink" Target="https://eitaa.com/seyedrezanarimani" TargetMode="External"/><Relationship Id="rId7250" Type="http://schemas.openxmlformats.org/officeDocument/2006/relationships/hyperlink" Target="http://t.me/fotros_nurolhoda" TargetMode="External"/><Relationship Id="rId8581" Type="http://schemas.openxmlformats.org/officeDocument/2006/relationships/hyperlink" Target="https://eitaa.com/oshagh_al_hasan" TargetMode="External"/><Relationship Id="rId8580" Type="http://schemas.openxmlformats.org/officeDocument/2006/relationships/hyperlink" Target="https://eitaa.com/mokeb_yousef_Zahra" TargetMode="External"/><Relationship Id="rId7254" Type="http://schemas.openxmlformats.org/officeDocument/2006/relationships/hyperlink" Target="https://www.instagram.com/ansariha_arak/" TargetMode="External"/><Relationship Id="rId8585" Type="http://schemas.openxmlformats.org/officeDocument/2006/relationships/hyperlink" Target="https://eitaa.com/mokebzeynab" TargetMode="External"/><Relationship Id="rId7253" Type="http://schemas.openxmlformats.org/officeDocument/2006/relationships/hyperlink" Target="https://www.instagram.com/ghamar_bani_hashem_robatmil/" TargetMode="External"/><Relationship Id="rId8584" Type="http://schemas.openxmlformats.org/officeDocument/2006/relationships/hyperlink" Target="https://eitaa.com/tekieravand" TargetMode="External"/><Relationship Id="rId7252" Type="http://schemas.openxmlformats.org/officeDocument/2006/relationships/hyperlink" Target="https://eitaa.com/kanoontafresh" TargetMode="External"/><Relationship Id="rId8583" Type="http://schemas.openxmlformats.org/officeDocument/2006/relationships/hyperlink" Target="https://eitaa.com/kheymehsabzhoseini" TargetMode="External"/><Relationship Id="rId7251" Type="http://schemas.openxmlformats.org/officeDocument/2006/relationships/hyperlink" Target="https://www.instagram.com/masjedemamhosein/" TargetMode="External"/><Relationship Id="rId8582" Type="http://schemas.openxmlformats.org/officeDocument/2006/relationships/hyperlink" Target="https://eitaa.com/mokeb_ghahderijan" TargetMode="External"/><Relationship Id="rId7258" Type="http://schemas.openxmlformats.org/officeDocument/2006/relationships/hyperlink" Target="https://eitaa.com/heyat_saveh" TargetMode="External"/><Relationship Id="rId8589" Type="http://schemas.openxmlformats.org/officeDocument/2006/relationships/hyperlink" Target="https://eitaa.com/hheiatekhompich" TargetMode="External"/><Relationship Id="rId7257" Type="http://schemas.openxmlformats.org/officeDocument/2006/relationships/hyperlink" Target="https://www.instagram.com/motevaselin_be_ahlebeit/" TargetMode="External"/><Relationship Id="rId8588" Type="http://schemas.openxmlformats.org/officeDocument/2006/relationships/hyperlink" Target="https://eitaa.com/ansaralmahdishahinshahr" TargetMode="External"/><Relationship Id="rId7256" Type="http://schemas.openxmlformats.org/officeDocument/2006/relationships/hyperlink" Target="https://eitaa.com/shahide1546" TargetMode="External"/><Relationship Id="rId8587" Type="http://schemas.openxmlformats.org/officeDocument/2006/relationships/hyperlink" Target="https://eitaa.com/shifteganvazvan" TargetMode="External"/><Relationship Id="rId7255" Type="http://schemas.openxmlformats.org/officeDocument/2006/relationships/hyperlink" Target="https://www.instagram.com/heyat_reihanton_nabi/" TargetMode="External"/><Relationship Id="rId8586" Type="http://schemas.openxmlformats.org/officeDocument/2006/relationships/hyperlink" Target="https://eitaa.com/heyat_14masoum_viduja" TargetMode="External"/><Relationship Id="rId7259" Type="http://schemas.openxmlformats.org/officeDocument/2006/relationships/hyperlink" Target="https://www.instagram.com/fatemiun_karbalaee/" TargetMode="External"/><Relationship Id="rId8570" Type="http://schemas.openxmlformats.org/officeDocument/2006/relationships/hyperlink" Target="https://eitaa.com/fatemiyoun_esfahan" TargetMode="External"/><Relationship Id="rId7243" Type="http://schemas.openxmlformats.org/officeDocument/2006/relationships/hyperlink" Target="https://www.instagram.com/sarollah_khoshkroud/" TargetMode="External"/><Relationship Id="rId8574" Type="http://schemas.openxmlformats.org/officeDocument/2006/relationships/hyperlink" Target="https://eitaa.com/meymechannel" TargetMode="External"/><Relationship Id="rId7242" Type="http://schemas.openxmlformats.org/officeDocument/2006/relationships/hyperlink" Target="https://www.instagram.com/shohada_khoshkrood/" TargetMode="External"/><Relationship Id="rId8573" Type="http://schemas.openxmlformats.org/officeDocument/2006/relationships/hyperlink" Target="https://eitaa.com/hoseiniye_ahmadiye" TargetMode="External"/><Relationship Id="rId7241" Type="http://schemas.openxmlformats.org/officeDocument/2006/relationships/hyperlink" Target="https://www.instagram.com/moukeb_1173/" TargetMode="External"/><Relationship Id="rId8572" Type="http://schemas.openxmlformats.org/officeDocument/2006/relationships/hyperlink" Target="https://eitaa.com/hosseini_mokhtasabad" TargetMode="External"/><Relationship Id="rId7240" Type="http://schemas.openxmlformats.org/officeDocument/2006/relationships/hyperlink" Target="https://www.instagram.com/heyat_hoseni_delijan" TargetMode="External"/><Relationship Id="rId8571" Type="http://schemas.openxmlformats.org/officeDocument/2006/relationships/hyperlink" Target="https://eitaa.com/javanan_khadem_almahdi" TargetMode="External"/><Relationship Id="rId7247" Type="http://schemas.openxmlformats.org/officeDocument/2006/relationships/hyperlink" Target="https://eitaa.com/reyhanatolhooseinsaveh" TargetMode="External"/><Relationship Id="rId8578" Type="http://schemas.openxmlformats.org/officeDocument/2006/relationships/hyperlink" Target="https://eitaa.com/hoseiniyeh_esfahaniha" TargetMode="External"/><Relationship Id="rId7246" Type="http://schemas.openxmlformats.org/officeDocument/2006/relationships/hyperlink" Target="https://t.me/reyhanatolhooseinsaveh" TargetMode="External"/><Relationship Id="rId8577" Type="http://schemas.openxmlformats.org/officeDocument/2006/relationships/hyperlink" Target="https://eitaa.com/sajjadie_ravand" TargetMode="External"/><Relationship Id="rId7245" Type="http://schemas.openxmlformats.org/officeDocument/2006/relationships/hyperlink" Target="https://www.instagram.com/reyhanatolhooseinsaveh.live/" TargetMode="External"/><Relationship Id="rId8576" Type="http://schemas.openxmlformats.org/officeDocument/2006/relationships/hyperlink" Target="https://eitaa.com/Mokeb_esf" TargetMode="External"/><Relationship Id="rId7244" Type="http://schemas.openxmlformats.org/officeDocument/2006/relationships/hyperlink" Target="https://eitaa.com/ansar_zahra_info" TargetMode="External"/><Relationship Id="rId8575" Type="http://schemas.openxmlformats.org/officeDocument/2006/relationships/hyperlink" Target="https://eitaa.com/heiat1349_ir" TargetMode="External"/><Relationship Id="rId7249" Type="http://schemas.openxmlformats.org/officeDocument/2006/relationships/hyperlink" Target="https://www.instagram.com/fotros_nurolhoda/" TargetMode="External"/><Relationship Id="rId7248" Type="http://schemas.openxmlformats.org/officeDocument/2006/relationships/hyperlink" Target="https://www.instagram.com/heiatfatemezahraa/" TargetMode="External"/><Relationship Id="rId8579" Type="http://schemas.openxmlformats.org/officeDocument/2006/relationships/hyperlink" Target="https://eitaa.com/molalmovahden" TargetMode="External"/><Relationship Id="rId2423" Type="http://schemas.openxmlformats.org/officeDocument/2006/relationships/hyperlink" Target="https://www.instagram.com/imamali86" TargetMode="External"/><Relationship Id="rId3755" Type="http://schemas.openxmlformats.org/officeDocument/2006/relationships/hyperlink" Target="https://www.instagram.com/meshkat_zahra_" TargetMode="External"/><Relationship Id="rId2424" Type="http://schemas.openxmlformats.org/officeDocument/2006/relationships/hyperlink" Target="https://t.me/heiat_emamAli" TargetMode="External"/><Relationship Id="rId3754" Type="http://schemas.openxmlformats.org/officeDocument/2006/relationships/hyperlink" Target="https://t.me/yagharibemadineh" TargetMode="External"/><Relationship Id="rId2425" Type="http://schemas.openxmlformats.org/officeDocument/2006/relationships/hyperlink" Target="https://eitaa.com/heiat_imamAli" TargetMode="External"/><Relationship Id="rId3757" Type="http://schemas.openxmlformats.org/officeDocument/2006/relationships/hyperlink" Target="https://eitaa.com/meshkat_zahra" TargetMode="External"/><Relationship Id="rId2426" Type="http://schemas.openxmlformats.org/officeDocument/2006/relationships/hyperlink" Target="https://www.instagram.com/heyat_danesh" TargetMode="External"/><Relationship Id="rId3756" Type="http://schemas.openxmlformats.org/officeDocument/2006/relationships/hyperlink" Target="https://t.me/meshkatzahra" TargetMode="External"/><Relationship Id="rId2427" Type="http://schemas.openxmlformats.org/officeDocument/2006/relationships/hyperlink" Target="https://www.instagram.com/ansar_al_zynaab" TargetMode="External"/><Relationship Id="rId3759" Type="http://schemas.openxmlformats.org/officeDocument/2006/relationships/hyperlink" Target="https://www.instagram.com/anvarmedia_" TargetMode="External"/><Relationship Id="rId2428" Type="http://schemas.openxmlformats.org/officeDocument/2006/relationships/hyperlink" Target="https://t.me/ansar_al_zynaab" TargetMode="External"/><Relationship Id="rId3758" Type="http://schemas.openxmlformats.org/officeDocument/2006/relationships/hyperlink" Target="https://www.instagram.com/amiralmomenin_yaraniliya" TargetMode="External"/><Relationship Id="rId2429" Type="http://schemas.openxmlformats.org/officeDocument/2006/relationships/hyperlink" Target="https://www.instagram.com/shifteganahlebeyt" TargetMode="External"/><Relationship Id="rId3751" Type="http://schemas.openxmlformats.org/officeDocument/2006/relationships/hyperlink" Target="https://eitaa.com/beytolahzan_hamedan" TargetMode="External"/><Relationship Id="rId2420" Type="http://schemas.openxmlformats.org/officeDocument/2006/relationships/hyperlink" Target="https://www.instagram.com/heyat.noroshohada" TargetMode="External"/><Relationship Id="rId3750" Type="http://schemas.openxmlformats.org/officeDocument/2006/relationships/hyperlink" Target="https://t.me/beytolahzane_hamedan" TargetMode="External"/><Relationship Id="rId2421" Type="http://schemas.openxmlformats.org/officeDocument/2006/relationships/hyperlink" Target="https://www.instagram.com/heyat.ashoraiyan" TargetMode="External"/><Relationship Id="rId3753" Type="http://schemas.openxmlformats.org/officeDocument/2006/relationships/hyperlink" Target="https://eitaa.com/masjed_hajahmad" TargetMode="External"/><Relationship Id="rId2422" Type="http://schemas.openxmlformats.org/officeDocument/2006/relationships/hyperlink" Target="https://www.instagram.com/heiat_aletahayasin" TargetMode="External"/><Relationship Id="rId3752" Type="http://schemas.openxmlformats.org/officeDocument/2006/relationships/hyperlink" Target="https://www.instagram.com/___hajahmad___" TargetMode="External"/><Relationship Id="rId2412" Type="http://schemas.openxmlformats.org/officeDocument/2006/relationships/hyperlink" Target="https://www.instagram.com/masjed_jame_masal" TargetMode="External"/><Relationship Id="rId3744" Type="http://schemas.openxmlformats.org/officeDocument/2006/relationships/hyperlink" Target="https://www.instagram.com/majma_alavion_malayer/" TargetMode="External"/><Relationship Id="rId2413" Type="http://schemas.openxmlformats.org/officeDocument/2006/relationships/hyperlink" Target="https://www.instagram.com/saghy313" TargetMode="External"/><Relationship Id="rId3743" Type="http://schemas.openxmlformats.org/officeDocument/2006/relationships/hyperlink" Target="https://www.instagram.com/shiftegan_malayer/" TargetMode="External"/><Relationship Id="rId2414" Type="http://schemas.openxmlformats.org/officeDocument/2006/relationships/hyperlink" Target="https://eitaa.com/Saghy313" TargetMode="External"/><Relationship Id="rId3746" Type="http://schemas.openxmlformats.org/officeDocument/2006/relationships/hyperlink" Target="https://www.instagram.com/heiat_sarallah_toy/" TargetMode="External"/><Relationship Id="rId2415" Type="http://schemas.openxmlformats.org/officeDocument/2006/relationships/hyperlink" Target="https://eitaa.com/razmandegan_eslam_lahijan" TargetMode="External"/><Relationship Id="rId3745" Type="http://schemas.openxmlformats.org/officeDocument/2006/relationships/hyperlink" Target="http://eitaa.com/majma_alavion_malayer" TargetMode="External"/><Relationship Id="rId2416" Type="http://schemas.openxmlformats.org/officeDocument/2006/relationships/hyperlink" Target="https://www.instagram.com/hyatt_khoddamoalhasan" TargetMode="External"/><Relationship Id="rId3748" Type="http://schemas.openxmlformats.org/officeDocument/2006/relationships/hyperlink" Target="https://eitaa.com/Sunflower_Science_Club" TargetMode="External"/><Relationship Id="rId2417" Type="http://schemas.openxmlformats.org/officeDocument/2006/relationships/hyperlink" Target="https://t.me/sadeghsabbagh110" TargetMode="External"/><Relationship Id="rId3747" Type="http://schemas.openxmlformats.org/officeDocument/2006/relationships/hyperlink" Target="https://eitaa.com/mah_hmd" TargetMode="External"/><Relationship Id="rId2418" Type="http://schemas.openxmlformats.org/officeDocument/2006/relationships/hyperlink" Target="https://www.instagram.com/heyat.roghayehjan" TargetMode="External"/><Relationship Id="rId2419" Type="http://schemas.openxmlformats.org/officeDocument/2006/relationships/hyperlink" Target="https://www.instagram.com/asheeghan313" TargetMode="External"/><Relationship Id="rId3749" Type="http://schemas.openxmlformats.org/officeDocument/2006/relationships/hyperlink" Target="https://www.instagram.com/beytolahzan_hamedan" TargetMode="External"/><Relationship Id="rId3740" Type="http://schemas.openxmlformats.org/officeDocument/2006/relationships/hyperlink" Target="https://t.me/seyed_alahrar" TargetMode="External"/><Relationship Id="rId2410" Type="http://schemas.openxmlformats.org/officeDocument/2006/relationships/hyperlink" Target="https://t.me/panaheharam" TargetMode="External"/><Relationship Id="rId3742" Type="http://schemas.openxmlformats.org/officeDocument/2006/relationships/hyperlink" Target="https://www.instagram.com/abaabdellah_dinarabad/" TargetMode="External"/><Relationship Id="rId2411" Type="http://schemas.openxmlformats.org/officeDocument/2006/relationships/hyperlink" Target="https://eitaa.com/mheyat" TargetMode="External"/><Relationship Id="rId3741" Type="http://schemas.openxmlformats.org/officeDocument/2006/relationships/hyperlink" Target="https://www.instagram.com/mokeb_shahid__hamedani" TargetMode="External"/><Relationship Id="rId1114" Type="http://schemas.openxmlformats.org/officeDocument/2006/relationships/hyperlink" Target="https://t.me/Beytozzahra_abouzar17" TargetMode="External"/><Relationship Id="rId2445" Type="http://schemas.openxmlformats.org/officeDocument/2006/relationships/hyperlink" Target="https://t.me/heiaterozatolhossein" TargetMode="External"/><Relationship Id="rId3777" Type="http://schemas.openxmlformats.org/officeDocument/2006/relationships/hyperlink" Target="https://eitaa.com/Reyhanatolhossein_nahavand" TargetMode="External"/><Relationship Id="rId1115" Type="http://schemas.openxmlformats.org/officeDocument/2006/relationships/hyperlink" Target="https://www.instagram.com/heyataghile/" TargetMode="External"/><Relationship Id="rId2446" Type="http://schemas.openxmlformats.org/officeDocument/2006/relationships/hyperlink" Target="https://www.instagram.com/maktabalzahra313/" TargetMode="External"/><Relationship Id="rId3776" Type="http://schemas.openxmlformats.org/officeDocument/2006/relationships/hyperlink" Target="https://www.instagram.com/Reyhanatolhossein_nahavand/" TargetMode="External"/><Relationship Id="rId1116" Type="http://schemas.openxmlformats.org/officeDocument/2006/relationships/hyperlink" Target="https://eitaa.com/masjedsafa" TargetMode="External"/><Relationship Id="rId2447" Type="http://schemas.openxmlformats.org/officeDocument/2006/relationships/hyperlink" Target="https://t.me/maktabalzahra39" TargetMode="External"/><Relationship Id="rId3779" Type="http://schemas.openxmlformats.org/officeDocument/2006/relationships/hyperlink" Target="https://eitaa.com/ghamarbanihashem113" TargetMode="External"/><Relationship Id="rId1117" Type="http://schemas.openxmlformats.org/officeDocument/2006/relationships/hyperlink" Target="https://www.instagram.com/qaatil_info/" TargetMode="External"/><Relationship Id="rId2448" Type="http://schemas.openxmlformats.org/officeDocument/2006/relationships/hyperlink" Target="https://www.instagram.com/baqiatollah_ir/" TargetMode="External"/><Relationship Id="rId3778" Type="http://schemas.openxmlformats.org/officeDocument/2006/relationships/hyperlink" Target="https://www.instagram.com/heyate_ghamarebanihashem.133" TargetMode="External"/><Relationship Id="rId1118" Type="http://schemas.openxmlformats.org/officeDocument/2006/relationships/hyperlink" Target="http://t.me/qatilalabaraat" TargetMode="External"/><Relationship Id="rId2449" Type="http://schemas.openxmlformats.org/officeDocument/2006/relationships/hyperlink" Target="https://t.me/baqiatollah_ir" TargetMode="External"/><Relationship Id="rId1119" Type="http://schemas.openxmlformats.org/officeDocument/2006/relationships/hyperlink" Target="https://www.instagram.com/ansarolmahdi_ut/" TargetMode="External"/><Relationship Id="rId3771" Type="http://schemas.openxmlformats.org/officeDocument/2006/relationships/hyperlink" Target="https://www.instagram.com/heyat_sayedalshabab" TargetMode="External"/><Relationship Id="rId2440" Type="http://schemas.openxmlformats.org/officeDocument/2006/relationships/hyperlink" Target="https://t.me/moheban_zeinab1376" TargetMode="External"/><Relationship Id="rId3770" Type="http://schemas.openxmlformats.org/officeDocument/2006/relationships/hyperlink" Target="https://eitaa.com/asheghaneabalfazll1383" TargetMode="External"/><Relationship Id="rId1110" Type="http://schemas.openxmlformats.org/officeDocument/2006/relationships/hyperlink" Target="http://t.me/karamkhaneh_omolbanin" TargetMode="External"/><Relationship Id="rId2441" Type="http://schemas.openxmlformats.org/officeDocument/2006/relationships/hyperlink" Target="https://eitaa.com/moheban_zeinab1376" TargetMode="External"/><Relationship Id="rId3773" Type="http://schemas.openxmlformats.org/officeDocument/2006/relationships/hyperlink" Target="https://eitaa.com/heyat_sayedalshabab" TargetMode="External"/><Relationship Id="rId1111" Type="http://schemas.openxmlformats.org/officeDocument/2006/relationships/hyperlink" Target="https://www.instagram.com/stereobeytolahzan1/" TargetMode="External"/><Relationship Id="rId2442" Type="http://schemas.openxmlformats.org/officeDocument/2006/relationships/hyperlink" Target="https://www.instagram.com/jannesaran_59/" TargetMode="External"/><Relationship Id="rId3772" Type="http://schemas.openxmlformats.org/officeDocument/2006/relationships/hyperlink" Target="https://t.me/heyat_sayedalshabab" TargetMode="External"/><Relationship Id="rId1112" Type="http://schemas.openxmlformats.org/officeDocument/2006/relationships/hyperlink" Target="http://t.me/@stereobeytolahzan2" TargetMode="External"/><Relationship Id="rId2443" Type="http://schemas.openxmlformats.org/officeDocument/2006/relationships/hyperlink" Target="https://t.me/jannesaran_59" TargetMode="External"/><Relationship Id="rId3775" Type="http://schemas.openxmlformats.org/officeDocument/2006/relationships/hyperlink" Target="https://t.me/heyat_shahzademohamad_nahavand" TargetMode="External"/><Relationship Id="rId1113" Type="http://schemas.openxmlformats.org/officeDocument/2006/relationships/hyperlink" Target="https://www.instagram.com/beytozzahra_abouzar17/" TargetMode="External"/><Relationship Id="rId2444" Type="http://schemas.openxmlformats.org/officeDocument/2006/relationships/hyperlink" Target="https://www.instagram.com/rozatolhosein.ir/" TargetMode="External"/><Relationship Id="rId3774" Type="http://schemas.openxmlformats.org/officeDocument/2006/relationships/hyperlink" Target="http://instagram.com/heyat_shahzadehmohamad" TargetMode="External"/><Relationship Id="rId1103" Type="http://schemas.openxmlformats.org/officeDocument/2006/relationships/hyperlink" Target="https://www.instagram.com/mesbahalhoda1/" TargetMode="External"/><Relationship Id="rId2434" Type="http://schemas.openxmlformats.org/officeDocument/2006/relationships/hyperlink" Target="https://eitaa.com/heyatekarbala128" TargetMode="External"/><Relationship Id="rId3766" Type="http://schemas.openxmlformats.org/officeDocument/2006/relationships/hyperlink" Target="https://eitaa.com/hoseinieh_hmd" TargetMode="External"/><Relationship Id="rId1104" Type="http://schemas.openxmlformats.org/officeDocument/2006/relationships/hyperlink" Target="https://eitaa.com/mesbahalhoda1" TargetMode="External"/><Relationship Id="rId2435" Type="http://schemas.openxmlformats.org/officeDocument/2006/relationships/hyperlink" Target="https://heyatekarbala.ir/" TargetMode="External"/><Relationship Id="rId3765" Type="http://schemas.openxmlformats.org/officeDocument/2006/relationships/hyperlink" Target="https://www.instagram.com/hoseinieh_hmd" TargetMode="External"/><Relationship Id="rId1105" Type="http://schemas.openxmlformats.org/officeDocument/2006/relationships/hyperlink" Target="https://www.instagram.com/mahfel_oshagh_69/" TargetMode="External"/><Relationship Id="rId2436" Type="http://schemas.openxmlformats.org/officeDocument/2006/relationships/hyperlink" Target="https://www.instagram.com/aleyasinhusainie/" TargetMode="External"/><Relationship Id="rId3768" Type="http://schemas.openxmlformats.org/officeDocument/2006/relationships/hyperlink" Target="https://www.instagram.com/rahrovan_shohada_hamedan" TargetMode="External"/><Relationship Id="rId1106" Type="http://schemas.openxmlformats.org/officeDocument/2006/relationships/hyperlink" Target="http://t.me/oshagh_zeynab69" TargetMode="External"/><Relationship Id="rId2437" Type="http://schemas.openxmlformats.org/officeDocument/2006/relationships/hyperlink" Target="https://t.me/aleyasinhusainie" TargetMode="External"/><Relationship Id="rId3767" Type="http://schemas.openxmlformats.org/officeDocument/2006/relationships/hyperlink" Target="https://t.me/heyatmasjedeyn" TargetMode="External"/><Relationship Id="rId1107" Type="http://schemas.openxmlformats.org/officeDocument/2006/relationships/hyperlink" Target="https://www.instagram.com/ghamar_al_ashireh/" TargetMode="External"/><Relationship Id="rId2438" Type="http://schemas.openxmlformats.org/officeDocument/2006/relationships/hyperlink" Target="https://eitaa.com/aleyasinhusainie" TargetMode="External"/><Relationship Id="rId1108" Type="http://schemas.openxmlformats.org/officeDocument/2006/relationships/hyperlink" Target="http://tlgrm.me/Ghamar_al_Ashireh" TargetMode="External"/><Relationship Id="rId2439" Type="http://schemas.openxmlformats.org/officeDocument/2006/relationships/hyperlink" Target="https://www.instagram.com/moheban_zeinab1376/" TargetMode="External"/><Relationship Id="rId3769" Type="http://schemas.openxmlformats.org/officeDocument/2006/relationships/hyperlink" Target="https://eitaa.com/hoseinsafinatonnejat313" TargetMode="External"/><Relationship Id="rId1109" Type="http://schemas.openxmlformats.org/officeDocument/2006/relationships/hyperlink" Target="https://www.instagram.com/karamkhaneh.ir/" TargetMode="External"/><Relationship Id="rId3760" Type="http://schemas.openxmlformats.org/officeDocument/2006/relationships/hyperlink" Target="https://eitaa.com/anvarozahra" TargetMode="External"/><Relationship Id="rId2430" Type="http://schemas.openxmlformats.org/officeDocument/2006/relationships/hyperlink" Target="https://t.me/shifteganahlebeyt" TargetMode="External"/><Relationship Id="rId3762" Type="http://schemas.openxmlformats.org/officeDocument/2006/relationships/hyperlink" Target="https://eitaa.com/ansar_hmd" TargetMode="External"/><Relationship Id="rId1100" Type="http://schemas.openxmlformats.org/officeDocument/2006/relationships/hyperlink" Target="https://www.instagram.com/masjedhoori/" TargetMode="External"/><Relationship Id="rId2431" Type="http://schemas.openxmlformats.org/officeDocument/2006/relationships/hyperlink" Target="https://www.instagram.com/ansarolhojah" TargetMode="External"/><Relationship Id="rId3761" Type="http://schemas.openxmlformats.org/officeDocument/2006/relationships/hyperlink" Target="https://www.instagram.com/ansaralmahdi_hmd" TargetMode="External"/><Relationship Id="rId1101" Type="http://schemas.openxmlformats.org/officeDocument/2006/relationships/hyperlink" Target="https://www.instagram.com/montazeranmosleh_narmak/" TargetMode="External"/><Relationship Id="rId2432" Type="http://schemas.openxmlformats.org/officeDocument/2006/relationships/hyperlink" Target="https://www.instagram.com/heyatekarbala128/" TargetMode="External"/><Relationship Id="rId3764" Type="http://schemas.openxmlformats.org/officeDocument/2006/relationships/hyperlink" Target="https://www.instagram.com/heyat.abalfazl_abbas" TargetMode="External"/><Relationship Id="rId1102" Type="http://schemas.openxmlformats.org/officeDocument/2006/relationships/hyperlink" Target="http://t.me/MontazeranMosleh_Narmak" TargetMode="External"/><Relationship Id="rId2433" Type="http://schemas.openxmlformats.org/officeDocument/2006/relationships/hyperlink" Target="https://t.me/heyatekarbala128" TargetMode="External"/><Relationship Id="rId3763" Type="http://schemas.openxmlformats.org/officeDocument/2006/relationships/hyperlink" Target="https://eitaa.com/Masjed_sahebzaman_asadabad" TargetMode="External"/><Relationship Id="rId3711" Type="http://schemas.openxmlformats.org/officeDocument/2006/relationships/hyperlink" Target="https://t.me/Heyatiauh_mohebinfatemezahra" TargetMode="External"/><Relationship Id="rId3710" Type="http://schemas.openxmlformats.org/officeDocument/2006/relationships/hyperlink" Target="https://www.instagram.com/heyatiauh_mohebinfatemezahra" TargetMode="External"/><Relationship Id="rId3713" Type="http://schemas.openxmlformats.org/officeDocument/2006/relationships/hyperlink" Target="https://www.instagram.com/zovarozahra_kb.ir/" TargetMode="External"/><Relationship Id="rId3712" Type="http://schemas.openxmlformats.org/officeDocument/2006/relationships/hyperlink" Target="http://eitaa.com/shuada/" TargetMode="External"/><Relationship Id="rId3715" Type="http://schemas.openxmlformats.org/officeDocument/2006/relationships/hyperlink" Target="https://www.instagram.com/heyat_aaletaha" TargetMode="External"/><Relationship Id="rId3714" Type="http://schemas.openxmlformats.org/officeDocument/2006/relationships/hyperlink" Target="http://eitaa.ir/zovarozahra_kb/" TargetMode="External"/><Relationship Id="rId3717" Type="http://schemas.openxmlformats.org/officeDocument/2006/relationships/hyperlink" Target="https://www.instagram.com/heiat_nojavanan1398/" TargetMode="External"/><Relationship Id="rId3716" Type="http://schemas.openxmlformats.org/officeDocument/2006/relationships/hyperlink" Target="https://www.instagram.com/yazahra_92" TargetMode="External"/><Relationship Id="rId3719" Type="http://schemas.openxmlformats.org/officeDocument/2006/relationships/hyperlink" Target="https://www.instagram.com/mesbah_kb/" TargetMode="External"/><Relationship Id="rId3718" Type="http://schemas.openxmlformats.org/officeDocument/2006/relationships/hyperlink" Target="https://www.instagram.com/hytmkhtblbshmdn/" TargetMode="External"/><Relationship Id="rId3700" Type="http://schemas.openxmlformats.org/officeDocument/2006/relationships/hyperlink" Target="https://www.instagram.com/heyat_hossin_jan_hamedan/" TargetMode="External"/><Relationship Id="rId3702" Type="http://schemas.openxmlformats.org/officeDocument/2006/relationships/hyperlink" Target="https://www.instagram.com/heyat_ayatollah_bahari/" TargetMode="External"/><Relationship Id="rId3701" Type="http://schemas.openxmlformats.org/officeDocument/2006/relationships/hyperlink" Target="https://eitaa.com/hamedanpeyrovan" TargetMode="External"/><Relationship Id="rId3704" Type="http://schemas.openxmlformats.org/officeDocument/2006/relationships/hyperlink" Target="https://t.me/maktaboshohada2" TargetMode="External"/><Relationship Id="rId3703" Type="http://schemas.openxmlformats.org/officeDocument/2006/relationships/hyperlink" Target="https://www.instagram.com/maktabo__shohada" TargetMode="External"/><Relationship Id="rId3706" Type="http://schemas.openxmlformats.org/officeDocument/2006/relationships/hyperlink" Target="https://www.instagram.com/abolfazliya133" TargetMode="External"/><Relationship Id="rId3705" Type="http://schemas.openxmlformats.org/officeDocument/2006/relationships/hyperlink" Target="https://eitaa.com/heyatmaktaboshohada" TargetMode="External"/><Relationship Id="rId3708" Type="http://schemas.openxmlformats.org/officeDocument/2006/relationships/hyperlink" Target="https://www.instagram.com/heyat.karimeh" TargetMode="External"/><Relationship Id="rId3707" Type="http://schemas.openxmlformats.org/officeDocument/2006/relationships/hyperlink" Target="https://eitaa.com/abolfazliya133" TargetMode="External"/><Relationship Id="rId3709" Type="http://schemas.openxmlformats.org/officeDocument/2006/relationships/hyperlink" Target="https://eitaa.com/heyat_karime" TargetMode="External"/><Relationship Id="rId2401" Type="http://schemas.openxmlformats.org/officeDocument/2006/relationships/hyperlink" Target="https://t.me/meraj_alshohada" TargetMode="External"/><Relationship Id="rId3733" Type="http://schemas.openxmlformats.org/officeDocument/2006/relationships/hyperlink" Target="https://instagram.com/levaozahra_ir" TargetMode="External"/><Relationship Id="rId2402" Type="http://schemas.openxmlformats.org/officeDocument/2006/relationships/hyperlink" Target="https://eitaa.com/Merajalshohada313" TargetMode="External"/><Relationship Id="rId3732" Type="http://schemas.openxmlformats.org/officeDocument/2006/relationships/hyperlink" Target="https://eitaa.com/Motavaselin_ahle_beyt" TargetMode="External"/><Relationship Id="rId2403" Type="http://schemas.openxmlformats.org/officeDocument/2006/relationships/hyperlink" Target="https://www.instagram.com/moukeb_valiasr_langarud/" TargetMode="External"/><Relationship Id="rId3735" Type="http://schemas.openxmlformats.org/officeDocument/2006/relationships/hyperlink" Target="https://www.instagram.com/h.mohebbin/" TargetMode="External"/><Relationship Id="rId2404" Type="http://schemas.openxmlformats.org/officeDocument/2006/relationships/hyperlink" Target="https://www.instagram.com/heyat_s.ir/" TargetMode="External"/><Relationship Id="rId3734" Type="http://schemas.openxmlformats.org/officeDocument/2006/relationships/hyperlink" Target="https://eitaa.com/levaozahra_ir" TargetMode="External"/><Relationship Id="rId2405" Type="http://schemas.openxmlformats.org/officeDocument/2006/relationships/hyperlink" Target="https://t.me/heyat_s" TargetMode="External"/><Relationship Id="rId3737" Type="http://schemas.openxmlformats.org/officeDocument/2006/relationships/hyperlink" Target="https://eitaa.com/maktabozahratoy_ir" TargetMode="External"/><Relationship Id="rId2406" Type="http://schemas.openxmlformats.org/officeDocument/2006/relationships/hyperlink" Target="https://www.instagram.com/ghamar_____133/" TargetMode="External"/><Relationship Id="rId3736" Type="http://schemas.openxmlformats.org/officeDocument/2006/relationships/hyperlink" Target="https://www.instagram.com/shahkarballa" TargetMode="External"/><Relationship Id="rId2407" Type="http://schemas.openxmlformats.org/officeDocument/2006/relationships/hyperlink" Target="https://www.instagram.com/hmv_ir/" TargetMode="External"/><Relationship Id="rId3739" Type="http://schemas.openxmlformats.org/officeDocument/2006/relationships/hyperlink" Target="https://www.instagram.com/rozato__shohada" TargetMode="External"/><Relationship Id="rId2408" Type="http://schemas.openxmlformats.org/officeDocument/2006/relationships/hyperlink" Target="https://t.me/Hmv_ir" TargetMode="External"/><Relationship Id="rId3738" Type="http://schemas.openxmlformats.org/officeDocument/2006/relationships/hyperlink" Target="https://www.instagram.com/htabein1376" TargetMode="External"/><Relationship Id="rId2409" Type="http://schemas.openxmlformats.org/officeDocument/2006/relationships/hyperlink" Target="https://www.instagram.com/panaheharam.masal/" TargetMode="External"/><Relationship Id="rId3731" Type="http://schemas.openxmlformats.org/officeDocument/2006/relationships/hyperlink" Target="http://t.me/mahfelosadeghien" TargetMode="External"/><Relationship Id="rId2400" Type="http://schemas.openxmlformats.org/officeDocument/2006/relationships/hyperlink" Target="https://www.instagram.com/heyat_meraj/" TargetMode="External"/><Relationship Id="rId3730" Type="http://schemas.openxmlformats.org/officeDocument/2006/relationships/hyperlink" Target="https://www.instagram.com/mahfelosadeghin/" TargetMode="External"/><Relationship Id="rId3722" Type="http://schemas.openxmlformats.org/officeDocument/2006/relationships/hyperlink" Target="https://www.instagram.com/rozatol_roughaye/" TargetMode="External"/><Relationship Id="rId3721" Type="http://schemas.openxmlformats.org/officeDocument/2006/relationships/hyperlink" Target="https://eitaa.com/ehsasejavan_ir" TargetMode="External"/><Relationship Id="rId3724" Type="http://schemas.openxmlformats.org/officeDocument/2006/relationships/hyperlink" Target="https://www.instagram.com/ya_abalfazll_133" TargetMode="External"/><Relationship Id="rId3723" Type="http://schemas.openxmlformats.org/officeDocument/2006/relationships/hyperlink" Target="http://t.me/rozatol_roghaye_bahar" TargetMode="External"/><Relationship Id="rId3726" Type="http://schemas.openxmlformats.org/officeDocument/2006/relationships/hyperlink" Target="https://t.me/advar_hmd" TargetMode="External"/><Relationship Id="rId3725" Type="http://schemas.openxmlformats.org/officeDocument/2006/relationships/hyperlink" Target="https://www.instagram.com/advar_hmd/" TargetMode="External"/><Relationship Id="rId3728" Type="http://schemas.openxmlformats.org/officeDocument/2006/relationships/hyperlink" Target="https://eitaa.com/atabatHMD" TargetMode="External"/><Relationship Id="rId3727" Type="http://schemas.openxmlformats.org/officeDocument/2006/relationships/hyperlink" Target="https://eitaa.com/heiiat_shahidhamedani" TargetMode="External"/><Relationship Id="rId3729" Type="http://schemas.openxmlformats.org/officeDocument/2006/relationships/hyperlink" Target="https://www.instagram.com/motevaselin_hmd" TargetMode="External"/><Relationship Id="rId3720" Type="http://schemas.openxmlformats.org/officeDocument/2006/relationships/hyperlink" Target="https://www.instagram.com/ehsasejavan.ir" TargetMode="External"/><Relationship Id="rId1170" Type="http://schemas.openxmlformats.org/officeDocument/2006/relationships/hyperlink" Target="https://www.instagram.com/rayatollmahdi_ir/" TargetMode="External"/><Relationship Id="rId1171" Type="http://schemas.openxmlformats.org/officeDocument/2006/relationships/hyperlink" Target="http://t.me/rayatollmahdi_ir" TargetMode="External"/><Relationship Id="rId1172" Type="http://schemas.openxmlformats.org/officeDocument/2006/relationships/hyperlink" Target="https://www.instagram.com/heyatkarbala.69/" TargetMode="External"/><Relationship Id="rId1173" Type="http://schemas.openxmlformats.org/officeDocument/2006/relationships/hyperlink" Target="http://t.me/heyatkarbala69" TargetMode="External"/><Relationship Id="rId1174" Type="http://schemas.openxmlformats.org/officeDocument/2006/relationships/hyperlink" Target="https://www.instagram.com/heyathoseini/" TargetMode="External"/><Relationship Id="rId1175" Type="http://schemas.openxmlformats.org/officeDocument/2006/relationships/hyperlink" Target="http://t.me/Heyatsadat" TargetMode="External"/><Relationship Id="rId1176" Type="http://schemas.openxmlformats.org/officeDocument/2006/relationships/hyperlink" Target="https://www.instagram.com/maktab.sadegh/" TargetMode="External"/><Relationship Id="rId1177" Type="http://schemas.openxmlformats.org/officeDocument/2006/relationships/hyperlink" Target="https://www.instagram.com/zavarolhosein_momeni/" TargetMode="External"/><Relationship Id="rId1178" Type="http://schemas.openxmlformats.org/officeDocument/2006/relationships/hyperlink" Target="http://t.me/seyedalimomeni" TargetMode="External"/><Relationship Id="rId1179" Type="http://schemas.openxmlformats.org/officeDocument/2006/relationships/hyperlink" Target="https://www.instagram.com/mohebann_ir/" TargetMode="External"/><Relationship Id="rId1169" Type="http://schemas.openxmlformats.org/officeDocument/2006/relationships/hyperlink" Target="http://tlgrm.in/beytoreza1" TargetMode="External"/><Relationship Id="rId2490" Type="http://schemas.openxmlformats.org/officeDocument/2006/relationships/hyperlink" Target="https://www.instagram.com/eradatmandan_135" TargetMode="External"/><Relationship Id="rId1160" Type="http://schemas.openxmlformats.org/officeDocument/2006/relationships/hyperlink" Target="http://t.me/maktaboshohada_com" TargetMode="External"/><Relationship Id="rId2491" Type="http://schemas.openxmlformats.org/officeDocument/2006/relationships/hyperlink" Target="https://t.me/alirezajafari_chanel" TargetMode="External"/><Relationship Id="rId1161" Type="http://schemas.openxmlformats.org/officeDocument/2006/relationships/hyperlink" Target="https://eitaa.com/mohebban_srttu" TargetMode="External"/><Relationship Id="rId2492" Type="http://schemas.openxmlformats.org/officeDocument/2006/relationships/hyperlink" Target="https://www.instagram.com/ome_abiha213" TargetMode="External"/><Relationship Id="rId1162" Type="http://schemas.openxmlformats.org/officeDocument/2006/relationships/hyperlink" Target="https://www.instagram.com/khatamolosiaa/" TargetMode="External"/><Relationship Id="rId2493" Type="http://schemas.openxmlformats.org/officeDocument/2006/relationships/hyperlink" Target="https://t.me/Ome_Abiha213" TargetMode="External"/><Relationship Id="rId1163" Type="http://schemas.openxmlformats.org/officeDocument/2006/relationships/hyperlink" Target="http://eitaa.com/Khatamolosiaa" TargetMode="External"/><Relationship Id="rId2494" Type="http://schemas.openxmlformats.org/officeDocument/2006/relationships/hyperlink" Target="https://eitaa.com/ome_abiha213" TargetMode="External"/><Relationship Id="rId1164" Type="http://schemas.openxmlformats.org/officeDocument/2006/relationships/hyperlink" Target="https://www.instagram.com/heyat_oshagholmahdi/" TargetMode="External"/><Relationship Id="rId2495" Type="http://schemas.openxmlformats.org/officeDocument/2006/relationships/hyperlink" Target="https://www.instagram.com/_beyt_ol_sadegh" TargetMode="External"/><Relationship Id="rId1165" Type="http://schemas.openxmlformats.org/officeDocument/2006/relationships/hyperlink" Target="http://t.me/heyat_oshagholmahdi" TargetMode="External"/><Relationship Id="rId2496" Type="http://schemas.openxmlformats.org/officeDocument/2006/relationships/hyperlink" Target="https://t.me/beyt_sadegh_mashhad" TargetMode="External"/><Relationship Id="rId1166" Type="http://schemas.openxmlformats.org/officeDocument/2006/relationships/hyperlink" Target="https://www.instagram.com/heyathasanjan/" TargetMode="External"/><Relationship Id="rId2497" Type="http://schemas.openxmlformats.org/officeDocument/2006/relationships/hyperlink" Target="https://t.me/heiatemamreza" TargetMode="External"/><Relationship Id="rId1167" Type="http://schemas.openxmlformats.org/officeDocument/2006/relationships/hyperlink" Target="https://www.instagram.com/hfatemion83/" TargetMode="External"/><Relationship Id="rId2498" Type="http://schemas.openxmlformats.org/officeDocument/2006/relationships/hyperlink" Target="https://eitaa.com/imamsajjad1391" TargetMode="External"/><Relationship Id="rId1168" Type="http://schemas.openxmlformats.org/officeDocument/2006/relationships/hyperlink" Target="https://www.instagram.com/beytoreza1/" TargetMode="External"/><Relationship Id="rId2499" Type="http://schemas.openxmlformats.org/officeDocument/2006/relationships/hyperlink" Target="https://www.instagram.com/ansaralhosein1382" TargetMode="External"/><Relationship Id="rId1190" Type="http://schemas.openxmlformats.org/officeDocument/2006/relationships/hyperlink" Target="https://t.me/oshagh_alheydar" TargetMode="External"/><Relationship Id="rId1191" Type="http://schemas.openxmlformats.org/officeDocument/2006/relationships/hyperlink" Target="https://eitaa.com/oshagh_alheydar" TargetMode="External"/><Relationship Id="rId1192" Type="http://schemas.openxmlformats.org/officeDocument/2006/relationships/hyperlink" Target="https://www.instagram.com/heyat_asheghan_neynava/" TargetMode="External"/><Relationship Id="rId1193" Type="http://schemas.openxmlformats.org/officeDocument/2006/relationships/hyperlink" Target="https://www.instagram.com/roghayeh__sadat/" TargetMode="External"/><Relationship Id="rId1194" Type="http://schemas.openxmlformats.org/officeDocument/2006/relationships/hyperlink" Target="http://t.me/roghaye_saadat" TargetMode="External"/><Relationship Id="rId1195" Type="http://schemas.openxmlformats.org/officeDocument/2006/relationships/hyperlink" Target="https://www.instagram.com/heiat_roknolhoda135/" TargetMode="External"/><Relationship Id="rId1196" Type="http://schemas.openxmlformats.org/officeDocument/2006/relationships/hyperlink" Target="https://eitaa.com/heyate_chahardah_masom" TargetMode="External"/><Relationship Id="rId1197" Type="http://schemas.openxmlformats.org/officeDocument/2006/relationships/hyperlink" Target="https://www.instagram.com/kheimegah128/" TargetMode="External"/><Relationship Id="rId1198" Type="http://schemas.openxmlformats.org/officeDocument/2006/relationships/hyperlink" Target="https://www.instagram.com/mohebbanali1/" TargetMode="External"/><Relationship Id="rId1199" Type="http://schemas.openxmlformats.org/officeDocument/2006/relationships/hyperlink" Target="https://www.instagram.com/alamdar_alghameh133/" TargetMode="External"/><Relationship Id="rId1180" Type="http://schemas.openxmlformats.org/officeDocument/2006/relationships/hyperlink" Target="https://www.instagram.com/beitol_abbas_ir/" TargetMode="External"/><Relationship Id="rId1181" Type="http://schemas.openxmlformats.org/officeDocument/2006/relationships/hyperlink" Target="https://t.me/BaytalAbbass" TargetMode="External"/><Relationship Id="rId1182" Type="http://schemas.openxmlformats.org/officeDocument/2006/relationships/hyperlink" Target="https://eitaa.com/BaytalAbbass" TargetMode="External"/><Relationship Id="rId1183" Type="http://schemas.openxmlformats.org/officeDocument/2006/relationships/hyperlink" Target="https://www.instagram.com/roghaye_bentolhosein/" TargetMode="External"/><Relationship Id="rId1184" Type="http://schemas.openxmlformats.org/officeDocument/2006/relationships/hyperlink" Target="http://t.me/roghaye_bentolhosein" TargetMode="External"/><Relationship Id="rId1185" Type="http://schemas.openxmlformats.org/officeDocument/2006/relationships/hyperlink" Target="https://www.instagram.com/jannatolbaqi/" TargetMode="External"/><Relationship Id="rId1186" Type="http://schemas.openxmlformats.org/officeDocument/2006/relationships/hyperlink" Target="http://t.me/janat" TargetMode="External"/><Relationship Id="rId1187" Type="http://schemas.openxmlformats.org/officeDocument/2006/relationships/hyperlink" Target="https://www.instagram.com/habibtm_/" TargetMode="External"/><Relationship Id="rId1188" Type="http://schemas.openxmlformats.org/officeDocument/2006/relationships/hyperlink" Target="http://eitaa.com/habibtm" TargetMode="External"/><Relationship Id="rId1189" Type="http://schemas.openxmlformats.org/officeDocument/2006/relationships/hyperlink" Target="https://www.instagram.com/oshagh_alheydar/" TargetMode="External"/><Relationship Id="rId1136" Type="http://schemas.openxmlformats.org/officeDocument/2006/relationships/hyperlink" Target="https://www.instagram.com/hazrateghasem_201/" TargetMode="External"/><Relationship Id="rId2467" Type="http://schemas.openxmlformats.org/officeDocument/2006/relationships/hyperlink" Target="https://www.instagram.com/moheban_al_roghaye" TargetMode="External"/><Relationship Id="rId3799" Type="http://schemas.openxmlformats.org/officeDocument/2006/relationships/hyperlink" Target="https://eitaa.com/sarallah_hmd" TargetMode="External"/><Relationship Id="rId1137" Type="http://schemas.openxmlformats.org/officeDocument/2006/relationships/hyperlink" Target="http://ghasem201.ir" TargetMode="External"/><Relationship Id="rId2468" Type="http://schemas.openxmlformats.org/officeDocument/2006/relationships/hyperlink" Target="https://t.me/MohebanAlroghay" TargetMode="External"/><Relationship Id="rId3798" Type="http://schemas.openxmlformats.org/officeDocument/2006/relationships/hyperlink" Target="https://www.instagram.com/sarallah_hmd" TargetMode="External"/><Relationship Id="rId1138" Type="http://schemas.openxmlformats.org/officeDocument/2006/relationships/hyperlink" Target="https://www.instagram.com/serat_213/" TargetMode="External"/><Relationship Id="rId2469" Type="http://schemas.openxmlformats.org/officeDocument/2006/relationships/hyperlink" Target="https://www.instagram.com/javananaleyasin" TargetMode="External"/><Relationship Id="rId1139" Type="http://schemas.openxmlformats.org/officeDocument/2006/relationships/hyperlink" Target="https://www.instagram.com/mahmoodkarimi_rayatalabbas/" TargetMode="External"/><Relationship Id="rId3791" Type="http://schemas.openxmlformats.org/officeDocument/2006/relationships/hyperlink" Target="https://eitaa.com/sahebalzaman_n" TargetMode="External"/><Relationship Id="rId2460" Type="http://schemas.openxmlformats.org/officeDocument/2006/relationships/hyperlink" Target="https://www.instagram.com/heyatbaghiatallah" TargetMode="External"/><Relationship Id="rId3790" Type="http://schemas.openxmlformats.org/officeDocument/2006/relationships/hyperlink" Target="https://eitaa.com/AlYassinheyat1404" TargetMode="External"/><Relationship Id="rId1130" Type="http://schemas.openxmlformats.org/officeDocument/2006/relationships/hyperlink" Target="http://misaq.ir" TargetMode="External"/><Relationship Id="rId2461" Type="http://schemas.openxmlformats.org/officeDocument/2006/relationships/hyperlink" Target="https://www.instagram.com/gharibsameraa" TargetMode="External"/><Relationship Id="rId3793" Type="http://schemas.openxmlformats.org/officeDocument/2006/relationships/hyperlink" Target="https://www.instagram.com/shahzadeh.aliakbar_info" TargetMode="External"/><Relationship Id="rId1131" Type="http://schemas.openxmlformats.org/officeDocument/2006/relationships/hyperlink" Target="https://eitaa.com/safiranzynab" TargetMode="External"/><Relationship Id="rId2462" Type="http://schemas.openxmlformats.org/officeDocument/2006/relationships/hyperlink" Target="https://www.instagram.com/oshagh.al.hosein" TargetMode="External"/><Relationship Id="rId3792" Type="http://schemas.openxmlformats.org/officeDocument/2006/relationships/hyperlink" Target="https://www.instagram.com/heyat_aba.saleh_nahavand/" TargetMode="External"/><Relationship Id="rId1132" Type="http://schemas.openxmlformats.org/officeDocument/2006/relationships/hyperlink" Target="https://www.instagram.com/jannat133/" TargetMode="External"/><Relationship Id="rId2463" Type="http://schemas.openxmlformats.org/officeDocument/2006/relationships/hyperlink" Target="https://t.me/oshagh_al_hosein315" TargetMode="External"/><Relationship Id="rId3795" Type="http://schemas.openxmlformats.org/officeDocument/2006/relationships/hyperlink" Target="https://eitaa.com/heyatalabas" TargetMode="External"/><Relationship Id="rId1133" Type="http://schemas.openxmlformats.org/officeDocument/2006/relationships/hyperlink" Target="http://t.me/jannat133" TargetMode="External"/><Relationship Id="rId2464" Type="http://schemas.openxmlformats.org/officeDocument/2006/relationships/hyperlink" Target="https://www.instagram.com/beynolharamayn133_128" TargetMode="External"/><Relationship Id="rId3794" Type="http://schemas.openxmlformats.org/officeDocument/2006/relationships/hyperlink" Target="https://www.instagram.com/heyatalabbas" TargetMode="External"/><Relationship Id="rId1134" Type="http://schemas.openxmlformats.org/officeDocument/2006/relationships/hyperlink" Target="https://www.instagram.com/rayatolahrar/" TargetMode="External"/><Relationship Id="rId2465" Type="http://schemas.openxmlformats.org/officeDocument/2006/relationships/hyperlink" Target="https://www.instagram.com/javanan_moharam" TargetMode="External"/><Relationship Id="rId3797" Type="http://schemas.openxmlformats.org/officeDocument/2006/relationships/hyperlink" Target="https://t.me/heyattorbat" TargetMode="External"/><Relationship Id="rId1135" Type="http://schemas.openxmlformats.org/officeDocument/2006/relationships/hyperlink" Target="https://www.instagram.com/heyat.shohada.alollah/" TargetMode="External"/><Relationship Id="rId2466" Type="http://schemas.openxmlformats.org/officeDocument/2006/relationships/hyperlink" Target="https://eitaa.com/javanan_ansarol_hosein" TargetMode="External"/><Relationship Id="rId3796" Type="http://schemas.openxmlformats.org/officeDocument/2006/relationships/hyperlink" Target="https://www.instagram.com/heyattorbat" TargetMode="External"/><Relationship Id="rId1125" Type="http://schemas.openxmlformats.org/officeDocument/2006/relationships/hyperlink" Target="https://www.instagram.com/maktabolheydar.rozeh/" TargetMode="External"/><Relationship Id="rId2456" Type="http://schemas.openxmlformats.org/officeDocument/2006/relationships/hyperlink" Target="https://t.me/oshaghzahras" TargetMode="External"/><Relationship Id="rId3788" Type="http://schemas.openxmlformats.org/officeDocument/2006/relationships/hyperlink" Target="https://www.instagram.com/maktabezeinab_hamedan" TargetMode="External"/><Relationship Id="rId1126" Type="http://schemas.openxmlformats.org/officeDocument/2006/relationships/hyperlink" Target="http://t.me/maktabolheydar" TargetMode="External"/><Relationship Id="rId2457" Type="http://schemas.openxmlformats.org/officeDocument/2006/relationships/hyperlink" Target="https://www.instagram.com/r_alatash/" TargetMode="External"/><Relationship Id="rId3787" Type="http://schemas.openxmlformats.org/officeDocument/2006/relationships/hyperlink" Target="https://eitaa.com/babolhavaej_hamedan" TargetMode="External"/><Relationship Id="rId1127" Type="http://schemas.openxmlformats.org/officeDocument/2006/relationships/hyperlink" Target="https://www.instagram.com/raheasheghan/" TargetMode="External"/><Relationship Id="rId2458" Type="http://schemas.openxmlformats.org/officeDocument/2006/relationships/hyperlink" Target="https://t.me/rozatolatash" TargetMode="External"/><Relationship Id="rId1128" Type="http://schemas.openxmlformats.org/officeDocument/2006/relationships/hyperlink" Target="https://eitaa.com/raheasheghan" TargetMode="External"/><Relationship Id="rId2459" Type="http://schemas.openxmlformats.org/officeDocument/2006/relationships/hyperlink" Target="https://www.instagram.com/aemme.athar86" TargetMode="External"/><Relationship Id="rId3789" Type="http://schemas.openxmlformats.org/officeDocument/2006/relationships/hyperlink" Target="https://eitaa.com/maktabezeinab_hamedan" TargetMode="External"/><Relationship Id="rId1129" Type="http://schemas.openxmlformats.org/officeDocument/2006/relationships/hyperlink" Target="https://www.instagram.com/misaq_nojavan/" TargetMode="External"/><Relationship Id="rId3780" Type="http://schemas.openxmlformats.org/officeDocument/2006/relationships/hyperlink" Target="https://www.instagram.com/oshagholhossein_/" TargetMode="External"/><Relationship Id="rId2450" Type="http://schemas.openxmlformats.org/officeDocument/2006/relationships/hyperlink" Target="https://www.instagram.com/hosseinie_alzahra/" TargetMode="External"/><Relationship Id="rId3782" Type="http://schemas.openxmlformats.org/officeDocument/2006/relationships/hyperlink" Target="https://eitaa.com/heiatalzahranahavand" TargetMode="External"/><Relationship Id="rId1120" Type="http://schemas.openxmlformats.org/officeDocument/2006/relationships/hyperlink" Target="http://t.me/ansarolmahdi_utm" TargetMode="External"/><Relationship Id="rId2451" Type="http://schemas.openxmlformats.org/officeDocument/2006/relationships/hyperlink" Target="https://t.me/hosseinie_mohebiolzahra" TargetMode="External"/><Relationship Id="rId3781" Type="http://schemas.openxmlformats.org/officeDocument/2006/relationships/hyperlink" Target="http://t.me/oshagholhossein_1" TargetMode="External"/><Relationship Id="rId1121" Type="http://schemas.openxmlformats.org/officeDocument/2006/relationships/hyperlink" Target="https://www.instagram.com/samenhojaj1353/" TargetMode="External"/><Relationship Id="rId2452" Type="http://schemas.openxmlformats.org/officeDocument/2006/relationships/hyperlink" Target="https://www.instagram.com/kheyme_69/" TargetMode="External"/><Relationship Id="rId3784" Type="http://schemas.openxmlformats.org/officeDocument/2006/relationships/hyperlink" Target="https://eitaa.com/heyatemohamadrasololah" TargetMode="External"/><Relationship Id="rId1122" Type="http://schemas.openxmlformats.org/officeDocument/2006/relationships/hyperlink" Target="https://www.instagram.com/heyatearbab/" TargetMode="External"/><Relationship Id="rId2453" Type="http://schemas.openxmlformats.org/officeDocument/2006/relationships/hyperlink" Target="https://t.me/kheyme69" TargetMode="External"/><Relationship Id="rId3783" Type="http://schemas.openxmlformats.org/officeDocument/2006/relationships/hyperlink" Target="https://www.instagram.com/rasolemehr" TargetMode="External"/><Relationship Id="rId1123" Type="http://schemas.openxmlformats.org/officeDocument/2006/relationships/hyperlink" Target="http://t.me/heyatearbab" TargetMode="External"/><Relationship Id="rId2454" Type="http://schemas.openxmlformats.org/officeDocument/2006/relationships/hyperlink" Target="https://eitaa.com/kheyme69" TargetMode="External"/><Relationship Id="rId3786" Type="http://schemas.openxmlformats.org/officeDocument/2006/relationships/hyperlink" Target="https://t.me/babolhavaej_hamedan" TargetMode="External"/><Relationship Id="rId1124" Type="http://schemas.openxmlformats.org/officeDocument/2006/relationships/hyperlink" Target="http://instagram.com/heyat_zavar_alreza_/" TargetMode="External"/><Relationship Id="rId2455" Type="http://schemas.openxmlformats.org/officeDocument/2006/relationships/hyperlink" Target="https://www.instagram.com/oshagh_alzahra_s/" TargetMode="External"/><Relationship Id="rId3785" Type="http://schemas.openxmlformats.org/officeDocument/2006/relationships/hyperlink" Target="https://www.instagram.com/heyat.babolhavaej.hamedan" TargetMode="External"/><Relationship Id="rId1158" Type="http://schemas.openxmlformats.org/officeDocument/2006/relationships/hyperlink" Target="https://eitaa.com/masjeed14m" TargetMode="External"/><Relationship Id="rId2489" Type="http://schemas.openxmlformats.org/officeDocument/2006/relationships/hyperlink" Target="https://zil.ink/ahbab_alrezaa" TargetMode="External"/><Relationship Id="rId1159" Type="http://schemas.openxmlformats.org/officeDocument/2006/relationships/hyperlink" Target="https://www.instagram.com/maktaboshohada_com/" TargetMode="External"/><Relationship Id="rId2480" Type="http://schemas.openxmlformats.org/officeDocument/2006/relationships/hyperlink" Target="https://eitaa.com/ashegan313" TargetMode="External"/><Relationship Id="rId1150" Type="http://schemas.openxmlformats.org/officeDocument/2006/relationships/hyperlink" Target="https://www.instagram.com/mohebban_almahdi10/" TargetMode="External"/><Relationship Id="rId2481" Type="http://schemas.openxmlformats.org/officeDocument/2006/relationships/hyperlink" Target="https://www.instagram.com/hoseiniyemashhad" TargetMode="External"/><Relationship Id="rId1151" Type="http://schemas.openxmlformats.org/officeDocument/2006/relationships/hyperlink" Target="http://mohebban-almahdi.ir" TargetMode="External"/><Relationship Id="rId2482" Type="http://schemas.openxmlformats.org/officeDocument/2006/relationships/hyperlink" Target="https://t.me/hoseiniyemashhad" TargetMode="External"/><Relationship Id="rId1152" Type="http://schemas.openxmlformats.org/officeDocument/2006/relationships/hyperlink" Target="https://www.instagram.com/masjedemammahdi/" TargetMode="External"/><Relationship Id="rId2483" Type="http://schemas.openxmlformats.org/officeDocument/2006/relationships/hyperlink" Target="https://eitaa.com/hoseiniyemashhad1" TargetMode="External"/><Relationship Id="rId1153" Type="http://schemas.openxmlformats.org/officeDocument/2006/relationships/hyperlink" Target="http://t.me/masjedemammahdi" TargetMode="External"/><Relationship Id="rId2484" Type="http://schemas.openxmlformats.org/officeDocument/2006/relationships/hyperlink" Target="http://instagram.com/heyatabna" TargetMode="External"/><Relationship Id="rId1154" Type="http://schemas.openxmlformats.org/officeDocument/2006/relationships/hyperlink" Target="https://www.instagram.com/masjjed_masjjed/" TargetMode="External"/><Relationship Id="rId2485" Type="http://schemas.openxmlformats.org/officeDocument/2006/relationships/hyperlink" Target="https://t.me/heyatabna" TargetMode="External"/><Relationship Id="rId1155" Type="http://schemas.openxmlformats.org/officeDocument/2006/relationships/hyperlink" Target="http://www.masjedemousabnejafar.ir" TargetMode="External"/><Relationship Id="rId2486" Type="http://schemas.openxmlformats.org/officeDocument/2006/relationships/hyperlink" Target="https://eitaa.com/heyatabna" TargetMode="External"/><Relationship Id="rId1156" Type="http://schemas.openxmlformats.org/officeDocument/2006/relationships/hyperlink" Target="https://www.instagram.com/masjed62_ir/" TargetMode="External"/><Relationship Id="rId2487" Type="http://schemas.openxmlformats.org/officeDocument/2006/relationships/hyperlink" Target="https://www.instagram.com/heyatalrasool" TargetMode="External"/><Relationship Id="rId1157" Type="http://schemas.openxmlformats.org/officeDocument/2006/relationships/hyperlink" Target="http://ble.ir/masjed62_ir" TargetMode="External"/><Relationship Id="rId2488" Type="http://schemas.openxmlformats.org/officeDocument/2006/relationships/hyperlink" Target="https://eitaa.com/ahbab_alrezaa" TargetMode="External"/><Relationship Id="rId1147" Type="http://schemas.openxmlformats.org/officeDocument/2006/relationships/hyperlink" Target="https://www.instagram.com/shababozahra/" TargetMode="External"/><Relationship Id="rId2478" Type="http://schemas.openxmlformats.org/officeDocument/2006/relationships/hyperlink" Target="https://t.me/alemehinfo" TargetMode="External"/><Relationship Id="rId1148" Type="http://schemas.openxmlformats.org/officeDocument/2006/relationships/hyperlink" Target="https://www.instagram.com/reiyhane_alnabi/" TargetMode="External"/><Relationship Id="rId2479" Type="http://schemas.openxmlformats.org/officeDocument/2006/relationships/hyperlink" Target="https://t.me/h_asheqan" TargetMode="External"/><Relationship Id="rId1149" Type="http://schemas.openxmlformats.org/officeDocument/2006/relationships/hyperlink" Target="https://www.instagram.com/yahoseyn_tehran/" TargetMode="External"/><Relationship Id="rId2470" Type="http://schemas.openxmlformats.org/officeDocument/2006/relationships/hyperlink" Target="https://www.instagram.com/fatemiuonmashhad_313" TargetMode="External"/><Relationship Id="rId1140" Type="http://schemas.openxmlformats.org/officeDocument/2006/relationships/hyperlink" Target="https://www.instagram.com/mokeb.video/" TargetMode="External"/><Relationship Id="rId2471" Type="http://schemas.openxmlformats.org/officeDocument/2006/relationships/hyperlink" Target="https://t.me/Fatemiuon_mashhad" TargetMode="External"/><Relationship Id="rId1141" Type="http://schemas.openxmlformats.org/officeDocument/2006/relationships/hyperlink" Target="http://t.me/mokebinfo" TargetMode="External"/><Relationship Id="rId2472" Type="http://schemas.openxmlformats.org/officeDocument/2006/relationships/hyperlink" Target="https://www.instagram.com/motie_amr" TargetMode="External"/><Relationship Id="rId1142" Type="http://schemas.openxmlformats.org/officeDocument/2006/relationships/hyperlink" Target="https://eitaa.com/maktaboshohada_info" TargetMode="External"/><Relationship Id="rId2473" Type="http://schemas.openxmlformats.org/officeDocument/2006/relationships/hyperlink" Target="https://t.me/motie_amr" TargetMode="External"/><Relationship Id="rId1143" Type="http://schemas.openxmlformats.org/officeDocument/2006/relationships/hyperlink" Target="https://www.instagram.com/hsaelanahlebeyt/" TargetMode="External"/><Relationship Id="rId2474" Type="http://schemas.openxmlformats.org/officeDocument/2006/relationships/hyperlink" Target="https://www.instagram.com/nojavanansratalhossein_ir" TargetMode="External"/><Relationship Id="rId1144" Type="http://schemas.openxmlformats.org/officeDocument/2006/relationships/hyperlink" Target="https://www.instagram.com/asrentezarpakdasht/" TargetMode="External"/><Relationship Id="rId2475" Type="http://schemas.openxmlformats.org/officeDocument/2006/relationships/hyperlink" Target="https://t.me/nojavananalhosein" TargetMode="External"/><Relationship Id="rId1145" Type="http://schemas.openxmlformats.org/officeDocument/2006/relationships/hyperlink" Target="https://www.instagram.com/maktabzeynab/" TargetMode="External"/><Relationship Id="rId2476" Type="http://schemas.openxmlformats.org/officeDocument/2006/relationships/hyperlink" Target="https://eitaa.com/nojavananalhosein" TargetMode="External"/><Relationship Id="rId1146" Type="http://schemas.openxmlformats.org/officeDocument/2006/relationships/hyperlink" Target="http://t.me/Maktabzeynabb" TargetMode="External"/><Relationship Id="rId2477" Type="http://schemas.openxmlformats.org/officeDocument/2006/relationships/hyperlink" Target="https://www.instagram.com/alemehinfo" TargetMode="External"/><Relationship Id="rId7319" Type="http://schemas.openxmlformats.org/officeDocument/2006/relationships/hyperlink" Target="https://www.instagram.com/seyedoshohadaaa/" TargetMode="External"/><Relationship Id="rId7318" Type="http://schemas.openxmlformats.org/officeDocument/2006/relationships/hyperlink" Target="https://www.instagram.com/bentolrasool/" TargetMode="External"/><Relationship Id="rId8649" Type="http://schemas.openxmlformats.org/officeDocument/2006/relationships/hyperlink" Target="https://eitaa.com/hfatemealzahra" TargetMode="External"/><Relationship Id="rId8640" Type="http://schemas.openxmlformats.org/officeDocument/2006/relationships/hyperlink" Target="https://www.instagram.com/javadalaima_qom/" TargetMode="External"/><Relationship Id="rId7313" Type="http://schemas.openxmlformats.org/officeDocument/2006/relationships/hyperlink" Target="https://eitaa.com/heiat_emamhasan_askari" TargetMode="External"/><Relationship Id="rId8644" Type="http://schemas.openxmlformats.org/officeDocument/2006/relationships/hyperlink" Target="https://www.instagram.com/hoseinie_koodak/" TargetMode="External"/><Relationship Id="rId7312" Type="http://schemas.openxmlformats.org/officeDocument/2006/relationships/hyperlink" Target="https://eitaa.com/shohadagomnam_1398" TargetMode="External"/><Relationship Id="rId8643" Type="http://schemas.openxmlformats.org/officeDocument/2006/relationships/hyperlink" Target="https://www.instagram.com/hassan_ebn_heidar/" TargetMode="External"/><Relationship Id="rId7311" Type="http://schemas.openxmlformats.org/officeDocument/2006/relationships/hyperlink" Target="http://t.me/fatemiyun_khorramabad" TargetMode="External"/><Relationship Id="rId8642" Type="http://schemas.openxmlformats.org/officeDocument/2006/relationships/hyperlink" Target="https://t.me/imamsadegh_qom" TargetMode="External"/><Relationship Id="rId7310" Type="http://schemas.openxmlformats.org/officeDocument/2006/relationships/hyperlink" Target="https://www.instagram.com/fatemiyon_khoramabad/" TargetMode="External"/><Relationship Id="rId8641" Type="http://schemas.openxmlformats.org/officeDocument/2006/relationships/hyperlink" Target="https://www.instagram.com/imamsadegh_qom/" TargetMode="External"/><Relationship Id="rId7317" Type="http://schemas.openxmlformats.org/officeDocument/2006/relationships/hyperlink" Target="https://instagram.com/rayat_alabas_pol/" TargetMode="External"/><Relationship Id="rId8648" Type="http://schemas.openxmlformats.org/officeDocument/2006/relationships/hyperlink" Target="https://www.instagram.com/heyat_alzahraaqom/" TargetMode="External"/><Relationship Id="rId7316" Type="http://schemas.openxmlformats.org/officeDocument/2006/relationships/hyperlink" Target="https://www.instagram.com/info_rnd/" TargetMode="External"/><Relationship Id="rId8647" Type="http://schemas.openxmlformats.org/officeDocument/2006/relationships/hyperlink" Target="https://eitaa.com/ali_e_akbar_pardisan" TargetMode="External"/><Relationship Id="rId7315" Type="http://schemas.openxmlformats.org/officeDocument/2006/relationships/hyperlink" Target="https://ble.ir/h_karim_ahlebeit" TargetMode="External"/><Relationship Id="rId8646" Type="http://schemas.openxmlformats.org/officeDocument/2006/relationships/hyperlink" Target="https://www.instagram.com/heyataliakbarr/" TargetMode="External"/><Relationship Id="rId7314" Type="http://schemas.openxmlformats.org/officeDocument/2006/relationships/hyperlink" Target="https://eitaa.com/beyt_al_zahra_s" TargetMode="External"/><Relationship Id="rId8645" Type="http://schemas.openxmlformats.org/officeDocument/2006/relationships/hyperlink" Target="https://eitaa.com/hoseiniekoodak" TargetMode="External"/><Relationship Id="rId7309" Type="http://schemas.openxmlformats.org/officeDocument/2006/relationships/hyperlink" Target="https://eitaa.com/majmaeheydarioon" TargetMode="External"/><Relationship Id="rId7308" Type="http://schemas.openxmlformats.org/officeDocument/2006/relationships/hyperlink" Target="http://t.me/heyat_montazeran_alg" TargetMode="External"/><Relationship Id="rId8639" Type="http://schemas.openxmlformats.org/officeDocument/2006/relationships/hyperlink" Target="https://eitaa.com/javadrezaei3" TargetMode="External"/><Relationship Id="rId7307" Type="http://schemas.openxmlformats.org/officeDocument/2006/relationships/hyperlink" Target="https://www.instagram.com/heyat_montazeran313/" TargetMode="External"/><Relationship Id="rId8638" Type="http://schemas.openxmlformats.org/officeDocument/2006/relationships/hyperlink" Target="https://t.me/miadgah_313" TargetMode="External"/><Relationship Id="rId7302" Type="http://schemas.openxmlformats.org/officeDocument/2006/relationships/hyperlink" Target="https://eitaa.com/heyatzeynabion" TargetMode="External"/><Relationship Id="rId8633" Type="http://schemas.openxmlformats.org/officeDocument/2006/relationships/hyperlink" Target="https://eitaa.com/masjed_toliat" TargetMode="External"/><Relationship Id="rId7301" Type="http://schemas.openxmlformats.org/officeDocument/2006/relationships/hyperlink" Target="https://www.instagram.com/montazeran_mahdi_khoramabad/" TargetMode="External"/><Relationship Id="rId8632" Type="http://schemas.openxmlformats.org/officeDocument/2006/relationships/hyperlink" Target="https://www.instagram.com/masjed_toliat/" TargetMode="External"/><Relationship Id="rId7300" Type="http://schemas.openxmlformats.org/officeDocument/2006/relationships/hyperlink" Target="https://eitaa.com/heiat_h_aliakbar" TargetMode="External"/><Relationship Id="rId8631" Type="http://schemas.openxmlformats.org/officeDocument/2006/relationships/hyperlink" Target="http://t.me/kafilozeynab" TargetMode="External"/><Relationship Id="rId8630" Type="http://schemas.openxmlformats.org/officeDocument/2006/relationships/hyperlink" Target="https://www.instagram.com/kafilozzeynab_qom/" TargetMode="External"/><Relationship Id="rId7306" Type="http://schemas.openxmlformats.org/officeDocument/2006/relationships/hyperlink" Target="https://eitaa.com/aman59brj" TargetMode="External"/><Relationship Id="rId8637" Type="http://schemas.openxmlformats.org/officeDocument/2006/relationships/hyperlink" Target="https://www.instagram.com/javad_rezaei313.313/" TargetMode="External"/><Relationship Id="rId7305" Type="http://schemas.openxmlformats.org/officeDocument/2006/relationships/hyperlink" Target="https://www.instagram.com/aman59.brj/" TargetMode="External"/><Relationship Id="rId8636" Type="http://schemas.openxmlformats.org/officeDocument/2006/relationships/hyperlink" Target="https://t.me/jannatalroghayeqom" TargetMode="External"/><Relationship Id="rId7304" Type="http://schemas.openxmlformats.org/officeDocument/2006/relationships/hyperlink" Target="https://eitaa.com/b_harameyn_ir" TargetMode="External"/><Relationship Id="rId8635" Type="http://schemas.openxmlformats.org/officeDocument/2006/relationships/hyperlink" Target="https://www.instagram.com/jannatalroghaye315/" TargetMode="External"/><Relationship Id="rId7303" Type="http://schemas.openxmlformats.org/officeDocument/2006/relationships/hyperlink" Target="https://www.instagram.com/b_harameyn_ir" TargetMode="External"/><Relationship Id="rId8634" Type="http://schemas.openxmlformats.org/officeDocument/2006/relationships/hyperlink" Target="https://www.instagram.com/mohsenieh_samen/" TargetMode="External"/><Relationship Id="rId6009" Type="http://schemas.openxmlformats.org/officeDocument/2006/relationships/hyperlink" Target="https://www.instagram.com/tarigh_shohada57/" TargetMode="External"/><Relationship Id="rId7331" Type="http://schemas.openxmlformats.org/officeDocument/2006/relationships/hyperlink" Target="http://telegram.me/heyatalamdar" TargetMode="External"/><Relationship Id="rId8662" Type="http://schemas.openxmlformats.org/officeDocument/2006/relationships/hyperlink" Target="https://www.instagram.com/khadem_al_mahdi_ir/" TargetMode="External"/><Relationship Id="rId6000" Type="http://schemas.openxmlformats.org/officeDocument/2006/relationships/hyperlink" Target="https://www.instagram.com/norolmahdi313" TargetMode="External"/><Relationship Id="rId7330" Type="http://schemas.openxmlformats.org/officeDocument/2006/relationships/hyperlink" Target="https://www.instagram.com/heyaat_alamdar/" TargetMode="External"/><Relationship Id="rId8661" Type="http://schemas.openxmlformats.org/officeDocument/2006/relationships/hyperlink" Target="https://eitaa.com/khaadem_almahdy" TargetMode="External"/><Relationship Id="rId8660" Type="http://schemas.openxmlformats.org/officeDocument/2006/relationships/hyperlink" Target="https://t.me/khadem_almahdy" TargetMode="External"/><Relationship Id="rId6003" Type="http://schemas.openxmlformats.org/officeDocument/2006/relationships/hyperlink" Target="https://t.me/heiat_motevaseliiin" TargetMode="External"/><Relationship Id="rId7335" Type="http://schemas.openxmlformats.org/officeDocument/2006/relationships/hyperlink" Target="https://www.instagram.com/karimeahlebet86/" TargetMode="External"/><Relationship Id="rId8666" Type="http://schemas.openxmlformats.org/officeDocument/2006/relationships/hyperlink" Target="https://www.instagram.com/kheimegah_qom/" TargetMode="External"/><Relationship Id="rId6004" Type="http://schemas.openxmlformats.org/officeDocument/2006/relationships/hyperlink" Target="https://www.instagram.com/helma.art.media/" TargetMode="External"/><Relationship Id="rId7334" Type="http://schemas.openxmlformats.org/officeDocument/2006/relationships/hyperlink" Target="https://eitaa.com/masakin_alzahra" TargetMode="External"/><Relationship Id="rId8665" Type="http://schemas.openxmlformats.org/officeDocument/2006/relationships/hyperlink" Target="https://eitaa.com/khademoshohadaqom" TargetMode="External"/><Relationship Id="rId6001" Type="http://schemas.openxmlformats.org/officeDocument/2006/relationships/hyperlink" Target="https://www.instagram.com/montazeranheyat" TargetMode="External"/><Relationship Id="rId7333" Type="http://schemas.openxmlformats.org/officeDocument/2006/relationships/hyperlink" Target="https://www.instagram.com/yavaranmahdi59/" TargetMode="External"/><Relationship Id="rId8664" Type="http://schemas.openxmlformats.org/officeDocument/2006/relationships/hyperlink" Target="https://t.me/khademoshohadaqom" TargetMode="External"/><Relationship Id="rId6002" Type="http://schemas.openxmlformats.org/officeDocument/2006/relationships/hyperlink" Target="https://www.instagram.com/heiat_motevaseliiin" TargetMode="External"/><Relationship Id="rId7332" Type="http://schemas.openxmlformats.org/officeDocument/2006/relationships/hyperlink" Target="https://eitaa.com/yousofezahra_ir" TargetMode="External"/><Relationship Id="rId8663" Type="http://schemas.openxmlformats.org/officeDocument/2006/relationships/hyperlink" Target="https://www.instagram.com/khademoshohadaqom" TargetMode="External"/><Relationship Id="rId6007" Type="http://schemas.openxmlformats.org/officeDocument/2006/relationships/hyperlink" Target="https://www.instagram.com/heyatolreza1001/" TargetMode="External"/><Relationship Id="rId7339" Type="http://schemas.openxmlformats.org/officeDocument/2006/relationships/hyperlink" Target="https://www.instagram.com/heiat_amir/" TargetMode="External"/><Relationship Id="rId6008" Type="http://schemas.openxmlformats.org/officeDocument/2006/relationships/hyperlink" Target="https://t.me/heyatolreza1001" TargetMode="External"/><Relationship Id="rId7338" Type="http://schemas.openxmlformats.org/officeDocument/2006/relationships/hyperlink" Target="https://www.instagram.com/nooralshohada_31/" TargetMode="External"/><Relationship Id="rId8669" Type="http://schemas.openxmlformats.org/officeDocument/2006/relationships/hyperlink" Target="https://t.me/rayatalhosein_ir" TargetMode="External"/><Relationship Id="rId6005" Type="http://schemas.openxmlformats.org/officeDocument/2006/relationships/hyperlink" Target="https://www.instagram.com/teflorrazie110/" TargetMode="External"/><Relationship Id="rId7337" Type="http://schemas.openxmlformats.org/officeDocument/2006/relationships/hyperlink" Target="https://eitaa.com/ansarolhosein5711" TargetMode="External"/><Relationship Id="rId8668" Type="http://schemas.openxmlformats.org/officeDocument/2006/relationships/hyperlink" Target="https://www.instagram.com/rayatalhosein_ir/" TargetMode="External"/><Relationship Id="rId6006" Type="http://schemas.openxmlformats.org/officeDocument/2006/relationships/hyperlink" Target="https://www.instagram.com/h_fatemiyon_daragh/" TargetMode="External"/><Relationship Id="rId7336" Type="http://schemas.openxmlformats.org/officeDocument/2006/relationships/hyperlink" Target="https://www.instagram.com/mohebin.emamhasan/" TargetMode="External"/><Relationship Id="rId8667" Type="http://schemas.openxmlformats.org/officeDocument/2006/relationships/hyperlink" Target="https://www.instagram.com/bokaa315/" TargetMode="External"/><Relationship Id="rId7329" Type="http://schemas.openxmlformats.org/officeDocument/2006/relationships/hyperlink" Target="https://www.instagram.com/yaletharat_dorod/" TargetMode="External"/><Relationship Id="rId7320" Type="http://schemas.openxmlformats.org/officeDocument/2006/relationships/hyperlink" Target="https://www.instagram.com/oshaghozahra_aligoodarz/" TargetMode="External"/><Relationship Id="rId8651" Type="http://schemas.openxmlformats.org/officeDocument/2006/relationships/hyperlink" Target="https://www.instagram.com/heidariun_qom/" TargetMode="External"/><Relationship Id="rId8650" Type="http://schemas.openxmlformats.org/officeDocument/2006/relationships/hyperlink" Target="https://www.instagram.com/heyate_fatemeh_zahra/" TargetMode="External"/><Relationship Id="rId7324" Type="http://schemas.openxmlformats.org/officeDocument/2006/relationships/hyperlink" Target="https://www.instagram.com/zoovarolhosein128/" TargetMode="External"/><Relationship Id="rId8655" Type="http://schemas.openxmlformats.org/officeDocument/2006/relationships/hyperlink" Target="https://www.instagram.com/khadem_alroghaye315/" TargetMode="External"/><Relationship Id="rId7323" Type="http://schemas.openxmlformats.org/officeDocument/2006/relationships/hyperlink" Target="https://www.instagram.com/eheyat.mamasani.ir/" TargetMode="External"/><Relationship Id="rId8654" Type="http://schemas.openxmlformats.org/officeDocument/2006/relationships/hyperlink" Target="https://t.me/heyat_khademalhossein" TargetMode="External"/><Relationship Id="rId7322" Type="http://schemas.openxmlformats.org/officeDocument/2006/relationships/hyperlink" Target="https://eitaa.com/ansarolmahdiazna" TargetMode="External"/><Relationship Id="rId8653" Type="http://schemas.openxmlformats.org/officeDocument/2006/relationships/hyperlink" Target="https://www.instagram.com/heyat_khademalhossein/" TargetMode="External"/><Relationship Id="rId7321" Type="http://schemas.openxmlformats.org/officeDocument/2006/relationships/hyperlink" Target="https://www.instagram.com/hoseiniehsaralah/" TargetMode="External"/><Relationship Id="rId8652" Type="http://schemas.openxmlformats.org/officeDocument/2006/relationships/hyperlink" Target="https://t.me/heidariun_qom" TargetMode="External"/><Relationship Id="rId7328" Type="http://schemas.openxmlformats.org/officeDocument/2006/relationships/hyperlink" Target="https://www.instagram.com/asheghane_sarallah_boroujerd/" TargetMode="External"/><Relationship Id="rId8659" Type="http://schemas.openxmlformats.org/officeDocument/2006/relationships/hyperlink" Target="https://www.instagram.com/khadem_almahdy/" TargetMode="External"/><Relationship Id="rId7327" Type="http://schemas.openxmlformats.org/officeDocument/2006/relationships/hyperlink" Target="https://www.instagram.com/heiatefatemehzahraa/" TargetMode="External"/><Relationship Id="rId8658" Type="http://schemas.openxmlformats.org/officeDocument/2006/relationships/hyperlink" Target="https://t.me/khademozahraqom" TargetMode="External"/><Relationship Id="rId7326" Type="http://schemas.openxmlformats.org/officeDocument/2006/relationships/hyperlink" Target="https://www.instagram.com/heyat_khademolabbas_azna/" TargetMode="External"/><Relationship Id="rId8657" Type="http://schemas.openxmlformats.org/officeDocument/2006/relationships/hyperlink" Target="https://www.instagram.com/khademozahraqom/" TargetMode="External"/><Relationship Id="rId7325" Type="http://schemas.openxmlformats.org/officeDocument/2006/relationships/hyperlink" Target="https://eitaa.com/shamezeinab" TargetMode="External"/><Relationship Id="rId8656" Type="http://schemas.openxmlformats.org/officeDocument/2006/relationships/hyperlink" Target="https://t.me/khadem_alroghaye315" TargetMode="External"/><Relationship Id="rId8608" Type="http://schemas.openxmlformats.org/officeDocument/2006/relationships/hyperlink" Target="https://www.instagram.com/heyat__alshohada/" TargetMode="External"/><Relationship Id="rId8607" Type="http://schemas.openxmlformats.org/officeDocument/2006/relationships/hyperlink" Target="http://eitaa.com/masjedazzahra_qom" TargetMode="External"/><Relationship Id="rId8606" Type="http://schemas.openxmlformats.org/officeDocument/2006/relationships/hyperlink" Target="https://www.instagram.com/masjedazzahra_qom/" TargetMode="External"/><Relationship Id="rId8605" Type="http://schemas.openxmlformats.org/officeDocument/2006/relationships/hyperlink" Target="https://t.me/okhtalreza" TargetMode="External"/><Relationship Id="rId8609" Type="http://schemas.openxmlformats.org/officeDocument/2006/relationships/hyperlink" Target="https://eitaa.com/heyatashohada" TargetMode="External"/><Relationship Id="rId8600" Type="http://schemas.openxmlformats.org/officeDocument/2006/relationships/hyperlink" Target="https://eitaa.com/mokeb_seyed_shohada128" TargetMode="External"/><Relationship Id="rId8604" Type="http://schemas.openxmlformats.org/officeDocument/2006/relationships/hyperlink" Target="https://www.instagram.com/okht.al.reza/" TargetMode="External"/><Relationship Id="rId8603" Type="http://schemas.openxmlformats.org/officeDocument/2006/relationships/hyperlink" Target="https://www.instagram.com/abna.heydar_110/" TargetMode="External"/><Relationship Id="rId8602" Type="http://schemas.openxmlformats.org/officeDocument/2006/relationships/hyperlink" Target="https://www.instagram.com/ziarat_nahieh/" TargetMode="External"/><Relationship Id="rId8601" Type="http://schemas.openxmlformats.org/officeDocument/2006/relationships/hyperlink" Target="https://eitaa.com/heyat_hazrat_zeynab_s" TargetMode="External"/><Relationship Id="rId8629" Type="http://schemas.openxmlformats.org/officeDocument/2006/relationships/hyperlink" Target="https://t.me/beitorooghaieh" TargetMode="External"/><Relationship Id="rId8628" Type="http://schemas.openxmlformats.org/officeDocument/2006/relationships/hyperlink" Target="https://www.instagram.com/beitorooghaieh.qom/" TargetMode="External"/><Relationship Id="rId8627" Type="http://schemas.openxmlformats.org/officeDocument/2006/relationships/hyperlink" Target="https://www.instagram.com/beytoalreza/" TargetMode="External"/><Relationship Id="rId8622" Type="http://schemas.openxmlformats.org/officeDocument/2006/relationships/hyperlink" Target="https://t.me/babolhoseinqom" TargetMode="External"/><Relationship Id="rId8621" Type="http://schemas.openxmlformats.org/officeDocument/2006/relationships/hyperlink" Target="https://www.instagram.com/babolhoseinqom/" TargetMode="External"/><Relationship Id="rId8620" Type="http://schemas.openxmlformats.org/officeDocument/2006/relationships/hyperlink" Target="http://t.me/ansarolmahdiqom" TargetMode="External"/><Relationship Id="rId8626" Type="http://schemas.openxmlformats.org/officeDocument/2006/relationships/hyperlink" Target="https://t.me/Beyt_alzzahra" TargetMode="External"/><Relationship Id="rId8625" Type="http://schemas.openxmlformats.org/officeDocument/2006/relationships/hyperlink" Target="https://www.instagram.com/beyt_alzzahra/" TargetMode="External"/><Relationship Id="rId8624" Type="http://schemas.openxmlformats.org/officeDocument/2006/relationships/hyperlink" Target="https://t.me/heiat_babalmorad" TargetMode="External"/><Relationship Id="rId8623" Type="http://schemas.openxmlformats.org/officeDocument/2006/relationships/hyperlink" Target="https://www.instagram.com/heiatbabalmorad/" TargetMode="External"/><Relationship Id="rId8619" Type="http://schemas.openxmlformats.org/officeDocument/2006/relationships/hyperlink" Target="https://www.instagram.com/ansarolmahdiqom/" TargetMode="External"/><Relationship Id="rId8618" Type="http://schemas.openxmlformats.org/officeDocument/2006/relationships/hyperlink" Target="https://www.instagram.com/ansar_alzahra1421/" TargetMode="External"/><Relationship Id="rId8617" Type="http://schemas.openxmlformats.org/officeDocument/2006/relationships/hyperlink" Target="https://www.instagram.com/hoseyniyeh_qom/" TargetMode="External"/><Relationship Id="rId8616" Type="http://schemas.openxmlformats.org/officeDocument/2006/relationships/hyperlink" Target="https://eitaa.com/heiat_imamhasan" TargetMode="External"/><Relationship Id="rId8611" Type="http://schemas.openxmlformats.org/officeDocument/2006/relationships/hyperlink" Target="https://telegram.me/motemasekin" TargetMode="External"/><Relationship Id="rId8610" Type="http://schemas.openxmlformats.org/officeDocument/2006/relationships/hyperlink" Target="https://www.instagram.com/motemasekin/" TargetMode="External"/><Relationship Id="rId8615" Type="http://schemas.openxmlformats.org/officeDocument/2006/relationships/hyperlink" Target="https://www.instagram.com/heiat_imamhasan/" TargetMode="External"/><Relationship Id="rId8614" Type="http://schemas.openxmlformats.org/officeDocument/2006/relationships/hyperlink" Target="http://t.me/heyatolhadiqom" TargetMode="External"/><Relationship Id="rId8613" Type="http://schemas.openxmlformats.org/officeDocument/2006/relationships/hyperlink" Target="https://www.instagram.com/heyatolhadi_qom/" TargetMode="External"/><Relationship Id="rId8612" Type="http://schemas.openxmlformats.org/officeDocument/2006/relationships/hyperlink" Target="https://www.instagram.com/heyatolhadi_qom/" TargetMode="External"/><Relationship Id="rId6061" Type="http://schemas.openxmlformats.org/officeDocument/2006/relationships/hyperlink" Target="https://eitaa.com/media_mesbah_damghan" TargetMode="External"/><Relationship Id="rId7393" Type="http://schemas.openxmlformats.org/officeDocument/2006/relationships/hyperlink" Target="https://www.instagram.com/aleyasin1khorram/" TargetMode="External"/><Relationship Id="rId6062" Type="http://schemas.openxmlformats.org/officeDocument/2006/relationships/hyperlink" Target="https://eitaa.com/miandaranekhedmat" TargetMode="External"/><Relationship Id="rId7392" Type="http://schemas.openxmlformats.org/officeDocument/2006/relationships/hyperlink" Target="https://www.instagram.com/ghosalfoghara/" TargetMode="External"/><Relationship Id="rId7391" Type="http://schemas.openxmlformats.org/officeDocument/2006/relationships/hyperlink" Target="https://eitaa.com/rezajankhorramabad" TargetMode="External"/><Relationship Id="rId6060" Type="http://schemas.openxmlformats.org/officeDocument/2006/relationships/hyperlink" Target="https://eitaa.com/maktab_semnan" TargetMode="External"/><Relationship Id="rId7390" Type="http://schemas.openxmlformats.org/officeDocument/2006/relationships/hyperlink" Target="https://www.instagram.com/rezajan_khorramabad/" TargetMode="External"/><Relationship Id="rId6065" Type="http://schemas.openxmlformats.org/officeDocument/2006/relationships/hyperlink" Target="https://eitaa.com/mohebiin135" TargetMode="External"/><Relationship Id="rId7397" Type="http://schemas.openxmlformats.org/officeDocument/2006/relationships/hyperlink" Target="https://www.instagram.com/heyat.mohebban.azna/" TargetMode="External"/><Relationship Id="rId6066" Type="http://schemas.openxmlformats.org/officeDocument/2006/relationships/hyperlink" Target="https://www.instagram.com/mokeb_damghan" TargetMode="External"/><Relationship Id="rId7396" Type="http://schemas.openxmlformats.org/officeDocument/2006/relationships/hyperlink" Target="http://t.me/saelin_h_zeinab" TargetMode="External"/><Relationship Id="rId6063" Type="http://schemas.openxmlformats.org/officeDocument/2006/relationships/hyperlink" Target="https://www.instagram.com/mohebin135/" TargetMode="External"/><Relationship Id="rId7395" Type="http://schemas.openxmlformats.org/officeDocument/2006/relationships/hyperlink" Target="https://www.instagram.com/saelin_h_zeinab/" TargetMode="External"/><Relationship Id="rId6064" Type="http://schemas.openxmlformats.org/officeDocument/2006/relationships/hyperlink" Target="https://t.me/mohebiin" TargetMode="External"/><Relationship Id="rId7394" Type="http://schemas.openxmlformats.org/officeDocument/2006/relationships/hyperlink" Target="http://t.me/aleyasin1khorram" TargetMode="External"/><Relationship Id="rId6069" Type="http://schemas.openxmlformats.org/officeDocument/2006/relationships/hyperlink" Target="https://www.instagram.com/motavaselin.mosabnejafar/" TargetMode="External"/><Relationship Id="rId6067" Type="http://schemas.openxmlformats.org/officeDocument/2006/relationships/hyperlink" Target="https://t.me/mokeb_damghan" TargetMode="External"/><Relationship Id="rId7399" Type="http://schemas.openxmlformats.org/officeDocument/2006/relationships/hyperlink" Target="https://eitaa.com/MahfeleQorani14" TargetMode="External"/><Relationship Id="rId6068" Type="http://schemas.openxmlformats.org/officeDocument/2006/relationships/hyperlink" Target="https://eitaa.com/mokeb_damghan" TargetMode="External"/><Relationship Id="rId7398" Type="http://schemas.openxmlformats.org/officeDocument/2006/relationships/hyperlink" Target="https://t.me/heyaatnaserinhosseinbroujerd" TargetMode="External"/><Relationship Id="rId6050" Type="http://schemas.openxmlformats.org/officeDocument/2006/relationships/hyperlink" Target="https://www.instagram.com/levaozeynab_semnan" TargetMode="External"/><Relationship Id="rId7382" Type="http://schemas.openxmlformats.org/officeDocument/2006/relationships/hyperlink" Target="https://www.instagram.com/masakin_ir/" TargetMode="External"/><Relationship Id="rId6051" Type="http://schemas.openxmlformats.org/officeDocument/2006/relationships/hyperlink" Target="https://t.me/levaozeynab_semnan1387" TargetMode="External"/><Relationship Id="rId7381" Type="http://schemas.openxmlformats.org/officeDocument/2006/relationships/hyperlink" Target="https://t.me/delsookhtegan135" TargetMode="External"/><Relationship Id="rId7380" Type="http://schemas.openxmlformats.org/officeDocument/2006/relationships/hyperlink" Target="https://www.instagram.com/delsookhtegan.h.zahra135/" TargetMode="External"/><Relationship Id="rId6054" Type="http://schemas.openxmlformats.org/officeDocument/2006/relationships/hyperlink" Target="https://t.me/mahfelmohebanhosein" TargetMode="External"/><Relationship Id="rId7386" Type="http://schemas.openxmlformats.org/officeDocument/2006/relationships/hyperlink" Target="https://t.me/rayatollhossein99" TargetMode="External"/><Relationship Id="rId6055" Type="http://schemas.openxmlformats.org/officeDocument/2006/relationships/hyperlink" Target="https://eitaa.com/mahfel_moheban_hosein" TargetMode="External"/><Relationship Id="rId7385" Type="http://schemas.openxmlformats.org/officeDocument/2006/relationships/hyperlink" Target="https://www.instagram.com/heyat_rayatollhossein/" TargetMode="External"/><Relationship Id="rId6052" Type="http://schemas.openxmlformats.org/officeDocument/2006/relationships/hyperlink" Target="https://eitaa.com/levaozeynab_semnan1387" TargetMode="External"/><Relationship Id="rId7384" Type="http://schemas.openxmlformats.org/officeDocument/2006/relationships/hyperlink" Target="https://eitaa.com/masakin_alzahra" TargetMode="External"/><Relationship Id="rId6053" Type="http://schemas.openxmlformats.org/officeDocument/2006/relationships/hyperlink" Target="https://www.instagram.com/mahfel.moheban.hosein/" TargetMode="External"/><Relationship Id="rId7383" Type="http://schemas.openxmlformats.org/officeDocument/2006/relationships/hyperlink" Target="https://t.me/heyatmasakin_ir" TargetMode="External"/><Relationship Id="rId6058" Type="http://schemas.openxmlformats.org/officeDocument/2006/relationships/hyperlink" Target="https://eitaa.com/majma_abolfazl_sorkheh" TargetMode="External"/><Relationship Id="rId6059" Type="http://schemas.openxmlformats.org/officeDocument/2006/relationships/hyperlink" Target="https://www.instagram.com/maktab.semnan/" TargetMode="External"/><Relationship Id="rId7389" Type="http://schemas.openxmlformats.org/officeDocument/2006/relationships/hyperlink" Target="http://t.me/ansarpol" TargetMode="External"/><Relationship Id="rId6056" Type="http://schemas.openxmlformats.org/officeDocument/2006/relationships/hyperlink" Target="https://www.instagram.com/majma_abolfazl_sorkheh" TargetMode="External"/><Relationship Id="rId7388" Type="http://schemas.openxmlformats.org/officeDocument/2006/relationships/hyperlink" Target="http://instagram.com/ansaralmahdi1384/" TargetMode="External"/><Relationship Id="rId6057" Type="http://schemas.openxmlformats.org/officeDocument/2006/relationships/hyperlink" Target="http://t.me/majma_abolfazl_sorkheh" TargetMode="External"/><Relationship Id="rId7387" Type="http://schemas.openxmlformats.org/officeDocument/2006/relationships/hyperlink" Target="https://www.instagram.com/heyate_ansar_delfan/" TargetMode="External"/><Relationship Id="rId3810" Type="http://schemas.openxmlformats.org/officeDocument/2006/relationships/hyperlink" Target="https://t.me/masjed_mohammadieh" TargetMode="External"/><Relationship Id="rId3812" Type="http://schemas.openxmlformats.org/officeDocument/2006/relationships/hyperlink" Target="https://www.instagram.com/heyat_rezvanoljavad" TargetMode="External"/><Relationship Id="rId3811" Type="http://schemas.openxmlformats.org/officeDocument/2006/relationships/hyperlink" Target="https://eitaa.com/Dokhtaran_haaj_ghasem" TargetMode="External"/><Relationship Id="rId3814" Type="http://schemas.openxmlformats.org/officeDocument/2006/relationships/hyperlink" Target="https://www.instagram.com/heyat_sadat.hamedan" TargetMode="External"/><Relationship Id="rId3813" Type="http://schemas.openxmlformats.org/officeDocument/2006/relationships/hyperlink" Target="https://eitaa.com/heyat_rezvanoljavad" TargetMode="External"/><Relationship Id="rId3816" Type="http://schemas.openxmlformats.org/officeDocument/2006/relationships/hyperlink" Target="https://eitaa.com/rahpouyanvelayathmd" TargetMode="External"/><Relationship Id="rId3815" Type="http://schemas.openxmlformats.org/officeDocument/2006/relationships/hyperlink" Target="https://www.instagram.com/rahpouyanvelayathmd" TargetMode="External"/><Relationship Id="rId3818" Type="http://schemas.openxmlformats.org/officeDocument/2006/relationships/hyperlink" Target="https://www.instagram.com/ansaralemamalmojtaba" TargetMode="External"/><Relationship Id="rId3817" Type="http://schemas.openxmlformats.org/officeDocument/2006/relationships/hyperlink" Target="https://www.instagram.com/heyatozahraa.hamedan" TargetMode="External"/><Relationship Id="rId3819" Type="http://schemas.openxmlformats.org/officeDocument/2006/relationships/hyperlink" Target="https://eitaa.com/ansaralemamalmojtaba400" TargetMode="External"/><Relationship Id="rId6090" Type="http://schemas.openxmlformats.org/officeDocument/2006/relationships/hyperlink" Target="https://www.eitaa.com/hoseyniyeh_azam_semnan" TargetMode="External"/><Relationship Id="rId6091" Type="http://schemas.openxmlformats.org/officeDocument/2006/relationships/hyperlink" Target="https://www.instagram.com/_beytol_abbas_/" TargetMode="External"/><Relationship Id="rId6083" Type="http://schemas.openxmlformats.org/officeDocument/2006/relationships/hyperlink" Target="https://eitaa.com/shohadayegomnaam" TargetMode="External"/><Relationship Id="rId6084" Type="http://schemas.openxmlformats.org/officeDocument/2006/relationships/hyperlink" Target="https://eitaa.com/yazahra_semnan" TargetMode="External"/><Relationship Id="rId6081" Type="http://schemas.openxmlformats.org/officeDocument/2006/relationships/hyperlink" Target="https://t.me/javadein14" TargetMode="External"/><Relationship Id="rId6082" Type="http://schemas.openxmlformats.org/officeDocument/2006/relationships/hyperlink" Target="https://eitaa.com/s/Javadein14" TargetMode="External"/><Relationship Id="rId6087" Type="http://schemas.openxmlformats.org/officeDocument/2006/relationships/hyperlink" Target="https://www.eitaa.com/asheghansarallah1" TargetMode="External"/><Relationship Id="rId6088" Type="http://schemas.openxmlformats.org/officeDocument/2006/relationships/hyperlink" Target="https://www.instagram.com/hoseinie_azam_semnan/" TargetMode="External"/><Relationship Id="rId6085" Type="http://schemas.openxmlformats.org/officeDocument/2006/relationships/hyperlink" Target="https://t.me/ansaralhossinsorkheh" TargetMode="External"/><Relationship Id="rId6086" Type="http://schemas.openxmlformats.org/officeDocument/2006/relationships/hyperlink" Target="https://www.instagram.com/asheghansarallah/" TargetMode="External"/><Relationship Id="rId6089" Type="http://schemas.openxmlformats.org/officeDocument/2006/relationships/hyperlink" Target="https://t.me/Hoseyniyeh_Azam_Semnan" TargetMode="External"/><Relationship Id="rId3801" Type="http://schemas.openxmlformats.org/officeDocument/2006/relationships/hyperlink" Target="https://eitaa.com/heyathonar_hmd" TargetMode="External"/><Relationship Id="rId3800" Type="http://schemas.openxmlformats.org/officeDocument/2006/relationships/hyperlink" Target="https://www.instagram.com/heyathonar_hmd" TargetMode="External"/><Relationship Id="rId3803" Type="http://schemas.openxmlformats.org/officeDocument/2006/relationships/hyperlink" Target="https://www.instagram.com/samenol_aemmeh_hamedan.ir" TargetMode="External"/><Relationship Id="rId3802" Type="http://schemas.openxmlformats.org/officeDocument/2006/relationships/hyperlink" Target="https://www.instagram.com/aliebnabitaleb_hmd/" TargetMode="External"/><Relationship Id="rId3805" Type="http://schemas.openxmlformats.org/officeDocument/2006/relationships/hyperlink" Target="https://www.instagram.com/hoseinie_jolan" TargetMode="External"/><Relationship Id="rId3804" Type="http://schemas.openxmlformats.org/officeDocument/2006/relationships/hyperlink" Target="https://eitaa.com/samenolaemehhamedan" TargetMode="External"/><Relationship Id="rId3807" Type="http://schemas.openxmlformats.org/officeDocument/2006/relationships/hyperlink" Target="https://eitaa.com/heiat_ghasem1" TargetMode="External"/><Relationship Id="rId3806" Type="http://schemas.openxmlformats.org/officeDocument/2006/relationships/hyperlink" Target="https://www.instagram.com/mokeb_ghasem_ibn_al_hassan" TargetMode="External"/><Relationship Id="rId3809" Type="http://schemas.openxmlformats.org/officeDocument/2006/relationships/hyperlink" Target="https://www.instagram.com/heyat_farhangiyan" TargetMode="External"/><Relationship Id="rId3808" Type="http://schemas.openxmlformats.org/officeDocument/2006/relationships/hyperlink" Target="https://www.instagram.com/heydarioonfamenin/" TargetMode="External"/><Relationship Id="rId6080" Type="http://schemas.openxmlformats.org/officeDocument/2006/relationships/hyperlink" Target="https://www.instagram.com/javadein14/" TargetMode="External"/><Relationship Id="rId6072" Type="http://schemas.openxmlformats.org/officeDocument/2006/relationships/hyperlink" Target="https://eitaa.com/oshagh92" TargetMode="External"/><Relationship Id="rId6073" Type="http://schemas.openxmlformats.org/officeDocument/2006/relationships/hyperlink" Target="https://eitaa.com/oshagholhosaingarman" TargetMode="External"/><Relationship Id="rId6070" Type="http://schemas.openxmlformats.org/officeDocument/2006/relationships/hyperlink" Target="https://eitaa.com/motavaselinmosabengafarsemnan" TargetMode="External"/><Relationship Id="rId6071" Type="http://schemas.openxmlformats.org/officeDocument/2006/relationships/hyperlink" Target="https://eitaa.com/noora_ir1" TargetMode="External"/><Relationship Id="rId6076" Type="http://schemas.openxmlformats.org/officeDocument/2006/relationships/hyperlink" Target="https://eitaa.com/rayatoolabas" TargetMode="External"/><Relationship Id="rId6077" Type="http://schemas.openxmlformats.org/officeDocument/2006/relationships/hyperlink" Target="https://www.instagram.com/reyhanatolhossein315" TargetMode="External"/><Relationship Id="rId6074" Type="http://schemas.openxmlformats.org/officeDocument/2006/relationships/hyperlink" Target="https://www.instagram.com/alkafiiil/" TargetMode="External"/><Relationship Id="rId6075" Type="http://schemas.openxmlformats.org/officeDocument/2006/relationships/hyperlink" Target="https://t.me/rayatoolabas" TargetMode="External"/><Relationship Id="rId6078" Type="http://schemas.openxmlformats.org/officeDocument/2006/relationships/hyperlink" Target="http://t.me/Reyhana_hosein" TargetMode="External"/><Relationship Id="rId6079" Type="http://schemas.openxmlformats.org/officeDocument/2006/relationships/hyperlink" Target="https://eitaa.com/reyhanatolhoseinaradan" TargetMode="External"/><Relationship Id="rId8680" Type="http://schemas.openxmlformats.org/officeDocument/2006/relationships/hyperlink" Target="https://www.instagram.com/zavaralzahra/" TargetMode="External"/><Relationship Id="rId6021" Type="http://schemas.openxmlformats.org/officeDocument/2006/relationships/hyperlink" Target="https://www.instagram.com/abna_heyat/" TargetMode="External"/><Relationship Id="rId7353" Type="http://schemas.openxmlformats.org/officeDocument/2006/relationships/hyperlink" Target="https://www.instagram.com/heiatefatemehzahraa" TargetMode="External"/><Relationship Id="rId8684" Type="http://schemas.openxmlformats.org/officeDocument/2006/relationships/hyperlink" Target="https://www.instagram.com/zeynabion.qom" TargetMode="External"/><Relationship Id="rId6022" Type="http://schemas.openxmlformats.org/officeDocument/2006/relationships/hyperlink" Target="https://eitaa.com/abna_heyat" TargetMode="External"/><Relationship Id="rId7352" Type="http://schemas.openxmlformats.org/officeDocument/2006/relationships/hyperlink" Target="http://t.me/ashab_delfan_ir" TargetMode="External"/><Relationship Id="rId8683" Type="http://schemas.openxmlformats.org/officeDocument/2006/relationships/hyperlink" Target="https://t.me/zeynabion_qom" TargetMode="External"/><Relationship Id="rId7351" Type="http://schemas.openxmlformats.org/officeDocument/2006/relationships/hyperlink" Target="https://www.instagram.com/ashab_delfan_ir/" TargetMode="External"/><Relationship Id="rId8682" Type="http://schemas.openxmlformats.org/officeDocument/2006/relationships/hyperlink" Target="https://www.instagram.com/zeynabion_qom" TargetMode="External"/><Relationship Id="rId6020" Type="http://schemas.openxmlformats.org/officeDocument/2006/relationships/hyperlink" Target="https://eitaa.com/yafatematazahrainfo" TargetMode="External"/><Relationship Id="rId7350" Type="http://schemas.openxmlformats.org/officeDocument/2006/relationships/hyperlink" Target="https://www.instagram.com/h_daneshjoei/" TargetMode="External"/><Relationship Id="rId8681" Type="http://schemas.openxmlformats.org/officeDocument/2006/relationships/hyperlink" Target="https://t.me/zavaralzahra" TargetMode="External"/><Relationship Id="rId6025" Type="http://schemas.openxmlformats.org/officeDocument/2006/relationships/hyperlink" Target="https://t.me/ahrarolhosseinn/" TargetMode="External"/><Relationship Id="rId7357" Type="http://schemas.openxmlformats.org/officeDocument/2006/relationships/hyperlink" Target="https://www.instagram.com/zainabiun_69/" TargetMode="External"/><Relationship Id="rId8688" Type="http://schemas.openxmlformats.org/officeDocument/2006/relationships/hyperlink" Target="https://www.instagram.com/shababalroqieh/" TargetMode="External"/><Relationship Id="rId6026" Type="http://schemas.openxmlformats.org/officeDocument/2006/relationships/hyperlink" Target="https://eitaa.com/ahrarolhosseinn" TargetMode="External"/><Relationship Id="rId7356" Type="http://schemas.openxmlformats.org/officeDocument/2006/relationships/hyperlink" Target="https://www.instagram.com/masjed_al_rasool/" TargetMode="External"/><Relationship Id="rId8687" Type="http://schemas.openxmlformats.org/officeDocument/2006/relationships/hyperlink" Target="https://t.me/sinechakanqom" TargetMode="External"/><Relationship Id="rId6023" Type="http://schemas.openxmlformats.org/officeDocument/2006/relationships/hyperlink" Target="https://eitaa.com/abna_heyat" TargetMode="External"/><Relationship Id="rId7355" Type="http://schemas.openxmlformats.org/officeDocument/2006/relationships/hyperlink" Target="https://t.me/Emamasgari_ir" TargetMode="External"/><Relationship Id="rId8686" Type="http://schemas.openxmlformats.org/officeDocument/2006/relationships/hyperlink" Target="https://www.instagram.com/sine_chakan/" TargetMode="External"/><Relationship Id="rId6024" Type="http://schemas.openxmlformats.org/officeDocument/2006/relationships/hyperlink" Target="https://www.instagram.com/ahrarolhoseinn/" TargetMode="External"/><Relationship Id="rId7354" Type="http://schemas.openxmlformats.org/officeDocument/2006/relationships/hyperlink" Target="http://t.me/heiatefatemehzahra" TargetMode="External"/><Relationship Id="rId8685" Type="http://schemas.openxmlformats.org/officeDocument/2006/relationships/hyperlink" Target="https://eitaa.com/serajalavi" TargetMode="External"/><Relationship Id="rId6029" Type="http://schemas.openxmlformats.org/officeDocument/2006/relationships/hyperlink" Target="https://eitaa.com/asheghanmahdi_ir" TargetMode="External"/><Relationship Id="rId6027" Type="http://schemas.openxmlformats.org/officeDocument/2006/relationships/hyperlink" Target="https://eitaa.com/alzahrashahrood" TargetMode="External"/><Relationship Id="rId7359" Type="http://schemas.openxmlformats.org/officeDocument/2006/relationships/hyperlink" Target="https://www.instagram.com/oshagholhosein_khorramabad/" TargetMode="External"/><Relationship Id="rId6028" Type="http://schemas.openxmlformats.org/officeDocument/2006/relationships/hyperlink" Target="https://www.instagram.com/asheghanmahdi_ir/" TargetMode="External"/><Relationship Id="rId7358" Type="http://schemas.openxmlformats.org/officeDocument/2006/relationships/hyperlink" Target="https://t.me/zeinabioun_69" TargetMode="External"/><Relationship Id="rId8689" Type="http://schemas.openxmlformats.org/officeDocument/2006/relationships/hyperlink" Target="https://t.me/shababalroqieh" TargetMode="External"/><Relationship Id="rId6010" Type="http://schemas.openxmlformats.org/officeDocument/2006/relationships/hyperlink" Target="https://t.me/tarigh_Shohada57" TargetMode="External"/><Relationship Id="rId7342" Type="http://schemas.openxmlformats.org/officeDocument/2006/relationships/hyperlink" Target="https://eitaa.com/mohebin_ale_yassin" TargetMode="External"/><Relationship Id="rId8673" Type="http://schemas.openxmlformats.org/officeDocument/2006/relationships/hyperlink" Target="http://t.me/rahrovanshoohada" TargetMode="External"/><Relationship Id="rId6011" Type="http://schemas.openxmlformats.org/officeDocument/2006/relationships/hyperlink" Target="https://www.instagram.com/hasan.jaan118/" TargetMode="External"/><Relationship Id="rId7341" Type="http://schemas.openxmlformats.org/officeDocument/2006/relationships/hyperlink" Target="http://tlgrm.me//aleya30n" TargetMode="External"/><Relationship Id="rId8672" Type="http://schemas.openxmlformats.org/officeDocument/2006/relationships/hyperlink" Target="https://www.instagram.com/rahrovanshohada_qom/" TargetMode="External"/><Relationship Id="rId7340" Type="http://schemas.openxmlformats.org/officeDocument/2006/relationships/hyperlink" Target="https://www.instagram.com/Aleya30n/" TargetMode="External"/><Relationship Id="rId8671" Type="http://schemas.openxmlformats.org/officeDocument/2006/relationships/hyperlink" Target="https://www.instagram.com/roghaye_bentol_hoseinn/" TargetMode="External"/><Relationship Id="rId8670" Type="http://schemas.openxmlformats.org/officeDocument/2006/relationships/hyperlink" Target="https://eitaa.com/rayatalhosein_ir" TargetMode="External"/><Relationship Id="rId6014" Type="http://schemas.openxmlformats.org/officeDocument/2006/relationships/hyperlink" Target="https://www.instagram.com/heyatolreza1001/" TargetMode="External"/><Relationship Id="rId7346" Type="http://schemas.openxmlformats.org/officeDocument/2006/relationships/hyperlink" Target="https://www.instagram.com/oshaghabbas_brj/" TargetMode="External"/><Relationship Id="rId8677" Type="http://schemas.openxmlformats.org/officeDocument/2006/relationships/hyperlink" Target="https://www.instagram.com/reyhane__info/" TargetMode="External"/><Relationship Id="rId6015" Type="http://schemas.openxmlformats.org/officeDocument/2006/relationships/hyperlink" Target="https://t.me/heyatolreza1001" TargetMode="External"/><Relationship Id="rId7345" Type="http://schemas.openxmlformats.org/officeDocument/2006/relationships/hyperlink" Target="https://eitaa.com/heyatmohebindelfan" TargetMode="External"/><Relationship Id="rId8676" Type="http://schemas.openxmlformats.org/officeDocument/2006/relationships/hyperlink" Target="https://t.me/rozeh_alabas133" TargetMode="External"/><Relationship Id="rId6012" Type="http://schemas.openxmlformats.org/officeDocument/2006/relationships/hyperlink" Target="https://www.instagram.com/khademin__213/" TargetMode="External"/><Relationship Id="rId7344" Type="http://schemas.openxmlformats.org/officeDocument/2006/relationships/hyperlink" Target="https://www.instagram.com/kheimeh_fatemiyon/" TargetMode="External"/><Relationship Id="rId8675" Type="http://schemas.openxmlformats.org/officeDocument/2006/relationships/hyperlink" Target="https://www.instagram.com/rozeh_alabas133/" TargetMode="External"/><Relationship Id="rId6013" Type="http://schemas.openxmlformats.org/officeDocument/2006/relationships/hyperlink" Target="https://t.me/Khademinn_213" TargetMode="External"/><Relationship Id="rId7343" Type="http://schemas.openxmlformats.org/officeDocument/2006/relationships/hyperlink" Target="https://www.instagram.com/asheghaneashora_1374/" TargetMode="External"/><Relationship Id="rId8674" Type="http://schemas.openxmlformats.org/officeDocument/2006/relationships/hyperlink" Target="https://www.instagram.com/rovzatozzeinab/" TargetMode="External"/><Relationship Id="rId6018" Type="http://schemas.openxmlformats.org/officeDocument/2006/relationships/hyperlink" Target="https://eitaa.com/ansaralmahdi_bojnord" TargetMode="External"/><Relationship Id="rId6019" Type="http://schemas.openxmlformats.org/officeDocument/2006/relationships/hyperlink" Target="https://eitaa.com/hosseineyehkhaledabad" TargetMode="External"/><Relationship Id="rId7349" Type="http://schemas.openxmlformats.org/officeDocument/2006/relationships/hyperlink" Target="http://eitaa.com/HeyatAlzahra_Borujerd" TargetMode="External"/><Relationship Id="rId6016" Type="http://schemas.openxmlformats.org/officeDocument/2006/relationships/hyperlink" Target="https://www.instagram.com/maktab_abbas_garmeh" TargetMode="External"/><Relationship Id="rId7348" Type="http://schemas.openxmlformats.org/officeDocument/2006/relationships/hyperlink" Target="https://www.instagram.com/heyatalzahra_borujerd/" TargetMode="External"/><Relationship Id="rId8679" Type="http://schemas.openxmlformats.org/officeDocument/2006/relationships/hyperlink" Target="https://www.instagram.com/rshohada/" TargetMode="External"/><Relationship Id="rId6017" Type="http://schemas.openxmlformats.org/officeDocument/2006/relationships/hyperlink" Target="https://www.instagram.com/mesbaah_art/" TargetMode="External"/><Relationship Id="rId7347" Type="http://schemas.openxmlformats.org/officeDocument/2006/relationships/hyperlink" Target="https://www.instagram.com/kheymeh_brj/" TargetMode="External"/><Relationship Id="rId8678" Type="http://schemas.openxmlformats.org/officeDocument/2006/relationships/hyperlink" Target="https://t.me/heyat_rozat_al_roghaye" TargetMode="External"/><Relationship Id="rId7371" Type="http://schemas.openxmlformats.org/officeDocument/2006/relationships/hyperlink" Target="https://www.instagram.com/shohadaye_delfan" TargetMode="External"/><Relationship Id="rId6040" Type="http://schemas.openxmlformats.org/officeDocument/2006/relationships/hyperlink" Target="https://eitaa.com/heiatorreza_sem" TargetMode="External"/><Relationship Id="rId7370" Type="http://schemas.openxmlformats.org/officeDocument/2006/relationships/hyperlink" Target="https://eitaa.com/moazna" TargetMode="External"/><Relationship Id="rId6043" Type="http://schemas.openxmlformats.org/officeDocument/2006/relationships/hyperlink" Target="https://eitaa.com/heyatshohadashahrood" TargetMode="External"/><Relationship Id="rId7375" Type="http://schemas.openxmlformats.org/officeDocument/2006/relationships/hyperlink" Target="https://www.instagram.com/heyat_montazeranmahdi313/" TargetMode="External"/><Relationship Id="rId6044" Type="http://schemas.openxmlformats.org/officeDocument/2006/relationships/hyperlink" Target="https://eitaa.com/hfatemieh_eyvaneky" TargetMode="External"/><Relationship Id="rId7374" Type="http://schemas.openxmlformats.org/officeDocument/2006/relationships/hyperlink" Target="https://eitaa.com/mukeb313" TargetMode="External"/><Relationship Id="rId6041" Type="http://schemas.openxmlformats.org/officeDocument/2006/relationships/hyperlink" Target="https://www.instagram.com/heyat.hazrat_aliakbar/" TargetMode="External"/><Relationship Id="rId7373" Type="http://schemas.openxmlformats.org/officeDocument/2006/relationships/hyperlink" Target="http://eitaa.com/shohadaye_delfan" TargetMode="External"/><Relationship Id="rId6042" Type="http://schemas.openxmlformats.org/officeDocument/2006/relationships/hyperlink" Target="https://eitaa.com/heyataliakbarsemnan" TargetMode="External"/><Relationship Id="rId7372" Type="http://schemas.openxmlformats.org/officeDocument/2006/relationships/hyperlink" Target="https://t.me/shohadaye_delfan" TargetMode="External"/><Relationship Id="rId6047" Type="http://schemas.openxmlformats.org/officeDocument/2006/relationships/hyperlink" Target="https://www.instagram.com/h_khademolabbas/" TargetMode="External"/><Relationship Id="rId7379" Type="http://schemas.openxmlformats.org/officeDocument/2006/relationships/hyperlink" Target="https://t.me/heyatmohebindelfan" TargetMode="External"/><Relationship Id="rId6048" Type="http://schemas.openxmlformats.org/officeDocument/2006/relationships/hyperlink" Target="https://t.me/com_khademinabbas" TargetMode="External"/><Relationship Id="rId7378" Type="http://schemas.openxmlformats.org/officeDocument/2006/relationships/hyperlink" Target="https://www.instagram.com/heyatmohebindelfan/" TargetMode="External"/><Relationship Id="rId6045" Type="http://schemas.openxmlformats.org/officeDocument/2006/relationships/hyperlink" Target="https://www.instagram.com/janatolroghayeh_semnan/" TargetMode="External"/><Relationship Id="rId7377" Type="http://schemas.openxmlformats.org/officeDocument/2006/relationships/hyperlink" Target="https://eitaa.com/hoseiniehsaralah" TargetMode="External"/><Relationship Id="rId6046" Type="http://schemas.openxmlformats.org/officeDocument/2006/relationships/hyperlink" Target="https://eitaa.com/janatolroghaye" TargetMode="External"/><Relationship Id="rId7376" Type="http://schemas.openxmlformats.org/officeDocument/2006/relationships/hyperlink" Target="https://eitaa.com/ashab_ir" TargetMode="External"/><Relationship Id="rId6049" Type="http://schemas.openxmlformats.org/officeDocument/2006/relationships/hyperlink" Target="https://eitaa.com/khademinabbas" TargetMode="External"/><Relationship Id="rId7360" Type="http://schemas.openxmlformats.org/officeDocument/2006/relationships/hyperlink" Target="http://hohkhoramabad.blogfa.com" TargetMode="External"/><Relationship Id="rId8691" Type="http://schemas.openxmlformats.org/officeDocument/2006/relationships/hyperlink" Target="https://t.me/hoseinyeh_shohada" TargetMode="External"/><Relationship Id="rId8690" Type="http://schemas.openxmlformats.org/officeDocument/2006/relationships/hyperlink" Target="https://www.instagram.com/hoseinyeh_shohada/" TargetMode="External"/><Relationship Id="rId6032" Type="http://schemas.openxmlformats.org/officeDocument/2006/relationships/hyperlink" Target="https://eitaa.com/beytozzahra_mahdishahr" TargetMode="External"/><Relationship Id="rId7364" Type="http://schemas.openxmlformats.org/officeDocument/2006/relationships/hyperlink" Target="https://www.instagram.com/hyat_alamdaramohamad_rasolalah/" TargetMode="External"/><Relationship Id="rId8695" Type="http://schemas.openxmlformats.org/officeDocument/2006/relationships/hyperlink" Target="https://www.instagram.com/asheghan.sarallah.nerogah.qom/" TargetMode="External"/><Relationship Id="rId6033" Type="http://schemas.openxmlformats.org/officeDocument/2006/relationships/hyperlink" Target="https://eitaa.com/Ehasanir" TargetMode="External"/><Relationship Id="rId7363" Type="http://schemas.openxmlformats.org/officeDocument/2006/relationships/hyperlink" Target="https://t.me/yalasarat_alhossein_ir" TargetMode="External"/><Relationship Id="rId8694" Type="http://schemas.openxmlformats.org/officeDocument/2006/relationships/hyperlink" Target="https://www.instagram.com/sahebolamr_313/" TargetMode="External"/><Relationship Id="rId6030" Type="http://schemas.openxmlformats.org/officeDocument/2006/relationships/hyperlink" Target="https://eitaa.com/asheghansarallah1" TargetMode="External"/><Relationship Id="rId7362" Type="http://schemas.openxmlformats.org/officeDocument/2006/relationships/hyperlink" Target="http://t.me/heiate_moheban_ahlebiyt" TargetMode="External"/><Relationship Id="rId8693" Type="http://schemas.openxmlformats.org/officeDocument/2006/relationships/hyperlink" Target="https://t.me/shahzadeQasemQom110" TargetMode="External"/><Relationship Id="rId6031" Type="http://schemas.openxmlformats.org/officeDocument/2006/relationships/hyperlink" Target="https://eitaa.com/beitolzahra_kohanabad" TargetMode="External"/><Relationship Id="rId7361" Type="http://schemas.openxmlformats.org/officeDocument/2006/relationships/hyperlink" Target="https://www.instagram.com/moheban_ahlebeiyt/" TargetMode="External"/><Relationship Id="rId8692" Type="http://schemas.openxmlformats.org/officeDocument/2006/relationships/hyperlink" Target="https://www.instagram.com/shahzadeqasemqom/" TargetMode="External"/><Relationship Id="rId6036" Type="http://schemas.openxmlformats.org/officeDocument/2006/relationships/hyperlink" Target="https://eitaa.com/fatemiunsemnan" TargetMode="External"/><Relationship Id="rId7368" Type="http://schemas.openxmlformats.org/officeDocument/2006/relationships/hyperlink" Target="https://www.instagram.com/botorab.94/" TargetMode="External"/><Relationship Id="rId8699" Type="http://schemas.openxmlformats.org/officeDocument/2006/relationships/hyperlink" Target="https://t.me/yaaaaazeinab" TargetMode="External"/><Relationship Id="rId6037" Type="http://schemas.openxmlformats.org/officeDocument/2006/relationships/hyperlink" Target="https://www.instagram.com/fatemiyondizej" TargetMode="External"/><Relationship Id="rId7367" Type="http://schemas.openxmlformats.org/officeDocument/2006/relationships/hyperlink" Target="https://eitaa.com/rahrovanmahdaviyat" TargetMode="External"/><Relationship Id="rId8698" Type="http://schemas.openxmlformats.org/officeDocument/2006/relationships/hyperlink" Target="https://www.instagram.com/aghilatolarab.qom/" TargetMode="External"/><Relationship Id="rId6034" Type="http://schemas.openxmlformats.org/officeDocument/2006/relationships/hyperlink" Target="https://www.instagram.com/fadaeian_shahid_alghame/" TargetMode="External"/><Relationship Id="rId7366" Type="http://schemas.openxmlformats.org/officeDocument/2006/relationships/hyperlink" Target="http://eitaa.com/karimeahlebet" TargetMode="External"/><Relationship Id="rId8697" Type="http://schemas.openxmlformats.org/officeDocument/2006/relationships/hyperlink" Target="https://www.instagram.com/heiate_ashooraeian_qom/" TargetMode="External"/><Relationship Id="rId6035" Type="http://schemas.openxmlformats.org/officeDocument/2006/relationships/hyperlink" Target="https://eitaa.com/fadaeian_shahid_alghame" TargetMode="External"/><Relationship Id="rId7365" Type="http://schemas.openxmlformats.org/officeDocument/2006/relationships/hyperlink" Target="https://www.instagram.com/karimeahlebet86/" TargetMode="External"/><Relationship Id="rId8696" Type="http://schemas.openxmlformats.org/officeDocument/2006/relationships/hyperlink" Target="https://www.instagram.com/ashegane_emamzaman_qom/" TargetMode="External"/><Relationship Id="rId6038" Type="http://schemas.openxmlformats.org/officeDocument/2006/relationships/hyperlink" Target="https://eitaa.com/fatemiyondizej" TargetMode="External"/><Relationship Id="rId6039" Type="http://schemas.openxmlformats.org/officeDocument/2006/relationships/hyperlink" Target="https://www.instagram.com/heiatorreza_sem/" TargetMode="External"/><Relationship Id="rId7369" Type="http://schemas.openxmlformats.org/officeDocument/2006/relationships/hyperlink" Target="http://tlgrm.me/botorab94" TargetMode="External"/><Relationship Id="rId1213" Type="http://schemas.openxmlformats.org/officeDocument/2006/relationships/hyperlink" Target="http://telegram.me/zeynabiyeh_media" TargetMode="External"/><Relationship Id="rId2544" Type="http://schemas.openxmlformats.org/officeDocument/2006/relationships/hyperlink" Target="https://www.instagram.com/rowzatolmahdi/" TargetMode="External"/><Relationship Id="rId3876" Type="http://schemas.openxmlformats.org/officeDocument/2006/relationships/hyperlink" Target="https://www.instagram.com/maktabosadq/" TargetMode="External"/><Relationship Id="rId1214" Type="http://schemas.openxmlformats.org/officeDocument/2006/relationships/hyperlink" Target="https://www.instagram.com/azahraa.ir/" TargetMode="External"/><Relationship Id="rId2545" Type="http://schemas.openxmlformats.org/officeDocument/2006/relationships/hyperlink" Target="https://t.me/rowzatolmahdi" TargetMode="External"/><Relationship Id="rId3875" Type="http://schemas.openxmlformats.org/officeDocument/2006/relationships/hyperlink" Target="https://www.instagram.com/masjed_rasulullah/" TargetMode="External"/><Relationship Id="rId1215" Type="http://schemas.openxmlformats.org/officeDocument/2006/relationships/hyperlink" Target="http://tlgrm.me/azahraa_ir" TargetMode="External"/><Relationship Id="rId2546" Type="http://schemas.openxmlformats.org/officeDocument/2006/relationships/hyperlink" Target="https://eitaa.com/rowzatolmahdi1" TargetMode="External"/><Relationship Id="rId3878" Type="http://schemas.openxmlformats.org/officeDocument/2006/relationships/hyperlink" Target="https://eitaa.com/maktabosadq" TargetMode="External"/><Relationship Id="rId1216" Type="http://schemas.openxmlformats.org/officeDocument/2006/relationships/hyperlink" Target="https://aghigh.ayandehsazan.ir/" TargetMode="External"/><Relationship Id="rId2547" Type="http://schemas.openxmlformats.org/officeDocument/2006/relationships/hyperlink" Target="https://www.instagram.com/zabih_alatshan/" TargetMode="External"/><Relationship Id="rId3877" Type="http://schemas.openxmlformats.org/officeDocument/2006/relationships/hyperlink" Target="https://t.me/maktabosadq" TargetMode="External"/><Relationship Id="rId1217" Type="http://schemas.openxmlformats.org/officeDocument/2006/relationships/hyperlink" Target="https://eitaa.com/maktabolmahdyy" TargetMode="External"/><Relationship Id="rId2548" Type="http://schemas.openxmlformats.org/officeDocument/2006/relationships/hyperlink" Target="https://www.instagram.com/lesaratelhossain/" TargetMode="External"/><Relationship Id="rId1218" Type="http://schemas.openxmlformats.org/officeDocument/2006/relationships/hyperlink" Target="https://eitaa.com/masjedfa" TargetMode="External"/><Relationship Id="rId2549" Type="http://schemas.openxmlformats.org/officeDocument/2006/relationships/hyperlink" Target="https://t.me/lesaratelhossain" TargetMode="External"/><Relationship Id="rId3879" Type="http://schemas.openxmlformats.org/officeDocument/2006/relationships/hyperlink" Target="https://www.instagram.com/shifteghan_ali_znj/" TargetMode="External"/><Relationship Id="rId1219" Type="http://schemas.openxmlformats.org/officeDocument/2006/relationships/hyperlink" Target="https://www.instagram.com/roze_315_/" TargetMode="External"/><Relationship Id="rId3870" Type="http://schemas.openxmlformats.org/officeDocument/2006/relationships/hyperlink" Target="https://eitaa.com/hsg_abhar" TargetMode="External"/><Relationship Id="rId2540" Type="http://schemas.openxmlformats.org/officeDocument/2006/relationships/hyperlink" Target="https://t.me/kheimatoalhossein110" TargetMode="External"/><Relationship Id="rId3872" Type="http://schemas.openxmlformats.org/officeDocument/2006/relationships/hyperlink" Target="https://www.instagram.com/mohebin.fatemezahra.abhar/" TargetMode="External"/><Relationship Id="rId1210" Type="http://schemas.openxmlformats.org/officeDocument/2006/relationships/hyperlink" Target="https://www.instagram.com/ghafele_info/" TargetMode="External"/><Relationship Id="rId2541" Type="http://schemas.openxmlformats.org/officeDocument/2006/relationships/hyperlink" Target="https://www.instagram.com/mohebanalzahra5998/" TargetMode="External"/><Relationship Id="rId3871" Type="http://schemas.openxmlformats.org/officeDocument/2006/relationships/hyperlink" Target="https://www.instagram.com/zanjir_zanan_hoseini/" TargetMode="External"/><Relationship Id="rId1211" Type="http://schemas.openxmlformats.org/officeDocument/2006/relationships/hyperlink" Target="http://t.me/ghafele_info" TargetMode="External"/><Relationship Id="rId2542" Type="http://schemas.openxmlformats.org/officeDocument/2006/relationships/hyperlink" Target="https://www.instagram.com/omolayama/" TargetMode="External"/><Relationship Id="rId3874" Type="http://schemas.openxmlformats.org/officeDocument/2006/relationships/hyperlink" Target="https://www.instagram.com/abasiyehabhar/" TargetMode="External"/><Relationship Id="rId1212" Type="http://schemas.openxmlformats.org/officeDocument/2006/relationships/hyperlink" Target="https://www.instagram.com/zeynabiyeh_media/" TargetMode="External"/><Relationship Id="rId2543" Type="http://schemas.openxmlformats.org/officeDocument/2006/relationships/hyperlink" Target="https://eitaa.com/Omolayama" TargetMode="External"/><Relationship Id="rId3873" Type="http://schemas.openxmlformats.org/officeDocument/2006/relationships/hyperlink" Target="http://t.me/mohebinfatemeabhar" TargetMode="External"/><Relationship Id="rId1202" Type="http://schemas.openxmlformats.org/officeDocument/2006/relationships/hyperlink" Target="http://t.me/rayatolzahra" TargetMode="External"/><Relationship Id="rId2533" Type="http://schemas.openxmlformats.org/officeDocument/2006/relationships/hyperlink" Target="https://t.me/motevasselin133" TargetMode="External"/><Relationship Id="rId3865" Type="http://schemas.openxmlformats.org/officeDocument/2006/relationships/hyperlink" Target="https://www.instagram.com/heiaat_mohebbin_shenat/" TargetMode="External"/><Relationship Id="rId1203" Type="http://schemas.openxmlformats.org/officeDocument/2006/relationships/hyperlink" Target="https://www.instagram.com/masjed_hazrat_abalfazl/" TargetMode="External"/><Relationship Id="rId2534" Type="http://schemas.openxmlformats.org/officeDocument/2006/relationships/hyperlink" Target="https://eitaa.com/motevasselin133" TargetMode="External"/><Relationship Id="rId3864" Type="http://schemas.openxmlformats.org/officeDocument/2006/relationships/hyperlink" Target="https://eitaa.com/FadaiyanHazratZahraMalayeri" TargetMode="External"/><Relationship Id="rId1204" Type="http://schemas.openxmlformats.org/officeDocument/2006/relationships/hyperlink" Target="https://t.me/heyatMasjedHazratAbalfazllll" TargetMode="External"/><Relationship Id="rId2535" Type="http://schemas.openxmlformats.org/officeDocument/2006/relationships/hyperlink" Target="https://www.instagram.com/moheban_hasan118/" TargetMode="External"/><Relationship Id="rId3867" Type="http://schemas.openxmlformats.org/officeDocument/2006/relationships/hyperlink" Target="https://eitaa.com/heiaat_mohebbin" TargetMode="External"/><Relationship Id="rId1205" Type="http://schemas.openxmlformats.org/officeDocument/2006/relationships/hyperlink" Target="https://eitaa.com/masjedjamesahebazamanaj" TargetMode="External"/><Relationship Id="rId2536" Type="http://schemas.openxmlformats.org/officeDocument/2006/relationships/hyperlink" Target="https://t.me/moheban_hasan" TargetMode="External"/><Relationship Id="rId3866" Type="http://schemas.openxmlformats.org/officeDocument/2006/relationships/hyperlink" Target="https://t.me/heiaat_mohebbin_shenat/" TargetMode="External"/><Relationship Id="rId1206" Type="http://schemas.openxmlformats.org/officeDocument/2006/relationships/hyperlink" Target="https://eitaa.com/jahadi_janatolhosein" TargetMode="External"/><Relationship Id="rId2537" Type="http://schemas.openxmlformats.org/officeDocument/2006/relationships/hyperlink" Target="https://www.instagram.com/mohebinalhosein/" TargetMode="External"/><Relationship Id="rId3869" Type="http://schemas.openxmlformats.org/officeDocument/2006/relationships/hyperlink" Target="https://eitaa.com/fadaeiyan_abhar" TargetMode="External"/><Relationship Id="rId1207" Type="http://schemas.openxmlformats.org/officeDocument/2006/relationships/hyperlink" Target="https://www.instagram.com/rah.shohada/" TargetMode="External"/><Relationship Id="rId2538" Type="http://schemas.openxmlformats.org/officeDocument/2006/relationships/hyperlink" Target="https://t.me/mohebbinalhoseinmashhad" TargetMode="External"/><Relationship Id="rId3868" Type="http://schemas.openxmlformats.org/officeDocument/2006/relationships/hyperlink" Target="https://eitaa.com/saelinalzahra_abhar" TargetMode="External"/><Relationship Id="rId1208" Type="http://schemas.openxmlformats.org/officeDocument/2006/relationships/hyperlink" Target="https://t.me/boryr" TargetMode="External"/><Relationship Id="rId2539" Type="http://schemas.openxmlformats.org/officeDocument/2006/relationships/hyperlink" Target="https://www.instagram.com/kheimatoalhossein110/" TargetMode="External"/><Relationship Id="rId1209" Type="http://schemas.openxmlformats.org/officeDocument/2006/relationships/hyperlink" Target="https://eitaa.com/rahrovan_shohada1375" TargetMode="External"/><Relationship Id="rId3861" Type="http://schemas.openxmlformats.org/officeDocument/2006/relationships/hyperlink" Target="https://eitaa.com/khodamalhassan" TargetMode="External"/><Relationship Id="rId2530" Type="http://schemas.openxmlformats.org/officeDocument/2006/relationships/hyperlink" Target="https://eitaa.com/n_seyedoshohada" TargetMode="External"/><Relationship Id="rId3860" Type="http://schemas.openxmlformats.org/officeDocument/2006/relationships/hyperlink" Target="https://t.me/khodamalhassan" TargetMode="External"/><Relationship Id="rId1200" Type="http://schemas.openxmlformats.org/officeDocument/2006/relationships/hyperlink" Target="https://www.instagram.com/heat.javanan.14masoom/" TargetMode="External"/><Relationship Id="rId2531" Type="http://schemas.openxmlformats.org/officeDocument/2006/relationships/hyperlink" Target="https://www.instagram.com/beytoljavad_80_mashhad/" TargetMode="External"/><Relationship Id="rId3863" Type="http://schemas.openxmlformats.org/officeDocument/2006/relationships/hyperlink" Target="https://www.instagram.com/heyat_fadaeiyan_zahra" TargetMode="External"/><Relationship Id="rId1201" Type="http://schemas.openxmlformats.org/officeDocument/2006/relationships/hyperlink" Target="https://www.instagram.com/rayatolzahra.babol/" TargetMode="External"/><Relationship Id="rId2532" Type="http://schemas.openxmlformats.org/officeDocument/2006/relationships/hyperlink" Target="https://www.instagram.com/motevasselin133/" TargetMode="External"/><Relationship Id="rId3862" Type="http://schemas.openxmlformats.org/officeDocument/2006/relationships/hyperlink" Target="https://www.youtube.com/@khodamalhassan" TargetMode="External"/><Relationship Id="rId1235" Type="http://schemas.openxmlformats.org/officeDocument/2006/relationships/hyperlink" Target="https://www.instagram.com/roghayejan315/" TargetMode="External"/><Relationship Id="rId2566" Type="http://schemas.openxmlformats.org/officeDocument/2006/relationships/hyperlink" Target="https://www.instagram.com/alemeh.ir/" TargetMode="External"/><Relationship Id="rId3898" Type="http://schemas.openxmlformats.org/officeDocument/2006/relationships/hyperlink" Target="https://www.instagram.com/montazeran.zn/" TargetMode="External"/><Relationship Id="rId1236" Type="http://schemas.openxmlformats.org/officeDocument/2006/relationships/hyperlink" Target="http://t.me/rooghayejan315" TargetMode="External"/><Relationship Id="rId2567" Type="http://schemas.openxmlformats.org/officeDocument/2006/relationships/hyperlink" Target="https://t.me/alemeh.ir" TargetMode="External"/><Relationship Id="rId3897" Type="http://schemas.openxmlformats.org/officeDocument/2006/relationships/hyperlink" Target="https://eitaa.com/haz_ir" TargetMode="External"/><Relationship Id="rId1237" Type="http://schemas.openxmlformats.org/officeDocument/2006/relationships/hyperlink" Target="https://www.instagram.com/mohebanorezaa/" TargetMode="External"/><Relationship Id="rId2568" Type="http://schemas.openxmlformats.org/officeDocument/2006/relationships/hyperlink" Target="https://www.instagram.com/alam_dar.ir" TargetMode="External"/><Relationship Id="rId1238" Type="http://schemas.openxmlformats.org/officeDocument/2006/relationships/hyperlink" Target="https://www.instagram.com/heyat_samen86/" TargetMode="External"/><Relationship Id="rId2569" Type="http://schemas.openxmlformats.org/officeDocument/2006/relationships/hyperlink" Target="https://t.me/heiateALAMDAR" TargetMode="External"/><Relationship Id="rId3899" Type="http://schemas.openxmlformats.org/officeDocument/2006/relationships/hyperlink" Target="https://www.instagram.com/abbasih.zn/" TargetMode="External"/><Relationship Id="rId1239" Type="http://schemas.openxmlformats.org/officeDocument/2006/relationships/hyperlink" Target="https://www.instagram.com/ansaralhussain128/" TargetMode="External"/><Relationship Id="rId3890" Type="http://schemas.openxmlformats.org/officeDocument/2006/relationships/hyperlink" Target="https://www.instagram.com/jannesaran.znj/" TargetMode="External"/><Relationship Id="rId2560" Type="http://schemas.openxmlformats.org/officeDocument/2006/relationships/hyperlink" Target="https://www.instagram.com/heyat_aliakbariha/" TargetMode="External"/><Relationship Id="rId3892" Type="http://schemas.openxmlformats.org/officeDocument/2006/relationships/hyperlink" Target="https://eitaa.com/daeyan_komeil" TargetMode="External"/><Relationship Id="rId1230" Type="http://schemas.openxmlformats.org/officeDocument/2006/relationships/hyperlink" Target="http://t.me/gharibmadineh.teh" TargetMode="External"/><Relationship Id="rId2561" Type="http://schemas.openxmlformats.org/officeDocument/2006/relationships/hyperlink" Target="https://t.me/mohebbanaliakbar" TargetMode="External"/><Relationship Id="rId3891" Type="http://schemas.openxmlformats.org/officeDocument/2006/relationships/hyperlink" Target="https://www.instagram.com/daeyan.komeil/" TargetMode="External"/><Relationship Id="rId1231" Type="http://schemas.openxmlformats.org/officeDocument/2006/relationships/hyperlink" Target="https://eitaa.com/ashabolhossein_ir" TargetMode="External"/><Relationship Id="rId2562" Type="http://schemas.openxmlformats.org/officeDocument/2006/relationships/hyperlink" Target="https://www.instagram.com/heiat_bab_alhosein" TargetMode="External"/><Relationship Id="rId3894" Type="http://schemas.openxmlformats.org/officeDocument/2006/relationships/hyperlink" Target="https://eitaa.com/heyat_montazeran_m" TargetMode="External"/><Relationship Id="rId1232" Type="http://schemas.openxmlformats.org/officeDocument/2006/relationships/hyperlink" Target="https://www.instagram.com/alabbas.info/" TargetMode="External"/><Relationship Id="rId2563" Type="http://schemas.openxmlformats.org/officeDocument/2006/relationships/hyperlink" Target="https://t.me/heiat_bab_alhosein" TargetMode="External"/><Relationship Id="rId3893" Type="http://schemas.openxmlformats.org/officeDocument/2006/relationships/hyperlink" Target="http://instagram.com/heyat_montazeran_m" TargetMode="External"/><Relationship Id="rId1233" Type="http://schemas.openxmlformats.org/officeDocument/2006/relationships/hyperlink" Target="https://t.me/heiat_alamdar" TargetMode="External"/><Relationship Id="rId2564" Type="http://schemas.openxmlformats.org/officeDocument/2006/relationships/hyperlink" Target="https://eitaa.com/heiat_bab_alhosein" TargetMode="External"/><Relationship Id="rId3896" Type="http://schemas.openxmlformats.org/officeDocument/2006/relationships/hyperlink" Target="https://eitaa.com/maktabolzahra_zn" TargetMode="External"/><Relationship Id="rId1234" Type="http://schemas.openxmlformats.org/officeDocument/2006/relationships/hyperlink" Target="https://eitaa.com/majidiealamdar" TargetMode="External"/><Relationship Id="rId2565" Type="http://schemas.openxmlformats.org/officeDocument/2006/relationships/hyperlink" Target="https://www.instagram.com/mesbaholhoda8" TargetMode="External"/><Relationship Id="rId3895" Type="http://schemas.openxmlformats.org/officeDocument/2006/relationships/hyperlink" Target="https://www.instagram.com/maktabolzahra_zn/" TargetMode="External"/><Relationship Id="rId1224" Type="http://schemas.openxmlformats.org/officeDocument/2006/relationships/hyperlink" Target="https://www.instagram.com/oshaghol.zeinab/" TargetMode="External"/><Relationship Id="rId2555" Type="http://schemas.openxmlformats.org/officeDocument/2006/relationships/hyperlink" Target="https://ble.ir/saralahnet" TargetMode="External"/><Relationship Id="rId3887" Type="http://schemas.openxmlformats.org/officeDocument/2006/relationships/hyperlink" Target="http://eitaa.com/mosabnejafarzanjan" TargetMode="External"/><Relationship Id="rId1225" Type="http://schemas.openxmlformats.org/officeDocument/2006/relationships/hyperlink" Target="http://t.me/oshagh6969" TargetMode="External"/><Relationship Id="rId2556" Type="http://schemas.openxmlformats.org/officeDocument/2006/relationships/hyperlink" Target="https://www.instagram.com/rozatolroghaye_mashhad/" TargetMode="External"/><Relationship Id="rId3886" Type="http://schemas.openxmlformats.org/officeDocument/2006/relationships/hyperlink" Target="https://eitaa.com/znu_maktab" TargetMode="External"/><Relationship Id="rId1226" Type="http://schemas.openxmlformats.org/officeDocument/2006/relationships/hyperlink" Target="https://www.instagram.com/motevaseliin/" TargetMode="External"/><Relationship Id="rId2557" Type="http://schemas.openxmlformats.org/officeDocument/2006/relationships/hyperlink" Target="https://t.me/rozatolroghaye1" TargetMode="External"/><Relationship Id="rId3889" Type="http://schemas.openxmlformats.org/officeDocument/2006/relationships/hyperlink" Target="http://t.me/zooljanah" TargetMode="External"/><Relationship Id="rId1227" Type="http://schemas.openxmlformats.org/officeDocument/2006/relationships/hyperlink" Target="http://eitaa.com/motavaseliin" TargetMode="External"/><Relationship Id="rId2558" Type="http://schemas.openxmlformats.org/officeDocument/2006/relationships/hyperlink" Target="https://www.instagram.com/hosein.mazloom/" TargetMode="External"/><Relationship Id="rId3888" Type="http://schemas.openxmlformats.org/officeDocument/2006/relationships/hyperlink" Target="https://www.instagram.com/ashoraeian_ir/" TargetMode="External"/><Relationship Id="rId1228" Type="http://schemas.openxmlformats.org/officeDocument/2006/relationships/hyperlink" Target="https://eitaa.com/mohamadimasjed" TargetMode="External"/><Relationship Id="rId2559" Type="http://schemas.openxmlformats.org/officeDocument/2006/relationships/hyperlink" Target="https://t.me/hoseinmazloom" TargetMode="External"/><Relationship Id="rId1229" Type="http://schemas.openxmlformats.org/officeDocument/2006/relationships/hyperlink" Target="https://www.instagram.com/gharibmadineh.teh/" TargetMode="External"/><Relationship Id="rId3881" Type="http://schemas.openxmlformats.org/officeDocument/2006/relationships/hyperlink" Target="https://www.instagram.com/sarallahzanjan" TargetMode="External"/><Relationship Id="rId2550" Type="http://schemas.openxmlformats.org/officeDocument/2006/relationships/hyperlink" Target="https://eitaa.com/lesaratelhossain" TargetMode="External"/><Relationship Id="rId3880" Type="http://schemas.openxmlformats.org/officeDocument/2006/relationships/hyperlink" Target="https://www.instagram.com/heyat_ashegan_hazrate_aliakbar/" TargetMode="External"/><Relationship Id="rId1220" Type="http://schemas.openxmlformats.org/officeDocument/2006/relationships/hyperlink" Target="https://www.instagram.com/heyat_sarallah.tehran/" TargetMode="External"/><Relationship Id="rId2551" Type="http://schemas.openxmlformats.org/officeDocument/2006/relationships/hyperlink" Target="https://www.instagram.com/maktabolhoseinmashhad/" TargetMode="External"/><Relationship Id="rId3883" Type="http://schemas.openxmlformats.org/officeDocument/2006/relationships/hyperlink" Target="https://eitaa.com/sarallah_zanjan" TargetMode="External"/><Relationship Id="rId1221" Type="http://schemas.openxmlformats.org/officeDocument/2006/relationships/hyperlink" Target="http://eitaa.com/heyat_sarallah_10" TargetMode="External"/><Relationship Id="rId2552" Type="http://schemas.openxmlformats.org/officeDocument/2006/relationships/hyperlink" Target="https://t.me/Maktabolhoseinmashhad" TargetMode="External"/><Relationship Id="rId3882" Type="http://schemas.openxmlformats.org/officeDocument/2006/relationships/hyperlink" Target="http://t.me/sarallah_zanjan" TargetMode="External"/><Relationship Id="rId1222" Type="http://schemas.openxmlformats.org/officeDocument/2006/relationships/hyperlink" Target="https://www.instagram.com/b59313" TargetMode="External"/><Relationship Id="rId2553" Type="http://schemas.openxmlformats.org/officeDocument/2006/relationships/hyperlink" Target="https://www.instagram.com/h_shahroudi" TargetMode="External"/><Relationship Id="rId3885" Type="http://schemas.openxmlformats.org/officeDocument/2006/relationships/hyperlink" Target="http://t.me/heyat_aliasghar_zanjan" TargetMode="External"/><Relationship Id="rId1223" Type="http://schemas.openxmlformats.org/officeDocument/2006/relationships/hyperlink" Target="https://eitaa.com/b59313" TargetMode="External"/><Relationship Id="rId2554" Type="http://schemas.openxmlformats.org/officeDocument/2006/relationships/hyperlink" Target="https://t.me/h_shahroudi" TargetMode="External"/><Relationship Id="rId3884" Type="http://schemas.openxmlformats.org/officeDocument/2006/relationships/hyperlink" Target="https://www.instagram.com/heyat_aliasghar_zanjan/" TargetMode="External"/><Relationship Id="rId2500" Type="http://schemas.openxmlformats.org/officeDocument/2006/relationships/hyperlink" Target="https://eitaa.com/ansar313ir" TargetMode="External"/><Relationship Id="rId3832" Type="http://schemas.openxmlformats.org/officeDocument/2006/relationships/hyperlink" Target="https://eitaa.com/yarane_hossein" TargetMode="External"/><Relationship Id="rId2501" Type="http://schemas.openxmlformats.org/officeDocument/2006/relationships/hyperlink" Target="https://eitaa.com/ansarheyat313" TargetMode="External"/><Relationship Id="rId3831" Type="http://schemas.openxmlformats.org/officeDocument/2006/relationships/hyperlink" Target="https://www.instagram.com/heyat.mohebin.fatemezahra" TargetMode="External"/><Relationship Id="rId2502" Type="http://schemas.openxmlformats.org/officeDocument/2006/relationships/hyperlink" Target="https://eitaa.com/ansaroljavad" TargetMode="External"/><Relationship Id="rId3834" Type="http://schemas.openxmlformats.org/officeDocument/2006/relationships/hyperlink" Target="https://t.me/Heiat_as" TargetMode="External"/><Relationship Id="rId2503" Type="http://schemas.openxmlformats.org/officeDocument/2006/relationships/hyperlink" Target="https://eitaa.com/ansaralhaydar" TargetMode="External"/><Relationship Id="rId3833" Type="http://schemas.openxmlformats.org/officeDocument/2006/relationships/hyperlink" Target="https://www.instagram.com/heiat_as" TargetMode="External"/><Relationship Id="rId2504" Type="http://schemas.openxmlformats.org/officeDocument/2006/relationships/hyperlink" Target="https://www.instagram.com/ansar_alroqaye" TargetMode="External"/><Relationship Id="rId3836" Type="http://schemas.openxmlformats.org/officeDocument/2006/relationships/hyperlink" Target="https://www.instagram.com/asheghaneabalfazl1383/" TargetMode="External"/><Relationship Id="rId2505" Type="http://schemas.openxmlformats.org/officeDocument/2006/relationships/hyperlink" Target="https://t.me/ansaralroqaye" TargetMode="External"/><Relationship Id="rId3835" Type="http://schemas.openxmlformats.org/officeDocument/2006/relationships/hyperlink" Target="https://www.instagram.com/h.yalasaratzanjan" TargetMode="External"/><Relationship Id="rId2506" Type="http://schemas.openxmlformats.org/officeDocument/2006/relationships/hyperlink" Target="https://www.instagram.com/ansaralmahdi_mashhad" TargetMode="External"/><Relationship Id="rId3838" Type="http://schemas.openxmlformats.org/officeDocument/2006/relationships/hyperlink" Target="https://t.me/fatemiyoun_bahar" TargetMode="External"/><Relationship Id="rId2507" Type="http://schemas.openxmlformats.org/officeDocument/2006/relationships/hyperlink" Target="https://t.me/ansaralmahdi_mashhad" TargetMode="External"/><Relationship Id="rId3837" Type="http://schemas.openxmlformats.org/officeDocument/2006/relationships/hyperlink" Target="https://www.instagram.com/fatemiyoun_bahar/" TargetMode="External"/><Relationship Id="rId2508" Type="http://schemas.openxmlformats.org/officeDocument/2006/relationships/hyperlink" Target="https://www.instagram.com/ansarolhadi_mashhad_315" TargetMode="External"/><Relationship Id="rId2509" Type="http://schemas.openxmlformats.org/officeDocument/2006/relationships/hyperlink" Target="https://eitaa.com/M_Enghelabion" TargetMode="External"/><Relationship Id="rId3839" Type="http://schemas.openxmlformats.org/officeDocument/2006/relationships/hyperlink" Target="https://www.instagram.com/heyat_moheban_mahdi201/" TargetMode="External"/><Relationship Id="rId3830" Type="http://schemas.openxmlformats.org/officeDocument/2006/relationships/hyperlink" Target="https://www.instagram.com/heyat_qamar_133/" TargetMode="External"/><Relationship Id="rId3821" Type="http://schemas.openxmlformats.org/officeDocument/2006/relationships/hyperlink" Target="https://www.instagram.com/heyat_fatemiuon/" TargetMode="External"/><Relationship Id="rId3820" Type="http://schemas.openxmlformats.org/officeDocument/2006/relationships/hyperlink" Target="https://www.instagram.com/sarallah_tuy1/" TargetMode="External"/><Relationship Id="rId3823" Type="http://schemas.openxmlformats.org/officeDocument/2006/relationships/hyperlink" Target="https://www.instagram.com/mnmesbah/" TargetMode="External"/><Relationship Id="rId3822" Type="http://schemas.openxmlformats.org/officeDocument/2006/relationships/hyperlink" Target="https://www.instagram.com/sarcheshmemalayer/" TargetMode="External"/><Relationship Id="rId3825" Type="http://schemas.openxmlformats.org/officeDocument/2006/relationships/hyperlink" Target="http://eitaa.com/Aliebnabitalbb" TargetMode="External"/><Relationship Id="rId3824" Type="http://schemas.openxmlformats.org/officeDocument/2006/relationships/hyperlink" Target="https://www.instagram.com/heyat_aliebn_abitalb/" TargetMode="External"/><Relationship Id="rId3827" Type="http://schemas.openxmlformats.org/officeDocument/2006/relationships/hyperlink" Target="https://www.instagram.com/heyat_sadeghieh_malayer/" TargetMode="External"/><Relationship Id="rId3826" Type="http://schemas.openxmlformats.org/officeDocument/2006/relationships/hyperlink" Target="https://www.instagram.com/samen_bahar/" TargetMode="External"/><Relationship Id="rId3829" Type="http://schemas.openxmlformats.org/officeDocument/2006/relationships/hyperlink" Target="https://eitaa.com/javadolaemeh_malayer" TargetMode="External"/><Relationship Id="rId3828" Type="http://schemas.openxmlformats.org/officeDocument/2006/relationships/hyperlink" Target="https://www.instagram.com/javadolaemeh_malayer" TargetMode="External"/><Relationship Id="rId6094" Type="http://schemas.openxmlformats.org/officeDocument/2006/relationships/hyperlink" Target="https://www.instagram.com/ahrar_alhasan118/" TargetMode="External"/><Relationship Id="rId6095" Type="http://schemas.openxmlformats.org/officeDocument/2006/relationships/hyperlink" Target="http://t.me/zarih.net" TargetMode="External"/><Relationship Id="rId6092" Type="http://schemas.openxmlformats.org/officeDocument/2006/relationships/hyperlink" Target="https://www.instagram.com/ahlbayt_ir/" TargetMode="External"/><Relationship Id="rId6093" Type="http://schemas.openxmlformats.org/officeDocument/2006/relationships/hyperlink" Target="https://t.me/ahlbayt_ir" TargetMode="External"/><Relationship Id="rId6098" Type="http://schemas.openxmlformats.org/officeDocument/2006/relationships/hyperlink" Target="http://tlgrm.me/mahfeleashck133" TargetMode="External"/><Relationship Id="rId6099" Type="http://schemas.openxmlformats.org/officeDocument/2006/relationships/hyperlink" Target="https://www.instagram.com/alamdar_shahrood/" TargetMode="External"/><Relationship Id="rId6096" Type="http://schemas.openxmlformats.org/officeDocument/2006/relationships/hyperlink" Target="https://www.instagram.com/ahrarhoseyndamghan/" TargetMode="External"/><Relationship Id="rId6097" Type="http://schemas.openxmlformats.org/officeDocument/2006/relationships/hyperlink" Target="https://www.instagram.com/alamdar_damghan/" TargetMode="External"/><Relationship Id="rId2522" Type="http://schemas.openxmlformats.org/officeDocument/2006/relationships/hyperlink" Target="https://t.me/bab_sedre_mashhad" TargetMode="External"/><Relationship Id="rId3854" Type="http://schemas.openxmlformats.org/officeDocument/2006/relationships/hyperlink" Target="https://www.instagram.com/heyat.seyedoshohada/" TargetMode="External"/><Relationship Id="rId2523" Type="http://schemas.openxmlformats.org/officeDocument/2006/relationships/hyperlink" Target="https://www.instagram.com/emamhasan118_ir/" TargetMode="External"/><Relationship Id="rId3853" Type="http://schemas.openxmlformats.org/officeDocument/2006/relationships/hyperlink" Target="https://www.instagram.com/mokeb_aghile_malayer/" TargetMode="External"/><Relationship Id="rId2524" Type="http://schemas.openxmlformats.org/officeDocument/2006/relationships/hyperlink" Target="https://t.me/emamhasan118_ir" TargetMode="External"/><Relationship Id="rId3856" Type="http://schemas.openxmlformats.org/officeDocument/2006/relationships/hyperlink" Target="https://t.me/Heiatorza" TargetMode="External"/><Relationship Id="rId2525" Type="http://schemas.openxmlformats.org/officeDocument/2006/relationships/hyperlink" Target="https://eitaa.com/emamhasan118_ir" TargetMode="External"/><Relationship Id="rId3855" Type="http://schemas.openxmlformats.org/officeDocument/2006/relationships/hyperlink" Target="https://www.instagram.com/_heiatoreza_/" TargetMode="External"/><Relationship Id="rId2526" Type="http://schemas.openxmlformats.org/officeDocument/2006/relationships/hyperlink" Target="https://www.instagram.com/heatfadavian/" TargetMode="External"/><Relationship Id="rId3858" Type="http://schemas.openxmlformats.org/officeDocument/2006/relationships/hyperlink" Target="https://t.me/hezbollahemalayer" TargetMode="External"/><Relationship Id="rId2527" Type="http://schemas.openxmlformats.org/officeDocument/2006/relationships/hyperlink" Target="https://t.me/heatfadavian" TargetMode="External"/><Relationship Id="rId3857" Type="http://schemas.openxmlformats.org/officeDocument/2006/relationships/hyperlink" Target="https://www.instagram.com/hezbollahemalayer" TargetMode="External"/><Relationship Id="rId2528" Type="http://schemas.openxmlformats.org/officeDocument/2006/relationships/hyperlink" Target="https://www.instagram.com/m_seyedoshohadaa/" TargetMode="External"/><Relationship Id="rId2529" Type="http://schemas.openxmlformats.org/officeDocument/2006/relationships/hyperlink" Target="https://t.me/m_seyedoshohadaa" TargetMode="External"/><Relationship Id="rId3859" Type="http://schemas.openxmlformats.org/officeDocument/2006/relationships/hyperlink" Target="https://www.instagram.com/khodamalhassan/" TargetMode="External"/><Relationship Id="rId3850" Type="http://schemas.openxmlformats.org/officeDocument/2006/relationships/hyperlink" Target="https://eitaa.com/javadolaemeh_malayer" TargetMode="External"/><Relationship Id="rId2520" Type="http://schemas.openxmlformats.org/officeDocument/2006/relationships/hyperlink" Target="https://www.instagram.com/heydrion_ravar/" TargetMode="External"/><Relationship Id="rId3852" Type="http://schemas.openxmlformats.org/officeDocument/2006/relationships/hyperlink" Target="http://tlgrm.me/kanalkomail" TargetMode="External"/><Relationship Id="rId2521" Type="http://schemas.openxmlformats.org/officeDocument/2006/relationships/hyperlink" Target="https://www.instagram.com/bab_sedre/" TargetMode="External"/><Relationship Id="rId3851" Type="http://schemas.openxmlformats.org/officeDocument/2006/relationships/hyperlink" Target="https://www.instagram.com/kanalkomail_ir/" TargetMode="External"/><Relationship Id="rId2511" Type="http://schemas.openxmlformats.org/officeDocument/2006/relationships/hyperlink" Target="https://t.me/majnonalhosein" TargetMode="External"/><Relationship Id="rId3843" Type="http://schemas.openxmlformats.org/officeDocument/2006/relationships/hyperlink" Target="https://www.instagram.com/heyatmoheban_dargazin278/" TargetMode="External"/><Relationship Id="rId2512" Type="http://schemas.openxmlformats.org/officeDocument/2006/relationships/hyperlink" Target="https://www.youtube.com/c/majnonalhosein" TargetMode="External"/><Relationship Id="rId3842" Type="http://schemas.openxmlformats.org/officeDocument/2006/relationships/hyperlink" Target="https://www.instagram.com/heiat_azadaran_dargazin/" TargetMode="External"/><Relationship Id="rId2513" Type="http://schemas.openxmlformats.org/officeDocument/2006/relationships/hyperlink" Target="https://www.youtube.com/c/majnonalhosein" TargetMode="External"/><Relationship Id="rId3845" Type="http://schemas.openxmlformats.org/officeDocument/2006/relationships/hyperlink" Target="https://www.instagram.com/yavaran_mahdi_orginal2/" TargetMode="External"/><Relationship Id="rId2514" Type="http://schemas.openxmlformats.org/officeDocument/2006/relationships/hyperlink" Target="https://t.me/h_beynolharameyn" TargetMode="External"/><Relationship Id="rId3844" Type="http://schemas.openxmlformats.org/officeDocument/2006/relationships/hyperlink" Target="https://www.instagram.com/yavaran_mahdi_orginal/" TargetMode="External"/><Relationship Id="rId2515" Type="http://schemas.openxmlformats.org/officeDocument/2006/relationships/hyperlink" Target="https://eitaa.com/hbeynolharameyn" TargetMode="External"/><Relationship Id="rId3847" Type="http://schemas.openxmlformats.org/officeDocument/2006/relationships/hyperlink" Target="https://eitaa.com/h_fatimatzahra" TargetMode="External"/><Relationship Id="rId2516" Type="http://schemas.openxmlformats.org/officeDocument/2006/relationships/hyperlink" Target="https://www.instagram.com/seyyedalshohada_ir/" TargetMode="External"/><Relationship Id="rId3846" Type="http://schemas.openxmlformats.org/officeDocument/2006/relationships/hyperlink" Target="https://www.instagram.com/akbarion.ir/" TargetMode="External"/><Relationship Id="rId2517" Type="http://schemas.openxmlformats.org/officeDocument/2006/relationships/hyperlink" Target="https://t.me/seyyedalshohada_ir" TargetMode="External"/><Relationship Id="rId3849" Type="http://schemas.openxmlformats.org/officeDocument/2006/relationships/hyperlink" Target="https://www.instagram.com/heyat_javadalaemeh_kb/" TargetMode="External"/><Relationship Id="rId2518" Type="http://schemas.openxmlformats.org/officeDocument/2006/relationships/hyperlink" Target="https://www.instagram.com/misaq_razavi/" TargetMode="External"/><Relationship Id="rId3848" Type="http://schemas.openxmlformats.org/officeDocument/2006/relationships/hyperlink" Target="https://www.instagram.com/mokeb_azadaran69/" TargetMode="External"/><Relationship Id="rId2519" Type="http://schemas.openxmlformats.org/officeDocument/2006/relationships/hyperlink" Target="http://eitaa.com/misagh_bavelayat" TargetMode="External"/><Relationship Id="rId3841" Type="http://schemas.openxmlformats.org/officeDocument/2006/relationships/hyperlink" Target="https://www.instagram.com/ziarat_aale_yasin/" TargetMode="External"/><Relationship Id="rId2510" Type="http://schemas.openxmlformats.org/officeDocument/2006/relationships/hyperlink" Target="https://www.instagram.com/majnonalhosein/" TargetMode="External"/><Relationship Id="rId3840" Type="http://schemas.openxmlformats.org/officeDocument/2006/relationships/hyperlink" Target="http://t.me/samenolaemehtuyserkan" TargetMode="External"/><Relationship Id="rId1290" Type="http://schemas.openxmlformats.org/officeDocument/2006/relationships/hyperlink" Target="https://www.instagram.com/heiat_shohada/" TargetMode="External"/><Relationship Id="rId1291" Type="http://schemas.openxmlformats.org/officeDocument/2006/relationships/hyperlink" Target="https://www.instagram.com/mahdiontehran/" TargetMode="External"/><Relationship Id="rId1292" Type="http://schemas.openxmlformats.org/officeDocument/2006/relationships/hyperlink" Target="http://t.me/Mahdiontehran" TargetMode="External"/><Relationship Id="rId1293" Type="http://schemas.openxmlformats.org/officeDocument/2006/relationships/hyperlink" Target="https://www.instagram.com/yafatemattozahra/" TargetMode="External"/><Relationship Id="rId1294" Type="http://schemas.openxmlformats.org/officeDocument/2006/relationships/hyperlink" Target="https://www.instagram.com/heiat.alyasin/" TargetMode="External"/><Relationship Id="rId1295" Type="http://schemas.openxmlformats.org/officeDocument/2006/relationships/hyperlink" Target="https://t.me/basij_masjed_imamsadiq" TargetMode="External"/><Relationship Id="rId1296" Type="http://schemas.openxmlformats.org/officeDocument/2006/relationships/hyperlink" Target="http://eitaa.com/heiatalyasin" TargetMode="External"/><Relationship Id="rId1297" Type="http://schemas.openxmlformats.org/officeDocument/2006/relationships/hyperlink" Target="https://www.instagram.com/heydariye_gharbe_tehran/" TargetMode="External"/><Relationship Id="rId1298" Type="http://schemas.openxmlformats.org/officeDocument/2006/relationships/hyperlink" Target="https://t.me/heydariyeh110" TargetMode="External"/><Relationship Id="rId1299" Type="http://schemas.openxmlformats.org/officeDocument/2006/relationships/hyperlink" Target="https://www.instagram.com/baniifatemeh.live/" TargetMode="External"/><Relationship Id="rId1280" Type="http://schemas.openxmlformats.org/officeDocument/2006/relationships/hyperlink" Target="https://www.instagram.com/hoseinemontazeranalmahdi/" TargetMode="External"/><Relationship Id="rId1281" Type="http://schemas.openxmlformats.org/officeDocument/2006/relationships/hyperlink" Target="https://www.instagram.com/hosseinie_shohada/" TargetMode="External"/><Relationship Id="rId1282" Type="http://schemas.openxmlformats.org/officeDocument/2006/relationships/hyperlink" Target="https://www.instagram.com/yasekabood2022/" TargetMode="External"/><Relationship Id="rId1283" Type="http://schemas.openxmlformats.org/officeDocument/2006/relationships/hyperlink" Target="https://www.instagram.com/heyat_hazratealiasghr/" TargetMode="External"/><Relationship Id="rId1284" Type="http://schemas.openxmlformats.org/officeDocument/2006/relationships/hyperlink" Target="http://eitaa.com/heiat_hazratealiasghr" TargetMode="External"/><Relationship Id="rId1285" Type="http://schemas.openxmlformats.org/officeDocument/2006/relationships/hyperlink" Target="https://www.instagram.com/rayatol.abas/" TargetMode="External"/><Relationship Id="rId1286" Type="http://schemas.openxmlformats.org/officeDocument/2006/relationships/hyperlink" Target="http://t.me/rayatol.abas" TargetMode="External"/><Relationship Id="rId1287" Type="http://schemas.openxmlformats.org/officeDocument/2006/relationships/hyperlink" Target="https://www.instagram.com/mahmel69/" TargetMode="External"/><Relationship Id="rId1288" Type="http://schemas.openxmlformats.org/officeDocument/2006/relationships/hyperlink" Target="http://telegram.me/mahmel169" TargetMode="External"/><Relationship Id="rId1289" Type="http://schemas.openxmlformats.org/officeDocument/2006/relationships/hyperlink" Target="https://www.instagram.com/masjed_alhossein/" TargetMode="External"/><Relationship Id="rId8707" Type="http://schemas.openxmlformats.org/officeDocument/2006/relationships/hyperlink" Target="https://www.instagram.com/fadaeiyan.bibi/" TargetMode="External"/><Relationship Id="rId8706" Type="http://schemas.openxmlformats.org/officeDocument/2006/relationships/hyperlink" Target="https://www.instagram.com/fatemiyeh_qom/" TargetMode="External"/><Relationship Id="rId8705" Type="http://schemas.openxmlformats.org/officeDocument/2006/relationships/hyperlink" Target="https://t.me/ghmqom" TargetMode="External"/><Relationship Id="rId8704" Type="http://schemas.openxmlformats.org/officeDocument/2006/relationships/hyperlink" Target="https://www.instagram.com/ghmqom/" TargetMode="External"/><Relationship Id="rId8709" Type="http://schemas.openxmlformats.org/officeDocument/2006/relationships/hyperlink" Target="https://t.me/mahfel_fadaeeian" TargetMode="External"/><Relationship Id="rId8708" Type="http://schemas.openxmlformats.org/officeDocument/2006/relationships/hyperlink" Target="https://www.instagram.com/mahfel_fadaaeian/" TargetMode="External"/><Relationship Id="rId8703" Type="http://schemas.openxmlformats.org/officeDocument/2006/relationships/hyperlink" Target="https://t.me/alamdaar_qom" TargetMode="External"/><Relationship Id="rId8702" Type="http://schemas.openxmlformats.org/officeDocument/2006/relationships/hyperlink" Target="https://www.instagram.com/alamdarhossein_qom" TargetMode="External"/><Relationship Id="rId8701" Type="http://schemas.openxmlformats.org/officeDocument/2006/relationships/hyperlink" Target="https://t.me/alamolabas_qom" TargetMode="External"/><Relationship Id="rId8700" Type="http://schemas.openxmlformats.org/officeDocument/2006/relationships/hyperlink" Target="https://www.instagram.com/alamolabas_qom/" TargetMode="External"/><Relationship Id="rId1257" Type="http://schemas.openxmlformats.org/officeDocument/2006/relationships/hyperlink" Target="https://www.instagram.com/maktabalhossein_ir/" TargetMode="External"/><Relationship Id="rId2588" Type="http://schemas.openxmlformats.org/officeDocument/2006/relationships/hyperlink" Target="https://eitaa.com/beytozahrasalamollahalayha" TargetMode="External"/><Relationship Id="rId1258" Type="http://schemas.openxmlformats.org/officeDocument/2006/relationships/hyperlink" Target="http://t.me/maktabalhossein_ir" TargetMode="External"/><Relationship Id="rId2589" Type="http://schemas.openxmlformats.org/officeDocument/2006/relationships/hyperlink" Target="https://www.instagram.com/beytolahzan.official/" TargetMode="External"/><Relationship Id="rId1259" Type="http://schemas.openxmlformats.org/officeDocument/2006/relationships/hyperlink" Target="https://www.instagram.com/heiat_ghaaem/" TargetMode="External"/><Relationship Id="rId2580" Type="http://schemas.openxmlformats.org/officeDocument/2006/relationships/hyperlink" Target="https://t.me/seyedhojjat128" TargetMode="External"/><Relationship Id="rId1250" Type="http://schemas.openxmlformats.org/officeDocument/2006/relationships/hyperlink" Target="https://t.me/heiat_aleyasin" TargetMode="External"/><Relationship Id="rId2581" Type="http://schemas.openxmlformats.org/officeDocument/2006/relationships/hyperlink" Target="https://www.instagram.com/bentolhosein_ir" TargetMode="External"/><Relationship Id="rId1251" Type="http://schemas.openxmlformats.org/officeDocument/2006/relationships/hyperlink" Target="https://eitaa.com/heiat_aleyasin" TargetMode="External"/><Relationship Id="rId2582" Type="http://schemas.openxmlformats.org/officeDocument/2006/relationships/hyperlink" Target="https://www.instagram.com/beitolahzan315" TargetMode="External"/><Relationship Id="rId1252" Type="http://schemas.openxmlformats.org/officeDocument/2006/relationships/hyperlink" Target="https://www.instagram.com/shohada72/" TargetMode="External"/><Relationship Id="rId2583" Type="http://schemas.openxmlformats.org/officeDocument/2006/relationships/hyperlink" Target="https://www.instagram.com/beytalsaghalein" TargetMode="External"/><Relationship Id="rId1253" Type="http://schemas.openxmlformats.org/officeDocument/2006/relationships/hyperlink" Target="https://www.instagram.com/saelin_hazrat_zeinab/" TargetMode="External"/><Relationship Id="rId2584" Type="http://schemas.openxmlformats.org/officeDocument/2006/relationships/hyperlink" Target="https://www.instagram.com/beit_133" TargetMode="External"/><Relationship Id="rId1254" Type="http://schemas.openxmlformats.org/officeDocument/2006/relationships/hyperlink" Target="https://www.instagram.com/safinato_alnejat/" TargetMode="External"/><Relationship Id="rId2585" Type="http://schemas.openxmlformats.org/officeDocument/2006/relationships/hyperlink" Target="https://www.instagram.com/beytolreza.info" TargetMode="External"/><Relationship Id="rId1255" Type="http://schemas.openxmlformats.org/officeDocument/2006/relationships/hyperlink" Target="https://eitaa.com/noorolasfia_mosque" TargetMode="External"/><Relationship Id="rId2586" Type="http://schemas.openxmlformats.org/officeDocument/2006/relationships/hyperlink" Target="https://t.me/beytolreza1001" TargetMode="External"/><Relationship Id="rId1256" Type="http://schemas.openxmlformats.org/officeDocument/2006/relationships/hyperlink" Target="https://www.instagram.com/heiat_javanan_sayedoshohada/" TargetMode="External"/><Relationship Id="rId2587" Type="http://schemas.openxmlformats.org/officeDocument/2006/relationships/hyperlink" Target="https://www.instagram.com/beyto_zahra68" TargetMode="External"/><Relationship Id="rId1246" Type="http://schemas.openxmlformats.org/officeDocument/2006/relationships/hyperlink" Target="https://www.instagram.com/rozatozeynab213/" TargetMode="External"/><Relationship Id="rId2577" Type="http://schemas.openxmlformats.org/officeDocument/2006/relationships/hyperlink" Target="https://t.me/mahfelreyhana315" TargetMode="External"/><Relationship Id="rId1247" Type="http://schemas.openxmlformats.org/officeDocument/2006/relationships/hyperlink" Target="http://t.me/rozatozeynab213" TargetMode="External"/><Relationship Id="rId2578" Type="http://schemas.openxmlformats.org/officeDocument/2006/relationships/hyperlink" Target="https://www.instagram.com/_heyatolhasan_" TargetMode="External"/><Relationship Id="rId1248" Type="http://schemas.openxmlformats.org/officeDocument/2006/relationships/hyperlink" Target="https://www.instagram.com/amir_almomeninmosque/" TargetMode="External"/><Relationship Id="rId2579" Type="http://schemas.openxmlformats.org/officeDocument/2006/relationships/hyperlink" Target="https://www.instagram.com/rozato.zahra" TargetMode="External"/><Relationship Id="rId1249" Type="http://schemas.openxmlformats.org/officeDocument/2006/relationships/hyperlink" Target="https://www.instagram.com/heiat_aleyasin" TargetMode="External"/><Relationship Id="rId2570" Type="http://schemas.openxmlformats.org/officeDocument/2006/relationships/hyperlink" Target="https://eitaa.com/heiatealamdar" TargetMode="External"/><Relationship Id="rId1240" Type="http://schemas.openxmlformats.org/officeDocument/2006/relationships/hyperlink" Target="http://t.me/ansaralhussain128" TargetMode="External"/><Relationship Id="rId2571" Type="http://schemas.openxmlformats.org/officeDocument/2006/relationships/hyperlink" Target="https://www.youtube.com/@heiatealamdar" TargetMode="External"/><Relationship Id="rId1241" Type="http://schemas.openxmlformats.org/officeDocument/2006/relationships/hyperlink" Target="https://www.instagram.com/ghatiolkaffein/" TargetMode="External"/><Relationship Id="rId2572" Type="http://schemas.openxmlformats.org/officeDocument/2006/relationships/hyperlink" Target="https://www.instagram.com/alsebt_com" TargetMode="External"/><Relationship Id="rId1242" Type="http://schemas.openxmlformats.org/officeDocument/2006/relationships/hyperlink" Target="https://www.instagram.com/oshagholreza8/" TargetMode="External"/><Relationship Id="rId2573" Type="http://schemas.openxmlformats.org/officeDocument/2006/relationships/hyperlink" Target="https://www.instagram.com/ansar73" TargetMode="External"/><Relationship Id="rId1243" Type="http://schemas.openxmlformats.org/officeDocument/2006/relationships/hyperlink" Target="https://www.instagram.com/rozato_shohada/" TargetMode="External"/><Relationship Id="rId2574" Type="http://schemas.openxmlformats.org/officeDocument/2006/relationships/hyperlink" Target="https://www.instagram.com/oshagh_alabbas_mashhad" TargetMode="External"/><Relationship Id="rId1244" Type="http://schemas.openxmlformats.org/officeDocument/2006/relationships/hyperlink" Target="http://tlgrm.me/rozato_shohada" TargetMode="External"/><Relationship Id="rId2575" Type="http://schemas.openxmlformats.org/officeDocument/2006/relationships/hyperlink" Target="https://t.me/oshagh_alabas_mashhad110" TargetMode="External"/><Relationship Id="rId1245" Type="http://schemas.openxmlformats.org/officeDocument/2006/relationships/hyperlink" Target="https://www.instagram.com/hiatjvanan_palash/" TargetMode="External"/><Relationship Id="rId2576" Type="http://schemas.openxmlformats.org/officeDocument/2006/relationships/hyperlink" Target="https://www.instagram.com/mahfelreyhana315" TargetMode="External"/><Relationship Id="rId1279" Type="http://schemas.openxmlformats.org/officeDocument/2006/relationships/hyperlink" Target="https://www.instagram.com/heyat_lesarat_alhosein/" TargetMode="External"/><Relationship Id="rId1270" Type="http://schemas.openxmlformats.org/officeDocument/2006/relationships/hyperlink" Target="http://t.me/masjedgondoghdi" TargetMode="External"/><Relationship Id="rId1271" Type="http://schemas.openxmlformats.org/officeDocument/2006/relationships/hyperlink" Target="https://instagram.com/masjedsaheb/" TargetMode="External"/><Relationship Id="rId1272" Type="http://schemas.openxmlformats.org/officeDocument/2006/relationships/hyperlink" Target="https://www.instagram.com/azizamzeynab/" TargetMode="External"/><Relationship Id="rId1273" Type="http://schemas.openxmlformats.org/officeDocument/2006/relationships/hyperlink" Target="https://www.instagram.com/bharam.ir/" TargetMode="External"/><Relationship Id="rId1274" Type="http://schemas.openxmlformats.org/officeDocument/2006/relationships/hyperlink" Target="https://www.instagram.com/oshagh_almahdi_ekbatan/" TargetMode="External"/><Relationship Id="rId1275" Type="http://schemas.openxmlformats.org/officeDocument/2006/relationships/hyperlink" Target="https://www.instagram.com/sadeghioun.info/" TargetMode="External"/><Relationship Id="rId1276" Type="http://schemas.openxmlformats.org/officeDocument/2006/relationships/hyperlink" Target="http://t.me/mohebbane_sadegh" TargetMode="External"/><Relationship Id="rId1277" Type="http://schemas.openxmlformats.org/officeDocument/2006/relationships/hyperlink" Target="https://www.instagram.com/beytolabas1/" TargetMode="External"/><Relationship Id="rId1278" Type="http://schemas.openxmlformats.org/officeDocument/2006/relationships/hyperlink" Target="https://www.instagram.com/h.babalhavaej/" TargetMode="External"/><Relationship Id="rId1268" Type="http://schemas.openxmlformats.org/officeDocument/2006/relationships/hyperlink" Target="http://t.me/beitalhosain" TargetMode="External"/><Relationship Id="rId2599" Type="http://schemas.openxmlformats.org/officeDocument/2006/relationships/hyperlink" Target="https://www.aparat.com/v/ighr5vj" TargetMode="External"/><Relationship Id="rId1269" Type="http://schemas.openxmlformats.org/officeDocument/2006/relationships/hyperlink" Target="https://www.instagram.com/hazrataboalfazl/" TargetMode="External"/><Relationship Id="rId2590" Type="http://schemas.openxmlformats.org/officeDocument/2006/relationships/hyperlink" Target="https://www.instagram.com/beytolahzan_video" TargetMode="External"/><Relationship Id="rId1260" Type="http://schemas.openxmlformats.org/officeDocument/2006/relationships/hyperlink" Target="http://telegram.me/heiatghaem" TargetMode="External"/><Relationship Id="rId2591" Type="http://schemas.openxmlformats.org/officeDocument/2006/relationships/hyperlink" Target="https://www.instagram.com/beytoshohada110" TargetMode="External"/><Relationship Id="rId1261" Type="http://schemas.openxmlformats.org/officeDocument/2006/relationships/hyperlink" Target="https://www.instagram.com/mohebanolkarim/" TargetMode="External"/><Relationship Id="rId2592" Type="http://schemas.openxmlformats.org/officeDocument/2006/relationships/hyperlink" Target="https://www.instagram.com/beytolabbass_haram1" TargetMode="External"/><Relationship Id="rId1262" Type="http://schemas.openxmlformats.org/officeDocument/2006/relationships/hyperlink" Target="http://t.me/mohebanolkarim" TargetMode="External"/><Relationship Id="rId2593" Type="http://schemas.openxmlformats.org/officeDocument/2006/relationships/hyperlink" Target="https://t.me/haram1" TargetMode="External"/><Relationship Id="rId1263" Type="http://schemas.openxmlformats.org/officeDocument/2006/relationships/hyperlink" Target="https://www.instagram.com/heyat.muslim.ibn.aqeel/" TargetMode="External"/><Relationship Id="rId2594" Type="http://schemas.openxmlformats.org/officeDocument/2006/relationships/hyperlink" Target="https://www.instagram.com/montazeranzohour__313" TargetMode="External"/><Relationship Id="rId1264" Type="http://schemas.openxmlformats.org/officeDocument/2006/relationships/hyperlink" Target="https://www.instagram.com/mohebbanolreza/" TargetMode="External"/><Relationship Id="rId2595" Type="http://schemas.openxmlformats.org/officeDocument/2006/relationships/hyperlink" Target="https://www.instagram.com/r_shohada313" TargetMode="External"/><Relationship Id="rId1265" Type="http://schemas.openxmlformats.org/officeDocument/2006/relationships/hyperlink" Target="http://t.me/mohebbanolreza" TargetMode="External"/><Relationship Id="rId2596" Type="http://schemas.openxmlformats.org/officeDocument/2006/relationships/hyperlink" Target="https://t.me/fanos1357" TargetMode="External"/><Relationship Id="rId1266" Type="http://schemas.openxmlformats.org/officeDocument/2006/relationships/hyperlink" Target="https://www.instagram.com/beyragh.ir/" TargetMode="External"/><Relationship Id="rId2597" Type="http://schemas.openxmlformats.org/officeDocument/2006/relationships/hyperlink" Target="https://www.instagram.com/moheban_75" TargetMode="External"/><Relationship Id="rId1267" Type="http://schemas.openxmlformats.org/officeDocument/2006/relationships/hyperlink" Target="https://www.instagram.com/beitalhosain/" TargetMode="External"/><Relationship Id="rId2598" Type="http://schemas.openxmlformats.org/officeDocument/2006/relationships/hyperlink" Target="https://eitaa.com/heydarieh_ir" TargetMode="External"/><Relationship Id="rId3070" Type="http://schemas.openxmlformats.org/officeDocument/2006/relationships/hyperlink" Target="https://www.instagram.com/ajammohebbanemamrezatabriz" TargetMode="External"/><Relationship Id="rId3072" Type="http://schemas.openxmlformats.org/officeDocument/2006/relationships/hyperlink" Target="https://www.instagram.com/heyateasheganekarbala" TargetMode="External"/><Relationship Id="rId3071" Type="http://schemas.openxmlformats.org/officeDocument/2006/relationships/hyperlink" Target="https://t.me/ajammohebbanemamrezatabriz" TargetMode="External"/><Relationship Id="rId3074" Type="http://schemas.openxmlformats.org/officeDocument/2006/relationships/hyperlink" Target="https://www.instagram.com/heyatazadarana_panjtan" TargetMode="External"/><Relationship Id="rId3073" Type="http://schemas.openxmlformats.org/officeDocument/2006/relationships/hyperlink" Target="https://eitaa.com/ashgkarbala" TargetMode="External"/><Relationship Id="rId3076" Type="http://schemas.openxmlformats.org/officeDocument/2006/relationships/hyperlink" Target="https://www.instagram.com/moshtagan_tabriz" TargetMode="External"/><Relationship Id="rId3075" Type="http://schemas.openxmlformats.org/officeDocument/2006/relationships/hyperlink" Target="https://t.me/panjtane_aleaba_tabriz" TargetMode="External"/><Relationship Id="rId3078" Type="http://schemas.openxmlformats.org/officeDocument/2006/relationships/hyperlink" Target="https://www.instagram.com/zanjir.maralan" TargetMode="External"/><Relationship Id="rId3077" Type="http://schemas.openxmlformats.org/officeDocument/2006/relationships/hyperlink" Target="https://www.instagram.com/deldadegan_zahra" TargetMode="External"/><Relationship Id="rId3079" Type="http://schemas.openxmlformats.org/officeDocument/2006/relationships/hyperlink" Target="https://t.me/zanjir_maralan" TargetMode="External"/><Relationship Id="rId4390" Type="http://schemas.openxmlformats.org/officeDocument/2006/relationships/hyperlink" Target="https://t.me/heyat_rahrovanshohada" TargetMode="External"/><Relationship Id="rId3061" Type="http://schemas.openxmlformats.org/officeDocument/2006/relationships/hyperlink" Target="https://eitaa.com/heyat_alzahra" TargetMode="External"/><Relationship Id="rId4392" Type="http://schemas.openxmlformats.org/officeDocument/2006/relationships/hyperlink" Target="https://eitaa.com/hj_mahshahr" TargetMode="External"/><Relationship Id="rId3060" Type="http://schemas.openxmlformats.org/officeDocument/2006/relationships/hyperlink" Target="https://www.instagram.com/rozat.alabas.shotorban_tabriz" TargetMode="External"/><Relationship Id="rId4391" Type="http://schemas.openxmlformats.org/officeDocument/2006/relationships/hyperlink" Target="https://www.instagram.com/hj_mahshahr" TargetMode="External"/><Relationship Id="rId3063" Type="http://schemas.openxmlformats.org/officeDocument/2006/relationships/hyperlink" Target="https://t.me/seyedezeynabtabriz" TargetMode="External"/><Relationship Id="rId4394" Type="http://schemas.openxmlformats.org/officeDocument/2006/relationships/hyperlink" Target="https://t.me/zahraye3saleh" TargetMode="External"/><Relationship Id="rId3062" Type="http://schemas.openxmlformats.org/officeDocument/2006/relationships/hyperlink" Target="https://www.instagram.com/seyedezeynabtabriz" TargetMode="External"/><Relationship Id="rId4393" Type="http://schemas.openxmlformats.org/officeDocument/2006/relationships/hyperlink" Target="https://www.instagram.com/zahraye3saleh" TargetMode="External"/><Relationship Id="rId3065" Type="http://schemas.openxmlformats.org/officeDocument/2006/relationships/hyperlink" Target="https://t.me/madahi_imani" TargetMode="External"/><Relationship Id="rId4396" Type="http://schemas.openxmlformats.org/officeDocument/2006/relationships/hyperlink" Target="https://t.me/mohebbinalroghaye" TargetMode="External"/><Relationship Id="rId3064" Type="http://schemas.openxmlformats.org/officeDocument/2006/relationships/hyperlink" Target="https://www.instagram.com/bentolhossein_tb" TargetMode="External"/><Relationship Id="rId4395" Type="http://schemas.openxmlformats.org/officeDocument/2006/relationships/hyperlink" Target="https://www.instagram.com/mohebbinalroghaye" TargetMode="External"/><Relationship Id="rId3067" Type="http://schemas.openxmlformats.org/officeDocument/2006/relationships/hyperlink" Target="https://www.instagram.com/kanunevaliasr_tabriz" TargetMode="External"/><Relationship Id="rId4398" Type="http://schemas.openxmlformats.org/officeDocument/2006/relationships/hyperlink" Target="https://www.instagram.com/hyat_altaha" TargetMode="External"/><Relationship Id="rId3066" Type="http://schemas.openxmlformats.org/officeDocument/2006/relationships/hyperlink" Target="https://eitaa.com/Bentolhose" TargetMode="External"/><Relationship Id="rId4397" Type="http://schemas.openxmlformats.org/officeDocument/2006/relationships/hyperlink" Target="https://eitaa.com/mohebbinalroghaye" TargetMode="External"/><Relationship Id="rId3069" Type="http://schemas.openxmlformats.org/officeDocument/2006/relationships/hyperlink" Target="https://www.instagram.com/jannatol_hossein_tabriz" TargetMode="External"/><Relationship Id="rId3068" Type="http://schemas.openxmlformats.org/officeDocument/2006/relationships/hyperlink" Target="https://www.instagram.com/kanunvaliasr_tabriz" TargetMode="External"/><Relationship Id="rId4399" Type="http://schemas.openxmlformats.org/officeDocument/2006/relationships/hyperlink" Target="https://t.me/altahakhodamalmahdi" TargetMode="External"/><Relationship Id="rId3090" Type="http://schemas.openxmlformats.org/officeDocument/2006/relationships/hyperlink" Target="https://www.instagram.com/levaolzeinab1394" TargetMode="External"/><Relationship Id="rId3092" Type="http://schemas.openxmlformats.org/officeDocument/2006/relationships/hyperlink" Target="https://t.me/AsheganeSeidAlshohada" TargetMode="External"/><Relationship Id="rId3091" Type="http://schemas.openxmlformats.org/officeDocument/2006/relationships/hyperlink" Target="https://www.instagram.com/asheganseiedalshohada_tabriz" TargetMode="External"/><Relationship Id="rId3094" Type="http://schemas.openxmlformats.org/officeDocument/2006/relationships/hyperlink" Target="https://www.instagram.com/zanjirzananhokmabad" TargetMode="External"/><Relationship Id="rId3093" Type="http://schemas.openxmlformats.org/officeDocument/2006/relationships/hyperlink" Target="https://eitaa.com/heiatghasemiehtabriz" TargetMode="External"/><Relationship Id="rId3096" Type="http://schemas.openxmlformats.org/officeDocument/2006/relationships/hyperlink" Target="https://www.instagram.com/gordaneemamhossin" TargetMode="External"/><Relationship Id="rId3095" Type="http://schemas.openxmlformats.org/officeDocument/2006/relationships/hyperlink" Target="https://t.me/zanjirzanHokmabad" TargetMode="External"/><Relationship Id="rId3098" Type="http://schemas.openxmlformats.org/officeDocument/2006/relationships/hyperlink" Target="https://www.instagram.com/mokabe_valiyatollah" TargetMode="External"/><Relationship Id="rId3097" Type="http://schemas.openxmlformats.org/officeDocument/2006/relationships/hyperlink" Target="https://t.me/gordaneemamhossin" TargetMode="External"/><Relationship Id="rId3099" Type="http://schemas.openxmlformats.org/officeDocument/2006/relationships/hyperlink" Target="https://t.me/mokabe_valiyatollah" TargetMode="External"/><Relationship Id="rId3081" Type="http://schemas.openxmlformats.org/officeDocument/2006/relationships/hyperlink" Target="https://t.me/teshneekosar" TargetMode="External"/><Relationship Id="rId3080" Type="http://schemas.openxmlformats.org/officeDocument/2006/relationships/hyperlink" Target="https://www.instagram.com/teshneekosar" TargetMode="External"/><Relationship Id="rId3083" Type="http://schemas.openxmlformats.org/officeDocument/2006/relationships/hyperlink" Target="https://www.instagram.com/reihaneh_tabriz" TargetMode="External"/><Relationship Id="rId3082" Type="http://schemas.openxmlformats.org/officeDocument/2006/relationships/hyperlink" Target="https://www.instagram.com/rayehatolhosein_tabriz" TargetMode="External"/><Relationship Id="rId3085" Type="http://schemas.openxmlformats.org/officeDocument/2006/relationships/hyperlink" Target="https://t.me/HeyateGamar" TargetMode="External"/><Relationship Id="rId3084" Type="http://schemas.openxmlformats.org/officeDocument/2006/relationships/hyperlink" Target="https://www.instagram.com/heyate_gamar" TargetMode="External"/><Relationship Id="rId3087" Type="http://schemas.openxmlformats.org/officeDocument/2006/relationships/hyperlink" Target="https://www.instagram.com/mahdquran.ir" TargetMode="External"/><Relationship Id="rId3086" Type="http://schemas.openxmlformats.org/officeDocument/2006/relationships/hyperlink" Target="https://eitaa.com/joinchat/1490289242C66a8d75d9c" TargetMode="External"/><Relationship Id="rId3089" Type="http://schemas.openxmlformats.org/officeDocument/2006/relationships/hyperlink" Target="https://www.instagram.com/levaolzeynabtabriz" TargetMode="External"/><Relationship Id="rId3088" Type="http://schemas.openxmlformats.org/officeDocument/2006/relationships/hyperlink" Target="https://www.instagram.com/14maasom_axmagye" TargetMode="External"/><Relationship Id="rId3039" Type="http://schemas.openxmlformats.org/officeDocument/2006/relationships/hyperlink" Target="https://eitaa.com/ansar_alreza8" TargetMode="External"/><Relationship Id="rId5691" Type="http://schemas.openxmlformats.org/officeDocument/2006/relationships/hyperlink" Target="https://t.me/Mohammadeamin_info" TargetMode="External"/><Relationship Id="rId5692" Type="http://schemas.openxmlformats.org/officeDocument/2006/relationships/hyperlink" Target="https://eitaa.com/abasaleh_inf" TargetMode="External"/><Relationship Id="rId3030" Type="http://schemas.openxmlformats.org/officeDocument/2006/relationships/hyperlink" Target="https://www.instagram.com/khoddamozzahra_tabriz" TargetMode="External"/><Relationship Id="rId4361" Type="http://schemas.openxmlformats.org/officeDocument/2006/relationships/hyperlink" Target="https://t.me/omolbanin_184_133" TargetMode="External"/><Relationship Id="rId4360" Type="http://schemas.openxmlformats.org/officeDocument/2006/relationships/hyperlink" Target="https://www.instagram.com/heyat_omolbanin_omd" TargetMode="External"/><Relationship Id="rId5690" Type="http://schemas.openxmlformats.org/officeDocument/2006/relationships/hyperlink" Target="https://www.instagram.com/mohammadeamin_info/" TargetMode="External"/><Relationship Id="rId3032" Type="http://schemas.openxmlformats.org/officeDocument/2006/relationships/hyperlink" Target="https://www.instagram.com/ashegane_yazahra" TargetMode="External"/><Relationship Id="rId4363" Type="http://schemas.openxmlformats.org/officeDocument/2006/relationships/hyperlink" Target="http://t.me/omalmosaeb" TargetMode="External"/><Relationship Id="rId5695" Type="http://schemas.openxmlformats.org/officeDocument/2006/relationships/hyperlink" Target="https://t.me/yaranenamaz" TargetMode="External"/><Relationship Id="rId3031" Type="http://schemas.openxmlformats.org/officeDocument/2006/relationships/hyperlink" Target="https://t.me/Khoddamozzahra_Tabriz" TargetMode="External"/><Relationship Id="rId4362" Type="http://schemas.openxmlformats.org/officeDocument/2006/relationships/hyperlink" Target="https://www.instagram.com/om.al.mosaeb/" TargetMode="External"/><Relationship Id="rId5696" Type="http://schemas.openxmlformats.org/officeDocument/2006/relationships/hyperlink" Target="http://www.yaranenamaz.com" TargetMode="External"/><Relationship Id="rId3034" Type="http://schemas.openxmlformats.org/officeDocument/2006/relationships/hyperlink" Target="https://t.me/ansarolhojjat_org" TargetMode="External"/><Relationship Id="rId4365" Type="http://schemas.openxmlformats.org/officeDocument/2006/relationships/hyperlink" Target="https://t.me/heyat_omolbanin_ahvaz" TargetMode="External"/><Relationship Id="rId5693" Type="http://schemas.openxmlformats.org/officeDocument/2006/relationships/hyperlink" Target="https://eitaa.com/hasanieh_heyat" TargetMode="External"/><Relationship Id="rId3033" Type="http://schemas.openxmlformats.org/officeDocument/2006/relationships/hyperlink" Target="https://www.instagram.com/ansarolhojjat_org" TargetMode="External"/><Relationship Id="rId4364" Type="http://schemas.openxmlformats.org/officeDocument/2006/relationships/hyperlink" Target="https://www.instagram.com/heyat_omolbanin_ahvaz" TargetMode="External"/><Relationship Id="rId5694" Type="http://schemas.openxmlformats.org/officeDocument/2006/relationships/hyperlink" Target="https://www.instagram.com/yaranenamaz/" TargetMode="External"/><Relationship Id="rId3036" Type="http://schemas.openxmlformats.org/officeDocument/2006/relationships/hyperlink" Target="https://www.instagram.com/rayatolmahdi313_tab" TargetMode="External"/><Relationship Id="rId4367" Type="http://schemas.openxmlformats.org/officeDocument/2006/relationships/hyperlink" Target="https://www.instagram.com/beytolahzan_ahwaz/" TargetMode="External"/><Relationship Id="rId5699" Type="http://schemas.openxmlformats.org/officeDocument/2006/relationships/hyperlink" Target="https://www.instagram.com/hosseinjan_qazvin/" TargetMode="External"/><Relationship Id="rId3035" Type="http://schemas.openxmlformats.org/officeDocument/2006/relationships/hyperlink" Target="https://eitaa.com/ansarolhojjat_org" TargetMode="External"/><Relationship Id="rId4366" Type="http://schemas.openxmlformats.org/officeDocument/2006/relationships/hyperlink" Target="https://eitaa.com/s/heyat_omolbanin_ahvaz" TargetMode="External"/><Relationship Id="rId3038" Type="http://schemas.openxmlformats.org/officeDocument/2006/relationships/hyperlink" Target="https://eitaa.com/rayatolmahdi_tabriz" TargetMode="External"/><Relationship Id="rId4369" Type="http://schemas.openxmlformats.org/officeDocument/2006/relationships/hyperlink" Target="https://t.me/khademin315ahwaz" TargetMode="External"/><Relationship Id="rId5697" Type="http://schemas.openxmlformats.org/officeDocument/2006/relationships/hyperlink" Target="https://www.instagram.com/beytorroqayyeh/" TargetMode="External"/><Relationship Id="rId3037" Type="http://schemas.openxmlformats.org/officeDocument/2006/relationships/hyperlink" Target="https://www.instagram.com/rayatolmahdi_tabriz" TargetMode="External"/><Relationship Id="rId4368" Type="http://schemas.openxmlformats.org/officeDocument/2006/relationships/hyperlink" Target="https://www.instagram.com/khademin315.ir" TargetMode="External"/><Relationship Id="rId5698" Type="http://schemas.openxmlformats.org/officeDocument/2006/relationships/hyperlink" Target="http://t.me/beytorroqayyeh" TargetMode="External"/><Relationship Id="rId3029" Type="http://schemas.openxmlformats.org/officeDocument/2006/relationships/hyperlink" Target="https://www.instagram.com/montazerane_.mahdi_sorkhab" TargetMode="External"/><Relationship Id="rId3028" Type="http://schemas.openxmlformats.org/officeDocument/2006/relationships/hyperlink" Target="https://t.me/heyatvaliamr" TargetMode="External"/><Relationship Id="rId4359" Type="http://schemas.openxmlformats.org/officeDocument/2006/relationships/hyperlink" Target="https://eitaa.com/Feyz_info" TargetMode="External"/><Relationship Id="rId5680" Type="http://schemas.openxmlformats.org/officeDocument/2006/relationships/hyperlink" Target="https://www.instagram.com/hussainia_omm_abiha1437/" TargetMode="External"/><Relationship Id="rId5681" Type="http://schemas.openxmlformats.org/officeDocument/2006/relationships/hyperlink" Target="https://t.me/mohebbin_ommeabiha" TargetMode="External"/><Relationship Id="rId4350" Type="http://schemas.openxmlformats.org/officeDocument/2006/relationships/hyperlink" Target="https://t.me/ansar1401" TargetMode="External"/><Relationship Id="rId3021" Type="http://schemas.openxmlformats.org/officeDocument/2006/relationships/hyperlink" Target="https://eitaa.com/sabzesorkhh" TargetMode="External"/><Relationship Id="rId4352" Type="http://schemas.openxmlformats.org/officeDocument/2006/relationships/hyperlink" Target="https://www.instagram.com/fatemeyoon/" TargetMode="External"/><Relationship Id="rId5684" Type="http://schemas.openxmlformats.org/officeDocument/2006/relationships/hyperlink" Target="https://www.instagram.com/hazratmoslem_qazvin/" TargetMode="External"/><Relationship Id="rId3020" Type="http://schemas.openxmlformats.org/officeDocument/2006/relationships/hyperlink" Target="https://www.instagram.com/sabz.sorkh.313" TargetMode="External"/><Relationship Id="rId4351" Type="http://schemas.openxmlformats.org/officeDocument/2006/relationships/hyperlink" Target="https://eitaa.com/ansar1437" TargetMode="External"/><Relationship Id="rId5685" Type="http://schemas.openxmlformats.org/officeDocument/2006/relationships/hyperlink" Target="https://t.me/majmoe_hazratmoslem" TargetMode="External"/><Relationship Id="rId3023" Type="http://schemas.openxmlformats.org/officeDocument/2006/relationships/hyperlink" Target="https://eitaa.com/noorolhoseintabriz" TargetMode="External"/><Relationship Id="rId4354" Type="http://schemas.openxmlformats.org/officeDocument/2006/relationships/hyperlink" Target="https://eitaa.com/fatemeyoon" TargetMode="External"/><Relationship Id="rId5682" Type="http://schemas.openxmlformats.org/officeDocument/2006/relationships/hyperlink" Target="https://www.instagram.com/hasanjaanqazvin/" TargetMode="External"/><Relationship Id="rId3022" Type="http://schemas.openxmlformats.org/officeDocument/2006/relationships/hyperlink" Target="https://www.instagram.com/noorolhossein_ir" TargetMode="External"/><Relationship Id="rId4353" Type="http://schemas.openxmlformats.org/officeDocument/2006/relationships/hyperlink" Target="https://t.me/fatemeyoon" TargetMode="External"/><Relationship Id="rId5683" Type="http://schemas.openxmlformats.org/officeDocument/2006/relationships/hyperlink" Target="https://t.me/hasanjaan_qazvin" TargetMode="External"/><Relationship Id="rId3025" Type="http://schemas.openxmlformats.org/officeDocument/2006/relationships/hyperlink" Target="https://www.instagram.com/rayatolhossein_tabriz" TargetMode="External"/><Relationship Id="rId4356" Type="http://schemas.openxmlformats.org/officeDocument/2006/relationships/hyperlink" Target="https://eitaa.com/dokhtaranesoleymani3" TargetMode="External"/><Relationship Id="rId5688" Type="http://schemas.openxmlformats.org/officeDocument/2006/relationships/hyperlink" Target="https://www.instagram.com/mohseniyeqazvin/" TargetMode="External"/><Relationship Id="rId3024" Type="http://schemas.openxmlformats.org/officeDocument/2006/relationships/hyperlink" Target="https://www.instagram.com/maktabolmahdiei" TargetMode="External"/><Relationship Id="rId4355" Type="http://schemas.openxmlformats.org/officeDocument/2006/relationships/hyperlink" Target="https://eitaa.com/jahadiabadan" TargetMode="External"/><Relationship Id="rId5689" Type="http://schemas.openxmlformats.org/officeDocument/2006/relationships/hyperlink" Target="https://www.instagram.com/fadak.qazvin/" TargetMode="External"/><Relationship Id="rId3027" Type="http://schemas.openxmlformats.org/officeDocument/2006/relationships/hyperlink" Target="https://www.instagram.com/heyatvaliamr" TargetMode="External"/><Relationship Id="rId4358" Type="http://schemas.openxmlformats.org/officeDocument/2006/relationships/hyperlink" Target="https://t.me/Feyz_info" TargetMode="External"/><Relationship Id="rId5686" Type="http://schemas.openxmlformats.org/officeDocument/2006/relationships/hyperlink" Target="https://www.instagram.com/mahfel_moazam_yaali_qazvin/" TargetMode="External"/><Relationship Id="rId3026" Type="http://schemas.openxmlformats.org/officeDocument/2006/relationships/hyperlink" Target="https://t.me/rayatolhossein_tabriz" TargetMode="External"/><Relationship Id="rId4357" Type="http://schemas.openxmlformats.org/officeDocument/2006/relationships/hyperlink" Target="https://www.instagram.com/feyz.info/" TargetMode="External"/><Relationship Id="rId5687" Type="http://schemas.openxmlformats.org/officeDocument/2006/relationships/hyperlink" Target="https://www.instagram.com/beitol_abbas_qazvinn/" TargetMode="External"/><Relationship Id="rId3050" Type="http://schemas.openxmlformats.org/officeDocument/2006/relationships/hyperlink" Target="https://www.instagram.com/jannesaran_hazrat_gasem_tabriz" TargetMode="External"/><Relationship Id="rId4381" Type="http://schemas.openxmlformats.org/officeDocument/2006/relationships/hyperlink" Target="https://t.me/bab_alqeble" TargetMode="External"/><Relationship Id="rId4380" Type="http://schemas.openxmlformats.org/officeDocument/2006/relationships/hyperlink" Target="https://www.instagram.com/bab_alqeble" TargetMode="External"/><Relationship Id="rId3052" Type="http://schemas.openxmlformats.org/officeDocument/2006/relationships/hyperlink" Target="https://t.me/KosarTabriz" TargetMode="External"/><Relationship Id="rId4383" Type="http://schemas.openxmlformats.org/officeDocument/2006/relationships/hyperlink" Target="https://t.me/Shahzadegan_mahshahr" TargetMode="External"/><Relationship Id="rId3051" Type="http://schemas.openxmlformats.org/officeDocument/2006/relationships/hyperlink" Target="https://www.instagram.com/kosar_tabriz" TargetMode="External"/><Relationship Id="rId4382" Type="http://schemas.openxmlformats.org/officeDocument/2006/relationships/hyperlink" Target="https://www.instagram.com/shahzadegan_mahshahr/" TargetMode="External"/><Relationship Id="rId3054" Type="http://schemas.openxmlformats.org/officeDocument/2006/relationships/hyperlink" Target="https://t.me/aletahasorkhab" TargetMode="External"/><Relationship Id="rId4385" Type="http://schemas.openxmlformats.org/officeDocument/2006/relationships/hyperlink" Target="https://eitaa.com/masjedalghadir1" TargetMode="External"/><Relationship Id="rId3053" Type="http://schemas.openxmlformats.org/officeDocument/2006/relationships/hyperlink" Target="https://www.instagram.com/aletahatabriz" TargetMode="External"/><Relationship Id="rId4384" Type="http://schemas.openxmlformats.org/officeDocument/2006/relationships/hyperlink" Target="https://www.instagram.com/masjed.alghadir1/" TargetMode="External"/><Relationship Id="rId3056" Type="http://schemas.openxmlformats.org/officeDocument/2006/relationships/hyperlink" Target="https://www.instagram.com/heyate_javananaliakbar1" TargetMode="External"/><Relationship Id="rId4387" Type="http://schemas.openxmlformats.org/officeDocument/2006/relationships/hyperlink" Target="https://t.me/bakiehir" TargetMode="External"/><Relationship Id="rId3055" Type="http://schemas.openxmlformats.org/officeDocument/2006/relationships/hyperlink" Target="https://eitaa.com/RauofeAleTaha" TargetMode="External"/><Relationship Id="rId4386" Type="http://schemas.openxmlformats.org/officeDocument/2006/relationships/hyperlink" Target="https://www.instagram.com/bakiehir" TargetMode="External"/><Relationship Id="rId3058" Type="http://schemas.openxmlformats.org/officeDocument/2006/relationships/hyperlink" Target="https://www.instagram.com/rozatolabbas_tabriz" TargetMode="External"/><Relationship Id="rId4389" Type="http://schemas.openxmlformats.org/officeDocument/2006/relationships/hyperlink" Target="https://www.instagram.com/r.shohada_ir/" TargetMode="External"/><Relationship Id="rId3057" Type="http://schemas.openxmlformats.org/officeDocument/2006/relationships/hyperlink" Target="https://eitaa.com/Javanane_AlieAkbar" TargetMode="External"/><Relationship Id="rId4388" Type="http://schemas.openxmlformats.org/officeDocument/2006/relationships/hyperlink" Target="https://eitaa.com/bakiehir" TargetMode="External"/><Relationship Id="rId3059" Type="http://schemas.openxmlformats.org/officeDocument/2006/relationships/hyperlink" Target="https://t.me/Rozatolabbas_Tabriz" TargetMode="External"/><Relationship Id="rId4370" Type="http://schemas.openxmlformats.org/officeDocument/2006/relationships/hyperlink" Target="https://www.instagram.com/shah_najaf_ahwaz/" TargetMode="External"/><Relationship Id="rId3041" Type="http://schemas.openxmlformats.org/officeDocument/2006/relationships/hyperlink" Target="https://www.instagram.com/rowzeyetooba" TargetMode="External"/><Relationship Id="rId4372" Type="http://schemas.openxmlformats.org/officeDocument/2006/relationships/hyperlink" Target="https://www.instagram.com/heyat_iau" TargetMode="External"/><Relationship Id="rId3040" Type="http://schemas.openxmlformats.org/officeDocument/2006/relationships/hyperlink" Target="https://www.instagram.com/bonyadtooba" TargetMode="External"/><Relationship Id="rId4371" Type="http://schemas.openxmlformats.org/officeDocument/2006/relationships/hyperlink" Target="https://t.me/shah_najaf_ahwaz" TargetMode="External"/><Relationship Id="rId3043" Type="http://schemas.openxmlformats.org/officeDocument/2006/relationships/hyperlink" Target="https://www.instagram.com/baghiyatallah.tabriz" TargetMode="External"/><Relationship Id="rId4374" Type="http://schemas.openxmlformats.org/officeDocument/2006/relationships/hyperlink" Target="https://t.me/aza_althakla" TargetMode="External"/><Relationship Id="rId3042" Type="http://schemas.openxmlformats.org/officeDocument/2006/relationships/hyperlink" Target="https://www.instagram.com/sagaye.karbala.sardrud" TargetMode="External"/><Relationship Id="rId4373" Type="http://schemas.openxmlformats.org/officeDocument/2006/relationships/hyperlink" Target="https://www.instagram.com/aza.althakla128" TargetMode="External"/><Relationship Id="rId3045" Type="http://schemas.openxmlformats.org/officeDocument/2006/relationships/hyperlink" Target="https://eitaa.com/heiatolreza_ir" TargetMode="External"/><Relationship Id="rId4376" Type="http://schemas.openxmlformats.org/officeDocument/2006/relationships/hyperlink" Target="https://t.me/heyatmohbinahlalbeit" TargetMode="External"/><Relationship Id="rId3044" Type="http://schemas.openxmlformats.org/officeDocument/2006/relationships/hyperlink" Target="https://www.instagram.com/heyatolreza_" TargetMode="External"/><Relationship Id="rId4375" Type="http://schemas.openxmlformats.org/officeDocument/2006/relationships/hyperlink" Target="https://www.instagram.com/heyat_mohebin_ahlebeit110" TargetMode="External"/><Relationship Id="rId3047" Type="http://schemas.openxmlformats.org/officeDocument/2006/relationships/hyperlink" Target="https://www.instagram.com/reyhanezahratabriz213" TargetMode="External"/><Relationship Id="rId4378" Type="http://schemas.openxmlformats.org/officeDocument/2006/relationships/hyperlink" Target="https://t.me/ashofte_maqam" TargetMode="External"/><Relationship Id="rId3046" Type="http://schemas.openxmlformats.org/officeDocument/2006/relationships/hyperlink" Target="https://www.instagram.com/kanoun.jahadi.fetrat" TargetMode="External"/><Relationship Id="rId4377" Type="http://schemas.openxmlformats.org/officeDocument/2006/relationships/hyperlink" Target="https://www.instagram.com/maqam_aliakbar/" TargetMode="External"/><Relationship Id="rId3049" Type="http://schemas.openxmlformats.org/officeDocument/2006/relationships/hyperlink" Target="https://www.instagram.com/maktabe_nahjolbalaghe_tabriz" TargetMode="External"/><Relationship Id="rId3048" Type="http://schemas.openxmlformats.org/officeDocument/2006/relationships/hyperlink" Target="https://eitaa.com/reyhanezahratabriz95" TargetMode="External"/><Relationship Id="rId4379" Type="http://schemas.openxmlformats.org/officeDocument/2006/relationships/hyperlink" Target="https://www.instagram.com/ansar.abozar/" TargetMode="External"/><Relationship Id="rId9210" Type="http://schemas.openxmlformats.org/officeDocument/2006/relationships/hyperlink" Target="https://www.instagram.com/heiat.fatemieh.kharanaq/" TargetMode="External"/><Relationship Id="rId9211" Type="http://schemas.openxmlformats.org/officeDocument/2006/relationships/hyperlink" Target="https://www.instagram.com/emamhossein_shohada_ashkezar/" TargetMode="External"/><Relationship Id="rId9212" Type="http://schemas.openxmlformats.org/officeDocument/2006/relationships/hyperlink" Target="https://www.instagram.com/abaabdeallah" TargetMode="External"/><Relationship Id="rId9217" Type="http://schemas.openxmlformats.org/officeDocument/2006/relationships/hyperlink" Target="https://www.instagram.com/heyat_14_masom" TargetMode="External"/><Relationship Id="rId9218" Type="http://schemas.openxmlformats.org/officeDocument/2006/relationships/hyperlink" Target="https://eitaa.com/mf14masoumemamshahr" TargetMode="External"/><Relationship Id="rId9219" Type="http://schemas.openxmlformats.org/officeDocument/2006/relationships/hyperlink" Target="https://www.instagram.com/majmaozakerinyazd" TargetMode="External"/><Relationship Id="rId9213" Type="http://schemas.openxmlformats.org/officeDocument/2006/relationships/hyperlink" Target="https://t.me/abaabdellah_hosein" TargetMode="External"/><Relationship Id="rId9214" Type="http://schemas.openxmlformats.org/officeDocument/2006/relationships/hyperlink" Target="https://t.me/Eslamabadyazd" TargetMode="External"/><Relationship Id="rId9215" Type="http://schemas.openxmlformats.org/officeDocument/2006/relationships/hyperlink" Target="https://eitaa.com/hezarcheshmeh" TargetMode="External"/><Relationship Id="rId9216" Type="http://schemas.openxmlformats.org/officeDocument/2006/relationships/hyperlink" Target="https://www.instagram.com/heyate_hazeratealiakbar" TargetMode="External"/><Relationship Id="rId9200" Type="http://schemas.openxmlformats.org/officeDocument/2006/relationships/hyperlink" Target="https://eitaa.com/fatemeazhra" TargetMode="External"/><Relationship Id="rId9201" Type="http://schemas.openxmlformats.org/officeDocument/2006/relationships/hyperlink" Target="https://heyatrazmandeganardakan.blog.ir/" TargetMode="External"/><Relationship Id="rId9206" Type="http://schemas.openxmlformats.org/officeDocument/2006/relationships/hyperlink" Target="https://t.me/reyhanatolhosseyn315" TargetMode="External"/><Relationship Id="rId9207" Type="http://schemas.openxmlformats.org/officeDocument/2006/relationships/hyperlink" Target="https://www.instagram.com/reyhanatonabi.a" TargetMode="External"/><Relationship Id="rId9208" Type="http://schemas.openxmlformats.org/officeDocument/2006/relationships/hyperlink" Target="https://eitaa.com/reyhanatolnabi_a" TargetMode="External"/><Relationship Id="rId9209" Type="http://schemas.openxmlformats.org/officeDocument/2006/relationships/hyperlink" Target="https://www.instagram.com/mokebalhoseinardakan" TargetMode="External"/><Relationship Id="rId9202" Type="http://schemas.openxmlformats.org/officeDocument/2006/relationships/hyperlink" Target="https://www.instagram.com/ansarolmohsen" TargetMode="External"/><Relationship Id="rId9203" Type="http://schemas.openxmlformats.org/officeDocument/2006/relationships/hyperlink" Target="https://eitaa.com/hansarolmohsen_ardakan" TargetMode="External"/><Relationship Id="rId9204" Type="http://schemas.openxmlformats.org/officeDocument/2006/relationships/hyperlink" Target="https://www.instagram.com/heiatemamhasanardakan11" TargetMode="External"/><Relationship Id="rId9205" Type="http://schemas.openxmlformats.org/officeDocument/2006/relationships/hyperlink" Target="https://www.instagram.com/reyhanatolhossein_ir/" TargetMode="External"/><Relationship Id="rId9231" Type="http://schemas.openxmlformats.org/officeDocument/2006/relationships/hyperlink" Target="https://t.me/kheymehgahebafgh" TargetMode="External"/><Relationship Id="rId9232" Type="http://schemas.openxmlformats.org/officeDocument/2006/relationships/hyperlink" Target="https://eitaa.com/kheymehgahebafgh" TargetMode="External"/><Relationship Id="rId9233" Type="http://schemas.openxmlformats.org/officeDocument/2006/relationships/hyperlink" Target="https://www.instagram.com/heiatghasemebnelhassan" TargetMode="External"/><Relationship Id="rId9234" Type="http://schemas.openxmlformats.org/officeDocument/2006/relationships/hyperlink" Target="https://eitaa.com/Bafeq_Board" TargetMode="External"/><Relationship Id="rId9230" Type="http://schemas.openxmlformats.org/officeDocument/2006/relationships/hyperlink" Target="https://www.instagram.com/kheymehgahebafgh13" TargetMode="External"/><Relationship Id="rId9239" Type="http://schemas.openxmlformats.org/officeDocument/2006/relationships/hyperlink" Target="https://www.instagram.com/heyat_montazeran_bafgh/" TargetMode="External"/><Relationship Id="rId9235" Type="http://schemas.openxmlformats.org/officeDocument/2006/relationships/hyperlink" Target="https://eitaa.com/hasanebnealii" TargetMode="External"/><Relationship Id="rId9236" Type="http://schemas.openxmlformats.org/officeDocument/2006/relationships/hyperlink" Target="https://www.instagram.com/sahebzamanbafq/" TargetMode="External"/><Relationship Id="rId9237" Type="http://schemas.openxmlformats.org/officeDocument/2006/relationships/hyperlink" Target="https://www.instagram.com/fadaeianhazratzahrabafq" TargetMode="External"/><Relationship Id="rId9238" Type="http://schemas.openxmlformats.org/officeDocument/2006/relationships/hyperlink" Target="https://www.instagram.com/heyat.hazrate.hojat.bafgh1354" TargetMode="External"/><Relationship Id="rId9220" Type="http://schemas.openxmlformats.org/officeDocument/2006/relationships/hyperlink" Target="https://t.me/majmaozakerinyazd" TargetMode="External"/><Relationship Id="rId9221" Type="http://schemas.openxmlformats.org/officeDocument/2006/relationships/hyperlink" Target="https://eitaa.com/majmaozakerinyazd" TargetMode="External"/><Relationship Id="rId9222" Type="http://schemas.openxmlformats.org/officeDocument/2006/relationships/hyperlink" Target="https://www.instagram.com/hosseinieh_sefid_ashkezar/" TargetMode="External"/><Relationship Id="rId9223" Type="http://schemas.openxmlformats.org/officeDocument/2006/relationships/hyperlink" Target="https://www.instagram.com/hayat_emamhasan_mojtaba/" TargetMode="External"/><Relationship Id="rId9228" Type="http://schemas.openxmlformats.org/officeDocument/2006/relationships/hyperlink" Target="https://www.instagram.com/beitreza/" TargetMode="External"/><Relationship Id="rId9229" Type="http://schemas.openxmlformats.org/officeDocument/2006/relationships/hyperlink" Target="https://www.instagram.com/mohebanbafgh" TargetMode="External"/><Relationship Id="rId9224" Type="http://schemas.openxmlformats.org/officeDocument/2006/relationships/hyperlink" Target="https://www.instagram.com/heyat_aliasghar_majoomerd/" TargetMode="External"/><Relationship Id="rId9225" Type="http://schemas.openxmlformats.org/officeDocument/2006/relationships/hyperlink" Target="https://www.instagram.com/baitozahra.rezvanshahr/" TargetMode="External"/><Relationship Id="rId9226" Type="http://schemas.openxmlformats.org/officeDocument/2006/relationships/hyperlink" Target="https://www.instagram.com/heiat.javananshahrmajomerd/" TargetMode="External"/><Relationship Id="rId9227" Type="http://schemas.openxmlformats.org/officeDocument/2006/relationships/hyperlink" Target="https://www.instagram.com/heyat.khezrabad/" TargetMode="External"/><Relationship Id="rId9297" Type="http://schemas.openxmlformats.org/officeDocument/2006/relationships/hyperlink" Target="https://www.instagram.com/yavaranmahditaft/" TargetMode="External"/><Relationship Id="rId9298" Type="http://schemas.openxmlformats.org/officeDocument/2006/relationships/hyperlink" Target="https://t.me/ghiasabad" TargetMode="External"/><Relationship Id="rId9299" Type="http://schemas.openxmlformats.org/officeDocument/2006/relationships/hyperlink" Target="https://www.instagram.com/mokebol_abbas_/" TargetMode="External"/><Relationship Id="rId9293" Type="http://schemas.openxmlformats.org/officeDocument/2006/relationships/hyperlink" Target="https://eitaa.com/heyatesaredeh" TargetMode="External"/><Relationship Id="rId9294" Type="http://schemas.openxmlformats.org/officeDocument/2006/relationships/hyperlink" Target="https://www.instagram.com/heyhat_seyedoshohada" TargetMode="External"/><Relationship Id="rId9295" Type="http://schemas.openxmlformats.org/officeDocument/2006/relationships/hyperlink" Target="https://www.instagram.com/heyate_hazrate_ali_asghar" TargetMode="External"/><Relationship Id="rId9296" Type="http://schemas.openxmlformats.org/officeDocument/2006/relationships/hyperlink" Target="https://www.instagram.com/bazartaft/" TargetMode="External"/><Relationship Id="rId9290" Type="http://schemas.openxmlformats.org/officeDocument/2006/relationships/hyperlink" Target="https://www.instagram.com/azakhaneh_taft" TargetMode="External"/><Relationship Id="rId9291" Type="http://schemas.openxmlformats.org/officeDocument/2006/relationships/hyperlink" Target="https://instagram.com/saredehtaft" TargetMode="External"/><Relationship Id="rId9292" Type="http://schemas.openxmlformats.org/officeDocument/2006/relationships/hyperlink" Target="https://t.me/heyatesaredeh" TargetMode="External"/><Relationship Id="rId9286" Type="http://schemas.openxmlformats.org/officeDocument/2006/relationships/hyperlink" Target="https://www.instagram.com/rv_nir_yazd/" TargetMode="External"/><Relationship Id="rId9287" Type="http://schemas.openxmlformats.org/officeDocument/2006/relationships/hyperlink" Target="https://eitaa.com/r_velayat_nir_yazd" TargetMode="External"/><Relationship Id="rId9288" Type="http://schemas.openxmlformats.org/officeDocument/2006/relationships/hyperlink" Target="https://eitaa.com/heyatoreza_dehshir" TargetMode="External"/><Relationship Id="rId9289" Type="http://schemas.openxmlformats.org/officeDocument/2006/relationships/hyperlink" Target="https://www.instagram.com/shohadayeeslamieh" TargetMode="External"/><Relationship Id="rId9282" Type="http://schemas.openxmlformats.org/officeDocument/2006/relationships/hyperlink" Target="https://eitaa.com/heyatesaredeh" TargetMode="External"/><Relationship Id="rId9283" Type="http://schemas.openxmlformats.org/officeDocument/2006/relationships/hyperlink" Target="https://eitaa.com/dashtak_oolia" TargetMode="External"/><Relationship Id="rId9284" Type="http://schemas.openxmlformats.org/officeDocument/2006/relationships/hyperlink" Target="https://www.instagram.com/heiat.aboalfazl" TargetMode="External"/><Relationship Id="rId9285" Type="http://schemas.openxmlformats.org/officeDocument/2006/relationships/hyperlink" Target="https://www.instagram.com/fadaeyan.hasan._" TargetMode="External"/><Relationship Id="rId5714" Type="http://schemas.openxmlformats.org/officeDocument/2006/relationships/hyperlink" Target="https://www.instagram.com/heyate.mohebin.hazrate.mohsen/" TargetMode="External"/><Relationship Id="rId5715" Type="http://schemas.openxmlformats.org/officeDocument/2006/relationships/hyperlink" Target="https://www.instagram.com/pirejamaran_com/" TargetMode="External"/><Relationship Id="rId5712" Type="http://schemas.openxmlformats.org/officeDocument/2006/relationships/hyperlink" Target="https://www.instagram.com/heyat_asheghan_ahle_beyt/" TargetMode="External"/><Relationship Id="rId5713" Type="http://schemas.openxmlformats.org/officeDocument/2006/relationships/hyperlink" Target="https://www.instagram.com/majmaa110/" TargetMode="External"/><Relationship Id="rId5718" Type="http://schemas.openxmlformats.org/officeDocument/2006/relationships/hyperlink" Target="https://www.instagram.com/norolhoda_daneshgah/" TargetMode="External"/><Relationship Id="rId5719" Type="http://schemas.openxmlformats.org/officeDocument/2006/relationships/hyperlink" Target="https://www.instagram.com/tanhatarin.sardar.qazvn/" TargetMode="External"/><Relationship Id="rId5716" Type="http://schemas.openxmlformats.org/officeDocument/2006/relationships/hyperlink" Target="https://www.instagram.com/mahdion_qazvin/" TargetMode="External"/><Relationship Id="rId5717" Type="http://schemas.openxmlformats.org/officeDocument/2006/relationships/hyperlink" Target="https://eitaa.com/nasimmarefat13" TargetMode="External"/><Relationship Id="rId5710" Type="http://schemas.openxmlformats.org/officeDocument/2006/relationships/hyperlink" Target="http://t.me/Atresib_ir" TargetMode="External"/><Relationship Id="rId5711" Type="http://schemas.openxmlformats.org/officeDocument/2006/relationships/hyperlink" Target="https://eitaa.com/kanoonetowhid" TargetMode="External"/><Relationship Id="rId5703" Type="http://schemas.openxmlformats.org/officeDocument/2006/relationships/hyperlink" Target="http://t.me/Roghaye_jaan315" TargetMode="External"/><Relationship Id="rId5704" Type="http://schemas.openxmlformats.org/officeDocument/2006/relationships/hyperlink" Target="https://www.instagram.com/roghayeh_khatun_qazvin/" TargetMode="External"/><Relationship Id="rId5701" Type="http://schemas.openxmlformats.org/officeDocument/2006/relationships/hyperlink" Target="https://eitaa.com/hosseinjan_qazvin" TargetMode="External"/><Relationship Id="rId5702" Type="http://schemas.openxmlformats.org/officeDocument/2006/relationships/hyperlink" Target="https://www.instagram.com/roghaye_jaan315/" TargetMode="External"/><Relationship Id="rId5707" Type="http://schemas.openxmlformats.org/officeDocument/2006/relationships/hyperlink" Target="https://www.instagram.com/ashouraian_ir/" TargetMode="External"/><Relationship Id="rId5708" Type="http://schemas.openxmlformats.org/officeDocument/2006/relationships/hyperlink" Target="https://eitaa.com/oshaqh_almahdi" TargetMode="External"/><Relationship Id="rId5705" Type="http://schemas.openxmlformats.org/officeDocument/2006/relationships/hyperlink" Target="https://www.instagram.com/sedreh_qazvin/" TargetMode="External"/><Relationship Id="rId5706" Type="http://schemas.openxmlformats.org/officeDocument/2006/relationships/hyperlink" Target="http://t.me/Sedreh_Qazvin" TargetMode="External"/><Relationship Id="rId5709" Type="http://schemas.openxmlformats.org/officeDocument/2006/relationships/hyperlink" Target="https://www.instagram.com/imamhosseinmosque/" TargetMode="External"/><Relationship Id="rId5700" Type="http://schemas.openxmlformats.org/officeDocument/2006/relationships/hyperlink" Target="https://telegram.me/hosseinjan_qazvin" TargetMode="External"/><Relationship Id="rId9253" Type="http://schemas.openxmlformats.org/officeDocument/2006/relationships/hyperlink" Target="https://www.instagram.com/heyate_habib_mazaher12/" TargetMode="External"/><Relationship Id="rId9254" Type="http://schemas.openxmlformats.org/officeDocument/2006/relationships/hyperlink" Target="https://t.me/heyatehabib" TargetMode="External"/><Relationship Id="rId9255" Type="http://schemas.openxmlformats.org/officeDocument/2006/relationships/hyperlink" Target="https://www.instagram.com/alqamehbafgh/" TargetMode="External"/><Relationship Id="rId9256" Type="http://schemas.openxmlformats.org/officeDocument/2006/relationships/hyperlink" Target="https://www.instagram.com/samenalaemeyzd" TargetMode="External"/><Relationship Id="rId9250" Type="http://schemas.openxmlformats.org/officeDocument/2006/relationships/hyperlink" Target="https://eitaa.com/merajshohadabir" TargetMode="External"/><Relationship Id="rId9251" Type="http://schemas.openxmlformats.org/officeDocument/2006/relationships/hyperlink" Target="https://www.instagram.com/beithasan/" TargetMode="External"/><Relationship Id="rId9252" Type="http://schemas.openxmlformats.org/officeDocument/2006/relationships/hyperlink" Target="https://www.instagram.com/heyatjavananhazrataliasghar_6/" TargetMode="External"/><Relationship Id="rId9257" Type="http://schemas.openxmlformats.org/officeDocument/2006/relationships/hyperlink" Target="https://www.instagram.com/mohebbin_zeinab_yazd" TargetMode="External"/><Relationship Id="rId9258" Type="http://schemas.openxmlformats.org/officeDocument/2006/relationships/hyperlink" Target="https://www.instagram.com/safina.nejat" TargetMode="External"/><Relationship Id="rId9259" Type="http://schemas.openxmlformats.org/officeDocument/2006/relationships/hyperlink" Target="https://t.me/safinanejat" TargetMode="External"/><Relationship Id="rId9242" Type="http://schemas.openxmlformats.org/officeDocument/2006/relationships/hyperlink" Target="https://www.instagram.com/heyate.rozatolroghayeh" TargetMode="External"/><Relationship Id="rId9243" Type="http://schemas.openxmlformats.org/officeDocument/2006/relationships/hyperlink" Target="https://t.me/heyaterozatolroghaye" TargetMode="External"/><Relationship Id="rId9244" Type="http://schemas.openxmlformats.org/officeDocument/2006/relationships/hyperlink" Target="https://www.instagram.com/zeynabiion_69" TargetMode="External"/><Relationship Id="rId9245" Type="http://schemas.openxmlformats.org/officeDocument/2006/relationships/hyperlink" Target="https://www.instagram.com/khadem_alshohada_bafgh" TargetMode="External"/><Relationship Id="rId9240" Type="http://schemas.openxmlformats.org/officeDocument/2006/relationships/hyperlink" Target="https://eitaa.com/montazeranbafgh" TargetMode="External"/><Relationship Id="rId9241" Type="http://schemas.openxmlformats.org/officeDocument/2006/relationships/hyperlink" Target="https://eitaa.com/rozatozahra_bafq" TargetMode="External"/><Relationship Id="rId9246" Type="http://schemas.openxmlformats.org/officeDocument/2006/relationships/hyperlink" Target="https://eitaa.com/khademin_shohada_bafgh" TargetMode="External"/><Relationship Id="rId9247" Type="http://schemas.openxmlformats.org/officeDocument/2006/relationships/hyperlink" Target="https://www.instagram.com/heyat_javanan" TargetMode="External"/><Relationship Id="rId9248" Type="http://schemas.openxmlformats.org/officeDocument/2006/relationships/hyperlink" Target="https://eitaa.com/hjavananbafgh" TargetMode="External"/><Relationship Id="rId9249" Type="http://schemas.openxmlformats.org/officeDocument/2006/relationships/hyperlink" Target="https://www.instagram.com/mearajoshohada" TargetMode="External"/><Relationship Id="rId9280" Type="http://schemas.openxmlformats.org/officeDocument/2006/relationships/hyperlink" Target="https://www.instagram.com/saredehtaft" TargetMode="External"/><Relationship Id="rId9281" Type="http://schemas.openxmlformats.org/officeDocument/2006/relationships/hyperlink" Target="http://t.me/heyatesaredeh" TargetMode="External"/><Relationship Id="rId9275" Type="http://schemas.openxmlformats.org/officeDocument/2006/relationships/hyperlink" Target="https://www.instagram.com/asheghanbaghitaft" TargetMode="External"/><Relationship Id="rId9276" Type="http://schemas.openxmlformats.org/officeDocument/2006/relationships/hyperlink" Target="https://t.me/AsheghanBaghiTaft" TargetMode="External"/><Relationship Id="rId9277" Type="http://schemas.openxmlformats.org/officeDocument/2006/relationships/hyperlink" Target="https://www.instagram.com/h_hazrataliasghar" TargetMode="External"/><Relationship Id="rId9278" Type="http://schemas.openxmlformats.org/officeDocument/2006/relationships/hyperlink" Target="https://eitaa.com/m_sahebalzaman" TargetMode="External"/><Relationship Id="rId9271" Type="http://schemas.openxmlformats.org/officeDocument/2006/relationships/hyperlink" Target="https://t.me/heyat_jannesaran_abolfazl" TargetMode="External"/><Relationship Id="rId9272" Type="http://schemas.openxmlformats.org/officeDocument/2006/relationships/hyperlink" Target="https://eitaa.com/maktabeyar" TargetMode="External"/><Relationship Id="rId9273" Type="http://schemas.openxmlformats.org/officeDocument/2006/relationships/hyperlink" Target="https://eitaa.com/alamdaranevelayat110" TargetMode="External"/><Relationship Id="rId9274" Type="http://schemas.openxmlformats.org/officeDocument/2006/relationships/hyperlink" Target="https://www.instagram.com/heyat_babal_havaej_1401" TargetMode="External"/><Relationship Id="rId9279" Type="http://schemas.openxmlformats.org/officeDocument/2006/relationships/hyperlink" Target="https://www.instagram.com/majmaalzakrin" TargetMode="External"/><Relationship Id="rId9270" Type="http://schemas.openxmlformats.org/officeDocument/2006/relationships/hyperlink" Target="https://www.instagram.com/heyat.janesaran.abolfazl/" TargetMode="External"/><Relationship Id="rId9264" Type="http://schemas.openxmlformats.org/officeDocument/2006/relationships/hyperlink" Target="https://www.instagram.com/heydarion_dammamzani" TargetMode="External"/><Relationship Id="rId9265" Type="http://schemas.openxmlformats.org/officeDocument/2006/relationships/hyperlink" Target="https://eitaa.com/heydariunir" TargetMode="External"/><Relationship Id="rId9266" Type="http://schemas.openxmlformats.org/officeDocument/2006/relationships/hyperlink" Target="https://www.instagram.com/beynolharameyn_bahabad" TargetMode="External"/><Relationship Id="rId9267" Type="http://schemas.openxmlformats.org/officeDocument/2006/relationships/hyperlink" Target="https://eitaa.com/beinolharameinbahabad" TargetMode="External"/><Relationship Id="rId9260" Type="http://schemas.openxmlformats.org/officeDocument/2006/relationships/hyperlink" Target="https://www.instagram.com/h_ansar133" TargetMode="External"/><Relationship Id="rId9261" Type="http://schemas.openxmlformats.org/officeDocument/2006/relationships/hyperlink" Target="https://eitaa.com/AnsarAl_abass" TargetMode="External"/><Relationship Id="rId9262" Type="http://schemas.openxmlformats.org/officeDocument/2006/relationships/hyperlink" Target="https://www.instagram.com/beynolharameyn_bahabad/" TargetMode="External"/><Relationship Id="rId9263" Type="http://schemas.openxmlformats.org/officeDocument/2006/relationships/hyperlink" Target="https://eitaa.com/jannesaranabalfazlebahabad" TargetMode="External"/><Relationship Id="rId9268" Type="http://schemas.openxmlformats.org/officeDocument/2006/relationships/hyperlink" Target="https://eitaa.com/beitrezayazd" TargetMode="External"/><Relationship Id="rId9269" Type="http://schemas.openxmlformats.org/officeDocument/2006/relationships/hyperlink" Target="https://www.instagram.com/aliakbarbahabad/" TargetMode="External"/><Relationship Id="rId3117" Type="http://schemas.openxmlformats.org/officeDocument/2006/relationships/hyperlink" Target="https://www.instagram.com/y.hossein.shahid" TargetMode="External"/><Relationship Id="rId4448" Type="http://schemas.openxmlformats.org/officeDocument/2006/relationships/hyperlink" Target="https://eitaa.com/Ansaralmahdi_kho" TargetMode="External"/><Relationship Id="rId3116" Type="http://schemas.openxmlformats.org/officeDocument/2006/relationships/hyperlink" Target="https://www.instagram.com/jalaseh_zeyarat_ashora" TargetMode="External"/><Relationship Id="rId4447" Type="http://schemas.openxmlformats.org/officeDocument/2006/relationships/hyperlink" Target="https://www.instagram.com/ansaralmahdi_kh" TargetMode="External"/><Relationship Id="rId3119" Type="http://schemas.openxmlformats.org/officeDocument/2006/relationships/hyperlink" Target="https://www.instagram.com/heyat_yahosein.shahid_tabriz" TargetMode="External"/><Relationship Id="rId5778" Type="http://schemas.openxmlformats.org/officeDocument/2006/relationships/hyperlink" Target="https://www.instagram.com/peyrovan_amin/" TargetMode="External"/><Relationship Id="rId3118" Type="http://schemas.openxmlformats.org/officeDocument/2006/relationships/hyperlink" Target="https://t.me/hyhsh" TargetMode="External"/><Relationship Id="rId4449" Type="http://schemas.openxmlformats.org/officeDocument/2006/relationships/hyperlink" Target="https://eitaa.com/Ansaralmahdi_kho" TargetMode="External"/><Relationship Id="rId5779" Type="http://schemas.openxmlformats.org/officeDocument/2006/relationships/hyperlink" Target="https://eitaa.com/Peyrovan_amin" TargetMode="External"/><Relationship Id="rId4440" Type="http://schemas.openxmlformats.org/officeDocument/2006/relationships/hyperlink" Target="https://eitaa.com/sshanbehaye_mahdavi_abadan" TargetMode="External"/><Relationship Id="rId5772" Type="http://schemas.openxmlformats.org/officeDocument/2006/relationships/hyperlink" Target="https://eitaa.com/ebn_reza_qazvin" TargetMode="External"/><Relationship Id="rId5773" Type="http://schemas.openxmlformats.org/officeDocument/2006/relationships/hyperlink" Target="https://t.me/njonon" TargetMode="External"/><Relationship Id="rId3111" Type="http://schemas.openxmlformats.org/officeDocument/2006/relationships/hyperlink" Target="https://eitaa.com/shorayeheyatmazhabitabriz" TargetMode="External"/><Relationship Id="rId4442" Type="http://schemas.openxmlformats.org/officeDocument/2006/relationships/hyperlink" Target="https://rubika.ir/marvani_mostafa" TargetMode="External"/><Relationship Id="rId5770" Type="http://schemas.openxmlformats.org/officeDocument/2006/relationships/hyperlink" Target="https://eitaa.com/beyt_sadat" TargetMode="External"/><Relationship Id="rId3110" Type="http://schemas.openxmlformats.org/officeDocument/2006/relationships/hyperlink" Target="https://www.instagram.com/heiat.moslemie" TargetMode="External"/><Relationship Id="rId4441" Type="http://schemas.openxmlformats.org/officeDocument/2006/relationships/hyperlink" Target="https://www.instagram.com/mostafa_marvani" TargetMode="External"/><Relationship Id="rId5771" Type="http://schemas.openxmlformats.org/officeDocument/2006/relationships/hyperlink" Target="https://www.instagram.com/hoseynieh_qazvin/" TargetMode="External"/><Relationship Id="rId3113" Type="http://schemas.openxmlformats.org/officeDocument/2006/relationships/hyperlink" Target="https://t.me/publictabrizuniversity" TargetMode="External"/><Relationship Id="rId4444" Type="http://schemas.openxmlformats.org/officeDocument/2006/relationships/hyperlink" Target="https://www.instagram.com/tajil_ir/" TargetMode="External"/><Relationship Id="rId5776" Type="http://schemas.openxmlformats.org/officeDocument/2006/relationships/hyperlink" Target="https://www.instagram.com/dokhtarannoora/" TargetMode="External"/><Relationship Id="rId3112" Type="http://schemas.openxmlformats.org/officeDocument/2006/relationships/hyperlink" Target="https://www.instagram.com/safineh_nejaat" TargetMode="External"/><Relationship Id="rId4443" Type="http://schemas.openxmlformats.org/officeDocument/2006/relationships/hyperlink" Target="https://eitaa.com/basijnews_DashtAzadagan" TargetMode="External"/><Relationship Id="rId5777" Type="http://schemas.openxmlformats.org/officeDocument/2006/relationships/hyperlink" Target="https://eitaa.com/dokhtaran_noora" TargetMode="External"/><Relationship Id="rId3115" Type="http://schemas.openxmlformats.org/officeDocument/2006/relationships/hyperlink" Target="https://www.instagram.com/sirat.media" TargetMode="External"/><Relationship Id="rId4446" Type="http://schemas.openxmlformats.org/officeDocument/2006/relationships/hyperlink" Target="https://www.instagram.com/zohrabpours/" TargetMode="External"/><Relationship Id="rId5774" Type="http://schemas.openxmlformats.org/officeDocument/2006/relationships/hyperlink" Target="https://www.instagram.com/kheymehonar/" TargetMode="External"/><Relationship Id="rId3114" Type="http://schemas.openxmlformats.org/officeDocument/2006/relationships/hyperlink" Target="https://eitaa.com/heyatshohadayeghomnam" TargetMode="External"/><Relationship Id="rId4445" Type="http://schemas.openxmlformats.org/officeDocument/2006/relationships/hyperlink" Target="https://www.instagram.com/seraj_behbahan/" TargetMode="External"/><Relationship Id="rId5775" Type="http://schemas.openxmlformats.org/officeDocument/2006/relationships/hyperlink" Target="https://t.me/kheymehonar" TargetMode="External"/><Relationship Id="rId3106" Type="http://schemas.openxmlformats.org/officeDocument/2006/relationships/hyperlink" Target="https://eitaa.com/basijnews_tabriz" TargetMode="External"/><Relationship Id="rId4437" Type="http://schemas.openxmlformats.org/officeDocument/2006/relationships/hyperlink" Target="https://eitaa.com/seyyedolkarim" TargetMode="External"/><Relationship Id="rId5769" Type="http://schemas.openxmlformats.org/officeDocument/2006/relationships/hyperlink" Target="https://t.me/beyt_sadat" TargetMode="External"/><Relationship Id="rId3105" Type="http://schemas.openxmlformats.org/officeDocument/2006/relationships/hyperlink" Target="https://t.me/MAHABOLFAZL" TargetMode="External"/><Relationship Id="rId4436" Type="http://schemas.openxmlformats.org/officeDocument/2006/relationships/hyperlink" Target="https://www.instagram.com/seyyedolkarim" TargetMode="External"/><Relationship Id="rId3108" Type="http://schemas.openxmlformats.org/officeDocument/2006/relationships/hyperlink" Target="https://t.me/HEYATMSETABRIZ" TargetMode="External"/><Relationship Id="rId4439" Type="http://schemas.openxmlformats.org/officeDocument/2006/relationships/hyperlink" Target="https://eitaa.com/heiateitaa" TargetMode="External"/><Relationship Id="rId5767" Type="http://schemas.openxmlformats.org/officeDocument/2006/relationships/hyperlink" Target="https://t.me/Atresib_ir" TargetMode="External"/><Relationship Id="rId3107" Type="http://schemas.openxmlformats.org/officeDocument/2006/relationships/hyperlink" Target="https://www.instagram.com/heyatmsetabriz.info" TargetMode="External"/><Relationship Id="rId4438" Type="http://schemas.openxmlformats.org/officeDocument/2006/relationships/hyperlink" Target="https://www.instagram.com/heiat.official/" TargetMode="External"/><Relationship Id="rId5768" Type="http://schemas.openxmlformats.org/officeDocument/2006/relationships/hyperlink" Target="https://www.instagram.com/beyt_sadat/" TargetMode="External"/><Relationship Id="rId3109" Type="http://schemas.openxmlformats.org/officeDocument/2006/relationships/hyperlink" Target="https://www.instagram.com/mokabaliakbar" TargetMode="External"/><Relationship Id="rId5761" Type="http://schemas.openxmlformats.org/officeDocument/2006/relationships/hyperlink" Target="https://www.instagram.com/saghaa_ir/" TargetMode="External"/><Relationship Id="rId5762" Type="http://schemas.openxmlformats.org/officeDocument/2006/relationships/hyperlink" Target="https://www.instagram.com/heiatshohada.q/" TargetMode="External"/><Relationship Id="rId3100" Type="http://schemas.openxmlformats.org/officeDocument/2006/relationships/hyperlink" Target="https://www.instagram.com/hyt_asheghan_hazratabolfazl" TargetMode="External"/><Relationship Id="rId4431" Type="http://schemas.openxmlformats.org/officeDocument/2006/relationships/hyperlink" Target="https://www.instagram.com/moezolmomenin_ir" TargetMode="External"/><Relationship Id="rId4430" Type="http://schemas.openxmlformats.org/officeDocument/2006/relationships/hyperlink" Target="https://eitaa.com/Moezolmomeninir" TargetMode="External"/><Relationship Id="rId5760" Type="http://schemas.openxmlformats.org/officeDocument/2006/relationships/hyperlink" Target="https://t.me/ayatolvelayat" TargetMode="External"/><Relationship Id="rId3102" Type="http://schemas.openxmlformats.org/officeDocument/2006/relationships/hyperlink" Target="https://www.instagram.com/maktabzahra97" TargetMode="External"/><Relationship Id="rId4433" Type="http://schemas.openxmlformats.org/officeDocument/2006/relationships/hyperlink" Target="https://eitaa.com/Moezolmomeninir" TargetMode="External"/><Relationship Id="rId5765" Type="http://schemas.openxmlformats.org/officeDocument/2006/relationships/hyperlink" Target="https://t.me/Mohammadeamin_info" TargetMode="External"/><Relationship Id="rId3101" Type="http://schemas.openxmlformats.org/officeDocument/2006/relationships/hyperlink" Target="https://t.me/hyt_asheghan_hzrt_abolfazl90" TargetMode="External"/><Relationship Id="rId4432" Type="http://schemas.openxmlformats.org/officeDocument/2006/relationships/hyperlink" Target="https://t.me/moezolmomenin_ir" TargetMode="External"/><Relationship Id="rId5766" Type="http://schemas.openxmlformats.org/officeDocument/2006/relationships/hyperlink" Target="https://www.instagram.com/atresib_ir/" TargetMode="External"/><Relationship Id="rId3104" Type="http://schemas.openxmlformats.org/officeDocument/2006/relationships/hyperlink" Target="https://www.instagram.com/mokabolabas_tabriz" TargetMode="External"/><Relationship Id="rId4435" Type="http://schemas.openxmlformats.org/officeDocument/2006/relationships/hyperlink" Target="https://eitaa.com/abamahdi" TargetMode="External"/><Relationship Id="rId5763" Type="http://schemas.openxmlformats.org/officeDocument/2006/relationships/hyperlink" Target="https://www.instagram.com/heyaat_aliakbar_qazvin/" TargetMode="External"/><Relationship Id="rId3103" Type="http://schemas.openxmlformats.org/officeDocument/2006/relationships/hyperlink" Target="https://eitaa.com/heyat_maktabolzahra_tbz" TargetMode="External"/><Relationship Id="rId4434" Type="http://schemas.openxmlformats.org/officeDocument/2006/relationships/hyperlink" Target="https://www.instagram.com/abamahdi313/" TargetMode="External"/><Relationship Id="rId5764" Type="http://schemas.openxmlformats.org/officeDocument/2006/relationships/hyperlink" Target="https://www.instagram.com/bachehayepayambar/" TargetMode="External"/><Relationship Id="rId3139" Type="http://schemas.openxmlformats.org/officeDocument/2006/relationships/hyperlink" Target="https://eitaa.com/sinezanan_shotorban_tabriz" TargetMode="External"/><Relationship Id="rId3138" Type="http://schemas.openxmlformats.org/officeDocument/2006/relationships/hyperlink" Target="https://t.me/maktabalhoseiyn" TargetMode="External"/><Relationship Id="rId4469" Type="http://schemas.openxmlformats.org/officeDocument/2006/relationships/hyperlink" Target="https://www.instagram.com/jahadi_emamhadi/" TargetMode="External"/><Relationship Id="rId5790" Type="http://schemas.openxmlformats.org/officeDocument/2006/relationships/hyperlink" Target="https://www.instagram.com/shohada_media.ir/" TargetMode="External"/><Relationship Id="rId5791" Type="http://schemas.openxmlformats.org/officeDocument/2006/relationships/hyperlink" Target="https://eitaa.com/shohada_media_ir" TargetMode="External"/><Relationship Id="rId4460" Type="http://schemas.openxmlformats.org/officeDocument/2006/relationships/hyperlink" Target="https://eitaa.com/heyetkmsu" TargetMode="External"/><Relationship Id="rId3131" Type="http://schemas.openxmlformats.org/officeDocument/2006/relationships/hyperlink" Target="https://www.instagram.com/hoze_valeasr_tabriz" TargetMode="External"/><Relationship Id="rId4462" Type="http://schemas.openxmlformats.org/officeDocument/2006/relationships/hyperlink" Target="https://www.instagram.com/hmz.kh/" TargetMode="External"/><Relationship Id="rId5794" Type="http://schemas.openxmlformats.org/officeDocument/2006/relationships/hyperlink" Target="https://t.me/ayatolvelayat" TargetMode="External"/><Relationship Id="rId3130" Type="http://schemas.openxmlformats.org/officeDocument/2006/relationships/hyperlink" Target="https://t.me/babalhavaejan" TargetMode="External"/><Relationship Id="rId4461" Type="http://schemas.openxmlformats.org/officeDocument/2006/relationships/hyperlink" Target="https://www.instagram.com/hosseineh_mohamad_rasoulallah/" TargetMode="External"/><Relationship Id="rId5795" Type="http://schemas.openxmlformats.org/officeDocument/2006/relationships/hyperlink" Target="https://www.instagram.com/rozatoalzahra.qaz/" TargetMode="External"/><Relationship Id="rId3133" Type="http://schemas.openxmlformats.org/officeDocument/2006/relationships/hyperlink" Target="https://www.instagram.com/dastajat_maralan" TargetMode="External"/><Relationship Id="rId4464" Type="http://schemas.openxmlformats.org/officeDocument/2006/relationships/hyperlink" Target="https://www.instagram.com/masjed_khatam_dez/" TargetMode="External"/><Relationship Id="rId5792" Type="http://schemas.openxmlformats.org/officeDocument/2006/relationships/hyperlink" Target="https://www.instagram.com/heyat_hazrat_javadolaemeh/" TargetMode="External"/><Relationship Id="rId3132" Type="http://schemas.openxmlformats.org/officeDocument/2006/relationships/hyperlink" Target="https://eitaa.com/howzehtabriz313" TargetMode="External"/><Relationship Id="rId4463" Type="http://schemas.openxmlformats.org/officeDocument/2006/relationships/hyperlink" Target="https://www.instagram.com/montazeran_1427/" TargetMode="External"/><Relationship Id="rId5793" Type="http://schemas.openxmlformats.org/officeDocument/2006/relationships/hyperlink" Target="https://www.instagram.com/ayat_velayat/" TargetMode="External"/><Relationship Id="rId3135" Type="http://schemas.openxmlformats.org/officeDocument/2006/relationships/hyperlink" Target="https://www.instagram.com/maktabonabitabriz" TargetMode="External"/><Relationship Id="rId4466" Type="http://schemas.openxmlformats.org/officeDocument/2006/relationships/hyperlink" Target="https://www.instagram.com/heyatorreza_ir" TargetMode="External"/><Relationship Id="rId5798" Type="http://schemas.openxmlformats.org/officeDocument/2006/relationships/hyperlink" Target="https://t.me/maktabolhadi_qazvin" TargetMode="External"/><Relationship Id="rId3134" Type="http://schemas.openxmlformats.org/officeDocument/2006/relationships/hyperlink" Target="https://www.instagram.com/samenolaemeh1" TargetMode="External"/><Relationship Id="rId4465" Type="http://schemas.openxmlformats.org/officeDocument/2006/relationships/hyperlink" Target="https://eitaa.com/masjed_khatam_dez" TargetMode="External"/><Relationship Id="rId5799" Type="http://schemas.openxmlformats.org/officeDocument/2006/relationships/hyperlink" Target="https://eitaa.com/h_maktabolhadi_qazvin" TargetMode="External"/><Relationship Id="rId3137" Type="http://schemas.openxmlformats.org/officeDocument/2006/relationships/hyperlink" Target="https://www.instagram.com/heyate_maktabe_hossein_1387" TargetMode="External"/><Relationship Id="rId4468" Type="http://schemas.openxmlformats.org/officeDocument/2006/relationships/hyperlink" Target="https://eitaa.com/hoseinieemamreza" TargetMode="External"/><Relationship Id="rId5796" Type="http://schemas.openxmlformats.org/officeDocument/2006/relationships/hyperlink" Target="https://www.instagram.com/h.oshagalmahdi/" TargetMode="External"/><Relationship Id="rId3136" Type="http://schemas.openxmlformats.org/officeDocument/2006/relationships/hyperlink" Target="https://t.me/maktabonnabitabriz" TargetMode="External"/><Relationship Id="rId4467" Type="http://schemas.openxmlformats.org/officeDocument/2006/relationships/hyperlink" Target="https://www.instagram.com/hoseinie_emamreza/" TargetMode="External"/><Relationship Id="rId5797" Type="http://schemas.openxmlformats.org/officeDocument/2006/relationships/hyperlink" Target="https://www.instagram.com/maktabolhadi_qazvin/" TargetMode="External"/><Relationship Id="rId3128" Type="http://schemas.openxmlformats.org/officeDocument/2006/relationships/hyperlink" Target="https://www.instagram.com/majmaol_zakerin_tabriz" TargetMode="External"/><Relationship Id="rId4459" Type="http://schemas.openxmlformats.org/officeDocument/2006/relationships/hyperlink" Target="https://www.instagram.com/heyetkmsu" TargetMode="External"/><Relationship Id="rId3127" Type="http://schemas.openxmlformats.org/officeDocument/2006/relationships/hyperlink" Target="https://eitaa.com/noorquran_ir" TargetMode="External"/><Relationship Id="rId4458" Type="http://schemas.openxmlformats.org/officeDocument/2006/relationships/hyperlink" Target="https://t.me/tl_lwaa_zainab_1432" TargetMode="External"/><Relationship Id="rId5789" Type="http://schemas.openxmlformats.org/officeDocument/2006/relationships/hyperlink" Target="https://www.instagram.com/alamdar_shohada/" TargetMode="External"/><Relationship Id="rId3129" Type="http://schemas.openxmlformats.org/officeDocument/2006/relationships/hyperlink" Target="https://www.instagram.com/heyat_babal_havaej_1401" TargetMode="External"/><Relationship Id="rId5780" Type="http://schemas.openxmlformats.org/officeDocument/2006/relationships/hyperlink" Target="https://www.instagram.com/abasaleh_inf/" TargetMode="External"/><Relationship Id="rId3120" Type="http://schemas.openxmlformats.org/officeDocument/2006/relationships/hyperlink" Target="https://t.me/YAHOSEINEMAZLOMETABRIZ" TargetMode="External"/><Relationship Id="rId4451" Type="http://schemas.openxmlformats.org/officeDocument/2006/relationships/hyperlink" Target="https://www.instagram.com/mwkib.shbabalqasim" TargetMode="External"/><Relationship Id="rId5783" Type="http://schemas.openxmlformats.org/officeDocument/2006/relationships/hyperlink" Target="https://www.instagram.com/r.shohada/" TargetMode="External"/><Relationship Id="rId4450" Type="http://schemas.openxmlformats.org/officeDocument/2006/relationships/hyperlink" Target="https://www.instagram.com/dar.al.imam.alreza/" TargetMode="External"/><Relationship Id="rId5784" Type="http://schemas.openxmlformats.org/officeDocument/2006/relationships/hyperlink" Target="https://www.instagram.com/beyt_roghayeh_ir/" TargetMode="External"/><Relationship Id="rId3122" Type="http://schemas.openxmlformats.org/officeDocument/2006/relationships/hyperlink" Target="https://www.instagram.com/elalhabib_1401" TargetMode="External"/><Relationship Id="rId4453" Type="http://schemas.openxmlformats.org/officeDocument/2006/relationships/hyperlink" Target="https://www.instagram.com/heyat_hazrat_roghaye/" TargetMode="External"/><Relationship Id="rId5781" Type="http://schemas.openxmlformats.org/officeDocument/2006/relationships/hyperlink" Target="https://t.me/abasaleh_inf" TargetMode="External"/><Relationship Id="rId3121" Type="http://schemas.openxmlformats.org/officeDocument/2006/relationships/hyperlink" Target="https://www.instagram.com/yahosseinefatehetabriz" TargetMode="External"/><Relationship Id="rId4452" Type="http://schemas.openxmlformats.org/officeDocument/2006/relationships/hyperlink" Target="https://www.instagram.com/shohada_gomnam_khoramshahr/" TargetMode="External"/><Relationship Id="rId5782" Type="http://schemas.openxmlformats.org/officeDocument/2006/relationships/hyperlink" Target="https://www.instagram.com/shohadayehosseini/" TargetMode="External"/><Relationship Id="rId3124" Type="http://schemas.openxmlformats.org/officeDocument/2006/relationships/hyperlink" Target="https://www.instagram.com/jannesarane_tabriz" TargetMode="External"/><Relationship Id="rId4455" Type="http://schemas.openxmlformats.org/officeDocument/2006/relationships/hyperlink" Target="http://t.me/heyat_ghatia_alkafain" TargetMode="External"/><Relationship Id="rId5787" Type="http://schemas.openxmlformats.org/officeDocument/2006/relationships/hyperlink" Target="https://www.instagram.com/mohsenzahra.qazvin/" TargetMode="External"/><Relationship Id="rId3123" Type="http://schemas.openxmlformats.org/officeDocument/2006/relationships/hyperlink" Target="https://eitaa.com/elalhabibk" TargetMode="External"/><Relationship Id="rId4454" Type="http://schemas.openxmlformats.org/officeDocument/2006/relationships/hyperlink" Target="https://www.instagram.com/heyat.ghatia.alkafain/" TargetMode="External"/><Relationship Id="rId5788" Type="http://schemas.openxmlformats.org/officeDocument/2006/relationships/hyperlink" Target="https://t.me/mohsenzahra" TargetMode="External"/><Relationship Id="rId3126" Type="http://schemas.openxmlformats.org/officeDocument/2006/relationships/hyperlink" Target="https://www.instagram.com/noorquran_ir" TargetMode="External"/><Relationship Id="rId4457" Type="http://schemas.openxmlformats.org/officeDocument/2006/relationships/hyperlink" Target="https://www.instagram.com/lwaa.zainab_1432/" TargetMode="External"/><Relationship Id="rId5785" Type="http://schemas.openxmlformats.org/officeDocument/2006/relationships/hyperlink" Target="https://www.instagram.com/farhangi_javadolaeme/" TargetMode="External"/><Relationship Id="rId3125" Type="http://schemas.openxmlformats.org/officeDocument/2006/relationships/hyperlink" Target="https://t.me/janesarantabriz69" TargetMode="External"/><Relationship Id="rId4456" Type="http://schemas.openxmlformats.org/officeDocument/2006/relationships/hyperlink" Target="https://www.instagram.com/ghamar.alashireh_kh/" TargetMode="External"/><Relationship Id="rId5786" Type="http://schemas.openxmlformats.org/officeDocument/2006/relationships/hyperlink" Target="https://t.me/masged_javadol_aemeh" TargetMode="External"/><Relationship Id="rId4404" Type="http://schemas.openxmlformats.org/officeDocument/2006/relationships/hyperlink" Target="https://www.instagram.com/heyat_ashaq_alhussain" TargetMode="External"/><Relationship Id="rId5736" Type="http://schemas.openxmlformats.org/officeDocument/2006/relationships/hyperlink" Target="https://t.me/karbalaeihayqazvin" TargetMode="External"/><Relationship Id="rId4403" Type="http://schemas.openxmlformats.org/officeDocument/2006/relationships/hyperlink" Target="https://eitaa.com/hasanjan_info" TargetMode="External"/><Relationship Id="rId5737" Type="http://schemas.openxmlformats.org/officeDocument/2006/relationships/hyperlink" Target="https://www.instagram.com/aleyasin_qazvin/" TargetMode="External"/><Relationship Id="rId4406" Type="http://schemas.openxmlformats.org/officeDocument/2006/relationships/hyperlink" Target="https://www.instagram.com/alaghileir/" TargetMode="External"/><Relationship Id="rId5734" Type="http://schemas.openxmlformats.org/officeDocument/2006/relationships/hyperlink" Target="https://t.me/javanan_valiasr_qaz" TargetMode="External"/><Relationship Id="rId4405" Type="http://schemas.openxmlformats.org/officeDocument/2006/relationships/hyperlink" Target="https://www.youtube.com/@heyatashagathussain" TargetMode="External"/><Relationship Id="rId5735" Type="http://schemas.openxmlformats.org/officeDocument/2006/relationships/hyperlink" Target="https://www.instagram.com/karbalaeihayqazvin/" TargetMode="External"/><Relationship Id="rId4408" Type="http://schemas.openxmlformats.org/officeDocument/2006/relationships/hyperlink" Target="https://www.instagram.com/ghobe_ir/" TargetMode="External"/><Relationship Id="rId4407" Type="http://schemas.openxmlformats.org/officeDocument/2006/relationships/hyperlink" Target="https://www.youtube.com/@alaghileir" TargetMode="External"/><Relationship Id="rId5738" Type="http://schemas.openxmlformats.org/officeDocument/2006/relationships/hyperlink" Target="https://www.instagram.com/mohebbanemamzaman" TargetMode="External"/><Relationship Id="rId4409" Type="http://schemas.openxmlformats.org/officeDocument/2006/relationships/hyperlink" Target="https://eitaa.com/ghobe_ir" TargetMode="External"/><Relationship Id="rId5739" Type="http://schemas.openxmlformats.org/officeDocument/2006/relationships/hyperlink" Target="https://t.me/mohebban_emamzaman" TargetMode="External"/><Relationship Id="rId4400" Type="http://schemas.openxmlformats.org/officeDocument/2006/relationships/hyperlink" Target="https://www.youtube.com/@HYAT_ALTAHA" TargetMode="External"/><Relationship Id="rId5732" Type="http://schemas.openxmlformats.org/officeDocument/2006/relationships/hyperlink" Target="https://t.me/javanan_baghedabir" TargetMode="External"/><Relationship Id="rId5733" Type="http://schemas.openxmlformats.org/officeDocument/2006/relationships/hyperlink" Target="https://www.instagram.com/javanan_valiasr.qazvin/" TargetMode="External"/><Relationship Id="rId4402" Type="http://schemas.openxmlformats.org/officeDocument/2006/relationships/hyperlink" Target="https://t.me/hasanjan_info" TargetMode="External"/><Relationship Id="rId5730" Type="http://schemas.openxmlformats.org/officeDocument/2006/relationships/hyperlink" Target="https://t.me/khoddamalhusein" TargetMode="External"/><Relationship Id="rId4401" Type="http://schemas.openxmlformats.org/officeDocument/2006/relationships/hyperlink" Target="https://www.instagram.com/hasanjan_info" TargetMode="External"/><Relationship Id="rId5731" Type="http://schemas.openxmlformats.org/officeDocument/2006/relationships/hyperlink" Target="https://www.instagram.com/javanan_baghedabir" TargetMode="External"/><Relationship Id="rId5725" Type="http://schemas.openxmlformats.org/officeDocument/2006/relationships/hyperlink" Target="https://t.me/heyat1342" TargetMode="External"/><Relationship Id="rId5726" Type="http://schemas.openxmlformats.org/officeDocument/2006/relationships/hyperlink" Target="https://eitaa.com/heyat1342" TargetMode="External"/><Relationship Id="rId5723" Type="http://schemas.openxmlformats.org/officeDocument/2006/relationships/hyperlink" Target="https://eitaa.com/ansaralmahdy1197" TargetMode="External"/><Relationship Id="rId5724" Type="http://schemas.openxmlformats.org/officeDocument/2006/relationships/hyperlink" Target="https://www.instagram.com/heyat.1342.ir/" TargetMode="External"/><Relationship Id="rId5729" Type="http://schemas.openxmlformats.org/officeDocument/2006/relationships/hyperlink" Target="https://www.instagram.com/khoddamalhusein/" TargetMode="External"/><Relationship Id="rId5727" Type="http://schemas.openxmlformats.org/officeDocument/2006/relationships/hyperlink" Target="https://eitaa.com/heyatasheghaneqazvin" TargetMode="External"/><Relationship Id="rId5728" Type="http://schemas.openxmlformats.org/officeDocument/2006/relationships/hyperlink" Target="https://www.instagram.com/heiatolhadiqazvin/" TargetMode="External"/><Relationship Id="rId5721" Type="http://schemas.openxmlformats.org/officeDocument/2006/relationships/hyperlink" Target="https://t.me/h_ansaralmahdi" TargetMode="External"/><Relationship Id="rId5722" Type="http://schemas.openxmlformats.org/officeDocument/2006/relationships/hyperlink" Target="https://eitaa.com/h_ansaralmahdi" TargetMode="External"/><Relationship Id="rId5720" Type="http://schemas.openxmlformats.org/officeDocument/2006/relationships/hyperlink" Target="https://www.instagram.com/h_ansaralmahdi/" TargetMode="External"/><Relationship Id="rId4426" Type="http://schemas.openxmlformats.org/officeDocument/2006/relationships/hyperlink" Target="https://www.instagram.com/oshaghozahra.beh" TargetMode="External"/><Relationship Id="rId5758" Type="http://schemas.openxmlformats.org/officeDocument/2006/relationships/hyperlink" Target="https://eitaa.com/aboutorabi_hosseiniyeh" TargetMode="External"/><Relationship Id="rId4425" Type="http://schemas.openxmlformats.org/officeDocument/2006/relationships/hyperlink" Target="https://www.instagram.com/moheban_roqaye_315/" TargetMode="External"/><Relationship Id="rId5759" Type="http://schemas.openxmlformats.org/officeDocument/2006/relationships/hyperlink" Target="https://www.instagram.com/ayatolvelayat/" TargetMode="External"/><Relationship Id="rId4428" Type="http://schemas.openxmlformats.org/officeDocument/2006/relationships/hyperlink" Target="https://www.instagram.com/behesht_moezolmomenin/" TargetMode="External"/><Relationship Id="rId5756" Type="http://schemas.openxmlformats.org/officeDocument/2006/relationships/hyperlink" Target="https://www.instagram.com/aboutorabi_hosseiniyeh/" TargetMode="External"/><Relationship Id="rId4427" Type="http://schemas.openxmlformats.org/officeDocument/2006/relationships/hyperlink" Target="https://eitaa.com/oshaghozahrabeh" TargetMode="External"/><Relationship Id="rId5757" Type="http://schemas.openxmlformats.org/officeDocument/2006/relationships/hyperlink" Target="https://t.me/aboutorabi_hosseiniyeh" TargetMode="External"/><Relationship Id="rId4429" Type="http://schemas.openxmlformats.org/officeDocument/2006/relationships/hyperlink" Target="https://t.me/moezolmomenin_ir" TargetMode="External"/><Relationship Id="rId5750" Type="http://schemas.openxmlformats.org/officeDocument/2006/relationships/hyperlink" Target="https://www.instagram.com/javananferdosiqazvin" TargetMode="External"/><Relationship Id="rId5751" Type="http://schemas.openxmlformats.org/officeDocument/2006/relationships/hyperlink" Target="https://www.instagram.com/zovarolhossein_qazvin/" TargetMode="External"/><Relationship Id="rId4420" Type="http://schemas.openxmlformats.org/officeDocument/2006/relationships/hyperlink" Target="https://www.instagram.com/chadoorkhaki69/" TargetMode="External"/><Relationship Id="rId4422" Type="http://schemas.openxmlformats.org/officeDocument/2006/relationships/hyperlink" Target="https://www.instagram.com/karbala_mahshahr1/" TargetMode="External"/><Relationship Id="rId5754" Type="http://schemas.openxmlformats.org/officeDocument/2006/relationships/hyperlink" Target="https://www.instagram.com/rozatolhossein.ir/" TargetMode="External"/><Relationship Id="rId4421" Type="http://schemas.openxmlformats.org/officeDocument/2006/relationships/hyperlink" Target="https://t.me/chadoorkhaki69" TargetMode="External"/><Relationship Id="rId5755" Type="http://schemas.openxmlformats.org/officeDocument/2006/relationships/hyperlink" Target="https://t.me/rozatolhosain_ir" TargetMode="External"/><Relationship Id="rId4424" Type="http://schemas.openxmlformats.org/officeDocument/2006/relationships/hyperlink" Target="https://eitaa.com/karbala_mahshahr1" TargetMode="External"/><Relationship Id="rId5752" Type="http://schemas.openxmlformats.org/officeDocument/2006/relationships/hyperlink" Target="https://www.instagram.com/javanane_tohid/" TargetMode="External"/><Relationship Id="rId4423" Type="http://schemas.openxmlformats.org/officeDocument/2006/relationships/hyperlink" Target="https://t.me/karbala_mahshahr1" TargetMode="External"/><Relationship Id="rId5753" Type="http://schemas.openxmlformats.org/officeDocument/2006/relationships/hyperlink" Target="https://t.me/javanane_tohid" TargetMode="External"/><Relationship Id="rId4415" Type="http://schemas.openxmlformats.org/officeDocument/2006/relationships/hyperlink" Target="https://www.instagram.com/heyatoreza.mahshahr" TargetMode="External"/><Relationship Id="rId5747" Type="http://schemas.openxmlformats.org/officeDocument/2006/relationships/hyperlink" Target="https://www.instagram.com/javanankosarqazvin" TargetMode="External"/><Relationship Id="rId4414" Type="http://schemas.openxmlformats.org/officeDocument/2006/relationships/hyperlink" Target="https://eitaa.com/BokaeInfo" TargetMode="External"/><Relationship Id="rId5748" Type="http://schemas.openxmlformats.org/officeDocument/2006/relationships/hyperlink" Target="https://www.instagram.com/oshagh_alabbas_qaz/" TargetMode="External"/><Relationship Id="rId4417" Type="http://schemas.openxmlformats.org/officeDocument/2006/relationships/hyperlink" Target="https://eitaa.com/heyatorrezaa" TargetMode="External"/><Relationship Id="rId5745" Type="http://schemas.openxmlformats.org/officeDocument/2006/relationships/hyperlink" Target="https://www.instagram.com/rahyafteganqazvin/" TargetMode="External"/><Relationship Id="rId4416" Type="http://schemas.openxmlformats.org/officeDocument/2006/relationships/hyperlink" Target="https://t.me/Heyatorreza" TargetMode="External"/><Relationship Id="rId5746" Type="http://schemas.openxmlformats.org/officeDocument/2006/relationships/hyperlink" Target="https://www.instagram.com/hyeataliakbari/" TargetMode="External"/><Relationship Id="rId4419" Type="http://schemas.openxmlformats.org/officeDocument/2006/relationships/hyperlink" Target="https://t.me/khoddamalhooseyn" TargetMode="External"/><Relationship Id="rId4418" Type="http://schemas.openxmlformats.org/officeDocument/2006/relationships/hyperlink" Target="https://www.instagram.com/khoddamalhoseyn" TargetMode="External"/><Relationship Id="rId5749" Type="http://schemas.openxmlformats.org/officeDocument/2006/relationships/hyperlink" Target="https://t.me/oshagh_alabbas_gh" TargetMode="External"/><Relationship Id="rId5740" Type="http://schemas.openxmlformats.org/officeDocument/2006/relationships/hyperlink" Target="https://www.instagram.com/leva_al_heydar/" TargetMode="External"/><Relationship Id="rId4411" Type="http://schemas.openxmlformats.org/officeDocument/2006/relationships/hyperlink" Target="https://eitaa.com/fater14" TargetMode="External"/><Relationship Id="rId5743" Type="http://schemas.openxmlformats.org/officeDocument/2006/relationships/hyperlink" Target="https://www.instagram.com/heyataliakbarzibashahr/" TargetMode="External"/><Relationship Id="rId4410" Type="http://schemas.openxmlformats.org/officeDocument/2006/relationships/hyperlink" Target="https://www.instagram.com/fater.14" TargetMode="External"/><Relationship Id="rId5744" Type="http://schemas.openxmlformats.org/officeDocument/2006/relationships/hyperlink" Target="https://t.me/heyataliakbarzibashahr" TargetMode="External"/><Relationship Id="rId4413" Type="http://schemas.openxmlformats.org/officeDocument/2006/relationships/hyperlink" Target="https://t.me/bokaeinfo" TargetMode="External"/><Relationship Id="rId5741" Type="http://schemas.openxmlformats.org/officeDocument/2006/relationships/hyperlink" Target="https://www.instagram.com/javanan_korosh_qazvin/" TargetMode="External"/><Relationship Id="rId4412" Type="http://schemas.openxmlformats.org/officeDocument/2006/relationships/hyperlink" Target="https://www.instagram.com/bokaeinfo" TargetMode="External"/><Relationship Id="rId5742" Type="http://schemas.openxmlformats.org/officeDocument/2006/relationships/hyperlink" Target="https://www.instagram.com/masjed_tohid_qazvin/" TargetMode="External"/><Relationship Id="rId3191" Type="http://schemas.openxmlformats.org/officeDocument/2006/relationships/hyperlink" Target="https://www.instagram.com/koyfathemi_tabriz/" TargetMode="External"/><Relationship Id="rId3190" Type="http://schemas.openxmlformats.org/officeDocument/2006/relationships/hyperlink" Target="https://www.instagram.com/mahdieh_taabriz/" TargetMode="External"/><Relationship Id="rId3193" Type="http://schemas.openxmlformats.org/officeDocument/2006/relationships/hyperlink" Target="https://eitaa.com/nahad_tabriz" TargetMode="External"/><Relationship Id="rId3192" Type="http://schemas.openxmlformats.org/officeDocument/2006/relationships/hyperlink" Target="https://www.instagram.com/tabriz.nahad.ir" TargetMode="External"/><Relationship Id="rId3195" Type="http://schemas.openxmlformats.org/officeDocument/2006/relationships/hyperlink" Target="https://www.instagram.com/imam_sajjad_tabriz" TargetMode="External"/><Relationship Id="rId3194" Type="http://schemas.openxmlformats.org/officeDocument/2006/relationships/hyperlink" Target="https://www.instagram.com/heyaate_azadaran_alaliatabriz/" TargetMode="External"/><Relationship Id="rId3197" Type="http://schemas.openxmlformats.org/officeDocument/2006/relationships/hyperlink" Target="https://www.instagram.com/ghamar_monire_banihashem" TargetMode="External"/><Relationship Id="rId3196" Type="http://schemas.openxmlformats.org/officeDocument/2006/relationships/hyperlink" Target="https://t.me/imam_sajjad" TargetMode="External"/><Relationship Id="rId3199" Type="http://schemas.openxmlformats.org/officeDocument/2006/relationships/hyperlink" Target="https://eitaa.com/bsd_tabriz" TargetMode="External"/><Relationship Id="rId3198" Type="http://schemas.openxmlformats.org/officeDocument/2006/relationships/hyperlink" Target="https://www.instagram.com/rahavard.tbz" TargetMode="External"/><Relationship Id="rId3180" Type="http://schemas.openxmlformats.org/officeDocument/2006/relationships/hyperlink" Target="https://www.instagram.com/asgharieazametabriz" TargetMode="External"/><Relationship Id="rId3182" Type="http://schemas.openxmlformats.org/officeDocument/2006/relationships/hyperlink" Target="https://www.instagram.com/peyrovane.alehashem" TargetMode="External"/><Relationship Id="rId3181" Type="http://schemas.openxmlformats.org/officeDocument/2006/relationships/hyperlink" Target="https://t.me/asgharieazametabriz" TargetMode="External"/><Relationship Id="rId3184" Type="http://schemas.openxmlformats.org/officeDocument/2006/relationships/hyperlink" Target="https://www.instagram.com/javanan_banihashm.tb" TargetMode="External"/><Relationship Id="rId3183" Type="http://schemas.openxmlformats.org/officeDocument/2006/relationships/hyperlink" Target="https://www.instagram.com/javanan_banihashem_tabriz" TargetMode="External"/><Relationship Id="rId3186" Type="http://schemas.openxmlformats.org/officeDocument/2006/relationships/hyperlink" Target="https://www.instagram.com/sarallah_fajr" TargetMode="External"/><Relationship Id="rId3185" Type="http://schemas.openxmlformats.org/officeDocument/2006/relationships/hyperlink" Target="https://www.instagram.com/mohebbane_baghei" TargetMode="External"/><Relationship Id="rId3188" Type="http://schemas.openxmlformats.org/officeDocument/2006/relationships/hyperlink" Target="https://www.instagram.com/heiat_gamar_bani_hashem" TargetMode="External"/><Relationship Id="rId3187" Type="http://schemas.openxmlformats.org/officeDocument/2006/relationships/hyperlink" Target="https://www.instagram.com/noorquran_ir" TargetMode="External"/><Relationship Id="rId3189" Type="http://schemas.openxmlformats.org/officeDocument/2006/relationships/hyperlink" Target="https://www.instagram.com/heyat_hazrat_abolfazl_tabriz" TargetMode="External"/><Relationship Id="rId4480" Type="http://schemas.openxmlformats.org/officeDocument/2006/relationships/hyperlink" Target="https://eitaa.com/khodam_alabbas" TargetMode="External"/><Relationship Id="rId3151" Type="http://schemas.openxmlformats.org/officeDocument/2006/relationships/hyperlink" Target="https://www.instagram.com/heyat_samenalaemeh" TargetMode="External"/><Relationship Id="rId4482" Type="http://schemas.openxmlformats.org/officeDocument/2006/relationships/hyperlink" Target="https://t.me/khoddam_dez" TargetMode="External"/><Relationship Id="rId3150" Type="http://schemas.openxmlformats.org/officeDocument/2006/relationships/hyperlink" Target="https://www.instagram.com/hazrate.rogeye" TargetMode="External"/><Relationship Id="rId4481" Type="http://schemas.openxmlformats.org/officeDocument/2006/relationships/hyperlink" Target="https://www.instagram.com/khoddamdez/" TargetMode="External"/><Relationship Id="rId3153" Type="http://schemas.openxmlformats.org/officeDocument/2006/relationships/hyperlink" Target="https://www.instagram.com/fatematol_zahra" TargetMode="External"/><Relationship Id="rId4484" Type="http://schemas.openxmlformats.org/officeDocument/2006/relationships/hyperlink" Target="https://www.instagram.com/kheimegah_dez/" TargetMode="External"/><Relationship Id="rId3152" Type="http://schemas.openxmlformats.org/officeDocument/2006/relationships/hyperlink" Target="https://www.instagram.com/ansar_bagher_al_ouloum" TargetMode="External"/><Relationship Id="rId4483" Type="http://schemas.openxmlformats.org/officeDocument/2006/relationships/hyperlink" Target="https://eitaa.com/khodamalmahdi_dezfoul" TargetMode="External"/><Relationship Id="rId3155" Type="http://schemas.openxmlformats.org/officeDocument/2006/relationships/hyperlink" Target="https://www.instagram.com/heyat_alzahra.ir" TargetMode="External"/><Relationship Id="rId4486" Type="http://schemas.openxmlformats.org/officeDocument/2006/relationships/hyperlink" Target="https://www.instagram.com/razmandegandezful/" TargetMode="External"/><Relationship Id="rId3154" Type="http://schemas.openxmlformats.org/officeDocument/2006/relationships/hyperlink" Target="https://www.instagram.com/abbasie_charandab" TargetMode="External"/><Relationship Id="rId4485" Type="http://schemas.openxmlformats.org/officeDocument/2006/relationships/hyperlink" Target="https://www.instagram.com/rayatalhoda_dezful/" TargetMode="External"/><Relationship Id="rId3157" Type="http://schemas.openxmlformats.org/officeDocument/2006/relationships/hyperlink" Target="https://t.me/heyatansarolmahditabriz" TargetMode="External"/><Relationship Id="rId4488" Type="http://schemas.openxmlformats.org/officeDocument/2006/relationships/hyperlink" Target="https://www.instagram.com/rahrovane_shohada_/" TargetMode="External"/><Relationship Id="rId3156" Type="http://schemas.openxmlformats.org/officeDocument/2006/relationships/hyperlink" Target="https://www.instagram.com/heyat_ansarolmahditabriz" TargetMode="External"/><Relationship Id="rId4487" Type="http://schemas.openxmlformats.org/officeDocument/2006/relationships/hyperlink" Target="https://eitaa.com/Razmandegan_Dezful" TargetMode="External"/><Relationship Id="rId3159" Type="http://schemas.openxmlformats.org/officeDocument/2006/relationships/hyperlink" Target="https://www.instagram.com/varesansarallah" TargetMode="External"/><Relationship Id="rId3158" Type="http://schemas.openxmlformats.org/officeDocument/2006/relationships/hyperlink" Target="https://eitaa.com/ansarolmahditabriz" TargetMode="External"/><Relationship Id="rId4489" Type="http://schemas.openxmlformats.org/officeDocument/2006/relationships/hyperlink" Target="https://eitaa.com/rahrovan_shohada110" TargetMode="External"/><Relationship Id="rId3149" Type="http://schemas.openxmlformats.org/officeDocument/2006/relationships/hyperlink" Target="https://t.me/mesbaholhodatabriz" TargetMode="External"/><Relationship Id="rId3140" Type="http://schemas.openxmlformats.org/officeDocument/2006/relationships/hyperlink" Target="https://www.instagram.com/zanjir_charandab" TargetMode="External"/><Relationship Id="rId4471" Type="http://schemas.openxmlformats.org/officeDocument/2006/relationships/hyperlink" Target="https://www.instagram.com/beytolhasan.dez/" TargetMode="External"/><Relationship Id="rId4470" Type="http://schemas.openxmlformats.org/officeDocument/2006/relationships/hyperlink" Target="https://www.instagram.com/ansaralmahdi.dezful/" TargetMode="External"/><Relationship Id="rId3142" Type="http://schemas.openxmlformats.org/officeDocument/2006/relationships/hyperlink" Target="https://eitaa.com/maktabegoorantabriz" TargetMode="External"/><Relationship Id="rId4473" Type="http://schemas.openxmlformats.org/officeDocument/2006/relationships/hyperlink" Target="https://www.instagram.com/tekiyenakhl/" TargetMode="External"/><Relationship Id="rId3141" Type="http://schemas.openxmlformats.org/officeDocument/2006/relationships/hyperlink" Target="https://www.instagram.com/chahardahmasom.charandab" TargetMode="External"/><Relationship Id="rId4472" Type="http://schemas.openxmlformats.org/officeDocument/2006/relationships/hyperlink" Target="https://eitaa.com/Baytolhasandez" TargetMode="External"/><Relationship Id="rId3144" Type="http://schemas.openxmlformats.org/officeDocument/2006/relationships/hyperlink" Target="https://www.instagram.com/fatemiyyontabriz" TargetMode="External"/><Relationship Id="rId4475" Type="http://schemas.openxmlformats.org/officeDocument/2006/relationships/hyperlink" Target="http://eitaa.com/masjed_zeynab_dezful" TargetMode="External"/><Relationship Id="rId3143" Type="http://schemas.openxmlformats.org/officeDocument/2006/relationships/hyperlink" Target="https://www.instagram.com/fatemiyune.tabriz" TargetMode="External"/><Relationship Id="rId4474" Type="http://schemas.openxmlformats.org/officeDocument/2006/relationships/hyperlink" Target="https://www.instagram.com/masjed_zeynab_dezful/" TargetMode="External"/><Relationship Id="rId3146" Type="http://schemas.openxmlformats.org/officeDocument/2006/relationships/hyperlink" Target="https://www.instagram.com/emam_javadolaeme" TargetMode="External"/><Relationship Id="rId4477" Type="http://schemas.openxmlformats.org/officeDocument/2006/relationships/hyperlink" Target="https://www.instagram.com/imam.zaynalabidin/" TargetMode="External"/><Relationship Id="rId3145" Type="http://schemas.openxmlformats.org/officeDocument/2006/relationships/hyperlink" Target="https://eitaa.com/fatemiyyontabriz" TargetMode="External"/><Relationship Id="rId4476" Type="http://schemas.openxmlformats.org/officeDocument/2006/relationships/hyperlink" Target="https://www.instagram.com/aliakbaradl/" TargetMode="External"/><Relationship Id="rId3148" Type="http://schemas.openxmlformats.org/officeDocument/2006/relationships/hyperlink" Target="https://www.instagram.com/mesbah_olhoda_tb" TargetMode="External"/><Relationship Id="rId4479" Type="http://schemas.openxmlformats.org/officeDocument/2006/relationships/hyperlink" Target="https://www.instagram.com/khodam_alabbas/" TargetMode="External"/><Relationship Id="rId3147" Type="http://schemas.openxmlformats.org/officeDocument/2006/relationships/hyperlink" Target="https://www.instagram.com/pabusan.ir" TargetMode="External"/><Relationship Id="rId4478" Type="http://schemas.openxmlformats.org/officeDocument/2006/relationships/hyperlink" Target="https://www.instagram.com/khodamalhossein118/" TargetMode="External"/><Relationship Id="rId3171" Type="http://schemas.openxmlformats.org/officeDocument/2006/relationships/hyperlink" Target="https://eitaa.com/serattb" TargetMode="External"/><Relationship Id="rId3170" Type="http://schemas.openxmlformats.org/officeDocument/2006/relationships/hyperlink" Target="https://www.instagram.com/serat.tb" TargetMode="External"/><Relationship Id="rId3173" Type="http://schemas.openxmlformats.org/officeDocument/2006/relationships/hyperlink" Target="https://t.me/cfu_fatemiyon" TargetMode="External"/><Relationship Id="rId3172" Type="http://schemas.openxmlformats.org/officeDocument/2006/relationships/hyperlink" Target="https://www.instagram.com/cfu.fatemiyon" TargetMode="External"/><Relationship Id="rId3175" Type="http://schemas.openxmlformats.org/officeDocument/2006/relationships/hyperlink" Target="https://www.instagram.com/heyat_sajjadiyetabriz" TargetMode="External"/><Relationship Id="rId3174" Type="http://schemas.openxmlformats.org/officeDocument/2006/relationships/hyperlink" Target="https://eitaa.com/heiatalemohammad" TargetMode="External"/><Relationship Id="rId3177" Type="http://schemas.openxmlformats.org/officeDocument/2006/relationships/hyperlink" Target="https://t.me/kheimealiasghar" TargetMode="External"/><Relationship Id="rId3176" Type="http://schemas.openxmlformats.org/officeDocument/2006/relationships/hyperlink" Target="https://www.instagram.com/kheimealiasghar" TargetMode="External"/><Relationship Id="rId3179" Type="http://schemas.openxmlformats.org/officeDocument/2006/relationships/hyperlink" Target="https://www.instagram.com/aba_taleb_ir" TargetMode="External"/><Relationship Id="rId3178" Type="http://schemas.openxmlformats.org/officeDocument/2006/relationships/hyperlink" Target="https://www.instagram.com/mokab.babalhavaej.tabriz" TargetMode="External"/><Relationship Id="rId3160" Type="http://schemas.openxmlformats.org/officeDocument/2006/relationships/hyperlink" Target="https://t.me/VaresanSarallahTabriz1" TargetMode="External"/><Relationship Id="rId4491" Type="http://schemas.openxmlformats.org/officeDocument/2006/relationships/hyperlink" Target="https://eitaa.ir/rozatoalzahra_ir" TargetMode="External"/><Relationship Id="rId4490" Type="http://schemas.openxmlformats.org/officeDocument/2006/relationships/hyperlink" Target="https://www.instagram.com/rozatoalzahrair/" TargetMode="External"/><Relationship Id="rId3162" Type="http://schemas.openxmlformats.org/officeDocument/2006/relationships/hyperlink" Target="https://eitaa.com/heyat_chahardah_masom" TargetMode="External"/><Relationship Id="rId4493" Type="http://schemas.openxmlformats.org/officeDocument/2006/relationships/hyperlink" Target="https://www.instagram.com/heyat.emam.sajjad/" TargetMode="External"/><Relationship Id="rId3161" Type="http://schemas.openxmlformats.org/officeDocument/2006/relationships/hyperlink" Target="https://www.instagram.com/maktabol_abbas_tabriz" TargetMode="External"/><Relationship Id="rId4492" Type="http://schemas.openxmlformats.org/officeDocument/2006/relationships/hyperlink" Target="https://www.instagram.com/reyhanaalnabi.ir/" TargetMode="External"/><Relationship Id="rId3164" Type="http://schemas.openxmlformats.org/officeDocument/2006/relationships/hyperlink" Target="https://t.me/AKBARIYEHshotorban" TargetMode="External"/><Relationship Id="rId4495" Type="http://schemas.openxmlformats.org/officeDocument/2006/relationships/hyperlink" Target="https://www.instagram.com/zanjir_sabzeghaba/" TargetMode="External"/><Relationship Id="rId3163" Type="http://schemas.openxmlformats.org/officeDocument/2006/relationships/hyperlink" Target="https://www.instagram.com/akbariyeh_shotorban_ir" TargetMode="External"/><Relationship Id="rId4494" Type="http://schemas.openxmlformats.org/officeDocument/2006/relationships/hyperlink" Target="https://t.me/heyat_emam_sajjad_1371" TargetMode="External"/><Relationship Id="rId3166" Type="http://schemas.openxmlformats.org/officeDocument/2006/relationships/hyperlink" Target="https://www.instagram.com/azzahraetabriz" TargetMode="External"/><Relationship Id="rId4497" Type="http://schemas.openxmlformats.org/officeDocument/2006/relationships/hyperlink" Target="https://www.instagram.com/nabiyazahra/" TargetMode="External"/><Relationship Id="rId3165" Type="http://schemas.openxmlformats.org/officeDocument/2006/relationships/hyperlink" Target="https://www.instagram.com/heiate_baghmishe" TargetMode="External"/><Relationship Id="rId4496" Type="http://schemas.openxmlformats.org/officeDocument/2006/relationships/hyperlink" Target="https://www.instagram.com/zanjirzanan.hazrat.ghasem/" TargetMode="External"/><Relationship Id="rId3168" Type="http://schemas.openxmlformats.org/officeDocument/2006/relationships/hyperlink" Target="https://eitaa.com/azzahraetabriz" TargetMode="External"/><Relationship Id="rId4499" Type="http://schemas.openxmlformats.org/officeDocument/2006/relationships/hyperlink" Target="https://eitaa.com/nabiyazahra" TargetMode="External"/><Relationship Id="rId3167" Type="http://schemas.openxmlformats.org/officeDocument/2006/relationships/hyperlink" Target="https://t.me/azzahraetabriz" TargetMode="External"/><Relationship Id="rId4498" Type="http://schemas.openxmlformats.org/officeDocument/2006/relationships/hyperlink" Target="https://t.me/nabiyazahra" TargetMode="External"/><Relationship Id="rId3169" Type="http://schemas.openxmlformats.org/officeDocument/2006/relationships/hyperlink" Target="https://www.instagram.com/shamsevelayat" TargetMode="External"/><Relationship Id="rId9330" Type="http://schemas.openxmlformats.org/officeDocument/2006/relationships/hyperlink" Target="https://t.me/mohebbin213" TargetMode="External"/><Relationship Id="rId9331" Type="http://schemas.openxmlformats.org/officeDocument/2006/relationships/hyperlink" Target="https://eitaa.com/mohebbine213" TargetMode="External"/><Relationship Id="rId9332" Type="http://schemas.openxmlformats.org/officeDocument/2006/relationships/hyperlink" Target="https://www.instagram.com/shrouded_in_zarch/" TargetMode="External"/><Relationship Id="rId9333" Type="http://schemas.openxmlformats.org/officeDocument/2006/relationships/hyperlink" Target="https://www.instagram.com/takiye_hazrat_abalfazl/" TargetMode="External"/><Relationship Id="rId8002" Type="http://schemas.openxmlformats.org/officeDocument/2006/relationships/hyperlink" Target="https://www.instagram.com/haramzeinabieh" TargetMode="External"/><Relationship Id="rId8001" Type="http://schemas.openxmlformats.org/officeDocument/2006/relationships/hyperlink" Target="https://www.instagram.com/heyatehazrateghasem" TargetMode="External"/><Relationship Id="rId8000" Type="http://schemas.openxmlformats.org/officeDocument/2006/relationships/hyperlink" Target="https://www.instagram.com/mohebban_amiralmumenin" TargetMode="External"/><Relationship Id="rId8006" Type="http://schemas.openxmlformats.org/officeDocument/2006/relationships/hyperlink" Target="https://t.me/almohammadbm" TargetMode="External"/><Relationship Id="rId9338" Type="http://schemas.openxmlformats.org/officeDocument/2006/relationships/hyperlink" Target="https://t.me/sahebazamanitabas" TargetMode="External"/><Relationship Id="rId8005" Type="http://schemas.openxmlformats.org/officeDocument/2006/relationships/hyperlink" Target="https://www.instagram.com/almohammadbm" TargetMode="External"/><Relationship Id="rId9339" Type="http://schemas.openxmlformats.org/officeDocument/2006/relationships/hyperlink" Target="https://eitaa.com/esteghamaii" TargetMode="External"/><Relationship Id="rId8004" Type="http://schemas.openxmlformats.org/officeDocument/2006/relationships/hyperlink" Target="https://eitaa.com/haramzeinabie" TargetMode="External"/><Relationship Id="rId8003" Type="http://schemas.openxmlformats.org/officeDocument/2006/relationships/hyperlink" Target="https://t.me/haramzeinabie" TargetMode="External"/><Relationship Id="rId9334" Type="http://schemas.openxmlformats.org/officeDocument/2006/relationships/hyperlink" Target="https://www.instagram.com/abolfazlitabas" TargetMode="External"/><Relationship Id="rId8009" Type="http://schemas.openxmlformats.org/officeDocument/2006/relationships/hyperlink" Target="https://t.me/atashsagha" TargetMode="External"/><Relationship Id="rId9335" Type="http://schemas.openxmlformats.org/officeDocument/2006/relationships/hyperlink" Target="https://www.instagram.com/heyathoseynitabas" TargetMode="External"/><Relationship Id="rId8008" Type="http://schemas.openxmlformats.org/officeDocument/2006/relationships/hyperlink" Target="https://www.instagram.com/kanoon.emamzaman" TargetMode="External"/><Relationship Id="rId9336" Type="http://schemas.openxmlformats.org/officeDocument/2006/relationships/hyperlink" Target="https://t.me/s/heyathoseynitabas/2552" TargetMode="External"/><Relationship Id="rId8007" Type="http://schemas.openxmlformats.org/officeDocument/2006/relationships/hyperlink" Target="https://eitaa.com/tashkoidiniabozydabad" TargetMode="External"/><Relationship Id="rId9337" Type="http://schemas.openxmlformats.org/officeDocument/2006/relationships/hyperlink" Target="https://www.instagram.com/heyat_sahebazamani_tabas" TargetMode="External"/><Relationship Id="rId9320" Type="http://schemas.openxmlformats.org/officeDocument/2006/relationships/hyperlink" Target="https://t.me/samenalhadid" TargetMode="External"/><Relationship Id="rId9321" Type="http://schemas.openxmlformats.org/officeDocument/2006/relationships/hyperlink" Target="https://eitaa.com/samenalhadid" TargetMode="External"/><Relationship Id="rId9322" Type="http://schemas.openxmlformats.org/officeDocument/2006/relationships/hyperlink" Target="https://www.instagram.com/qbh_zarch" TargetMode="External"/><Relationship Id="rId9327" Type="http://schemas.openxmlformats.org/officeDocument/2006/relationships/hyperlink" Target="https://www.instagram.com/neynava.zarch.yazd/" TargetMode="External"/><Relationship Id="rId9328" Type="http://schemas.openxmlformats.org/officeDocument/2006/relationships/hyperlink" Target="https://t.me/neynava_zarch" TargetMode="External"/><Relationship Id="rId9329" Type="http://schemas.openxmlformats.org/officeDocument/2006/relationships/hyperlink" Target="https://www.instagram.com/mohebbin213/" TargetMode="External"/><Relationship Id="rId9323" Type="http://schemas.openxmlformats.org/officeDocument/2006/relationships/hyperlink" Target="https://t.me/qbh_zarch" TargetMode="External"/><Relationship Id="rId9324" Type="http://schemas.openxmlformats.org/officeDocument/2006/relationships/hyperlink" Target="https://eitaa.com/qbh_zarch" TargetMode="External"/><Relationship Id="rId9325" Type="http://schemas.openxmlformats.org/officeDocument/2006/relationships/hyperlink" Target="https://www.instagram.com/zarch_husseiniyeh_yazd/" TargetMode="External"/><Relationship Id="rId9326" Type="http://schemas.openxmlformats.org/officeDocument/2006/relationships/hyperlink" Target="https://www.instagram.com/taziyeh_alghame_zarch/" TargetMode="External"/><Relationship Id="rId8020" Type="http://schemas.openxmlformats.org/officeDocument/2006/relationships/hyperlink" Target="https://t.me/fatemiyoon1391" TargetMode="External"/><Relationship Id="rId9352" Type="http://schemas.openxmlformats.org/officeDocument/2006/relationships/hyperlink" Target="https://eitaa.com/ansarolheidar_ir" TargetMode="External"/><Relationship Id="rId9353" Type="http://schemas.openxmlformats.org/officeDocument/2006/relationships/hyperlink" Target="https://instagram.com/Ansarmehriz" TargetMode="External"/><Relationship Id="rId9354" Type="http://schemas.openxmlformats.org/officeDocument/2006/relationships/hyperlink" Target="https://eitaa.com/ansarmehriz" TargetMode="External"/><Relationship Id="rId9355" Type="http://schemas.openxmlformats.org/officeDocument/2006/relationships/hyperlink" Target="https://www.instagram.com/heiate_aliebneabitaleb/" TargetMode="External"/><Relationship Id="rId8024" Type="http://schemas.openxmlformats.org/officeDocument/2006/relationships/hyperlink" Target="https://eitaa.com/imamhoseincharity_com" TargetMode="External"/><Relationship Id="rId8023" Type="http://schemas.openxmlformats.org/officeDocument/2006/relationships/hyperlink" Target="https://t.me/imamhosein_com" TargetMode="External"/><Relationship Id="rId8022" Type="http://schemas.openxmlformats.org/officeDocument/2006/relationships/hyperlink" Target="https://www.instagram.com/imamhosein_com" TargetMode="External"/><Relationship Id="rId9350" Type="http://schemas.openxmlformats.org/officeDocument/2006/relationships/hyperlink" Target="http://rozatolshohada.ir" TargetMode="External"/><Relationship Id="rId8021" Type="http://schemas.openxmlformats.org/officeDocument/2006/relationships/hyperlink" Target="https://www.instagram.com/anjomankheyriyeabolfazl" TargetMode="External"/><Relationship Id="rId9351" Type="http://schemas.openxmlformats.org/officeDocument/2006/relationships/hyperlink" Target="https://www.instagram.com/ansarolheidar_ir" TargetMode="External"/><Relationship Id="rId8028" Type="http://schemas.openxmlformats.org/officeDocument/2006/relationships/hyperlink" Target="https://www.instagram.com/heyat_hazrataliasghar" TargetMode="External"/><Relationship Id="rId8027" Type="http://schemas.openxmlformats.org/officeDocument/2006/relationships/hyperlink" Target="https://www.instagram.com/maktabazzahra201" TargetMode="External"/><Relationship Id="rId8026" Type="http://schemas.openxmlformats.org/officeDocument/2006/relationships/hyperlink" Target="https://www.instagram.com/heyat.sajadiye.kashan" TargetMode="External"/><Relationship Id="rId8025" Type="http://schemas.openxmlformats.org/officeDocument/2006/relationships/hyperlink" Target="https://www.instagram.com/hoseineh_hazrat_abalfazl" TargetMode="External"/><Relationship Id="rId9356" Type="http://schemas.openxmlformats.org/officeDocument/2006/relationships/hyperlink" Target="https://www.instagram.com/saryazd1" TargetMode="External"/><Relationship Id="rId9357" Type="http://schemas.openxmlformats.org/officeDocument/2006/relationships/hyperlink" Target="https://www.instagram.com/khadimalaemeh" TargetMode="External"/><Relationship Id="rId9358" Type="http://schemas.openxmlformats.org/officeDocument/2006/relationships/hyperlink" Target="https://www.instagram.com/mosqueeazratabolfazl_ir" TargetMode="External"/><Relationship Id="rId8029" Type="http://schemas.openxmlformats.org/officeDocument/2006/relationships/hyperlink" Target="https://www.instagram.com/oshagholhossein_mobarake" TargetMode="External"/><Relationship Id="rId9359" Type="http://schemas.openxmlformats.org/officeDocument/2006/relationships/hyperlink" Target="https://eitaa.com/mosqueeazratabolfazl_ir" TargetMode="External"/><Relationship Id="rId9341" Type="http://schemas.openxmlformats.org/officeDocument/2006/relationships/hyperlink" Target="https://www.instagram.com/montazaran_mahdi_marwast/" TargetMode="External"/><Relationship Id="rId9342" Type="http://schemas.openxmlformats.org/officeDocument/2006/relationships/hyperlink" Target="https://www.instagram.com/alavioon_mehrdasht/" TargetMode="External"/><Relationship Id="rId9343" Type="http://schemas.openxmlformats.org/officeDocument/2006/relationships/hyperlink" Target="http://eitaa.com/alavioon_mehrdasht" TargetMode="External"/><Relationship Id="rId9344" Type="http://schemas.openxmlformats.org/officeDocument/2006/relationships/hyperlink" Target="https://www.instagram.com/masjed_rasol_mehriz" TargetMode="External"/><Relationship Id="rId8013" Type="http://schemas.openxmlformats.org/officeDocument/2006/relationships/hyperlink" Target="https://www.instagram.com/heyat_montazeran_zohour" TargetMode="External"/><Relationship Id="rId8012" Type="http://schemas.openxmlformats.org/officeDocument/2006/relationships/hyperlink" Target="https://eitaa.com/hyatsalmghanbidghol" TargetMode="External"/><Relationship Id="rId8011" Type="http://schemas.openxmlformats.org/officeDocument/2006/relationships/hyperlink" Target="https://www.instagram.com/javad_ol_aeme14" TargetMode="External"/><Relationship Id="rId8010" Type="http://schemas.openxmlformats.org/officeDocument/2006/relationships/hyperlink" Target="https://t.me/Ya_Ghasem_ebnelHasan" TargetMode="External"/><Relationship Id="rId9340" Type="http://schemas.openxmlformats.org/officeDocument/2006/relationships/hyperlink" Target="https://www.instagram.com/taziye_salare_shahidan_marvast" TargetMode="External"/><Relationship Id="rId8017" Type="http://schemas.openxmlformats.org/officeDocument/2006/relationships/hyperlink" Target="https://www.instagram.com/emamreza88888" TargetMode="External"/><Relationship Id="rId9349" Type="http://schemas.openxmlformats.org/officeDocument/2006/relationships/hyperlink" Target="https://eitaa.com/rozatolshohadamehriz" TargetMode="External"/><Relationship Id="rId8016" Type="http://schemas.openxmlformats.org/officeDocument/2006/relationships/hyperlink" Target="https://www.instagram.com/heyat_shohada_khajoo" TargetMode="External"/><Relationship Id="rId8015" Type="http://schemas.openxmlformats.org/officeDocument/2006/relationships/hyperlink" Target="https://www.instagram.com/masjedjameesfahan110" TargetMode="External"/><Relationship Id="rId8014" Type="http://schemas.openxmlformats.org/officeDocument/2006/relationships/hyperlink" Target="https://www.instagram.com/abaabdelah.ir" TargetMode="External"/><Relationship Id="rId9345" Type="http://schemas.openxmlformats.org/officeDocument/2006/relationships/hyperlink" Target="https://www.instagram.com/h_ghamar_bani_hashem" TargetMode="External"/><Relationship Id="rId9346" Type="http://schemas.openxmlformats.org/officeDocument/2006/relationships/hyperlink" Target="https://www.instagram.com/aliasghar.mehriz" TargetMode="External"/><Relationship Id="rId8019" Type="http://schemas.openxmlformats.org/officeDocument/2006/relationships/hyperlink" Target="https://www.instagram.com/ansarolhosein_shahreza" TargetMode="External"/><Relationship Id="rId9347" Type="http://schemas.openxmlformats.org/officeDocument/2006/relationships/hyperlink" Target="https://eitaa.com/aliasghar_mehriz" TargetMode="External"/><Relationship Id="rId8018" Type="http://schemas.openxmlformats.org/officeDocument/2006/relationships/hyperlink" Target="https://www.instagram.com/fatemiyonesff.ir" TargetMode="External"/><Relationship Id="rId9348" Type="http://schemas.openxmlformats.org/officeDocument/2006/relationships/hyperlink" Target="https://www.instagram.com/rozatolshohada.live" TargetMode="External"/><Relationship Id="rId9310" Type="http://schemas.openxmlformats.org/officeDocument/2006/relationships/hyperlink" Target="https://eitaa.com/seshanbehayeshohadaii" TargetMode="External"/><Relationship Id="rId9311" Type="http://schemas.openxmlformats.org/officeDocument/2006/relationships/hyperlink" Target="https://www.instagram.com/ansarozahrayazd" TargetMode="External"/><Relationship Id="rId9316" Type="http://schemas.openxmlformats.org/officeDocument/2006/relationships/hyperlink" Target="https://instagram.com/mohebbin213" TargetMode="External"/><Relationship Id="rId9317" Type="http://schemas.openxmlformats.org/officeDocument/2006/relationships/hyperlink" Target="https://t.me/mohebbin213" TargetMode="External"/><Relationship Id="rId9318" Type="http://schemas.openxmlformats.org/officeDocument/2006/relationships/hyperlink" Target="https://eitaa.com/mohebbine213" TargetMode="External"/><Relationship Id="rId9319" Type="http://schemas.openxmlformats.org/officeDocument/2006/relationships/hyperlink" Target="https://www.instagram.com/samen_zarch" TargetMode="External"/><Relationship Id="rId9312" Type="http://schemas.openxmlformats.org/officeDocument/2006/relationships/hyperlink" Target="https://t.me/ansarozahrayazd" TargetMode="External"/><Relationship Id="rId9313" Type="http://schemas.openxmlformats.org/officeDocument/2006/relationships/hyperlink" Target="https://www.instagram.com/hossinye.gh.1/" TargetMode="External"/><Relationship Id="rId9314" Type="http://schemas.openxmlformats.org/officeDocument/2006/relationships/hyperlink" Target="https://www.instagram.com/mahfel133zarch" TargetMode="External"/><Relationship Id="rId9315" Type="http://schemas.openxmlformats.org/officeDocument/2006/relationships/hyperlink" Target="https://eitaa.com/mahfel133zarch" TargetMode="External"/><Relationship Id="rId9309" Type="http://schemas.openxmlformats.org/officeDocument/2006/relationships/hyperlink" Target="https://www.instagram.com/maktabeshohada.135" TargetMode="External"/><Relationship Id="rId9300" Type="http://schemas.openxmlformats.org/officeDocument/2006/relationships/hyperlink" Target="https://www.instagram.com/heyatesamentaft/" TargetMode="External"/><Relationship Id="rId9305" Type="http://schemas.openxmlformats.org/officeDocument/2006/relationships/hyperlink" Target="https://eitaa.com/hezbollahyazd" TargetMode="External"/><Relationship Id="rId9306" Type="http://schemas.openxmlformats.org/officeDocument/2006/relationships/hyperlink" Target="https://www.instagram.com/heyat_ansar_almahdi85" TargetMode="External"/><Relationship Id="rId9307" Type="http://schemas.openxmlformats.org/officeDocument/2006/relationships/hyperlink" Target="https://www.instagram.com/salmanefarsi97" TargetMode="External"/><Relationship Id="rId9308" Type="http://schemas.openxmlformats.org/officeDocument/2006/relationships/hyperlink" Target="https://eitaa.com/heiatesalmanefarsi97" TargetMode="External"/><Relationship Id="rId9301" Type="http://schemas.openxmlformats.org/officeDocument/2006/relationships/hyperlink" Target="https://t.me/heyatsamentaft" TargetMode="External"/><Relationship Id="rId9302" Type="http://schemas.openxmlformats.org/officeDocument/2006/relationships/hyperlink" Target="https://www.instagram.com/heydarekarar_taft_110" TargetMode="External"/><Relationship Id="rId9303" Type="http://schemas.openxmlformats.org/officeDocument/2006/relationships/hyperlink" Target="https://www.instagram.com/khadem.roghayeh_315/" TargetMode="External"/><Relationship Id="rId9304" Type="http://schemas.openxmlformats.org/officeDocument/2006/relationships/hyperlink" Target="https://www.instagram.com/majnoon_alhosaintft" TargetMode="External"/><Relationship Id="rId5813" Type="http://schemas.openxmlformats.org/officeDocument/2006/relationships/hyperlink" Target="https://www.instagram.com/emamhasanaskari_esf99/" TargetMode="External"/><Relationship Id="rId5814" Type="http://schemas.openxmlformats.org/officeDocument/2006/relationships/hyperlink" Target="https://www.instagram.com/mshohada_ir/" TargetMode="External"/><Relationship Id="rId5811" Type="http://schemas.openxmlformats.org/officeDocument/2006/relationships/hyperlink" Target="https://t.me/zovarozahra_esf" TargetMode="External"/><Relationship Id="rId5812" Type="http://schemas.openxmlformats.org/officeDocument/2006/relationships/hyperlink" Target="https://eitaa.com/zovarzahra_esf" TargetMode="External"/><Relationship Id="rId5817" Type="http://schemas.openxmlformats.org/officeDocument/2006/relationships/hyperlink" Target="https://www.instagram.com/emamhasanaskari_esf/" TargetMode="External"/><Relationship Id="rId5818" Type="http://schemas.openxmlformats.org/officeDocument/2006/relationships/hyperlink" Target="https://t.me/emamhasanaskari_esf" TargetMode="External"/><Relationship Id="rId5815" Type="http://schemas.openxmlformats.org/officeDocument/2006/relationships/hyperlink" Target="https://www.instagram.com/tofighian_133/" TargetMode="External"/><Relationship Id="rId5816" Type="http://schemas.openxmlformats.org/officeDocument/2006/relationships/hyperlink" Target="https://t.me/tofighian_133" TargetMode="External"/><Relationship Id="rId5819" Type="http://schemas.openxmlformats.org/officeDocument/2006/relationships/hyperlink" Target="https://www.instagram.com/hoseinjan_bojnord" TargetMode="External"/><Relationship Id="rId8093" Type="http://schemas.openxmlformats.org/officeDocument/2006/relationships/hyperlink" Target="https://eitaa.com/yazahra_isfahan" TargetMode="External"/><Relationship Id="rId8092" Type="http://schemas.openxmlformats.org/officeDocument/2006/relationships/hyperlink" Target="https://t.me/abalfazle_al_abbas" TargetMode="External"/><Relationship Id="rId8091" Type="http://schemas.openxmlformats.org/officeDocument/2006/relationships/hyperlink" Target="https://www.instagram.com/abalfazle_al_abbas" TargetMode="External"/><Relationship Id="rId8090" Type="http://schemas.openxmlformats.org/officeDocument/2006/relationships/hyperlink" Target="https://www.instagram.com/heyat_fatemiye_aran" TargetMode="External"/><Relationship Id="rId8086" Type="http://schemas.openxmlformats.org/officeDocument/2006/relationships/hyperlink" Target="https://eitaa.com/mahdaviyoon_esf" TargetMode="External"/><Relationship Id="rId8085" Type="http://schemas.openxmlformats.org/officeDocument/2006/relationships/hyperlink" Target="https://www.instagram.com/mahdaviyoon_esf" TargetMode="External"/><Relationship Id="rId8084" Type="http://schemas.openxmlformats.org/officeDocument/2006/relationships/hyperlink" Target="https://eitaa.com/mohebinhazratzahra" TargetMode="External"/><Relationship Id="rId8083" Type="http://schemas.openxmlformats.org/officeDocument/2006/relationships/hyperlink" Target="https://www.instagram.com/mohebinhazratzahra" TargetMode="External"/><Relationship Id="rId8089" Type="http://schemas.openxmlformats.org/officeDocument/2006/relationships/hyperlink" Target="https://www.instagram.com/fatemiye.isfahan" TargetMode="External"/><Relationship Id="rId8088" Type="http://schemas.openxmlformats.org/officeDocument/2006/relationships/hyperlink" Target="https://eitaa.com/mohedinzahra" TargetMode="External"/><Relationship Id="rId8087" Type="http://schemas.openxmlformats.org/officeDocument/2006/relationships/hyperlink" Target="https://www.instagram.com/fatemyoun_esfahan" TargetMode="External"/><Relationship Id="rId5810" Type="http://schemas.openxmlformats.org/officeDocument/2006/relationships/hyperlink" Target="https://www.instagram.com/zovarozahra_esf/" TargetMode="External"/><Relationship Id="rId5802" Type="http://schemas.openxmlformats.org/officeDocument/2006/relationships/hyperlink" Target="https://eitaa.com/Roghayeh_Khatun_Qazvin" TargetMode="External"/><Relationship Id="rId5803" Type="http://schemas.openxmlformats.org/officeDocument/2006/relationships/hyperlink" Target="https://www.instagram.com/kheymegah_201/" TargetMode="External"/><Relationship Id="rId5800" Type="http://schemas.openxmlformats.org/officeDocument/2006/relationships/hyperlink" Target="https://www.instagram.com/roghayeh.khatun.qazvin/" TargetMode="External"/><Relationship Id="rId5801" Type="http://schemas.openxmlformats.org/officeDocument/2006/relationships/hyperlink" Target="https://t.me/Roghayeh_Khatun_Qazvin" TargetMode="External"/><Relationship Id="rId5806" Type="http://schemas.openxmlformats.org/officeDocument/2006/relationships/hyperlink" Target="https://www.instagram.com/alamdar_esf133/" TargetMode="External"/><Relationship Id="rId5807" Type="http://schemas.openxmlformats.org/officeDocument/2006/relationships/hyperlink" Target="https://eitaa.com/alamdar_esf133" TargetMode="External"/><Relationship Id="rId5804" Type="http://schemas.openxmlformats.org/officeDocument/2006/relationships/hyperlink" Target="https://www.instagram.com/heyat_qamarbanihashem_ash.ir" TargetMode="External"/><Relationship Id="rId5805" Type="http://schemas.openxmlformats.org/officeDocument/2006/relationships/hyperlink" Target="https://t.me/ASHKHANEH133" TargetMode="External"/><Relationship Id="rId5808" Type="http://schemas.openxmlformats.org/officeDocument/2006/relationships/hyperlink" Target="https://www.instagram.com/rayat_esf/" TargetMode="External"/><Relationship Id="rId5809" Type="http://schemas.openxmlformats.org/officeDocument/2006/relationships/hyperlink" Target="https://eitaa.com/rayat_esf" TargetMode="External"/><Relationship Id="rId8082" Type="http://schemas.openxmlformats.org/officeDocument/2006/relationships/hyperlink" Target="https://www.instagram.com/habib_ebneh_mazaher" TargetMode="External"/><Relationship Id="rId8081" Type="http://schemas.openxmlformats.org/officeDocument/2006/relationships/hyperlink" Target="https://t.me/heyate_alavioon110" TargetMode="External"/><Relationship Id="rId8080" Type="http://schemas.openxmlformats.org/officeDocument/2006/relationships/hyperlink" Target="https://www.instagram.com/heyate_alavioon110" TargetMode="External"/><Relationship Id="rId8075" Type="http://schemas.openxmlformats.org/officeDocument/2006/relationships/hyperlink" Target="https://www.instagram.com/heyate_h_ali_akbar" TargetMode="External"/><Relationship Id="rId8074" Type="http://schemas.openxmlformats.org/officeDocument/2006/relationships/hyperlink" Target="https://www.instagram.com/heyat_hazratsajjad.esfahan" TargetMode="External"/><Relationship Id="rId8073" Type="http://schemas.openxmlformats.org/officeDocument/2006/relationships/hyperlink" Target="https://www.instagram.com/zokhrolhossein" TargetMode="External"/><Relationship Id="rId8072" Type="http://schemas.openxmlformats.org/officeDocument/2006/relationships/hyperlink" Target="https://www.instagram.com/reyhaneh.esfahan" TargetMode="External"/><Relationship Id="rId8079" Type="http://schemas.openxmlformats.org/officeDocument/2006/relationships/hyperlink" Target="https://eitaa.com/FatemiyehESF" TargetMode="External"/><Relationship Id="rId8078" Type="http://schemas.openxmlformats.org/officeDocument/2006/relationships/hyperlink" Target="https://t.me/aleyasinnj" TargetMode="External"/><Relationship Id="rId8077" Type="http://schemas.openxmlformats.org/officeDocument/2006/relationships/hyperlink" Target="https://eitaa.com/bonyadmahdaviatesf" TargetMode="External"/><Relationship Id="rId8076" Type="http://schemas.openxmlformats.org/officeDocument/2006/relationships/hyperlink" Target="https://www.instagram.com/mahdaviat_isf" TargetMode="External"/><Relationship Id="rId4503" Type="http://schemas.openxmlformats.org/officeDocument/2006/relationships/hyperlink" Target="https://www.instagram.com/malekashtar_dezful/" TargetMode="External"/><Relationship Id="rId5835" Type="http://schemas.openxmlformats.org/officeDocument/2006/relationships/hyperlink" Target="https://www.instagram.com/mohebbane_ahlebeyt_boj/" TargetMode="External"/><Relationship Id="rId4502" Type="http://schemas.openxmlformats.org/officeDocument/2006/relationships/hyperlink" Target="https://www.instagram.com/tekyeasheghanehosseinebneali_a/" TargetMode="External"/><Relationship Id="rId5836" Type="http://schemas.openxmlformats.org/officeDocument/2006/relationships/hyperlink" Target="https://tel.me/mohebbane_ahlebeyt_boj" TargetMode="External"/><Relationship Id="rId4505" Type="http://schemas.openxmlformats.org/officeDocument/2006/relationships/hyperlink" Target="https://www.instagram.com/hoseniye.seyed.shohada/" TargetMode="External"/><Relationship Id="rId5833" Type="http://schemas.openxmlformats.org/officeDocument/2006/relationships/hyperlink" Target="https://www.instagram.com/hoseinjan_bojnord" TargetMode="External"/><Relationship Id="rId4504" Type="http://schemas.openxmlformats.org/officeDocument/2006/relationships/hyperlink" Target="https://www.instagram.com/serat_jalasat/" TargetMode="External"/><Relationship Id="rId5834" Type="http://schemas.openxmlformats.org/officeDocument/2006/relationships/hyperlink" Target="https://eitaa.com/hoseinjan_bojnord" TargetMode="External"/><Relationship Id="rId4507" Type="http://schemas.openxmlformats.org/officeDocument/2006/relationships/hyperlink" Target="https://www.instagram.com/hoseinieh.shohada/" TargetMode="External"/><Relationship Id="rId5839" Type="http://schemas.openxmlformats.org/officeDocument/2006/relationships/hyperlink" Target="https://www.instagram.com/heiatroghayejan/" TargetMode="External"/><Relationship Id="rId4506" Type="http://schemas.openxmlformats.org/officeDocument/2006/relationships/hyperlink" Target="https://t.me/HosseiniehSeyedolshohada" TargetMode="External"/><Relationship Id="rId4509" Type="http://schemas.openxmlformats.org/officeDocument/2006/relationships/hyperlink" Target="https://www.instagram.com/heyat_shohday_kargar/" TargetMode="External"/><Relationship Id="rId5837" Type="http://schemas.openxmlformats.org/officeDocument/2006/relationships/hyperlink" Target="https://www.instagram.com/heyat.javadolaemh/" TargetMode="External"/><Relationship Id="rId4508" Type="http://schemas.openxmlformats.org/officeDocument/2006/relationships/hyperlink" Target="https://t.me/hoseinieh_shohada_dezful" TargetMode="External"/><Relationship Id="rId5838" Type="http://schemas.openxmlformats.org/officeDocument/2006/relationships/hyperlink" Target="https://www.instagram.com/yazeinab.bojnord/" TargetMode="External"/><Relationship Id="rId5831" Type="http://schemas.openxmlformats.org/officeDocument/2006/relationships/hyperlink" Target="https://t.me/razmandeganbojnurd" TargetMode="External"/><Relationship Id="rId5832" Type="http://schemas.openxmlformats.org/officeDocument/2006/relationships/hyperlink" Target="https://eitaa.com/razmndgan_jame" TargetMode="External"/><Relationship Id="rId4501" Type="http://schemas.openxmlformats.org/officeDocument/2006/relationships/hyperlink" Target="https://www.instagram.com/safir_khz/" TargetMode="External"/><Relationship Id="rId4500" Type="http://schemas.openxmlformats.org/officeDocument/2006/relationships/hyperlink" Target="https://www.instagram.com/imamhosseinghalehseyyed/" TargetMode="External"/><Relationship Id="rId5830" Type="http://schemas.openxmlformats.org/officeDocument/2006/relationships/hyperlink" Target="https://www.instagram.com/razmandeganbojnurd/" TargetMode="External"/><Relationship Id="rId5824" Type="http://schemas.openxmlformats.org/officeDocument/2006/relationships/hyperlink" Target="https://t.me/aliasgharjavan" TargetMode="External"/><Relationship Id="rId5825" Type="http://schemas.openxmlformats.org/officeDocument/2006/relationships/hyperlink" Target="https://www.instagram.com/norolmahdi313/" TargetMode="External"/><Relationship Id="rId5822" Type="http://schemas.openxmlformats.org/officeDocument/2006/relationships/hyperlink" Target="https://www.instagram.com/sarallah.esf/" TargetMode="External"/><Relationship Id="rId5823" Type="http://schemas.openxmlformats.org/officeDocument/2006/relationships/hyperlink" Target="https://www.instagram.com/aliasgharjavan_esf" TargetMode="External"/><Relationship Id="rId5828" Type="http://schemas.openxmlformats.org/officeDocument/2006/relationships/hyperlink" Target="https://www.instagram.com/masjedbaghyatallah/" TargetMode="External"/><Relationship Id="rId5829" Type="http://schemas.openxmlformats.org/officeDocument/2006/relationships/hyperlink" Target="https://www.instagram.com/mahdie_emam_hasan_mojtaba/" TargetMode="External"/><Relationship Id="rId5826" Type="http://schemas.openxmlformats.org/officeDocument/2006/relationships/hyperlink" Target="https://t.me/norolmahdi313" TargetMode="External"/><Relationship Id="rId5827" Type="http://schemas.openxmlformats.org/officeDocument/2006/relationships/hyperlink" Target="https://www.instagram.com/najm_oficial/" TargetMode="External"/><Relationship Id="rId8097" Type="http://schemas.openxmlformats.org/officeDocument/2006/relationships/hyperlink" Target="https://eitaa.com/Afagh_aci" TargetMode="External"/><Relationship Id="rId8096" Type="http://schemas.openxmlformats.org/officeDocument/2006/relationships/hyperlink" Target="https://eitaa.com/Lasarat_Alhossinir" TargetMode="External"/><Relationship Id="rId8095" Type="http://schemas.openxmlformats.org/officeDocument/2006/relationships/hyperlink" Target="https://www.instagram.com/haiat_lasarat_alhossin" TargetMode="External"/><Relationship Id="rId8094" Type="http://schemas.openxmlformats.org/officeDocument/2006/relationships/hyperlink" Target="https://www.instagram.com/moheban_alzahra135" TargetMode="External"/><Relationship Id="rId8099" Type="http://schemas.openxmlformats.org/officeDocument/2006/relationships/hyperlink" Target="https://t.me/janatalhosein" TargetMode="External"/><Relationship Id="rId8098" Type="http://schemas.openxmlformats.org/officeDocument/2006/relationships/hyperlink" Target="https://www.instagram.com/janatalhosein_esf" TargetMode="External"/><Relationship Id="rId5820" Type="http://schemas.openxmlformats.org/officeDocument/2006/relationships/hyperlink" Target="https://eitaa.com/mahdiye_heyat" TargetMode="External"/><Relationship Id="rId5821" Type="http://schemas.openxmlformats.org/officeDocument/2006/relationships/hyperlink" Target="https://eitaa.com/razmande" TargetMode="External"/><Relationship Id="rId9380" Type="http://schemas.openxmlformats.org/officeDocument/2006/relationships/hyperlink" Target="https://eitaa.com/heyatsarcheshme" TargetMode="External"/><Relationship Id="rId8042" Type="http://schemas.openxmlformats.org/officeDocument/2006/relationships/hyperlink" Target="https://www.instagram.com/mokeb_sedighe_tahere/" TargetMode="External"/><Relationship Id="rId9374" Type="http://schemas.openxmlformats.org/officeDocument/2006/relationships/hyperlink" Target="https://eitaa.com/sarallahmehriz" TargetMode="External"/><Relationship Id="rId8041" Type="http://schemas.openxmlformats.org/officeDocument/2006/relationships/hyperlink" Target="https://eitaa.com/fatemion_com" TargetMode="External"/><Relationship Id="rId9375" Type="http://schemas.openxmlformats.org/officeDocument/2006/relationships/hyperlink" Target="https://www.instagram.com/ansarolhosain_mehriz" TargetMode="External"/><Relationship Id="rId8040" Type="http://schemas.openxmlformats.org/officeDocument/2006/relationships/hyperlink" Target="https://www.instagram.com/fatemion_com" TargetMode="External"/><Relationship Id="rId9376" Type="http://schemas.openxmlformats.org/officeDocument/2006/relationships/hyperlink" Target="https://t.me/ansarolhosain_mehriz" TargetMode="External"/><Relationship Id="rId9377" Type="http://schemas.openxmlformats.org/officeDocument/2006/relationships/hyperlink" Target="https://www.instagram.com/khaterate_khormiz" TargetMode="External"/><Relationship Id="rId8046" Type="http://schemas.openxmlformats.org/officeDocument/2006/relationships/hyperlink" Target="https://www.instagram.com/zahraun.esf" TargetMode="External"/><Relationship Id="rId9370" Type="http://schemas.openxmlformats.org/officeDocument/2006/relationships/hyperlink" Target="https://eitaa.com/yarogayee" TargetMode="External"/><Relationship Id="rId8045" Type="http://schemas.openxmlformats.org/officeDocument/2006/relationships/hyperlink" Target="https://www.instagram.com/ansare_fatemeh" TargetMode="External"/><Relationship Id="rId9371" Type="http://schemas.openxmlformats.org/officeDocument/2006/relationships/hyperlink" Target="https://www.instagram.com/heyat_abolfazll_alabbas" TargetMode="External"/><Relationship Id="rId8044" Type="http://schemas.openxmlformats.org/officeDocument/2006/relationships/hyperlink" Target="https://eitaa.com/peyrovan_etrat" TargetMode="External"/><Relationship Id="rId9372" Type="http://schemas.openxmlformats.org/officeDocument/2006/relationships/hyperlink" Target="https://instagram.com/sarallahmehriz" TargetMode="External"/><Relationship Id="rId8043" Type="http://schemas.openxmlformats.org/officeDocument/2006/relationships/hyperlink" Target="https://eitaa.com/mokeb_sedighe_tahere" TargetMode="External"/><Relationship Id="rId9373" Type="http://schemas.openxmlformats.org/officeDocument/2006/relationships/hyperlink" Target="https://t.me/sarallahmehriz" TargetMode="External"/><Relationship Id="rId8049" Type="http://schemas.openxmlformats.org/officeDocument/2006/relationships/hyperlink" Target="https://www.instagram.com/heyatsafir110" TargetMode="External"/><Relationship Id="rId8048" Type="http://schemas.openxmlformats.org/officeDocument/2006/relationships/hyperlink" Target="https://www.instagram.com/jvananaliakbar_1390" TargetMode="External"/><Relationship Id="rId8047" Type="http://schemas.openxmlformats.org/officeDocument/2006/relationships/hyperlink" Target="https://www.instagram.com/onsbamahdi" TargetMode="External"/><Relationship Id="rId9378" Type="http://schemas.openxmlformats.org/officeDocument/2006/relationships/hyperlink" Target="https://eitaa.com/mosqueeazratabolfazl_ir" TargetMode="External"/><Relationship Id="rId9379" Type="http://schemas.openxmlformats.org/officeDocument/2006/relationships/hyperlink" Target="https://www.instagram.com/azadaransarcheshme.ir" TargetMode="External"/><Relationship Id="rId8031" Type="http://schemas.openxmlformats.org/officeDocument/2006/relationships/hyperlink" Target="https://www.instagram.com/movkebnaein" TargetMode="External"/><Relationship Id="rId9363" Type="http://schemas.openxmlformats.org/officeDocument/2006/relationships/hyperlink" Target="https://eitaa.com/heyatghasmbanelhasan" TargetMode="External"/><Relationship Id="rId8030" Type="http://schemas.openxmlformats.org/officeDocument/2006/relationships/hyperlink" Target="https://www.instagram.com/isfahan.atabat" TargetMode="External"/><Relationship Id="rId9364" Type="http://schemas.openxmlformats.org/officeDocument/2006/relationships/hyperlink" Target="https://eitaa.com/heyatsarcheshme" TargetMode="External"/><Relationship Id="rId9365" Type="http://schemas.openxmlformats.org/officeDocument/2006/relationships/hyperlink" Target="https://www.instagram.com/heyat_abolfazll_alabbas" TargetMode="External"/><Relationship Id="rId9366" Type="http://schemas.openxmlformats.org/officeDocument/2006/relationships/hyperlink" Target="https://instagram.com/ashouraeiyan_ir" TargetMode="External"/><Relationship Id="rId8035" Type="http://schemas.openxmlformats.org/officeDocument/2006/relationships/hyperlink" Target="https://t.me/montazeraniha313" TargetMode="External"/><Relationship Id="rId8034" Type="http://schemas.openxmlformats.org/officeDocument/2006/relationships/hyperlink" Target="https://www.instagram.com/montazeraniha313" TargetMode="External"/><Relationship Id="rId9360" Type="http://schemas.openxmlformats.org/officeDocument/2006/relationships/hyperlink" Target="https://www.instagram.com/khane_imamhossini_yazd" TargetMode="External"/><Relationship Id="rId8033" Type="http://schemas.openxmlformats.org/officeDocument/2006/relationships/hyperlink" Target="https://www.instagram.com/natanz.markaz.heyateabolfazl" TargetMode="External"/><Relationship Id="rId9361" Type="http://schemas.openxmlformats.org/officeDocument/2006/relationships/hyperlink" Target="https://www.instagram.com/masjed_abolfazl_yazd" TargetMode="External"/><Relationship Id="rId8032" Type="http://schemas.openxmlformats.org/officeDocument/2006/relationships/hyperlink" Target="https://www.instagram.com/njfheyat" TargetMode="External"/><Relationship Id="rId9362" Type="http://schemas.openxmlformats.org/officeDocument/2006/relationships/hyperlink" Target="https://www.instagram.com/heeyat.ghasmbanelhasan" TargetMode="External"/><Relationship Id="rId8039" Type="http://schemas.openxmlformats.org/officeDocument/2006/relationships/hyperlink" Target="https://eitaa.com/sayyedmahdi8" TargetMode="External"/><Relationship Id="rId8038" Type="http://schemas.openxmlformats.org/officeDocument/2006/relationships/hyperlink" Target="https://www.instagram.com/ahoahoo_nojavan/" TargetMode="External"/><Relationship Id="rId8037" Type="http://schemas.openxmlformats.org/officeDocument/2006/relationships/hyperlink" Target="https://eitaa.com/muhtadoun" TargetMode="External"/><Relationship Id="rId8036" Type="http://schemas.openxmlformats.org/officeDocument/2006/relationships/hyperlink" Target="https://eitaa.com/BSJ_LENJAN_STUDENTS" TargetMode="External"/><Relationship Id="rId9367" Type="http://schemas.openxmlformats.org/officeDocument/2006/relationships/hyperlink" Target="https://t.me/ashouraeiyan_ir" TargetMode="External"/><Relationship Id="rId9368" Type="http://schemas.openxmlformats.org/officeDocument/2006/relationships/hyperlink" Target="https://eitaa.com/ashouraeiyan_ir" TargetMode="External"/><Relationship Id="rId9369" Type="http://schemas.openxmlformats.org/officeDocument/2006/relationships/hyperlink" Target="https://www.instagram.com/moheban_hazrat_roghaye" TargetMode="External"/><Relationship Id="rId8071" Type="http://schemas.openxmlformats.org/officeDocument/2006/relationships/hyperlink" Target="https://www.instagram.com/tasnimlenjan" TargetMode="External"/><Relationship Id="rId8070" Type="http://schemas.openxmlformats.org/officeDocument/2006/relationships/hyperlink" Target="https://www.instagram.com/h.razmandeganfereydunshahr/" TargetMode="External"/><Relationship Id="rId8064" Type="http://schemas.openxmlformats.org/officeDocument/2006/relationships/hyperlink" Target="https://t.me/ahlekasa" TargetMode="External"/><Relationship Id="rId9396" Type="http://schemas.openxmlformats.org/officeDocument/2006/relationships/hyperlink" Target="https://www.instagram.com/tal_zaynabiah/" TargetMode="External"/><Relationship Id="rId8063" Type="http://schemas.openxmlformats.org/officeDocument/2006/relationships/hyperlink" Target="https://www.instagram.com/mohebbane_hazrate_zahra" TargetMode="External"/><Relationship Id="rId9397" Type="http://schemas.openxmlformats.org/officeDocument/2006/relationships/hyperlink" Target="https://www.instagram.com/maktabolabbas_meybod" TargetMode="External"/><Relationship Id="rId8062" Type="http://schemas.openxmlformats.org/officeDocument/2006/relationships/hyperlink" Target="https://eitaa.com/mohedinzahra" TargetMode="External"/><Relationship Id="rId9398" Type="http://schemas.openxmlformats.org/officeDocument/2006/relationships/hyperlink" Target="https://eitaa.com/moheban_alabas" TargetMode="External"/><Relationship Id="rId8061" Type="http://schemas.openxmlformats.org/officeDocument/2006/relationships/hyperlink" Target="https://www.instagram.com/abolfazl_finkashan" TargetMode="External"/><Relationship Id="rId9399" Type="http://schemas.openxmlformats.org/officeDocument/2006/relationships/hyperlink" Target="https://www.instagram.com/imamhossein6" TargetMode="External"/><Relationship Id="rId8068" Type="http://schemas.openxmlformats.org/officeDocument/2006/relationships/hyperlink" Target="https://t.me/tiran_sarallah" TargetMode="External"/><Relationship Id="rId9392" Type="http://schemas.openxmlformats.org/officeDocument/2006/relationships/hyperlink" Target="https://t.me/mehrizbaghebahar" TargetMode="External"/><Relationship Id="rId8067" Type="http://schemas.openxmlformats.org/officeDocument/2006/relationships/hyperlink" Target="https://www.instagram.com/tiransarallah" TargetMode="External"/><Relationship Id="rId9393" Type="http://schemas.openxmlformats.org/officeDocument/2006/relationships/hyperlink" Target="https://eitaa.com/mehrizbaghebahar" TargetMode="External"/><Relationship Id="rId8066" Type="http://schemas.openxmlformats.org/officeDocument/2006/relationships/hyperlink" Target="https://www.instagram.com/heyat_abalfazly_aran" TargetMode="External"/><Relationship Id="rId9394" Type="http://schemas.openxmlformats.org/officeDocument/2006/relationships/hyperlink" Target="https://www.instagram.com/beytonoor_mehriz/" TargetMode="External"/><Relationship Id="rId8065" Type="http://schemas.openxmlformats.org/officeDocument/2006/relationships/hyperlink" Target="https://www.instagram.com/javanan360" TargetMode="External"/><Relationship Id="rId9395" Type="http://schemas.openxmlformats.org/officeDocument/2006/relationships/hyperlink" Target="https://eitaa.com/beytonoor_mehriz" TargetMode="External"/><Relationship Id="rId8069" Type="http://schemas.openxmlformats.org/officeDocument/2006/relationships/hyperlink" Target="https://eitaa.com/bineshmotahar" TargetMode="External"/><Relationship Id="rId9390" Type="http://schemas.openxmlformats.org/officeDocument/2006/relationships/hyperlink" Target="https://t.me/majmeabbas" TargetMode="External"/><Relationship Id="rId9391" Type="http://schemas.openxmlformats.org/officeDocument/2006/relationships/hyperlink" Target="https://www.instagram.com/mehrizbaghebahar/" TargetMode="External"/><Relationship Id="rId8060" Type="http://schemas.openxmlformats.org/officeDocument/2006/relationships/hyperlink" Target="https://www.instagram.com/heyat_fatemehzahra_ss" TargetMode="External"/><Relationship Id="rId8053" Type="http://schemas.openxmlformats.org/officeDocument/2006/relationships/hyperlink" Target="https://eitaa.com/shabihkhaniiran" TargetMode="External"/><Relationship Id="rId9385" Type="http://schemas.openxmlformats.org/officeDocument/2006/relationships/hyperlink" Target="https://instagram.com/allamdarkarbala" TargetMode="External"/><Relationship Id="rId8052" Type="http://schemas.openxmlformats.org/officeDocument/2006/relationships/hyperlink" Target="https://www.instagram.com/shabihkhaniiran" TargetMode="External"/><Relationship Id="rId9386" Type="http://schemas.openxmlformats.org/officeDocument/2006/relationships/hyperlink" Target="https://eitaa.com/Allamdarkarbala" TargetMode="External"/><Relationship Id="rId8051" Type="http://schemas.openxmlformats.org/officeDocument/2006/relationships/hyperlink" Target="https://eitaa.com/ansaralmahdi1" TargetMode="External"/><Relationship Id="rId9387" Type="http://schemas.openxmlformats.org/officeDocument/2006/relationships/hyperlink" Target="https://www.instagram.com/heyat.ghamar.banihashem1/" TargetMode="External"/><Relationship Id="rId8050" Type="http://schemas.openxmlformats.org/officeDocument/2006/relationships/hyperlink" Target="https://www.instagram.com/kanoonmaaref" TargetMode="External"/><Relationship Id="rId9388" Type="http://schemas.openxmlformats.org/officeDocument/2006/relationships/hyperlink" Target="https://www.instagram.com/hoseinie_azam_mazvirabad/" TargetMode="External"/><Relationship Id="rId8057" Type="http://schemas.openxmlformats.org/officeDocument/2006/relationships/hyperlink" Target="https://www.instagram.com/heyat.razmandegan_njf" TargetMode="External"/><Relationship Id="rId9381" Type="http://schemas.openxmlformats.org/officeDocument/2006/relationships/hyperlink" Target="https://www.instagram.com/heyat_ghamare_bany_hashem" TargetMode="External"/><Relationship Id="rId8056" Type="http://schemas.openxmlformats.org/officeDocument/2006/relationships/hyperlink" Target="https://www.instagram.com/heyathazratfatemehzahra" TargetMode="External"/><Relationship Id="rId9382" Type="http://schemas.openxmlformats.org/officeDocument/2006/relationships/hyperlink" Target="https://eitaa.com/ghadimal_ehsan_mehriz" TargetMode="External"/><Relationship Id="rId8055" Type="http://schemas.openxmlformats.org/officeDocument/2006/relationships/hyperlink" Target="https://www.instagram.com/isfmaktabq" TargetMode="External"/><Relationship Id="rId9383" Type="http://schemas.openxmlformats.org/officeDocument/2006/relationships/hyperlink" Target="https://www.instagram.com/ansarmehriz" TargetMode="External"/><Relationship Id="rId8054" Type="http://schemas.openxmlformats.org/officeDocument/2006/relationships/hyperlink" Target="https://eitaa.com/mokbansaralmahdi" TargetMode="External"/><Relationship Id="rId9384" Type="http://schemas.openxmlformats.org/officeDocument/2006/relationships/hyperlink" Target="https://eitaa.com/ansarmehriz" TargetMode="External"/><Relationship Id="rId8059" Type="http://schemas.openxmlformats.org/officeDocument/2006/relationships/hyperlink" Target="https://eitaa.com/heyat_abalfazliaran" TargetMode="External"/><Relationship Id="rId8058" Type="http://schemas.openxmlformats.org/officeDocument/2006/relationships/hyperlink" Target="https://www.instagram.com/heyat_abalfazliaran" TargetMode="External"/><Relationship Id="rId9389" Type="http://schemas.openxmlformats.org/officeDocument/2006/relationships/hyperlink" Target="https://www.instagram.com/majmeabbas/" TargetMode="External"/><Relationship Id="rId3238" Type="http://schemas.openxmlformats.org/officeDocument/2006/relationships/hyperlink" Target="https://t.me/jannatolhossein_com" TargetMode="External"/><Relationship Id="rId4569" Type="http://schemas.openxmlformats.org/officeDocument/2006/relationships/hyperlink" Target="https://eitaa.com/kanon_1403" TargetMode="External"/><Relationship Id="rId3237" Type="http://schemas.openxmlformats.org/officeDocument/2006/relationships/hyperlink" Target="https://www.instagram.com/jannatolhossein_com" TargetMode="External"/><Relationship Id="rId4568" Type="http://schemas.openxmlformats.org/officeDocument/2006/relationships/hyperlink" Target="https://eitaa.com/masjederasool_ir1" TargetMode="External"/><Relationship Id="rId5899" Type="http://schemas.openxmlformats.org/officeDocument/2006/relationships/hyperlink" Target="https://www.instagram.com/mohebbanolreza" TargetMode="External"/><Relationship Id="rId3239" Type="http://schemas.openxmlformats.org/officeDocument/2006/relationships/hyperlink" Target="https://www.instagram.com/shoara_nohekhanan_maragheh" TargetMode="External"/><Relationship Id="rId5890" Type="http://schemas.openxmlformats.org/officeDocument/2006/relationships/hyperlink" Target="https://www.instagram.com/masjedenqelab/" TargetMode="External"/><Relationship Id="rId3230" Type="http://schemas.openxmlformats.org/officeDocument/2006/relationships/hyperlink" Target="https://www.instagram.com/heiatolzahramr" TargetMode="External"/><Relationship Id="rId4561" Type="http://schemas.openxmlformats.org/officeDocument/2006/relationships/hyperlink" Target="https://www.youtube.com/@abna_alhussein_1" TargetMode="External"/><Relationship Id="rId5893" Type="http://schemas.openxmlformats.org/officeDocument/2006/relationships/hyperlink" Target="https://t.me/montazeranmahdibojnurd" TargetMode="External"/><Relationship Id="rId4560" Type="http://schemas.openxmlformats.org/officeDocument/2006/relationships/hyperlink" Target="https://www.instagram.com/abna_alhussein/" TargetMode="External"/><Relationship Id="rId5894" Type="http://schemas.openxmlformats.org/officeDocument/2006/relationships/hyperlink" Target="https://www.instagram.com/heyat_sajadieh_bojnurd/" TargetMode="External"/><Relationship Id="rId3232" Type="http://schemas.openxmlformats.org/officeDocument/2006/relationships/hyperlink" Target="https://www.instagram.com/ashaganrogaya" TargetMode="External"/><Relationship Id="rId4563" Type="http://schemas.openxmlformats.org/officeDocument/2006/relationships/hyperlink" Target="https://www.instagram.com/vadiatolhosein" TargetMode="External"/><Relationship Id="rId5891" Type="http://schemas.openxmlformats.org/officeDocument/2006/relationships/hyperlink" Target="https://www.instagram.com/mahdaviyoon_bojnurd/" TargetMode="External"/><Relationship Id="rId3231" Type="http://schemas.openxmlformats.org/officeDocument/2006/relationships/hyperlink" Target="https://www.instagram.com/ansaralhosein_maragheh" TargetMode="External"/><Relationship Id="rId4562" Type="http://schemas.openxmlformats.org/officeDocument/2006/relationships/hyperlink" Target="https://www.instagram.com/heyat_mohebanomolbanin/" TargetMode="External"/><Relationship Id="rId5892" Type="http://schemas.openxmlformats.org/officeDocument/2006/relationships/hyperlink" Target="https://www.instagram.com/heyatmontazeranmahdibojnurd/" TargetMode="External"/><Relationship Id="rId3234" Type="http://schemas.openxmlformats.org/officeDocument/2006/relationships/hyperlink" Target="https://t.me/salarshahidan" TargetMode="External"/><Relationship Id="rId4565" Type="http://schemas.openxmlformats.org/officeDocument/2006/relationships/hyperlink" Target="https://www.instagram.com/heiatsarallah_78/" TargetMode="External"/><Relationship Id="rId5897" Type="http://schemas.openxmlformats.org/officeDocument/2006/relationships/hyperlink" Target="https://www.instagram.com/heyat.almahdi_ub/" TargetMode="External"/><Relationship Id="rId3233" Type="http://schemas.openxmlformats.org/officeDocument/2006/relationships/hyperlink" Target="https://www.instagram.com/salarshahidan_ir" TargetMode="External"/><Relationship Id="rId4564" Type="http://schemas.openxmlformats.org/officeDocument/2006/relationships/hyperlink" Target="https://t.me/vadiatolhosein" TargetMode="External"/><Relationship Id="rId5898" Type="http://schemas.openxmlformats.org/officeDocument/2006/relationships/hyperlink" Target="https://www.instagram.com/seyyedoshohada_boj/" TargetMode="External"/><Relationship Id="rId3236" Type="http://schemas.openxmlformats.org/officeDocument/2006/relationships/hyperlink" Target="https://t.me/teshneekosar" TargetMode="External"/><Relationship Id="rId4567" Type="http://schemas.openxmlformats.org/officeDocument/2006/relationships/hyperlink" Target="https://www.instagram.com/ghasemieh.shoosh.1352/" TargetMode="External"/><Relationship Id="rId5895" Type="http://schemas.openxmlformats.org/officeDocument/2006/relationships/hyperlink" Target="https://www.instagram.com/maktabolhosain/" TargetMode="External"/><Relationship Id="rId3235" Type="http://schemas.openxmlformats.org/officeDocument/2006/relationships/hyperlink" Target="https://www.instagram.com/teshneekosar" TargetMode="External"/><Relationship Id="rId4566" Type="http://schemas.openxmlformats.org/officeDocument/2006/relationships/hyperlink" Target="http://eitaa.com/heiatsarallah_78" TargetMode="External"/><Relationship Id="rId5896" Type="http://schemas.openxmlformats.org/officeDocument/2006/relationships/hyperlink" Target="https://www.instagram.com/ansaralmahdi_bojnord/" TargetMode="External"/><Relationship Id="rId3227" Type="http://schemas.openxmlformats.org/officeDocument/2006/relationships/hyperlink" Target="https://t.me/abasaleh_m1" TargetMode="External"/><Relationship Id="rId4558" Type="http://schemas.openxmlformats.org/officeDocument/2006/relationships/hyperlink" Target="https://www.instagram.com/husseiniyah_alazam_alkhafajie/" TargetMode="External"/><Relationship Id="rId3226" Type="http://schemas.openxmlformats.org/officeDocument/2006/relationships/hyperlink" Target="https://t.me/m_valiasr_kaleibar" TargetMode="External"/><Relationship Id="rId4557" Type="http://schemas.openxmlformats.org/officeDocument/2006/relationships/hyperlink" Target="https://eitaa.com/Karime_rmz" TargetMode="External"/><Relationship Id="rId3229" Type="http://schemas.openxmlformats.org/officeDocument/2006/relationships/hyperlink" Target="https://www.instagram.com/heyategasemebnelhasan" TargetMode="External"/><Relationship Id="rId5888" Type="http://schemas.openxmlformats.org/officeDocument/2006/relationships/hyperlink" Target="https://www.instagram.com/asheghan.haramein/" TargetMode="External"/><Relationship Id="rId3228" Type="http://schemas.openxmlformats.org/officeDocument/2006/relationships/hyperlink" Target="https://eitaa.com/abasaleh_m1" TargetMode="External"/><Relationship Id="rId4559" Type="http://schemas.openxmlformats.org/officeDocument/2006/relationships/hyperlink" Target="https://www.youtube.com/@husseiniyahalazamalkhafajie" TargetMode="External"/><Relationship Id="rId5889" Type="http://schemas.openxmlformats.org/officeDocument/2006/relationships/hyperlink" Target="https://www.instagram.com/rozatolshohada_boj/" TargetMode="External"/><Relationship Id="rId4550" Type="http://schemas.openxmlformats.org/officeDocument/2006/relationships/hyperlink" Target="https://www.instagram.com/hosseinjan_rmz" TargetMode="External"/><Relationship Id="rId5882" Type="http://schemas.openxmlformats.org/officeDocument/2006/relationships/hyperlink" Target="https://t.me/javananbaqiatolah" TargetMode="External"/><Relationship Id="rId5883" Type="http://schemas.openxmlformats.org/officeDocument/2006/relationships/hyperlink" Target="https://www.instagram.com/heyat_divaneganhoseini/" TargetMode="External"/><Relationship Id="rId3221" Type="http://schemas.openxmlformats.org/officeDocument/2006/relationships/hyperlink" Target="https://www.instagram.com/heyaterogaye" TargetMode="External"/><Relationship Id="rId4552" Type="http://schemas.openxmlformats.org/officeDocument/2006/relationships/hyperlink" Target="https://eitaa.com/hosseinjan_rmz" TargetMode="External"/><Relationship Id="rId5880" Type="http://schemas.openxmlformats.org/officeDocument/2006/relationships/hyperlink" Target="https://t.me/RozatolHossein128" TargetMode="External"/><Relationship Id="rId3220" Type="http://schemas.openxmlformats.org/officeDocument/2006/relationships/hyperlink" Target="https://www.instagram.com/heyat_sarallh_shabestar" TargetMode="External"/><Relationship Id="rId4551" Type="http://schemas.openxmlformats.org/officeDocument/2006/relationships/hyperlink" Target="https://t.me/hosseinjan_rmz" TargetMode="External"/><Relationship Id="rId5881" Type="http://schemas.openxmlformats.org/officeDocument/2006/relationships/hyperlink" Target="https://www.instagram.com/hy_javanan.baghyatallah/" TargetMode="External"/><Relationship Id="rId3223" Type="http://schemas.openxmlformats.org/officeDocument/2006/relationships/hyperlink" Target="https://www.instagram.com/emamzadeh_kaleybar" TargetMode="External"/><Relationship Id="rId4554" Type="http://schemas.openxmlformats.org/officeDocument/2006/relationships/hyperlink" Target="https://www.instagram.com/heyat_fzu" TargetMode="External"/><Relationship Id="rId5886" Type="http://schemas.openxmlformats.org/officeDocument/2006/relationships/hyperlink" Target="https://t.me/mesbaholhoda_bojnourd" TargetMode="External"/><Relationship Id="rId3222" Type="http://schemas.openxmlformats.org/officeDocument/2006/relationships/hyperlink" Target="https://t.me/heyaterogaye" TargetMode="External"/><Relationship Id="rId4553" Type="http://schemas.openxmlformats.org/officeDocument/2006/relationships/hyperlink" Target="https://eitaa.com/shohadaye_gomnam_rmz" TargetMode="External"/><Relationship Id="rId5887" Type="http://schemas.openxmlformats.org/officeDocument/2006/relationships/hyperlink" Target="https://eitaa.com/mesbaholhoda_bojnourd" TargetMode="External"/><Relationship Id="rId3225" Type="http://schemas.openxmlformats.org/officeDocument/2006/relationships/hyperlink" Target="https://www.instagram.com/m_valiasr_kaleibar" TargetMode="External"/><Relationship Id="rId4556" Type="http://schemas.openxmlformats.org/officeDocument/2006/relationships/hyperlink" Target="https://www.instagram.com/karime_rmzz/" TargetMode="External"/><Relationship Id="rId5884" Type="http://schemas.openxmlformats.org/officeDocument/2006/relationships/hyperlink" Target="https://www.instagram.com/heyat_hazratghasem_boj/" TargetMode="External"/><Relationship Id="rId3224" Type="http://schemas.openxmlformats.org/officeDocument/2006/relationships/hyperlink" Target="https://t.me/imamzadekaleibar" TargetMode="External"/><Relationship Id="rId4555" Type="http://schemas.openxmlformats.org/officeDocument/2006/relationships/hyperlink" Target="https://eitaa.com/heyat_fzu" TargetMode="External"/><Relationship Id="rId5885" Type="http://schemas.openxmlformats.org/officeDocument/2006/relationships/hyperlink" Target="https://www.instagram.com/mesbaholhoda_bojnourd/" TargetMode="External"/><Relationship Id="rId3259" Type="http://schemas.openxmlformats.org/officeDocument/2006/relationships/hyperlink" Target="https://eitaa.com/heyat_ansar_marand" TargetMode="External"/><Relationship Id="rId3250" Type="http://schemas.openxmlformats.org/officeDocument/2006/relationships/hyperlink" Target="https://eitaa.com/maraghehac" TargetMode="External"/><Relationship Id="rId4581" Type="http://schemas.openxmlformats.org/officeDocument/2006/relationships/hyperlink" Target="https://www.instagram.com/heyat_sadeghione_shoushtar" TargetMode="External"/><Relationship Id="rId4580" Type="http://schemas.openxmlformats.org/officeDocument/2006/relationships/hyperlink" Target="https://www.instagram.com/heyate_seyedalshohada" TargetMode="External"/><Relationship Id="rId3252" Type="http://schemas.openxmlformats.org/officeDocument/2006/relationships/hyperlink" Target="https://www.instagram.com/j.seyedeshohada/" TargetMode="External"/><Relationship Id="rId4583" Type="http://schemas.openxmlformats.org/officeDocument/2006/relationships/hyperlink" Target="https://t.me/asheghan_abas_str" TargetMode="External"/><Relationship Id="rId3251" Type="http://schemas.openxmlformats.org/officeDocument/2006/relationships/hyperlink" Target="https://eitaa.com/beyt_shohadaa" TargetMode="External"/><Relationship Id="rId4582" Type="http://schemas.openxmlformats.org/officeDocument/2006/relationships/hyperlink" Target="https://www.instagram.com/asheghanabas_313/" TargetMode="External"/><Relationship Id="rId3254" Type="http://schemas.openxmlformats.org/officeDocument/2006/relationships/hyperlink" Target="https://www.instagram.com/montazeran.h.mahdi" TargetMode="External"/><Relationship Id="rId4585" Type="http://schemas.openxmlformats.org/officeDocument/2006/relationships/hyperlink" Target="https://www.instagram.com/masjed_allameh/" TargetMode="External"/><Relationship Id="rId3253" Type="http://schemas.openxmlformats.org/officeDocument/2006/relationships/hyperlink" Target="https://www.instagram.com/mazlome_karbala/" TargetMode="External"/><Relationship Id="rId4584" Type="http://schemas.openxmlformats.org/officeDocument/2006/relationships/hyperlink" Target="https://www.instagram.com/oshagh128_1390/" TargetMode="External"/><Relationship Id="rId3256" Type="http://schemas.openxmlformats.org/officeDocument/2006/relationships/hyperlink" Target="https://www.instagram.com/hamase_ashura" TargetMode="External"/><Relationship Id="rId4587" Type="http://schemas.openxmlformats.org/officeDocument/2006/relationships/hyperlink" Target="https://www.instagram.com/heyatolreza83" TargetMode="External"/><Relationship Id="rId3255" Type="http://schemas.openxmlformats.org/officeDocument/2006/relationships/hyperlink" Target="https://t.me/heyat_abolfazlelabbas" TargetMode="External"/><Relationship Id="rId4586" Type="http://schemas.openxmlformats.org/officeDocument/2006/relationships/hyperlink" Target="https://eitaa.com/masjed_allameh" TargetMode="External"/><Relationship Id="rId3258" Type="http://schemas.openxmlformats.org/officeDocument/2006/relationships/hyperlink" Target="https://t.me/heyat_ansar_marand" TargetMode="External"/><Relationship Id="rId4589" Type="http://schemas.openxmlformats.org/officeDocument/2006/relationships/hyperlink" Target="https://eitaa.com/heyatolreza83" TargetMode="External"/><Relationship Id="rId3257" Type="http://schemas.openxmlformats.org/officeDocument/2006/relationships/hyperlink" Target="https://www.instagram.com/heyat_ansar_marand" TargetMode="External"/><Relationship Id="rId4588" Type="http://schemas.openxmlformats.org/officeDocument/2006/relationships/hyperlink" Target="https://t.me/heyatolreza83" TargetMode="External"/><Relationship Id="rId3249" Type="http://schemas.openxmlformats.org/officeDocument/2006/relationships/hyperlink" Target="https://www.instagram.com/javanane.montazer" TargetMode="External"/><Relationship Id="rId3248" Type="http://schemas.openxmlformats.org/officeDocument/2006/relationships/hyperlink" Target="https://eitaa.com/shohadayegomnammaraghe" TargetMode="External"/><Relationship Id="rId4579" Type="http://schemas.openxmlformats.org/officeDocument/2006/relationships/hyperlink" Target="https://www.instagram.com/heyat_sadat_313/" TargetMode="External"/><Relationship Id="rId4570" Type="http://schemas.openxmlformats.org/officeDocument/2006/relationships/hyperlink" Target="https://www.instagram.com/hossine_mobarke_karbala_shush_/" TargetMode="External"/><Relationship Id="rId3241" Type="http://schemas.openxmlformats.org/officeDocument/2006/relationships/hyperlink" Target="https://t.me/wwwfatemehsoghra" TargetMode="External"/><Relationship Id="rId4572" Type="http://schemas.openxmlformats.org/officeDocument/2006/relationships/hyperlink" Target="https://www.instagram.com/kheimegah1381/" TargetMode="External"/><Relationship Id="rId3240" Type="http://schemas.openxmlformats.org/officeDocument/2006/relationships/hyperlink" Target="https://www.instagram.com/fateme.hsoghra1370" TargetMode="External"/><Relationship Id="rId4571" Type="http://schemas.openxmlformats.org/officeDocument/2006/relationships/hyperlink" Target="http://tlgrm.me/hossine_mobarke_karbala" TargetMode="External"/><Relationship Id="rId3243" Type="http://schemas.openxmlformats.org/officeDocument/2006/relationships/hyperlink" Target="https://eitaa.com/m_fatemiyon_maragheh" TargetMode="External"/><Relationship Id="rId4574" Type="http://schemas.openxmlformats.org/officeDocument/2006/relationships/hyperlink" Target="https://www.instagram.com/masjed_sabzpoush" TargetMode="External"/><Relationship Id="rId3242" Type="http://schemas.openxmlformats.org/officeDocument/2006/relationships/hyperlink" Target="https://www.instagram.com/m.fatemiyon" TargetMode="External"/><Relationship Id="rId4573" Type="http://schemas.openxmlformats.org/officeDocument/2006/relationships/hyperlink" Target="http://t.me/kheimegah1381" TargetMode="External"/><Relationship Id="rId3245" Type="http://schemas.openxmlformats.org/officeDocument/2006/relationships/hyperlink" Target="https://t.me/mosabnjafar_maraghe" TargetMode="External"/><Relationship Id="rId4576" Type="http://schemas.openxmlformats.org/officeDocument/2006/relationships/hyperlink" Target="https://www.instagram.com/behshtolrogye_1404/" TargetMode="External"/><Relationship Id="rId3244" Type="http://schemas.openxmlformats.org/officeDocument/2006/relationships/hyperlink" Target="https://www.instagram.com/mosabnjafar_maraghe" TargetMode="External"/><Relationship Id="rId4575" Type="http://schemas.openxmlformats.org/officeDocument/2006/relationships/hyperlink" Target="https://www.instagram.com/heyatolhosein69/" TargetMode="External"/><Relationship Id="rId3247" Type="http://schemas.openxmlformats.org/officeDocument/2006/relationships/hyperlink" Target="https://t.me/shohadayegomnam133" TargetMode="External"/><Relationship Id="rId4578" Type="http://schemas.openxmlformats.org/officeDocument/2006/relationships/hyperlink" Target="https://www.instagram.com/ashuraee.str/" TargetMode="External"/><Relationship Id="rId3246" Type="http://schemas.openxmlformats.org/officeDocument/2006/relationships/hyperlink" Target="https://www.instagram.com/shohadayegomnam110" TargetMode="External"/><Relationship Id="rId4577" Type="http://schemas.openxmlformats.org/officeDocument/2006/relationships/hyperlink" Target="https://www.instagram.com/panahandegan_shooshtar" TargetMode="External"/><Relationship Id="rId4525" Type="http://schemas.openxmlformats.org/officeDocument/2006/relationships/hyperlink" Target="https://www.instagram.com/alghadir_dez/" TargetMode="External"/><Relationship Id="rId5857" Type="http://schemas.openxmlformats.org/officeDocument/2006/relationships/hyperlink" Target="https://www.instagram.com/seyedushohada1/" TargetMode="External"/><Relationship Id="rId4524" Type="http://schemas.openxmlformats.org/officeDocument/2006/relationships/hyperlink" Target="https://t.me/mobinrezazadeh70" TargetMode="External"/><Relationship Id="rId5858" Type="http://schemas.openxmlformats.org/officeDocument/2006/relationships/hyperlink" Target="https://t.me/Seyedushohada1" TargetMode="External"/><Relationship Id="rId4527" Type="http://schemas.openxmlformats.org/officeDocument/2006/relationships/hyperlink" Target="https://www.instagram.com/hosseinieh.fatemeh.alzahra/" TargetMode="External"/><Relationship Id="rId5855" Type="http://schemas.openxmlformats.org/officeDocument/2006/relationships/hyperlink" Target="https://www.instagram.com/heyat_alhadi" TargetMode="External"/><Relationship Id="rId4526" Type="http://schemas.openxmlformats.org/officeDocument/2006/relationships/hyperlink" Target="https://eitaa.com/sh_farokhi" TargetMode="External"/><Relationship Id="rId5856" Type="http://schemas.openxmlformats.org/officeDocument/2006/relationships/hyperlink" Target="https://eitaa.com/HEYAT_ALHADI" TargetMode="External"/><Relationship Id="rId4529" Type="http://schemas.openxmlformats.org/officeDocument/2006/relationships/hyperlink" Target="https://eitaa.com/hosseinieh_fatemh_alzahra" TargetMode="External"/><Relationship Id="rId4528" Type="http://schemas.openxmlformats.org/officeDocument/2006/relationships/hyperlink" Target="https://t.me/fadakieh_beytolahzan" TargetMode="External"/><Relationship Id="rId5859" Type="http://schemas.openxmlformats.org/officeDocument/2006/relationships/hyperlink" Target="https://eitaa.com/seyedushohada1" TargetMode="External"/><Relationship Id="rId5850" Type="http://schemas.openxmlformats.org/officeDocument/2006/relationships/hyperlink" Target="https://www.instagram.com/aliakbar_bojnord/" TargetMode="External"/><Relationship Id="rId4521" Type="http://schemas.openxmlformats.org/officeDocument/2006/relationships/hyperlink" Target="https://www.instagram.com/hoseynieh.alamabbas/" TargetMode="External"/><Relationship Id="rId5853" Type="http://schemas.openxmlformats.org/officeDocument/2006/relationships/hyperlink" Target="https://www.instagram.com/azamchhardhemasom" TargetMode="External"/><Relationship Id="rId4520" Type="http://schemas.openxmlformats.org/officeDocument/2006/relationships/hyperlink" Target="https://t.me/heyat_totonchi" TargetMode="External"/><Relationship Id="rId5854" Type="http://schemas.openxmlformats.org/officeDocument/2006/relationships/hyperlink" Target="https://www.instagram.com/heyat_saheb_azaman/" TargetMode="External"/><Relationship Id="rId4523" Type="http://schemas.openxmlformats.org/officeDocument/2006/relationships/hyperlink" Target="https://www.instagram.com/masjed_aliabneabitaleb_dezfoul/" TargetMode="External"/><Relationship Id="rId5851" Type="http://schemas.openxmlformats.org/officeDocument/2006/relationships/hyperlink" Target="https://www.instagram.com/h_beytoolreza/" TargetMode="External"/><Relationship Id="rId4522" Type="http://schemas.openxmlformats.org/officeDocument/2006/relationships/hyperlink" Target="https://www.instagram.com/alamdar_heyat/" TargetMode="External"/><Relationship Id="rId5852" Type="http://schemas.openxmlformats.org/officeDocument/2006/relationships/hyperlink" Target="https://eitaa.com/H_beytolreza" TargetMode="External"/><Relationship Id="rId4514" Type="http://schemas.openxmlformats.org/officeDocument/2006/relationships/hyperlink" Target="https://www.instagram.com/ghamar_benjafar/" TargetMode="External"/><Relationship Id="rId5846" Type="http://schemas.openxmlformats.org/officeDocument/2006/relationships/hyperlink" Target="https://www.instagram.com/javadolaemh/" TargetMode="External"/><Relationship Id="rId4513" Type="http://schemas.openxmlformats.org/officeDocument/2006/relationships/hyperlink" Target="https://www.instagram.com/takiye_asheqan_hoseyni/" TargetMode="External"/><Relationship Id="rId5847" Type="http://schemas.openxmlformats.org/officeDocument/2006/relationships/hyperlink" Target="https://eitaa.com/javadolaemhe" TargetMode="External"/><Relationship Id="rId4516" Type="http://schemas.openxmlformats.org/officeDocument/2006/relationships/hyperlink" Target="https://www.instagram.com/masjed_besat_dezful/" TargetMode="External"/><Relationship Id="rId5844" Type="http://schemas.openxmlformats.org/officeDocument/2006/relationships/hyperlink" Target="https://t.me/modafeanharambojnord" TargetMode="External"/><Relationship Id="rId4515" Type="http://schemas.openxmlformats.org/officeDocument/2006/relationships/hyperlink" Target="https://www.instagram.com/heyat_hejlegah_qasem/" TargetMode="External"/><Relationship Id="rId5845" Type="http://schemas.openxmlformats.org/officeDocument/2006/relationships/hyperlink" Target="https://www.instagram.com/shahzadealiasghar_bojnord/" TargetMode="External"/><Relationship Id="rId4518" Type="http://schemas.openxmlformats.org/officeDocument/2006/relationships/hyperlink" Target="https://www.instagram.com/mosque.alavie.dez/" TargetMode="External"/><Relationship Id="rId4517" Type="http://schemas.openxmlformats.org/officeDocument/2006/relationships/hyperlink" Target="https://www.instagram.com/masjed.besat.dezful/" TargetMode="External"/><Relationship Id="rId5848" Type="http://schemas.openxmlformats.org/officeDocument/2006/relationships/hyperlink" Target="https://www.instagram.com/zavarolzahra/" TargetMode="External"/><Relationship Id="rId4519" Type="http://schemas.openxmlformats.org/officeDocument/2006/relationships/hyperlink" Target="https://www.instagram.com/heyat_totonchi/" TargetMode="External"/><Relationship Id="rId5849" Type="http://schemas.openxmlformats.org/officeDocument/2006/relationships/hyperlink" Target="https://t.me/zavarolzahra" TargetMode="External"/><Relationship Id="rId4510" Type="http://schemas.openxmlformats.org/officeDocument/2006/relationships/hyperlink" Target="https://www.instagram.com/heyat_iaudez" TargetMode="External"/><Relationship Id="rId5842" Type="http://schemas.openxmlformats.org/officeDocument/2006/relationships/hyperlink" Target="https://eitaa.com/yafatematazahrainfo" TargetMode="External"/><Relationship Id="rId5843" Type="http://schemas.openxmlformats.org/officeDocument/2006/relationships/hyperlink" Target="https://www.instagram.com/heyatmodafeanbojnord" TargetMode="External"/><Relationship Id="rId4512" Type="http://schemas.openxmlformats.org/officeDocument/2006/relationships/hyperlink" Target="https://www.instagram.com/heyat.saheb.alzaman/" TargetMode="External"/><Relationship Id="rId5840" Type="http://schemas.openxmlformats.org/officeDocument/2006/relationships/hyperlink" Target="https://t.me/heiatroghayejan" TargetMode="External"/><Relationship Id="rId4511" Type="http://schemas.openxmlformats.org/officeDocument/2006/relationships/hyperlink" Target="https://www.instagram.com/emam.reza.dezful/" TargetMode="External"/><Relationship Id="rId5841" Type="http://schemas.openxmlformats.org/officeDocument/2006/relationships/hyperlink" Target="https://www.instagram.com/ya.fatematazahra135" TargetMode="External"/><Relationship Id="rId3216" Type="http://schemas.openxmlformats.org/officeDocument/2006/relationships/hyperlink" Target="https://www.instagram.com/aharloo.sarab" TargetMode="External"/><Relationship Id="rId4547" Type="http://schemas.openxmlformats.org/officeDocument/2006/relationships/hyperlink" Target="http://t.me/the_thaqalain" TargetMode="External"/><Relationship Id="rId5879" Type="http://schemas.openxmlformats.org/officeDocument/2006/relationships/hyperlink" Target="https://www.instagram.com/rozatolhossein.boj/" TargetMode="External"/><Relationship Id="rId3215" Type="http://schemas.openxmlformats.org/officeDocument/2006/relationships/hyperlink" Target="https://www.instagram.com/h.a.alamdar" TargetMode="External"/><Relationship Id="rId4546" Type="http://schemas.openxmlformats.org/officeDocument/2006/relationships/hyperlink" Target="https://www.instagram.com/thaqalainheyat/" TargetMode="External"/><Relationship Id="rId3218" Type="http://schemas.openxmlformats.org/officeDocument/2006/relationships/hyperlink" Target="https://eitaa.com/hayat_aliasgar_sarab" TargetMode="External"/><Relationship Id="rId4549" Type="http://schemas.openxmlformats.org/officeDocument/2006/relationships/hyperlink" Target="https://eitaa.com/alheydar_rmz" TargetMode="External"/><Relationship Id="rId5877" Type="http://schemas.openxmlformats.org/officeDocument/2006/relationships/hyperlink" Target="https://www.instagram.com/abolfazlirazavi_bojnourd/" TargetMode="External"/><Relationship Id="rId3217" Type="http://schemas.openxmlformats.org/officeDocument/2006/relationships/hyperlink" Target="https://t.me/hoseynie_aharloo" TargetMode="External"/><Relationship Id="rId4548" Type="http://schemas.openxmlformats.org/officeDocument/2006/relationships/hyperlink" Target="https://www.instagram.com/hyat_ghasem_ramshir/" TargetMode="External"/><Relationship Id="rId5878" Type="http://schemas.openxmlformats.org/officeDocument/2006/relationships/hyperlink" Target="https://www.instagram.com/ashab.alhosein/" TargetMode="External"/><Relationship Id="rId3219" Type="http://schemas.openxmlformats.org/officeDocument/2006/relationships/hyperlink" Target="https://www.instagram.com/_shahhosein_goyandaryan1400" TargetMode="External"/><Relationship Id="rId5871" Type="http://schemas.openxmlformats.org/officeDocument/2006/relationships/hyperlink" Target="https://www.instagram.com/baitul_hassan_mojtaba/" TargetMode="External"/><Relationship Id="rId5872" Type="http://schemas.openxmlformats.org/officeDocument/2006/relationships/hyperlink" Target="https://www.instagram.com/hyatjavanansahebalzman/" TargetMode="External"/><Relationship Id="rId3210" Type="http://schemas.openxmlformats.org/officeDocument/2006/relationships/hyperlink" Target="https://www.instagram.com/ya_hoseine_mazloum_tabriz" TargetMode="External"/><Relationship Id="rId4541" Type="http://schemas.openxmlformats.org/officeDocument/2006/relationships/hyperlink" Target="https://t.me/fatemiedezfulir" TargetMode="External"/><Relationship Id="rId4540" Type="http://schemas.openxmlformats.org/officeDocument/2006/relationships/hyperlink" Target="https://www.instagram.com/fatemiedezful.ir/" TargetMode="External"/><Relationship Id="rId5870" Type="http://schemas.openxmlformats.org/officeDocument/2006/relationships/hyperlink" Target="https://www.instagram.com/heiathobbolhosin_313/" TargetMode="External"/><Relationship Id="rId3212" Type="http://schemas.openxmlformats.org/officeDocument/2006/relationships/hyperlink" Target="https://www.instagram.com/heyat_rahrovan_hazrate_zeynab/" TargetMode="External"/><Relationship Id="rId4543" Type="http://schemas.openxmlformats.org/officeDocument/2006/relationships/hyperlink" Target="https://www.instagram.com/yalesaratdez/" TargetMode="External"/><Relationship Id="rId5875" Type="http://schemas.openxmlformats.org/officeDocument/2006/relationships/hyperlink" Target="https://www.instagram.com/heyat.abolfazlihaa/" TargetMode="External"/><Relationship Id="rId3211" Type="http://schemas.openxmlformats.org/officeDocument/2006/relationships/hyperlink" Target="https://www.instagram.com/pabusanemamreza.tabriz/" TargetMode="External"/><Relationship Id="rId4542" Type="http://schemas.openxmlformats.org/officeDocument/2006/relationships/hyperlink" Target="https://www.instagram.com/maktabalabbas/" TargetMode="External"/><Relationship Id="rId5876" Type="http://schemas.openxmlformats.org/officeDocument/2006/relationships/hyperlink" Target="https://www.instagram.com/shahzade_alieakbar/" TargetMode="External"/><Relationship Id="rId3214" Type="http://schemas.openxmlformats.org/officeDocument/2006/relationships/hyperlink" Target="https://eitaa.com/Rahpoyankosarfatemeye" TargetMode="External"/><Relationship Id="rId4545" Type="http://schemas.openxmlformats.org/officeDocument/2006/relationships/hyperlink" Target="https://l.instagram.com/?u=http%3A%2F%2Fwww.yalesaratdez.ir%2F%3Ffbclid%3DPAZXh0bgNhZW0CMTEAAafeSF74GVVfA6lg7WEv2GRzSoSAJ7cBRsnKsdtdDTZ6qK7VF7BIVZ1rK1tr9Q_aem_JLBtH4ZWiOmSBqA9jCNAdA&amp;e=AT0wRMaoPCvOxPczftax35Pz57D1pIME-c1mdCJddmUkuW3_HDPlzrjgrdXJjzvxoIXPNmy_CYWrGJlZiAYHRwZ0qp-c1gDbmIRAf30" TargetMode="External"/><Relationship Id="rId5873" Type="http://schemas.openxmlformats.org/officeDocument/2006/relationships/hyperlink" Target="https://t.me/heatjavanansahebalzman" TargetMode="External"/><Relationship Id="rId3213" Type="http://schemas.openxmlformats.org/officeDocument/2006/relationships/hyperlink" Target="https://www.instagram.com/rahpuyanekosar" TargetMode="External"/><Relationship Id="rId4544" Type="http://schemas.openxmlformats.org/officeDocument/2006/relationships/hyperlink" Target="https://eitaa.com/yalesaratdezful" TargetMode="External"/><Relationship Id="rId5874" Type="http://schemas.openxmlformats.org/officeDocument/2006/relationships/hyperlink" Target="https://www.instagram.com/hyatjavanansahebalzaman1401/" TargetMode="External"/><Relationship Id="rId3205" Type="http://schemas.openxmlformats.org/officeDocument/2006/relationships/hyperlink" Target="https://t.me/negar_shohadayekarbala1330" TargetMode="External"/><Relationship Id="rId4536" Type="http://schemas.openxmlformats.org/officeDocument/2006/relationships/hyperlink" Target="https://t.me/abasiehir" TargetMode="External"/><Relationship Id="rId5868" Type="http://schemas.openxmlformats.org/officeDocument/2006/relationships/hyperlink" Target="https://www.instagram.com/oshaghalmahdi313/" TargetMode="External"/><Relationship Id="rId3204" Type="http://schemas.openxmlformats.org/officeDocument/2006/relationships/hyperlink" Target="https://www.instagram.com/shohadayekarbala1330/" TargetMode="External"/><Relationship Id="rId4535" Type="http://schemas.openxmlformats.org/officeDocument/2006/relationships/hyperlink" Target="https://www.instagram.com/abasieh.ir/" TargetMode="External"/><Relationship Id="rId5869" Type="http://schemas.openxmlformats.org/officeDocument/2006/relationships/hyperlink" Target="https://t.me/h_oshaghalmahdi" TargetMode="External"/><Relationship Id="rId3207" Type="http://schemas.openxmlformats.org/officeDocument/2006/relationships/hyperlink" Target="https://www.instagram.com/hazratezahra_ir/" TargetMode="External"/><Relationship Id="rId4538" Type="http://schemas.openxmlformats.org/officeDocument/2006/relationships/hyperlink" Target="https://eitaa.com/s/moheban_ali_ir/" TargetMode="External"/><Relationship Id="rId5866" Type="http://schemas.openxmlformats.org/officeDocument/2006/relationships/hyperlink" Target="https://www.instagram.com/heyatbaghyatallah/" TargetMode="External"/><Relationship Id="rId3206" Type="http://schemas.openxmlformats.org/officeDocument/2006/relationships/hyperlink" Target="https://www.instagram.com/tbzmed" TargetMode="External"/><Relationship Id="rId4537" Type="http://schemas.openxmlformats.org/officeDocument/2006/relationships/hyperlink" Target="https://www.instagram.com/moheban_ali_ir_" TargetMode="External"/><Relationship Id="rId5867" Type="http://schemas.openxmlformats.org/officeDocument/2006/relationships/hyperlink" Target="https://t.me/heyatbaghyatallah" TargetMode="External"/><Relationship Id="rId3209" Type="http://schemas.openxmlformats.org/officeDocument/2006/relationships/hyperlink" Target="https://www.instagram.com/asheghanebagitabriz" TargetMode="External"/><Relationship Id="rId3208" Type="http://schemas.openxmlformats.org/officeDocument/2006/relationships/hyperlink" Target="https://www.instagram.com/javanan_banihashm.tb/" TargetMode="External"/><Relationship Id="rId4539" Type="http://schemas.openxmlformats.org/officeDocument/2006/relationships/hyperlink" Target="https://www.instagram.com/moharam.dezfull/" TargetMode="External"/><Relationship Id="rId5860" Type="http://schemas.openxmlformats.org/officeDocument/2006/relationships/hyperlink" Target="https://www.instagram.com/nkums_heiat/" TargetMode="External"/><Relationship Id="rId5861" Type="http://schemas.openxmlformats.org/officeDocument/2006/relationships/hyperlink" Target="https://t.me/nkums_heiat" TargetMode="External"/><Relationship Id="rId4530" Type="http://schemas.openxmlformats.org/officeDocument/2006/relationships/hyperlink" Target="https://www.instagram.com/hoseiniye.kazemeyn.dezfoul/" TargetMode="External"/><Relationship Id="rId3201" Type="http://schemas.openxmlformats.org/officeDocument/2006/relationships/hyperlink" Target="https://t.me/negar_shohadayekarbala1330" TargetMode="External"/><Relationship Id="rId4532" Type="http://schemas.openxmlformats.org/officeDocument/2006/relationships/hyperlink" Target="https://t.me/kafolabbas_ir" TargetMode="External"/><Relationship Id="rId5864" Type="http://schemas.openxmlformats.org/officeDocument/2006/relationships/hyperlink" Target="https://www.instagram.com/ya.fatemezahra.banovan/" TargetMode="External"/><Relationship Id="rId3200" Type="http://schemas.openxmlformats.org/officeDocument/2006/relationships/hyperlink" Target="https://www.instagram.com/kanunevaliasr_tabriz/" TargetMode="External"/><Relationship Id="rId4531" Type="http://schemas.openxmlformats.org/officeDocument/2006/relationships/hyperlink" Target="https://www.instagram.com/kafolabas_ir/" TargetMode="External"/><Relationship Id="rId5865" Type="http://schemas.openxmlformats.org/officeDocument/2006/relationships/hyperlink" Target="https://eitaa.com/banovanyafatemezahr" TargetMode="External"/><Relationship Id="rId3203" Type="http://schemas.openxmlformats.org/officeDocument/2006/relationships/hyperlink" Target="https://t.me/heyatemohammadrasolallah" TargetMode="External"/><Relationship Id="rId4534" Type="http://schemas.openxmlformats.org/officeDocument/2006/relationships/hyperlink" Target="https://t.me/matamkadehazratnarjeskhaton" TargetMode="External"/><Relationship Id="rId5862" Type="http://schemas.openxmlformats.org/officeDocument/2006/relationships/hyperlink" Target="https://www.instagram.com/heyat_asheghan_binolharamein/" TargetMode="External"/><Relationship Id="rId3202" Type="http://schemas.openxmlformats.org/officeDocument/2006/relationships/hyperlink" Target="https://www.instagram.com/mohammadrasolallahtabriz110" TargetMode="External"/><Relationship Id="rId4533" Type="http://schemas.openxmlformats.org/officeDocument/2006/relationships/hyperlink" Target="https://www.instagram.com/matamkade_narjes_khatoon/" TargetMode="External"/><Relationship Id="rId5863" Type="http://schemas.openxmlformats.org/officeDocument/2006/relationships/hyperlink" Target="https://www.instagram.com/doteflanmoslem_bojnourd/" TargetMode="External"/><Relationship Id="rId190" Type="http://schemas.openxmlformats.org/officeDocument/2006/relationships/hyperlink" Target="https://t.me/heyathazrateroghayee" TargetMode="External"/><Relationship Id="rId194" Type="http://schemas.openxmlformats.org/officeDocument/2006/relationships/hyperlink" Target="https://t.me/s_mohsen_habibolahpur" TargetMode="External"/><Relationship Id="rId193" Type="http://schemas.openxmlformats.org/officeDocument/2006/relationships/hyperlink" Target="https://www.instagram.com/heiatoreza_babolsar" TargetMode="External"/><Relationship Id="rId192" Type="http://schemas.openxmlformats.org/officeDocument/2006/relationships/hyperlink" Target="https://eitaa.com/Maktabol_heydar110" TargetMode="External"/><Relationship Id="rId191" Type="http://schemas.openxmlformats.org/officeDocument/2006/relationships/hyperlink" Target="https://www.instagram.com/maktabool_heydar110/" TargetMode="External"/><Relationship Id="rId187" Type="http://schemas.openxmlformats.org/officeDocument/2006/relationships/hyperlink" Target="https://t.me/javananhasani" TargetMode="External"/><Relationship Id="rId186" Type="http://schemas.openxmlformats.org/officeDocument/2006/relationships/hyperlink" Target="https://www.instagram.com/javananhasani/" TargetMode="External"/><Relationship Id="rId185" Type="http://schemas.openxmlformats.org/officeDocument/2006/relationships/hyperlink" Target="https://t.me/ansariyoun" TargetMode="External"/><Relationship Id="rId184" Type="http://schemas.openxmlformats.org/officeDocument/2006/relationships/hyperlink" Target="https://www.instagram.com/ansariyoun/" TargetMode="External"/><Relationship Id="rId189" Type="http://schemas.openxmlformats.org/officeDocument/2006/relationships/hyperlink" Target="https://www.instagram.com/heyathazrateroghayee" TargetMode="External"/><Relationship Id="rId188" Type="http://schemas.openxmlformats.org/officeDocument/2006/relationships/hyperlink" Target="https://www.instagram.com/heiatbeitozahra" TargetMode="External"/><Relationship Id="rId183" Type="http://schemas.openxmlformats.org/officeDocument/2006/relationships/hyperlink" Target="https://www.instagram.com/abalfazliha89/" TargetMode="External"/><Relationship Id="rId182" Type="http://schemas.openxmlformats.org/officeDocument/2006/relationships/hyperlink" Target="https://www.instagram.com/asheghanesaralah/" TargetMode="External"/><Relationship Id="rId181" Type="http://schemas.openxmlformats.org/officeDocument/2006/relationships/hyperlink" Target="https://eitaa.com/fatemion_bahnemir" TargetMode="External"/><Relationship Id="rId180" Type="http://schemas.openxmlformats.org/officeDocument/2006/relationships/hyperlink" Target="https://t.me/fatemion_bahnemir" TargetMode="External"/><Relationship Id="rId176" Type="http://schemas.openxmlformats.org/officeDocument/2006/relationships/hyperlink" Target="https://t.me/rozatozeynab_channel" TargetMode="External"/><Relationship Id="rId175" Type="http://schemas.openxmlformats.org/officeDocument/2006/relationships/hyperlink" Target="https://www.instagram.com/rozatozeynab.ir/" TargetMode="External"/><Relationship Id="rId174" Type="http://schemas.openxmlformats.org/officeDocument/2006/relationships/hyperlink" Target="https://www.instagram.com/seyyedoshohada/" TargetMode="External"/><Relationship Id="rId173" Type="http://schemas.openxmlformats.org/officeDocument/2006/relationships/hyperlink" Target="https://eitaa.com/s/seyyedoshohadaaa" TargetMode="External"/><Relationship Id="rId179" Type="http://schemas.openxmlformats.org/officeDocument/2006/relationships/hyperlink" Target="https://www.instagram.com/fatemion_bahnemir/" TargetMode="External"/><Relationship Id="rId178" Type="http://schemas.openxmlformats.org/officeDocument/2006/relationships/hyperlink" Target="https://t.me/aleyasiin_bahnamiir" TargetMode="External"/><Relationship Id="rId177" Type="http://schemas.openxmlformats.org/officeDocument/2006/relationships/hyperlink" Target="https://www.instagram.com/asheghanesaralah/" TargetMode="External"/><Relationship Id="rId198" Type="http://schemas.openxmlformats.org/officeDocument/2006/relationships/hyperlink" Target="https://www.instagram.com/yavaranevelayat" TargetMode="External"/><Relationship Id="rId197" Type="http://schemas.openxmlformats.org/officeDocument/2006/relationships/hyperlink" Target="https://www.instagram.com/mokebshohada_babolsar/" TargetMode="External"/><Relationship Id="rId196" Type="http://schemas.openxmlformats.org/officeDocument/2006/relationships/hyperlink" Target="https://t.me/heyatozahra_aliabad_babolsar79" TargetMode="External"/><Relationship Id="rId195" Type="http://schemas.openxmlformats.org/officeDocument/2006/relationships/hyperlink" Target="https://www.instagram.com/heiatolzahrabbs/" TargetMode="External"/><Relationship Id="rId199" Type="http://schemas.openxmlformats.org/officeDocument/2006/relationships/hyperlink" Target="https://t.me/heyateyavaranevelayat" TargetMode="External"/><Relationship Id="rId150" Type="http://schemas.openxmlformats.org/officeDocument/2006/relationships/hyperlink" Target="https://www.instagram.com/zeynab_bentol_heydar/" TargetMode="External"/><Relationship Id="rId149" Type="http://schemas.openxmlformats.org/officeDocument/2006/relationships/hyperlink" Target="https://eitaa.com/tolue_info" TargetMode="External"/><Relationship Id="rId148" Type="http://schemas.openxmlformats.org/officeDocument/2006/relationships/hyperlink" Target="https://t.me/tolue_org" TargetMode="External"/><Relationship Id="rId3270" Type="http://schemas.openxmlformats.org/officeDocument/2006/relationships/hyperlink" Target="https://t.me/heyat_aliebn_mosarrezaa" TargetMode="External"/><Relationship Id="rId3272" Type="http://schemas.openxmlformats.org/officeDocument/2006/relationships/hyperlink" Target="https://www.instagram.com/leva_alheidar" TargetMode="External"/><Relationship Id="rId3271" Type="http://schemas.openxmlformats.org/officeDocument/2006/relationships/hyperlink" Target="https://www.instagram.com/salarshahidan._" TargetMode="External"/><Relationship Id="rId143" Type="http://schemas.openxmlformats.org/officeDocument/2006/relationships/hyperlink" Target="https://eitaa.com/hoddasolmahdi" TargetMode="External"/><Relationship Id="rId3274" Type="http://schemas.openxmlformats.org/officeDocument/2006/relationships/hyperlink" Target="https://t.me/maktabol_shohada_mianeh" TargetMode="External"/><Relationship Id="rId142" Type="http://schemas.openxmlformats.org/officeDocument/2006/relationships/hyperlink" Target="https://www.instagram.com/hoddasolmahdi/" TargetMode="External"/><Relationship Id="rId3273" Type="http://schemas.openxmlformats.org/officeDocument/2006/relationships/hyperlink" Target="https://www.instagram.com/maktabol_shohada_mianeh" TargetMode="External"/><Relationship Id="rId141" Type="http://schemas.openxmlformats.org/officeDocument/2006/relationships/hyperlink" Target="https://www.instagram.com/maktab_babol/" TargetMode="External"/><Relationship Id="rId3276" Type="http://schemas.openxmlformats.org/officeDocument/2006/relationships/hyperlink" Target="https://www.instagram.com/heyat_sarallah_miyaneh" TargetMode="External"/><Relationship Id="rId140" Type="http://schemas.openxmlformats.org/officeDocument/2006/relationships/hyperlink" Target="https://www.instagram.com/rasoolmehr_ir" TargetMode="External"/><Relationship Id="rId3275" Type="http://schemas.openxmlformats.org/officeDocument/2006/relationships/hyperlink" Target="https://www.instagram.com/heyate_teflanemoslem1357" TargetMode="External"/><Relationship Id="rId147" Type="http://schemas.openxmlformats.org/officeDocument/2006/relationships/hyperlink" Target="https://www.instagram.com/aghille.info/" TargetMode="External"/><Relationship Id="rId3278" Type="http://schemas.openxmlformats.org/officeDocument/2006/relationships/hyperlink" Target="https://www.instagram.com/razmandeghan_miyaneh" TargetMode="External"/><Relationship Id="rId146" Type="http://schemas.openxmlformats.org/officeDocument/2006/relationships/hyperlink" Target="https://eitaa.com/reyhanatolhussain_babol" TargetMode="External"/><Relationship Id="rId3277" Type="http://schemas.openxmlformats.org/officeDocument/2006/relationships/hyperlink" Target="https://t.me/sarallahemiyaneh" TargetMode="External"/><Relationship Id="rId145" Type="http://schemas.openxmlformats.org/officeDocument/2006/relationships/hyperlink" Target="https://t.me/reyhanatolhussain_babol" TargetMode="External"/><Relationship Id="rId144" Type="http://schemas.openxmlformats.org/officeDocument/2006/relationships/hyperlink" Target="https://www.instagram.com/reyhanatolhussain_babol/" TargetMode="External"/><Relationship Id="rId3279" Type="http://schemas.openxmlformats.org/officeDocument/2006/relationships/hyperlink" Target="https://www.instagram.com/shabihkhanibakhshayesh" TargetMode="External"/><Relationship Id="rId139" Type="http://schemas.openxmlformats.org/officeDocument/2006/relationships/hyperlink" Target="https://eitaa.com/oshagh_mahdi_babol" TargetMode="External"/><Relationship Id="rId138" Type="http://schemas.openxmlformats.org/officeDocument/2006/relationships/hyperlink" Target="https://t.me/oshagh_mahdi_babol" TargetMode="External"/><Relationship Id="rId137" Type="http://schemas.openxmlformats.org/officeDocument/2006/relationships/hyperlink" Target="https://www.instagram.com/oshagh_mahdi_babol" TargetMode="External"/><Relationship Id="rId4590" Type="http://schemas.openxmlformats.org/officeDocument/2006/relationships/hyperlink" Target="https://www.instagram.com/heyatfatemioonlongor/" TargetMode="External"/><Relationship Id="rId3261" Type="http://schemas.openxmlformats.org/officeDocument/2006/relationships/hyperlink" Target="https://t.me/mohebbaneabolfazl" TargetMode="External"/><Relationship Id="rId4592" Type="http://schemas.openxmlformats.org/officeDocument/2006/relationships/hyperlink" Target="https://www.instagram.com/fadaeiyon_seyedezeynab" TargetMode="External"/><Relationship Id="rId3260" Type="http://schemas.openxmlformats.org/officeDocument/2006/relationships/hyperlink" Target="https://www.instagram.com/mohebbaneabolfazl" TargetMode="External"/><Relationship Id="rId4591" Type="http://schemas.openxmlformats.org/officeDocument/2006/relationships/hyperlink" Target="https://eitaa.com/heyatfatemioonlongor" TargetMode="External"/><Relationship Id="rId132" Type="http://schemas.openxmlformats.org/officeDocument/2006/relationships/hyperlink" Target="https://www.instagram.com/heyat_saheb_alzaman1347" TargetMode="External"/><Relationship Id="rId3263" Type="http://schemas.openxmlformats.org/officeDocument/2006/relationships/hyperlink" Target="https://www.instagram.com/heyat_asghriih1391" TargetMode="External"/><Relationship Id="rId4594" Type="http://schemas.openxmlformats.org/officeDocument/2006/relationships/hyperlink" Target="https://t.me/mohebanaltaha313" TargetMode="External"/><Relationship Id="rId131" Type="http://schemas.openxmlformats.org/officeDocument/2006/relationships/hyperlink" Target="https://eitaa.com/shohadayegomnam_in" TargetMode="External"/><Relationship Id="rId3262" Type="http://schemas.openxmlformats.org/officeDocument/2006/relationships/hyperlink" Target="https://www.instagram.com/heyat_akbariye_rafiabad" TargetMode="External"/><Relationship Id="rId4593" Type="http://schemas.openxmlformats.org/officeDocument/2006/relationships/hyperlink" Target="https://www.instagram.com/heyat_al.taha313" TargetMode="External"/><Relationship Id="rId130" Type="http://schemas.openxmlformats.org/officeDocument/2006/relationships/hyperlink" Target="https://www.instagram.com/daralhosein/" TargetMode="External"/><Relationship Id="rId3265" Type="http://schemas.openxmlformats.org/officeDocument/2006/relationships/hyperlink" Target="https://t.me/gamarbanihashemmarand" TargetMode="External"/><Relationship Id="rId4596" Type="http://schemas.openxmlformats.org/officeDocument/2006/relationships/hyperlink" Target="https://www.instagram.com/heyat_yosefalzahra_shoushtar/" TargetMode="External"/><Relationship Id="rId3264" Type="http://schemas.openxmlformats.org/officeDocument/2006/relationships/hyperlink" Target="https://www.instagram.com/gamarbanihashem_marand" TargetMode="External"/><Relationship Id="rId4595" Type="http://schemas.openxmlformats.org/officeDocument/2006/relationships/hyperlink" Target="https://www.instagram.com/magham_alishoshtar/" TargetMode="External"/><Relationship Id="rId136" Type="http://schemas.openxmlformats.org/officeDocument/2006/relationships/hyperlink" Target="https://eitaa.com/HeiatBabol" TargetMode="External"/><Relationship Id="rId3267" Type="http://schemas.openxmlformats.org/officeDocument/2006/relationships/hyperlink" Target="https://t.me/jannesaran_hazrat_valiasr" TargetMode="External"/><Relationship Id="rId4598" Type="http://schemas.openxmlformats.org/officeDocument/2006/relationships/hyperlink" Target="https://www.instagram.com/jan__nsaran/" TargetMode="External"/><Relationship Id="rId135" Type="http://schemas.openxmlformats.org/officeDocument/2006/relationships/hyperlink" Target="https://t.me/HeiatBabol" TargetMode="External"/><Relationship Id="rId3266" Type="http://schemas.openxmlformats.org/officeDocument/2006/relationships/hyperlink" Target="https://www.instagram.com/jannesaran_hazrat_valiasr" TargetMode="External"/><Relationship Id="rId4597" Type="http://schemas.openxmlformats.org/officeDocument/2006/relationships/hyperlink" Target="https://t.me/heyat_yousef_alzahra" TargetMode="External"/><Relationship Id="rId134" Type="http://schemas.openxmlformats.org/officeDocument/2006/relationships/hyperlink" Target="https://www.instagram.com/heiatbabol/" TargetMode="External"/><Relationship Id="rId3269" Type="http://schemas.openxmlformats.org/officeDocument/2006/relationships/hyperlink" Target="https://www.instagram.com/heyat_aliebn_mosarrezaa.marand" TargetMode="External"/><Relationship Id="rId133" Type="http://schemas.openxmlformats.org/officeDocument/2006/relationships/hyperlink" Target="https://t.me/heyat_sahebalzaman_alamdar" TargetMode="External"/><Relationship Id="rId3268" Type="http://schemas.openxmlformats.org/officeDocument/2006/relationships/hyperlink" Target="https://www.instagram.com/heyate_alghadire_marand" TargetMode="External"/><Relationship Id="rId4599" Type="http://schemas.openxmlformats.org/officeDocument/2006/relationships/hyperlink" Target="https://eitaa.com/zohoor7kL" TargetMode="External"/><Relationship Id="rId172" Type="http://schemas.openxmlformats.org/officeDocument/2006/relationships/hyperlink" Target="https://t.me/seyyedoshohadaaa" TargetMode="External"/><Relationship Id="rId171" Type="http://schemas.openxmlformats.org/officeDocument/2006/relationships/hyperlink" Target="https://www.instagram.com/seyyedoshohada.bbs/" TargetMode="External"/><Relationship Id="rId170" Type="http://schemas.openxmlformats.org/officeDocument/2006/relationships/hyperlink" Target="https://t.me/mohebbanolhoseinbabolsar" TargetMode="External"/><Relationship Id="rId3290" Type="http://schemas.openxmlformats.org/officeDocument/2006/relationships/hyperlink" Target="https://www.instagram.com/asheghaneh_hazrateh_abolfazl/" TargetMode="External"/><Relationship Id="rId3292" Type="http://schemas.openxmlformats.org/officeDocument/2006/relationships/hyperlink" Target="https://www.instagram.com/maktab.sarallahh/" TargetMode="External"/><Relationship Id="rId3291" Type="http://schemas.openxmlformats.org/officeDocument/2006/relationships/hyperlink" Target="https://www.instagram.com/maktabshirzankarbala/" TargetMode="External"/><Relationship Id="rId3294" Type="http://schemas.openxmlformats.org/officeDocument/2006/relationships/hyperlink" Target="https://www.instagram.com/heyat_yarali_hoseyn/" TargetMode="External"/><Relationship Id="rId3293" Type="http://schemas.openxmlformats.org/officeDocument/2006/relationships/hyperlink" Target="https://www.instagram.com/baghiyat__allah/" TargetMode="External"/><Relationship Id="rId165" Type="http://schemas.openxmlformats.org/officeDocument/2006/relationships/hyperlink" Target="https://www.youtube.com/@sarallahbabolsar" TargetMode="External"/><Relationship Id="rId3296" Type="http://schemas.openxmlformats.org/officeDocument/2006/relationships/hyperlink" Target="https://www.instagram.com/heyyat_alzahra_urumiya/" TargetMode="External"/><Relationship Id="rId164" Type="http://schemas.openxmlformats.org/officeDocument/2006/relationships/hyperlink" Target="https://eitaa.com/sarallahbbs" TargetMode="External"/><Relationship Id="rId3295" Type="http://schemas.openxmlformats.org/officeDocument/2006/relationships/hyperlink" Target="http://t.me/heyate_fatemiye" TargetMode="External"/><Relationship Id="rId163" Type="http://schemas.openxmlformats.org/officeDocument/2006/relationships/hyperlink" Target="http://t.me/SarallahBbs" TargetMode="External"/><Relationship Id="rId3298" Type="http://schemas.openxmlformats.org/officeDocument/2006/relationships/hyperlink" Target="https://www.instagram.com/payamashura/" TargetMode="External"/><Relationship Id="rId162" Type="http://schemas.openxmlformats.org/officeDocument/2006/relationships/hyperlink" Target="https://www.instagram.com/sarallahbbs/" TargetMode="External"/><Relationship Id="rId3297" Type="http://schemas.openxmlformats.org/officeDocument/2006/relationships/hyperlink" Target="https://www.instagram.com/maktabolabas.urmia313/" TargetMode="External"/><Relationship Id="rId169" Type="http://schemas.openxmlformats.org/officeDocument/2006/relationships/hyperlink" Target="https://www.instagram.com/mohebbanolhossein.128/" TargetMode="External"/><Relationship Id="rId168" Type="http://schemas.openxmlformats.org/officeDocument/2006/relationships/hyperlink" Target="https://t.me/BabollJavad_bbs" TargetMode="External"/><Relationship Id="rId3299" Type="http://schemas.openxmlformats.org/officeDocument/2006/relationships/hyperlink" Target="https://eitaa.com/majmae_sydlashohada" TargetMode="External"/><Relationship Id="rId167" Type="http://schemas.openxmlformats.org/officeDocument/2006/relationships/hyperlink" Target="https://www.instagram.com/babolljavad_bbs/" TargetMode="External"/><Relationship Id="rId166" Type="http://schemas.openxmlformats.org/officeDocument/2006/relationships/hyperlink" Target="https://www.instagram.com/sarallah_school/" TargetMode="External"/><Relationship Id="rId161" Type="http://schemas.openxmlformats.org/officeDocument/2006/relationships/hyperlink" Target="https://www.instagram.com/reyhanatal_hosein/" TargetMode="External"/><Relationship Id="rId160" Type="http://schemas.openxmlformats.org/officeDocument/2006/relationships/hyperlink" Target="https://t.me/rahimian_media" TargetMode="External"/><Relationship Id="rId159" Type="http://schemas.openxmlformats.org/officeDocument/2006/relationships/hyperlink" Target="https://www.instagram.com/roohollah.69_110/" TargetMode="External"/><Relationship Id="rId3281" Type="http://schemas.openxmlformats.org/officeDocument/2006/relationships/hyperlink" Target="https://eitaa.com/khddamreza" TargetMode="External"/><Relationship Id="rId3280" Type="http://schemas.openxmlformats.org/officeDocument/2006/relationships/hyperlink" Target="https://eitaa.com/ansarolfateme" TargetMode="External"/><Relationship Id="rId3283" Type="http://schemas.openxmlformats.org/officeDocument/2006/relationships/hyperlink" Target="https://eitaa.com/heyatolreza" TargetMode="External"/><Relationship Id="rId3282" Type="http://schemas.openxmlformats.org/officeDocument/2006/relationships/hyperlink" Target="https://eitaa.com/ashuraeyan_maragheh" TargetMode="External"/><Relationship Id="rId154" Type="http://schemas.openxmlformats.org/officeDocument/2006/relationships/hyperlink" Target="https://eitaa.com/labaikyamahdi_info" TargetMode="External"/><Relationship Id="rId3285" Type="http://schemas.openxmlformats.org/officeDocument/2006/relationships/hyperlink" Target="http://t.me/urmiaazadheiaat" TargetMode="External"/><Relationship Id="rId153" Type="http://schemas.openxmlformats.org/officeDocument/2006/relationships/hyperlink" Target="https://t.me/labaikyamahdi_info" TargetMode="External"/><Relationship Id="rId3284" Type="http://schemas.openxmlformats.org/officeDocument/2006/relationships/hyperlink" Target="https://www.instagram.com/_maktabalhossein_/" TargetMode="External"/><Relationship Id="rId152" Type="http://schemas.openxmlformats.org/officeDocument/2006/relationships/hyperlink" Target="https://www.instagram.com/labaikyamahdi_info/" TargetMode="External"/><Relationship Id="rId3287" Type="http://schemas.openxmlformats.org/officeDocument/2006/relationships/hyperlink" Target="http://t.me/Hussainjanurmia" TargetMode="External"/><Relationship Id="rId151" Type="http://schemas.openxmlformats.org/officeDocument/2006/relationships/hyperlink" Target="https://t.me/zeynab_bentol_heydar" TargetMode="External"/><Relationship Id="rId3286" Type="http://schemas.openxmlformats.org/officeDocument/2006/relationships/hyperlink" Target="https://www.instagram.com/hussainjan.urmia/" TargetMode="External"/><Relationship Id="rId158" Type="http://schemas.openxmlformats.org/officeDocument/2006/relationships/hyperlink" Target="https://t.me/rozeh_khaneh128" TargetMode="External"/><Relationship Id="rId3289" Type="http://schemas.openxmlformats.org/officeDocument/2006/relationships/hyperlink" Target="https://www.instagram.com/heyat_bagiatolahazam/" TargetMode="External"/><Relationship Id="rId157" Type="http://schemas.openxmlformats.org/officeDocument/2006/relationships/hyperlink" Target="https://www.instagram.com/rozeh.khaneh128/" TargetMode="External"/><Relationship Id="rId3288" Type="http://schemas.openxmlformats.org/officeDocument/2006/relationships/hyperlink" Target="https://www.instagram.com/mokabe.pabusan.urmia/" TargetMode="External"/><Relationship Id="rId156" Type="http://schemas.openxmlformats.org/officeDocument/2006/relationships/hyperlink" Target="https://www.instagram.com/mokebrowzatolhussain/" TargetMode="External"/><Relationship Id="rId155" Type="http://schemas.openxmlformats.org/officeDocument/2006/relationships/hyperlink" Target="https://www.instagram.com/moheban_alerasol/" TargetMode="External"/><Relationship Id="rId9451" Type="http://schemas.openxmlformats.org/officeDocument/2006/relationships/hyperlink" Target="https://eitaa.com/hezbollahyazd" TargetMode="External"/><Relationship Id="rId9452" Type="http://schemas.openxmlformats.org/officeDocument/2006/relationships/hyperlink" Target="https://eitaa.com/nehzat_yazd" TargetMode="External"/><Relationship Id="rId9453" Type="http://schemas.openxmlformats.org/officeDocument/2006/relationships/hyperlink" Target="https://www.instagram.com/fadaeian_info" TargetMode="External"/><Relationship Id="rId9454" Type="http://schemas.openxmlformats.org/officeDocument/2006/relationships/hyperlink" Target="https://t.me/fadaeian_info69" TargetMode="External"/><Relationship Id="rId8123" Type="http://schemas.openxmlformats.org/officeDocument/2006/relationships/hyperlink" Target="https://eitaa.com/sobhaniha" TargetMode="External"/><Relationship Id="rId8122" Type="http://schemas.openxmlformats.org/officeDocument/2006/relationships/hyperlink" Target="https://eitaa.com/sobhaniha" TargetMode="External"/><Relationship Id="rId8121" Type="http://schemas.openxmlformats.org/officeDocument/2006/relationships/hyperlink" Target="https://www.instagram.com/holaghghamarbanihashemheyat" TargetMode="External"/><Relationship Id="rId8120" Type="http://schemas.openxmlformats.org/officeDocument/2006/relationships/hyperlink" Target="https://eitaa.com/emamjavadhasanabadiha" TargetMode="External"/><Relationship Id="rId9450" Type="http://schemas.openxmlformats.org/officeDocument/2006/relationships/hyperlink" Target="https://www.instagram.com/darulfeiz.ir/" TargetMode="External"/><Relationship Id="rId8127" Type="http://schemas.openxmlformats.org/officeDocument/2006/relationships/hyperlink" Target="https://www.instagram.com/razmandeganeslam/" TargetMode="External"/><Relationship Id="rId9459" Type="http://schemas.openxmlformats.org/officeDocument/2006/relationships/hyperlink" Target="https://eitaa.com/ansareaemeh" TargetMode="External"/><Relationship Id="rId8126" Type="http://schemas.openxmlformats.org/officeDocument/2006/relationships/hyperlink" Target="https://t.me/jabalossabr69" TargetMode="External"/><Relationship Id="rId8125" Type="http://schemas.openxmlformats.org/officeDocument/2006/relationships/hyperlink" Target="https://t.me/fadaiyanzahra" TargetMode="External"/><Relationship Id="rId8124" Type="http://schemas.openxmlformats.org/officeDocument/2006/relationships/hyperlink" Target="https://www.instagram.com/fadaiyanzahra" TargetMode="External"/><Relationship Id="rId9455" Type="http://schemas.openxmlformats.org/officeDocument/2006/relationships/hyperlink" Target="https://www.instagram.com/farajyazd" TargetMode="External"/><Relationship Id="rId9456" Type="http://schemas.openxmlformats.org/officeDocument/2006/relationships/hyperlink" Target="https://t.me/farajyazd" TargetMode="External"/><Relationship Id="rId8129" Type="http://schemas.openxmlformats.org/officeDocument/2006/relationships/hyperlink" Target="https://www.instagram.com/javananemamreza" TargetMode="External"/><Relationship Id="rId9457" Type="http://schemas.openxmlformats.org/officeDocument/2006/relationships/hyperlink" Target="https://www.instagram.com/ansareaemeh/" TargetMode="External"/><Relationship Id="rId8128" Type="http://schemas.openxmlformats.org/officeDocument/2006/relationships/hyperlink" Target="https://eitaa.com/heyat_razmande" TargetMode="External"/><Relationship Id="rId9458" Type="http://schemas.openxmlformats.org/officeDocument/2006/relationships/hyperlink" Target="https://t.me/ansareaemeh" TargetMode="External"/><Relationship Id="rId9440" Type="http://schemas.openxmlformats.org/officeDocument/2006/relationships/hyperlink" Target="https://eitaa.com/Ansarolmahdi_nodoushan" TargetMode="External"/><Relationship Id="rId9441" Type="http://schemas.openxmlformats.org/officeDocument/2006/relationships/hyperlink" Target="https://www.instagram.com/heiatsalmanfarsi" TargetMode="External"/><Relationship Id="rId9442" Type="http://schemas.openxmlformats.org/officeDocument/2006/relationships/hyperlink" Target="http://t.me/heiatsalmanfarsi" TargetMode="External"/><Relationship Id="rId9443" Type="http://schemas.openxmlformats.org/officeDocument/2006/relationships/hyperlink" Target="https://eitaa.com/heiatesalmanefarsi97" TargetMode="External"/><Relationship Id="rId8112" Type="http://schemas.openxmlformats.org/officeDocument/2006/relationships/hyperlink" Target="https://t.me/gomnam_ui" TargetMode="External"/><Relationship Id="rId8111" Type="http://schemas.openxmlformats.org/officeDocument/2006/relationships/hyperlink" Target="https://instagram.com/gomnam_ui" TargetMode="External"/><Relationship Id="rId8110" Type="http://schemas.openxmlformats.org/officeDocument/2006/relationships/hyperlink" Target="https://eitaa.com/heyathonarisf" TargetMode="External"/><Relationship Id="rId8116" Type="http://schemas.openxmlformats.org/officeDocument/2006/relationships/hyperlink" Target="https://www.instagram.com/heyate_aliebn_abitaleb" TargetMode="External"/><Relationship Id="rId9448" Type="http://schemas.openxmlformats.org/officeDocument/2006/relationships/hyperlink" Target="https://www.instagram.com/heiat_fatemieh/" TargetMode="External"/><Relationship Id="rId8115" Type="http://schemas.openxmlformats.org/officeDocument/2006/relationships/hyperlink" Target="https://eitaa.com/Mahd_quran_Lahoor" TargetMode="External"/><Relationship Id="rId9449" Type="http://schemas.openxmlformats.org/officeDocument/2006/relationships/hyperlink" Target="https://t.me/heiat_fatemieh_yazd" TargetMode="External"/><Relationship Id="rId8114" Type="http://schemas.openxmlformats.org/officeDocument/2006/relationships/hyperlink" Target="https://eitaa.com/markaz_ansar" TargetMode="External"/><Relationship Id="rId8113" Type="http://schemas.openxmlformats.org/officeDocument/2006/relationships/hyperlink" Target="https://eitaa.com/gomnam_ui" TargetMode="External"/><Relationship Id="rId9444" Type="http://schemas.openxmlformats.org/officeDocument/2006/relationships/hyperlink" Target="https://www.instagram.com/Baqiatallah_aj/" TargetMode="External"/><Relationship Id="rId8119" Type="http://schemas.openxmlformats.org/officeDocument/2006/relationships/hyperlink" Target="https://www.instagram.com/hvamjavadolaemmeh" TargetMode="External"/><Relationship Id="rId9445" Type="http://schemas.openxmlformats.org/officeDocument/2006/relationships/hyperlink" Target="https://t.me/Baqiatallah_aj" TargetMode="External"/><Relationship Id="rId8118" Type="http://schemas.openxmlformats.org/officeDocument/2006/relationships/hyperlink" Target="https://eitaa.com/Rasane_Aliasghar313" TargetMode="External"/><Relationship Id="rId9446" Type="http://schemas.openxmlformats.org/officeDocument/2006/relationships/hyperlink" Target="https://eitaa.com/Baqiatallah_aj" TargetMode="External"/><Relationship Id="rId8117" Type="http://schemas.openxmlformats.org/officeDocument/2006/relationships/hyperlink" Target="https://www.instagram.com/rasane_aliasghar1390" TargetMode="External"/><Relationship Id="rId9447" Type="http://schemas.openxmlformats.org/officeDocument/2006/relationships/hyperlink" Target="https://www.instagram.com/moheban.yazd/" TargetMode="External"/><Relationship Id="rId8141" Type="http://schemas.openxmlformats.org/officeDocument/2006/relationships/hyperlink" Target="https://www.instagram.com/ayene.ir" TargetMode="External"/><Relationship Id="rId9473" Type="http://schemas.openxmlformats.org/officeDocument/2006/relationships/hyperlink" Target="https://www.instagram.com/moheban_alzahras/" TargetMode="External"/><Relationship Id="rId8140" Type="http://schemas.openxmlformats.org/officeDocument/2006/relationships/hyperlink" Target="https://eitaa.com/alamdar_345" TargetMode="External"/><Relationship Id="rId9474" Type="http://schemas.openxmlformats.org/officeDocument/2006/relationships/hyperlink" Target="https://eitaa.com/Moheban313zahra" TargetMode="External"/><Relationship Id="rId9475" Type="http://schemas.openxmlformats.org/officeDocument/2006/relationships/hyperlink" Target="https://www.instagram.com/heydaryun110/" TargetMode="External"/><Relationship Id="rId9476" Type="http://schemas.openxmlformats.org/officeDocument/2006/relationships/hyperlink" Target="https://www.instagram.com/abulfazl_alabbas_yazd" TargetMode="External"/><Relationship Id="rId8145" Type="http://schemas.openxmlformats.org/officeDocument/2006/relationships/hyperlink" Target="https://instagram.com/banovanfadaeianhosein" TargetMode="External"/><Relationship Id="rId8144" Type="http://schemas.openxmlformats.org/officeDocument/2006/relationships/hyperlink" Target="https://eitaa.com/ayene_ir" TargetMode="External"/><Relationship Id="rId9470" Type="http://schemas.openxmlformats.org/officeDocument/2006/relationships/hyperlink" Target="https://www.instagram.com/haram128.ir" TargetMode="External"/><Relationship Id="rId8143" Type="http://schemas.openxmlformats.org/officeDocument/2006/relationships/hyperlink" Target="https://www.instagram.com/ayene.ir/" TargetMode="External"/><Relationship Id="rId9471" Type="http://schemas.openxmlformats.org/officeDocument/2006/relationships/hyperlink" Target="https://www.instagram.com/shahzadefazel.yazd" TargetMode="External"/><Relationship Id="rId8142" Type="http://schemas.openxmlformats.org/officeDocument/2006/relationships/hyperlink" Target="https://eitaa.com/ayene_ir" TargetMode="External"/><Relationship Id="rId9472" Type="http://schemas.openxmlformats.org/officeDocument/2006/relationships/hyperlink" Target="https://eitaa.com/emamzade_jafar_yazd" TargetMode="External"/><Relationship Id="rId8149" Type="http://schemas.openxmlformats.org/officeDocument/2006/relationships/hyperlink" Target="https://t.me/banovanfadaeianhosein" TargetMode="External"/><Relationship Id="rId8148" Type="http://schemas.openxmlformats.org/officeDocument/2006/relationships/hyperlink" Target="https://www.instagram.com/banovanfadaeianhosein" TargetMode="External"/><Relationship Id="rId8147" Type="http://schemas.openxmlformats.org/officeDocument/2006/relationships/hyperlink" Target="https://eitaa.com/banovanfadaeianhosein" TargetMode="External"/><Relationship Id="rId8146" Type="http://schemas.openxmlformats.org/officeDocument/2006/relationships/hyperlink" Target="https://t.me/banovanfadaeianhosein" TargetMode="External"/><Relationship Id="rId9477" Type="http://schemas.openxmlformats.org/officeDocument/2006/relationships/hyperlink" Target="https://eitaa.com/heiatemamhasan_elmohonar" TargetMode="External"/><Relationship Id="rId9478" Type="http://schemas.openxmlformats.org/officeDocument/2006/relationships/hyperlink" Target="https://www.instagram.com/binolharamien.yazd/" TargetMode="External"/><Relationship Id="rId9479" Type="http://schemas.openxmlformats.org/officeDocument/2006/relationships/hyperlink" Target="https://t.me/+qQwUPeI4u2U5MGVk" TargetMode="External"/><Relationship Id="rId8130" Type="http://schemas.openxmlformats.org/officeDocument/2006/relationships/hyperlink" Target="https://www.instagram.com/javananemamreza/" TargetMode="External"/><Relationship Id="rId9462" Type="http://schemas.openxmlformats.org/officeDocument/2006/relationships/hyperlink" Target="https://eitaa.com/ansaroghayeh_yazd" TargetMode="External"/><Relationship Id="rId9463" Type="http://schemas.openxmlformats.org/officeDocument/2006/relationships/hyperlink" Target="https://www.instagram.com/heyat_javadolaemeh_yazd/" TargetMode="External"/><Relationship Id="rId9464" Type="http://schemas.openxmlformats.org/officeDocument/2006/relationships/hyperlink" Target="https://eitaa.com/madrese_eshgh_yazd" TargetMode="External"/><Relationship Id="rId9465" Type="http://schemas.openxmlformats.org/officeDocument/2006/relationships/hyperlink" Target="https://eitaa.com/masjedvelayatyazd" TargetMode="External"/><Relationship Id="rId8134" Type="http://schemas.openxmlformats.org/officeDocument/2006/relationships/hyperlink" Target="https://www.instagram.com/heyat_paeindarvazeh" TargetMode="External"/><Relationship Id="rId8133" Type="http://schemas.openxmlformats.org/officeDocument/2006/relationships/hyperlink" Target="https://eitaa.com/Aseman_Najaf" TargetMode="External"/><Relationship Id="rId8132" Type="http://schemas.openxmlformats.org/officeDocument/2006/relationships/hyperlink" Target="https://eitaa.com/Aseman_Najaf" TargetMode="External"/><Relationship Id="rId9460" Type="http://schemas.openxmlformats.org/officeDocument/2006/relationships/hyperlink" Target="https://www.instagram.com/ansaroghayeh_yazd" TargetMode="External"/><Relationship Id="rId8131" Type="http://schemas.openxmlformats.org/officeDocument/2006/relationships/hyperlink" Target="https://eitaa.com/mokeb_133" TargetMode="External"/><Relationship Id="rId9461" Type="http://schemas.openxmlformats.org/officeDocument/2006/relationships/hyperlink" Target="https://t.me/ansaroghayeh_yazd" TargetMode="External"/><Relationship Id="rId8138" Type="http://schemas.openxmlformats.org/officeDocument/2006/relationships/hyperlink" Target="https://www.instagram.com/alamdar_tiran/" TargetMode="External"/><Relationship Id="rId8137" Type="http://schemas.openxmlformats.org/officeDocument/2006/relationships/hyperlink" Target="https://www.instagram.com/pamenar.esf/" TargetMode="External"/><Relationship Id="rId8136" Type="http://schemas.openxmlformats.org/officeDocument/2006/relationships/hyperlink" Target="https://www.instagram.com/pamenar.esf" TargetMode="External"/><Relationship Id="rId8135" Type="http://schemas.openxmlformats.org/officeDocument/2006/relationships/hyperlink" Target="https://www.instagram.com/heyat14masom.daran/" TargetMode="External"/><Relationship Id="rId9466" Type="http://schemas.openxmlformats.org/officeDocument/2006/relationships/hyperlink" Target="https://www.instagram.com/neynavasafaieh/" TargetMode="External"/><Relationship Id="rId9467" Type="http://schemas.openxmlformats.org/officeDocument/2006/relationships/hyperlink" Target="https://eitaa.com/butorab_info" TargetMode="External"/><Relationship Id="rId9468" Type="http://schemas.openxmlformats.org/officeDocument/2006/relationships/hyperlink" Target="https://www.instagram.com/heyat_asheghan_zarch" TargetMode="External"/><Relationship Id="rId8139" Type="http://schemas.openxmlformats.org/officeDocument/2006/relationships/hyperlink" Target="https://eitaa.com/alamdar_tiran" TargetMode="External"/><Relationship Id="rId9469" Type="http://schemas.openxmlformats.org/officeDocument/2006/relationships/hyperlink" Target="https://www.instagram.com/ansar118118" TargetMode="External"/><Relationship Id="rId9419" Type="http://schemas.openxmlformats.org/officeDocument/2006/relationships/hyperlink" Target="https://www.instagram.com/mahdiehmeybod" TargetMode="External"/><Relationship Id="rId9410" Type="http://schemas.openxmlformats.org/officeDocument/2006/relationships/hyperlink" Target="https://t.me/yasenili_ir" TargetMode="External"/><Relationship Id="rId9415" Type="http://schemas.openxmlformats.org/officeDocument/2006/relationships/hyperlink" Target="https://eitaa.com/H_razmandegan_meybod" TargetMode="External"/><Relationship Id="rId9416" Type="http://schemas.openxmlformats.org/officeDocument/2006/relationships/hyperlink" Target="https://eitaa.com/etratkhaharan313" TargetMode="External"/><Relationship Id="rId9417" Type="http://schemas.openxmlformats.org/officeDocument/2006/relationships/hyperlink" Target="https://www.instagram.com/fatemiahb10" TargetMode="External"/><Relationship Id="rId9418" Type="http://schemas.openxmlformats.org/officeDocument/2006/relationships/hyperlink" Target="https://eitaa.com/fatemiahb10" TargetMode="External"/><Relationship Id="rId9411" Type="http://schemas.openxmlformats.org/officeDocument/2006/relationships/hyperlink" Target="https://eitaa.com/yasenili_ir" TargetMode="External"/><Relationship Id="rId9412" Type="http://schemas.openxmlformats.org/officeDocument/2006/relationships/hyperlink" Target="https://www.instagram.com/heyat_saeedi_meybod" TargetMode="External"/><Relationship Id="rId9413" Type="http://schemas.openxmlformats.org/officeDocument/2006/relationships/hyperlink" Target="https://www.instagram.com/heyat.ghasemebnelhasan.dehabad" TargetMode="External"/><Relationship Id="rId9414" Type="http://schemas.openxmlformats.org/officeDocument/2006/relationships/hyperlink" Target="https://eitaa.com/m_Rasoolallah_m" TargetMode="External"/><Relationship Id="rId9408" Type="http://schemas.openxmlformats.org/officeDocument/2006/relationships/hyperlink" Target="https://eitaa.com/mabm77" TargetMode="External"/><Relationship Id="rId9409" Type="http://schemas.openxmlformats.org/officeDocument/2006/relationships/hyperlink" Target="https://www.instagram.com/yasenili_ir/" TargetMode="External"/><Relationship Id="rId9404" Type="http://schemas.openxmlformats.org/officeDocument/2006/relationships/hyperlink" Target="https://www.instagram.com/ashouraeiyan_ir/" TargetMode="External"/><Relationship Id="rId9405" Type="http://schemas.openxmlformats.org/officeDocument/2006/relationships/hyperlink" Target="https://t.me/ashouraeiyan_ir" TargetMode="External"/><Relationship Id="rId9406" Type="http://schemas.openxmlformats.org/officeDocument/2006/relationships/hyperlink" Target="https://eitaa.com/ashouraeiyan_ir" TargetMode="External"/><Relationship Id="rId9407" Type="http://schemas.openxmlformats.org/officeDocument/2006/relationships/hyperlink" Target="https://www.instagram.com/mabm_77" TargetMode="External"/><Relationship Id="rId9400" Type="http://schemas.openxmlformats.org/officeDocument/2006/relationships/hyperlink" Target="https://eitaa.com/mirshamsolhaghmeybod" TargetMode="External"/><Relationship Id="rId9401" Type="http://schemas.openxmlformats.org/officeDocument/2006/relationships/hyperlink" Target="https://eitaa.com/Meybodmosala" TargetMode="External"/><Relationship Id="rId9402" Type="http://schemas.openxmlformats.org/officeDocument/2006/relationships/hyperlink" Target="https://www.instagram.com/heyat_abolfazli_sharak_shohada" TargetMode="External"/><Relationship Id="rId9403" Type="http://schemas.openxmlformats.org/officeDocument/2006/relationships/hyperlink" Target="https://eitaa.com/m_amirabad" TargetMode="External"/><Relationship Id="rId9430" Type="http://schemas.openxmlformats.org/officeDocument/2006/relationships/hyperlink" Target="https://www.instagram.com/hussainiyah.b.d/" TargetMode="External"/><Relationship Id="rId9431" Type="http://schemas.openxmlformats.org/officeDocument/2006/relationships/hyperlink" Target="https://www.instagram.com/heyate_roghayeh/" TargetMode="External"/><Relationship Id="rId9432" Type="http://schemas.openxmlformats.org/officeDocument/2006/relationships/hyperlink" Target="https://t.me/heyate_roghayeh" TargetMode="External"/><Relationship Id="rId8101" Type="http://schemas.openxmlformats.org/officeDocument/2006/relationships/hyperlink" Target="https://eitaa.com/heiataseman" TargetMode="External"/><Relationship Id="rId8100" Type="http://schemas.openxmlformats.org/officeDocument/2006/relationships/hyperlink" Target="https://www.instagram.com/oshaghalmahdi_ag" TargetMode="External"/><Relationship Id="rId8105" Type="http://schemas.openxmlformats.org/officeDocument/2006/relationships/hyperlink" Target="https://www.instagram.com/seshanbemahdavi_ui" TargetMode="External"/><Relationship Id="rId9437" Type="http://schemas.openxmlformats.org/officeDocument/2006/relationships/hyperlink" Target="https://eitaa.com/beyto_roghaye" TargetMode="External"/><Relationship Id="rId8104" Type="http://schemas.openxmlformats.org/officeDocument/2006/relationships/hyperlink" Target="https://www.instagram.com/montazeranzohoorgarmaseh" TargetMode="External"/><Relationship Id="rId9438" Type="http://schemas.openxmlformats.org/officeDocument/2006/relationships/hyperlink" Target="https://www.instagram.com/ansarolmahdi_nodoushan/" TargetMode="External"/><Relationship Id="rId8103" Type="http://schemas.openxmlformats.org/officeDocument/2006/relationships/hyperlink" Target="https://www.instagram.com/maktab_al_hasan_esf" TargetMode="External"/><Relationship Id="rId9439" Type="http://schemas.openxmlformats.org/officeDocument/2006/relationships/hyperlink" Target="https://t.me/Ansarolmahdi_nodoushan" TargetMode="External"/><Relationship Id="rId8102" Type="http://schemas.openxmlformats.org/officeDocument/2006/relationships/hyperlink" Target="https://eitaa.com/mohebbanozzahra" TargetMode="External"/><Relationship Id="rId8109" Type="http://schemas.openxmlformats.org/officeDocument/2006/relationships/hyperlink" Target="https://t.me/heyathonarisf" TargetMode="External"/><Relationship Id="rId9433" Type="http://schemas.openxmlformats.org/officeDocument/2006/relationships/hyperlink" Target="https://www.instagram.com/heyat.aliakbar.sh/" TargetMode="External"/><Relationship Id="rId8108" Type="http://schemas.openxmlformats.org/officeDocument/2006/relationships/hyperlink" Target="https://www.instagram.com/heyathonarisf" TargetMode="External"/><Relationship Id="rId9434" Type="http://schemas.openxmlformats.org/officeDocument/2006/relationships/hyperlink" Target="https://www.instagram.com/heyat_fatemiyeh_bafru/" TargetMode="External"/><Relationship Id="rId8107" Type="http://schemas.openxmlformats.org/officeDocument/2006/relationships/hyperlink" Target="https://www.instagram.com/fadaeyanezahra" TargetMode="External"/><Relationship Id="rId9435" Type="http://schemas.openxmlformats.org/officeDocument/2006/relationships/hyperlink" Target="https://www.instagram.com/heyat_javadolaeme_bafrueyeh/" TargetMode="External"/><Relationship Id="rId8106" Type="http://schemas.openxmlformats.org/officeDocument/2006/relationships/hyperlink" Target="https://www.instagram.com/heyatzeynab.ir" TargetMode="External"/><Relationship Id="rId9436" Type="http://schemas.openxmlformats.org/officeDocument/2006/relationships/hyperlink" Target="https://www.instagram.com/beyto.roghaye.bafruiyeh/" TargetMode="External"/><Relationship Id="rId9420" Type="http://schemas.openxmlformats.org/officeDocument/2006/relationships/hyperlink" Target="https://eitaa.com/mahdiehmeybod" TargetMode="External"/><Relationship Id="rId9421" Type="http://schemas.openxmlformats.org/officeDocument/2006/relationships/hyperlink" Target="https://www.instagram.com/akbarabadyazd" TargetMode="External"/><Relationship Id="rId9426" Type="http://schemas.openxmlformats.org/officeDocument/2006/relationships/hyperlink" Target="https://www.instagram.com/jannesaran_hosseini/" TargetMode="External"/><Relationship Id="rId9427" Type="http://schemas.openxmlformats.org/officeDocument/2006/relationships/hyperlink" Target="https://eitaa.com/iranhusseeiniva" TargetMode="External"/><Relationship Id="rId9428" Type="http://schemas.openxmlformats.org/officeDocument/2006/relationships/hyperlink" Target="https://www.instagram.com/fatemiha_khanaghah/" TargetMode="External"/><Relationship Id="rId9429" Type="http://schemas.openxmlformats.org/officeDocument/2006/relationships/hyperlink" Target="https://t.me/fatemiha_khanaghah" TargetMode="External"/><Relationship Id="rId9422" Type="http://schemas.openxmlformats.org/officeDocument/2006/relationships/hyperlink" Target="https://eitaa.com/heyateakbarabadyazd" TargetMode="External"/><Relationship Id="rId9423" Type="http://schemas.openxmlformats.org/officeDocument/2006/relationships/hyperlink" Target="https://www.instagram.com/fatemioon_meybod/" TargetMode="External"/><Relationship Id="rId9424" Type="http://schemas.openxmlformats.org/officeDocument/2006/relationships/hyperlink" Target="https://t.me/fatemioon_meybod" TargetMode="External"/><Relationship Id="rId9425" Type="http://schemas.openxmlformats.org/officeDocument/2006/relationships/hyperlink" Target="https://eitaa.com/fatemioon_meybod" TargetMode="External"/><Relationship Id="rId4602" Type="http://schemas.openxmlformats.org/officeDocument/2006/relationships/hyperlink" Target="https://www.instagram.com/shahzadeh.art/" TargetMode="External"/><Relationship Id="rId5934" Type="http://schemas.openxmlformats.org/officeDocument/2006/relationships/hyperlink" Target="https://t.me/nkums_heiat" TargetMode="External"/><Relationship Id="rId4601" Type="http://schemas.openxmlformats.org/officeDocument/2006/relationships/hyperlink" Target="https://www.instagram.com/ahali.alhoveyzeh/" TargetMode="External"/><Relationship Id="rId5935" Type="http://schemas.openxmlformats.org/officeDocument/2006/relationships/hyperlink" Target="https://www.instagram.com/seyedushohada1" TargetMode="External"/><Relationship Id="rId4604" Type="http://schemas.openxmlformats.org/officeDocument/2006/relationships/hyperlink" Target="https://www.instagram.com/alghameh_media/" TargetMode="External"/><Relationship Id="rId5932" Type="http://schemas.openxmlformats.org/officeDocument/2006/relationships/hyperlink" Target="https://www.instagram.com/mesbaholhoda_bojnourd" TargetMode="External"/><Relationship Id="rId4603" Type="http://schemas.openxmlformats.org/officeDocument/2006/relationships/hyperlink" Target="https://www.instagram.com/315info/" TargetMode="External"/><Relationship Id="rId5933" Type="http://schemas.openxmlformats.org/officeDocument/2006/relationships/hyperlink" Target="https://www.instagram.com/nkums_heiat" TargetMode="External"/><Relationship Id="rId4606" Type="http://schemas.openxmlformats.org/officeDocument/2006/relationships/hyperlink" Target="https://www.instagram.com/najaf.stori/" TargetMode="External"/><Relationship Id="rId5938" Type="http://schemas.openxmlformats.org/officeDocument/2006/relationships/hyperlink" Target="https://www.instagram.com/heyatbaghyatallah/" TargetMode="External"/><Relationship Id="rId4605" Type="http://schemas.openxmlformats.org/officeDocument/2006/relationships/hyperlink" Target="https://www.instagram.com/haora_studioo/" TargetMode="External"/><Relationship Id="rId5939" Type="http://schemas.openxmlformats.org/officeDocument/2006/relationships/hyperlink" Target="https://eitaa.com/masjedbaghyatallah" TargetMode="External"/><Relationship Id="rId4608" Type="http://schemas.openxmlformats.org/officeDocument/2006/relationships/hyperlink" Target="https://www.instagram.com/_.133__" TargetMode="External"/><Relationship Id="rId5936" Type="http://schemas.openxmlformats.org/officeDocument/2006/relationships/hyperlink" Target="https://www.instagram.com/ansaralmahdi_bojnord" TargetMode="External"/><Relationship Id="rId4607" Type="http://schemas.openxmlformats.org/officeDocument/2006/relationships/hyperlink" Target="https://www.instagram.com/faegh_ir/" TargetMode="External"/><Relationship Id="rId5937" Type="http://schemas.openxmlformats.org/officeDocument/2006/relationships/hyperlink" Target="https://www.instagram.com/janbazan_boj" TargetMode="External"/><Relationship Id="rId4609" Type="http://schemas.openxmlformats.org/officeDocument/2006/relationships/hyperlink" Target="https://t.me/morteza_yebor313" TargetMode="External"/><Relationship Id="rId5930" Type="http://schemas.openxmlformats.org/officeDocument/2006/relationships/hyperlink" Target="https://www.instagram.com/zavarolzahra/" TargetMode="External"/><Relationship Id="rId5931" Type="http://schemas.openxmlformats.org/officeDocument/2006/relationships/hyperlink" Target="https://t.me/zavarolzahra" TargetMode="External"/><Relationship Id="rId4600" Type="http://schemas.openxmlformats.org/officeDocument/2006/relationships/hyperlink" Target="https://eitaa.com/heyatorezahendijan" TargetMode="External"/><Relationship Id="rId5923" Type="http://schemas.openxmlformats.org/officeDocument/2006/relationships/hyperlink" Target="https://www.instagram.com/heyat_sajadieh_bojnurd" TargetMode="External"/><Relationship Id="rId5924" Type="http://schemas.openxmlformats.org/officeDocument/2006/relationships/hyperlink" Target="https://www.instagram.com/hoseinjan_bojnord" TargetMode="External"/><Relationship Id="rId5921" Type="http://schemas.openxmlformats.org/officeDocument/2006/relationships/hyperlink" Target="https://www.instagram.com/seyyedoshohada_boj/" TargetMode="External"/><Relationship Id="rId5922" Type="http://schemas.openxmlformats.org/officeDocument/2006/relationships/hyperlink" Target="https://www.instagram.com/heiate5tanealeaba/" TargetMode="External"/><Relationship Id="rId5927" Type="http://schemas.openxmlformats.org/officeDocument/2006/relationships/hyperlink" Target="https://www.instagram.com/seyyedoshohada_boj" TargetMode="External"/><Relationship Id="rId5928" Type="http://schemas.openxmlformats.org/officeDocument/2006/relationships/hyperlink" Target="https://www.instagram.com/heyat_asheghan_binolharamein/" TargetMode="External"/><Relationship Id="rId5925" Type="http://schemas.openxmlformats.org/officeDocument/2006/relationships/hyperlink" Target="https://www.instagram.com/h_beytoolreza" TargetMode="External"/><Relationship Id="rId5926" Type="http://schemas.openxmlformats.org/officeDocument/2006/relationships/hyperlink" Target="https://www.instagram.com/ya.fatematazahra135" TargetMode="External"/><Relationship Id="rId5929" Type="http://schemas.openxmlformats.org/officeDocument/2006/relationships/hyperlink" Target="https://www.instagram.com/heyat_saheb_azaman/" TargetMode="External"/><Relationship Id="rId8196" Type="http://schemas.openxmlformats.org/officeDocument/2006/relationships/hyperlink" Target="https://www.instagram.com/heyat_abolfazl_fakharkhane" TargetMode="External"/><Relationship Id="rId8195" Type="http://schemas.openxmlformats.org/officeDocument/2006/relationships/hyperlink" Target="https://eitaa.com/Gol_Nodbeh" TargetMode="External"/><Relationship Id="rId8194" Type="http://schemas.openxmlformats.org/officeDocument/2006/relationships/hyperlink" Target="https://www.instagram.com/gol_nodbeh2" TargetMode="External"/><Relationship Id="rId8193" Type="http://schemas.openxmlformats.org/officeDocument/2006/relationships/hyperlink" Target="https://www.instagram.com/heiat_razmandegan_shoshtar" TargetMode="External"/><Relationship Id="rId8199" Type="http://schemas.openxmlformats.org/officeDocument/2006/relationships/hyperlink" Target="https://eitaa.com/ghamarbaniihashem" TargetMode="External"/><Relationship Id="rId8198" Type="http://schemas.openxmlformats.org/officeDocument/2006/relationships/hyperlink" Target="https://eitaa.com/heyatrazmandeganab" TargetMode="External"/><Relationship Id="rId8197" Type="http://schemas.openxmlformats.org/officeDocument/2006/relationships/hyperlink" Target="https://t.me/heiatfakharkhane" TargetMode="External"/><Relationship Id="rId5920" Type="http://schemas.openxmlformats.org/officeDocument/2006/relationships/hyperlink" Target="https://t.me/janbazan_boj" TargetMode="External"/><Relationship Id="rId4624" Type="http://schemas.openxmlformats.org/officeDocument/2006/relationships/hyperlink" Target="https://eitaa.com/HosseinehEmamReza" TargetMode="External"/><Relationship Id="rId5956" Type="http://schemas.openxmlformats.org/officeDocument/2006/relationships/hyperlink" Target="https://www.instagram.com/nkums_heiat" TargetMode="External"/><Relationship Id="rId4623" Type="http://schemas.openxmlformats.org/officeDocument/2006/relationships/hyperlink" Target="https://eitaa.com/ahangran401" TargetMode="External"/><Relationship Id="rId5957" Type="http://schemas.openxmlformats.org/officeDocument/2006/relationships/hyperlink" Target="https://www.instagram.com/oshaghalmahdi313" TargetMode="External"/><Relationship Id="rId4626" Type="http://schemas.openxmlformats.org/officeDocument/2006/relationships/hyperlink" Target="https://eitaa.com/razmandegan_bushehr" TargetMode="External"/><Relationship Id="rId5954" Type="http://schemas.openxmlformats.org/officeDocument/2006/relationships/hyperlink" Target="https://www.instagram.com/kahfe_shohada" TargetMode="External"/><Relationship Id="rId4625" Type="http://schemas.openxmlformats.org/officeDocument/2006/relationships/hyperlink" Target="https://eitaa.com/saheb_alamr313" TargetMode="External"/><Relationship Id="rId5955" Type="http://schemas.openxmlformats.org/officeDocument/2006/relationships/hyperlink" Target="https://www.instagram.com/heiatroghayejan" TargetMode="External"/><Relationship Id="rId4628" Type="http://schemas.openxmlformats.org/officeDocument/2006/relationships/hyperlink" Target="https://www.instagram.com/Masjed_Emam_Hossein_Deylam1400" TargetMode="External"/><Relationship Id="rId4627" Type="http://schemas.openxmlformats.org/officeDocument/2006/relationships/hyperlink" Target="https://www.instagram.com/heiatoreza.khormuj/" TargetMode="External"/><Relationship Id="rId5958" Type="http://schemas.openxmlformats.org/officeDocument/2006/relationships/hyperlink" Target="https://www.instagram.com/heyatbaghyatallah" TargetMode="External"/><Relationship Id="rId4629" Type="http://schemas.openxmlformats.org/officeDocument/2006/relationships/hyperlink" Target="https://t.me/joinchat/AAAAAD_F9WJKDeOtbYkhbg" TargetMode="External"/><Relationship Id="rId5959" Type="http://schemas.openxmlformats.org/officeDocument/2006/relationships/hyperlink" Target="https://www.instagram.com/mohebban_jajarm/" TargetMode="External"/><Relationship Id="rId4620" Type="http://schemas.openxmlformats.org/officeDocument/2006/relationships/hyperlink" Target="https://www.instagram.com/ansaralhojah" TargetMode="External"/><Relationship Id="rId5952" Type="http://schemas.openxmlformats.org/officeDocument/2006/relationships/hyperlink" Target="https://www.instagram.com/heyat.almahdi_ub" TargetMode="External"/><Relationship Id="rId5953" Type="http://schemas.openxmlformats.org/officeDocument/2006/relationships/hyperlink" Target="https://www.instagram.com/heyat_sajadieh_bojnurd/" TargetMode="External"/><Relationship Id="rId4622" Type="http://schemas.openxmlformats.org/officeDocument/2006/relationships/hyperlink" Target="https://eitaa.com/ansar_alhojah" TargetMode="External"/><Relationship Id="rId5950" Type="http://schemas.openxmlformats.org/officeDocument/2006/relationships/hyperlink" Target="https://www.instagram.com/heyat_alhadi" TargetMode="External"/><Relationship Id="rId4621" Type="http://schemas.openxmlformats.org/officeDocument/2006/relationships/hyperlink" Target="https://t.me/ansaralhojah1" TargetMode="External"/><Relationship Id="rId5951" Type="http://schemas.openxmlformats.org/officeDocument/2006/relationships/hyperlink" Target="https://www.instagram.com/mohebbane_ahlebeyt_boj" TargetMode="External"/><Relationship Id="rId4613" Type="http://schemas.openxmlformats.org/officeDocument/2006/relationships/hyperlink" Target="https://eitaa.com/rozatoalzahra_ir" TargetMode="External"/><Relationship Id="rId5945" Type="http://schemas.openxmlformats.org/officeDocument/2006/relationships/hyperlink" Target="https://www.instagram.com/heyat_safine_nejat/" TargetMode="External"/><Relationship Id="rId4612" Type="http://schemas.openxmlformats.org/officeDocument/2006/relationships/hyperlink" Target="https://eitaa.com/ostadelahi" TargetMode="External"/><Relationship Id="rId5946" Type="http://schemas.openxmlformats.org/officeDocument/2006/relationships/hyperlink" Target="https://t.me/heyat_safine_nejat" TargetMode="External"/><Relationship Id="rId4615" Type="http://schemas.openxmlformats.org/officeDocument/2006/relationships/hyperlink" Target="https://eitaa.com/khadimalreza" TargetMode="External"/><Relationship Id="rId5943" Type="http://schemas.openxmlformats.org/officeDocument/2006/relationships/hyperlink" Target="https://www.instagram.com/heyat_saheb_azaman" TargetMode="External"/><Relationship Id="rId4614" Type="http://schemas.openxmlformats.org/officeDocument/2006/relationships/hyperlink" Target="https://eitaa.com/Sarallah_Dezful" TargetMode="External"/><Relationship Id="rId5944" Type="http://schemas.openxmlformats.org/officeDocument/2006/relationships/hyperlink" Target="https://www.instagram.com/tekieeh.sajadieh_bojnord" TargetMode="External"/><Relationship Id="rId4617" Type="http://schemas.openxmlformats.org/officeDocument/2006/relationships/hyperlink" Target="https://www.instagram.com/tajil_ir" TargetMode="External"/><Relationship Id="rId5949" Type="http://schemas.openxmlformats.org/officeDocument/2006/relationships/hyperlink" Target="https://www.instagram.com/heyatmodafeanbojnord/" TargetMode="External"/><Relationship Id="rId4616" Type="http://schemas.openxmlformats.org/officeDocument/2006/relationships/hyperlink" Target="https://eitaa.com/moheban_ali_ir" TargetMode="External"/><Relationship Id="rId4619" Type="http://schemas.openxmlformats.org/officeDocument/2006/relationships/hyperlink" Target="https://eitaa.com/mohebandez" TargetMode="External"/><Relationship Id="rId5947" Type="http://schemas.openxmlformats.org/officeDocument/2006/relationships/hyperlink" Target="https://www.instagram.com/javadolaemh" TargetMode="External"/><Relationship Id="rId4618" Type="http://schemas.openxmlformats.org/officeDocument/2006/relationships/hyperlink" Target="https://eitaa.com/tajil_ir" TargetMode="External"/><Relationship Id="rId5948" Type="http://schemas.openxmlformats.org/officeDocument/2006/relationships/hyperlink" Target="https://www.instagram.com/azamchhardhemasom" TargetMode="External"/><Relationship Id="rId5941" Type="http://schemas.openxmlformats.org/officeDocument/2006/relationships/hyperlink" Target="https://eitaa.com/aliakbar_bojnord" TargetMode="External"/><Relationship Id="rId5942" Type="http://schemas.openxmlformats.org/officeDocument/2006/relationships/hyperlink" Target="https://www.instagram.com/shahzadealiasghar_bojnord" TargetMode="External"/><Relationship Id="rId4611" Type="http://schemas.openxmlformats.org/officeDocument/2006/relationships/hyperlink" Target="https://eitaa.com/sarallah_awz" TargetMode="External"/><Relationship Id="rId4610" Type="http://schemas.openxmlformats.org/officeDocument/2006/relationships/hyperlink" Target="https://eitaa.com/morteza_yebor313" TargetMode="External"/><Relationship Id="rId5940" Type="http://schemas.openxmlformats.org/officeDocument/2006/relationships/hyperlink" Target="https://www.instagram.com/aliakbar_bojnord/" TargetMode="External"/><Relationship Id="rId8170" Type="http://schemas.openxmlformats.org/officeDocument/2006/relationships/hyperlink" Target="https://www.instagram.com/montazeranzohuor_313" TargetMode="External"/><Relationship Id="rId8163" Type="http://schemas.openxmlformats.org/officeDocument/2006/relationships/hyperlink" Target="https://t.me/heyatebanifatameh" TargetMode="External"/><Relationship Id="rId9495" Type="http://schemas.openxmlformats.org/officeDocument/2006/relationships/hyperlink" Target="https://www.instagram.com/darvazeshahi_yazd/" TargetMode="External"/><Relationship Id="rId8162" Type="http://schemas.openxmlformats.org/officeDocument/2006/relationships/hyperlink" Target="https://www.instagram.com/shababaljaneh" TargetMode="External"/><Relationship Id="rId9496" Type="http://schemas.openxmlformats.org/officeDocument/2006/relationships/hyperlink" Target="https://eitaa.com/nooralhodainfo" TargetMode="External"/><Relationship Id="rId8161" Type="http://schemas.openxmlformats.org/officeDocument/2006/relationships/hyperlink" Target="https://eitaa.com/hhonar_ir" TargetMode="External"/><Relationship Id="rId9497" Type="http://schemas.openxmlformats.org/officeDocument/2006/relationships/hyperlink" Target="https://www.instagram.com/yazdsalavat1384/" TargetMode="External"/><Relationship Id="rId8160" Type="http://schemas.openxmlformats.org/officeDocument/2006/relationships/hyperlink" Target="https://t.me/hhonar_org" TargetMode="External"/><Relationship Id="rId9498" Type="http://schemas.openxmlformats.org/officeDocument/2006/relationships/hyperlink" Target="http://t.me/yazdsalavat1384" TargetMode="External"/><Relationship Id="rId8167" Type="http://schemas.openxmlformats.org/officeDocument/2006/relationships/hyperlink" Target="https://www.instagram.com/emamolmontazar_masjed" TargetMode="External"/><Relationship Id="rId9491" Type="http://schemas.openxmlformats.org/officeDocument/2006/relationships/hyperlink" Target="https://www.instagram.com/heyatekhalfebagh_yazd" TargetMode="External"/><Relationship Id="rId8166" Type="http://schemas.openxmlformats.org/officeDocument/2006/relationships/hyperlink" Target="https://eitaa.com/mahdaviye_isf" TargetMode="External"/><Relationship Id="rId9492" Type="http://schemas.openxmlformats.org/officeDocument/2006/relationships/hyperlink" Target="https://www.instagram.com/chaharmonar.yazd/" TargetMode="External"/><Relationship Id="rId8165" Type="http://schemas.openxmlformats.org/officeDocument/2006/relationships/hyperlink" Target="https://www.instagram.com/heiat.aliasghar.galougah" TargetMode="External"/><Relationship Id="rId9493" Type="http://schemas.openxmlformats.org/officeDocument/2006/relationships/hyperlink" Target="https://t.me/chaharmonaryazd" TargetMode="External"/><Relationship Id="rId8164" Type="http://schemas.openxmlformats.org/officeDocument/2006/relationships/hyperlink" Target="https://eitaa.com/heyatebanifatameh" TargetMode="External"/><Relationship Id="rId9494" Type="http://schemas.openxmlformats.org/officeDocument/2006/relationships/hyperlink" Target="https://www.instagram.com/fahadan.yazd" TargetMode="External"/><Relationship Id="rId8169" Type="http://schemas.openxmlformats.org/officeDocument/2006/relationships/hyperlink" Target="https://eitaa.com/morvaridhayeshaahr" TargetMode="External"/><Relationship Id="rId8168" Type="http://schemas.openxmlformats.org/officeDocument/2006/relationships/hyperlink" Target="https://www.instagram.com/shiftegan_128" TargetMode="External"/><Relationship Id="rId9499" Type="http://schemas.openxmlformats.org/officeDocument/2006/relationships/hyperlink" Target="https://www.instagram.com/yaomah_ir/" TargetMode="External"/><Relationship Id="rId9490" Type="http://schemas.openxmlformats.org/officeDocument/2006/relationships/hyperlink" Target="https://eitaa.com/moheban313ir" TargetMode="External"/><Relationship Id="rId8152" Type="http://schemas.openxmlformats.org/officeDocument/2006/relationships/hyperlink" Target="https://www.instagram.com/montazeran_majazi/" TargetMode="External"/><Relationship Id="rId9484" Type="http://schemas.openxmlformats.org/officeDocument/2006/relationships/hyperlink" Target="https://eitaa.com/maddahanyazd" TargetMode="External"/><Relationship Id="rId8151" Type="http://schemas.openxmlformats.org/officeDocument/2006/relationships/hyperlink" Target="https://www.instagram.com/heiat_hazratzahra_esf/" TargetMode="External"/><Relationship Id="rId9485" Type="http://schemas.openxmlformats.org/officeDocument/2006/relationships/hyperlink" Target="https://www.instagram.com/heyat_abasalehyazd/" TargetMode="External"/><Relationship Id="rId8150" Type="http://schemas.openxmlformats.org/officeDocument/2006/relationships/hyperlink" Target="https://eitaa.com/banovanfadaeianhosein" TargetMode="External"/><Relationship Id="rId9486" Type="http://schemas.openxmlformats.org/officeDocument/2006/relationships/hyperlink" Target="https://www.instagram.com/eslamabadyazd/" TargetMode="External"/><Relationship Id="rId9487" Type="http://schemas.openxmlformats.org/officeDocument/2006/relationships/hyperlink" Target="https://www.instagram.com/javanane_ghamare_bani_hashem" TargetMode="External"/><Relationship Id="rId8156" Type="http://schemas.openxmlformats.org/officeDocument/2006/relationships/hyperlink" Target="https://www.instagram.com/mohebbanalmahdi_ir" TargetMode="External"/><Relationship Id="rId9480" Type="http://schemas.openxmlformats.org/officeDocument/2006/relationships/hyperlink" Target="https://eitaa.com/binolharamienyazd" TargetMode="External"/><Relationship Id="rId8155" Type="http://schemas.openxmlformats.org/officeDocument/2006/relationships/hyperlink" Target="https://eitaa.com/kanon_Quran_ui" TargetMode="External"/><Relationship Id="rId9481" Type="http://schemas.openxmlformats.org/officeDocument/2006/relationships/hyperlink" Target="https://www.instagram.com/asheghanbanizahra" TargetMode="External"/><Relationship Id="rId8154" Type="http://schemas.openxmlformats.org/officeDocument/2006/relationships/hyperlink" Target="https://eitaa.com/yazeinab1380esf" TargetMode="External"/><Relationship Id="rId9482" Type="http://schemas.openxmlformats.org/officeDocument/2006/relationships/hyperlink" Target="https://www.instagram.com/rozatolkarbala" TargetMode="External"/><Relationship Id="rId8153" Type="http://schemas.openxmlformats.org/officeDocument/2006/relationships/hyperlink" Target="https://eitaa.com/montazeran_majazi" TargetMode="External"/><Relationship Id="rId9483" Type="http://schemas.openxmlformats.org/officeDocument/2006/relationships/hyperlink" Target="https://eitaa.com/rozatolkarbala" TargetMode="External"/><Relationship Id="rId8159" Type="http://schemas.openxmlformats.org/officeDocument/2006/relationships/hyperlink" Target="https://eitaa.com/ansarandarzgo" TargetMode="External"/><Relationship Id="rId8158" Type="http://schemas.openxmlformats.org/officeDocument/2006/relationships/hyperlink" Target="https://www.instagram.com/heyat_panjtan_aleaba" TargetMode="External"/><Relationship Id="rId8157" Type="http://schemas.openxmlformats.org/officeDocument/2006/relationships/hyperlink" Target="https://eitaa.com/MohebinDarosalam" TargetMode="External"/><Relationship Id="rId9488" Type="http://schemas.openxmlformats.org/officeDocument/2006/relationships/hyperlink" Target="https://www.instagram.com/moheban313_ir/" TargetMode="External"/><Relationship Id="rId9489" Type="http://schemas.openxmlformats.org/officeDocument/2006/relationships/hyperlink" Target="https://www.instagram.com/moheban_al_hosein_yazd" TargetMode="External"/><Relationship Id="rId5912" Type="http://schemas.openxmlformats.org/officeDocument/2006/relationships/hyperlink" Target="https://eitaa.com/javadolaemhe" TargetMode="External"/><Relationship Id="rId5913" Type="http://schemas.openxmlformats.org/officeDocument/2006/relationships/hyperlink" Target="https://www.instagram.com/heyatmontazeranmahdibojnurd/" TargetMode="External"/><Relationship Id="rId5910" Type="http://schemas.openxmlformats.org/officeDocument/2006/relationships/hyperlink" Target="https://eitaa.com/emam_sadegh_bojnord" TargetMode="External"/><Relationship Id="rId5911" Type="http://schemas.openxmlformats.org/officeDocument/2006/relationships/hyperlink" Target="https://www.instagram.com/javadolaemh/" TargetMode="External"/><Relationship Id="rId5916" Type="http://schemas.openxmlformats.org/officeDocument/2006/relationships/hyperlink" Target="https://www.instagram.com/masjedemamreza_bojnourd/" TargetMode="External"/><Relationship Id="rId5917" Type="http://schemas.openxmlformats.org/officeDocument/2006/relationships/hyperlink" Target="https://www.instagram.com/mohebbane_ahlebeyt_boj/" TargetMode="External"/><Relationship Id="rId5914" Type="http://schemas.openxmlformats.org/officeDocument/2006/relationships/hyperlink" Target="https://www.instagram.com/ya.fatematazahra135" TargetMode="External"/><Relationship Id="rId5915" Type="http://schemas.openxmlformats.org/officeDocument/2006/relationships/hyperlink" Target="https://eitaa.com/joinchat/1696465154C418c2e0693" TargetMode="External"/><Relationship Id="rId5918" Type="http://schemas.openxmlformats.org/officeDocument/2006/relationships/hyperlink" Target="https://www.instagram.com/mesbaholhoda_bojnourd/" TargetMode="External"/><Relationship Id="rId5919" Type="http://schemas.openxmlformats.org/officeDocument/2006/relationships/hyperlink" Target="https://www.instagram.com/janbazan_boj/" TargetMode="External"/><Relationship Id="rId8192" Type="http://schemas.openxmlformats.org/officeDocument/2006/relationships/hyperlink" Target="https://t.me/kheirieghasem" TargetMode="External"/><Relationship Id="rId8191" Type="http://schemas.openxmlformats.org/officeDocument/2006/relationships/hyperlink" Target="https://www.instagram.com/heiat_ghasem_arisman" TargetMode="External"/><Relationship Id="rId8190" Type="http://schemas.openxmlformats.org/officeDocument/2006/relationships/hyperlink" Target="https://www.instagram.com/deehagh" TargetMode="External"/><Relationship Id="rId8185" Type="http://schemas.openxmlformats.org/officeDocument/2006/relationships/hyperlink" Target="https://eitaa.com/hiatrihaneh" TargetMode="External"/><Relationship Id="rId8184" Type="http://schemas.openxmlformats.org/officeDocument/2006/relationships/hyperlink" Target="https://www.instagram.com/heyat_hosini_qamsar" TargetMode="External"/><Relationship Id="rId8183" Type="http://schemas.openxmlformats.org/officeDocument/2006/relationships/hyperlink" Target="https://www.instagram.com/zeynabie.kashan" TargetMode="External"/><Relationship Id="rId8182" Type="http://schemas.openxmlformats.org/officeDocument/2006/relationships/hyperlink" Target="https://www.instagram.com/javanan_emamhasan" TargetMode="External"/><Relationship Id="rId8189" Type="http://schemas.openxmlformats.org/officeDocument/2006/relationships/hyperlink" Target="https://www.instagram.com/ghamarebanihashem133a" TargetMode="External"/><Relationship Id="rId8188" Type="http://schemas.openxmlformats.org/officeDocument/2006/relationships/hyperlink" Target="https://www.instagram.com/emam_hasan_mojtaba_sh" TargetMode="External"/><Relationship Id="rId8187" Type="http://schemas.openxmlformats.org/officeDocument/2006/relationships/hyperlink" Target="https://eitaa.com/setadghadirshahreza" TargetMode="External"/><Relationship Id="rId8186" Type="http://schemas.openxmlformats.org/officeDocument/2006/relationships/hyperlink" Target="https://www.instagram.com/h.ali.asghar.shz" TargetMode="External"/><Relationship Id="rId5901" Type="http://schemas.openxmlformats.org/officeDocument/2006/relationships/hyperlink" Target="https://www.instagram.com/shahzadealiasghar_bojnord" TargetMode="External"/><Relationship Id="rId5902" Type="http://schemas.openxmlformats.org/officeDocument/2006/relationships/hyperlink" Target="https://www.instagram.com/oshaghalmahdi313/" TargetMode="External"/><Relationship Id="rId5900" Type="http://schemas.openxmlformats.org/officeDocument/2006/relationships/hyperlink" Target="https://t.me/mohebbanolreza" TargetMode="External"/><Relationship Id="rId5905" Type="http://schemas.openxmlformats.org/officeDocument/2006/relationships/hyperlink" Target="https://www.instagram.com/hoseinjan_bojnord" TargetMode="External"/><Relationship Id="rId5906" Type="http://schemas.openxmlformats.org/officeDocument/2006/relationships/hyperlink" Target="https://www.instagram.com/abolfazlirazavi_bojnourd/" TargetMode="External"/><Relationship Id="rId5903" Type="http://schemas.openxmlformats.org/officeDocument/2006/relationships/hyperlink" Target="https://t.me/h_oshaghalmahdi" TargetMode="External"/><Relationship Id="rId5904" Type="http://schemas.openxmlformats.org/officeDocument/2006/relationships/hyperlink" Target="https://www.instagram.com/shaykh_teiymoor/" TargetMode="External"/><Relationship Id="rId5909" Type="http://schemas.openxmlformats.org/officeDocument/2006/relationships/hyperlink" Target="https://t.me/BeytolAhzan_HazratZahra" TargetMode="External"/><Relationship Id="rId5907" Type="http://schemas.openxmlformats.org/officeDocument/2006/relationships/hyperlink" Target="https://www.instagram.com/azamchhardhemasom/" TargetMode="External"/><Relationship Id="rId5908" Type="http://schemas.openxmlformats.org/officeDocument/2006/relationships/hyperlink" Target="https://www.instagram.com/beytolahzan__hazratzahra/" TargetMode="External"/><Relationship Id="rId8181" Type="http://schemas.openxmlformats.org/officeDocument/2006/relationships/hyperlink" Target="https://eitaa.com/nakhlekashan" TargetMode="External"/><Relationship Id="rId8180" Type="http://schemas.openxmlformats.org/officeDocument/2006/relationships/hyperlink" Target="https://t.me/nakhlekashan" TargetMode="External"/><Relationship Id="rId8174" Type="http://schemas.openxmlformats.org/officeDocument/2006/relationships/hyperlink" Target="https://www.instagram.com/h_ansaralabbas_p" TargetMode="External"/><Relationship Id="rId8173" Type="http://schemas.openxmlformats.org/officeDocument/2006/relationships/hyperlink" Target="https://eitaa.com/moheban_emamhasan" TargetMode="External"/><Relationship Id="rId8172" Type="http://schemas.openxmlformats.org/officeDocument/2006/relationships/hyperlink" Target="https://eitaa.com/maddahanesf" TargetMode="External"/><Relationship Id="rId8171" Type="http://schemas.openxmlformats.org/officeDocument/2006/relationships/hyperlink" Target="https://eitaa.com/beytozahra_esfahan" TargetMode="External"/><Relationship Id="rId8178" Type="http://schemas.openxmlformats.org/officeDocument/2006/relationships/hyperlink" Target="https://eitaa.com/asheghanemahdi_chanel" TargetMode="External"/><Relationship Id="rId8177" Type="http://schemas.openxmlformats.org/officeDocument/2006/relationships/hyperlink" Target="https://eitaa.com/noralhoda_sorod" TargetMode="External"/><Relationship Id="rId8176" Type="http://schemas.openxmlformats.org/officeDocument/2006/relationships/hyperlink" Target="https://www.instagram.com/noralhoda_sorod" TargetMode="External"/><Relationship Id="rId8175" Type="http://schemas.openxmlformats.org/officeDocument/2006/relationships/hyperlink" Target="https://eitaa.com/h_ansaralabbas_p" TargetMode="External"/><Relationship Id="rId8179" Type="http://schemas.openxmlformats.org/officeDocument/2006/relationships/hyperlink" Target="https://www.instagram.com/nakhlekashan" TargetMode="External"/><Relationship Id="rId2027" Type="http://schemas.openxmlformats.org/officeDocument/2006/relationships/hyperlink" Target="https://www.instagram.com/masjedsafa_com/" TargetMode="External"/><Relationship Id="rId3359" Type="http://schemas.openxmlformats.org/officeDocument/2006/relationships/hyperlink" Target="https://www.instagram.com/amir_almomeninn" TargetMode="External"/><Relationship Id="rId2028" Type="http://schemas.openxmlformats.org/officeDocument/2006/relationships/hyperlink" Target="https://www.instagram.com/matamkadehhazratzeynab/" TargetMode="External"/><Relationship Id="rId3358" Type="http://schemas.openxmlformats.org/officeDocument/2006/relationships/hyperlink" Target="https://eitaa.com/hussainjanurmia" TargetMode="External"/><Relationship Id="rId4689" Type="http://schemas.openxmlformats.org/officeDocument/2006/relationships/hyperlink" Target="https://www.instagram.com/khademinemamasr" TargetMode="External"/><Relationship Id="rId2029" Type="http://schemas.openxmlformats.org/officeDocument/2006/relationships/hyperlink" Target="https://www.instagram.com/mktab.shohada/" TargetMode="External"/><Relationship Id="rId107" Type="http://schemas.openxmlformats.org/officeDocument/2006/relationships/hyperlink" Target="https://t.me/mohebanolreza_ir" TargetMode="External"/><Relationship Id="rId106" Type="http://schemas.openxmlformats.org/officeDocument/2006/relationships/hyperlink" Target="https://www.instagram.com/mohebanolreza_ir/" TargetMode="External"/><Relationship Id="rId105" Type="http://schemas.openxmlformats.org/officeDocument/2006/relationships/hyperlink" Target="https://www.instagram.com/seratalhosein/" TargetMode="External"/><Relationship Id="rId104" Type="http://schemas.openxmlformats.org/officeDocument/2006/relationships/hyperlink" Target="https://t.me/rozatolghasem_201" TargetMode="External"/><Relationship Id="rId109" Type="http://schemas.openxmlformats.org/officeDocument/2006/relationships/hyperlink" Target="https://www.instagram.com/heyat_ghamarbanihashem_babol" TargetMode="External"/><Relationship Id="rId4680" Type="http://schemas.openxmlformats.org/officeDocument/2006/relationships/hyperlink" Target="https://www.instagram.com/heiat_beinolharamein110" TargetMode="External"/><Relationship Id="rId108" Type="http://schemas.openxmlformats.org/officeDocument/2006/relationships/hyperlink" Target="https://eitaa.com/mohebanolreza_ir" TargetMode="External"/><Relationship Id="rId3351" Type="http://schemas.openxmlformats.org/officeDocument/2006/relationships/hyperlink" Target="https://www.instagram.com/heiat_mohaban_mahdi/" TargetMode="External"/><Relationship Id="rId4682" Type="http://schemas.openxmlformats.org/officeDocument/2006/relationships/hyperlink" Target="https://www.instagram.com/masjed_aghsa_gorgan" TargetMode="External"/><Relationship Id="rId2020" Type="http://schemas.openxmlformats.org/officeDocument/2006/relationships/hyperlink" Target="https://www.instagram.com/heyatoljavadofficial/" TargetMode="External"/><Relationship Id="rId3350" Type="http://schemas.openxmlformats.org/officeDocument/2006/relationships/hyperlink" Target="http://eitaa.com/moasese_basaer" TargetMode="External"/><Relationship Id="rId4681" Type="http://schemas.openxmlformats.org/officeDocument/2006/relationships/hyperlink" Target="http://t.me/heiat_bein_ol_harameni_110" TargetMode="External"/><Relationship Id="rId2021" Type="http://schemas.openxmlformats.org/officeDocument/2006/relationships/hyperlink" Target="https://www.instagram.com/imamzade_ghasem/" TargetMode="External"/><Relationship Id="rId3353" Type="http://schemas.openxmlformats.org/officeDocument/2006/relationships/hyperlink" Target="https://www.instagram.com/heyat_javanane_neynava.urmia" TargetMode="External"/><Relationship Id="rId4684" Type="http://schemas.openxmlformats.org/officeDocument/2006/relationships/hyperlink" Target="https://www.instagram.com/kalaleh.heyat" TargetMode="External"/><Relationship Id="rId2022" Type="http://schemas.openxmlformats.org/officeDocument/2006/relationships/hyperlink" Target="https://ahlamenalasal.com/" TargetMode="External"/><Relationship Id="rId3352" Type="http://schemas.openxmlformats.org/officeDocument/2006/relationships/hyperlink" Target="https://www.instagram.com/mohebin1390/" TargetMode="External"/><Relationship Id="rId4683" Type="http://schemas.openxmlformats.org/officeDocument/2006/relationships/hyperlink" Target="https://www.instagram.com/heyat_saheb_zaman" TargetMode="External"/><Relationship Id="rId103" Type="http://schemas.openxmlformats.org/officeDocument/2006/relationships/hyperlink" Target="https://www.instagram.com/rozatolghasem201/" TargetMode="External"/><Relationship Id="rId2023" Type="http://schemas.openxmlformats.org/officeDocument/2006/relationships/hyperlink" Target="https://www.instagram.com/khoddam_59/" TargetMode="External"/><Relationship Id="rId3355" Type="http://schemas.openxmlformats.org/officeDocument/2006/relationships/hyperlink" Target="https://eitaa.com/hajmehdiebakeri" TargetMode="External"/><Relationship Id="rId4686" Type="http://schemas.openxmlformats.org/officeDocument/2006/relationships/hyperlink" Target="https://www.instagram.com/montazeringhaem313" TargetMode="External"/><Relationship Id="rId102" Type="http://schemas.openxmlformats.org/officeDocument/2006/relationships/hyperlink" Target="https://t.me/aghile_media" TargetMode="External"/><Relationship Id="rId2024" Type="http://schemas.openxmlformats.org/officeDocument/2006/relationships/hyperlink" Target="https://www.instagram.com/mahfel_zavaro_al_baghie/" TargetMode="External"/><Relationship Id="rId3354" Type="http://schemas.openxmlformats.org/officeDocument/2006/relationships/hyperlink" Target="https://www.instagram.com/javanaeneynavaa" TargetMode="External"/><Relationship Id="rId4685" Type="http://schemas.openxmlformats.org/officeDocument/2006/relationships/hyperlink" Target="https://t.me/bytozzahra" TargetMode="External"/><Relationship Id="rId101" Type="http://schemas.openxmlformats.org/officeDocument/2006/relationships/hyperlink" Target="https://www.instagram.com/aghile_media/" TargetMode="External"/><Relationship Id="rId2025" Type="http://schemas.openxmlformats.org/officeDocument/2006/relationships/hyperlink" Target="https://www.instagram.com/maktabalmahdi313/" TargetMode="External"/><Relationship Id="rId3357" Type="http://schemas.openxmlformats.org/officeDocument/2006/relationships/hyperlink" Target="https://t.me/Hussainjanurmia" TargetMode="External"/><Relationship Id="rId4688" Type="http://schemas.openxmlformats.org/officeDocument/2006/relationships/hyperlink" Target="https://www.instagram.com/masjed_emam_khomeini/" TargetMode="External"/><Relationship Id="rId100" Type="http://schemas.openxmlformats.org/officeDocument/2006/relationships/hyperlink" Target="https://t.me/seyyedeh_zeynab" TargetMode="External"/><Relationship Id="rId2026" Type="http://schemas.openxmlformats.org/officeDocument/2006/relationships/hyperlink" Target="https://www.instagram.com/maktabolmahdi.aj/" TargetMode="External"/><Relationship Id="rId3356" Type="http://schemas.openxmlformats.org/officeDocument/2006/relationships/hyperlink" Target="https://www.instagram.com/heyatazadaraneashegansaheblava" TargetMode="External"/><Relationship Id="rId4687" Type="http://schemas.openxmlformats.org/officeDocument/2006/relationships/hyperlink" Target="https://www.instagram.com/h_faresalhejaz_gorgan" TargetMode="External"/><Relationship Id="rId2016" Type="http://schemas.openxmlformats.org/officeDocument/2006/relationships/hyperlink" Target="https://www.instagram.com/heyat_alamdar_gharb_tehran/" TargetMode="External"/><Relationship Id="rId3348" Type="http://schemas.openxmlformats.org/officeDocument/2006/relationships/hyperlink" Target="https://www.instagram.com/maktaboll_hossein_ir/" TargetMode="External"/><Relationship Id="rId4679" Type="http://schemas.openxmlformats.org/officeDocument/2006/relationships/hyperlink" Target="https://www.instagram.com/heyat_moheban_333" TargetMode="External"/><Relationship Id="rId2017" Type="http://schemas.openxmlformats.org/officeDocument/2006/relationships/hyperlink" Target="https://www.instagram.com/heyat_ghamare_monir_banihashem/" TargetMode="External"/><Relationship Id="rId3347" Type="http://schemas.openxmlformats.org/officeDocument/2006/relationships/hyperlink" Target="https://eitaa.com/azkarbalatazuhur" TargetMode="External"/><Relationship Id="rId4678" Type="http://schemas.openxmlformats.org/officeDocument/2006/relationships/hyperlink" Target="https://www.instagram.com/oshagh_roghaye315" TargetMode="External"/><Relationship Id="rId2018" Type="http://schemas.openxmlformats.org/officeDocument/2006/relationships/hyperlink" Target="https://www.instagram.com/heyate_mohammadie/" TargetMode="External"/><Relationship Id="rId2019" Type="http://schemas.openxmlformats.org/officeDocument/2006/relationships/hyperlink" Target="https://www.instagram.com/heyatmontazeranmahdi/" TargetMode="External"/><Relationship Id="rId3349" Type="http://schemas.openxmlformats.org/officeDocument/2006/relationships/hyperlink" Target="https://www.instagram.com/heyat_basaer_hoseini/" TargetMode="External"/><Relationship Id="rId3340" Type="http://schemas.openxmlformats.org/officeDocument/2006/relationships/hyperlink" Target="https://www.instagram.com/heyat.azadarane.garatape/" TargetMode="External"/><Relationship Id="rId4671" Type="http://schemas.openxmlformats.org/officeDocument/2006/relationships/hyperlink" Target="https://www.instagram.com/fatemiyoon_com/" TargetMode="External"/><Relationship Id="rId4670" Type="http://schemas.openxmlformats.org/officeDocument/2006/relationships/hyperlink" Target="https://www.instagram.com/aleyasin313.ir/" TargetMode="External"/><Relationship Id="rId2010" Type="http://schemas.openxmlformats.org/officeDocument/2006/relationships/hyperlink" Target="https://www.instagram.com/seyedeh_sharifeh_595/" TargetMode="External"/><Relationship Id="rId3342" Type="http://schemas.openxmlformats.org/officeDocument/2006/relationships/hyperlink" Target="https://www.instagram.com/heyate.rahrovane.aliakbar/" TargetMode="External"/><Relationship Id="rId4673" Type="http://schemas.openxmlformats.org/officeDocument/2006/relationships/hyperlink" Target="https://eitaa.com/asheghan133" TargetMode="External"/><Relationship Id="rId2011" Type="http://schemas.openxmlformats.org/officeDocument/2006/relationships/hyperlink" Target="https://t.me/seyedeh_sharifeh_595" TargetMode="External"/><Relationship Id="rId3341" Type="http://schemas.openxmlformats.org/officeDocument/2006/relationships/hyperlink" Target="http://t.me/heyatazadarane_garatape" TargetMode="External"/><Relationship Id="rId4672" Type="http://schemas.openxmlformats.org/officeDocument/2006/relationships/hyperlink" Target="https://www.instagram.com/asheghan133.ir/" TargetMode="External"/><Relationship Id="rId2012" Type="http://schemas.openxmlformats.org/officeDocument/2006/relationships/hyperlink" Target="https://www.instagram.com/shabab_ir/" TargetMode="External"/><Relationship Id="rId3344" Type="http://schemas.openxmlformats.org/officeDocument/2006/relationships/hyperlink" Target="https://www.instagram.com/modafanharam_maku/" TargetMode="External"/><Relationship Id="rId4675" Type="http://schemas.openxmlformats.org/officeDocument/2006/relationships/hyperlink" Target="https://www.instagram.com/heiate5tanealeaba" TargetMode="External"/><Relationship Id="rId2013" Type="http://schemas.openxmlformats.org/officeDocument/2006/relationships/hyperlink" Target="https://t.me/shabab_ir" TargetMode="External"/><Relationship Id="rId3343" Type="http://schemas.openxmlformats.org/officeDocument/2006/relationships/hyperlink" Target="https://www.instagram.com/heyat_javadolaeme_maku/" TargetMode="External"/><Relationship Id="rId4674" Type="http://schemas.openxmlformats.org/officeDocument/2006/relationships/hyperlink" Target="https://eitaa.com/panjshanbeshohadaei_bu" TargetMode="External"/><Relationship Id="rId2014" Type="http://schemas.openxmlformats.org/officeDocument/2006/relationships/hyperlink" Target="https://www.instagram.com/maktab_al_zahra213/" TargetMode="External"/><Relationship Id="rId3346" Type="http://schemas.openxmlformats.org/officeDocument/2006/relationships/hyperlink" Target="https://www.instagram.com/heyat_panjtan.aleaba/" TargetMode="External"/><Relationship Id="rId4677" Type="http://schemas.openxmlformats.org/officeDocument/2006/relationships/hyperlink" Target="https://t.me/mohebbanolmahdi_sooderjan" TargetMode="External"/><Relationship Id="rId2015" Type="http://schemas.openxmlformats.org/officeDocument/2006/relationships/hyperlink" Target="https://www.instagram.com/maktab_al_zahra213/" TargetMode="External"/><Relationship Id="rId3345" Type="http://schemas.openxmlformats.org/officeDocument/2006/relationships/hyperlink" Target="https://www.instagram.com/heyat_horshahid_maku/" TargetMode="External"/><Relationship Id="rId4676" Type="http://schemas.openxmlformats.org/officeDocument/2006/relationships/hyperlink" Target="https://www.instagram.com/mohebbanolmahdi_s" TargetMode="External"/><Relationship Id="rId2049" Type="http://schemas.openxmlformats.org/officeDocument/2006/relationships/hyperlink" Target="https://www.instagram.com/saabaat.ir/" TargetMode="External"/><Relationship Id="rId129" Type="http://schemas.openxmlformats.org/officeDocument/2006/relationships/hyperlink" Target="https://eitaa.com/sayedashohada" TargetMode="External"/><Relationship Id="rId128" Type="http://schemas.openxmlformats.org/officeDocument/2006/relationships/hyperlink" Target="https://t.me/sayedashohada" TargetMode="External"/><Relationship Id="rId127" Type="http://schemas.openxmlformats.org/officeDocument/2006/relationships/hyperlink" Target="https://www.instagram.com/sayedashohada" TargetMode="External"/><Relationship Id="rId126" Type="http://schemas.openxmlformats.org/officeDocument/2006/relationships/hyperlink" Target="https://www.instagram.com/heyat_seydalshohada128/" TargetMode="External"/><Relationship Id="rId3371" Type="http://schemas.openxmlformats.org/officeDocument/2006/relationships/hyperlink" Target="https://www.instagram.com/heiat_montazeran_mahdi" TargetMode="External"/><Relationship Id="rId2040" Type="http://schemas.openxmlformats.org/officeDocument/2006/relationships/hyperlink" Target="https://www.instagram.com/zeynabiyon110/" TargetMode="External"/><Relationship Id="rId3370" Type="http://schemas.openxmlformats.org/officeDocument/2006/relationships/hyperlink" Target="https://eitaa.com/alamdarurmia" TargetMode="External"/><Relationship Id="rId121" Type="http://schemas.openxmlformats.org/officeDocument/2006/relationships/hyperlink" Target="https://t.me/beytolabbas_babol" TargetMode="External"/><Relationship Id="rId2041" Type="http://schemas.openxmlformats.org/officeDocument/2006/relationships/hyperlink" Target="https://www.instagram.com/zovaralhosein/" TargetMode="External"/><Relationship Id="rId3373" Type="http://schemas.openxmlformats.org/officeDocument/2006/relationships/hyperlink" Target="https://www.instagram.com/delsokhtegan_hazrat_zahra" TargetMode="External"/><Relationship Id="rId120" Type="http://schemas.openxmlformats.org/officeDocument/2006/relationships/hyperlink" Target="https://www.instagram.com/beytolabbas_/" TargetMode="External"/><Relationship Id="rId2042" Type="http://schemas.openxmlformats.org/officeDocument/2006/relationships/hyperlink" Target="https://www.instagram.com/zovvaralzahra/" TargetMode="External"/><Relationship Id="rId3372" Type="http://schemas.openxmlformats.org/officeDocument/2006/relationships/hyperlink" Target="https://www.instagram.com/heyatshiftegane.hazratabolfazl" TargetMode="External"/><Relationship Id="rId2043" Type="http://schemas.openxmlformats.org/officeDocument/2006/relationships/hyperlink" Target="https://zovvar.com/" TargetMode="External"/><Relationship Id="rId3375" Type="http://schemas.openxmlformats.org/officeDocument/2006/relationships/hyperlink" Target="https://eitaa.com/delsokhtegan_hz_ir" TargetMode="External"/><Relationship Id="rId2044" Type="http://schemas.openxmlformats.org/officeDocument/2006/relationships/hyperlink" Target="https://www.instagram.com/yasgrafic/" TargetMode="External"/><Relationship Id="rId3374" Type="http://schemas.openxmlformats.org/officeDocument/2006/relationships/hyperlink" Target="https://t.me/dellsokhtegan" TargetMode="External"/><Relationship Id="rId125" Type="http://schemas.openxmlformats.org/officeDocument/2006/relationships/hyperlink" Target="https://t.me/kheymgah_com" TargetMode="External"/><Relationship Id="rId2045" Type="http://schemas.openxmlformats.org/officeDocument/2006/relationships/hyperlink" Target="https://www.instagram.com/moosarezayi_officiall/" TargetMode="External"/><Relationship Id="rId3377" Type="http://schemas.openxmlformats.org/officeDocument/2006/relationships/hyperlink" Target="https://www.instagram.com/moassese_yasin_urmia" TargetMode="External"/><Relationship Id="rId124" Type="http://schemas.openxmlformats.org/officeDocument/2006/relationships/hyperlink" Target="https://www.instagram.com/kheymegah_com/" TargetMode="External"/><Relationship Id="rId2046" Type="http://schemas.openxmlformats.org/officeDocument/2006/relationships/hyperlink" Target="http://t.me/moosa_rezayi" TargetMode="External"/><Relationship Id="rId3376" Type="http://schemas.openxmlformats.org/officeDocument/2006/relationships/hyperlink" Target="https://eitaa.com/hozeh_zeynabkobra" TargetMode="External"/><Relationship Id="rId123" Type="http://schemas.openxmlformats.org/officeDocument/2006/relationships/hyperlink" Target="https://t.me/ghamarbanihashem01" TargetMode="External"/><Relationship Id="rId2047" Type="http://schemas.openxmlformats.org/officeDocument/2006/relationships/hyperlink" Target="https://www.instagram.com/vahidazimpor/" TargetMode="External"/><Relationship Id="rId3379" Type="http://schemas.openxmlformats.org/officeDocument/2006/relationships/hyperlink" Target="https://www.instagram.com/emameraouf.ir" TargetMode="External"/><Relationship Id="rId122" Type="http://schemas.openxmlformats.org/officeDocument/2006/relationships/hyperlink" Target="https://www.instagram.com/ghamarolashire/" TargetMode="External"/><Relationship Id="rId2048" Type="http://schemas.openxmlformats.org/officeDocument/2006/relationships/hyperlink" Target="https://t.me/bargah110" TargetMode="External"/><Relationship Id="rId3378" Type="http://schemas.openxmlformats.org/officeDocument/2006/relationships/hyperlink" Target="https://www.instagram.com/ansarol_mahdiii" TargetMode="External"/><Relationship Id="rId2038" Type="http://schemas.openxmlformats.org/officeDocument/2006/relationships/hyperlink" Target="https://www.instagram.com/shiftegaan.133/" TargetMode="External"/><Relationship Id="rId2039" Type="http://schemas.openxmlformats.org/officeDocument/2006/relationships/hyperlink" Target="https://www.instagram.com/tekiyegah_ir/" TargetMode="External"/><Relationship Id="rId3369" Type="http://schemas.openxmlformats.org/officeDocument/2006/relationships/hyperlink" Target="https://www.instagram.com/alamdarurmia" TargetMode="External"/><Relationship Id="rId118" Type="http://schemas.openxmlformats.org/officeDocument/2006/relationships/hyperlink" Target="https://www.instagram.com/beyt_shohada" TargetMode="External"/><Relationship Id="rId117" Type="http://schemas.openxmlformats.org/officeDocument/2006/relationships/hyperlink" Target="https://t.me/maktabhossein_babol" TargetMode="External"/><Relationship Id="rId116" Type="http://schemas.openxmlformats.org/officeDocument/2006/relationships/hyperlink" Target="https://www.instagram.com/maktabhossein_babol/" TargetMode="External"/><Relationship Id="rId115" Type="http://schemas.openxmlformats.org/officeDocument/2006/relationships/hyperlink" Target="https://www.youtube.com/@daralhosein" TargetMode="External"/><Relationship Id="rId3360" Type="http://schemas.openxmlformats.org/officeDocument/2006/relationships/hyperlink" Target="https://www.instagram.com/sobhanmosque" TargetMode="External"/><Relationship Id="rId4691" Type="http://schemas.openxmlformats.org/officeDocument/2006/relationships/hyperlink" Target="http://t.me/beynolharmeyn_kordkoy" TargetMode="External"/><Relationship Id="rId119" Type="http://schemas.openxmlformats.org/officeDocument/2006/relationships/hyperlink" Target="https://t.me/beyt_shohada" TargetMode="External"/><Relationship Id="rId4690" Type="http://schemas.openxmlformats.org/officeDocument/2006/relationships/hyperlink" Target="https://www.instagram.com/beynolharmeyn_kordkoy" TargetMode="External"/><Relationship Id="rId110" Type="http://schemas.openxmlformats.org/officeDocument/2006/relationships/hyperlink" Target="https://www.instagram.com/babol_rayatolmahdi" TargetMode="External"/><Relationship Id="rId2030" Type="http://schemas.openxmlformats.org/officeDocument/2006/relationships/hyperlink" Target="https://www.instagram.com/mojolhosein/" TargetMode="External"/><Relationship Id="rId3362" Type="http://schemas.openxmlformats.org/officeDocument/2006/relationships/hyperlink" Target="https://eitaa.com/tashakkol_Azarbayjan" TargetMode="External"/><Relationship Id="rId4693" Type="http://schemas.openxmlformats.org/officeDocument/2006/relationships/hyperlink" Target="https://www.instagram.com/heyat_al_abbas" TargetMode="External"/><Relationship Id="rId2031" Type="http://schemas.openxmlformats.org/officeDocument/2006/relationships/hyperlink" Target="https://www.instagram.com/mokeb_hazrat_mohsen_ebn_ali/" TargetMode="External"/><Relationship Id="rId3361" Type="http://schemas.openxmlformats.org/officeDocument/2006/relationships/hyperlink" Target="https://www.instagram.com/heyat_bagiatolahazam" TargetMode="External"/><Relationship Id="rId4692" Type="http://schemas.openxmlformats.org/officeDocument/2006/relationships/hyperlink" Target="https://www.instagram.com/javanan_sajadieh" TargetMode="External"/><Relationship Id="rId2032" Type="http://schemas.openxmlformats.org/officeDocument/2006/relationships/hyperlink" Target="https://www.instagram.com/norollaemmeh.135/" TargetMode="External"/><Relationship Id="rId3364" Type="http://schemas.openxmlformats.org/officeDocument/2006/relationships/hyperlink" Target="https://www.instagram.com/alamdarane_urmia" TargetMode="External"/><Relationship Id="rId4695" Type="http://schemas.openxmlformats.org/officeDocument/2006/relationships/hyperlink" Target="https://eitaa.com/Valiasr_eslamabad" TargetMode="External"/><Relationship Id="rId2033" Type="http://schemas.openxmlformats.org/officeDocument/2006/relationships/hyperlink" Target="https://www.instagram.com/omolbokae/" TargetMode="External"/><Relationship Id="rId3363" Type="http://schemas.openxmlformats.org/officeDocument/2006/relationships/hyperlink" Target="https://eitaa.com/majmae_sydlashohada" TargetMode="External"/><Relationship Id="rId4694" Type="http://schemas.openxmlformats.org/officeDocument/2006/relationships/hyperlink" Target="https://www.instagram.com/oshagh_alzahra_s" TargetMode="External"/><Relationship Id="rId114" Type="http://schemas.openxmlformats.org/officeDocument/2006/relationships/hyperlink" Target="https://t.me/daralhosein" TargetMode="External"/><Relationship Id="rId2034" Type="http://schemas.openxmlformats.org/officeDocument/2006/relationships/hyperlink" Target="https://www.instagram.com/oshagholabbas/following/" TargetMode="External"/><Relationship Id="rId3366" Type="http://schemas.openxmlformats.org/officeDocument/2006/relationships/hyperlink" Target="https://eitaa.com/Razmandegan_ag" TargetMode="External"/><Relationship Id="rId4697" Type="http://schemas.openxmlformats.org/officeDocument/2006/relationships/hyperlink" Target="https://www.instagram.com/oshaghel_hossein" TargetMode="External"/><Relationship Id="rId113" Type="http://schemas.openxmlformats.org/officeDocument/2006/relationships/hyperlink" Target="https://www.instagram.com/daralhosein/" TargetMode="External"/><Relationship Id="rId2035" Type="http://schemas.openxmlformats.org/officeDocument/2006/relationships/hyperlink" Target="https://www.instagram.com/rozatolhasanein/" TargetMode="External"/><Relationship Id="rId3365" Type="http://schemas.openxmlformats.org/officeDocument/2006/relationships/hyperlink" Target="https://eitaa.com/alamdarane_urmiaa" TargetMode="External"/><Relationship Id="rId4696" Type="http://schemas.openxmlformats.org/officeDocument/2006/relationships/hyperlink" Target="https://telegram.me/s/masjed5tanminoodasht" TargetMode="External"/><Relationship Id="rId112" Type="http://schemas.openxmlformats.org/officeDocument/2006/relationships/hyperlink" Target="https://eitaa.com/AlimousaArreza" TargetMode="External"/><Relationship Id="rId2036" Type="http://schemas.openxmlformats.org/officeDocument/2006/relationships/hyperlink" Target="https://www.instagram.com/sayedatolhelma/" TargetMode="External"/><Relationship Id="rId3368" Type="http://schemas.openxmlformats.org/officeDocument/2006/relationships/hyperlink" Target="https://eitaa.com/haftemajalesurmia" TargetMode="External"/><Relationship Id="rId4699" Type="http://schemas.openxmlformats.org/officeDocument/2006/relationships/hyperlink" Target="http://t.me/bytozzahra" TargetMode="External"/><Relationship Id="rId111" Type="http://schemas.openxmlformats.org/officeDocument/2006/relationships/hyperlink" Target="https://t.me/babol_rayatolmahdi" TargetMode="External"/><Relationship Id="rId2037" Type="http://schemas.openxmlformats.org/officeDocument/2006/relationships/hyperlink" Target="https://www.instagram.com/shahzadegan_karbala/" TargetMode="External"/><Relationship Id="rId3367" Type="http://schemas.openxmlformats.org/officeDocument/2006/relationships/hyperlink" Target="https://www.instagram.com/hafte.majales_urmia" TargetMode="External"/><Relationship Id="rId4698" Type="http://schemas.openxmlformats.org/officeDocument/2006/relationships/hyperlink" Target="https://www.instagram.com/beytozzahra79" TargetMode="External"/><Relationship Id="rId3315" Type="http://schemas.openxmlformats.org/officeDocument/2006/relationships/hyperlink" Target="http://eitaa.com/fatemiyoun_urmia" TargetMode="External"/><Relationship Id="rId4646" Type="http://schemas.openxmlformats.org/officeDocument/2006/relationships/hyperlink" Target="https://www.instagram.com/montazeranmahdi_bushehr/" TargetMode="External"/><Relationship Id="rId5978" Type="http://schemas.openxmlformats.org/officeDocument/2006/relationships/hyperlink" Target="https://t.me/azadaran_sh" TargetMode="External"/><Relationship Id="rId3314" Type="http://schemas.openxmlformats.org/officeDocument/2006/relationships/hyperlink" Target="https://www.instagram.com/fatemiyoun_urmia/" TargetMode="External"/><Relationship Id="rId4645" Type="http://schemas.openxmlformats.org/officeDocument/2006/relationships/hyperlink" Target="https://eitaa.com/rayatolabbas128" TargetMode="External"/><Relationship Id="rId5979" Type="http://schemas.openxmlformats.org/officeDocument/2006/relationships/hyperlink" Target="https://eitaa.com/azadaran_sh" TargetMode="External"/><Relationship Id="rId3317" Type="http://schemas.openxmlformats.org/officeDocument/2006/relationships/hyperlink" Target="https://www.instagram.com/shiftegan_orumia/" TargetMode="External"/><Relationship Id="rId4648" Type="http://schemas.openxmlformats.org/officeDocument/2006/relationships/hyperlink" Target="https://eitaa.com/levaolzahra" TargetMode="External"/><Relationship Id="rId5976" Type="http://schemas.openxmlformats.org/officeDocument/2006/relationships/hyperlink" Target="https://www.instagram.com/masjed_tork/" TargetMode="External"/><Relationship Id="rId3316" Type="http://schemas.openxmlformats.org/officeDocument/2006/relationships/hyperlink" Target="https://www.instagram.com/ashegane_karbala9/" TargetMode="External"/><Relationship Id="rId4647" Type="http://schemas.openxmlformats.org/officeDocument/2006/relationships/hyperlink" Target="https://www.instagram.com/janatolabbass_69/" TargetMode="External"/><Relationship Id="rId5977" Type="http://schemas.openxmlformats.org/officeDocument/2006/relationships/hyperlink" Target="https://www.instagram.com/azadaran_sh/" TargetMode="External"/><Relationship Id="rId3319" Type="http://schemas.openxmlformats.org/officeDocument/2006/relationships/hyperlink" Target="http://eitaa.com/arshivemaktab/" TargetMode="External"/><Relationship Id="rId3318" Type="http://schemas.openxmlformats.org/officeDocument/2006/relationships/hyperlink" Target="https://www.instagram.com/maktabosadeg_urmia/" TargetMode="External"/><Relationship Id="rId4649" Type="http://schemas.openxmlformats.org/officeDocument/2006/relationships/hyperlink" Target="https://www.instagram.com/maktabalhasan118/" TargetMode="External"/><Relationship Id="rId5970" Type="http://schemas.openxmlformats.org/officeDocument/2006/relationships/hyperlink" Target="https://www.instagram.com/yazeinab.bojnord" TargetMode="External"/><Relationship Id="rId5971" Type="http://schemas.openxmlformats.org/officeDocument/2006/relationships/hyperlink" Target="https://www.instagram.com/tarigh_shohada57" TargetMode="External"/><Relationship Id="rId4640" Type="http://schemas.openxmlformats.org/officeDocument/2006/relationships/hyperlink" Target="https://t.me/heyatshohadayegomnam" TargetMode="External"/><Relationship Id="rId3311" Type="http://schemas.openxmlformats.org/officeDocument/2006/relationships/hyperlink" Target="https://www.instagram.com/modafeane_haram_urmia/" TargetMode="External"/><Relationship Id="rId4642" Type="http://schemas.openxmlformats.org/officeDocument/2006/relationships/hyperlink" Target="https://www.instagram.com/saelinolzeynab69" TargetMode="External"/><Relationship Id="rId5974" Type="http://schemas.openxmlformats.org/officeDocument/2006/relationships/hyperlink" Target="https://www.instagram.com/heyatreza.raz/" TargetMode="External"/><Relationship Id="rId3310" Type="http://schemas.openxmlformats.org/officeDocument/2006/relationships/hyperlink" Target="https://www.instagram.com/asheghaneh_hazrateh_abolfazl/" TargetMode="External"/><Relationship Id="rId4641" Type="http://schemas.openxmlformats.org/officeDocument/2006/relationships/hyperlink" Target="https://eitaa.com/heyatshohadayegomnam" TargetMode="External"/><Relationship Id="rId5975" Type="http://schemas.openxmlformats.org/officeDocument/2006/relationships/hyperlink" Target="https://www.instagram.com/saheb_alzaman7" TargetMode="External"/><Relationship Id="rId3313" Type="http://schemas.openxmlformats.org/officeDocument/2006/relationships/hyperlink" Target="https://www.instagram.com/shiftgane.emamhosein/" TargetMode="External"/><Relationship Id="rId4644" Type="http://schemas.openxmlformats.org/officeDocument/2006/relationships/hyperlink" Target="https://t.me/rayatolabbas128" TargetMode="External"/><Relationship Id="rId5972" Type="http://schemas.openxmlformats.org/officeDocument/2006/relationships/hyperlink" Target="https://t.me/tarigh_Shohada57" TargetMode="External"/><Relationship Id="rId3312" Type="http://schemas.openxmlformats.org/officeDocument/2006/relationships/hyperlink" Target="http://t.me/heiat_modafean_haram_urmia" TargetMode="External"/><Relationship Id="rId4643" Type="http://schemas.openxmlformats.org/officeDocument/2006/relationships/hyperlink" Target="https://www.instagram.com/rayatolabbas128" TargetMode="External"/><Relationship Id="rId5973" Type="http://schemas.openxmlformats.org/officeDocument/2006/relationships/hyperlink" Target="https://eitaa.com/MAFMA_DARGH" TargetMode="External"/><Relationship Id="rId3304" Type="http://schemas.openxmlformats.org/officeDocument/2006/relationships/hyperlink" Target="https://www.instagram.com/hnhgasem1395/" TargetMode="External"/><Relationship Id="rId4635" Type="http://schemas.openxmlformats.org/officeDocument/2006/relationships/hyperlink" Target="https://www.instagram.com/ansaralhosaine/" TargetMode="External"/><Relationship Id="rId5967" Type="http://schemas.openxmlformats.org/officeDocument/2006/relationships/hyperlink" Target="https://eitaa.com/ansarjajarm" TargetMode="External"/><Relationship Id="rId3303" Type="http://schemas.openxmlformats.org/officeDocument/2006/relationships/hyperlink" Target="https://www.instagram.com/sarallahurmia/" TargetMode="External"/><Relationship Id="rId4634" Type="http://schemas.openxmlformats.org/officeDocument/2006/relationships/hyperlink" Target="https://www.aparat.com/heyatozzahraa" TargetMode="External"/><Relationship Id="rId5968" Type="http://schemas.openxmlformats.org/officeDocument/2006/relationships/hyperlink" Target="https://www.instagram.com/mohebbanalhosein_jajarm/" TargetMode="External"/><Relationship Id="rId3306" Type="http://schemas.openxmlformats.org/officeDocument/2006/relationships/hyperlink" Target="http://t.me/razmandeganurmia" TargetMode="External"/><Relationship Id="rId4637" Type="http://schemas.openxmlformats.org/officeDocument/2006/relationships/hyperlink" Target="https://www.instagram.com/mohebban_mahdi_313/" TargetMode="External"/><Relationship Id="rId5965" Type="http://schemas.openxmlformats.org/officeDocument/2006/relationships/hyperlink" Target="https://t.me/mohebban_jajarm" TargetMode="External"/><Relationship Id="rId3305" Type="http://schemas.openxmlformats.org/officeDocument/2006/relationships/hyperlink" Target="https://www.instagram.com/razmandeganurmia/" TargetMode="External"/><Relationship Id="rId4636" Type="http://schemas.openxmlformats.org/officeDocument/2006/relationships/hyperlink" Target="https://www.aparat.com/ansar_almahdi_g" TargetMode="External"/><Relationship Id="rId5966" Type="http://schemas.openxmlformats.org/officeDocument/2006/relationships/hyperlink" Target="https://www.instagram.com/ansar.jajarm/" TargetMode="External"/><Relationship Id="rId3308" Type="http://schemas.openxmlformats.org/officeDocument/2006/relationships/hyperlink" Target="http://t.me/mokabrazviurmia" TargetMode="External"/><Relationship Id="rId4639" Type="http://schemas.openxmlformats.org/officeDocument/2006/relationships/hyperlink" Target="https://www.instagram.com/heyat.shohadayegomnam/" TargetMode="External"/><Relationship Id="rId3307" Type="http://schemas.openxmlformats.org/officeDocument/2006/relationships/hyperlink" Target="https://www.instagram.com/mokaberazavi/" TargetMode="External"/><Relationship Id="rId4638" Type="http://schemas.openxmlformats.org/officeDocument/2006/relationships/hyperlink" Target="https://www.instagram.com/heiatalzahra.bu/" TargetMode="External"/><Relationship Id="rId5969" Type="http://schemas.openxmlformats.org/officeDocument/2006/relationships/hyperlink" Target="https://t.me/mohebbanalhossein_jajarm" TargetMode="External"/><Relationship Id="rId3309" Type="http://schemas.openxmlformats.org/officeDocument/2006/relationships/hyperlink" Target="https://www.instagram.com/heyat_hosseinyan/" TargetMode="External"/><Relationship Id="rId5960" Type="http://schemas.openxmlformats.org/officeDocument/2006/relationships/hyperlink" Target="https://t.me/mohebban_jajarm" TargetMode="External"/><Relationship Id="rId3300" Type="http://schemas.openxmlformats.org/officeDocument/2006/relationships/hyperlink" Target="https://www.instagram.com/heyat_ashegan/" TargetMode="External"/><Relationship Id="rId4631" Type="http://schemas.openxmlformats.org/officeDocument/2006/relationships/hyperlink" Target="https://www.instagram.com/seyyedoshohada_riz" TargetMode="External"/><Relationship Id="rId5963" Type="http://schemas.openxmlformats.org/officeDocument/2006/relationships/hyperlink" Target="https://www.instagram.com/razmandegan_jajarm/" TargetMode="External"/><Relationship Id="rId4630" Type="http://schemas.openxmlformats.org/officeDocument/2006/relationships/hyperlink" Target="https://eitaa.com/joinchat/2436170036C43cebb0be0" TargetMode="External"/><Relationship Id="rId5964" Type="http://schemas.openxmlformats.org/officeDocument/2006/relationships/hyperlink" Target="https://www.instagram.com/mohebban_jajarm" TargetMode="External"/><Relationship Id="rId3302" Type="http://schemas.openxmlformats.org/officeDocument/2006/relationships/hyperlink" Target="https://www.instagram.com/shirkhar_aliasghar/" TargetMode="External"/><Relationship Id="rId4633" Type="http://schemas.openxmlformats.org/officeDocument/2006/relationships/hyperlink" Target="https://www.instagram.com/heyatozzahra313/" TargetMode="External"/><Relationship Id="rId5961" Type="http://schemas.openxmlformats.org/officeDocument/2006/relationships/hyperlink" Target="https://www.instagram.com/javanan_bani_hashem_jajarm/" TargetMode="External"/><Relationship Id="rId3301" Type="http://schemas.openxmlformats.org/officeDocument/2006/relationships/hyperlink" Target="https://www.instagram.com/masjed.khatamolanbia/" TargetMode="External"/><Relationship Id="rId4632" Type="http://schemas.openxmlformats.org/officeDocument/2006/relationships/hyperlink" Target="https://eitaa.com/seyyedoshohada_riz" TargetMode="External"/><Relationship Id="rId5962" Type="http://schemas.openxmlformats.org/officeDocument/2006/relationships/hyperlink" Target="https://www.instagram.com/saheb_alzaman7/" TargetMode="External"/><Relationship Id="rId2005" Type="http://schemas.openxmlformats.org/officeDocument/2006/relationships/hyperlink" Target="https://t.me/samene_tehran" TargetMode="External"/><Relationship Id="rId3337" Type="http://schemas.openxmlformats.org/officeDocument/2006/relationships/hyperlink" Target="http://t.me/khadminsalmass" TargetMode="External"/><Relationship Id="rId4668" Type="http://schemas.openxmlformats.org/officeDocument/2006/relationships/hyperlink" Target="https://t.me/kazemiun" TargetMode="External"/><Relationship Id="rId2006" Type="http://schemas.openxmlformats.org/officeDocument/2006/relationships/hyperlink" Target="https://www.instagram.com/sarallah.rey/" TargetMode="External"/><Relationship Id="rId3336" Type="http://schemas.openxmlformats.org/officeDocument/2006/relationships/hyperlink" Target="https://www.instagram.com/khademin__ahlebeyt/" TargetMode="External"/><Relationship Id="rId4667" Type="http://schemas.openxmlformats.org/officeDocument/2006/relationships/hyperlink" Target="https://www.instagram.com/kazemiun/" TargetMode="External"/><Relationship Id="rId2007" Type="http://schemas.openxmlformats.org/officeDocument/2006/relationships/hyperlink" Target="https://t.me/sarallah_rey" TargetMode="External"/><Relationship Id="rId3339" Type="http://schemas.openxmlformats.org/officeDocument/2006/relationships/hyperlink" Target="https://www.instagram.com/ashegan_313/" TargetMode="External"/><Relationship Id="rId5998" Type="http://schemas.openxmlformats.org/officeDocument/2006/relationships/hyperlink" Target="https://www.instagram.com/javanan_banihashem_shirvan" TargetMode="External"/><Relationship Id="rId2008" Type="http://schemas.openxmlformats.org/officeDocument/2006/relationships/hyperlink" Target="https://www.instagram.com/seratolhossein/" TargetMode="External"/><Relationship Id="rId3338" Type="http://schemas.openxmlformats.org/officeDocument/2006/relationships/hyperlink" Target="https://t.me/heydariye96" TargetMode="External"/><Relationship Id="rId4669" Type="http://schemas.openxmlformats.org/officeDocument/2006/relationships/hyperlink" Target="https://www.instagram.com/heiatoreza.khormuj/" TargetMode="External"/><Relationship Id="rId5999" Type="http://schemas.openxmlformats.org/officeDocument/2006/relationships/hyperlink" Target="https://www.instagram.com/hiatejavanan_banihashem_" TargetMode="External"/><Relationship Id="rId2009" Type="http://schemas.openxmlformats.org/officeDocument/2006/relationships/hyperlink" Target="https://t.me/seratolhossein" TargetMode="External"/><Relationship Id="rId4660" Type="http://schemas.openxmlformats.org/officeDocument/2006/relationships/hyperlink" Target="https://www.instagram.com/oshagh.alabbas/" TargetMode="External"/><Relationship Id="rId5992" Type="http://schemas.openxmlformats.org/officeDocument/2006/relationships/hyperlink" Target="https://www.instagram.com/ansarolmahdi_sh" TargetMode="External"/><Relationship Id="rId5993" Type="http://schemas.openxmlformats.org/officeDocument/2006/relationships/hyperlink" Target="https://www.instagram.com/hoseiniehazam.shirvan" TargetMode="External"/><Relationship Id="rId3331" Type="http://schemas.openxmlformats.org/officeDocument/2006/relationships/hyperlink" Target="http://t.me/Divanegann" TargetMode="External"/><Relationship Id="rId4662" Type="http://schemas.openxmlformats.org/officeDocument/2006/relationships/hyperlink" Target="http://eitaa.com/oshagh_88" TargetMode="External"/><Relationship Id="rId5990" Type="http://schemas.openxmlformats.org/officeDocument/2006/relationships/hyperlink" Target="https://www.instagram.com/ansarolhossein_com/" TargetMode="External"/><Relationship Id="rId2000" Type="http://schemas.openxmlformats.org/officeDocument/2006/relationships/hyperlink" Target="https://www.instagram.com/saelin_info/" TargetMode="External"/><Relationship Id="rId3330" Type="http://schemas.openxmlformats.org/officeDocument/2006/relationships/hyperlink" Target="https://www.instagram.com/divanegankarbala.khoy/" TargetMode="External"/><Relationship Id="rId4661" Type="http://schemas.openxmlformats.org/officeDocument/2006/relationships/hyperlink" Target="http://t.me/oshagh1388" TargetMode="External"/><Relationship Id="rId5991" Type="http://schemas.openxmlformats.org/officeDocument/2006/relationships/hyperlink" Target="https://t.me/s/alaviyoon_shirvan" TargetMode="External"/><Relationship Id="rId2001" Type="http://schemas.openxmlformats.org/officeDocument/2006/relationships/hyperlink" Target="https://t.me/saelin_info" TargetMode="External"/><Relationship Id="rId3333" Type="http://schemas.openxmlformats.org/officeDocument/2006/relationships/hyperlink" Target="https://www.instagram.com/maktabkhoy/" TargetMode="External"/><Relationship Id="rId4664" Type="http://schemas.openxmlformats.org/officeDocument/2006/relationships/hyperlink" Target="https://eitaa.com/montazeranBg" TargetMode="External"/><Relationship Id="rId5996" Type="http://schemas.openxmlformats.org/officeDocument/2006/relationships/hyperlink" Target="https://eitaa.com/heyatmontazeranevalyaser_shirvan" TargetMode="External"/><Relationship Id="rId2002" Type="http://schemas.openxmlformats.org/officeDocument/2006/relationships/hyperlink" Target="https://www.instagram.com/saelinolabas/" TargetMode="External"/><Relationship Id="rId3332" Type="http://schemas.openxmlformats.org/officeDocument/2006/relationships/hyperlink" Target="https://www.instagram.com/fatemezahra_khoy/" TargetMode="External"/><Relationship Id="rId4663" Type="http://schemas.openxmlformats.org/officeDocument/2006/relationships/hyperlink" Target="https://www.instagram.com/heyat.montazeran.bg/" TargetMode="External"/><Relationship Id="rId5997" Type="http://schemas.openxmlformats.org/officeDocument/2006/relationships/hyperlink" Target="https://www.instagram.com/ansarolmahdi_sh" TargetMode="External"/><Relationship Id="rId2003" Type="http://schemas.openxmlformats.org/officeDocument/2006/relationships/hyperlink" Target="https://t.me/saelinolabas" TargetMode="External"/><Relationship Id="rId3335" Type="http://schemas.openxmlformats.org/officeDocument/2006/relationships/hyperlink" Target="https://www.instagram.com/heiatyarejamkarani_salmas/" TargetMode="External"/><Relationship Id="rId4666" Type="http://schemas.openxmlformats.org/officeDocument/2006/relationships/hyperlink" Target="https://www.instagram.com/kafil_o_zeynab128/" TargetMode="External"/><Relationship Id="rId5994" Type="http://schemas.openxmlformats.org/officeDocument/2006/relationships/hyperlink" Target="https://www.instagram.com/montazeran_sq/" TargetMode="External"/><Relationship Id="rId2004" Type="http://schemas.openxmlformats.org/officeDocument/2006/relationships/hyperlink" Target="https://www.instagram.com/samene_tehran/" TargetMode="External"/><Relationship Id="rId3334" Type="http://schemas.openxmlformats.org/officeDocument/2006/relationships/hyperlink" Target="https://www.instagram.com/yalasarat__alhosein/" TargetMode="External"/><Relationship Id="rId4665" Type="http://schemas.openxmlformats.org/officeDocument/2006/relationships/hyperlink" Target="https://www.instagram.com/mohebin_qamar_bani_hashem/" TargetMode="External"/><Relationship Id="rId5995" Type="http://schemas.openxmlformats.org/officeDocument/2006/relationships/hyperlink" Target="https://www.instagram.com/heatmontazeranvaliasershirvan/" TargetMode="External"/><Relationship Id="rId3326" Type="http://schemas.openxmlformats.org/officeDocument/2006/relationships/hyperlink" Target="https://www.instagram.com/abaalhasanir/" TargetMode="External"/><Relationship Id="rId4657" Type="http://schemas.openxmlformats.org/officeDocument/2006/relationships/hyperlink" Target="https://www.instagram.com/heyatfatematazzahra/" TargetMode="External"/><Relationship Id="rId5989" Type="http://schemas.openxmlformats.org/officeDocument/2006/relationships/hyperlink" Target="https://eitaa.com/javanan_banihashem_Shirvan?" TargetMode="External"/><Relationship Id="rId3325" Type="http://schemas.openxmlformats.org/officeDocument/2006/relationships/hyperlink" Target="https://www.instagram.com/tarigh_vesal.2/" TargetMode="External"/><Relationship Id="rId4656" Type="http://schemas.openxmlformats.org/officeDocument/2006/relationships/hyperlink" Target="https://eitaa.com/heyatoreza_alsr" TargetMode="External"/><Relationship Id="rId3328" Type="http://schemas.openxmlformats.org/officeDocument/2006/relationships/hyperlink" Target="https://www.instagram.com/alamdar.khoy/" TargetMode="External"/><Relationship Id="rId4659" Type="http://schemas.openxmlformats.org/officeDocument/2006/relationships/hyperlink" Target="https://www.instagram.com/heiat_motevasllin/" TargetMode="External"/><Relationship Id="rId5987" Type="http://schemas.openxmlformats.org/officeDocument/2006/relationships/hyperlink" Target="https://www.instagram.com/ansariha.shirvan/" TargetMode="External"/><Relationship Id="rId3327" Type="http://schemas.openxmlformats.org/officeDocument/2006/relationships/hyperlink" Target="https://www.instagram.com/giam.69/" TargetMode="External"/><Relationship Id="rId4658" Type="http://schemas.openxmlformats.org/officeDocument/2006/relationships/hyperlink" Target="https://www.instagram.com/bachehaye_reyhane/" TargetMode="External"/><Relationship Id="rId5988" Type="http://schemas.openxmlformats.org/officeDocument/2006/relationships/hyperlink" Target="https://www.instagram.com/javanan_banihashem_shirvan/" TargetMode="External"/><Relationship Id="rId3329" Type="http://schemas.openxmlformats.org/officeDocument/2006/relationships/hyperlink" Target="http://t.me/allaamdar" TargetMode="External"/><Relationship Id="rId5981" Type="http://schemas.openxmlformats.org/officeDocument/2006/relationships/hyperlink" Target="https://www.instagram.com/ansarolmahdi_sh/" TargetMode="External"/><Relationship Id="rId5982" Type="http://schemas.openxmlformats.org/officeDocument/2006/relationships/hyperlink" Target="https://www.instagram.com/javanan_banihashem_shirvan/" TargetMode="External"/><Relationship Id="rId3320" Type="http://schemas.openxmlformats.org/officeDocument/2006/relationships/hyperlink" Target="https://www.instagram.com/heyat_ashegan/" TargetMode="External"/><Relationship Id="rId4651" Type="http://schemas.openxmlformats.org/officeDocument/2006/relationships/hyperlink" Target="https://eitaa.com/s/maktabalhasn118" TargetMode="External"/><Relationship Id="rId4650" Type="http://schemas.openxmlformats.org/officeDocument/2006/relationships/hyperlink" Target="https://t.me/maktabalhasan118" TargetMode="External"/><Relationship Id="rId5980" Type="http://schemas.openxmlformats.org/officeDocument/2006/relationships/hyperlink" Target="https://www.instagram.com/hasan_jan_118_shirvan/" TargetMode="External"/><Relationship Id="rId3322" Type="http://schemas.openxmlformats.org/officeDocument/2006/relationships/hyperlink" Target="https://www.instagram.com/kochehaye_banihashem/" TargetMode="External"/><Relationship Id="rId4653" Type="http://schemas.openxmlformats.org/officeDocument/2006/relationships/hyperlink" Target="https://www.aparat.com/Mohebbinalyasin162" TargetMode="External"/><Relationship Id="rId5985" Type="http://schemas.openxmlformats.org/officeDocument/2006/relationships/hyperlink" Target="https://www.instagram.com/heyate.baghiatallah/" TargetMode="External"/><Relationship Id="rId3321" Type="http://schemas.openxmlformats.org/officeDocument/2006/relationships/hyperlink" Target="http://t.me/heyat_ashegan" TargetMode="External"/><Relationship Id="rId4652" Type="http://schemas.openxmlformats.org/officeDocument/2006/relationships/hyperlink" Target="https://www.instagram.com/mohebbinalyasin162/" TargetMode="External"/><Relationship Id="rId5986" Type="http://schemas.openxmlformats.org/officeDocument/2006/relationships/hyperlink" Target="https://www.instagram.com/alaviyoon.shirvan/" TargetMode="External"/><Relationship Id="rId3324" Type="http://schemas.openxmlformats.org/officeDocument/2006/relationships/hyperlink" Target="https://www.instagram.com/moheban_urmia/" TargetMode="External"/><Relationship Id="rId4655" Type="http://schemas.openxmlformats.org/officeDocument/2006/relationships/hyperlink" Target="https://t.me/heyatoreza_alsr" TargetMode="External"/><Relationship Id="rId5983" Type="http://schemas.openxmlformats.org/officeDocument/2006/relationships/hyperlink" Target="https://www.instagram.com/babolhavaej.shirvan/" TargetMode="External"/><Relationship Id="rId3323" Type="http://schemas.openxmlformats.org/officeDocument/2006/relationships/hyperlink" Target="http://t.me/ashegan_velayat_orumiyeh" TargetMode="External"/><Relationship Id="rId4654" Type="http://schemas.openxmlformats.org/officeDocument/2006/relationships/hyperlink" Target="https://www.instagram.com/heyatoreza_alsr/" TargetMode="External"/><Relationship Id="rId5984" Type="http://schemas.openxmlformats.org/officeDocument/2006/relationships/hyperlink" Target="https://www.instagram.com/hiatejavanan_banihashem_/" TargetMode="External"/><Relationship Id="rId2090" Type="http://schemas.openxmlformats.org/officeDocument/2006/relationships/hyperlink" Target="https://www.instagram.com/heyat_maktab_shohada/" TargetMode="External"/><Relationship Id="rId2091" Type="http://schemas.openxmlformats.org/officeDocument/2006/relationships/hyperlink" Target="http://t.me/maktab_shohada18" TargetMode="External"/><Relationship Id="rId2092" Type="http://schemas.openxmlformats.org/officeDocument/2006/relationships/hyperlink" Target="https://www.instagram.com/godalghatlegah_ir" TargetMode="External"/><Relationship Id="rId2093" Type="http://schemas.openxmlformats.org/officeDocument/2006/relationships/hyperlink" Target="https://eitaa.com/godalghatlegah_ir" TargetMode="External"/><Relationship Id="rId2094" Type="http://schemas.openxmlformats.org/officeDocument/2006/relationships/hyperlink" Target="https://eitaa.com/Shafie_al_moznebin" TargetMode="External"/><Relationship Id="rId2095" Type="http://schemas.openxmlformats.org/officeDocument/2006/relationships/hyperlink" Target="https://eitaa.com/hosseinie_karbala" TargetMode="External"/><Relationship Id="rId2096" Type="http://schemas.openxmlformats.org/officeDocument/2006/relationships/hyperlink" Target="https://eitaa.com/beit_133" TargetMode="External"/><Relationship Id="rId2097" Type="http://schemas.openxmlformats.org/officeDocument/2006/relationships/hyperlink" Target="https://eitaa.com/mokebansarozahra135" TargetMode="External"/><Relationship Id="rId2098" Type="http://schemas.openxmlformats.org/officeDocument/2006/relationships/hyperlink" Target="https://eitaa.com/shohada72" TargetMode="External"/><Relationship Id="rId2099" Type="http://schemas.openxmlformats.org/officeDocument/2006/relationships/hyperlink" Target="https://eitaa.com/ansar_alzahra40" TargetMode="External"/><Relationship Id="rId9518" Type="http://schemas.openxmlformats.org/officeDocument/2006/relationships/hyperlink" Target="https://eitaa.com/rayat_info" TargetMode="External"/><Relationship Id="rId9519" Type="http://schemas.openxmlformats.org/officeDocument/2006/relationships/hyperlink" Target="https://www.instagram.com/rayatolmahdim" TargetMode="External"/><Relationship Id="rId9514" Type="http://schemas.openxmlformats.org/officeDocument/2006/relationships/hyperlink" Target="https://www.instagram.com/javanan.fatemi/" TargetMode="External"/><Relationship Id="rId9515" Type="http://schemas.openxmlformats.org/officeDocument/2006/relationships/hyperlink" Target="https://eitaa.com/aleyasinyazd" TargetMode="External"/><Relationship Id="rId9516" Type="http://schemas.openxmlformats.org/officeDocument/2006/relationships/hyperlink" Target="https://eitaa.com/Heyat72" TargetMode="External"/><Relationship Id="rId9517" Type="http://schemas.openxmlformats.org/officeDocument/2006/relationships/hyperlink" Target="https://www.instagram.com/darolhedayeh/" TargetMode="External"/><Relationship Id="rId9510" Type="http://schemas.openxmlformats.org/officeDocument/2006/relationships/hyperlink" Target="https://instagram.com/jannatorreza_yazd" TargetMode="External"/><Relationship Id="rId9511" Type="http://schemas.openxmlformats.org/officeDocument/2006/relationships/hyperlink" Target="https://t.me/jannatorreza" TargetMode="External"/><Relationship Id="rId9512" Type="http://schemas.openxmlformats.org/officeDocument/2006/relationships/hyperlink" Target="https://eitaa.com/jannatorreza" TargetMode="External"/><Relationship Id="rId9513" Type="http://schemas.openxmlformats.org/officeDocument/2006/relationships/hyperlink" Target="https://eitaa.com/rayat_khaharan" TargetMode="External"/><Relationship Id="rId9507" Type="http://schemas.openxmlformats.org/officeDocument/2006/relationships/hyperlink" Target="https://eitaa.com/qolub1" TargetMode="External"/><Relationship Id="rId9508" Type="http://schemas.openxmlformats.org/officeDocument/2006/relationships/hyperlink" Target="https://www.instagram.com/rayat.zahra213" TargetMode="External"/><Relationship Id="rId9509" Type="http://schemas.openxmlformats.org/officeDocument/2006/relationships/hyperlink" Target="https://eitaa.com/rayat_zahra213" TargetMode="External"/><Relationship Id="rId9503" Type="http://schemas.openxmlformats.org/officeDocument/2006/relationships/hyperlink" Target="https://www.instagram.com/darozzekr/" TargetMode="External"/><Relationship Id="rId9504" Type="http://schemas.openxmlformats.org/officeDocument/2006/relationships/hyperlink" Target="https://eitaa.com/darozzekr_com" TargetMode="External"/><Relationship Id="rId9505" Type="http://schemas.openxmlformats.org/officeDocument/2006/relationships/hyperlink" Target="https://www.darozzekr.com" TargetMode="External"/><Relationship Id="rId9506" Type="http://schemas.openxmlformats.org/officeDocument/2006/relationships/hyperlink" Target="http://http//Instagram.com/qolub.2" TargetMode="External"/><Relationship Id="rId9500" Type="http://schemas.openxmlformats.org/officeDocument/2006/relationships/hyperlink" Target="https://yek.link/yaomah_com" TargetMode="External"/><Relationship Id="rId9501" Type="http://schemas.openxmlformats.org/officeDocument/2006/relationships/hyperlink" Target="http://eitaa.com/yaomah_com" TargetMode="External"/><Relationship Id="rId9502" Type="http://schemas.openxmlformats.org/officeDocument/2006/relationships/hyperlink" Target="https://eitaa.com/bso_yazd" TargetMode="External"/><Relationship Id="rId3391" Type="http://schemas.openxmlformats.org/officeDocument/2006/relationships/hyperlink" Target="https://www.instagram.com/maktabe__hossein_" TargetMode="External"/><Relationship Id="rId2060" Type="http://schemas.openxmlformats.org/officeDocument/2006/relationships/hyperlink" Target="https://www.instagram.com/heyatahbabolhasan/" TargetMode="External"/><Relationship Id="rId3390" Type="http://schemas.openxmlformats.org/officeDocument/2006/relationships/hyperlink" Target="https://www.instagram.com/heyat_shiftegan_valiasr" TargetMode="External"/><Relationship Id="rId2061" Type="http://schemas.openxmlformats.org/officeDocument/2006/relationships/hyperlink" Target="https://www.instagram.com/hmadareab/" TargetMode="External"/><Relationship Id="rId3393" Type="http://schemas.openxmlformats.org/officeDocument/2006/relationships/hyperlink" Target="https://t.me/jmghasab" TargetMode="External"/><Relationship Id="rId2062" Type="http://schemas.openxmlformats.org/officeDocument/2006/relationships/hyperlink" Target="https://www.instagram.com/rahrovan_rey/" TargetMode="External"/><Relationship Id="rId3392" Type="http://schemas.openxmlformats.org/officeDocument/2006/relationships/hyperlink" Target="https://www.instagram.com/jmghasab" TargetMode="External"/><Relationship Id="rId2063" Type="http://schemas.openxmlformats.org/officeDocument/2006/relationships/hyperlink" Target="https://www.instagram.com/faares_313/" TargetMode="External"/><Relationship Id="rId3395" Type="http://schemas.openxmlformats.org/officeDocument/2006/relationships/hyperlink" Target="https://www.instagram.com/yalesarat_urmia" TargetMode="External"/><Relationship Id="rId2064" Type="http://schemas.openxmlformats.org/officeDocument/2006/relationships/hyperlink" Target="https://www.instagram.com/heyate_beytooreza/" TargetMode="External"/><Relationship Id="rId3394" Type="http://schemas.openxmlformats.org/officeDocument/2006/relationships/hyperlink" Target="https://eitaa.com/jmghasab" TargetMode="External"/><Relationship Id="rId2065" Type="http://schemas.openxmlformats.org/officeDocument/2006/relationships/hyperlink" Target="https://www.instagram.com/heyat.shabab.aljanah/" TargetMode="External"/><Relationship Id="rId3397" Type="http://schemas.openxmlformats.org/officeDocument/2006/relationships/hyperlink" Target="https://www.instagram.com/shabih_khani_mokbasgharie" TargetMode="External"/><Relationship Id="rId2066" Type="http://schemas.openxmlformats.org/officeDocument/2006/relationships/hyperlink" Target="https://www.instagram.com/saralah18/" TargetMode="External"/><Relationship Id="rId3396" Type="http://schemas.openxmlformats.org/officeDocument/2006/relationships/hyperlink" Target="https://www.instagram.com/heyyat_alzahra_urumiya" TargetMode="External"/><Relationship Id="rId2067" Type="http://schemas.openxmlformats.org/officeDocument/2006/relationships/hyperlink" Target="https://www.instagram.com/heyat_rayatalabas/" TargetMode="External"/><Relationship Id="rId3399" Type="http://schemas.openxmlformats.org/officeDocument/2006/relationships/hyperlink" Target="https://t.me/basijtakarbala" TargetMode="External"/><Relationship Id="rId2068" Type="http://schemas.openxmlformats.org/officeDocument/2006/relationships/hyperlink" Target="https://www.instagram.com/ashabolghaem/" TargetMode="External"/><Relationship Id="rId3398" Type="http://schemas.openxmlformats.org/officeDocument/2006/relationships/hyperlink" Target="https://www.instagram.com/heyat.javanan.karbala" TargetMode="External"/><Relationship Id="rId2069" Type="http://schemas.openxmlformats.org/officeDocument/2006/relationships/hyperlink" Target="https://www.instagram.com/misagh_al_mahdi/" TargetMode="External"/><Relationship Id="rId3380" Type="http://schemas.openxmlformats.org/officeDocument/2006/relationships/hyperlink" Target="https://www.instagram.com/modafeane_haram_urmia" TargetMode="External"/><Relationship Id="rId2050" Type="http://schemas.openxmlformats.org/officeDocument/2006/relationships/hyperlink" Target="https://t.me/mohsenfarhangiyan118" TargetMode="External"/><Relationship Id="rId3382" Type="http://schemas.openxmlformats.org/officeDocument/2006/relationships/hyperlink" Target="https://t.me/tahaurmia" TargetMode="External"/><Relationship Id="rId2051" Type="http://schemas.openxmlformats.org/officeDocument/2006/relationships/hyperlink" Target="https://eitaa.com/mohsenfarhangiyan118" TargetMode="External"/><Relationship Id="rId3381" Type="http://schemas.openxmlformats.org/officeDocument/2006/relationships/hyperlink" Target="https://eitaa.com/modafeane_haram_urmia" TargetMode="External"/><Relationship Id="rId2052" Type="http://schemas.openxmlformats.org/officeDocument/2006/relationships/hyperlink" Target="https://www.instagram.com/hoseinieshohada.ir/" TargetMode="External"/><Relationship Id="rId3384" Type="http://schemas.openxmlformats.org/officeDocument/2006/relationships/hyperlink" Target="https://www.instagram.com/heyateansarolhosyn.urmia1397" TargetMode="External"/><Relationship Id="rId2053" Type="http://schemas.openxmlformats.org/officeDocument/2006/relationships/hyperlink" Target="https://t.me/hoseinieshohada_530" TargetMode="External"/><Relationship Id="rId3383" Type="http://schemas.openxmlformats.org/officeDocument/2006/relationships/hyperlink" Target="https://eitaa.com/tahaurmia" TargetMode="External"/><Relationship Id="rId2054" Type="http://schemas.openxmlformats.org/officeDocument/2006/relationships/hyperlink" Target="https://eitaa.com/hoseinieshohada" TargetMode="External"/><Relationship Id="rId3386" Type="http://schemas.openxmlformats.org/officeDocument/2006/relationships/hyperlink" Target="https://www.instagram.com/tilnews_orumieh" TargetMode="External"/><Relationship Id="rId2055" Type="http://schemas.openxmlformats.org/officeDocument/2006/relationships/hyperlink" Target="https://www.instagram.com/zvaralhasan/" TargetMode="External"/><Relationship Id="rId3385" Type="http://schemas.openxmlformats.org/officeDocument/2006/relationships/hyperlink" Target="https://www.instagram.com/ansarolhossein_ir" TargetMode="External"/><Relationship Id="rId2056" Type="http://schemas.openxmlformats.org/officeDocument/2006/relationships/hyperlink" Target="https://www.instagram.com/heyat_nokaran_abalfazl/" TargetMode="External"/><Relationship Id="rId3388" Type="http://schemas.openxmlformats.org/officeDocument/2006/relationships/hyperlink" Target="https://www.instagram.com/shiftegan_aeme.athar" TargetMode="External"/><Relationship Id="rId2057" Type="http://schemas.openxmlformats.org/officeDocument/2006/relationships/hyperlink" Target="https://www.instagram.com/aminozahra/" TargetMode="External"/><Relationship Id="rId3387" Type="http://schemas.openxmlformats.org/officeDocument/2006/relationships/hyperlink" Target="https://t.me/masjedisar" TargetMode="External"/><Relationship Id="rId2058" Type="http://schemas.openxmlformats.org/officeDocument/2006/relationships/hyperlink" Target="https://www.instagram.com/asheghanebaghi/" TargetMode="External"/><Relationship Id="rId2059" Type="http://schemas.openxmlformats.org/officeDocument/2006/relationships/hyperlink" Target="https://www.instagram.com/ansaralhosein_qods/" TargetMode="External"/><Relationship Id="rId3389" Type="http://schemas.openxmlformats.org/officeDocument/2006/relationships/hyperlink" Target="https://t.me/heiat_shiftegan_urmie" TargetMode="External"/><Relationship Id="rId2080" Type="http://schemas.openxmlformats.org/officeDocument/2006/relationships/hyperlink" Target="https://eitaa.com/khompich" TargetMode="External"/><Relationship Id="rId2081" Type="http://schemas.openxmlformats.org/officeDocument/2006/relationships/hyperlink" Target="https://eitaa.com/sahebalzamaan_313" TargetMode="External"/><Relationship Id="rId2082" Type="http://schemas.openxmlformats.org/officeDocument/2006/relationships/hyperlink" Target="https://eitaa.com/fatemyounvaramin" TargetMode="External"/><Relationship Id="rId2083" Type="http://schemas.openxmlformats.org/officeDocument/2006/relationships/hyperlink" Target="https://eitaa.com/Asheghan_Aemmeh" TargetMode="External"/><Relationship Id="rId2084" Type="http://schemas.openxmlformats.org/officeDocument/2006/relationships/hyperlink" Target="https://eitaa.com/HosseinShahidKhoshro" TargetMode="External"/><Relationship Id="rId2085" Type="http://schemas.openxmlformats.org/officeDocument/2006/relationships/hyperlink" Target="https://www.instagram.com/heyat_yamahdi" TargetMode="External"/><Relationship Id="rId2086" Type="http://schemas.openxmlformats.org/officeDocument/2006/relationships/hyperlink" Target="https://t.me/heyat_yamahdi" TargetMode="External"/><Relationship Id="rId2087" Type="http://schemas.openxmlformats.org/officeDocument/2006/relationships/hyperlink" Target="https://eitaa.com/heyat_yamahdi" TargetMode="External"/><Relationship Id="rId2088" Type="http://schemas.openxmlformats.org/officeDocument/2006/relationships/hyperlink" Target="https://eitaa.com/Delrish" TargetMode="External"/><Relationship Id="rId2089" Type="http://schemas.openxmlformats.org/officeDocument/2006/relationships/hyperlink" Target="https://eitaa.com/Reyhanatorasooll" TargetMode="External"/><Relationship Id="rId2070" Type="http://schemas.openxmlformats.org/officeDocument/2006/relationships/hyperlink" Target="https://www.instagram.com/ansarolhossein.1365/" TargetMode="External"/><Relationship Id="rId2071" Type="http://schemas.openxmlformats.org/officeDocument/2006/relationships/hyperlink" Target="https://www.instagram.com/heyat_imam_sajad/" TargetMode="External"/><Relationship Id="rId2072" Type="http://schemas.openxmlformats.org/officeDocument/2006/relationships/hyperlink" Target="https://www.instagram.com/hazrateqasem/" TargetMode="External"/><Relationship Id="rId2073" Type="http://schemas.openxmlformats.org/officeDocument/2006/relationships/hyperlink" Target="https://www.instagram.com/heyatealzahra_ir/" TargetMode="External"/><Relationship Id="rId2074" Type="http://schemas.openxmlformats.org/officeDocument/2006/relationships/hyperlink" Target="http://t.me/asheghaneghamarbanihashem" TargetMode="External"/><Relationship Id="rId2075" Type="http://schemas.openxmlformats.org/officeDocument/2006/relationships/hyperlink" Target="https://eitaa.com/hoseinie_emamkhomeini" TargetMode="External"/><Relationship Id="rId2076" Type="http://schemas.openxmlformats.org/officeDocument/2006/relationships/hyperlink" Target="https://eitaa.com/oshaghalkhomeini" TargetMode="External"/><Relationship Id="rId2077" Type="http://schemas.openxmlformats.org/officeDocument/2006/relationships/hyperlink" Target="https://eitaa.com/abnaolzahra" TargetMode="External"/><Relationship Id="rId2078" Type="http://schemas.openxmlformats.org/officeDocument/2006/relationships/hyperlink" Target="https://eitaa.com/mokeb_khodamoreza" TargetMode="External"/><Relationship Id="rId2079" Type="http://schemas.openxmlformats.org/officeDocument/2006/relationships/hyperlink" Target="https://eitaa.com/ahbabeslamshahr" TargetMode="External"/><Relationship Id="rId8240" Type="http://schemas.openxmlformats.org/officeDocument/2006/relationships/hyperlink" Target="https://www.instagram.com/alav_i313" TargetMode="External"/><Relationship Id="rId9572" Type="http://schemas.openxmlformats.org/officeDocument/2006/relationships/hyperlink" Target="https://eitaa.com/harime_haura" TargetMode="External"/><Relationship Id="rId9573" Type="http://schemas.openxmlformats.org/officeDocument/2006/relationships/hyperlink" Target="https://www.instagram.com/mersad.yazd" TargetMode="External"/><Relationship Id="rId9574" Type="http://schemas.openxmlformats.org/officeDocument/2006/relationships/hyperlink" Target="https://eitaa.com/mersad_yazd" TargetMode="External"/><Relationship Id="rId9575" Type="http://schemas.openxmlformats.org/officeDocument/2006/relationships/hyperlink" Target="https://www.instagram.com/moasesa_boshra" TargetMode="External"/><Relationship Id="rId8244" Type="http://schemas.openxmlformats.org/officeDocument/2006/relationships/hyperlink" Target="https://eitaa.com/leva135" TargetMode="External"/><Relationship Id="rId8243" Type="http://schemas.openxmlformats.org/officeDocument/2006/relationships/hyperlink" Target="https://www.instagram.com/leva.olmahdi" TargetMode="External"/><Relationship Id="rId8242" Type="http://schemas.openxmlformats.org/officeDocument/2006/relationships/hyperlink" Target="https://www.instagram.com/mosque_abalfazl_dastgerd" TargetMode="External"/><Relationship Id="rId9570" Type="http://schemas.openxmlformats.org/officeDocument/2006/relationships/hyperlink" Target="https://eitaa.com/ansarozahrayazd" TargetMode="External"/><Relationship Id="rId8241" Type="http://schemas.openxmlformats.org/officeDocument/2006/relationships/hyperlink" Target="https://www.instagram.com/mohammad_rasoolallah_" TargetMode="External"/><Relationship Id="rId9571" Type="http://schemas.openxmlformats.org/officeDocument/2006/relationships/hyperlink" Target="https://eitaa.com/butorab_info" TargetMode="External"/><Relationship Id="rId8248" Type="http://schemas.openxmlformats.org/officeDocument/2006/relationships/hyperlink" Target="https://eitaa.com/heyat_saralah" TargetMode="External"/><Relationship Id="rId8247" Type="http://schemas.openxmlformats.org/officeDocument/2006/relationships/hyperlink" Target="https://www.instagram.com/sarallah_isf" TargetMode="External"/><Relationship Id="rId8246" Type="http://schemas.openxmlformats.org/officeDocument/2006/relationships/hyperlink" Target="https://www.instagram.com/sarallahesfahan" TargetMode="External"/><Relationship Id="rId8245" Type="http://schemas.openxmlformats.org/officeDocument/2006/relationships/hyperlink" Target="https://www.instagram.com/ghamar_bani_hashem_dara" TargetMode="External"/><Relationship Id="rId9576" Type="http://schemas.openxmlformats.org/officeDocument/2006/relationships/hyperlink" Target="https://eitaa.com/heyatvaresin" TargetMode="External"/><Relationship Id="rId9577" Type="http://schemas.openxmlformats.org/officeDocument/2006/relationships/hyperlink" Target="https://eitaa.com/bargah_noor" TargetMode="External"/><Relationship Id="rId9578" Type="http://schemas.openxmlformats.org/officeDocument/2006/relationships/hyperlink" Target="https://www.instagram.com/setayeshgaran.yazd" TargetMode="External"/><Relationship Id="rId8249" Type="http://schemas.openxmlformats.org/officeDocument/2006/relationships/hyperlink" Target="https://www.instagram.com/mehre_samen" TargetMode="External"/><Relationship Id="rId9579" Type="http://schemas.openxmlformats.org/officeDocument/2006/relationships/hyperlink" Target="https://eitaa.com/madahaneyazdi" TargetMode="External"/><Relationship Id="rId9561" Type="http://schemas.openxmlformats.org/officeDocument/2006/relationships/hyperlink" Target="https://eitaa.com/maddahanyazd" TargetMode="External"/><Relationship Id="rId9562" Type="http://schemas.openxmlformats.org/officeDocument/2006/relationships/hyperlink" Target="https://www.instagram.com/heiat_alamdar_hosein_yazd" TargetMode="External"/><Relationship Id="rId9563" Type="http://schemas.openxmlformats.org/officeDocument/2006/relationships/hyperlink" Target="https://t.me/alamdarehossein_yazd" TargetMode="External"/><Relationship Id="rId9564" Type="http://schemas.openxmlformats.org/officeDocument/2006/relationships/hyperlink" Target="https://eitaa.com/alamdarehossein_yazd" TargetMode="External"/><Relationship Id="rId8233" Type="http://schemas.openxmlformats.org/officeDocument/2006/relationships/hyperlink" Target="https://www.instagram.com/heyat_abaabdeallhalhossein/" TargetMode="External"/><Relationship Id="rId8232" Type="http://schemas.openxmlformats.org/officeDocument/2006/relationships/hyperlink" Target="https://www.instagram.com/ya_abolfzl.1342/" TargetMode="External"/><Relationship Id="rId8231" Type="http://schemas.openxmlformats.org/officeDocument/2006/relationships/hyperlink" Target="https://www.instagram.com/heyatejavananaliakbar/" TargetMode="External"/><Relationship Id="rId8230" Type="http://schemas.openxmlformats.org/officeDocument/2006/relationships/hyperlink" Target="https://t.me/mohebanhosein_esf" TargetMode="External"/><Relationship Id="rId9560" Type="http://schemas.openxmlformats.org/officeDocument/2006/relationships/hyperlink" Target="https://eitaa.com/darolkerame" TargetMode="External"/><Relationship Id="rId8237" Type="http://schemas.openxmlformats.org/officeDocument/2006/relationships/hyperlink" Target="https://eitaa.com/sahebzamanesfahan" TargetMode="External"/><Relationship Id="rId9569" Type="http://schemas.openxmlformats.org/officeDocument/2006/relationships/hyperlink" Target="https://www.instagram.com/ansarozahrayazd/" TargetMode="External"/><Relationship Id="rId8236" Type="http://schemas.openxmlformats.org/officeDocument/2006/relationships/hyperlink" Target="https://eitaa.com/heyathazratabalfazl" TargetMode="External"/><Relationship Id="rId8235" Type="http://schemas.openxmlformats.org/officeDocument/2006/relationships/hyperlink" Target="https://www.instagram.com/khodam_al_hossein/" TargetMode="External"/><Relationship Id="rId8234" Type="http://schemas.openxmlformats.org/officeDocument/2006/relationships/hyperlink" Target="https://www.instagram.com/p/DHTowlDRE2D/" TargetMode="External"/><Relationship Id="rId9565" Type="http://schemas.openxmlformats.org/officeDocument/2006/relationships/hyperlink" Target="https://www.instagram.com/heydarion_yazd" TargetMode="External"/><Relationship Id="rId9566" Type="http://schemas.openxmlformats.org/officeDocument/2006/relationships/hyperlink" Target="https://www.instagram.com/heyat_iauy" TargetMode="External"/><Relationship Id="rId8239" Type="http://schemas.openxmlformats.org/officeDocument/2006/relationships/hyperlink" Target="https://t.me/bashahreza" TargetMode="External"/><Relationship Id="rId9567" Type="http://schemas.openxmlformats.org/officeDocument/2006/relationships/hyperlink" Target="https://eitaa.com/heyat_iauy" TargetMode="External"/><Relationship Id="rId8238" Type="http://schemas.openxmlformats.org/officeDocument/2006/relationships/hyperlink" Target="https://www.instagram.com/heatabaalfazlshahreza" TargetMode="External"/><Relationship Id="rId9568" Type="http://schemas.openxmlformats.org/officeDocument/2006/relationships/hyperlink" Target="https://eitaa.com/marammahdavi_marvast1402" TargetMode="External"/><Relationship Id="rId8262" Type="http://schemas.openxmlformats.org/officeDocument/2006/relationships/hyperlink" Target="https://t.me/Hojjat_ebn_alhasan_khansar" TargetMode="External"/><Relationship Id="rId9594" Type="http://schemas.openxmlformats.org/officeDocument/2006/relationships/hyperlink" Target="https://www.instagram.com/heiat.hazrat.abalfazl" TargetMode="External"/><Relationship Id="rId8261" Type="http://schemas.openxmlformats.org/officeDocument/2006/relationships/hyperlink" Target="https://www.instagram.com/hojjatebnalhasankhansar" TargetMode="External"/><Relationship Id="rId9595" Type="http://schemas.openxmlformats.org/officeDocument/2006/relationships/hyperlink" Target="https://eitaa.com/heiathazratabalfazl" TargetMode="External"/><Relationship Id="rId8260" Type="http://schemas.openxmlformats.org/officeDocument/2006/relationships/hyperlink" Target="https://t.me/omeAbiha110" TargetMode="External"/><Relationship Id="rId9596" Type="http://schemas.openxmlformats.org/officeDocument/2006/relationships/hyperlink" Target="https://www.instagram.com/_asheghanmahdi_academy" TargetMode="External"/><Relationship Id="rId9597" Type="http://schemas.openxmlformats.org/officeDocument/2006/relationships/hyperlink" Target="https://www.instagram.com/ansarolhossein.yazd" TargetMode="External"/><Relationship Id="rId8266" Type="http://schemas.openxmlformats.org/officeDocument/2006/relationships/hyperlink" Target="https://t.me/Alaviyoonisf" TargetMode="External"/><Relationship Id="rId9590" Type="http://schemas.openxmlformats.org/officeDocument/2006/relationships/hyperlink" Target="https://eitaa.com/amirbayanyazd" TargetMode="External"/><Relationship Id="rId8265" Type="http://schemas.openxmlformats.org/officeDocument/2006/relationships/hyperlink" Target="https://www.instagram.com/alaviyoonisf" TargetMode="External"/><Relationship Id="rId9591" Type="http://schemas.openxmlformats.org/officeDocument/2006/relationships/hyperlink" Target="https://www.instagram.com/roshanatourism" TargetMode="External"/><Relationship Id="rId8264" Type="http://schemas.openxmlformats.org/officeDocument/2006/relationships/hyperlink" Target="https://eitaa.com/fatemiyonesff" TargetMode="External"/><Relationship Id="rId9592" Type="http://schemas.openxmlformats.org/officeDocument/2006/relationships/hyperlink" Target="https://www.instagram.com/heyatrozatolmahdi/" TargetMode="External"/><Relationship Id="rId8263" Type="http://schemas.openxmlformats.org/officeDocument/2006/relationships/hyperlink" Target="https://eitaa.com/yasinsedehlenjan" TargetMode="External"/><Relationship Id="rId9593" Type="http://schemas.openxmlformats.org/officeDocument/2006/relationships/hyperlink" Target="https://eitaa.com/heyatrozatolmahdi" TargetMode="External"/><Relationship Id="rId8269" Type="http://schemas.openxmlformats.org/officeDocument/2006/relationships/hyperlink" Target="https://eitaa.com/m_ravaagh" TargetMode="External"/><Relationship Id="rId8268" Type="http://schemas.openxmlformats.org/officeDocument/2006/relationships/hyperlink" Target="https://eitaa.com/madahanfalavarjan" TargetMode="External"/><Relationship Id="rId8267" Type="http://schemas.openxmlformats.org/officeDocument/2006/relationships/hyperlink" Target="https://eitaa.com/pm_aliasghar" TargetMode="External"/><Relationship Id="rId9598" Type="http://schemas.openxmlformats.org/officeDocument/2006/relationships/hyperlink" Target="https://t.me/Ansarolhosseinyazd" TargetMode="External"/><Relationship Id="rId9599" Type="http://schemas.openxmlformats.org/officeDocument/2006/relationships/hyperlink" Target="https://eitaa.com/ansarolhosseinyazd1" TargetMode="External"/><Relationship Id="rId8251" Type="http://schemas.openxmlformats.org/officeDocument/2006/relationships/hyperlink" Target="https://www.instagram.com/heyyate_hazrate_aliakbar" TargetMode="External"/><Relationship Id="rId9583" Type="http://schemas.openxmlformats.org/officeDocument/2006/relationships/hyperlink" Target="https://t.me/heiatghadiramirabad" TargetMode="External"/><Relationship Id="rId8250" Type="http://schemas.openxmlformats.org/officeDocument/2006/relationships/hyperlink" Target="https://www.instagram.com/hoseiniyeh_seyed_shohada" TargetMode="External"/><Relationship Id="rId9584" Type="http://schemas.openxmlformats.org/officeDocument/2006/relationships/hyperlink" Target="https://www.instagram.com/jannesaranabalfazlchaleshtor" TargetMode="External"/><Relationship Id="rId9585" Type="http://schemas.openxmlformats.org/officeDocument/2006/relationships/hyperlink" Target="https://www.instagram.com/gonbadsabz_yazd" TargetMode="External"/><Relationship Id="rId9586" Type="http://schemas.openxmlformats.org/officeDocument/2006/relationships/hyperlink" Target="https://t.me/GonbadsabzYazd" TargetMode="External"/><Relationship Id="rId8255" Type="http://schemas.openxmlformats.org/officeDocument/2006/relationships/hyperlink" Target="https://www.instagram.com/fatemiyon_info" TargetMode="External"/><Relationship Id="rId8254" Type="http://schemas.openxmlformats.org/officeDocument/2006/relationships/hyperlink" Target="https://t.me/MasjedAlrezaEsfahan" TargetMode="External"/><Relationship Id="rId9580" Type="http://schemas.openxmlformats.org/officeDocument/2006/relationships/hyperlink" Target="https://www.instagram.com/marasemat_yazd" TargetMode="External"/><Relationship Id="rId8253" Type="http://schemas.openxmlformats.org/officeDocument/2006/relationships/hyperlink" Target="https://www.instagram.com/masjedalrezaesfahan" TargetMode="External"/><Relationship Id="rId9581" Type="http://schemas.openxmlformats.org/officeDocument/2006/relationships/hyperlink" Target="https://eitaa.com/marasemat_yazd" TargetMode="External"/><Relationship Id="rId8252" Type="http://schemas.openxmlformats.org/officeDocument/2006/relationships/hyperlink" Target="https://t.me/heyataliakbarbostan4" TargetMode="External"/><Relationship Id="rId9582" Type="http://schemas.openxmlformats.org/officeDocument/2006/relationships/hyperlink" Target="https://www.instagram.com/heiatghadiramirabad" TargetMode="External"/><Relationship Id="rId8259" Type="http://schemas.openxmlformats.org/officeDocument/2006/relationships/hyperlink" Target="https://www.instagram.com/omeabiha.esf/" TargetMode="External"/><Relationship Id="rId8258" Type="http://schemas.openxmlformats.org/officeDocument/2006/relationships/hyperlink" Target="https://eitaa.com/yaabalfazl_1325" TargetMode="External"/><Relationship Id="rId8257" Type="http://schemas.openxmlformats.org/officeDocument/2006/relationships/hyperlink" Target="https://www.instagram.com/yaabalfazl.ir" TargetMode="External"/><Relationship Id="rId8256" Type="http://schemas.openxmlformats.org/officeDocument/2006/relationships/hyperlink" Target="https://t.me/Fatemiyon_info" TargetMode="External"/><Relationship Id="rId9587" Type="http://schemas.openxmlformats.org/officeDocument/2006/relationships/hyperlink" Target="https://www.instagram.com/asheghan.velayat.sakhvid" TargetMode="External"/><Relationship Id="rId9588" Type="http://schemas.openxmlformats.org/officeDocument/2006/relationships/hyperlink" Target="https://t.me/asheghanvelayat_sakhvid" TargetMode="External"/><Relationship Id="rId9589" Type="http://schemas.openxmlformats.org/officeDocument/2006/relationships/hyperlink" Target="https://www.instagram.com/amirbayanyazd" TargetMode="External"/><Relationship Id="rId8209" Type="http://schemas.openxmlformats.org/officeDocument/2006/relationships/hyperlink" Target="https://www.instagram.com/heiat_saralah_ir" TargetMode="External"/><Relationship Id="rId9530" Type="http://schemas.openxmlformats.org/officeDocument/2006/relationships/hyperlink" Target="https://eitaa.com/shababalhasan" TargetMode="External"/><Relationship Id="rId9531" Type="http://schemas.openxmlformats.org/officeDocument/2006/relationships/hyperlink" Target="https://eitaa.com/plack_313" TargetMode="External"/><Relationship Id="rId8200" Type="http://schemas.openxmlformats.org/officeDocument/2006/relationships/hyperlink" Target="https://www.instagram.com/hosseinian_ghaletaki" TargetMode="External"/><Relationship Id="rId8204" Type="http://schemas.openxmlformats.org/officeDocument/2006/relationships/hyperlink" Target="https://www.instagram.com/rouyesh_ir" TargetMode="External"/><Relationship Id="rId9536" Type="http://schemas.openxmlformats.org/officeDocument/2006/relationships/hyperlink" Target="https://t.me/beyt_al_zahra_s" TargetMode="External"/><Relationship Id="rId8203" Type="http://schemas.openxmlformats.org/officeDocument/2006/relationships/hyperlink" Target="https://www.instagram.com/rahrovanvelayat1380" TargetMode="External"/><Relationship Id="rId9537" Type="http://schemas.openxmlformats.org/officeDocument/2006/relationships/hyperlink" Target="https://eitaa.com/levaolmahdi_ir" TargetMode="External"/><Relationship Id="rId8202" Type="http://schemas.openxmlformats.org/officeDocument/2006/relationships/hyperlink" Target="https://www.instagram.com/ensiatalhaora135" TargetMode="External"/><Relationship Id="rId9538" Type="http://schemas.openxmlformats.org/officeDocument/2006/relationships/hyperlink" Target="https://www.instagram.com/gomnamy_ir" TargetMode="External"/><Relationship Id="rId8201" Type="http://schemas.openxmlformats.org/officeDocument/2006/relationships/hyperlink" Target="https://www.instagram.com/valiasriya" TargetMode="External"/><Relationship Id="rId9539" Type="http://schemas.openxmlformats.org/officeDocument/2006/relationships/hyperlink" Target="https://eitaa.com/gomnamy_ir" TargetMode="External"/><Relationship Id="rId8208" Type="http://schemas.openxmlformats.org/officeDocument/2006/relationships/hyperlink" Target="https://www.instagram.com/rahrovanshohada.isf" TargetMode="External"/><Relationship Id="rId9532" Type="http://schemas.openxmlformats.org/officeDocument/2006/relationships/hyperlink" Target="https://eitaa.com/Qnooryazd" TargetMode="External"/><Relationship Id="rId8207" Type="http://schemas.openxmlformats.org/officeDocument/2006/relationships/hyperlink" Target="https://eitaa.com/zahraeyoon_esf" TargetMode="External"/><Relationship Id="rId9533" Type="http://schemas.openxmlformats.org/officeDocument/2006/relationships/hyperlink" Target="https://eitaa.com/ansareaemeh" TargetMode="External"/><Relationship Id="rId8206" Type="http://schemas.openxmlformats.org/officeDocument/2006/relationships/hyperlink" Target="https://www.instagram.com/sadighehkobra" TargetMode="External"/><Relationship Id="rId9534" Type="http://schemas.openxmlformats.org/officeDocument/2006/relationships/hyperlink" Target="https://www.instagram.com/hasaniye_yazd/" TargetMode="External"/><Relationship Id="rId8205" Type="http://schemas.openxmlformats.org/officeDocument/2006/relationships/hyperlink" Target="https://eitaa.com/m_rouyesh_ir" TargetMode="External"/><Relationship Id="rId9535" Type="http://schemas.openxmlformats.org/officeDocument/2006/relationships/hyperlink" Target="https://eitaa.com/maktab_yazd" TargetMode="External"/><Relationship Id="rId9529" Type="http://schemas.openxmlformats.org/officeDocument/2006/relationships/hyperlink" Target="https://www.instagram.com/shababolhasan" TargetMode="External"/><Relationship Id="rId9520" Type="http://schemas.openxmlformats.org/officeDocument/2006/relationships/hyperlink" Target="https://eitaa.com/rayatolmahdim" TargetMode="External"/><Relationship Id="rId9525" Type="http://schemas.openxmlformats.org/officeDocument/2006/relationships/hyperlink" Target="https://eitaa.com/ansarolmahdi_yazd" TargetMode="External"/><Relationship Id="rId9526" Type="http://schemas.openxmlformats.org/officeDocument/2006/relationships/hyperlink" Target="https://www.instagram.com/heyattoshohada" TargetMode="External"/><Relationship Id="rId9527" Type="http://schemas.openxmlformats.org/officeDocument/2006/relationships/hyperlink" Target="https://eitaa.com/heyattoshohada" TargetMode="External"/><Relationship Id="rId9528" Type="http://schemas.openxmlformats.org/officeDocument/2006/relationships/hyperlink" Target="https://www.instagram.com/heyatrouhollah" TargetMode="External"/><Relationship Id="rId9521" Type="http://schemas.openxmlformats.org/officeDocument/2006/relationships/hyperlink" Target="https://eitaa.com/Qnooryazd" TargetMode="External"/><Relationship Id="rId9522" Type="http://schemas.openxmlformats.org/officeDocument/2006/relationships/hyperlink" Target="https://www.instagram.com/booyesib_ir" TargetMode="External"/><Relationship Id="rId9523" Type="http://schemas.openxmlformats.org/officeDocument/2006/relationships/hyperlink" Target="https://eitaa.com/booyesib_ir" TargetMode="External"/><Relationship Id="rId9524" Type="http://schemas.openxmlformats.org/officeDocument/2006/relationships/hyperlink" Target="https://www.instagram.com/jahadi_fatemeh97" TargetMode="External"/><Relationship Id="rId9550" Type="http://schemas.openxmlformats.org/officeDocument/2006/relationships/hyperlink" Target="https://eitaa.com/mahdavee1400" TargetMode="External"/><Relationship Id="rId9551" Type="http://schemas.openxmlformats.org/officeDocument/2006/relationships/hyperlink" Target="https://www.instagram.com/banatolheydar_yazd" TargetMode="External"/><Relationship Id="rId9552" Type="http://schemas.openxmlformats.org/officeDocument/2006/relationships/hyperlink" Target="https://eitaa.com/banatolheydar_ir" TargetMode="External"/><Relationship Id="rId9553" Type="http://schemas.openxmlformats.org/officeDocument/2006/relationships/hyperlink" Target="https://eitaa.com/bachehaye_fateme" TargetMode="External"/><Relationship Id="rId8222" Type="http://schemas.openxmlformats.org/officeDocument/2006/relationships/hyperlink" Target="https://www.instagram.com/heyat_mesbahalhoda" TargetMode="External"/><Relationship Id="rId8221" Type="http://schemas.openxmlformats.org/officeDocument/2006/relationships/hyperlink" Target="https://www.instagram.com/taziyeh.babalhavaej" TargetMode="External"/><Relationship Id="rId8220" Type="http://schemas.openxmlformats.org/officeDocument/2006/relationships/hyperlink" Target="https://www.instagram.com/bytol.abas" TargetMode="External"/><Relationship Id="rId8226" Type="http://schemas.openxmlformats.org/officeDocument/2006/relationships/hyperlink" Target="https://www.instagram.com/montazeran_zohour1393/" TargetMode="External"/><Relationship Id="rId9558" Type="http://schemas.openxmlformats.org/officeDocument/2006/relationships/hyperlink" Target="https://eitaa.com/m_ahmadiroshan" TargetMode="External"/><Relationship Id="rId8225" Type="http://schemas.openxmlformats.org/officeDocument/2006/relationships/hyperlink" Target="https://www.instagram.com/heyat_ale_taha/" TargetMode="External"/><Relationship Id="rId9559" Type="http://schemas.openxmlformats.org/officeDocument/2006/relationships/hyperlink" Target="https://www.instagram.com/rozatolhasn118" TargetMode="External"/><Relationship Id="rId8224" Type="http://schemas.openxmlformats.org/officeDocument/2006/relationships/hyperlink" Target="https://www.instagram.com/heiataliasghar/" TargetMode="External"/><Relationship Id="rId8223" Type="http://schemas.openxmlformats.org/officeDocument/2006/relationships/hyperlink" Target="https://www.instagram.com/heyat.javanane_aliakbar/" TargetMode="External"/><Relationship Id="rId9554" Type="http://schemas.openxmlformats.org/officeDocument/2006/relationships/hyperlink" Target="https://www.instagram.com/ansareamir_ir" TargetMode="External"/><Relationship Id="rId8229" Type="http://schemas.openxmlformats.org/officeDocument/2006/relationships/hyperlink" Target="https://www.instagram.com/mohebanhosein_esf/" TargetMode="External"/><Relationship Id="rId9555" Type="http://schemas.openxmlformats.org/officeDocument/2006/relationships/hyperlink" Target="https://eitaa.com/ansareamir" TargetMode="External"/><Relationship Id="rId8228" Type="http://schemas.openxmlformats.org/officeDocument/2006/relationships/hyperlink" Target="https://eitaa.com/kanoon_sagha" TargetMode="External"/><Relationship Id="rId9556" Type="http://schemas.openxmlformats.org/officeDocument/2006/relationships/hyperlink" Target="https://www.instagram.com/tarigh_shohada_yazd" TargetMode="External"/><Relationship Id="rId8227" Type="http://schemas.openxmlformats.org/officeDocument/2006/relationships/hyperlink" Target="https://eitaa.com/montazeran_zohour1393" TargetMode="External"/><Relationship Id="rId9557" Type="http://schemas.openxmlformats.org/officeDocument/2006/relationships/hyperlink" Target="https://eitaa.com/tarighoshohadayazd" TargetMode="External"/><Relationship Id="rId9540" Type="http://schemas.openxmlformats.org/officeDocument/2006/relationships/hyperlink" Target="http://instagram.com/heyatfatemiyun" TargetMode="External"/><Relationship Id="rId9541" Type="http://schemas.openxmlformats.org/officeDocument/2006/relationships/hyperlink" Target="https://t.me/heyatfatemiyun" TargetMode="External"/><Relationship Id="rId9542" Type="http://schemas.openxmlformats.org/officeDocument/2006/relationships/hyperlink" Target="https://eitaa.com/heyatfatemiyun" TargetMode="External"/><Relationship Id="rId8211" Type="http://schemas.openxmlformats.org/officeDocument/2006/relationships/hyperlink" Target="https://www.instagram.com/heyat.hosseini.aran" TargetMode="External"/><Relationship Id="rId8210" Type="http://schemas.openxmlformats.org/officeDocument/2006/relationships/hyperlink" Target="https://eitaa.com/heyat_saralah_ir" TargetMode="External"/><Relationship Id="rId8215" Type="http://schemas.openxmlformats.org/officeDocument/2006/relationships/hyperlink" Target="https://eitaa.com/yavaranvelayat_ir" TargetMode="External"/><Relationship Id="rId9547" Type="http://schemas.openxmlformats.org/officeDocument/2006/relationships/hyperlink" Target="https://eitaa.com/ahd313ir" TargetMode="External"/><Relationship Id="rId8214" Type="http://schemas.openxmlformats.org/officeDocument/2006/relationships/hyperlink" Target="https://eitaa.com/montazeran_majazi" TargetMode="External"/><Relationship Id="rId9548" Type="http://schemas.openxmlformats.org/officeDocument/2006/relationships/hyperlink" Target="https://eitaa.com/heyat_emam_zaman" TargetMode="External"/><Relationship Id="rId8213" Type="http://schemas.openxmlformats.org/officeDocument/2006/relationships/hyperlink" Target="https://t.me/Ghadiriyeh_dayani" TargetMode="External"/><Relationship Id="rId9549" Type="http://schemas.openxmlformats.org/officeDocument/2006/relationships/hyperlink" Target="https://www.instagram.com/mahdavee__1400/" TargetMode="External"/><Relationship Id="rId8212" Type="http://schemas.openxmlformats.org/officeDocument/2006/relationships/hyperlink" Target="https://eitaa.com/heyathosseiniaran" TargetMode="External"/><Relationship Id="rId8219" Type="http://schemas.openxmlformats.org/officeDocument/2006/relationships/hyperlink" Target="https://eitaa.com/kottabsaghalain" TargetMode="External"/><Relationship Id="rId9543" Type="http://schemas.openxmlformats.org/officeDocument/2006/relationships/hyperlink" Target="https://eitaa.com/ahla_ghasem201" TargetMode="External"/><Relationship Id="rId8218" Type="http://schemas.openxmlformats.org/officeDocument/2006/relationships/hyperlink" Target="https://www.instagram.com/javanan_heyati_shahrezaa/" TargetMode="External"/><Relationship Id="rId9544" Type="http://schemas.openxmlformats.org/officeDocument/2006/relationships/hyperlink" Target="https://www.instagram.com/_asheghanmahdi_academy" TargetMode="External"/><Relationship Id="rId8217" Type="http://schemas.openxmlformats.org/officeDocument/2006/relationships/hyperlink" Target="https://www.instagram.com/yakarballa133" TargetMode="External"/><Relationship Id="rId9545" Type="http://schemas.openxmlformats.org/officeDocument/2006/relationships/hyperlink" Target="https://eitaa.com/mf14masoum" TargetMode="External"/><Relationship Id="rId8216" Type="http://schemas.openxmlformats.org/officeDocument/2006/relationships/hyperlink" Target="https://www.instagram.com/khademoshohadaesf" TargetMode="External"/><Relationship Id="rId9546" Type="http://schemas.openxmlformats.org/officeDocument/2006/relationships/hyperlink" Target="https://www.instagram.com/ahd313ir/" TargetMode="External"/><Relationship Id="rId4723" Type="http://schemas.openxmlformats.org/officeDocument/2006/relationships/hyperlink" Target="https://t.me/khademolaemegonbad" TargetMode="External"/><Relationship Id="rId4722" Type="http://schemas.openxmlformats.org/officeDocument/2006/relationships/hyperlink" Target="https://www.instagram.com/khademolaemehgonbad" TargetMode="External"/><Relationship Id="rId4725" Type="http://schemas.openxmlformats.org/officeDocument/2006/relationships/hyperlink" Target="https://www.instagram.com/hoseinie_valiasr_gonbad" TargetMode="External"/><Relationship Id="rId4724" Type="http://schemas.openxmlformats.org/officeDocument/2006/relationships/hyperlink" Target="https://www.instagram.com/moheban.gonbad" TargetMode="External"/><Relationship Id="rId4727" Type="http://schemas.openxmlformats.org/officeDocument/2006/relationships/hyperlink" Target="https://eitaa.com/nehzat_eslami_minoodasht" TargetMode="External"/><Relationship Id="rId4726" Type="http://schemas.openxmlformats.org/officeDocument/2006/relationships/hyperlink" Target="https://www.instagram.com/razmandegan__gonbad" TargetMode="External"/><Relationship Id="rId4729" Type="http://schemas.openxmlformats.org/officeDocument/2006/relationships/hyperlink" Target="https://www.instagram.com/khademolhossain.ir" TargetMode="External"/><Relationship Id="rId4728" Type="http://schemas.openxmlformats.org/officeDocument/2006/relationships/hyperlink" Target="https://www.instagram.com/mahdiehminoodasht" TargetMode="External"/><Relationship Id="rId4721" Type="http://schemas.openxmlformats.org/officeDocument/2006/relationships/hyperlink" Target="https://www.instagram.com/del.bakhtegan81?" TargetMode="External"/><Relationship Id="rId4720" Type="http://schemas.openxmlformats.org/officeDocument/2006/relationships/hyperlink" Target="https://www.instagram.com/navayeabas" TargetMode="External"/><Relationship Id="rId4712" Type="http://schemas.openxmlformats.org/officeDocument/2006/relationships/hyperlink" Target="https://www.instagram.com/yavaranemonji" TargetMode="External"/><Relationship Id="rId4711" Type="http://schemas.openxmlformats.org/officeDocument/2006/relationships/hyperlink" Target="https://www.instagram.com/heyatemamhasanmojtaba" TargetMode="External"/><Relationship Id="rId4714" Type="http://schemas.openxmlformats.org/officeDocument/2006/relationships/hyperlink" Target="https://www.instagram.com/kanoonazadshahr" TargetMode="External"/><Relationship Id="rId4713" Type="http://schemas.openxmlformats.org/officeDocument/2006/relationships/hyperlink" Target="https://eitaa.com/heyatshohadayealeyasin" TargetMode="External"/><Relationship Id="rId4716" Type="http://schemas.openxmlformats.org/officeDocument/2006/relationships/hyperlink" Target="https://t.me/s/mohebbin_aliakbar" TargetMode="External"/><Relationship Id="rId4715" Type="http://schemas.openxmlformats.org/officeDocument/2006/relationships/hyperlink" Target="https://www.instagram.com/heyat_javanan_kordkuy" TargetMode="External"/><Relationship Id="rId4718" Type="http://schemas.openxmlformats.org/officeDocument/2006/relationships/hyperlink" Target="https://t.me/h_p_v" TargetMode="External"/><Relationship Id="rId4717" Type="http://schemas.openxmlformats.org/officeDocument/2006/relationships/hyperlink" Target="http://www.instagram.com/heyat.peyrovan.velaya" TargetMode="External"/><Relationship Id="rId4719" Type="http://schemas.openxmlformats.org/officeDocument/2006/relationships/hyperlink" Target="https://eitaa.com/h_p_v_gorgan" TargetMode="External"/><Relationship Id="rId4710" Type="http://schemas.openxmlformats.org/officeDocument/2006/relationships/hyperlink" Target="https://eitaa.com/bytbibi3" TargetMode="External"/><Relationship Id="rId3414" Type="http://schemas.openxmlformats.org/officeDocument/2006/relationships/hyperlink" Target="https://www.instagram.com/alam_dar_ir" TargetMode="External"/><Relationship Id="rId4745" Type="http://schemas.openxmlformats.org/officeDocument/2006/relationships/hyperlink" Target="https://www.instagram.com/khademoljavad.ir" TargetMode="External"/><Relationship Id="rId3413" Type="http://schemas.openxmlformats.org/officeDocument/2006/relationships/hyperlink" Target="http://eitaa.com/hoseinieh_razavi" TargetMode="External"/><Relationship Id="rId4744" Type="http://schemas.openxmlformats.org/officeDocument/2006/relationships/hyperlink" Target="https://www.instagram.com/khiabangorgan" TargetMode="External"/><Relationship Id="rId3416" Type="http://schemas.openxmlformats.org/officeDocument/2006/relationships/hyperlink" Target="https://www.instagram.com/yavaran.mahdi.ardebil/" TargetMode="External"/><Relationship Id="rId4747" Type="http://schemas.openxmlformats.org/officeDocument/2006/relationships/hyperlink" Target="https://instagram.com/rahrovan_velayat_ir" TargetMode="External"/><Relationship Id="rId3415" Type="http://schemas.openxmlformats.org/officeDocument/2006/relationships/hyperlink" Target="https://eitaa.com/alamdar_ardabil" TargetMode="External"/><Relationship Id="rId4746" Type="http://schemas.openxmlformats.org/officeDocument/2006/relationships/hyperlink" Target="https://www.instagram.com/razmandegan_kalale" TargetMode="External"/><Relationship Id="rId3418" Type="http://schemas.openxmlformats.org/officeDocument/2006/relationships/hyperlink" Target="http://tlgrm.in/gamarbanyhashm" TargetMode="External"/><Relationship Id="rId4749" Type="http://schemas.openxmlformats.org/officeDocument/2006/relationships/hyperlink" Target="https://eitaa.com/rahrovan_velayat_ir" TargetMode="External"/><Relationship Id="rId3417" Type="http://schemas.openxmlformats.org/officeDocument/2006/relationships/hyperlink" Target="https://www.instagram.com/gamarebanyhashem/" TargetMode="External"/><Relationship Id="rId4748" Type="http://schemas.openxmlformats.org/officeDocument/2006/relationships/hyperlink" Target="https://t.me/rahrovan_velayat_ir" TargetMode="External"/><Relationship Id="rId3419" Type="http://schemas.openxmlformats.org/officeDocument/2006/relationships/hyperlink" Target="https://www.instagram.com/rayatolmahdi_ardebil/" TargetMode="External"/><Relationship Id="rId3410" Type="http://schemas.openxmlformats.org/officeDocument/2006/relationships/hyperlink" Target="https://www.instagram.com/miqat_info/" TargetMode="External"/><Relationship Id="rId4741" Type="http://schemas.openxmlformats.org/officeDocument/2006/relationships/hyperlink" Target="https://www.instagram.com/heyatamiralmomeninazadshahr" TargetMode="External"/><Relationship Id="rId4740" Type="http://schemas.openxmlformats.org/officeDocument/2006/relationships/hyperlink" Target="https://www.instagram.com/h.hazrat_aliasghar" TargetMode="External"/><Relationship Id="rId3412" Type="http://schemas.openxmlformats.org/officeDocument/2006/relationships/hyperlink" Target="https://www.instagram.com/hoseinieh_razavi/" TargetMode="External"/><Relationship Id="rId4743" Type="http://schemas.openxmlformats.org/officeDocument/2006/relationships/hyperlink" Target="https://eitaa.com/heyat_ya_hossein" TargetMode="External"/><Relationship Id="rId3411" Type="http://schemas.openxmlformats.org/officeDocument/2006/relationships/hyperlink" Target="http://eitaa.com/razmandegan_ardabil" TargetMode="External"/><Relationship Id="rId4742" Type="http://schemas.openxmlformats.org/officeDocument/2006/relationships/hyperlink" Target="https://www.instagram.com/heyat_ya_hosein" TargetMode="External"/><Relationship Id="rId3403" Type="http://schemas.openxmlformats.org/officeDocument/2006/relationships/hyperlink" Target="https://eitaa.com/sarallahurmia" TargetMode="External"/><Relationship Id="rId4734" Type="http://schemas.openxmlformats.org/officeDocument/2006/relationships/hyperlink" Target="https://eitaa.com/fatemiun_com1" TargetMode="External"/><Relationship Id="rId3402" Type="http://schemas.openxmlformats.org/officeDocument/2006/relationships/hyperlink" Target="https://eitaa.com/mjem2u" TargetMode="External"/><Relationship Id="rId4733" Type="http://schemas.openxmlformats.org/officeDocument/2006/relationships/hyperlink" Target="https://www.instagram.com/fatemiun_com1" TargetMode="External"/><Relationship Id="rId3405" Type="http://schemas.openxmlformats.org/officeDocument/2006/relationships/hyperlink" Target="http://eitaa.com/maktab_ir" TargetMode="External"/><Relationship Id="rId4736" Type="http://schemas.openxmlformats.org/officeDocument/2006/relationships/hyperlink" Target="https://www.instagram.com/janamalamdar133" TargetMode="External"/><Relationship Id="rId3404" Type="http://schemas.openxmlformats.org/officeDocument/2006/relationships/hyperlink" Target="https://www.instagram.com/maktab_ir/" TargetMode="External"/><Relationship Id="rId4735" Type="http://schemas.openxmlformats.org/officeDocument/2006/relationships/hyperlink" Target="https://rubika.ir/fatemiun_com1" TargetMode="External"/><Relationship Id="rId3407" Type="http://schemas.openxmlformats.org/officeDocument/2006/relationships/hyperlink" Target="https://www.instagram.com/ravag.ir/" TargetMode="External"/><Relationship Id="rId4738" Type="http://schemas.openxmlformats.org/officeDocument/2006/relationships/hyperlink" Target="https://www.instagram.com/mooheban_ahle_byt" TargetMode="External"/><Relationship Id="rId3406" Type="http://schemas.openxmlformats.org/officeDocument/2006/relationships/hyperlink" Target="https://www.instagram.com/rayatolmahdi_ardebil/" TargetMode="External"/><Relationship Id="rId4737" Type="http://schemas.openxmlformats.org/officeDocument/2006/relationships/hyperlink" Target="https://www.instagram.com/heiat_hazrat_roghaye_" TargetMode="External"/><Relationship Id="rId3409" Type="http://schemas.openxmlformats.org/officeDocument/2006/relationships/hyperlink" Target="http://eitaa.com/ravag_ir/" TargetMode="External"/><Relationship Id="rId3408" Type="http://schemas.openxmlformats.org/officeDocument/2006/relationships/hyperlink" Target="http://t.me/Ravag_ir" TargetMode="External"/><Relationship Id="rId4739" Type="http://schemas.openxmlformats.org/officeDocument/2006/relationships/hyperlink" Target="https://www.instagram.com/abasaleh.minodasht" TargetMode="External"/><Relationship Id="rId4730" Type="http://schemas.openxmlformats.org/officeDocument/2006/relationships/hyperlink" Target="https://www.instagram.com/heyat118_gonbad" TargetMode="External"/><Relationship Id="rId3401" Type="http://schemas.openxmlformats.org/officeDocument/2006/relationships/hyperlink" Target="https://eitaa.com/martyrscomp" TargetMode="External"/><Relationship Id="rId4732" Type="http://schemas.openxmlformats.org/officeDocument/2006/relationships/hyperlink" Target="https://www.instagram.com/ghaem5418" TargetMode="External"/><Relationship Id="rId3400" Type="http://schemas.openxmlformats.org/officeDocument/2006/relationships/hyperlink" Target="https://www.instagram.com/gharargah.shohada" TargetMode="External"/><Relationship Id="rId4731" Type="http://schemas.openxmlformats.org/officeDocument/2006/relationships/hyperlink" Target="https://t.me/heyat118" TargetMode="External"/><Relationship Id="rId8291" Type="http://schemas.openxmlformats.org/officeDocument/2006/relationships/hyperlink" Target="https://eitaa.com/shiftegan_emam" TargetMode="External"/><Relationship Id="rId8290" Type="http://schemas.openxmlformats.org/officeDocument/2006/relationships/hyperlink" Target="https://www.instagram.com/heyate_emam_hasan_mojtaba.esf" TargetMode="External"/><Relationship Id="rId8284" Type="http://schemas.openxmlformats.org/officeDocument/2006/relationships/hyperlink" Target="https://www.instagram.com/ahbabborreza/" TargetMode="External"/><Relationship Id="rId8283" Type="http://schemas.openxmlformats.org/officeDocument/2006/relationships/hyperlink" Target="https://www.instagram.com/yavaranmahdi12" TargetMode="External"/><Relationship Id="rId8282" Type="http://schemas.openxmlformats.org/officeDocument/2006/relationships/hyperlink" Target="https://www.instagram.com/heyateimamhasan" TargetMode="External"/><Relationship Id="rId8281" Type="http://schemas.openxmlformats.org/officeDocument/2006/relationships/hyperlink" Target="https://eitaa.com/h_h_aliakbar_a" TargetMode="External"/><Relationship Id="rId8288" Type="http://schemas.openxmlformats.org/officeDocument/2006/relationships/hyperlink" Target="https://eitaa.com/chaharsogh_aran" TargetMode="External"/><Relationship Id="rId8287" Type="http://schemas.openxmlformats.org/officeDocument/2006/relationships/hyperlink" Target="https://www.instagram.com/aliasghariaran" TargetMode="External"/><Relationship Id="rId8286" Type="http://schemas.openxmlformats.org/officeDocument/2006/relationships/hyperlink" Target="https://www.instagram.com/asheghanevelayat94" TargetMode="External"/><Relationship Id="rId8285" Type="http://schemas.openxmlformats.org/officeDocument/2006/relationships/hyperlink" Target="https://t.me/ahbabborreza" TargetMode="External"/><Relationship Id="rId8289" Type="http://schemas.openxmlformats.org/officeDocument/2006/relationships/hyperlink" Target="https://eitaa.com/mahfelaliakbar" TargetMode="External"/><Relationship Id="rId8280" Type="http://schemas.openxmlformats.org/officeDocument/2006/relationships/hyperlink" Target="https://www.instagram.com/hiataliebneabitaleb" TargetMode="External"/><Relationship Id="rId8273" Type="http://schemas.openxmlformats.org/officeDocument/2006/relationships/hyperlink" Target="https://eitaa.com/E_Talkhoncheh" TargetMode="External"/><Relationship Id="rId8272" Type="http://schemas.openxmlformats.org/officeDocument/2006/relationships/hyperlink" Target="https://t.me/E_Talkhooncheh" TargetMode="External"/><Relationship Id="rId8271" Type="http://schemas.openxmlformats.org/officeDocument/2006/relationships/hyperlink" Target="https://www.instagram.com/e_talkhoncheh" TargetMode="External"/><Relationship Id="rId8270" Type="http://schemas.openxmlformats.org/officeDocument/2006/relationships/hyperlink" Target="https://eitaa.com/janatalzahra_s" TargetMode="External"/><Relationship Id="rId8277" Type="http://schemas.openxmlformats.org/officeDocument/2006/relationships/hyperlink" Target="https://www.instagram.com/heyaatroghaye" TargetMode="External"/><Relationship Id="rId8276" Type="http://schemas.openxmlformats.org/officeDocument/2006/relationships/hyperlink" Target="https://eitaa.com/sayyedmahdi8" TargetMode="External"/><Relationship Id="rId8275" Type="http://schemas.openxmlformats.org/officeDocument/2006/relationships/hyperlink" Target="https://www.instagram.com/ansar_almahdi_esfahan" TargetMode="External"/><Relationship Id="rId8274" Type="http://schemas.openxmlformats.org/officeDocument/2006/relationships/hyperlink" Target="https://www.instagram.com/ansaralmahdi313esf110" TargetMode="External"/><Relationship Id="rId8279" Type="http://schemas.openxmlformats.org/officeDocument/2006/relationships/hyperlink" Target="https://www.instagram.com/abaabdelah.darahbid" TargetMode="External"/><Relationship Id="rId8278" Type="http://schemas.openxmlformats.org/officeDocument/2006/relationships/hyperlink" Target="https://eitaa.com/HeyatRoghaye" TargetMode="External"/><Relationship Id="rId4701" Type="http://schemas.openxmlformats.org/officeDocument/2006/relationships/hyperlink" Target="https://www.instagram.com/asheghanemahdigorgan" TargetMode="External"/><Relationship Id="rId4700" Type="http://schemas.openxmlformats.org/officeDocument/2006/relationships/hyperlink" Target="https://www.instagram.com/rayatolabbas_resane?" TargetMode="External"/><Relationship Id="rId4703" Type="http://schemas.openxmlformats.org/officeDocument/2006/relationships/hyperlink" Target="https://eitaa.com/Heiat_asheghanemahdi_gorgan" TargetMode="External"/><Relationship Id="rId4702" Type="http://schemas.openxmlformats.org/officeDocument/2006/relationships/hyperlink" Target="https://t.me/s/HeiateAsheghanemahdi" TargetMode="External"/><Relationship Id="rId4705" Type="http://schemas.openxmlformats.org/officeDocument/2006/relationships/hyperlink" Target="https://www.instagram.com/kheymatol_abas" TargetMode="External"/><Relationship Id="rId4704" Type="http://schemas.openxmlformats.org/officeDocument/2006/relationships/hyperlink" Target="https://www.instagram.com/heydariun_gorgann" TargetMode="External"/><Relationship Id="rId4707" Type="http://schemas.openxmlformats.org/officeDocument/2006/relationships/hyperlink" Target="https://www.instagram.com/bacheh_haye_masjed" TargetMode="External"/><Relationship Id="rId4706" Type="http://schemas.openxmlformats.org/officeDocument/2006/relationships/hyperlink" Target="https://www.instagram.com/javananbani_bani_hashem" TargetMode="External"/><Relationship Id="rId4709" Type="http://schemas.openxmlformats.org/officeDocument/2006/relationships/hyperlink" Target="https://t.me/bytbibi" TargetMode="External"/><Relationship Id="rId4708" Type="http://schemas.openxmlformats.org/officeDocument/2006/relationships/hyperlink" Target="https://www.instagram.com/bytbibi_3_sale" TargetMode="External"/><Relationship Id="rId8295" Type="http://schemas.openxmlformats.org/officeDocument/2006/relationships/hyperlink" Target="https://eitaa.com/Mahd_quran_esfahan" TargetMode="External"/><Relationship Id="rId8294" Type="http://schemas.openxmlformats.org/officeDocument/2006/relationships/hyperlink" Target="https://www.instagram.com/ghasem_ebneel_hassan" TargetMode="External"/><Relationship Id="rId8293" Type="http://schemas.openxmlformats.org/officeDocument/2006/relationships/hyperlink" Target="https://www.instagram.com/saelin18" TargetMode="External"/><Relationship Id="rId8292" Type="http://schemas.openxmlformats.org/officeDocument/2006/relationships/hyperlink" Target="https://www.instagram.com/razmandeh_com" TargetMode="External"/><Relationship Id="rId8299" Type="http://schemas.openxmlformats.org/officeDocument/2006/relationships/hyperlink" Target="https://www.instagram.com/rezvanir110" TargetMode="External"/><Relationship Id="rId8298" Type="http://schemas.openxmlformats.org/officeDocument/2006/relationships/hyperlink" Target="https://www.instagram.com/hezeinolabedin" TargetMode="External"/><Relationship Id="rId8297" Type="http://schemas.openxmlformats.org/officeDocument/2006/relationships/hyperlink" Target="https://eitaa.com/fatemyoon" TargetMode="External"/><Relationship Id="rId8296" Type="http://schemas.openxmlformats.org/officeDocument/2006/relationships/hyperlink" Target="https://eitaa.com/jameezeinab" TargetMode="External"/><Relationship Id="rId2148" Type="http://schemas.openxmlformats.org/officeDocument/2006/relationships/hyperlink" Target="https://www.instagram.com/hoseinie_sadeghalmohammad/" TargetMode="External"/><Relationship Id="rId2149" Type="http://schemas.openxmlformats.org/officeDocument/2006/relationships/hyperlink" Target="https://www.instagram.com/heyatemamreza.astaneh/" TargetMode="External"/><Relationship Id="rId3479" Type="http://schemas.openxmlformats.org/officeDocument/2006/relationships/hyperlink" Target="https://www.instagram.com/heyate.sepahsalar.khalkhal/" TargetMode="External"/><Relationship Id="rId3470" Type="http://schemas.openxmlformats.org/officeDocument/2006/relationships/hyperlink" Target="https://eitaa.com/maktab_ir" TargetMode="External"/><Relationship Id="rId2140" Type="http://schemas.openxmlformats.org/officeDocument/2006/relationships/hyperlink" Target="https://www.instagram.com/heiyat_fatematozahra/" TargetMode="External"/><Relationship Id="rId3472" Type="http://schemas.openxmlformats.org/officeDocument/2006/relationships/hyperlink" Target="https://www.instagram.com/heyat_hobbol_hosseyn_ardabil" TargetMode="External"/><Relationship Id="rId2141" Type="http://schemas.openxmlformats.org/officeDocument/2006/relationships/hyperlink" Target="https://t.me/heyat_fatematolzahra" TargetMode="External"/><Relationship Id="rId3471" Type="http://schemas.openxmlformats.org/officeDocument/2006/relationships/hyperlink" Target="https://www.instagram.com/heyateabasii" TargetMode="External"/><Relationship Id="rId2142" Type="http://schemas.openxmlformats.org/officeDocument/2006/relationships/hyperlink" Target="https://www.instagram.com/heyat.razmandegan/" TargetMode="External"/><Relationship Id="rId3474" Type="http://schemas.openxmlformats.org/officeDocument/2006/relationships/hyperlink" Target="https://www.instagram.com/sarallah_ard/" TargetMode="External"/><Relationship Id="rId2143" Type="http://schemas.openxmlformats.org/officeDocument/2006/relationships/hyperlink" Target="https://eitaa.com/hayat_razmandegan_astaneh" TargetMode="External"/><Relationship Id="rId3473" Type="http://schemas.openxmlformats.org/officeDocument/2006/relationships/hyperlink" Target="https://www.instagram.com/heyat_emamhadi/" TargetMode="External"/><Relationship Id="rId2144" Type="http://schemas.openxmlformats.org/officeDocument/2006/relationships/hyperlink" Target="https://www.instagram.com/heyat_abalfazl_astaneh/" TargetMode="External"/><Relationship Id="rId3476" Type="http://schemas.openxmlformats.org/officeDocument/2006/relationships/hyperlink" Target="https://www.instagram.com/heyat_alzahraardabil/" TargetMode="External"/><Relationship Id="rId2145" Type="http://schemas.openxmlformats.org/officeDocument/2006/relationships/hyperlink" Target="https://t.me/heyat_abalfazl_astaneh" TargetMode="External"/><Relationship Id="rId3475" Type="http://schemas.openxmlformats.org/officeDocument/2006/relationships/hyperlink" Target="https://www.instagram.com/heyate_shohada_gomnam_ardabil/" TargetMode="External"/><Relationship Id="rId2146" Type="http://schemas.openxmlformats.org/officeDocument/2006/relationships/hyperlink" Target="https://www.instagram.com/mahfell_moheban_gilan" TargetMode="External"/><Relationship Id="rId3478" Type="http://schemas.openxmlformats.org/officeDocument/2006/relationships/hyperlink" Target="https://t.me/hoseiniyaneardebil?" TargetMode="External"/><Relationship Id="rId2147" Type="http://schemas.openxmlformats.org/officeDocument/2006/relationships/hyperlink" Target="https://www.instagram.com/maktabolabbas_astaneh" TargetMode="External"/><Relationship Id="rId3477" Type="http://schemas.openxmlformats.org/officeDocument/2006/relationships/hyperlink" Target="https://www.instagram.com/hoseiniyane.ardebil/" TargetMode="External"/><Relationship Id="rId2137" Type="http://schemas.openxmlformats.org/officeDocument/2006/relationships/hyperlink" Target="https://eitaa.com/ehmojtaba" TargetMode="External"/><Relationship Id="rId3469" Type="http://schemas.openxmlformats.org/officeDocument/2006/relationships/hyperlink" Target="https://www.instagram.com/maktab_ir" TargetMode="External"/><Relationship Id="rId2138" Type="http://schemas.openxmlformats.org/officeDocument/2006/relationships/hyperlink" Target="https://www.instagram.com/parchamdaran_astanehashrafiyeh/" TargetMode="External"/><Relationship Id="rId3468" Type="http://schemas.openxmlformats.org/officeDocument/2006/relationships/hyperlink" Target="https://eitaa.com/heyatnoorardabil" TargetMode="External"/><Relationship Id="rId4799" Type="http://schemas.openxmlformats.org/officeDocument/2006/relationships/hyperlink" Target="https://www.instagram.com/heiat_oshaqozahra_ramian" TargetMode="External"/><Relationship Id="rId2139" Type="http://schemas.openxmlformats.org/officeDocument/2006/relationships/hyperlink" Target="https://www.instagram.com/hoseyniye_majazi/" TargetMode="External"/><Relationship Id="rId4790" Type="http://schemas.openxmlformats.org/officeDocument/2006/relationships/hyperlink" Target="https://www.instagram.com/ansariha_gorgan/" TargetMode="External"/><Relationship Id="rId3461" Type="http://schemas.openxmlformats.org/officeDocument/2006/relationships/hyperlink" Target="https://www.instagram.com/heyat.hazrat.masomeh/" TargetMode="External"/><Relationship Id="rId4792" Type="http://schemas.openxmlformats.org/officeDocument/2006/relationships/hyperlink" Target="https://www.instagram.com/beytol_ahzan135" TargetMode="External"/><Relationship Id="rId2130" Type="http://schemas.openxmlformats.org/officeDocument/2006/relationships/hyperlink" Target="https://www.instagram.com/asheghan_zeynab_astaraa/" TargetMode="External"/><Relationship Id="rId3460" Type="http://schemas.openxmlformats.org/officeDocument/2006/relationships/hyperlink" Target="https://www.instagram.com/heyat_mohebbinalmahdi83" TargetMode="External"/><Relationship Id="rId4791" Type="http://schemas.openxmlformats.org/officeDocument/2006/relationships/hyperlink" Target="http://eitaa.com/ansariha_gorgan" TargetMode="External"/><Relationship Id="rId2131" Type="http://schemas.openxmlformats.org/officeDocument/2006/relationships/hyperlink" Target="https://www.instagram.com/reyhanatolhoseyn_astara/" TargetMode="External"/><Relationship Id="rId3463" Type="http://schemas.openxmlformats.org/officeDocument/2006/relationships/hyperlink" Target="https://www.instagram.com/heyat_aliakbar_ardebil/" TargetMode="External"/><Relationship Id="rId4794" Type="http://schemas.openxmlformats.org/officeDocument/2006/relationships/hyperlink" Target="https://www.instagram.com/heyat_qamarbani.hashem" TargetMode="External"/><Relationship Id="rId2132" Type="http://schemas.openxmlformats.org/officeDocument/2006/relationships/hyperlink" Target="https://www.instagram.com/heyat_sar_allah_/" TargetMode="External"/><Relationship Id="rId3462" Type="http://schemas.openxmlformats.org/officeDocument/2006/relationships/hyperlink" Target="https://www.instagram.com/montazeran_zohour_ardabil/" TargetMode="External"/><Relationship Id="rId4793" Type="http://schemas.openxmlformats.org/officeDocument/2006/relationships/hyperlink" Target="https://www.instagram.com/m_hajikalateh" TargetMode="External"/><Relationship Id="rId2133" Type="http://schemas.openxmlformats.org/officeDocument/2006/relationships/hyperlink" Target="https://www.instagram.com/navayezeynabastara/" TargetMode="External"/><Relationship Id="rId3465" Type="http://schemas.openxmlformats.org/officeDocument/2006/relationships/hyperlink" Target="https://www.instagram.com/alam_dar_ir/" TargetMode="External"/><Relationship Id="rId4796" Type="http://schemas.openxmlformats.org/officeDocument/2006/relationships/hyperlink" Target="https://www.instagram.com/heiat.javanan.aliebnemosareza" TargetMode="External"/><Relationship Id="rId2134" Type="http://schemas.openxmlformats.org/officeDocument/2006/relationships/hyperlink" Target="https://www.instagram.com/heyate_emamhasan_mojtaba/" TargetMode="External"/><Relationship Id="rId3464" Type="http://schemas.openxmlformats.org/officeDocument/2006/relationships/hyperlink" Target="https://www.instagram.com/ali_ebne_abitaleb1372/" TargetMode="External"/><Relationship Id="rId4795" Type="http://schemas.openxmlformats.org/officeDocument/2006/relationships/hyperlink" Target="https://www.instagram.com/heyat_amar_yaser" TargetMode="External"/><Relationship Id="rId2135" Type="http://schemas.openxmlformats.org/officeDocument/2006/relationships/hyperlink" Target="https://www.instagram.com/ehmojtaba" TargetMode="External"/><Relationship Id="rId3467" Type="http://schemas.openxmlformats.org/officeDocument/2006/relationships/hyperlink" Target="https://t.me/Heyatalnoor" TargetMode="External"/><Relationship Id="rId4798" Type="http://schemas.openxmlformats.org/officeDocument/2006/relationships/hyperlink" Target="https://www.instagram.com/golafrayema" TargetMode="External"/><Relationship Id="rId2136" Type="http://schemas.openxmlformats.org/officeDocument/2006/relationships/hyperlink" Target="https://t.me/ehmojtaba" TargetMode="External"/><Relationship Id="rId3466" Type="http://schemas.openxmlformats.org/officeDocument/2006/relationships/hyperlink" Target="https://www.instagram.com/heyat_alnoor_ardebil" TargetMode="External"/><Relationship Id="rId4797" Type="http://schemas.openxmlformats.org/officeDocument/2006/relationships/hyperlink" Target="https://www.instagram.com/hosseinieh_azam_salikandeh" TargetMode="External"/><Relationship Id="rId3490" Type="http://schemas.openxmlformats.org/officeDocument/2006/relationships/hyperlink" Target="https://t.me/gomnam1391" TargetMode="External"/><Relationship Id="rId2160" Type="http://schemas.openxmlformats.org/officeDocument/2006/relationships/hyperlink" Target="https://t.me/heyaatfatemiyoun" TargetMode="External"/><Relationship Id="rId3492" Type="http://schemas.openxmlformats.org/officeDocument/2006/relationships/hyperlink" Target="https://www.instagram.com/javanan_aliackbar_90" TargetMode="External"/><Relationship Id="rId2161" Type="http://schemas.openxmlformats.org/officeDocument/2006/relationships/hyperlink" Target="https://www.instagram.com/heyat_aliakbar_rankoh/" TargetMode="External"/><Relationship Id="rId3491" Type="http://schemas.openxmlformats.org/officeDocument/2006/relationships/hyperlink" Target="https://www.instagram.com/masjed_sadat.ard/" TargetMode="External"/><Relationship Id="rId2162" Type="http://schemas.openxmlformats.org/officeDocument/2006/relationships/hyperlink" Target="https://t.me/heyat_aliakbar_rankoh" TargetMode="External"/><Relationship Id="rId3494" Type="http://schemas.openxmlformats.org/officeDocument/2006/relationships/hyperlink" Target="https://www.instagram.com/janesarane_almahdi12/" TargetMode="External"/><Relationship Id="rId2163" Type="http://schemas.openxmlformats.org/officeDocument/2006/relationships/hyperlink" Target="https://www.instagram.com/ya_lesarat_ol_hosein/" TargetMode="External"/><Relationship Id="rId3493" Type="http://schemas.openxmlformats.org/officeDocument/2006/relationships/hyperlink" Target="https://t.me/javanan_aliackbar_90" TargetMode="External"/><Relationship Id="rId2164" Type="http://schemas.openxmlformats.org/officeDocument/2006/relationships/hyperlink" Target="https://t.me/lesaratol_hosein" TargetMode="External"/><Relationship Id="rId3496" Type="http://schemas.openxmlformats.org/officeDocument/2006/relationships/hyperlink" Target="https://www.instagram.com/ravag.ir" TargetMode="External"/><Relationship Id="rId2165" Type="http://schemas.openxmlformats.org/officeDocument/2006/relationships/hyperlink" Target="https://www.instagram.com/ghaamarebanihashem1384/" TargetMode="External"/><Relationship Id="rId3495" Type="http://schemas.openxmlformats.org/officeDocument/2006/relationships/hyperlink" Target="https://t.me/janesarane_almahdi12" TargetMode="External"/><Relationship Id="rId2166" Type="http://schemas.openxmlformats.org/officeDocument/2006/relationships/hyperlink" Target="https://t.me/javanan_ghamar_bani_hashem1384" TargetMode="External"/><Relationship Id="rId3498" Type="http://schemas.openxmlformats.org/officeDocument/2006/relationships/hyperlink" Target="https://eitaa.com/@ravag_ir" TargetMode="External"/><Relationship Id="rId2167" Type="http://schemas.openxmlformats.org/officeDocument/2006/relationships/hyperlink" Target="https://www.instagram.com/heyatasalem/" TargetMode="External"/><Relationship Id="rId3497" Type="http://schemas.openxmlformats.org/officeDocument/2006/relationships/hyperlink" Target="https://t.me/Ravag_ir" TargetMode="External"/><Relationship Id="rId2168" Type="http://schemas.openxmlformats.org/officeDocument/2006/relationships/hyperlink" Target="https://www.instagram.com/heiat.panjtan.aleaba/" TargetMode="External"/><Relationship Id="rId2169" Type="http://schemas.openxmlformats.org/officeDocument/2006/relationships/hyperlink" Target="https://www.instagram.com/rouzatolhossein.choukam/" TargetMode="External"/><Relationship Id="rId3499" Type="http://schemas.openxmlformats.org/officeDocument/2006/relationships/hyperlink" Target="https://www.instagram.com/ya_aliasghar_" TargetMode="External"/><Relationship Id="rId2159" Type="http://schemas.openxmlformats.org/officeDocument/2006/relationships/hyperlink" Target="https://www.instagram.com/heyat_fatemiyon_1431/" TargetMode="External"/><Relationship Id="rId3481" Type="http://schemas.openxmlformats.org/officeDocument/2006/relationships/hyperlink" Target="https://www.instagram.com/hyat_chahardah_masom" TargetMode="External"/><Relationship Id="rId2150" Type="http://schemas.openxmlformats.org/officeDocument/2006/relationships/hyperlink" Target="https://www.instagram.com/mahdavion_astaneh/" TargetMode="External"/><Relationship Id="rId3480" Type="http://schemas.openxmlformats.org/officeDocument/2006/relationships/hyperlink" Target="https://t.me/khalkhalheya" TargetMode="External"/><Relationship Id="rId2151" Type="http://schemas.openxmlformats.org/officeDocument/2006/relationships/hyperlink" Target="https://t.me/mahdavion_astaneh" TargetMode="External"/><Relationship Id="rId3483" Type="http://schemas.openxmlformats.org/officeDocument/2006/relationships/hyperlink" Target="https://www.instagram.com/heyat.seyedoshohadaa" TargetMode="External"/><Relationship Id="rId2152" Type="http://schemas.openxmlformats.org/officeDocument/2006/relationships/hyperlink" Target="https://www.instagram.com/kheymatol_abas/" TargetMode="External"/><Relationship Id="rId3482" Type="http://schemas.openxmlformats.org/officeDocument/2006/relationships/hyperlink" Target="https://t.me/h14masoumekhalkhal" TargetMode="External"/><Relationship Id="rId2153" Type="http://schemas.openxmlformats.org/officeDocument/2006/relationships/hyperlink" Target="https://www.instagram.com/heyate_heydar_karrar/" TargetMode="External"/><Relationship Id="rId3485" Type="http://schemas.openxmlformats.org/officeDocument/2006/relationships/hyperlink" Target="https://www.instagram.com/masjede_emamhussain_chaypara/" TargetMode="External"/><Relationship Id="rId2154" Type="http://schemas.openxmlformats.org/officeDocument/2006/relationships/hyperlink" Target="https://t.me/heydarkarrar_astaneh" TargetMode="External"/><Relationship Id="rId3484" Type="http://schemas.openxmlformats.org/officeDocument/2006/relationships/hyperlink" Target="https://www.instagram.com/adineh_meshkin" TargetMode="External"/><Relationship Id="rId2155" Type="http://schemas.openxmlformats.org/officeDocument/2006/relationships/hyperlink" Target="https://www.instagram.com/heyat_baghiyatallah_amlash/" TargetMode="External"/><Relationship Id="rId3487" Type="http://schemas.openxmlformats.org/officeDocument/2006/relationships/hyperlink" Target="https://www.instagram.com/gomnam.1391/" TargetMode="External"/><Relationship Id="rId2156" Type="http://schemas.openxmlformats.org/officeDocument/2006/relationships/hyperlink" Target="https://t.me/ya_baghiyatallah_313_amlash" TargetMode="External"/><Relationship Id="rId3486" Type="http://schemas.openxmlformats.org/officeDocument/2006/relationships/hyperlink" Target="https://www.instagram.com/masjed_ghasemiah" TargetMode="External"/><Relationship Id="rId2157" Type="http://schemas.openxmlformats.org/officeDocument/2006/relationships/hyperlink" Target="https://www.instagram.com/heiyat_ghasem_ben_hassan1390/" TargetMode="External"/><Relationship Id="rId3489" Type="http://schemas.openxmlformats.org/officeDocument/2006/relationships/hyperlink" Target="https://www.instagram.com/h.r.eslam_neyriz/" TargetMode="External"/><Relationship Id="rId2158" Type="http://schemas.openxmlformats.org/officeDocument/2006/relationships/hyperlink" Target="https://www.instagram.com/sadatamlash" TargetMode="External"/><Relationship Id="rId3488" Type="http://schemas.openxmlformats.org/officeDocument/2006/relationships/hyperlink" Target="https://t.me/gomnam1391" TargetMode="External"/><Relationship Id="rId2104" Type="http://schemas.openxmlformats.org/officeDocument/2006/relationships/hyperlink" Target="https://eitaa.com/hoseiniye_dastjerdiha" TargetMode="External"/><Relationship Id="rId3436" Type="http://schemas.openxmlformats.org/officeDocument/2006/relationships/hyperlink" Target="https://www.instagram.com/javananeashoraee/" TargetMode="External"/><Relationship Id="rId4767" Type="http://schemas.openxmlformats.org/officeDocument/2006/relationships/hyperlink" Target="https://www.instagram.com/ahraralmahdi.313" TargetMode="External"/><Relationship Id="rId2105" Type="http://schemas.openxmlformats.org/officeDocument/2006/relationships/hyperlink" Target="https://eitaa.com/mohebF" TargetMode="External"/><Relationship Id="rId3435" Type="http://schemas.openxmlformats.org/officeDocument/2006/relationships/hyperlink" Target="https://www.instagram.com/heyat_mohebbinalmahdi83/" TargetMode="External"/><Relationship Id="rId4766" Type="http://schemas.openxmlformats.org/officeDocument/2006/relationships/hyperlink" Target="https://www.instagram.com/mohebbin_gorgan" TargetMode="External"/><Relationship Id="rId2106" Type="http://schemas.openxmlformats.org/officeDocument/2006/relationships/hyperlink" Target="https://eitaa.com/contact_sarallah" TargetMode="External"/><Relationship Id="rId3438" Type="http://schemas.openxmlformats.org/officeDocument/2006/relationships/hyperlink" Target="https://www.instagram.com/heat_maktab_zahra_ardbil_/" TargetMode="External"/><Relationship Id="rId4769" Type="http://schemas.openxmlformats.org/officeDocument/2006/relationships/hyperlink" Target="https://www.instagram.com/delbakhtegan.ir" TargetMode="External"/><Relationship Id="rId2107" Type="http://schemas.openxmlformats.org/officeDocument/2006/relationships/hyperlink" Target="https://www.instagram.com/hshohadaq" TargetMode="External"/><Relationship Id="rId3437" Type="http://schemas.openxmlformats.org/officeDocument/2006/relationships/hyperlink" Target="http://eitaa.com/javananeashoraee" TargetMode="External"/><Relationship Id="rId4768" Type="http://schemas.openxmlformats.org/officeDocument/2006/relationships/hyperlink" Target="https://www.instagram.com/mohsenebnealia" TargetMode="External"/><Relationship Id="rId2108" Type="http://schemas.openxmlformats.org/officeDocument/2006/relationships/hyperlink" Target="https://t.me/hshohadaq" TargetMode="External"/><Relationship Id="rId2109" Type="http://schemas.openxmlformats.org/officeDocument/2006/relationships/hyperlink" Target="https://eitaa.com/HshohadaQ" TargetMode="External"/><Relationship Id="rId3439" Type="http://schemas.openxmlformats.org/officeDocument/2006/relationships/hyperlink" Target="http://t.me/heat_maktab_zahra" TargetMode="External"/><Relationship Id="rId3430" Type="http://schemas.openxmlformats.org/officeDocument/2006/relationships/hyperlink" Target="https://eitaa.com/heyate_asheganeh_velayat" TargetMode="External"/><Relationship Id="rId4761" Type="http://schemas.openxmlformats.org/officeDocument/2006/relationships/hyperlink" Target="https://t.me/Roztolroghaye" TargetMode="External"/><Relationship Id="rId4760" Type="http://schemas.openxmlformats.org/officeDocument/2006/relationships/hyperlink" Target="https://www.instagram.com/rozatolroghaie" TargetMode="External"/><Relationship Id="rId2100" Type="http://schemas.openxmlformats.org/officeDocument/2006/relationships/hyperlink" Target="https://eitaa.com/ansarvelayat313_info" TargetMode="External"/><Relationship Id="rId3432" Type="http://schemas.openxmlformats.org/officeDocument/2006/relationships/hyperlink" Target="http://tlgrm.in/gamarbanyhashm" TargetMode="External"/><Relationship Id="rId4763" Type="http://schemas.openxmlformats.org/officeDocument/2006/relationships/hyperlink" Target="https://www.instagram.com/peyrovanetrat" TargetMode="External"/><Relationship Id="rId2101" Type="http://schemas.openxmlformats.org/officeDocument/2006/relationships/hyperlink" Target="https://eitaa.com/darbedaran" TargetMode="External"/><Relationship Id="rId3431" Type="http://schemas.openxmlformats.org/officeDocument/2006/relationships/hyperlink" Target="https://www.instagram.com/gamarebanyhashem/" TargetMode="External"/><Relationship Id="rId4762" Type="http://schemas.openxmlformats.org/officeDocument/2006/relationships/hyperlink" Target="https://www.instagram.com/zeynabiyeh_kalaleh" TargetMode="External"/><Relationship Id="rId2102" Type="http://schemas.openxmlformats.org/officeDocument/2006/relationships/hyperlink" Target="https://eitaa.com/mseyed_ir" TargetMode="External"/><Relationship Id="rId3434" Type="http://schemas.openxmlformats.org/officeDocument/2006/relationships/hyperlink" Target="https://www.instagram.com/heyat_alnoor_ardebil/" TargetMode="External"/><Relationship Id="rId4765" Type="http://schemas.openxmlformats.org/officeDocument/2006/relationships/hyperlink" Target="https://www.instagram.com/chahardah.masom_ozinee" TargetMode="External"/><Relationship Id="rId2103" Type="http://schemas.openxmlformats.org/officeDocument/2006/relationships/hyperlink" Target="https://eitaa.com/ya_zahra_213_khademin" TargetMode="External"/><Relationship Id="rId3433" Type="http://schemas.openxmlformats.org/officeDocument/2006/relationships/hyperlink" Target="https://www.instagram.com/heyat_alzahraardabil/" TargetMode="External"/><Relationship Id="rId4764" Type="http://schemas.openxmlformats.org/officeDocument/2006/relationships/hyperlink" Target="https://www.instagram.com/mahdaviun_gorgan" TargetMode="External"/><Relationship Id="rId3425" Type="http://schemas.openxmlformats.org/officeDocument/2006/relationships/hyperlink" Target="https://www.instagram.com/ziarat_ashoora_ardabil/" TargetMode="External"/><Relationship Id="rId4756" Type="http://schemas.openxmlformats.org/officeDocument/2006/relationships/hyperlink" Target="https://www.instagram.com/heyat.misaghalhossein.gorgan" TargetMode="External"/><Relationship Id="rId3424" Type="http://schemas.openxmlformats.org/officeDocument/2006/relationships/hyperlink" Target="https://www.instagram.com/heyat_omoolbanin/" TargetMode="External"/><Relationship Id="rId4755" Type="http://schemas.openxmlformats.org/officeDocument/2006/relationships/hyperlink" Target="https://www.instagram.com/mohebanali_110" TargetMode="External"/><Relationship Id="rId3427" Type="http://schemas.openxmlformats.org/officeDocument/2006/relationships/hyperlink" Target="https://www.instagram.com/heyate_omeabiha_ardabil/" TargetMode="External"/><Relationship Id="rId4758" Type="http://schemas.openxmlformats.org/officeDocument/2006/relationships/hyperlink" Target="https://www.instagram.com/rozat_133ir" TargetMode="External"/><Relationship Id="rId3426" Type="http://schemas.openxmlformats.org/officeDocument/2006/relationships/hyperlink" Target="https://ble.ir/ziarat_ashoora_ardabil" TargetMode="External"/><Relationship Id="rId4757" Type="http://schemas.openxmlformats.org/officeDocument/2006/relationships/hyperlink" Target="https://eitaa.com/alzahra135" TargetMode="External"/><Relationship Id="rId3429" Type="http://schemas.openxmlformats.org/officeDocument/2006/relationships/hyperlink" Target="https://www.instagram.com/heyate_asheganeh_velayat/" TargetMode="External"/><Relationship Id="rId3428" Type="http://schemas.openxmlformats.org/officeDocument/2006/relationships/hyperlink" Target="http://t.me/omeabiha01" TargetMode="External"/><Relationship Id="rId4759" Type="http://schemas.openxmlformats.org/officeDocument/2006/relationships/hyperlink" Target="https://t.me/rozat_133ir" TargetMode="External"/><Relationship Id="rId4750" Type="http://schemas.openxmlformats.org/officeDocument/2006/relationships/hyperlink" Target="https://www.instagram.com/heyatiha14" TargetMode="External"/><Relationship Id="rId3421" Type="http://schemas.openxmlformats.org/officeDocument/2006/relationships/hyperlink" Target="http://t.me/seyedalshohada1321" TargetMode="External"/><Relationship Id="rId4752" Type="http://schemas.openxmlformats.org/officeDocument/2006/relationships/hyperlink" Target="https://www.instagram.com/masjed_sahebalzaman_aliabad" TargetMode="External"/><Relationship Id="rId3420" Type="http://schemas.openxmlformats.org/officeDocument/2006/relationships/hyperlink" Target="https://www.instagram.com/seyedalshohada1321/" TargetMode="External"/><Relationship Id="rId4751" Type="http://schemas.openxmlformats.org/officeDocument/2006/relationships/hyperlink" Target="https://www.instagram.com/ht_hazrateabolfazl" TargetMode="External"/><Relationship Id="rId3423" Type="http://schemas.openxmlformats.org/officeDocument/2006/relationships/hyperlink" Target="https://www.instagram.com/heyat_hazrat_zaynab_barog/" TargetMode="External"/><Relationship Id="rId4754" Type="http://schemas.openxmlformats.org/officeDocument/2006/relationships/hyperlink" Target="https://www.instagram.com/razmandegan.eslam.gor" TargetMode="External"/><Relationship Id="rId3422" Type="http://schemas.openxmlformats.org/officeDocument/2006/relationships/hyperlink" Target="http://t.me/zenabyoonardebil" TargetMode="External"/><Relationship Id="rId4753" Type="http://schemas.openxmlformats.org/officeDocument/2006/relationships/hyperlink" Target="https://www.instagram.com/masjed.emamreza.gorgan" TargetMode="External"/><Relationship Id="rId2126" Type="http://schemas.openxmlformats.org/officeDocument/2006/relationships/hyperlink" Target="https://eitaa.com/Heyat_Fatemiyun" TargetMode="External"/><Relationship Id="rId3458" Type="http://schemas.openxmlformats.org/officeDocument/2006/relationships/hyperlink" Target="https://www.instagram.com/seyedalshohada1321/" TargetMode="External"/><Relationship Id="rId4789" Type="http://schemas.openxmlformats.org/officeDocument/2006/relationships/hyperlink" Target="https://www.instagram.com/ali_asghariha/" TargetMode="External"/><Relationship Id="rId2127" Type="http://schemas.openxmlformats.org/officeDocument/2006/relationships/hyperlink" Target="https://eitaa.com/massoumiyeh" TargetMode="External"/><Relationship Id="rId3457" Type="http://schemas.openxmlformats.org/officeDocument/2006/relationships/hyperlink" Target="https://eitaa.com/javananeashoraee" TargetMode="External"/><Relationship Id="rId4788" Type="http://schemas.openxmlformats.org/officeDocument/2006/relationships/hyperlink" Target="http://rubika.ir/montazerinmahdi" TargetMode="External"/><Relationship Id="rId2128" Type="http://schemas.openxmlformats.org/officeDocument/2006/relationships/hyperlink" Target="https://eitaa.com/heyatealzahra_ir" TargetMode="External"/><Relationship Id="rId2129" Type="http://schemas.openxmlformats.org/officeDocument/2006/relationships/hyperlink" Target="https://www.instagram.com/heyatyazahra/" TargetMode="External"/><Relationship Id="rId3459" Type="http://schemas.openxmlformats.org/officeDocument/2006/relationships/hyperlink" Target="https://t.me/seyedalshohada1321" TargetMode="External"/><Relationship Id="rId3450" Type="http://schemas.openxmlformats.org/officeDocument/2006/relationships/hyperlink" Target="https://www.instagram.com/doaye.komeil.ard/" TargetMode="External"/><Relationship Id="rId4781" Type="http://schemas.openxmlformats.org/officeDocument/2006/relationships/hyperlink" Target="https://www.instagram.com/aliabadshajar" TargetMode="External"/><Relationship Id="rId4780" Type="http://schemas.openxmlformats.org/officeDocument/2006/relationships/hyperlink" Target="https://www.instagram.com/hoseynieh.etrat" TargetMode="External"/><Relationship Id="rId2120" Type="http://schemas.openxmlformats.org/officeDocument/2006/relationships/hyperlink" Target="https://eitaa.com/a_ghaaem" TargetMode="External"/><Relationship Id="rId3452" Type="http://schemas.openxmlformats.org/officeDocument/2006/relationships/hyperlink" Target="https://t.me/s/beit_al_ahzan?before" TargetMode="External"/><Relationship Id="rId4783" Type="http://schemas.openxmlformats.org/officeDocument/2006/relationships/hyperlink" Target="https://www.instagram.com/313montazeran_com" TargetMode="External"/><Relationship Id="rId2121" Type="http://schemas.openxmlformats.org/officeDocument/2006/relationships/hyperlink" Target="https://eitaa.com/NaraghMokeb" TargetMode="External"/><Relationship Id="rId3451" Type="http://schemas.openxmlformats.org/officeDocument/2006/relationships/hyperlink" Target="https://www.instagram.com/heyat_moslem_ebn_aqil/" TargetMode="External"/><Relationship Id="rId4782" Type="http://schemas.openxmlformats.org/officeDocument/2006/relationships/hyperlink" Target="https://www.instagram.com/ansar_al.hossein" TargetMode="External"/><Relationship Id="rId2122" Type="http://schemas.openxmlformats.org/officeDocument/2006/relationships/hyperlink" Target="https://eitaa.com/AbolfazlAbbas_Kormanjha" TargetMode="External"/><Relationship Id="rId3454" Type="http://schemas.openxmlformats.org/officeDocument/2006/relationships/hyperlink" Target="https://www.instagram.com/miqat_info/" TargetMode="External"/><Relationship Id="rId4785" Type="http://schemas.openxmlformats.org/officeDocument/2006/relationships/hyperlink" Target="https://t.me/Eheyat_Azadshahr" TargetMode="External"/><Relationship Id="rId2123" Type="http://schemas.openxmlformats.org/officeDocument/2006/relationships/hyperlink" Target="https://eitaa.com/sajjadiye_Eslamshahr" TargetMode="External"/><Relationship Id="rId3453" Type="http://schemas.openxmlformats.org/officeDocument/2006/relationships/hyperlink" Target="https://www.instagram.com/bmh_ir" TargetMode="External"/><Relationship Id="rId4784" Type="http://schemas.openxmlformats.org/officeDocument/2006/relationships/hyperlink" Target="https://t.me/montazeran_mahdi_aj_gonbad" TargetMode="External"/><Relationship Id="rId2124" Type="http://schemas.openxmlformats.org/officeDocument/2006/relationships/hyperlink" Target="https://eitaa.com/modafeanharam" TargetMode="External"/><Relationship Id="rId3456" Type="http://schemas.openxmlformats.org/officeDocument/2006/relationships/hyperlink" Target="https://www.instagram.com/javananeashoraee/" TargetMode="External"/><Relationship Id="rId4787" Type="http://schemas.openxmlformats.org/officeDocument/2006/relationships/hyperlink" Target="https://www.instagram.com/montazerinmahdigorgan" TargetMode="External"/><Relationship Id="rId2125" Type="http://schemas.openxmlformats.org/officeDocument/2006/relationships/hyperlink" Target="https://eitaa.com/heiat_behesht_bafgh" TargetMode="External"/><Relationship Id="rId3455" Type="http://schemas.openxmlformats.org/officeDocument/2006/relationships/hyperlink" Target="https://eitaa.com/razmandegan_ardabil" TargetMode="External"/><Relationship Id="rId4786" Type="http://schemas.openxmlformats.org/officeDocument/2006/relationships/hyperlink" Target="https://eitaa.com/razmandegan_azadshahr" TargetMode="External"/><Relationship Id="rId2115" Type="http://schemas.openxmlformats.org/officeDocument/2006/relationships/hyperlink" Target="https://eitaa.com/rozatolhosein1381" TargetMode="External"/><Relationship Id="rId3447" Type="http://schemas.openxmlformats.org/officeDocument/2006/relationships/hyperlink" Target="https://www.instagram.com/heyata.babalhavaaj.abolfazl/" TargetMode="External"/><Relationship Id="rId4778" Type="http://schemas.openxmlformats.org/officeDocument/2006/relationships/hyperlink" Target="https://t.me/gharibemadine_info" TargetMode="External"/><Relationship Id="rId2116" Type="http://schemas.openxmlformats.org/officeDocument/2006/relationships/hyperlink" Target="https://eitaa.com/ostovar313" TargetMode="External"/><Relationship Id="rId3446" Type="http://schemas.openxmlformats.org/officeDocument/2006/relationships/hyperlink" Target="https://www.instagram.com/ansarolmahdiardabil" TargetMode="External"/><Relationship Id="rId4777" Type="http://schemas.openxmlformats.org/officeDocument/2006/relationships/hyperlink" Target="https://www.instagram.com/gharibemadine_info" TargetMode="External"/><Relationship Id="rId2117" Type="http://schemas.openxmlformats.org/officeDocument/2006/relationships/hyperlink" Target="https://eitaa.com/mokabkhademin" TargetMode="External"/><Relationship Id="rId3449" Type="http://schemas.openxmlformats.org/officeDocument/2006/relationships/hyperlink" Target="https://www.instagram.com/heat_maktab_zahra_ardbil_/" TargetMode="External"/><Relationship Id="rId2118" Type="http://schemas.openxmlformats.org/officeDocument/2006/relationships/hyperlink" Target="https://eitaa.com/heyatjame_dokhtranhajgasem" TargetMode="External"/><Relationship Id="rId3448" Type="http://schemas.openxmlformats.org/officeDocument/2006/relationships/hyperlink" Target="https://www.instagram.com/ziyarat_ashoora_ard" TargetMode="External"/><Relationship Id="rId4779" Type="http://schemas.openxmlformats.org/officeDocument/2006/relationships/hyperlink" Target="https://www.instagram.com/emamzadeh.abdollah.gorgan" TargetMode="External"/><Relationship Id="rId2119" Type="http://schemas.openxmlformats.org/officeDocument/2006/relationships/hyperlink" Target="https://eitaa.com/heyat_parand" TargetMode="External"/><Relationship Id="rId4770" Type="http://schemas.openxmlformats.org/officeDocument/2006/relationships/hyperlink" Target="https://www.instagram.com/nooroshohada.ir" TargetMode="External"/><Relationship Id="rId3441" Type="http://schemas.openxmlformats.org/officeDocument/2006/relationships/hyperlink" Target="https://eitaa.com/ansarolmahdiardabil" TargetMode="External"/><Relationship Id="rId4772" Type="http://schemas.openxmlformats.org/officeDocument/2006/relationships/hyperlink" Target="https://www.instagram.com/shohada_m_h" TargetMode="External"/><Relationship Id="rId2110" Type="http://schemas.openxmlformats.org/officeDocument/2006/relationships/hyperlink" Target="https://eitaa.com/maktab1385" TargetMode="External"/><Relationship Id="rId3440" Type="http://schemas.openxmlformats.org/officeDocument/2006/relationships/hyperlink" Target="https://www.instagram.com/ansarolmahdiardabil/" TargetMode="External"/><Relationship Id="rId4771" Type="http://schemas.openxmlformats.org/officeDocument/2006/relationships/hyperlink" Target="https://www.instagram.com/heyaatolreza" TargetMode="External"/><Relationship Id="rId2111" Type="http://schemas.openxmlformats.org/officeDocument/2006/relationships/hyperlink" Target="https://eitaa.com/moslem535" TargetMode="External"/><Relationship Id="rId3443" Type="http://schemas.openxmlformats.org/officeDocument/2006/relationships/hyperlink" Target="http://t.me/maktab_alzeinab" TargetMode="External"/><Relationship Id="rId4774" Type="http://schemas.openxmlformats.org/officeDocument/2006/relationships/hyperlink" Target="https://www.instagram.com/rahrovan_uni" TargetMode="External"/><Relationship Id="rId2112" Type="http://schemas.openxmlformats.org/officeDocument/2006/relationships/hyperlink" Target="https://eitaa.com/Shiftegan_Hazrat_Zeynab" TargetMode="External"/><Relationship Id="rId3442" Type="http://schemas.openxmlformats.org/officeDocument/2006/relationships/hyperlink" Target="https://eitaa.com/emamesadeg" TargetMode="External"/><Relationship Id="rId4773" Type="http://schemas.openxmlformats.org/officeDocument/2006/relationships/hyperlink" Target="https://www.instagram.com/montazeran_mahdi_gorgan" TargetMode="External"/><Relationship Id="rId2113" Type="http://schemas.openxmlformats.org/officeDocument/2006/relationships/hyperlink" Target="https://eitaa.com/moheban81" TargetMode="External"/><Relationship Id="rId3445" Type="http://schemas.openxmlformats.org/officeDocument/2006/relationships/hyperlink" Target="http://t.me/gomnam1391" TargetMode="External"/><Relationship Id="rId4776" Type="http://schemas.openxmlformats.org/officeDocument/2006/relationships/hyperlink" Target="https://www.instagram.com/masjed_baghiatallah14" TargetMode="External"/><Relationship Id="rId2114" Type="http://schemas.openxmlformats.org/officeDocument/2006/relationships/hyperlink" Target="https://eitaa.com/Heyat_omeaheba" TargetMode="External"/><Relationship Id="rId3444" Type="http://schemas.openxmlformats.org/officeDocument/2006/relationships/hyperlink" Target="https://www.instagram.com/gomnam.1391/" TargetMode="External"/><Relationship Id="rId4775" Type="http://schemas.openxmlformats.org/officeDocument/2006/relationships/hyperlink" Target="https://www.instagram.com/heyat_karimahlebeyt118" TargetMode="External"/><Relationship Id="rId5251" Type="http://schemas.openxmlformats.org/officeDocument/2006/relationships/hyperlink" Target="https://www.instagram.com/hosseinie.abalfazl.nakhlestan" TargetMode="External"/><Relationship Id="rId6582" Type="http://schemas.openxmlformats.org/officeDocument/2006/relationships/hyperlink" Target="https://www.instagram.com/hoseyniyeh_javadolaeme/" TargetMode="External"/><Relationship Id="rId5252" Type="http://schemas.openxmlformats.org/officeDocument/2006/relationships/hyperlink" Target="https://www.instagram.com/tv_alamdarkerman" TargetMode="External"/><Relationship Id="rId6583" Type="http://schemas.openxmlformats.org/officeDocument/2006/relationships/hyperlink" Target="https://l.instagram.com/?u=https%3A%2F%2Feitaa.com%2FjavadolAeme_heyAt%3Futm_source%3Dig%26utm_medium%3Dsocial%26utm_content%3Dlink_in_bio%26fbclid%3DPAZXh0bgNhZW0CMTEAc3J0YwZhcHBfaWQMMjU2MjgxMDQwNTU4AAGnsNkVQaYxOLOk9ZvV7h8rpE_2vThzvCQI5d9sP8sd_Nae_G1AOsnXGDecwCs_aem_SM9Ov7JKytctYgeRSWD1qQ&amp;e=AT0DF8lnsXcnSoxGdMxlsSKcxxyPR54Bca79ZJeFmI78K_v7BwWotJm6yX_hI3L6UQTfnP8h1mEiuBPgFRa2nhNjJPLFxHp7H2LEkf66QA" TargetMode="External"/><Relationship Id="rId6580" Type="http://schemas.openxmlformats.org/officeDocument/2006/relationships/hyperlink" Target="https://t.me/hoseinieh_14maesum" TargetMode="External"/><Relationship Id="rId5250" Type="http://schemas.openxmlformats.org/officeDocument/2006/relationships/hyperlink" Target="https://www.instagram.com/heyat_gamarbanihashemkuyraberi" TargetMode="External"/><Relationship Id="rId6581" Type="http://schemas.openxmlformats.org/officeDocument/2006/relationships/hyperlink" Target="https://www.instagram.com/hoseinjan.krj/" TargetMode="External"/><Relationship Id="rId5255" Type="http://schemas.openxmlformats.org/officeDocument/2006/relationships/hyperlink" Target="https://www.instagram.com/masjjed_almahdi" TargetMode="External"/><Relationship Id="rId6586" Type="http://schemas.openxmlformats.org/officeDocument/2006/relationships/hyperlink" Target="https://www.instagram.com/javad_ol_aemea" TargetMode="External"/><Relationship Id="rId5256" Type="http://schemas.openxmlformats.org/officeDocument/2006/relationships/hyperlink" Target="https://www.instagram.com/heyathazratabolfazlbardsir" TargetMode="External"/><Relationship Id="rId6587" Type="http://schemas.openxmlformats.org/officeDocument/2006/relationships/hyperlink" Target="https://www.instagram.com/javadolaemeh_info" TargetMode="External"/><Relationship Id="rId5253" Type="http://schemas.openxmlformats.org/officeDocument/2006/relationships/hyperlink" Target="https://t.me/alamdarkerman" TargetMode="External"/><Relationship Id="rId6584" Type="http://schemas.openxmlformats.org/officeDocument/2006/relationships/hyperlink" Target="https://www.instagram.com/hoseyniyonkaraj/" TargetMode="External"/><Relationship Id="rId5254" Type="http://schemas.openxmlformats.org/officeDocument/2006/relationships/hyperlink" Target="https://www.instagram.com/heyat_ansaralhossein" TargetMode="External"/><Relationship Id="rId6585" Type="http://schemas.openxmlformats.org/officeDocument/2006/relationships/hyperlink" Target="https://www.instagram.com/hyat_javadalaemeh/" TargetMode="External"/><Relationship Id="rId5259" Type="http://schemas.openxmlformats.org/officeDocument/2006/relationships/hyperlink" Target="https://www.instagram.com/hoseinyun313" TargetMode="External"/><Relationship Id="rId5257" Type="http://schemas.openxmlformats.org/officeDocument/2006/relationships/hyperlink" Target="https://t.me/sahebazaman88" TargetMode="External"/><Relationship Id="rId6588" Type="http://schemas.openxmlformats.org/officeDocument/2006/relationships/hyperlink" Target="https://l.instagram.com/?u=http%3A%2F%2Ft.me%2Fjavadolaemehh_karaj%3Futm_source%3Dig%26utm_medium%3Dsocial%26utm_content%3Dlink_in_bio%26fbclid%3DPAZXh0bgNhZW0CMTEAc3J0YwZhcHBfaWQMMjU2MjgxMDQwNTU4AAGnB1up1CAUrlV9zD_wLnx2ruieCUPW6K_P-l2dX3itQmzIqyY0aPSogSG0ZGM_aem_eJVi1LakPUUb1qyR5er8RA&amp;e=AT2a78FcAuI22BQDaRD4VPaCtzZ8LaxKXe4K-MxTfY68onX5dFGYpQZ_U_2uY3IzBztq-gWvAMIRM61yDrWhcHx6QdRGjioXQl_hzD3LPA" TargetMode="External"/><Relationship Id="rId5258" Type="http://schemas.openxmlformats.org/officeDocument/2006/relationships/hyperlink" Target="https://www.instagram.com/mohebanaliasghar1141" TargetMode="External"/><Relationship Id="rId6589" Type="http://schemas.openxmlformats.org/officeDocument/2006/relationships/hyperlink" Target="https://www.instagram.com/javadolaemeh313.ir/" TargetMode="External"/><Relationship Id="rId5240" Type="http://schemas.openxmlformats.org/officeDocument/2006/relationships/hyperlink" Target="https://www.instagram.com/mookeb_zaer_alqame" TargetMode="External"/><Relationship Id="rId6571" Type="http://schemas.openxmlformats.org/officeDocument/2006/relationships/hyperlink" Target="https://www.instagram.com/heyatoshohada_karaj313/" TargetMode="External"/><Relationship Id="rId5241" Type="http://schemas.openxmlformats.org/officeDocument/2006/relationships/hyperlink" Target="https://www.instagram.com/heyatrayatolmahdi313" TargetMode="External"/><Relationship Id="rId6572" Type="http://schemas.openxmlformats.org/officeDocument/2006/relationships/hyperlink" Target="https://l.instagram.com/?u=http%3A%2F%2Ft.me%2Fheyatoshohada_karaj313%3Futm_source%3Dig%26utm_medium%3Dsocial%26utm_content%3Dlink_in_bio%26fbclid%3DPAZXh0bgNhZW0CMTEAc3J0YwZhcHBfaWQMMjU2MjgxMDQwNTU4AAGnEoJpCNvTfGGH7P6Po_TPwtDSyJt3_fajxY4rzssnkcWLy8h9-dAhIOvp3e0_aem_f8MKMRukXtqcitnUJn7NdA&amp;e=AT1JtLVk2iWmQjW0zkb4Cx-MHMNF5i62EZjEnowHiuWHZ093F_TbWYLaVO5rC-JxFmija1FOsoYztvpwzfysSOC0IWnznLbKLU9RJwh5LQ" TargetMode="External"/><Relationship Id="rId6570" Type="http://schemas.openxmlformats.org/officeDocument/2006/relationships/hyperlink" Target="https://www.instagram.com/heyatolroghaye_fardis/" TargetMode="External"/><Relationship Id="rId5244" Type="http://schemas.openxmlformats.org/officeDocument/2006/relationships/hyperlink" Target="https://eitaa.com/etelaeresanikerman" TargetMode="External"/><Relationship Id="rId6575" Type="http://schemas.openxmlformats.org/officeDocument/2006/relationships/hyperlink" Target="https://www.instagram.com/hmodafean.haram" TargetMode="External"/><Relationship Id="rId5245" Type="http://schemas.openxmlformats.org/officeDocument/2006/relationships/hyperlink" Target="https://www.instagram.com/ghiaskerman" TargetMode="External"/><Relationship Id="rId6576" Type="http://schemas.openxmlformats.org/officeDocument/2006/relationships/hyperlink" Target="https://www.instagram.com/hoseinie.azahra" TargetMode="External"/><Relationship Id="rId5242" Type="http://schemas.openxmlformats.org/officeDocument/2006/relationships/hyperlink" Target="https://eitaa.com/heyatrayatolmahdi313" TargetMode="External"/><Relationship Id="rId6573" Type="http://schemas.openxmlformats.org/officeDocument/2006/relationships/hyperlink" Target="https://www.instagram.com/heyatozahra.ir" TargetMode="External"/><Relationship Id="rId5243" Type="http://schemas.openxmlformats.org/officeDocument/2006/relationships/hyperlink" Target="https://www.instagram.com/varesan.ghadir" TargetMode="External"/><Relationship Id="rId6574" Type="http://schemas.openxmlformats.org/officeDocument/2006/relationships/hyperlink" Target="https://www.instagram.com/heyethussein2025/" TargetMode="External"/><Relationship Id="rId5248" Type="http://schemas.openxmlformats.org/officeDocument/2006/relationships/hyperlink" Target="https://www.instagram.com/heyat_mohebban_abolfazl_jiroft" TargetMode="External"/><Relationship Id="rId6579" Type="http://schemas.openxmlformats.org/officeDocument/2006/relationships/hyperlink" Target="https://www.instagram.com/hoseinieh_14maesum/" TargetMode="External"/><Relationship Id="rId5249" Type="http://schemas.openxmlformats.org/officeDocument/2006/relationships/hyperlink" Target="https://www.instagram.com/heyat_alhoosinkerman" TargetMode="External"/><Relationship Id="rId5246" Type="http://schemas.openxmlformats.org/officeDocument/2006/relationships/hyperlink" Target="https://www.instagram.com/emamhasankerman" TargetMode="External"/><Relationship Id="rId6577" Type="http://schemas.openxmlformats.org/officeDocument/2006/relationships/hyperlink" Target="https://t.me/hoseinieazahra" TargetMode="External"/><Relationship Id="rId5247" Type="http://schemas.openxmlformats.org/officeDocument/2006/relationships/hyperlink" Target="https://www.instagram.com/moheban.mahdii" TargetMode="External"/><Relationship Id="rId6578" Type="http://schemas.openxmlformats.org/officeDocument/2006/relationships/hyperlink" Target="https://www.instagram.com/hoseinieabolfazl" TargetMode="External"/><Relationship Id="rId5270" Type="http://schemas.openxmlformats.org/officeDocument/2006/relationships/hyperlink" Target="https://t.me/heyat_tafahos" TargetMode="External"/><Relationship Id="rId5273" Type="http://schemas.openxmlformats.org/officeDocument/2006/relationships/hyperlink" Target="https://www.instagram.com/mubamheyat" TargetMode="External"/><Relationship Id="rId5274" Type="http://schemas.openxmlformats.org/officeDocument/2006/relationships/hyperlink" Target="https://www.instagram.com/mokebmeraj.ir" TargetMode="External"/><Relationship Id="rId5271" Type="http://schemas.openxmlformats.org/officeDocument/2006/relationships/hyperlink" Target="https://www.instagram.com/mokeb.khatamolanbia" TargetMode="External"/><Relationship Id="rId5272" Type="http://schemas.openxmlformats.org/officeDocument/2006/relationships/hyperlink" Target="https://t.me/mukebekhatamolanbia" TargetMode="External"/><Relationship Id="rId5277" Type="http://schemas.openxmlformats.org/officeDocument/2006/relationships/hyperlink" Target="https://www.instagram.com/zaynabion.fahraj" TargetMode="External"/><Relationship Id="rId5278" Type="http://schemas.openxmlformats.org/officeDocument/2006/relationships/hyperlink" Target="https://www.instagram.com/javanan_kerman" TargetMode="External"/><Relationship Id="rId5275" Type="http://schemas.openxmlformats.org/officeDocument/2006/relationships/hyperlink" Target="https://t.me/tafahoseshohada" TargetMode="External"/><Relationship Id="rId5276" Type="http://schemas.openxmlformats.org/officeDocument/2006/relationships/hyperlink" Target="https://www.eitaa.com/merajshohadaa" TargetMode="External"/><Relationship Id="rId5279" Type="http://schemas.openxmlformats.org/officeDocument/2006/relationships/hyperlink" Target="https://t.me/javanaan_kerman" TargetMode="External"/><Relationship Id="rId6590" Type="http://schemas.openxmlformats.org/officeDocument/2006/relationships/hyperlink" Target="https://www.instagram.com/jghamarbanihashem/" TargetMode="External"/><Relationship Id="rId5262" Type="http://schemas.openxmlformats.org/officeDocument/2006/relationships/hyperlink" Target="https://www.instagram.com/beinolharamein.r" TargetMode="External"/><Relationship Id="rId6593" Type="http://schemas.openxmlformats.org/officeDocument/2006/relationships/hyperlink" Target="https://www.instagram.com/kanoon.goharshad/" TargetMode="External"/><Relationship Id="rId5263" Type="http://schemas.openxmlformats.org/officeDocument/2006/relationships/hyperlink" Target="https://eitaa.com/Beynolharameynrafsanjan" TargetMode="External"/><Relationship Id="rId6594" Type="http://schemas.openxmlformats.org/officeDocument/2006/relationships/hyperlink" Target="https://t.me/kanoongoharshad" TargetMode="External"/><Relationship Id="rId5260" Type="http://schemas.openxmlformats.org/officeDocument/2006/relationships/hyperlink" Target="https://www.instagram.com/gholaman_hasani_bam" TargetMode="External"/><Relationship Id="rId6591" Type="http://schemas.openxmlformats.org/officeDocument/2006/relationships/hyperlink" Target="https://l.instagram.com/?u=http%3A%2F%2Ft.me%2Fjgamarbanihashem%3Futm_source%3Dig%26utm_medium%3Dsocial%26utm_content%3Dlink_in_bio%26fbclid%3DPAZXh0bgNhZW0CMTEAc3J0YwZhcHBfaWQMMjU2MjgxMDQwNTU4AAGnFm8tXNfynTz-CFWHt_SG7K3LNtuylSnLPnnTQJ5gKV6UfwhkrHio3eG-vhA_aem_P7IkIndMEN5PevC-ZP-FhA&amp;e=AT2Yi9ExyYH4pjwUuuPsxfIDld9lASABLRUac4U2gQEa-ote-A8crsSc34pR4708ydF7laJ3VWnto6nuRHBNKoM3cEDsQUOynNW0m2CMuw" TargetMode="External"/><Relationship Id="rId5261" Type="http://schemas.openxmlformats.org/officeDocument/2006/relationships/hyperlink" Target="https://www.instagram.com/tazieh.reyhanatolhossein" TargetMode="External"/><Relationship Id="rId6592" Type="http://schemas.openxmlformats.org/officeDocument/2006/relationships/hyperlink" Target="https://www.instagram.com/kanonghadir/" TargetMode="External"/><Relationship Id="rId5266" Type="http://schemas.openxmlformats.org/officeDocument/2006/relationships/hyperlink" Target="https://eitaa.com/alyasin_anar" TargetMode="External"/><Relationship Id="rId6597" Type="http://schemas.openxmlformats.org/officeDocument/2006/relationships/hyperlink" Target="https://l.instagram.com/?u=http%3A%2F%2Ft.me%2Fkhoddamekarimeahlebeyt%3Futm_source%3Dig%26utm_medium%3Dsocial%26utm_content%3Dlink_in_bio%26fbclid%3DPAZXh0bgNhZW0CMTEAc3J0YwZhcHBfaWQMMjU2MjgxMDQwNTU4AAGnSDlpkZWQlXkPX_fufx84cFcpj7ZLvcBKlrd-CjzLfxgioXpFD93B5LyBX9U_aem_gAv0VCFckxmdgYiwHPQkQQ&amp;e=AT12rdI51bwBrLbThg1qbY25Uqaz3l74fJrJHVHta9Xnxum6HzpFFT-4ta65K_U9AHBVxufRYq__U3as6F2LoyEuvhEQK0LAhHlntle_Sw" TargetMode="External"/><Relationship Id="rId5267" Type="http://schemas.openxmlformats.org/officeDocument/2006/relationships/hyperlink" Target="https://www.instagram.com/hosseinie.abalfazl.nakhlestan" TargetMode="External"/><Relationship Id="rId6598" Type="http://schemas.openxmlformats.org/officeDocument/2006/relationships/hyperlink" Target="https://www.instagram.com/kh_beytozahraa/" TargetMode="External"/><Relationship Id="rId5264" Type="http://schemas.openxmlformats.org/officeDocument/2006/relationships/hyperlink" Target="https://www.instagram.com/rayatalmahdi_ir" TargetMode="External"/><Relationship Id="rId6595" Type="http://schemas.openxmlformats.org/officeDocument/2006/relationships/hyperlink" Target="https://www.instagram.com/karbala8.ir/" TargetMode="External"/><Relationship Id="rId5265" Type="http://schemas.openxmlformats.org/officeDocument/2006/relationships/hyperlink" Target="https://www.instagram.com/masjedazahra" TargetMode="External"/><Relationship Id="rId6596" Type="http://schemas.openxmlformats.org/officeDocument/2006/relationships/hyperlink" Target="https://www.instagram.com/karimeahlebeyt128/" TargetMode="External"/><Relationship Id="rId5268" Type="http://schemas.openxmlformats.org/officeDocument/2006/relationships/hyperlink" Target="https://www.instagram.com/h.m.sahebazaman.kerman" TargetMode="External"/><Relationship Id="rId6599" Type="http://schemas.openxmlformats.org/officeDocument/2006/relationships/hyperlink" Target="https://www.instagram.com/kn_serat" TargetMode="External"/><Relationship Id="rId5269" Type="http://schemas.openxmlformats.org/officeDocument/2006/relationships/hyperlink" Target="https://www.instagram.com/heyat_tafahos" TargetMode="External"/><Relationship Id="rId5219" Type="http://schemas.openxmlformats.org/officeDocument/2006/relationships/hyperlink" Target="https://eitaa.com/gholaman_aliakbar" TargetMode="External"/><Relationship Id="rId5217" Type="http://schemas.openxmlformats.org/officeDocument/2006/relationships/hyperlink" Target="https://www.instagram.com/jahadi_shahid_bakerii" TargetMode="External"/><Relationship Id="rId6548" Type="http://schemas.openxmlformats.org/officeDocument/2006/relationships/hyperlink" Target="https://www.instagram.com/heyat.abalfazll/" TargetMode="External"/><Relationship Id="rId5218" Type="http://schemas.openxmlformats.org/officeDocument/2006/relationships/hyperlink" Target="https://www.instagram.com/gholaman_ali_akbar" TargetMode="External"/><Relationship Id="rId6549" Type="http://schemas.openxmlformats.org/officeDocument/2006/relationships/hyperlink" Target="https://www.instagram.com/heyat.hasanjan" TargetMode="External"/><Relationship Id="rId7879" Type="http://schemas.openxmlformats.org/officeDocument/2006/relationships/hyperlink" Target="https://t.me/heiatoshagh" TargetMode="External"/><Relationship Id="rId392" Type="http://schemas.openxmlformats.org/officeDocument/2006/relationships/hyperlink" Target="https://www.instagram.com/ale.rasoul/" TargetMode="External"/><Relationship Id="rId391" Type="http://schemas.openxmlformats.org/officeDocument/2006/relationships/hyperlink" Target="https://www.instagram.com/moheban_hazratmahdi_sari/" TargetMode="External"/><Relationship Id="rId390" Type="http://schemas.openxmlformats.org/officeDocument/2006/relationships/hyperlink" Target="https://www.instagram.com/heiat_beytolabbas" TargetMode="External"/><Relationship Id="rId7870" Type="http://schemas.openxmlformats.org/officeDocument/2006/relationships/hyperlink" Target="https://eitaa.com/maktab_azahra" TargetMode="External"/><Relationship Id="rId385" Type="http://schemas.openxmlformats.org/officeDocument/2006/relationships/hyperlink" Target="https://www.instagram.com/heyat_hazrat_aliakbar_sari/" TargetMode="External"/><Relationship Id="rId5211" Type="http://schemas.openxmlformats.org/officeDocument/2006/relationships/hyperlink" Target="https://t.me/gholaman_kerman" TargetMode="External"/><Relationship Id="rId6542" Type="http://schemas.openxmlformats.org/officeDocument/2006/relationships/hyperlink" Target="https://t.me/mohebban_alabbas133" TargetMode="External"/><Relationship Id="rId7874" Type="http://schemas.openxmlformats.org/officeDocument/2006/relationships/hyperlink" Target="https://www.instagram.com/fatemiekhansar" TargetMode="External"/><Relationship Id="rId384" Type="http://schemas.openxmlformats.org/officeDocument/2006/relationships/hyperlink" Target="https://t.me/maktabozahrasari" TargetMode="External"/><Relationship Id="rId5212" Type="http://schemas.openxmlformats.org/officeDocument/2006/relationships/hyperlink" Target="https://eitaa.com/mosque_Vali_Asr_town_Elahiye" TargetMode="External"/><Relationship Id="rId6543" Type="http://schemas.openxmlformats.org/officeDocument/2006/relationships/hyperlink" Target="https://www.instagram.com/heyat_raayatolabbass/" TargetMode="External"/><Relationship Id="rId7873" Type="http://schemas.openxmlformats.org/officeDocument/2006/relationships/hyperlink" Target="https://eitaa.com/Qasimson" TargetMode="External"/><Relationship Id="rId383" Type="http://schemas.openxmlformats.org/officeDocument/2006/relationships/hyperlink" Target="https://www.instagram.com/maaktab/" TargetMode="External"/><Relationship Id="rId6540" Type="http://schemas.openxmlformats.org/officeDocument/2006/relationships/hyperlink" Target="https://www.instagram.com/heyat_maktabol_abas" TargetMode="External"/><Relationship Id="rId7872" Type="http://schemas.openxmlformats.org/officeDocument/2006/relationships/hyperlink" Target="https://www.instagram.com/baghiatallah.info" TargetMode="External"/><Relationship Id="rId382" Type="http://schemas.openxmlformats.org/officeDocument/2006/relationships/hyperlink" Target="https://www.instagram.com/184panah/" TargetMode="External"/><Relationship Id="rId5210" Type="http://schemas.openxmlformats.org/officeDocument/2006/relationships/hyperlink" Target="https://www.instagram.com/heyat.gholaman.kerman" TargetMode="External"/><Relationship Id="rId6541" Type="http://schemas.openxmlformats.org/officeDocument/2006/relationships/hyperlink" Target="https://www.instagram.com/heyat_mohebban_alabbas/" TargetMode="External"/><Relationship Id="rId7871" Type="http://schemas.openxmlformats.org/officeDocument/2006/relationships/hyperlink" Target="https://www.instagram.com/ansar_housein" TargetMode="External"/><Relationship Id="rId389" Type="http://schemas.openxmlformats.org/officeDocument/2006/relationships/hyperlink" Target="https://eitaa.com/s/heiat_deldadegan_sari" TargetMode="External"/><Relationship Id="rId5215" Type="http://schemas.openxmlformats.org/officeDocument/2006/relationships/hyperlink" Target="https://t.me/navaye_heydariyon" TargetMode="External"/><Relationship Id="rId6546" Type="http://schemas.openxmlformats.org/officeDocument/2006/relationships/hyperlink" Target="https://www.instagram.com/heyat_sahebazzaman" TargetMode="External"/><Relationship Id="rId7878" Type="http://schemas.openxmlformats.org/officeDocument/2006/relationships/hyperlink" Target="https://www.instagram.com/oshagholhosain" TargetMode="External"/><Relationship Id="rId388" Type="http://schemas.openxmlformats.org/officeDocument/2006/relationships/hyperlink" Target="https://t.me/heiat_deldadegan_sari" TargetMode="External"/><Relationship Id="rId5216" Type="http://schemas.openxmlformats.org/officeDocument/2006/relationships/hyperlink" Target="https://www.instagram.com/ansarmahdi_galeganji" TargetMode="External"/><Relationship Id="rId6547" Type="http://schemas.openxmlformats.org/officeDocument/2006/relationships/hyperlink" Target="https://www.instagram.com/heyat._sarallah/" TargetMode="External"/><Relationship Id="rId7877" Type="http://schemas.openxmlformats.org/officeDocument/2006/relationships/hyperlink" Target="https://www.instagram.com/heyat_javanan_banihashem1385" TargetMode="External"/><Relationship Id="rId387" Type="http://schemas.openxmlformats.org/officeDocument/2006/relationships/hyperlink" Target="https://www.instagram.com/heiat_deldadegan_sari/" TargetMode="External"/><Relationship Id="rId5213" Type="http://schemas.openxmlformats.org/officeDocument/2006/relationships/hyperlink" Target="https://www.instagram.com/heyat_babalhavaej" TargetMode="External"/><Relationship Id="rId6544" Type="http://schemas.openxmlformats.org/officeDocument/2006/relationships/hyperlink" Target="https://t.me/Heyat_RaayatolAbbas" TargetMode="External"/><Relationship Id="rId7876" Type="http://schemas.openxmlformats.org/officeDocument/2006/relationships/hyperlink" Target="https://eitaa.com/masjedsajjad_naein" TargetMode="External"/><Relationship Id="rId386" Type="http://schemas.openxmlformats.org/officeDocument/2006/relationships/hyperlink" Target="https://t.me/aliakbar278" TargetMode="External"/><Relationship Id="rId5214" Type="http://schemas.openxmlformats.org/officeDocument/2006/relationships/hyperlink" Target="https://www.instagram.com/navaye_heydariyon" TargetMode="External"/><Relationship Id="rId6545" Type="http://schemas.openxmlformats.org/officeDocument/2006/relationships/hyperlink" Target="https://www.instagram.com/heyat_razmandegan_ostan_alborz" TargetMode="External"/><Relationship Id="rId7875" Type="http://schemas.openxmlformats.org/officeDocument/2006/relationships/hyperlink" Target="https://www.instagram.com/montazeran.mahdi.s313" TargetMode="External"/><Relationship Id="rId5208" Type="http://schemas.openxmlformats.org/officeDocument/2006/relationships/hyperlink" Target="https://t.me/Mohebanzahraykerman" TargetMode="External"/><Relationship Id="rId6539" Type="http://schemas.openxmlformats.org/officeDocument/2006/relationships/hyperlink" Target="https://t.me/Mahdioun" TargetMode="External"/><Relationship Id="rId5209" Type="http://schemas.openxmlformats.org/officeDocument/2006/relationships/hyperlink" Target="https://www.instagram.com/tekye_roghaye" TargetMode="External"/><Relationship Id="rId5206" Type="http://schemas.openxmlformats.org/officeDocument/2006/relationships/hyperlink" Target="https://eitaa.com/azadaranaliakbar" TargetMode="External"/><Relationship Id="rId6537" Type="http://schemas.openxmlformats.org/officeDocument/2006/relationships/hyperlink" Target="https://www.instagram.com/heyat_javanan_ansaralmahdi" TargetMode="External"/><Relationship Id="rId7869" Type="http://schemas.openxmlformats.org/officeDocument/2006/relationships/hyperlink" Target="https://eitaa.com/mohebban_amiralmumeninn" TargetMode="External"/><Relationship Id="rId5207" Type="http://schemas.openxmlformats.org/officeDocument/2006/relationships/hyperlink" Target="https://www.instagram.com/_moheban.alzahra.kerman" TargetMode="External"/><Relationship Id="rId6538" Type="http://schemas.openxmlformats.org/officeDocument/2006/relationships/hyperlink" Target="https://www.instagram.com/heyat_mahdion" TargetMode="External"/><Relationship Id="rId7868" Type="http://schemas.openxmlformats.org/officeDocument/2006/relationships/hyperlink" Target="https://www.instagram.com/mahdienajafabad" TargetMode="External"/><Relationship Id="rId381" Type="http://schemas.openxmlformats.org/officeDocument/2006/relationships/hyperlink" Target="https://t.me/ommolbanin_sari" TargetMode="External"/><Relationship Id="rId380" Type="http://schemas.openxmlformats.org/officeDocument/2006/relationships/hyperlink" Target="https://www.instagram.com/ommolbanin_sari/" TargetMode="External"/><Relationship Id="rId379" Type="http://schemas.openxmlformats.org/officeDocument/2006/relationships/hyperlink" Target="https://eitaa.com/zovar_ir" TargetMode="External"/><Relationship Id="rId374" Type="http://schemas.openxmlformats.org/officeDocument/2006/relationships/hyperlink" Target="https://www.instagram.com/sina_fazlollahnezhad/" TargetMode="External"/><Relationship Id="rId5200" Type="http://schemas.openxmlformats.org/officeDocument/2006/relationships/hyperlink" Target="https://www.instagram.com/hazrataliakbar1377" TargetMode="External"/><Relationship Id="rId6531" Type="http://schemas.openxmlformats.org/officeDocument/2006/relationships/hyperlink" Target="http://t.me/bentolhossein_heyat" TargetMode="External"/><Relationship Id="rId7863" Type="http://schemas.openxmlformats.org/officeDocument/2006/relationships/hyperlink" Target="https://www.instagram.com/aleyasin_page" TargetMode="External"/><Relationship Id="rId373" Type="http://schemas.openxmlformats.org/officeDocument/2006/relationships/hyperlink" Target="https://www.instagram.com/sedre.media/" TargetMode="External"/><Relationship Id="rId5201" Type="http://schemas.openxmlformats.org/officeDocument/2006/relationships/hyperlink" Target="https://www.instagram.com/heiat_sahebazaman" TargetMode="External"/><Relationship Id="rId6532" Type="http://schemas.openxmlformats.org/officeDocument/2006/relationships/hyperlink" Target="https://www.instagram.com/heyat_emamhassan/" TargetMode="External"/><Relationship Id="rId7862" Type="http://schemas.openxmlformats.org/officeDocument/2006/relationships/hyperlink" Target="https://eitaa.com/hpmahdi2" TargetMode="External"/><Relationship Id="rId372" Type="http://schemas.openxmlformats.org/officeDocument/2006/relationships/hyperlink" Target="https://t.me/naqqaremedia" TargetMode="External"/><Relationship Id="rId7861" Type="http://schemas.openxmlformats.org/officeDocument/2006/relationships/hyperlink" Target="https://www.instagram.com/hpmahdi2" TargetMode="External"/><Relationship Id="rId371" Type="http://schemas.openxmlformats.org/officeDocument/2006/relationships/hyperlink" Target="https://www.instagram.com/naqqare/" TargetMode="External"/><Relationship Id="rId6530" Type="http://schemas.openxmlformats.org/officeDocument/2006/relationships/hyperlink" Target="https://www.instagram.com/heyat_bentolhossein/" TargetMode="External"/><Relationship Id="rId7860" Type="http://schemas.openxmlformats.org/officeDocument/2006/relationships/hyperlink" Target="https://eitaa.com/Heyatsolalatonabi" TargetMode="External"/><Relationship Id="rId378" Type="http://schemas.openxmlformats.org/officeDocument/2006/relationships/hyperlink" Target="https://www.instagram.com/zovar_ir" TargetMode="External"/><Relationship Id="rId5204" Type="http://schemas.openxmlformats.org/officeDocument/2006/relationships/hyperlink" Target="https://t.me/QasimibnlHasanbaghin" TargetMode="External"/><Relationship Id="rId6535" Type="http://schemas.openxmlformats.org/officeDocument/2006/relationships/hyperlink" Target="https://www.instagram.com/heyat_hazratabalfazll68" TargetMode="External"/><Relationship Id="rId7867" Type="http://schemas.openxmlformats.org/officeDocument/2006/relationships/hyperlink" Target="https://t.me/alnabigolmohammadi" TargetMode="External"/><Relationship Id="rId377" Type="http://schemas.openxmlformats.org/officeDocument/2006/relationships/hyperlink" Target="https://www.instagram.com/rezapuor.ir/" TargetMode="External"/><Relationship Id="rId5205" Type="http://schemas.openxmlformats.org/officeDocument/2006/relationships/hyperlink" Target="https://www.instagram.com/mamh__valiasr" TargetMode="External"/><Relationship Id="rId6536" Type="http://schemas.openxmlformats.org/officeDocument/2006/relationships/hyperlink" Target="https://www.instagram.com/heyat_janatolhassan_karj" TargetMode="External"/><Relationship Id="rId7866" Type="http://schemas.openxmlformats.org/officeDocument/2006/relationships/hyperlink" Target="https://eitaa.com/mahdiehisf" TargetMode="External"/><Relationship Id="rId376" Type="http://schemas.openxmlformats.org/officeDocument/2006/relationships/hyperlink" Target="https://eitaa.com/sina_fazlollahnezhad" TargetMode="External"/><Relationship Id="rId5202" Type="http://schemas.openxmlformats.org/officeDocument/2006/relationships/hyperlink" Target="https://www.instagram.com/heyate.abolfazlbaft" TargetMode="External"/><Relationship Id="rId6533" Type="http://schemas.openxmlformats.org/officeDocument/2006/relationships/hyperlink" Target="https://www.instagram.com/heyat_ghamarebanihashem_1374" TargetMode="External"/><Relationship Id="rId7865" Type="http://schemas.openxmlformats.org/officeDocument/2006/relationships/hyperlink" Target="https://t.me/Nodbeh_SahebAzzaman" TargetMode="External"/><Relationship Id="rId375" Type="http://schemas.openxmlformats.org/officeDocument/2006/relationships/hyperlink" Target="https://t.me/fazlollahnezhad_ir" TargetMode="External"/><Relationship Id="rId5203" Type="http://schemas.openxmlformats.org/officeDocument/2006/relationships/hyperlink" Target="https://www.instagram.com/qasamibnlhasan" TargetMode="External"/><Relationship Id="rId6534" Type="http://schemas.openxmlformats.org/officeDocument/2006/relationships/hyperlink" Target="https://www.instagram.com/heyat_hazrat_valiasr/" TargetMode="External"/><Relationship Id="rId7864" Type="http://schemas.openxmlformats.org/officeDocument/2006/relationships/hyperlink" Target="https://eitaa.com/aleyasin_channel" TargetMode="External"/><Relationship Id="rId5239" Type="http://schemas.openxmlformats.org/officeDocument/2006/relationships/hyperlink" Target="https://eitaa.com/bagheralulum" TargetMode="External"/><Relationship Id="rId6560" Type="http://schemas.openxmlformats.org/officeDocument/2006/relationships/hyperlink" Target="https://t.me/heyateshahzadehaliakbar" TargetMode="External"/><Relationship Id="rId7892" Type="http://schemas.openxmlformats.org/officeDocument/2006/relationships/hyperlink" Target="https://eitaa.com/Najvaye_lea" TargetMode="External"/><Relationship Id="rId5230" Type="http://schemas.openxmlformats.org/officeDocument/2006/relationships/hyperlink" Target="https://eitaa.com/heiatkarbala" TargetMode="External"/><Relationship Id="rId6561" Type="http://schemas.openxmlformats.org/officeDocument/2006/relationships/hyperlink" Target="https://www.instagram.com/heyate_zeynabiyoun/" TargetMode="External"/><Relationship Id="rId7891" Type="http://schemas.openxmlformats.org/officeDocument/2006/relationships/hyperlink" Target="https://www.instagram.com/heyatefatemezahra/" TargetMode="External"/><Relationship Id="rId7890" Type="http://schemas.openxmlformats.org/officeDocument/2006/relationships/hyperlink" Target="https://eitaa.com/nakhlekashan" TargetMode="External"/><Relationship Id="rId5233" Type="http://schemas.openxmlformats.org/officeDocument/2006/relationships/hyperlink" Target="https://www.instagram.com/aliasghar_soleymanieh" TargetMode="External"/><Relationship Id="rId6564" Type="http://schemas.openxmlformats.org/officeDocument/2006/relationships/hyperlink" Target="https://www.instagram.com/heyatemohebbanesarallah/" TargetMode="External"/><Relationship Id="rId7896" Type="http://schemas.openxmlformats.org/officeDocument/2006/relationships/hyperlink" Target="https://eitaa.com/SAELIN_ZAHRA" TargetMode="External"/><Relationship Id="rId5234" Type="http://schemas.openxmlformats.org/officeDocument/2006/relationships/hyperlink" Target="https://www.instagram.com/tekie_fatemie_kerman_" TargetMode="External"/><Relationship Id="rId6565" Type="http://schemas.openxmlformats.org/officeDocument/2006/relationships/hyperlink" Target="https://www.instagram.com/heyatenorolhoda/" TargetMode="External"/><Relationship Id="rId7895" Type="http://schemas.openxmlformats.org/officeDocument/2006/relationships/hyperlink" Target="https://eitaa.com/peyrovan_etrat" TargetMode="External"/><Relationship Id="rId5231" Type="http://schemas.openxmlformats.org/officeDocument/2006/relationships/hyperlink" Target="https://eitaa.com/montazerankerman" TargetMode="External"/><Relationship Id="rId6562" Type="http://schemas.openxmlformats.org/officeDocument/2006/relationships/hyperlink" Target="https://l.instagram.com/?u=http%3A%2F%2Ft.me%2Fheyate_zeynabiyoun%3Futm_source%3Dig%26utm_medium%3Dsocial%26utm_content%3Dlink_in_bio%26fbclid%3DPAZXh0bgNhZW0CMTEAc3J0YwZhcHBfaWQMMjU2MjgxMDQwNTU4AAGnW4VKtwMI0nnGJlb7P2nfQHJB1CcASrqy4pCUIr11PrtjZhNf6TQqMgCekGU_aem_D6cQUEDlGN1G-ntr3USEcA&amp;e=AT07Q277d5HO4n_c6rZzTbX9g9PjXst5rMpl42WK50n53SGvSzl7W2z0J-Rdzxw9AJRDO0dqk-9VeFwcyaqvIH4AruYxfHLwlZMXquU53A" TargetMode="External"/><Relationship Id="rId7894" Type="http://schemas.openxmlformats.org/officeDocument/2006/relationships/hyperlink" Target="https://eitaa.com/fadaeianhoseinir" TargetMode="External"/><Relationship Id="rId5232" Type="http://schemas.openxmlformats.org/officeDocument/2006/relationships/hyperlink" Target="https://www.instagram.com/sarallah.vaziriha.kahnooj" TargetMode="External"/><Relationship Id="rId6563" Type="http://schemas.openxmlformats.org/officeDocument/2006/relationships/hyperlink" Target="https://www.instagram.com/heyate.aemebaghi.karj" TargetMode="External"/><Relationship Id="rId7893" Type="http://schemas.openxmlformats.org/officeDocument/2006/relationships/hyperlink" Target="https://t.me/fadaeianhoseinir" TargetMode="External"/><Relationship Id="rId5237" Type="http://schemas.openxmlformats.org/officeDocument/2006/relationships/hyperlink" Target="https://www.instagram.com/nasime_mehrabani.anbarabad" TargetMode="External"/><Relationship Id="rId6568" Type="http://schemas.openxmlformats.org/officeDocument/2006/relationships/hyperlink" Target="https://www.instagram.com/heyatmahdioun/" TargetMode="External"/><Relationship Id="rId5238" Type="http://schemas.openxmlformats.org/officeDocument/2006/relationships/hyperlink" Target="https://www.instagram.com/masjedjamekouhbanan" TargetMode="External"/><Relationship Id="rId6569" Type="http://schemas.openxmlformats.org/officeDocument/2006/relationships/hyperlink" Target="https://t.me/Mahdioun" TargetMode="External"/><Relationship Id="rId7899" Type="http://schemas.openxmlformats.org/officeDocument/2006/relationships/hyperlink" Target="https://eitaa.com/markazmodaresw" TargetMode="External"/><Relationship Id="rId5235" Type="http://schemas.openxmlformats.org/officeDocument/2006/relationships/hyperlink" Target="https://www.instagram.com/taziye1368" TargetMode="External"/><Relationship Id="rId6566" Type="http://schemas.openxmlformats.org/officeDocument/2006/relationships/hyperlink" Target="https://www.instagram.com/heyatjavananhoseini" TargetMode="External"/><Relationship Id="rId7898" Type="http://schemas.openxmlformats.org/officeDocument/2006/relationships/hyperlink" Target="https://www.instagram.com/markaz_modaresw" TargetMode="External"/><Relationship Id="rId5236" Type="http://schemas.openxmlformats.org/officeDocument/2006/relationships/hyperlink" Target="https://www.eitaa.com/khademin_anbarabad_kerman" TargetMode="External"/><Relationship Id="rId6567" Type="http://schemas.openxmlformats.org/officeDocument/2006/relationships/hyperlink" Target="https://www.instagram.com/heyatkhu/" TargetMode="External"/><Relationship Id="rId7897" Type="http://schemas.openxmlformats.org/officeDocument/2006/relationships/hyperlink" Target="https://www.instagram.com/me_heyat" TargetMode="External"/><Relationship Id="rId5228" Type="http://schemas.openxmlformats.org/officeDocument/2006/relationships/hyperlink" Target="https://eitaa.com/alamdar_davaran" TargetMode="External"/><Relationship Id="rId6559" Type="http://schemas.openxmlformats.org/officeDocument/2006/relationships/hyperlink" Target="https://www.instagram.com/heyate_shahzade_ali_akbar" TargetMode="External"/><Relationship Id="rId5229" Type="http://schemas.openxmlformats.org/officeDocument/2006/relationships/hyperlink" Target="https://www.instagram.com/heiatkarbala" TargetMode="External"/><Relationship Id="rId7881" Type="http://schemas.openxmlformats.org/officeDocument/2006/relationships/hyperlink" Target="https://eitaa.com/Aletaha_heyat" TargetMode="External"/><Relationship Id="rId6550" Type="http://schemas.openxmlformats.org/officeDocument/2006/relationships/hyperlink" Target="https://t.me/heyat_hasan_jan" TargetMode="External"/><Relationship Id="rId7880" Type="http://schemas.openxmlformats.org/officeDocument/2006/relationships/hyperlink" Target="https://eitaa.com/moheban_almahdi_ag" TargetMode="External"/><Relationship Id="rId396" Type="http://schemas.openxmlformats.org/officeDocument/2006/relationships/hyperlink" Target="https://eitaa.com/razmandegane_eslam_sari" TargetMode="External"/><Relationship Id="rId5222" Type="http://schemas.openxmlformats.org/officeDocument/2006/relationships/hyperlink" Target="https://www.instagram.com/sadra__live/" TargetMode="External"/><Relationship Id="rId6553" Type="http://schemas.openxmlformats.org/officeDocument/2006/relationships/hyperlink" Target="https://www.instagram.com/heyate_asheghane_hossein" TargetMode="External"/><Relationship Id="rId7885" Type="http://schemas.openxmlformats.org/officeDocument/2006/relationships/hyperlink" Target="https://t.me/heyat_Alyasin" TargetMode="External"/><Relationship Id="rId395" Type="http://schemas.openxmlformats.org/officeDocument/2006/relationships/hyperlink" Target="https://www.instagram.com/heyat_razmandegan_sari/" TargetMode="External"/><Relationship Id="rId5223" Type="http://schemas.openxmlformats.org/officeDocument/2006/relationships/hyperlink" Target="https://www.instagram.com/maktab_al_zahra118" TargetMode="External"/><Relationship Id="rId6554" Type="http://schemas.openxmlformats.org/officeDocument/2006/relationships/hyperlink" Target="https://www.instagram.com/heyate_hazratabolfazl/" TargetMode="External"/><Relationship Id="rId7884" Type="http://schemas.openxmlformats.org/officeDocument/2006/relationships/hyperlink" Target="https://www.instagram.com/heyat_alyasin" TargetMode="External"/><Relationship Id="rId394" Type="http://schemas.openxmlformats.org/officeDocument/2006/relationships/hyperlink" Target="https://eitaa.com/alerasoul" TargetMode="External"/><Relationship Id="rId5220" Type="http://schemas.openxmlformats.org/officeDocument/2006/relationships/hyperlink" Target="https://www.instagram.com/rozatoroghayeh" TargetMode="External"/><Relationship Id="rId6551" Type="http://schemas.openxmlformats.org/officeDocument/2006/relationships/hyperlink" Target="https://www.instagram.com/heyat.heydarion.karaj/?hl=fa" TargetMode="External"/><Relationship Id="rId7883" Type="http://schemas.openxmlformats.org/officeDocument/2006/relationships/hyperlink" Target="https://www.instagram.com/14masoum_1349" TargetMode="External"/><Relationship Id="rId393" Type="http://schemas.openxmlformats.org/officeDocument/2006/relationships/hyperlink" Target="https://t.me/alerasoul" TargetMode="External"/><Relationship Id="rId5221" Type="http://schemas.openxmlformats.org/officeDocument/2006/relationships/hyperlink" Target="https://eitaa.com/rozatorroghaye" TargetMode="External"/><Relationship Id="rId6552" Type="http://schemas.openxmlformats.org/officeDocument/2006/relationships/hyperlink" Target="https://www.instagram.com/heyatamamhasan.1389/" TargetMode="External"/><Relationship Id="rId7882" Type="http://schemas.openxmlformats.org/officeDocument/2006/relationships/hyperlink" Target="https://eitaa.com/aghigh_ir" TargetMode="External"/><Relationship Id="rId5226" Type="http://schemas.openxmlformats.org/officeDocument/2006/relationships/hyperlink" Target="https://www.instagram.com/alamdar_davaran/" TargetMode="External"/><Relationship Id="rId6557" Type="http://schemas.openxmlformats.org/officeDocument/2006/relationships/hyperlink" Target="https://l.instagram.com/?u=https%3A%2F%2Ft.me%2Fheyatemohebeen%3Futm_source%3Dig%26utm_medium%3Dsocial%26utm_content%3Dlink_in_bio%26fbclid%3DPAZXh0bgNhZW0CMTEAc3J0YwZhcHBfaWQMMjU2MjgxMDQwNTU4AAGn9-9n5ZA7Q9QLMhFDBW8IAi2S0V3CEAk8JXBrQQPNxDGwkBpG2nmoHAttwNw_aem_as4lNfHRa27fIgO8ceirKA&amp;e=AT0NddbP_br_nTI9fNxK98KKsNjTkh0dCaQ2LtYf_uodPmHoQwDjWMGA21NAjqd2bT3WfrMxEv9VjvQw-lKkVd7U_RXZiLgQd5lDPL3y9g" TargetMode="External"/><Relationship Id="rId7889" Type="http://schemas.openxmlformats.org/officeDocument/2006/relationships/hyperlink" Target="https://t.me/nakhlekashan" TargetMode="External"/><Relationship Id="rId399" Type="http://schemas.openxmlformats.org/officeDocument/2006/relationships/hyperlink" Target="https://t.me/asheghaneesarallah" TargetMode="External"/><Relationship Id="rId5227" Type="http://schemas.openxmlformats.org/officeDocument/2006/relationships/hyperlink" Target="https://t.me/alamdar_davaran" TargetMode="External"/><Relationship Id="rId6558" Type="http://schemas.openxmlformats.org/officeDocument/2006/relationships/hyperlink" Target="https://l.instagram.com/?u=https%3A%2F%2Feitaa.com%2Fheyatemohebeen%3Futm_source%3Dig%26utm_medium%3Dsocial%26utm_content%3Dlink_in_bio%26fbclid%3DPAZXh0bgNhZW0CMTEAc3J0YwZhcHBfaWQMMjU2MjgxMDQwNTU4AAGnJmp72f-3BEJp_TfKCjC-tV0pQjHo1CdedvWcZT5_YGY1hcY2qG7G0ovTfYk_aem_ykwDuxRoFvmMbShdgu9HYw&amp;e=AT27f-anThbwXK9MSTlYp6GDT5rtIHOSiWUTjfDUE4KrLPeXRiN9lTunGzhu9glU4KXkNTZ-XG84JbKn2muSq_19ReMyayxZu2v5OFozzg" TargetMode="External"/><Relationship Id="rId7888" Type="http://schemas.openxmlformats.org/officeDocument/2006/relationships/hyperlink" Target="https://www.instagram.com/nakhlekashan/" TargetMode="External"/><Relationship Id="rId398" Type="http://schemas.openxmlformats.org/officeDocument/2006/relationships/hyperlink" Target="https://www.instagram.com/asheghaneesarallah" TargetMode="External"/><Relationship Id="rId5224" Type="http://schemas.openxmlformats.org/officeDocument/2006/relationships/hyperlink" Target="https://www.instagram.com/heiatjavananabaolfazl.z" TargetMode="External"/><Relationship Id="rId6555" Type="http://schemas.openxmlformats.org/officeDocument/2006/relationships/hyperlink" Target="https://www.instagram.com/heyate_khademine_hosein_karaj/" TargetMode="External"/><Relationship Id="rId7887" Type="http://schemas.openxmlformats.org/officeDocument/2006/relationships/hyperlink" Target="https://eitaa.com/jannatolroghayekashan315" TargetMode="External"/><Relationship Id="rId397" Type="http://schemas.openxmlformats.org/officeDocument/2006/relationships/hyperlink" Target="https://www.instagram.com/heiat.abolfazl_sari/" TargetMode="External"/><Relationship Id="rId5225" Type="http://schemas.openxmlformats.org/officeDocument/2006/relationships/hyperlink" Target="https://www.instagram.com/heyate_omolbanin_saqakhane" TargetMode="External"/><Relationship Id="rId6556" Type="http://schemas.openxmlformats.org/officeDocument/2006/relationships/hyperlink" Target="https://www.instagram.com/heyate_mohebeen/" TargetMode="External"/><Relationship Id="rId7886" Type="http://schemas.openxmlformats.org/officeDocument/2006/relationships/hyperlink" Target="https://www.instagram.com/alavioonshahinshahr_noja" TargetMode="External"/><Relationship Id="rId1730" Type="http://schemas.openxmlformats.org/officeDocument/2006/relationships/hyperlink" Target="https://eitaa.com/rozeansarozahra" TargetMode="External"/><Relationship Id="rId1731" Type="http://schemas.openxmlformats.org/officeDocument/2006/relationships/hyperlink" Target="https://rozeansarozahra.ir/" TargetMode="External"/><Relationship Id="rId1732" Type="http://schemas.openxmlformats.org/officeDocument/2006/relationships/hyperlink" Target="https://www.instagram.com/rozekhanehajmasoudmehrjoo" TargetMode="External"/><Relationship Id="rId1733" Type="http://schemas.openxmlformats.org/officeDocument/2006/relationships/hyperlink" Target="https://t.me/hajmasoudmehrjoo" TargetMode="External"/><Relationship Id="rId1734" Type="http://schemas.openxmlformats.org/officeDocument/2006/relationships/hyperlink" Target="https://eitaa.com/s/hajmasoudmehrjoo" TargetMode="External"/><Relationship Id="rId1735" Type="http://schemas.openxmlformats.org/officeDocument/2006/relationships/hyperlink" Target="https://www.instagram.com/heyat201_ir/" TargetMode="External"/><Relationship Id="rId1736" Type="http://schemas.openxmlformats.org/officeDocument/2006/relationships/hyperlink" Target="https://t.me/heyat201_ir" TargetMode="External"/><Relationship Id="rId1737" Type="http://schemas.openxmlformats.org/officeDocument/2006/relationships/hyperlink" Target="https://eitaa.com/s/Heyat201_ir" TargetMode="External"/><Relationship Id="rId1738" Type="http://schemas.openxmlformats.org/officeDocument/2006/relationships/hyperlink" Target="https://www.instagram.com/masjedzeinabieh/" TargetMode="External"/><Relationship Id="rId1739" Type="http://schemas.openxmlformats.org/officeDocument/2006/relationships/hyperlink" Target="https://t.me/masjedzeinabieh" TargetMode="External"/><Relationship Id="rId1720" Type="http://schemas.openxmlformats.org/officeDocument/2006/relationships/hyperlink" Target="https://t.me/reyhanatolhossein_channel" TargetMode="External"/><Relationship Id="rId1721" Type="http://schemas.openxmlformats.org/officeDocument/2006/relationships/hyperlink" Target="https://eitaa.com/reyhanatolhossein_channell" TargetMode="External"/><Relationship Id="rId1722" Type="http://schemas.openxmlformats.org/officeDocument/2006/relationships/hyperlink" Target="https://www.instagram.com/lohoof.info/" TargetMode="External"/><Relationship Id="rId1723" Type="http://schemas.openxmlformats.org/officeDocument/2006/relationships/hyperlink" Target="https://lohoof.com/" TargetMode="External"/><Relationship Id="rId1724" Type="http://schemas.openxmlformats.org/officeDocument/2006/relationships/hyperlink" Target="https://www.instagram.com/reza_jan_tehran/" TargetMode="External"/><Relationship Id="rId1725" Type="http://schemas.openxmlformats.org/officeDocument/2006/relationships/hyperlink" Target="https://t.me/reza_jan_tehran" TargetMode="External"/><Relationship Id="rId1726" Type="http://schemas.openxmlformats.org/officeDocument/2006/relationships/hyperlink" Target="https://eitaa.com/reza_jan_tehran" TargetMode="External"/><Relationship Id="rId1727" Type="http://schemas.openxmlformats.org/officeDocument/2006/relationships/hyperlink" Target="https://www.youtube.com/@rezajantehrann" TargetMode="External"/><Relationship Id="rId1728" Type="http://schemas.openxmlformats.org/officeDocument/2006/relationships/hyperlink" Target="https://www.instagram.com/rozeansarozahra/" TargetMode="External"/><Relationship Id="rId1729" Type="http://schemas.openxmlformats.org/officeDocument/2006/relationships/hyperlink" Target="https://t.me/rozeansarozahra" TargetMode="External"/><Relationship Id="rId1752" Type="http://schemas.openxmlformats.org/officeDocument/2006/relationships/hyperlink" Target="https://t.me/saelin18" TargetMode="External"/><Relationship Id="rId1753" Type="http://schemas.openxmlformats.org/officeDocument/2006/relationships/hyperlink" Target="https://eitaa.com/saelin18" TargetMode="External"/><Relationship Id="rId1754" Type="http://schemas.openxmlformats.org/officeDocument/2006/relationships/hyperlink" Target="https://www.instagram.com/saralahnet/" TargetMode="External"/><Relationship Id="rId1755" Type="http://schemas.openxmlformats.org/officeDocument/2006/relationships/hyperlink" Target="https://t.me/saralahnet" TargetMode="External"/><Relationship Id="rId1756" Type="http://schemas.openxmlformats.org/officeDocument/2006/relationships/hyperlink" Target="https://eitaa.com/saralahnet" TargetMode="External"/><Relationship Id="rId1757" Type="http://schemas.openxmlformats.org/officeDocument/2006/relationships/hyperlink" Target="https://www.instagram.com/sbu_heyat/" TargetMode="External"/><Relationship Id="rId1758" Type="http://schemas.openxmlformats.org/officeDocument/2006/relationships/hyperlink" Target="https://t.me/SBU_HEYAT" TargetMode="External"/><Relationship Id="rId1759" Type="http://schemas.openxmlformats.org/officeDocument/2006/relationships/hyperlink" Target="https://eitaa.com/sbu_heyat" TargetMode="External"/><Relationship Id="rId1750" Type="http://schemas.openxmlformats.org/officeDocument/2006/relationships/hyperlink" Target="https://eitaa.com/s/safineh_info" TargetMode="External"/><Relationship Id="rId1751" Type="http://schemas.openxmlformats.org/officeDocument/2006/relationships/hyperlink" Target="https://www.instagram.com/saelin18/" TargetMode="External"/><Relationship Id="rId1741" Type="http://schemas.openxmlformats.org/officeDocument/2006/relationships/hyperlink" Target="https://www.instagram.com/misaq_ba_shohada/" TargetMode="External"/><Relationship Id="rId1742" Type="http://schemas.openxmlformats.org/officeDocument/2006/relationships/hyperlink" Target="https://t.me/misaq_ba_shohada" TargetMode="External"/><Relationship Id="rId1743" Type="http://schemas.openxmlformats.org/officeDocument/2006/relationships/hyperlink" Target="https://eitaa.com/s/misaq_ba_shohada" TargetMode="External"/><Relationship Id="rId1744" Type="http://schemas.openxmlformats.org/officeDocument/2006/relationships/hyperlink" Target="https://ble.ir/@misaq_ba_shohada" TargetMode="External"/><Relationship Id="rId1745" Type="http://schemas.openxmlformats.org/officeDocument/2006/relationships/hyperlink" Target="https://www.instagram.com/rozatoshohada.ir/" TargetMode="External"/><Relationship Id="rId1746" Type="http://schemas.openxmlformats.org/officeDocument/2006/relationships/hyperlink" Target="https://t.me/rozatoshohada_ir" TargetMode="External"/><Relationship Id="rId1747" Type="http://schemas.openxmlformats.org/officeDocument/2006/relationships/hyperlink" Target="https://eitaa.com/s/rozatoshohadaa_ir" TargetMode="External"/><Relationship Id="rId1748" Type="http://schemas.openxmlformats.org/officeDocument/2006/relationships/hyperlink" Target="https://www.instagram.com/safineh.info/" TargetMode="External"/><Relationship Id="rId1749" Type="http://schemas.openxmlformats.org/officeDocument/2006/relationships/hyperlink" Target="https://t.me/Safineh_info" TargetMode="External"/><Relationship Id="rId1740" Type="http://schemas.openxmlformats.org/officeDocument/2006/relationships/hyperlink" Target="https://eitaa.com/s/masjedzeynabieh" TargetMode="External"/><Relationship Id="rId5291" Type="http://schemas.openxmlformats.org/officeDocument/2006/relationships/hyperlink" Target="https://www.instagram.com/heiat_fatemeh_masomeh" TargetMode="External"/><Relationship Id="rId5292" Type="http://schemas.openxmlformats.org/officeDocument/2006/relationships/hyperlink" Target="https://t.me/jiroft_heat_fatemeh_masomeh" TargetMode="External"/><Relationship Id="rId5290" Type="http://schemas.openxmlformats.org/officeDocument/2006/relationships/hyperlink" Target="https://www.instagram.com/seyede_shohada_rodbar" TargetMode="External"/><Relationship Id="rId5295" Type="http://schemas.openxmlformats.org/officeDocument/2006/relationships/hyperlink" Target="https://www.instagram.com/taziye_alamdar_ravar" TargetMode="External"/><Relationship Id="rId5296" Type="http://schemas.openxmlformats.org/officeDocument/2006/relationships/hyperlink" Target="https://www.instagram.com/alghame.133/" TargetMode="External"/><Relationship Id="rId5293" Type="http://schemas.openxmlformats.org/officeDocument/2006/relationships/hyperlink" Target="https://t.me/razmandegan_eslam_kerman" TargetMode="External"/><Relationship Id="rId5294" Type="http://schemas.openxmlformats.org/officeDocument/2006/relationships/hyperlink" Target="https://eitaa.com/razmandegan_eslam_kerman" TargetMode="External"/><Relationship Id="rId5299" Type="http://schemas.openxmlformats.org/officeDocument/2006/relationships/hyperlink" Target="https://t.me/wwwyalesaratalhosseinir" TargetMode="External"/><Relationship Id="rId5297" Type="http://schemas.openxmlformats.org/officeDocument/2006/relationships/hyperlink" Target="https://t.me/alghame0133" TargetMode="External"/><Relationship Id="rId5298" Type="http://schemas.openxmlformats.org/officeDocument/2006/relationships/hyperlink" Target="https://www.instagram.com/heyat.yalesaratalhossein.anar" TargetMode="External"/><Relationship Id="rId5280" Type="http://schemas.openxmlformats.org/officeDocument/2006/relationships/hyperlink" Target="https://www.instagram.com/levaalzeynab_kerman" TargetMode="External"/><Relationship Id="rId5281" Type="http://schemas.openxmlformats.org/officeDocument/2006/relationships/hyperlink" Target="https://t.me/levaalzeynab_kerman" TargetMode="External"/><Relationship Id="rId5284" Type="http://schemas.openxmlformats.org/officeDocument/2006/relationships/hyperlink" Target="https://www.instagram.com/javanan_khadem_reza" TargetMode="External"/><Relationship Id="rId5285" Type="http://schemas.openxmlformats.org/officeDocument/2006/relationships/hyperlink" Target="https://www.instagram.com/oghaf.kr" TargetMode="External"/><Relationship Id="rId5282" Type="http://schemas.openxmlformats.org/officeDocument/2006/relationships/hyperlink" Target="https://www.instagram.com/heyat_mohebban_mahdi" TargetMode="External"/><Relationship Id="rId5283" Type="http://schemas.openxmlformats.org/officeDocument/2006/relationships/hyperlink" Target="https://www.instagram.com/heyat_azam" TargetMode="External"/><Relationship Id="rId5288" Type="http://schemas.openxmlformats.org/officeDocument/2006/relationships/hyperlink" Target="https://www.instagram.com/r.razmandegan.ir/" TargetMode="External"/><Relationship Id="rId5289" Type="http://schemas.openxmlformats.org/officeDocument/2006/relationships/hyperlink" Target="https://www.instagram.com/reza.vala.1365/" TargetMode="External"/><Relationship Id="rId5286" Type="http://schemas.openxmlformats.org/officeDocument/2006/relationships/hyperlink" Target="https://www.instagram.com/shohadayegomnam.zangiabad" TargetMode="External"/><Relationship Id="rId5287" Type="http://schemas.openxmlformats.org/officeDocument/2006/relationships/hyperlink" Target="https://www.instagram.com/maktabolmahdi1392" TargetMode="External"/><Relationship Id="rId1710" Type="http://schemas.openxmlformats.org/officeDocument/2006/relationships/hyperlink" Target="https://www.instagram.com/nororeza/" TargetMode="External"/><Relationship Id="rId1711" Type="http://schemas.openxmlformats.org/officeDocument/2006/relationships/hyperlink" Target="https://t.me/nororeza" TargetMode="External"/><Relationship Id="rId1712" Type="http://schemas.openxmlformats.org/officeDocument/2006/relationships/hyperlink" Target="https://eitaa.com/nororeza" TargetMode="External"/><Relationship Id="rId1713" Type="http://schemas.openxmlformats.org/officeDocument/2006/relationships/hyperlink" Target="https://www.instagram.com/oshagh_al_zeynab_s/" TargetMode="External"/><Relationship Id="rId1714" Type="http://schemas.openxmlformats.org/officeDocument/2006/relationships/hyperlink" Target="https://eitaa.com/oshagh_alzeynab_s" TargetMode="External"/><Relationship Id="rId1715" Type="http://schemas.openxmlformats.org/officeDocument/2006/relationships/hyperlink" Target="https://www.instagram.com/reyhanatolhosein1436/" TargetMode="External"/><Relationship Id="rId1716" Type="http://schemas.openxmlformats.org/officeDocument/2006/relationships/hyperlink" Target="https://t.me/Reyhanatolhosein1436" TargetMode="External"/><Relationship Id="rId1717" Type="http://schemas.openxmlformats.org/officeDocument/2006/relationships/hyperlink" Target="https://eitaa.com/reyhanatolhosein1436" TargetMode="External"/><Relationship Id="rId1718" Type="http://schemas.openxmlformats.org/officeDocument/2006/relationships/hyperlink" Target="https://www.youtube.com/@reyhanatolhosein" TargetMode="External"/><Relationship Id="rId1719" Type="http://schemas.openxmlformats.org/officeDocument/2006/relationships/hyperlink" Target="https://www.instagram.com/reyhanatolhossein" TargetMode="External"/><Relationship Id="rId1700" Type="http://schemas.openxmlformats.org/officeDocument/2006/relationships/hyperlink" Target="https://ble.ir/mohebbin_tmu" TargetMode="External"/><Relationship Id="rId1701" Type="http://schemas.openxmlformats.org/officeDocument/2006/relationships/hyperlink" Target="https://www.instagram.com/mohebinoljavad135/" TargetMode="External"/><Relationship Id="rId1702" Type="http://schemas.openxmlformats.org/officeDocument/2006/relationships/hyperlink" Target="https://eitaa.com/mohebinoljavad135" TargetMode="External"/><Relationship Id="rId1703" Type="http://schemas.openxmlformats.org/officeDocument/2006/relationships/hyperlink" Target="https://www.instagram.com/mohebbin__info/" TargetMode="External"/><Relationship Id="rId1704" Type="http://schemas.openxmlformats.org/officeDocument/2006/relationships/hyperlink" Target="https://t.me/mohebbineshahadat" TargetMode="External"/><Relationship Id="rId1705" Type="http://schemas.openxmlformats.org/officeDocument/2006/relationships/hyperlink" Target="https://eitaa.com/mohebinshahadat110" TargetMode="External"/><Relationship Id="rId1706" Type="http://schemas.openxmlformats.org/officeDocument/2006/relationships/hyperlink" Target="https://www.instagram.com/nooriehinfo/" TargetMode="External"/><Relationship Id="rId1707" Type="http://schemas.openxmlformats.org/officeDocument/2006/relationships/hyperlink" Target="https://t.me/nooriehinfo" TargetMode="External"/><Relationship Id="rId1708" Type="http://schemas.openxmlformats.org/officeDocument/2006/relationships/hyperlink" Target="https://eitaa.com/noorieh_ir" TargetMode="External"/><Relationship Id="rId1709" Type="http://schemas.openxmlformats.org/officeDocument/2006/relationships/hyperlink" Target="https://noorieh.ir/" TargetMode="External"/><Relationship Id="rId40" Type="http://schemas.openxmlformats.org/officeDocument/2006/relationships/hyperlink" Target="https://www.instagram.com/mohebanalmahdi.ir/" TargetMode="External"/><Relationship Id="rId42" Type="http://schemas.openxmlformats.org/officeDocument/2006/relationships/hyperlink" Target="https://eitaa.com/Heyate_Moheban_ALmahdi" TargetMode="External"/><Relationship Id="rId41" Type="http://schemas.openxmlformats.org/officeDocument/2006/relationships/hyperlink" Target="https://t.me/Heyate_Moheban_ALmahdi" TargetMode="External"/><Relationship Id="rId44" Type="http://schemas.openxmlformats.org/officeDocument/2006/relationships/hyperlink" Target="https://t.me/Shahzadeh_AliAsghar_amol" TargetMode="External"/><Relationship Id="rId43" Type="http://schemas.openxmlformats.org/officeDocument/2006/relationships/hyperlink" Target="https://www.instagram.com/aliasgharioon_amol/" TargetMode="External"/><Relationship Id="rId46" Type="http://schemas.openxmlformats.org/officeDocument/2006/relationships/hyperlink" Target="https://t.me/mohebolabbas_amol" TargetMode="External"/><Relationship Id="rId45" Type="http://schemas.openxmlformats.org/officeDocument/2006/relationships/hyperlink" Target="https://www.instagram.com/mohebolabbas/" TargetMode="External"/><Relationship Id="rId48" Type="http://schemas.openxmlformats.org/officeDocument/2006/relationships/hyperlink" Target="https://t.me/peyrovanamiralmomenin" TargetMode="External"/><Relationship Id="rId47" Type="http://schemas.openxmlformats.org/officeDocument/2006/relationships/hyperlink" Target="https://www.instagram.com/peyrovan.amiralmomenin" TargetMode="External"/><Relationship Id="rId49" Type="http://schemas.openxmlformats.org/officeDocument/2006/relationships/hyperlink" Target="https://www.instagram.com/ashabie.313.ir/" TargetMode="External"/><Relationship Id="rId31" Type="http://schemas.openxmlformats.org/officeDocument/2006/relationships/hyperlink" Target="https://eitaa.com/aliakbar_amol" TargetMode="External"/><Relationship Id="rId30" Type="http://schemas.openxmlformats.org/officeDocument/2006/relationships/hyperlink" Target="https://t.me/aliakbar_amol" TargetMode="External"/><Relationship Id="rId33" Type="http://schemas.openxmlformats.org/officeDocument/2006/relationships/hyperlink" Target="https://t.me/saranbeneyamool" TargetMode="External"/><Relationship Id="rId32" Type="http://schemas.openxmlformats.org/officeDocument/2006/relationships/hyperlink" Target="https://www.instagram.com/saran_be_ney59/" TargetMode="External"/><Relationship Id="rId35" Type="http://schemas.openxmlformats.org/officeDocument/2006/relationships/hyperlink" Target="https://t.me/Mjnoonolabbas" TargetMode="External"/><Relationship Id="rId34" Type="http://schemas.openxmlformats.org/officeDocument/2006/relationships/hyperlink" Target="https://www.instagram.com/majnoonolabbas/" TargetMode="External"/><Relationship Id="rId37" Type="http://schemas.openxmlformats.org/officeDocument/2006/relationships/hyperlink" Target="https://www.instagram.com/fatemioon.ir/" TargetMode="External"/><Relationship Id="rId36" Type="http://schemas.openxmlformats.org/officeDocument/2006/relationships/hyperlink" Target="https://www.instagram.com/emamhasan.amoll/" TargetMode="External"/><Relationship Id="rId39" Type="http://schemas.openxmlformats.org/officeDocument/2006/relationships/hyperlink" Target="https://eitaa.com/fatemioon_amol" TargetMode="External"/><Relationship Id="rId38" Type="http://schemas.openxmlformats.org/officeDocument/2006/relationships/hyperlink" Target="https://t.me/fatemioon_amol" TargetMode="External"/><Relationship Id="rId20" Type="http://schemas.openxmlformats.org/officeDocument/2006/relationships/hyperlink" Target="https://t.me/sahebollamr" TargetMode="External"/><Relationship Id="rId22" Type="http://schemas.openxmlformats.org/officeDocument/2006/relationships/hyperlink" Target="https://t.me/yazahraamol" TargetMode="External"/><Relationship Id="rId21" Type="http://schemas.openxmlformats.org/officeDocument/2006/relationships/hyperlink" Target="https://www.instagram.com/ya.zahrainfo/" TargetMode="External"/><Relationship Id="rId24" Type="http://schemas.openxmlformats.org/officeDocument/2006/relationships/hyperlink" Target="https://t.me/ValliAsr_Amol" TargetMode="External"/><Relationship Id="rId23" Type="http://schemas.openxmlformats.org/officeDocument/2006/relationships/hyperlink" Target="https://www.instagram.com/ValliAsr_Amol" TargetMode="External"/><Relationship Id="rId26" Type="http://schemas.openxmlformats.org/officeDocument/2006/relationships/hyperlink" Target="https://valiasramol.ir/" TargetMode="External"/><Relationship Id="rId25" Type="http://schemas.openxmlformats.org/officeDocument/2006/relationships/hyperlink" Target="https://eitaa.com/ValliAsr_Amol" TargetMode="External"/><Relationship Id="rId28" Type="http://schemas.openxmlformats.org/officeDocument/2006/relationships/hyperlink" Target="https://www.instagram.com/darolboka_amol/" TargetMode="External"/><Relationship Id="rId27" Type="http://schemas.openxmlformats.org/officeDocument/2006/relationships/hyperlink" Target="https://www.instagram.com/tekie.barbarkheyl/" TargetMode="External"/><Relationship Id="rId29" Type="http://schemas.openxmlformats.org/officeDocument/2006/relationships/hyperlink" Target="https://www.instagram.com/aliakbar_amol" TargetMode="External"/><Relationship Id="rId11" Type="http://schemas.openxmlformats.org/officeDocument/2006/relationships/hyperlink" Target="https://www.instagram.com/mohebinrezaa/" TargetMode="External"/><Relationship Id="rId10" Type="http://schemas.openxmlformats.org/officeDocument/2006/relationships/hyperlink" Target="https://eitaa.com/yalesaratamol" TargetMode="External"/><Relationship Id="rId13" Type="http://schemas.openxmlformats.org/officeDocument/2006/relationships/hyperlink" Target="https://eitaa.com/joodir" TargetMode="External"/><Relationship Id="rId12" Type="http://schemas.openxmlformats.org/officeDocument/2006/relationships/hyperlink" Target="https://www.instagram.com/jood.ir/" TargetMode="External"/><Relationship Id="rId15" Type="http://schemas.openxmlformats.org/officeDocument/2006/relationships/hyperlink" Target="https://t.me/ashkenab_ir" TargetMode="External"/><Relationship Id="rId14" Type="http://schemas.openxmlformats.org/officeDocument/2006/relationships/hyperlink" Target="https://www.instagram.com/saelin.irr/" TargetMode="External"/><Relationship Id="rId17" Type="http://schemas.openxmlformats.org/officeDocument/2006/relationships/hyperlink" Target="https://www.instagram.com/aletaha_org/" TargetMode="External"/><Relationship Id="rId16" Type="http://schemas.openxmlformats.org/officeDocument/2006/relationships/hyperlink" Target="https://eitaa.com/saelin_ir" TargetMode="External"/><Relationship Id="rId19" Type="http://schemas.openxmlformats.org/officeDocument/2006/relationships/hyperlink" Target="https://www.instagram.com/sahebolamr.amol/" TargetMode="External"/><Relationship Id="rId18" Type="http://schemas.openxmlformats.org/officeDocument/2006/relationships/hyperlink" Target="https://eitaa.com/aletaha_org" TargetMode="External"/><Relationship Id="rId84" Type="http://schemas.openxmlformats.org/officeDocument/2006/relationships/hyperlink" Target="https://www.instagram.com/shohadayegomnam.babol" TargetMode="External"/><Relationship Id="rId1774" Type="http://schemas.openxmlformats.org/officeDocument/2006/relationships/hyperlink" Target="https://www.instagram.com/hoseiniemashayekhi/" TargetMode="External"/><Relationship Id="rId83" Type="http://schemas.openxmlformats.org/officeDocument/2006/relationships/hyperlink" Target="https://tahmasbpour.ir/" TargetMode="External"/><Relationship Id="rId1775" Type="http://schemas.openxmlformats.org/officeDocument/2006/relationships/hyperlink" Target="https://www.instagram.com/mokeb_ansaralabas/" TargetMode="External"/><Relationship Id="rId86" Type="http://schemas.openxmlformats.org/officeDocument/2006/relationships/hyperlink" Target="https://www.instagram.com/rowzatolhussain/" TargetMode="External"/><Relationship Id="rId1776" Type="http://schemas.openxmlformats.org/officeDocument/2006/relationships/hyperlink" Target="https://t.me/ansaralabasgharbtehran" TargetMode="External"/><Relationship Id="rId85" Type="http://schemas.openxmlformats.org/officeDocument/2006/relationships/hyperlink" Target="https://eitaa.com/shohadayegomnam_in" TargetMode="External"/><Relationship Id="rId1777" Type="http://schemas.openxmlformats.org/officeDocument/2006/relationships/hyperlink" Target="https://www.instagram.com/hoseiniyh_ansaralabbas/" TargetMode="External"/><Relationship Id="rId88" Type="http://schemas.openxmlformats.org/officeDocument/2006/relationships/hyperlink" Target="https://eitaa.com/rowzatolhussain" TargetMode="External"/><Relationship Id="rId1778" Type="http://schemas.openxmlformats.org/officeDocument/2006/relationships/hyperlink" Target="https://www.instagram.com/masjed_yahya/" TargetMode="External"/><Relationship Id="rId87" Type="http://schemas.openxmlformats.org/officeDocument/2006/relationships/hyperlink" Target="https://t.me/Rowzatolhussain" TargetMode="External"/><Relationship Id="rId1779" Type="http://schemas.openxmlformats.org/officeDocument/2006/relationships/hyperlink" Target="https://t.me/mazloomeh" TargetMode="External"/><Relationship Id="rId89" Type="http://schemas.openxmlformats.org/officeDocument/2006/relationships/hyperlink" Target="https://www.instagram.com/tarahom.info/" TargetMode="External"/><Relationship Id="rId80" Type="http://schemas.openxmlformats.org/officeDocument/2006/relationships/hyperlink" Target="https://t.me/ommolmasaeb_com" TargetMode="External"/><Relationship Id="rId82" Type="http://schemas.openxmlformats.org/officeDocument/2006/relationships/hyperlink" Target="https://eitaa.com/tahmasbpour_ir" TargetMode="External"/><Relationship Id="rId81" Type="http://schemas.openxmlformats.org/officeDocument/2006/relationships/hyperlink" Target="https://www.instagram.com/mohebanozahra_babol/" TargetMode="External"/><Relationship Id="rId1770" Type="http://schemas.openxmlformats.org/officeDocument/2006/relationships/hyperlink" Target="https://t.me/hasanjan" TargetMode="External"/><Relationship Id="rId1771" Type="http://schemas.openxmlformats.org/officeDocument/2006/relationships/hyperlink" Target="https://www.instagram.com/hasan.jan/" TargetMode="External"/><Relationship Id="rId1772" Type="http://schemas.openxmlformats.org/officeDocument/2006/relationships/hyperlink" Target="https://www.instagram.com/okhtolabas/following/" TargetMode="External"/><Relationship Id="rId1773" Type="http://schemas.openxmlformats.org/officeDocument/2006/relationships/hyperlink" Target="https://t.me/hoseiniemashayekhi" TargetMode="External"/><Relationship Id="rId73" Type="http://schemas.openxmlformats.org/officeDocument/2006/relationships/hyperlink" Target="http://t.me/buria_ir" TargetMode="External"/><Relationship Id="rId1763" Type="http://schemas.openxmlformats.org/officeDocument/2006/relationships/hyperlink" Target="https://eitaa.com/senf_bazzaz" TargetMode="External"/><Relationship Id="rId72" Type="http://schemas.openxmlformats.org/officeDocument/2006/relationships/hyperlink" Target="https://www.instagram.com/buria.ir/" TargetMode="External"/><Relationship Id="rId1764" Type="http://schemas.openxmlformats.org/officeDocument/2006/relationships/hyperlink" Target="https://www.instagram.com/shafie_al_moznebin/" TargetMode="External"/><Relationship Id="rId75" Type="http://schemas.openxmlformats.org/officeDocument/2006/relationships/hyperlink" Target="https://www.instagram.com/esajadieh_ir/" TargetMode="External"/><Relationship Id="rId1765" Type="http://schemas.openxmlformats.org/officeDocument/2006/relationships/hyperlink" Target="https://t.me/Shafie_al_moznebin" TargetMode="External"/><Relationship Id="rId74" Type="http://schemas.openxmlformats.org/officeDocument/2006/relationships/hyperlink" Target="https://eitaa.com/buriaaa" TargetMode="External"/><Relationship Id="rId1766" Type="http://schemas.openxmlformats.org/officeDocument/2006/relationships/hyperlink" Target="https://eitaa.com/Shafie_al_mozne" TargetMode="External"/><Relationship Id="rId77" Type="http://schemas.openxmlformats.org/officeDocument/2006/relationships/hyperlink" Target="https://t.me/beytolabbas_babol" TargetMode="External"/><Relationship Id="rId1767" Type="http://schemas.openxmlformats.org/officeDocument/2006/relationships/hyperlink" Target="https://www.instagram.com/heyat_yaazaynab/" TargetMode="External"/><Relationship Id="rId76" Type="http://schemas.openxmlformats.org/officeDocument/2006/relationships/hyperlink" Target="https://www.instagram.com/beytolabbas.info/" TargetMode="External"/><Relationship Id="rId1768" Type="http://schemas.openxmlformats.org/officeDocument/2006/relationships/hyperlink" Target="https://eitaa.com/yaa_zaynab" TargetMode="External"/><Relationship Id="rId79" Type="http://schemas.openxmlformats.org/officeDocument/2006/relationships/hyperlink" Target="https://www.instagram.com/ommolmasaeb/" TargetMode="External"/><Relationship Id="rId1769" Type="http://schemas.openxmlformats.org/officeDocument/2006/relationships/hyperlink" Target="https://www.instagram.com/heiat.hasanjan/" TargetMode="External"/><Relationship Id="rId78" Type="http://schemas.openxmlformats.org/officeDocument/2006/relationships/hyperlink" Target="https://eitaa.com/beytolabbas_babol" TargetMode="External"/><Relationship Id="rId71" Type="http://schemas.openxmlformats.org/officeDocument/2006/relationships/hyperlink" Target="https://www.instagram.com/mookeb.info/" TargetMode="External"/><Relationship Id="rId70" Type="http://schemas.openxmlformats.org/officeDocument/2006/relationships/hyperlink" Target="http://www.beytozahra.com/" TargetMode="External"/><Relationship Id="rId1760" Type="http://schemas.openxmlformats.org/officeDocument/2006/relationships/hyperlink" Target="https://ble.ir/Sbu_heyat" TargetMode="External"/><Relationship Id="rId1761" Type="http://schemas.openxmlformats.org/officeDocument/2006/relationships/hyperlink" Target="https://www.instagram.com/senf_bazzaz/" TargetMode="External"/><Relationship Id="rId1762" Type="http://schemas.openxmlformats.org/officeDocument/2006/relationships/hyperlink" Target="https://t.me/senf_bazzaz" TargetMode="External"/><Relationship Id="rId62" Type="http://schemas.openxmlformats.org/officeDocument/2006/relationships/hyperlink" Target="https://www.instagram.com/mohebanalmasomin/" TargetMode="External"/><Relationship Id="rId1796" Type="http://schemas.openxmlformats.org/officeDocument/2006/relationships/hyperlink" Target="https://t.me/fatemioongharb" TargetMode="External"/><Relationship Id="rId61" Type="http://schemas.openxmlformats.org/officeDocument/2006/relationships/hyperlink" Target="https://eitaa.com/beyraq_info" TargetMode="External"/><Relationship Id="rId1797" Type="http://schemas.openxmlformats.org/officeDocument/2006/relationships/hyperlink" Target="https://www.instagram.com/majmaolansar/" TargetMode="External"/><Relationship Id="rId64" Type="http://schemas.openxmlformats.org/officeDocument/2006/relationships/hyperlink" Target="https://t.me/ommolboka_babol" TargetMode="External"/><Relationship Id="rId1798" Type="http://schemas.openxmlformats.org/officeDocument/2006/relationships/hyperlink" Target="https://t.me/Fatemiyeh_94" TargetMode="External"/><Relationship Id="rId63" Type="http://schemas.openxmlformats.org/officeDocument/2006/relationships/hyperlink" Target="https://www.instagram.com/ommolboka_babol/" TargetMode="External"/><Relationship Id="rId1799" Type="http://schemas.openxmlformats.org/officeDocument/2006/relationships/hyperlink" Target="https://www.instagram.com/tahuor110/" TargetMode="External"/><Relationship Id="rId66" Type="http://schemas.openxmlformats.org/officeDocument/2006/relationships/hyperlink" Target="https://www.instagram.com/beytozahra.info/" TargetMode="External"/><Relationship Id="rId65" Type="http://schemas.openxmlformats.org/officeDocument/2006/relationships/hyperlink" Target="https://eitaa.com/ommolboka_babol" TargetMode="External"/><Relationship Id="rId68" Type="http://schemas.openxmlformats.org/officeDocument/2006/relationships/hyperlink" Target="https://eitaa.com/beytozahra_ir" TargetMode="External"/><Relationship Id="rId67" Type="http://schemas.openxmlformats.org/officeDocument/2006/relationships/hyperlink" Target="https://t.me/beytozahra_ir" TargetMode="External"/><Relationship Id="rId60" Type="http://schemas.openxmlformats.org/officeDocument/2006/relationships/hyperlink" Target="https://t.me/beyraq_info" TargetMode="External"/><Relationship Id="rId69" Type="http://schemas.openxmlformats.org/officeDocument/2006/relationships/hyperlink" Target="https://www.youtube.com/@beytozahra4337/" TargetMode="External"/><Relationship Id="rId1790" Type="http://schemas.openxmlformats.org/officeDocument/2006/relationships/hyperlink" Target="https://www.khonehmadari.com/" TargetMode="External"/><Relationship Id="rId1791" Type="http://schemas.openxmlformats.org/officeDocument/2006/relationships/hyperlink" Target="https://www.instagram.com/mohebanozahra/" TargetMode="External"/><Relationship Id="rId1792" Type="http://schemas.openxmlformats.org/officeDocument/2006/relationships/hyperlink" Target="https://t.me/C_agh" TargetMode="External"/><Relationship Id="rId1793" Type="http://schemas.openxmlformats.org/officeDocument/2006/relationships/hyperlink" Target="https://www.instagram.com/roze_dordane_hosein/" TargetMode="External"/><Relationship Id="rId1794" Type="http://schemas.openxmlformats.org/officeDocument/2006/relationships/hyperlink" Target="https://t.me/dordanehosein" TargetMode="External"/><Relationship Id="rId1795" Type="http://schemas.openxmlformats.org/officeDocument/2006/relationships/hyperlink" Target="https://www.instagram.com/heyaat_fatemioon/" TargetMode="External"/><Relationship Id="rId51" Type="http://schemas.openxmlformats.org/officeDocument/2006/relationships/hyperlink" Target="https://www.instagram.com/rozatoshohada.amol/" TargetMode="External"/><Relationship Id="rId1785" Type="http://schemas.openxmlformats.org/officeDocument/2006/relationships/hyperlink" Target="https://t.me/peyrovan_emam_hosein" TargetMode="External"/><Relationship Id="rId50" Type="http://schemas.openxmlformats.org/officeDocument/2006/relationships/hyperlink" Target="https://t.me/ashabioon" TargetMode="External"/><Relationship Id="rId1786" Type="http://schemas.openxmlformats.org/officeDocument/2006/relationships/hyperlink" Target="https://www.instagram.com/lasaratalhossein1378/" TargetMode="External"/><Relationship Id="rId53" Type="http://schemas.openxmlformats.org/officeDocument/2006/relationships/hyperlink" Target="https://t.me/heyat_Amol" TargetMode="External"/><Relationship Id="rId1787" Type="http://schemas.openxmlformats.org/officeDocument/2006/relationships/hyperlink" Target="http://t.me/lasaratelhosain" TargetMode="External"/><Relationship Id="rId52" Type="http://schemas.openxmlformats.org/officeDocument/2006/relationships/hyperlink" Target="https://www.instagram.com/heyat_seyedollshohada_amol/" TargetMode="External"/><Relationship Id="rId1788" Type="http://schemas.openxmlformats.org/officeDocument/2006/relationships/hyperlink" Target="https://www.instagram.com/heiatozahra/" TargetMode="External"/><Relationship Id="rId55" Type="http://schemas.openxmlformats.org/officeDocument/2006/relationships/hyperlink" Target="https://www.instagram.com/hasanioun.info/" TargetMode="External"/><Relationship Id="rId1789" Type="http://schemas.openxmlformats.org/officeDocument/2006/relationships/hyperlink" Target="https://t.me/alkosarheiatozahra" TargetMode="External"/><Relationship Id="rId54" Type="http://schemas.openxmlformats.org/officeDocument/2006/relationships/hyperlink" Target="https://www.instagram.com/heiat.shahzade.aliakbar/" TargetMode="External"/><Relationship Id="rId57" Type="http://schemas.openxmlformats.org/officeDocument/2006/relationships/hyperlink" Target="https://www.instagram.com/peyrovan.amol/" TargetMode="External"/><Relationship Id="rId56" Type="http://schemas.openxmlformats.org/officeDocument/2006/relationships/hyperlink" Target="https://t.me/hasaniha" TargetMode="External"/><Relationship Id="rId59" Type="http://schemas.openxmlformats.org/officeDocument/2006/relationships/hyperlink" Target="https://www.instagram.com/mohebbanolabas/" TargetMode="External"/><Relationship Id="rId58" Type="http://schemas.openxmlformats.org/officeDocument/2006/relationships/hyperlink" Target="https://www.instagram.com/sahebalzamanir/" TargetMode="External"/><Relationship Id="rId1780" Type="http://schemas.openxmlformats.org/officeDocument/2006/relationships/hyperlink" Target="https://www.instagram.com/mazloomeh/" TargetMode="External"/><Relationship Id="rId1781" Type="http://schemas.openxmlformats.org/officeDocument/2006/relationships/hyperlink" Target="https://www.instagram.com/razavioun.media/" TargetMode="External"/><Relationship Id="rId1782" Type="http://schemas.openxmlformats.org/officeDocument/2006/relationships/hyperlink" Target="https://t.me/razaviouninfo" TargetMode="External"/><Relationship Id="rId1783" Type="http://schemas.openxmlformats.org/officeDocument/2006/relationships/hyperlink" Target="https://www.instagram.com/razaviouninfo/" TargetMode="External"/><Relationship Id="rId1784" Type="http://schemas.openxmlformats.org/officeDocument/2006/relationships/hyperlink" Target="https://www.instagram.com/peyrovan_emam_hosein/" TargetMode="External"/><Relationship Id="rId6627" Type="http://schemas.openxmlformats.org/officeDocument/2006/relationships/hyperlink" Target="https://www.instagram.com/moheban_javadolaeme/" TargetMode="External"/><Relationship Id="rId7959" Type="http://schemas.openxmlformats.org/officeDocument/2006/relationships/hyperlink" Target="https://t.me/kanoonmirjalal" TargetMode="External"/><Relationship Id="rId6628" Type="http://schemas.openxmlformats.org/officeDocument/2006/relationships/hyperlink" Target="https://www.instagram.com/moheban_javadolaeme/" TargetMode="External"/><Relationship Id="rId7958" Type="http://schemas.openxmlformats.org/officeDocument/2006/relationships/hyperlink" Target="https://eitaa.com/heiat1349_ir" TargetMode="External"/><Relationship Id="rId6625" Type="http://schemas.openxmlformats.org/officeDocument/2006/relationships/hyperlink" Target="https://www.instagram.com/mohammad_mahdi_malakzadeh/" TargetMode="External"/><Relationship Id="rId7957" Type="http://schemas.openxmlformats.org/officeDocument/2006/relationships/hyperlink" Target="https://t.me/heiat1349_ir" TargetMode="External"/><Relationship Id="rId6626" Type="http://schemas.openxmlformats.org/officeDocument/2006/relationships/hyperlink" Target="http://t.me/sajjadieh_1380" TargetMode="External"/><Relationship Id="rId7956" Type="http://schemas.openxmlformats.org/officeDocument/2006/relationships/hyperlink" Target="https://www.instagram.com/heiat1349_ir" TargetMode="External"/><Relationship Id="rId6629" Type="http://schemas.openxmlformats.org/officeDocument/2006/relationships/hyperlink" Target="https://www.instagram.com/moheban_shohada2" TargetMode="External"/><Relationship Id="rId349" Type="http://schemas.openxmlformats.org/officeDocument/2006/relationships/hyperlink" Target="https://www.instagram.com/qamarbanihashem.info/" TargetMode="External"/><Relationship Id="rId348" Type="http://schemas.openxmlformats.org/officeDocument/2006/relationships/hyperlink" Target="https://eitaa.com/rahrovan_shohada_sari" TargetMode="External"/><Relationship Id="rId347" Type="http://schemas.openxmlformats.org/officeDocument/2006/relationships/hyperlink" Target="https://t.me/rahrovanshohadasari" TargetMode="External"/><Relationship Id="rId346" Type="http://schemas.openxmlformats.org/officeDocument/2006/relationships/hyperlink" Target="https://www.instagram.com/rahrovanshohadasari/" TargetMode="External"/><Relationship Id="rId341" Type="http://schemas.openxmlformats.org/officeDocument/2006/relationships/hyperlink" Target="https://www.instagram.com/khoddam_shohada_sari" TargetMode="External"/><Relationship Id="rId7951" Type="http://schemas.openxmlformats.org/officeDocument/2006/relationships/hyperlink" Target="https://eitaa.com/heyatallzahra" TargetMode="External"/><Relationship Id="rId340" Type="http://schemas.openxmlformats.org/officeDocument/2006/relationships/hyperlink" Target="https://www.instagram.com/ansariha_sari/" TargetMode="External"/><Relationship Id="rId6620" Type="http://schemas.openxmlformats.org/officeDocument/2006/relationships/hyperlink" Target="https://www.instagram.com/masjed_mousabne_jafar" TargetMode="External"/><Relationship Id="rId7950" Type="http://schemas.openxmlformats.org/officeDocument/2006/relationships/hyperlink" Target="https://www.instagram.com/ansarolmahdi137" TargetMode="External"/><Relationship Id="rId345" Type="http://schemas.openxmlformats.org/officeDocument/2006/relationships/hyperlink" Target="https://www.instagram.com/rahrovan_sari/" TargetMode="External"/><Relationship Id="rId6623" Type="http://schemas.openxmlformats.org/officeDocument/2006/relationships/hyperlink" Target="https://www.instagram.com/masjedezeynabiyeh" TargetMode="External"/><Relationship Id="rId7955" Type="http://schemas.openxmlformats.org/officeDocument/2006/relationships/hyperlink" Target="https://eitaa.com/ghriibemadine_118" TargetMode="External"/><Relationship Id="rId344" Type="http://schemas.openxmlformats.org/officeDocument/2006/relationships/hyperlink" Target="https://www.instagram.com/heydariion/" TargetMode="External"/><Relationship Id="rId6624" Type="http://schemas.openxmlformats.org/officeDocument/2006/relationships/hyperlink" Target="https://www.instagram.com/menhajalmahdi/" TargetMode="External"/><Relationship Id="rId7954" Type="http://schemas.openxmlformats.org/officeDocument/2006/relationships/hyperlink" Target="https://t.me/ghriibemadine_118" TargetMode="External"/><Relationship Id="rId343" Type="http://schemas.openxmlformats.org/officeDocument/2006/relationships/hyperlink" Target="https://eitaa.com/khodamoshohada_sari" TargetMode="External"/><Relationship Id="rId6621" Type="http://schemas.openxmlformats.org/officeDocument/2006/relationships/hyperlink" Target="https://www.instagram.com/masjed.abolfazl.karaj/" TargetMode="External"/><Relationship Id="rId7953" Type="http://schemas.openxmlformats.org/officeDocument/2006/relationships/hyperlink" Target="https://www.instagram.com/ghariibemadine.118" TargetMode="External"/><Relationship Id="rId342" Type="http://schemas.openxmlformats.org/officeDocument/2006/relationships/hyperlink" Target="https://t.me/heyat_khodam" TargetMode="External"/><Relationship Id="rId6622" Type="http://schemas.openxmlformats.org/officeDocument/2006/relationships/hyperlink" Target="https://www.instagram.com/masjedepayambar" TargetMode="External"/><Relationship Id="rId7952" Type="http://schemas.openxmlformats.org/officeDocument/2006/relationships/hyperlink" Target="https://www.instagram.com/mahale_paeen_kachooeiyeh" TargetMode="External"/><Relationship Id="rId6616" Type="http://schemas.openxmlformats.org/officeDocument/2006/relationships/hyperlink" Target="https://www.instagram.com/masjed__aliebnabitaleb" TargetMode="External"/><Relationship Id="rId7948" Type="http://schemas.openxmlformats.org/officeDocument/2006/relationships/hyperlink" Target="https://www.instagram.com/hejs_m" TargetMode="External"/><Relationship Id="rId6617" Type="http://schemas.openxmlformats.org/officeDocument/2006/relationships/hyperlink" Target="https://www.instagram.com/masjed_imamjafarsadegh/" TargetMode="External"/><Relationship Id="rId7947" Type="http://schemas.openxmlformats.org/officeDocument/2006/relationships/hyperlink" Target="https://t.me/heiat_Asheghane_rohollah" TargetMode="External"/><Relationship Id="rId6614" Type="http://schemas.openxmlformats.org/officeDocument/2006/relationships/hyperlink" Target="https://www.instagram.com/maktabol_zahra_karaj/" TargetMode="External"/><Relationship Id="rId7946" Type="http://schemas.openxmlformats.org/officeDocument/2006/relationships/hyperlink" Target="https://www.instagram.com/heiat_asheghane_rohollah" TargetMode="External"/><Relationship Id="rId6615" Type="http://schemas.openxmlformats.org/officeDocument/2006/relationships/hyperlink" Target="https://www.instagram.com/maktabsadegh_karaj/" TargetMode="External"/><Relationship Id="rId7945" Type="http://schemas.openxmlformats.org/officeDocument/2006/relationships/hyperlink" Target="https://eitaa.com/h_mohebbane_h_zahra135" TargetMode="External"/><Relationship Id="rId6618" Type="http://schemas.openxmlformats.org/officeDocument/2006/relationships/hyperlink" Target="https://www.instagram.com/masjed_jameraja" TargetMode="External"/><Relationship Id="rId6619" Type="http://schemas.openxmlformats.org/officeDocument/2006/relationships/hyperlink" Target="https://eitaa.com/masjed_jameraja" TargetMode="External"/><Relationship Id="rId7949" Type="http://schemas.openxmlformats.org/officeDocument/2006/relationships/hyperlink" Target="https://t.me/hejs_m" TargetMode="External"/><Relationship Id="rId338" Type="http://schemas.openxmlformats.org/officeDocument/2006/relationships/hyperlink" Target="https://t.me/ansaresarii" TargetMode="External"/><Relationship Id="rId337" Type="http://schemas.openxmlformats.org/officeDocument/2006/relationships/hyperlink" Target="https://www.instagram.com/ansaresarii/" TargetMode="External"/><Relationship Id="rId336" Type="http://schemas.openxmlformats.org/officeDocument/2006/relationships/hyperlink" Target="https://t.me/beitozzahra_ir" TargetMode="External"/><Relationship Id="rId335" Type="http://schemas.openxmlformats.org/officeDocument/2006/relationships/hyperlink" Target="https://www.instagram.com/beitozzahra_ir" TargetMode="External"/><Relationship Id="rId339" Type="http://schemas.openxmlformats.org/officeDocument/2006/relationships/hyperlink" Target="https://eitaa.com/ansaresarii" TargetMode="External"/><Relationship Id="rId330" Type="http://schemas.openxmlformats.org/officeDocument/2006/relationships/hyperlink" Target="https://www.instagram.com/javadolaeme_ir/" TargetMode="External"/><Relationship Id="rId7940" Type="http://schemas.openxmlformats.org/officeDocument/2006/relationships/hyperlink" Target="https://www.instagram.com/misagh_shahidan" TargetMode="External"/><Relationship Id="rId334" Type="http://schemas.openxmlformats.org/officeDocument/2006/relationships/hyperlink" Target="https://www.instagram.com/gharibe_madine_sari" TargetMode="External"/><Relationship Id="rId6612" Type="http://schemas.openxmlformats.org/officeDocument/2006/relationships/hyperlink" Target="https://www.instagram.com/majmae_montazeran313/" TargetMode="External"/><Relationship Id="rId7944" Type="http://schemas.openxmlformats.org/officeDocument/2006/relationships/hyperlink" Target="https://www.instagram.com/h_mohebbane_h_zahra135" TargetMode="External"/><Relationship Id="rId333" Type="http://schemas.openxmlformats.org/officeDocument/2006/relationships/hyperlink" Target="https://www.instagram.com/maktab.sadegh84/" TargetMode="External"/><Relationship Id="rId6613" Type="http://schemas.openxmlformats.org/officeDocument/2006/relationships/hyperlink" Target="https://www.instagram.com/maktab.zahra.fardis.fan/" TargetMode="External"/><Relationship Id="rId7943" Type="http://schemas.openxmlformats.org/officeDocument/2006/relationships/hyperlink" Target="https://eitaa.com/sarala551" TargetMode="External"/><Relationship Id="rId332" Type="http://schemas.openxmlformats.org/officeDocument/2006/relationships/hyperlink" Target="https://www.instagram.com/ansaralmahdi.rostamkola/" TargetMode="External"/><Relationship Id="rId6610" Type="http://schemas.openxmlformats.org/officeDocument/2006/relationships/hyperlink" Target="https://www.instagram.com/mahfel7/" TargetMode="External"/><Relationship Id="rId7942" Type="http://schemas.openxmlformats.org/officeDocument/2006/relationships/hyperlink" Target="https://eitaa.com/asheghan_velayat_ntz" TargetMode="External"/><Relationship Id="rId331" Type="http://schemas.openxmlformats.org/officeDocument/2006/relationships/hyperlink" Target="https://t.me/javanan_javadolaemeh_rostamkola" TargetMode="External"/><Relationship Id="rId6611" Type="http://schemas.openxmlformats.org/officeDocument/2006/relationships/hyperlink" Target="https://www.instagram.com/majma.fatemiyoun/" TargetMode="External"/><Relationship Id="rId7941" Type="http://schemas.openxmlformats.org/officeDocument/2006/relationships/hyperlink" Target="https://eitaa.com/misagh_shahidan" TargetMode="External"/><Relationship Id="rId5318" Type="http://schemas.openxmlformats.org/officeDocument/2006/relationships/hyperlink" Target="https://t.me/kowsar_chatrod" TargetMode="External"/><Relationship Id="rId6649" Type="http://schemas.openxmlformats.org/officeDocument/2006/relationships/hyperlink" Target="https://l.instagram.com/?u=http%3A%2F%2Ft.me%2Fmontazeranfaraj110%3Futm_source%3Dig%26utm_medium%3Dsocial%26utm_content%3Dlink_in_bio%26fbclid%3DPAZXh0bgNhZW0CMTEAc3J0YwZhcHBfaWQMMjU2MjgxMDQwNTU4AAGnaCcsfAo5lrg23xomRjkL1AeOSxq-R7uPqQ4Bzm1XItTsfnqbbCYzFMyvii0_aem_KjU4MszVSb12TJF9jHqnOA&amp;e=AT20lYT6TxiyFZeAMej8Cfa7M6eb8YeavZ8ROovjQKCR9Sh2pbG3Pc_rEPOlSSJulAoFM7xNkxYAZ5ll3xKnaEX5HGmEGjq5rXeaAQHYpg" TargetMode="External"/><Relationship Id="rId5319" Type="http://schemas.openxmlformats.org/officeDocument/2006/relationships/hyperlink" Target="https://www.instagram.com/teflan.moslem.rafsanjan" TargetMode="External"/><Relationship Id="rId5316" Type="http://schemas.openxmlformats.org/officeDocument/2006/relationships/hyperlink" Target="https://www.instagram.com/heyat.karimahlebeyt" TargetMode="External"/><Relationship Id="rId6647" Type="http://schemas.openxmlformats.org/officeDocument/2006/relationships/hyperlink" Target="https://t.me/Montaghem135" TargetMode="External"/><Relationship Id="rId7979" Type="http://schemas.openxmlformats.org/officeDocument/2006/relationships/hyperlink" Target="https://www.instagram.com/fadaeiane_mahdi" TargetMode="External"/><Relationship Id="rId5317" Type="http://schemas.openxmlformats.org/officeDocument/2006/relationships/hyperlink" Target="https://www.instagram.com/heyat_fatemiyoon_chatrood" TargetMode="External"/><Relationship Id="rId6648" Type="http://schemas.openxmlformats.org/officeDocument/2006/relationships/hyperlink" Target="https://www.instagram.com/montazeran_faraj110/" TargetMode="External"/><Relationship Id="rId7978" Type="http://schemas.openxmlformats.org/officeDocument/2006/relationships/hyperlink" Target="https://www.instagram.com/sahebazaman_a" TargetMode="External"/><Relationship Id="rId370" Type="http://schemas.openxmlformats.org/officeDocument/2006/relationships/hyperlink" Target="https://t.me/shahekhorasan" TargetMode="External"/><Relationship Id="rId369" Type="http://schemas.openxmlformats.org/officeDocument/2006/relationships/hyperlink" Target="https://www.instagram.com/shahe_khorasan_media/" TargetMode="External"/><Relationship Id="rId368" Type="http://schemas.openxmlformats.org/officeDocument/2006/relationships/hyperlink" Target="https://eitaa.com/shabab_abalfazl" TargetMode="External"/><Relationship Id="rId363" Type="http://schemas.openxmlformats.org/officeDocument/2006/relationships/hyperlink" Target="https://www.instagram.com/shahe_khourasan_sari/" TargetMode="External"/><Relationship Id="rId5310" Type="http://schemas.openxmlformats.org/officeDocument/2006/relationships/hyperlink" Target="https://www.instagram.com/khademolmahdi_kerman" TargetMode="External"/><Relationship Id="rId6641" Type="http://schemas.openxmlformats.org/officeDocument/2006/relationships/hyperlink" Target="https://www.instagram.com/mohebin_ahle_beyt_" TargetMode="External"/><Relationship Id="rId7973" Type="http://schemas.openxmlformats.org/officeDocument/2006/relationships/hyperlink" Target="https://www.instagram.com/nojavan_sayeban" TargetMode="External"/><Relationship Id="rId362" Type="http://schemas.openxmlformats.org/officeDocument/2006/relationships/hyperlink" Target="https://t.me/zeynabioun_ir" TargetMode="External"/><Relationship Id="rId5311" Type="http://schemas.openxmlformats.org/officeDocument/2006/relationships/hyperlink" Target="https://www.instagram.com/kaffolabas133" TargetMode="External"/><Relationship Id="rId6642" Type="http://schemas.openxmlformats.org/officeDocument/2006/relationships/hyperlink" Target="https://www.instagram.com/mohebinolhasanein_karaj/" TargetMode="External"/><Relationship Id="rId7972" Type="http://schemas.openxmlformats.org/officeDocument/2006/relationships/hyperlink" Target="https://t.me/Abolfazl_b_bm" TargetMode="External"/><Relationship Id="rId361" Type="http://schemas.openxmlformats.org/officeDocument/2006/relationships/hyperlink" Target="https://www.instagram.com/zeynabioun_ir" TargetMode="External"/><Relationship Id="rId7971" Type="http://schemas.openxmlformats.org/officeDocument/2006/relationships/hyperlink" Target="https://www.instagram.com/hazrat.abolfazl_bm" TargetMode="External"/><Relationship Id="rId360" Type="http://schemas.openxmlformats.org/officeDocument/2006/relationships/hyperlink" Target="https://www.instagram.com/javadolaemeh_sari/" TargetMode="External"/><Relationship Id="rId6640" Type="http://schemas.openxmlformats.org/officeDocument/2006/relationships/hyperlink" Target="https://www.instagram.com/mohebbanolaemmeh_313" TargetMode="External"/><Relationship Id="rId7970" Type="http://schemas.openxmlformats.org/officeDocument/2006/relationships/hyperlink" Target="https://www.instagram.com/heiat_abolfazelabas" TargetMode="External"/><Relationship Id="rId367" Type="http://schemas.openxmlformats.org/officeDocument/2006/relationships/hyperlink" Target="https://www.instagram.com/shabab_abalfazl/" TargetMode="External"/><Relationship Id="rId5314" Type="http://schemas.openxmlformats.org/officeDocument/2006/relationships/hyperlink" Target="https://t.me/heatansaralmahdik" TargetMode="External"/><Relationship Id="rId6645" Type="http://schemas.openxmlformats.org/officeDocument/2006/relationships/hyperlink" Target="http://t.me/MohsenieKaraj" TargetMode="External"/><Relationship Id="rId7977" Type="http://schemas.openxmlformats.org/officeDocument/2006/relationships/hyperlink" Target="https://t.me/heyatebanifatameh" TargetMode="External"/><Relationship Id="rId366" Type="http://schemas.openxmlformats.org/officeDocument/2006/relationships/hyperlink" Target="https://t.me/amesadatsari" TargetMode="External"/><Relationship Id="rId5315" Type="http://schemas.openxmlformats.org/officeDocument/2006/relationships/hyperlink" Target="https://www.instagram.com/heat.abolfazlelabbas" TargetMode="External"/><Relationship Id="rId6646" Type="http://schemas.openxmlformats.org/officeDocument/2006/relationships/hyperlink" Target="https://www.instagram.com/montaghemozahra313/" TargetMode="External"/><Relationship Id="rId7976" Type="http://schemas.openxmlformats.org/officeDocument/2006/relationships/hyperlink" Target="https://www.instagram.com/heyathazratzahra" TargetMode="External"/><Relationship Id="rId365" Type="http://schemas.openxmlformats.org/officeDocument/2006/relationships/hyperlink" Target="https://www.instagram.com/amesadatsari/" TargetMode="External"/><Relationship Id="rId5312" Type="http://schemas.openxmlformats.org/officeDocument/2006/relationships/hyperlink" Target="https://www.instagram.com/h.shohada.sh" TargetMode="External"/><Relationship Id="rId6643" Type="http://schemas.openxmlformats.org/officeDocument/2006/relationships/hyperlink" Target="http://t.me/heiatmohebinolhasanein201" TargetMode="External"/><Relationship Id="rId7975" Type="http://schemas.openxmlformats.org/officeDocument/2006/relationships/hyperlink" Target="https://www.instagram.com/h.mohebban_ahlebayt" TargetMode="External"/><Relationship Id="rId364" Type="http://schemas.openxmlformats.org/officeDocument/2006/relationships/hyperlink" Target="https://t.me/shahekhorasan" TargetMode="External"/><Relationship Id="rId5313" Type="http://schemas.openxmlformats.org/officeDocument/2006/relationships/hyperlink" Target="https://www.instagram.com/ansar_almahdi_343" TargetMode="External"/><Relationship Id="rId6644" Type="http://schemas.openxmlformats.org/officeDocument/2006/relationships/hyperlink" Target="https://www.instagram.com/mohseniekaraj/" TargetMode="External"/><Relationship Id="rId7974" Type="http://schemas.openxmlformats.org/officeDocument/2006/relationships/hyperlink" Target="https://eitaa.com/nojavan_sayeban" TargetMode="External"/><Relationship Id="rId95" Type="http://schemas.openxmlformats.org/officeDocument/2006/relationships/hyperlink" Target="https://www.instagram.com/zamanyaghoubi/" TargetMode="External"/><Relationship Id="rId5307" Type="http://schemas.openxmlformats.org/officeDocument/2006/relationships/hyperlink" Target="https://www.instagram.com/h.montazeran.bam" TargetMode="External"/><Relationship Id="rId6638" Type="http://schemas.openxmlformats.org/officeDocument/2006/relationships/hyperlink" Target="https://eitaa.com/mohbanalmahdii" TargetMode="External"/><Relationship Id="rId94" Type="http://schemas.openxmlformats.org/officeDocument/2006/relationships/hyperlink" Target="https://t.me/tahmasbpour_ir" TargetMode="External"/><Relationship Id="rId5308" Type="http://schemas.openxmlformats.org/officeDocument/2006/relationships/hyperlink" Target="https://www.instagram.com/beitollah.media" TargetMode="External"/><Relationship Id="rId6639" Type="http://schemas.openxmlformats.org/officeDocument/2006/relationships/hyperlink" Target="https://www.instagram.com/mohebanolhossein.ir" TargetMode="External"/><Relationship Id="rId7969" Type="http://schemas.openxmlformats.org/officeDocument/2006/relationships/hyperlink" Target="https://www.instagram.com/soroud_rahrovane_velayat" TargetMode="External"/><Relationship Id="rId97" Type="http://schemas.openxmlformats.org/officeDocument/2006/relationships/hyperlink" Target="https://www.instagram.com/gharibmadinehamirkola/" TargetMode="External"/><Relationship Id="rId5305" Type="http://schemas.openxmlformats.org/officeDocument/2006/relationships/hyperlink" Target="https://www.instagram.com/heyat_shahzadealiasghar" TargetMode="External"/><Relationship Id="rId6636" Type="http://schemas.openxmlformats.org/officeDocument/2006/relationships/hyperlink" Target="https://www.instagram.com/mohebanalmahdii" TargetMode="External"/><Relationship Id="rId7968" Type="http://schemas.openxmlformats.org/officeDocument/2006/relationships/hyperlink" Target="https://www.instagram.com/salmaghan_bidgol" TargetMode="External"/><Relationship Id="rId96" Type="http://schemas.openxmlformats.org/officeDocument/2006/relationships/hyperlink" Target="https://t.me/yaghoubi_yadegaari" TargetMode="External"/><Relationship Id="rId5306" Type="http://schemas.openxmlformats.org/officeDocument/2006/relationships/hyperlink" Target="https://eitaa.com/heyat_shahzadealiasghar" TargetMode="External"/><Relationship Id="rId6637" Type="http://schemas.openxmlformats.org/officeDocument/2006/relationships/hyperlink" Target="http://t.me/mohbanalmahdi" TargetMode="External"/><Relationship Id="rId7967" Type="http://schemas.openxmlformats.org/officeDocument/2006/relationships/hyperlink" Target="https://www.instagram.com/maktabossadegh94/" TargetMode="External"/><Relationship Id="rId99" Type="http://schemas.openxmlformats.org/officeDocument/2006/relationships/hyperlink" Target="https://www.instagram.com/seyyedeh_zeinab/" TargetMode="External"/><Relationship Id="rId98" Type="http://schemas.openxmlformats.org/officeDocument/2006/relationships/hyperlink" Target="https://www.instagram.com/alamdarhussainorg/" TargetMode="External"/><Relationship Id="rId5309" Type="http://schemas.openxmlformats.org/officeDocument/2006/relationships/hyperlink" Target="https://eitaa.com/beitollah" TargetMode="External"/><Relationship Id="rId91" Type="http://schemas.openxmlformats.org/officeDocument/2006/relationships/hyperlink" Target="https://www.instagram.com/alamdar_media.ir/" TargetMode="External"/><Relationship Id="rId90" Type="http://schemas.openxmlformats.org/officeDocument/2006/relationships/hyperlink" Target="https://www.instagram.com/bazri.mohammadreza/" TargetMode="External"/><Relationship Id="rId93" Type="http://schemas.openxmlformats.org/officeDocument/2006/relationships/hyperlink" Target="https://www.instagram.com/tahmasbpour_abbas/" TargetMode="External"/><Relationship Id="rId92" Type="http://schemas.openxmlformats.org/officeDocument/2006/relationships/hyperlink" Target="https://t.me/Alamdarbabol" TargetMode="External"/><Relationship Id="rId359" Type="http://schemas.openxmlformats.org/officeDocument/2006/relationships/hyperlink" Target="https://www.youtube.com/@sarallah_sari1" TargetMode="External"/><Relationship Id="rId358" Type="http://schemas.openxmlformats.org/officeDocument/2006/relationships/hyperlink" Target="https://eitaa.com/sarallah_sari1" TargetMode="External"/><Relationship Id="rId357" Type="http://schemas.openxmlformats.org/officeDocument/2006/relationships/hyperlink" Target="https://t.me/sarallah_sari1" TargetMode="External"/><Relationship Id="rId352" Type="http://schemas.openxmlformats.org/officeDocument/2006/relationships/hyperlink" Target="https://eitaa.com/oshagholhosein_sari" TargetMode="External"/><Relationship Id="rId6630" Type="http://schemas.openxmlformats.org/officeDocument/2006/relationships/hyperlink" Target="https://t.me/moheban_shohada2" TargetMode="External"/><Relationship Id="rId7962" Type="http://schemas.openxmlformats.org/officeDocument/2006/relationships/hyperlink" Target="https://www.instagram.com/markazmodares" TargetMode="External"/><Relationship Id="rId351" Type="http://schemas.openxmlformats.org/officeDocument/2006/relationships/hyperlink" Target="https://www.instagram.com/oshagholhosein_sari" TargetMode="External"/><Relationship Id="rId5300" Type="http://schemas.openxmlformats.org/officeDocument/2006/relationships/hyperlink" Target="https://www.instagram.com/javanan_mahdavi_ravar" TargetMode="External"/><Relationship Id="rId6631" Type="http://schemas.openxmlformats.org/officeDocument/2006/relationships/hyperlink" Target="https://www.instagram.com/moheban.mahdi.heyat" TargetMode="External"/><Relationship Id="rId7961" Type="http://schemas.openxmlformats.org/officeDocument/2006/relationships/hyperlink" Target="https://www.instagram.com/heyet_amiralmomenin_damane" TargetMode="External"/><Relationship Id="rId350" Type="http://schemas.openxmlformats.org/officeDocument/2006/relationships/hyperlink" Target="https://t.me/beiraq_ir" TargetMode="External"/><Relationship Id="rId7960" Type="http://schemas.openxmlformats.org/officeDocument/2006/relationships/hyperlink" Target="https://eitaa.com/mirjalaljeshvaghan" TargetMode="External"/><Relationship Id="rId356" Type="http://schemas.openxmlformats.org/officeDocument/2006/relationships/hyperlink" Target="https://www.instagram.com/sarallah_sari1/" TargetMode="External"/><Relationship Id="rId5303" Type="http://schemas.openxmlformats.org/officeDocument/2006/relationships/hyperlink" Target="https://www.instagram.com/sarallah_sirjan" TargetMode="External"/><Relationship Id="rId6634" Type="http://schemas.openxmlformats.org/officeDocument/2006/relationships/hyperlink" Target="https://www.instagram.com/mohebanabalfazl/" TargetMode="External"/><Relationship Id="rId7966" Type="http://schemas.openxmlformats.org/officeDocument/2006/relationships/hyperlink" Target="https://www.instagram.com/al.yasin.ir" TargetMode="External"/><Relationship Id="rId355" Type="http://schemas.openxmlformats.org/officeDocument/2006/relationships/hyperlink" Target="https://maps.app.goo.gl/uC2ir1cB6oEJPQKh6" TargetMode="External"/><Relationship Id="rId5304" Type="http://schemas.openxmlformats.org/officeDocument/2006/relationships/hyperlink" Target="https://www.instagram.com/heiatoshaghalhosein1443" TargetMode="External"/><Relationship Id="rId6635" Type="http://schemas.openxmlformats.org/officeDocument/2006/relationships/hyperlink" Target="https://t.me/Mohebaneabalfazl133" TargetMode="External"/><Relationship Id="rId7965" Type="http://schemas.openxmlformats.org/officeDocument/2006/relationships/hyperlink" Target="https://www.instagram.com/heyaat.ansar1375" TargetMode="External"/><Relationship Id="rId354" Type="http://schemas.openxmlformats.org/officeDocument/2006/relationships/hyperlink" Target="https://t.me/beynolharameynsari" TargetMode="External"/><Relationship Id="rId5301" Type="http://schemas.openxmlformats.org/officeDocument/2006/relationships/hyperlink" Target="https://eitaa.com/javananmahdaviravar" TargetMode="External"/><Relationship Id="rId6632" Type="http://schemas.openxmlformats.org/officeDocument/2006/relationships/hyperlink" Target="https://eitaa.com/heyat_moheban_mahdi" TargetMode="External"/><Relationship Id="rId7964" Type="http://schemas.openxmlformats.org/officeDocument/2006/relationships/hyperlink" Target="https://www.instagram.com/shohadagomnam_dehaghan" TargetMode="External"/><Relationship Id="rId353" Type="http://schemas.openxmlformats.org/officeDocument/2006/relationships/hyperlink" Target="https://www.instagram.com/beynolharameynsari/" TargetMode="External"/><Relationship Id="rId5302" Type="http://schemas.openxmlformats.org/officeDocument/2006/relationships/hyperlink" Target="https://youtube.com/channel/UCkmrEeosFO1hSppRUJtOlfQ?si=lKUO8N8FKPmgIzFX" TargetMode="External"/><Relationship Id="rId6633" Type="http://schemas.openxmlformats.org/officeDocument/2006/relationships/hyperlink" Target="https://www.instagram.com/mohebanabalfazl_video" TargetMode="External"/><Relationship Id="rId7963" Type="http://schemas.openxmlformats.org/officeDocument/2006/relationships/hyperlink" Target="https://eitaa.com/markazmodares" TargetMode="External"/><Relationship Id="rId7915" Type="http://schemas.openxmlformats.org/officeDocument/2006/relationships/hyperlink" Target="https://www.instagram.com/oshaghalmahdii" TargetMode="External"/><Relationship Id="rId7914" Type="http://schemas.openxmlformats.org/officeDocument/2006/relationships/hyperlink" Target="https://www.instagram.com/hytrzmndgnslmjnwb" TargetMode="External"/><Relationship Id="rId7913" Type="http://schemas.openxmlformats.org/officeDocument/2006/relationships/hyperlink" Target="https://www.instagram.com/abolfazlabbas_esf" TargetMode="External"/><Relationship Id="rId7912" Type="http://schemas.openxmlformats.org/officeDocument/2006/relationships/hyperlink" Target="https://www.instagram.com/montazeranlenjan313" TargetMode="External"/><Relationship Id="rId7919" Type="http://schemas.openxmlformats.org/officeDocument/2006/relationships/hyperlink" Target="https://eitaa.com/khadem_bahonar" TargetMode="External"/><Relationship Id="rId7918" Type="http://schemas.openxmlformats.org/officeDocument/2006/relationships/hyperlink" Target="https://t.me/misaqalah" TargetMode="External"/><Relationship Id="rId7917" Type="http://schemas.openxmlformats.org/officeDocument/2006/relationships/hyperlink" Target="https://www.instagram.com/misaqalah" TargetMode="External"/><Relationship Id="rId7916" Type="http://schemas.openxmlformats.org/officeDocument/2006/relationships/hyperlink" Target="https://eitaa.com/yousefi_original" TargetMode="External"/><Relationship Id="rId305" Type="http://schemas.openxmlformats.org/officeDocument/2006/relationships/hyperlink" Target="https://t.me/ansarolhosein_72" TargetMode="External"/><Relationship Id="rId304" Type="http://schemas.openxmlformats.org/officeDocument/2006/relationships/hyperlink" Target="https://www.instagram.com/ansarolhosein_chaloos72" TargetMode="External"/><Relationship Id="rId303" Type="http://schemas.openxmlformats.org/officeDocument/2006/relationships/hyperlink" Target="https://www.instagram.com/heyat_emamhosein_chalous/" TargetMode="External"/><Relationship Id="rId302" Type="http://schemas.openxmlformats.org/officeDocument/2006/relationships/hyperlink" Target="https://t.me/heyat_abolfazli_halestan" TargetMode="External"/><Relationship Id="rId309" Type="http://schemas.openxmlformats.org/officeDocument/2006/relationships/hyperlink" Target="https://www.instagram.com/heyat_rohollah_chalus/" TargetMode="External"/><Relationship Id="rId308" Type="http://schemas.openxmlformats.org/officeDocument/2006/relationships/hyperlink" Target="https://www.instagram.com/heiaat_hazrat_ghasem_chalous" TargetMode="External"/><Relationship Id="rId307" Type="http://schemas.openxmlformats.org/officeDocument/2006/relationships/hyperlink" Target="https://t.me/heyat_aliasghar_chalus" TargetMode="External"/><Relationship Id="rId306" Type="http://schemas.openxmlformats.org/officeDocument/2006/relationships/hyperlink" Target="https://www.instagram.com/heyat_aliasghar_.chalus/" TargetMode="External"/><Relationship Id="rId301" Type="http://schemas.openxmlformats.org/officeDocument/2006/relationships/hyperlink" Target="https://www.instagram.com/heyat_abolfazli__halestan/" TargetMode="External"/><Relationship Id="rId7911" Type="http://schemas.openxmlformats.org/officeDocument/2006/relationships/hyperlink" Target="https://eitaa.com/Heyatsolalatonabi" TargetMode="External"/><Relationship Id="rId300" Type="http://schemas.openxmlformats.org/officeDocument/2006/relationships/hyperlink" Target="https://t.me/mohebin_aemeh_chalus" TargetMode="External"/><Relationship Id="rId7910" Type="http://schemas.openxmlformats.org/officeDocument/2006/relationships/hyperlink" Target="https://www.instagram.com/hazratezahra_zarinshahr" TargetMode="External"/><Relationship Id="rId7904" Type="http://schemas.openxmlformats.org/officeDocument/2006/relationships/hyperlink" Target="https://eitaa.com/karime_al_taha" TargetMode="External"/><Relationship Id="rId7903" Type="http://schemas.openxmlformats.org/officeDocument/2006/relationships/hyperlink" Target="https://t.me/karim_ale_tahaa" TargetMode="External"/><Relationship Id="rId7902" Type="http://schemas.openxmlformats.org/officeDocument/2006/relationships/hyperlink" Target="https://www.instagram.com/karim_al_taha118" TargetMode="External"/><Relationship Id="rId7901" Type="http://schemas.openxmlformats.org/officeDocument/2006/relationships/hyperlink" Target="https://www.instagram.com/mohebanzahra110" TargetMode="External"/><Relationship Id="rId7908" Type="http://schemas.openxmlformats.org/officeDocument/2006/relationships/hyperlink" Target="https://www.instagram.com/heyat_ommeabiha_esf" TargetMode="External"/><Relationship Id="rId7907" Type="http://schemas.openxmlformats.org/officeDocument/2006/relationships/hyperlink" Target="https://www.instagram.com/_heiat_hazrataliasghar" TargetMode="External"/><Relationship Id="rId7906" Type="http://schemas.openxmlformats.org/officeDocument/2006/relationships/hyperlink" Target="https://www.instagram.com/moheban_all_mahdi" TargetMode="External"/><Relationship Id="rId7905" Type="http://schemas.openxmlformats.org/officeDocument/2006/relationships/hyperlink" Target="https://eitaa.com/heyatTolou" TargetMode="External"/><Relationship Id="rId7909" Type="http://schemas.openxmlformats.org/officeDocument/2006/relationships/hyperlink" Target="https://eitaa.com/Beit_ol_abas_khomeinishahr" TargetMode="External"/><Relationship Id="rId7900" Type="http://schemas.openxmlformats.org/officeDocument/2006/relationships/hyperlink" Target="https://eitaa.com/fatemeih_adaryan_213" TargetMode="External"/><Relationship Id="rId6605" Type="http://schemas.openxmlformats.org/officeDocument/2006/relationships/hyperlink" Target="https://eitaa.com/beheshtesamen" TargetMode="External"/><Relationship Id="rId7937" Type="http://schemas.openxmlformats.org/officeDocument/2006/relationships/hyperlink" Target="https://www.instagram.com/pgomnam/" TargetMode="External"/><Relationship Id="rId6606" Type="http://schemas.openxmlformats.org/officeDocument/2006/relationships/hyperlink" Target="https://www.instagram.com/mahdiekaraj.ir/" TargetMode="External"/><Relationship Id="rId7936" Type="http://schemas.openxmlformats.org/officeDocument/2006/relationships/hyperlink" Target="https://www.instagram.com/a_velayat_live" TargetMode="External"/><Relationship Id="rId6603" Type="http://schemas.openxmlformats.org/officeDocument/2006/relationships/hyperlink" Target="https://l.instagram.com/?u=http%3A%2F%2Ft.me%2Fleva_media_karaj%3Futm_source%3Dig%26utm_medium%3Dsocial%26utm_content%3Dlink_in_bio%26fbclid%3DPAZXh0bgNhZW0CMTEAc3J0YwZhcHBfaWQMMjU2MjgxMDQwNTU4AAGni9ivmU2E3JqtoCcLexXcdqTyercGkNtfkDYFL7ntkhQic7tTVjeNwcxoACg_aem_KO45FUFw-rHh08qoYMUPnw&amp;e=AT3xBZRAzk6IKYl26VH0K3dEtsrq3BazvEV3cA18I1Q1Tj-ja8FJCGAJ7CvyK8o0YnMmIohetkf6AB0aY-qlyF4VMUQfI7Uguy9F-ax9YQ" TargetMode="External"/><Relationship Id="rId7935" Type="http://schemas.openxmlformats.org/officeDocument/2006/relationships/hyperlink" Target="https://www.instagram.com/ansar_alhosein_daran" TargetMode="External"/><Relationship Id="rId6604" Type="http://schemas.openxmlformats.org/officeDocument/2006/relationships/hyperlink" Target="https://www.instagram.com/m.beheshtesamen" TargetMode="External"/><Relationship Id="rId7934" Type="http://schemas.openxmlformats.org/officeDocument/2006/relationships/hyperlink" Target="https://t.me/zeynabiondaran" TargetMode="External"/><Relationship Id="rId6609" Type="http://schemas.openxmlformats.org/officeDocument/2006/relationships/hyperlink" Target="https://eitaa.com/mahdiyeinfo" TargetMode="External"/><Relationship Id="rId6607" Type="http://schemas.openxmlformats.org/officeDocument/2006/relationships/hyperlink" Target="https://www.instagram.com/mahdiiieh313/" TargetMode="External"/><Relationship Id="rId7939" Type="http://schemas.openxmlformats.org/officeDocument/2006/relationships/hyperlink" Target="https://www.instagram.com/m_ravaagh" TargetMode="External"/><Relationship Id="rId6608" Type="http://schemas.openxmlformats.org/officeDocument/2006/relationships/hyperlink" Target="https://www.instagram.com/mahdiyeinfo/" TargetMode="External"/><Relationship Id="rId7938" Type="http://schemas.openxmlformats.org/officeDocument/2006/relationships/hyperlink" Target="https://eitaa.com/pgomnam" TargetMode="External"/><Relationship Id="rId327" Type="http://schemas.openxmlformats.org/officeDocument/2006/relationships/hyperlink" Target="https://www.instagram.com/heyat_aliakbar_ramsar/" TargetMode="External"/><Relationship Id="rId326" Type="http://schemas.openxmlformats.org/officeDocument/2006/relationships/hyperlink" Target="https://www.instagram.com/abalfazliha_sadatshahr/" TargetMode="External"/><Relationship Id="rId325" Type="http://schemas.openxmlformats.org/officeDocument/2006/relationships/hyperlink" Target="https://eitaa.com/FATEMIONRAMSAR" TargetMode="External"/><Relationship Id="rId324" Type="http://schemas.openxmlformats.org/officeDocument/2006/relationships/hyperlink" Target="https://www.instagram.com/fatemiyoun_ramsar/" TargetMode="External"/><Relationship Id="rId329" Type="http://schemas.openxmlformats.org/officeDocument/2006/relationships/hyperlink" Target="https://t.me/babolhosein_ir" TargetMode="External"/><Relationship Id="rId328" Type="http://schemas.openxmlformats.org/officeDocument/2006/relationships/hyperlink" Target="https://www.instagram.com/babolhosein_rostamkola/" TargetMode="External"/><Relationship Id="rId323" Type="http://schemas.openxmlformats.org/officeDocument/2006/relationships/hyperlink" Target="https://eitaa.com/rheyat_ir" TargetMode="External"/><Relationship Id="rId6601" Type="http://schemas.openxmlformats.org/officeDocument/2006/relationships/hyperlink" Target="https://l.instagram.com/?u=https%3A%2F%2Ft.me%2Fleva_heidar_karar%3Futm_source%3Dig%26utm_medium%3Dsocial%26utm_content%3Dlink_in_bio%26fbclid%3DPAZXh0bgNhZW0CMTEAc3J0YwZhcHBfaWQMMjU2MjgxMDQwNTU4AAGnLuZ9knG_xFnyMgBMmMqZ7FBYbRgeyaPnZAH0ZTjWyJhmULnFenIHEtUPOmU_aem_NFSaqOkT4ss5d-3i4bbYIA&amp;e=AT0NXn3zkjLZMU6z3Hlsjc3kMt6eAZDCXaWcxiKytnfVKOqu2wtQS3bhJIrOzMPppl67KQ6e5_Un8F8uHgCiSgz3gR8oxrC4baD2Od4zIA" TargetMode="External"/><Relationship Id="rId7933" Type="http://schemas.openxmlformats.org/officeDocument/2006/relationships/hyperlink" Target="https://www.instagram.com/zeynabion.daran" TargetMode="External"/><Relationship Id="rId322" Type="http://schemas.openxmlformats.org/officeDocument/2006/relationships/hyperlink" Target="https://t.me/rheyat_ir" TargetMode="External"/><Relationship Id="rId6602" Type="http://schemas.openxmlformats.org/officeDocument/2006/relationships/hyperlink" Target="https://www.instagram.com/levazahra_karaj/" TargetMode="External"/><Relationship Id="rId7932" Type="http://schemas.openxmlformats.org/officeDocument/2006/relationships/hyperlink" Target="https://t.me/mohebin_karime_ahl" TargetMode="External"/><Relationship Id="rId321" Type="http://schemas.openxmlformats.org/officeDocument/2006/relationships/hyperlink" Target="https://www.instagram.com/heyati.ramsar" TargetMode="External"/><Relationship Id="rId7931" Type="http://schemas.openxmlformats.org/officeDocument/2006/relationships/hyperlink" Target="https://www.instagram.com/mohebine_karime_ahlebeyt" TargetMode="External"/><Relationship Id="rId320" Type="http://schemas.openxmlformats.org/officeDocument/2006/relationships/hyperlink" Target="https://www.instagram.com/valiasr_heyat" TargetMode="External"/><Relationship Id="rId6600" Type="http://schemas.openxmlformats.org/officeDocument/2006/relationships/hyperlink" Target="https://www.instagram.com/leva_heidar_karar" TargetMode="External"/><Relationship Id="rId7930" Type="http://schemas.openxmlformats.org/officeDocument/2006/relationships/hyperlink" Target="https://eitaa.com/oshagh_yazdel" TargetMode="External"/><Relationship Id="rId7926" Type="http://schemas.openxmlformats.org/officeDocument/2006/relationships/hyperlink" Target="https://www.instagram.com/gol_heyaat" TargetMode="External"/><Relationship Id="rId7925" Type="http://schemas.openxmlformats.org/officeDocument/2006/relationships/hyperlink" Target="https://www.instagram.com/ashouraiyan_313" TargetMode="External"/><Relationship Id="rId7924" Type="http://schemas.openxmlformats.org/officeDocument/2006/relationships/hyperlink" Target="https://www.instagram.com/mahfel_ashk_213" TargetMode="External"/><Relationship Id="rId7923" Type="http://schemas.openxmlformats.org/officeDocument/2006/relationships/hyperlink" Target="https://www.instagram.com/heyat_hazrat_zahra1" TargetMode="External"/><Relationship Id="rId7929" Type="http://schemas.openxmlformats.org/officeDocument/2006/relationships/hyperlink" Target="https://www.instagram.com/khademm_alzahra" TargetMode="External"/><Relationship Id="rId7928" Type="http://schemas.openxmlformats.org/officeDocument/2006/relationships/hyperlink" Target="https://www.instagram.com/khadem.almahd" TargetMode="External"/><Relationship Id="rId7927" Type="http://schemas.openxmlformats.org/officeDocument/2006/relationships/hyperlink" Target="https://eitaa.com/sorood_ansaralmahdy" TargetMode="External"/><Relationship Id="rId316" Type="http://schemas.openxmlformats.org/officeDocument/2006/relationships/hyperlink" Target="https://www.instagram.com/h_ansar_ramsar/" TargetMode="External"/><Relationship Id="rId315" Type="http://schemas.openxmlformats.org/officeDocument/2006/relationships/hyperlink" Target="https://www.instagram.com/delsoukhtegan69/" TargetMode="External"/><Relationship Id="rId314" Type="http://schemas.openxmlformats.org/officeDocument/2006/relationships/hyperlink" Target="https://t.me/mohebinaemeh_chalus" TargetMode="External"/><Relationship Id="rId313" Type="http://schemas.openxmlformats.org/officeDocument/2006/relationships/hyperlink" Target="https://www.instagram.com/mohebinaemeh_chalus/" TargetMode="External"/><Relationship Id="rId319" Type="http://schemas.openxmlformats.org/officeDocument/2006/relationships/hyperlink" Target="https://t.me/h_hor_ramsar" TargetMode="External"/><Relationship Id="rId318" Type="http://schemas.openxmlformats.org/officeDocument/2006/relationships/hyperlink" Target="https://www.instagram.com/horramsar" TargetMode="External"/><Relationship Id="rId317" Type="http://schemas.openxmlformats.org/officeDocument/2006/relationships/hyperlink" Target="https://eitaa.com/h_ansaralmahdiramsar" TargetMode="External"/><Relationship Id="rId312" Type="http://schemas.openxmlformats.org/officeDocument/2006/relationships/hyperlink" Target="https://www.instagram.com/heyat_olhossein1403/" TargetMode="External"/><Relationship Id="rId7922" Type="http://schemas.openxmlformats.org/officeDocument/2006/relationships/hyperlink" Target="https://eitaa.com/Montazeran_esf" TargetMode="External"/><Relationship Id="rId311" Type="http://schemas.openxmlformats.org/officeDocument/2006/relationships/hyperlink" Target="https://www.instagram.com/beytalroghaye_315/" TargetMode="External"/><Relationship Id="rId7921" Type="http://schemas.openxmlformats.org/officeDocument/2006/relationships/hyperlink" Target="https://www.instagram.com/montazran.esf" TargetMode="External"/><Relationship Id="rId310" Type="http://schemas.openxmlformats.org/officeDocument/2006/relationships/hyperlink" Target="https://www.instagram.com/heyat.montazeran" TargetMode="External"/><Relationship Id="rId7920" Type="http://schemas.openxmlformats.org/officeDocument/2006/relationships/hyperlink" Target="https://www.instagram.com/h.razmandegan" TargetMode="External"/><Relationship Id="rId4040" Type="http://schemas.openxmlformats.org/officeDocument/2006/relationships/hyperlink" Target="https://www.instagram.com/khorshed_al_easin_ahvaz/" TargetMode="External"/><Relationship Id="rId5372" Type="http://schemas.openxmlformats.org/officeDocument/2006/relationships/hyperlink" Target="https://t.me/AhmadAbadDeilamghani" TargetMode="External"/><Relationship Id="rId5373" Type="http://schemas.openxmlformats.org/officeDocument/2006/relationships/hyperlink" Target="https://www.instagram.com/heyatmohebanorezaa" TargetMode="External"/><Relationship Id="rId4042" Type="http://schemas.openxmlformats.org/officeDocument/2006/relationships/hyperlink" Target="https://www.instagram.com/zovaralhasan_ahwaz/" TargetMode="External"/><Relationship Id="rId5370" Type="http://schemas.openxmlformats.org/officeDocument/2006/relationships/hyperlink" Target="https://eitaa.com/Masjed_Abalfazl_ZangiAbad" TargetMode="External"/><Relationship Id="rId4041" Type="http://schemas.openxmlformats.org/officeDocument/2006/relationships/hyperlink" Target="https://www.instagram.com/heyat.reihanealrasol/" TargetMode="External"/><Relationship Id="rId5371" Type="http://schemas.openxmlformats.org/officeDocument/2006/relationships/hyperlink" Target="https://www.instagram.com/ahmadabad_deilamghani" TargetMode="External"/><Relationship Id="rId4044" Type="http://schemas.openxmlformats.org/officeDocument/2006/relationships/hyperlink" Target="https://www.instagram.com/hosseiniyeh.seyed.al.shohada" TargetMode="External"/><Relationship Id="rId5376" Type="http://schemas.openxmlformats.org/officeDocument/2006/relationships/hyperlink" Target="https://t.me/asheghanabolfazlrafsnjan" TargetMode="External"/><Relationship Id="rId4043" Type="http://schemas.openxmlformats.org/officeDocument/2006/relationships/hyperlink" Target="https://www.instagram.com/sajadiyeahvaz/" TargetMode="External"/><Relationship Id="rId5377" Type="http://schemas.openxmlformats.org/officeDocument/2006/relationships/hyperlink" Target="https://www.instagram.com/ansaralmahdi_raf" TargetMode="External"/><Relationship Id="rId4046" Type="http://schemas.openxmlformats.org/officeDocument/2006/relationships/hyperlink" Target="https://www.instagram.com/sarallah_mahshahr/" TargetMode="External"/><Relationship Id="rId5374" Type="http://schemas.openxmlformats.org/officeDocument/2006/relationships/hyperlink" Target="https://t.me/heyatmohebanorezaa" TargetMode="External"/><Relationship Id="rId4045" Type="http://schemas.openxmlformats.org/officeDocument/2006/relationships/hyperlink" Target="https://www.instagram.com/sangar.313_ir/" TargetMode="External"/><Relationship Id="rId5375" Type="http://schemas.openxmlformats.org/officeDocument/2006/relationships/hyperlink" Target="https://www.instagram.com/asheghanabolfazl" TargetMode="External"/><Relationship Id="rId4048" Type="http://schemas.openxmlformats.org/officeDocument/2006/relationships/hyperlink" Target="https://www.instagram.com/fatemioon_ahwaz/" TargetMode="External"/><Relationship Id="rId4047" Type="http://schemas.openxmlformats.org/officeDocument/2006/relationships/hyperlink" Target="https://www.instagram.com/shyrhzbh/" TargetMode="External"/><Relationship Id="rId5378" Type="http://schemas.openxmlformats.org/officeDocument/2006/relationships/hyperlink" Target="https://www.instagram.com/beitoolabbas.rafsanjan" TargetMode="External"/><Relationship Id="rId4049" Type="http://schemas.openxmlformats.org/officeDocument/2006/relationships/hyperlink" Target="https://t.me/fatemioon_ahwaz" TargetMode="External"/><Relationship Id="rId5379" Type="http://schemas.openxmlformats.org/officeDocument/2006/relationships/hyperlink" Target="https://eitaa.com/shohada_rafsanjan" TargetMode="External"/><Relationship Id="rId5361" Type="http://schemas.openxmlformats.org/officeDocument/2006/relationships/hyperlink" Target="https://eitaa.com/imamjomekerman" TargetMode="External"/><Relationship Id="rId6692" Type="http://schemas.openxmlformats.org/officeDocument/2006/relationships/hyperlink" Target="https://www.instagram.com/zovaralreza_8/" TargetMode="External"/><Relationship Id="rId5362" Type="http://schemas.openxmlformats.org/officeDocument/2006/relationships/hyperlink" Target="https://t.me/shahidalavian" TargetMode="External"/><Relationship Id="rId6693" Type="http://schemas.openxmlformats.org/officeDocument/2006/relationships/hyperlink" Target="https://eitaa.com/zovaralreza8" TargetMode="External"/><Relationship Id="rId4031" Type="http://schemas.openxmlformats.org/officeDocument/2006/relationships/hyperlink" Target="https://www.instagram.com/masjede_anbia/" TargetMode="External"/><Relationship Id="rId6690" Type="http://schemas.openxmlformats.org/officeDocument/2006/relationships/hyperlink" Target="https://www.instagram.com/zeynabiyeh_golshahr_karaj" TargetMode="External"/><Relationship Id="rId4030" Type="http://schemas.openxmlformats.org/officeDocument/2006/relationships/hyperlink" Target="https://www.instagram.com/heyat.abalfazl.ahvaz/" TargetMode="External"/><Relationship Id="rId5360" Type="http://schemas.openxmlformats.org/officeDocument/2006/relationships/hyperlink" Target="https://eitaa.com/E_hosein_kerman" TargetMode="External"/><Relationship Id="rId6691" Type="http://schemas.openxmlformats.org/officeDocument/2006/relationships/hyperlink" Target="https://eitaa.com/ZeynabiyehGolshahrKaraj" TargetMode="External"/><Relationship Id="rId297" Type="http://schemas.openxmlformats.org/officeDocument/2006/relationships/hyperlink" Target="https://www.instagram.com/heiaate.hazrat.ghasem/" TargetMode="External"/><Relationship Id="rId4033" Type="http://schemas.openxmlformats.org/officeDocument/2006/relationships/hyperlink" Target="https://www.instagram.com/heiat_emam_moosa_alkazem" TargetMode="External"/><Relationship Id="rId5365" Type="http://schemas.openxmlformats.org/officeDocument/2006/relationships/hyperlink" Target="https://t.me/gholaman_kerman" TargetMode="External"/><Relationship Id="rId6696" Type="http://schemas.openxmlformats.org/officeDocument/2006/relationships/hyperlink" Target="https://eitaa.com/ashabolhousein" TargetMode="External"/><Relationship Id="rId296" Type="http://schemas.openxmlformats.org/officeDocument/2006/relationships/hyperlink" Target="https://www.instagram.com/hossein_alehabib/" TargetMode="External"/><Relationship Id="rId4032" Type="http://schemas.openxmlformats.org/officeDocument/2006/relationships/hyperlink" Target="https://www.instagram.com/heiatozahra_ahwaz/" TargetMode="External"/><Relationship Id="rId5366" Type="http://schemas.openxmlformats.org/officeDocument/2006/relationships/hyperlink" Target="https://www.instagram.com/gharib_madineh_sirjan118" TargetMode="External"/><Relationship Id="rId6697" Type="http://schemas.openxmlformats.org/officeDocument/2006/relationships/hyperlink" Target="https://eitaa.com/AlborzHussainiyah" TargetMode="External"/><Relationship Id="rId295" Type="http://schemas.openxmlformats.org/officeDocument/2006/relationships/hyperlink" Target="https://t.me/heyatolkarimchalus" TargetMode="External"/><Relationship Id="rId4035" Type="http://schemas.openxmlformats.org/officeDocument/2006/relationships/hyperlink" Target="https://eitaa.com/heyat_jahad_kh" TargetMode="External"/><Relationship Id="rId5363" Type="http://schemas.openxmlformats.org/officeDocument/2006/relationships/hyperlink" Target="https://www.instagram.com/heyaat_shahzadeh_aliakbar" TargetMode="External"/><Relationship Id="rId6694" Type="http://schemas.openxmlformats.org/officeDocument/2006/relationships/hyperlink" Target="https://eitaa.com/aemeatthar" TargetMode="External"/><Relationship Id="rId294" Type="http://schemas.openxmlformats.org/officeDocument/2006/relationships/hyperlink" Target="https://www.instagram.com/heyatolkarimchalus/" TargetMode="External"/><Relationship Id="rId4034" Type="http://schemas.openxmlformats.org/officeDocument/2006/relationships/hyperlink" Target="https://www.instagram.com/jahadgaran.heyat/" TargetMode="External"/><Relationship Id="rId5364" Type="http://schemas.openxmlformats.org/officeDocument/2006/relationships/hyperlink" Target="https://www.instagram.com/heyat.gholaman.kerman" TargetMode="External"/><Relationship Id="rId6695" Type="http://schemas.openxmlformats.org/officeDocument/2006/relationships/hyperlink" Target="https://eitaa.com/abna_lzahra" TargetMode="External"/><Relationship Id="rId4037" Type="http://schemas.openxmlformats.org/officeDocument/2006/relationships/hyperlink" Target="https://www.instagram.com/heiatkhdamalhusinahwazmandali/" TargetMode="External"/><Relationship Id="rId5369" Type="http://schemas.openxmlformats.org/officeDocument/2006/relationships/hyperlink" Target="https://www.instagram.com/heyatabalfazl1" TargetMode="External"/><Relationship Id="rId4036" Type="http://schemas.openxmlformats.org/officeDocument/2006/relationships/hyperlink" Target="https://www.instagram.com/heyat_javanan_jvadolaemehahwaz/" TargetMode="External"/><Relationship Id="rId299" Type="http://schemas.openxmlformats.org/officeDocument/2006/relationships/hyperlink" Target="https://www.instagram.com/mohebin_aemeh_chalos/" TargetMode="External"/><Relationship Id="rId4039" Type="http://schemas.openxmlformats.org/officeDocument/2006/relationships/hyperlink" Target="https://www.instagram.com/heyat_khoddam_alzahra/" TargetMode="External"/><Relationship Id="rId5367" Type="http://schemas.openxmlformats.org/officeDocument/2006/relationships/hyperlink" Target="https://www.instagram.com/hsynyhbynlhrmyn" TargetMode="External"/><Relationship Id="rId6698" Type="http://schemas.openxmlformats.org/officeDocument/2006/relationships/hyperlink" Target="https://eitaa.com/heyatshohadapishahangi" TargetMode="External"/><Relationship Id="rId298" Type="http://schemas.openxmlformats.org/officeDocument/2006/relationships/hyperlink" Target="https://www.instagram.com/javanan.ashoraii_hachiroud.ir/" TargetMode="External"/><Relationship Id="rId4038" Type="http://schemas.openxmlformats.org/officeDocument/2006/relationships/hyperlink" Target="https://www.instagram.com/samihamadi1/" TargetMode="External"/><Relationship Id="rId5368" Type="http://schemas.openxmlformats.org/officeDocument/2006/relationships/hyperlink" Target="https://t.me/bynoulharamaynsirjan" TargetMode="External"/><Relationship Id="rId6699" Type="http://schemas.openxmlformats.org/officeDocument/2006/relationships/hyperlink" Target="https://eitaa.com/ansaaar" TargetMode="External"/><Relationship Id="rId5390" Type="http://schemas.openxmlformats.org/officeDocument/2006/relationships/hyperlink" Target="https://www.instagram.com/asheghankarbala.ir" TargetMode="External"/><Relationship Id="rId5391" Type="http://schemas.openxmlformats.org/officeDocument/2006/relationships/hyperlink" Target="https://eitaa.com/asheghankarbalaanar" TargetMode="External"/><Relationship Id="rId4060" Type="http://schemas.openxmlformats.org/officeDocument/2006/relationships/hyperlink" Target="https://www.instagram.com/rahrovanshohada_ir/" TargetMode="External"/><Relationship Id="rId4062" Type="http://schemas.openxmlformats.org/officeDocument/2006/relationships/hyperlink" Target="https://www.instagram.com/mohebinolhasan.izeh" TargetMode="External"/><Relationship Id="rId5394" Type="http://schemas.openxmlformats.org/officeDocument/2006/relationships/hyperlink" Target="https://t.me/ih_118" TargetMode="External"/><Relationship Id="rId4061" Type="http://schemas.openxmlformats.org/officeDocument/2006/relationships/hyperlink" Target="https://www.instagram.com/hoseynieh_fatematozahra/" TargetMode="External"/><Relationship Id="rId5395" Type="http://schemas.openxmlformats.org/officeDocument/2006/relationships/hyperlink" Target="https://eitaa.com/Mahmoudiyah" TargetMode="External"/><Relationship Id="rId4064" Type="http://schemas.openxmlformats.org/officeDocument/2006/relationships/hyperlink" Target="https://eitaa.com/mohbinalhasan" TargetMode="External"/><Relationship Id="rId5392" Type="http://schemas.openxmlformats.org/officeDocument/2006/relationships/hyperlink" Target="https://eitaa.com/kanoonemb" TargetMode="External"/><Relationship Id="rId4063" Type="http://schemas.openxmlformats.org/officeDocument/2006/relationships/hyperlink" Target="https://t.me/mohebinolhasanizeh" TargetMode="External"/><Relationship Id="rId5393" Type="http://schemas.openxmlformats.org/officeDocument/2006/relationships/hyperlink" Target="https://www.instagram.com/ih118" TargetMode="External"/><Relationship Id="rId4066" Type="http://schemas.openxmlformats.org/officeDocument/2006/relationships/hyperlink" Target="https://www.instagram.com/khaneh.javanan" TargetMode="External"/><Relationship Id="rId5398" Type="http://schemas.openxmlformats.org/officeDocument/2006/relationships/hyperlink" Target="https://www.instagram.com/javadolaeeme" TargetMode="External"/><Relationship Id="rId4065" Type="http://schemas.openxmlformats.org/officeDocument/2006/relationships/hyperlink" Target="https://www.instagram.com/hyytbwlfdllbskhfyl/" TargetMode="External"/><Relationship Id="rId5399" Type="http://schemas.openxmlformats.org/officeDocument/2006/relationships/hyperlink" Target="https://www.instagram.com/mehdi_as_waiting_board_313" TargetMode="External"/><Relationship Id="rId4068" Type="http://schemas.openxmlformats.org/officeDocument/2006/relationships/hyperlink" Target="https://www.instagram.com/sydmhmdlkhrsn9/" TargetMode="External"/><Relationship Id="rId5396" Type="http://schemas.openxmlformats.org/officeDocument/2006/relationships/hyperlink" Target="https://eitaa.com/masjedemb" TargetMode="External"/><Relationship Id="rId4067" Type="http://schemas.openxmlformats.org/officeDocument/2006/relationships/hyperlink" Target="https://www.instagram.com/hosseiniye.taleghani.bik" TargetMode="External"/><Relationship Id="rId5397" Type="http://schemas.openxmlformats.org/officeDocument/2006/relationships/hyperlink" Target="https://www.instagram.com/heyate_musa_ebne_jafar_kerman" TargetMode="External"/><Relationship Id="rId4069" Type="http://schemas.openxmlformats.org/officeDocument/2006/relationships/hyperlink" Target="https://www.instagram.com/samenalhojaj_mahshahr/" TargetMode="External"/><Relationship Id="rId5380" Type="http://schemas.openxmlformats.org/officeDocument/2006/relationships/hyperlink" Target="https://www.instagram.com/masjed.aliakbar.ravar" TargetMode="External"/><Relationship Id="rId4051" Type="http://schemas.openxmlformats.org/officeDocument/2006/relationships/hyperlink" Target="https://www.instagram.com/heyat_cfuf" TargetMode="External"/><Relationship Id="rId5383" Type="http://schemas.openxmlformats.org/officeDocument/2006/relationships/hyperlink" Target="https://t.me/maktabol_aemeh_kerman" TargetMode="External"/><Relationship Id="rId4050" Type="http://schemas.openxmlformats.org/officeDocument/2006/relationships/hyperlink" Target="https://eitaa.com/fatemioon_ahwaz" TargetMode="External"/><Relationship Id="rId5384" Type="http://schemas.openxmlformats.org/officeDocument/2006/relationships/hyperlink" Target="https://www.instagram.com/maktabolabas_133" TargetMode="External"/><Relationship Id="rId4053" Type="http://schemas.openxmlformats.org/officeDocument/2006/relationships/hyperlink" Target="https://www.instagram.com/gomnaman_mahdavi/" TargetMode="External"/><Relationship Id="rId5381" Type="http://schemas.openxmlformats.org/officeDocument/2006/relationships/hyperlink" Target="https://www.instagram.com/heiate_sahebalzaman" TargetMode="External"/><Relationship Id="rId4052" Type="http://schemas.openxmlformats.org/officeDocument/2006/relationships/hyperlink" Target="https://www.instagram.com/koolebaremehrabanii/" TargetMode="External"/><Relationship Id="rId5382" Type="http://schemas.openxmlformats.org/officeDocument/2006/relationships/hyperlink" Target="https://www.instagram.com/maktabol_aemeh_kerman" TargetMode="External"/><Relationship Id="rId4055" Type="http://schemas.openxmlformats.org/officeDocument/2006/relationships/hyperlink" Target="https://www.instagram.com/majmae_oshagh/" TargetMode="External"/><Relationship Id="rId5387" Type="http://schemas.openxmlformats.org/officeDocument/2006/relationships/hyperlink" Target="https://www.instagram.com/fc.omidmahdi.shahrbabak" TargetMode="External"/><Relationship Id="rId4054" Type="http://schemas.openxmlformats.org/officeDocument/2006/relationships/hyperlink" Target="https://www.instagram.com/labbaik_ya_hosain/" TargetMode="External"/><Relationship Id="rId5388" Type="http://schemas.openxmlformats.org/officeDocument/2006/relationships/hyperlink" Target="https://www.instagram.com/shohadayegomnam.1389" TargetMode="External"/><Relationship Id="rId4057" Type="http://schemas.openxmlformats.org/officeDocument/2006/relationships/hyperlink" Target="http://tlgrm.me/mohebandez" TargetMode="External"/><Relationship Id="rId5385" Type="http://schemas.openxmlformats.org/officeDocument/2006/relationships/hyperlink" Target="https://www.instagram.com/heyat__abalfazalabas__bam/" TargetMode="External"/><Relationship Id="rId4056" Type="http://schemas.openxmlformats.org/officeDocument/2006/relationships/hyperlink" Target="https://www.instagram.com/mohebandez/" TargetMode="External"/><Relationship Id="rId5386" Type="http://schemas.openxmlformats.org/officeDocument/2006/relationships/hyperlink" Target="https://www.instagram.com/ansaralzahra_ir" TargetMode="External"/><Relationship Id="rId4059" Type="http://schemas.openxmlformats.org/officeDocument/2006/relationships/hyperlink" Target="https://www.instagram.com/mohebin.ahlbait/" TargetMode="External"/><Relationship Id="rId4058" Type="http://schemas.openxmlformats.org/officeDocument/2006/relationships/hyperlink" Target="https://www.instagram.com/mohebban_omalbanin/" TargetMode="External"/><Relationship Id="rId5389" Type="http://schemas.openxmlformats.org/officeDocument/2006/relationships/hyperlink" Target="https://t.me/shohadayegomnam89" TargetMode="External"/><Relationship Id="rId4008" Type="http://schemas.openxmlformats.org/officeDocument/2006/relationships/hyperlink" Target="https://www.instagram.com/mahdirasuli_ir" TargetMode="External"/><Relationship Id="rId4007" Type="http://schemas.openxmlformats.org/officeDocument/2006/relationships/hyperlink" Target="https://www.instagram.com/asheghan_roghayeh/" TargetMode="External"/><Relationship Id="rId5338" Type="http://schemas.openxmlformats.org/officeDocument/2006/relationships/hyperlink" Target="https://www.instagram.com/mahdiehbam" TargetMode="External"/><Relationship Id="rId6669" Type="http://schemas.openxmlformats.org/officeDocument/2006/relationships/hyperlink" Target="https://www.instagram.com/oshagh.reza88/" TargetMode="External"/><Relationship Id="rId4009" Type="http://schemas.openxmlformats.org/officeDocument/2006/relationships/hyperlink" Target="https://t.me/mahdirasuli_ir" TargetMode="External"/><Relationship Id="rId5339" Type="http://schemas.openxmlformats.org/officeDocument/2006/relationships/hyperlink" Target="https://www.instagram.com/heiat.rahrovan.shohada.bam" TargetMode="External"/><Relationship Id="rId271" Type="http://schemas.openxmlformats.org/officeDocument/2006/relationships/hyperlink" Target="https://www.youtube.com/@resalatolhossein" TargetMode="External"/><Relationship Id="rId270" Type="http://schemas.openxmlformats.org/officeDocument/2006/relationships/hyperlink" Target="https://eitaa.com/ansarrol_hossein" TargetMode="External"/><Relationship Id="rId269" Type="http://schemas.openxmlformats.org/officeDocument/2006/relationships/hyperlink" Target="https://t.me/ansarolhosein_juybar" TargetMode="External"/><Relationship Id="rId7991" Type="http://schemas.openxmlformats.org/officeDocument/2006/relationships/hyperlink" Target="https://eitaa.com/masjedalmahde" TargetMode="External"/><Relationship Id="rId6660" Type="http://schemas.openxmlformats.org/officeDocument/2006/relationships/hyperlink" Target="https://t.me/mosque_imam_hossein" TargetMode="External"/><Relationship Id="rId7990" Type="http://schemas.openxmlformats.org/officeDocument/2006/relationships/hyperlink" Target="https://t.me/rozatolhossein_ir" TargetMode="External"/><Relationship Id="rId264" Type="http://schemas.openxmlformats.org/officeDocument/2006/relationships/hyperlink" Target="https://www.instagram.com/ansarozzahra_ir/" TargetMode="External"/><Relationship Id="rId4000" Type="http://schemas.openxmlformats.org/officeDocument/2006/relationships/hyperlink" Target="http://t.me/zooljanah" TargetMode="External"/><Relationship Id="rId5332" Type="http://schemas.openxmlformats.org/officeDocument/2006/relationships/hyperlink" Target="https://www.instagram.com/mohebin18" TargetMode="External"/><Relationship Id="rId6663" Type="http://schemas.openxmlformats.org/officeDocument/2006/relationships/hyperlink" Target="https://www.instagram.com/navayekabootar/" TargetMode="External"/><Relationship Id="rId7995" Type="http://schemas.openxmlformats.org/officeDocument/2006/relationships/hyperlink" Target="https://www.instagram.com/roghayehkhaton315" TargetMode="External"/><Relationship Id="rId263" Type="http://schemas.openxmlformats.org/officeDocument/2006/relationships/hyperlink" Target="https://eitaa.com/oshaghorezair" TargetMode="External"/><Relationship Id="rId5333" Type="http://schemas.openxmlformats.org/officeDocument/2006/relationships/hyperlink" Target="https://eitaa.com/mohebin18" TargetMode="External"/><Relationship Id="rId6664" Type="http://schemas.openxmlformats.org/officeDocument/2006/relationships/hyperlink" Target="https://www.instagram.com/nooralhoda_8/" TargetMode="External"/><Relationship Id="rId7994" Type="http://schemas.openxmlformats.org/officeDocument/2006/relationships/hyperlink" Target="https://eitaa.com/Kousariye_channel" TargetMode="External"/><Relationship Id="rId262" Type="http://schemas.openxmlformats.org/officeDocument/2006/relationships/hyperlink" Target="https://t.me/oshaghoreza_ir" TargetMode="External"/><Relationship Id="rId4002" Type="http://schemas.openxmlformats.org/officeDocument/2006/relationships/hyperlink" Target="http://t.me/zoohoor_zn" TargetMode="External"/><Relationship Id="rId5330" Type="http://schemas.openxmlformats.org/officeDocument/2006/relationships/hyperlink" Target="https://www.instagram.com/m.emamreza_zarand1" TargetMode="External"/><Relationship Id="rId6661" Type="http://schemas.openxmlformats.org/officeDocument/2006/relationships/hyperlink" Target="https://www.instagram.com/motevaselin213/" TargetMode="External"/><Relationship Id="rId7993" Type="http://schemas.openxmlformats.org/officeDocument/2006/relationships/hyperlink" Target="https://www.instagram.com/heyat.emam.jafar_sadegh" TargetMode="External"/><Relationship Id="rId261" Type="http://schemas.openxmlformats.org/officeDocument/2006/relationships/hyperlink" Target="https://www.instagram.com/oshaghoreza_ir/" TargetMode="External"/><Relationship Id="rId4001" Type="http://schemas.openxmlformats.org/officeDocument/2006/relationships/hyperlink" Target="https://www.instagram.com/zohoor_znj/" TargetMode="External"/><Relationship Id="rId5331" Type="http://schemas.openxmlformats.org/officeDocument/2006/relationships/hyperlink" Target="https://www.instagram.com/jannat.alhossein" TargetMode="External"/><Relationship Id="rId6662" Type="http://schemas.openxmlformats.org/officeDocument/2006/relationships/hyperlink" Target="https://www.instagram.com/music_shahzade_aliasqar/" TargetMode="External"/><Relationship Id="rId7992" Type="http://schemas.openxmlformats.org/officeDocument/2006/relationships/hyperlink" Target="https://eitaa.com/aleyasin_channel" TargetMode="External"/><Relationship Id="rId268" Type="http://schemas.openxmlformats.org/officeDocument/2006/relationships/hyperlink" Target="https://www.instagram.com/ansarolhosein_juybar/" TargetMode="External"/><Relationship Id="rId4004" Type="http://schemas.openxmlformats.org/officeDocument/2006/relationships/hyperlink" Target="http://tlgrm.me/mosabnejafarzanjan" TargetMode="External"/><Relationship Id="rId5336" Type="http://schemas.openxmlformats.org/officeDocument/2006/relationships/hyperlink" Target="https://www.instagram.com/ansaralmahdi_shahrebabak" TargetMode="External"/><Relationship Id="rId6667" Type="http://schemas.openxmlformats.org/officeDocument/2006/relationships/hyperlink" Target="https://www.instagram.com/noroshohada" TargetMode="External"/><Relationship Id="rId7999" Type="http://schemas.openxmlformats.org/officeDocument/2006/relationships/hyperlink" Target="https://www.instagram.com/masjed.alzahra.naein" TargetMode="External"/><Relationship Id="rId267" Type="http://schemas.openxmlformats.org/officeDocument/2006/relationships/hyperlink" Target="https://t.me/saghakhuneh_ir" TargetMode="External"/><Relationship Id="rId4003" Type="http://schemas.openxmlformats.org/officeDocument/2006/relationships/hyperlink" Target="https://www.instagram.com/mosabnejafarzanjan/" TargetMode="External"/><Relationship Id="rId5337" Type="http://schemas.openxmlformats.org/officeDocument/2006/relationships/hyperlink" Target="https://eitaa.com/ansaralmahdiii1404" TargetMode="External"/><Relationship Id="rId6668" Type="http://schemas.openxmlformats.org/officeDocument/2006/relationships/hyperlink" Target="https://eitaa.com/nouroshohada" TargetMode="External"/><Relationship Id="rId7998" Type="http://schemas.openxmlformats.org/officeDocument/2006/relationships/hyperlink" Target="https://www.instagram.com/h_ansarolheydar" TargetMode="External"/><Relationship Id="rId266" Type="http://schemas.openxmlformats.org/officeDocument/2006/relationships/hyperlink" Target="https://www.instagram.com/saghakhuneh.ir/" TargetMode="External"/><Relationship Id="rId4006" Type="http://schemas.openxmlformats.org/officeDocument/2006/relationships/hyperlink" Target="https://t.me/shifteghan_ali_znj" TargetMode="External"/><Relationship Id="rId5334" Type="http://schemas.openxmlformats.org/officeDocument/2006/relationships/hyperlink" Target="https://www.instagram.com/heyat_sarallah_masjednabi" TargetMode="External"/><Relationship Id="rId6665" Type="http://schemas.openxmlformats.org/officeDocument/2006/relationships/hyperlink" Target="https://www.instagram.com/noorvamarefat/" TargetMode="External"/><Relationship Id="rId7997" Type="http://schemas.openxmlformats.org/officeDocument/2006/relationships/hyperlink" Target="https://eitaa.com/montazeran_isf" TargetMode="External"/><Relationship Id="rId265" Type="http://schemas.openxmlformats.org/officeDocument/2006/relationships/hyperlink" Target="https://t.me/ansarozzahra_ir" TargetMode="External"/><Relationship Id="rId4005" Type="http://schemas.openxmlformats.org/officeDocument/2006/relationships/hyperlink" Target="https://www.instagram.com/rahrovanemam1374/" TargetMode="External"/><Relationship Id="rId5335" Type="http://schemas.openxmlformats.org/officeDocument/2006/relationships/hyperlink" Target="https://t.me/heyat_sarallah_masjednabi" TargetMode="External"/><Relationship Id="rId6666" Type="http://schemas.openxmlformats.org/officeDocument/2006/relationships/hyperlink" Target="http://t.me/noorvamarefat" TargetMode="External"/><Relationship Id="rId7996" Type="http://schemas.openxmlformats.org/officeDocument/2006/relationships/hyperlink" Target="https://t.me/roghayehkhaatoon_315" TargetMode="External"/><Relationship Id="rId5329" Type="http://schemas.openxmlformats.org/officeDocument/2006/relationships/hyperlink" Target="https://www.instagram.com/beytolahzanzarand" TargetMode="External"/><Relationship Id="rId5327" Type="http://schemas.openxmlformats.org/officeDocument/2006/relationships/hyperlink" Target="https://www.instagram.com/asheghan_baqhi_kerman" TargetMode="External"/><Relationship Id="rId6658" Type="http://schemas.openxmlformats.org/officeDocument/2006/relationships/hyperlink" Target="https://www.instagram.com/mosalla.karaj/" TargetMode="External"/><Relationship Id="rId5328" Type="http://schemas.openxmlformats.org/officeDocument/2006/relationships/hyperlink" Target="https://www.instagram.com/hasanioun_ravari" TargetMode="External"/><Relationship Id="rId6659" Type="http://schemas.openxmlformats.org/officeDocument/2006/relationships/hyperlink" Target="https://www.instagram.com/mosque_imam_hossein/" TargetMode="External"/><Relationship Id="rId7989" Type="http://schemas.openxmlformats.org/officeDocument/2006/relationships/hyperlink" Target="https://www.instagram.com/rozatolhossein_ir" TargetMode="External"/><Relationship Id="rId260" Type="http://schemas.openxmlformats.org/officeDocument/2006/relationships/hyperlink" Target="https://t.me/heyat_alamdar313" TargetMode="External"/><Relationship Id="rId259" Type="http://schemas.openxmlformats.org/officeDocument/2006/relationships/hyperlink" Target="https://www.instagram.com/heyat_alamdar" TargetMode="External"/><Relationship Id="rId258" Type="http://schemas.openxmlformats.org/officeDocument/2006/relationships/hyperlink" Target="https://eitaa.com/alamdar_moaddab" TargetMode="External"/><Relationship Id="rId7980" Type="http://schemas.openxmlformats.org/officeDocument/2006/relationships/hyperlink" Target="https://www.instagram.com/fatemiyonmalekshahr" TargetMode="External"/><Relationship Id="rId253" Type="http://schemas.openxmlformats.org/officeDocument/2006/relationships/hyperlink" Target="https://eitaa.com/yalesaratalhosyntnkabon" TargetMode="External"/><Relationship Id="rId5321" Type="http://schemas.openxmlformats.org/officeDocument/2006/relationships/hyperlink" Target="https://www.instagram.com/beytolmahdi" TargetMode="External"/><Relationship Id="rId6652" Type="http://schemas.openxmlformats.org/officeDocument/2006/relationships/hyperlink" Target="https://www.instagram.com/montazeran.87/" TargetMode="External"/><Relationship Id="rId7984" Type="http://schemas.openxmlformats.org/officeDocument/2006/relationships/hyperlink" Target="https://www.instagram.com/labaykyaahossein" TargetMode="External"/><Relationship Id="rId252" Type="http://schemas.openxmlformats.org/officeDocument/2006/relationships/hyperlink" Target="https://t.me/heiatshahekarbala" TargetMode="External"/><Relationship Id="rId5322" Type="http://schemas.openxmlformats.org/officeDocument/2006/relationships/hyperlink" Target="https://www.instagram.com/jannesaran.kerman" TargetMode="External"/><Relationship Id="rId6653" Type="http://schemas.openxmlformats.org/officeDocument/2006/relationships/hyperlink" Target="https://www.instagram.com/Montazerane_karaj" TargetMode="External"/><Relationship Id="rId7983" Type="http://schemas.openxmlformats.org/officeDocument/2006/relationships/hyperlink" Target="https://www.instagram.com/alamdar_345" TargetMode="External"/><Relationship Id="rId251" Type="http://schemas.openxmlformats.org/officeDocument/2006/relationships/hyperlink" Target="https://www.instagram.com/heiat.shahekarbala" TargetMode="External"/><Relationship Id="rId6650" Type="http://schemas.openxmlformats.org/officeDocument/2006/relationships/hyperlink" Target="https://www.instagram.com/montazeran_maahdi313" TargetMode="External"/><Relationship Id="rId7982" Type="http://schemas.openxmlformats.org/officeDocument/2006/relationships/hyperlink" Target="https://eitaa.com/Ansar_al_Mahdi_72" TargetMode="External"/><Relationship Id="rId250" Type="http://schemas.openxmlformats.org/officeDocument/2006/relationships/hyperlink" Target="https://www.instagram.com/asheghanabalfazll/" TargetMode="External"/><Relationship Id="rId5320" Type="http://schemas.openxmlformats.org/officeDocument/2006/relationships/hyperlink" Target="https://eitaa.com/heyat_shohada_khanook" TargetMode="External"/><Relationship Id="rId6651" Type="http://schemas.openxmlformats.org/officeDocument/2006/relationships/hyperlink" Target="https://t.me/montazeranmaahdii313" TargetMode="External"/><Relationship Id="rId7981" Type="http://schemas.openxmlformats.org/officeDocument/2006/relationships/hyperlink" Target="https://eitaa.com/fatemiyonmalekshahr" TargetMode="External"/><Relationship Id="rId257" Type="http://schemas.openxmlformats.org/officeDocument/2006/relationships/hyperlink" Target="https://t.me/alamdar_moaddab" TargetMode="External"/><Relationship Id="rId5325" Type="http://schemas.openxmlformats.org/officeDocument/2006/relationships/hyperlink" Target="https://www.instagram.com/heyate_imam_mohammad_bagher_b" TargetMode="External"/><Relationship Id="rId6656" Type="http://schemas.openxmlformats.org/officeDocument/2006/relationships/hyperlink" Target="https://www.instagram.com/montazeranmouod128/" TargetMode="External"/><Relationship Id="rId7988" Type="http://schemas.openxmlformats.org/officeDocument/2006/relationships/hyperlink" Target="https://www.instagram.com/heydari_jalalabad_bidgol" TargetMode="External"/><Relationship Id="rId256" Type="http://schemas.openxmlformats.org/officeDocument/2006/relationships/hyperlink" Target="https://www.instagram.com/alamdar_moaddab/" TargetMode="External"/><Relationship Id="rId5326" Type="http://schemas.openxmlformats.org/officeDocument/2006/relationships/hyperlink" Target="https://t.me/emam_mohamad_bagher_baft" TargetMode="External"/><Relationship Id="rId6657" Type="http://schemas.openxmlformats.org/officeDocument/2006/relationships/hyperlink" Target="https://www.instagram.com/moraghebine2/" TargetMode="External"/><Relationship Id="rId7987" Type="http://schemas.openxmlformats.org/officeDocument/2006/relationships/hyperlink" Target="https://eitaa.com/aemeatthar" TargetMode="External"/><Relationship Id="rId255" Type="http://schemas.openxmlformats.org/officeDocument/2006/relationships/hyperlink" Target="https://eitaa.com/heyatansarir" TargetMode="External"/><Relationship Id="rId5323" Type="http://schemas.openxmlformats.org/officeDocument/2006/relationships/hyperlink" Target="https://www.instagram.com/heiat.rahruvan.shohada" TargetMode="External"/><Relationship Id="rId6654" Type="http://schemas.openxmlformats.org/officeDocument/2006/relationships/hyperlink" Target="http://t.me/montazerane_karaj" TargetMode="External"/><Relationship Id="rId7986" Type="http://schemas.openxmlformats.org/officeDocument/2006/relationships/hyperlink" Target="https://t.me/reyhanatolhossein_channel" TargetMode="External"/><Relationship Id="rId254" Type="http://schemas.openxmlformats.org/officeDocument/2006/relationships/hyperlink" Target="https://www.instagram.com/heyatansarir/" TargetMode="External"/><Relationship Id="rId5324" Type="http://schemas.openxmlformats.org/officeDocument/2006/relationships/hyperlink" Target="https://www.instagram.com/moheban.alhusseinbam" TargetMode="External"/><Relationship Id="rId6655" Type="http://schemas.openxmlformats.org/officeDocument/2006/relationships/hyperlink" Target="https://eitaa.com/montazerane_karaj" TargetMode="External"/><Relationship Id="rId7985" Type="http://schemas.openxmlformats.org/officeDocument/2006/relationships/hyperlink" Target="https://t.me/labaykyaahossein" TargetMode="External"/><Relationship Id="rId4029" Type="http://schemas.openxmlformats.org/officeDocument/2006/relationships/hyperlink" Target="https://www.instagram.com/ansar_alhussein_board_956/" TargetMode="External"/><Relationship Id="rId293" Type="http://schemas.openxmlformats.org/officeDocument/2006/relationships/hyperlink" Target="https://www.instagram.com/rowzatolabas.jouybar/" TargetMode="External"/><Relationship Id="rId292" Type="http://schemas.openxmlformats.org/officeDocument/2006/relationships/hyperlink" Target="https://eitaa.com/MojtameEmamreza" TargetMode="External"/><Relationship Id="rId291" Type="http://schemas.openxmlformats.org/officeDocument/2006/relationships/hyperlink" Target="https://t.me/Mojtame_Emamreza" TargetMode="External"/><Relationship Id="rId290" Type="http://schemas.openxmlformats.org/officeDocument/2006/relationships/hyperlink" Target="https://www.instagram.com/mojtameemamreza/" TargetMode="External"/><Relationship Id="rId5350" Type="http://schemas.openxmlformats.org/officeDocument/2006/relationships/hyperlink" Target="https://eitaa.com/kanoonsirjan" TargetMode="External"/><Relationship Id="rId6681" Type="http://schemas.openxmlformats.org/officeDocument/2006/relationships/hyperlink" Target="https://www.instagram.com/rozatolarbab110/" TargetMode="External"/><Relationship Id="rId5351" Type="http://schemas.openxmlformats.org/officeDocument/2006/relationships/hyperlink" Target="https://www.instagram.com/heiatseyedolsajedin" TargetMode="External"/><Relationship Id="rId6682" Type="http://schemas.openxmlformats.org/officeDocument/2006/relationships/hyperlink" Target="https://t.me/rozatolarbab_karaj" TargetMode="External"/><Relationship Id="rId4020" Type="http://schemas.openxmlformats.org/officeDocument/2006/relationships/hyperlink" Target="https://www.instagram.com/ferdosabadan" TargetMode="External"/><Relationship Id="rId6680" Type="http://schemas.openxmlformats.org/officeDocument/2006/relationships/hyperlink" Target="https://www.instagram.com/reyhanenabi.ir1" TargetMode="External"/><Relationship Id="rId286" Type="http://schemas.openxmlformats.org/officeDocument/2006/relationships/hyperlink" Target="https://t.me/rowzatolhosein_juybar" TargetMode="External"/><Relationship Id="rId4022" Type="http://schemas.openxmlformats.org/officeDocument/2006/relationships/hyperlink" Target="https://www.instagram.com/hosseinyeh.sahebalzaman/" TargetMode="External"/><Relationship Id="rId5354" Type="http://schemas.openxmlformats.org/officeDocument/2006/relationships/hyperlink" Target="https://www.instagram.com/mokebmeraj.ir" TargetMode="External"/><Relationship Id="rId6685" Type="http://schemas.openxmlformats.org/officeDocument/2006/relationships/hyperlink" Target="https://www.instagram.com/sahebzaman_karaj" TargetMode="External"/><Relationship Id="rId285" Type="http://schemas.openxmlformats.org/officeDocument/2006/relationships/hyperlink" Target="https://www.instagram.com/rowzatolhosein_juybar/" TargetMode="External"/><Relationship Id="rId4021" Type="http://schemas.openxmlformats.org/officeDocument/2006/relationships/hyperlink" Target="https://t.me/ferdosabadan" TargetMode="External"/><Relationship Id="rId5355" Type="http://schemas.openxmlformats.org/officeDocument/2006/relationships/hyperlink" Target="https://www.instagram.com/yasekabood99" TargetMode="External"/><Relationship Id="rId6686" Type="http://schemas.openxmlformats.org/officeDocument/2006/relationships/hyperlink" Target="https://www.instagram.com/tasnimqoran" TargetMode="External"/><Relationship Id="rId284" Type="http://schemas.openxmlformats.org/officeDocument/2006/relationships/hyperlink" Target="https://eitaa.com/shababekarbala" TargetMode="External"/><Relationship Id="rId4024" Type="http://schemas.openxmlformats.org/officeDocument/2006/relationships/hyperlink" Target="https://www.instagram.com/masjed.hojatabadan/" TargetMode="External"/><Relationship Id="rId5352" Type="http://schemas.openxmlformats.org/officeDocument/2006/relationships/hyperlink" Target="https://www.instagram.com/heyat_moheban_kmu" TargetMode="External"/><Relationship Id="rId6683" Type="http://schemas.openxmlformats.org/officeDocument/2006/relationships/hyperlink" Target="https://www.instagram.com/rozatolhosein_karaj" TargetMode="External"/><Relationship Id="rId283" Type="http://schemas.openxmlformats.org/officeDocument/2006/relationships/hyperlink" Target="https://t.me/shababekarbala" TargetMode="External"/><Relationship Id="rId4023" Type="http://schemas.openxmlformats.org/officeDocument/2006/relationships/hyperlink" Target="https://www.instagram.com/quran_abadan_ir/" TargetMode="External"/><Relationship Id="rId5353" Type="http://schemas.openxmlformats.org/officeDocument/2006/relationships/hyperlink" Target="https://eitaa.com/Shahideyn" TargetMode="External"/><Relationship Id="rId6684" Type="http://schemas.openxmlformats.org/officeDocument/2006/relationships/hyperlink" Target="https://l.instagram.com/?u=https%3A%2F%2Ft.me%2Frozatolhosein_krj%3Futm_source%3Dig%26utm_medium%3Dsocial%26utm_content%3Dlink_in_bio%26fbclid%3DPAZXh0bgNhZW0CMTEAc3J0YwZhcHBfaWQMMjU2MjgxMDQwNTU4AAGnfleIUdbEqsMuuyv03BS-SqPZrPs-wzPQ8EYtlGQEmj5EZEp7eZRcZkxghu0_aem_k67u_KZ-WzGv8-ZoTXWqUA&amp;e=AT0jKTT_oH90Off0bMa-VwG_P9DHB13xHvqCjCHKeHUIoclMEaDSoQ9seLwN5mxq1vYIhiaA-eVx4HxockHW_4bS2teCP8r9_JYBhVb8uQ" TargetMode="External"/><Relationship Id="rId4026" Type="http://schemas.openxmlformats.org/officeDocument/2006/relationships/hyperlink" Target="https://eitaa.com/dokhtaran_haj_ghasem4" TargetMode="External"/><Relationship Id="rId5358" Type="http://schemas.openxmlformats.org/officeDocument/2006/relationships/hyperlink" Target="https://www.instagram.com/heyat_mohebban_lmam_hossein" TargetMode="External"/><Relationship Id="rId6689" Type="http://schemas.openxmlformats.org/officeDocument/2006/relationships/hyperlink" Target="https://www.instagram.com/zeynabieh_karaj" TargetMode="External"/><Relationship Id="rId289" Type="http://schemas.openxmlformats.org/officeDocument/2006/relationships/hyperlink" Target="https://www.instagram.com/rahrovan_shohada_shorka/" TargetMode="External"/><Relationship Id="rId4025" Type="http://schemas.openxmlformats.org/officeDocument/2006/relationships/hyperlink" Target="http://instagram.com/heiat.javananbanihashem/" TargetMode="External"/><Relationship Id="rId5359" Type="http://schemas.openxmlformats.org/officeDocument/2006/relationships/hyperlink" Target="https://www.instagram.com/imam_hussain_valfajr" TargetMode="External"/><Relationship Id="rId288" Type="http://schemas.openxmlformats.org/officeDocument/2006/relationships/hyperlink" Target="https://t.me/heyatejavadolaeme" TargetMode="External"/><Relationship Id="rId4028" Type="http://schemas.openxmlformats.org/officeDocument/2006/relationships/hyperlink" Target="https://www.instagram.com/ashoraandimeshk/" TargetMode="External"/><Relationship Id="rId5356" Type="http://schemas.openxmlformats.org/officeDocument/2006/relationships/hyperlink" Target="https://t.me/rozatolabbaskerman" TargetMode="External"/><Relationship Id="rId6687" Type="http://schemas.openxmlformats.org/officeDocument/2006/relationships/hyperlink" Target="https://www.instagram.com/ya.zeynab.karaj/" TargetMode="External"/><Relationship Id="rId287" Type="http://schemas.openxmlformats.org/officeDocument/2006/relationships/hyperlink" Target="https://www.instagram.com/heyate_javadolaeme_jouybar/" TargetMode="External"/><Relationship Id="rId4027" Type="http://schemas.openxmlformats.org/officeDocument/2006/relationships/hyperlink" Target="https://eitaa.com/dokhtaran_haj_ghasem4" TargetMode="External"/><Relationship Id="rId5357" Type="http://schemas.openxmlformats.org/officeDocument/2006/relationships/hyperlink" Target="https://www.instagram.com/heyatozahrakerman.ir" TargetMode="External"/><Relationship Id="rId6688" Type="http://schemas.openxmlformats.org/officeDocument/2006/relationships/hyperlink" Target="https://www.instagram.com/zeinabiyon_alborz" TargetMode="External"/><Relationship Id="rId4019" Type="http://schemas.openxmlformats.org/officeDocument/2006/relationships/hyperlink" Target="https://www.instagram.com/hoseiniye_davaniha_abadan/" TargetMode="External"/><Relationship Id="rId4018" Type="http://schemas.openxmlformats.org/officeDocument/2006/relationships/hyperlink" Target="https://www.instagram.com/heyat_hazrat_roghayeh.ab/" TargetMode="External"/><Relationship Id="rId5349" Type="http://schemas.openxmlformats.org/officeDocument/2006/relationships/hyperlink" Target="https://www.instagram.com/mahfele110" TargetMode="External"/><Relationship Id="rId282" Type="http://schemas.openxmlformats.org/officeDocument/2006/relationships/hyperlink" Target="https://www.instagram.com/shababekarbala/" TargetMode="External"/><Relationship Id="rId281" Type="http://schemas.openxmlformats.org/officeDocument/2006/relationships/hyperlink" Target="https://www.instagram.com/heyatpanjtanaleaba/" TargetMode="External"/><Relationship Id="rId280" Type="http://schemas.openxmlformats.org/officeDocument/2006/relationships/hyperlink" Target="https://eitaa.com/heiatsarallahjouybar" TargetMode="External"/><Relationship Id="rId6670" Type="http://schemas.openxmlformats.org/officeDocument/2006/relationships/hyperlink" Target="https://www.instagram.com/oshagholhosayn/" TargetMode="External"/><Relationship Id="rId5340" Type="http://schemas.openxmlformats.org/officeDocument/2006/relationships/hyperlink" Target="https://www.instagram.com/bh_bam1365" TargetMode="External"/><Relationship Id="rId6671" Type="http://schemas.openxmlformats.org/officeDocument/2006/relationships/hyperlink" Target="https://t.me/heyat_oshagh" TargetMode="External"/><Relationship Id="rId275" Type="http://schemas.openxmlformats.org/officeDocument/2006/relationships/hyperlink" Target="https://t.me/moheban_valiasr_k" TargetMode="External"/><Relationship Id="rId4011" Type="http://schemas.openxmlformats.org/officeDocument/2006/relationships/hyperlink" Target="https://eitaa.com/hoseiniehmaaref" TargetMode="External"/><Relationship Id="rId5343" Type="http://schemas.openxmlformats.org/officeDocument/2006/relationships/hyperlink" Target="https://eitaa.com/moheban_bam" TargetMode="External"/><Relationship Id="rId6674" Type="http://schemas.openxmlformats.org/officeDocument/2006/relationships/hyperlink" Target="https://www.instagram.com/razmandeganefardis/" TargetMode="External"/><Relationship Id="rId274" Type="http://schemas.openxmlformats.org/officeDocument/2006/relationships/hyperlink" Target="https://www.instagram.com/moheban_valiasr_k/" TargetMode="External"/><Relationship Id="rId4010" Type="http://schemas.openxmlformats.org/officeDocument/2006/relationships/hyperlink" Target="https://eitaa.com/mahdirasuli_ir" TargetMode="External"/><Relationship Id="rId5344" Type="http://schemas.openxmlformats.org/officeDocument/2006/relationships/hyperlink" Target="https://www.instagram.com/javadolaemeh_kerman.ir" TargetMode="External"/><Relationship Id="rId6675" Type="http://schemas.openxmlformats.org/officeDocument/2006/relationships/hyperlink" Target="http://t.me/RazmandeganFardis" TargetMode="External"/><Relationship Id="rId273" Type="http://schemas.openxmlformats.org/officeDocument/2006/relationships/hyperlink" Target="https://t.me/Mohebbinahlebeitjuybar" TargetMode="External"/><Relationship Id="rId4013" Type="http://schemas.openxmlformats.org/officeDocument/2006/relationships/hyperlink" Target="https://www.instagram.com/bagheriyon.ir/" TargetMode="External"/><Relationship Id="rId5341" Type="http://schemas.openxmlformats.org/officeDocument/2006/relationships/hyperlink" Target="https://www.instagram.com/ansarorasool/" TargetMode="External"/><Relationship Id="rId6672" Type="http://schemas.openxmlformats.org/officeDocument/2006/relationships/hyperlink" Target="https://www.instagram.com/rahrovaneshohada_karaj/" TargetMode="External"/><Relationship Id="rId272" Type="http://schemas.openxmlformats.org/officeDocument/2006/relationships/hyperlink" Target="https://www.instagram.com/mohebbinahlebeitjuybar313/" TargetMode="External"/><Relationship Id="rId4012" Type="http://schemas.openxmlformats.org/officeDocument/2006/relationships/hyperlink" Target="https://www.instagram.com/emamhasan_ab/" TargetMode="External"/><Relationship Id="rId5342" Type="http://schemas.openxmlformats.org/officeDocument/2006/relationships/hyperlink" Target="https://t.me/ansarorasool" TargetMode="External"/><Relationship Id="rId6673" Type="http://schemas.openxmlformats.org/officeDocument/2006/relationships/hyperlink" Target="https://eitaa.com/Rahrovaneshohada_karaj" TargetMode="External"/><Relationship Id="rId279" Type="http://schemas.openxmlformats.org/officeDocument/2006/relationships/hyperlink" Target="https://www.instagram.com/hazratealiakbar" TargetMode="External"/><Relationship Id="rId4015" Type="http://schemas.openxmlformats.org/officeDocument/2006/relationships/hyperlink" Target="https://www.instagram.com/hoseinie_booshehriha" TargetMode="External"/><Relationship Id="rId5347" Type="http://schemas.openxmlformats.org/officeDocument/2006/relationships/hyperlink" Target="https://www.instagram.com/oshagholmahdi.313.kerman" TargetMode="External"/><Relationship Id="rId6678" Type="http://schemas.openxmlformats.org/officeDocument/2006/relationships/hyperlink" Target="https://t.me/reyhanatolhossein_esh" TargetMode="External"/><Relationship Id="rId278" Type="http://schemas.openxmlformats.org/officeDocument/2006/relationships/hyperlink" Target="https://www.instagram.com/heyat_seyedoshohada_jouybar/" TargetMode="External"/><Relationship Id="rId4014" Type="http://schemas.openxmlformats.org/officeDocument/2006/relationships/hyperlink" Target="https://www.instagram.com/khaghani_1321/" TargetMode="External"/><Relationship Id="rId5348" Type="http://schemas.openxmlformats.org/officeDocument/2006/relationships/hyperlink" Target="https://www.instagram.com/hyate_javanan_aliakbar_joshan" TargetMode="External"/><Relationship Id="rId6679" Type="http://schemas.openxmlformats.org/officeDocument/2006/relationships/hyperlink" Target="https://www.instagram.com/reyhanehat_alnabi_karaj/" TargetMode="External"/><Relationship Id="rId277" Type="http://schemas.openxmlformats.org/officeDocument/2006/relationships/hyperlink" Target="https://t.me/ansarjoybar" TargetMode="External"/><Relationship Id="rId4017" Type="http://schemas.openxmlformats.org/officeDocument/2006/relationships/hyperlink" Target="https://www.instagram.com/masjed.samen/" TargetMode="External"/><Relationship Id="rId5345" Type="http://schemas.openxmlformats.org/officeDocument/2006/relationships/hyperlink" Target="https://eitaa.com/beytolahzanbam" TargetMode="External"/><Relationship Id="rId6676" Type="http://schemas.openxmlformats.org/officeDocument/2006/relationships/hyperlink" Target="https://www.instagram.com/reihane_kheybar/" TargetMode="External"/><Relationship Id="rId276" Type="http://schemas.openxmlformats.org/officeDocument/2006/relationships/hyperlink" Target="https://www.instagram.com/ansaralmahdi_juybar/" TargetMode="External"/><Relationship Id="rId4016" Type="http://schemas.openxmlformats.org/officeDocument/2006/relationships/hyperlink" Target="https://t.me/hoseinie_booshehriha" TargetMode="External"/><Relationship Id="rId5346" Type="http://schemas.openxmlformats.org/officeDocument/2006/relationships/hyperlink" Target="https://eitaa.com/asheghaneharameEMAMREZA" TargetMode="External"/><Relationship Id="rId6677" Type="http://schemas.openxmlformats.org/officeDocument/2006/relationships/hyperlink" Target="https://www.instagram.com/reyhanatolhossein_es" TargetMode="External"/><Relationship Id="rId1851" Type="http://schemas.openxmlformats.org/officeDocument/2006/relationships/hyperlink" Target="https://www.instagram.com/jannat_hosein/" TargetMode="External"/><Relationship Id="rId1852" Type="http://schemas.openxmlformats.org/officeDocument/2006/relationships/hyperlink" Target="https://t.me/jannat_hosein" TargetMode="External"/><Relationship Id="rId1853" Type="http://schemas.openxmlformats.org/officeDocument/2006/relationships/hyperlink" Target="https://www.instagram.com/hobona.ir/" TargetMode="External"/><Relationship Id="rId1854" Type="http://schemas.openxmlformats.org/officeDocument/2006/relationships/hyperlink" Target="https://t.me/jannat_o_reza" TargetMode="External"/><Relationship Id="rId1855" Type="http://schemas.openxmlformats.org/officeDocument/2006/relationships/hyperlink" Target="https://www.instagram.com/javanan_sarallah/" TargetMode="External"/><Relationship Id="rId1856" Type="http://schemas.openxmlformats.org/officeDocument/2006/relationships/hyperlink" Target="https://t.me/javanan_saraallah" TargetMode="External"/><Relationship Id="rId1857" Type="http://schemas.openxmlformats.org/officeDocument/2006/relationships/hyperlink" Target="https://www.instagram.com/khademin.info/" TargetMode="External"/><Relationship Id="rId1858" Type="http://schemas.openxmlformats.org/officeDocument/2006/relationships/hyperlink" Target="https://t.me/khademin_315" TargetMode="External"/><Relationship Id="rId1859" Type="http://schemas.openxmlformats.org/officeDocument/2006/relationships/hyperlink" Target="https://www.instagram.com/kharabeneshinaan315/" TargetMode="External"/><Relationship Id="rId1850" Type="http://schemas.openxmlformats.org/officeDocument/2006/relationships/hyperlink" Target="https://t.me/iribu_heyat" TargetMode="External"/><Relationship Id="rId1840" Type="http://schemas.openxmlformats.org/officeDocument/2006/relationships/hyperlink" Target="https://t.me/heyatvareth" TargetMode="External"/><Relationship Id="rId1841" Type="http://schemas.openxmlformats.org/officeDocument/2006/relationships/hyperlink" Target="https://www.instagram.com/heidariyonh/" TargetMode="External"/><Relationship Id="rId1842" Type="http://schemas.openxmlformats.org/officeDocument/2006/relationships/hyperlink" Target="https://t.me/heydariyon1416" TargetMode="External"/><Relationship Id="rId1843" Type="http://schemas.openxmlformats.org/officeDocument/2006/relationships/hyperlink" Target="https://www.instagram.com/hobolhusein/" TargetMode="External"/><Relationship Id="rId1844" Type="http://schemas.openxmlformats.org/officeDocument/2006/relationships/hyperlink" Target="https://t.me/hobolhusein" TargetMode="External"/><Relationship Id="rId1845" Type="http://schemas.openxmlformats.org/officeDocument/2006/relationships/hyperlink" Target="https://www.instagram.com/hosseinie_karbala/" TargetMode="External"/><Relationship Id="rId1846" Type="http://schemas.openxmlformats.org/officeDocument/2006/relationships/hyperlink" Target="https://t.me/hosseinie_karbala" TargetMode="External"/><Relationship Id="rId1847" Type="http://schemas.openxmlformats.org/officeDocument/2006/relationships/hyperlink" Target="https://www.instagram.com/hosseiniyedarake/" TargetMode="External"/><Relationship Id="rId1848" Type="http://schemas.openxmlformats.org/officeDocument/2006/relationships/hyperlink" Target="https://t.me/hosseiniye_darake" TargetMode="External"/><Relationship Id="rId1849" Type="http://schemas.openxmlformats.org/officeDocument/2006/relationships/hyperlink" Target="https://www.instagram.com/iribu_heyat/" TargetMode="External"/><Relationship Id="rId1873" Type="http://schemas.openxmlformats.org/officeDocument/2006/relationships/hyperlink" Target="https://www.instagram.com/mahfelashk205/" TargetMode="External"/><Relationship Id="rId1874" Type="http://schemas.openxmlformats.org/officeDocument/2006/relationships/hyperlink" Target="https://t.me/mahfelashk" TargetMode="External"/><Relationship Id="rId1875" Type="http://schemas.openxmlformats.org/officeDocument/2006/relationships/hyperlink" Target="https://www.instagram.com/mahfelroqaye/" TargetMode="External"/><Relationship Id="rId1876" Type="http://schemas.openxmlformats.org/officeDocument/2006/relationships/hyperlink" Target="https://t.me/mahfelroqaye" TargetMode="External"/><Relationship Id="rId1877" Type="http://schemas.openxmlformats.org/officeDocument/2006/relationships/hyperlink" Target="https://www.instagram.com/maktab_alhasan_118/" TargetMode="External"/><Relationship Id="rId1878" Type="http://schemas.openxmlformats.org/officeDocument/2006/relationships/hyperlink" Target="https://t.me/maktab_alhasan_118" TargetMode="External"/><Relationship Id="rId1879" Type="http://schemas.openxmlformats.org/officeDocument/2006/relationships/hyperlink" Target="https://www.instagram.com/maktab_mola_ali/" TargetMode="External"/><Relationship Id="rId1870" Type="http://schemas.openxmlformats.org/officeDocument/2006/relationships/hyperlink" Target="https://t.me/maajar_channel" TargetMode="External"/><Relationship Id="rId1871" Type="http://schemas.openxmlformats.org/officeDocument/2006/relationships/hyperlink" Target="https://www.instagram.com/mahfel_fatemiun_tehran/" TargetMode="External"/><Relationship Id="rId1872" Type="http://schemas.openxmlformats.org/officeDocument/2006/relationships/hyperlink" Target="https://t.me/mahfel_fatemiun_tehran" TargetMode="External"/><Relationship Id="rId1862" Type="http://schemas.openxmlformats.org/officeDocument/2006/relationships/hyperlink" Target="https://t.me/kheime133" TargetMode="External"/><Relationship Id="rId1863" Type="http://schemas.openxmlformats.org/officeDocument/2006/relationships/hyperlink" Target="https://www.instagram.com/kheymatolroghaye/" TargetMode="External"/><Relationship Id="rId1864" Type="http://schemas.openxmlformats.org/officeDocument/2006/relationships/hyperlink" Target="https://t.me/kheymatolroghaye" TargetMode="External"/><Relationship Id="rId1865" Type="http://schemas.openxmlformats.org/officeDocument/2006/relationships/hyperlink" Target="https://www.instagram.com/leva_hosein/" TargetMode="External"/><Relationship Id="rId1866" Type="http://schemas.openxmlformats.org/officeDocument/2006/relationships/hyperlink" Target="https://t.me/leva_hosein" TargetMode="External"/><Relationship Id="rId1867" Type="http://schemas.openxmlformats.org/officeDocument/2006/relationships/hyperlink" Target="https://www.instagram.com/levaozzeynabetehran/" TargetMode="External"/><Relationship Id="rId1868" Type="http://schemas.openxmlformats.org/officeDocument/2006/relationships/hyperlink" Target="https://t.me/levaozzeynabetehran" TargetMode="External"/><Relationship Id="rId1869" Type="http://schemas.openxmlformats.org/officeDocument/2006/relationships/hyperlink" Target="https://www.instagram.com/maajar_135/" TargetMode="External"/><Relationship Id="rId1860" Type="http://schemas.openxmlformats.org/officeDocument/2006/relationships/hyperlink" Target="https://t.me/kharabeneshinaan315" TargetMode="External"/><Relationship Id="rId1861" Type="http://schemas.openxmlformats.org/officeDocument/2006/relationships/hyperlink" Target="https://www.instagram.com/kheime133/" TargetMode="External"/><Relationship Id="rId1810" Type="http://schemas.openxmlformats.org/officeDocument/2006/relationships/hyperlink" Target="https://t.me/heiate_mohebbin" TargetMode="External"/><Relationship Id="rId1811" Type="http://schemas.openxmlformats.org/officeDocument/2006/relationships/hyperlink" Target="https://www.instagram.com/heiate.bentonabi/" TargetMode="External"/><Relationship Id="rId1812" Type="http://schemas.openxmlformats.org/officeDocument/2006/relationships/hyperlink" Target="https://t.me/heiatebentonabi" TargetMode="External"/><Relationship Id="rId1813" Type="http://schemas.openxmlformats.org/officeDocument/2006/relationships/hyperlink" Target="https://www.instagram.com/heiatrazmandegan" TargetMode="External"/><Relationship Id="rId1814" Type="http://schemas.openxmlformats.org/officeDocument/2006/relationships/hyperlink" Target="https://t.me/heiatrazmandegan" TargetMode="External"/><Relationship Id="rId1815" Type="http://schemas.openxmlformats.org/officeDocument/2006/relationships/hyperlink" Target="https://valasr.ir/" TargetMode="External"/><Relationship Id="rId1816" Type="http://schemas.openxmlformats.org/officeDocument/2006/relationships/hyperlink" Target="https://www.instagram.com/heiatseyedoshohada/" TargetMode="External"/><Relationship Id="rId1817" Type="http://schemas.openxmlformats.org/officeDocument/2006/relationships/hyperlink" Target="https://t.me/heiatseyedoshohada" TargetMode="External"/><Relationship Id="rId1818" Type="http://schemas.openxmlformats.org/officeDocument/2006/relationships/hyperlink" Target="https://www.instagram.com/shahzade_aliakbarr333/" TargetMode="External"/><Relationship Id="rId1819" Type="http://schemas.openxmlformats.org/officeDocument/2006/relationships/hyperlink" Target="https://t.me/heiatshahzadealiakbar82" TargetMode="External"/><Relationship Id="rId4080" Type="http://schemas.openxmlformats.org/officeDocument/2006/relationships/hyperlink" Target="https://eitaa.com/jannat_info" TargetMode="External"/><Relationship Id="rId4082" Type="http://schemas.openxmlformats.org/officeDocument/2006/relationships/hyperlink" Target="https://t.me/jannat_info" TargetMode="External"/><Relationship Id="rId4081" Type="http://schemas.openxmlformats.org/officeDocument/2006/relationships/hyperlink" Target="https://www.instagram.com/jannat_info" TargetMode="External"/><Relationship Id="rId4084" Type="http://schemas.openxmlformats.org/officeDocument/2006/relationships/hyperlink" Target="https://www.instagram.com/khatamolanbia_behbahan" TargetMode="External"/><Relationship Id="rId4083" Type="http://schemas.openxmlformats.org/officeDocument/2006/relationships/hyperlink" Target="https://www.instagram.com/heyat_1384" TargetMode="External"/><Relationship Id="rId4086" Type="http://schemas.openxmlformats.org/officeDocument/2006/relationships/hyperlink" Target="https://www.instagram.com/damat_alruqayyeh" TargetMode="External"/><Relationship Id="rId4085" Type="http://schemas.openxmlformats.org/officeDocument/2006/relationships/hyperlink" Target="https://www.instagram.com/mehdi.f_m.behbahan2145/" TargetMode="External"/><Relationship Id="rId4088" Type="http://schemas.openxmlformats.org/officeDocument/2006/relationships/hyperlink" Target="https://www.instagram.com/rayat86man" TargetMode="External"/><Relationship Id="rId4087" Type="http://schemas.openxmlformats.org/officeDocument/2006/relationships/hyperlink" Target="https://t.me/damat_alruqayyeh" TargetMode="External"/><Relationship Id="rId4089" Type="http://schemas.openxmlformats.org/officeDocument/2006/relationships/hyperlink" Target="https://t.me/rayat86man" TargetMode="External"/><Relationship Id="rId1800" Type="http://schemas.openxmlformats.org/officeDocument/2006/relationships/hyperlink" Target="https://t.me/gahvareh_tahur" TargetMode="External"/><Relationship Id="rId1801" Type="http://schemas.openxmlformats.org/officeDocument/2006/relationships/hyperlink" Target="https://www.instagram.com/shahzadegan_e_karbala/" TargetMode="External"/><Relationship Id="rId1802" Type="http://schemas.openxmlformats.org/officeDocument/2006/relationships/hyperlink" Target="https://t.me/gharib133" TargetMode="External"/><Relationship Id="rId1803" Type="http://schemas.openxmlformats.org/officeDocument/2006/relationships/hyperlink" Target="https://www.instagram.com/heyat_yahassan_tehran/" TargetMode="External"/><Relationship Id="rId1804" Type="http://schemas.openxmlformats.org/officeDocument/2006/relationships/hyperlink" Target="https://t.me/haj_Seyed_Vahid_Mostafavi" TargetMode="External"/><Relationship Id="rId1805" Type="http://schemas.openxmlformats.org/officeDocument/2006/relationships/hyperlink" Target="https://www.instagram.com/heyat_ya_zahra135/" TargetMode="External"/><Relationship Id="rId1806" Type="http://schemas.openxmlformats.org/officeDocument/2006/relationships/hyperlink" Target="https://t.me/Hasan_hoseynkhani" TargetMode="External"/><Relationship Id="rId1807" Type="http://schemas.openxmlformats.org/officeDocument/2006/relationships/hyperlink" Target="https://www.instagram.com/heiate.ebnoreza/" TargetMode="External"/><Relationship Id="rId1808" Type="http://schemas.openxmlformats.org/officeDocument/2006/relationships/hyperlink" Target="https://t.me/heiate_ebnoreza" TargetMode="External"/><Relationship Id="rId1809" Type="http://schemas.openxmlformats.org/officeDocument/2006/relationships/hyperlink" Target="https://www.instagram.com/heiate_mohebbin/" TargetMode="External"/><Relationship Id="rId4071" Type="http://schemas.openxmlformats.org/officeDocument/2006/relationships/hyperlink" Target="http://instagram.com/heyat_rayatolabas/" TargetMode="External"/><Relationship Id="rId4070" Type="http://schemas.openxmlformats.org/officeDocument/2006/relationships/hyperlink" Target="https://www.instagram.com/masjed.shohada.mahshahr/" TargetMode="External"/><Relationship Id="rId4073" Type="http://schemas.openxmlformats.org/officeDocument/2006/relationships/hyperlink" Target="http://telegram.me/ansaralmahdi14" TargetMode="External"/><Relationship Id="rId4072" Type="http://schemas.openxmlformats.org/officeDocument/2006/relationships/hyperlink" Target="https://www.instagram.com/ansarolmahdi_mahshahr/" TargetMode="External"/><Relationship Id="rId4075" Type="http://schemas.openxmlformats.org/officeDocument/2006/relationships/hyperlink" Target="https://www.instagram.com/mahshahr_zinalabedin/" TargetMode="External"/><Relationship Id="rId4074" Type="http://schemas.openxmlformats.org/officeDocument/2006/relationships/hyperlink" Target="https://www.instagram.com/hyat.alzahrea/" TargetMode="External"/><Relationship Id="rId4077" Type="http://schemas.openxmlformats.org/officeDocument/2006/relationships/hyperlink" Target="http://t.me/heyat_emam_hasan_95" TargetMode="External"/><Relationship Id="rId4076" Type="http://schemas.openxmlformats.org/officeDocument/2006/relationships/hyperlink" Target="https://www.instagram.com/heyat_emam_hasan95/" TargetMode="External"/><Relationship Id="rId4079" Type="http://schemas.openxmlformats.org/officeDocument/2006/relationships/hyperlink" Target="https://www.instagram.com/jannatt_al_hossein/" TargetMode="External"/><Relationship Id="rId4078" Type="http://schemas.openxmlformats.org/officeDocument/2006/relationships/hyperlink" Target="https://www.instagram.com/beitolabbas_heiat" TargetMode="External"/><Relationship Id="rId1830" Type="http://schemas.openxmlformats.org/officeDocument/2006/relationships/hyperlink" Target="https://www.instagram.com/heyate_janatol_reza/" TargetMode="External"/><Relationship Id="rId1831" Type="http://schemas.openxmlformats.org/officeDocument/2006/relationships/hyperlink" Target="https://t.me/heyatjanatolrezatehran" TargetMode="External"/><Relationship Id="rId1832" Type="http://schemas.openxmlformats.org/officeDocument/2006/relationships/hyperlink" Target="https://www.instagram.com/heyatjannesaran/" TargetMode="External"/><Relationship Id="rId1833" Type="http://schemas.openxmlformats.org/officeDocument/2006/relationships/hyperlink" Target="https://t.me/heyatjannesaran" TargetMode="External"/><Relationship Id="rId1834" Type="http://schemas.openxmlformats.org/officeDocument/2006/relationships/hyperlink" Target="https://www.instagram.com/heyat.karbala/" TargetMode="External"/><Relationship Id="rId1835" Type="http://schemas.openxmlformats.org/officeDocument/2006/relationships/hyperlink" Target="https://t.me/HeyatKarbala" TargetMode="External"/><Relationship Id="rId1836" Type="http://schemas.openxmlformats.org/officeDocument/2006/relationships/hyperlink" Target="https://www.instagram.com/samenolaemeh.1001/" TargetMode="External"/><Relationship Id="rId1837" Type="http://schemas.openxmlformats.org/officeDocument/2006/relationships/hyperlink" Target="https://t.me/heyatsamenolaeme" TargetMode="External"/><Relationship Id="rId1838" Type="http://schemas.openxmlformats.org/officeDocument/2006/relationships/hyperlink" Target="https://samen1001.com/" TargetMode="External"/><Relationship Id="rId1839" Type="http://schemas.openxmlformats.org/officeDocument/2006/relationships/hyperlink" Target="https://www.instagram.com/vareth_ir/" TargetMode="External"/><Relationship Id="rId1820" Type="http://schemas.openxmlformats.org/officeDocument/2006/relationships/hyperlink" Target="https://www.instagram.com/heyat__sajadieh/" TargetMode="External"/><Relationship Id="rId1821" Type="http://schemas.openxmlformats.org/officeDocument/2006/relationships/hyperlink" Target="https://t.me/heyaatsajadieh" TargetMode="External"/><Relationship Id="rId1822" Type="http://schemas.openxmlformats.org/officeDocument/2006/relationships/hyperlink" Target="https://www.instagram.com/heyat_oshagholreza1001/" TargetMode="External"/><Relationship Id="rId1823" Type="http://schemas.openxmlformats.org/officeDocument/2006/relationships/hyperlink" Target="https://t.me/heyat_oshagholreza1001" TargetMode="External"/><Relationship Id="rId1824" Type="http://schemas.openxmlformats.org/officeDocument/2006/relationships/hyperlink" Target="https://www.instagram.com/heyate817/" TargetMode="External"/><Relationship Id="rId1825" Type="http://schemas.openxmlformats.org/officeDocument/2006/relationships/hyperlink" Target="https://t.me/heyate817" TargetMode="External"/><Relationship Id="rId1826" Type="http://schemas.openxmlformats.org/officeDocument/2006/relationships/hyperlink" Target="https://www.instagram.com/heyatealatash/" TargetMode="External"/><Relationship Id="rId1827" Type="http://schemas.openxmlformats.org/officeDocument/2006/relationships/hyperlink" Target="https://t.me/heyatealatash" TargetMode="External"/><Relationship Id="rId1828" Type="http://schemas.openxmlformats.org/officeDocument/2006/relationships/hyperlink" Target="https://www.instagram.com/heyatharam" TargetMode="External"/><Relationship Id="rId1829" Type="http://schemas.openxmlformats.org/officeDocument/2006/relationships/hyperlink" Target="https://t.me/heyatharam" TargetMode="External"/><Relationship Id="rId4091" Type="http://schemas.openxmlformats.org/officeDocument/2006/relationships/hyperlink" Target="https://www.instagram.com/rozatolabas.behbahan" TargetMode="External"/><Relationship Id="rId4090" Type="http://schemas.openxmlformats.org/officeDocument/2006/relationships/hyperlink" Target="https://www.instagram.com/razmandegan.behbahan/" TargetMode="External"/><Relationship Id="rId4093" Type="http://schemas.openxmlformats.org/officeDocument/2006/relationships/hyperlink" Target="https://ble.ir/cfu_heyat" TargetMode="External"/><Relationship Id="rId4092" Type="http://schemas.openxmlformats.org/officeDocument/2006/relationships/hyperlink" Target="https://www.instagram.com/cfu_heyat" TargetMode="External"/><Relationship Id="rId4095" Type="http://schemas.openxmlformats.org/officeDocument/2006/relationships/hyperlink" Target="https://ble.ir/mrat1377" TargetMode="External"/><Relationship Id="rId4094" Type="http://schemas.openxmlformats.org/officeDocument/2006/relationships/hyperlink" Target="https://www.instagram.com/h_asheghan_sarallah/" TargetMode="External"/><Relationship Id="rId4097" Type="http://schemas.openxmlformats.org/officeDocument/2006/relationships/hyperlink" Target="https://t.me/maktaboshohada99" TargetMode="External"/><Relationship Id="rId4096" Type="http://schemas.openxmlformats.org/officeDocument/2006/relationships/hyperlink" Target="https://www.instagram.com/maktaboshohada99" TargetMode="External"/><Relationship Id="rId4099" Type="http://schemas.openxmlformats.org/officeDocument/2006/relationships/hyperlink" Target="https://www.instagram.com/imam_zayn_alabidin_khaibar/" TargetMode="External"/><Relationship Id="rId4098" Type="http://schemas.openxmlformats.org/officeDocument/2006/relationships/hyperlink" Target="https://t.me/rahrovankhorramshahr" TargetMode="External"/><Relationship Id="rId1895" Type="http://schemas.openxmlformats.org/officeDocument/2006/relationships/hyperlink" Target="https://www.instagram.com/mohebanolroghaye/" TargetMode="External"/><Relationship Id="rId1896" Type="http://schemas.openxmlformats.org/officeDocument/2006/relationships/hyperlink" Target="https://t.me/mohebane_roghaye_rey" TargetMode="External"/><Relationship Id="rId1897" Type="http://schemas.openxmlformats.org/officeDocument/2006/relationships/hyperlink" Target="https://www.instagram.com/mohebanoshohada/" TargetMode="External"/><Relationship Id="rId1898" Type="http://schemas.openxmlformats.org/officeDocument/2006/relationships/hyperlink" Target="https://t.me/mohebanoshohada" TargetMode="External"/><Relationship Id="rId1899" Type="http://schemas.openxmlformats.org/officeDocument/2006/relationships/hyperlink" Target="https://www.instagram.com/moheban._.fatemeh/" TargetMode="External"/><Relationship Id="rId1890" Type="http://schemas.openxmlformats.org/officeDocument/2006/relationships/hyperlink" Target="https://t.me/mazlomeh_ir" TargetMode="External"/><Relationship Id="rId1891" Type="http://schemas.openxmlformats.org/officeDocument/2006/relationships/hyperlink" Target="https://www.instagram.com/mesbaholhoda201/" TargetMode="External"/><Relationship Id="rId1892" Type="http://schemas.openxmlformats.org/officeDocument/2006/relationships/hyperlink" Target="https://t.me/mesbahi_am" TargetMode="External"/><Relationship Id="rId1893" Type="http://schemas.openxmlformats.org/officeDocument/2006/relationships/hyperlink" Target="https://www.instagram.com/moheban_aliakbar/" TargetMode="External"/><Relationship Id="rId1894" Type="http://schemas.openxmlformats.org/officeDocument/2006/relationships/hyperlink" Target="https://t.me/mohebanAliakbar" TargetMode="External"/><Relationship Id="rId1884" Type="http://schemas.openxmlformats.org/officeDocument/2006/relationships/hyperlink" Target="https://t.me/maktabeoshagholhosein" TargetMode="External"/><Relationship Id="rId1885" Type="http://schemas.openxmlformats.org/officeDocument/2006/relationships/hyperlink" Target="https://www.instagram.com/maktaborreza/" TargetMode="External"/><Relationship Id="rId1886" Type="http://schemas.openxmlformats.org/officeDocument/2006/relationships/hyperlink" Target="https://t.me/maktaborreza" TargetMode="External"/><Relationship Id="rId1887" Type="http://schemas.openxmlformats.org/officeDocument/2006/relationships/hyperlink" Target="https://www.instagram.com/roze_maolforat/" TargetMode="External"/><Relationship Id="rId1888" Type="http://schemas.openxmlformats.org/officeDocument/2006/relationships/hyperlink" Target="https://t.me/maolforat" TargetMode="External"/><Relationship Id="rId1889" Type="http://schemas.openxmlformats.org/officeDocument/2006/relationships/hyperlink" Target="https://www.instagram.com/mazlomeh.ir/" TargetMode="External"/><Relationship Id="rId1880" Type="http://schemas.openxmlformats.org/officeDocument/2006/relationships/hyperlink" Target="https://t.me/maktab_mola_ali" TargetMode="External"/><Relationship Id="rId1881" Type="http://schemas.openxmlformats.org/officeDocument/2006/relationships/hyperlink" Target="https://www.instagram.com/maktab1357/" TargetMode="External"/><Relationship Id="rId1882" Type="http://schemas.openxmlformats.org/officeDocument/2006/relationships/hyperlink" Target="https://t.me/maktab1357" TargetMode="External"/><Relationship Id="rId1883" Type="http://schemas.openxmlformats.org/officeDocument/2006/relationships/hyperlink" Target="https://www.instagram.com/oshagholhosein/" TargetMode="External"/><Relationship Id="rId5417" Type="http://schemas.openxmlformats.org/officeDocument/2006/relationships/hyperlink" Target="https://www.instagram.com/heyat_shohada_khanook" TargetMode="External"/><Relationship Id="rId6748" Type="http://schemas.openxmlformats.org/officeDocument/2006/relationships/hyperlink" Target="https://eitaa.com/masjedalmahdi_karaj" TargetMode="External"/><Relationship Id="rId5418" Type="http://schemas.openxmlformats.org/officeDocument/2006/relationships/hyperlink" Target="https://www.instagram.com/bitolabas" TargetMode="External"/><Relationship Id="rId6749" Type="http://schemas.openxmlformats.org/officeDocument/2006/relationships/hyperlink" Target="https://eitaa.com/masjedalmahdi_karaj" TargetMode="External"/><Relationship Id="rId5415" Type="http://schemas.openxmlformats.org/officeDocument/2006/relationships/hyperlink" Target="https://www.instagram.com/lesaratal.hossain" TargetMode="External"/><Relationship Id="rId6746" Type="http://schemas.openxmlformats.org/officeDocument/2006/relationships/hyperlink" Target="https://eitaa.com/mohbanalmahdii" TargetMode="External"/><Relationship Id="rId5416" Type="http://schemas.openxmlformats.org/officeDocument/2006/relationships/hyperlink" Target="https://www.instagram.com/mahdie_baft" TargetMode="External"/><Relationship Id="rId6747" Type="http://schemas.openxmlformats.org/officeDocument/2006/relationships/hyperlink" Target="https://eitaa.com/mohebbin_net" TargetMode="External"/><Relationship Id="rId5419" Type="http://schemas.openxmlformats.org/officeDocument/2006/relationships/hyperlink" Target="https://www.instagram.com/namazjome.zarand" TargetMode="External"/><Relationship Id="rId228" Type="http://schemas.openxmlformats.org/officeDocument/2006/relationships/hyperlink" Target="https://t.me/ghamare_bani_hashem_behshahr" TargetMode="External"/><Relationship Id="rId227" Type="http://schemas.openxmlformats.org/officeDocument/2006/relationships/hyperlink" Target="https://www.instagram.com/ghamarebanihasheme133/" TargetMode="External"/><Relationship Id="rId226" Type="http://schemas.openxmlformats.org/officeDocument/2006/relationships/hyperlink" Target="https://www.instagram.com/ghamarbanihashembehshahr/" TargetMode="External"/><Relationship Id="rId225" Type="http://schemas.openxmlformats.org/officeDocument/2006/relationships/hyperlink" Target="https://www.instagram.com/beynolharameyne_behshar" TargetMode="External"/><Relationship Id="rId229" Type="http://schemas.openxmlformats.org/officeDocument/2006/relationships/hyperlink" Target="https://www.instagram.com/abalfazlia.behshahr" TargetMode="External"/><Relationship Id="rId220" Type="http://schemas.openxmlformats.org/officeDocument/2006/relationships/hyperlink" Target="https://www.instagram.com/h.ansarolhosein/" TargetMode="External"/><Relationship Id="rId6740" Type="http://schemas.openxmlformats.org/officeDocument/2006/relationships/hyperlink" Target="https://eitaa.com/mohebbanallemmehfardis" TargetMode="External"/><Relationship Id="rId5410" Type="http://schemas.openxmlformats.org/officeDocument/2006/relationships/hyperlink" Target="https://www.instagram.com/heyat.mohebin.ahlebeyt" TargetMode="External"/><Relationship Id="rId6741" Type="http://schemas.openxmlformats.org/officeDocument/2006/relationships/hyperlink" Target="https://eitaa.com/mohebban_almahdii" TargetMode="External"/><Relationship Id="rId224" Type="http://schemas.openxmlformats.org/officeDocument/2006/relationships/hyperlink" Target="https://www.instagram.com/salar.shahidan81/" TargetMode="External"/><Relationship Id="rId5413" Type="http://schemas.openxmlformats.org/officeDocument/2006/relationships/hyperlink" Target="https://t.me/iaukahnouj" TargetMode="External"/><Relationship Id="rId6744" Type="http://schemas.openxmlformats.org/officeDocument/2006/relationships/hyperlink" Target="https://t.me/mohebbinolaeemekhor" TargetMode="External"/><Relationship Id="rId223" Type="http://schemas.openxmlformats.org/officeDocument/2006/relationships/hyperlink" Target="https://www.instagram.com/montazranhojjat.bh/" TargetMode="External"/><Relationship Id="rId5414" Type="http://schemas.openxmlformats.org/officeDocument/2006/relationships/hyperlink" Target="https://eitaa.com/iaukahnouj" TargetMode="External"/><Relationship Id="rId6745" Type="http://schemas.openxmlformats.org/officeDocument/2006/relationships/hyperlink" Target="https://eitaa.com/mohebbinolaemmeh79" TargetMode="External"/><Relationship Id="rId222" Type="http://schemas.openxmlformats.org/officeDocument/2006/relationships/hyperlink" Target="https://t.me/azadaran83" TargetMode="External"/><Relationship Id="rId5411" Type="http://schemas.openxmlformats.org/officeDocument/2006/relationships/hyperlink" Target="https://www.instagram.com/heyate.aliasghar/" TargetMode="External"/><Relationship Id="rId6742" Type="http://schemas.openxmlformats.org/officeDocument/2006/relationships/hyperlink" Target="https://eitaa.com/mohebban_mahdi1" TargetMode="External"/><Relationship Id="rId221" Type="http://schemas.openxmlformats.org/officeDocument/2006/relationships/hyperlink" Target="https://www.instagram.com/azadaran.83/" TargetMode="External"/><Relationship Id="rId5412" Type="http://schemas.openxmlformats.org/officeDocument/2006/relationships/hyperlink" Target="https://www.instagram.com/iau.kahnouj" TargetMode="External"/><Relationship Id="rId6743" Type="http://schemas.openxmlformats.org/officeDocument/2006/relationships/hyperlink" Target="https://eitaa.com/LoversofHassan" TargetMode="External"/><Relationship Id="rId5406" Type="http://schemas.openxmlformats.org/officeDocument/2006/relationships/hyperlink" Target="https://www.instagram.com/heiat_mohebbin_ahlebait" TargetMode="External"/><Relationship Id="rId6737" Type="http://schemas.openxmlformats.org/officeDocument/2006/relationships/hyperlink" Target="https://eitaa.com/kanoon_ghaadir" TargetMode="External"/><Relationship Id="rId5407" Type="http://schemas.openxmlformats.org/officeDocument/2006/relationships/hyperlink" Target="https://eitaa.org/mohebbin_net" TargetMode="External"/><Relationship Id="rId6738" Type="http://schemas.openxmlformats.org/officeDocument/2006/relationships/hyperlink" Target="https://eitaa.com/haj_moslem_hadian" TargetMode="External"/><Relationship Id="rId5404" Type="http://schemas.openxmlformats.org/officeDocument/2006/relationships/hyperlink" Target="https://www.instagram.com/heydariyon_sirjan" TargetMode="External"/><Relationship Id="rId6735" Type="http://schemas.openxmlformats.org/officeDocument/2006/relationships/hyperlink" Target="https://eitaa.com/ammar_enghlab" TargetMode="External"/><Relationship Id="rId5405" Type="http://schemas.openxmlformats.org/officeDocument/2006/relationships/hyperlink" Target="https://t.me/heydariyon_sirjan" TargetMode="External"/><Relationship Id="rId6736" Type="http://schemas.openxmlformats.org/officeDocument/2006/relationships/hyperlink" Target="https://eitaa.com/hosseinieh313" TargetMode="External"/><Relationship Id="rId5408" Type="http://schemas.openxmlformats.org/officeDocument/2006/relationships/hyperlink" Target="https://www.instagram.com/heyatalamdar_" TargetMode="External"/><Relationship Id="rId6739" Type="http://schemas.openxmlformats.org/officeDocument/2006/relationships/hyperlink" Target="https://eitaa.com/mohebbanallemmehfardis" TargetMode="External"/><Relationship Id="rId5409" Type="http://schemas.openxmlformats.org/officeDocument/2006/relationships/hyperlink" Target="https://eitaa.com/alam_133" TargetMode="External"/><Relationship Id="rId217" Type="http://schemas.openxmlformats.org/officeDocument/2006/relationships/hyperlink" Target="https://www.instagram.com/rahrovaneshohada_ir/" TargetMode="External"/><Relationship Id="rId216" Type="http://schemas.openxmlformats.org/officeDocument/2006/relationships/hyperlink" Target="https://www.instagram.com/beytoroghayeh_ir/" TargetMode="External"/><Relationship Id="rId215" Type="http://schemas.openxmlformats.org/officeDocument/2006/relationships/hyperlink" Target="https://eitaa.com/s/Hbanifateme" TargetMode="External"/><Relationship Id="rId214" Type="http://schemas.openxmlformats.org/officeDocument/2006/relationships/hyperlink" Target="https://t.me/hbanifateme" TargetMode="External"/><Relationship Id="rId219" Type="http://schemas.openxmlformats.org/officeDocument/2006/relationships/hyperlink" Target="https://www.instagram.com/heyatpeyrovan_b/" TargetMode="External"/><Relationship Id="rId218" Type="http://schemas.openxmlformats.org/officeDocument/2006/relationships/hyperlink" Target="https://t.me/rahrovaneshohada_ir" TargetMode="External"/><Relationship Id="rId6730" Type="http://schemas.openxmlformats.org/officeDocument/2006/relationships/hyperlink" Target="https://eitaa.com/bouriyainfo" TargetMode="External"/><Relationship Id="rId213" Type="http://schemas.openxmlformats.org/officeDocument/2006/relationships/hyperlink" Target="https://www.instagram.com/hbanifateme/" TargetMode="External"/><Relationship Id="rId5402" Type="http://schemas.openxmlformats.org/officeDocument/2006/relationships/hyperlink" Target="https://www.instagram.com/rahrovanshohada_ravar" TargetMode="External"/><Relationship Id="rId6733" Type="http://schemas.openxmlformats.org/officeDocument/2006/relationships/hyperlink" Target="https://t.me/n_ansaremam" TargetMode="External"/><Relationship Id="rId212" Type="http://schemas.openxmlformats.org/officeDocument/2006/relationships/hyperlink" Target="https://www.instagram.com/maisamashrafi/" TargetMode="External"/><Relationship Id="rId5403" Type="http://schemas.openxmlformats.org/officeDocument/2006/relationships/hyperlink" Target="https://www.instagram.com/heyat.banizahra" TargetMode="External"/><Relationship Id="rId6734" Type="http://schemas.openxmlformats.org/officeDocument/2006/relationships/hyperlink" Target="https://t.me/mokb_madine" TargetMode="External"/><Relationship Id="rId211" Type="http://schemas.openxmlformats.org/officeDocument/2006/relationships/hyperlink" Target="https://t.me/hasanebnali_ir" TargetMode="External"/><Relationship Id="rId5400" Type="http://schemas.openxmlformats.org/officeDocument/2006/relationships/hyperlink" Target="https://www.instagram.com/fatemeun_rafsanjan" TargetMode="External"/><Relationship Id="rId6731" Type="http://schemas.openxmlformats.org/officeDocument/2006/relationships/hyperlink" Target="https://t.me/asheghansarallah_karaj" TargetMode="External"/><Relationship Id="rId210" Type="http://schemas.openxmlformats.org/officeDocument/2006/relationships/hyperlink" Target="https://www.instagram.com/hasanebnali_ir/" TargetMode="External"/><Relationship Id="rId5401" Type="http://schemas.openxmlformats.org/officeDocument/2006/relationships/hyperlink" Target="https://t.me/fatemeun_rafsanjan" TargetMode="External"/><Relationship Id="rId6732" Type="http://schemas.openxmlformats.org/officeDocument/2006/relationships/hyperlink" Target="https://eitaa.com/asheghansarallah_karaj" TargetMode="External"/><Relationship Id="rId4107" Type="http://schemas.openxmlformats.org/officeDocument/2006/relationships/hyperlink" Target="https://www.mszd.ir" TargetMode="External"/><Relationship Id="rId5439" Type="http://schemas.openxmlformats.org/officeDocument/2006/relationships/hyperlink" Target="https://eitaa.com/h_sarallah" TargetMode="External"/><Relationship Id="rId4106" Type="http://schemas.openxmlformats.org/officeDocument/2006/relationships/hyperlink" Target="https://eitaa.com/mszdir" TargetMode="External"/><Relationship Id="rId4109" Type="http://schemas.openxmlformats.org/officeDocument/2006/relationships/hyperlink" Target="https://www.instagram.com/yalesaratdez_ir/" TargetMode="External"/><Relationship Id="rId5437" Type="http://schemas.openxmlformats.org/officeDocument/2006/relationships/hyperlink" Target="https://www.instagram.com/rahrovaneshohada.info" TargetMode="External"/><Relationship Id="rId6768" Type="http://schemas.openxmlformats.org/officeDocument/2006/relationships/hyperlink" Target="https://www.instagram.com/mahdavion12/" TargetMode="External"/><Relationship Id="rId4108" Type="http://schemas.openxmlformats.org/officeDocument/2006/relationships/hyperlink" Target="https://www.instagram.com/maktab_alrughayeh/" TargetMode="External"/><Relationship Id="rId5438" Type="http://schemas.openxmlformats.org/officeDocument/2006/relationships/hyperlink" Target="https://t.me/h_sarallah" TargetMode="External"/><Relationship Id="rId6769" Type="http://schemas.openxmlformats.org/officeDocument/2006/relationships/hyperlink" Target="https://www.instagram.com/maktabolhosein1/" TargetMode="External"/><Relationship Id="rId249" Type="http://schemas.openxmlformats.org/officeDocument/2006/relationships/hyperlink" Target="https://eitaa.com/razmandegantonekabon" TargetMode="External"/><Relationship Id="rId248" Type="http://schemas.openxmlformats.org/officeDocument/2006/relationships/hyperlink" Target="https://t.me/fadaeiyanbibizeynab" TargetMode="External"/><Relationship Id="rId247" Type="http://schemas.openxmlformats.org/officeDocument/2006/relationships/hyperlink" Target="https://www.instagram.com/heyat_fadaeiyan_bibi_zeynab/" TargetMode="External"/><Relationship Id="rId242" Type="http://schemas.openxmlformats.org/officeDocument/2006/relationships/hyperlink" Target="https://www.instagram.com/yomna313_98/" TargetMode="External"/><Relationship Id="rId5431" Type="http://schemas.openxmlformats.org/officeDocument/2006/relationships/hyperlink" Target="https://www.instagram.com/khademin_shohada_kerman" TargetMode="External"/><Relationship Id="rId6762" Type="http://schemas.openxmlformats.org/officeDocument/2006/relationships/hyperlink" Target="https://eitaa.com/montazerane_karaj" TargetMode="External"/><Relationship Id="rId241" Type="http://schemas.openxmlformats.org/officeDocument/2006/relationships/hyperlink" Target="https://eitaa.com/alyasin_behshahr" TargetMode="External"/><Relationship Id="rId5432" Type="http://schemas.openxmlformats.org/officeDocument/2006/relationships/hyperlink" Target="https://eitaa.com/Khademin_shohada_kerman" TargetMode="External"/><Relationship Id="rId6763" Type="http://schemas.openxmlformats.org/officeDocument/2006/relationships/hyperlink" Target="https://eitaa.com/HEYATOZAHRA_IR" TargetMode="External"/><Relationship Id="rId240" Type="http://schemas.openxmlformats.org/officeDocument/2006/relationships/hyperlink" Target="https://t.me/Alyasin_behshahr" TargetMode="External"/><Relationship Id="rId4101" Type="http://schemas.openxmlformats.org/officeDocument/2006/relationships/hyperlink" Target="https://www.instagram.com/leva.dez/" TargetMode="External"/><Relationship Id="rId6760" Type="http://schemas.openxmlformats.org/officeDocument/2006/relationships/hyperlink" Target="https://www.instagram.com/montazerane_karaj" TargetMode="External"/><Relationship Id="rId4100" Type="http://schemas.openxmlformats.org/officeDocument/2006/relationships/hyperlink" Target="https://www.instagram.com/hossinie_pirabas_dazful/" TargetMode="External"/><Relationship Id="rId5430" Type="http://schemas.openxmlformats.org/officeDocument/2006/relationships/hyperlink" Target="https://eitaa.com/bdbahonar" TargetMode="External"/><Relationship Id="rId6761" Type="http://schemas.openxmlformats.org/officeDocument/2006/relationships/hyperlink" Target="http://t.me/Montazerane_karaj" TargetMode="External"/><Relationship Id="rId246" Type="http://schemas.openxmlformats.org/officeDocument/2006/relationships/hyperlink" Target="https://t.me/janatolhoseintonekabon" TargetMode="External"/><Relationship Id="rId4103" Type="http://schemas.openxmlformats.org/officeDocument/2006/relationships/hyperlink" Target="https://www.instagram.com/marshaliebnmosaalreza/" TargetMode="External"/><Relationship Id="rId5435" Type="http://schemas.openxmlformats.org/officeDocument/2006/relationships/hyperlink" Target="https://www.instagram.com/heyatalnabi" TargetMode="External"/><Relationship Id="rId6766" Type="http://schemas.openxmlformats.org/officeDocument/2006/relationships/hyperlink" Target="https://www.instagram.com/heiat_oshaghzahra_s/" TargetMode="External"/><Relationship Id="rId245" Type="http://schemas.openxmlformats.org/officeDocument/2006/relationships/hyperlink" Target="https://www.instagram.com/heyatejanatol_hosseins/" TargetMode="External"/><Relationship Id="rId4102" Type="http://schemas.openxmlformats.org/officeDocument/2006/relationships/hyperlink" Target="https://t.me/leva.dez/" TargetMode="External"/><Relationship Id="rId5436" Type="http://schemas.openxmlformats.org/officeDocument/2006/relationships/hyperlink" Target="https://eitaa.com/heyatalnabi" TargetMode="External"/><Relationship Id="rId6767" Type="http://schemas.openxmlformats.org/officeDocument/2006/relationships/hyperlink" Target="http://t.me/oshaghzahra" TargetMode="External"/><Relationship Id="rId244" Type="http://schemas.openxmlformats.org/officeDocument/2006/relationships/hyperlink" Target="https://t.me/mahfelzovarolabbas" TargetMode="External"/><Relationship Id="rId4105" Type="http://schemas.openxmlformats.org/officeDocument/2006/relationships/hyperlink" Target="https://www.instagram.com/mszdir/" TargetMode="External"/><Relationship Id="rId5433" Type="http://schemas.openxmlformats.org/officeDocument/2006/relationships/hyperlink" Target="https://www.instagram.com/moheban_ghaem" TargetMode="External"/><Relationship Id="rId6764" Type="http://schemas.openxmlformats.org/officeDocument/2006/relationships/hyperlink" Target="https://eitaa.com/etrate_ansar" TargetMode="External"/><Relationship Id="rId243" Type="http://schemas.openxmlformats.org/officeDocument/2006/relationships/hyperlink" Target="https://www.instagram.com/zovarol_abbas/" TargetMode="External"/><Relationship Id="rId4104" Type="http://schemas.openxmlformats.org/officeDocument/2006/relationships/hyperlink" Target="https://www.instagram.com/khybar_heiat_mohebinahlalbeit/" TargetMode="External"/><Relationship Id="rId5434" Type="http://schemas.openxmlformats.org/officeDocument/2006/relationships/hyperlink" Target="https://eitaa.com/mohebbanqaem1347" TargetMode="External"/><Relationship Id="rId6765" Type="http://schemas.openxmlformats.org/officeDocument/2006/relationships/hyperlink" Target="https://eitaa.com/zeinabiyon_it" TargetMode="External"/><Relationship Id="rId5428" Type="http://schemas.openxmlformats.org/officeDocument/2006/relationships/hyperlink" Target="https://www.instagram.com/sarv.bahonar" TargetMode="External"/><Relationship Id="rId6759" Type="http://schemas.openxmlformats.org/officeDocument/2006/relationships/hyperlink" Target="https://eitaa.com/mokeb_khodam_alzahra" TargetMode="External"/><Relationship Id="rId5429" Type="http://schemas.openxmlformats.org/officeDocument/2006/relationships/hyperlink" Target="https://t.me/bdbahonar" TargetMode="External"/><Relationship Id="rId5426" Type="http://schemas.openxmlformats.org/officeDocument/2006/relationships/hyperlink" Target="https://www.instagram.com/oliya_mokhadre/" TargetMode="External"/><Relationship Id="rId6757" Type="http://schemas.openxmlformats.org/officeDocument/2006/relationships/hyperlink" Target="https://eitaa.com/ansarollhosain" TargetMode="External"/><Relationship Id="rId5427" Type="http://schemas.openxmlformats.org/officeDocument/2006/relationships/hyperlink" Target="https://www.instagram.com/heyat_asheqan_reza" TargetMode="External"/><Relationship Id="rId6758" Type="http://schemas.openxmlformats.org/officeDocument/2006/relationships/hyperlink" Target="https://eitaa.com/yafatemekhadmin" TargetMode="External"/><Relationship Id="rId239" Type="http://schemas.openxmlformats.org/officeDocument/2006/relationships/hyperlink" Target="https://www.instagram.com/alyasin_behshahr/" TargetMode="External"/><Relationship Id="rId238" Type="http://schemas.openxmlformats.org/officeDocument/2006/relationships/hyperlink" Target="https://www.instagram.com/heyat.mohebbinolhossein/" TargetMode="External"/><Relationship Id="rId237" Type="http://schemas.openxmlformats.org/officeDocument/2006/relationships/hyperlink" Target="https://eitaa.com/khademin_behshahr" TargetMode="External"/><Relationship Id="rId236" Type="http://schemas.openxmlformats.org/officeDocument/2006/relationships/hyperlink" Target="https://t.me/khademoreza118" TargetMode="External"/><Relationship Id="rId231" Type="http://schemas.openxmlformats.org/officeDocument/2006/relationships/hyperlink" Target="https://eitaa.com/abaalfazlya_behshahr" TargetMode="External"/><Relationship Id="rId5420" Type="http://schemas.openxmlformats.org/officeDocument/2006/relationships/hyperlink" Target="https://eitaa.com/tazieh_kerman_dehziyar" TargetMode="External"/><Relationship Id="rId6751" Type="http://schemas.openxmlformats.org/officeDocument/2006/relationships/hyperlink" Target="https://eitaa.com/masjeed_jame" TargetMode="External"/><Relationship Id="rId230" Type="http://schemas.openxmlformats.org/officeDocument/2006/relationships/hyperlink" Target="https://t.me/abalfazliah" TargetMode="External"/><Relationship Id="rId5421" Type="http://schemas.openxmlformats.org/officeDocument/2006/relationships/hyperlink" Target="https://www.instagram.com/shahzade.ali_asghar" TargetMode="External"/><Relationship Id="rId6752" Type="http://schemas.openxmlformats.org/officeDocument/2006/relationships/hyperlink" Target="https://eitaa.com/masjed_hazratkhadijeh" TargetMode="External"/><Relationship Id="rId6750" Type="http://schemas.openxmlformats.org/officeDocument/2006/relationships/hyperlink" Target="https://eitaa.com/almahdifardis" TargetMode="External"/><Relationship Id="rId235" Type="http://schemas.openxmlformats.org/officeDocument/2006/relationships/hyperlink" Target="https://www.instagram.com/khademalreza__94" TargetMode="External"/><Relationship Id="rId5424" Type="http://schemas.openxmlformats.org/officeDocument/2006/relationships/hyperlink" Target="https://www.instagram.com/shohadaaye.gomnam" TargetMode="External"/><Relationship Id="rId6755" Type="http://schemas.openxmlformats.org/officeDocument/2006/relationships/hyperlink" Target="https://eitaa.com/banatolheydar" TargetMode="External"/><Relationship Id="rId234" Type="http://schemas.openxmlformats.org/officeDocument/2006/relationships/hyperlink" Target="https://www.instagram.com/heyaat_hazrat_aliakbar1384" TargetMode="External"/><Relationship Id="rId5425" Type="http://schemas.openxmlformats.org/officeDocument/2006/relationships/hyperlink" Target="https://eitaa.com/heyatequranifatemiyon" TargetMode="External"/><Relationship Id="rId6756" Type="http://schemas.openxmlformats.org/officeDocument/2006/relationships/hyperlink" Target="https://eitaa.com/montazeranfardis" TargetMode="External"/><Relationship Id="rId233" Type="http://schemas.openxmlformats.org/officeDocument/2006/relationships/hyperlink" Target="https://t.me/gorjichannel" TargetMode="External"/><Relationship Id="rId5422" Type="http://schemas.openxmlformats.org/officeDocument/2006/relationships/hyperlink" Target="https://www.instagram.com/qamar_.bani_heshm.lr" TargetMode="External"/><Relationship Id="rId6753" Type="http://schemas.openxmlformats.org/officeDocument/2006/relationships/hyperlink" Target="https://eitaa.com/masjed_hazratkhadijeh" TargetMode="External"/><Relationship Id="rId232" Type="http://schemas.openxmlformats.org/officeDocument/2006/relationships/hyperlink" Target="https://www.instagram.com/ashouraeiyaan" TargetMode="External"/><Relationship Id="rId5423" Type="http://schemas.openxmlformats.org/officeDocument/2006/relationships/hyperlink" Target="https://www.instagram.com/heiate_sahebalzaman" TargetMode="External"/><Relationship Id="rId6754" Type="http://schemas.openxmlformats.org/officeDocument/2006/relationships/hyperlink" Target="https://eitaa.com/meraajoshohadaa" TargetMode="External"/><Relationship Id="rId6704" Type="http://schemas.openxmlformats.org/officeDocument/2006/relationships/hyperlink" Target="https://eitaa.com/heyyat_ansaralmhd" TargetMode="External"/><Relationship Id="rId6705" Type="http://schemas.openxmlformats.org/officeDocument/2006/relationships/hyperlink" Target="https://eitaa.com/heyyat_ansaralmhd" TargetMode="External"/><Relationship Id="rId6702" Type="http://schemas.openxmlformats.org/officeDocument/2006/relationships/hyperlink" Target="https://eitaa.com/heyyat_ansaralmhd" TargetMode="External"/><Relationship Id="rId6703" Type="http://schemas.openxmlformats.org/officeDocument/2006/relationships/hyperlink" Target="https://eitaa.com/ansaralmahdi_krj" TargetMode="External"/><Relationship Id="rId6708" Type="http://schemas.openxmlformats.org/officeDocument/2006/relationships/hyperlink" Target="https://t.me/shahidan_torkian" TargetMode="External"/><Relationship Id="rId6709" Type="http://schemas.openxmlformats.org/officeDocument/2006/relationships/hyperlink" Target="https://eitaa.com/shahidan_torkian" TargetMode="External"/><Relationship Id="rId6706" Type="http://schemas.openxmlformats.org/officeDocument/2006/relationships/hyperlink" Target="https://eitaa.com/Salam_bar_mahdi_fatemehh" TargetMode="External"/><Relationship Id="rId6707" Type="http://schemas.openxmlformats.org/officeDocument/2006/relationships/hyperlink" Target="https://eitaa.com/H_banatozahra" TargetMode="External"/><Relationship Id="rId6700" Type="http://schemas.openxmlformats.org/officeDocument/2006/relationships/hyperlink" Target="https://eitaa.com/ansarozzahra_mehestan1" TargetMode="External"/><Relationship Id="rId6701" Type="http://schemas.openxmlformats.org/officeDocument/2006/relationships/hyperlink" Target="https://eitaa.com/heyyat_ansaralmhd" TargetMode="External"/><Relationship Id="rId6726" Type="http://schemas.openxmlformats.org/officeDocument/2006/relationships/hyperlink" Target="https://eitaa.com/zeynabie8gerd" TargetMode="External"/><Relationship Id="rId6727" Type="http://schemas.openxmlformats.org/officeDocument/2006/relationships/hyperlink" Target="https://t.me/seyedezeinab" TargetMode="External"/><Relationship Id="rId6724" Type="http://schemas.openxmlformats.org/officeDocument/2006/relationships/hyperlink" Target="https://eitaa.com/rozehinfo" TargetMode="External"/><Relationship Id="rId6725" Type="http://schemas.openxmlformats.org/officeDocument/2006/relationships/hyperlink" Target="https://eitaa.com/reihane_al_nabi" TargetMode="External"/><Relationship Id="rId6728" Type="http://schemas.openxmlformats.org/officeDocument/2006/relationships/hyperlink" Target="https://eitaa.com/seyede_zeinab" TargetMode="External"/><Relationship Id="rId6729" Type="http://schemas.openxmlformats.org/officeDocument/2006/relationships/hyperlink" Target="https://eitaa.com/hiatshohada" TargetMode="External"/><Relationship Id="rId206" Type="http://schemas.openxmlformats.org/officeDocument/2006/relationships/hyperlink" Target="https://www.instagram.com/maktabolhasan_118/" TargetMode="External"/><Relationship Id="rId205" Type="http://schemas.openxmlformats.org/officeDocument/2006/relationships/hyperlink" Target="https://t.me/hbnoor" TargetMode="External"/><Relationship Id="rId204" Type="http://schemas.openxmlformats.org/officeDocument/2006/relationships/hyperlink" Target="https://www.instagram.com/h.bnoor" TargetMode="External"/><Relationship Id="rId203" Type="http://schemas.openxmlformats.org/officeDocument/2006/relationships/hyperlink" Target="https://www.instagram.com/heyatefatematozahra.ir/" TargetMode="External"/><Relationship Id="rId209" Type="http://schemas.openxmlformats.org/officeDocument/2006/relationships/hyperlink" Target="https://t.me/jannatolroghaye_315" TargetMode="External"/><Relationship Id="rId208" Type="http://schemas.openxmlformats.org/officeDocument/2006/relationships/hyperlink" Target="https://www.instagram.com/jannat315_behshahr/" TargetMode="External"/><Relationship Id="rId207" Type="http://schemas.openxmlformats.org/officeDocument/2006/relationships/hyperlink" Target="https://t.me/pnamjo" TargetMode="External"/><Relationship Id="rId202" Type="http://schemas.openxmlformats.org/officeDocument/2006/relationships/hyperlink" Target="https://www.instagram.com/zanjir_zani_chardah_masoom" TargetMode="External"/><Relationship Id="rId6722" Type="http://schemas.openxmlformats.org/officeDocument/2006/relationships/hyperlink" Target="https://eitaa.com/Heyat_fatemiyon" TargetMode="External"/><Relationship Id="rId201" Type="http://schemas.openxmlformats.org/officeDocument/2006/relationships/hyperlink" Target="https://t.me/peyrovaneetratebabolsar" TargetMode="External"/><Relationship Id="rId6723" Type="http://schemas.openxmlformats.org/officeDocument/2006/relationships/hyperlink" Target="https://eitaa.com/rhvkrj" TargetMode="External"/><Relationship Id="rId200" Type="http://schemas.openxmlformats.org/officeDocument/2006/relationships/hyperlink" Target="https://www.instagram.com/heyat_peyrovane_etrat_bbs" TargetMode="External"/><Relationship Id="rId6720" Type="http://schemas.openxmlformats.org/officeDocument/2006/relationships/hyperlink" Target="https://eitaa.com/razmandeganeshtehard" TargetMode="External"/><Relationship Id="rId6721" Type="http://schemas.openxmlformats.org/officeDocument/2006/relationships/hyperlink" Target="https://eitaa.com/nouroshohada" TargetMode="External"/><Relationship Id="rId6715" Type="http://schemas.openxmlformats.org/officeDocument/2006/relationships/hyperlink" Target="https://t.me/senflebasforoshan" TargetMode="External"/><Relationship Id="rId6716" Type="http://schemas.openxmlformats.org/officeDocument/2006/relationships/hyperlink" Target="https://t.me/hazratrogayye" TargetMode="External"/><Relationship Id="rId6713" Type="http://schemas.openxmlformats.org/officeDocument/2006/relationships/hyperlink" Target="https://t.me/Alghame133" TargetMode="External"/><Relationship Id="rId6714" Type="http://schemas.openxmlformats.org/officeDocument/2006/relationships/hyperlink" Target="https://eitaa.com/alghame133" TargetMode="External"/><Relationship Id="rId6719" Type="http://schemas.openxmlformats.org/officeDocument/2006/relationships/hyperlink" Target="https://eitaa.com/daroshohada" TargetMode="External"/><Relationship Id="rId6717" Type="http://schemas.openxmlformats.org/officeDocument/2006/relationships/hyperlink" Target="https://t.me/hazratrogayye" TargetMode="External"/><Relationship Id="rId6718" Type="http://schemas.openxmlformats.org/officeDocument/2006/relationships/hyperlink" Target="https://eitaa.com/aliakbarkaraj" TargetMode="External"/><Relationship Id="rId6711" Type="http://schemas.openxmlformats.org/officeDocument/2006/relationships/hyperlink" Target="https://eitaa.com/shahidan_torkian" TargetMode="External"/><Relationship Id="rId6712" Type="http://schemas.openxmlformats.org/officeDocument/2006/relationships/hyperlink" Target="https://eitaa.com/SarallahKaraj" TargetMode="External"/><Relationship Id="rId6710" Type="http://schemas.openxmlformats.org/officeDocument/2006/relationships/hyperlink" Target="https://t.me/shahidan_torkian" TargetMode="External"/><Relationship Id="rId5490" Type="http://schemas.openxmlformats.org/officeDocument/2006/relationships/hyperlink" Target="https://eitaa.com/mohebanilam" TargetMode="External"/><Relationship Id="rId4161" Type="http://schemas.openxmlformats.org/officeDocument/2006/relationships/hyperlink" Target="https://eitaa.com/masjed_sahebzaman_313" TargetMode="External"/><Relationship Id="rId5493" Type="http://schemas.openxmlformats.org/officeDocument/2006/relationships/hyperlink" Target="https://www.instagram.com/h_seyedmousavi.ilam/" TargetMode="External"/><Relationship Id="rId4160" Type="http://schemas.openxmlformats.org/officeDocument/2006/relationships/hyperlink" Target="https://eitaa.com/masjedmohamadi" TargetMode="External"/><Relationship Id="rId5494" Type="http://schemas.openxmlformats.org/officeDocument/2006/relationships/hyperlink" Target="https://eitaa.com/ofough" TargetMode="External"/><Relationship Id="rId4163" Type="http://schemas.openxmlformats.org/officeDocument/2006/relationships/hyperlink" Target="https://www.instagram.com/naba_alazim34" TargetMode="External"/><Relationship Id="rId5491" Type="http://schemas.openxmlformats.org/officeDocument/2006/relationships/hyperlink" Target="https://www.instagram.com/aletaha_ilam/" TargetMode="External"/><Relationship Id="rId4162" Type="http://schemas.openxmlformats.org/officeDocument/2006/relationships/hyperlink" Target="https://eitaa.com/masjed_azam_ahvaz" TargetMode="External"/><Relationship Id="rId5492" Type="http://schemas.openxmlformats.org/officeDocument/2006/relationships/hyperlink" Target="http://t.me/Aletaha_ilam" TargetMode="External"/><Relationship Id="rId4165" Type="http://schemas.openxmlformats.org/officeDocument/2006/relationships/hyperlink" Target="https://eitaa.com/heyat_banovan_boshra" TargetMode="External"/><Relationship Id="rId5497" Type="http://schemas.openxmlformats.org/officeDocument/2006/relationships/hyperlink" Target="http://eitaa.com/hata_ilam" TargetMode="External"/><Relationship Id="rId4164" Type="http://schemas.openxmlformats.org/officeDocument/2006/relationships/hyperlink" Target="https://www.instagram.com/heyat_imamsajad02/" TargetMode="External"/><Relationship Id="rId5498" Type="http://schemas.openxmlformats.org/officeDocument/2006/relationships/hyperlink" Target="https://eitaa.com/alamdarkarbalaa3_13" TargetMode="External"/><Relationship Id="rId4167" Type="http://schemas.openxmlformats.org/officeDocument/2006/relationships/hyperlink" Target="https://www.instagram.com/janat.alreza_ahw/" TargetMode="External"/><Relationship Id="rId5495" Type="http://schemas.openxmlformats.org/officeDocument/2006/relationships/hyperlink" Target="https://www.instagram.com/fadia.heyat_ilam/" TargetMode="External"/><Relationship Id="rId4166" Type="http://schemas.openxmlformats.org/officeDocument/2006/relationships/hyperlink" Target="https://eitaa.com/Basij_pnuahvaz" TargetMode="External"/><Relationship Id="rId5496" Type="http://schemas.openxmlformats.org/officeDocument/2006/relationships/hyperlink" Target="https://www.instagram.com/hata_ilam/" TargetMode="External"/><Relationship Id="rId4169" Type="http://schemas.openxmlformats.org/officeDocument/2006/relationships/hyperlink" Target="https://eitaa.com/masjedkhatam" TargetMode="External"/><Relationship Id="rId4168" Type="http://schemas.openxmlformats.org/officeDocument/2006/relationships/hyperlink" Target="https://eitaa.com/masjed_hj" TargetMode="External"/><Relationship Id="rId5499" Type="http://schemas.openxmlformats.org/officeDocument/2006/relationships/hyperlink" Target="https://www.instagram.com/sahebolamr.ilam110/" TargetMode="External"/><Relationship Id="rId4150" Type="http://schemas.openxmlformats.org/officeDocument/2006/relationships/hyperlink" Target="https://www.instagram.com/hoseiniye_javanane_banihashem" TargetMode="External"/><Relationship Id="rId5482" Type="http://schemas.openxmlformats.org/officeDocument/2006/relationships/hyperlink" Target="https://eitaa.com/emamsadeghilam" TargetMode="External"/><Relationship Id="rId5483" Type="http://schemas.openxmlformats.org/officeDocument/2006/relationships/hyperlink" Target="https://www.instagram.com/mohebanealeabailam/" TargetMode="External"/><Relationship Id="rId4152" Type="http://schemas.openxmlformats.org/officeDocument/2006/relationships/hyperlink" Target="https://www.instagram.com/maktab_allsadegh/" TargetMode="External"/><Relationship Id="rId5480" Type="http://schemas.openxmlformats.org/officeDocument/2006/relationships/hyperlink" Target="https://www.instagram.com/khatamolanbia.ilam/" TargetMode="External"/><Relationship Id="rId4151" Type="http://schemas.openxmlformats.org/officeDocument/2006/relationships/hyperlink" Target="https://eitaa.com/Hazeatrogayehabadan" TargetMode="External"/><Relationship Id="rId5481" Type="http://schemas.openxmlformats.org/officeDocument/2006/relationships/hyperlink" Target="https://www.instagram.com/h_seyedmousavi.ilam/" TargetMode="External"/><Relationship Id="rId4154" Type="http://schemas.openxmlformats.org/officeDocument/2006/relationships/hyperlink" Target="https://www.instagram.com/maktab_alabbas_ab/" TargetMode="External"/><Relationship Id="rId5486" Type="http://schemas.openxmlformats.org/officeDocument/2006/relationships/hyperlink" Target="http://instagram.com/heyat.jameatalmahdi/" TargetMode="External"/><Relationship Id="rId4153" Type="http://schemas.openxmlformats.org/officeDocument/2006/relationships/hyperlink" Target="https://eitaa.com/heiathozeabadan" TargetMode="External"/><Relationship Id="rId5487" Type="http://schemas.openxmlformats.org/officeDocument/2006/relationships/hyperlink" Target="http://eitaa.com/jamatolmahdi_ilam" TargetMode="External"/><Relationship Id="rId4156" Type="http://schemas.openxmlformats.org/officeDocument/2006/relationships/hyperlink" Target="https://eitaa.com/kahfolvara" TargetMode="External"/><Relationship Id="rId5484" Type="http://schemas.openxmlformats.org/officeDocument/2006/relationships/hyperlink" Target="https://eitaa.com/mhbn_ir" TargetMode="External"/><Relationship Id="rId4155" Type="http://schemas.openxmlformats.org/officeDocument/2006/relationships/hyperlink" Target="https://www.instagram.com/qamar.banihashem/" TargetMode="External"/><Relationship Id="rId5485" Type="http://schemas.openxmlformats.org/officeDocument/2006/relationships/hyperlink" Target="https://eitaa.com/mohebanilam" TargetMode="External"/><Relationship Id="rId4158" Type="http://schemas.openxmlformats.org/officeDocument/2006/relationships/hyperlink" Target="https://www.instagram.com/heyat_mohebin_ahl_albait/" TargetMode="External"/><Relationship Id="rId4157" Type="http://schemas.openxmlformats.org/officeDocument/2006/relationships/hyperlink" Target="https://eitaa.com/jameloor" TargetMode="External"/><Relationship Id="rId5488" Type="http://schemas.openxmlformats.org/officeDocument/2006/relationships/hyperlink" Target="http://instagram.com/mohebanilam" TargetMode="External"/><Relationship Id="rId4159" Type="http://schemas.openxmlformats.org/officeDocument/2006/relationships/hyperlink" Target="https://eitaa.com/masjed_andimeshk1400" TargetMode="External"/><Relationship Id="rId5489" Type="http://schemas.openxmlformats.org/officeDocument/2006/relationships/hyperlink" Target="http://t.me/mohebanilam" TargetMode="External"/><Relationship Id="rId1910" Type="http://schemas.openxmlformats.org/officeDocument/2006/relationships/hyperlink" Target="https://t.me/mohjatolrasul" TargetMode="External"/><Relationship Id="rId1911" Type="http://schemas.openxmlformats.org/officeDocument/2006/relationships/hyperlink" Target="https://www.instagram.com/mohsenie_tehran/" TargetMode="External"/><Relationship Id="rId1912" Type="http://schemas.openxmlformats.org/officeDocument/2006/relationships/hyperlink" Target="https://t.me/mohsenie_tehran" TargetMode="External"/><Relationship Id="rId1913" Type="http://schemas.openxmlformats.org/officeDocument/2006/relationships/hyperlink" Target="https://www.instagram.com/mohsenie315/" TargetMode="External"/><Relationship Id="rId1914" Type="http://schemas.openxmlformats.org/officeDocument/2006/relationships/hyperlink" Target="https://t.me/mohsenie118" TargetMode="External"/><Relationship Id="rId1915" Type="http://schemas.openxmlformats.org/officeDocument/2006/relationships/hyperlink" Target="https://www.instagram.com/mojolhasan/" TargetMode="External"/><Relationship Id="rId1916" Type="http://schemas.openxmlformats.org/officeDocument/2006/relationships/hyperlink" Target="https://t.me/mojolhasan" TargetMode="External"/><Relationship Id="rId1917" Type="http://schemas.openxmlformats.org/officeDocument/2006/relationships/hyperlink" Target="https://www.instagram.com/mokebalreza/" TargetMode="External"/><Relationship Id="rId1918" Type="http://schemas.openxmlformats.org/officeDocument/2006/relationships/hyperlink" Target="https://t.me/MOKEBALREZA" TargetMode="External"/><Relationship Id="rId1919" Type="http://schemas.openxmlformats.org/officeDocument/2006/relationships/hyperlink" Target="https://www.instagram.com/mokeb.info/" TargetMode="External"/><Relationship Id="rId4181" Type="http://schemas.openxmlformats.org/officeDocument/2006/relationships/hyperlink" Target="https://www.instagram.com/oshagholhosseinahwaz" TargetMode="External"/><Relationship Id="rId4180" Type="http://schemas.openxmlformats.org/officeDocument/2006/relationships/hyperlink" Target="http://t.me/heyat_1345" TargetMode="External"/><Relationship Id="rId4183" Type="http://schemas.openxmlformats.org/officeDocument/2006/relationships/hyperlink" Target="https://eitaa.com/oshagholhosseinahwaz" TargetMode="External"/><Relationship Id="rId4182" Type="http://schemas.openxmlformats.org/officeDocument/2006/relationships/hyperlink" Target="https://t.me/oshagholhosseinahwaz" TargetMode="External"/><Relationship Id="rId4185" Type="http://schemas.openxmlformats.org/officeDocument/2006/relationships/hyperlink" Target="https://www.instagram.com/_fadaiyanhosseinjan" TargetMode="External"/><Relationship Id="rId4184" Type="http://schemas.openxmlformats.org/officeDocument/2006/relationships/hyperlink" Target="https://www.instagram.com/iahsin1404/" TargetMode="External"/><Relationship Id="rId4187" Type="http://schemas.openxmlformats.org/officeDocument/2006/relationships/hyperlink" Target="https://eitaa.com/fadaeyan_hossein_jan" TargetMode="External"/><Relationship Id="rId4186" Type="http://schemas.openxmlformats.org/officeDocument/2006/relationships/hyperlink" Target="https://t.me/fadaiyan_hosseinjan" TargetMode="External"/><Relationship Id="rId4189" Type="http://schemas.openxmlformats.org/officeDocument/2006/relationships/hyperlink" Target="https://www.instagram.com/heyat_asnrukh" TargetMode="External"/><Relationship Id="rId4188" Type="http://schemas.openxmlformats.org/officeDocument/2006/relationships/hyperlink" Target="https://eitaa.com/masjed_ghobaa" TargetMode="External"/><Relationship Id="rId1900" Type="http://schemas.openxmlformats.org/officeDocument/2006/relationships/hyperlink" Target="https://t.me/mohebban_fatemeh" TargetMode="External"/><Relationship Id="rId1901" Type="http://schemas.openxmlformats.org/officeDocument/2006/relationships/hyperlink" Target="https://www.instagram.com/mohebban_o_zahra/" TargetMode="External"/><Relationship Id="rId1902" Type="http://schemas.openxmlformats.org/officeDocument/2006/relationships/hyperlink" Target="https://t.me/mohebban_o_zahra" TargetMode="External"/><Relationship Id="rId1903" Type="http://schemas.openxmlformats.org/officeDocument/2006/relationships/hyperlink" Target="https://www.instagram.com/moheban.333/" TargetMode="External"/><Relationship Id="rId1904" Type="http://schemas.openxmlformats.org/officeDocument/2006/relationships/hyperlink" Target="https://t.me/mohebbanehazratealiakbar" TargetMode="External"/><Relationship Id="rId1905" Type="http://schemas.openxmlformats.org/officeDocument/2006/relationships/hyperlink" Target="https://www.instagram.com/mohebbanghamar/" TargetMode="External"/><Relationship Id="rId1906" Type="http://schemas.openxmlformats.org/officeDocument/2006/relationships/hyperlink" Target="https://t.me/Mohebbanghamar" TargetMode="External"/><Relationship Id="rId1907" Type="http://schemas.openxmlformats.org/officeDocument/2006/relationships/hyperlink" Target="https://www.instagram.com/mohebbin110/" TargetMode="External"/><Relationship Id="rId1908" Type="http://schemas.openxmlformats.org/officeDocument/2006/relationships/hyperlink" Target="https://t.me/Mohebbin_110" TargetMode="External"/><Relationship Id="rId1909" Type="http://schemas.openxmlformats.org/officeDocument/2006/relationships/hyperlink" Target="https://www.instagram.com/mohjatolrasul/" TargetMode="External"/><Relationship Id="rId4170" Type="http://schemas.openxmlformats.org/officeDocument/2006/relationships/hyperlink" Target="https://eitaa.com/hajghasem_d" TargetMode="External"/><Relationship Id="rId4172" Type="http://schemas.openxmlformats.org/officeDocument/2006/relationships/hyperlink" Target="https://eitaa.com/rahrovanzeinabi" TargetMode="External"/><Relationship Id="rId4171" Type="http://schemas.openxmlformats.org/officeDocument/2006/relationships/hyperlink" Target="https://www.instagram.com/heyatrazmandegan_khz/" TargetMode="External"/><Relationship Id="rId4174" Type="http://schemas.openxmlformats.org/officeDocument/2006/relationships/hyperlink" Target="https://t.me/rozat_olzahra213" TargetMode="External"/><Relationship Id="rId4173" Type="http://schemas.openxmlformats.org/officeDocument/2006/relationships/hyperlink" Target="https://www.instagram.com/roza.tolzahra213" TargetMode="External"/><Relationship Id="rId4176" Type="http://schemas.openxmlformats.org/officeDocument/2006/relationships/hyperlink" Target="https://www.instagram.com/bahmai_iran/" TargetMode="External"/><Relationship Id="rId4175" Type="http://schemas.openxmlformats.org/officeDocument/2006/relationships/hyperlink" Target="https://www.instagram.com/heyat.seyedalshohada_ahvaz/" TargetMode="External"/><Relationship Id="rId4178" Type="http://schemas.openxmlformats.org/officeDocument/2006/relationships/hyperlink" Target="https://t.me/Asheghan_eb" TargetMode="External"/><Relationship Id="rId4177" Type="http://schemas.openxmlformats.org/officeDocument/2006/relationships/hyperlink" Target="https://www.instagram.com/asheghan_ab" TargetMode="External"/><Relationship Id="rId4179" Type="http://schemas.openxmlformats.org/officeDocument/2006/relationships/hyperlink" Target="https://www.instagram.com/heyat_1345/" TargetMode="External"/><Relationship Id="rId4129" Type="http://schemas.openxmlformats.org/officeDocument/2006/relationships/hyperlink" Target="https://www.instagram.com/zanjirzanan_mosabne_jafar_sush/" TargetMode="External"/><Relationship Id="rId4128" Type="http://schemas.openxmlformats.org/officeDocument/2006/relationships/hyperlink" Target="https://www.instagram.com/shushtarkhademalrezaa/" TargetMode="External"/><Relationship Id="rId5459" Type="http://schemas.openxmlformats.org/officeDocument/2006/relationships/hyperlink" Target="https://www.instagram.com/majma_313/" TargetMode="External"/><Relationship Id="rId6780" Type="http://schemas.openxmlformats.org/officeDocument/2006/relationships/hyperlink" Target="https://www.instagram.com/razmandegan_qeshm/" TargetMode="External"/><Relationship Id="rId5450" Type="http://schemas.openxmlformats.org/officeDocument/2006/relationships/hyperlink" Target="https://www.instagram.com/jannat_alreza" TargetMode="External"/><Relationship Id="rId6781" Type="http://schemas.openxmlformats.org/officeDocument/2006/relationships/hyperlink" Target="http://eitaa.com/Razmandegan_Qeshm" TargetMode="External"/><Relationship Id="rId4121" Type="http://schemas.openxmlformats.org/officeDocument/2006/relationships/hyperlink" Target="https://t.me/majmaahlebeytshoush" TargetMode="External"/><Relationship Id="rId5453" Type="http://schemas.openxmlformats.org/officeDocument/2006/relationships/hyperlink" Target="https://www.instagram.com/mahdijankerman" TargetMode="External"/><Relationship Id="rId6784" Type="http://schemas.openxmlformats.org/officeDocument/2006/relationships/hyperlink" Target="https://www.instagram.com/hiatmontazranzohoorminab/" TargetMode="External"/><Relationship Id="rId4120" Type="http://schemas.openxmlformats.org/officeDocument/2006/relationships/hyperlink" Target="https://www.instagram.com/hyaat_khaddamal_hussein/" TargetMode="External"/><Relationship Id="rId5454" Type="http://schemas.openxmlformats.org/officeDocument/2006/relationships/hyperlink" Target="https://www.instagram.com/h.m.sahebazaman.kerman42" TargetMode="External"/><Relationship Id="rId6785" Type="http://schemas.openxmlformats.org/officeDocument/2006/relationships/hyperlink" Target="https://www.instagram.com/rovtan.sirik/" TargetMode="External"/><Relationship Id="rId4123" Type="http://schemas.openxmlformats.org/officeDocument/2006/relationships/hyperlink" Target="http://t.me/yavaranmahdialaihesalam" TargetMode="External"/><Relationship Id="rId5451" Type="http://schemas.openxmlformats.org/officeDocument/2006/relationships/hyperlink" Target="https://www.instagram.com/masjed_abolfazlll" TargetMode="External"/><Relationship Id="rId6782" Type="http://schemas.openxmlformats.org/officeDocument/2006/relationships/hyperlink" Target="https://www.instagram.com/heyatmasjedemamzeynolabedin/" TargetMode="External"/><Relationship Id="rId4122" Type="http://schemas.openxmlformats.org/officeDocument/2006/relationships/hyperlink" Target="https://www.instagram.com/yavaran_mahdi_alaihesalam/" TargetMode="External"/><Relationship Id="rId5452" Type="http://schemas.openxmlformats.org/officeDocument/2006/relationships/hyperlink" Target="https://eitaa.com/aliakbar_rahrovan" TargetMode="External"/><Relationship Id="rId6783" Type="http://schemas.openxmlformats.org/officeDocument/2006/relationships/hyperlink" Target="https://www.instagram.com/aliebnabitaleb_m/" TargetMode="External"/><Relationship Id="rId4125" Type="http://schemas.openxmlformats.org/officeDocument/2006/relationships/hyperlink" Target="https://www.instagram.com/hoseyniyeomalbanin1434/" TargetMode="External"/><Relationship Id="rId5457" Type="http://schemas.openxmlformats.org/officeDocument/2006/relationships/hyperlink" Target="https://eitaa.com/heatmontazeranzohorkerman" TargetMode="External"/><Relationship Id="rId6788" Type="http://schemas.openxmlformats.org/officeDocument/2006/relationships/hyperlink" Target="https://eitaa.com/muhiban1396" TargetMode="External"/><Relationship Id="rId4124" Type="http://schemas.openxmlformats.org/officeDocument/2006/relationships/hyperlink" Target="https://www.instagram.com/hoseynie_azam.str/" TargetMode="External"/><Relationship Id="rId5458" Type="http://schemas.openxmlformats.org/officeDocument/2006/relationships/hyperlink" Target="https://www.instagram.com/alghameh_kerman/" TargetMode="External"/><Relationship Id="rId6789" Type="http://schemas.openxmlformats.org/officeDocument/2006/relationships/hyperlink" Target="https://eitaa.com/beytolahzanebandarabbas" TargetMode="External"/><Relationship Id="rId4127" Type="http://schemas.openxmlformats.org/officeDocument/2006/relationships/hyperlink" Target="https://www.instagram.com/h_emam_hassania_str97/" TargetMode="External"/><Relationship Id="rId5455" Type="http://schemas.openxmlformats.org/officeDocument/2006/relationships/hyperlink" Target="https://www.instagram.com/heiat_kaffolabbas/" TargetMode="External"/><Relationship Id="rId6786" Type="http://schemas.openxmlformats.org/officeDocument/2006/relationships/hyperlink" Target="https://www.instagram.com/fatemiyoun_com/" TargetMode="External"/><Relationship Id="rId4126" Type="http://schemas.openxmlformats.org/officeDocument/2006/relationships/hyperlink" Target="https://t.me/hoseyniyeomalbanin" TargetMode="External"/><Relationship Id="rId5456" Type="http://schemas.openxmlformats.org/officeDocument/2006/relationships/hyperlink" Target="https://t.me/montazerankerman" TargetMode="External"/><Relationship Id="rId6787" Type="http://schemas.openxmlformats.org/officeDocument/2006/relationships/hyperlink" Target="https://www.instagram.com/maktab_zahra_1399/" TargetMode="External"/><Relationship Id="rId4118" Type="http://schemas.openxmlformats.org/officeDocument/2006/relationships/hyperlink" Target="http://www.aparat.com/v/8skZi" TargetMode="External"/><Relationship Id="rId4117" Type="http://schemas.openxmlformats.org/officeDocument/2006/relationships/hyperlink" Target="https://www.instagram.com/heyat__omolbanin/" TargetMode="External"/><Relationship Id="rId5448" Type="http://schemas.openxmlformats.org/officeDocument/2006/relationships/hyperlink" Target="https://www.instagram.com/varesinfadak" TargetMode="External"/><Relationship Id="rId6779" Type="http://schemas.openxmlformats.org/officeDocument/2006/relationships/hyperlink" Target="https://eitaa.com/Khademin_parsian" TargetMode="External"/><Relationship Id="rId4119" Type="http://schemas.openxmlformats.org/officeDocument/2006/relationships/hyperlink" Target="https://www.instagram.com/heyat.aliasghar.shoush.94/" TargetMode="External"/><Relationship Id="rId5449" Type="http://schemas.openxmlformats.org/officeDocument/2006/relationships/hyperlink" Target="https://eitaa.com/mahdeyesahebazaman" TargetMode="External"/><Relationship Id="rId6770" Type="http://schemas.openxmlformats.org/officeDocument/2006/relationships/hyperlink" Target="http://t.me/maktabolhosein1" TargetMode="External"/><Relationship Id="rId4110" Type="http://schemas.openxmlformats.org/officeDocument/2006/relationships/hyperlink" Target="http://www.yalesaratdez.ir" TargetMode="External"/><Relationship Id="rId5442" Type="http://schemas.openxmlformats.org/officeDocument/2006/relationships/hyperlink" Target="https://eitaa.com/heyatsadatTaherabad" TargetMode="External"/><Relationship Id="rId6773" Type="http://schemas.openxmlformats.org/officeDocument/2006/relationships/hyperlink" Target="http://t.me/beytalzahra_135" TargetMode="External"/><Relationship Id="rId5443" Type="http://schemas.openxmlformats.org/officeDocument/2006/relationships/hyperlink" Target="https://www.instagram.com/heyat.abalfazlabbas.shorabad" TargetMode="External"/><Relationship Id="rId6774" Type="http://schemas.openxmlformats.org/officeDocument/2006/relationships/hyperlink" Target="https://www.instagram.com/mohebban_alabbas_bnd/" TargetMode="External"/><Relationship Id="rId4112" Type="http://schemas.openxmlformats.org/officeDocument/2006/relationships/hyperlink" Target="https://www.instagram.com/h.g.b.h.alamdar/" TargetMode="External"/><Relationship Id="rId5440" Type="http://schemas.openxmlformats.org/officeDocument/2006/relationships/hyperlink" Target="https://www.instagram.com/mahfell" TargetMode="External"/><Relationship Id="rId6771" Type="http://schemas.openxmlformats.org/officeDocument/2006/relationships/hyperlink" Target="https://www.instagram.com/intezar.ir/" TargetMode="External"/><Relationship Id="rId4111" Type="http://schemas.openxmlformats.org/officeDocument/2006/relationships/hyperlink" Target="https://www.instagram.com/beytolabbas.ramshir/" TargetMode="External"/><Relationship Id="rId5441" Type="http://schemas.openxmlformats.org/officeDocument/2006/relationships/hyperlink" Target="https://www.instagram.com/meraj_hosein_kerman" TargetMode="External"/><Relationship Id="rId6772" Type="http://schemas.openxmlformats.org/officeDocument/2006/relationships/hyperlink" Target="https://www.instagram.com/beytozahra.135/" TargetMode="External"/><Relationship Id="rId4114" Type="http://schemas.openxmlformats.org/officeDocument/2006/relationships/hyperlink" Target="http://t.me/hkarimhasanjan" TargetMode="External"/><Relationship Id="rId5446" Type="http://schemas.openxmlformats.org/officeDocument/2006/relationships/hyperlink" Target="https://www.instagram.com/deldadegan.abbas" TargetMode="External"/><Relationship Id="rId6777" Type="http://schemas.openxmlformats.org/officeDocument/2006/relationships/hyperlink" Target="http://t.me/maktabolhosein1" TargetMode="External"/><Relationship Id="rId4113" Type="http://schemas.openxmlformats.org/officeDocument/2006/relationships/hyperlink" Target="https://www.instagram.com/hkarimhasanjan/" TargetMode="External"/><Relationship Id="rId5447" Type="http://schemas.openxmlformats.org/officeDocument/2006/relationships/hyperlink" Target="https://www.instagram.com/beytolahzan_213/" TargetMode="External"/><Relationship Id="rId6778" Type="http://schemas.openxmlformats.org/officeDocument/2006/relationships/hyperlink" Target="https://www.instagram.com/moheban_mahdi_118/" TargetMode="External"/><Relationship Id="rId4116" Type="http://schemas.openxmlformats.org/officeDocument/2006/relationships/hyperlink" Target="https://www.instagram.com/mirhashmi.h/" TargetMode="External"/><Relationship Id="rId5444" Type="http://schemas.openxmlformats.org/officeDocument/2006/relationships/hyperlink" Target="https://www.instagram.com/beytoalroghaye_bam" TargetMode="External"/><Relationship Id="rId6775" Type="http://schemas.openxmlformats.org/officeDocument/2006/relationships/hyperlink" Target="https://eitaa.com/asghariyoon" TargetMode="External"/><Relationship Id="rId4115" Type="http://schemas.openxmlformats.org/officeDocument/2006/relationships/hyperlink" Target="https://eitaa.com/mohebinazahra1" TargetMode="External"/><Relationship Id="rId5445" Type="http://schemas.openxmlformats.org/officeDocument/2006/relationships/hyperlink" Target="https://www.instagram.com/maktabol_zahra_bravat_bam" TargetMode="External"/><Relationship Id="rId6776" Type="http://schemas.openxmlformats.org/officeDocument/2006/relationships/hyperlink" Target="https://www.instagram.com/maktabolhosein1/" TargetMode="External"/><Relationship Id="rId5471" Type="http://schemas.openxmlformats.org/officeDocument/2006/relationships/hyperlink" Target="https://www.instagram.com/mohebanalabbas313/" TargetMode="External"/><Relationship Id="rId5472" Type="http://schemas.openxmlformats.org/officeDocument/2006/relationships/hyperlink" Target="https://eitaa.com/mohebanalabbas313" TargetMode="External"/><Relationship Id="rId4141" Type="http://schemas.openxmlformats.org/officeDocument/2006/relationships/hyperlink" Target="https://www.instagram.com/heyat.mohamadi/" TargetMode="External"/><Relationship Id="rId4140" Type="http://schemas.openxmlformats.org/officeDocument/2006/relationships/hyperlink" Target="https://www.instagram.com/m_i_s_7kl/" TargetMode="External"/><Relationship Id="rId5470" Type="http://schemas.openxmlformats.org/officeDocument/2006/relationships/hyperlink" Target="https://eitaa.com/delsookhtgan" TargetMode="External"/><Relationship Id="rId4143" Type="http://schemas.openxmlformats.org/officeDocument/2006/relationships/hyperlink" Target="https://www.instagram.com/faresalhejaz1/" TargetMode="External"/><Relationship Id="rId5475" Type="http://schemas.openxmlformats.org/officeDocument/2006/relationships/hyperlink" Target="https://instagram.com/Ansaralmahdi_dehloran" TargetMode="External"/><Relationship Id="rId4142" Type="http://schemas.openxmlformats.org/officeDocument/2006/relationships/hyperlink" Target="https://www.instagram.com/hyytsydlshhdmsjd/" TargetMode="External"/><Relationship Id="rId5476" Type="http://schemas.openxmlformats.org/officeDocument/2006/relationships/hyperlink" Target="https://eitaa.com/ansaralmahdi_dehloran" TargetMode="External"/><Relationship Id="rId4145" Type="http://schemas.openxmlformats.org/officeDocument/2006/relationships/hyperlink" Target="https://www.instagram.com/kazemeyn.veys/" TargetMode="External"/><Relationship Id="rId5473" Type="http://schemas.openxmlformats.org/officeDocument/2006/relationships/hyperlink" Target="https://www.instagram.com/masjed_hazeratamir" TargetMode="External"/><Relationship Id="rId4144" Type="http://schemas.openxmlformats.org/officeDocument/2006/relationships/hyperlink" Target="https://www.instagram.com/ansar_shahed/" TargetMode="External"/><Relationship Id="rId5474" Type="http://schemas.openxmlformats.org/officeDocument/2006/relationships/hyperlink" Target="https://www.eitaa.com/s/jameatol_hosein/" TargetMode="External"/><Relationship Id="rId4147" Type="http://schemas.openxmlformats.org/officeDocument/2006/relationships/hyperlink" Target="https://www.instagram.com/heyatolreza8_aums" TargetMode="External"/><Relationship Id="rId5479" Type="http://schemas.openxmlformats.org/officeDocument/2006/relationships/hyperlink" Target="https://eitaa.com/Emamhasane_mojtaba" TargetMode="External"/><Relationship Id="rId4146" Type="http://schemas.openxmlformats.org/officeDocument/2006/relationships/hyperlink" Target="https://www.instagram.com/hossein_alhossein_seyyed_shaha/" TargetMode="External"/><Relationship Id="rId4149" Type="http://schemas.openxmlformats.org/officeDocument/2006/relationships/hyperlink" Target="https://www.instagram.com/imam_hadi12/" TargetMode="External"/><Relationship Id="rId5477" Type="http://schemas.openxmlformats.org/officeDocument/2006/relationships/hyperlink" Target="https://www.instagram.com/rahekarbala.dehloran" TargetMode="External"/><Relationship Id="rId4148" Type="http://schemas.openxmlformats.org/officeDocument/2006/relationships/hyperlink" Target="https://www.instagram.com/h_alzahraaa/" TargetMode="External"/><Relationship Id="rId5478" Type="http://schemas.openxmlformats.org/officeDocument/2006/relationships/hyperlink" Target="http://eitaa.com/Amir_alMominin313" TargetMode="External"/><Relationship Id="rId4139" Type="http://schemas.openxmlformats.org/officeDocument/2006/relationships/hyperlink" Target="https://www.instagram.com/heyat_montazeran_mis/" TargetMode="External"/><Relationship Id="rId5460" Type="http://schemas.openxmlformats.org/officeDocument/2006/relationships/hyperlink" Target="https://eitaa.com/majmamohebin" TargetMode="External"/><Relationship Id="rId6791" Type="http://schemas.openxmlformats.org/officeDocument/2006/relationships/hyperlink" Target="https://www.instagram.com/imam_sajad_qeshm/" TargetMode="External"/><Relationship Id="rId5461" Type="http://schemas.openxmlformats.org/officeDocument/2006/relationships/hyperlink" Target="https://t.me/ansarorasool" TargetMode="External"/><Relationship Id="rId6792" Type="http://schemas.openxmlformats.org/officeDocument/2006/relationships/hyperlink" Target="https://eitaa.com/imam_sajad_qeshm" TargetMode="External"/><Relationship Id="rId4130" Type="http://schemas.openxmlformats.org/officeDocument/2006/relationships/hyperlink" Target="https://www.instagram.com/heyat_sadat.shooshtar/" TargetMode="External"/><Relationship Id="rId6790" Type="http://schemas.openxmlformats.org/officeDocument/2006/relationships/hyperlink" Target="https://eitaa.com/shahriyarzakeri" TargetMode="External"/><Relationship Id="rId4132" Type="http://schemas.openxmlformats.org/officeDocument/2006/relationships/hyperlink" Target="https://t.me/khadem345" TargetMode="External"/><Relationship Id="rId5464" Type="http://schemas.openxmlformats.org/officeDocument/2006/relationships/hyperlink" Target="https://eitaa.com/hoseyniye_roh_alah" TargetMode="External"/><Relationship Id="rId6795" Type="http://schemas.openxmlformats.org/officeDocument/2006/relationships/hyperlink" Target="https://www.instagram.com/hmaktababbas_ir/" TargetMode="External"/><Relationship Id="rId4131" Type="http://schemas.openxmlformats.org/officeDocument/2006/relationships/hyperlink" Target="https://www.instagram.com/alamdar_shushtar_official" TargetMode="External"/><Relationship Id="rId5465" Type="http://schemas.openxmlformats.org/officeDocument/2006/relationships/hyperlink" Target="https://eitaa.com/Mokebnoogh" TargetMode="External"/><Relationship Id="rId6796" Type="http://schemas.openxmlformats.org/officeDocument/2006/relationships/hyperlink" Target="https://www.instagram.com/maktab_net/" TargetMode="External"/><Relationship Id="rId4134" Type="http://schemas.openxmlformats.org/officeDocument/2006/relationships/hyperlink" Target="https://t.me/alamdarshushtar_bot" TargetMode="External"/><Relationship Id="rId5462" Type="http://schemas.openxmlformats.org/officeDocument/2006/relationships/hyperlink" Target="http://eitaa.com/Ansarorasool" TargetMode="External"/><Relationship Id="rId6793" Type="http://schemas.openxmlformats.org/officeDocument/2006/relationships/hyperlink" Target="https://www.instagram.com/mahalleh_hedayati/" TargetMode="External"/><Relationship Id="rId4133" Type="http://schemas.openxmlformats.org/officeDocument/2006/relationships/hyperlink" Target="https://www.instagram.com/h_alamdar.ir" TargetMode="External"/><Relationship Id="rId5463" Type="http://schemas.openxmlformats.org/officeDocument/2006/relationships/hyperlink" Target="https://www.instagram.com/imamjavad_kerman14" TargetMode="External"/><Relationship Id="rId6794" Type="http://schemas.openxmlformats.org/officeDocument/2006/relationships/hyperlink" Target="https://www.instagram.com/hoseinieh.sahebalzaman.zibashr/" TargetMode="External"/><Relationship Id="rId4136" Type="http://schemas.openxmlformats.org/officeDocument/2006/relationships/hyperlink" Target="https://www.instagram.com/masjed.abrishamkaran/" TargetMode="External"/><Relationship Id="rId5468" Type="http://schemas.openxmlformats.org/officeDocument/2006/relationships/hyperlink" Target="https://www.instagram.com/majma_javanan_malekshahi/" TargetMode="External"/><Relationship Id="rId6799" Type="http://schemas.openxmlformats.org/officeDocument/2006/relationships/hyperlink" Target="https://www.instagram.com/reyhane_com/" TargetMode="External"/><Relationship Id="rId4135" Type="http://schemas.openxmlformats.org/officeDocument/2006/relationships/hyperlink" Target="https://www.instagram.com/masjed_ahangran/" TargetMode="External"/><Relationship Id="rId5469" Type="http://schemas.openxmlformats.org/officeDocument/2006/relationships/hyperlink" Target="https://eitaa.com/jamatolmahdi_ilam" TargetMode="External"/><Relationship Id="rId4138" Type="http://schemas.openxmlformats.org/officeDocument/2006/relationships/hyperlink" Target="https://t.me/fatemiyoongotvand" TargetMode="External"/><Relationship Id="rId5466" Type="http://schemas.openxmlformats.org/officeDocument/2006/relationships/hyperlink" Target="https://eitaa.com/hajmashallah" TargetMode="External"/><Relationship Id="rId6797" Type="http://schemas.openxmlformats.org/officeDocument/2006/relationships/hyperlink" Target="https://www.instagram.com/bagheriyun_heiat/" TargetMode="External"/><Relationship Id="rId4137" Type="http://schemas.openxmlformats.org/officeDocument/2006/relationships/hyperlink" Target="https://www.instagram.com/heyat_mahdavioun/" TargetMode="External"/><Relationship Id="rId5467" Type="http://schemas.openxmlformats.org/officeDocument/2006/relationships/hyperlink" Target="https://eitaa.com/ansaralmahdi1" TargetMode="External"/><Relationship Id="rId6798" Type="http://schemas.openxmlformats.org/officeDocument/2006/relationships/hyperlink" Target="https://www.instagram.com/heyat_beyt_roghayeh/" TargetMode="External"/><Relationship Id="rId1972" Type="http://schemas.openxmlformats.org/officeDocument/2006/relationships/hyperlink" Target="https://www.instagram.com/rozatolzeynab/" TargetMode="External"/><Relationship Id="rId1973" Type="http://schemas.openxmlformats.org/officeDocument/2006/relationships/hyperlink" Target="https://t.me/rozatolzeynab" TargetMode="External"/><Relationship Id="rId1974" Type="http://schemas.openxmlformats.org/officeDocument/2006/relationships/hyperlink" Target="https://www.instagram.com/rozatoolhusein/" TargetMode="External"/><Relationship Id="rId1975" Type="http://schemas.openxmlformats.org/officeDocument/2006/relationships/hyperlink" Target="https://t.me/rozatoolhosein" TargetMode="External"/><Relationship Id="rId1976" Type="http://schemas.openxmlformats.org/officeDocument/2006/relationships/hyperlink" Target="https://www.instagram.com/rozatozahra/" TargetMode="External"/><Relationship Id="rId1977" Type="http://schemas.openxmlformats.org/officeDocument/2006/relationships/hyperlink" Target="https://t.me/rozatozahra_channel" TargetMode="External"/><Relationship Id="rId1978" Type="http://schemas.openxmlformats.org/officeDocument/2006/relationships/hyperlink" Target="https://www.instagram.com/rozatozeynab/" TargetMode="External"/><Relationship Id="rId1979" Type="http://schemas.openxmlformats.org/officeDocument/2006/relationships/hyperlink" Target="https://t.me/rozatozeynab6969" TargetMode="External"/><Relationship Id="rId1970" Type="http://schemas.openxmlformats.org/officeDocument/2006/relationships/hyperlink" Target="https://www.instagram.com/rozatolzahra_teh/" TargetMode="External"/><Relationship Id="rId1971" Type="http://schemas.openxmlformats.org/officeDocument/2006/relationships/hyperlink" Target="https://t.me/rozatolzahra_teh" TargetMode="External"/><Relationship Id="rId1961" Type="http://schemas.openxmlformats.org/officeDocument/2006/relationships/hyperlink" Target="https://t.me/roghayekhaton" TargetMode="External"/><Relationship Id="rId1962" Type="http://schemas.openxmlformats.org/officeDocument/2006/relationships/hyperlink" Target="https://www.instagram.com/rozatol_zahra135/" TargetMode="External"/><Relationship Id="rId1963" Type="http://schemas.openxmlformats.org/officeDocument/2006/relationships/hyperlink" Target="https://t.me/rozatol_zahra135" TargetMode="External"/><Relationship Id="rId1964" Type="http://schemas.openxmlformats.org/officeDocument/2006/relationships/hyperlink" Target="https://www.instagram.com/rozatolabbas1/" TargetMode="External"/><Relationship Id="rId1965" Type="http://schemas.openxmlformats.org/officeDocument/2006/relationships/hyperlink" Target="https://t.me/Rozatolabas1" TargetMode="External"/><Relationship Id="rId1966" Type="http://schemas.openxmlformats.org/officeDocument/2006/relationships/hyperlink" Target="https://www.instagram.com/rozatolghasem1391/" TargetMode="External"/><Relationship Id="rId1967" Type="http://schemas.openxmlformats.org/officeDocument/2006/relationships/hyperlink" Target="https://t.me/rozatolghasem1391" TargetMode="External"/><Relationship Id="rId1968" Type="http://schemas.openxmlformats.org/officeDocument/2006/relationships/hyperlink" Target="https://www.instagram.com/rozatolhassan/" TargetMode="External"/><Relationship Id="rId1969" Type="http://schemas.openxmlformats.org/officeDocument/2006/relationships/hyperlink" Target="https://t.me/rozatolhassan" TargetMode="External"/><Relationship Id="rId1960" Type="http://schemas.openxmlformats.org/officeDocument/2006/relationships/hyperlink" Target="https://www.instagram.com/roghaye__khaton/" TargetMode="External"/><Relationship Id="rId1994" Type="http://schemas.openxmlformats.org/officeDocument/2006/relationships/hyperlink" Target="https://www.instagram.com/rozeoshaghalmahdi/" TargetMode="External"/><Relationship Id="rId1995" Type="http://schemas.openxmlformats.org/officeDocument/2006/relationships/hyperlink" Target="https://t.me/rozeoshaghalmahdi" TargetMode="External"/><Relationship Id="rId1996" Type="http://schemas.openxmlformats.org/officeDocument/2006/relationships/hyperlink" Target="https://www.instagram.com/rozeroghayeh/" TargetMode="External"/><Relationship Id="rId1997" Type="http://schemas.openxmlformats.org/officeDocument/2006/relationships/hyperlink" Target="https://t.me/rozeroghayeh" TargetMode="External"/><Relationship Id="rId1998" Type="http://schemas.openxmlformats.org/officeDocument/2006/relationships/hyperlink" Target="https://www.instagram.com/sadatakhavii/" TargetMode="External"/><Relationship Id="rId1999" Type="http://schemas.openxmlformats.org/officeDocument/2006/relationships/hyperlink" Target="https://t.me/sadatakhaviih" TargetMode="External"/><Relationship Id="rId1990" Type="http://schemas.openxmlformats.org/officeDocument/2006/relationships/hyperlink" Target="https://www.instagram.com/rozehasaniyon/" TargetMode="External"/><Relationship Id="rId1991" Type="http://schemas.openxmlformats.org/officeDocument/2006/relationships/hyperlink" Target="https://t.me/rozehasaniyon" TargetMode="External"/><Relationship Id="rId1992" Type="http://schemas.openxmlformats.org/officeDocument/2006/relationships/hyperlink" Target="https://www.instagram.com/rozehghasem/" TargetMode="External"/><Relationship Id="rId1993" Type="http://schemas.openxmlformats.org/officeDocument/2006/relationships/hyperlink" Target="https://t.me/ROZEHGHASEM" TargetMode="External"/><Relationship Id="rId1983" Type="http://schemas.openxmlformats.org/officeDocument/2006/relationships/hyperlink" Target="https://t.me/Rozealjavad" TargetMode="External"/><Relationship Id="rId1984" Type="http://schemas.openxmlformats.org/officeDocument/2006/relationships/hyperlink" Target="https://www.instagram.com/rozeansarolabbas/" TargetMode="External"/><Relationship Id="rId1985" Type="http://schemas.openxmlformats.org/officeDocument/2006/relationships/hyperlink" Target="https://t.me/rozeansarolabbas" TargetMode="External"/><Relationship Id="rId1986" Type="http://schemas.openxmlformats.org/officeDocument/2006/relationships/hyperlink" Target="https://www.instagram.com/rozeh_ehsanolhasan/" TargetMode="External"/><Relationship Id="rId1987" Type="http://schemas.openxmlformats.org/officeDocument/2006/relationships/hyperlink" Target="https://t.me/rozeh_ehsanolhasan" TargetMode="External"/><Relationship Id="rId1988" Type="http://schemas.openxmlformats.org/officeDocument/2006/relationships/hyperlink" Target="https://www.instagram.com/rozeh_ir/" TargetMode="External"/><Relationship Id="rId1989" Type="http://schemas.openxmlformats.org/officeDocument/2006/relationships/hyperlink" Target="https://t.me/rozeh_ir" TargetMode="External"/><Relationship Id="rId1980" Type="http://schemas.openxmlformats.org/officeDocument/2006/relationships/hyperlink" Target="https://www.instagram.com/roze.mahane/" TargetMode="External"/><Relationship Id="rId1981" Type="http://schemas.openxmlformats.org/officeDocument/2006/relationships/hyperlink" Target="https://t.me/roze_mahane18" TargetMode="External"/><Relationship Id="rId1982" Type="http://schemas.openxmlformats.org/officeDocument/2006/relationships/hyperlink" Target="https://www.instagram.com/rozealjavad/" TargetMode="External"/><Relationship Id="rId1930" Type="http://schemas.openxmlformats.org/officeDocument/2006/relationships/hyperlink" Target="https://www.instagram.com/movasi_info/" TargetMode="External"/><Relationship Id="rId1931" Type="http://schemas.openxmlformats.org/officeDocument/2006/relationships/hyperlink" Target="https://t.me/movasi_info" TargetMode="External"/><Relationship Id="rId1932" Type="http://schemas.openxmlformats.org/officeDocument/2006/relationships/hyperlink" Target="https://www.instagram.com/zoovarolhosein_ir/" TargetMode="External"/><Relationship Id="rId1933" Type="http://schemas.openxmlformats.org/officeDocument/2006/relationships/hyperlink" Target="https://t.me/navayeroze69" TargetMode="External"/><Relationship Id="rId1934" Type="http://schemas.openxmlformats.org/officeDocument/2006/relationships/hyperlink" Target="https://www.instagram.com/nobavegan.ghanatabad/" TargetMode="External"/><Relationship Id="rId1935" Type="http://schemas.openxmlformats.org/officeDocument/2006/relationships/hyperlink" Target="https://t.me/NobaveganGhanatAbad" TargetMode="External"/><Relationship Id="rId1936" Type="http://schemas.openxmlformats.org/officeDocument/2006/relationships/hyperlink" Target="https://www.instagram.com/nokar_khoneh/" TargetMode="External"/><Relationship Id="rId1937" Type="http://schemas.openxmlformats.org/officeDocument/2006/relationships/hyperlink" Target="https://t.me/nokarkhoune" TargetMode="External"/><Relationship Id="rId1938" Type="http://schemas.openxmlformats.org/officeDocument/2006/relationships/hyperlink" Target="https://www.instagram.com/noorolhoda_ya_reza_1001/" TargetMode="External"/><Relationship Id="rId1939" Type="http://schemas.openxmlformats.org/officeDocument/2006/relationships/hyperlink" Target="https://t.me/noorolhoda_yareza69" TargetMode="External"/><Relationship Id="rId1920" Type="http://schemas.openxmlformats.org/officeDocument/2006/relationships/hyperlink" Target="https://t.me/mokebinfo" TargetMode="External"/><Relationship Id="rId1921" Type="http://schemas.openxmlformats.org/officeDocument/2006/relationships/hyperlink" Target="https://mokeb.info/" TargetMode="External"/><Relationship Id="rId1922" Type="http://schemas.openxmlformats.org/officeDocument/2006/relationships/hyperlink" Target="https://www.instagram.com/montazeran313/" TargetMode="External"/><Relationship Id="rId1923" Type="http://schemas.openxmlformats.org/officeDocument/2006/relationships/hyperlink" Target="https://t.me/montazeran313_com" TargetMode="External"/><Relationship Id="rId1924" Type="http://schemas.openxmlformats.org/officeDocument/2006/relationships/hyperlink" Target="https://www.instagram.com/montazerin.ir/" TargetMode="External"/><Relationship Id="rId1925" Type="http://schemas.openxmlformats.org/officeDocument/2006/relationships/hyperlink" Target="https://t.me/montazerin" TargetMode="External"/><Relationship Id="rId1926" Type="http://schemas.openxmlformats.org/officeDocument/2006/relationships/hyperlink" Target="https://www.instagram.com/motevasselin110/" TargetMode="External"/><Relationship Id="rId1927" Type="http://schemas.openxmlformats.org/officeDocument/2006/relationships/hyperlink" Target="https://t.me/motevasselin110" TargetMode="External"/><Relationship Id="rId1928" Type="http://schemas.openxmlformats.org/officeDocument/2006/relationships/hyperlink" Target="https://www.instagram.com/moukebolhossein/" TargetMode="External"/><Relationship Id="rId1929" Type="http://schemas.openxmlformats.org/officeDocument/2006/relationships/hyperlink" Target="https://t.me/moukebolhossein" TargetMode="External"/><Relationship Id="rId4190" Type="http://schemas.openxmlformats.org/officeDocument/2006/relationships/hyperlink" Target="https://eitaa.com/heyat_asnrukh" TargetMode="External"/><Relationship Id="rId4192" Type="http://schemas.openxmlformats.org/officeDocument/2006/relationships/hyperlink" Target="https://eitaa.com/heyat_cfu" TargetMode="External"/><Relationship Id="rId4191" Type="http://schemas.openxmlformats.org/officeDocument/2006/relationships/hyperlink" Target="https://www.instagram.com/heyat_cfu" TargetMode="External"/><Relationship Id="rId4194" Type="http://schemas.openxmlformats.org/officeDocument/2006/relationships/hyperlink" Target="https://www.instagram.com/mohebanajums" TargetMode="External"/><Relationship Id="rId4193" Type="http://schemas.openxmlformats.org/officeDocument/2006/relationships/hyperlink" Target="https://www.instagram.com/heyat_scu" TargetMode="External"/><Relationship Id="rId4196" Type="http://schemas.openxmlformats.org/officeDocument/2006/relationships/hyperlink" Target="https://www.instagram.com/heyat_put/" TargetMode="External"/><Relationship Id="rId4195" Type="http://schemas.openxmlformats.org/officeDocument/2006/relationships/hyperlink" Target="https://t.me/mohebbanajums" TargetMode="External"/><Relationship Id="rId4198" Type="http://schemas.openxmlformats.org/officeDocument/2006/relationships/hyperlink" Target="https://eitaa.com/ma_ashabolhossein_ahw" TargetMode="External"/><Relationship Id="rId4197" Type="http://schemas.openxmlformats.org/officeDocument/2006/relationships/hyperlink" Target="https://www.instagram.com/m.a_ashabolhossein_ahw" TargetMode="External"/><Relationship Id="rId4199" Type="http://schemas.openxmlformats.org/officeDocument/2006/relationships/hyperlink" Target="https://eitaa.com/masjedevelayat" TargetMode="External"/><Relationship Id="rId1950" Type="http://schemas.openxmlformats.org/officeDocument/2006/relationships/hyperlink" Target="https://www.instagram.com/rayatolreza/" TargetMode="External"/><Relationship Id="rId1951" Type="http://schemas.openxmlformats.org/officeDocument/2006/relationships/hyperlink" Target="https://t.me/rayatolreza" TargetMode="External"/><Relationship Id="rId1952" Type="http://schemas.openxmlformats.org/officeDocument/2006/relationships/hyperlink" Target="https://www.instagram.com/reyhane.info" TargetMode="External"/><Relationship Id="rId1953" Type="http://schemas.openxmlformats.org/officeDocument/2006/relationships/hyperlink" Target="https://t.me/reyhane_channel" TargetMode="External"/><Relationship Id="rId1954" Type="http://schemas.openxmlformats.org/officeDocument/2006/relationships/hyperlink" Target="https://www.instagram.com/reyhaneh_al_hossein/" TargetMode="External"/><Relationship Id="rId1955" Type="http://schemas.openxmlformats.org/officeDocument/2006/relationships/hyperlink" Target="https://t.me/reyhaneh_al_hossein" TargetMode="External"/><Relationship Id="rId1956" Type="http://schemas.openxmlformats.org/officeDocument/2006/relationships/hyperlink" Target="https://www.instagram.com/robabiun.ir/" TargetMode="External"/><Relationship Id="rId1957" Type="http://schemas.openxmlformats.org/officeDocument/2006/relationships/hyperlink" Target="https://t.me/robabiiun" TargetMode="External"/><Relationship Id="rId1958" Type="http://schemas.openxmlformats.org/officeDocument/2006/relationships/hyperlink" Target="https://www.instagram.com/roghaayesadat/" TargetMode="External"/><Relationship Id="rId1959" Type="http://schemas.openxmlformats.org/officeDocument/2006/relationships/hyperlink" Target="https://t.me/roghaye_saadat" TargetMode="External"/><Relationship Id="rId1940" Type="http://schemas.openxmlformats.org/officeDocument/2006/relationships/hyperlink" Target="https://www.instagram.com/omolmasaeb_net/" TargetMode="External"/><Relationship Id="rId1941" Type="http://schemas.openxmlformats.org/officeDocument/2006/relationships/hyperlink" Target="https://t.me/omolmasaeb_net" TargetMode="External"/><Relationship Id="rId1942" Type="http://schemas.openxmlformats.org/officeDocument/2006/relationships/hyperlink" Target="https://www.instagram.com/oshagh_revagh313/" TargetMode="External"/><Relationship Id="rId1943" Type="http://schemas.openxmlformats.org/officeDocument/2006/relationships/hyperlink" Target="https://t.me/oshagh_revagh313" TargetMode="External"/><Relationship Id="rId1944" Type="http://schemas.openxmlformats.org/officeDocument/2006/relationships/hyperlink" Target="https://www.instagram.com/oshagh_heidar/" TargetMode="External"/><Relationship Id="rId1945" Type="http://schemas.openxmlformats.org/officeDocument/2006/relationships/hyperlink" Target="https://t.me/oshaghalhydar" TargetMode="External"/><Relationship Id="rId1946" Type="http://schemas.openxmlformats.org/officeDocument/2006/relationships/hyperlink" Target="https://www.instagram.com/raasolhosein/" TargetMode="External"/><Relationship Id="rId1947" Type="http://schemas.openxmlformats.org/officeDocument/2006/relationships/hyperlink" Target="https://t.me/raasolhosein" TargetMode="External"/><Relationship Id="rId1948" Type="http://schemas.openxmlformats.org/officeDocument/2006/relationships/hyperlink" Target="https://www.instagram.com/rayatalabbas_chizar/" TargetMode="External"/><Relationship Id="rId1949" Type="http://schemas.openxmlformats.org/officeDocument/2006/relationships/hyperlink" Target="https://t.me/rayatalabbas_chizar" TargetMode="External"/><Relationship Id="rId509" Type="http://schemas.openxmlformats.org/officeDocument/2006/relationships/hyperlink" Target="https://www.instagram.com/mohebbannoor_ir/" TargetMode="External"/><Relationship Id="rId508" Type="http://schemas.openxmlformats.org/officeDocument/2006/relationships/hyperlink" Target="https://www.instagram.com/babalhavaejnoor" TargetMode="External"/><Relationship Id="rId9061" Type="http://schemas.openxmlformats.org/officeDocument/2006/relationships/hyperlink" Target="https://t.me/roghai" TargetMode="External"/><Relationship Id="rId9060" Type="http://schemas.openxmlformats.org/officeDocument/2006/relationships/hyperlink" Target="https://www.instagram.com/moazam.hazrat.roghaieh/" TargetMode="External"/><Relationship Id="rId503" Type="http://schemas.openxmlformats.org/officeDocument/2006/relationships/hyperlink" Target="https://www.instagram.com/ansaralmohsennoo" TargetMode="External"/><Relationship Id="rId9054" Type="http://schemas.openxmlformats.org/officeDocument/2006/relationships/hyperlink" Target="https://eitaa.com/hkeimeh" TargetMode="External"/><Relationship Id="rId502" Type="http://schemas.openxmlformats.org/officeDocument/2006/relationships/hyperlink" Target="https://eitaa.com/heyat_abolfazl_atrab" TargetMode="External"/><Relationship Id="rId9053" Type="http://schemas.openxmlformats.org/officeDocument/2006/relationships/hyperlink" Target="https://eitaa.com/emame_hosein" TargetMode="External"/><Relationship Id="rId501" Type="http://schemas.openxmlformats.org/officeDocument/2006/relationships/hyperlink" Target="https://www.instagram.com/heyat_abolfazl.atrab" TargetMode="External"/><Relationship Id="rId9052" Type="http://schemas.openxmlformats.org/officeDocument/2006/relationships/hyperlink" Target="https://eitaa.com/h_montazeralmahdi" TargetMode="External"/><Relationship Id="rId500" Type="http://schemas.openxmlformats.org/officeDocument/2006/relationships/hyperlink" Target="https://www.instagram.com/masjede_sajadie_neka" TargetMode="External"/><Relationship Id="rId9051" Type="http://schemas.openxmlformats.org/officeDocument/2006/relationships/hyperlink" Target="https://eitaa.com/ghamkhaneh_qom" TargetMode="External"/><Relationship Id="rId507" Type="http://schemas.openxmlformats.org/officeDocument/2006/relationships/hyperlink" Target="https://www.instagram.com/heiat_jenabaliakbar/" TargetMode="External"/><Relationship Id="rId9058" Type="http://schemas.openxmlformats.org/officeDocument/2006/relationships/hyperlink" Target="https://www.instagram.com/ansariha_qom" TargetMode="External"/><Relationship Id="rId506" Type="http://schemas.openxmlformats.org/officeDocument/2006/relationships/hyperlink" Target="https://www.instagram.com/heyat_madar_sadat_noor/" TargetMode="External"/><Relationship Id="rId9057" Type="http://schemas.openxmlformats.org/officeDocument/2006/relationships/hyperlink" Target="https://www.instagram.com/maktab_abbas_qom/" TargetMode="External"/><Relationship Id="rId505" Type="http://schemas.openxmlformats.org/officeDocument/2006/relationships/hyperlink" Target="https://eitaa.com/heyat_abasaleh_chamestan" TargetMode="External"/><Relationship Id="rId9056" Type="http://schemas.openxmlformats.org/officeDocument/2006/relationships/hyperlink" Target="https://t.me/maktab_abbas_qom" TargetMode="External"/><Relationship Id="rId504" Type="http://schemas.openxmlformats.org/officeDocument/2006/relationships/hyperlink" Target="https://t.me/ansaralmohsennoor" TargetMode="External"/><Relationship Id="rId9055" Type="http://schemas.openxmlformats.org/officeDocument/2006/relationships/hyperlink" Target="https://www.instagram.com/maktab_abbas_media/" TargetMode="External"/><Relationship Id="rId9059" Type="http://schemas.openxmlformats.org/officeDocument/2006/relationships/hyperlink" Target="https://eitaa.com/ansariha_qom" TargetMode="External"/><Relationship Id="rId9050" Type="http://schemas.openxmlformats.org/officeDocument/2006/relationships/hyperlink" Target="https://t.me/Ghamkhanehqom" TargetMode="External"/><Relationship Id="rId9043" Type="http://schemas.openxmlformats.org/officeDocument/2006/relationships/hyperlink" Target="https://t.me/vetrinfo_channel" TargetMode="External"/><Relationship Id="rId9042" Type="http://schemas.openxmlformats.org/officeDocument/2006/relationships/hyperlink" Target="https://www.instagram.com/vetr.info" TargetMode="External"/><Relationship Id="rId9041" Type="http://schemas.openxmlformats.org/officeDocument/2006/relationships/hyperlink" Target="https://eitaa.com/haliasghar" TargetMode="External"/><Relationship Id="rId9040" Type="http://schemas.openxmlformats.org/officeDocument/2006/relationships/hyperlink" Target="https://www.instagram.com/heyatyazahra.ir/" TargetMode="External"/><Relationship Id="rId9047" Type="http://schemas.openxmlformats.org/officeDocument/2006/relationships/hyperlink" Target="https://www.instagram.com/shabab_al_hosein/" TargetMode="External"/><Relationship Id="rId9046" Type="http://schemas.openxmlformats.org/officeDocument/2006/relationships/hyperlink" Target="https://www.instagram.com/jannat.info/" TargetMode="External"/><Relationship Id="rId9045" Type="http://schemas.openxmlformats.org/officeDocument/2006/relationships/hyperlink" Target="https://www.instagram.com/khademin_behesht" TargetMode="External"/><Relationship Id="rId9044" Type="http://schemas.openxmlformats.org/officeDocument/2006/relationships/hyperlink" Target="https://eitaa.com/vetrinfo_channel" TargetMode="External"/><Relationship Id="rId9049" Type="http://schemas.openxmlformats.org/officeDocument/2006/relationships/hyperlink" Target="https://www.instagram.com/ghamkhanehqom" TargetMode="External"/><Relationship Id="rId9048" Type="http://schemas.openxmlformats.org/officeDocument/2006/relationships/hyperlink" Target="https://t.me/shabab_al_hosein" TargetMode="External"/><Relationship Id="rId6803" Type="http://schemas.openxmlformats.org/officeDocument/2006/relationships/hyperlink" Target="https://www.instagram.com/h.aliasghar.nakhlmina" TargetMode="External"/><Relationship Id="rId6804" Type="http://schemas.openxmlformats.org/officeDocument/2006/relationships/hyperlink" Target="https://www.instagram.com/maktabozahra.minab" TargetMode="External"/><Relationship Id="rId6801" Type="http://schemas.openxmlformats.org/officeDocument/2006/relationships/hyperlink" Target="https://www.instagram.com/oshaqolhosein" TargetMode="External"/><Relationship Id="rId6802" Type="http://schemas.openxmlformats.org/officeDocument/2006/relationships/hyperlink" Target="https://t.me/heyateoshaqolhosein" TargetMode="External"/><Relationship Id="rId6807" Type="http://schemas.openxmlformats.org/officeDocument/2006/relationships/hyperlink" Target="https://www.instagram.com/hoseyniyeh_abolfazl" TargetMode="External"/><Relationship Id="rId6808" Type="http://schemas.openxmlformats.org/officeDocument/2006/relationships/hyperlink" Target="https://eitaa.com/hoseyniyeh_abolfazl" TargetMode="External"/><Relationship Id="rId6805" Type="http://schemas.openxmlformats.org/officeDocument/2006/relationships/hyperlink" Target="https://www.instagram.com/jonoubiha0136" TargetMode="External"/><Relationship Id="rId6806" Type="http://schemas.openxmlformats.org/officeDocument/2006/relationships/hyperlink" Target="https://www.instagram.com/heyat_taziyehkhani_hajikhademi" TargetMode="External"/><Relationship Id="rId6809" Type="http://schemas.openxmlformats.org/officeDocument/2006/relationships/hyperlink" Target="https://eitaa.com/heyat_hu" TargetMode="External"/><Relationship Id="rId9083" Type="http://schemas.openxmlformats.org/officeDocument/2006/relationships/hyperlink" Target="http://t.me/s_mahdi_mirdamad" TargetMode="External"/><Relationship Id="rId9082" Type="http://schemas.openxmlformats.org/officeDocument/2006/relationships/hyperlink" Target="https://www.instagram.com/aabes_ir/" TargetMode="External"/><Relationship Id="rId9081" Type="http://schemas.openxmlformats.org/officeDocument/2006/relationships/hyperlink" Target="https://www.instagram.com/seyedrezatahvildar/" TargetMode="External"/><Relationship Id="rId9080" Type="http://schemas.openxmlformats.org/officeDocument/2006/relationships/hyperlink" Target="https://eitaa.com/ziregonbadetala" TargetMode="External"/><Relationship Id="rId525" Type="http://schemas.openxmlformats.org/officeDocument/2006/relationships/hyperlink" Target="https://t.me/heyat5tan_nowshahr" TargetMode="External"/><Relationship Id="rId9076" Type="http://schemas.openxmlformats.org/officeDocument/2006/relationships/hyperlink" Target="https://eitaa.com/hasanshalbafan110" TargetMode="External"/><Relationship Id="rId524" Type="http://schemas.openxmlformats.org/officeDocument/2006/relationships/hyperlink" Target="https://www.instagram.com/heyat5tan_nowshahr/" TargetMode="External"/><Relationship Id="rId9075" Type="http://schemas.openxmlformats.org/officeDocument/2006/relationships/hyperlink" Target="https://t.me/hasan_shalbafan_118" TargetMode="External"/><Relationship Id="rId523" Type="http://schemas.openxmlformats.org/officeDocument/2006/relationships/hyperlink" Target="https://t.me/kheyrroodmisagh" TargetMode="External"/><Relationship Id="rId9074" Type="http://schemas.openxmlformats.org/officeDocument/2006/relationships/hyperlink" Target="https://www.instagram.com/hasan__shalbafan/" TargetMode="External"/><Relationship Id="rId522" Type="http://schemas.openxmlformats.org/officeDocument/2006/relationships/hyperlink" Target="https://www.instagram.com/kanoon_misagh/" TargetMode="External"/><Relationship Id="rId9073" Type="http://schemas.openxmlformats.org/officeDocument/2006/relationships/hyperlink" Target="https://t.me/eslam_mirzaei" TargetMode="External"/><Relationship Id="rId529" Type="http://schemas.openxmlformats.org/officeDocument/2006/relationships/hyperlink" Target="https://t.me/heyAte_fatemezahra" TargetMode="External"/><Relationship Id="rId528" Type="http://schemas.openxmlformats.org/officeDocument/2006/relationships/hyperlink" Target="https://www.instagram.com/heyat_beytozahra14/" TargetMode="External"/><Relationship Id="rId9079" Type="http://schemas.openxmlformats.org/officeDocument/2006/relationships/hyperlink" Target="https://eitaa.com/hassanataie" TargetMode="External"/><Relationship Id="rId527" Type="http://schemas.openxmlformats.org/officeDocument/2006/relationships/hyperlink" Target="https://t.me/kanoon_kdnn" TargetMode="External"/><Relationship Id="rId9078" Type="http://schemas.openxmlformats.org/officeDocument/2006/relationships/hyperlink" Target="https://t.me/hassanataie1" TargetMode="External"/><Relationship Id="rId526" Type="http://schemas.openxmlformats.org/officeDocument/2006/relationships/hyperlink" Target="https://www.instagram.com/kanoon_kdnn/" TargetMode="External"/><Relationship Id="rId9077" Type="http://schemas.openxmlformats.org/officeDocument/2006/relationships/hyperlink" Target="https://www.instagram.com/hassanataie/" TargetMode="External"/><Relationship Id="rId521" Type="http://schemas.openxmlformats.org/officeDocument/2006/relationships/hyperlink" Target="https://eitaa.com/emam_jafar_sadegh_nowshahr_01" TargetMode="External"/><Relationship Id="rId520" Type="http://schemas.openxmlformats.org/officeDocument/2006/relationships/hyperlink" Target="https://www.instagram.com/m.emam.jafar.sadegh.nowshahr/" TargetMode="External"/><Relationship Id="rId6800" Type="http://schemas.openxmlformats.org/officeDocument/2006/relationships/hyperlink" Target="https://eitaa.com/reyhane_com" TargetMode="External"/><Relationship Id="rId519" Type="http://schemas.openxmlformats.org/officeDocument/2006/relationships/hyperlink" Target="https://t.me/montazerannoshahr94" TargetMode="External"/><Relationship Id="rId9072" Type="http://schemas.openxmlformats.org/officeDocument/2006/relationships/hyperlink" Target="https://www.instagram.com/eslammirzaei1191/" TargetMode="External"/><Relationship Id="rId9071" Type="http://schemas.openxmlformats.org/officeDocument/2006/relationships/hyperlink" Target="https://eitaa.com/saranbeney59" TargetMode="External"/><Relationship Id="rId9070" Type="http://schemas.openxmlformats.org/officeDocument/2006/relationships/hyperlink" Target="https://t.me/saran_be_ney_qom" TargetMode="External"/><Relationship Id="rId514" Type="http://schemas.openxmlformats.org/officeDocument/2006/relationships/hyperlink" Target="https://www.instagram.com/maktabshohada" TargetMode="External"/><Relationship Id="rId9065" Type="http://schemas.openxmlformats.org/officeDocument/2006/relationships/hyperlink" Target="https://t.me/Shiftegan315qom" TargetMode="External"/><Relationship Id="rId513" Type="http://schemas.openxmlformats.org/officeDocument/2006/relationships/hyperlink" Target="https://www.instagram.com/farzandan_madar_bineshan/" TargetMode="External"/><Relationship Id="rId9064" Type="http://schemas.openxmlformats.org/officeDocument/2006/relationships/hyperlink" Target="https://www.instagram.com/shiftegan315qom/" TargetMode="External"/><Relationship Id="rId512" Type="http://schemas.openxmlformats.org/officeDocument/2006/relationships/hyperlink" Target="https://t.me/mojib_org" TargetMode="External"/><Relationship Id="rId9063" Type="http://schemas.openxmlformats.org/officeDocument/2006/relationships/hyperlink" Target="https://t.me/shabab_almahdi" TargetMode="External"/><Relationship Id="rId511" Type="http://schemas.openxmlformats.org/officeDocument/2006/relationships/hyperlink" Target="https://www.instagram.com/mojib_org/" TargetMode="External"/><Relationship Id="rId9062" Type="http://schemas.openxmlformats.org/officeDocument/2006/relationships/hyperlink" Target="https://www.instagram.com/shabab_almahdi" TargetMode="External"/><Relationship Id="rId518" Type="http://schemas.openxmlformats.org/officeDocument/2006/relationships/hyperlink" Target="https://www.instagram.com/montazeran_noshahr" TargetMode="External"/><Relationship Id="rId9069" Type="http://schemas.openxmlformats.org/officeDocument/2006/relationships/hyperlink" Target="https://www.instagram.com/saran.be.ney_qom/" TargetMode="External"/><Relationship Id="rId517" Type="http://schemas.openxmlformats.org/officeDocument/2006/relationships/hyperlink" Target="https://t.me/mojiir_org" TargetMode="External"/><Relationship Id="rId9068" Type="http://schemas.openxmlformats.org/officeDocument/2006/relationships/hyperlink" Target="https://eitaa.com/arasgoni" TargetMode="External"/><Relationship Id="rId516" Type="http://schemas.openxmlformats.org/officeDocument/2006/relationships/hyperlink" Target="https://www.instagram.com/mojir.ir" TargetMode="External"/><Relationship Id="rId9067" Type="http://schemas.openxmlformats.org/officeDocument/2006/relationships/hyperlink" Target="https://www.instagram.com/kaf.abbas/" TargetMode="External"/><Relationship Id="rId515" Type="http://schemas.openxmlformats.org/officeDocument/2006/relationships/hyperlink" Target="https://www.instagram.com/h_abalfazlia" TargetMode="External"/><Relationship Id="rId9066" Type="http://schemas.openxmlformats.org/officeDocument/2006/relationships/hyperlink" Target="https://eitaa.com/Shiftegan315qom" TargetMode="External"/><Relationship Id="rId510" Type="http://schemas.openxmlformats.org/officeDocument/2006/relationships/hyperlink" Target="https://eitaa.com/heyatrazmandegannor" TargetMode="External"/><Relationship Id="rId9010" Type="http://schemas.openxmlformats.org/officeDocument/2006/relationships/hyperlink" Target="https://www.instagram.com/mohebbin_zeynab/" TargetMode="External"/><Relationship Id="rId9014" Type="http://schemas.openxmlformats.org/officeDocument/2006/relationships/hyperlink" Target="https://t.me/divangan_205" TargetMode="External"/><Relationship Id="rId9013" Type="http://schemas.openxmlformats.org/officeDocument/2006/relationships/hyperlink" Target="https://www.instagram.com/divangan_205/" TargetMode="External"/><Relationship Id="rId9012" Type="http://schemas.openxmlformats.org/officeDocument/2006/relationships/hyperlink" Target="https://eitaa.com/mohebbin_zeynab" TargetMode="External"/><Relationship Id="rId9011" Type="http://schemas.openxmlformats.org/officeDocument/2006/relationships/hyperlink" Target="https://t.me/mohebbin_zeynab" TargetMode="External"/><Relationship Id="rId9018" Type="http://schemas.openxmlformats.org/officeDocument/2006/relationships/hyperlink" Target="https://t.me/reyhanatolhoseinqom315" TargetMode="External"/><Relationship Id="rId9017" Type="http://schemas.openxmlformats.org/officeDocument/2006/relationships/hyperlink" Target="https://www.instagram.com/reyhanatolhosein315_qom/" TargetMode="External"/><Relationship Id="rId9016" Type="http://schemas.openxmlformats.org/officeDocument/2006/relationships/hyperlink" Target="https://t.me/devaneganroqaie" TargetMode="External"/><Relationship Id="rId9015" Type="http://schemas.openxmlformats.org/officeDocument/2006/relationships/hyperlink" Target="https://www.instagram.com/divaneganroqaie/" TargetMode="External"/><Relationship Id="rId9019" Type="http://schemas.openxmlformats.org/officeDocument/2006/relationships/hyperlink" Target="https://www.instagram.com/shah_alghame/" TargetMode="External"/><Relationship Id="rId9003" Type="http://schemas.openxmlformats.org/officeDocument/2006/relationships/hyperlink" Target="https://www.instagram.com/beytozahraqom/" TargetMode="External"/><Relationship Id="rId9002" Type="http://schemas.openxmlformats.org/officeDocument/2006/relationships/hyperlink" Target="https://t.me/behesht_abbas" TargetMode="External"/><Relationship Id="rId9001" Type="http://schemas.openxmlformats.org/officeDocument/2006/relationships/hyperlink" Target="https://www.instagram.com/behesht_abbas/" TargetMode="External"/><Relationship Id="rId9000" Type="http://schemas.openxmlformats.org/officeDocument/2006/relationships/hyperlink" Target="https://www.instagram.com/mehremadari.charity" TargetMode="External"/><Relationship Id="rId9007" Type="http://schemas.openxmlformats.org/officeDocument/2006/relationships/hyperlink" Target="https://eitaa.com/beytonabi_ir" TargetMode="External"/><Relationship Id="rId9006" Type="http://schemas.openxmlformats.org/officeDocument/2006/relationships/hyperlink" Target="https://www.instagram.com/beytonabi_ir" TargetMode="External"/><Relationship Id="rId9005" Type="http://schemas.openxmlformats.org/officeDocument/2006/relationships/hyperlink" Target="https://www.instagram.com/heyat.hasanebnali.qom/" TargetMode="External"/><Relationship Id="rId9004" Type="http://schemas.openxmlformats.org/officeDocument/2006/relationships/hyperlink" Target="https://t.me/beytozahra_qom" TargetMode="External"/><Relationship Id="rId9009" Type="http://schemas.openxmlformats.org/officeDocument/2006/relationships/hyperlink" Target="https://eitaa.com/rayatolmoghavemat" TargetMode="External"/><Relationship Id="rId9008" Type="http://schemas.openxmlformats.org/officeDocument/2006/relationships/hyperlink" Target="https://beytonabi.ir/" TargetMode="External"/><Relationship Id="rId9032" Type="http://schemas.openxmlformats.org/officeDocument/2006/relationships/hyperlink" Target="https://t.me/h_yazahra69" TargetMode="External"/><Relationship Id="rId9031" Type="http://schemas.openxmlformats.org/officeDocument/2006/relationships/hyperlink" Target="https://www.instagram.com/h_yazahra69/" TargetMode="External"/><Relationship Id="rId9030" Type="http://schemas.openxmlformats.org/officeDocument/2006/relationships/hyperlink" Target="http://t.me/GHM_Qom" TargetMode="External"/><Relationship Id="rId9036" Type="http://schemas.openxmlformats.org/officeDocument/2006/relationships/hyperlink" Target="https://eitaa.com/levaozzeynab_qom" TargetMode="External"/><Relationship Id="rId9035" Type="http://schemas.openxmlformats.org/officeDocument/2006/relationships/hyperlink" Target="https://t.me/levaozzeynab_com" TargetMode="External"/><Relationship Id="rId9034" Type="http://schemas.openxmlformats.org/officeDocument/2006/relationships/hyperlink" Target="https://www.instagram.com/levaozzeynab/" TargetMode="External"/><Relationship Id="rId9033" Type="http://schemas.openxmlformats.org/officeDocument/2006/relationships/hyperlink" Target="https://eitaa.com/hfatemealzahra" TargetMode="External"/><Relationship Id="rId9039" Type="http://schemas.openxmlformats.org/officeDocument/2006/relationships/hyperlink" Target="https://t.me/l_ghadr" TargetMode="External"/><Relationship Id="rId9038" Type="http://schemas.openxmlformats.org/officeDocument/2006/relationships/hyperlink" Target="https://www.instagram.com/l_ghadr/" TargetMode="External"/><Relationship Id="rId9037" Type="http://schemas.openxmlformats.org/officeDocument/2006/relationships/hyperlink" Target="https://www.youtube.com/@levaozzeynab_com" TargetMode="External"/><Relationship Id="rId9021" Type="http://schemas.openxmlformats.org/officeDocument/2006/relationships/hyperlink" Target="https://www.instagram.com/mahfel_shahnajaf_qom" TargetMode="External"/><Relationship Id="rId9020" Type="http://schemas.openxmlformats.org/officeDocument/2006/relationships/hyperlink" Target="https://t.me/shah_alghame" TargetMode="External"/><Relationship Id="rId9025" Type="http://schemas.openxmlformats.org/officeDocument/2006/relationships/hyperlink" Target="https://www.youtube.com/@hayatshababalruqaia3287" TargetMode="External"/><Relationship Id="rId9024" Type="http://schemas.openxmlformats.org/officeDocument/2006/relationships/hyperlink" Target="https://t.me/hayat_shabab_alruqaia" TargetMode="External"/><Relationship Id="rId9023" Type="http://schemas.openxmlformats.org/officeDocument/2006/relationships/hyperlink" Target="https://www.instagram.com/hayat_shabab_alruqaia" TargetMode="External"/><Relationship Id="rId9022" Type="http://schemas.openxmlformats.org/officeDocument/2006/relationships/hyperlink" Target="https://t.me/mahfel_shah_najaf_110" TargetMode="External"/><Relationship Id="rId9029" Type="http://schemas.openxmlformats.org/officeDocument/2006/relationships/hyperlink" Target="https://www.instagram.com/heyate_gharibe_madineh_qom/" TargetMode="External"/><Relationship Id="rId9028" Type="http://schemas.openxmlformats.org/officeDocument/2006/relationships/hyperlink" Target="https://www.instagram.com/aleyasinqom/" TargetMode="External"/><Relationship Id="rId9027" Type="http://schemas.openxmlformats.org/officeDocument/2006/relationships/hyperlink" Target="https://t.me/oshaqheydar110" TargetMode="External"/><Relationship Id="rId9026" Type="http://schemas.openxmlformats.org/officeDocument/2006/relationships/hyperlink" Target="https://www.instagram.com/oshaqheydar" TargetMode="External"/><Relationship Id="rId4206" Type="http://schemas.openxmlformats.org/officeDocument/2006/relationships/hyperlink" Target="https://www.instagram.com/masjed.emam_hasan/" TargetMode="External"/><Relationship Id="rId5538" Type="http://schemas.openxmlformats.org/officeDocument/2006/relationships/hyperlink" Target="http://t.me/montazeranzohoor12" TargetMode="External"/><Relationship Id="rId6869" Type="http://schemas.openxmlformats.org/officeDocument/2006/relationships/hyperlink" Target="https://www.instagram.com/aliakbarfin" TargetMode="External"/><Relationship Id="rId4205" Type="http://schemas.openxmlformats.org/officeDocument/2006/relationships/hyperlink" Target="https://www.instagram.com/razmandegan_bik" TargetMode="External"/><Relationship Id="rId5539" Type="http://schemas.openxmlformats.org/officeDocument/2006/relationships/hyperlink" Target="https://t.me/yaroghayeh1380" TargetMode="External"/><Relationship Id="rId4208" Type="http://schemas.openxmlformats.org/officeDocument/2006/relationships/hyperlink" Target="https://t.me/jannatolhosein128" TargetMode="External"/><Relationship Id="rId5536" Type="http://schemas.openxmlformats.org/officeDocument/2006/relationships/hyperlink" Target="https://www.instagram.com/javanan_ghamarbani_cpehesham/" TargetMode="External"/><Relationship Id="rId6867" Type="http://schemas.openxmlformats.org/officeDocument/2006/relationships/hyperlink" Target="https://eitaa.com/khadem_al_velayah_bnd" TargetMode="External"/><Relationship Id="rId4207" Type="http://schemas.openxmlformats.org/officeDocument/2006/relationships/hyperlink" Target="https://www.instagram.com/jannatolhosein128" TargetMode="External"/><Relationship Id="rId5537" Type="http://schemas.openxmlformats.org/officeDocument/2006/relationships/hyperlink" Target="https://www.instagram.com/montazeranzohoor12/" TargetMode="External"/><Relationship Id="rId6868" Type="http://schemas.openxmlformats.org/officeDocument/2006/relationships/hyperlink" Target="https://www.instagram.com/karvaneshq313" TargetMode="External"/><Relationship Id="rId590" Type="http://schemas.openxmlformats.org/officeDocument/2006/relationships/hyperlink" Target="https://www.instagram.com/alatash_net/" TargetMode="External"/><Relationship Id="rId4209" Type="http://schemas.openxmlformats.org/officeDocument/2006/relationships/hyperlink" Target="https://eitaa.com/s/Jannatolhosein128" TargetMode="External"/><Relationship Id="rId589" Type="http://schemas.openxmlformats.org/officeDocument/2006/relationships/hyperlink" Target="https://eitaa.com/aemehoda" TargetMode="External"/><Relationship Id="rId588" Type="http://schemas.openxmlformats.org/officeDocument/2006/relationships/hyperlink" Target="https://www.instagram.com/aematolhodaa/" TargetMode="External"/><Relationship Id="rId583" Type="http://schemas.openxmlformats.org/officeDocument/2006/relationships/hyperlink" Target="https://t.me/ansar_fatemeh" TargetMode="External"/><Relationship Id="rId5530" Type="http://schemas.openxmlformats.org/officeDocument/2006/relationships/hyperlink" Target="https://eitaa.com/shohada_gomnam_alvand" TargetMode="External"/><Relationship Id="rId6861" Type="http://schemas.openxmlformats.org/officeDocument/2006/relationships/hyperlink" Target="https://www.instagram.com/hoseyniyeh.sarrig.bnd" TargetMode="External"/><Relationship Id="rId582" Type="http://schemas.openxmlformats.org/officeDocument/2006/relationships/hyperlink" Target="https://www.instagram.com/ansarolfatemeh/" TargetMode="External"/><Relationship Id="rId5531" Type="http://schemas.openxmlformats.org/officeDocument/2006/relationships/hyperlink" Target="https://www.instagram.com/mahfel_ansaralhosein/" TargetMode="External"/><Relationship Id="rId6862" Type="http://schemas.openxmlformats.org/officeDocument/2006/relationships/hyperlink" Target="https://eitaa.com/beytolahzanebandarabbas" TargetMode="External"/><Relationship Id="rId581" Type="http://schemas.openxmlformats.org/officeDocument/2006/relationships/hyperlink" Target="http://t.me/rozatolmahdy" TargetMode="External"/><Relationship Id="rId4200" Type="http://schemas.openxmlformats.org/officeDocument/2006/relationships/hyperlink" Target="https://eitaa.com/masjed_imk" TargetMode="External"/><Relationship Id="rId580" Type="http://schemas.openxmlformats.org/officeDocument/2006/relationships/hyperlink" Target="https://www.instagram.com/rozatolmahdy/" TargetMode="External"/><Relationship Id="rId6860" Type="http://schemas.openxmlformats.org/officeDocument/2006/relationships/hyperlink" Target="https://www.instagram.com/heyat_abolfazlabbas" TargetMode="External"/><Relationship Id="rId587" Type="http://schemas.openxmlformats.org/officeDocument/2006/relationships/hyperlink" Target="https://eitaa.com/a_alekasa" TargetMode="External"/><Relationship Id="rId4202" Type="http://schemas.openxmlformats.org/officeDocument/2006/relationships/hyperlink" Target="https://t.me/asheghankarbala86" TargetMode="External"/><Relationship Id="rId5534" Type="http://schemas.openxmlformats.org/officeDocument/2006/relationships/hyperlink" Target="https://www.instagram.com/maktabolabbasalvand" TargetMode="External"/><Relationship Id="rId6865" Type="http://schemas.openxmlformats.org/officeDocument/2006/relationships/hyperlink" Target="https://www.instagram.com/heyat_moheban_minab" TargetMode="External"/><Relationship Id="rId586" Type="http://schemas.openxmlformats.org/officeDocument/2006/relationships/hyperlink" Target="http://t.me/aalekasa" TargetMode="External"/><Relationship Id="rId4201" Type="http://schemas.openxmlformats.org/officeDocument/2006/relationships/hyperlink" Target="https://www.instagram.com/asheghanekarbala86" TargetMode="External"/><Relationship Id="rId5535" Type="http://schemas.openxmlformats.org/officeDocument/2006/relationships/hyperlink" Target="https://eitaa.com/Maktab97" TargetMode="External"/><Relationship Id="rId6866" Type="http://schemas.openxmlformats.org/officeDocument/2006/relationships/hyperlink" Target="https://eitaa.com/shahriyarzakeri" TargetMode="External"/><Relationship Id="rId585" Type="http://schemas.openxmlformats.org/officeDocument/2006/relationships/hyperlink" Target="https://www.instagram.com/a_alekasa/" TargetMode="External"/><Relationship Id="rId4204" Type="http://schemas.openxmlformats.org/officeDocument/2006/relationships/hyperlink" Target="https://www.instagram.com/heyat_abolfazlalabaas/" TargetMode="External"/><Relationship Id="rId5532" Type="http://schemas.openxmlformats.org/officeDocument/2006/relationships/hyperlink" Target="https://www.instagram.com/fatemion_alvand/" TargetMode="External"/><Relationship Id="rId6863" Type="http://schemas.openxmlformats.org/officeDocument/2006/relationships/hyperlink" Target="https://www.instagram.com/heiat_zeinabioon" TargetMode="External"/><Relationship Id="rId584" Type="http://schemas.openxmlformats.org/officeDocument/2006/relationships/hyperlink" Target="https://ble.ir/@ansar_fatemeh" TargetMode="External"/><Relationship Id="rId4203" Type="http://schemas.openxmlformats.org/officeDocument/2006/relationships/hyperlink" Target="https://eitaa.com/k_izeh" TargetMode="External"/><Relationship Id="rId5533" Type="http://schemas.openxmlformats.org/officeDocument/2006/relationships/hyperlink" Target="http://t.me/fatemiuon" TargetMode="External"/><Relationship Id="rId6864" Type="http://schemas.openxmlformats.org/officeDocument/2006/relationships/hyperlink" Target="https://eitaa.com/zenabeeon" TargetMode="External"/><Relationship Id="rId5527" Type="http://schemas.openxmlformats.org/officeDocument/2006/relationships/hyperlink" Target="https://www.instagram.com/sabeghoon_heyat/" TargetMode="External"/><Relationship Id="rId6858" Type="http://schemas.openxmlformats.org/officeDocument/2006/relationships/hyperlink" Target="https://www.instagram.com/oshaghe_alhossein" TargetMode="External"/><Relationship Id="rId5528" Type="http://schemas.openxmlformats.org/officeDocument/2006/relationships/hyperlink" Target="https://www.instagram.com/shohada_gomnam_alvand/" TargetMode="External"/><Relationship Id="rId6859" Type="http://schemas.openxmlformats.org/officeDocument/2006/relationships/hyperlink" Target="https://eitaa.com/fatemiyoun_com" TargetMode="External"/><Relationship Id="rId5525" Type="http://schemas.openxmlformats.org/officeDocument/2006/relationships/hyperlink" Target="https://www.instagram.com/mohebban_ab1/" TargetMode="External"/><Relationship Id="rId6856" Type="http://schemas.openxmlformats.org/officeDocument/2006/relationships/hyperlink" Target="https://t.me/heiat_khademin_golzareshohada" TargetMode="External"/><Relationship Id="rId5526" Type="http://schemas.openxmlformats.org/officeDocument/2006/relationships/hyperlink" Target="https://www.instagram.com/heiat_mafi_ziyaran/" TargetMode="External"/><Relationship Id="rId6857" Type="http://schemas.openxmlformats.org/officeDocument/2006/relationships/hyperlink" Target="https://www.instagram.com/kahfelvara_313" TargetMode="External"/><Relationship Id="rId5529" Type="http://schemas.openxmlformats.org/officeDocument/2006/relationships/hyperlink" Target="https://t.me/shohada_gomnam_alvand" TargetMode="External"/><Relationship Id="rId579" Type="http://schemas.openxmlformats.org/officeDocument/2006/relationships/hyperlink" Target="http://t.me/mohebbin_ozgol" TargetMode="External"/><Relationship Id="rId578" Type="http://schemas.openxmlformats.org/officeDocument/2006/relationships/hyperlink" Target="https://www.instagram.com/mohebbin_ozgol/" TargetMode="External"/><Relationship Id="rId577" Type="http://schemas.openxmlformats.org/officeDocument/2006/relationships/hyperlink" Target="http://eitaa.com/hazrat_omolbanin" TargetMode="External"/><Relationship Id="rId572" Type="http://schemas.openxmlformats.org/officeDocument/2006/relationships/hyperlink" Target="http://t.me/heyatasheghanabalfazll" TargetMode="External"/><Relationship Id="rId6850" Type="http://schemas.openxmlformats.org/officeDocument/2006/relationships/hyperlink" Target="https://eitaa.com/heyat_bnd" TargetMode="External"/><Relationship Id="rId571" Type="http://schemas.openxmlformats.org/officeDocument/2006/relationships/hyperlink" Target="https://www.instagram.com/asheghaneabalfazll/" TargetMode="External"/><Relationship Id="rId5520" Type="http://schemas.openxmlformats.org/officeDocument/2006/relationships/hyperlink" Target="https://www.instagram.com/abnafateme/" TargetMode="External"/><Relationship Id="rId6851" Type="http://schemas.openxmlformats.org/officeDocument/2006/relationships/hyperlink" Target="https://eitaa.com/dokhtarane_fatemi_bandare_lengeh" TargetMode="External"/><Relationship Id="rId570" Type="http://schemas.openxmlformats.org/officeDocument/2006/relationships/hyperlink" Target="http://t.me/@mohebbanreza_ir" TargetMode="External"/><Relationship Id="rId576" Type="http://schemas.openxmlformats.org/officeDocument/2006/relationships/hyperlink" Target="https://www.instagram.com/hazrat.omolbanin/" TargetMode="External"/><Relationship Id="rId5523" Type="http://schemas.openxmlformats.org/officeDocument/2006/relationships/hyperlink" Target="https://www.instagram.com/razavioon.ir/" TargetMode="External"/><Relationship Id="rId6854" Type="http://schemas.openxmlformats.org/officeDocument/2006/relationships/hyperlink" Target="https://eitaa.com/ebadizadeh" TargetMode="External"/><Relationship Id="rId575" Type="http://schemas.openxmlformats.org/officeDocument/2006/relationships/hyperlink" Target="https://www.instagram.com/heyat.razmandegan.pardis/" TargetMode="External"/><Relationship Id="rId5524" Type="http://schemas.openxmlformats.org/officeDocument/2006/relationships/hyperlink" Target="https://www.instagram.com/h.j.abyek/" TargetMode="External"/><Relationship Id="rId6855" Type="http://schemas.openxmlformats.org/officeDocument/2006/relationships/hyperlink" Target="https://www.instagram.com/khademin_hrm" TargetMode="External"/><Relationship Id="rId574" Type="http://schemas.openxmlformats.org/officeDocument/2006/relationships/hyperlink" Target="https://www.instagram.com/fatemiyeh.delsokhtegan/" TargetMode="External"/><Relationship Id="rId5521" Type="http://schemas.openxmlformats.org/officeDocument/2006/relationships/hyperlink" Target="https://t.me/abnafateme" TargetMode="External"/><Relationship Id="rId6852" Type="http://schemas.openxmlformats.org/officeDocument/2006/relationships/hyperlink" Target="https://www.instagram.com/masjed_emam_hosain_qeshm" TargetMode="External"/><Relationship Id="rId573" Type="http://schemas.openxmlformats.org/officeDocument/2006/relationships/hyperlink" Target="https://www.instagram.com/zeynab_salam_olah_/" TargetMode="External"/><Relationship Id="rId5522" Type="http://schemas.openxmlformats.org/officeDocument/2006/relationships/hyperlink" Target="https://eitaa.com/abnafateme" TargetMode="External"/><Relationship Id="rId6853" Type="http://schemas.openxmlformats.org/officeDocument/2006/relationships/hyperlink" Target="https://www.instagram.com/heyat_seyedoshohada_kahnuj" TargetMode="External"/><Relationship Id="rId4228" Type="http://schemas.openxmlformats.org/officeDocument/2006/relationships/hyperlink" Target="https://www.instagram.com/ahbabalhussain1345/" TargetMode="External"/><Relationship Id="rId4227" Type="http://schemas.openxmlformats.org/officeDocument/2006/relationships/hyperlink" Target="https://www.instagram.com/heyat_sarala/" TargetMode="External"/><Relationship Id="rId5558" Type="http://schemas.openxmlformats.org/officeDocument/2006/relationships/hyperlink" Target="https://www.instagram.com/imam_hasan_mojtaba_mehregan/" TargetMode="External"/><Relationship Id="rId6889" Type="http://schemas.openxmlformats.org/officeDocument/2006/relationships/hyperlink" Target="https://www.instagram.com/hytpnjtnal" TargetMode="External"/><Relationship Id="rId4229" Type="http://schemas.openxmlformats.org/officeDocument/2006/relationships/hyperlink" Target="https://www.instagram.com/beynolharameyn.shushtar/" TargetMode="External"/><Relationship Id="rId5559" Type="http://schemas.openxmlformats.org/officeDocument/2006/relationships/hyperlink" Target="https://www.instagram.com/yazahra.mehregan/" TargetMode="External"/><Relationship Id="rId6880" Type="http://schemas.openxmlformats.org/officeDocument/2006/relationships/hyperlink" Target="https://www.instagram.com/howzeh.malekashtar_" TargetMode="External"/><Relationship Id="rId4220" Type="http://schemas.openxmlformats.org/officeDocument/2006/relationships/hyperlink" Target="https://www.instagram.com/shem.a4794/" TargetMode="External"/><Relationship Id="rId5552" Type="http://schemas.openxmlformats.org/officeDocument/2006/relationships/hyperlink" Target="http://t.me/yazahra_ir" TargetMode="External"/><Relationship Id="rId6883" Type="http://schemas.openxmlformats.org/officeDocument/2006/relationships/hyperlink" Target="https://eitaa.com/masjed_lmam_hussain" TargetMode="External"/><Relationship Id="rId5553" Type="http://schemas.openxmlformats.org/officeDocument/2006/relationships/hyperlink" Target="https://www.instagram.com/asheghan.hazrate.ghasem/" TargetMode="External"/><Relationship Id="rId6884" Type="http://schemas.openxmlformats.org/officeDocument/2006/relationships/hyperlink" Target="https://www.instagram.com/masjed_bnd1402" TargetMode="External"/><Relationship Id="rId4222" Type="http://schemas.openxmlformats.org/officeDocument/2006/relationships/hyperlink" Target="http://t.me/cham_khalaf_official" TargetMode="External"/><Relationship Id="rId5550" Type="http://schemas.openxmlformats.org/officeDocument/2006/relationships/hyperlink" Target="https://www.instagram.com/heyat.qasem201/" TargetMode="External"/><Relationship Id="rId6881" Type="http://schemas.openxmlformats.org/officeDocument/2006/relationships/hyperlink" Target="https://eitaa.com/howzehmalek" TargetMode="External"/><Relationship Id="rId4221" Type="http://schemas.openxmlformats.org/officeDocument/2006/relationships/hyperlink" Target="https://www.instagram.com/cham_khalaf_official/" TargetMode="External"/><Relationship Id="rId5551" Type="http://schemas.openxmlformats.org/officeDocument/2006/relationships/hyperlink" Target="https://www.instagram.com/yazahra.ir/" TargetMode="External"/><Relationship Id="rId6882" Type="http://schemas.openxmlformats.org/officeDocument/2006/relationships/hyperlink" Target="https://www.instagram.com/masjed.imam.hussain" TargetMode="External"/><Relationship Id="rId4224" Type="http://schemas.openxmlformats.org/officeDocument/2006/relationships/hyperlink" Target="https://www.instagram.com/heyat_mohibiy_alzahra/" TargetMode="External"/><Relationship Id="rId5556" Type="http://schemas.openxmlformats.org/officeDocument/2006/relationships/hyperlink" Target="https://eitaa.com/fatemeh_alzahra" TargetMode="External"/><Relationship Id="rId6887" Type="http://schemas.openxmlformats.org/officeDocument/2006/relationships/hyperlink" Target="https://www.instagram.com/motevaselein" TargetMode="External"/><Relationship Id="rId4223" Type="http://schemas.openxmlformats.org/officeDocument/2006/relationships/hyperlink" Target="https://www.instagram.com/moheban.karim.ahl.beyt/" TargetMode="External"/><Relationship Id="rId5557" Type="http://schemas.openxmlformats.org/officeDocument/2006/relationships/hyperlink" Target="https://eitaa.com/heyat2bavers" TargetMode="External"/><Relationship Id="rId6888" Type="http://schemas.openxmlformats.org/officeDocument/2006/relationships/hyperlink" Target="https://www.instagram.com/heyeat_javanan_sarallah" TargetMode="External"/><Relationship Id="rId4226" Type="http://schemas.openxmlformats.org/officeDocument/2006/relationships/hyperlink" Target="https://t.me/Masjed_Sajjad_Shush" TargetMode="External"/><Relationship Id="rId5554" Type="http://schemas.openxmlformats.org/officeDocument/2006/relationships/hyperlink" Target="https://www.instagram.com/ansaralmahdy313/" TargetMode="External"/><Relationship Id="rId6885" Type="http://schemas.openxmlformats.org/officeDocument/2006/relationships/hyperlink" Target="https://www.instagram.com/montazeranmahdi_fin" TargetMode="External"/><Relationship Id="rId4225" Type="http://schemas.openxmlformats.org/officeDocument/2006/relationships/hyperlink" Target="https://www.instagram.com/masjedesajjad_ir" TargetMode="External"/><Relationship Id="rId5555" Type="http://schemas.openxmlformats.org/officeDocument/2006/relationships/hyperlink" Target="http://t.me/akhbarheyat" TargetMode="External"/><Relationship Id="rId6886" Type="http://schemas.openxmlformats.org/officeDocument/2006/relationships/hyperlink" Target="https://eitaa.com/intezar_ir" TargetMode="External"/><Relationship Id="rId4217" Type="http://schemas.openxmlformats.org/officeDocument/2006/relationships/hyperlink" Target="https://www.instagram.com/marsh_kornasian.1360/" TargetMode="External"/><Relationship Id="rId5549" Type="http://schemas.openxmlformats.org/officeDocument/2006/relationships/hyperlink" Target="https://t.me/Oshaghozahra_ir" TargetMode="External"/><Relationship Id="rId4216" Type="http://schemas.openxmlformats.org/officeDocument/2006/relationships/hyperlink" Target="https://eitaa.com/zainabion_ir" TargetMode="External"/><Relationship Id="rId4219" Type="http://schemas.openxmlformats.org/officeDocument/2006/relationships/hyperlink" Target="https://www.instagram.com/heyatrahrowan_dhz/" TargetMode="External"/><Relationship Id="rId5547" Type="http://schemas.openxmlformats.org/officeDocument/2006/relationships/hyperlink" Target="https://eitaa.com/bentolhossin_salamola" TargetMode="External"/><Relationship Id="rId6878" Type="http://schemas.openxmlformats.org/officeDocument/2006/relationships/hyperlink" Target="https://www.instagram.com/hoseyniye.hazrat.abalfazl/" TargetMode="External"/><Relationship Id="rId4218" Type="http://schemas.openxmlformats.org/officeDocument/2006/relationships/hyperlink" Target="https://t.me/marshkornasian" TargetMode="External"/><Relationship Id="rId5548" Type="http://schemas.openxmlformats.org/officeDocument/2006/relationships/hyperlink" Target="http://instagram.com/Oshaghozahra_ir" TargetMode="External"/><Relationship Id="rId6879" Type="http://schemas.openxmlformats.org/officeDocument/2006/relationships/hyperlink" Target="https://www.instagram.com/msjed_saeed_m_a_kong" TargetMode="External"/><Relationship Id="rId599" Type="http://schemas.openxmlformats.org/officeDocument/2006/relationships/hyperlink" Target="https://t.me/s/AzzahraaSharif" TargetMode="External"/><Relationship Id="rId594" Type="http://schemas.openxmlformats.org/officeDocument/2006/relationships/hyperlink" Target="https://eitaa.com/ansar_alhassan1399" TargetMode="External"/><Relationship Id="rId5541" Type="http://schemas.openxmlformats.org/officeDocument/2006/relationships/hyperlink" Target="https://www.instagram.com/mahfel_ansar_alhossein/" TargetMode="External"/><Relationship Id="rId6872" Type="http://schemas.openxmlformats.org/officeDocument/2006/relationships/hyperlink" Target="https://www.instagram.com/hayat_kosar" TargetMode="External"/><Relationship Id="rId593" Type="http://schemas.openxmlformats.org/officeDocument/2006/relationships/hyperlink" Target="https://www.instagram.com/ansar_alhassan/" TargetMode="External"/><Relationship Id="rId5542" Type="http://schemas.openxmlformats.org/officeDocument/2006/relationships/hyperlink" Target="https://www.instagram.com/heeyatosagolrogey128/" TargetMode="External"/><Relationship Id="rId6873" Type="http://schemas.openxmlformats.org/officeDocument/2006/relationships/hyperlink" Target="https://www.instagram.com/kanoon.alaviyun" TargetMode="External"/><Relationship Id="rId592" Type="http://schemas.openxmlformats.org/officeDocument/2006/relationships/hyperlink" Target="https://eitaa.com/alatash_net" TargetMode="External"/><Relationship Id="rId4211" Type="http://schemas.openxmlformats.org/officeDocument/2006/relationships/hyperlink" Target="https://eitaa.com/gahvareh_info" TargetMode="External"/><Relationship Id="rId6870" Type="http://schemas.openxmlformats.org/officeDocument/2006/relationships/hyperlink" Target="https://www.instagram.com/alzoha313" TargetMode="External"/><Relationship Id="rId591" Type="http://schemas.openxmlformats.org/officeDocument/2006/relationships/hyperlink" Target="https://t.me/alatash_net" TargetMode="External"/><Relationship Id="rId4210" Type="http://schemas.openxmlformats.org/officeDocument/2006/relationships/hyperlink" Target="https://www.instagram.com/gahvareh_info/" TargetMode="External"/><Relationship Id="rId5540" Type="http://schemas.openxmlformats.org/officeDocument/2006/relationships/hyperlink" Target="https://www.instagram.com/levaozzeinab_alvand/" TargetMode="External"/><Relationship Id="rId6871" Type="http://schemas.openxmlformats.org/officeDocument/2006/relationships/hyperlink" Target="https://www.instagram.com/heyat_imam_sajad_qeshm" TargetMode="External"/><Relationship Id="rId598" Type="http://schemas.openxmlformats.org/officeDocument/2006/relationships/hyperlink" Target="https://www.instagram.com/azzahraasharif1" TargetMode="External"/><Relationship Id="rId4213" Type="http://schemas.openxmlformats.org/officeDocument/2006/relationships/hyperlink" Target="https://eitaa.com/dokhtaran_bik" TargetMode="External"/><Relationship Id="rId5545" Type="http://schemas.openxmlformats.org/officeDocument/2006/relationships/hyperlink" Target="https://t.me/heyaat_Modafeane_Haram" TargetMode="External"/><Relationship Id="rId6876" Type="http://schemas.openxmlformats.org/officeDocument/2006/relationships/hyperlink" Target="https://www.instagram.com/heyat_samenalhojaj" TargetMode="External"/><Relationship Id="rId597" Type="http://schemas.openxmlformats.org/officeDocument/2006/relationships/hyperlink" Target="https://eitaa.com/ashuraeian_ir" TargetMode="External"/><Relationship Id="rId4212" Type="http://schemas.openxmlformats.org/officeDocument/2006/relationships/hyperlink" Target="https://www.instagram.com/ghasem_ebnelhassan/" TargetMode="External"/><Relationship Id="rId5546" Type="http://schemas.openxmlformats.org/officeDocument/2006/relationships/hyperlink" Target="https://eitaa.com/heyaat_modafeane_haram" TargetMode="External"/><Relationship Id="rId6877" Type="http://schemas.openxmlformats.org/officeDocument/2006/relationships/hyperlink" Target="https://www.instagram.com/mohebaneahlebeyt.hajeabad" TargetMode="External"/><Relationship Id="rId596" Type="http://schemas.openxmlformats.org/officeDocument/2006/relationships/hyperlink" Target="https://t.me/ashuraeian_ir" TargetMode="External"/><Relationship Id="rId4215" Type="http://schemas.openxmlformats.org/officeDocument/2006/relationships/hyperlink" Target="https://www.instagram.com/moheban81beh" TargetMode="External"/><Relationship Id="rId5543" Type="http://schemas.openxmlformats.org/officeDocument/2006/relationships/hyperlink" Target="https://www.instagram.com/beytolhasan2/" TargetMode="External"/><Relationship Id="rId6874" Type="http://schemas.openxmlformats.org/officeDocument/2006/relationships/hyperlink" Target="https://www.instagram.com/heyat_seyed_al_shohada_" TargetMode="External"/><Relationship Id="rId595" Type="http://schemas.openxmlformats.org/officeDocument/2006/relationships/hyperlink" Target="https://www.instagram.com/ashuraeian_ir/" TargetMode="External"/><Relationship Id="rId4214" Type="http://schemas.openxmlformats.org/officeDocument/2006/relationships/hyperlink" Target="https://www.instagram.com/emamzadehheydar/" TargetMode="External"/><Relationship Id="rId5544" Type="http://schemas.openxmlformats.org/officeDocument/2006/relationships/hyperlink" Target="https://www.instagram.com/heyat_modafean_haram14/" TargetMode="External"/><Relationship Id="rId6875" Type="http://schemas.openxmlformats.org/officeDocument/2006/relationships/hyperlink" Target="https://eitaa.com/heyat_seyedoshohada_bnd1" TargetMode="External"/><Relationship Id="rId6825" Type="http://schemas.openxmlformats.org/officeDocument/2006/relationships/hyperlink" Target="https://www.instagram.com/kazemioun7" TargetMode="External"/><Relationship Id="rId6826" Type="http://schemas.openxmlformats.org/officeDocument/2006/relationships/hyperlink" Target="https://www.instagram.com/heyat.ansaralhosien" TargetMode="External"/><Relationship Id="rId6823" Type="http://schemas.openxmlformats.org/officeDocument/2006/relationships/hyperlink" Target="https://t.me/heyat_mohebnmahdi" TargetMode="External"/><Relationship Id="rId6824" Type="http://schemas.openxmlformats.org/officeDocument/2006/relationships/hyperlink" Target="https://www.instagram.com/baytonnoor" TargetMode="External"/><Relationship Id="rId6829" Type="http://schemas.openxmlformats.org/officeDocument/2006/relationships/hyperlink" Target="https://www.instagram.com/masjedenghelab400" TargetMode="External"/><Relationship Id="rId6827" Type="http://schemas.openxmlformats.org/officeDocument/2006/relationships/hyperlink" Target="https://eitaa.com/asghariyoon" TargetMode="External"/><Relationship Id="rId6828" Type="http://schemas.openxmlformats.org/officeDocument/2006/relationships/hyperlink" Target="https://www.instagram.com/irani699m" TargetMode="External"/><Relationship Id="rId547" Type="http://schemas.openxmlformats.org/officeDocument/2006/relationships/hyperlink" Target="https://www.instagram.com/qamar_media_ir/" TargetMode="External"/><Relationship Id="rId9098" Type="http://schemas.openxmlformats.org/officeDocument/2006/relationships/hyperlink" Target="https://eitaa.com/mahdavi_arfae" TargetMode="External"/><Relationship Id="rId546" Type="http://schemas.openxmlformats.org/officeDocument/2006/relationships/hyperlink" Target="https://www.instagram.com/mahuramedia/" TargetMode="External"/><Relationship Id="rId9097" Type="http://schemas.openxmlformats.org/officeDocument/2006/relationships/hyperlink" Target="https://eitaa.com/oshaghalhosein_313" TargetMode="External"/><Relationship Id="rId545" Type="http://schemas.openxmlformats.org/officeDocument/2006/relationships/hyperlink" Target="https://t.me/tabesh_telegram" TargetMode="External"/><Relationship Id="rId9096" Type="http://schemas.openxmlformats.org/officeDocument/2006/relationships/hyperlink" Target="https://eitaa.com/maddahionlin" TargetMode="External"/><Relationship Id="rId544" Type="http://schemas.openxmlformats.org/officeDocument/2006/relationships/hyperlink" Target="https://www.instagram.com/tabesh___group/" TargetMode="External"/><Relationship Id="rId9095" Type="http://schemas.openxmlformats.org/officeDocument/2006/relationships/hyperlink" Target="https://eitaa.com/msagheb_ir" TargetMode="External"/><Relationship Id="rId549" Type="http://schemas.openxmlformats.org/officeDocument/2006/relationships/hyperlink" Target="https://www.instagram.com/reyhan_artmedia/" TargetMode="External"/><Relationship Id="rId548" Type="http://schemas.openxmlformats.org/officeDocument/2006/relationships/hyperlink" Target="https://www.instagram.com/moshk_info/" TargetMode="External"/><Relationship Id="rId9099" Type="http://schemas.openxmlformats.org/officeDocument/2006/relationships/hyperlink" Target="https://eitaa.com/Heyatsarallah_qom" TargetMode="External"/><Relationship Id="rId543" Type="http://schemas.openxmlformats.org/officeDocument/2006/relationships/hyperlink" Target="https://www.instagram.com/booriya_graph/" TargetMode="External"/><Relationship Id="rId6821" Type="http://schemas.openxmlformats.org/officeDocument/2006/relationships/hyperlink" Target="https://eitaa.com/ya_saqqa" TargetMode="External"/><Relationship Id="rId542" Type="http://schemas.openxmlformats.org/officeDocument/2006/relationships/hyperlink" Target="https://www.instagram.com/shobeyr.media/" TargetMode="External"/><Relationship Id="rId6822" Type="http://schemas.openxmlformats.org/officeDocument/2006/relationships/hyperlink" Target="https://www.instagram.com/heyat_moheban.mahdi" TargetMode="External"/><Relationship Id="rId541" Type="http://schemas.openxmlformats.org/officeDocument/2006/relationships/hyperlink" Target="https://www.instagram.com/yumma_org/" TargetMode="External"/><Relationship Id="rId540" Type="http://schemas.openxmlformats.org/officeDocument/2006/relationships/hyperlink" Target="https://eitaa.com/khademmedia_ir" TargetMode="External"/><Relationship Id="rId6820" Type="http://schemas.openxmlformats.org/officeDocument/2006/relationships/hyperlink" Target="https://www.instagram.com/mohebban_alabbas_bnd" TargetMode="External"/><Relationship Id="rId6814" Type="http://schemas.openxmlformats.org/officeDocument/2006/relationships/hyperlink" Target="https://www.instagram.com/howzeh_bandrlengeh" TargetMode="External"/><Relationship Id="rId6815" Type="http://schemas.openxmlformats.org/officeDocument/2006/relationships/hyperlink" Target="https://eitaa.com/howzeh_bandrlengeh" TargetMode="External"/><Relationship Id="rId6812" Type="http://schemas.openxmlformats.org/officeDocument/2006/relationships/hyperlink" Target="https://www.instagram.com/chadorkhakibnd" TargetMode="External"/><Relationship Id="rId6813" Type="http://schemas.openxmlformats.org/officeDocument/2006/relationships/hyperlink" Target="https://t.me/chadorkhakibnd" TargetMode="External"/><Relationship Id="rId6818" Type="http://schemas.openxmlformats.org/officeDocument/2006/relationships/hyperlink" Target="https://www.instagram.com/mahdavion12" TargetMode="External"/><Relationship Id="rId6819" Type="http://schemas.openxmlformats.org/officeDocument/2006/relationships/hyperlink" Target="https://www.instagram.com/hoseinieh.sahebalzaman.zibashr" TargetMode="External"/><Relationship Id="rId6816" Type="http://schemas.openxmlformats.org/officeDocument/2006/relationships/hyperlink" Target="https://www.instagram.com/moheban_alhoseiin" TargetMode="External"/><Relationship Id="rId6817" Type="http://schemas.openxmlformats.org/officeDocument/2006/relationships/hyperlink" Target="https://www.instagram.com/masjed5886" TargetMode="External"/><Relationship Id="rId9090" Type="http://schemas.openxmlformats.org/officeDocument/2006/relationships/hyperlink" Target="http://havayenoo.ir" TargetMode="External"/><Relationship Id="rId9094" Type="http://schemas.openxmlformats.org/officeDocument/2006/relationships/hyperlink" Target="https://t.me/mohsentavakolian_channel" TargetMode="External"/><Relationship Id="rId9093" Type="http://schemas.openxmlformats.org/officeDocument/2006/relationships/hyperlink" Target="https://www.instagram.com/mohsen.tavakolyan/" TargetMode="External"/><Relationship Id="rId9092" Type="http://schemas.openxmlformats.org/officeDocument/2006/relationships/hyperlink" Target="https://eitaa.com/Meghdadmediaaf" TargetMode="External"/><Relationship Id="rId9091" Type="http://schemas.openxmlformats.org/officeDocument/2006/relationships/hyperlink" Target="https://www.instagram.com/meghdadmedia.af/" TargetMode="External"/><Relationship Id="rId536" Type="http://schemas.openxmlformats.org/officeDocument/2006/relationships/hyperlink" Target="https://www.instagram.com/beytolabas133/" TargetMode="External"/><Relationship Id="rId9087" Type="http://schemas.openxmlformats.org/officeDocument/2006/relationships/hyperlink" Target="https://eitaa.com/aliakbarhaeri_info" TargetMode="External"/><Relationship Id="rId535" Type="http://schemas.openxmlformats.org/officeDocument/2006/relationships/hyperlink" Target="https://t.me/mosleh118_info" TargetMode="External"/><Relationship Id="rId9086" Type="http://schemas.openxmlformats.org/officeDocument/2006/relationships/hyperlink" Target="https://t.me/ALIAKBARHAERI" TargetMode="External"/><Relationship Id="rId534" Type="http://schemas.openxmlformats.org/officeDocument/2006/relationships/hyperlink" Target="https://www.instagram.com/mosleh118_info/" TargetMode="External"/><Relationship Id="rId9085" Type="http://schemas.openxmlformats.org/officeDocument/2006/relationships/hyperlink" Target="https://www.instagram.com/aliakbarhaeri/" TargetMode="External"/><Relationship Id="rId533" Type="http://schemas.openxmlformats.org/officeDocument/2006/relationships/hyperlink" Target="https://t.me/shahzadealiakbar1349" TargetMode="External"/><Relationship Id="rId9084" Type="http://schemas.openxmlformats.org/officeDocument/2006/relationships/hyperlink" Target="http://aabes.ir" TargetMode="External"/><Relationship Id="rId539" Type="http://schemas.openxmlformats.org/officeDocument/2006/relationships/hyperlink" Target="https://t.me/khademmedia_ir" TargetMode="External"/><Relationship Id="rId538" Type="http://schemas.openxmlformats.org/officeDocument/2006/relationships/hyperlink" Target="https://www.instagram.com/khademmedia_ir/" TargetMode="External"/><Relationship Id="rId9089" Type="http://schemas.openxmlformats.org/officeDocument/2006/relationships/hyperlink" Target="https://t.me/ali_habibzadeh315" TargetMode="External"/><Relationship Id="rId537" Type="http://schemas.openxmlformats.org/officeDocument/2006/relationships/hyperlink" Target="https://www.instagram.com/nokaran135/" TargetMode="External"/><Relationship Id="rId9088" Type="http://schemas.openxmlformats.org/officeDocument/2006/relationships/hyperlink" Target="https://www.instagram.com/ali_habibzadeh315/" TargetMode="External"/><Relationship Id="rId532" Type="http://schemas.openxmlformats.org/officeDocument/2006/relationships/hyperlink" Target="https://www.instagram.com/shahzadealiakbar.ir/" TargetMode="External"/><Relationship Id="rId6810" Type="http://schemas.openxmlformats.org/officeDocument/2006/relationships/hyperlink" Target="https://www.instagram.com/heiat_ansar_mehdi" TargetMode="External"/><Relationship Id="rId531" Type="http://schemas.openxmlformats.org/officeDocument/2006/relationships/hyperlink" Target="https://www.instagram.com/heyat_jannesaran_nowshahr" TargetMode="External"/><Relationship Id="rId6811" Type="http://schemas.openxmlformats.org/officeDocument/2006/relationships/hyperlink" Target="https://www.instagram.com/heyat.beytalshohada" TargetMode="External"/><Relationship Id="rId530" Type="http://schemas.openxmlformats.org/officeDocument/2006/relationships/hyperlink" Target="https://www.instagram.com/moheban_abalfazl_nowshahr/" TargetMode="External"/><Relationship Id="rId5516" Type="http://schemas.openxmlformats.org/officeDocument/2006/relationships/hyperlink" Target="http://t.me/oshagh_abyek" TargetMode="External"/><Relationship Id="rId6847" Type="http://schemas.openxmlformats.org/officeDocument/2006/relationships/hyperlink" Target="https://eitaa.com/noorolhoda_bandr" TargetMode="External"/><Relationship Id="rId5517" Type="http://schemas.openxmlformats.org/officeDocument/2006/relationships/hyperlink" Target="https://t.me/masjedvaliasrabyek97" TargetMode="External"/><Relationship Id="rId6848" Type="http://schemas.openxmlformats.org/officeDocument/2006/relationships/hyperlink" Target="https://www.instagram.com/masjedaboalfazl" TargetMode="External"/><Relationship Id="rId5514" Type="http://schemas.openxmlformats.org/officeDocument/2006/relationships/hyperlink" Target="https://eitaa.com/oshagholhossein1376" TargetMode="External"/><Relationship Id="rId6845" Type="http://schemas.openxmlformats.org/officeDocument/2006/relationships/hyperlink" Target="https://www.instagram.com/kazemioun7" TargetMode="External"/><Relationship Id="rId5515" Type="http://schemas.openxmlformats.org/officeDocument/2006/relationships/hyperlink" Target="https://www.instagram.com/oshagh__abyek/" TargetMode="External"/><Relationship Id="rId6846" Type="http://schemas.openxmlformats.org/officeDocument/2006/relationships/hyperlink" Target="https://www.instagram.com/nabiakram2" TargetMode="External"/><Relationship Id="rId5518" Type="http://schemas.openxmlformats.org/officeDocument/2006/relationships/hyperlink" Target="https://www.instagram.com/hose_ynie_varzeshkaran" TargetMode="External"/><Relationship Id="rId6849" Type="http://schemas.openxmlformats.org/officeDocument/2006/relationships/hyperlink" Target="https://www.instagram.com/heyathormozgan" TargetMode="External"/><Relationship Id="rId5519" Type="http://schemas.openxmlformats.org/officeDocument/2006/relationships/hyperlink" Target="https://www.instagram.com/heyat.shiftegan.emamhossein/" TargetMode="External"/><Relationship Id="rId569" Type="http://schemas.openxmlformats.org/officeDocument/2006/relationships/hyperlink" Target="https://www.instagram.com/mohebbanreza_ir/" TargetMode="External"/><Relationship Id="rId568" Type="http://schemas.openxmlformats.org/officeDocument/2006/relationships/hyperlink" Target="http://t.me/mokeb_alzahra" TargetMode="External"/><Relationship Id="rId567" Type="http://schemas.openxmlformats.org/officeDocument/2006/relationships/hyperlink" Target="https://www.instagram.com/mokeb_alzahra/" TargetMode="External"/><Relationship Id="rId566" Type="http://schemas.openxmlformats.org/officeDocument/2006/relationships/hyperlink" Target="https://www.instagram.com/sajjadiye_eslamshahr/" TargetMode="External"/><Relationship Id="rId561" Type="http://schemas.openxmlformats.org/officeDocument/2006/relationships/hyperlink" Target="https://eitaa.com/razmandegan_babol" TargetMode="External"/><Relationship Id="rId560" Type="http://schemas.openxmlformats.org/officeDocument/2006/relationships/hyperlink" Target="https://eitaa.com/hbnoor" TargetMode="External"/><Relationship Id="rId6840" Type="http://schemas.openxmlformats.org/officeDocument/2006/relationships/hyperlink" Target="https://t.me/hasaniyoon_bnd118" TargetMode="External"/><Relationship Id="rId565" Type="http://schemas.openxmlformats.org/officeDocument/2006/relationships/hyperlink" Target="https://www.instagram.com/javadolaemeh_ir/" TargetMode="External"/><Relationship Id="rId5512" Type="http://schemas.openxmlformats.org/officeDocument/2006/relationships/hyperlink" Target="https://www.instagram.com/ebnolkarim315/" TargetMode="External"/><Relationship Id="rId6843" Type="http://schemas.openxmlformats.org/officeDocument/2006/relationships/hyperlink" Target="https://eitaa.com/Razmandegan_Qeshm" TargetMode="External"/><Relationship Id="rId564" Type="http://schemas.openxmlformats.org/officeDocument/2006/relationships/hyperlink" Target="https://eitaa.com/raayatalmahdi" TargetMode="External"/><Relationship Id="rId5513" Type="http://schemas.openxmlformats.org/officeDocument/2006/relationships/hyperlink" Target="http://t.me/ebnolkarim315" TargetMode="External"/><Relationship Id="rId6844" Type="http://schemas.openxmlformats.org/officeDocument/2006/relationships/hyperlink" Target="https://www.instagram.com/minab.2020" TargetMode="External"/><Relationship Id="rId563" Type="http://schemas.openxmlformats.org/officeDocument/2006/relationships/hyperlink" Target="https://eitaa.com/heyatansarir" TargetMode="External"/><Relationship Id="rId5510" Type="http://schemas.openxmlformats.org/officeDocument/2006/relationships/hyperlink" Target="https://eitaa.com/mokebadarian" TargetMode="External"/><Relationship Id="rId6841" Type="http://schemas.openxmlformats.org/officeDocument/2006/relationships/hyperlink" Target="https://eitaa.com/hasaniyoon_bnd" TargetMode="External"/><Relationship Id="rId562" Type="http://schemas.openxmlformats.org/officeDocument/2006/relationships/hyperlink" Target="https://eitaa.com/heiat_beytolabbas" TargetMode="External"/><Relationship Id="rId5511" Type="http://schemas.openxmlformats.org/officeDocument/2006/relationships/hyperlink" Target="https://eitaa.com/hoseynieh_ilam" TargetMode="External"/><Relationship Id="rId6842" Type="http://schemas.openxmlformats.org/officeDocument/2006/relationships/hyperlink" Target="https://www.instagram.com/razmandegan_qeshm" TargetMode="External"/><Relationship Id="rId5505" Type="http://schemas.openxmlformats.org/officeDocument/2006/relationships/hyperlink" Target="https://eitaa.com/jahadekabiredehloran" TargetMode="External"/><Relationship Id="rId6836" Type="http://schemas.openxmlformats.org/officeDocument/2006/relationships/hyperlink" Target="https://eitaa.com/heyate_ghamarebanihashem" TargetMode="External"/><Relationship Id="rId5506" Type="http://schemas.openxmlformats.org/officeDocument/2006/relationships/hyperlink" Target="https://eitaa.com/Emamhasane_mojtaba" TargetMode="External"/><Relationship Id="rId6837" Type="http://schemas.openxmlformats.org/officeDocument/2006/relationships/hyperlink" Target="https://www.instagram.com/khademin_parsian" TargetMode="External"/><Relationship Id="rId5503" Type="http://schemas.openxmlformats.org/officeDocument/2006/relationships/hyperlink" Target="https://www.instagram.com/ansaralmahdi_dehloran/" TargetMode="External"/><Relationship Id="rId6834" Type="http://schemas.openxmlformats.org/officeDocument/2006/relationships/hyperlink" Target="https://t.me/heyat_mohebnmahdi" TargetMode="External"/><Relationship Id="rId5504" Type="http://schemas.openxmlformats.org/officeDocument/2006/relationships/hyperlink" Target="http://eitaa.com/ansaralmahdi_dehloran" TargetMode="External"/><Relationship Id="rId6835" Type="http://schemas.openxmlformats.org/officeDocument/2006/relationships/hyperlink" Target="https://www.instagram.com/minab_arbain" TargetMode="External"/><Relationship Id="rId5509" Type="http://schemas.openxmlformats.org/officeDocument/2006/relationships/hyperlink" Target="http://t.me/heyat_ali_akbar_uni_ilam" TargetMode="External"/><Relationship Id="rId5507" Type="http://schemas.openxmlformats.org/officeDocument/2006/relationships/hyperlink" Target="https://eitaa.com/abaabdellahabdanan" TargetMode="External"/><Relationship Id="rId6838" Type="http://schemas.openxmlformats.org/officeDocument/2006/relationships/hyperlink" Target="https://eitaa.com/Khademin_parsian" TargetMode="External"/><Relationship Id="rId5508" Type="http://schemas.openxmlformats.org/officeDocument/2006/relationships/hyperlink" Target="https://www.instagram.com/ilamuni_heyat/" TargetMode="External"/><Relationship Id="rId6839" Type="http://schemas.openxmlformats.org/officeDocument/2006/relationships/hyperlink" Target="https://www.instagram.com/hasaniyoon118_bnd_live" TargetMode="External"/><Relationship Id="rId558" Type="http://schemas.openxmlformats.org/officeDocument/2006/relationships/hyperlink" Target="https://eitaa.com/Behshahr_Arbaeen" TargetMode="External"/><Relationship Id="rId557" Type="http://schemas.openxmlformats.org/officeDocument/2006/relationships/hyperlink" Target="https://eitaa.com/rahianekarbala" TargetMode="External"/><Relationship Id="rId556" Type="http://schemas.openxmlformats.org/officeDocument/2006/relationships/hyperlink" Target="https://eitaa.com/moheban_ahlebeyt" TargetMode="External"/><Relationship Id="rId555" Type="http://schemas.openxmlformats.org/officeDocument/2006/relationships/hyperlink" Target="https://www.instagram.com/moheban_ahlebeyt" TargetMode="External"/><Relationship Id="rId559" Type="http://schemas.openxmlformats.org/officeDocument/2006/relationships/hyperlink" Target="https://eitaa.com/heyatalzahra_ir" TargetMode="External"/><Relationship Id="rId550" Type="http://schemas.openxmlformats.org/officeDocument/2006/relationships/hyperlink" Target="https://www.instagram.com/avaye_shieh/" TargetMode="External"/><Relationship Id="rId554" Type="http://schemas.openxmlformats.org/officeDocument/2006/relationships/hyperlink" Target="https://eitaa.com/mookeeb" TargetMode="External"/><Relationship Id="rId5501" Type="http://schemas.openxmlformats.org/officeDocument/2006/relationships/hyperlink" Target="https://www.instagram.com/asrehozur/" TargetMode="External"/><Relationship Id="rId6832" Type="http://schemas.openxmlformats.org/officeDocument/2006/relationships/hyperlink" Target="https://www.instagram.com/gomnam_tarin7899" TargetMode="External"/><Relationship Id="rId553" Type="http://schemas.openxmlformats.org/officeDocument/2006/relationships/hyperlink" Target="https://www.instagram.com/horr_media/" TargetMode="External"/><Relationship Id="rId5502" Type="http://schemas.openxmlformats.org/officeDocument/2006/relationships/hyperlink" Target="https://eitaa.com/jameatol_hosein" TargetMode="External"/><Relationship Id="rId6833" Type="http://schemas.openxmlformats.org/officeDocument/2006/relationships/hyperlink" Target="https://www.instagram.com/heyat_moheban.mahdi" TargetMode="External"/><Relationship Id="rId552" Type="http://schemas.openxmlformats.org/officeDocument/2006/relationships/hyperlink" Target="https://www.instagram.com/feraq.media/" TargetMode="External"/><Relationship Id="rId6830" Type="http://schemas.openxmlformats.org/officeDocument/2006/relationships/hyperlink" Target="https://www.instagram.com/heyat.almahdi" TargetMode="External"/><Relationship Id="rId551" Type="http://schemas.openxmlformats.org/officeDocument/2006/relationships/hyperlink" Target="https://www.instagram.com/moghim118/" TargetMode="External"/><Relationship Id="rId5500" Type="http://schemas.openxmlformats.org/officeDocument/2006/relationships/hyperlink" Target="https://eitaa.com/heyat_hazrat_aliakbar_ilamuni" TargetMode="External"/><Relationship Id="rId6831" Type="http://schemas.openxmlformats.org/officeDocument/2006/relationships/hyperlink" Target="https://eitaa.com/heyatalmahdiminab" TargetMode="External"/><Relationship Id="rId4280" Type="http://schemas.openxmlformats.org/officeDocument/2006/relationships/hyperlink" Target="https://www.instagram.com/mohebanvelaya/" TargetMode="External"/><Relationship Id="rId4282" Type="http://schemas.openxmlformats.org/officeDocument/2006/relationships/hyperlink" Target="https://www.instagram.com/maktab_al_hassan118/" TargetMode="External"/><Relationship Id="rId4281" Type="http://schemas.openxmlformats.org/officeDocument/2006/relationships/hyperlink" Target="https://eitaa.com/mohebanvelayat" TargetMode="External"/><Relationship Id="rId4284" Type="http://schemas.openxmlformats.org/officeDocument/2006/relationships/hyperlink" Target="https://t.me/heiat_montazeran313ir" TargetMode="External"/><Relationship Id="rId4283" Type="http://schemas.openxmlformats.org/officeDocument/2006/relationships/hyperlink" Target="https://www.instagram.com/heyat_montazeran.313/" TargetMode="External"/><Relationship Id="rId4286" Type="http://schemas.openxmlformats.org/officeDocument/2006/relationships/hyperlink" Target="https://www.instagram.com/heiatalreza_behbahan8" TargetMode="External"/><Relationship Id="rId4285" Type="http://schemas.openxmlformats.org/officeDocument/2006/relationships/hyperlink" Target="https://eitaa.com/razmandeganmahshahr" TargetMode="External"/><Relationship Id="rId4288" Type="http://schemas.openxmlformats.org/officeDocument/2006/relationships/hyperlink" Target="https://www.instagram.com/heyat_bkatu" TargetMode="External"/><Relationship Id="rId4287" Type="http://schemas.openxmlformats.org/officeDocument/2006/relationships/hyperlink" Target="https://www.youtube.com/@heiatalreza_behbahan8" TargetMode="External"/><Relationship Id="rId4289" Type="http://schemas.openxmlformats.org/officeDocument/2006/relationships/hyperlink" Target="https://www.instagram.com/heyat.jh" TargetMode="External"/><Relationship Id="rId4271" Type="http://schemas.openxmlformats.org/officeDocument/2006/relationships/hyperlink" Target="https://www.instagram.com/vajih128" TargetMode="External"/><Relationship Id="rId4270" Type="http://schemas.openxmlformats.org/officeDocument/2006/relationships/hyperlink" Target="https://www.instagram.com/nojavananashoorai" TargetMode="External"/><Relationship Id="rId4273" Type="http://schemas.openxmlformats.org/officeDocument/2006/relationships/hyperlink" Target="https://www.instagram.com/abaalfazlalabas133/" TargetMode="External"/><Relationship Id="rId4272" Type="http://schemas.openxmlformats.org/officeDocument/2006/relationships/hyperlink" Target="https://eitaa.com/vajih128" TargetMode="External"/><Relationship Id="rId4275" Type="http://schemas.openxmlformats.org/officeDocument/2006/relationships/hyperlink" Target="https://www.instagram.com/heyat_khoddam/" TargetMode="External"/><Relationship Id="rId4274" Type="http://schemas.openxmlformats.org/officeDocument/2006/relationships/hyperlink" Target="https://eitaa.com/abaalfazlalabas133" TargetMode="External"/><Relationship Id="rId4277" Type="http://schemas.openxmlformats.org/officeDocument/2006/relationships/hyperlink" Target="https://www.instagram.com/hoseinieh_alzainabieh/" TargetMode="External"/><Relationship Id="rId4276" Type="http://schemas.openxmlformats.org/officeDocument/2006/relationships/hyperlink" Target="https://eitaa.com/heyat_khoddam" TargetMode="External"/><Relationship Id="rId4279" Type="http://schemas.openxmlformats.org/officeDocument/2006/relationships/hyperlink" Target="https://www.instagram.com/damat_roghaye315" TargetMode="External"/><Relationship Id="rId4278" Type="http://schemas.openxmlformats.org/officeDocument/2006/relationships/hyperlink" Target="https://www.instagram.com/hoseinieh_alabbasieh/" TargetMode="External"/><Relationship Id="rId4291" Type="http://schemas.openxmlformats.org/officeDocument/2006/relationships/hyperlink" Target="https://eitaa.com/alamdar_karbala_72" TargetMode="External"/><Relationship Id="rId4290" Type="http://schemas.openxmlformats.org/officeDocument/2006/relationships/hyperlink" Target="https://www.instagram.com/alamdar_karbala_96/" TargetMode="External"/><Relationship Id="rId4293" Type="http://schemas.openxmlformats.org/officeDocument/2006/relationships/hyperlink" Target="https://www.instagram.com/mahale_karsara" TargetMode="External"/><Relationship Id="rId4292" Type="http://schemas.openxmlformats.org/officeDocument/2006/relationships/hyperlink" Target="https://eitaa.com/ghasemiyon" TargetMode="External"/><Relationship Id="rId4295" Type="http://schemas.openxmlformats.org/officeDocument/2006/relationships/hyperlink" Target="https://t.me/zeynabiyon_ab" TargetMode="External"/><Relationship Id="rId4294" Type="http://schemas.openxmlformats.org/officeDocument/2006/relationships/hyperlink" Target="https://www.instagram.com/zeynabiyon_ab" TargetMode="External"/><Relationship Id="rId4297" Type="http://schemas.openxmlformats.org/officeDocument/2006/relationships/hyperlink" Target="https://www.instagram.com/babalhavaej1384/" TargetMode="External"/><Relationship Id="rId4296" Type="http://schemas.openxmlformats.org/officeDocument/2006/relationships/hyperlink" Target="https://eitaa.com/s/zeynabiyon_ab" TargetMode="External"/><Relationship Id="rId4299" Type="http://schemas.openxmlformats.org/officeDocument/2006/relationships/hyperlink" Target="https://www.instagram.com/heat.ansar/" TargetMode="External"/><Relationship Id="rId4298" Type="http://schemas.openxmlformats.org/officeDocument/2006/relationships/hyperlink" Target="https://t.me/babalhavaejj1384" TargetMode="External"/><Relationship Id="rId4249" Type="http://schemas.openxmlformats.org/officeDocument/2006/relationships/hyperlink" Target="https://www.instagram.com/hoseiniy_hosen_ebnali_abadan/" TargetMode="External"/><Relationship Id="rId5570" Type="http://schemas.openxmlformats.org/officeDocument/2006/relationships/hyperlink" Target="https://eitaa.com/h_ansaralmahdi" TargetMode="External"/><Relationship Id="rId5571" Type="http://schemas.openxmlformats.org/officeDocument/2006/relationships/hyperlink" Target="https://www.instagram.com/ansaralhosein_khoznin1/" TargetMode="External"/><Relationship Id="rId4240" Type="http://schemas.openxmlformats.org/officeDocument/2006/relationships/hyperlink" Target="https://www.instagram.com/heyatsahebzaman1355/" TargetMode="External"/><Relationship Id="rId4242" Type="http://schemas.openxmlformats.org/officeDocument/2006/relationships/hyperlink" Target="https://www.instagram.com/h_a_alhojah/" TargetMode="External"/><Relationship Id="rId5574" Type="http://schemas.openxmlformats.org/officeDocument/2006/relationships/hyperlink" Target="https://www.instagram.com/teflannemoslem/" TargetMode="External"/><Relationship Id="rId4241" Type="http://schemas.openxmlformats.org/officeDocument/2006/relationships/hyperlink" Target="https://www.instagram.com/fatemiyon_h/" TargetMode="External"/><Relationship Id="rId5575" Type="http://schemas.openxmlformats.org/officeDocument/2006/relationships/hyperlink" Target="https://t.me/teflanemoslam" TargetMode="External"/><Relationship Id="rId4244" Type="http://schemas.openxmlformats.org/officeDocument/2006/relationships/hyperlink" Target="https://www.youtube.com/@ansar.alhosainhovizeh" TargetMode="External"/><Relationship Id="rId5572" Type="http://schemas.openxmlformats.org/officeDocument/2006/relationships/hyperlink" Target="https://t.me/ansaralhosein_khoznin" TargetMode="External"/><Relationship Id="rId4243" Type="http://schemas.openxmlformats.org/officeDocument/2006/relationships/hyperlink" Target="https://www.instagram.com/ansar_al_hossein/" TargetMode="External"/><Relationship Id="rId5573" Type="http://schemas.openxmlformats.org/officeDocument/2006/relationships/hyperlink" Target="https://www.instagram.com/hoseynieh_aliasghar_buinzahra/" TargetMode="External"/><Relationship Id="rId4246" Type="http://schemas.openxmlformats.org/officeDocument/2006/relationships/hyperlink" Target="https://t.me/hsgfaomnvc213" TargetMode="External"/><Relationship Id="rId5578" Type="http://schemas.openxmlformats.org/officeDocument/2006/relationships/hyperlink" Target="https://www.instagram.com/ammaryaseresfarvarin/" TargetMode="External"/><Relationship Id="rId4245" Type="http://schemas.openxmlformats.org/officeDocument/2006/relationships/hyperlink" Target="https://www.instagram.com/rao___213/" TargetMode="External"/><Relationship Id="rId5579" Type="http://schemas.openxmlformats.org/officeDocument/2006/relationships/hyperlink" Target="https://eitaa.com/heyatoshohaada" TargetMode="External"/><Relationship Id="rId4248" Type="http://schemas.openxmlformats.org/officeDocument/2006/relationships/hyperlink" Target="https://www.youtube.com/@Beytolahzanabadan" TargetMode="External"/><Relationship Id="rId5576" Type="http://schemas.openxmlformats.org/officeDocument/2006/relationships/hyperlink" Target="https://eitaa.com/ammaryaseresfarvarin" TargetMode="External"/><Relationship Id="rId4247" Type="http://schemas.openxmlformats.org/officeDocument/2006/relationships/hyperlink" Target="https://www.instagram.com/beytolahzanabadan" TargetMode="External"/><Relationship Id="rId5577" Type="http://schemas.openxmlformats.org/officeDocument/2006/relationships/hyperlink" Target="https://www.instagram.com/mohebban.ahl.beyt/" TargetMode="External"/><Relationship Id="rId4239" Type="http://schemas.openxmlformats.org/officeDocument/2006/relationships/hyperlink" Target="https://www.instagram.com/khodam___alhossein/" TargetMode="External"/><Relationship Id="rId4238" Type="http://schemas.openxmlformats.org/officeDocument/2006/relationships/hyperlink" Target="https://ble.ir/beytolroghayeh3" TargetMode="External"/><Relationship Id="rId5569" Type="http://schemas.openxmlformats.org/officeDocument/2006/relationships/hyperlink" Target="https://www.instagram.com/ansarmahdi_galeganji/" TargetMode="External"/><Relationship Id="rId6890" Type="http://schemas.openxmlformats.org/officeDocument/2006/relationships/hyperlink" Target="https://www.instagram.com/kanonfarhangi_aletaha" TargetMode="External"/><Relationship Id="rId5560" Type="http://schemas.openxmlformats.org/officeDocument/2006/relationships/hyperlink" Target="https://t.me/yazahra_mehregan" TargetMode="External"/><Relationship Id="rId6891" Type="http://schemas.openxmlformats.org/officeDocument/2006/relationships/hyperlink" Target="https://t.me/Aletaha" TargetMode="External"/><Relationship Id="rId495" Type="http://schemas.openxmlformats.org/officeDocument/2006/relationships/hyperlink" Target="https://eitaa.com/fatemiyehneka" TargetMode="External"/><Relationship Id="rId4231" Type="http://schemas.openxmlformats.org/officeDocument/2006/relationships/hyperlink" Target="https://www.instagram.com/shushtarkhademalreza/" TargetMode="External"/><Relationship Id="rId5563" Type="http://schemas.openxmlformats.org/officeDocument/2006/relationships/hyperlink" Target="https://www.instagram.com/heyat_moheban_ahlebeit/" TargetMode="External"/><Relationship Id="rId6894" Type="http://schemas.openxmlformats.org/officeDocument/2006/relationships/hyperlink" Target="https://www.instagram.com/montazeranzohoorbnd/" TargetMode="External"/><Relationship Id="rId494" Type="http://schemas.openxmlformats.org/officeDocument/2006/relationships/hyperlink" Target="https://t.me/fatemiyehneka" TargetMode="External"/><Relationship Id="rId4230" Type="http://schemas.openxmlformats.org/officeDocument/2006/relationships/hyperlink" Target="https://www.instagram.com/masjed.sheykh.jafar" TargetMode="External"/><Relationship Id="rId5564" Type="http://schemas.openxmlformats.org/officeDocument/2006/relationships/hyperlink" Target="https://www.instagram.com/heyat_saralah_shall/" TargetMode="External"/><Relationship Id="rId6895" Type="http://schemas.openxmlformats.org/officeDocument/2006/relationships/hyperlink" Target="https://eitaa.com/montazeranzohoorbnd" TargetMode="External"/><Relationship Id="rId493" Type="http://schemas.openxmlformats.org/officeDocument/2006/relationships/hyperlink" Target="https://www.instagram.com/fatemiyeh_neka" TargetMode="External"/><Relationship Id="rId4233" Type="http://schemas.openxmlformats.org/officeDocument/2006/relationships/hyperlink" Target="https://www.instagram.com/boleyti.heiat/" TargetMode="External"/><Relationship Id="rId5561" Type="http://schemas.openxmlformats.org/officeDocument/2006/relationships/hyperlink" Target="https://www.instagram.com/danesfahanheiat/" TargetMode="External"/><Relationship Id="rId6892" Type="http://schemas.openxmlformats.org/officeDocument/2006/relationships/hyperlink" Target="https://eitaa.com/hormozgan_razavi" TargetMode="External"/><Relationship Id="rId492" Type="http://schemas.openxmlformats.org/officeDocument/2006/relationships/hyperlink" Target="https://www.instagram.com/heyat_hoseynia_sourak/" TargetMode="External"/><Relationship Id="rId4232" Type="http://schemas.openxmlformats.org/officeDocument/2006/relationships/hyperlink" Target="https://www.instagram.com/rayatalabbas_shoushtar/" TargetMode="External"/><Relationship Id="rId5562" Type="http://schemas.openxmlformats.org/officeDocument/2006/relationships/hyperlink" Target="http://t.me/danesfahanheiat" TargetMode="External"/><Relationship Id="rId6893" Type="http://schemas.openxmlformats.org/officeDocument/2006/relationships/hyperlink" Target="https://www.instagram.com/kanoonomrani_minab" TargetMode="External"/><Relationship Id="rId499" Type="http://schemas.openxmlformats.org/officeDocument/2006/relationships/hyperlink" Target="https://eitaa.com/heyatrazmandeganneka" TargetMode="External"/><Relationship Id="rId4235" Type="http://schemas.openxmlformats.org/officeDocument/2006/relationships/hyperlink" Target="https://www.instagram.com/moheban.aleyasin.str" TargetMode="External"/><Relationship Id="rId5567" Type="http://schemas.openxmlformats.org/officeDocument/2006/relationships/hyperlink" Target="https://www.instagram.com/hrbshall/" TargetMode="External"/><Relationship Id="rId6898" Type="http://schemas.openxmlformats.org/officeDocument/2006/relationships/hyperlink" Target="https://www.instagram.com/arthormozgan/" TargetMode="External"/><Relationship Id="rId498" Type="http://schemas.openxmlformats.org/officeDocument/2006/relationships/hyperlink" Target="https://www.instagram.com/heyat.razmandegan.neka/" TargetMode="External"/><Relationship Id="rId4234" Type="http://schemas.openxmlformats.org/officeDocument/2006/relationships/hyperlink" Target="https://www.instagram.com/hosseiniyeh_doldol.str/" TargetMode="External"/><Relationship Id="rId5568" Type="http://schemas.openxmlformats.org/officeDocument/2006/relationships/hyperlink" Target="https://www.instagram.com/heyate_emam_reza_shal/" TargetMode="External"/><Relationship Id="rId6899" Type="http://schemas.openxmlformats.org/officeDocument/2006/relationships/hyperlink" Target="https://www.instagram.com/gharargah.azadshahr/" TargetMode="External"/><Relationship Id="rId497" Type="http://schemas.openxmlformats.org/officeDocument/2006/relationships/hyperlink" Target="https://t.me/aleyasin83" TargetMode="External"/><Relationship Id="rId4237" Type="http://schemas.openxmlformats.org/officeDocument/2006/relationships/hyperlink" Target="https://www.instagram.com/beytolroghayeh3" TargetMode="External"/><Relationship Id="rId5565" Type="http://schemas.openxmlformats.org/officeDocument/2006/relationships/hyperlink" Target="https://www.instagram.com/heyat_14masom_shal/" TargetMode="External"/><Relationship Id="rId6896" Type="http://schemas.openxmlformats.org/officeDocument/2006/relationships/hyperlink" Target="https://www.instagram.com/maktab_al.shuhada/" TargetMode="External"/><Relationship Id="rId496" Type="http://schemas.openxmlformats.org/officeDocument/2006/relationships/hyperlink" Target="https://www.instagram.com/aleyasin_83" TargetMode="External"/><Relationship Id="rId4236" Type="http://schemas.openxmlformats.org/officeDocument/2006/relationships/hyperlink" Target="https://www.instagram.com/mahale_koore.str/" TargetMode="External"/><Relationship Id="rId5566" Type="http://schemas.openxmlformats.org/officeDocument/2006/relationships/hyperlink" Target="https://www.instagram.com/heyat_ashuraiyan_shall/" TargetMode="External"/><Relationship Id="rId6897" Type="http://schemas.openxmlformats.org/officeDocument/2006/relationships/hyperlink" Target="https://www.instagram.com/honarhaye_namayeshi_hormozgan" TargetMode="External"/><Relationship Id="rId4260" Type="http://schemas.openxmlformats.org/officeDocument/2006/relationships/hyperlink" Target="https://eitaa.com/Heyaat_beynol_harameyn_omd" TargetMode="External"/><Relationship Id="rId5592" Type="http://schemas.openxmlformats.org/officeDocument/2006/relationships/hyperlink" Target="https://www.instagram.com/fatemiyoun_tak/" TargetMode="External"/><Relationship Id="rId5593" Type="http://schemas.openxmlformats.org/officeDocument/2006/relationships/hyperlink" Target="https://www.instagram.com/bh_takestan/" TargetMode="External"/><Relationship Id="rId4262" Type="http://schemas.openxmlformats.org/officeDocument/2006/relationships/hyperlink" Target="https://www.instagram.com/dar_almohsen158/" TargetMode="External"/><Relationship Id="rId5590" Type="http://schemas.openxmlformats.org/officeDocument/2006/relationships/hyperlink" Target="http://t.me/maktabalabbas133" TargetMode="External"/><Relationship Id="rId4261" Type="http://schemas.openxmlformats.org/officeDocument/2006/relationships/hyperlink" Target="https://eitaa.com/motevaselin_ir" TargetMode="External"/><Relationship Id="rId5591" Type="http://schemas.openxmlformats.org/officeDocument/2006/relationships/hyperlink" Target="https://www.instagram.com/fadayanehosien" TargetMode="External"/><Relationship Id="rId4264" Type="http://schemas.openxmlformats.org/officeDocument/2006/relationships/hyperlink" Target="https://www.instagram.com/heiat_alamdar_hosein" TargetMode="External"/><Relationship Id="rId5596" Type="http://schemas.openxmlformats.org/officeDocument/2006/relationships/hyperlink" Target="https://telegram.me/Tarigh_aljane" TargetMode="External"/><Relationship Id="rId4263" Type="http://schemas.openxmlformats.org/officeDocument/2006/relationships/hyperlink" Target="https://t.me/daralmohsn" TargetMode="External"/><Relationship Id="rId5597" Type="http://schemas.openxmlformats.org/officeDocument/2006/relationships/hyperlink" Target="https://www.instagram.com/heyat_bageyatallah/" TargetMode="External"/><Relationship Id="rId4266" Type="http://schemas.openxmlformats.org/officeDocument/2006/relationships/hyperlink" Target="https://www.instagram.com/heyat_aliasghar_aliakbar/" TargetMode="External"/><Relationship Id="rId5594" Type="http://schemas.openxmlformats.org/officeDocument/2006/relationships/hyperlink" Target="https://www.instagram.com/heyat_misagh_ba_shohada/" TargetMode="External"/><Relationship Id="rId4265" Type="http://schemas.openxmlformats.org/officeDocument/2006/relationships/hyperlink" Target="https://eitaa.com/Heiat_Alamdar_Hosein" TargetMode="External"/><Relationship Id="rId5595" Type="http://schemas.openxmlformats.org/officeDocument/2006/relationships/hyperlink" Target="https://www.instagram.com/tarigh.aljane/" TargetMode="External"/><Relationship Id="rId4268" Type="http://schemas.openxmlformats.org/officeDocument/2006/relationships/hyperlink" Target="https://t.me/marasemeeshgh_ahwaz" TargetMode="External"/><Relationship Id="rId4267" Type="http://schemas.openxmlformats.org/officeDocument/2006/relationships/hyperlink" Target="https://www.instagram.com/maraseme.eshgh" TargetMode="External"/><Relationship Id="rId5598" Type="http://schemas.openxmlformats.org/officeDocument/2006/relationships/hyperlink" Target="https://eitaa.com/MasjedjameEmamHasanAskary" TargetMode="External"/><Relationship Id="rId4269" Type="http://schemas.openxmlformats.org/officeDocument/2006/relationships/hyperlink" Target="https://www.instagram.com/mokebkarbala" TargetMode="External"/><Relationship Id="rId5599" Type="http://schemas.openxmlformats.org/officeDocument/2006/relationships/hyperlink" Target="https://www.instagram.com/oshaqh_almahdi/" TargetMode="External"/><Relationship Id="rId5581" Type="http://schemas.openxmlformats.org/officeDocument/2006/relationships/hyperlink" Target="https://www.instagram.com/zeinabei2/" TargetMode="External"/><Relationship Id="rId5582" Type="http://schemas.openxmlformats.org/officeDocument/2006/relationships/hyperlink" Target="https://t.me/Zeinabei1" TargetMode="External"/><Relationship Id="rId4251" Type="http://schemas.openxmlformats.org/officeDocument/2006/relationships/hyperlink" Target="https://t.me/ya_khatam_abadan" TargetMode="External"/><Relationship Id="rId4250" Type="http://schemas.openxmlformats.org/officeDocument/2006/relationships/hyperlink" Target="https://www.instagram.com/khatam_media" TargetMode="External"/><Relationship Id="rId5580" Type="http://schemas.openxmlformats.org/officeDocument/2006/relationships/hyperlink" Target="https://eitaa.com/heyatoshohaada" TargetMode="External"/><Relationship Id="rId4253" Type="http://schemas.openxmlformats.org/officeDocument/2006/relationships/hyperlink" Target="https://t.me/safir_alhosein_abadan" TargetMode="External"/><Relationship Id="rId5585" Type="http://schemas.openxmlformats.org/officeDocument/2006/relationships/hyperlink" Target="https://eitaa.com/mahdialmohamad" TargetMode="External"/><Relationship Id="rId4252" Type="http://schemas.openxmlformats.org/officeDocument/2006/relationships/hyperlink" Target="https://www.instagram.com/safiralhosein_abadan/" TargetMode="External"/><Relationship Id="rId5586" Type="http://schemas.openxmlformats.org/officeDocument/2006/relationships/hyperlink" Target="https://t.me/mahfel_maktab_zahra" TargetMode="External"/><Relationship Id="rId4255" Type="http://schemas.openxmlformats.org/officeDocument/2006/relationships/hyperlink" Target="https://www.instagram.com/hoseiniye_shohadaye_abadan" TargetMode="External"/><Relationship Id="rId5583" Type="http://schemas.openxmlformats.org/officeDocument/2006/relationships/hyperlink" Target="https://www.instagram.com/heiat_fateme_zahra_narjeh/" TargetMode="External"/><Relationship Id="rId4254" Type="http://schemas.openxmlformats.org/officeDocument/2006/relationships/hyperlink" Target="https://eitaa.com/safir_alhosein_abadan" TargetMode="External"/><Relationship Id="rId5584" Type="http://schemas.openxmlformats.org/officeDocument/2006/relationships/hyperlink" Target="https://www.instagram.com/mahdialmohamad_" TargetMode="External"/><Relationship Id="rId4257" Type="http://schemas.openxmlformats.org/officeDocument/2006/relationships/hyperlink" Target="https://www.instagram.com/mahda_abadan/" TargetMode="External"/><Relationship Id="rId5589" Type="http://schemas.openxmlformats.org/officeDocument/2006/relationships/hyperlink" Target="https://www.instagram.com/maktabalabbas133/channel/" TargetMode="External"/><Relationship Id="rId4256" Type="http://schemas.openxmlformats.org/officeDocument/2006/relationships/hyperlink" Target="https://www.instagram.com/maktabosadegh128/" TargetMode="External"/><Relationship Id="rId4259" Type="http://schemas.openxmlformats.org/officeDocument/2006/relationships/hyperlink" Target="https://www.instagram.com/heyaat.beynol.harameyn.omd/" TargetMode="External"/><Relationship Id="rId5587" Type="http://schemas.openxmlformats.org/officeDocument/2006/relationships/hyperlink" Target="https://www.instagram.com/mahfel_maktab_zahra/" TargetMode="External"/><Relationship Id="rId4258" Type="http://schemas.openxmlformats.org/officeDocument/2006/relationships/hyperlink" Target="https://eitaa.com/mahda_abadan" TargetMode="External"/><Relationship Id="rId5588" Type="http://schemas.openxmlformats.org/officeDocument/2006/relationships/hyperlink" Target="http://t.me/mahfel_maktab_zahra" TargetMode="External"/><Relationship Id="rId9113" Type="http://schemas.openxmlformats.org/officeDocument/2006/relationships/hyperlink" Target="https://eitaa.com/heyatashoraqom" TargetMode="External"/><Relationship Id="rId9112" Type="http://schemas.openxmlformats.org/officeDocument/2006/relationships/hyperlink" Target="https://eitaa.com/khoneh_madari" TargetMode="External"/><Relationship Id="rId9111" Type="http://schemas.openxmlformats.org/officeDocument/2006/relationships/hyperlink" Target="https://eitaa.com/alamdar_qom79" TargetMode="External"/><Relationship Id="rId9110" Type="http://schemas.openxmlformats.org/officeDocument/2006/relationships/hyperlink" Target="https://eitaa.com/Fatemiyonkhaharan" TargetMode="External"/><Relationship Id="rId9117" Type="http://schemas.openxmlformats.org/officeDocument/2006/relationships/hyperlink" Target="https://eitaa.com/mokebe_ansarolmahdi" TargetMode="External"/><Relationship Id="rId9116" Type="http://schemas.openxmlformats.org/officeDocument/2006/relationships/hyperlink" Target="https://eitaa.com/heyatyazahra_ir" TargetMode="External"/><Relationship Id="rId9115" Type="http://schemas.openxmlformats.org/officeDocument/2006/relationships/hyperlink" Target="https://www.instagram.com/heyatyazahra.ir" TargetMode="External"/><Relationship Id="rId9114" Type="http://schemas.openxmlformats.org/officeDocument/2006/relationships/hyperlink" Target="https://eitaa.com/HossiniehAndisheh" TargetMode="External"/><Relationship Id="rId9119" Type="http://schemas.openxmlformats.org/officeDocument/2006/relationships/hyperlink" Target="https://eitaa.com/kh_alshohada" TargetMode="External"/><Relationship Id="rId9118" Type="http://schemas.openxmlformats.org/officeDocument/2006/relationships/hyperlink" Target="https://eitaa.com/QatilAlabarat" TargetMode="External"/><Relationship Id="rId9102" Type="http://schemas.openxmlformats.org/officeDocument/2006/relationships/hyperlink" Target="https://eitaa.com/abasiyesahebalzaman" TargetMode="External"/><Relationship Id="rId9101" Type="http://schemas.openxmlformats.org/officeDocument/2006/relationships/hyperlink" Target="https://eitaa.com/m_ghanbarian" TargetMode="External"/><Relationship Id="rId9100" Type="http://schemas.openxmlformats.org/officeDocument/2006/relationships/hyperlink" Target="https://www.instagram.com/ghanbarian.ir/" TargetMode="External"/><Relationship Id="rId9106" Type="http://schemas.openxmlformats.org/officeDocument/2006/relationships/hyperlink" Target="https://www.instagram.com/heyatalreza_ir" TargetMode="External"/><Relationship Id="rId9105" Type="http://schemas.openxmlformats.org/officeDocument/2006/relationships/hyperlink" Target="https://eitaa.com/aleyasinqom" TargetMode="External"/><Relationship Id="rId9104" Type="http://schemas.openxmlformats.org/officeDocument/2006/relationships/hyperlink" Target="https://eitaa.com/hazratkhadijajamkaran" TargetMode="External"/><Relationship Id="rId9103" Type="http://schemas.openxmlformats.org/officeDocument/2006/relationships/hyperlink" Target="https://eitaa.com/MokebAhaliQom" TargetMode="External"/><Relationship Id="rId9109" Type="http://schemas.openxmlformats.org/officeDocument/2006/relationships/hyperlink" Target="https://eitaa.com/ansarolmahdi_aj" TargetMode="External"/><Relationship Id="rId9108" Type="http://schemas.openxmlformats.org/officeDocument/2006/relationships/hyperlink" Target="https://eitaa.com/heyatalreza_ir" TargetMode="External"/><Relationship Id="rId9107" Type="http://schemas.openxmlformats.org/officeDocument/2006/relationships/hyperlink" Target="https://t.me/heyatalreza_ir" TargetMode="External"/><Relationship Id="rId6902" Type="http://schemas.openxmlformats.org/officeDocument/2006/relationships/hyperlink" Target="https://www.instagram.com/rovtan.sirik" TargetMode="External"/><Relationship Id="rId6903" Type="http://schemas.openxmlformats.org/officeDocument/2006/relationships/hyperlink" Target="https://www.instagram.com/shohadaye_shalamche/" TargetMode="External"/><Relationship Id="rId6900" Type="http://schemas.openxmlformats.org/officeDocument/2006/relationships/hyperlink" Target="https://www.instagram.com/maktabalbagher" TargetMode="External"/><Relationship Id="rId6901" Type="http://schemas.openxmlformats.org/officeDocument/2006/relationships/hyperlink" Target="https://www.instagram.com/hoseiniyeh_saheb_alzaman" TargetMode="External"/><Relationship Id="rId6906" Type="http://schemas.openxmlformats.org/officeDocument/2006/relationships/hyperlink" Target="https://eitaa.com/bagheriyun_heiat" TargetMode="External"/><Relationship Id="rId6907" Type="http://schemas.openxmlformats.org/officeDocument/2006/relationships/hyperlink" Target="https://www.instagram.com/masjed14maesom_roudan" TargetMode="External"/><Relationship Id="rId6904" Type="http://schemas.openxmlformats.org/officeDocument/2006/relationships/hyperlink" Target="https://www.instagram.com/bagheriyun_heiat" TargetMode="External"/><Relationship Id="rId6905" Type="http://schemas.openxmlformats.org/officeDocument/2006/relationships/hyperlink" Target="https://t.me/bagheriyunheiat" TargetMode="External"/><Relationship Id="rId6908" Type="http://schemas.openxmlformats.org/officeDocument/2006/relationships/hyperlink" Target="https://www.instagram.com/masjed_sahebalzamann" TargetMode="External"/><Relationship Id="rId6909" Type="http://schemas.openxmlformats.org/officeDocument/2006/relationships/hyperlink" Target="https://www.instagram.com/masjed_jame_qeshm" TargetMode="External"/><Relationship Id="rId9182" Type="http://schemas.openxmlformats.org/officeDocument/2006/relationships/hyperlink" Target="https://www.instagram.com/hosseinieh_alibeyk" TargetMode="External"/><Relationship Id="rId9181" Type="http://schemas.openxmlformats.org/officeDocument/2006/relationships/hyperlink" Target="https://www.instagram.com/kheaymahgah_ghasamabnalhasan" TargetMode="External"/><Relationship Id="rId9180" Type="http://schemas.openxmlformats.org/officeDocument/2006/relationships/hyperlink" Target="https://eitaa.com/msq_abolfazl" TargetMode="External"/><Relationship Id="rId9175" Type="http://schemas.openxmlformats.org/officeDocument/2006/relationships/hyperlink" Target="https://eitaa.com/noorozahraardakan" TargetMode="External"/><Relationship Id="rId9174" Type="http://schemas.openxmlformats.org/officeDocument/2006/relationships/hyperlink" Target="https://t.me/noorozahraardakan" TargetMode="External"/><Relationship Id="rId9173" Type="http://schemas.openxmlformats.org/officeDocument/2006/relationships/hyperlink" Target="https://eitaa.com/heyatsarallah_ardakan" TargetMode="External"/><Relationship Id="rId9172" Type="http://schemas.openxmlformats.org/officeDocument/2006/relationships/hyperlink" Target="https://www.instagram.com/heyatsarallah_ardakan" TargetMode="External"/><Relationship Id="rId9179" Type="http://schemas.openxmlformats.org/officeDocument/2006/relationships/hyperlink" Target="https://www.instagram.com/iahosin2816" TargetMode="External"/><Relationship Id="rId9178" Type="http://schemas.openxmlformats.org/officeDocument/2006/relationships/hyperlink" Target="https://eitaa.com/khaimmegahArdakan" TargetMode="External"/><Relationship Id="rId9177" Type="http://schemas.openxmlformats.org/officeDocument/2006/relationships/hyperlink" Target="https://eitaa.com/khademin_shohada_Ardakan" TargetMode="External"/><Relationship Id="rId9176" Type="http://schemas.openxmlformats.org/officeDocument/2006/relationships/hyperlink" Target="https://www.instagram.com/khadem_alshohada_ardakan" TargetMode="External"/><Relationship Id="rId9171" Type="http://schemas.openxmlformats.org/officeDocument/2006/relationships/hyperlink" Target="https://www.instagram.com/heyat_abbalfazl/" TargetMode="External"/><Relationship Id="rId9170" Type="http://schemas.openxmlformats.org/officeDocument/2006/relationships/hyperlink" Target="https://eitaa.com/hosseinie_ershad" TargetMode="External"/><Relationship Id="rId9164" Type="http://schemas.openxmlformats.org/officeDocument/2006/relationships/hyperlink" Target="https://eitaa.com/beitolhosseinshahidzaffak" TargetMode="External"/><Relationship Id="rId9163" Type="http://schemas.openxmlformats.org/officeDocument/2006/relationships/hyperlink" Target="https://eitaa.com/khimegah_bitozahra" TargetMode="External"/><Relationship Id="rId9162" Type="http://schemas.openxmlformats.org/officeDocument/2006/relationships/hyperlink" Target="https://eitaa.com/eamamhosein_ardakan" TargetMode="External"/><Relationship Id="rId9161" Type="http://schemas.openxmlformats.org/officeDocument/2006/relationships/hyperlink" Target="https://www.instagram.com/emamhosein_ardakan" TargetMode="External"/><Relationship Id="rId9168" Type="http://schemas.openxmlformats.org/officeDocument/2006/relationships/hyperlink" Target="https://eitaa.com/Hossineh_Hazrat_Abolfazl" TargetMode="External"/><Relationship Id="rId9167" Type="http://schemas.openxmlformats.org/officeDocument/2006/relationships/hyperlink" Target="https://eitaa.com/sarallahdeldadegan" TargetMode="External"/><Relationship Id="rId9166" Type="http://schemas.openxmlformats.org/officeDocument/2006/relationships/hyperlink" Target="https://eitaa.com/KanoonQuran" TargetMode="External"/><Relationship Id="rId9165" Type="http://schemas.openxmlformats.org/officeDocument/2006/relationships/hyperlink" Target="https://www.instagram.com/kaanoonquran" TargetMode="External"/><Relationship Id="rId9169" Type="http://schemas.openxmlformats.org/officeDocument/2006/relationships/hyperlink" Target="https://www.instagram.com/heyat_abolfazl_ardakan" TargetMode="External"/><Relationship Id="rId6924" Type="http://schemas.openxmlformats.org/officeDocument/2006/relationships/hyperlink" Target="https://www.instagram.com/heyatroghayeh.ir" TargetMode="External"/><Relationship Id="rId6925" Type="http://schemas.openxmlformats.org/officeDocument/2006/relationships/hyperlink" Target="https://www.instagram.com/maktabolhusein/" TargetMode="External"/><Relationship Id="rId6922" Type="http://schemas.openxmlformats.org/officeDocument/2006/relationships/hyperlink" Target="https://www.instagram.com/oshagh_abas/" TargetMode="External"/><Relationship Id="rId6923" Type="http://schemas.openxmlformats.org/officeDocument/2006/relationships/hyperlink" Target="https://t.me/uuuuoshaghabas" TargetMode="External"/><Relationship Id="rId6928" Type="http://schemas.openxmlformats.org/officeDocument/2006/relationships/hyperlink" Target="https://www.instagram.com/heyathorsaveh/" TargetMode="External"/><Relationship Id="rId6929" Type="http://schemas.openxmlformats.org/officeDocument/2006/relationships/hyperlink" Target="http://eitaa.com/heyathorsaveh" TargetMode="External"/><Relationship Id="rId6926" Type="http://schemas.openxmlformats.org/officeDocument/2006/relationships/hyperlink" Target="https://eitaa.com/heiatezahray" TargetMode="External"/><Relationship Id="rId6927" Type="http://schemas.openxmlformats.org/officeDocument/2006/relationships/hyperlink" Target="https://eitaa.com/shahde_shohod" TargetMode="External"/><Relationship Id="rId409" Type="http://schemas.openxmlformats.org/officeDocument/2006/relationships/hyperlink" Target="https://www.instagram.com/kheymegah_sari" TargetMode="External"/><Relationship Id="rId404" Type="http://schemas.openxmlformats.org/officeDocument/2006/relationships/hyperlink" Target="https://www.instagram.com/moheban_aliakbar_sari/" TargetMode="External"/><Relationship Id="rId9197" Type="http://schemas.openxmlformats.org/officeDocument/2006/relationships/hyperlink" Target="https://eitaa.com/koshkenow_yazd" TargetMode="External"/><Relationship Id="rId403" Type="http://schemas.openxmlformats.org/officeDocument/2006/relationships/hyperlink" Target="https://t.me/lvaozzahra" TargetMode="External"/><Relationship Id="rId9196" Type="http://schemas.openxmlformats.org/officeDocument/2006/relationships/hyperlink" Target="https://t.me/koshkenow_yazd" TargetMode="External"/><Relationship Id="rId402" Type="http://schemas.openxmlformats.org/officeDocument/2006/relationships/hyperlink" Target="https://www.instagram.com/levaozzahra/" TargetMode="External"/><Relationship Id="rId9195" Type="http://schemas.openxmlformats.org/officeDocument/2006/relationships/hyperlink" Target="https://www.instagram.com/koshkenow_yazd" TargetMode="External"/><Relationship Id="rId401" Type="http://schemas.openxmlformats.org/officeDocument/2006/relationships/hyperlink" Target="https://t.me/maktabolreza_sari" TargetMode="External"/><Relationship Id="rId9194" Type="http://schemas.openxmlformats.org/officeDocument/2006/relationships/hyperlink" Target="https://eitaa.com/bso_ardakan" TargetMode="External"/><Relationship Id="rId408" Type="http://schemas.openxmlformats.org/officeDocument/2006/relationships/hyperlink" Target="https://www.instagram.com/heyat_karbala_sari/" TargetMode="External"/><Relationship Id="rId407" Type="http://schemas.openxmlformats.org/officeDocument/2006/relationships/hyperlink" Target="https://www.instagram.com/heiat.mazums/" TargetMode="External"/><Relationship Id="rId406" Type="http://schemas.openxmlformats.org/officeDocument/2006/relationships/hyperlink" Target="https://eitaa.com/aliakbar_sari" TargetMode="External"/><Relationship Id="rId9199" Type="http://schemas.openxmlformats.org/officeDocument/2006/relationships/hyperlink" Target="https://www.instagram.com/heyatfatematazzahra/" TargetMode="External"/><Relationship Id="rId405" Type="http://schemas.openxmlformats.org/officeDocument/2006/relationships/hyperlink" Target="https://t.me/mohebban_aliakbar_sari" TargetMode="External"/><Relationship Id="rId9198" Type="http://schemas.openxmlformats.org/officeDocument/2006/relationships/hyperlink" Target="https://eitaa.com/KanoonQuran" TargetMode="External"/><Relationship Id="rId400" Type="http://schemas.openxmlformats.org/officeDocument/2006/relationships/hyperlink" Target="https://www.instagram.com/maktabolreza.sari/" TargetMode="External"/><Relationship Id="rId6920" Type="http://schemas.openxmlformats.org/officeDocument/2006/relationships/hyperlink" Target="https://www.instagram.com/husseinieh_sadeghbik" TargetMode="External"/><Relationship Id="rId6921" Type="http://schemas.openxmlformats.org/officeDocument/2006/relationships/hyperlink" Target="https://www.instagram.com/heyat_hazrat_zenab/" TargetMode="External"/><Relationship Id="rId6913" Type="http://schemas.openxmlformats.org/officeDocument/2006/relationships/hyperlink" Target="https://t.me/masjedneynava_ir" TargetMode="External"/><Relationship Id="rId6914" Type="http://schemas.openxmlformats.org/officeDocument/2006/relationships/hyperlink" Target="https://www.instagram.com/masjedabalfazl_bandarabbas" TargetMode="External"/><Relationship Id="rId6911" Type="http://schemas.openxmlformats.org/officeDocument/2006/relationships/hyperlink" Target="https://www.instagram.com/masjed_lmam_jafar_sadegh" TargetMode="External"/><Relationship Id="rId6912" Type="http://schemas.openxmlformats.org/officeDocument/2006/relationships/hyperlink" Target="https://www.instagram.com/masjedvaliasr_8bandi2/" TargetMode="External"/><Relationship Id="rId6917" Type="http://schemas.openxmlformats.org/officeDocument/2006/relationships/hyperlink" Target="https://eitaa.com/Board_ansaralmahdi" TargetMode="External"/><Relationship Id="rId6918" Type="http://schemas.openxmlformats.org/officeDocument/2006/relationships/hyperlink" Target="https://www.instagram.com/heyat.sarallah.ashtian/" TargetMode="External"/><Relationship Id="rId6915" Type="http://schemas.openxmlformats.org/officeDocument/2006/relationships/hyperlink" Target="https://www.instagram.com/masjedhajiabad" TargetMode="External"/><Relationship Id="rId6916" Type="http://schemas.openxmlformats.org/officeDocument/2006/relationships/hyperlink" Target="https://www.instagram.com/heyat_rostay_hajiabad" TargetMode="External"/><Relationship Id="rId6919" Type="http://schemas.openxmlformats.org/officeDocument/2006/relationships/hyperlink" Target="https://www.instagram.com/heyathasani.ir/" TargetMode="External"/><Relationship Id="rId9193" Type="http://schemas.openxmlformats.org/officeDocument/2006/relationships/hyperlink" Target="https://eitaa.com/noojavanhosini" TargetMode="External"/><Relationship Id="rId9192" Type="http://schemas.openxmlformats.org/officeDocument/2006/relationships/hyperlink" Target="https://eitaa.com/Sadeghieh_ardakan" TargetMode="External"/><Relationship Id="rId9191" Type="http://schemas.openxmlformats.org/officeDocument/2006/relationships/hyperlink" Target="https://www.instagram.com/sadeghieh_ardakan" TargetMode="External"/><Relationship Id="rId9190" Type="http://schemas.openxmlformats.org/officeDocument/2006/relationships/hyperlink" Target="https://eitaa.com/eamamhosein_ardakan" TargetMode="External"/><Relationship Id="rId9186" Type="http://schemas.openxmlformats.org/officeDocument/2006/relationships/hyperlink" Target="https://t.me/gharibmadinehemamhasanmojtaba" TargetMode="External"/><Relationship Id="rId9185" Type="http://schemas.openxmlformats.org/officeDocument/2006/relationships/hyperlink" Target="https://www.instagram.com/hosseiniyeh_teflan_moslem" TargetMode="External"/><Relationship Id="rId9184" Type="http://schemas.openxmlformats.org/officeDocument/2006/relationships/hyperlink" Target="https://www.instagram.com/hoseiniecharkhab" TargetMode="External"/><Relationship Id="rId9183" Type="http://schemas.openxmlformats.org/officeDocument/2006/relationships/hyperlink" Target="https://eitaa.com/hosseinieh_alibeyk" TargetMode="External"/><Relationship Id="rId9189" Type="http://schemas.openxmlformats.org/officeDocument/2006/relationships/hyperlink" Target="https://www.instagram.com/emamhosein_ardakan" TargetMode="External"/><Relationship Id="rId9188" Type="http://schemas.openxmlformats.org/officeDocument/2006/relationships/hyperlink" Target="https://t.me/sthshsh" TargetMode="External"/><Relationship Id="rId9187" Type="http://schemas.openxmlformats.org/officeDocument/2006/relationships/hyperlink" Target="https://www.instagram.com/hoseinieh.sh.sh" TargetMode="External"/><Relationship Id="rId6910" Type="http://schemas.openxmlformats.org/officeDocument/2006/relationships/hyperlink" Target="https://www.instagram.com/seyyedmozafar_qeshm" TargetMode="External"/><Relationship Id="rId9131" Type="http://schemas.openxmlformats.org/officeDocument/2006/relationships/hyperlink" Target="https://www.instagram.com/fatmeun_abarkoh" TargetMode="External"/><Relationship Id="rId9130" Type="http://schemas.openxmlformats.org/officeDocument/2006/relationships/hyperlink" Target="https://eitaa.com/nedayebehesht" TargetMode="External"/><Relationship Id="rId9135" Type="http://schemas.openxmlformats.org/officeDocument/2006/relationships/hyperlink" Target="https://www.instagram.com/ansar_almahdi_abarkooh" TargetMode="External"/><Relationship Id="rId9134" Type="http://schemas.openxmlformats.org/officeDocument/2006/relationships/hyperlink" Target="https://eitaa.com/maryamabadyazd" TargetMode="External"/><Relationship Id="rId9133" Type="http://schemas.openxmlformats.org/officeDocument/2006/relationships/hyperlink" Target="https://t.me/hayhatmennazellah" TargetMode="External"/><Relationship Id="rId9132" Type="http://schemas.openxmlformats.org/officeDocument/2006/relationships/hyperlink" Target="https://eitaa.com/fatmeun_abarkoh" TargetMode="External"/><Relationship Id="rId9139" Type="http://schemas.openxmlformats.org/officeDocument/2006/relationships/hyperlink" Target="https://www.instagram.com/heyat_razmandegan.abar" TargetMode="External"/><Relationship Id="rId9138" Type="http://schemas.openxmlformats.org/officeDocument/2006/relationships/hyperlink" Target="https://eitaa.com/heyatrazmandeganabar" TargetMode="External"/><Relationship Id="rId9137" Type="http://schemas.openxmlformats.org/officeDocument/2006/relationships/hyperlink" Target="https://eitaa.com/alamdaarehosein" TargetMode="External"/><Relationship Id="rId9136" Type="http://schemas.openxmlformats.org/officeDocument/2006/relationships/hyperlink" Target="https://eitaa.com/ansarolmahdiabarkooh" TargetMode="External"/><Relationship Id="rId9120" Type="http://schemas.openxmlformats.org/officeDocument/2006/relationships/hyperlink" Target="https://eitaa.com/heyat_omeabiha" TargetMode="External"/><Relationship Id="rId9124" Type="http://schemas.openxmlformats.org/officeDocument/2006/relationships/hyperlink" Target="https://eitaa.com/banatozzahra" TargetMode="External"/><Relationship Id="rId9123" Type="http://schemas.openxmlformats.org/officeDocument/2006/relationships/hyperlink" Target="https://eitaa.com/mohebin313_qom" TargetMode="External"/><Relationship Id="rId9122" Type="http://schemas.openxmlformats.org/officeDocument/2006/relationships/hyperlink" Target="https://eitaa.com/mahdiyehalanaghiha" TargetMode="External"/><Relationship Id="rId9121" Type="http://schemas.openxmlformats.org/officeDocument/2006/relationships/hyperlink" Target="https://eitaa.com/fatemiyeh_qom" TargetMode="External"/><Relationship Id="rId9128" Type="http://schemas.openxmlformats.org/officeDocument/2006/relationships/hyperlink" Target="https://eitaa.com/h_shohada_rahjerd" TargetMode="External"/><Relationship Id="rId9127" Type="http://schemas.openxmlformats.org/officeDocument/2006/relationships/hyperlink" Target="https://eitaa.com/kaffolabbas" TargetMode="External"/><Relationship Id="rId9126" Type="http://schemas.openxmlformats.org/officeDocument/2006/relationships/hyperlink" Target="https://eitaa.com/khadijeh622" TargetMode="External"/><Relationship Id="rId9125" Type="http://schemas.openxmlformats.org/officeDocument/2006/relationships/hyperlink" Target="https://eitaa.com/Zeinabiyye" TargetMode="External"/><Relationship Id="rId9129" Type="http://schemas.openxmlformats.org/officeDocument/2006/relationships/hyperlink" Target="https://eitaa.com/ali_asghar_abarkooh" TargetMode="External"/><Relationship Id="rId9160" Type="http://schemas.openxmlformats.org/officeDocument/2006/relationships/hyperlink" Target="https://eitaa.com/bazarnoardakan" TargetMode="External"/><Relationship Id="rId9153" Type="http://schemas.openxmlformats.org/officeDocument/2006/relationships/hyperlink" Target="https://eitaa.com/HOMEHOSINEBNALIARDAKAN" TargetMode="External"/><Relationship Id="rId9152" Type="http://schemas.openxmlformats.org/officeDocument/2006/relationships/hyperlink" Target="https://eitaa.com/Masjdsahibalzaman" TargetMode="External"/><Relationship Id="rId9151" Type="http://schemas.openxmlformats.org/officeDocument/2006/relationships/hyperlink" Target="https://eitaa.com/mahdie_ardakan" TargetMode="External"/><Relationship Id="rId9150" Type="http://schemas.openxmlformats.org/officeDocument/2006/relationships/hyperlink" Target="https://t.me/mahdie_ardakan" TargetMode="External"/><Relationship Id="rId9157" Type="http://schemas.openxmlformats.org/officeDocument/2006/relationships/hyperlink" Target="https://www.instagram.com/hoseinie_sarallah" TargetMode="External"/><Relationship Id="rId9156" Type="http://schemas.openxmlformats.org/officeDocument/2006/relationships/hyperlink" Target="https://www.instagram.com/abnaolhosseyn/" TargetMode="External"/><Relationship Id="rId9155" Type="http://schemas.openxmlformats.org/officeDocument/2006/relationships/hyperlink" Target="https://eitaa.com/peyrovan_etrat" TargetMode="External"/><Relationship Id="rId9154" Type="http://schemas.openxmlformats.org/officeDocument/2006/relationships/hyperlink" Target="https://eitaa.com/masjed110" TargetMode="External"/><Relationship Id="rId9159" Type="http://schemas.openxmlformats.org/officeDocument/2006/relationships/hyperlink" Target="https://www.instagram.com/bazarno.ardakan" TargetMode="External"/><Relationship Id="rId9158" Type="http://schemas.openxmlformats.org/officeDocument/2006/relationships/hyperlink" Target="https://eitaa.com/masjedkhatam25" TargetMode="External"/><Relationship Id="rId9142" Type="http://schemas.openxmlformats.org/officeDocument/2006/relationships/hyperlink" Target="https://www.instagram.com/h_o_golkaran" TargetMode="External"/><Relationship Id="rId9141" Type="http://schemas.openxmlformats.org/officeDocument/2006/relationships/hyperlink" Target="https://www.instagram.com/benttolhossein" TargetMode="External"/><Relationship Id="rId9140" Type="http://schemas.openxmlformats.org/officeDocument/2006/relationships/hyperlink" Target="https://eitaa.com/heyatrazmandeganabar" TargetMode="External"/><Relationship Id="rId9146" Type="http://schemas.openxmlformats.org/officeDocument/2006/relationships/hyperlink" Target="https://eitaa.com/rasa_ar" TargetMode="External"/><Relationship Id="rId9145" Type="http://schemas.openxmlformats.org/officeDocument/2006/relationships/hyperlink" Target="https://eitaa.com/hosseinie_ershad" TargetMode="External"/><Relationship Id="rId9144" Type="http://schemas.openxmlformats.org/officeDocument/2006/relationships/hyperlink" Target="https://eitaa.com/baradarebavafa" TargetMode="External"/><Relationship Id="rId9143" Type="http://schemas.openxmlformats.org/officeDocument/2006/relationships/hyperlink" Target="https://eitaa.com/yasegharibardakan" TargetMode="External"/><Relationship Id="rId9149" Type="http://schemas.openxmlformats.org/officeDocument/2006/relationships/hyperlink" Target="https://www.instagram.com/mahdie_ardakan/" TargetMode="External"/><Relationship Id="rId9148" Type="http://schemas.openxmlformats.org/officeDocument/2006/relationships/hyperlink" Target="https://eitaa.com/Baradarebavafa" TargetMode="External"/><Relationship Id="rId9147" Type="http://schemas.openxmlformats.org/officeDocument/2006/relationships/hyperlink" Target="https://eitaa.com/amvatardakan" TargetMode="External"/><Relationship Id="rId4327" Type="http://schemas.openxmlformats.org/officeDocument/2006/relationships/hyperlink" Target="https://www.instagram.com/heyat_alialkbar" TargetMode="External"/><Relationship Id="rId5659" Type="http://schemas.openxmlformats.org/officeDocument/2006/relationships/hyperlink" Target="https://www.instagram.com/i_esmaeil/" TargetMode="External"/><Relationship Id="rId4326" Type="http://schemas.openxmlformats.org/officeDocument/2006/relationships/hyperlink" Target="https://eitaa.com/masjed_sahebazaman_shahrknaft" TargetMode="External"/><Relationship Id="rId4329" Type="http://schemas.openxmlformats.org/officeDocument/2006/relationships/hyperlink" Target="https://www.instagram.com/mohebbin.ahlalbeyt" TargetMode="External"/><Relationship Id="rId5657" Type="http://schemas.openxmlformats.org/officeDocument/2006/relationships/hyperlink" Target="https://www.instagram.com/heiat_mohebanalzahra/" TargetMode="External"/><Relationship Id="rId6988" Type="http://schemas.openxmlformats.org/officeDocument/2006/relationships/hyperlink" Target="https://www.instagram.com/babalhavaej_arak/" TargetMode="External"/><Relationship Id="rId4328" Type="http://schemas.openxmlformats.org/officeDocument/2006/relationships/hyperlink" Target="https://www.instagram.com/heat_ali_alakbar/" TargetMode="External"/><Relationship Id="rId5658" Type="http://schemas.openxmlformats.org/officeDocument/2006/relationships/hyperlink" Target="http://t.me/heiat_mohebanalzahra" TargetMode="External"/><Relationship Id="rId6989" Type="http://schemas.openxmlformats.org/officeDocument/2006/relationships/hyperlink" Target="https://t.me/asheghanebabalhavaejarak" TargetMode="External"/><Relationship Id="rId469" Type="http://schemas.openxmlformats.org/officeDocument/2006/relationships/hyperlink" Target="https://t.me/heyatjavananaliasghar" TargetMode="External"/><Relationship Id="rId468" Type="http://schemas.openxmlformats.org/officeDocument/2006/relationships/hyperlink" Target="https://www.instagram.com/heyate.aliasghare.javanan" TargetMode="External"/><Relationship Id="rId467" Type="http://schemas.openxmlformats.org/officeDocument/2006/relationships/hyperlink" Target="https://eitaa.com/razmandegan_qaem" TargetMode="External"/><Relationship Id="rId462" Type="http://schemas.openxmlformats.org/officeDocument/2006/relationships/hyperlink" Target="https://t.me/jannatolhosein315" TargetMode="External"/><Relationship Id="rId5651" Type="http://schemas.openxmlformats.org/officeDocument/2006/relationships/hyperlink" Target="https://www.instagram.com/meysamtammar_qz.ir/" TargetMode="External"/><Relationship Id="rId6982" Type="http://schemas.openxmlformats.org/officeDocument/2006/relationships/hyperlink" Target="https://t.me/bokainfo" TargetMode="External"/><Relationship Id="rId461" Type="http://schemas.openxmlformats.org/officeDocument/2006/relationships/hyperlink" Target="https://www.instagram.com/jannatolhosein315/" TargetMode="External"/><Relationship Id="rId5652" Type="http://schemas.openxmlformats.org/officeDocument/2006/relationships/hyperlink" Target="https://eitaa.com/meysamtammar_qz" TargetMode="External"/><Relationship Id="rId6983" Type="http://schemas.openxmlformats.org/officeDocument/2006/relationships/hyperlink" Target="https://eitaa.com/bokainfo" TargetMode="External"/><Relationship Id="rId460" Type="http://schemas.openxmlformats.org/officeDocument/2006/relationships/hyperlink" Target="https://eitaa.com/heyat_maktabolshohada" TargetMode="External"/><Relationship Id="rId4321" Type="http://schemas.openxmlformats.org/officeDocument/2006/relationships/hyperlink" Target="https://t.me/alfatemiyon313" TargetMode="External"/><Relationship Id="rId6980" Type="http://schemas.openxmlformats.org/officeDocument/2006/relationships/hyperlink" Target="https://eitaa.com/ebnalhasan_info" TargetMode="External"/><Relationship Id="rId4320" Type="http://schemas.openxmlformats.org/officeDocument/2006/relationships/hyperlink" Target="https://www.instagram.com/alfatemiyon313" TargetMode="External"/><Relationship Id="rId5650" Type="http://schemas.openxmlformats.org/officeDocument/2006/relationships/hyperlink" Target="https://eitaa.com/ansarolmahdiqazvin" TargetMode="External"/><Relationship Id="rId6981" Type="http://schemas.openxmlformats.org/officeDocument/2006/relationships/hyperlink" Target="https://www.instagram.com/boka.info/" TargetMode="External"/><Relationship Id="rId466" Type="http://schemas.openxmlformats.org/officeDocument/2006/relationships/hyperlink" Target="https://www.instagram.com/heyate_javanane_montazeran/" TargetMode="External"/><Relationship Id="rId4323" Type="http://schemas.openxmlformats.org/officeDocument/2006/relationships/hyperlink" Target="https://www.instagram.com/rayatolmahdi59/" TargetMode="External"/><Relationship Id="rId5655" Type="http://schemas.openxmlformats.org/officeDocument/2006/relationships/hyperlink" Target="https://www.instagram.com/maktabalzahra.qazvin/" TargetMode="External"/><Relationship Id="rId6986" Type="http://schemas.openxmlformats.org/officeDocument/2006/relationships/hyperlink" Target="https://www.instagram.com/heydariyoon_arak/" TargetMode="External"/><Relationship Id="rId465" Type="http://schemas.openxmlformats.org/officeDocument/2006/relationships/hyperlink" Target="https://www.instagram.com/sayedatyzahra" TargetMode="External"/><Relationship Id="rId4322" Type="http://schemas.openxmlformats.org/officeDocument/2006/relationships/hyperlink" Target="https://www.youtube.com/@alfatemiyon313" TargetMode="External"/><Relationship Id="rId5656" Type="http://schemas.openxmlformats.org/officeDocument/2006/relationships/hyperlink" Target="http://telegram.me/Maktabalzahraa" TargetMode="External"/><Relationship Id="rId6987" Type="http://schemas.openxmlformats.org/officeDocument/2006/relationships/hyperlink" Target="https://t.me/heydariyoon_arak" TargetMode="External"/><Relationship Id="rId464" Type="http://schemas.openxmlformats.org/officeDocument/2006/relationships/hyperlink" Target="https://www.instagram.com/maktabolhasan1" TargetMode="External"/><Relationship Id="rId4325" Type="http://schemas.openxmlformats.org/officeDocument/2006/relationships/hyperlink" Target="https://www.instagram.com/seyedehzeinab_ahwaz/" TargetMode="External"/><Relationship Id="rId5653" Type="http://schemas.openxmlformats.org/officeDocument/2006/relationships/hyperlink" Target="https://www.instagram.com/heyaat_ashoora_qazvin/" TargetMode="External"/><Relationship Id="rId6984" Type="http://schemas.openxmlformats.org/officeDocument/2006/relationships/hyperlink" Target="https://www.instagram.com/meshkat.arak.ir/" TargetMode="External"/><Relationship Id="rId463" Type="http://schemas.openxmlformats.org/officeDocument/2006/relationships/hyperlink" Target="https://www.instagram.com/emam.hasani.ha/" TargetMode="External"/><Relationship Id="rId4324" Type="http://schemas.openxmlformats.org/officeDocument/2006/relationships/hyperlink" Target="https://l.instagram.com/?u=http%3A%2F%2Ft.me%2FRayatolmahdi59%3Ffbclid%3DPAZXh0bgNhZW0CMTEAAacN7y4NdLP-9voQaD-FUVBKIVBiIfFosC6nrkhfDJZhbJWElWUokIoCpszlEg_aem_gYV8DtTKGAIqOEXVa_eRrA&amp;e=AT2RCNvnIJXsrz-VW5kMot_obCreEwBfIIndq10dKEjpgMeQg111CfUAJNs_by-nEwvvusqI1VCP2wdSobHiZCz7NZIoa2THgS5NfwY" TargetMode="External"/><Relationship Id="rId5654" Type="http://schemas.openxmlformats.org/officeDocument/2006/relationships/hyperlink" Target="http://t.me/heyaat_ashoora" TargetMode="External"/><Relationship Id="rId6985" Type="http://schemas.openxmlformats.org/officeDocument/2006/relationships/hyperlink" Target="https://eitaa.com/Meshkat_bhr" TargetMode="External"/><Relationship Id="rId4316" Type="http://schemas.openxmlformats.org/officeDocument/2006/relationships/hyperlink" Target="https://eitaa.com/kanal_KHADEMO_REZA" TargetMode="External"/><Relationship Id="rId5648" Type="http://schemas.openxmlformats.org/officeDocument/2006/relationships/hyperlink" Target="https://eitaa.com/heyatasheghaneqazvin" TargetMode="External"/><Relationship Id="rId6979" Type="http://schemas.openxmlformats.org/officeDocument/2006/relationships/hyperlink" Target="https://t.me/ebnalhasan_info" TargetMode="External"/><Relationship Id="rId4315" Type="http://schemas.openxmlformats.org/officeDocument/2006/relationships/hyperlink" Target="https://t.me/khadem_olreza" TargetMode="External"/><Relationship Id="rId5649" Type="http://schemas.openxmlformats.org/officeDocument/2006/relationships/hyperlink" Target="https://www.instagram.com/javadolaemeh_qazvin/" TargetMode="External"/><Relationship Id="rId4318" Type="http://schemas.openxmlformats.org/officeDocument/2006/relationships/hyperlink" Target="https://t.me/khodamolabas_ir" TargetMode="External"/><Relationship Id="rId5646" Type="http://schemas.openxmlformats.org/officeDocument/2006/relationships/hyperlink" Target="https://www.instagram.com/emamhosein_qaz/" TargetMode="External"/><Relationship Id="rId6977" Type="http://schemas.openxmlformats.org/officeDocument/2006/relationships/hyperlink" Target="https://t.me/yadegaran_info" TargetMode="External"/><Relationship Id="rId4317" Type="http://schemas.openxmlformats.org/officeDocument/2006/relationships/hyperlink" Target="https://www.instagram.com/khodamolabas/" TargetMode="External"/><Relationship Id="rId5647" Type="http://schemas.openxmlformats.org/officeDocument/2006/relationships/hyperlink" Target="http://qazvin.com/" TargetMode="External"/><Relationship Id="rId6978" Type="http://schemas.openxmlformats.org/officeDocument/2006/relationships/hyperlink" Target="https://www.instagram.com/ebnalhasan_info/" TargetMode="External"/><Relationship Id="rId4319" Type="http://schemas.openxmlformats.org/officeDocument/2006/relationships/hyperlink" Target="https://eitaa.com/khodamolabas_ir" TargetMode="External"/><Relationship Id="rId459" Type="http://schemas.openxmlformats.org/officeDocument/2006/relationships/hyperlink" Target="https://t.me/heyat_maktabolshohada" TargetMode="External"/><Relationship Id="rId458" Type="http://schemas.openxmlformats.org/officeDocument/2006/relationships/hyperlink" Target="https://www.instagram.com/heyat_maktabolshohada/" TargetMode="External"/><Relationship Id="rId457" Type="http://schemas.openxmlformats.org/officeDocument/2006/relationships/hyperlink" Target="https://eitaa.com/s/heyatalzahra_ir" TargetMode="External"/><Relationship Id="rId456" Type="http://schemas.openxmlformats.org/officeDocument/2006/relationships/hyperlink" Target="https://t.me/heyatalzahra_ir" TargetMode="External"/><Relationship Id="rId451" Type="http://schemas.openxmlformats.org/officeDocument/2006/relationships/hyperlink" Target="https://www.instagram.com/rezapeirovii/" TargetMode="External"/><Relationship Id="rId5640" Type="http://schemas.openxmlformats.org/officeDocument/2006/relationships/hyperlink" Target="https://eitaa.com/Shamsoshomous_info" TargetMode="External"/><Relationship Id="rId6971" Type="http://schemas.openxmlformats.org/officeDocument/2006/relationships/hyperlink" Target="https://www.instagram.com/emam_gavar/" TargetMode="External"/><Relationship Id="rId450" Type="http://schemas.openxmlformats.org/officeDocument/2006/relationships/hyperlink" Target="https://t.me/hoseinpeirovi118" TargetMode="External"/><Relationship Id="rId5641" Type="http://schemas.openxmlformats.org/officeDocument/2006/relationships/hyperlink" Target="https://www.instagram.com/heeyat_rozatoreza/" TargetMode="External"/><Relationship Id="rId6972" Type="http://schemas.openxmlformats.org/officeDocument/2006/relationships/hyperlink" Target="https://t.me/emam_gavar" TargetMode="External"/><Relationship Id="rId4310" Type="http://schemas.openxmlformats.org/officeDocument/2006/relationships/hyperlink" Target="https://www.instagram.com/janat_al_mojtaba" TargetMode="External"/><Relationship Id="rId6970" Type="http://schemas.openxmlformats.org/officeDocument/2006/relationships/hyperlink" Target="https://eitaa.com/levaozzeynab_arak" TargetMode="External"/><Relationship Id="rId455" Type="http://schemas.openxmlformats.org/officeDocument/2006/relationships/hyperlink" Target="https://www.instagram.com/heyatalzahra.ir/" TargetMode="External"/><Relationship Id="rId4312" Type="http://schemas.openxmlformats.org/officeDocument/2006/relationships/hyperlink" Target="https://www.instagram.com/saheb_alamr313/" TargetMode="External"/><Relationship Id="rId5644" Type="http://schemas.openxmlformats.org/officeDocument/2006/relationships/hyperlink" Target="https://eitaa.com/yaranenamaz" TargetMode="External"/><Relationship Id="rId6975" Type="http://schemas.openxmlformats.org/officeDocument/2006/relationships/hyperlink" Target="https://www.instagram.com/homa_arak/" TargetMode="External"/><Relationship Id="rId454" Type="http://schemas.openxmlformats.org/officeDocument/2006/relationships/hyperlink" Target="https://www.instagram.com/ghasembenhasan201" TargetMode="External"/><Relationship Id="rId4311" Type="http://schemas.openxmlformats.org/officeDocument/2006/relationships/hyperlink" Target="https://www.instagram.com/javanan_ahwaz/" TargetMode="External"/><Relationship Id="rId5645" Type="http://schemas.openxmlformats.org/officeDocument/2006/relationships/hyperlink" Target="https://eitaa.com/ebn_reza_qazvin" TargetMode="External"/><Relationship Id="rId6976" Type="http://schemas.openxmlformats.org/officeDocument/2006/relationships/hyperlink" Target="https://www.instagram.com/yadegaran_info/" TargetMode="External"/><Relationship Id="rId453" Type="http://schemas.openxmlformats.org/officeDocument/2006/relationships/hyperlink" Target="https://www.youtube.com/@rezapeirovi" TargetMode="External"/><Relationship Id="rId4314" Type="http://schemas.openxmlformats.org/officeDocument/2006/relationships/hyperlink" Target="https://www.instagram.com/khadem_olreza/" TargetMode="External"/><Relationship Id="rId5642" Type="http://schemas.openxmlformats.org/officeDocument/2006/relationships/hyperlink" Target="http://t.me/heyat_rozatoreza" TargetMode="External"/><Relationship Id="rId6973" Type="http://schemas.openxmlformats.org/officeDocument/2006/relationships/hyperlink" Target="https://www.instagram.com/asheqaneali/" TargetMode="External"/><Relationship Id="rId452" Type="http://schemas.openxmlformats.org/officeDocument/2006/relationships/hyperlink" Target="https://t.me/rezapeirovi_channel" TargetMode="External"/><Relationship Id="rId4313" Type="http://schemas.openxmlformats.org/officeDocument/2006/relationships/hyperlink" Target="http://aparat.com/sakha313" TargetMode="External"/><Relationship Id="rId5643" Type="http://schemas.openxmlformats.org/officeDocument/2006/relationships/hyperlink" Target="https://www.instagram.com/heyatalshohada/" TargetMode="External"/><Relationship Id="rId6974" Type="http://schemas.openxmlformats.org/officeDocument/2006/relationships/hyperlink" Target="https://eitaa.com/asheqaneali" TargetMode="External"/><Relationship Id="rId3018" Type="http://schemas.openxmlformats.org/officeDocument/2006/relationships/hyperlink" Target="https://eitaa.com/heyat_madar1379" TargetMode="External"/><Relationship Id="rId4349" Type="http://schemas.openxmlformats.org/officeDocument/2006/relationships/hyperlink" Target="https://www.instagram.com/ansar_al_thaghalein/" TargetMode="External"/><Relationship Id="rId3017" Type="http://schemas.openxmlformats.org/officeDocument/2006/relationships/hyperlink" Target="https://www.instagram.com/motavaselin_ommolaeme/" TargetMode="External"/><Relationship Id="rId4348" Type="http://schemas.openxmlformats.org/officeDocument/2006/relationships/hyperlink" Target="https://eitaa.com/mahfelshohada_ir" TargetMode="External"/><Relationship Id="rId5679" Type="http://schemas.openxmlformats.org/officeDocument/2006/relationships/hyperlink" Target="https://www.instagram.com/hosseinjan_qazvin/" TargetMode="External"/><Relationship Id="rId3019" Type="http://schemas.openxmlformats.org/officeDocument/2006/relationships/hyperlink" Target="https://www.instagram.com/mohammad.sheikhzadeh_" TargetMode="External"/><Relationship Id="rId491" Type="http://schemas.openxmlformats.org/officeDocument/2006/relationships/hyperlink" Target="https://www.instagram.com/khademhosein313/" TargetMode="External"/><Relationship Id="rId490" Type="http://schemas.openxmlformats.org/officeDocument/2006/relationships/hyperlink" Target="https://eitaa.com/aghighe1" TargetMode="External"/><Relationship Id="rId489" Type="http://schemas.openxmlformats.org/officeDocument/2006/relationships/hyperlink" Target="https://t.me/naslesoleimani_ir" TargetMode="External"/><Relationship Id="rId5670" Type="http://schemas.openxmlformats.org/officeDocument/2006/relationships/hyperlink" Target="https://www.instagram.com/beitolabbasqazvin/" TargetMode="External"/><Relationship Id="rId484" Type="http://schemas.openxmlformats.org/officeDocument/2006/relationships/hyperlink" Target="https://www.instagram.com/heyataliasgharmollakola/" TargetMode="External"/><Relationship Id="rId3010" Type="http://schemas.openxmlformats.org/officeDocument/2006/relationships/hyperlink" Target="https://t.me/seyedolshohada_golgashttabriz" TargetMode="External"/><Relationship Id="rId4341" Type="http://schemas.openxmlformats.org/officeDocument/2006/relationships/hyperlink" Target="https://www.instagram.com/ghamarbanihashem_ir/" TargetMode="External"/><Relationship Id="rId5673" Type="http://schemas.openxmlformats.org/officeDocument/2006/relationships/hyperlink" Target="https://www.instagram.com/khoddamor_reza_qazvin/" TargetMode="External"/><Relationship Id="rId483" Type="http://schemas.openxmlformats.org/officeDocument/2006/relationships/hyperlink" Target="https://www.instagram.com/seyedoshohadasorkhrood/" TargetMode="External"/><Relationship Id="rId4340" Type="http://schemas.openxmlformats.org/officeDocument/2006/relationships/hyperlink" Target="https://www.aparat.com/rayat_susa" TargetMode="External"/><Relationship Id="rId5674" Type="http://schemas.openxmlformats.org/officeDocument/2006/relationships/hyperlink" Target="http://t.me/khoddamor_reza" TargetMode="External"/><Relationship Id="rId482" Type="http://schemas.openxmlformats.org/officeDocument/2006/relationships/hyperlink" Target="https://eitaa.com/HeyatGomnam" TargetMode="External"/><Relationship Id="rId3012" Type="http://schemas.openxmlformats.org/officeDocument/2006/relationships/hyperlink" Target="https://t.me/Nooralzahra_tbz" TargetMode="External"/><Relationship Id="rId4343" Type="http://schemas.openxmlformats.org/officeDocument/2006/relationships/hyperlink" Target="https://eitaa.com/ghamarbanihashem_ir" TargetMode="External"/><Relationship Id="rId5671" Type="http://schemas.openxmlformats.org/officeDocument/2006/relationships/hyperlink" Target="https://www.instagram.com/maktabalabas/" TargetMode="External"/><Relationship Id="rId481" Type="http://schemas.openxmlformats.org/officeDocument/2006/relationships/hyperlink" Target="https://www.instagram.com/heyatgomnam/" TargetMode="External"/><Relationship Id="rId3011" Type="http://schemas.openxmlformats.org/officeDocument/2006/relationships/hyperlink" Target="https://www.instagram.com/norzahra_tabriz" TargetMode="External"/><Relationship Id="rId4342" Type="http://schemas.openxmlformats.org/officeDocument/2006/relationships/hyperlink" Target="https://t.me/MasjedJame_mahshahr" TargetMode="External"/><Relationship Id="rId5672" Type="http://schemas.openxmlformats.org/officeDocument/2006/relationships/hyperlink" Target="https://www.instagram.com/sarallah_qaz/" TargetMode="External"/><Relationship Id="rId488" Type="http://schemas.openxmlformats.org/officeDocument/2006/relationships/hyperlink" Target="https://www.instagram.com/aghighe1/" TargetMode="External"/><Relationship Id="rId3014" Type="http://schemas.openxmlformats.org/officeDocument/2006/relationships/hyperlink" Target="https://t.me/negar_shohadayekarbala1330" TargetMode="External"/><Relationship Id="rId4345" Type="http://schemas.openxmlformats.org/officeDocument/2006/relationships/hyperlink" Target="https://eitaa.com/aleyasinbeh" TargetMode="External"/><Relationship Id="rId5677" Type="http://schemas.openxmlformats.org/officeDocument/2006/relationships/hyperlink" Target="http://t.me/ashouraiyanqazvin" TargetMode="External"/><Relationship Id="rId487" Type="http://schemas.openxmlformats.org/officeDocument/2006/relationships/hyperlink" Target="https://www.instagram.com/heyat_sahebzaman/" TargetMode="External"/><Relationship Id="rId3013" Type="http://schemas.openxmlformats.org/officeDocument/2006/relationships/hyperlink" Target="https://www.instagram.com/shohadayekarbala1330" TargetMode="External"/><Relationship Id="rId4344" Type="http://schemas.openxmlformats.org/officeDocument/2006/relationships/hyperlink" Target="https://www.instagram.com/aleyasin.beh/" TargetMode="External"/><Relationship Id="rId5678" Type="http://schemas.openxmlformats.org/officeDocument/2006/relationships/hyperlink" Target="https://eitaa.com/ashouraiyanqazvin" TargetMode="External"/><Relationship Id="rId486" Type="http://schemas.openxmlformats.org/officeDocument/2006/relationships/hyperlink" Target="https://www.instagram.com/asheghanevelayat94/" TargetMode="External"/><Relationship Id="rId3016" Type="http://schemas.openxmlformats.org/officeDocument/2006/relationships/hyperlink" Target="https://t.me/maktab_tashayo" TargetMode="External"/><Relationship Id="rId4347" Type="http://schemas.openxmlformats.org/officeDocument/2006/relationships/hyperlink" Target="https://www.instagram.com/mahfelshohada.ir/" TargetMode="External"/><Relationship Id="rId5675" Type="http://schemas.openxmlformats.org/officeDocument/2006/relationships/hyperlink" Target="https://eitaa.com/mohsenzahra_qazvin" TargetMode="External"/><Relationship Id="rId485" Type="http://schemas.openxmlformats.org/officeDocument/2006/relationships/hyperlink" Target="https://t.me/mohebinaliasghar" TargetMode="External"/><Relationship Id="rId3015" Type="http://schemas.openxmlformats.org/officeDocument/2006/relationships/hyperlink" Target="https://www.instagram.com/maktab_tashayo_tabriz" TargetMode="External"/><Relationship Id="rId4346" Type="http://schemas.openxmlformats.org/officeDocument/2006/relationships/hyperlink" Target="https://www.instagram.com/raayatoolabbas/" TargetMode="External"/><Relationship Id="rId5676" Type="http://schemas.openxmlformats.org/officeDocument/2006/relationships/hyperlink" Target="https://www.instagram.com/ashouraiyanqazvin" TargetMode="External"/><Relationship Id="rId3007" Type="http://schemas.openxmlformats.org/officeDocument/2006/relationships/hyperlink" Target="https://www.instagram.com/ajam_baghmisheh" TargetMode="External"/><Relationship Id="rId4338" Type="http://schemas.openxmlformats.org/officeDocument/2006/relationships/hyperlink" Target="https://www.instagram.com/rayat_susa/" TargetMode="External"/><Relationship Id="rId3006" Type="http://schemas.openxmlformats.org/officeDocument/2006/relationships/hyperlink" Target="https://www.instagram.com/levaorroghayye" TargetMode="External"/><Relationship Id="rId4337" Type="http://schemas.openxmlformats.org/officeDocument/2006/relationships/hyperlink" Target="https://www.instagram.com/h_maktab.alhossein/" TargetMode="External"/><Relationship Id="rId3009" Type="http://schemas.openxmlformats.org/officeDocument/2006/relationships/hyperlink" Target="https://www.instagram.com/seyedolshohada_gholghasht" TargetMode="External"/><Relationship Id="rId5668" Type="http://schemas.openxmlformats.org/officeDocument/2006/relationships/hyperlink" Target="http://eitaa.com/yavaranevelayat_qazvin" TargetMode="External"/><Relationship Id="rId6999" Type="http://schemas.openxmlformats.org/officeDocument/2006/relationships/hyperlink" Target="https://eitaa.com/hoddas_arak" TargetMode="External"/><Relationship Id="rId3008" Type="http://schemas.openxmlformats.org/officeDocument/2006/relationships/hyperlink" Target="https://www.instagram.com/hazraterogayeh" TargetMode="External"/><Relationship Id="rId4339" Type="http://schemas.openxmlformats.org/officeDocument/2006/relationships/hyperlink" Target="https://eitaa.com/rayat_susa" TargetMode="External"/><Relationship Id="rId5669" Type="http://schemas.openxmlformats.org/officeDocument/2006/relationships/hyperlink" Target="https://www.instagram.com/masjedamir.net_/" TargetMode="External"/><Relationship Id="rId480" Type="http://schemas.openxmlformats.org/officeDocument/2006/relationships/hyperlink" Target="https://www.instagram.com/hoseiniyeh_mahmodabad/" TargetMode="External"/><Relationship Id="rId479" Type="http://schemas.openxmlformats.org/officeDocument/2006/relationships/hyperlink" Target="https://www.instagram.com/bentalrasol/" TargetMode="External"/><Relationship Id="rId478" Type="http://schemas.openxmlformats.org/officeDocument/2006/relationships/hyperlink" Target="https://www.instagram.com/fadaeeyanezeynab313/" TargetMode="External"/><Relationship Id="rId6990" Type="http://schemas.openxmlformats.org/officeDocument/2006/relationships/hyperlink" Target="https://www.instagram.com/moazenmedia/" TargetMode="External"/><Relationship Id="rId473" Type="http://schemas.openxmlformats.org/officeDocument/2006/relationships/hyperlink" Target="https://www.instagram.com/baghiat_allah_ir/" TargetMode="External"/><Relationship Id="rId4330" Type="http://schemas.openxmlformats.org/officeDocument/2006/relationships/hyperlink" Target="https://t.me/mohbin_ahlalbyt" TargetMode="External"/><Relationship Id="rId5662" Type="http://schemas.openxmlformats.org/officeDocument/2006/relationships/hyperlink" Target="https://www.instagram.com/alzahraqazvin/" TargetMode="External"/><Relationship Id="rId6993" Type="http://schemas.openxmlformats.org/officeDocument/2006/relationships/hyperlink" Target="https://www.instagram.com/toffahatoljannat/" TargetMode="External"/><Relationship Id="rId472" Type="http://schemas.openxmlformats.org/officeDocument/2006/relationships/hyperlink" Target="https://www.instagram.com/htfatemion313" TargetMode="External"/><Relationship Id="rId5663" Type="http://schemas.openxmlformats.org/officeDocument/2006/relationships/hyperlink" Target="http://www.alzahraqazvin.ir" TargetMode="External"/><Relationship Id="rId6994" Type="http://schemas.openxmlformats.org/officeDocument/2006/relationships/hyperlink" Target="https://t.me/toffahatoljannat" TargetMode="External"/><Relationship Id="rId471" Type="http://schemas.openxmlformats.org/officeDocument/2006/relationships/hyperlink" Target="https://t.me/beytolzahra_com" TargetMode="External"/><Relationship Id="rId3001" Type="http://schemas.openxmlformats.org/officeDocument/2006/relationships/hyperlink" Target="https://www.instagram.com/javadolaemah" TargetMode="External"/><Relationship Id="rId4332" Type="http://schemas.openxmlformats.org/officeDocument/2006/relationships/hyperlink" Target="https://www.instagram.com/noorolaeme_live/" TargetMode="External"/><Relationship Id="rId5660" Type="http://schemas.openxmlformats.org/officeDocument/2006/relationships/hyperlink" Target="https://www.instagram.com/khademanmahdi_ir" TargetMode="External"/><Relationship Id="rId6991" Type="http://schemas.openxmlformats.org/officeDocument/2006/relationships/hyperlink" Target="https://t.me/moazenmedia" TargetMode="External"/><Relationship Id="rId470" Type="http://schemas.openxmlformats.org/officeDocument/2006/relationships/hyperlink" Target="https://www.instagram.com/beytolzahra_com" TargetMode="External"/><Relationship Id="rId3000" Type="http://schemas.openxmlformats.org/officeDocument/2006/relationships/hyperlink" Target="https://www.instagram.com/heyat_rozatol_hosein" TargetMode="External"/><Relationship Id="rId4331" Type="http://schemas.openxmlformats.org/officeDocument/2006/relationships/hyperlink" Target="https://www.youtube.com/@mohebin.ahlalbi" TargetMode="External"/><Relationship Id="rId5661" Type="http://schemas.openxmlformats.org/officeDocument/2006/relationships/hyperlink" Target="https://eitaa.com/khademanmahdi_ir" TargetMode="External"/><Relationship Id="rId6992" Type="http://schemas.openxmlformats.org/officeDocument/2006/relationships/hyperlink" Target="https://www.instagram.com/mahfele_zeinabion/" TargetMode="External"/><Relationship Id="rId477" Type="http://schemas.openxmlformats.org/officeDocument/2006/relationships/hyperlink" Target="https://t.me/heyatesahebazzamangalougah" TargetMode="External"/><Relationship Id="rId3003" Type="http://schemas.openxmlformats.org/officeDocument/2006/relationships/hyperlink" Target="https://www.instagram.com/jahadigrop_howzeh" TargetMode="External"/><Relationship Id="rId4334" Type="http://schemas.openxmlformats.org/officeDocument/2006/relationships/hyperlink" Target="https://www.instagram.com/hmohebban" TargetMode="External"/><Relationship Id="rId5666" Type="http://schemas.openxmlformats.org/officeDocument/2006/relationships/hyperlink" Target="https://www.instagram.com/ansarolmahdi_qazvin/" TargetMode="External"/><Relationship Id="rId6997" Type="http://schemas.openxmlformats.org/officeDocument/2006/relationships/hyperlink" Target="https://t.me/zovariyon" TargetMode="External"/><Relationship Id="rId476" Type="http://schemas.openxmlformats.org/officeDocument/2006/relationships/hyperlink" Target="https://www.instagram.com/heiate_saheb_zaman_galougah/" TargetMode="External"/><Relationship Id="rId3002" Type="http://schemas.openxmlformats.org/officeDocument/2006/relationships/hyperlink" Target="https://eitaa.com/javadol_aemah" TargetMode="External"/><Relationship Id="rId4333" Type="http://schemas.openxmlformats.org/officeDocument/2006/relationships/hyperlink" Target="http://t.me/NOOROLAEME_NET" TargetMode="External"/><Relationship Id="rId5667" Type="http://schemas.openxmlformats.org/officeDocument/2006/relationships/hyperlink" Target="https://www.instagram.com/yavaranevelayat_qazvin/" TargetMode="External"/><Relationship Id="rId6998" Type="http://schemas.openxmlformats.org/officeDocument/2006/relationships/hyperlink" Target="https://www.instagram.com/hoddasinfo/" TargetMode="External"/><Relationship Id="rId475" Type="http://schemas.openxmlformats.org/officeDocument/2006/relationships/hyperlink" Target="https://www.instagram.com/msq.zeynab/" TargetMode="External"/><Relationship Id="rId3005" Type="http://schemas.openxmlformats.org/officeDocument/2006/relationships/hyperlink" Target="https://www.instagram.com/heyat.reyhane.alnabi" TargetMode="External"/><Relationship Id="rId4336" Type="http://schemas.openxmlformats.org/officeDocument/2006/relationships/hyperlink" Target="https://www.aparat.com/hmohebban" TargetMode="External"/><Relationship Id="rId5664" Type="http://schemas.openxmlformats.org/officeDocument/2006/relationships/hyperlink" Target="https://www.instagram.com/razmandegan_qazvin.ir/" TargetMode="External"/><Relationship Id="rId6995" Type="http://schemas.openxmlformats.org/officeDocument/2006/relationships/hyperlink" Target="https://eitaa.com/toffahatoljannat" TargetMode="External"/><Relationship Id="rId474" Type="http://schemas.openxmlformats.org/officeDocument/2006/relationships/hyperlink" Target="https://eitaa.com/Baghiatallah_nojavan_313" TargetMode="External"/><Relationship Id="rId3004" Type="http://schemas.openxmlformats.org/officeDocument/2006/relationships/hyperlink" Target="https://www.instagram.com/kanon_emam_hosein/" TargetMode="External"/><Relationship Id="rId4335" Type="http://schemas.openxmlformats.org/officeDocument/2006/relationships/hyperlink" Target="https://sapp.ir/heyaat_moheban" TargetMode="External"/><Relationship Id="rId5665" Type="http://schemas.openxmlformats.org/officeDocument/2006/relationships/hyperlink" Target="https://eitaa.com/hasanieh_heyat" TargetMode="External"/><Relationship Id="rId6996" Type="http://schemas.openxmlformats.org/officeDocument/2006/relationships/hyperlink" Target="https://www.instagram.com/mahfel_zovvarolhosseinarak/" TargetMode="External"/><Relationship Id="rId5615" Type="http://schemas.openxmlformats.org/officeDocument/2006/relationships/hyperlink" Target="https://www.instagram.com/heyat.qums/" TargetMode="External"/><Relationship Id="rId6946" Type="http://schemas.openxmlformats.org/officeDocument/2006/relationships/hyperlink" Target="https://www.instagram.com/varesorg/" TargetMode="External"/><Relationship Id="rId5616" Type="http://schemas.openxmlformats.org/officeDocument/2006/relationships/hyperlink" Target="https://t.me/heyatqums" TargetMode="External"/><Relationship Id="rId6947" Type="http://schemas.openxmlformats.org/officeDocument/2006/relationships/hyperlink" Target="https://t.me/amahdi_313" TargetMode="External"/><Relationship Id="rId5613" Type="http://schemas.openxmlformats.org/officeDocument/2006/relationships/hyperlink" Target="https://www.instagram.com/mohebbin.info/" TargetMode="External"/><Relationship Id="rId6944" Type="http://schemas.openxmlformats.org/officeDocument/2006/relationships/hyperlink" Target="https://www.instagram.com/leva_ozzahra/" TargetMode="External"/><Relationship Id="rId5614" Type="http://schemas.openxmlformats.org/officeDocument/2006/relationships/hyperlink" Target="https://t.me/mohebbin_info" TargetMode="External"/><Relationship Id="rId6945" Type="http://schemas.openxmlformats.org/officeDocument/2006/relationships/hyperlink" Target="https://www.instagram.com/nodbeha/" TargetMode="External"/><Relationship Id="rId5619" Type="http://schemas.openxmlformats.org/officeDocument/2006/relationships/hyperlink" Target="https://www.instagram.com/mohebbin_ahlebeyt_hassar/" TargetMode="External"/><Relationship Id="rId5617" Type="http://schemas.openxmlformats.org/officeDocument/2006/relationships/hyperlink" Target="https://www.instagram.com/janathasan_razjerd/" TargetMode="External"/><Relationship Id="rId6948" Type="http://schemas.openxmlformats.org/officeDocument/2006/relationships/hyperlink" Target="https://eitaa.com/amahdi_313" TargetMode="External"/><Relationship Id="rId5618" Type="http://schemas.openxmlformats.org/officeDocument/2006/relationships/hyperlink" Target="https://t.me/janathasan2" TargetMode="External"/><Relationship Id="rId6949" Type="http://schemas.openxmlformats.org/officeDocument/2006/relationships/hyperlink" Target="https://www.instagram.com/yalasarat__net/" TargetMode="External"/><Relationship Id="rId426" Type="http://schemas.openxmlformats.org/officeDocument/2006/relationships/hyperlink" Target="https://www.instagram.com/heiate_abolfazl/" TargetMode="External"/><Relationship Id="rId425" Type="http://schemas.openxmlformats.org/officeDocument/2006/relationships/hyperlink" Target="https://t.me/mokhayem_ir" TargetMode="External"/><Relationship Id="rId424" Type="http://schemas.openxmlformats.org/officeDocument/2006/relationships/hyperlink" Target="https://www.instagram.com/mokhayem/" TargetMode="External"/><Relationship Id="rId423" Type="http://schemas.openxmlformats.org/officeDocument/2006/relationships/hyperlink" Target="https://t.me/razavioon_ir" TargetMode="External"/><Relationship Id="rId429" Type="http://schemas.openxmlformats.org/officeDocument/2006/relationships/hyperlink" Target="https://www.instagram.com/heyat.karbalaeeha/" TargetMode="External"/><Relationship Id="rId428" Type="http://schemas.openxmlformats.org/officeDocument/2006/relationships/hyperlink" Target="https://www.instagram.com/karbalaeeha.fereidonkenar" TargetMode="External"/><Relationship Id="rId427" Type="http://schemas.openxmlformats.org/officeDocument/2006/relationships/hyperlink" Target="https://t.me/heiate_abolfazl" TargetMode="External"/><Relationship Id="rId422" Type="http://schemas.openxmlformats.org/officeDocument/2006/relationships/hyperlink" Target="https://www.instagram.com/razavioon_ir" TargetMode="External"/><Relationship Id="rId5611" Type="http://schemas.openxmlformats.org/officeDocument/2006/relationships/hyperlink" Target="https://www.instagram.com/heiat_14masom_eghbaliye/" TargetMode="External"/><Relationship Id="rId6942" Type="http://schemas.openxmlformats.org/officeDocument/2006/relationships/hyperlink" Target="https://www.instagram.com/heyatzeynabion_arak/" TargetMode="External"/><Relationship Id="rId421" Type="http://schemas.openxmlformats.org/officeDocument/2006/relationships/hyperlink" Target="https://t.me/beheshtemamhasan" TargetMode="External"/><Relationship Id="rId5612" Type="http://schemas.openxmlformats.org/officeDocument/2006/relationships/hyperlink" Target="https://eitaa.com/heiat_14masom_eghbaliiye" TargetMode="External"/><Relationship Id="rId6943" Type="http://schemas.openxmlformats.org/officeDocument/2006/relationships/hyperlink" Target="https://eitaa.com/hoddas_arak" TargetMode="External"/><Relationship Id="rId420" Type="http://schemas.openxmlformats.org/officeDocument/2006/relationships/hyperlink" Target="https://www.instagram.com/janatolhasan.ir/" TargetMode="External"/><Relationship Id="rId6940" Type="http://schemas.openxmlformats.org/officeDocument/2006/relationships/hyperlink" Target="https://www.instagram.com/shababozeynab_saveh/" TargetMode="External"/><Relationship Id="rId5610" Type="http://schemas.openxmlformats.org/officeDocument/2006/relationships/hyperlink" Target="https://www.instagram.com/maktabreza75/" TargetMode="External"/><Relationship Id="rId6941" Type="http://schemas.openxmlformats.org/officeDocument/2006/relationships/hyperlink" Target="https://www.instagram.com/heyat_mohebanzeynab_arak/" TargetMode="External"/><Relationship Id="rId5604" Type="http://schemas.openxmlformats.org/officeDocument/2006/relationships/hyperlink" Target="https://www.instagram.com/zeiynabyon" TargetMode="External"/><Relationship Id="rId6935" Type="http://schemas.openxmlformats.org/officeDocument/2006/relationships/hyperlink" Target="https://t.me/Hasanie_arak" TargetMode="External"/><Relationship Id="rId5605" Type="http://schemas.openxmlformats.org/officeDocument/2006/relationships/hyperlink" Target="https://telegram.dog/zeiynabyon1441" TargetMode="External"/><Relationship Id="rId6936" Type="http://schemas.openxmlformats.org/officeDocument/2006/relationships/hyperlink" Target="https://www.instagram.com/mahfele_maktabalhosein/" TargetMode="External"/><Relationship Id="rId5602" Type="http://schemas.openxmlformats.org/officeDocument/2006/relationships/hyperlink" Target="https://www.instagram.com/heiatoshohada92/" TargetMode="External"/><Relationship Id="rId6933" Type="http://schemas.openxmlformats.org/officeDocument/2006/relationships/hyperlink" Target="https://www.instagram.com/samenalhojaj.arak/" TargetMode="External"/><Relationship Id="rId5603" Type="http://schemas.openxmlformats.org/officeDocument/2006/relationships/hyperlink" Target="https://www.instagram.com/gomnam__1394/" TargetMode="External"/><Relationship Id="rId6934" Type="http://schemas.openxmlformats.org/officeDocument/2006/relationships/hyperlink" Target="https://www.instagram.com/hasanie_arak/" TargetMode="External"/><Relationship Id="rId5608" Type="http://schemas.openxmlformats.org/officeDocument/2006/relationships/hyperlink" Target="https://t.me/HeyatepeyrovaneVelayat96" TargetMode="External"/><Relationship Id="rId6939" Type="http://schemas.openxmlformats.org/officeDocument/2006/relationships/hyperlink" Target="http://eitaa.com/meheyat_ir" TargetMode="External"/><Relationship Id="rId5609" Type="http://schemas.openxmlformats.org/officeDocument/2006/relationships/hyperlink" Target="https://www.instagram.com/maktab1382/" TargetMode="External"/><Relationship Id="rId5606" Type="http://schemas.openxmlformats.org/officeDocument/2006/relationships/hyperlink" Target="https://www.instagram.com/asgari_martyr/" TargetMode="External"/><Relationship Id="rId6937" Type="http://schemas.openxmlformats.org/officeDocument/2006/relationships/hyperlink" Target="http://t.me/mahfele_maktabalhosein" TargetMode="External"/><Relationship Id="rId5607" Type="http://schemas.openxmlformats.org/officeDocument/2006/relationships/hyperlink" Target="https://www.instagram.com/peyrovanvelayat_egbaliye/" TargetMode="External"/><Relationship Id="rId6938" Type="http://schemas.openxmlformats.org/officeDocument/2006/relationships/hyperlink" Target="https://www.instagram.com/meheyat.ir/" TargetMode="External"/><Relationship Id="rId415" Type="http://schemas.openxmlformats.org/officeDocument/2006/relationships/hyperlink" Target="https://www.instagram.com/montazeran_simorgh313/" TargetMode="External"/><Relationship Id="rId414" Type="http://schemas.openxmlformats.org/officeDocument/2006/relationships/hyperlink" Target="https://t.me/hoseinieemarkazi" TargetMode="External"/><Relationship Id="rId413" Type="http://schemas.openxmlformats.org/officeDocument/2006/relationships/hyperlink" Target="https://www.instagram.com/hoseinieemarkazi" TargetMode="External"/><Relationship Id="rId412" Type="http://schemas.openxmlformats.org/officeDocument/2006/relationships/hyperlink" Target="https://www.instagram.com/al_hadi_ir/" TargetMode="External"/><Relationship Id="rId419" Type="http://schemas.openxmlformats.org/officeDocument/2006/relationships/hyperlink" Target="https://t.me/oshagholhosein86_ir" TargetMode="External"/><Relationship Id="rId418" Type="http://schemas.openxmlformats.org/officeDocument/2006/relationships/hyperlink" Target="https://www.instagram.com/oshagholhosein_ir" TargetMode="External"/><Relationship Id="rId417" Type="http://schemas.openxmlformats.org/officeDocument/2006/relationships/hyperlink" Target="https://eitaa.com/montazeran_simorgh" TargetMode="External"/><Relationship Id="rId416" Type="http://schemas.openxmlformats.org/officeDocument/2006/relationships/hyperlink" Target="https://t.me/montazeran_simorgh313" TargetMode="External"/><Relationship Id="rId411" Type="http://schemas.openxmlformats.org/officeDocument/2006/relationships/hyperlink" Target="https://www.instagram.com/golzarshohada.polsefid/" TargetMode="External"/><Relationship Id="rId5600" Type="http://schemas.openxmlformats.org/officeDocument/2006/relationships/hyperlink" Target="https://www.instagram.com/majmaolhasanin/" TargetMode="External"/><Relationship Id="rId6931" Type="http://schemas.openxmlformats.org/officeDocument/2006/relationships/hyperlink" Target="https://www.instagram.com/beitalhasan4517/" TargetMode="External"/><Relationship Id="rId410" Type="http://schemas.openxmlformats.org/officeDocument/2006/relationships/hyperlink" Target="https://t.me/kelta_ir" TargetMode="External"/><Relationship Id="rId5601" Type="http://schemas.openxmlformats.org/officeDocument/2006/relationships/hyperlink" Target="https://eitaa.com/peyrovanvelayat_egbaliye" TargetMode="External"/><Relationship Id="rId6932" Type="http://schemas.openxmlformats.org/officeDocument/2006/relationships/hyperlink" Target="http://t.me/beytolhasan_arak" TargetMode="External"/><Relationship Id="rId6930" Type="http://schemas.openxmlformats.org/officeDocument/2006/relationships/hyperlink" Target="https://www.instagram.com/moojab135/" TargetMode="External"/><Relationship Id="rId4305" Type="http://schemas.openxmlformats.org/officeDocument/2006/relationships/hyperlink" Target="https://t.me/ansaralhojah1" TargetMode="External"/><Relationship Id="rId5637" Type="http://schemas.openxmlformats.org/officeDocument/2006/relationships/hyperlink" Target="https://www.instagram.com/h_mohebaneahlebeyt/" TargetMode="External"/><Relationship Id="rId6968" Type="http://schemas.openxmlformats.org/officeDocument/2006/relationships/hyperlink" Target="https://eitaa.com/fedak_arak" TargetMode="External"/><Relationship Id="rId4304" Type="http://schemas.openxmlformats.org/officeDocument/2006/relationships/hyperlink" Target="https://www.instagram.com/ansaralhojah" TargetMode="External"/><Relationship Id="rId5638" Type="http://schemas.openxmlformats.org/officeDocument/2006/relationships/hyperlink" Target="https://t.me/h_mohebaneahlebeyt" TargetMode="External"/><Relationship Id="rId6969" Type="http://schemas.openxmlformats.org/officeDocument/2006/relationships/hyperlink" Target="https://www.instagram.com/levaozzeynab_arak/" TargetMode="External"/><Relationship Id="rId4307" Type="http://schemas.openxmlformats.org/officeDocument/2006/relationships/hyperlink" Target="https://www.instagram.com/kafil_net" TargetMode="External"/><Relationship Id="rId5635" Type="http://schemas.openxmlformats.org/officeDocument/2006/relationships/hyperlink" Target="https://www.instagram.com/shabab8_info/" TargetMode="External"/><Relationship Id="rId6966" Type="http://schemas.openxmlformats.org/officeDocument/2006/relationships/hyperlink" Target="https://www.instagram.com/fedak.arak/" TargetMode="External"/><Relationship Id="rId4306" Type="http://schemas.openxmlformats.org/officeDocument/2006/relationships/hyperlink" Target="https://eitaa.com/Ansar_alhojah" TargetMode="External"/><Relationship Id="rId5636" Type="http://schemas.openxmlformats.org/officeDocument/2006/relationships/hyperlink" Target="https://eitaa.com/shabab8_info" TargetMode="External"/><Relationship Id="rId6967" Type="http://schemas.openxmlformats.org/officeDocument/2006/relationships/hyperlink" Target="https://t.me/fedak_arak" TargetMode="External"/><Relationship Id="rId4309" Type="http://schemas.openxmlformats.org/officeDocument/2006/relationships/hyperlink" Target="https://eitaa.com/kafil_net" TargetMode="External"/><Relationship Id="rId4308" Type="http://schemas.openxmlformats.org/officeDocument/2006/relationships/hyperlink" Target="https://t.me/kafil_net" TargetMode="External"/><Relationship Id="rId5639" Type="http://schemas.openxmlformats.org/officeDocument/2006/relationships/hyperlink" Target="https://eitaa.com/H_Mohebaneahlebeyt" TargetMode="External"/><Relationship Id="rId448" Type="http://schemas.openxmlformats.org/officeDocument/2006/relationships/hyperlink" Target="https://eitaa.com/nojavanan_oshagholreza1001" TargetMode="External"/><Relationship Id="rId447" Type="http://schemas.openxmlformats.org/officeDocument/2006/relationships/hyperlink" Target="https://www.instagram.com/nojavanan_oshagholreza1001/" TargetMode="External"/><Relationship Id="rId446" Type="http://schemas.openxmlformats.org/officeDocument/2006/relationships/hyperlink" Target="https://t.me/rozatolshohada_info" TargetMode="External"/><Relationship Id="rId445" Type="http://schemas.openxmlformats.org/officeDocument/2006/relationships/hyperlink" Target="https://www.instagram.com/rozatolshohada_info" TargetMode="External"/><Relationship Id="rId449" Type="http://schemas.openxmlformats.org/officeDocument/2006/relationships/hyperlink" Target="https://www.instagram.com/hoseinpeirovi118/" TargetMode="External"/><Relationship Id="rId440" Type="http://schemas.openxmlformats.org/officeDocument/2006/relationships/hyperlink" Target="http://eitaa.com/moheban_ahlebeyt" TargetMode="External"/><Relationship Id="rId6960" Type="http://schemas.openxmlformats.org/officeDocument/2006/relationships/hyperlink" Target="https://www.instagram.com/yahda_ir_/" TargetMode="External"/><Relationship Id="rId5630" Type="http://schemas.openxmlformats.org/officeDocument/2006/relationships/hyperlink" Target="https://www.instagram.com/heyat_ehm/" TargetMode="External"/><Relationship Id="rId6961" Type="http://schemas.openxmlformats.org/officeDocument/2006/relationships/hyperlink" Target="https://eitaa.com/maedeh_media" TargetMode="External"/><Relationship Id="rId444" Type="http://schemas.openxmlformats.org/officeDocument/2006/relationships/hyperlink" Target="https://eitaa.com/qarar_info" TargetMode="External"/><Relationship Id="rId4301" Type="http://schemas.openxmlformats.org/officeDocument/2006/relationships/hyperlink" Target="https://www.instagram.com/imamhussain_ahvaz/" TargetMode="External"/><Relationship Id="rId5633" Type="http://schemas.openxmlformats.org/officeDocument/2006/relationships/hyperlink" Target="https://www.instagram.com/hasanjan_qazvin/" TargetMode="External"/><Relationship Id="rId6964" Type="http://schemas.openxmlformats.org/officeDocument/2006/relationships/hyperlink" Target="https://www.instagram.com/heyatebeyn.alharameyn/" TargetMode="External"/><Relationship Id="rId443" Type="http://schemas.openxmlformats.org/officeDocument/2006/relationships/hyperlink" Target="https://t.me/qarar_info" TargetMode="External"/><Relationship Id="rId4300" Type="http://schemas.openxmlformats.org/officeDocument/2006/relationships/hyperlink" Target="https://www.instagram.com/ahvz_heyat/" TargetMode="External"/><Relationship Id="rId5634" Type="http://schemas.openxmlformats.org/officeDocument/2006/relationships/hyperlink" Target="https://www.instagram.com/panjarefolad_ir/" TargetMode="External"/><Relationship Id="rId6965" Type="http://schemas.openxmlformats.org/officeDocument/2006/relationships/hyperlink" Target="https://t.me/heyatebeyn_alharameyn" TargetMode="External"/><Relationship Id="rId442" Type="http://schemas.openxmlformats.org/officeDocument/2006/relationships/hyperlink" Target="https://www.instagram.com/qarar_info/" TargetMode="External"/><Relationship Id="rId4303" Type="http://schemas.openxmlformats.org/officeDocument/2006/relationships/hyperlink" Target="https://eitaa.com/imamhussain_ahvaz" TargetMode="External"/><Relationship Id="rId5631" Type="http://schemas.openxmlformats.org/officeDocument/2006/relationships/hyperlink" Target="https://www.instagram.com/khademanmahdi_ir" TargetMode="External"/><Relationship Id="rId6962" Type="http://schemas.openxmlformats.org/officeDocument/2006/relationships/hyperlink" Target="https://www.instagram.com/heyatozahraarak/" TargetMode="External"/><Relationship Id="rId441" Type="http://schemas.openxmlformats.org/officeDocument/2006/relationships/hyperlink" Target="https://www.instagram.com/parvaztakhoda12/" TargetMode="External"/><Relationship Id="rId4302" Type="http://schemas.openxmlformats.org/officeDocument/2006/relationships/hyperlink" Target="https://t.me/imamhussain_ahvaz" TargetMode="External"/><Relationship Id="rId5632" Type="http://schemas.openxmlformats.org/officeDocument/2006/relationships/hyperlink" Target="https://eitaa.com/khademanmahdi_ir" TargetMode="External"/><Relationship Id="rId6963" Type="http://schemas.openxmlformats.org/officeDocument/2006/relationships/hyperlink" Target="https://www.instagram.com/shaghighatalhasan/" TargetMode="External"/><Relationship Id="rId5626" Type="http://schemas.openxmlformats.org/officeDocument/2006/relationships/hyperlink" Target="https://www.instagram.com/rozatoshoohada/" TargetMode="External"/><Relationship Id="rId6957" Type="http://schemas.openxmlformats.org/officeDocument/2006/relationships/hyperlink" Target="https://www.yadegaran.info" TargetMode="External"/><Relationship Id="rId5627" Type="http://schemas.openxmlformats.org/officeDocument/2006/relationships/hyperlink" Target="https://www.instagram.com/alzahra125.ir/" TargetMode="External"/><Relationship Id="rId6958" Type="http://schemas.openxmlformats.org/officeDocument/2006/relationships/hyperlink" Target="https://www.instagram.com/gomnaminfo/" TargetMode="External"/><Relationship Id="rId5624" Type="http://schemas.openxmlformats.org/officeDocument/2006/relationships/hyperlink" Target="https://www.instagram.com/roghayehjan_info/" TargetMode="External"/><Relationship Id="rId6955" Type="http://schemas.openxmlformats.org/officeDocument/2006/relationships/hyperlink" Target="https://www.instagram.com/maktabalzahra.arak/" TargetMode="External"/><Relationship Id="rId5625" Type="http://schemas.openxmlformats.org/officeDocument/2006/relationships/hyperlink" Target="https://www.instagram.com/heyate_karimahlebeyt" TargetMode="External"/><Relationship Id="rId6956" Type="http://schemas.openxmlformats.org/officeDocument/2006/relationships/hyperlink" Target="https://eitaa.com/yadegaran_info" TargetMode="External"/><Relationship Id="rId5628" Type="http://schemas.openxmlformats.org/officeDocument/2006/relationships/hyperlink" Target="https://www.instagram.com/mf_mahdijan/" TargetMode="External"/><Relationship Id="rId6959" Type="http://schemas.openxmlformats.org/officeDocument/2006/relationships/hyperlink" Target="https://eitaa.com/gomnaminfo" TargetMode="External"/><Relationship Id="rId5629" Type="http://schemas.openxmlformats.org/officeDocument/2006/relationships/hyperlink" Target="https://www.instagram.com/lasarat_qazvin/" TargetMode="External"/><Relationship Id="rId437" Type="http://schemas.openxmlformats.org/officeDocument/2006/relationships/hyperlink" Target="https://www.instagram.com/ansarolhosein.fk/" TargetMode="External"/><Relationship Id="rId436" Type="http://schemas.openxmlformats.org/officeDocument/2006/relationships/hyperlink" Target="https://eitaa.com/jannatgroup" TargetMode="External"/><Relationship Id="rId435" Type="http://schemas.openxmlformats.org/officeDocument/2006/relationships/hyperlink" Target="https://t.me/jannatgroup" TargetMode="External"/><Relationship Id="rId434" Type="http://schemas.openxmlformats.org/officeDocument/2006/relationships/hyperlink" Target="https://www.instagram.com/hosseiniha.ir" TargetMode="External"/><Relationship Id="rId439" Type="http://schemas.openxmlformats.org/officeDocument/2006/relationships/hyperlink" Target="https://t.me/moheban_ahlebeyt" TargetMode="External"/><Relationship Id="rId438" Type="http://schemas.openxmlformats.org/officeDocument/2006/relationships/hyperlink" Target="https://www.instagram.com/moheban_ahlebeyt/" TargetMode="External"/><Relationship Id="rId6950" Type="http://schemas.openxmlformats.org/officeDocument/2006/relationships/hyperlink" Target="https://eitaa.com/ansarozahraarak" TargetMode="External"/><Relationship Id="rId433" Type="http://schemas.openxmlformats.org/officeDocument/2006/relationships/hyperlink" Target="https://www.instagram.com/beit_alroghaye_315/" TargetMode="External"/><Relationship Id="rId5622" Type="http://schemas.openxmlformats.org/officeDocument/2006/relationships/hyperlink" Target="https://t.me/khakneshinan_ir" TargetMode="External"/><Relationship Id="rId6953" Type="http://schemas.openxmlformats.org/officeDocument/2006/relationships/hyperlink" Target="https://eitaa.com/homaarak" TargetMode="External"/><Relationship Id="rId432" Type="http://schemas.openxmlformats.org/officeDocument/2006/relationships/hyperlink" Target="https://www.instagram.com/beitolhasani_ir" TargetMode="External"/><Relationship Id="rId5623" Type="http://schemas.openxmlformats.org/officeDocument/2006/relationships/hyperlink" Target="https://eitaa.com/masjedesz" TargetMode="External"/><Relationship Id="rId6954" Type="http://schemas.openxmlformats.org/officeDocument/2006/relationships/hyperlink" Target="https://www.instagram.com/heyat_mohibin/" TargetMode="External"/><Relationship Id="rId431" Type="http://schemas.openxmlformats.org/officeDocument/2006/relationships/hyperlink" Target="https://www.instagram.com/hasanieh_ir/" TargetMode="External"/><Relationship Id="rId5620" Type="http://schemas.openxmlformats.org/officeDocument/2006/relationships/hyperlink" Target="https://www.instagram.com/mohebanaliakbar_qazvin/" TargetMode="External"/><Relationship Id="rId6951" Type="http://schemas.openxmlformats.org/officeDocument/2006/relationships/hyperlink" Target="https://www.instagram.com/fatemioon_senejan/" TargetMode="External"/><Relationship Id="rId430" Type="http://schemas.openxmlformats.org/officeDocument/2006/relationships/hyperlink" Target="https://eitaa.com/mahdieh1fri" TargetMode="External"/><Relationship Id="rId5621" Type="http://schemas.openxmlformats.org/officeDocument/2006/relationships/hyperlink" Target="https://www.instagram.com/khakneshinan_ir/" TargetMode="External"/><Relationship Id="rId6952" Type="http://schemas.openxmlformats.org/officeDocument/2006/relationships/hyperlink" Target="https://www.instagram.com/ghadirion_ir/" TargetMode="External"/><Relationship Id="rId6108" Type="http://schemas.openxmlformats.org/officeDocument/2006/relationships/hyperlink" Target="http://t.me/asheghan_abolfazl_1396" TargetMode="External"/><Relationship Id="rId6109" Type="http://schemas.openxmlformats.org/officeDocument/2006/relationships/hyperlink" Target="https://www.instagram.com/ashooraeishahmirzad/" TargetMode="External"/><Relationship Id="rId7439" Type="http://schemas.openxmlformats.org/officeDocument/2006/relationships/hyperlink" Target="https://www.instagram.com/heyat_motavaslin_m_belal/" TargetMode="External"/><Relationship Id="rId7430" Type="http://schemas.openxmlformats.org/officeDocument/2006/relationships/hyperlink" Target="https://eitaa.com/heyat_razmandegan_lorestan" TargetMode="External"/><Relationship Id="rId8761" Type="http://schemas.openxmlformats.org/officeDocument/2006/relationships/hyperlink" Target="https://www.instagram.com/hasanieh_qom/" TargetMode="External"/><Relationship Id="rId8760" Type="http://schemas.openxmlformats.org/officeDocument/2006/relationships/hyperlink" Target="https://www.youtube.com/@H.alnajafiye" TargetMode="External"/><Relationship Id="rId6102" Type="http://schemas.openxmlformats.org/officeDocument/2006/relationships/hyperlink" Target="https://www.instagram.com/ammeyesadatdamghan/" TargetMode="External"/><Relationship Id="rId7434" Type="http://schemas.openxmlformats.org/officeDocument/2006/relationships/hyperlink" Target="https://www.instagram.com/eheyat_azna/" TargetMode="External"/><Relationship Id="rId8765" Type="http://schemas.openxmlformats.org/officeDocument/2006/relationships/hyperlink" Target="https://eitaa.com/hazrat_mahdi" TargetMode="External"/><Relationship Id="rId6103" Type="http://schemas.openxmlformats.org/officeDocument/2006/relationships/hyperlink" Target="http://t.me/ammehsadat69" TargetMode="External"/><Relationship Id="rId7433" Type="http://schemas.openxmlformats.org/officeDocument/2006/relationships/hyperlink" Target="https://www.instagram.com/heiat.zeinabeun.mamasani/" TargetMode="External"/><Relationship Id="rId8764" Type="http://schemas.openxmlformats.org/officeDocument/2006/relationships/hyperlink" Target="https://eitaa.com/Heyatemamreza_qom" TargetMode="External"/><Relationship Id="rId6100" Type="http://schemas.openxmlformats.org/officeDocument/2006/relationships/hyperlink" Target="https://t.me/alamdar_shahrood" TargetMode="External"/><Relationship Id="rId7432" Type="http://schemas.openxmlformats.org/officeDocument/2006/relationships/hyperlink" Target="https://eitaa.com/mohebanazna14" TargetMode="External"/><Relationship Id="rId8763" Type="http://schemas.openxmlformats.org/officeDocument/2006/relationships/hyperlink" Target="https://www.instagram.com/heyatemamreza_qom/" TargetMode="External"/><Relationship Id="rId6101" Type="http://schemas.openxmlformats.org/officeDocument/2006/relationships/hyperlink" Target="https://www.instagram.com/aliasghar.1380.ir/" TargetMode="External"/><Relationship Id="rId7431" Type="http://schemas.openxmlformats.org/officeDocument/2006/relationships/hyperlink" Target="https://www.instagram.com/heyat_khademolabbas_azna/" TargetMode="External"/><Relationship Id="rId8762" Type="http://schemas.openxmlformats.org/officeDocument/2006/relationships/hyperlink" Target="https://www.instagram.com/heyat_emamreza.qom/" TargetMode="External"/><Relationship Id="rId6106" Type="http://schemas.openxmlformats.org/officeDocument/2006/relationships/hyperlink" Target="https://www.instagram.com/ansaroreza_damghan/" TargetMode="External"/><Relationship Id="rId7438" Type="http://schemas.openxmlformats.org/officeDocument/2006/relationships/hyperlink" Target="https://www.instagram.com/heyat_lu/" TargetMode="External"/><Relationship Id="rId8769" Type="http://schemas.openxmlformats.org/officeDocument/2006/relationships/hyperlink" Target="https://www.instagram.com/hoseyniyeh_hamedani_ha/" TargetMode="External"/><Relationship Id="rId6107" Type="http://schemas.openxmlformats.org/officeDocument/2006/relationships/hyperlink" Target="https://www.instagram.com/asheghan_abolfazl_1396/" TargetMode="External"/><Relationship Id="rId7437" Type="http://schemas.openxmlformats.org/officeDocument/2006/relationships/hyperlink" Target="https://www.instagram.com/janathoosin1381/" TargetMode="External"/><Relationship Id="rId8768" Type="http://schemas.openxmlformats.org/officeDocument/2006/relationships/hyperlink" Target="https://www.instagram.com/ansaralzahra135/" TargetMode="External"/><Relationship Id="rId6104" Type="http://schemas.openxmlformats.org/officeDocument/2006/relationships/hyperlink" Target="https://www.instagram.com/ansarolreza_semnan/" TargetMode="External"/><Relationship Id="rId7436" Type="http://schemas.openxmlformats.org/officeDocument/2006/relationships/hyperlink" Target="http://telegram.me/heyatalamdar" TargetMode="External"/><Relationship Id="rId8767" Type="http://schemas.openxmlformats.org/officeDocument/2006/relationships/hyperlink" Target="https://eitaa.com/doteflanemoslem" TargetMode="External"/><Relationship Id="rId6105" Type="http://schemas.openxmlformats.org/officeDocument/2006/relationships/hyperlink" Target="https://t.me/a_ro_reza" TargetMode="External"/><Relationship Id="rId7435" Type="http://schemas.openxmlformats.org/officeDocument/2006/relationships/hyperlink" Target="https://www.instagram.com/heyaat_alamdar/" TargetMode="External"/><Relationship Id="rId8766" Type="http://schemas.openxmlformats.org/officeDocument/2006/relationships/hyperlink" Target="https://www.instagram.com/heyat_amiralmomenin_qom/" TargetMode="External"/><Relationship Id="rId7429" Type="http://schemas.openxmlformats.org/officeDocument/2006/relationships/hyperlink" Target="https://www.instagram.com/mahfel_e_alamdar/" TargetMode="External"/><Relationship Id="rId7428" Type="http://schemas.openxmlformats.org/officeDocument/2006/relationships/hyperlink" Target="https://www.instagram.com/heyat_raitolabbas_azna/" TargetMode="External"/><Relationship Id="rId8759" Type="http://schemas.openxmlformats.org/officeDocument/2006/relationships/hyperlink" Target="https://t.me/h_alnajafiye" TargetMode="External"/><Relationship Id="rId8750" Type="http://schemas.openxmlformats.org/officeDocument/2006/relationships/hyperlink" Target="https://t.me/AaleAli" TargetMode="External"/><Relationship Id="rId7423" Type="http://schemas.openxmlformats.org/officeDocument/2006/relationships/hyperlink" Target="https://www.instagram.com/kazemiuon313/" TargetMode="External"/><Relationship Id="rId8754" Type="http://schemas.openxmlformats.org/officeDocument/2006/relationships/hyperlink" Target="https://eitaa.com/ThedelegationofHazratAbulfazl" TargetMode="External"/><Relationship Id="rId7422" Type="http://schemas.openxmlformats.org/officeDocument/2006/relationships/hyperlink" Target="https://www.instagram.com/oshagmahdi/" TargetMode="External"/><Relationship Id="rId8753" Type="http://schemas.openxmlformats.org/officeDocument/2006/relationships/hyperlink" Target="https://www.instagram.com/heyat_abalaytam110/" TargetMode="External"/><Relationship Id="rId7421" Type="http://schemas.openxmlformats.org/officeDocument/2006/relationships/hyperlink" Target="https://eitaa.com/mohebanali1" TargetMode="External"/><Relationship Id="rId8752" Type="http://schemas.openxmlformats.org/officeDocument/2006/relationships/hyperlink" Target="https://eitaa.com/heyatabasalehqom" TargetMode="External"/><Relationship Id="rId7420" Type="http://schemas.openxmlformats.org/officeDocument/2006/relationships/hyperlink" Target="http://heyathami.ir" TargetMode="External"/><Relationship Id="rId8751" Type="http://schemas.openxmlformats.org/officeDocument/2006/relationships/hyperlink" Target="https://www.instagram.com/kadhimain_qom/" TargetMode="External"/><Relationship Id="rId7427" Type="http://schemas.openxmlformats.org/officeDocument/2006/relationships/hyperlink" Target="https://www.instagram.com/majanin_al_abas133/" TargetMode="External"/><Relationship Id="rId8758" Type="http://schemas.openxmlformats.org/officeDocument/2006/relationships/hyperlink" Target="https://www.instagram.com/h_alnajafiye/" TargetMode="External"/><Relationship Id="rId7426" Type="http://schemas.openxmlformats.org/officeDocument/2006/relationships/hyperlink" Target="https://www.instagram.com/omolaemeh_ir/" TargetMode="External"/><Relationship Id="rId8757" Type="http://schemas.openxmlformats.org/officeDocument/2006/relationships/hyperlink" Target="https://t.me/al_zahra_com" TargetMode="External"/><Relationship Id="rId7425" Type="http://schemas.openxmlformats.org/officeDocument/2006/relationships/hyperlink" Target="http://t.me/heyatzanjirzani" TargetMode="External"/><Relationship Id="rId8756" Type="http://schemas.openxmlformats.org/officeDocument/2006/relationships/hyperlink" Target="https://www.instagram.com/alzahra_qom/" TargetMode="External"/><Relationship Id="rId7424" Type="http://schemas.openxmlformats.org/officeDocument/2006/relationships/hyperlink" Target="https://www.instagram.com/heyatzanjirzani/" TargetMode="External"/><Relationship Id="rId8755" Type="http://schemas.openxmlformats.org/officeDocument/2006/relationships/hyperlink" Target="https://www.instagram.com/huseiniye.imam.hasan/" TargetMode="External"/><Relationship Id="rId6120" Type="http://schemas.openxmlformats.org/officeDocument/2006/relationships/hyperlink" Target="https://www.instagram.com/fatemiunsemnan/" TargetMode="External"/><Relationship Id="rId7452" Type="http://schemas.openxmlformats.org/officeDocument/2006/relationships/hyperlink" Target="https://www.instagram.com/Aleya30n/" TargetMode="External"/><Relationship Id="rId8783" Type="http://schemas.openxmlformats.org/officeDocument/2006/relationships/hyperlink" Target="https://eitaa.com/haramolhasanqom" TargetMode="External"/><Relationship Id="rId6121" Type="http://schemas.openxmlformats.org/officeDocument/2006/relationships/hyperlink" Target="https://t.me/fatemiunsemnan" TargetMode="External"/><Relationship Id="rId7451" Type="http://schemas.openxmlformats.org/officeDocument/2006/relationships/hyperlink" Target="https://www.instagram.com/heiat_amir/" TargetMode="External"/><Relationship Id="rId8782" Type="http://schemas.openxmlformats.org/officeDocument/2006/relationships/hyperlink" Target="https://www.instagram.com/haramolhasanqom1438/" TargetMode="External"/><Relationship Id="rId7450" Type="http://schemas.openxmlformats.org/officeDocument/2006/relationships/hyperlink" Target="https://www.instagram.com/maktabool_zeinab_69/" TargetMode="External"/><Relationship Id="rId8781" Type="http://schemas.openxmlformats.org/officeDocument/2006/relationships/hyperlink" Target="https://eitaa.com/heiat_javanan_qom_1" TargetMode="External"/><Relationship Id="rId8780" Type="http://schemas.openxmlformats.org/officeDocument/2006/relationships/hyperlink" Target="https://www.instagram.com/heiat_javanan_qom_1/" TargetMode="External"/><Relationship Id="rId6124" Type="http://schemas.openxmlformats.org/officeDocument/2006/relationships/hyperlink" Target="https://www.instagram.com/h_razmandegan_semnan/" TargetMode="External"/><Relationship Id="rId7456" Type="http://schemas.openxmlformats.org/officeDocument/2006/relationships/hyperlink" Target="https://eitaa.com/Masjednakhi" TargetMode="External"/><Relationship Id="rId8787" Type="http://schemas.openxmlformats.org/officeDocument/2006/relationships/hyperlink" Target="https://eitaa.com/Heyataliakbarqom" TargetMode="External"/><Relationship Id="rId6125" Type="http://schemas.openxmlformats.org/officeDocument/2006/relationships/hyperlink" Target="https://www.instagram.com/hazratghasem_/" TargetMode="External"/><Relationship Id="rId7455" Type="http://schemas.openxmlformats.org/officeDocument/2006/relationships/hyperlink" Target="https://www.instagram.com/mohebingoleyas/" TargetMode="External"/><Relationship Id="rId8786" Type="http://schemas.openxmlformats.org/officeDocument/2006/relationships/hyperlink" Target="http://heiataliasgharqom.ir" TargetMode="External"/><Relationship Id="rId6122" Type="http://schemas.openxmlformats.org/officeDocument/2006/relationships/hyperlink" Target="https://www.instagram.com/ghatlegah_semnan/" TargetMode="External"/><Relationship Id="rId7454" Type="http://schemas.openxmlformats.org/officeDocument/2006/relationships/hyperlink" Target="https://www.instagram.com/mohebin_ale_yassin/" TargetMode="External"/><Relationship Id="rId8785" Type="http://schemas.openxmlformats.org/officeDocument/2006/relationships/hyperlink" Target="https://www.instagram.com/heiate.aliasghar" TargetMode="External"/><Relationship Id="rId6123" Type="http://schemas.openxmlformats.org/officeDocument/2006/relationships/hyperlink" Target="https://t.me/ghatlegah_semnan" TargetMode="External"/><Relationship Id="rId7453" Type="http://schemas.openxmlformats.org/officeDocument/2006/relationships/hyperlink" Target="http://tlgrm.me//aleya30n" TargetMode="External"/><Relationship Id="rId8784" Type="http://schemas.openxmlformats.org/officeDocument/2006/relationships/hyperlink" Target="https://www.instagram.com/beitol_ahzan_fatemeh_zahra/" TargetMode="External"/><Relationship Id="rId6128" Type="http://schemas.openxmlformats.org/officeDocument/2006/relationships/hyperlink" Target="https://www.instagram.com/heyat_aliakbar_garmsar/" TargetMode="External"/><Relationship Id="rId6129" Type="http://schemas.openxmlformats.org/officeDocument/2006/relationships/hyperlink" Target="https://www.instagram.com/heyat_ansarshohada/" TargetMode="External"/><Relationship Id="rId7459" Type="http://schemas.openxmlformats.org/officeDocument/2006/relationships/hyperlink" Target="https://eitaa.com/mohebinroghayeh" TargetMode="External"/><Relationship Id="rId6126" Type="http://schemas.openxmlformats.org/officeDocument/2006/relationships/hyperlink" Target="https://www.instagram.com/heiatozahra.ir/" TargetMode="External"/><Relationship Id="rId7458" Type="http://schemas.openxmlformats.org/officeDocument/2006/relationships/hyperlink" Target="https://www.instagram.com/javananbnihashm/" TargetMode="External"/><Relationship Id="rId8789" Type="http://schemas.openxmlformats.org/officeDocument/2006/relationships/hyperlink" Target="http://t.me/heyat_aliakbar_qom" TargetMode="External"/><Relationship Id="rId6127" Type="http://schemas.openxmlformats.org/officeDocument/2006/relationships/hyperlink" Target="http://t.me/heiatolzahra_ir" TargetMode="External"/><Relationship Id="rId7457" Type="http://schemas.openxmlformats.org/officeDocument/2006/relationships/hyperlink" Target="https://www.instagram.com/heiiat_shohaday_gomnam/" TargetMode="External"/><Relationship Id="rId8788" Type="http://schemas.openxmlformats.org/officeDocument/2006/relationships/hyperlink" Target="https://www.instagram.com/heyat_aliakbar_qom/" TargetMode="External"/><Relationship Id="rId6119" Type="http://schemas.openxmlformats.org/officeDocument/2006/relationships/hyperlink" Target="http://t.me/heyat_emamhossein_semnan" TargetMode="External"/><Relationship Id="rId7441" Type="http://schemas.openxmlformats.org/officeDocument/2006/relationships/hyperlink" Target="https://www.instagram.com/abalfazl.mamasani/" TargetMode="External"/><Relationship Id="rId8772" Type="http://schemas.openxmlformats.org/officeDocument/2006/relationships/hyperlink" Target="https://eitaa.com/razaviekh8" TargetMode="External"/><Relationship Id="rId6110" Type="http://schemas.openxmlformats.org/officeDocument/2006/relationships/hyperlink" Target="https://www.instagram.com/bano_madene/" TargetMode="External"/><Relationship Id="rId7440" Type="http://schemas.openxmlformats.org/officeDocument/2006/relationships/hyperlink" Target="http://t.me/heyat_motavaslin_m_belal" TargetMode="External"/><Relationship Id="rId8771" Type="http://schemas.openxmlformats.org/officeDocument/2006/relationships/hyperlink" Target="https://eitaa.com/banealzahra_ir" TargetMode="External"/><Relationship Id="rId8770" Type="http://schemas.openxmlformats.org/officeDocument/2006/relationships/hyperlink" Target="https://www.instagram.com/banealzahra_ir/" TargetMode="External"/><Relationship Id="rId6113" Type="http://schemas.openxmlformats.org/officeDocument/2006/relationships/hyperlink" Target="https://www.instagram.com/beytozahra_semnan/" TargetMode="External"/><Relationship Id="rId7445" Type="http://schemas.openxmlformats.org/officeDocument/2006/relationships/hyperlink" Target="https://eitaa.com/b_zahra_ir" TargetMode="External"/><Relationship Id="rId8776" Type="http://schemas.openxmlformats.org/officeDocument/2006/relationships/hyperlink" Target="https://eitaa.com/Heyat_tasooa" TargetMode="External"/><Relationship Id="rId6114" Type="http://schemas.openxmlformats.org/officeDocument/2006/relationships/hyperlink" Target="http://t.me/beytozahrasemnan" TargetMode="External"/><Relationship Id="rId7444" Type="http://schemas.openxmlformats.org/officeDocument/2006/relationships/hyperlink" Target="https://www.instagram.com/h_ghosalfoghara/" TargetMode="External"/><Relationship Id="rId8775" Type="http://schemas.openxmlformats.org/officeDocument/2006/relationships/hyperlink" Target="https://www.instagram.com/heyat_tasooa_qom/" TargetMode="External"/><Relationship Id="rId6111" Type="http://schemas.openxmlformats.org/officeDocument/2006/relationships/hyperlink" Target="https://www.instagram.com/beytolabbas_semnan/" TargetMode="External"/><Relationship Id="rId7443" Type="http://schemas.openxmlformats.org/officeDocument/2006/relationships/hyperlink" Target="http://eitaa.com/noooralzahra" TargetMode="External"/><Relationship Id="rId8774" Type="http://schemas.openxmlformats.org/officeDocument/2006/relationships/hyperlink" Target="https://t.me/beyt_al_sajjad_offical" TargetMode="External"/><Relationship Id="rId6112" Type="http://schemas.openxmlformats.org/officeDocument/2006/relationships/hyperlink" Target="https://t.me/beyt133" TargetMode="External"/><Relationship Id="rId7442" Type="http://schemas.openxmlformats.org/officeDocument/2006/relationships/hyperlink" Target="https://www.instagram.com/nooor.alzahra/" TargetMode="External"/><Relationship Id="rId8773" Type="http://schemas.openxmlformats.org/officeDocument/2006/relationships/hyperlink" Target="https://www.instagram.com/beyt_al_sajjad_offical/" TargetMode="External"/><Relationship Id="rId6117" Type="http://schemas.openxmlformats.org/officeDocument/2006/relationships/hyperlink" Target="https://www.instagram.com/darolboka_128/" TargetMode="External"/><Relationship Id="rId7449" Type="http://schemas.openxmlformats.org/officeDocument/2006/relationships/hyperlink" Target="https://www.instagram.com/roghayeh_bentolhossein/" TargetMode="External"/><Relationship Id="rId6118" Type="http://schemas.openxmlformats.org/officeDocument/2006/relationships/hyperlink" Target="https://www.instagram.com/emam.hossein.semnan/" TargetMode="External"/><Relationship Id="rId7448" Type="http://schemas.openxmlformats.org/officeDocument/2006/relationships/hyperlink" Target="https://www.instagram.com/heyateshahemardan/" TargetMode="External"/><Relationship Id="rId8779" Type="http://schemas.openxmlformats.org/officeDocument/2006/relationships/hyperlink" Target="https://eitaa.com/jannatorreza401" TargetMode="External"/><Relationship Id="rId6115" Type="http://schemas.openxmlformats.org/officeDocument/2006/relationships/hyperlink" Target="https://www.instagram.com/bi_haram118/" TargetMode="External"/><Relationship Id="rId7447" Type="http://schemas.openxmlformats.org/officeDocument/2006/relationships/hyperlink" Target="https://www.instagram.com/nooralshohada_31/" TargetMode="External"/><Relationship Id="rId8778" Type="http://schemas.openxmlformats.org/officeDocument/2006/relationships/hyperlink" Target="https://t.me/jannatalhoseinqom" TargetMode="External"/><Relationship Id="rId6116" Type="http://schemas.openxmlformats.org/officeDocument/2006/relationships/hyperlink" Target="https://www.instagram.com/dabaghan_dm" TargetMode="External"/><Relationship Id="rId7446" Type="http://schemas.openxmlformats.org/officeDocument/2006/relationships/hyperlink" Target="https://www.instagram.com/roqayeh_bent_hosein_/" TargetMode="External"/><Relationship Id="rId8777" Type="http://schemas.openxmlformats.org/officeDocument/2006/relationships/hyperlink" Target="https://www.instagram.com/jannatalhoseinqom/" TargetMode="External"/><Relationship Id="rId8729" Type="http://schemas.openxmlformats.org/officeDocument/2006/relationships/hyperlink" Target="https://www.instagram.com/mohebbin_com/" TargetMode="External"/><Relationship Id="rId8728" Type="http://schemas.openxmlformats.org/officeDocument/2006/relationships/hyperlink" Target="https://www.instagram.com/moheban.sarallah_qom/" TargetMode="External"/><Relationship Id="rId8727" Type="http://schemas.openxmlformats.org/officeDocument/2006/relationships/hyperlink" Target="https://eitaa.com/moheban4" TargetMode="External"/><Relationship Id="rId8726" Type="http://schemas.openxmlformats.org/officeDocument/2006/relationships/hyperlink" Target="https://t.me/majmaa_javanan_karbalaii" TargetMode="External"/><Relationship Id="rId1" Type="http://schemas.openxmlformats.org/officeDocument/2006/relationships/hyperlink" Target="https://www.instagram.com/hsaf24/" TargetMode="External"/><Relationship Id="rId2" Type="http://schemas.openxmlformats.org/officeDocument/2006/relationships/hyperlink" Target="https://t.me/hsaf24/" TargetMode="External"/><Relationship Id="rId3" Type="http://schemas.openxmlformats.org/officeDocument/2006/relationships/hyperlink" Target="https://eitaa.com/hsaf24" TargetMode="External"/><Relationship Id="rId4" Type="http://schemas.openxmlformats.org/officeDocument/2006/relationships/hyperlink" Target="https://www.instagram.com/rahrovanshohada.ir/" TargetMode="External"/><Relationship Id="rId9" Type="http://schemas.openxmlformats.org/officeDocument/2006/relationships/hyperlink" Target="https://www.instagram.com/yalesarat.amol" TargetMode="External"/><Relationship Id="rId8721" Type="http://schemas.openxmlformats.org/officeDocument/2006/relationships/hyperlink" Target="https://t.me/kafil_zeynab_qom/" TargetMode="External"/><Relationship Id="rId8720" Type="http://schemas.openxmlformats.org/officeDocument/2006/relationships/hyperlink" Target="https://www.instagram.com/kafil_zeynab_qom/" TargetMode="External"/><Relationship Id="rId5" Type="http://schemas.openxmlformats.org/officeDocument/2006/relationships/hyperlink" Target="https://t.me/rsa1370" TargetMode="External"/><Relationship Id="rId8725" Type="http://schemas.openxmlformats.org/officeDocument/2006/relationships/hyperlink" Target="https://www.instagram.com/majmaa_javanan_karbalaii/" TargetMode="External"/><Relationship Id="rId6" Type="http://schemas.openxmlformats.org/officeDocument/2006/relationships/hyperlink" Target="https://eitaa.com/rahrovan_shohada1370" TargetMode="External"/><Relationship Id="rId8724" Type="http://schemas.openxmlformats.org/officeDocument/2006/relationships/hyperlink" Target="https://eitaa.com/almontazerin_ir" TargetMode="External"/><Relationship Id="rId7" Type="http://schemas.openxmlformats.org/officeDocument/2006/relationships/hyperlink" Target="https://www.instagram.com/hasanioun.info/" TargetMode="External"/><Relationship Id="rId8723" Type="http://schemas.openxmlformats.org/officeDocument/2006/relationships/hyperlink" Target="https://www.instagram.com/almontazerin" TargetMode="External"/><Relationship Id="rId8" Type="http://schemas.openxmlformats.org/officeDocument/2006/relationships/hyperlink" Target="https://eitaa.com/EmamHasanMojtabba" TargetMode="External"/><Relationship Id="rId8722" Type="http://schemas.openxmlformats.org/officeDocument/2006/relationships/hyperlink" Target="https://www.instagram.com/majanin_qom/" TargetMode="External"/><Relationship Id="rId8718" Type="http://schemas.openxmlformats.org/officeDocument/2006/relationships/hyperlink" Target="https://www.instagram.com/h.karimeh/" TargetMode="External"/><Relationship Id="rId8717" Type="http://schemas.openxmlformats.org/officeDocument/2006/relationships/hyperlink" Target="https://eitaa.com/emam_hasan_jan" TargetMode="External"/><Relationship Id="rId8716" Type="http://schemas.openxmlformats.org/officeDocument/2006/relationships/hyperlink" Target="https://eitaa.com/qamarbanihashemqom" TargetMode="External"/><Relationship Id="rId8715" Type="http://schemas.openxmlformats.org/officeDocument/2006/relationships/hyperlink" Target="https://www.instagram.com/ghamarbh/" TargetMode="External"/><Relationship Id="rId8719" Type="http://schemas.openxmlformats.org/officeDocument/2006/relationships/hyperlink" Target="http://t.me/heiatkarimeh" TargetMode="External"/><Relationship Id="rId8710" Type="http://schemas.openxmlformats.org/officeDocument/2006/relationships/hyperlink" Target="https://eitaa.com/feghhoshahadat" TargetMode="External"/><Relationship Id="rId8714" Type="http://schemas.openxmlformats.org/officeDocument/2006/relationships/hyperlink" Target="https://t.me/ghamaralhosein" TargetMode="External"/><Relationship Id="rId8713" Type="http://schemas.openxmlformats.org/officeDocument/2006/relationships/hyperlink" Target="https://www.instagram.com/heyat_ghamar_alhosein/" TargetMode="External"/><Relationship Id="rId8712" Type="http://schemas.openxmlformats.org/officeDocument/2006/relationships/hyperlink" Target="https://t.me/qasemebnhasanqom" TargetMode="External"/><Relationship Id="rId8711" Type="http://schemas.openxmlformats.org/officeDocument/2006/relationships/hyperlink" Target="https://www.instagram.com/qasemebnhasanqom/" TargetMode="External"/><Relationship Id="rId7419" Type="http://schemas.openxmlformats.org/officeDocument/2006/relationships/hyperlink" Target="https://www.instagram.com/jehadi_group/" TargetMode="External"/><Relationship Id="rId7418" Type="http://schemas.openxmlformats.org/officeDocument/2006/relationships/hyperlink" Target="http://t.me/oshaq_zahra_alg" TargetMode="External"/><Relationship Id="rId8749" Type="http://schemas.openxmlformats.org/officeDocument/2006/relationships/hyperlink" Target="https://www.instagram.com/aaleali.qom/" TargetMode="External"/><Relationship Id="rId7417" Type="http://schemas.openxmlformats.org/officeDocument/2006/relationships/hyperlink" Target="https://www.instagram.com/oshaghozahra_aligoodarz/" TargetMode="External"/><Relationship Id="rId8748" Type="http://schemas.openxmlformats.org/officeDocument/2006/relationships/hyperlink" Target="https://www.instagram.com/yavaranzeinabqom/" TargetMode="External"/><Relationship Id="rId7412" Type="http://schemas.openxmlformats.org/officeDocument/2006/relationships/hyperlink" Target="https://www.instagram.com/majmae_heydrioon/" TargetMode="External"/><Relationship Id="rId8743" Type="http://schemas.openxmlformats.org/officeDocument/2006/relationships/hyperlink" Target="https://www.instagram.com/ham.naleh.ba.roghayeh/" TargetMode="External"/><Relationship Id="rId7411" Type="http://schemas.openxmlformats.org/officeDocument/2006/relationships/hyperlink" Target="https://www.instagram.com/ansarhussainie.brj/" TargetMode="External"/><Relationship Id="rId8742" Type="http://schemas.openxmlformats.org/officeDocument/2006/relationships/hyperlink" Target="https://eitaa.com/montazerane_mahdi_heyat" TargetMode="External"/><Relationship Id="rId7410" Type="http://schemas.openxmlformats.org/officeDocument/2006/relationships/hyperlink" Target="https://www.instagram.com/h_ansarolabbas_brj/" TargetMode="External"/><Relationship Id="rId8741" Type="http://schemas.openxmlformats.org/officeDocument/2006/relationships/hyperlink" Target="https://www.instagram.com/montazerane_mahdi_heyat" TargetMode="External"/><Relationship Id="rId8740" Type="http://schemas.openxmlformats.org/officeDocument/2006/relationships/hyperlink" Target="https://t.me/montazeranfaraj1389" TargetMode="External"/><Relationship Id="rId7416" Type="http://schemas.openxmlformats.org/officeDocument/2006/relationships/hyperlink" Target="https://www.instagram.com/info_rnd/" TargetMode="External"/><Relationship Id="rId8747" Type="http://schemas.openxmlformats.org/officeDocument/2006/relationships/hyperlink" Target="https://www.instagram.com/r.yalesaratalhoseine_qom/" TargetMode="External"/><Relationship Id="rId7415" Type="http://schemas.openxmlformats.org/officeDocument/2006/relationships/hyperlink" Target="http://t.me/javadalaemeh95" TargetMode="External"/><Relationship Id="rId8746" Type="http://schemas.openxmlformats.org/officeDocument/2006/relationships/hyperlink" Target="https://t.me/yaroghaiehe_ir" TargetMode="External"/><Relationship Id="rId7414" Type="http://schemas.openxmlformats.org/officeDocument/2006/relationships/hyperlink" Target="https://www.instagram.com/javadalaemeh/" TargetMode="External"/><Relationship Id="rId8745" Type="http://schemas.openxmlformats.org/officeDocument/2006/relationships/hyperlink" Target="https://www.instagram.com/yaroghaiehe_ir/" TargetMode="External"/><Relationship Id="rId7413" Type="http://schemas.openxmlformats.org/officeDocument/2006/relationships/hyperlink" Target="https://eitaa.com/mohebin1373" TargetMode="External"/><Relationship Id="rId8744" Type="http://schemas.openxmlformats.org/officeDocument/2006/relationships/hyperlink" Target="http://t.me/hamnaleh_baroghayeh" TargetMode="External"/><Relationship Id="rId7409" Type="http://schemas.openxmlformats.org/officeDocument/2006/relationships/hyperlink" Target="http://t.me/ansar_khorramabad" TargetMode="External"/><Relationship Id="rId7408" Type="http://schemas.openxmlformats.org/officeDocument/2006/relationships/hyperlink" Target="https://www.instagram.com/ansar_khorramabad/" TargetMode="External"/><Relationship Id="rId8739" Type="http://schemas.openxmlformats.org/officeDocument/2006/relationships/hyperlink" Target="https://www.instagram.com/montazeranfaraj.ir/" TargetMode="External"/><Relationship Id="rId7407" Type="http://schemas.openxmlformats.org/officeDocument/2006/relationships/hyperlink" Target="https://eitaa.com/beytalhasan_com" TargetMode="External"/><Relationship Id="rId8738" Type="http://schemas.openxmlformats.org/officeDocument/2006/relationships/hyperlink" Target="https://www.instagram.com/maktab_69_zeynab/" TargetMode="External"/><Relationship Id="rId7406" Type="http://schemas.openxmlformats.org/officeDocument/2006/relationships/hyperlink" Target="https://eitaa.com/masjed_ghods1402" TargetMode="External"/><Relationship Id="rId8737" Type="http://schemas.openxmlformats.org/officeDocument/2006/relationships/hyperlink" Target="https://www.instagram.com/mesbahalhoda_ir/" TargetMode="External"/><Relationship Id="rId7401" Type="http://schemas.openxmlformats.org/officeDocument/2006/relationships/hyperlink" Target="https://t.me/maktab_all_hosein_khoramabad" TargetMode="External"/><Relationship Id="rId8732" Type="http://schemas.openxmlformats.org/officeDocument/2006/relationships/hyperlink" Target="https://www.instagram.com/mohebin.h.masomeh/" TargetMode="External"/><Relationship Id="rId7400" Type="http://schemas.openxmlformats.org/officeDocument/2006/relationships/hyperlink" Target="https://www.instagram.com/maktabalhosein.128/" TargetMode="External"/><Relationship Id="rId8731" Type="http://schemas.openxmlformats.org/officeDocument/2006/relationships/hyperlink" Target="https://eitaa.com/aliakbar_heyatt" TargetMode="External"/><Relationship Id="rId8730" Type="http://schemas.openxmlformats.org/officeDocument/2006/relationships/hyperlink" Target="https://www.instagram.com/shahzade_aliakbarr/" TargetMode="External"/><Relationship Id="rId7405" Type="http://schemas.openxmlformats.org/officeDocument/2006/relationships/hyperlink" Target="https://www.instagram.com/sahebzolfaghar/" TargetMode="External"/><Relationship Id="rId8736" Type="http://schemas.openxmlformats.org/officeDocument/2006/relationships/hyperlink" Target="https://www.instagram.com/moridane_zeynab/" TargetMode="External"/><Relationship Id="rId7404" Type="http://schemas.openxmlformats.org/officeDocument/2006/relationships/hyperlink" Target="https://www.instagram.com/mooheban/" TargetMode="External"/><Relationship Id="rId8735" Type="http://schemas.openxmlformats.org/officeDocument/2006/relationships/hyperlink" Target="https://eitaa.com/ansarhosein1437" TargetMode="External"/><Relationship Id="rId7403" Type="http://schemas.openxmlformats.org/officeDocument/2006/relationships/hyperlink" Target="https://www.instagram.com/seyedoshohadaaa/" TargetMode="External"/><Relationship Id="rId8734" Type="http://schemas.openxmlformats.org/officeDocument/2006/relationships/hyperlink" Target="https://www.instagram.com/ansarhosein1437/" TargetMode="External"/><Relationship Id="rId7402" Type="http://schemas.openxmlformats.org/officeDocument/2006/relationships/hyperlink" Target="https://eitaa.com/maktab_al_hosein" TargetMode="External"/><Relationship Id="rId8733" Type="http://schemas.openxmlformats.org/officeDocument/2006/relationships/hyperlink" Target="https://eitaa.com/mohebenseedashohad" TargetMode="External"/><Relationship Id="rId3911" Type="http://schemas.openxmlformats.org/officeDocument/2006/relationships/hyperlink" Target="http://t.me/kahfalhasan" TargetMode="External"/><Relationship Id="rId3910" Type="http://schemas.openxmlformats.org/officeDocument/2006/relationships/hyperlink" Target="https://www.instagram.com/kahfalhasan_zn.ir/" TargetMode="External"/><Relationship Id="rId3913" Type="http://schemas.openxmlformats.org/officeDocument/2006/relationships/hyperlink" Target="https://www.instagram.com/noorolzahra_zn/" TargetMode="External"/><Relationship Id="rId3912" Type="http://schemas.openxmlformats.org/officeDocument/2006/relationships/hyperlink" Target="https://eitaa.com/heyat_zn" TargetMode="External"/><Relationship Id="rId3915" Type="http://schemas.openxmlformats.org/officeDocument/2006/relationships/hyperlink" Target="https://www.instagram.com/rahrovanvelaiat/" TargetMode="External"/><Relationship Id="rId3914" Type="http://schemas.openxmlformats.org/officeDocument/2006/relationships/hyperlink" Target="http://t.me/noorolzahra_zn" TargetMode="External"/><Relationship Id="rId3917" Type="http://schemas.openxmlformats.org/officeDocument/2006/relationships/hyperlink" Target="https://www.instagram.com/heyat_azadaran_hazrat_aliakbar/" TargetMode="External"/><Relationship Id="rId3916" Type="http://schemas.openxmlformats.org/officeDocument/2006/relationships/hyperlink" Target="http://tlgrm.me/rahrovanvelaiat_ir" TargetMode="External"/><Relationship Id="rId3919" Type="http://schemas.openxmlformats.org/officeDocument/2006/relationships/hyperlink" Target="https://www.instagram.com/h.yalasaratzanjan" TargetMode="External"/><Relationship Id="rId3918" Type="http://schemas.openxmlformats.org/officeDocument/2006/relationships/hyperlink" Target="https://eitaa.com/heyate_khademoshohada" TargetMode="External"/><Relationship Id="rId6190" Type="http://schemas.openxmlformats.org/officeDocument/2006/relationships/hyperlink" Target="https://www.instagram.com/semnan.mohebban/" TargetMode="External"/><Relationship Id="rId6182" Type="http://schemas.openxmlformats.org/officeDocument/2006/relationships/hyperlink" Target="https://www.instagram.com/rozatolmokhadarat/" TargetMode="External"/><Relationship Id="rId6183" Type="http://schemas.openxmlformats.org/officeDocument/2006/relationships/hyperlink" Target="https://t.me/rozatolmokhadarat" TargetMode="External"/><Relationship Id="rId6180" Type="http://schemas.openxmlformats.org/officeDocument/2006/relationships/hyperlink" Target="https://www.instagram.com/resaneh_kosar315" TargetMode="External"/><Relationship Id="rId6181" Type="http://schemas.openxmlformats.org/officeDocument/2006/relationships/hyperlink" Target="https://www.instagram.com/reyhaneh_al.hossein.board/" TargetMode="External"/><Relationship Id="rId6186" Type="http://schemas.openxmlformats.org/officeDocument/2006/relationships/hyperlink" Target="https://t.me/samen_heiat" TargetMode="External"/><Relationship Id="rId6187" Type="http://schemas.openxmlformats.org/officeDocument/2006/relationships/hyperlink" Target="https://www.instagram.com/sarallah__garmsar/" TargetMode="External"/><Relationship Id="rId6184" Type="http://schemas.openxmlformats.org/officeDocument/2006/relationships/hyperlink" Target="https://www.instagram.com/rozatoshohada_garmsar/" TargetMode="External"/><Relationship Id="rId6185" Type="http://schemas.openxmlformats.org/officeDocument/2006/relationships/hyperlink" Target="https://www.instagram.com/samen_heiat/" TargetMode="External"/><Relationship Id="rId6188" Type="http://schemas.openxmlformats.org/officeDocument/2006/relationships/hyperlink" Target="https://t.me/sarallah_garmsar" TargetMode="External"/><Relationship Id="rId6189" Type="http://schemas.openxmlformats.org/officeDocument/2006/relationships/hyperlink" Target="https://www.instagram.com/sayyed_ashohada/" TargetMode="External"/><Relationship Id="rId3900" Type="http://schemas.openxmlformats.org/officeDocument/2006/relationships/hyperlink" Target="https://eitaa.com/g_alabarat" TargetMode="External"/><Relationship Id="rId3902" Type="http://schemas.openxmlformats.org/officeDocument/2006/relationships/hyperlink" Target="https://t.me/noorozahra_info" TargetMode="External"/><Relationship Id="rId3901" Type="http://schemas.openxmlformats.org/officeDocument/2006/relationships/hyperlink" Target="https://www.instagram.com/noorozahra_info" TargetMode="External"/><Relationship Id="rId3904" Type="http://schemas.openxmlformats.org/officeDocument/2006/relationships/hyperlink" Target="https://www.instagram.com/reyhane_zn_ir/" TargetMode="External"/><Relationship Id="rId3903" Type="http://schemas.openxmlformats.org/officeDocument/2006/relationships/hyperlink" Target="https://eitaa.com/noorozahra_info/" TargetMode="External"/><Relationship Id="rId3906" Type="http://schemas.openxmlformats.org/officeDocument/2006/relationships/hyperlink" Target="https://eitaa.com/reyhane_zn_ir" TargetMode="External"/><Relationship Id="rId3905" Type="http://schemas.openxmlformats.org/officeDocument/2006/relationships/hyperlink" Target="https://t.me/reyhane_zn_ir" TargetMode="External"/><Relationship Id="rId3908" Type="http://schemas.openxmlformats.org/officeDocument/2006/relationships/hyperlink" Target="https://www.instagram.com/fatemiun.zanjan/" TargetMode="External"/><Relationship Id="rId3907" Type="http://schemas.openxmlformats.org/officeDocument/2006/relationships/hyperlink" Target="https://eitaa.com/Fadaeian_Zeynab_Gheydar" TargetMode="External"/><Relationship Id="rId3909" Type="http://schemas.openxmlformats.org/officeDocument/2006/relationships/hyperlink" Target="https://eitaa.com/fatemiunzanjan" TargetMode="External"/><Relationship Id="rId6171" Type="http://schemas.openxmlformats.org/officeDocument/2006/relationships/hyperlink" Target="https://www.instagram.com/mohebinoozahra/" TargetMode="External"/><Relationship Id="rId6172" Type="http://schemas.openxmlformats.org/officeDocument/2006/relationships/hyperlink" Target="https://www.instagram.com/mokeb_oshagh_abas_semnan/" TargetMode="External"/><Relationship Id="rId6170" Type="http://schemas.openxmlformats.org/officeDocument/2006/relationships/hyperlink" Target="https://www.instagram.com/mohebinalrasolall/" TargetMode="External"/><Relationship Id="rId6175" Type="http://schemas.openxmlformats.org/officeDocument/2006/relationships/hyperlink" Target="https://www.instagram.com/om_almasaeb_/" TargetMode="External"/><Relationship Id="rId6176" Type="http://schemas.openxmlformats.org/officeDocument/2006/relationships/hyperlink" Target="https://www.instagram.com/oshagh_alroghayeh_semnan/" TargetMode="External"/><Relationship Id="rId6173" Type="http://schemas.openxmlformats.org/officeDocument/2006/relationships/hyperlink" Target="https://www.instagram.com/nojaba_net/" TargetMode="External"/><Relationship Id="rId6174" Type="http://schemas.openxmlformats.org/officeDocument/2006/relationships/hyperlink" Target="https://www.instagram.com/noralzahra135/" TargetMode="External"/><Relationship Id="rId6179" Type="http://schemas.openxmlformats.org/officeDocument/2006/relationships/hyperlink" Target="https://www.instagram.com/gharargahe_mersad" TargetMode="External"/><Relationship Id="rId6177" Type="http://schemas.openxmlformats.org/officeDocument/2006/relationships/hyperlink" Target="https://www.instagram.com/oshagh.almahdi.semnan/" TargetMode="External"/><Relationship Id="rId6178" Type="http://schemas.openxmlformats.org/officeDocument/2006/relationships/hyperlink" Target="https://www.instagram.com/oshagholhosaingarman/" TargetMode="External"/><Relationship Id="rId3931" Type="http://schemas.openxmlformats.org/officeDocument/2006/relationships/hyperlink" Target="https://www.instagram.com/beyto_zahra_zanjan_1359/" TargetMode="External"/><Relationship Id="rId2600" Type="http://schemas.openxmlformats.org/officeDocument/2006/relationships/hyperlink" Target="https://t.me/teshnegane_alghame" TargetMode="External"/><Relationship Id="rId3930" Type="http://schemas.openxmlformats.org/officeDocument/2006/relationships/hyperlink" Target="https://eitaa.com/alamdarsaggakhanezanjan" TargetMode="External"/><Relationship Id="rId2601" Type="http://schemas.openxmlformats.org/officeDocument/2006/relationships/hyperlink" Target="https://sarallah1.blog.ir/" TargetMode="External"/><Relationship Id="rId3933" Type="http://schemas.openxmlformats.org/officeDocument/2006/relationships/hyperlink" Target="http://t.me/Heyatoljavad_Zanjan" TargetMode="External"/><Relationship Id="rId2602" Type="http://schemas.openxmlformats.org/officeDocument/2006/relationships/hyperlink" Target="https://www.instagram.com/heyat_samen1379" TargetMode="External"/><Relationship Id="rId3932" Type="http://schemas.openxmlformats.org/officeDocument/2006/relationships/hyperlink" Target="https://www.instagram.com/heyatoljavad.zanjan/" TargetMode="External"/><Relationship Id="rId2603" Type="http://schemas.openxmlformats.org/officeDocument/2006/relationships/hyperlink" Target="https://www.instagram.com/samen_alhojaj1376" TargetMode="External"/><Relationship Id="rId3935" Type="http://schemas.openxmlformats.org/officeDocument/2006/relationships/hyperlink" Target="https://www.instagram.com/heydarioonzanjan/" TargetMode="External"/><Relationship Id="rId2604" Type="http://schemas.openxmlformats.org/officeDocument/2006/relationships/hyperlink" Target="https://www.instagram.com/ahraar_ir" TargetMode="External"/><Relationship Id="rId3934" Type="http://schemas.openxmlformats.org/officeDocument/2006/relationships/hyperlink" Target="https://www.instagram.com/mokeb_alzahra_znj/" TargetMode="External"/><Relationship Id="rId2605" Type="http://schemas.openxmlformats.org/officeDocument/2006/relationships/hyperlink" Target="https://eitaa.com/jameatolhosayn" TargetMode="External"/><Relationship Id="rId3937" Type="http://schemas.openxmlformats.org/officeDocument/2006/relationships/hyperlink" Target="https://www.instagram.com/saheb.azzman/" TargetMode="External"/><Relationship Id="rId2606" Type="http://schemas.openxmlformats.org/officeDocument/2006/relationships/hyperlink" Target="https://www.instagram.com/jameato_shohada" TargetMode="External"/><Relationship Id="rId3936" Type="http://schemas.openxmlformats.org/officeDocument/2006/relationships/hyperlink" Target="http://t.me/heydarioon_zanjan" TargetMode="External"/><Relationship Id="rId808" Type="http://schemas.openxmlformats.org/officeDocument/2006/relationships/hyperlink" Target="http://t.me/Ghaseme_hasann" TargetMode="External"/><Relationship Id="rId2607" Type="http://schemas.openxmlformats.org/officeDocument/2006/relationships/hyperlink" Target="https://t.me/Jameato_shohada" TargetMode="External"/><Relationship Id="rId3939" Type="http://schemas.openxmlformats.org/officeDocument/2006/relationships/hyperlink" Target="https://eitaa.com/ImamHadiZn" TargetMode="External"/><Relationship Id="rId807" Type="http://schemas.openxmlformats.org/officeDocument/2006/relationships/hyperlink" Target="https://www.instagram.com/h.ghasem.201/" TargetMode="External"/><Relationship Id="rId2608" Type="http://schemas.openxmlformats.org/officeDocument/2006/relationships/hyperlink" Target="https://eitaa.com/jameato_shohada" TargetMode="External"/><Relationship Id="rId3938" Type="http://schemas.openxmlformats.org/officeDocument/2006/relationships/hyperlink" Target="http://t.me/RahpoyaneVesal313" TargetMode="External"/><Relationship Id="rId806" Type="http://schemas.openxmlformats.org/officeDocument/2006/relationships/hyperlink" Target="https://eitaa.com/heiatrahrovan" TargetMode="External"/><Relationship Id="rId2609" Type="http://schemas.openxmlformats.org/officeDocument/2006/relationships/hyperlink" Target="https://www.instagram.com/jameatol_mahdi59" TargetMode="External"/><Relationship Id="rId805" Type="http://schemas.openxmlformats.org/officeDocument/2006/relationships/hyperlink" Target="http://t.me/mohebban_alreza" TargetMode="External"/><Relationship Id="rId809" Type="http://schemas.openxmlformats.org/officeDocument/2006/relationships/hyperlink" Target="https://www.instagram.com/qatil_info/" TargetMode="External"/><Relationship Id="rId800" Type="http://schemas.openxmlformats.org/officeDocument/2006/relationships/hyperlink" Target="https://www.instagram.com/ansarolmahdiaj313/" TargetMode="External"/><Relationship Id="rId804" Type="http://schemas.openxmlformats.org/officeDocument/2006/relationships/hyperlink" Target="https://www.instagram.com/mohebban_alreza/" TargetMode="External"/><Relationship Id="rId803" Type="http://schemas.openxmlformats.org/officeDocument/2006/relationships/hyperlink" Target="https://www.instagram.com/abna_al_khomeini/" TargetMode="External"/><Relationship Id="rId802" Type="http://schemas.openxmlformats.org/officeDocument/2006/relationships/hyperlink" Target="http://t.me/ansarmahdi_tehran" TargetMode="External"/><Relationship Id="rId801" Type="http://schemas.openxmlformats.org/officeDocument/2006/relationships/hyperlink" Target="https://www.instagram.com/ansaralmahdi_tehran/" TargetMode="External"/><Relationship Id="rId3920" Type="http://schemas.openxmlformats.org/officeDocument/2006/relationships/hyperlink" Target="https://eitaa.com/h_yalasaratzanjan" TargetMode="External"/><Relationship Id="rId3922" Type="http://schemas.openxmlformats.org/officeDocument/2006/relationships/hyperlink" Target="https://eitaa.com/ashurae" TargetMode="External"/><Relationship Id="rId3921" Type="http://schemas.openxmlformats.org/officeDocument/2006/relationships/hyperlink" Target="https://eitaa.com/jannatolbaqi_azu" TargetMode="External"/><Relationship Id="rId3924" Type="http://schemas.openxmlformats.org/officeDocument/2006/relationships/hyperlink" Target="http://instagram.com/javananhoseini_ir" TargetMode="External"/><Relationship Id="rId3923" Type="http://schemas.openxmlformats.org/officeDocument/2006/relationships/hyperlink" Target="https://eitaa.com/razmandegan_zanjan" TargetMode="External"/><Relationship Id="rId3926" Type="http://schemas.openxmlformats.org/officeDocument/2006/relationships/hyperlink" Target="https://eitaa.com/JavananHoseini_ir" TargetMode="External"/><Relationship Id="rId3925" Type="http://schemas.openxmlformats.org/officeDocument/2006/relationships/hyperlink" Target="http://t.me/JavananHoseini_ir" TargetMode="External"/><Relationship Id="rId3928" Type="http://schemas.openxmlformats.org/officeDocument/2006/relationships/hyperlink" Target="https://www.instagram.com/alamdarsaggakhanezanjan/" TargetMode="External"/><Relationship Id="rId3927" Type="http://schemas.openxmlformats.org/officeDocument/2006/relationships/hyperlink" Target="https://www.instagram.com/montazeran_zohur_zanjan/" TargetMode="External"/><Relationship Id="rId3929" Type="http://schemas.openxmlformats.org/officeDocument/2006/relationships/hyperlink" Target="https://t.me/alamdarsaggakhanezanjan" TargetMode="External"/><Relationship Id="rId6193" Type="http://schemas.openxmlformats.org/officeDocument/2006/relationships/hyperlink" Target="https://t.me/tkyeh_posht_khandagh" TargetMode="External"/><Relationship Id="rId6194" Type="http://schemas.openxmlformats.org/officeDocument/2006/relationships/hyperlink" Target="https://www.instagram.com/zavar_al_hosein_semnan/" TargetMode="External"/><Relationship Id="rId6191" Type="http://schemas.openxmlformats.org/officeDocument/2006/relationships/hyperlink" Target="https://www.instagram.com/seyedoshohada_semnan/" TargetMode="External"/><Relationship Id="rId6192" Type="http://schemas.openxmlformats.org/officeDocument/2006/relationships/hyperlink" Target="https://www.instagram.com/tekyeh_posht_khandagh_sorkheh/" TargetMode="External"/><Relationship Id="rId6197" Type="http://schemas.openxmlformats.org/officeDocument/2006/relationships/hyperlink" Target="https://www.instagram.com/heyat_imam.reza1365" TargetMode="External"/><Relationship Id="rId6198" Type="http://schemas.openxmlformats.org/officeDocument/2006/relationships/hyperlink" Target="https://eitaa.com/heyat_yasekabood" TargetMode="External"/><Relationship Id="rId6195" Type="http://schemas.openxmlformats.org/officeDocument/2006/relationships/hyperlink" Target="https://www.instagram.com/zovaarolzahra.ir/" TargetMode="External"/><Relationship Id="rId6196" Type="http://schemas.openxmlformats.org/officeDocument/2006/relationships/hyperlink" Target="https://t.me/shahidegomnam133" TargetMode="External"/><Relationship Id="rId6199" Type="http://schemas.openxmlformats.org/officeDocument/2006/relationships/hyperlink" Target="https://eitaa.com/namazjome_semnan" TargetMode="External"/><Relationship Id="rId7470" Type="http://schemas.openxmlformats.org/officeDocument/2006/relationships/hyperlink" Target="https://www.instagram.com/fatimieh_waliasr/" TargetMode="External"/><Relationship Id="rId6142" Type="http://schemas.openxmlformats.org/officeDocument/2006/relationships/hyperlink" Target="https://www.instagram.com/heyatasheghanvelayat_semnan/" TargetMode="External"/><Relationship Id="rId7474" Type="http://schemas.openxmlformats.org/officeDocument/2006/relationships/hyperlink" Target="https://www.instagram.com/qamarbanihashem_nasrabad/" TargetMode="External"/><Relationship Id="rId6143" Type="http://schemas.openxmlformats.org/officeDocument/2006/relationships/hyperlink" Target="https://t.me/asheghanvelayat_sem" TargetMode="External"/><Relationship Id="rId7473" Type="http://schemas.openxmlformats.org/officeDocument/2006/relationships/hyperlink" Target="https://www.instagram.com/yadegaran_ir/" TargetMode="External"/><Relationship Id="rId6140" Type="http://schemas.openxmlformats.org/officeDocument/2006/relationships/hyperlink" Target="https://www.instagram.com/heyatalamdaran_sangesar/" TargetMode="External"/><Relationship Id="rId7472" Type="http://schemas.openxmlformats.org/officeDocument/2006/relationships/hyperlink" Target="https://www.instagram.com/imam_mojtaba_h/" TargetMode="External"/><Relationship Id="rId6141" Type="http://schemas.openxmlformats.org/officeDocument/2006/relationships/hyperlink" Target="https://www.instagram.com/heyatasheghansarallahdarjezin/" TargetMode="External"/><Relationship Id="rId7471" Type="http://schemas.openxmlformats.org/officeDocument/2006/relationships/hyperlink" Target="https://www.instagram.com/zakerinahlebeyt/" TargetMode="External"/><Relationship Id="rId6146" Type="http://schemas.openxmlformats.org/officeDocument/2006/relationships/hyperlink" Target="https://www.instagram.com/heyate_emam_jafare_sadegh/" TargetMode="External"/><Relationship Id="rId7478" Type="http://schemas.openxmlformats.org/officeDocument/2006/relationships/hyperlink" Target="https://t.me/Alaviyoonisf" TargetMode="External"/><Relationship Id="rId6147" Type="http://schemas.openxmlformats.org/officeDocument/2006/relationships/hyperlink" Target="https://www.instagram.com/heyathonar_semnan/" TargetMode="External"/><Relationship Id="rId7477" Type="http://schemas.openxmlformats.org/officeDocument/2006/relationships/hyperlink" Target="https://www.instagram.com/alaviyoonisf" TargetMode="External"/><Relationship Id="rId6144" Type="http://schemas.openxmlformats.org/officeDocument/2006/relationships/hyperlink" Target="https://www.instagram.com/heyatasheghanvelayat.semnan/" TargetMode="External"/><Relationship Id="rId7476" Type="http://schemas.openxmlformats.org/officeDocument/2006/relationships/hyperlink" Target="https://eitaa.com/Fanousgroup_ir" TargetMode="External"/><Relationship Id="rId6145" Type="http://schemas.openxmlformats.org/officeDocument/2006/relationships/hyperlink" Target="https://t.me/asheghanvelayat_sem" TargetMode="External"/><Relationship Id="rId7475" Type="http://schemas.openxmlformats.org/officeDocument/2006/relationships/hyperlink" Target="https://www.instagram.com/fanousgroup_ir" TargetMode="External"/><Relationship Id="rId6148" Type="http://schemas.openxmlformats.org/officeDocument/2006/relationships/hyperlink" Target="https://www.instagram.com/heyatshohadashahrood/" TargetMode="External"/><Relationship Id="rId6149" Type="http://schemas.openxmlformats.org/officeDocument/2006/relationships/hyperlink" Target="https://www.instagram.com/hmvd1378/" TargetMode="External"/><Relationship Id="rId7479" Type="http://schemas.openxmlformats.org/officeDocument/2006/relationships/hyperlink" Target="https://www.instagram.com/fadaeianhoseinir" TargetMode="External"/><Relationship Id="rId8790" Type="http://schemas.openxmlformats.org/officeDocument/2006/relationships/hyperlink" Target="https://www.instagram.com/khademalhasan_qom" TargetMode="External"/><Relationship Id="rId6131" Type="http://schemas.openxmlformats.org/officeDocument/2006/relationships/hyperlink" Target="https://www.instagram.com/heyat_jahadie/" TargetMode="External"/><Relationship Id="rId7463" Type="http://schemas.openxmlformats.org/officeDocument/2006/relationships/hyperlink" Target="https://www.instagram.com/heiatseyyedoshohada/" TargetMode="External"/><Relationship Id="rId8794" Type="http://schemas.openxmlformats.org/officeDocument/2006/relationships/hyperlink" Target="https://www.instagram.com/khademozahra_qom/" TargetMode="External"/><Relationship Id="rId6132" Type="http://schemas.openxmlformats.org/officeDocument/2006/relationships/hyperlink" Target="https://www.instagram.com/heyat_qamar/" TargetMode="External"/><Relationship Id="rId7462" Type="http://schemas.openxmlformats.org/officeDocument/2006/relationships/hyperlink" Target="https://www.instagram.com/asheghaneashora_1374/" TargetMode="External"/><Relationship Id="rId8793" Type="http://schemas.openxmlformats.org/officeDocument/2006/relationships/hyperlink" Target="https://heyat-khademalhasan.ir/" TargetMode="External"/><Relationship Id="rId7461" Type="http://schemas.openxmlformats.org/officeDocument/2006/relationships/hyperlink" Target="https://www.instagram.com/nabi.brj/" TargetMode="External"/><Relationship Id="rId8792" Type="http://schemas.openxmlformats.org/officeDocument/2006/relationships/hyperlink" Target="https://eitaa.com/khademalhasan_qom" TargetMode="External"/><Relationship Id="rId6130" Type="http://schemas.openxmlformats.org/officeDocument/2006/relationships/hyperlink" Target="https://www.instagram.com/heyat_asheghan_saheb_alzaman/" TargetMode="External"/><Relationship Id="rId7460" Type="http://schemas.openxmlformats.org/officeDocument/2006/relationships/hyperlink" Target="https://www.instagram.com/h_shohada_g/" TargetMode="External"/><Relationship Id="rId8791" Type="http://schemas.openxmlformats.org/officeDocument/2006/relationships/hyperlink" Target="https://t.me/khademalhasan_qom" TargetMode="External"/><Relationship Id="rId6135" Type="http://schemas.openxmlformats.org/officeDocument/2006/relationships/hyperlink" Target="https://www.instagram.com/heyat_zeynabiyoon_semnan/" TargetMode="External"/><Relationship Id="rId7467" Type="http://schemas.openxmlformats.org/officeDocument/2006/relationships/hyperlink" Target="https://eitaa.com/heyat_bani_fatemeh_delfan" TargetMode="External"/><Relationship Id="rId8798" Type="http://schemas.openxmlformats.org/officeDocument/2006/relationships/hyperlink" Target="https://www.instagram.com/k.a.almominin/" TargetMode="External"/><Relationship Id="rId6136" Type="http://schemas.openxmlformats.org/officeDocument/2006/relationships/hyperlink" Target="https://t.me/zeynabiyoon69semnan" TargetMode="External"/><Relationship Id="rId7466" Type="http://schemas.openxmlformats.org/officeDocument/2006/relationships/hyperlink" Target="https://eitaa.com/Heyat_Mohebban_Azna" TargetMode="External"/><Relationship Id="rId8797" Type="http://schemas.openxmlformats.org/officeDocument/2006/relationships/hyperlink" Target="https://t.me/khademin_hojat" TargetMode="External"/><Relationship Id="rId6133" Type="http://schemas.openxmlformats.org/officeDocument/2006/relationships/hyperlink" Target="https://www.instagram.com/heyat_yasekabood/" TargetMode="External"/><Relationship Id="rId7465" Type="http://schemas.openxmlformats.org/officeDocument/2006/relationships/hyperlink" Target="https://www.instagram.com/fater.313/" TargetMode="External"/><Relationship Id="rId8796" Type="http://schemas.openxmlformats.org/officeDocument/2006/relationships/hyperlink" Target="https://www.instagram.com/khademin_hojat/" TargetMode="External"/><Relationship Id="rId6134" Type="http://schemas.openxmlformats.org/officeDocument/2006/relationships/hyperlink" Target="http://t.me/heyat_yasekabood" TargetMode="External"/><Relationship Id="rId7464" Type="http://schemas.openxmlformats.org/officeDocument/2006/relationships/hyperlink" Target="https://www.instagram.com/ashegan.ahlebeit.aleshtar/" TargetMode="External"/><Relationship Id="rId8795" Type="http://schemas.openxmlformats.org/officeDocument/2006/relationships/hyperlink" Target="http://t.me/khademozahra_qom" TargetMode="External"/><Relationship Id="rId6139" Type="http://schemas.openxmlformats.org/officeDocument/2006/relationships/hyperlink" Target="https://www.instagram.com/heyat.javadolaeme" TargetMode="External"/><Relationship Id="rId6137" Type="http://schemas.openxmlformats.org/officeDocument/2006/relationships/hyperlink" Target="https://www.instagram.com/heyat.beytolahzan/" TargetMode="External"/><Relationship Id="rId7469" Type="http://schemas.openxmlformats.org/officeDocument/2006/relationships/hyperlink" Target="https://www.instagram.com/heyat_aliakbar_dolatabad8/" TargetMode="External"/><Relationship Id="rId6138" Type="http://schemas.openxmlformats.org/officeDocument/2006/relationships/hyperlink" Target="https://t.me/beytoalahzan110" TargetMode="External"/><Relationship Id="rId7468" Type="http://schemas.openxmlformats.org/officeDocument/2006/relationships/hyperlink" Target="https://www.instagram.com/ashouraiyan_313/" TargetMode="External"/><Relationship Id="rId8799" Type="http://schemas.openxmlformats.org/officeDocument/2006/relationships/hyperlink" Target="https://www.instagram.com/dakhil_ol_abbas" TargetMode="External"/><Relationship Id="rId6160" Type="http://schemas.openxmlformats.org/officeDocument/2006/relationships/hyperlink" Target="https://www.instagram.com/mahfelrozatolhosain/" TargetMode="External"/><Relationship Id="rId7492" Type="http://schemas.openxmlformats.org/officeDocument/2006/relationships/hyperlink" Target="https://www.instagram.com/senjvadamam3" TargetMode="External"/><Relationship Id="rId6161" Type="http://schemas.openxmlformats.org/officeDocument/2006/relationships/hyperlink" Target="https://www.instagram.com/maktab_sem/" TargetMode="External"/><Relationship Id="rId7491" Type="http://schemas.openxmlformats.org/officeDocument/2006/relationships/hyperlink" Target="https://eitaa.com/ansaroolhosain" TargetMode="External"/><Relationship Id="rId7490" Type="http://schemas.openxmlformats.org/officeDocument/2006/relationships/hyperlink" Target="https://t.me/ansaroolhosain" TargetMode="External"/><Relationship Id="rId6164" Type="http://schemas.openxmlformats.org/officeDocument/2006/relationships/hyperlink" Target="http://t.me/maktabazzahra_ir" TargetMode="External"/><Relationship Id="rId7496" Type="http://schemas.openxmlformats.org/officeDocument/2006/relationships/hyperlink" Target="https://www.instagram.com/qods_charity" TargetMode="External"/><Relationship Id="rId6165" Type="http://schemas.openxmlformats.org/officeDocument/2006/relationships/hyperlink" Target="https://www.instagram.com/maktabolabas.semnan/" TargetMode="External"/><Relationship Id="rId7495" Type="http://schemas.openxmlformats.org/officeDocument/2006/relationships/hyperlink" Target="https://www.instagram.com/solale_ir" TargetMode="External"/><Relationship Id="rId6162" Type="http://schemas.openxmlformats.org/officeDocument/2006/relationships/hyperlink" Target="https://t.me/maktab_sem" TargetMode="External"/><Relationship Id="rId7494" Type="http://schemas.openxmlformats.org/officeDocument/2006/relationships/hyperlink" Target="https://eitaa.com/mf_15khordad" TargetMode="External"/><Relationship Id="rId6163" Type="http://schemas.openxmlformats.org/officeDocument/2006/relationships/hyperlink" Target="https://www.instagram.com/maktabazzahra_ir/" TargetMode="External"/><Relationship Id="rId7493" Type="http://schemas.openxmlformats.org/officeDocument/2006/relationships/hyperlink" Target="https://www.instagram.com/mf_15khordad/" TargetMode="External"/><Relationship Id="rId6168" Type="http://schemas.openxmlformats.org/officeDocument/2006/relationships/hyperlink" Target="https://www.instagram.com/mohebane_rouhollah/" TargetMode="External"/><Relationship Id="rId6169" Type="http://schemas.openxmlformats.org/officeDocument/2006/relationships/hyperlink" Target="https://www.instagram.com/mohebbin_/" TargetMode="External"/><Relationship Id="rId7499" Type="http://schemas.openxmlformats.org/officeDocument/2006/relationships/hyperlink" Target="https://eitaa.com/abolfazl_1345" TargetMode="External"/><Relationship Id="rId6166" Type="http://schemas.openxmlformats.org/officeDocument/2006/relationships/hyperlink" Target="https://www.instagram.com/moheban_hossein7/" TargetMode="External"/><Relationship Id="rId7498" Type="http://schemas.openxmlformats.org/officeDocument/2006/relationships/hyperlink" Target="https://www.instagram.com/heatabolfazlvazvan/" TargetMode="External"/><Relationship Id="rId6167" Type="http://schemas.openxmlformats.org/officeDocument/2006/relationships/hyperlink" Target="https://t.me/Moheban_Hossein7" TargetMode="External"/><Relationship Id="rId7497" Type="http://schemas.openxmlformats.org/officeDocument/2006/relationships/hyperlink" Target="https://www.instagram.com/asemaniha_ir" TargetMode="External"/><Relationship Id="rId7481" Type="http://schemas.openxmlformats.org/officeDocument/2006/relationships/hyperlink" Target="https://www.instagram.com/m.baraniha/" TargetMode="External"/><Relationship Id="rId6150" Type="http://schemas.openxmlformats.org/officeDocument/2006/relationships/hyperlink" Target="https://www.instagram.com/hoseyniyeh_azam.semnan/" TargetMode="External"/><Relationship Id="rId7480" Type="http://schemas.openxmlformats.org/officeDocument/2006/relationships/hyperlink" Target="https://eitaa.com/fadaeianhoseinir" TargetMode="External"/><Relationship Id="rId6153" Type="http://schemas.openxmlformats.org/officeDocument/2006/relationships/hyperlink" Target="https://eitaa.com/jannatolhossein_semnan" TargetMode="External"/><Relationship Id="rId7485" Type="http://schemas.openxmlformats.org/officeDocument/2006/relationships/hyperlink" Target="https://t.me/Beheshtyian" TargetMode="External"/><Relationship Id="rId6154" Type="http://schemas.openxmlformats.org/officeDocument/2006/relationships/hyperlink" Target="https://www.instagram.com/kahfol_abbas_133/" TargetMode="External"/><Relationship Id="rId7484" Type="http://schemas.openxmlformats.org/officeDocument/2006/relationships/hyperlink" Target="https://www.instagram.com/beheshtyian" TargetMode="External"/><Relationship Id="rId6151" Type="http://schemas.openxmlformats.org/officeDocument/2006/relationships/hyperlink" Target="https://t.me/Hoseyniyeh_Azam_Semnan" TargetMode="External"/><Relationship Id="rId7483" Type="http://schemas.openxmlformats.org/officeDocument/2006/relationships/hyperlink" Target="https://eitaa.com/razmandegantiran" TargetMode="External"/><Relationship Id="rId6152" Type="http://schemas.openxmlformats.org/officeDocument/2006/relationships/hyperlink" Target="https://www.instagram.com/jannatolhossein_semnan/" TargetMode="External"/><Relationship Id="rId7482" Type="http://schemas.openxmlformats.org/officeDocument/2006/relationships/hyperlink" Target="https://www.instagram.com/yarane_khorshid/" TargetMode="External"/><Relationship Id="rId6157" Type="http://schemas.openxmlformats.org/officeDocument/2006/relationships/hyperlink" Target="https://t.me/levaozeynab_semnan1387" TargetMode="External"/><Relationship Id="rId7489" Type="http://schemas.openxmlformats.org/officeDocument/2006/relationships/hyperlink" Target="https://www.instagram.com/ansarolhosain_ir/" TargetMode="External"/><Relationship Id="rId6158" Type="http://schemas.openxmlformats.org/officeDocument/2006/relationships/hyperlink" Target="https://www.instagram.com/mahdiehsemnan/" TargetMode="External"/><Relationship Id="rId7488" Type="http://schemas.openxmlformats.org/officeDocument/2006/relationships/hyperlink" Target="https://www.instagram.com/mqebir" TargetMode="External"/><Relationship Id="rId6155" Type="http://schemas.openxmlformats.org/officeDocument/2006/relationships/hyperlink" Target="https://www.instagram.com/kheymatolhosein128/" TargetMode="External"/><Relationship Id="rId7487" Type="http://schemas.openxmlformats.org/officeDocument/2006/relationships/hyperlink" Target="https://t.me/haronieh" TargetMode="External"/><Relationship Id="rId6156" Type="http://schemas.openxmlformats.org/officeDocument/2006/relationships/hyperlink" Target="https://www.instagram.com/levaozeynab_semnan/" TargetMode="External"/><Relationship Id="rId7486" Type="http://schemas.openxmlformats.org/officeDocument/2006/relationships/hyperlink" Target="https://www.instagram.com/haroniieh" TargetMode="External"/><Relationship Id="rId6159" Type="http://schemas.openxmlformats.org/officeDocument/2006/relationships/hyperlink" Target="https://www.instagram.com/mahfelashk69/" TargetMode="External"/><Relationship Id="rId1334" Type="http://schemas.openxmlformats.org/officeDocument/2006/relationships/hyperlink" Target="https://eitaa.com/heyat_co" TargetMode="External"/><Relationship Id="rId2665" Type="http://schemas.openxmlformats.org/officeDocument/2006/relationships/hyperlink" Target="https://www.instagram.com/rayat_alhoda_313/" TargetMode="External"/><Relationship Id="rId3997" Type="http://schemas.openxmlformats.org/officeDocument/2006/relationships/hyperlink" Target="https://www.instagram.com/molaghatekhoda/" TargetMode="External"/><Relationship Id="rId1335" Type="http://schemas.openxmlformats.org/officeDocument/2006/relationships/hyperlink" Target="https://www.instagram.com/mahfeltv3" TargetMode="External"/><Relationship Id="rId2666" Type="http://schemas.openxmlformats.org/officeDocument/2006/relationships/hyperlink" Target="https://t.me/heatabolfazl" TargetMode="External"/><Relationship Id="rId3996" Type="http://schemas.openxmlformats.org/officeDocument/2006/relationships/hyperlink" Target="http://t.me/Alzanjani" TargetMode="External"/><Relationship Id="rId1336" Type="http://schemas.openxmlformats.org/officeDocument/2006/relationships/hyperlink" Target="https://t.me/mahfeltv3" TargetMode="External"/><Relationship Id="rId2667" Type="http://schemas.openxmlformats.org/officeDocument/2006/relationships/hyperlink" Target="https://www.instagram.com/www_3raj_ir/" TargetMode="External"/><Relationship Id="rId3999" Type="http://schemas.openxmlformats.org/officeDocument/2006/relationships/hyperlink" Target="https://www.instagram.com/fadaeyan_hazrat_roghaye_znj/" TargetMode="External"/><Relationship Id="rId1337" Type="http://schemas.openxmlformats.org/officeDocument/2006/relationships/hyperlink" Target="https://eitaa.com/mahfeltv3" TargetMode="External"/><Relationship Id="rId2668" Type="http://schemas.openxmlformats.org/officeDocument/2006/relationships/hyperlink" Target="https://www.instagram.com/heyat_shohada_mashhad/" TargetMode="External"/><Relationship Id="rId3998" Type="http://schemas.openxmlformats.org/officeDocument/2006/relationships/hyperlink" Target="https://eitaa.com/isaar_zanjan" TargetMode="External"/><Relationship Id="rId1338" Type="http://schemas.openxmlformats.org/officeDocument/2006/relationships/hyperlink" Target="https://eitaa.com/ShereHeyat" TargetMode="External"/><Relationship Id="rId2669" Type="http://schemas.openxmlformats.org/officeDocument/2006/relationships/hyperlink" Target="https://www.instagram.com/moheban_mahdi_aj77/" TargetMode="External"/><Relationship Id="rId1339" Type="http://schemas.openxmlformats.org/officeDocument/2006/relationships/hyperlink" Target="https://eitaa.com/zovvaralzahra" TargetMode="External"/><Relationship Id="rId745" Type="http://schemas.openxmlformats.org/officeDocument/2006/relationships/hyperlink" Target="https://www.instagram.com/gharibesamera_emamhadi/" TargetMode="External"/><Relationship Id="rId744" Type="http://schemas.openxmlformats.org/officeDocument/2006/relationships/hyperlink" Target="https://t.me/ghamaar133" TargetMode="External"/><Relationship Id="rId743" Type="http://schemas.openxmlformats.org/officeDocument/2006/relationships/hyperlink" Target="https://www.instagram.com/ghamaar.133/" TargetMode="External"/><Relationship Id="rId742" Type="http://schemas.openxmlformats.org/officeDocument/2006/relationships/hyperlink" Target="https://t.me/fatemiehershad135" TargetMode="External"/><Relationship Id="rId749" Type="http://schemas.openxmlformats.org/officeDocument/2006/relationships/hyperlink" Target="https://www.instagram.com/ghebleh.info/" TargetMode="External"/><Relationship Id="rId748" Type="http://schemas.openxmlformats.org/officeDocument/2006/relationships/hyperlink" Target="https://t.me/ghatilinfo" TargetMode="External"/><Relationship Id="rId747" Type="http://schemas.openxmlformats.org/officeDocument/2006/relationships/hyperlink" Target="https://www.instagram.com/ghatil.info/" TargetMode="External"/><Relationship Id="rId746" Type="http://schemas.openxmlformats.org/officeDocument/2006/relationships/hyperlink" Target="https://t.me/gharibesamera_emamhadi" TargetMode="External"/><Relationship Id="rId3991" Type="http://schemas.openxmlformats.org/officeDocument/2006/relationships/hyperlink" Target="https://www.instagram.com/maktabolhosein_zanjan/" TargetMode="External"/><Relationship Id="rId2660" Type="http://schemas.openxmlformats.org/officeDocument/2006/relationships/hyperlink" Target="https://www.instagram.com/heyatrazmandegan_kashmar/" TargetMode="External"/><Relationship Id="rId3990" Type="http://schemas.openxmlformats.org/officeDocument/2006/relationships/hyperlink" Target="https://eitaa.com/seshanbemahdavitarom" TargetMode="External"/><Relationship Id="rId741" Type="http://schemas.openxmlformats.org/officeDocument/2006/relationships/hyperlink" Target="https://www.instagram.com/fatemiehershad135/" TargetMode="External"/><Relationship Id="rId1330" Type="http://schemas.openxmlformats.org/officeDocument/2006/relationships/hyperlink" Target="https://eitaa.com/hajmansourarzi" TargetMode="External"/><Relationship Id="rId2661" Type="http://schemas.openxmlformats.org/officeDocument/2006/relationships/hyperlink" Target="https://www.instagram.com/heyatshandiz/" TargetMode="External"/><Relationship Id="rId3993" Type="http://schemas.openxmlformats.org/officeDocument/2006/relationships/hyperlink" Target="https://www.instagram.com/maha_zn.ir/" TargetMode="External"/><Relationship Id="rId740" Type="http://schemas.openxmlformats.org/officeDocument/2006/relationships/hyperlink" Target="https://t.me/fanni_rayatolhoda" TargetMode="External"/><Relationship Id="rId1331" Type="http://schemas.openxmlformats.org/officeDocument/2006/relationships/hyperlink" Target="https://eitaa.com/heyat_et" TargetMode="External"/><Relationship Id="rId2662" Type="http://schemas.openxmlformats.org/officeDocument/2006/relationships/hyperlink" Target="http://t.me/heyatshandiz" TargetMode="External"/><Relationship Id="rId3992" Type="http://schemas.openxmlformats.org/officeDocument/2006/relationships/hyperlink" Target="http://t.me/maktab_alhosein_zanjan" TargetMode="External"/><Relationship Id="rId1332" Type="http://schemas.openxmlformats.org/officeDocument/2006/relationships/hyperlink" Target="https://eitaa.com/Tweet_Heyati" TargetMode="External"/><Relationship Id="rId2663" Type="http://schemas.openxmlformats.org/officeDocument/2006/relationships/hyperlink" Target="https://www.instagram.com/alzahramasjed_ir/" TargetMode="External"/><Relationship Id="rId3995" Type="http://schemas.openxmlformats.org/officeDocument/2006/relationships/hyperlink" Target="https://www.instagram.com/ayatollahzanjani/" TargetMode="External"/><Relationship Id="rId1333" Type="http://schemas.openxmlformats.org/officeDocument/2006/relationships/hyperlink" Target="https://eitaa.com/hoseiniehseyedalshohada" TargetMode="External"/><Relationship Id="rId2664" Type="http://schemas.openxmlformats.org/officeDocument/2006/relationships/hyperlink" Target="http://eitaa.com/alzahramasjed_ir" TargetMode="External"/><Relationship Id="rId3994" Type="http://schemas.openxmlformats.org/officeDocument/2006/relationships/hyperlink" Target="https://t.me/mahazanjan1360" TargetMode="External"/><Relationship Id="rId1323" Type="http://schemas.openxmlformats.org/officeDocument/2006/relationships/hyperlink" Target="https://eitaa.com/ostad_aali" TargetMode="External"/><Relationship Id="rId2654" Type="http://schemas.openxmlformats.org/officeDocument/2006/relationships/hyperlink" Target="http://t.me/rayatalabbasmashhad" TargetMode="External"/><Relationship Id="rId3986" Type="http://schemas.openxmlformats.org/officeDocument/2006/relationships/hyperlink" Target="https://www.instagram.com/abaabdelah.zanjan/" TargetMode="External"/><Relationship Id="rId1324" Type="http://schemas.openxmlformats.org/officeDocument/2006/relationships/hyperlink" Target="https://eitaa.com/HajMahmoud_Karimi" TargetMode="External"/><Relationship Id="rId2655" Type="http://schemas.openxmlformats.org/officeDocument/2006/relationships/hyperlink" Target="https://www.instagram.com/masjede_ghods/" TargetMode="External"/><Relationship Id="rId3985" Type="http://schemas.openxmlformats.org/officeDocument/2006/relationships/hyperlink" Target="https://eitaa.com/hosiniyehbisim" TargetMode="External"/><Relationship Id="rId1325" Type="http://schemas.openxmlformats.org/officeDocument/2006/relationships/hyperlink" Target="https://eitaa.com/HajMahmoud_Karimi1" TargetMode="External"/><Relationship Id="rId2656" Type="http://schemas.openxmlformats.org/officeDocument/2006/relationships/hyperlink" Target="http://t.me/masjede_ghods" TargetMode="External"/><Relationship Id="rId3988" Type="http://schemas.openxmlformats.org/officeDocument/2006/relationships/hyperlink" Target="https://www.instagram.com/m_khatam_alanbiyaa/" TargetMode="External"/><Relationship Id="rId1326" Type="http://schemas.openxmlformats.org/officeDocument/2006/relationships/hyperlink" Target="https://eitaa.com/roze_daftari" TargetMode="External"/><Relationship Id="rId2657" Type="http://schemas.openxmlformats.org/officeDocument/2006/relationships/hyperlink" Target="https://www.instagram.com/aliakbari_ney/" TargetMode="External"/><Relationship Id="rId3987" Type="http://schemas.openxmlformats.org/officeDocument/2006/relationships/hyperlink" Target="https://t.me/fatemiyonzums" TargetMode="External"/><Relationship Id="rId1327" Type="http://schemas.openxmlformats.org/officeDocument/2006/relationships/hyperlink" Target="https://eitaa.com/mirbaqeri_ir" TargetMode="External"/><Relationship Id="rId2658" Type="http://schemas.openxmlformats.org/officeDocument/2006/relationships/hyperlink" Target="http://t.me/aliakbari_ney" TargetMode="External"/><Relationship Id="rId1328" Type="http://schemas.openxmlformats.org/officeDocument/2006/relationships/hyperlink" Target="https://eitaa.com/msagheb_ir" TargetMode="External"/><Relationship Id="rId2659" Type="http://schemas.openxmlformats.org/officeDocument/2006/relationships/hyperlink" Target="https://www.instagram.com/khoddam_ir/" TargetMode="External"/><Relationship Id="rId3989" Type="http://schemas.openxmlformats.org/officeDocument/2006/relationships/hyperlink" Target="http://t.me/m_khatam_alanbiyaa" TargetMode="External"/><Relationship Id="rId1329" Type="http://schemas.openxmlformats.org/officeDocument/2006/relationships/hyperlink" Target="https://www.instagram.com/hajmansourarzi" TargetMode="External"/><Relationship Id="rId739" Type="http://schemas.openxmlformats.org/officeDocument/2006/relationships/hyperlink" Target="https://www.instagram.com/fanni_rayatolhoda/" TargetMode="External"/><Relationship Id="rId734" Type="http://schemas.openxmlformats.org/officeDocument/2006/relationships/hyperlink" Target="https://t.me/dordaneh_info" TargetMode="External"/><Relationship Id="rId733" Type="http://schemas.openxmlformats.org/officeDocument/2006/relationships/hyperlink" Target="https://www.instagram.com/dordaneh_info/" TargetMode="External"/><Relationship Id="rId732" Type="http://schemas.openxmlformats.org/officeDocument/2006/relationships/hyperlink" Target="https://t.me/dobanoyedameshgh" TargetMode="External"/><Relationship Id="rId731" Type="http://schemas.openxmlformats.org/officeDocument/2006/relationships/hyperlink" Target="https://www.instagram.com/dobanoyedameshgh/" TargetMode="External"/><Relationship Id="rId738" Type="http://schemas.openxmlformats.org/officeDocument/2006/relationships/hyperlink" Target="https://t.me/ehsanolhosein" TargetMode="External"/><Relationship Id="rId737" Type="http://schemas.openxmlformats.org/officeDocument/2006/relationships/hyperlink" Target="https://www.instagram.com/ehsanolhosein/" TargetMode="External"/><Relationship Id="rId736" Type="http://schemas.openxmlformats.org/officeDocument/2006/relationships/hyperlink" Target="https://t.me/ebnalzahra" TargetMode="External"/><Relationship Id="rId735" Type="http://schemas.openxmlformats.org/officeDocument/2006/relationships/hyperlink" Target="https://www.instagram.com/ebn_alzahra/" TargetMode="External"/><Relationship Id="rId3980" Type="http://schemas.openxmlformats.org/officeDocument/2006/relationships/hyperlink" Target="http://t.me/ZAZ_ir" TargetMode="External"/><Relationship Id="rId730" Type="http://schemas.openxmlformats.org/officeDocument/2006/relationships/hyperlink" Target="https://t.me/divanegane128" TargetMode="External"/><Relationship Id="rId2650" Type="http://schemas.openxmlformats.org/officeDocument/2006/relationships/hyperlink" Target="https://eitaa.com/shababolreza" TargetMode="External"/><Relationship Id="rId3982" Type="http://schemas.openxmlformats.org/officeDocument/2006/relationships/hyperlink" Target="https://eitaa.com/heiat_ghorani_velayat" TargetMode="External"/><Relationship Id="rId1320" Type="http://schemas.openxmlformats.org/officeDocument/2006/relationships/hyperlink" Target="https://eitaa.com/panahian_mp3" TargetMode="External"/><Relationship Id="rId2651" Type="http://schemas.openxmlformats.org/officeDocument/2006/relationships/hyperlink" Target="https://eitaa.com/majnonalhosein" TargetMode="External"/><Relationship Id="rId3981" Type="http://schemas.openxmlformats.org/officeDocument/2006/relationships/hyperlink" Target="https://eitaa.com/zaz_ir" TargetMode="External"/><Relationship Id="rId1321" Type="http://schemas.openxmlformats.org/officeDocument/2006/relationships/hyperlink" Target="https://eitaa.com/maddah_sho" TargetMode="External"/><Relationship Id="rId2652" Type="http://schemas.openxmlformats.org/officeDocument/2006/relationships/hyperlink" Target="https://eitaa.com/MASJED_ALLAHAKBAR" TargetMode="External"/><Relationship Id="rId3984" Type="http://schemas.openxmlformats.org/officeDocument/2006/relationships/hyperlink" Target="https://www.instagram.com/fatemiye.zanjan/" TargetMode="External"/><Relationship Id="rId1322" Type="http://schemas.openxmlformats.org/officeDocument/2006/relationships/hyperlink" Target="https://eitaa.com/rozekhanegee" TargetMode="External"/><Relationship Id="rId2653" Type="http://schemas.openxmlformats.org/officeDocument/2006/relationships/hyperlink" Target="https://www.instagram.com/rayat_113/" TargetMode="External"/><Relationship Id="rId3983" Type="http://schemas.openxmlformats.org/officeDocument/2006/relationships/hyperlink" Target="https://www.instagram.com/g_alabarat/" TargetMode="External"/><Relationship Id="rId1356" Type="http://schemas.openxmlformats.org/officeDocument/2006/relationships/hyperlink" Target="https://www.instagram.com/rozatol_lahfan/" TargetMode="External"/><Relationship Id="rId2687" Type="http://schemas.openxmlformats.org/officeDocument/2006/relationships/hyperlink" Target="https://eitaa.com/heyatolmahdi313" TargetMode="External"/><Relationship Id="rId1357" Type="http://schemas.openxmlformats.org/officeDocument/2006/relationships/hyperlink" Target="https://www.instagram.com/tazieh_daranbabalhavaej/" TargetMode="External"/><Relationship Id="rId2688" Type="http://schemas.openxmlformats.org/officeDocument/2006/relationships/hyperlink" Target="https://www.instagram.com/heyatsajedeen/" TargetMode="External"/><Relationship Id="rId1358" Type="http://schemas.openxmlformats.org/officeDocument/2006/relationships/hyperlink" Target="https://www.instagram.com/j.ghamarebanihashem_133/" TargetMode="External"/><Relationship Id="rId2689" Type="http://schemas.openxmlformats.org/officeDocument/2006/relationships/hyperlink" Target="http://t.me/heyatsajedeen" TargetMode="External"/><Relationship Id="rId1359" Type="http://schemas.openxmlformats.org/officeDocument/2006/relationships/hyperlink" Target="https://www.instagram.com/psk_rey/" TargetMode="External"/><Relationship Id="rId767" Type="http://schemas.openxmlformats.org/officeDocument/2006/relationships/hyperlink" Target="https://t.me/majlesroze" TargetMode="External"/><Relationship Id="rId766" Type="http://schemas.openxmlformats.org/officeDocument/2006/relationships/hyperlink" Target="http://instagram.com/majles_roze/" TargetMode="External"/><Relationship Id="rId765" Type="http://schemas.openxmlformats.org/officeDocument/2006/relationships/hyperlink" Target="https://t.me/khamseh110" TargetMode="External"/><Relationship Id="rId764" Type="http://schemas.openxmlformats.org/officeDocument/2006/relationships/hyperlink" Target="https://www.instagram.com/ahraralhosein128/" TargetMode="External"/><Relationship Id="rId769" Type="http://schemas.openxmlformats.org/officeDocument/2006/relationships/hyperlink" Target="https://t.me/rozatozeynab169" TargetMode="External"/><Relationship Id="rId768" Type="http://schemas.openxmlformats.org/officeDocument/2006/relationships/hyperlink" Target="https://www.instagram.com/aghile.69/" TargetMode="External"/><Relationship Id="rId2680" Type="http://schemas.openxmlformats.org/officeDocument/2006/relationships/hyperlink" Target="https://www.instagram.com/mohebanaljavad/" TargetMode="External"/><Relationship Id="rId1350" Type="http://schemas.openxmlformats.org/officeDocument/2006/relationships/hyperlink" Target="https://eitaa.com/narjesaneh_ir" TargetMode="External"/><Relationship Id="rId2681" Type="http://schemas.openxmlformats.org/officeDocument/2006/relationships/hyperlink" Target="https://t.me/mohebanaljavad" TargetMode="External"/><Relationship Id="rId1351" Type="http://schemas.openxmlformats.org/officeDocument/2006/relationships/hyperlink" Target="https://www.instagram.com/alollah" TargetMode="External"/><Relationship Id="rId2682" Type="http://schemas.openxmlformats.org/officeDocument/2006/relationships/hyperlink" Target="https://eitaa.com/heyat_kh_talabe_mashhad" TargetMode="External"/><Relationship Id="rId763" Type="http://schemas.openxmlformats.org/officeDocument/2006/relationships/hyperlink" Target="https://t.me/heyat_amiralmomenin" TargetMode="External"/><Relationship Id="rId1352" Type="http://schemas.openxmlformats.org/officeDocument/2006/relationships/hyperlink" Target="https://t.me/alollah_mavaddat" TargetMode="External"/><Relationship Id="rId2683" Type="http://schemas.openxmlformats.org/officeDocument/2006/relationships/hyperlink" Target="https://eitaa.com/keramat_mashhad" TargetMode="External"/><Relationship Id="rId762" Type="http://schemas.openxmlformats.org/officeDocument/2006/relationships/hyperlink" Target="https://www.instagram.com/_amiralmomenin_110/" TargetMode="External"/><Relationship Id="rId1353" Type="http://schemas.openxmlformats.org/officeDocument/2006/relationships/hyperlink" Target="https://eitaa.com/alollah_mavaddat" TargetMode="External"/><Relationship Id="rId2684" Type="http://schemas.openxmlformats.org/officeDocument/2006/relationships/hyperlink" Target="https://www.instagram.com/masjed_emam_hassan/" TargetMode="External"/><Relationship Id="rId761" Type="http://schemas.openxmlformats.org/officeDocument/2006/relationships/hyperlink" Target="https://t.me/heiat_emam_hasan_118" TargetMode="External"/><Relationship Id="rId1354" Type="http://schemas.openxmlformats.org/officeDocument/2006/relationships/hyperlink" Target="https://mavaddatiha.ir/" TargetMode="External"/><Relationship Id="rId2685" Type="http://schemas.openxmlformats.org/officeDocument/2006/relationships/hyperlink" Target="https://www.instagram.com/heyat_rozatlhosin.ney/" TargetMode="External"/><Relationship Id="rId760" Type="http://schemas.openxmlformats.org/officeDocument/2006/relationships/hyperlink" Target="https://www.instagram.com/emam_hasan_mojtba118/" TargetMode="External"/><Relationship Id="rId1355" Type="http://schemas.openxmlformats.org/officeDocument/2006/relationships/hyperlink" Target="https://eitaa.com/heyatmohebanvelayat" TargetMode="External"/><Relationship Id="rId2686" Type="http://schemas.openxmlformats.org/officeDocument/2006/relationships/hyperlink" Target="https://eitaa.com/aqrj_heyat" TargetMode="External"/><Relationship Id="rId1345" Type="http://schemas.openxmlformats.org/officeDocument/2006/relationships/hyperlink" Target="https://t.me/hosenih_maghtal" TargetMode="External"/><Relationship Id="rId2676" Type="http://schemas.openxmlformats.org/officeDocument/2006/relationships/hyperlink" Target="http://t.me/rayatallabbas" TargetMode="External"/><Relationship Id="rId1346" Type="http://schemas.openxmlformats.org/officeDocument/2006/relationships/hyperlink" Target="https://eitaa.com/hosenih_maghtal" TargetMode="External"/><Relationship Id="rId2677" Type="http://schemas.openxmlformats.org/officeDocument/2006/relationships/hyperlink" Target="https://www.instagram.com/fatemiyon_sbz/" TargetMode="External"/><Relationship Id="rId1347" Type="http://schemas.openxmlformats.org/officeDocument/2006/relationships/hyperlink" Target="https://eitaa.com/Beyragheheyat" TargetMode="External"/><Relationship Id="rId2678" Type="http://schemas.openxmlformats.org/officeDocument/2006/relationships/hyperlink" Target="https://www.instagram.com/asheghanmedia313/" TargetMode="External"/><Relationship Id="rId1348" Type="http://schemas.openxmlformats.org/officeDocument/2006/relationships/hyperlink" Target="https://eitaa.com/ashooraeeian" TargetMode="External"/><Relationship Id="rId2679" Type="http://schemas.openxmlformats.org/officeDocument/2006/relationships/hyperlink" Target="http://t.me/asheghanmedia" TargetMode="External"/><Relationship Id="rId1349" Type="http://schemas.openxmlformats.org/officeDocument/2006/relationships/hyperlink" Target="https://eitaa.com/masafmokeb" TargetMode="External"/><Relationship Id="rId756" Type="http://schemas.openxmlformats.org/officeDocument/2006/relationships/hyperlink" Target="https://www.instagram.com/godalghatlegah_ir/" TargetMode="External"/><Relationship Id="rId755" Type="http://schemas.openxmlformats.org/officeDocument/2006/relationships/hyperlink" Target="https://t.me/godal_info" TargetMode="External"/><Relationship Id="rId754" Type="http://schemas.openxmlformats.org/officeDocument/2006/relationships/hyperlink" Target="https://www.instagram.com/godal.info/" TargetMode="External"/><Relationship Id="rId753" Type="http://schemas.openxmlformats.org/officeDocument/2006/relationships/hyperlink" Target="https://www.ghorb.ir/" TargetMode="External"/><Relationship Id="rId759" Type="http://schemas.openxmlformats.org/officeDocument/2006/relationships/hyperlink" Target="https://t.me/hasaanjaanam" TargetMode="External"/><Relationship Id="rId758" Type="http://schemas.openxmlformats.org/officeDocument/2006/relationships/hyperlink" Target="https://www.instagram.com/hasanjaanam/" TargetMode="External"/><Relationship Id="rId757" Type="http://schemas.openxmlformats.org/officeDocument/2006/relationships/hyperlink" Target="https://t.me/godalghatlegah_ir" TargetMode="External"/><Relationship Id="rId2670" Type="http://schemas.openxmlformats.org/officeDocument/2006/relationships/hyperlink" Target="http://t.me/mohebanmahdi_aj313" TargetMode="External"/><Relationship Id="rId1340" Type="http://schemas.openxmlformats.org/officeDocument/2006/relationships/hyperlink" Target="https://eitaa.com/hoseinie_hedayat" TargetMode="External"/><Relationship Id="rId2671" Type="http://schemas.openxmlformats.org/officeDocument/2006/relationships/hyperlink" Target="https://www.instagram.com/heiatabalfazli92/" TargetMode="External"/><Relationship Id="rId752" Type="http://schemas.openxmlformats.org/officeDocument/2006/relationships/hyperlink" Target="https://t.me/ghorb" TargetMode="External"/><Relationship Id="rId1341" Type="http://schemas.openxmlformats.org/officeDocument/2006/relationships/hyperlink" Target="https://eitaa.com/heiatrqt" TargetMode="External"/><Relationship Id="rId2672" Type="http://schemas.openxmlformats.org/officeDocument/2006/relationships/hyperlink" Target="http://t.me/heiatabalfazli92" TargetMode="External"/><Relationship Id="rId751" Type="http://schemas.openxmlformats.org/officeDocument/2006/relationships/hyperlink" Target="https://www.instagram.com/ghorb_ir" TargetMode="External"/><Relationship Id="rId1342" Type="http://schemas.openxmlformats.org/officeDocument/2006/relationships/hyperlink" Target="https://eitaa.com/nooralzahra5" TargetMode="External"/><Relationship Id="rId2673" Type="http://schemas.openxmlformats.org/officeDocument/2006/relationships/hyperlink" Target="https://www.instagram.com/davamsamen/" TargetMode="External"/><Relationship Id="rId750" Type="http://schemas.openxmlformats.org/officeDocument/2006/relationships/hyperlink" Target="https://t.me/gheblehinfo" TargetMode="External"/><Relationship Id="rId1343" Type="http://schemas.openxmlformats.org/officeDocument/2006/relationships/hyperlink" Target="https://eitaa.com/saghakhanih" TargetMode="External"/><Relationship Id="rId2674" Type="http://schemas.openxmlformats.org/officeDocument/2006/relationships/hyperlink" Target="https://eitaa.com/Karimahlebeyt_118" TargetMode="External"/><Relationship Id="rId1344" Type="http://schemas.openxmlformats.org/officeDocument/2006/relationships/hyperlink" Target="https://www.instagram.com/payegahe_hoseinieh_maghtal" TargetMode="External"/><Relationship Id="rId2675" Type="http://schemas.openxmlformats.org/officeDocument/2006/relationships/hyperlink" Target="https://www.instagram.com/rayatallabbas/" TargetMode="External"/><Relationship Id="rId2621" Type="http://schemas.openxmlformats.org/officeDocument/2006/relationships/hyperlink" Target="https://eitaa.com/heyatjavananbanihahem" TargetMode="External"/><Relationship Id="rId3953" Type="http://schemas.openxmlformats.org/officeDocument/2006/relationships/hyperlink" Target="http://t.me/mohsendadashi" TargetMode="External"/><Relationship Id="rId2622" Type="http://schemas.openxmlformats.org/officeDocument/2006/relationships/hyperlink" Target="https://www.instagram.com/mavali_ir" TargetMode="External"/><Relationship Id="rId3952" Type="http://schemas.openxmlformats.org/officeDocument/2006/relationships/hyperlink" Target="https://www.instagram.com/delbakhtegane_hosein_zanjan/" TargetMode="External"/><Relationship Id="rId2623" Type="http://schemas.openxmlformats.org/officeDocument/2006/relationships/hyperlink" Target="https://www.instagram.com/mqkhatam.ir" TargetMode="External"/><Relationship Id="rId3955" Type="http://schemas.openxmlformats.org/officeDocument/2006/relationships/hyperlink" Target="https://eitaa.com/heyateemamhasaneabhar" TargetMode="External"/><Relationship Id="rId2624" Type="http://schemas.openxmlformats.org/officeDocument/2006/relationships/hyperlink" Target="https://www.mqkhatam.ir/?fbclid=PAb21jcAN5eRFleHRuA2FlbQIxMQBzcnRjBmFwcF9pZA81NjcwNjczNDMzNTI0MjcAAafJ11Y9Sp_1SGMSPRT1G4-5d4h5SxtiBbaNSWXeqVKYP4uE-buS9djBiJfCcg_aem_w1ECBilSa6f_oGnZNRGUfw" TargetMode="External"/><Relationship Id="rId3954" Type="http://schemas.openxmlformats.org/officeDocument/2006/relationships/hyperlink" Target="https://www.instagram.com/heyat._emam_hasan_abhar/" TargetMode="External"/><Relationship Id="rId2625" Type="http://schemas.openxmlformats.org/officeDocument/2006/relationships/hyperlink" Target="https://www.instagram.com/heiaaterohoreihan" TargetMode="External"/><Relationship Id="rId3957" Type="http://schemas.openxmlformats.org/officeDocument/2006/relationships/hyperlink" Target="https://www.instagram.com/asghariyoon.znjan/" TargetMode="External"/><Relationship Id="rId2626" Type="http://schemas.openxmlformats.org/officeDocument/2006/relationships/hyperlink" Target="https://eitaa.com/heiaaterohoreihan" TargetMode="External"/><Relationship Id="rId3956" Type="http://schemas.openxmlformats.org/officeDocument/2006/relationships/hyperlink" Target="https://t.me/yavaranevelayat_qom" TargetMode="External"/><Relationship Id="rId2627" Type="http://schemas.openxmlformats.org/officeDocument/2006/relationships/hyperlink" Target="https://rohoreihan.com/" TargetMode="External"/><Relationship Id="rId3959" Type="http://schemas.openxmlformats.org/officeDocument/2006/relationships/hyperlink" Target="https://t.me/kafanpooshaneabolfazlezanjan" TargetMode="External"/><Relationship Id="rId2628" Type="http://schemas.openxmlformats.org/officeDocument/2006/relationships/hyperlink" Target="https://eitaa.com/ghasem_ebn_alhasan_110" TargetMode="External"/><Relationship Id="rId3958" Type="http://schemas.openxmlformats.org/officeDocument/2006/relationships/hyperlink" Target="https://www.instagram.com/heyat.hoseini_zanjan/" TargetMode="External"/><Relationship Id="rId709" Type="http://schemas.openxmlformats.org/officeDocument/2006/relationships/hyperlink" Target="https://t.me/beytool_hasan" TargetMode="External"/><Relationship Id="rId2629" Type="http://schemas.openxmlformats.org/officeDocument/2006/relationships/hyperlink" Target="https://www.instagram.com/maktabrezaa" TargetMode="External"/><Relationship Id="rId708" Type="http://schemas.openxmlformats.org/officeDocument/2006/relationships/hyperlink" Target="https://www.instagram.com/beytool_hasan/" TargetMode="External"/><Relationship Id="rId707" Type="http://schemas.openxmlformats.org/officeDocument/2006/relationships/hyperlink" Target="https://t.me/beytolroghayee_315" TargetMode="External"/><Relationship Id="rId706" Type="http://schemas.openxmlformats.org/officeDocument/2006/relationships/hyperlink" Target="https://www.instagram.com/beytolroghaye_315/" TargetMode="External"/><Relationship Id="rId701" Type="http://schemas.openxmlformats.org/officeDocument/2006/relationships/hyperlink" Target="https://t.me/beynolharamein135" TargetMode="External"/><Relationship Id="rId700" Type="http://schemas.openxmlformats.org/officeDocument/2006/relationships/hyperlink" Target="https://www.instagram.com/beynolharamein135/" TargetMode="External"/><Relationship Id="rId705" Type="http://schemas.openxmlformats.org/officeDocument/2006/relationships/hyperlink" Target="https://t.me/beytoljavad_14" TargetMode="External"/><Relationship Id="rId704" Type="http://schemas.openxmlformats.org/officeDocument/2006/relationships/hyperlink" Target="https://www.instagram.com/beytoljavad_14/" TargetMode="External"/><Relationship Id="rId703" Type="http://schemas.openxmlformats.org/officeDocument/2006/relationships/hyperlink" Target="https://t.me/beynolharameyn_tehran" TargetMode="External"/><Relationship Id="rId702" Type="http://schemas.openxmlformats.org/officeDocument/2006/relationships/hyperlink" Target="https://www.instagram.com/beynolharameyn.rasmi" TargetMode="External"/><Relationship Id="rId3951" Type="http://schemas.openxmlformats.org/officeDocument/2006/relationships/hyperlink" Target="https://t.me/heyaateashegan" TargetMode="External"/><Relationship Id="rId2620" Type="http://schemas.openxmlformats.org/officeDocument/2006/relationships/hyperlink" Target="https://t.me/javanan_110" TargetMode="External"/><Relationship Id="rId3950" Type="http://schemas.openxmlformats.org/officeDocument/2006/relationships/hyperlink" Target="http://t.me/heyate_fatemiyoun" TargetMode="External"/><Relationship Id="rId2610" Type="http://schemas.openxmlformats.org/officeDocument/2006/relationships/hyperlink" Target="https://t.me/jameatol_mahdi59" TargetMode="External"/><Relationship Id="rId3942" Type="http://schemas.openxmlformats.org/officeDocument/2006/relationships/hyperlink" Target="https://eitaa.com/mosabnejafarzanjan" TargetMode="External"/><Relationship Id="rId2611" Type="http://schemas.openxmlformats.org/officeDocument/2006/relationships/hyperlink" Target="https://www.instagram.com/jannesaran_59" TargetMode="External"/><Relationship Id="rId3941" Type="http://schemas.openxmlformats.org/officeDocument/2006/relationships/hyperlink" Target="https://www.instagram.com/ansaralhosein_hidaj/" TargetMode="External"/><Relationship Id="rId2612" Type="http://schemas.openxmlformats.org/officeDocument/2006/relationships/hyperlink" Target="https://www.instagram.com/heyatejannatolhossein" TargetMode="External"/><Relationship Id="rId3944" Type="http://schemas.openxmlformats.org/officeDocument/2006/relationships/hyperlink" Target="https://www.instagram.com/maktabolreza_znj/" TargetMode="External"/><Relationship Id="rId2613" Type="http://schemas.openxmlformats.org/officeDocument/2006/relationships/hyperlink" Target="https://t.me/heyatejannatolhossein" TargetMode="External"/><Relationship Id="rId3943" Type="http://schemas.openxmlformats.org/officeDocument/2006/relationships/hyperlink" Target="https://eitaa.com/heyat_zn" TargetMode="External"/><Relationship Id="rId2614" Type="http://schemas.openxmlformats.org/officeDocument/2006/relationships/hyperlink" Target="https://eitaa.com/jannat_al_hosseinn" TargetMode="External"/><Relationship Id="rId3946" Type="http://schemas.openxmlformats.org/officeDocument/2006/relationships/hyperlink" Target="https://www.instagram.com/aliakbarsharifabad/" TargetMode="External"/><Relationship Id="rId2615" Type="http://schemas.openxmlformats.org/officeDocument/2006/relationships/hyperlink" Target="https://www.instagram.com/jannatolzahra" TargetMode="External"/><Relationship Id="rId3945" Type="http://schemas.openxmlformats.org/officeDocument/2006/relationships/hyperlink" Target="https://www.instagram.com/aliasgharznj1378/" TargetMode="External"/><Relationship Id="rId2616" Type="http://schemas.openxmlformats.org/officeDocument/2006/relationships/hyperlink" Target="https://www.instagram.com/emamjavad_mashhad" TargetMode="External"/><Relationship Id="rId3948" Type="http://schemas.openxmlformats.org/officeDocument/2006/relationships/hyperlink" Target="https://www.instagram.com/masjedamiralmomenin313/" TargetMode="External"/><Relationship Id="rId2617" Type="http://schemas.openxmlformats.org/officeDocument/2006/relationships/hyperlink" Target="https://t.me/EMAMJAVAD_MASHHAD" TargetMode="External"/><Relationship Id="rId3947" Type="http://schemas.openxmlformats.org/officeDocument/2006/relationships/hyperlink" Target="https://www.instagram.com/masjed_hazrat_rogaye_zn/" TargetMode="External"/><Relationship Id="rId2618" Type="http://schemas.openxmlformats.org/officeDocument/2006/relationships/hyperlink" Target="https://eitaa.com/mokebehazratejavadolaememashhad" TargetMode="External"/><Relationship Id="rId2619" Type="http://schemas.openxmlformats.org/officeDocument/2006/relationships/hyperlink" Target="https://www.instagram.com/javanan_110" TargetMode="External"/><Relationship Id="rId3949" Type="http://schemas.openxmlformats.org/officeDocument/2006/relationships/hyperlink" Target="https://www.instagram.com/heyatfatemiyoun/" TargetMode="External"/><Relationship Id="rId3940" Type="http://schemas.openxmlformats.org/officeDocument/2006/relationships/hyperlink" Target="https://www.instagram.com/h.n.roghayeh/" TargetMode="External"/><Relationship Id="rId1312" Type="http://schemas.openxmlformats.org/officeDocument/2006/relationships/hyperlink" Target="https://eitaa.com/e_arbaeen" TargetMode="External"/><Relationship Id="rId2643" Type="http://schemas.openxmlformats.org/officeDocument/2006/relationships/hyperlink" Target="https://www.instagram.com/seyedezeynab.th/" TargetMode="External"/><Relationship Id="rId3975" Type="http://schemas.openxmlformats.org/officeDocument/2006/relationships/hyperlink" Target="https://www.instagram.com/znu.farhangi/" TargetMode="External"/><Relationship Id="rId1313" Type="http://schemas.openxmlformats.org/officeDocument/2006/relationships/hyperlink" Target="https://eitaa.com/moallatv3" TargetMode="External"/><Relationship Id="rId2644" Type="http://schemas.openxmlformats.org/officeDocument/2006/relationships/hyperlink" Target="http://t.me/seyedezeynab_th" TargetMode="External"/><Relationship Id="rId3974" Type="http://schemas.openxmlformats.org/officeDocument/2006/relationships/hyperlink" Target="http://t.me/maktabolzahra_ir" TargetMode="External"/><Relationship Id="rId1314" Type="http://schemas.openxmlformats.org/officeDocument/2006/relationships/hyperlink" Target="https://www.instagram.com/aghilatolarab1/" TargetMode="External"/><Relationship Id="rId2645" Type="http://schemas.openxmlformats.org/officeDocument/2006/relationships/hyperlink" Target="https://t.me/heyat_kaffolabbas" TargetMode="External"/><Relationship Id="rId3977" Type="http://schemas.openxmlformats.org/officeDocument/2006/relationships/hyperlink" Target="https://t.me/alamdare82" TargetMode="External"/><Relationship Id="rId1315" Type="http://schemas.openxmlformats.org/officeDocument/2006/relationships/hyperlink" Target="https://www.instagram.com/hamedkashani__" TargetMode="External"/><Relationship Id="rId2646" Type="http://schemas.openxmlformats.org/officeDocument/2006/relationships/hyperlink" Target="https://www.instagram.com/astane_shahidane_sabzevar_/" TargetMode="External"/><Relationship Id="rId3976" Type="http://schemas.openxmlformats.org/officeDocument/2006/relationships/hyperlink" Target="http://eitaa.com/Znu_farhangi" TargetMode="External"/><Relationship Id="rId1316" Type="http://schemas.openxmlformats.org/officeDocument/2006/relationships/hyperlink" Target="https://eitaa.com/kashani1395" TargetMode="External"/><Relationship Id="rId2647" Type="http://schemas.openxmlformats.org/officeDocument/2006/relationships/hyperlink" Target="https://www.instagram.com/heyat_motevaselin_b/" TargetMode="External"/><Relationship Id="rId3979" Type="http://schemas.openxmlformats.org/officeDocument/2006/relationships/hyperlink" Target="https://www.instagram.com/zaz_ir" TargetMode="External"/><Relationship Id="rId1317" Type="http://schemas.openxmlformats.org/officeDocument/2006/relationships/hyperlink" Target="https://eitaa.com/sheykhramezani" TargetMode="External"/><Relationship Id="rId2648" Type="http://schemas.openxmlformats.org/officeDocument/2006/relationships/hyperlink" Target="https://www.instagram.com/beynolharameyn.live/" TargetMode="External"/><Relationship Id="rId3978" Type="http://schemas.openxmlformats.org/officeDocument/2006/relationships/hyperlink" Target="https://eitaa.com/Kheimesarayezanjan" TargetMode="External"/><Relationship Id="rId1318" Type="http://schemas.openxmlformats.org/officeDocument/2006/relationships/hyperlink" Target="https://www.instagram.com/meysammotiee.official" TargetMode="External"/><Relationship Id="rId2649" Type="http://schemas.openxmlformats.org/officeDocument/2006/relationships/hyperlink" Target="https://www.instagram.com/shababolreza" TargetMode="External"/><Relationship Id="rId1319" Type="http://schemas.openxmlformats.org/officeDocument/2006/relationships/hyperlink" Target="https://eitaa.com/MeysamMotiee" TargetMode="External"/><Relationship Id="rId729" Type="http://schemas.openxmlformats.org/officeDocument/2006/relationships/hyperlink" Target="https://www.instagram.com/divanegan128/" TargetMode="External"/><Relationship Id="rId728" Type="http://schemas.openxmlformats.org/officeDocument/2006/relationships/hyperlink" Target="https://t.me/deldadegan_abdolah" TargetMode="External"/><Relationship Id="rId723" Type="http://schemas.openxmlformats.org/officeDocument/2006/relationships/hyperlink" Target="https://www.instagram.com/bokaeeye.135/" TargetMode="External"/><Relationship Id="rId722" Type="http://schemas.openxmlformats.org/officeDocument/2006/relationships/hyperlink" Target="https://t.me/bibi_fatemeh_gharchak" TargetMode="External"/><Relationship Id="rId721" Type="http://schemas.openxmlformats.org/officeDocument/2006/relationships/hyperlink" Target="https://www.instagram.com/bibi_fatemeh_gharchak/" TargetMode="External"/><Relationship Id="rId720" Type="http://schemas.openxmlformats.org/officeDocument/2006/relationships/hyperlink" Target="https://t.me/bezatolhasan" TargetMode="External"/><Relationship Id="rId727" Type="http://schemas.openxmlformats.org/officeDocument/2006/relationships/hyperlink" Target="https://www.instagram.com/deldadegan_abdolah142/" TargetMode="External"/><Relationship Id="rId726" Type="http://schemas.openxmlformats.org/officeDocument/2006/relationships/hyperlink" Target="https://t.me/dakhil_info" TargetMode="External"/><Relationship Id="rId725" Type="http://schemas.openxmlformats.org/officeDocument/2006/relationships/hyperlink" Target="https://www.instagram.com/dakhil_info/" TargetMode="External"/><Relationship Id="rId724" Type="http://schemas.openxmlformats.org/officeDocument/2006/relationships/hyperlink" Target="https://t.me/bokaeeye" TargetMode="External"/><Relationship Id="rId3971" Type="http://schemas.openxmlformats.org/officeDocument/2006/relationships/hyperlink" Target="https://www.instagram.com/montazeranmonji_zanjan/" TargetMode="External"/><Relationship Id="rId2640" Type="http://schemas.openxmlformats.org/officeDocument/2006/relationships/hyperlink" Target="https://www.instagram.com/heyatbaboraja/" TargetMode="External"/><Relationship Id="rId3970" Type="http://schemas.openxmlformats.org/officeDocument/2006/relationships/hyperlink" Target="https://www.instagram.com/heyat_maktabozeynabdandi1/" TargetMode="External"/><Relationship Id="rId1310" Type="http://schemas.openxmlformats.org/officeDocument/2006/relationships/hyperlink" Target="https://www.instagram.com/majmaolansar/" TargetMode="External"/><Relationship Id="rId2641" Type="http://schemas.openxmlformats.org/officeDocument/2006/relationships/hyperlink" Target="http://eitaa.com/heyatbaboraja" TargetMode="External"/><Relationship Id="rId3973" Type="http://schemas.openxmlformats.org/officeDocument/2006/relationships/hyperlink" Target="https://www.instagram.com/maktabolzahra_ir/" TargetMode="External"/><Relationship Id="rId1311" Type="http://schemas.openxmlformats.org/officeDocument/2006/relationships/hyperlink" Target="http://instagram.com/hasaniyeh133/" TargetMode="External"/><Relationship Id="rId2642" Type="http://schemas.openxmlformats.org/officeDocument/2006/relationships/hyperlink" Target="https://www.instagram.com/heyatmohebanolhossein.quchan/" TargetMode="External"/><Relationship Id="rId3972" Type="http://schemas.openxmlformats.org/officeDocument/2006/relationships/hyperlink" Target="https://www.instagram.com/heiathazratabolfazl1446/" TargetMode="External"/><Relationship Id="rId1301" Type="http://schemas.openxmlformats.org/officeDocument/2006/relationships/hyperlink" Target="https://www.instagram.com/salarzeynab315/" TargetMode="External"/><Relationship Id="rId2632" Type="http://schemas.openxmlformats.org/officeDocument/2006/relationships/hyperlink" Target="https://www.instagram.com/shohadaygomnam_ir/" TargetMode="External"/><Relationship Id="rId3964" Type="http://schemas.openxmlformats.org/officeDocument/2006/relationships/hyperlink" Target="https://www.instagram.com/ashegan_abasaleh_almahdi/" TargetMode="External"/><Relationship Id="rId1302" Type="http://schemas.openxmlformats.org/officeDocument/2006/relationships/hyperlink" Target="http://tlgrm.me/salarzeynab313" TargetMode="External"/><Relationship Id="rId2633" Type="http://schemas.openxmlformats.org/officeDocument/2006/relationships/hyperlink" Target="https://www.instagram.com/seshanbeh_mahdavi_sbz/" TargetMode="External"/><Relationship Id="rId3963" Type="http://schemas.openxmlformats.org/officeDocument/2006/relationships/hyperlink" Target="https://www.instagram.com/mohebanroghayeh/" TargetMode="External"/><Relationship Id="rId1303" Type="http://schemas.openxmlformats.org/officeDocument/2006/relationships/hyperlink" Target="https://www.instagram.com/maktabalzahraut/" TargetMode="External"/><Relationship Id="rId2634" Type="http://schemas.openxmlformats.org/officeDocument/2006/relationships/hyperlink" Target="https://www.instagram.com/mohebozahra.torbate.heydariyeh/" TargetMode="External"/><Relationship Id="rId3966" Type="http://schemas.openxmlformats.org/officeDocument/2006/relationships/hyperlink" Target="https://www.instagram.com/kanone.golhaye.beheshti/" TargetMode="External"/><Relationship Id="rId1304" Type="http://schemas.openxmlformats.org/officeDocument/2006/relationships/hyperlink" Target="https://www.instagram.com/hyate.hazrt.abolfazl/" TargetMode="External"/><Relationship Id="rId2635" Type="http://schemas.openxmlformats.org/officeDocument/2006/relationships/hyperlink" Target="http://telegram.me/mohebozahra1" TargetMode="External"/><Relationship Id="rId3965" Type="http://schemas.openxmlformats.org/officeDocument/2006/relationships/hyperlink" Target="http://rubika.ir/ashegan_abasaleh_almahdi" TargetMode="External"/><Relationship Id="rId1305" Type="http://schemas.openxmlformats.org/officeDocument/2006/relationships/hyperlink" Target="http://t.me/hyate_hazrt_abolfazl" TargetMode="External"/><Relationship Id="rId2636" Type="http://schemas.openxmlformats.org/officeDocument/2006/relationships/hyperlink" Target="https://www.instagram.com/rayat_shohada_g/" TargetMode="External"/><Relationship Id="rId3968" Type="http://schemas.openxmlformats.org/officeDocument/2006/relationships/hyperlink" Target="https://www.instagram.com/_ommolaeme_zanjan_/" TargetMode="External"/><Relationship Id="rId1306" Type="http://schemas.openxmlformats.org/officeDocument/2006/relationships/hyperlink" Target="https://www.instagram.com/heyat_hobbolhosein/" TargetMode="External"/><Relationship Id="rId2637" Type="http://schemas.openxmlformats.org/officeDocument/2006/relationships/hyperlink" Target="https://www.instagram.com/heyat_asheghan_mahdi313/" TargetMode="External"/><Relationship Id="rId3967" Type="http://schemas.openxmlformats.org/officeDocument/2006/relationships/hyperlink" Target="https://www.instagram.com/jameatolghoraan.zanjan/" TargetMode="External"/><Relationship Id="rId1307" Type="http://schemas.openxmlformats.org/officeDocument/2006/relationships/hyperlink" Target="http://t.me/heyat_hobbolhosein" TargetMode="External"/><Relationship Id="rId2638" Type="http://schemas.openxmlformats.org/officeDocument/2006/relationships/hyperlink" Target="https://eitaa.com/mahfelreyhana315" TargetMode="External"/><Relationship Id="rId1308" Type="http://schemas.openxmlformats.org/officeDocument/2006/relationships/hyperlink" Target="https://www.instagram.com/rahrovan.aliakbar/" TargetMode="External"/><Relationship Id="rId2639" Type="http://schemas.openxmlformats.org/officeDocument/2006/relationships/hyperlink" Target="https://eitaa.com/Heiat_Labbayk" TargetMode="External"/><Relationship Id="rId3969" Type="http://schemas.openxmlformats.org/officeDocument/2006/relationships/hyperlink" Target="https://www.instagram.com/official.haz.ir/" TargetMode="External"/><Relationship Id="rId1309" Type="http://schemas.openxmlformats.org/officeDocument/2006/relationships/hyperlink" Target="http://eitaa.com/Rahrovanaliakbar" TargetMode="External"/><Relationship Id="rId719" Type="http://schemas.openxmlformats.org/officeDocument/2006/relationships/hyperlink" Target="https://www.instagram.com/bezatolhasan/" TargetMode="External"/><Relationship Id="rId718" Type="http://schemas.openxmlformats.org/officeDocument/2006/relationships/hyperlink" Target="https://t.me/beytozzahraSal" TargetMode="External"/><Relationship Id="rId717" Type="http://schemas.openxmlformats.org/officeDocument/2006/relationships/hyperlink" Target="https://www.instagram.com/heiat_beytozzahra/" TargetMode="External"/><Relationship Id="rId712" Type="http://schemas.openxmlformats.org/officeDocument/2006/relationships/hyperlink" Target="https://www.instagram.com/beytoreza_info/" TargetMode="External"/><Relationship Id="rId711" Type="http://schemas.openxmlformats.org/officeDocument/2006/relationships/hyperlink" Target="https://t.me/beytoorogaye" TargetMode="External"/><Relationship Id="rId710" Type="http://schemas.openxmlformats.org/officeDocument/2006/relationships/hyperlink" Target="https://www.instagram.com/beytoorogaye/" TargetMode="External"/><Relationship Id="rId716" Type="http://schemas.openxmlformats.org/officeDocument/2006/relationships/hyperlink" Target="http://beytorreza.ir/" TargetMode="External"/><Relationship Id="rId715" Type="http://schemas.openxmlformats.org/officeDocument/2006/relationships/hyperlink" Target="https://t.me/beytorreza" TargetMode="External"/><Relationship Id="rId714" Type="http://schemas.openxmlformats.org/officeDocument/2006/relationships/hyperlink" Target="https://www.instagram.com/beytorreza/" TargetMode="External"/><Relationship Id="rId713" Type="http://schemas.openxmlformats.org/officeDocument/2006/relationships/hyperlink" Target="https://t.me/beytoreza_info" TargetMode="External"/><Relationship Id="rId3960" Type="http://schemas.openxmlformats.org/officeDocument/2006/relationships/hyperlink" Target="https://www.instagram.com/h_emamjavad.zn/" TargetMode="External"/><Relationship Id="rId2630" Type="http://schemas.openxmlformats.org/officeDocument/2006/relationships/hyperlink" Target="https://eitaa.com/maktabreza" TargetMode="External"/><Relationship Id="rId3962" Type="http://schemas.openxmlformats.org/officeDocument/2006/relationships/hyperlink" Target="https://www.instagram.com/reyhane_nabi98/" TargetMode="External"/><Relationship Id="rId1300" Type="http://schemas.openxmlformats.org/officeDocument/2006/relationships/hyperlink" Target="http://t.me/baniifatemeh" TargetMode="External"/><Relationship Id="rId2631" Type="http://schemas.openxmlformats.org/officeDocument/2006/relationships/hyperlink" Target="https://www.instagram.com/alast_media/" TargetMode="External"/><Relationship Id="rId3961" Type="http://schemas.openxmlformats.org/officeDocument/2006/relationships/hyperlink" Target="https://eitaa.com/bentolhoda_znj" TargetMode="External"/><Relationship Id="rId8806" Type="http://schemas.openxmlformats.org/officeDocument/2006/relationships/hyperlink" Target="https://eitaa.com/qom14masoom" TargetMode="External"/><Relationship Id="rId8805" Type="http://schemas.openxmlformats.org/officeDocument/2006/relationships/hyperlink" Target="https://eitaa.com/rozatozinab" TargetMode="External"/><Relationship Id="rId8804" Type="http://schemas.openxmlformats.org/officeDocument/2006/relationships/hyperlink" Target="https://www.instagram.com/mahfel_roghaye_sadat_315/" TargetMode="External"/><Relationship Id="rId8803" Type="http://schemas.openxmlformats.org/officeDocument/2006/relationships/hyperlink" Target="https://www.instagram.com/rahe_fatemeh/" TargetMode="External"/><Relationship Id="rId8809" Type="http://schemas.openxmlformats.org/officeDocument/2006/relationships/hyperlink" Target="https://eitaa.com/heyatkiau" TargetMode="External"/><Relationship Id="rId8808" Type="http://schemas.openxmlformats.org/officeDocument/2006/relationships/hyperlink" Target="https://eitaa.com/gomnam_darolhadith" TargetMode="External"/><Relationship Id="rId8807" Type="http://schemas.openxmlformats.org/officeDocument/2006/relationships/hyperlink" Target="https://www.instagram.com/gomnam_darolhadith/" TargetMode="External"/><Relationship Id="rId8802" Type="http://schemas.openxmlformats.org/officeDocument/2006/relationships/hyperlink" Target="https://eitaa.com/dammam1401" TargetMode="External"/><Relationship Id="rId8801" Type="http://schemas.openxmlformats.org/officeDocument/2006/relationships/hyperlink" Target="https://www.instagram.com/dammam1401/" TargetMode="External"/><Relationship Id="rId8800" Type="http://schemas.openxmlformats.org/officeDocument/2006/relationships/hyperlink" Target="https://www.instagram.com/delsukhteganeqom/" TargetMode="External"/><Relationship Id="rId8828" Type="http://schemas.openxmlformats.org/officeDocument/2006/relationships/hyperlink" Target="https://eitaa.com/kalzahra_ir" TargetMode="External"/><Relationship Id="rId8827" Type="http://schemas.openxmlformats.org/officeDocument/2006/relationships/hyperlink" Target="https://www.instagram.com/qasim_bin_alhassan/" TargetMode="External"/><Relationship Id="rId8826" Type="http://schemas.openxmlformats.org/officeDocument/2006/relationships/hyperlink" Target="https://eitaa.com/fadaeyan_ir" TargetMode="External"/><Relationship Id="rId8825" Type="http://schemas.openxmlformats.org/officeDocument/2006/relationships/hyperlink" Target="https://www.instagram.com/fadaeyan_ir/" TargetMode="External"/><Relationship Id="rId8829" Type="http://schemas.openxmlformats.org/officeDocument/2006/relationships/hyperlink" Target="https://eitaa.com/RozeMadareSadatt" TargetMode="External"/><Relationship Id="rId8820" Type="http://schemas.openxmlformats.org/officeDocument/2006/relationships/hyperlink" Target="https://www.instagram.com/fatemiyoon_qom" TargetMode="External"/><Relationship Id="rId8824" Type="http://schemas.openxmlformats.org/officeDocument/2006/relationships/hyperlink" Target="https://eitaa.com/fadaeianhosein_qom" TargetMode="External"/><Relationship Id="rId8823" Type="http://schemas.openxmlformats.org/officeDocument/2006/relationships/hyperlink" Target="https://t.me/fadaeianhosein_qom/" TargetMode="External"/><Relationship Id="rId8822" Type="http://schemas.openxmlformats.org/officeDocument/2006/relationships/hyperlink" Target="https://www.instagram.com/fadaeianhosein_qom/" TargetMode="External"/><Relationship Id="rId8821" Type="http://schemas.openxmlformats.org/officeDocument/2006/relationships/hyperlink" Target="https://eitaa.com/Fatemiyoon_Qom" TargetMode="External"/><Relationship Id="rId8817" Type="http://schemas.openxmlformats.org/officeDocument/2006/relationships/hyperlink" Target="http://eitaa.com/alamdar_qom79" TargetMode="External"/><Relationship Id="rId8816" Type="http://schemas.openxmlformats.org/officeDocument/2006/relationships/hyperlink" Target="https://www.instagram.com/alamdar_qom79/" TargetMode="External"/><Relationship Id="rId8815" Type="http://schemas.openxmlformats.org/officeDocument/2006/relationships/hyperlink" Target="https://eitaa.com/asheghanaliakbar" TargetMode="External"/><Relationship Id="rId8814" Type="http://schemas.openxmlformats.org/officeDocument/2006/relationships/hyperlink" Target="https://eitaa.com/asheghan_zahra" TargetMode="External"/><Relationship Id="rId8819" Type="http://schemas.openxmlformats.org/officeDocument/2006/relationships/hyperlink" Target="https://eitaa.com/hazratemasome313" TargetMode="External"/><Relationship Id="rId8818" Type="http://schemas.openxmlformats.org/officeDocument/2006/relationships/hyperlink" Target="https://www.instagram.com/gharibesamera20/" TargetMode="External"/><Relationship Id="rId8813" Type="http://schemas.openxmlformats.org/officeDocument/2006/relationships/hyperlink" Target="https://t.me/serat_alheydar" TargetMode="External"/><Relationship Id="rId8812" Type="http://schemas.openxmlformats.org/officeDocument/2006/relationships/hyperlink" Target="https://www.instagram.com/serat_alheydar/" TargetMode="External"/><Relationship Id="rId8811" Type="http://schemas.openxmlformats.org/officeDocument/2006/relationships/hyperlink" Target="https://eitaa.com/sahebona_ir" TargetMode="External"/><Relationship Id="rId8810" Type="http://schemas.openxmlformats.org/officeDocument/2006/relationships/hyperlink" Target="https://eitaa.com/sahebalfath_ir" TargetMode="External"/><Relationship Id="rId1378" Type="http://schemas.openxmlformats.org/officeDocument/2006/relationships/hyperlink" Target="https://www.youtube.com/@ahlebeytmedia" TargetMode="External"/><Relationship Id="rId1379" Type="http://schemas.openxmlformats.org/officeDocument/2006/relationships/hyperlink" Target="https://www.instagram.com/ahrar_118/" TargetMode="External"/><Relationship Id="rId789" Type="http://schemas.openxmlformats.org/officeDocument/2006/relationships/hyperlink" Target="https://www.instagram.com/soore_heyaat" TargetMode="External"/><Relationship Id="rId788" Type="http://schemas.openxmlformats.org/officeDocument/2006/relationships/hyperlink" Target="https://eitaa.com/noore_maaah" TargetMode="External"/><Relationship Id="rId787" Type="http://schemas.openxmlformats.org/officeDocument/2006/relationships/hyperlink" Target="https://t.me/noore_maaah" TargetMode="External"/><Relationship Id="rId786" Type="http://schemas.openxmlformats.org/officeDocument/2006/relationships/hyperlink" Target="https://www.instagram.com/noore_maaah/" TargetMode="External"/><Relationship Id="rId781" Type="http://schemas.openxmlformats.org/officeDocument/2006/relationships/hyperlink" Target="https://www.instagram.com/maktabe_habib/" TargetMode="External"/><Relationship Id="rId1370" Type="http://schemas.openxmlformats.org/officeDocument/2006/relationships/hyperlink" Target="https://t.me/heiatealamdar" TargetMode="External"/><Relationship Id="rId780" Type="http://schemas.openxmlformats.org/officeDocument/2006/relationships/hyperlink" Target="https://www.instagram.com/heiat_azzahraa/" TargetMode="External"/><Relationship Id="rId1371" Type="http://schemas.openxmlformats.org/officeDocument/2006/relationships/hyperlink" Target="https://www.instagram.com/beyt_ol_sadegh/" TargetMode="External"/><Relationship Id="rId1372" Type="http://schemas.openxmlformats.org/officeDocument/2006/relationships/hyperlink" Target="https://t.me/beyt_ol_sadegh" TargetMode="External"/><Relationship Id="rId1373" Type="http://schemas.openxmlformats.org/officeDocument/2006/relationships/hyperlink" Target="https://eitaa.com/beytolabbas12" TargetMode="External"/><Relationship Id="rId785" Type="http://schemas.openxmlformats.org/officeDocument/2006/relationships/hyperlink" Target="https://www.instagram.com/heiat.seyyedezeinab/" TargetMode="External"/><Relationship Id="rId1374" Type="http://schemas.openxmlformats.org/officeDocument/2006/relationships/hyperlink" Target="https://www.instagram.com/aghile.110/" TargetMode="External"/><Relationship Id="rId784" Type="http://schemas.openxmlformats.org/officeDocument/2006/relationships/hyperlink" Target="https://eitaa.com/heyat_valiamr_aj" TargetMode="External"/><Relationship Id="rId1375" Type="http://schemas.openxmlformats.org/officeDocument/2006/relationships/hyperlink" Target="https://t.me/aghile_110" TargetMode="External"/><Relationship Id="rId783" Type="http://schemas.openxmlformats.org/officeDocument/2006/relationships/hyperlink" Target="https://t.me/heyat_valiamr_aj" TargetMode="External"/><Relationship Id="rId1376" Type="http://schemas.openxmlformats.org/officeDocument/2006/relationships/hyperlink" Target="https://www.instagram.com/ahlebeytmedia/" TargetMode="External"/><Relationship Id="rId782" Type="http://schemas.openxmlformats.org/officeDocument/2006/relationships/hyperlink" Target="https://www.instagram.com/heyatvaliamr_aj" TargetMode="External"/><Relationship Id="rId1377" Type="http://schemas.openxmlformats.org/officeDocument/2006/relationships/hyperlink" Target="https://t.me/AhleBeytMedia" TargetMode="External"/><Relationship Id="rId1367" Type="http://schemas.openxmlformats.org/officeDocument/2006/relationships/hyperlink" Target="https://www.instagram.com/mokeb_olzahra315/" TargetMode="External"/><Relationship Id="rId2698" Type="http://schemas.openxmlformats.org/officeDocument/2006/relationships/hyperlink" Target="http://t.me/heyateamiralmomnin" TargetMode="External"/><Relationship Id="rId1368" Type="http://schemas.openxmlformats.org/officeDocument/2006/relationships/hyperlink" Target="https://eitaa.com/mookkeb" TargetMode="External"/><Relationship Id="rId2699" Type="http://schemas.openxmlformats.org/officeDocument/2006/relationships/hyperlink" Target="https://www.instagram.com/fatemiyon_bist_litriha/" TargetMode="External"/><Relationship Id="rId1369" Type="http://schemas.openxmlformats.org/officeDocument/2006/relationships/hyperlink" Target="https://www.instagram.com/heiatealamdar/" TargetMode="External"/><Relationship Id="rId778" Type="http://schemas.openxmlformats.org/officeDocument/2006/relationships/hyperlink" Target="https://www.instagram.com/fatemioon_official/" TargetMode="External"/><Relationship Id="rId777" Type="http://schemas.openxmlformats.org/officeDocument/2006/relationships/hyperlink" Target="https://www.instagram.com/atashalhusain/" TargetMode="External"/><Relationship Id="rId776" Type="http://schemas.openxmlformats.org/officeDocument/2006/relationships/hyperlink" Target="https://www.instagram.com/ansaralzahra.ir/" TargetMode="External"/><Relationship Id="rId775" Type="http://schemas.openxmlformats.org/officeDocument/2006/relationships/hyperlink" Target="http://t.me/AmirHosseinRajablou" TargetMode="External"/><Relationship Id="rId779" Type="http://schemas.openxmlformats.org/officeDocument/2006/relationships/hyperlink" Target="https://www.instagram.com/hasaniyon.ir/" TargetMode="External"/><Relationship Id="rId770" Type="http://schemas.openxmlformats.org/officeDocument/2006/relationships/hyperlink" Target="https://www.instagram.com/beytosadat/" TargetMode="External"/><Relationship Id="rId2690" Type="http://schemas.openxmlformats.org/officeDocument/2006/relationships/hyperlink" Target="https://www.instagram.com/khademinarbaien/" TargetMode="External"/><Relationship Id="rId1360" Type="http://schemas.openxmlformats.org/officeDocument/2006/relationships/hyperlink" Target="https://www.instagram.com/karbalaee_rey/" TargetMode="External"/><Relationship Id="rId2691" Type="http://schemas.openxmlformats.org/officeDocument/2006/relationships/hyperlink" Target="http://t.me/khademinarbaien" TargetMode="External"/><Relationship Id="rId1361" Type="http://schemas.openxmlformats.org/officeDocument/2006/relationships/hyperlink" Target="http://t.me/H_khadame_ahlebeit" TargetMode="External"/><Relationship Id="rId2692" Type="http://schemas.openxmlformats.org/officeDocument/2006/relationships/hyperlink" Target="https://www.instagram.com/hosseinieh_fatemieh1393/" TargetMode="External"/><Relationship Id="rId1362" Type="http://schemas.openxmlformats.org/officeDocument/2006/relationships/hyperlink" Target="https://www.instagram.com/asheghansarallah_tehran/" TargetMode="External"/><Relationship Id="rId2693" Type="http://schemas.openxmlformats.org/officeDocument/2006/relationships/hyperlink" Target="https://www.instagram.com/qaeem_al_mohammad_135/" TargetMode="External"/><Relationship Id="rId774" Type="http://schemas.openxmlformats.org/officeDocument/2006/relationships/hyperlink" Target="https://www.instagram.com/beytolhosein_tehran/" TargetMode="External"/><Relationship Id="rId1363" Type="http://schemas.openxmlformats.org/officeDocument/2006/relationships/hyperlink" Target="http://t.me/@ashegansarallah" TargetMode="External"/><Relationship Id="rId2694" Type="http://schemas.openxmlformats.org/officeDocument/2006/relationships/hyperlink" Target="https://www.instagram.com/sarallahkosar/" TargetMode="External"/><Relationship Id="rId773" Type="http://schemas.openxmlformats.org/officeDocument/2006/relationships/hyperlink" Target="https://t.me/tasuair" TargetMode="External"/><Relationship Id="rId1364" Type="http://schemas.openxmlformats.org/officeDocument/2006/relationships/hyperlink" Target="https://www.instagram.com/maktaboolhosein.media/" TargetMode="External"/><Relationship Id="rId2695" Type="http://schemas.openxmlformats.org/officeDocument/2006/relationships/hyperlink" Target="http://t.me/sarallahkosar" TargetMode="External"/><Relationship Id="rId772" Type="http://schemas.openxmlformats.org/officeDocument/2006/relationships/hyperlink" Target="https://www.instagram.com/ghamarebanihashem/" TargetMode="External"/><Relationship Id="rId1365" Type="http://schemas.openxmlformats.org/officeDocument/2006/relationships/hyperlink" Target="http://t.me/maktabollhosein_rey" TargetMode="External"/><Relationship Id="rId2696" Type="http://schemas.openxmlformats.org/officeDocument/2006/relationships/hyperlink" Target="https://www.instagram.com/shiftegan.ir/" TargetMode="External"/><Relationship Id="rId771" Type="http://schemas.openxmlformats.org/officeDocument/2006/relationships/hyperlink" Target="https://t.me/Tarighhossein" TargetMode="External"/><Relationship Id="rId1366" Type="http://schemas.openxmlformats.org/officeDocument/2006/relationships/hyperlink" Target="https://eitaa.com/shababozahra" TargetMode="External"/><Relationship Id="rId2697" Type="http://schemas.openxmlformats.org/officeDocument/2006/relationships/hyperlink" Target="https://www.instagram.com/heyateamiralmomenin110/" TargetMode="External"/><Relationship Id="rId1390" Type="http://schemas.openxmlformats.org/officeDocument/2006/relationships/hyperlink" Target="https://www.youtube.com/@heiatjanesaran" TargetMode="External"/><Relationship Id="rId1391" Type="http://schemas.openxmlformats.org/officeDocument/2006/relationships/hyperlink" Target="https://www.instagram.com/mahmuudkarimi" TargetMode="External"/><Relationship Id="rId1392" Type="http://schemas.openxmlformats.org/officeDocument/2006/relationships/hyperlink" Target="https://t.me/mahmoudkarimmi" TargetMode="External"/><Relationship Id="rId1393" Type="http://schemas.openxmlformats.org/officeDocument/2006/relationships/hyperlink" Target="https://eitaa.com/mahmoudkarimmi" TargetMode="External"/><Relationship Id="rId1394" Type="http://schemas.openxmlformats.org/officeDocument/2006/relationships/hyperlink" Target="https://www.instagram.com/mahuramedia/" TargetMode="External"/><Relationship Id="rId1395" Type="http://schemas.openxmlformats.org/officeDocument/2006/relationships/hyperlink" Target="https://t.me/Mahuramedia" TargetMode="External"/><Relationship Id="rId1396" Type="http://schemas.openxmlformats.org/officeDocument/2006/relationships/hyperlink" Target="https://www.instagram.com/monji_sound_group/" TargetMode="External"/><Relationship Id="rId1397" Type="http://schemas.openxmlformats.org/officeDocument/2006/relationships/hyperlink" Target="https://t.me/monji_sound_group" TargetMode="External"/><Relationship Id="rId1398" Type="http://schemas.openxmlformats.org/officeDocument/2006/relationships/hyperlink" Target="https://www.instagram.com/neyestan.sound.group/" TargetMode="External"/><Relationship Id="rId1399" Type="http://schemas.openxmlformats.org/officeDocument/2006/relationships/hyperlink" Target="https://t.me/NeyestanSoundGroup" TargetMode="External"/><Relationship Id="rId1389" Type="http://schemas.openxmlformats.org/officeDocument/2006/relationships/hyperlink" Target="https://t.me/heiatjanesaran" TargetMode="External"/><Relationship Id="rId799" Type="http://schemas.openxmlformats.org/officeDocument/2006/relationships/hyperlink" Target="https://eitaa.com/Heyat_Aliakbar_tehran" TargetMode="External"/><Relationship Id="rId798" Type="http://schemas.openxmlformats.org/officeDocument/2006/relationships/hyperlink" Target="https://www.instagram.com/oshaghalmahdiii/" TargetMode="External"/><Relationship Id="rId797" Type="http://schemas.openxmlformats.org/officeDocument/2006/relationships/hyperlink" Target="http://t.me/Javanan_Sadegh" TargetMode="External"/><Relationship Id="rId1380" Type="http://schemas.openxmlformats.org/officeDocument/2006/relationships/hyperlink" Target="https://t.me/ahrar_118" TargetMode="External"/><Relationship Id="rId792" Type="http://schemas.openxmlformats.org/officeDocument/2006/relationships/hyperlink" Target="https://www.instagram.com/heiatozahra.mokhadarat/" TargetMode="External"/><Relationship Id="rId1381" Type="http://schemas.openxmlformats.org/officeDocument/2006/relationships/hyperlink" Target="https://www.youtube.com/@ahrar118" TargetMode="External"/><Relationship Id="rId791" Type="http://schemas.openxmlformats.org/officeDocument/2006/relationships/hyperlink" Target="https://ble.ir/soore_heyaat" TargetMode="External"/><Relationship Id="rId1382" Type="http://schemas.openxmlformats.org/officeDocument/2006/relationships/hyperlink" Target="https://www.instagram.com/asrae_133/" TargetMode="External"/><Relationship Id="rId790" Type="http://schemas.openxmlformats.org/officeDocument/2006/relationships/hyperlink" Target="https://t.me/soore_heyaat" TargetMode="External"/><Relationship Id="rId1383" Type="http://schemas.openxmlformats.org/officeDocument/2006/relationships/hyperlink" Target="https://t.me/asraae_133" TargetMode="External"/><Relationship Id="rId1384" Type="http://schemas.openxmlformats.org/officeDocument/2006/relationships/hyperlink" Target="https://www.instagram.com/avaye_bartar_sound_group/" TargetMode="External"/><Relationship Id="rId796" Type="http://schemas.openxmlformats.org/officeDocument/2006/relationships/hyperlink" Target="https://www.instagram.com/heiatsadegh/" TargetMode="External"/><Relationship Id="rId1385" Type="http://schemas.openxmlformats.org/officeDocument/2006/relationships/hyperlink" Target="https://t.me/AvayeBartarSoundGroup" TargetMode="External"/><Relationship Id="rId795" Type="http://schemas.openxmlformats.org/officeDocument/2006/relationships/hyperlink" Target="https://www.instagram.com/h_jannatreza101/" TargetMode="External"/><Relationship Id="rId1386" Type="http://schemas.openxmlformats.org/officeDocument/2006/relationships/hyperlink" Target="https://www.instagram.com/ghorobadineh.ir" TargetMode="External"/><Relationship Id="rId794" Type="http://schemas.openxmlformats.org/officeDocument/2006/relationships/hyperlink" Target="https://www.instagram.com/saheb1377s/" TargetMode="External"/><Relationship Id="rId1387" Type="http://schemas.openxmlformats.org/officeDocument/2006/relationships/hyperlink" Target="https://t.me/ghorubeadineh" TargetMode="External"/><Relationship Id="rId793" Type="http://schemas.openxmlformats.org/officeDocument/2006/relationships/hyperlink" Target="https://www.instagram.com/fatemion_shahed/" TargetMode="External"/><Relationship Id="rId1388" Type="http://schemas.openxmlformats.org/officeDocument/2006/relationships/hyperlink" Target="https://www.instagram.com/heiatjanesaran/" TargetMode="External"/><Relationship Id="rId6229" Type="http://schemas.openxmlformats.org/officeDocument/2006/relationships/hyperlink" Target="https://www.instagram.com/nojaba_net" TargetMode="External"/><Relationship Id="rId7551" Type="http://schemas.openxmlformats.org/officeDocument/2006/relationships/hyperlink" Target="https://eitaa.com/aheyatiha_ir" TargetMode="External"/><Relationship Id="rId8882" Type="http://schemas.openxmlformats.org/officeDocument/2006/relationships/hyperlink" Target="https://www.instagram.com/jannatalzeinabqom/" TargetMode="External"/><Relationship Id="rId6220" Type="http://schemas.openxmlformats.org/officeDocument/2006/relationships/hyperlink" Target="https://www.instagram.com/heyate_beynolharamein" TargetMode="External"/><Relationship Id="rId7550" Type="http://schemas.openxmlformats.org/officeDocument/2006/relationships/hyperlink" Target="https://www.instagram.com/mokeb_aleyasin" TargetMode="External"/><Relationship Id="rId8881" Type="http://schemas.openxmlformats.org/officeDocument/2006/relationships/hyperlink" Target="https://www.instagram.com/jannatolboka.ir/" TargetMode="External"/><Relationship Id="rId8880" Type="http://schemas.openxmlformats.org/officeDocument/2006/relationships/hyperlink" Target="https://eitaa.com/samenallhojaj" TargetMode="External"/><Relationship Id="rId6223" Type="http://schemas.openxmlformats.org/officeDocument/2006/relationships/hyperlink" Target="https://eitaa.com/tekiye_133" TargetMode="External"/><Relationship Id="rId7555" Type="http://schemas.openxmlformats.org/officeDocument/2006/relationships/hyperlink" Target="https://eitaa.com/heyat_rezaie_kashan" TargetMode="External"/><Relationship Id="rId8886" Type="http://schemas.openxmlformats.org/officeDocument/2006/relationships/hyperlink" Target="https://eitaa.com/hasanie_qom" TargetMode="External"/><Relationship Id="rId6224" Type="http://schemas.openxmlformats.org/officeDocument/2006/relationships/hyperlink" Target="https://t.me/dokohe313" TargetMode="External"/><Relationship Id="rId7554" Type="http://schemas.openxmlformats.org/officeDocument/2006/relationships/hyperlink" Target="https://t.me/heyat_rezaie_kashan" TargetMode="External"/><Relationship Id="rId8885" Type="http://schemas.openxmlformats.org/officeDocument/2006/relationships/hyperlink" Target="https://t.me/hasanieqom" TargetMode="External"/><Relationship Id="rId6221" Type="http://schemas.openxmlformats.org/officeDocument/2006/relationships/hyperlink" Target="https://www.instagram.com/2rahi.eshgh" TargetMode="External"/><Relationship Id="rId7553" Type="http://schemas.openxmlformats.org/officeDocument/2006/relationships/hyperlink" Target="https://www.instagram.com/heyat_rezaie_kashan" TargetMode="External"/><Relationship Id="rId8884" Type="http://schemas.openxmlformats.org/officeDocument/2006/relationships/hyperlink" Target="https://www.instagram.com/hasanie_qom/" TargetMode="External"/><Relationship Id="rId6222" Type="http://schemas.openxmlformats.org/officeDocument/2006/relationships/hyperlink" Target="https://www.instagram.com/tekiye133" TargetMode="External"/><Relationship Id="rId7552" Type="http://schemas.openxmlformats.org/officeDocument/2006/relationships/hyperlink" Target="https://www.instagram.com/maktabalabbas313" TargetMode="External"/><Relationship Id="rId8883" Type="http://schemas.openxmlformats.org/officeDocument/2006/relationships/hyperlink" Target="https://t.me/jannatalzeinabqom" TargetMode="External"/><Relationship Id="rId6227" Type="http://schemas.openxmlformats.org/officeDocument/2006/relationships/hyperlink" Target="https://www.instagram.com/ghasemebnelhasan88" TargetMode="External"/><Relationship Id="rId7559" Type="http://schemas.openxmlformats.org/officeDocument/2006/relationships/hyperlink" Target="https://eitaa.com/MOHEBAN_AL_ZAHRA" TargetMode="External"/><Relationship Id="rId6228" Type="http://schemas.openxmlformats.org/officeDocument/2006/relationships/hyperlink" Target="https://t.me/ghasemabnelhasan88" TargetMode="External"/><Relationship Id="rId7558" Type="http://schemas.openxmlformats.org/officeDocument/2006/relationships/hyperlink" Target="https://www.instagram.com/mohebanalzahra.isf" TargetMode="External"/><Relationship Id="rId8889" Type="http://schemas.openxmlformats.org/officeDocument/2006/relationships/hyperlink" Target="https://www.instagram.com/mirzamohammadi_ir" TargetMode="External"/><Relationship Id="rId6225" Type="http://schemas.openxmlformats.org/officeDocument/2006/relationships/hyperlink" Target="https://eitaa.com/dokohe313" TargetMode="External"/><Relationship Id="rId7557" Type="http://schemas.openxmlformats.org/officeDocument/2006/relationships/hyperlink" Target="https://www.instagram.com/music.hazratqasem_/" TargetMode="External"/><Relationship Id="rId8888" Type="http://schemas.openxmlformats.org/officeDocument/2006/relationships/hyperlink" Target="https://eitaa.com/heyathojjat" TargetMode="External"/><Relationship Id="rId6226" Type="http://schemas.openxmlformats.org/officeDocument/2006/relationships/hyperlink" Target="https://eitaa.com/razmandganz" TargetMode="External"/><Relationship Id="rId7556" Type="http://schemas.openxmlformats.org/officeDocument/2006/relationships/hyperlink" Target="https://eitaa.com/hobesf" TargetMode="External"/><Relationship Id="rId8887" Type="http://schemas.openxmlformats.org/officeDocument/2006/relationships/hyperlink" Target="https://www.instagram.com/heiat_14masoume/" TargetMode="External"/><Relationship Id="rId6218" Type="http://schemas.openxmlformats.org/officeDocument/2006/relationships/hyperlink" Target="https://t.me/asheghanhosyini" TargetMode="External"/><Relationship Id="rId6219" Type="http://schemas.openxmlformats.org/officeDocument/2006/relationships/hyperlink" Target="https://eitaa.com/masjed_313" TargetMode="External"/><Relationship Id="rId7549" Type="http://schemas.openxmlformats.org/officeDocument/2006/relationships/hyperlink" Target="https://eitaa.com/amirebayanesf" TargetMode="External"/><Relationship Id="rId7540" Type="http://schemas.openxmlformats.org/officeDocument/2006/relationships/hyperlink" Target="https://eitaa.com/joinchat/2858287332Cbde5fce19c" TargetMode="External"/><Relationship Id="rId8871" Type="http://schemas.openxmlformats.org/officeDocument/2006/relationships/hyperlink" Target="https://www.instagram.com/heyat_emamhasan_mojtaba" TargetMode="External"/><Relationship Id="rId8870" Type="http://schemas.openxmlformats.org/officeDocument/2006/relationships/hyperlink" Target="https://eitaa.com/heiat_imamhasan" TargetMode="External"/><Relationship Id="rId6212" Type="http://schemas.openxmlformats.org/officeDocument/2006/relationships/hyperlink" Target="https://www.instagram.com/moheban.damghan" TargetMode="External"/><Relationship Id="rId7544" Type="http://schemas.openxmlformats.org/officeDocument/2006/relationships/hyperlink" Target="https://www.instagram.com/banovan_fatemii" TargetMode="External"/><Relationship Id="rId8875" Type="http://schemas.openxmlformats.org/officeDocument/2006/relationships/hyperlink" Target="https://www.instagram.com/ansaralmahdiqom" TargetMode="External"/><Relationship Id="rId6213" Type="http://schemas.openxmlformats.org/officeDocument/2006/relationships/hyperlink" Target="https://eitaa.com/hosseiniesajjad" TargetMode="External"/><Relationship Id="rId7543" Type="http://schemas.openxmlformats.org/officeDocument/2006/relationships/hyperlink" Target="https://t.me/heyatefatemieh133" TargetMode="External"/><Relationship Id="rId8874" Type="http://schemas.openxmlformats.org/officeDocument/2006/relationships/hyperlink" Target="https://eitaa.com/ansar_alhosseyn313" TargetMode="External"/><Relationship Id="rId6210" Type="http://schemas.openxmlformats.org/officeDocument/2006/relationships/hyperlink" Target="https://www.instagram.com/asheghan_abolfazl_1396" TargetMode="External"/><Relationship Id="rId7542" Type="http://schemas.openxmlformats.org/officeDocument/2006/relationships/hyperlink" Target="https://www.instagram.com/fatemiyejoshoghaniha" TargetMode="External"/><Relationship Id="rId8873" Type="http://schemas.openxmlformats.org/officeDocument/2006/relationships/hyperlink" Target="https://eitaa.com/heyat_emamhasan_mojtaba" TargetMode="External"/><Relationship Id="rId6211" Type="http://schemas.openxmlformats.org/officeDocument/2006/relationships/hyperlink" Target="https://eitaa.com/asheghan_abolfazl_1396" TargetMode="External"/><Relationship Id="rId7541" Type="http://schemas.openxmlformats.org/officeDocument/2006/relationships/hyperlink" Target="https://www.instagram.com/tawashih_tasnim" TargetMode="External"/><Relationship Id="rId8872" Type="http://schemas.openxmlformats.org/officeDocument/2006/relationships/hyperlink" Target="https://t.me/heyat_emamhasan_mojtaba" TargetMode="External"/><Relationship Id="rId6216" Type="http://schemas.openxmlformats.org/officeDocument/2006/relationships/hyperlink" Target="https://www.instagram.com/banifatemehdamghan" TargetMode="External"/><Relationship Id="rId7548" Type="http://schemas.openxmlformats.org/officeDocument/2006/relationships/hyperlink" Target="https://www.instagram.com/hazratghasem_94" TargetMode="External"/><Relationship Id="rId8879" Type="http://schemas.openxmlformats.org/officeDocument/2006/relationships/hyperlink" Target="https://www.instagram.com/samenall_hojaj/" TargetMode="External"/><Relationship Id="rId6217" Type="http://schemas.openxmlformats.org/officeDocument/2006/relationships/hyperlink" Target="https://www.instagram.com/mukeb14" TargetMode="External"/><Relationship Id="rId7547" Type="http://schemas.openxmlformats.org/officeDocument/2006/relationships/hyperlink" Target="https://www.instagram.com/saelanelhossein" TargetMode="External"/><Relationship Id="rId8878" Type="http://schemas.openxmlformats.org/officeDocument/2006/relationships/hyperlink" Target="http://eitaa.com/h_banezahra118" TargetMode="External"/><Relationship Id="rId6214" Type="http://schemas.openxmlformats.org/officeDocument/2006/relationships/hyperlink" Target="https://www.instagram.com/tekiye133" TargetMode="External"/><Relationship Id="rId7546" Type="http://schemas.openxmlformats.org/officeDocument/2006/relationships/hyperlink" Target="https://eitaa.com/pnuesf_nahad_ir" TargetMode="External"/><Relationship Id="rId8877" Type="http://schemas.openxmlformats.org/officeDocument/2006/relationships/hyperlink" Target="https://www.instagram.com/h_banezahra118/" TargetMode="External"/><Relationship Id="rId6215" Type="http://schemas.openxmlformats.org/officeDocument/2006/relationships/hyperlink" Target="https://eitaa.com/tekiye_133" TargetMode="External"/><Relationship Id="rId7545" Type="http://schemas.openxmlformats.org/officeDocument/2006/relationships/hyperlink" Target="https://eitaa.com/heiatefatematozahra" TargetMode="External"/><Relationship Id="rId8876" Type="http://schemas.openxmlformats.org/officeDocument/2006/relationships/hyperlink" Target="https://t.me/AnsaralmahdiQom" TargetMode="External"/><Relationship Id="rId6241" Type="http://schemas.openxmlformats.org/officeDocument/2006/relationships/hyperlink" Target="https://www.instagram.com/zavar_al_hosein_semnan" TargetMode="External"/><Relationship Id="rId7573" Type="http://schemas.openxmlformats.org/officeDocument/2006/relationships/hyperlink" Target="https://www.instagram.com/salman.isf" TargetMode="External"/><Relationship Id="rId6242" Type="http://schemas.openxmlformats.org/officeDocument/2006/relationships/hyperlink" Target="https://eitaa.com/zovaralhoseinsemnan" TargetMode="External"/><Relationship Id="rId7572" Type="http://schemas.openxmlformats.org/officeDocument/2006/relationships/hyperlink" Target="https://t.me/montazeranemahdiaj" TargetMode="External"/><Relationship Id="rId7571" Type="http://schemas.openxmlformats.org/officeDocument/2006/relationships/hyperlink" Target="https://www.instagram.com/montazeranemahdiaj" TargetMode="External"/><Relationship Id="rId6240" Type="http://schemas.openxmlformats.org/officeDocument/2006/relationships/hyperlink" Target="https://www.instagram.com/emam.hossein.semnan" TargetMode="External"/><Relationship Id="rId7570" Type="http://schemas.openxmlformats.org/officeDocument/2006/relationships/hyperlink" Target="https://eitaa.com/Heyat_fatemiun_esferenjan" TargetMode="External"/><Relationship Id="rId6245" Type="http://schemas.openxmlformats.org/officeDocument/2006/relationships/hyperlink" Target="https://www.instagram.com/mft.mahya" TargetMode="External"/><Relationship Id="rId7577" Type="http://schemas.openxmlformats.org/officeDocument/2006/relationships/hyperlink" Target="https://www.instagram.com/heyat_mohebban_almahdi" TargetMode="External"/><Relationship Id="rId6246" Type="http://schemas.openxmlformats.org/officeDocument/2006/relationships/hyperlink" Target="https://t.me/khadememahdi1" TargetMode="External"/><Relationship Id="rId7576" Type="http://schemas.openxmlformats.org/officeDocument/2006/relationships/hyperlink" Target="https://www.instagram.com/heyyat_hazrat_abalfazl" TargetMode="External"/><Relationship Id="rId6243" Type="http://schemas.openxmlformats.org/officeDocument/2006/relationships/hyperlink" Target="https://t.me/Ansarol_mahdi_semnan" TargetMode="External"/><Relationship Id="rId7575" Type="http://schemas.openxmlformats.org/officeDocument/2006/relationships/hyperlink" Target="https://www.instagram.com/moheban_hoseyn128" TargetMode="External"/><Relationship Id="rId6244" Type="http://schemas.openxmlformats.org/officeDocument/2006/relationships/hyperlink" Target="https://eitaa.com/ansarihair" TargetMode="External"/><Relationship Id="rId7574" Type="http://schemas.openxmlformats.org/officeDocument/2006/relationships/hyperlink" Target="https://eitaa.com/salman_isf" TargetMode="External"/><Relationship Id="rId6249" Type="http://schemas.openxmlformats.org/officeDocument/2006/relationships/hyperlink" Target="https://eitaa.com/semnan_hamdeli" TargetMode="External"/><Relationship Id="rId6247" Type="http://schemas.openxmlformats.org/officeDocument/2006/relationships/hyperlink" Target="https://eitaa.com/paygah_javad_al_aemme_semnan" TargetMode="External"/><Relationship Id="rId7579" Type="http://schemas.openxmlformats.org/officeDocument/2006/relationships/hyperlink" Target="https://eitaa.com/kanon_motahari_razan" TargetMode="External"/><Relationship Id="rId6248" Type="http://schemas.openxmlformats.org/officeDocument/2006/relationships/hyperlink" Target="https://www.instagram.com/semnan__hamdeli" TargetMode="External"/><Relationship Id="rId7578" Type="http://schemas.openxmlformats.org/officeDocument/2006/relationships/hyperlink" Target="https://www.instagram.com/masjed_hazratghaem" TargetMode="External"/><Relationship Id="rId6230" Type="http://schemas.openxmlformats.org/officeDocument/2006/relationships/hyperlink" Target="https://www.instagram.com/mahdeieh.sorkhe" TargetMode="External"/><Relationship Id="rId7562" Type="http://schemas.openxmlformats.org/officeDocument/2006/relationships/hyperlink" Target="https://www.instagram.com/heyateansaralmahdi" TargetMode="External"/><Relationship Id="rId8893" Type="http://schemas.openxmlformats.org/officeDocument/2006/relationships/hyperlink" Target="https://t.me/miadgah_313" TargetMode="External"/><Relationship Id="rId6231" Type="http://schemas.openxmlformats.org/officeDocument/2006/relationships/hyperlink" Target="https://eitaa.com/mahdiyesorkheh" TargetMode="External"/><Relationship Id="rId7561" Type="http://schemas.openxmlformats.org/officeDocument/2006/relationships/hyperlink" Target="https://t.me/mohebanalmahdi110" TargetMode="External"/><Relationship Id="rId8892" Type="http://schemas.openxmlformats.org/officeDocument/2006/relationships/hyperlink" Target="https://www.instagram.com/heyat_hazrate_sahebalzaman/" TargetMode="External"/><Relationship Id="rId7560" Type="http://schemas.openxmlformats.org/officeDocument/2006/relationships/hyperlink" Target="https://www.instagram.com/mohebanalmahdi_110" TargetMode="External"/><Relationship Id="rId8891" Type="http://schemas.openxmlformats.org/officeDocument/2006/relationships/hyperlink" Target="https://eitaa.com/Heyat_hamze" TargetMode="External"/><Relationship Id="rId8890" Type="http://schemas.openxmlformats.org/officeDocument/2006/relationships/hyperlink" Target="https://eitaa.com/huddath_al_hussain_ir" TargetMode="External"/><Relationship Id="rId6234" Type="http://schemas.openxmlformats.org/officeDocument/2006/relationships/hyperlink" Target="https://www.instagram.com/oshshagholhosein" TargetMode="External"/><Relationship Id="rId7566" Type="http://schemas.openxmlformats.org/officeDocument/2006/relationships/hyperlink" Target="https://eitaa.com/ravabetesf1" TargetMode="External"/><Relationship Id="rId8897" Type="http://schemas.openxmlformats.org/officeDocument/2006/relationships/hyperlink" Target="https://t.me/kheimegah_aliebnemousaalreza" TargetMode="External"/><Relationship Id="rId6235" Type="http://schemas.openxmlformats.org/officeDocument/2006/relationships/hyperlink" Target="https://t.me/oshshagholhosein" TargetMode="External"/><Relationship Id="rId7565" Type="http://schemas.openxmlformats.org/officeDocument/2006/relationships/hyperlink" Target="https://t.me/heyat_abalfazliaran" TargetMode="External"/><Relationship Id="rId8896" Type="http://schemas.openxmlformats.org/officeDocument/2006/relationships/hyperlink" Target="https://www.instagram.com/kheimegah_aliebnemousaalreza/" TargetMode="External"/><Relationship Id="rId6232" Type="http://schemas.openxmlformats.org/officeDocument/2006/relationships/hyperlink" Target="https://www.instagram.com/masjed_valiasr_sorkheh" TargetMode="External"/><Relationship Id="rId7564" Type="http://schemas.openxmlformats.org/officeDocument/2006/relationships/hyperlink" Target="https://www.instagram.com/haramtaharam" TargetMode="External"/><Relationship Id="rId8895" Type="http://schemas.openxmlformats.org/officeDocument/2006/relationships/hyperlink" Target="https://www.instagram.com/khademin_h_zahra/" TargetMode="External"/><Relationship Id="rId6233" Type="http://schemas.openxmlformats.org/officeDocument/2006/relationships/hyperlink" Target="https://t.me/ansaralhossinsorkheh" TargetMode="External"/><Relationship Id="rId7563" Type="http://schemas.openxmlformats.org/officeDocument/2006/relationships/hyperlink" Target="https://www.instagram.com/heyat_emam.reza" TargetMode="External"/><Relationship Id="rId8894" Type="http://schemas.openxmlformats.org/officeDocument/2006/relationships/hyperlink" Target="https://eitaa.com/miadgah_313" TargetMode="External"/><Relationship Id="rId6238" Type="http://schemas.openxmlformats.org/officeDocument/2006/relationships/hyperlink" Target="https://t.me/seyyedalshohadasorkheh" TargetMode="External"/><Relationship Id="rId6239" Type="http://schemas.openxmlformats.org/officeDocument/2006/relationships/hyperlink" Target="https://www.eitaa.com/seyyedalshohadasorkheh" TargetMode="External"/><Relationship Id="rId7569" Type="http://schemas.openxmlformats.org/officeDocument/2006/relationships/hyperlink" Target="https://www.instagram.com/mohebban_m" TargetMode="External"/><Relationship Id="rId6236" Type="http://schemas.openxmlformats.org/officeDocument/2006/relationships/hyperlink" Target="https://eitaa.com/oshshagholhosein" TargetMode="External"/><Relationship Id="rId7568" Type="http://schemas.openxmlformats.org/officeDocument/2006/relationships/hyperlink" Target="https://t.me/ansaralmahdi_lapouei" TargetMode="External"/><Relationship Id="rId8899" Type="http://schemas.openxmlformats.org/officeDocument/2006/relationships/hyperlink" Target="https://www.instagram.com/dokhtarane_mosa_ibn_jafar_/" TargetMode="External"/><Relationship Id="rId6237" Type="http://schemas.openxmlformats.org/officeDocument/2006/relationships/hyperlink" Target="https://www.instagram.com/seyyedalshohadasorkheh" TargetMode="External"/><Relationship Id="rId7567" Type="http://schemas.openxmlformats.org/officeDocument/2006/relationships/hyperlink" Target="https://www.instagram.com/ansaralmahdi_lapouei" TargetMode="External"/><Relationship Id="rId8898" Type="http://schemas.openxmlformats.org/officeDocument/2006/relationships/hyperlink" Target="https://eitaa.com/kheymeh_gah_emam_reza" TargetMode="External"/><Relationship Id="rId7519" Type="http://schemas.openxmlformats.org/officeDocument/2006/relationships/hyperlink" Target="https://eitaa.com/oshaghol_hossein1" TargetMode="External"/><Relationship Id="rId7518" Type="http://schemas.openxmlformats.org/officeDocument/2006/relationships/hyperlink" Target="https://www.instagram.com/oshaghol_hossein1" TargetMode="External"/><Relationship Id="rId8849" Type="http://schemas.openxmlformats.org/officeDocument/2006/relationships/hyperlink" Target="https://www.instagram.com/mohebbin_alzahra.ir/" TargetMode="External"/><Relationship Id="rId7517" Type="http://schemas.openxmlformats.org/officeDocument/2006/relationships/hyperlink" Target="https://www.instagram.com/heyatmahdiyounesfahan" TargetMode="External"/><Relationship Id="rId8848" Type="http://schemas.openxmlformats.org/officeDocument/2006/relationships/hyperlink" Target="https://t.me/GHASEMebnelHASANqom" TargetMode="External"/><Relationship Id="rId7516" Type="http://schemas.openxmlformats.org/officeDocument/2006/relationships/hyperlink" Target="https://t.me/moheban_emamhasan" TargetMode="External"/><Relationship Id="rId8847" Type="http://schemas.openxmlformats.org/officeDocument/2006/relationships/hyperlink" Target="https://www.instagram.com/mohebban.ghasem201/" TargetMode="External"/><Relationship Id="rId7511" Type="http://schemas.openxmlformats.org/officeDocument/2006/relationships/hyperlink" Target="https://www.instagram.com/beynolharamein_esf" TargetMode="External"/><Relationship Id="rId8842" Type="http://schemas.openxmlformats.org/officeDocument/2006/relationships/hyperlink" Target="https://www.instagram.com/mahfel_moheban/" TargetMode="External"/><Relationship Id="rId7510" Type="http://schemas.openxmlformats.org/officeDocument/2006/relationships/hyperlink" Target="https://eitaa.com/hoseinjan182" TargetMode="External"/><Relationship Id="rId8841" Type="http://schemas.openxmlformats.org/officeDocument/2006/relationships/hyperlink" Target="https://t.me/majmamohseniunqom" TargetMode="External"/><Relationship Id="rId8840" Type="http://schemas.openxmlformats.org/officeDocument/2006/relationships/hyperlink" Target="https://www.instagram.com/majmamohseniun_qom/" TargetMode="External"/><Relationship Id="rId7515" Type="http://schemas.openxmlformats.org/officeDocument/2006/relationships/hyperlink" Target="https://www.instagram.com/moheban_emamhasan" TargetMode="External"/><Relationship Id="rId8846" Type="http://schemas.openxmlformats.org/officeDocument/2006/relationships/hyperlink" Target="https://eitaa.com/mohebbanrezainfo" TargetMode="External"/><Relationship Id="rId7514" Type="http://schemas.openxmlformats.org/officeDocument/2006/relationships/hyperlink" Target="https://www.instagram.com/maktab_almahdi.99" TargetMode="External"/><Relationship Id="rId8845" Type="http://schemas.openxmlformats.org/officeDocument/2006/relationships/hyperlink" Target="https://t.me/mohebbanrezainfo" TargetMode="External"/><Relationship Id="rId7513" Type="http://schemas.openxmlformats.org/officeDocument/2006/relationships/hyperlink" Target="https://www.instagram.com/heyate_aliebne_abitaleb" TargetMode="External"/><Relationship Id="rId8844" Type="http://schemas.openxmlformats.org/officeDocument/2006/relationships/hyperlink" Target="https://www.instagram.com/mohebbanrezainfo/" TargetMode="External"/><Relationship Id="rId7512" Type="http://schemas.openxmlformats.org/officeDocument/2006/relationships/hyperlink" Target="https://eitaa.com/ghaamabnhasn" TargetMode="External"/><Relationship Id="rId8843" Type="http://schemas.openxmlformats.org/officeDocument/2006/relationships/hyperlink" Target="https://t.me/mohebanalhoseinqom" TargetMode="External"/><Relationship Id="rId7508" Type="http://schemas.openxmlformats.org/officeDocument/2006/relationships/hyperlink" Target="https://www.instagram.com/hoseinjan.182" TargetMode="External"/><Relationship Id="rId8839" Type="http://schemas.openxmlformats.org/officeDocument/2006/relationships/hyperlink" Target="https://eitaa.com/majmaeasheqan" TargetMode="External"/><Relationship Id="rId7507" Type="http://schemas.openxmlformats.org/officeDocument/2006/relationships/hyperlink" Target="https://www.instagram.com/heiat_ghamar_banihashem_es" TargetMode="External"/><Relationship Id="rId8838" Type="http://schemas.openxmlformats.org/officeDocument/2006/relationships/hyperlink" Target="https://t.me/delsukhtegan" TargetMode="External"/><Relationship Id="rId7506" Type="http://schemas.openxmlformats.org/officeDocument/2006/relationships/hyperlink" Target="https://www.instagram.com/bonyadbaghyatallah" TargetMode="External"/><Relationship Id="rId8837" Type="http://schemas.openxmlformats.org/officeDocument/2006/relationships/hyperlink" Target="https://www.instagram.com/delsukhtegan_qom/" TargetMode="External"/><Relationship Id="rId7505" Type="http://schemas.openxmlformats.org/officeDocument/2006/relationships/hyperlink" Target="https://eitaa.com/Bmjar_ir" TargetMode="External"/><Relationship Id="rId8836" Type="http://schemas.openxmlformats.org/officeDocument/2006/relationships/hyperlink" Target="https://t.me/qamarbanihashemir" TargetMode="External"/><Relationship Id="rId7509" Type="http://schemas.openxmlformats.org/officeDocument/2006/relationships/hyperlink" Target="https://t.me/hoseinjan182" TargetMode="External"/><Relationship Id="rId7500" Type="http://schemas.openxmlformats.org/officeDocument/2006/relationships/hyperlink" Target="https://eitaa.com/sahebalzaman_mosque" TargetMode="External"/><Relationship Id="rId8831" Type="http://schemas.openxmlformats.org/officeDocument/2006/relationships/hyperlink" Target="https://eitaa.com/tazeyehqom" TargetMode="External"/><Relationship Id="rId8830" Type="http://schemas.openxmlformats.org/officeDocument/2006/relationships/hyperlink" Target="https://eitaa.com/ABALmontazar" TargetMode="External"/><Relationship Id="rId7504" Type="http://schemas.openxmlformats.org/officeDocument/2006/relationships/hyperlink" Target="https://www.instagram.com/yakarbala1001" TargetMode="External"/><Relationship Id="rId8835" Type="http://schemas.openxmlformats.org/officeDocument/2006/relationships/hyperlink" Target="https://www.instagram.com/qamarbanihashemir/" TargetMode="External"/><Relationship Id="rId7503" Type="http://schemas.openxmlformats.org/officeDocument/2006/relationships/hyperlink" Target="https://www.instagram.com/darosalam_esf" TargetMode="External"/><Relationship Id="rId8834" Type="http://schemas.openxmlformats.org/officeDocument/2006/relationships/hyperlink" Target="https://eitaa.com/heyat_emam_zaman" TargetMode="External"/><Relationship Id="rId7502" Type="http://schemas.openxmlformats.org/officeDocument/2006/relationships/hyperlink" Target="https://www.instagram.com/heyatehazrateghaem" TargetMode="External"/><Relationship Id="rId8833" Type="http://schemas.openxmlformats.org/officeDocument/2006/relationships/hyperlink" Target="https://eitaa.com/motevaselinaliakbar" TargetMode="External"/><Relationship Id="rId7501" Type="http://schemas.openxmlformats.org/officeDocument/2006/relationships/hyperlink" Target="https://www.instagram.com/goole_narges95" TargetMode="External"/><Relationship Id="rId8832" Type="http://schemas.openxmlformats.org/officeDocument/2006/relationships/hyperlink" Target="https://www.instagram.com/motevaselin.aliakbar1392/" TargetMode="External"/><Relationship Id="rId6209" Type="http://schemas.openxmlformats.org/officeDocument/2006/relationships/hyperlink" Target="https://eitaa.com/media_mesbah_damghan" TargetMode="External"/><Relationship Id="rId6207" Type="http://schemas.openxmlformats.org/officeDocument/2006/relationships/hyperlink" Target="https://www.instagram.com/maktab_du" TargetMode="External"/><Relationship Id="rId7539" Type="http://schemas.openxmlformats.org/officeDocument/2006/relationships/hyperlink" Target="https://www.instagram.com/masjed.mesri" TargetMode="External"/><Relationship Id="rId6208" Type="http://schemas.openxmlformats.org/officeDocument/2006/relationships/hyperlink" Target="https://eitaa.com/maktab_du" TargetMode="External"/><Relationship Id="rId7538" Type="http://schemas.openxmlformats.org/officeDocument/2006/relationships/hyperlink" Target="https://www.instagram.com/majmaiha" TargetMode="External"/><Relationship Id="rId8869" Type="http://schemas.openxmlformats.org/officeDocument/2006/relationships/hyperlink" Target="http://eitaa.com/javananAbolfazlQom" TargetMode="External"/><Relationship Id="rId8860" Type="http://schemas.openxmlformats.org/officeDocument/2006/relationships/hyperlink" Target="https://www.instagram.com/maktabalzahraqom.media/" TargetMode="External"/><Relationship Id="rId6201" Type="http://schemas.openxmlformats.org/officeDocument/2006/relationships/hyperlink" Target="https://eitaa.com/m_haw_baradar_semnan" TargetMode="External"/><Relationship Id="rId7533" Type="http://schemas.openxmlformats.org/officeDocument/2006/relationships/hyperlink" Target="https://www.instagram.com/heiatbaghbadoran" TargetMode="External"/><Relationship Id="rId8864" Type="http://schemas.openxmlformats.org/officeDocument/2006/relationships/hyperlink" Target="https://eitaa.com/MighatAlReza" TargetMode="External"/><Relationship Id="rId6202" Type="http://schemas.openxmlformats.org/officeDocument/2006/relationships/hyperlink" Target="https://www.instagram.com/alzahrasem" TargetMode="External"/><Relationship Id="rId7532" Type="http://schemas.openxmlformats.org/officeDocument/2006/relationships/hyperlink" Target="https://www.instagram.com/baghshan_farhangi313" TargetMode="External"/><Relationship Id="rId8863" Type="http://schemas.openxmlformats.org/officeDocument/2006/relationships/hyperlink" Target="https://eitaa.com/babalhavaej1" TargetMode="External"/><Relationship Id="rId7531" Type="http://schemas.openxmlformats.org/officeDocument/2006/relationships/hyperlink" Target="https://www.instagram.com/masjed_emam_channel" TargetMode="External"/><Relationship Id="rId8862" Type="http://schemas.openxmlformats.org/officeDocument/2006/relationships/hyperlink" Target="https://eitaa.com/montzaranemahdi" TargetMode="External"/><Relationship Id="rId6200" Type="http://schemas.openxmlformats.org/officeDocument/2006/relationships/hyperlink" Target="https://www.instagram.com/sadeghie_hozeh" TargetMode="External"/><Relationship Id="rId7530" Type="http://schemas.openxmlformats.org/officeDocument/2006/relationships/hyperlink" Target="https://t.me/yamoslemie" TargetMode="External"/><Relationship Id="rId8861" Type="http://schemas.openxmlformats.org/officeDocument/2006/relationships/hyperlink" Target="https://eitaa.com/maktabalzahraqom" TargetMode="External"/><Relationship Id="rId6205" Type="http://schemas.openxmlformats.org/officeDocument/2006/relationships/hyperlink" Target="https://www.instagram.com/heyat.hazrat_aliakbar" TargetMode="External"/><Relationship Id="rId7537" Type="http://schemas.openxmlformats.org/officeDocument/2006/relationships/hyperlink" Target="https://t.me/hiyatbachehaeenghelab" TargetMode="External"/><Relationship Id="rId8868" Type="http://schemas.openxmlformats.org/officeDocument/2006/relationships/hyperlink" Target="https://www.instagram.com/bit_olabbas/" TargetMode="External"/><Relationship Id="rId6206" Type="http://schemas.openxmlformats.org/officeDocument/2006/relationships/hyperlink" Target="https://eitaa.com/heyataliakbarsemnan" TargetMode="External"/><Relationship Id="rId7536" Type="http://schemas.openxmlformats.org/officeDocument/2006/relationships/hyperlink" Target="https://www.instagram.com/bachehaye.enghelab" TargetMode="External"/><Relationship Id="rId8867" Type="http://schemas.openxmlformats.org/officeDocument/2006/relationships/hyperlink" Target="https://t.me/hoormediafiles" TargetMode="External"/><Relationship Id="rId6203" Type="http://schemas.openxmlformats.org/officeDocument/2006/relationships/hyperlink" Target="https://eitaa.com/alzahrasem" TargetMode="External"/><Relationship Id="rId7535" Type="http://schemas.openxmlformats.org/officeDocument/2006/relationships/hyperlink" Target="https://www.instagram.com/yasesf133" TargetMode="External"/><Relationship Id="rId8866" Type="http://schemas.openxmlformats.org/officeDocument/2006/relationships/hyperlink" Target="https://www.instagram.com/honarvarasaneh/" TargetMode="External"/><Relationship Id="rId6204" Type="http://schemas.openxmlformats.org/officeDocument/2006/relationships/hyperlink" Target="https://www.instagram.com/ansaralmahdi_semnan" TargetMode="External"/><Relationship Id="rId7534" Type="http://schemas.openxmlformats.org/officeDocument/2006/relationships/hyperlink" Target="https://eitaa.com/heiatbaghbadoran" TargetMode="External"/><Relationship Id="rId8865" Type="http://schemas.openxmlformats.org/officeDocument/2006/relationships/hyperlink" Target="https://eitaa.com/pnunooralzahra" TargetMode="External"/><Relationship Id="rId7529" Type="http://schemas.openxmlformats.org/officeDocument/2006/relationships/hyperlink" Target="https://www.instagram.com/moslemie_esfahan" TargetMode="External"/><Relationship Id="rId7528" Type="http://schemas.openxmlformats.org/officeDocument/2006/relationships/hyperlink" Target="https://www.instagram.com/moheban.isf" TargetMode="External"/><Relationship Id="rId8859" Type="http://schemas.openxmlformats.org/officeDocument/2006/relationships/hyperlink" Target="https://www.instagram.com/maktabalroghaye_qom/" TargetMode="External"/><Relationship Id="rId7527" Type="http://schemas.openxmlformats.org/officeDocument/2006/relationships/hyperlink" Target="https://eitaa.com/aeme_baqiii" TargetMode="External"/><Relationship Id="rId8858" Type="http://schemas.openxmlformats.org/officeDocument/2006/relationships/hyperlink" Target="https://eitaa.com/quran_had" TargetMode="External"/><Relationship Id="rId7522" Type="http://schemas.openxmlformats.org/officeDocument/2006/relationships/hyperlink" Target="https://www.instagram.com/ansarolhojat313" TargetMode="External"/><Relationship Id="rId8853" Type="http://schemas.openxmlformats.org/officeDocument/2006/relationships/hyperlink" Target="https://www.instagram.com/mohebin_hazratezahra/" TargetMode="External"/><Relationship Id="rId7521" Type="http://schemas.openxmlformats.org/officeDocument/2006/relationships/hyperlink" Target="https://www.instagram.com/sahebalzaman.shahinshahr" TargetMode="External"/><Relationship Id="rId8852" Type="http://schemas.openxmlformats.org/officeDocument/2006/relationships/hyperlink" Target="https://eitaa.com/mohedinzahra" TargetMode="External"/><Relationship Id="rId7520" Type="http://schemas.openxmlformats.org/officeDocument/2006/relationships/hyperlink" Target="https://www.instagram.com/saghaa1387" TargetMode="External"/><Relationship Id="rId8851" Type="http://schemas.openxmlformats.org/officeDocument/2006/relationships/hyperlink" Target="https://eitaa.com/mohebbinbanezzahra" TargetMode="External"/><Relationship Id="rId8850" Type="http://schemas.openxmlformats.org/officeDocument/2006/relationships/hyperlink" Target="https://www.mohebbin-alzahra.ir/" TargetMode="External"/><Relationship Id="rId7526" Type="http://schemas.openxmlformats.org/officeDocument/2006/relationships/hyperlink" Target="https://t.me/aeme_baqii" TargetMode="External"/><Relationship Id="rId8857" Type="http://schemas.openxmlformats.org/officeDocument/2006/relationships/hyperlink" Target="https://eitaa.com/HmrasullahQom" TargetMode="External"/><Relationship Id="rId7525" Type="http://schemas.openxmlformats.org/officeDocument/2006/relationships/hyperlink" Target="https://www.instagram.com/aeme_baqi" TargetMode="External"/><Relationship Id="rId8856" Type="http://schemas.openxmlformats.org/officeDocument/2006/relationships/hyperlink" Target="https://www.instagram.com/aminalla.ir/" TargetMode="External"/><Relationship Id="rId7524" Type="http://schemas.openxmlformats.org/officeDocument/2006/relationships/hyperlink" Target="https://www.instagram.com/sahebalzaman_mosque" TargetMode="External"/><Relationship Id="rId8855" Type="http://schemas.openxmlformats.org/officeDocument/2006/relationships/hyperlink" Target="https://www.instagram.com/mohebin_musabnjafar_qom/" TargetMode="External"/><Relationship Id="rId7523" Type="http://schemas.openxmlformats.org/officeDocument/2006/relationships/hyperlink" Target="https://t.me/ansarolhojat313" TargetMode="External"/><Relationship Id="rId8854" Type="http://schemas.openxmlformats.org/officeDocument/2006/relationships/hyperlink" Target="https://eitaa.com/mohebin_hazratezahra" TargetMode="External"/><Relationship Id="rId2700" Type="http://schemas.openxmlformats.org/officeDocument/2006/relationships/hyperlink" Target="https://www.instagram.com/jamatoalshohada/" TargetMode="External"/><Relationship Id="rId2701" Type="http://schemas.openxmlformats.org/officeDocument/2006/relationships/hyperlink" Target="https://www.instagram.com/montazeran_mahdi_org/" TargetMode="External"/><Relationship Id="rId2702" Type="http://schemas.openxmlformats.org/officeDocument/2006/relationships/hyperlink" Target="http://t.me/Motazeranmahdi_31" TargetMode="External"/><Relationship Id="rId2703" Type="http://schemas.openxmlformats.org/officeDocument/2006/relationships/hyperlink" Target="https://eitaa.com/mohebinsadegh" TargetMode="External"/><Relationship Id="rId2704" Type="http://schemas.openxmlformats.org/officeDocument/2006/relationships/hyperlink" Target="https://www.instagram.com/motvaslin1379" TargetMode="External"/><Relationship Id="rId2705" Type="http://schemas.openxmlformats.org/officeDocument/2006/relationships/hyperlink" Target="https://eitaa.com/motvaslin" TargetMode="External"/><Relationship Id="rId2706" Type="http://schemas.openxmlformats.org/officeDocument/2006/relationships/hyperlink" Target="https://eitaa.com/mokeb_imamareza" TargetMode="External"/><Relationship Id="rId2707" Type="http://schemas.openxmlformats.org/officeDocument/2006/relationships/hyperlink" Target="https://eitaa.com/Mohebbanalmahdi73" TargetMode="External"/><Relationship Id="rId2708" Type="http://schemas.openxmlformats.org/officeDocument/2006/relationships/hyperlink" Target="https://eitaa.com/rozatolhosein_mashhad" TargetMode="External"/><Relationship Id="rId2709" Type="http://schemas.openxmlformats.org/officeDocument/2006/relationships/hyperlink" Target="https://eitaa.com/heyat_abalfazl_dehsorkh" TargetMode="External"/><Relationship Id="rId6292" Type="http://schemas.openxmlformats.org/officeDocument/2006/relationships/hyperlink" Target="https://www.instagram.com/reihanatolhossein_shahroud" TargetMode="External"/><Relationship Id="rId6293" Type="http://schemas.openxmlformats.org/officeDocument/2006/relationships/hyperlink" Target="https://www.instagram.com/heyatshohadashahrood" TargetMode="External"/><Relationship Id="rId6290" Type="http://schemas.openxmlformats.org/officeDocument/2006/relationships/hyperlink" Target="https://www.instagram.com/heyat_moheban_ahlebeyt" TargetMode="External"/><Relationship Id="rId6291" Type="http://schemas.openxmlformats.org/officeDocument/2006/relationships/hyperlink" Target="https://www.eitaa.com/masjed_ghoraba" TargetMode="External"/><Relationship Id="rId6296" Type="http://schemas.openxmlformats.org/officeDocument/2006/relationships/hyperlink" Target="https://www.instagram.com/hfatemiyoun_sut" TargetMode="External"/><Relationship Id="rId6297" Type="http://schemas.openxmlformats.org/officeDocument/2006/relationships/hyperlink" Target="https://t.me/hfatemiyoun_sut" TargetMode="External"/><Relationship Id="rId6294" Type="http://schemas.openxmlformats.org/officeDocument/2006/relationships/hyperlink" Target="https://eitaa.com/heyatshohadashahrood" TargetMode="External"/><Relationship Id="rId6295" Type="http://schemas.openxmlformats.org/officeDocument/2006/relationships/hyperlink" Target="https://eitaa.com/maddahanshahrood" TargetMode="External"/><Relationship Id="rId6298" Type="http://schemas.openxmlformats.org/officeDocument/2006/relationships/hyperlink" Target="https://eitaa.com/hfatemiyoun_sut" TargetMode="External"/><Relationship Id="rId6299" Type="http://schemas.openxmlformats.org/officeDocument/2006/relationships/hyperlink" Target="https://www.instagram.com/gomnamshahroud" TargetMode="External"/><Relationship Id="rId2720" Type="http://schemas.openxmlformats.org/officeDocument/2006/relationships/hyperlink" Target="https://www.instagram.com/razmandegan.mahvelat/" TargetMode="External"/><Relationship Id="rId2721" Type="http://schemas.openxmlformats.org/officeDocument/2006/relationships/hyperlink" Target="https://www.instagram.com/musavi_quchani/" TargetMode="External"/><Relationship Id="rId2722" Type="http://schemas.openxmlformats.org/officeDocument/2006/relationships/hyperlink" Target="http://rubika.ir/musavi_quchani" TargetMode="External"/><Relationship Id="rId2723" Type="http://schemas.openxmlformats.org/officeDocument/2006/relationships/hyperlink" Target="https://www.instagram.com/beynalharamein_ney/" TargetMode="External"/><Relationship Id="rId2724" Type="http://schemas.openxmlformats.org/officeDocument/2006/relationships/hyperlink" Target="https://www.instagram.com/heydarion_mashhad/" TargetMode="External"/><Relationship Id="rId2725" Type="http://schemas.openxmlformats.org/officeDocument/2006/relationships/hyperlink" Target="https://www.instagram.com/noorosaghaleinn/" TargetMode="External"/><Relationship Id="rId2726" Type="http://schemas.openxmlformats.org/officeDocument/2006/relationships/hyperlink" Target="https://www.instagram.com/mohebozahra.info/" TargetMode="External"/><Relationship Id="rId2727" Type="http://schemas.openxmlformats.org/officeDocument/2006/relationships/hyperlink" Target="https://www.instagram.com/javanan_valiasr74" TargetMode="External"/><Relationship Id="rId2728" Type="http://schemas.openxmlformats.org/officeDocument/2006/relationships/hyperlink" Target="https://eitaa.com/javananvaliasr74/" TargetMode="External"/><Relationship Id="rId2729" Type="http://schemas.openxmlformats.org/officeDocument/2006/relationships/hyperlink" Target="https://www.instagram.com/karim.al.allah/" TargetMode="External"/><Relationship Id="rId2710" Type="http://schemas.openxmlformats.org/officeDocument/2006/relationships/hyperlink" Target="https://eitaa.com/montazeranzohor_n" TargetMode="External"/><Relationship Id="rId2711" Type="http://schemas.openxmlformats.org/officeDocument/2006/relationships/hyperlink" Target="https://eitaa.com/karimahlebeet" TargetMode="External"/><Relationship Id="rId2712" Type="http://schemas.openxmlformats.org/officeDocument/2006/relationships/hyperlink" Target="https://eitaa.com/Hosseinie_forushaniha_Mashhad" TargetMode="External"/><Relationship Id="rId2713" Type="http://schemas.openxmlformats.org/officeDocument/2006/relationships/hyperlink" Target="https://eitaa.com/ansarhoseindavarzan" TargetMode="External"/><Relationship Id="rId2714" Type="http://schemas.openxmlformats.org/officeDocument/2006/relationships/hyperlink" Target="https://eitaa.com/ansaralhoseinney" TargetMode="External"/><Relationship Id="rId2715" Type="http://schemas.openxmlformats.org/officeDocument/2006/relationships/hyperlink" Target="https://www.instagram.com/abolfazli_bardaskan.1370/" TargetMode="External"/><Relationship Id="rId2716" Type="http://schemas.openxmlformats.org/officeDocument/2006/relationships/hyperlink" Target="https://www.instagram.com/khedmatgozaran__shop/" TargetMode="External"/><Relationship Id="rId2717" Type="http://schemas.openxmlformats.org/officeDocument/2006/relationships/hyperlink" Target="https://www.instagram.com/rozatolroghaye/" TargetMode="External"/><Relationship Id="rId2718" Type="http://schemas.openxmlformats.org/officeDocument/2006/relationships/hyperlink" Target="http://t.me/HarimEshgh" TargetMode="External"/><Relationship Id="rId2719" Type="http://schemas.openxmlformats.org/officeDocument/2006/relationships/hyperlink" Target="https://www.instagram.com/bey.tozahra/" TargetMode="External"/><Relationship Id="rId7591" Type="http://schemas.openxmlformats.org/officeDocument/2006/relationships/hyperlink" Target="https://www.instagram.com/heyat_musabnejafar" TargetMode="External"/><Relationship Id="rId6260" Type="http://schemas.openxmlformats.org/officeDocument/2006/relationships/hyperlink" Target="https://www.instagram.com/heyatoshohada_semnan" TargetMode="External"/><Relationship Id="rId7590" Type="http://schemas.openxmlformats.org/officeDocument/2006/relationships/hyperlink" Target="https://eitaa.com/mahfelimamreza" TargetMode="External"/><Relationship Id="rId6263" Type="http://schemas.openxmlformats.org/officeDocument/2006/relationships/hyperlink" Target="https://t.me/deabel_ir" TargetMode="External"/><Relationship Id="rId7595" Type="http://schemas.openxmlformats.org/officeDocument/2006/relationships/hyperlink" Target="https://www.instagram.com/heyat_ghamar315" TargetMode="External"/><Relationship Id="rId6264" Type="http://schemas.openxmlformats.org/officeDocument/2006/relationships/hyperlink" Target="https://eitaa.com/deabel_ir" TargetMode="External"/><Relationship Id="rId7594" Type="http://schemas.openxmlformats.org/officeDocument/2006/relationships/hyperlink" Target="https://eitaa.com/hozehimamsadeq" TargetMode="External"/><Relationship Id="rId6261" Type="http://schemas.openxmlformats.org/officeDocument/2006/relationships/hyperlink" Target="https://t.me/heyatalshohada" TargetMode="External"/><Relationship Id="rId7593" Type="http://schemas.openxmlformats.org/officeDocument/2006/relationships/hyperlink" Target="https://www.instagram.com/heiat.maktabol.abbas" TargetMode="External"/><Relationship Id="rId6262" Type="http://schemas.openxmlformats.org/officeDocument/2006/relationships/hyperlink" Target="https://www.instagram.com/andishe_noe" TargetMode="External"/><Relationship Id="rId7592" Type="http://schemas.openxmlformats.org/officeDocument/2006/relationships/hyperlink" Target="https://www.instagram.com/babal_havaej1" TargetMode="External"/><Relationship Id="rId6267" Type="http://schemas.openxmlformats.org/officeDocument/2006/relationships/hyperlink" Target="https://www.instagram.com/reyhanatonnabyy1437" TargetMode="External"/><Relationship Id="rId7599" Type="http://schemas.openxmlformats.org/officeDocument/2006/relationships/hyperlink" Target="https://www.instagram.com/heyat.mohebbanolhossein" TargetMode="External"/><Relationship Id="rId6268" Type="http://schemas.openxmlformats.org/officeDocument/2006/relationships/hyperlink" Target="https://eitaa.com/REYHANATONNABYY1437" TargetMode="External"/><Relationship Id="rId7598" Type="http://schemas.openxmlformats.org/officeDocument/2006/relationships/hyperlink" Target="https://eitaa.com/HBSahebazzaman" TargetMode="External"/><Relationship Id="rId6265" Type="http://schemas.openxmlformats.org/officeDocument/2006/relationships/hyperlink" Target="https://t.me/mtvslynmusabnjafar" TargetMode="External"/><Relationship Id="rId7597" Type="http://schemas.openxmlformats.org/officeDocument/2006/relationships/hyperlink" Target="https://www.instagram.com/seyed.all.shohada" TargetMode="External"/><Relationship Id="rId6266" Type="http://schemas.openxmlformats.org/officeDocument/2006/relationships/hyperlink" Target="https://www.instagram.com/tekiye.abbasiyeh" TargetMode="External"/><Relationship Id="rId7596" Type="http://schemas.openxmlformats.org/officeDocument/2006/relationships/hyperlink" Target="https://eitaa.com/ghamar_p" TargetMode="External"/><Relationship Id="rId6269" Type="http://schemas.openxmlformats.org/officeDocument/2006/relationships/hyperlink" Target="https://www.instagram.com/navayekarbala__shahrood" TargetMode="External"/><Relationship Id="rId7580" Type="http://schemas.openxmlformats.org/officeDocument/2006/relationships/hyperlink" Target="https://www.instagram.com/saheb_alzaman_heyat" TargetMode="External"/><Relationship Id="rId6252" Type="http://schemas.openxmlformats.org/officeDocument/2006/relationships/hyperlink" Target="https://eitaa.com/alzahrasem" TargetMode="External"/><Relationship Id="rId7584" Type="http://schemas.openxmlformats.org/officeDocument/2006/relationships/hyperlink" Target="https://www.instagram.com/kheirestan" TargetMode="External"/><Relationship Id="rId6253" Type="http://schemas.openxmlformats.org/officeDocument/2006/relationships/hyperlink" Target="https://eitaa.com/ya_khadije_kobra" TargetMode="External"/><Relationship Id="rId7583" Type="http://schemas.openxmlformats.org/officeDocument/2006/relationships/hyperlink" Target="https://www.instagram.com/mokebyousofezahra" TargetMode="External"/><Relationship Id="rId6250" Type="http://schemas.openxmlformats.org/officeDocument/2006/relationships/hyperlink" Target="https://www.instagram.com/heyatasheghanvelayat_live" TargetMode="External"/><Relationship Id="rId7582" Type="http://schemas.openxmlformats.org/officeDocument/2006/relationships/hyperlink" Target="https://www.instagram.com/heyat_emamhasan_askari" TargetMode="External"/><Relationship Id="rId6251" Type="http://schemas.openxmlformats.org/officeDocument/2006/relationships/hyperlink" Target="https://www.instagram.com/roze213_" TargetMode="External"/><Relationship Id="rId7581" Type="http://schemas.openxmlformats.org/officeDocument/2006/relationships/hyperlink" Target="https://www.instagram.com/board12998" TargetMode="External"/><Relationship Id="rId6256" Type="http://schemas.openxmlformats.org/officeDocument/2006/relationships/hyperlink" Target="https://eitaa.com/rayatoolabas" TargetMode="External"/><Relationship Id="rId7588" Type="http://schemas.openxmlformats.org/officeDocument/2006/relationships/hyperlink" Target="https://t.me/Alamdar_hossain473" TargetMode="External"/><Relationship Id="rId6257" Type="http://schemas.openxmlformats.org/officeDocument/2006/relationships/hyperlink" Target="https://t.me/rahrovan_semnan" TargetMode="External"/><Relationship Id="rId7587" Type="http://schemas.openxmlformats.org/officeDocument/2006/relationships/hyperlink" Target="https://www.instagram.com/alamdarhossein473" TargetMode="External"/><Relationship Id="rId6254" Type="http://schemas.openxmlformats.org/officeDocument/2006/relationships/hyperlink" Target="https://www.instagram.com/alkafiiil" TargetMode="External"/><Relationship Id="rId7586" Type="http://schemas.openxmlformats.org/officeDocument/2006/relationships/hyperlink" Target="https://www.instagram.com/razavi_q" TargetMode="External"/><Relationship Id="rId6255" Type="http://schemas.openxmlformats.org/officeDocument/2006/relationships/hyperlink" Target="https://t.me/rayatoolabas" TargetMode="External"/><Relationship Id="rId7585" Type="http://schemas.openxmlformats.org/officeDocument/2006/relationships/hyperlink" Target="https://eitaa.com/nahadazadesf" TargetMode="External"/><Relationship Id="rId6258" Type="http://schemas.openxmlformats.org/officeDocument/2006/relationships/hyperlink" Target="https://eitaa.com/rahrovan_semnan" TargetMode="External"/><Relationship Id="rId6259" Type="http://schemas.openxmlformats.org/officeDocument/2006/relationships/hyperlink" Target="https://www.instagram.com/_montazeran.mhdi_" TargetMode="External"/><Relationship Id="rId7589" Type="http://schemas.openxmlformats.org/officeDocument/2006/relationships/hyperlink" Target="https://www.instagram.com/maktabolreza184" TargetMode="External"/><Relationship Id="rId6281" Type="http://schemas.openxmlformats.org/officeDocument/2006/relationships/hyperlink" Target="https://www.instagram.com/omeabiha.59" TargetMode="External"/><Relationship Id="rId6282" Type="http://schemas.openxmlformats.org/officeDocument/2006/relationships/hyperlink" Target="https://www.instagram.com/masjed_imamreza_" TargetMode="External"/><Relationship Id="rId6280" Type="http://schemas.openxmlformats.org/officeDocument/2006/relationships/hyperlink" Target="https://eitaa.com/HeyatAli_asghar" TargetMode="External"/><Relationship Id="rId6285" Type="http://schemas.openxmlformats.org/officeDocument/2006/relationships/hyperlink" Target="https://www.instagram.com/masjed_ghoraba" TargetMode="External"/><Relationship Id="rId6286" Type="http://schemas.openxmlformats.org/officeDocument/2006/relationships/hyperlink" Target="https://www.eitaa.com/masjed_ghoraba" TargetMode="External"/><Relationship Id="rId6283" Type="http://schemas.openxmlformats.org/officeDocument/2006/relationships/hyperlink" Target="https://eitaa.com/masjed_imamreza" TargetMode="External"/><Relationship Id="rId6284" Type="http://schemas.openxmlformats.org/officeDocument/2006/relationships/hyperlink" Target="https://eitaa.com/Ghasemebenalhasan1440" TargetMode="External"/><Relationship Id="rId6289" Type="http://schemas.openxmlformats.org/officeDocument/2006/relationships/hyperlink" Target="https://www.instagram.com/heyatbentolhoseyn_sardrod" TargetMode="External"/><Relationship Id="rId6287" Type="http://schemas.openxmlformats.org/officeDocument/2006/relationships/hyperlink" Target="https://www.instagram.com/sayyed_ashohada" TargetMode="External"/><Relationship Id="rId6288" Type="http://schemas.openxmlformats.org/officeDocument/2006/relationships/hyperlink" Target="https://eitaa.com/sayyed_ashohada" TargetMode="External"/><Relationship Id="rId6270" Type="http://schemas.openxmlformats.org/officeDocument/2006/relationships/hyperlink" Target="https://www.instagram.com/masjed_musabnjafar_bastam4373/" TargetMode="External"/><Relationship Id="rId6271" Type="http://schemas.openxmlformats.org/officeDocument/2006/relationships/hyperlink" Target="https://t.me/muosabne_jafar" TargetMode="External"/><Relationship Id="rId6274" Type="http://schemas.openxmlformats.org/officeDocument/2006/relationships/hyperlink" Target="https://eitaa.com/alzahrashahrood" TargetMode="External"/><Relationship Id="rId6275" Type="http://schemas.openxmlformats.org/officeDocument/2006/relationships/hyperlink" Target="https://eitaa.com/resaneh_kosar" TargetMode="External"/><Relationship Id="rId6272" Type="http://schemas.openxmlformats.org/officeDocument/2006/relationships/hyperlink" Target="https://www.instagram.com/hyat_oreza_shahrood_" TargetMode="External"/><Relationship Id="rId6273" Type="http://schemas.openxmlformats.org/officeDocument/2006/relationships/hyperlink" Target="https://t.me/hyattoreza" TargetMode="External"/><Relationship Id="rId6278" Type="http://schemas.openxmlformats.org/officeDocument/2006/relationships/hyperlink" Target="https://eitaa.com/yamahdi_shahrood" TargetMode="External"/><Relationship Id="rId6279" Type="http://schemas.openxmlformats.org/officeDocument/2006/relationships/hyperlink" Target="https://www.instagram.com/heyat_hazrat_aliasghar1375" TargetMode="External"/><Relationship Id="rId6276" Type="http://schemas.openxmlformats.org/officeDocument/2006/relationships/hyperlink" Target="https://www.instagram.com/heyatasheghanvelayat" TargetMode="External"/><Relationship Id="rId6277" Type="http://schemas.openxmlformats.org/officeDocument/2006/relationships/hyperlink" Target="https://www.instagram.com/yamahdi_shahrood" TargetMode="External"/><Relationship Id="rId1455" Type="http://schemas.openxmlformats.org/officeDocument/2006/relationships/hyperlink" Target="https://eitaa.com/Hajali_ghorbani" TargetMode="External"/><Relationship Id="rId2786" Type="http://schemas.openxmlformats.org/officeDocument/2006/relationships/hyperlink" Target="https://t.me/Motahari1400" TargetMode="External"/><Relationship Id="rId1456" Type="http://schemas.openxmlformats.org/officeDocument/2006/relationships/hyperlink" Target="https://www.youtube.com/@hajali_ghorbani" TargetMode="External"/><Relationship Id="rId2787" Type="http://schemas.openxmlformats.org/officeDocument/2006/relationships/hyperlink" Target="https://www.instagram.com/rayatolabbas_gh/" TargetMode="External"/><Relationship Id="rId1457" Type="http://schemas.openxmlformats.org/officeDocument/2006/relationships/hyperlink" Target="https://www.instagram.com/hajhosseinsazvar" TargetMode="External"/><Relationship Id="rId2788" Type="http://schemas.openxmlformats.org/officeDocument/2006/relationships/hyperlink" Target="http://t.me/rayatolabbas_gh" TargetMode="External"/><Relationship Id="rId1458" Type="http://schemas.openxmlformats.org/officeDocument/2006/relationships/hyperlink" Target="https://t.me/hajhoseinsazvar" TargetMode="External"/><Relationship Id="rId2789" Type="http://schemas.openxmlformats.org/officeDocument/2006/relationships/hyperlink" Target="https://www.instagram.com/maktab_nabi/" TargetMode="External"/><Relationship Id="rId1459" Type="http://schemas.openxmlformats.org/officeDocument/2006/relationships/hyperlink" Target="https://www.instagram.com/haj_mohammad_norouzi/" TargetMode="External"/><Relationship Id="rId629" Type="http://schemas.openxmlformats.org/officeDocument/2006/relationships/hyperlink" Target="https://www.instagram.com/beyt_133/" TargetMode="External"/><Relationship Id="rId624" Type="http://schemas.openxmlformats.org/officeDocument/2006/relationships/hyperlink" Target="https://www.instagram.com/asheghane128/" TargetMode="External"/><Relationship Id="rId623" Type="http://schemas.openxmlformats.org/officeDocument/2006/relationships/hyperlink" Target="https://eitaa.com/s/alhadi_sbu" TargetMode="External"/><Relationship Id="rId622" Type="http://schemas.openxmlformats.org/officeDocument/2006/relationships/hyperlink" Target="https://t.me/alhadi_sbu" TargetMode="External"/><Relationship Id="rId621" Type="http://schemas.openxmlformats.org/officeDocument/2006/relationships/hyperlink" Target="https://www.instagram.com/alhadi_sbu/" TargetMode="External"/><Relationship Id="rId628" Type="http://schemas.openxmlformats.org/officeDocument/2006/relationships/hyperlink" Target="https://sharieh.com/" TargetMode="External"/><Relationship Id="rId627" Type="http://schemas.openxmlformats.org/officeDocument/2006/relationships/hyperlink" Target="https://ble.ir/asheghane128" TargetMode="External"/><Relationship Id="rId626" Type="http://schemas.openxmlformats.org/officeDocument/2006/relationships/hyperlink" Target="https://eitaa.com/s/asheghane128" TargetMode="External"/><Relationship Id="rId625" Type="http://schemas.openxmlformats.org/officeDocument/2006/relationships/hyperlink" Target="https://t.me/asheghane128" TargetMode="External"/><Relationship Id="rId2780" Type="http://schemas.openxmlformats.org/officeDocument/2006/relationships/hyperlink" Target="https://www.instagram.com/abolfazli.kashmar/" TargetMode="External"/><Relationship Id="rId1450" Type="http://schemas.openxmlformats.org/officeDocument/2006/relationships/hyperlink" Target="https://t.me/haghighat_javad" TargetMode="External"/><Relationship Id="rId2781" Type="http://schemas.openxmlformats.org/officeDocument/2006/relationships/hyperlink" Target="https://www.instagram.com/heyat_javadallaemeh_hesar/" TargetMode="External"/><Relationship Id="rId620" Type="http://schemas.openxmlformats.org/officeDocument/2006/relationships/hyperlink" Target="https://fadak.me/" TargetMode="External"/><Relationship Id="rId1451" Type="http://schemas.openxmlformats.org/officeDocument/2006/relationships/hyperlink" Target="https://www.instagram.com/seyedvahid_mostafavi_official/" TargetMode="External"/><Relationship Id="rId2782" Type="http://schemas.openxmlformats.org/officeDocument/2006/relationships/hyperlink" Target="http://t.me/hyate_javadallaemeh_hesark" TargetMode="External"/><Relationship Id="rId1452" Type="http://schemas.openxmlformats.org/officeDocument/2006/relationships/hyperlink" Target="https://t.me/haj_Seyed_Vahid_Mostafavi" TargetMode="External"/><Relationship Id="rId2783" Type="http://schemas.openxmlformats.org/officeDocument/2006/relationships/hyperlink" Target="https://www.instagram.com/heyat.yosef.zahra/" TargetMode="External"/><Relationship Id="rId1453" Type="http://schemas.openxmlformats.org/officeDocument/2006/relationships/hyperlink" Target="https://www.instagram.com/hajali_ghorbani/" TargetMode="External"/><Relationship Id="rId2784" Type="http://schemas.openxmlformats.org/officeDocument/2006/relationships/hyperlink" Target="https://t.me/sarall36" TargetMode="External"/><Relationship Id="rId1454" Type="http://schemas.openxmlformats.org/officeDocument/2006/relationships/hyperlink" Target="https://t.me/hajali_ghorbani" TargetMode="External"/><Relationship Id="rId2785" Type="http://schemas.openxmlformats.org/officeDocument/2006/relationships/hyperlink" Target="https://www.instagram.com/heyat_azizo_zahra/" TargetMode="External"/><Relationship Id="rId1444" Type="http://schemas.openxmlformats.org/officeDocument/2006/relationships/hyperlink" Target="https://t.me/farahani_info" TargetMode="External"/><Relationship Id="rId2775" Type="http://schemas.openxmlformats.org/officeDocument/2006/relationships/hyperlink" Target="https://www.instagram.com/heyate_javanan_salami/" TargetMode="External"/><Relationship Id="rId1445" Type="http://schemas.openxmlformats.org/officeDocument/2006/relationships/hyperlink" Target="https://www.instagram.com/fotros_ir/" TargetMode="External"/><Relationship Id="rId2776" Type="http://schemas.openxmlformats.org/officeDocument/2006/relationships/hyperlink" Target="https://www.instagram.com/joghatay_heyat/" TargetMode="External"/><Relationship Id="rId1446" Type="http://schemas.openxmlformats.org/officeDocument/2006/relationships/hyperlink" Target="https://t.me/fotros_ir" TargetMode="External"/><Relationship Id="rId2777" Type="http://schemas.openxmlformats.org/officeDocument/2006/relationships/hyperlink" Target="https://www.instagram.com/nokarha_315/" TargetMode="External"/><Relationship Id="rId1447" Type="http://schemas.openxmlformats.org/officeDocument/2006/relationships/hyperlink" Target="https://www.youtube.com/@mahmoudkarimiofficial" TargetMode="External"/><Relationship Id="rId2778" Type="http://schemas.openxmlformats.org/officeDocument/2006/relationships/hyperlink" Target="https://www.instagram.com/zarih_8/" TargetMode="External"/><Relationship Id="rId1448" Type="http://schemas.openxmlformats.org/officeDocument/2006/relationships/hyperlink" Target="http://fotros.ir/" TargetMode="External"/><Relationship Id="rId2779" Type="http://schemas.openxmlformats.org/officeDocument/2006/relationships/hyperlink" Target="https://eitaa.com/aghilatolarabgonabad" TargetMode="External"/><Relationship Id="rId1449" Type="http://schemas.openxmlformats.org/officeDocument/2006/relationships/hyperlink" Target="https://www.instagram.com/javadhaghighatofficial/" TargetMode="External"/><Relationship Id="rId619" Type="http://schemas.openxmlformats.org/officeDocument/2006/relationships/hyperlink" Target="https://eitaa.com/fadakinfo_chanel" TargetMode="External"/><Relationship Id="rId618" Type="http://schemas.openxmlformats.org/officeDocument/2006/relationships/hyperlink" Target="https://t.me/fadakinfo_channel" TargetMode="External"/><Relationship Id="rId613" Type="http://schemas.openxmlformats.org/officeDocument/2006/relationships/hyperlink" Target="https://eitaa.com/chahardahmasoum_14" TargetMode="External"/><Relationship Id="rId612" Type="http://schemas.openxmlformats.org/officeDocument/2006/relationships/hyperlink" Target="https://t.me/chahardahmasoum_14" TargetMode="External"/><Relationship Id="rId611" Type="http://schemas.openxmlformats.org/officeDocument/2006/relationships/hyperlink" Target="https://www.instagram.com/14masoum.ir/" TargetMode="External"/><Relationship Id="rId610" Type="http://schemas.openxmlformats.org/officeDocument/2006/relationships/hyperlink" Target="https://eitaa.com/Beytozahra_s" TargetMode="External"/><Relationship Id="rId617" Type="http://schemas.openxmlformats.org/officeDocument/2006/relationships/hyperlink" Target="https://www.instagram.com/FADAKINFO" TargetMode="External"/><Relationship Id="rId616" Type="http://schemas.openxmlformats.org/officeDocument/2006/relationships/hyperlink" Target="https://eitaa.com/Delrish" TargetMode="External"/><Relationship Id="rId615" Type="http://schemas.openxmlformats.org/officeDocument/2006/relationships/hyperlink" Target="https://t.me/delrish" TargetMode="External"/><Relationship Id="rId614" Type="http://schemas.openxmlformats.org/officeDocument/2006/relationships/hyperlink" Target="https://www.instagram.com/delrish_/" TargetMode="External"/><Relationship Id="rId2770" Type="http://schemas.openxmlformats.org/officeDocument/2006/relationships/hyperlink" Target="https://www.instagram.com/khademine_14/" TargetMode="External"/><Relationship Id="rId1440" Type="http://schemas.openxmlformats.org/officeDocument/2006/relationships/hyperlink" Target="https://t.me/channel_vahid_shokri_118" TargetMode="External"/><Relationship Id="rId2771" Type="http://schemas.openxmlformats.org/officeDocument/2006/relationships/hyperlink" Target="https://eitaa.com/Astane_shahidane_sabzevar" TargetMode="External"/><Relationship Id="rId1441" Type="http://schemas.openxmlformats.org/officeDocument/2006/relationships/hyperlink" Target="https://www.instagram.com/ebrahim_ziyadzade_/" TargetMode="External"/><Relationship Id="rId2772" Type="http://schemas.openxmlformats.org/officeDocument/2006/relationships/hyperlink" Target="https://www.instagram.com/ansar_hosein_sbz/" TargetMode="External"/><Relationship Id="rId1442" Type="http://schemas.openxmlformats.org/officeDocument/2006/relationships/hyperlink" Target="https://t.me/ebrahim_ziyadzade" TargetMode="External"/><Relationship Id="rId2773" Type="http://schemas.openxmlformats.org/officeDocument/2006/relationships/hyperlink" Target="http://eitaa.com/ansarhosseinim" TargetMode="External"/><Relationship Id="rId1443" Type="http://schemas.openxmlformats.org/officeDocument/2006/relationships/hyperlink" Target="https://www.instagram.com/farahani.info/" TargetMode="External"/><Relationship Id="rId2774" Type="http://schemas.openxmlformats.org/officeDocument/2006/relationships/hyperlink" Target="https://www.instagram.com/rahrovan_ghasem_f/" TargetMode="External"/><Relationship Id="rId1477" Type="http://schemas.openxmlformats.org/officeDocument/2006/relationships/hyperlink" Target="https://www.instagram.com/mohammad_ataieniya216/" TargetMode="External"/><Relationship Id="rId1478" Type="http://schemas.openxmlformats.org/officeDocument/2006/relationships/hyperlink" Target="https://t.me/K_ataieniya315" TargetMode="External"/><Relationship Id="rId1479" Type="http://schemas.openxmlformats.org/officeDocument/2006/relationships/hyperlink" Target="https://www.instagram.com/akbar___ebadi/" TargetMode="External"/><Relationship Id="rId646" Type="http://schemas.openxmlformats.org/officeDocument/2006/relationships/hyperlink" Target="https://www.instagram.com/abnaolzahra_info/" TargetMode="External"/><Relationship Id="rId645" Type="http://schemas.openxmlformats.org/officeDocument/2006/relationships/hyperlink" Target="https://t.me/abna_alheidar" TargetMode="External"/><Relationship Id="rId644" Type="http://schemas.openxmlformats.org/officeDocument/2006/relationships/hyperlink" Target="https://www.instagram.com/abna_alheidar/" TargetMode="External"/><Relationship Id="rId643" Type="http://schemas.openxmlformats.org/officeDocument/2006/relationships/hyperlink" Target="https://t.me/buyesib_com" TargetMode="External"/><Relationship Id="rId649" Type="http://schemas.openxmlformats.org/officeDocument/2006/relationships/hyperlink" Target="https://t.me/abnaozzahra135" TargetMode="External"/><Relationship Id="rId648" Type="http://schemas.openxmlformats.org/officeDocument/2006/relationships/hyperlink" Target="https://www.instagram.com/abnaozzahra135/" TargetMode="External"/><Relationship Id="rId647" Type="http://schemas.openxmlformats.org/officeDocument/2006/relationships/hyperlink" Target="https://t.me/abnaolzahra_info" TargetMode="External"/><Relationship Id="rId1470" Type="http://schemas.openxmlformats.org/officeDocument/2006/relationships/hyperlink" Target="http://eitaa.com/hoseine" TargetMode="External"/><Relationship Id="rId1471" Type="http://schemas.openxmlformats.org/officeDocument/2006/relationships/hyperlink" Target="https://eitaa.com/karbalaihoseintaheri" TargetMode="External"/><Relationship Id="rId1472" Type="http://schemas.openxmlformats.org/officeDocument/2006/relationships/hyperlink" Target="https://www.instagram.com/hoseintaheri" TargetMode="External"/><Relationship Id="rId642" Type="http://schemas.openxmlformats.org/officeDocument/2006/relationships/hyperlink" Target="https://www.instagram.com/buyesib110/" TargetMode="External"/><Relationship Id="rId1473" Type="http://schemas.openxmlformats.org/officeDocument/2006/relationships/hyperlink" Target="https://t.me/hoseintaheri_telegram" TargetMode="External"/><Relationship Id="rId641" Type="http://schemas.openxmlformats.org/officeDocument/2006/relationships/hyperlink" Target="https://www.instagram.com/beytolkarim1377/" TargetMode="External"/><Relationship Id="rId1474" Type="http://schemas.openxmlformats.org/officeDocument/2006/relationships/hyperlink" Target="https://eitaa.com/hoseintaheri213" TargetMode="External"/><Relationship Id="rId640" Type="http://schemas.openxmlformats.org/officeDocument/2006/relationships/hyperlink" Target="https://t.me/beytolkarim" TargetMode="External"/><Relationship Id="rId1475" Type="http://schemas.openxmlformats.org/officeDocument/2006/relationships/hyperlink" Target="https://www.instagram.com/javadmoghadam.rasmi" TargetMode="External"/><Relationship Id="rId1476" Type="http://schemas.openxmlformats.org/officeDocument/2006/relationships/hyperlink" Target="https://t.me/javadmoghadamrasmi" TargetMode="External"/><Relationship Id="rId1466" Type="http://schemas.openxmlformats.org/officeDocument/2006/relationships/hyperlink" Target="https://www.instagram.com/ebrahim__rahiimi/" TargetMode="External"/><Relationship Id="rId2797" Type="http://schemas.openxmlformats.org/officeDocument/2006/relationships/hyperlink" Target="https://www.instagram.com/ansargonabad/" TargetMode="External"/><Relationship Id="rId1467" Type="http://schemas.openxmlformats.org/officeDocument/2006/relationships/hyperlink" Target="https://t.me/heiat_delsokhtegan" TargetMode="External"/><Relationship Id="rId2798" Type="http://schemas.openxmlformats.org/officeDocument/2006/relationships/hyperlink" Target="http://t.me/ansargonabad" TargetMode="External"/><Relationship Id="rId1468" Type="http://schemas.openxmlformats.org/officeDocument/2006/relationships/hyperlink" Target="https://www.instagram.com/hosein.izadkhah/" TargetMode="External"/><Relationship Id="rId2799" Type="http://schemas.openxmlformats.org/officeDocument/2006/relationships/hyperlink" Target="https://www.instagram.com/m_khademin/" TargetMode="External"/><Relationship Id="rId1469" Type="http://schemas.openxmlformats.org/officeDocument/2006/relationships/hyperlink" Target="https://t.me/hoseinizadkhah" TargetMode="External"/><Relationship Id="rId635" Type="http://schemas.openxmlformats.org/officeDocument/2006/relationships/hyperlink" Target="https://www.instagram.com/ashabolhossein_ir/" TargetMode="External"/><Relationship Id="rId634" Type="http://schemas.openxmlformats.org/officeDocument/2006/relationships/hyperlink" Target="https://eitaa.com/s/dameshghinfo315" TargetMode="External"/><Relationship Id="rId633" Type="http://schemas.openxmlformats.org/officeDocument/2006/relationships/hyperlink" Target="https://t.me/Dameshghinfo" TargetMode="External"/><Relationship Id="rId632" Type="http://schemas.openxmlformats.org/officeDocument/2006/relationships/hyperlink" Target="https://www.instagram.com/dameshghinfo/" TargetMode="External"/><Relationship Id="rId639" Type="http://schemas.openxmlformats.org/officeDocument/2006/relationships/hyperlink" Target="https://www.instagram.com/beytolkarim_resane/" TargetMode="External"/><Relationship Id="rId638" Type="http://schemas.openxmlformats.org/officeDocument/2006/relationships/hyperlink" Target="https://www.youtube.com/@ashabolhossein_ir" TargetMode="External"/><Relationship Id="rId637" Type="http://schemas.openxmlformats.org/officeDocument/2006/relationships/hyperlink" Target="https://www.eitaa.com/ashabolhossein_ir" TargetMode="External"/><Relationship Id="rId636" Type="http://schemas.openxmlformats.org/officeDocument/2006/relationships/hyperlink" Target="https://t.me/ashabolhossein_ir" TargetMode="External"/><Relationship Id="rId2790" Type="http://schemas.openxmlformats.org/officeDocument/2006/relationships/hyperlink" Target="https://www.instagram.com/mohebbanolhosseinn/" TargetMode="External"/><Relationship Id="rId1460" Type="http://schemas.openxmlformats.org/officeDocument/2006/relationships/hyperlink" Target="https://t.me/hajmohammadnorozi" TargetMode="External"/><Relationship Id="rId2791" Type="http://schemas.openxmlformats.org/officeDocument/2006/relationships/hyperlink" Target="http://t.me/mohebbanalhosin" TargetMode="External"/><Relationship Id="rId1461" Type="http://schemas.openxmlformats.org/officeDocument/2006/relationships/hyperlink" Target="https://www.instagram.com/haj_mohammad_norouzi_/" TargetMode="External"/><Relationship Id="rId2792" Type="http://schemas.openxmlformats.org/officeDocument/2006/relationships/hyperlink" Target="https://www.instagram.com/m_ahlebeit/" TargetMode="External"/><Relationship Id="rId631" Type="http://schemas.openxmlformats.org/officeDocument/2006/relationships/hyperlink" Target="https://eitaa.com/s/beyt133" TargetMode="External"/><Relationship Id="rId1462" Type="http://schemas.openxmlformats.org/officeDocument/2006/relationships/hyperlink" Target="https://www.instagram.com/hasan_hoseynkhani/" TargetMode="External"/><Relationship Id="rId2793" Type="http://schemas.openxmlformats.org/officeDocument/2006/relationships/hyperlink" Target="https://www.instagram.com/heyate_shohadaye_gomnam_kh/" TargetMode="External"/><Relationship Id="rId630" Type="http://schemas.openxmlformats.org/officeDocument/2006/relationships/hyperlink" Target="https://t.me/beyt_133" TargetMode="External"/><Relationship Id="rId1463" Type="http://schemas.openxmlformats.org/officeDocument/2006/relationships/hyperlink" Target="https://t.me/Hasan_hoseynkhani" TargetMode="External"/><Relationship Id="rId2794" Type="http://schemas.openxmlformats.org/officeDocument/2006/relationships/hyperlink" Target="http://t.me/heyate_shohadaye_gomnam_kh" TargetMode="External"/><Relationship Id="rId1464" Type="http://schemas.openxmlformats.org/officeDocument/2006/relationships/hyperlink" Target="https://www.instagram.com/hasan.rezagholi/" TargetMode="External"/><Relationship Id="rId2795" Type="http://schemas.openxmlformats.org/officeDocument/2006/relationships/hyperlink" Target="https://www.instagram.com/moheban_abalfazll/" TargetMode="External"/><Relationship Id="rId1465" Type="http://schemas.openxmlformats.org/officeDocument/2006/relationships/hyperlink" Target="https://t.me/hasanrezagholi" TargetMode="External"/><Relationship Id="rId2796" Type="http://schemas.openxmlformats.org/officeDocument/2006/relationships/hyperlink" Target="http://t.me/moheban_abalfazll" TargetMode="External"/><Relationship Id="rId1411" Type="http://schemas.openxmlformats.org/officeDocument/2006/relationships/hyperlink" Target="https://www.instagram.com/hanifa.artmedia/" TargetMode="External"/><Relationship Id="rId2742" Type="http://schemas.openxmlformats.org/officeDocument/2006/relationships/hyperlink" Target="http://eitaa.com/shohada_amniyat_mashhad" TargetMode="External"/><Relationship Id="rId1412" Type="http://schemas.openxmlformats.org/officeDocument/2006/relationships/hyperlink" Target="https://www.instagram.com/khademolhasan_ir/" TargetMode="External"/><Relationship Id="rId2743" Type="http://schemas.openxmlformats.org/officeDocument/2006/relationships/hyperlink" Target="https://www.instagram.com/heyateabalfazl_joghatay/" TargetMode="External"/><Relationship Id="rId1413" Type="http://schemas.openxmlformats.org/officeDocument/2006/relationships/hyperlink" Target="https://www.instagram.com/HEJRAT_NET/" TargetMode="External"/><Relationship Id="rId2744" Type="http://schemas.openxmlformats.org/officeDocument/2006/relationships/hyperlink" Target="https://www.instagram.com/alamdaran_taybad/" TargetMode="External"/><Relationship Id="rId1414" Type="http://schemas.openxmlformats.org/officeDocument/2006/relationships/hyperlink" Target="https://www.instagram.com/fathgraf/" TargetMode="External"/><Relationship Id="rId2745" Type="http://schemas.openxmlformats.org/officeDocument/2006/relationships/hyperlink" Target="http://t.me/alamdaransaralahtaybad" TargetMode="External"/><Relationship Id="rId1415" Type="http://schemas.openxmlformats.org/officeDocument/2006/relationships/hyperlink" Target="https://www.instagram.com/mahed4441/" TargetMode="External"/><Relationship Id="rId2746" Type="http://schemas.openxmlformats.org/officeDocument/2006/relationships/hyperlink" Target="https://www.instagram.com/meimam_hassan_mojtaba/" TargetMode="External"/><Relationship Id="rId1416" Type="http://schemas.openxmlformats.org/officeDocument/2006/relationships/hyperlink" Target="https://www.instagram.com/mooud.sound.group/" TargetMode="External"/><Relationship Id="rId2747" Type="http://schemas.openxmlformats.org/officeDocument/2006/relationships/hyperlink" Target="https://www.instagram.com/beittollhossein/" TargetMode="External"/><Relationship Id="rId1417" Type="http://schemas.openxmlformats.org/officeDocument/2006/relationships/hyperlink" Target="https://www.instagram.com/helalmedia/" TargetMode="External"/><Relationship Id="rId2748" Type="http://schemas.openxmlformats.org/officeDocument/2006/relationships/hyperlink" Target="https://www.instagram.com/ghamar_banihashem_1383/" TargetMode="External"/><Relationship Id="rId1418" Type="http://schemas.openxmlformats.org/officeDocument/2006/relationships/hyperlink" Target="https://www.instagram.com/ali_porkaveeh_org/" TargetMode="External"/><Relationship Id="rId2749" Type="http://schemas.openxmlformats.org/officeDocument/2006/relationships/hyperlink" Target="https://www.instagram.com/shiftegan_ghasem_ebne_hasan/" TargetMode="External"/><Relationship Id="rId1419" Type="http://schemas.openxmlformats.org/officeDocument/2006/relationships/hyperlink" Target="https://t.me/ali_porkaveh_zanjani" TargetMode="External"/><Relationship Id="rId2740" Type="http://schemas.openxmlformats.org/officeDocument/2006/relationships/hyperlink" Target="https://eitaa.com/zarih_8" TargetMode="External"/><Relationship Id="rId1410" Type="http://schemas.openxmlformats.org/officeDocument/2006/relationships/hyperlink" Target="https://pelan3.com/" TargetMode="External"/><Relationship Id="rId2741" Type="http://schemas.openxmlformats.org/officeDocument/2006/relationships/hyperlink" Target="https://www.instagram.com/shohada_amniyat_mashhad/" TargetMode="External"/><Relationship Id="rId1400" Type="http://schemas.openxmlformats.org/officeDocument/2006/relationships/hyperlink" Target="https://www.eitaa.com/neyestansoundgroup" TargetMode="External"/><Relationship Id="rId2731" Type="http://schemas.openxmlformats.org/officeDocument/2006/relationships/hyperlink" Target="https://www.instagram.com/hadavion_sbz/" TargetMode="External"/><Relationship Id="rId1401" Type="http://schemas.openxmlformats.org/officeDocument/2006/relationships/hyperlink" Target="http://www.youtube.com/@neyestansoundgroup" TargetMode="External"/><Relationship Id="rId2732" Type="http://schemas.openxmlformats.org/officeDocument/2006/relationships/hyperlink" Target="https://www.instagram.com/hmz_joghatay/" TargetMode="External"/><Relationship Id="rId1402" Type="http://schemas.openxmlformats.org/officeDocument/2006/relationships/hyperlink" Target="https://www.instagram.com/ravaq.media/" TargetMode="External"/><Relationship Id="rId2733" Type="http://schemas.openxmlformats.org/officeDocument/2006/relationships/hyperlink" Target="https://www.instagram.com/h_ghamarbanihashem/" TargetMode="External"/><Relationship Id="rId1403" Type="http://schemas.openxmlformats.org/officeDocument/2006/relationships/hyperlink" Target="https://t.me/ravaqmedia" TargetMode="External"/><Relationship Id="rId2734" Type="http://schemas.openxmlformats.org/officeDocument/2006/relationships/hyperlink" Target="https://www.instagram.com/fatemye_gonabad/" TargetMode="External"/><Relationship Id="rId1404" Type="http://schemas.openxmlformats.org/officeDocument/2006/relationships/hyperlink" Target="https://www.instagram.com/sotolhosien.sound.group/" TargetMode="External"/><Relationship Id="rId2735" Type="http://schemas.openxmlformats.org/officeDocument/2006/relationships/hyperlink" Target="http://t.me/fatemye_gonabad" TargetMode="External"/><Relationship Id="rId1405" Type="http://schemas.openxmlformats.org/officeDocument/2006/relationships/hyperlink" Target="https://t.me/sot_alhosin" TargetMode="External"/><Relationship Id="rId2736" Type="http://schemas.openxmlformats.org/officeDocument/2006/relationships/hyperlink" Target="https://www.instagram.com/heiat_karime_ahlebeit/" TargetMode="External"/><Relationship Id="rId1406" Type="http://schemas.openxmlformats.org/officeDocument/2006/relationships/hyperlink" Target="https://www.instagram.com/pelan3/" TargetMode="External"/><Relationship Id="rId2737" Type="http://schemas.openxmlformats.org/officeDocument/2006/relationships/hyperlink" Target="http://t.me/heiat_karime_ahlebeit_joghatay" TargetMode="External"/><Relationship Id="rId1407" Type="http://schemas.openxmlformats.org/officeDocument/2006/relationships/hyperlink" Target="https://telegram.me/pelan_3" TargetMode="External"/><Relationship Id="rId2738" Type="http://schemas.openxmlformats.org/officeDocument/2006/relationships/hyperlink" Target="https://www.instagram.com/beito_labbas/" TargetMode="External"/><Relationship Id="rId1408" Type="http://schemas.openxmlformats.org/officeDocument/2006/relationships/hyperlink" Target="https://eitaa.com/pelan3" TargetMode="External"/><Relationship Id="rId2739" Type="http://schemas.openxmlformats.org/officeDocument/2006/relationships/hyperlink" Target="https://eitaa.com/binolharamingonabad" TargetMode="External"/><Relationship Id="rId1409" Type="http://schemas.openxmlformats.org/officeDocument/2006/relationships/hyperlink" Target="https://www.youtube.com/pelan3" TargetMode="External"/><Relationship Id="rId2730" Type="http://schemas.openxmlformats.org/officeDocument/2006/relationships/hyperlink" Target="http://t.me/karim_al_allah_jovein" TargetMode="External"/><Relationship Id="rId1433" Type="http://schemas.openxmlformats.org/officeDocument/2006/relationships/hyperlink" Target="https://www.youtube.com/@Hazrati.128" TargetMode="External"/><Relationship Id="rId2764" Type="http://schemas.openxmlformats.org/officeDocument/2006/relationships/hyperlink" Target="http://tlgrm.me/resane3mahfel" TargetMode="External"/><Relationship Id="rId1434" Type="http://schemas.openxmlformats.org/officeDocument/2006/relationships/hyperlink" Target="https://www.instagram.com/amir_hosein_rajablou/" TargetMode="External"/><Relationship Id="rId2765" Type="http://schemas.openxmlformats.org/officeDocument/2006/relationships/hyperlink" Target="https://eitaa.com/sayedsajedin" TargetMode="External"/><Relationship Id="rId1435" Type="http://schemas.openxmlformats.org/officeDocument/2006/relationships/hyperlink" Target="https://t.me/AmirHosseinRajablou" TargetMode="External"/><Relationship Id="rId2766" Type="http://schemas.openxmlformats.org/officeDocument/2006/relationships/hyperlink" Target="https://www.instagram.com/khatekhoon/" TargetMode="External"/><Relationship Id="rId1436" Type="http://schemas.openxmlformats.org/officeDocument/2006/relationships/hyperlink" Target="https://www.instagram.com/mohamadhosein_h" TargetMode="External"/><Relationship Id="rId2767" Type="http://schemas.openxmlformats.org/officeDocument/2006/relationships/hyperlink" Target="https://www.instagram.com/aliakbari_k/" TargetMode="External"/><Relationship Id="rId1437" Type="http://schemas.openxmlformats.org/officeDocument/2006/relationships/hyperlink" Target="https://t.me/buyesib_com" TargetMode="External"/><Relationship Id="rId2768" Type="http://schemas.openxmlformats.org/officeDocument/2006/relationships/hyperlink" Target="https://www.instagram.com/ansarmahdi.gonabad" TargetMode="External"/><Relationship Id="rId1438" Type="http://schemas.openxmlformats.org/officeDocument/2006/relationships/hyperlink" Target="https://eitaa.com/mohamadhoseyn_hadadian" TargetMode="External"/><Relationship Id="rId2769" Type="http://schemas.openxmlformats.org/officeDocument/2006/relationships/hyperlink" Target="http://t.me/ansaralmahdi82gonabad" TargetMode="External"/><Relationship Id="rId1439" Type="http://schemas.openxmlformats.org/officeDocument/2006/relationships/hyperlink" Target="https://www.instagram.com/vahid_shokri118/" TargetMode="External"/><Relationship Id="rId609" Type="http://schemas.openxmlformats.org/officeDocument/2006/relationships/hyperlink" Target="https://t.me/beytozahra_s" TargetMode="External"/><Relationship Id="rId608" Type="http://schemas.openxmlformats.org/officeDocument/2006/relationships/hyperlink" Target="https://www.instagram.com/beytozahra_/" TargetMode="External"/><Relationship Id="rId607" Type="http://schemas.openxmlformats.org/officeDocument/2006/relationships/hyperlink" Target="https://eitaa.com/beytoreza" TargetMode="External"/><Relationship Id="rId602" Type="http://schemas.openxmlformats.org/officeDocument/2006/relationships/hyperlink" Target="https://www.instagram.com/babalhavaej1403/" TargetMode="External"/><Relationship Id="rId601" Type="http://schemas.openxmlformats.org/officeDocument/2006/relationships/hyperlink" Target="http://azzahraa.ir/" TargetMode="External"/><Relationship Id="rId600" Type="http://schemas.openxmlformats.org/officeDocument/2006/relationships/hyperlink" Target="https://eitaa.com/azzahraasharif" TargetMode="External"/><Relationship Id="rId606" Type="http://schemas.openxmlformats.org/officeDocument/2006/relationships/hyperlink" Target="https://t.me/beytoreza" TargetMode="External"/><Relationship Id="rId605" Type="http://schemas.openxmlformats.org/officeDocument/2006/relationships/hyperlink" Target="https://www.instagram.com/beytoreza.info/" TargetMode="External"/><Relationship Id="rId604" Type="http://schemas.openxmlformats.org/officeDocument/2006/relationships/hyperlink" Target="https://eitaa.com/babalhavaej1403" TargetMode="External"/><Relationship Id="rId603" Type="http://schemas.openxmlformats.org/officeDocument/2006/relationships/hyperlink" Target="https://t.me/babalhavaej1403" TargetMode="External"/><Relationship Id="rId2760" Type="http://schemas.openxmlformats.org/officeDocument/2006/relationships/hyperlink" Target="http://t.me/n_montazeran" TargetMode="External"/><Relationship Id="rId1430" Type="http://schemas.openxmlformats.org/officeDocument/2006/relationships/hyperlink" Target="https://t.me/amirabbasi_net" TargetMode="External"/><Relationship Id="rId2761" Type="http://schemas.openxmlformats.org/officeDocument/2006/relationships/hyperlink" Target="https://www.instagram.com/jannesaran.59.ir/" TargetMode="External"/><Relationship Id="rId1431" Type="http://schemas.openxmlformats.org/officeDocument/2006/relationships/hyperlink" Target="https://www.instagram.com/hazrati.128/" TargetMode="External"/><Relationship Id="rId2762" Type="http://schemas.openxmlformats.org/officeDocument/2006/relationships/hyperlink" Target="http://t.me/janesaran59" TargetMode="External"/><Relationship Id="rId1432" Type="http://schemas.openxmlformats.org/officeDocument/2006/relationships/hyperlink" Target="https://t.me/amirhoseinhazrati128" TargetMode="External"/><Relationship Id="rId2763" Type="http://schemas.openxmlformats.org/officeDocument/2006/relationships/hyperlink" Target="https://www.instagram.com/resane_mahfel/" TargetMode="External"/><Relationship Id="rId1422" Type="http://schemas.openxmlformats.org/officeDocument/2006/relationships/hyperlink" Target="https://www.instagram.com/alireza_shahrabi_official/" TargetMode="External"/><Relationship Id="rId2753" Type="http://schemas.openxmlformats.org/officeDocument/2006/relationships/hyperlink" Target="https://www.instagram.com/nodbe_chenaran/" TargetMode="External"/><Relationship Id="rId1423" Type="http://schemas.openxmlformats.org/officeDocument/2006/relationships/hyperlink" Target="https://t.me/alirezashahrabi_online" TargetMode="External"/><Relationship Id="rId2754" Type="http://schemas.openxmlformats.org/officeDocument/2006/relationships/hyperlink" Target="https://www.instagram.com/delsukhtegan_th/" TargetMode="External"/><Relationship Id="rId1424" Type="http://schemas.openxmlformats.org/officeDocument/2006/relationships/hyperlink" Target="https://alirezashahrabi.com/" TargetMode="External"/><Relationship Id="rId2755" Type="http://schemas.openxmlformats.org/officeDocument/2006/relationships/hyperlink" Target="http://t.me/delsukhtegan_th" TargetMode="External"/><Relationship Id="rId1425" Type="http://schemas.openxmlformats.org/officeDocument/2006/relationships/hyperlink" Target="https://www.instagram.com/amin_ghadim/" TargetMode="External"/><Relationship Id="rId2756" Type="http://schemas.openxmlformats.org/officeDocument/2006/relationships/hyperlink" Target="https://www.instagram.com/mohebanazzahra_mashhad/" TargetMode="External"/><Relationship Id="rId1426" Type="http://schemas.openxmlformats.org/officeDocument/2006/relationships/hyperlink" Target="https://t.me/amin_ghadim313" TargetMode="External"/><Relationship Id="rId2757" Type="http://schemas.openxmlformats.org/officeDocument/2006/relationships/hyperlink" Target="http://t.me/mohebanazzahra" TargetMode="External"/><Relationship Id="rId1427" Type="http://schemas.openxmlformats.org/officeDocument/2006/relationships/hyperlink" Target="https://www.instagram.com/aminshadkamzakaria/" TargetMode="External"/><Relationship Id="rId2758" Type="http://schemas.openxmlformats.org/officeDocument/2006/relationships/hyperlink" Target="https://eitaa.com/alamdardaregaz" TargetMode="External"/><Relationship Id="rId1428" Type="http://schemas.openxmlformats.org/officeDocument/2006/relationships/hyperlink" Target="https://t.me/aminshadkamzakaria" TargetMode="External"/><Relationship Id="rId2759" Type="http://schemas.openxmlformats.org/officeDocument/2006/relationships/hyperlink" Target="https://www.instagram.com/heyat_montazeran_zohur/" TargetMode="External"/><Relationship Id="rId1429" Type="http://schemas.openxmlformats.org/officeDocument/2006/relationships/hyperlink" Target="https://www.instagram.com/amirabbasi.313/" TargetMode="External"/><Relationship Id="rId2750" Type="http://schemas.openxmlformats.org/officeDocument/2006/relationships/hyperlink" Target="https://www.instagram.com/oshagholabbass_133/" TargetMode="External"/><Relationship Id="rId1420" Type="http://schemas.openxmlformats.org/officeDocument/2006/relationships/hyperlink" Target="https://www.instagram.com/aliensani135/" TargetMode="External"/><Relationship Id="rId2751" Type="http://schemas.openxmlformats.org/officeDocument/2006/relationships/hyperlink" Target="https://eitaa.com/mohebanrezab" TargetMode="External"/><Relationship Id="rId1421" Type="http://schemas.openxmlformats.org/officeDocument/2006/relationships/hyperlink" Target="https://t.me/aliensani135" TargetMode="External"/><Relationship Id="rId2752" Type="http://schemas.openxmlformats.org/officeDocument/2006/relationships/hyperlink" Target="https://www.instagram.com/misagh_bavelayat/" TargetMode="External"/><Relationship Id="rId8927" Type="http://schemas.openxmlformats.org/officeDocument/2006/relationships/hyperlink" Target="https://www.instagram.com/valiasr_heiat/" TargetMode="External"/><Relationship Id="rId8926" Type="http://schemas.openxmlformats.org/officeDocument/2006/relationships/hyperlink" Target="https://eitaa.com/mesbaholhodaqom" TargetMode="External"/><Relationship Id="rId8925" Type="http://schemas.openxmlformats.org/officeDocument/2006/relationships/hyperlink" Target="https://www.instagram.com/masjed_alnabi_salarie/" TargetMode="External"/><Relationship Id="rId8924" Type="http://schemas.openxmlformats.org/officeDocument/2006/relationships/hyperlink" Target="https://eitaa.com/heyatalreza_ir" TargetMode="External"/><Relationship Id="rId8929" Type="http://schemas.openxmlformats.org/officeDocument/2006/relationships/hyperlink" Target="https://www.instagram.com/maktabolzeinab1390/" TargetMode="External"/><Relationship Id="rId8928" Type="http://schemas.openxmlformats.org/officeDocument/2006/relationships/hyperlink" Target="https://eitaa.com/heyatvalieasr" TargetMode="External"/><Relationship Id="rId8923" Type="http://schemas.openxmlformats.org/officeDocument/2006/relationships/hyperlink" Target="https://www.instagram.com/heyatalreza_ir" TargetMode="External"/><Relationship Id="rId8922" Type="http://schemas.openxmlformats.org/officeDocument/2006/relationships/hyperlink" Target="https://eitaa.com/mohebbin_net" TargetMode="External"/><Relationship Id="rId8921" Type="http://schemas.openxmlformats.org/officeDocument/2006/relationships/hyperlink" Target="https://eitaa.com/mohebanozahra_heyat" TargetMode="External"/><Relationship Id="rId8920" Type="http://schemas.openxmlformats.org/officeDocument/2006/relationships/hyperlink" Target="https://www.instagram.com/mohebanozahra_heyat/" TargetMode="External"/><Relationship Id="rId8916" Type="http://schemas.openxmlformats.org/officeDocument/2006/relationships/hyperlink" Target="https://eitaa.com/HazratQasim110" TargetMode="External"/><Relationship Id="rId8915" Type="http://schemas.openxmlformats.org/officeDocument/2006/relationships/hyperlink" Target="https://eitaa.com/heyatghasem1440" TargetMode="External"/><Relationship Id="rId8914" Type="http://schemas.openxmlformats.org/officeDocument/2006/relationships/hyperlink" Target="https://eitaa.com/fadaiyaninfo" TargetMode="External"/><Relationship Id="rId8913" Type="http://schemas.openxmlformats.org/officeDocument/2006/relationships/hyperlink" Target="https://www.instagram.com/qeiratolabbas_online/" TargetMode="External"/><Relationship Id="rId8919" Type="http://schemas.openxmlformats.org/officeDocument/2006/relationships/hyperlink" Target="https://eitaa.com/kargahmadahinojavanan" TargetMode="External"/><Relationship Id="rId8918" Type="http://schemas.openxmlformats.org/officeDocument/2006/relationships/hyperlink" Target="https://t.me/Matamkade_Hazrat_Robab" TargetMode="External"/><Relationship Id="rId8917" Type="http://schemas.openxmlformats.org/officeDocument/2006/relationships/hyperlink" Target="https://www.instagram.com/matamkade_hazrat_robab/" TargetMode="External"/><Relationship Id="rId699" Type="http://schemas.openxmlformats.org/officeDocument/2006/relationships/hyperlink" Target="https://t.me/beitozzahraa" TargetMode="External"/><Relationship Id="rId698" Type="http://schemas.openxmlformats.org/officeDocument/2006/relationships/hyperlink" Target="https://www.instagram.com/beitozzahraa/" TargetMode="External"/><Relationship Id="rId693" Type="http://schemas.openxmlformats.org/officeDocument/2006/relationships/hyperlink" Target="https://t.me/bazatorasul" TargetMode="External"/><Relationship Id="rId692" Type="http://schemas.openxmlformats.org/officeDocument/2006/relationships/hyperlink" Target="https://www.instagram.com/bazatorasul/" TargetMode="External"/><Relationship Id="rId691" Type="http://schemas.openxmlformats.org/officeDocument/2006/relationships/hyperlink" Target="https://t.me/banezahra_ir" TargetMode="External"/><Relationship Id="rId690" Type="http://schemas.openxmlformats.org/officeDocument/2006/relationships/hyperlink" Target="https://www.instagram.com/banezahra.ir/" TargetMode="External"/><Relationship Id="rId697" Type="http://schemas.openxmlformats.org/officeDocument/2006/relationships/hyperlink" Target="https://t.me/beitoolabbas" TargetMode="External"/><Relationship Id="rId8912" Type="http://schemas.openxmlformats.org/officeDocument/2006/relationships/hyperlink" Target="https://t.me/qeiratolabbas" TargetMode="External"/><Relationship Id="rId696" Type="http://schemas.openxmlformats.org/officeDocument/2006/relationships/hyperlink" Target="https://www.instagram.com/beitoolabbas/" TargetMode="External"/><Relationship Id="rId8911" Type="http://schemas.openxmlformats.org/officeDocument/2006/relationships/hyperlink" Target="https://www.instagram.com/qeiratolabbas.qom/" TargetMode="External"/><Relationship Id="rId695" Type="http://schemas.openxmlformats.org/officeDocument/2006/relationships/hyperlink" Target="https://t.me/beitolhasan_chavoshi" TargetMode="External"/><Relationship Id="rId8910" Type="http://schemas.openxmlformats.org/officeDocument/2006/relationships/hyperlink" Target="https://t.me/moharam_qom" TargetMode="External"/><Relationship Id="rId694" Type="http://schemas.openxmlformats.org/officeDocument/2006/relationships/hyperlink" Target="https://www.instagram.com/beitolhasan_ir/" TargetMode="External"/><Relationship Id="rId7618" Type="http://schemas.openxmlformats.org/officeDocument/2006/relationships/hyperlink" Target="https://eitaa.com/farhangihozeh" TargetMode="External"/><Relationship Id="rId8949" Type="http://schemas.openxmlformats.org/officeDocument/2006/relationships/hyperlink" Target="https://www.instagram.com/karbalaeihaqom/" TargetMode="External"/><Relationship Id="rId7617" Type="http://schemas.openxmlformats.org/officeDocument/2006/relationships/hyperlink" Target="https://eitaa.com/heyatjavodolaeme" TargetMode="External"/><Relationship Id="rId8948" Type="http://schemas.openxmlformats.org/officeDocument/2006/relationships/hyperlink" Target="https://eitaa.com/kashefalkarb_qom" TargetMode="External"/><Relationship Id="rId7616" Type="http://schemas.openxmlformats.org/officeDocument/2006/relationships/hyperlink" Target="https://t.me/shaahreza_ir" TargetMode="External"/><Relationship Id="rId8947" Type="http://schemas.openxmlformats.org/officeDocument/2006/relationships/hyperlink" Target="https://www.instagram.com/kashefalkarb_qom/" TargetMode="External"/><Relationship Id="rId7615" Type="http://schemas.openxmlformats.org/officeDocument/2006/relationships/hyperlink" Target="https://www.instagram.com/astanshahreza" TargetMode="External"/><Relationship Id="rId8946" Type="http://schemas.openxmlformats.org/officeDocument/2006/relationships/hyperlink" Target="https://eitaa.com/ghatilalabarat_qom" TargetMode="External"/><Relationship Id="rId7619" Type="http://schemas.openxmlformats.org/officeDocument/2006/relationships/hyperlink" Target="https://eitaa.com/kanoonghadir_tiran" TargetMode="External"/><Relationship Id="rId7610" Type="http://schemas.openxmlformats.org/officeDocument/2006/relationships/hyperlink" Target="https://www.instagram.com/a_sahebzaman" TargetMode="External"/><Relationship Id="rId8941" Type="http://schemas.openxmlformats.org/officeDocument/2006/relationships/hyperlink" Target="https://www.instagram.com/heyat_ommolbanin_qom/" TargetMode="External"/><Relationship Id="rId8940" Type="http://schemas.openxmlformats.org/officeDocument/2006/relationships/hyperlink" Target="https://www.instagram.com/beyt_alzahra1382/" TargetMode="External"/><Relationship Id="rId7614" Type="http://schemas.openxmlformats.org/officeDocument/2006/relationships/hyperlink" Target="https://eitaa.com/MahdeQuran_Shahreza" TargetMode="External"/><Relationship Id="rId8945" Type="http://schemas.openxmlformats.org/officeDocument/2006/relationships/hyperlink" Target="https://www.instagram.com/ghatilalabarat_qom" TargetMode="External"/><Relationship Id="rId7613" Type="http://schemas.openxmlformats.org/officeDocument/2006/relationships/hyperlink" Target="https://eitaa.com/Aletaha_heyat" TargetMode="External"/><Relationship Id="rId8944" Type="http://schemas.openxmlformats.org/officeDocument/2006/relationships/hyperlink" Target="https://eitaa.com/ashouraeyan313" TargetMode="External"/><Relationship Id="rId7612" Type="http://schemas.openxmlformats.org/officeDocument/2006/relationships/hyperlink" Target="https://www.instagram.com/ansaralmahdishahinshahr" TargetMode="External"/><Relationship Id="rId8943" Type="http://schemas.openxmlformats.org/officeDocument/2006/relationships/hyperlink" Target="https://www.instagram.com/heyat_seyedalshohada_qom/" TargetMode="External"/><Relationship Id="rId7611" Type="http://schemas.openxmlformats.org/officeDocument/2006/relationships/hyperlink" Target="https://www.instagram.com/heyat_panjtan_ale_aba" TargetMode="External"/><Relationship Id="rId8942" Type="http://schemas.openxmlformats.org/officeDocument/2006/relationships/hyperlink" Target="https://eitaa.com/hfatemealzahra" TargetMode="External"/><Relationship Id="rId7607" Type="http://schemas.openxmlformats.org/officeDocument/2006/relationships/hyperlink" Target="https://www.instagram.com/mohebbin_info" TargetMode="External"/><Relationship Id="rId8938" Type="http://schemas.openxmlformats.org/officeDocument/2006/relationships/hyperlink" Target="https://eitaa.com/yyavarann" TargetMode="External"/><Relationship Id="rId7606" Type="http://schemas.openxmlformats.org/officeDocument/2006/relationships/hyperlink" Target="https://eitaa.com/ansarandarzgo" TargetMode="External"/><Relationship Id="rId8937" Type="http://schemas.openxmlformats.org/officeDocument/2006/relationships/hyperlink" Target="https://eitaa.com/heyatyazahra_213" TargetMode="External"/><Relationship Id="rId7605" Type="http://schemas.openxmlformats.org/officeDocument/2006/relationships/hyperlink" Target="https://www.instagram.com/heyathazratroghayeh84" TargetMode="External"/><Relationship Id="rId8936" Type="http://schemas.openxmlformats.org/officeDocument/2006/relationships/hyperlink" Target="https://t.me/heyatyazahra_213" TargetMode="External"/><Relationship Id="rId7604" Type="http://schemas.openxmlformats.org/officeDocument/2006/relationships/hyperlink" Target="https://www.instagram.com/maktab_almahdi59" TargetMode="External"/><Relationship Id="rId8935" Type="http://schemas.openxmlformats.org/officeDocument/2006/relationships/hyperlink" Target="https://www.instagram.com/heyatyazahra_1/" TargetMode="External"/><Relationship Id="rId7609" Type="http://schemas.openxmlformats.org/officeDocument/2006/relationships/hyperlink" Target="https://www.instagram.com/mohebanaliakbar_ir" TargetMode="External"/><Relationship Id="rId7608" Type="http://schemas.openxmlformats.org/officeDocument/2006/relationships/hyperlink" Target="https://t.me/fatemiyonmalekshahr" TargetMode="External"/><Relationship Id="rId8939" Type="http://schemas.openxmlformats.org/officeDocument/2006/relationships/hyperlink" Target="https://eitaa.com/heiat_ana_men_hosein" TargetMode="External"/><Relationship Id="rId8930" Type="http://schemas.openxmlformats.org/officeDocument/2006/relationships/hyperlink" Target="https://www.instagram.com/maktabalsadegh_qom" TargetMode="External"/><Relationship Id="rId7603" Type="http://schemas.openxmlformats.org/officeDocument/2006/relationships/hyperlink" Target="https://www.instagram.com/javanane_ashorayi" TargetMode="External"/><Relationship Id="rId8934" Type="http://schemas.openxmlformats.org/officeDocument/2006/relationships/hyperlink" Target="https://eitaa.com/yazeinaba_ir" TargetMode="External"/><Relationship Id="rId7602" Type="http://schemas.openxmlformats.org/officeDocument/2006/relationships/hyperlink" Target="https://t.me/Ashegan_saralah_rey" TargetMode="External"/><Relationship Id="rId8933" Type="http://schemas.openxmlformats.org/officeDocument/2006/relationships/hyperlink" Target="https://www.instagram.com/yazeinaba.ir/" TargetMode="External"/><Relationship Id="rId7601" Type="http://schemas.openxmlformats.org/officeDocument/2006/relationships/hyperlink" Target="https://www.instagram.com/asheghan_saralh_rey" TargetMode="External"/><Relationship Id="rId8932" Type="http://schemas.openxmlformats.org/officeDocument/2006/relationships/hyperlink" Target="https://eitaa.com/Maktab_Sadeg_Qom" TargetMode="External"/><Relationship Id="rId7600" Type="http://schemas.openxmlformats.org/officeDocument/2006/relationships/hyperlink" Target="https://www.instagram.com/rahrovane_abas" TargetMode="External"/><Relationship Id="rId8931" Type="http://schemas.openxmlformats.org/officeDocument/2006/relationships/hyperlink" Target="https://t.me/maktabalsadegh_qom" TargetMode="External"/><Relationship Id="rId1499" Type="http://schemas.openxmlformats.org/officeDocument/2006/relationships/hyperlink" Target="https://t.me/mhpooyanfar" TargetMode="External"/><Relationship Id="rId668" Type="http://schemas.openxmlformats.org/officeDocument/2006/relationships/hyperlink" Target="https://www.instagram.com/ansar_.315/" TargetMode="External"/><Relationship Id="rId667" Type="http://schemas.openxmlformats.org/officeDocument/2006/relationships/hyperlink" Target="https://t.me/aliiasghar_1401" TargetMode="External"/><Relationship Id="rId666" Type="http://schemas.openxmlformats.org/officeDocument/2006/relationships/hyperlink" Target="https://www.instagram.com/aliiasghar_1401/" TargetMode="External"/><Relationship Id="rId665" Type="http://schemas.openxmlformats.org/officeDocument/2006/relationships/hyperlink" Target="https://t.me/ali_porkaveh_zanjani" TargetMode="External"/><Relationship Id="rId669" Type="http://schemas.openxmlformats.org/officeDocument/2006/relationships/hyperlink" Target="https://t.me/ansaar_315" TargetMode="External"/><Relationship Id="rId1490" Type="http://schemas.openxmlformats.org/officeDocument/2006/relationships/hyperlink" Target="https://heydariioon.com/" TargetMode="External"/><Relationship Id="rId660" Type="http://schemas.openxmlformats.org/officeDocument/2006/relationships/hyperlink" Target="https://www.instagram.com/aleyasin59.ir/" TargetMode="External"/><Relationship Id="rId1491" Type="http://schemas.openxmlformats.org/officeDocument/2006/relationships/hyperlink" Target="https://www.instagram.com/hossein_eidi201/" TargetMode="External"/><Relationship Id="rId1492" Type="http://schemas.openxmlformats.org/officeDocument/2006/relationships/hyperlink" Target="https://t.me/mazlum128" TargetMode="External"/><Relationship Id="rId1493" Type="http://schemas.openxmlformats.org/officeDocument/2006/relationships/hyperlink" Target="https://www.instagram.com/meysammotiee" TargetMode="External"/><Relationship Id="rId1494" Type="http://schemas.openxmlformats.org/officeDocument/2006/relationships/hyperlink" Target="https://t.me/MeysamMotiee" TargetMode="External"/><Relationship Id="rId664" Type="http://schemas.openxmlformats.org/officeDocument/2006/relationships/hyperlink" Target="https://www.instagram.com/ahlaa_men_asal/" TargetMode="External"/><Relationship Id="rId1495" Type="http://schemas.openxmlformats.org/officeDocument/2006/relationships/hyperlink" Target="https://eitaa.com/MeysamMotiee" TargetMode="External"/><Relationship Id="rId663" Type="http://schemas.openxmlformats.org/officeDocument/2006/relationships/hyperlink" Target="https://t.me/alghami_media" TargetMode="External"/><Relationship Id="rId1496" Type="http://schemas.openxmlformats.org/officeDocument/2006/relationships/hyperlink" Target="https://www.youtube.com/@Meysam.Motiee" TargetMode="External"/><Relationship Id="rId662" Type="http://schemas.openxmlformats.org/officeDocument/2006/relationships/hyperlink" Target="https://www.instagram.com/alghami_media/" TargetMode="External"/><Relationship Id="rId1497" Type="http://schemas.openxmlformats.org/officeDocument/2006/relationships/hyperlink" Target="https://meysammotiee.ir/" TargetMode="External"/><Relationship Id="rId661" Type="http://schemas.openxmlformats.org/officeDocument/2006/relationships/hyperlink" Target="https://t.me/Aleyasiin59" TargetMode="External"/><Relationship Id="rId1498" Type="http://schemas.openxmlformats.org/officeDocument/2006/relationships/hyperlink" Target="https://www.instagram.com/mhpooyanfar" TargetMode="External"/><Relationship Id="rId1488" Type="http://schemas.openxmlformats.org/officeDocument/2006/relationships/hyperlink" Target="https://www.instagram.com/mahdii_ranaee/" TargetMode="External"/><Relationship Id="rId1489" Type="http://schemas.openxmlformats.org/officeDocument/2006/relationships/hyperlink" Target="https://t.me/Mahdii_ranaee" TargetMode="External"/><Relationship Id="rId657" Type="http://schemas.openxmlformats.org/officeDocument/2006/relationships/hyperlink" Target="https://t.me/aghilatolarab" TargetMode="External"/><Relationship Id="rId656" Type="http://schemas.openxmlformats.org/officeDocument/2006/relationships/hyperlink" Target="https://www.instagram.com/aghilatolarab/" TargetMode="External"/><Relationship Id="rId655" Type="http://schemas.openxmlformats.org/officeDocument/2006/relationships/hyperlink" Target="https://t.me/aeenehosseini" TargetMode="External"/><Relationship Id="rId654" Type="http://schemas.openxmlformats.org/officeDocument/2006/relationships/hyperlink" Target="https://www.instagram.com/aeenehosseini.heiat" TargetMode="External"/><Relationship Id="rId659" Type="http://schemas.openxmlformats.org/officeDocument/2006/relationships/hyperlink" Target="https://t.me/al_mahdi89" TargetMode="External"/><Relationship Id="rId658" Type="http://schemas.openxmlformats.org/officeDocument/2006/relationships/hyperlink" Target="https://www.instagram.com/al_mahdi89/" TargetMode="External"/><Relationship Id="rId1480" Type="http://schemas.openxmlformats.org/officeDocument/2006/relationships/hyperlink" Target="https://t.me/karbalaei_akbar_ebadi" TargetMode="External"/><Relationship Id="rId1481" Type="http://schemas.openxmlformats.org/officeDocument/2006/relationships/hyperlink" Target="https://eitaa.com/s/karbalaei_akbar_ebadi" TargetMode="External"/><Relationship Id="rId1482" Type="http://schemas.openxmlformats.org/officeDocument/2006/relationships/hyperlink" Target="https://www.instagram.com/mehrdadmalekiofficial/" TargetMode="External"/><Relationship Id="rId1483" Type="http://schemas.openxmlformats.org/officeDocument/2006/relationships/hyperlink" Target="https://t.me/karbalaimehrdadmaleki" TargetMode="External"/><Relationship Id="rId653" Type="http://schemas.openxmlformats.org/officeDocument/2006/relationships/hyperlink" Target="https://t.me/abutoraab" TargetMode="External"/><Relationship Id="rId1484" Type="http://schemas.openxmlformats.org/officeDocument/2006/relationships/hyperlink" Target="https://www.instagram.com/heydar.khamsee" TargetMode="External"/><Relationship Id="rId652" Type="http://schemas.openxmlformats.org/officeDocument/2006/relationships/hyperlink" Target="https://www.instagram.com/abutorab.ir/" TargetMode="External"/><Relationship Id="rId1485" Type="http://schemas.openxmlformats.org/officeDocument/2006/relationships/hyperlink" Target="https://t.me/khamseh110" TargetMode="External"/><Relationship Id="rId651" Type="http://schemas.openxmlformats.org/officeDocument/2006/relationships/hyperlink" Target="https://t.me/abotorab_info" TargetMode="External"/><Relationship Id="rId1486" Type="http://schemas.openxmlformats.org/officeDocument/2006/relationships/hyperlink" Target="https://www.instagram.com/hamedkhamseh_official/" TargetMode="External"/><Relationship Id="rId650" Type="http://schemas.openxmlformats.org/officeDocument/2006/relationships/hyperlink" Target="https://www.instagram.com/abotorab_info/" TargetMode="External"/><Relationship Id="rId1487" Type="http://schemas.openxmlformats.org/officeDocument/2006/relationships/hyperlink" Target="https://t.me/khamseh128" TargetMode="External"/><Relationship Id="rId8905" Type="http://schemas.openxmlformats.org/officeDocument/2006/relationships/hyperlink" Target="https://www.instagram.com/oshaghe_ol_abbas_/" TargetMode="External"/><Relationship Id="rId8904" Type="http://schemas.openxmlformats.org/officeDocument/2006/relationships/hyperlink" Target="https://www.instagram.com/asheghan_mosabnejafar/" TargetMode="External"/><Relationship Id="rId8903" Type="http://schemas.openxmlformats.org/officeDocument/2006/relationships/hyperlink" Target="https://eitaa.com/sarallaheqom128" TargetMode="External"/><Relationship Id="rId8902" Type="http://schemas.openxmlformats.org/officeDocument/2006/relationships/hyperlink" Target="https://eitaa.com/heiatsolaleqom" TargetMode="External"/><Relationship Id="rId8909" Type="http://schemas.openxmlformats.org/officeDocument/2006/relationships/hyperlink" Target="https://www.instagram.com/moharam_qom/" TargetMode="External"/><Relationship Id="rId8908" Type="http://schemas.openxmlformats.org/officeDocument/2006/relationships/hyperlink" Target="https://eitaa.com/oshshagolmahdi" TargetMode="External"/><Relationship Id="rId8907" Type="http://schemas.openxmlformats.org/officeDocument/2006/relationships/hyperlink" Target="https://www.instagram.com/oshshagolmahdi" TargetMode="External"/><Relationship Id="rId8906" Type="http://schemas.openxmlformats.org/officeDocument/2006/relationships/hyperlink" Target="https://t.me/oshage" TargetMode="External"/><Relationship Id="rId689" Type="http://schemas.openxmlformats.org/officeDocument/2006/relationships/hyperlink" Target="https://t.me/babolghebleh_ir" TargetMode="External"/><Relationship Id="rId688" Type="http://schemas.openxmlformats.org/officeDocument/2006/relationships/hyperlink" Target="https://www.instagram.com/babolghebleh_ir/" TargetMode="External"/><Relationship Id="rId687" Type="http://schemas.openxmlformats.org/officeDocument/2006/relationships/hyperlink" Target="https://t.me/azadaran_129" TargetMode="External"/><Relationship Id="rId682" Type="http://schemas.openxmlformats.org/officeDocument/2006/relationships/hyperlink" Target="https://www.instagram.com/asheghanehosseini/" TargetMode="External"/><Relationship Id="rId681" Type="http://schemas.openxmlformats.org/officeDocument/2006/relationships/hyperlink" Target="https://t.me/ashabeghaem" TargetMode="External"/><Relationship Id="rId680" Type="http://schemas.openxmlformats.org/officeDocument/2006/relationships/hyperlink" Target="https://www.instagram.com/ashabolghaem/" TargetMode="External"/><Relationship Id="rId686" Type="http://schemas.openxmlformats.org/officeDocument/2006/relationships/hyperlink" Target="https://www.instagram.com/129_azadaran/" TargetMode="External"/><Relationship Id="rId8901" Type="http://schemas.openxmlformats.org/officeDocument/2006/relationships/hyperlink" Target="https://www.instagram.com/reyhanatorrasoul_ir/" TargetMode="External"/><Relationship Id="rId685" Type="http://schemas.openxmlformats.org/officeDocument/2006/relationships/hyperlink" Target="https://t.me/atu_ashuraeei" TargetMode="External"/><Relationship Id="rId8900" Type="http://schemas.openxmlformats.org/officeDocument/2006/relationships/hyperlink" Target="https://www.instagram.com/umm_al_masaib/" TargetMode="External"/><Relationship Id="rId684" Type="http://schemas.openxmlformats.org/officeDocument/2006/relationships/hyperlink" Target="https://www.instagram.com/atu_ashuraeei/" TargetMode="External"/><Relationship Id="rId683" Type="http://schemas.openxmlformats.org/officeDocument/2006/relationships/hyperlink" Target="https://t.me/asheghanehosseini313" TargetMode="External"/><Relationship Id="rId679" Type="http://schemas.openxmlformats.org/officeDocument/2006/relationships/hyperlink" Target="https://t.me/ashabalhoseini" TargetMode="External"/><Relationship Id="rId678" Type="http://schemas.openxmlformats.org/officeDocument/2006/relationships/hyperlink" Target="https://www.instagram.com/ashab_hosseine/" TargetMode="External"/><Relationship Id="rId677" Type="http://schemas.openxmlformats.org/officeDocument/2006/relationships/hyperlink" Target="https://t.me/ansarolabas1340" TargetMode="External"/><Relationship Id="rId676" Type="http://schemas.openxmlformats.org/officeDocument/2006/relationships/hyperlink" Target="https://www.instagram.com/ansarolabas/" TargetMode="External"/><Relationship Id="rId671" Type="http://schemas.openxmlformats.org/officeDocument/2006/relationships/hyperlink" Target="https://t.me/ansar_almahdi313" TargetMode="External"/><Relationship Id="rId670" Type="http://schemas.openxmlformats.org/officeDocument/2006/relationships/hyperlink" Target="https://www.instagram.com/ansar_almahdi313/" TargetMode="External"/><Relationship Id="rId675" Type="http://schemas.openxmlformats.org/officeDocument/2006/relationships/hyperlink" Target="https://t.me/ansarhussainie" TargetMode="External"/><Relationship Id="rId674" Type="http://schemas.openxmlformats.org/officeDocument/2006/relationships/hyperlink" Target="https://www.instagram.com/ansarhussainie/" TargetMode="External"/><Relationship Id="rId673" Type="http://schemas.openxmlformats.org/officeDocument/2006/relationships/hyperlink" Target="https://t.me/ansarabbasdoolab1325" TargetMode="External"/><Relationship Id="rId672" Type="http://schemas.openxmlformats.org/officeDocument/2006/relationships/hyperlink" Target="https://www.instagram.com/ansarabbasdoolab/" TargetMode="External"/><Relationship Id="rId5019" Type="http://schemas.openxmlformats.org/officeDocument/2006/relationships/hyperlink" Target="https://eitaa.com/hemamzaman" TargetMode="External"/><Relationship Id="rId6340" Type="http://schemas.openxmlformats.org/officeDocument/2006/relationships/hyperlink" Target="https://www.instagram.com/rozatoshohada_garmsar/" TargetMode="External"/><Relationship Id="rId7672" Type="http://schemas.openxmlformats.org/officeDocument/2006/relationships/hyperlink" Target="https://www.instagram.com/bit_aliakbar/" TargetMode="External"/><Relationship Id="rId5010" Type="http://schemas.openxmlformats.org/officeDocument/2006/relationships/hyperlink" Target="http://tlgrm.me/moslemebnaghilkermanshah" TargetMode="External"/><Relationship Id="rId6341" Type="http://schemas.openxmlformats.org/officeDocument/2006/relationships/hyperlink" Target="https://www.instagram.com/heyatghaleno" TargetMode="External"/><Relationship Id="rId7671" Type="http://schemas.openxmlformats.org/officeDocument/2006/relationships/hyperlink" Target="https://t.me/javanan_ghasm_ebn_al_hasan" TargetMode="External"/><Relationship Id="rId7670" Type="http://schemas.openxmlformats.org/officeDocument/2006/relationships/hyperlink" Target="https://www.instagram.com/ghasemebnhassan201" TargetMode="External"/><Relationship Id="rId5013" Type="http://schemas.openxmlformats.org/officeDocument/2006/relationships/hyperlink" Target="https://www.instagram.com/heyat_ome_abiha_kr/" TargetMode="External"/><Relationship Id="rId6344" Type="http://schemas.openxmlformats.org/officeDocument/2006/relationships/hyperlink" Target="https://eitaa.com/beytozzahra_mahdishahr" TargetMode="External"/><Relationship Id="rId7676" Type="http://schemas.openxmlformats.org/officeDocument/2006/relationships/hyperlink" Target="https://www.instagram.com/heyatmohebban110/" TargetMode="External"/><Relationship Id="rId5014" Type="http://schemas.openxmlformats.org/officeDocument/2006/relationships/hyperlink" Target="https://www.instagram.com/heiat_reza_kermanshah/" TargetMode="External"/><Relationship Id="rId6345" Type="http://schemas.openxmlformats.org/officeDocument/2006/relationships/hyperlink" Target="https://eitaa.com/oshagh92" TargetMode="External"/><Relationship Id="rId7675" Type="http://schemas.openxmlformats.org/officeDocument/2006/relationships/hyperlink" Target="https://t.me/darolvelayeh" TargetMode="External"/><Relationship Id="rId5011" Type="http://schemas.openxmlformats.org/officeDocument/2006/relationships/hyperlink" Target="https://www.instagram.com/heatmontazeranbagheatalah/" TargetMode="External"/><Relationship Id="rId6342" Type="http://schemas.openxmlformats.org/officeDocument/2006/relationships/hyperlink" Target="https://www.instagram.com/heyat_ablfazle_garmsar" TargetMode="External"/><Relationship Id="rId7674" Type="http://schemas.openxmlformats.org/officeDocument/2006/relationships/hyperlink" Target="https://www.instagram.com/darolvelayeh_isf/" TargetMode="External"/><Relationship Id="rId5012" Type="http://schemas.openxmlformats.org/officeDocument/2006/relationships/hyperlink" Target="https://eitaa.com/Hmontazeran" TargetMode="External"/><Relationship Id="rId6343" Type="http://schemas.openxmlformats.org/officeDocument/2006/relationships/hyperlink" Target="https://eitaa.com/imamalimosque313" TargetMode="External"/><Relationship Id="rId7673" Type="http://schemas.openxmlformats.org/officeDocument/2006/relationships/hyperlink" Target="https://www.instagram.com/mohebanealiakbar_ir" TargetMode="External"/><Relationship Id="rId5017" Type="http://schemas.openxmlformats.org/officeDocument/2006/relationships/hyperlink" Target="https://www.instagram.com/heiatalzahra_kermanshah/" TargetMode="External"/><Relationship Id="rId6348" Type="http://schemas.openxmlformats.org/officeDocument/2006/relationships/hyperlink" Target="https://eitaa.com/setadnamazjomemahdishahr" TargetMode="External"/><Relationship Id="rId5018" Type="http://schemas.openxmlformats.org/officeDocument/2006/relationships/hyperlink" Target="https://www.instagram.com/maktab_zahra_31/" TargetMode="External"/><Relationship Id="rId6349" Type="http://schemas.openxmlformats.org/officeDocument/2006/relationships/hyperlink" Target="https://www.instagram.com/heyat___abalfazl" TargetMode="External"/><Relationship Id="rId7679" Type="http://schemas.openxmlformats.org/officeDocument/2006/relationships/hyperlink" Target="https://eitaa.com/sarallah_kalemasih" TargetMode="External"/><Relationship Id="rId5015" Type="http://schemas.openxmlformats.org/officeDocument/2006/relationships/hyperlink" Target="https://eitaa.com/Rayat_Al_Abbas" TargetMode="External"/><Relationship Id="rId6346" Type="http://schemas.openxmlformats.org/officeDocument/2006/relationships/hyperlink" Target="https://www.instagram.com/h_khademolabbas" TargetMode="External"/><Relationship Id="rId7678" Type="http://schemas.openxmlformats.org/officeDocument/2006/relationships/hyperlink" Target="https://eitaa.com/heyatmohebban110" TargetMode="External"/><Relationship Id="rId5016" Type="http://schemas.openxmlformats.org/officeDocument/2006/relationships/hyperlink" Target="https://www.instagram.com/saelinzahra/" TargetMode="External"/><Relationship Id="rId6347" Type="http://schemas.openxmlformats.org/officeDocument/2006/relationships/hyperlink" Target="https://eitaa.com/khademinabbas" TargetMode="External"/><Relationship Id="rId7677" Type="http://schemas.openxmlformats.org/officeDocument/2006/relationships/hyperlink" Target="https://t.me/heyatmohebban110" TargetMode="External"/><Relationship Id="rId5008" Type="http://schemas.openxmlformats.org/officeDocument/2006/relationships/hyperlink" Target="https://eitaa.com/aleyasingasr" TargetMode="External"/><Relationship Id="rId6339" Type="http://schemas.openxmlformats.org/officeDocument/2006/relationships/hyperlink" Target="https://www.instagram.com/heyat_saheb_al_zaman_garmsar" TargetMode="External"/><Relationship Id="rId5009" Type="http://schemas.openxmlformats.org/officeDocument/2006/relationships/hyperlink" Target="https://www.instagram.com/moslem_ebn_aghil_kermanshah/" TargetMode="External"/><Relationship Id="rId7661" Type="http://schemas.openxmlformats.org/officeDocument/2006/relationships/hyperlink" Target="https://eitaa.com/heyat_ansarolhojah_110" TargetMode="External"/><Relationship Id="rId8992" Type="http://schemas.openxmlformats.org/officeDocument/2006/relationships/hyperlink" Target="https://www.instagram.com/razmandeganqom.live/" TargetMode="External"/><Relationship Id="rId6330" Type="http://schemas.openxmlformats.org/officeDocument/2006/relationships/hyperlink" Target="https://www.instagram.com/heyat_saheb_al_zaman_garmsar" TargetMode="External"/><Relationship Id="rId7660" Type="http://schemas.openxmlformats.org/officeDocument/2006/relationships/hyperlink" Target="https://www.instagram.com/heyat_ansarolhojah_110" TargetMode="External"/><Relationship Id="rId8991" Type="http://schemas.openxmlformats.org/officeDocument/2006/relationships/hyperlink" Target="https://eitaa.com/razmandeganqom" TargetMode="External"/><Relationship Id="rId8990" Type="http://schemas.openxmlformats.org/officeDocument/2006/relationships/hyperlink" Target="https://t.me/RazmandeganQom" TargetMode="External"/><Relationship Id="rId5002" Type="http://schemas.openxmlformats.org/officeDocument/2006/relationships/hyperlink" Target="https://eitaa.com/heiat_alnabi" TargetMode="External"/><Relationship Id="rId6333" Type="http://schemas.openxmlformats.org/officeDocument/2006/relationships/hyperlink" Target="https://eitaa.com/sarallah_garmsar" TargetMode="External"/><Relationship Id="rId7665" Type="http://schemas.openxmlformats.org/officeDocument/2006/relationships/hyperlink" Target="https://www.instagram.com/mohebbanenatanz" TargetMode="External"/><Relationship Id="rId8996" Type="http://schemas.openxmlformats.org/officeDocument/2006/relationships/hyperlink" Target="https://eitaa.com/h_rozato_zahra" TargetMode="External"/><Relationship Id="rId5003" Type="http://schemas.openxmlformats.org/officeDocument/2006/relationships/hyperlink" Target="https://www.instagram.com/oshagholzaiinab/" TargetMode="External"/><Relationship Id="rId6334" Type="http://schemas.openxmlformats.org/officeDocument/2006/relationships/hyperlink" Target="https://www.instagram.com/heyate_qasem_fanpage/" TargetMode="External"/><Relationship Id="rId7664" Type="http://schemas.openxmlformats.org/officeDocument/2006/relationships/hyperlink" Target="https://www.instagram.com/heyat.razmandegan_njf/" TargetMode="External"/><Relationship Id="rId8995" Type="http://schemas.openxmlformats.org/officeDocument/2006/relationships/hyperlink" Target="https://t.me/H_Rozato_zahra" TargetMode="External"/><Relationship Id="rId5000" Type="http://schemas.openxmlformats.org/officeDocument/2006/relationships/hyperlink" Target="http://t.me/norolhussain" TargetMode="External"/><Relationship Id="rId6331" Type="http://schemas.openxmlformats.org/officeDocument/2006/relationships/hyperlink" Target="https://www.instagram.com/heiat.azadaran.e.hosein" TargetMode="External"/><Relationship Id="rId7663" Type="http://schemas.openxmlformats.org/officeDocument/2006/relationships/hyperlink" Target="https://www.instagram.com/mjaliasghar_njf/" TargetMode="External"/><Relationship Id="rId8994" Type="http://schemas.openxmlformats.org/officeDocument/2006/relationships/hyperlink" Target="https://www.instagram.com/h_rozato_zahra/" TargetMode="External"/><Relationship Id="rId5001" Type="http://schemas.openxmlformats.org/officeDocument/2006/relationships/hyperlink" Target="https://www.instagram.com/beytolhassan_118/" TargetMode="External"/><Relationship Id="rId6332" Type="http://schemas.openxmlformats.org/officeDocument/2006/relationships/hyperlink" Target="https://www.instagram.com/sarallah.garmsar" TargetMode="External"/><Relationship Id="rId7662" Type="http://schemas.openxmlformats.org/officeDocument/2006/relationships/hyperlink" Target="https://www.instagram.com/sarallah_njf.ir" TargetMode="External"/><Relationship Id="rId8993" Type="http://schemas.openxmlformats.org/officeDocument/2006/relationships/hyperlink" Target="https://razmandeganqom.ir/" TargetMode="External"/><Relationship Id="rId5006" Type="http://schemas.openxmlformats.org/officeDocument/2006/relationships/hyperlink" Target="https://eitaa.com/M_hazrat_saheb_alzaman" TargetMode="External"/><Relationship Id="rId6337" Type="http://schemas.openxmlformats.org/officeDocument/2006/relationships/hyperlink" Target="https://www.instagram.com/heyate_abaabdellahalhosein" TargetMode="External"/><Relationship Id="rId7669" Type="http://schemas.openxmlformats.org/officeDocument/2006/relationships/hyperlink" Target="https://www.instagram.com/h_montazeranemahdi" TargetMode="External"/><Relationship Id="rId5007" Type="http://schemas.openxmlformats.org/officeDocument/2006/relationships/hyperlink" Target="https://www.instagram.com/moghadasi.info/" TargetMode="External"/><Relationship Id="rId6338" Type="http://schemas.openxmlformats.org/officeDocument/2006/relationships/hyperlink" Target="https://www.instagram.com/heyat.jannesaran.ghiyasabad/" TargetMode="External"/><Relationship Id="rId7668" Type="http://schemas.openxmlformats.org/officeDocument/2006/relationships/hyperlink" Target="https://www.instagram.com/peyrovanemamzaman/" TargetMode="External"/><Relationship Id="rId8999" Type="http://schemas.openxmlformats.org/officeDocument/2006/relationships/hyperlink" Target="https://www.instagram.com/heyatomeabiha.ensiatalhora/" TargetMode="External"/><Relationship Id="rId5004" Type="http://schemas.openxmlformats.org/officeDocument/2006/relationships/hyperlink" Target="https://www.instagram.com/hadis_kasa/" TargetMode="External"/><Relationship Id="rId6335" Type="http://schemas.openxmlformats.org/officeDocument/2006/relationships/hyperlink" Target="https://www.instagram.com/janatolhosein_garmsar" TargetMode="External"/><Relationship Id="rId7667" Type="http://schemas.openxmlformats.org/officeDocument/2006/relationships/hyperlink" Target="https://www.instagram.com/hoseineh_hazrat_abalfazl/" TargetMode="External"/><Relationship Id="rId8998" Type="http://schemas.openxmlformats.org/officeDocument/2006/relationships/hyperlink" Target="https://t.me/heyat_ome_abiha" TargetMode="External"/><Relationship Id="rId5005" Type="http://schemas.openxmlformats.org/officeDocument/2006/relationships/hyperlink" Target="http://t.me/hadiskasaa" TargetMode="External"/><Relationship Id="rId6336" Type="http://schemas.openxmlformats.org/officeDocument/2006/relationships/hyperlink" Target="https://www.instagram.com/heyat.javadolaeme" TargetMode="External"/><Relationship Id="rId7666" Type="http://schemas.openxmlformats.org/officeDocument/2006/relationships/hyperlink" Target="https://www.instagram.com/asheghan.abalfazl" TargetMode="External"/><Relationship Id="rId8997" Type="http://schemas.openxmlformats.org/officeDocument/2006/relationships/hyperlink" Target="https://www.instagram.com/heyat_ome_abiha" TargetMode="External"/><Relationship Id="rId7690" Type="http://schemas.openxmlformats.org/officeDocument/2006/relationships/hyperlink" Target="https://www.instagram.com/ansarolmahdikhomainishahr" TargetMode="External"/><Relationship Id="rId5031" Type="http://schemas.openxmlformats.org/officeDocument/2006/relationships/hyperlink" Target="http://t.me/Janatol_Hasan_118" TargetMode="External"/><Relationship Id="rId6362" Type="http://schemas.openxmlformats.org/officeDocument/2006/relationships/hyperlink" Target="https://www.instagram.com/matam_alabass_sohar/" TargetMode="External"/><Relationship Id="rId7694" Type="http://schemas.openxmlformats.org/officeDocument/2006/relationships/hyperlink" Target="https://www.instagram.com/nava._.128" TargetMode="External"/><Relationship Id="rId5032" Type="http://schemas.openxmlformats.org/officeDocument/2006/relationships/hyperlink" Target="https://www.instagram.com/pesaraneomolbanin/" TargetMode="External"/><Relationship Id="rId6363" Type="http://schemas.openxmlformats.org/officeDocument/2006/relationships/hyperlink" Target="https://www.youtube.com/@matam-alabass-sohar" TargetMode="External"/><Relationship Id="rId7693" Type="http://schemas.openxmlformats.org/officeDocument/2006/relationships/hyperlink" Target="https://eitaa.com/etehadie_esf" TargetMode="External"/><Relationship Id="rId6360" Type="http://schemas.openxmlformats.org/officeDocument/2006/relationships/hyperlink" Target="https://www.instagram.com/ansaralzahraa" TargetMode="External"/><Relationship Id="rId7692" Type="http://schemas.openxmlformats.org/officeDocument/2006/relationships/hyperlink" Target="https://www.instagram.com/montazeran_mowood" TargetMode="External"/><Relationship Id="rId5030" Type="http://schemas.openxmlformats.org/officeDocument/2006/relationships/hyperlink" Target="https://www.instagram.com/janatol_hasan_118/" TargetMode="External"/><Relationship Id="rId6361" Type="http://schemas.openxmlformats.org/officeDocument/2006/relationships/hyperlink" Target="https://www.instagram.com/ali_alasghar" TargetMode="External"/><Relationship Id="rId7691" Type="http://schemas.openxmlformats.org/officeDocument/2006/relationships/hyperlink" Target="https://www.instagram.com/heyat_razaviyeh" TargetMode="External"/><Relationship Id="rId5035" Type="http://schemas.openxmlformats.org/officeDocument/2006/relationships/hyperlink" Target="https://www.instagram.com/gholaman_abolfazl/" TargetMode="External"/><Relationship Id="rId6366" Type="http://schemas.openxmlformats.org/officeDocument/2006/relationships/hyperlink" Target="https://www.youtube.com/@dar.al.zahraa" TargetMode="External"/><Relationship Id="rId7698" Type="http://schemas.openxmlformats.org/officeDocument/2006/relationships/hyperlink" Target="https://www.instagram.com/montazeranmouod128" TargetMode="External"/><Relationship Id="rId5036" Type="http://schemas.openxmlformats.org/officeDocument/2006/relationships/hyperlink" Target="https://t.me/gholaman_abolfazl" TargetMode="External"/><Relationship Id="rId6367" Type="http://schemas.openxmlformats.org/officeDocument/2006/relationships/hyperlink" Target="https://www.instagram.com/seyedatonnesa" TargetMode="External"/><Relationship Id="rId7697" Type="http://schemas.openxmlformats.org/officeDocument/2006/relationships/hyperlink" Target="https://www.instagram.com/ansaar_ir" TargetMode="External"/><Relationship Id="rId5033" Type="http://schemas.openxmlformats.org/officeDocument/2006/relationships/hyperlink" Target="https://eitaa.com/pesaraneomolbanin" TargetMode="External"/><Relationship Id="rId6364" Type="http://schemas.openxmlformats.org/officeDocument/2006/relationships/hyperlink" Target="https://www.instagram.com/dar_alzahraa1444/" TargetMode="External"/><Relationship Id="rId7696" Type="http://schemas.openxmlformats.org/officeDocument/2006/relationships/hyperlink" Target="https://www.instagram.com/heyat_oshohada/" TargetMode="External"/><Relationship Id="rId5034" Type="http://schemas.openxmlformats.org/officeDocument/2006/relationships/hyperlink" Target="https://www.instagram.com/roze_zahra_kerman/" TargetMode="External"/><Relationship Id="rId6365" Type="http://schemas.openxmlformats.org/officeDocument/2006/relationships/hyperlink" Target="https://t.me/daralzahraalb" TargetMode="External"/><Relationship Id="rId7695" Type="http://schemas.openxmlformats.org/officeDocument/2006/relationships/hyperlink" Target="https://eitaa.com/mouood" TargetMode="External"/><Relationship Id="rId5039" Type="http://schemas.openxmlformats.org/officeDocument/2006/relationships/hyperlink" Target="https://www.instagram.com/heiat.beitoalzahra.kerman/" TargetMode="External"/><Relationship Id="rId5037" Type="http://schemas.openxmlformats.org/officeDocument/2006/relationships/hyperlink" Target="https://www.instagram.com/beytolhassan_ker/" TargetMode="External"/><Relationship Id="rId6368" Type="http://schemas.openxmlformats.org/officeDocument/2006/relationships/hyperlink" Target="https://eitaa.com/seyedatonnesaa" TargetMode="External"/><Relationship Id="rId5038" Type="http://schemas.openxmlformats.org/officeDocument/2006/relationships/hyperlink" Target="https://www.instagram.com/fatemeyoon_andohjerd/" TargetMode="External"/><Relationship Id="rId6369" Type="http://schemas.openxmlformats.org/officeDocument/2006/relationships/hyperlink" Target="https://www.instagram.com/rozatol_hoseyn_313/" TargetMode="External"/><Relationship Id="rId7699" Type="http://schemas.openxmlformats.org/officeDocument/2006/relationships/hyperlink" Target="https://www.instagram.com/heyatoreza_isf" TargetMode="External"/><Relationship Id="rId5020" Type="http://schemas.openxmlformats.org/officeDocument/2006/relationships/hyperlink" Target="https://eitaa.com/alamdar_kermanshah" TargetMode="External"/><Relationship Id="rId6351" Type="http://schemas.openxmlformats.org/officeDocument/2006/relationships/hyperlink" Target="https://eitaa.com/konje_haram313" TargetMode="External"/><Relationship Id="rId7683" Type="http://schemas.openxmlformats.org/officeDocument/2006/relationships/hyperlink" Target="https://www.instagram.com/maktab_alreza_shahreza" TargetMode="External"/><Relationship Id="rId5021" Type="http://schemas.openxmlformats.org/officeDocument/2006/relationships/hyperlink" Target="https://eitaa.com/heyat_saheb_alzaman_deaf" TargetMode="External"/><Relationship Id="rId6352" Type="http://schemas.openxmlformats.org/officeDocument/2006/relationships/hyperlink" Target="https://www.instagram.com/heyatulzahra/" TargetMode="External"/><Relationship Id="rId7682" Type="http://schemas.openxmlformats.org/officeDocument/2006/relationships/hyperlink" Target="https://eitaa.com/zahraeian" TargetMode="External"/><Relationship Id="rId7681" Type="http://schemas.openxmlformats.org/officeDocument/2006/relationships/hyperlink" Target="https://www.instagram.com/javanan_mohebanshohada" TargetMode="External"/><Relationship Id="rId6350" Type="http://schemas.openxmlformats.org/officeDocument/2006/relationships/hyperlink" Target="https://eitaa.com/heyatjavananmayamey" TargetMode="External"/><Relationship Id="rId7680" Type="http://schemas.openxmlformats.org/officeDocument/2006/relationships/hyperlink" Target="https://www.instagram.com/mohebin_aba_abdellah" TargetMode="External"/><Relationship Id="rId5024" Type="http://schemas.openxmlformats.org/officeDocument/2006/relationships/hyperlink" Target="https://www.instagram.com/heyaat_s_sajedin/" TargetMode="External"/><Relationship Id="rId6355" Type="http://schemas.openxmlformats.org/officeDocument/2006/relationships/hyperlink" Target="https://t.me/karbalaca" TargetMode="External"/><Relationship Id="rId7687" Type="http://schemas.openxmlformats.org/officeDocument/2006/relationships/hyperlink" Target="https://eitaa.com/h_sarallah_njf" TargetMode="External"/><Relationship Id="rId5025" Type="http://schemas.openxmlformats.org/officeDocument/2006/relationships/hyperlink" Target="https://www.instagram.com/heyat_maktabol_zahra/" TargetMode="External"/><Relationship Id="rId6356" Type="http://schemas.openxmlformats.org/officeDocument/2006/relationships/hyperlink" Target="https://karbalacenter.ca/" TargetMode="External"/><Relationship Id="rId7686" Type="http://schemas.openxmlformats.org/officeDocument/2006/relationships/hyperlink" Target="https://www.instagram.com/edalatkhahishahinshahr58" TargetMode="External"/><Relationship Id="rId5022" Type="http://schemas.openxmlformats.org/officeDocument/2006/relationships/hyperlink" Target="https://www.instagram.com/alamdar.ra/" TargetMode="External"/><Relationship Id="rId6353" Type="http://schemas.openxmlformats.org/officeDocument/2006/relationships/hyperlink" Target="https://t.me/heyatulzahra" TargetMode="External"/><Relationship Id="rId7685" Type="http://schemas.openxmlformats.org/officeDocument/2006/relationships/hyperlink" Target="https://www.instagram.com/qods_hoseyni" TargetMode="External"/><Relationship Id="rId5023" Type="http://schemas.openxmlformats.org/officeDocument/2006/relationships/hyperlink" Target="http://t.me/heiat_asheghan_alamdar" TargetMode="External"/><Relationship Id="rId6354" Type="http://schemas.openxmlformats.org/officeDocument/2006/relationships/hyperlink" Target="https://www.instagram.com/karbala.ca/" TargetMode="External"/><Relationship Id="rId7684" Type="http://schemas.openxmlformats.org/officeDocument/2006/relationships/hyperlink" Target="https://eitaa.com/maktab_alreza_shahreza" TargetMode="External"/><Relationship Id="rId5028" Type="http://schemas.openxmlformats.org/officeDocument/2006/relationships/hyperlink" Target="https://www.instagram.com/heyatrayatolmahdi313/" TargetMode="External"/><Relationship Id="rId6359" Type="http://schemas.openxmlformats.org/officeDocument/2006/relationships/hyperlink" Target="https://www.instagram.com/am_albninhia" TargetMode="External"/><Relationship Id="rId5029" Type="http://schemas.openxmlformats.org/officeDocument/2006/relationships/hyperlink" Target="https://eitaa.com/heyatrayatolmahdi313" TargetMode="External"/><Relationship Id="rId5026" Type="http://schemas.openxmlformats.org/officeDocument/2006/relationships/hyperlink" Target="https://www.instagram.com/fatemiyeh_khanook/" TargetMode="External"/><Relationship Id="rId6357" Type="http://schemas.openxmlformats.org/officeDocument/2006/relationships/hyperlink" Target="https://www.instagram.com/hayaatrayat.alabbas/" TargetMode="External"/><Relationship Id="rId7689" Type="http://schemas.openxmlformats.org/officeDocument/2006/relationships/hyperlink" Target="https://www.instagram.com/heyat_beytolabbas113" TargetMode="External"/><Relationship Id="rId5027" Type="http://schemas.openxmlformats.org/officeDocument/2006/relationships/hyperlink" Target="https://www.instagram.com/fatemiyoon__/" TargetMode="External"/><Relationship Id="rId6358" Type="http://schemas.openxmlformats.org/officeDocument/2006/relationships/hyperlink" Target="https://t.me/Hayaat_Rayat_Al_Abbas" TargetMode="External"/><Relationship Id="rId7688" Type="http://schemas.openxmlformats.org/officeDocument/2006/relationships/hyperlink" Target="https://www.instagram.com/dar_al_quran_esfahan" TargetMode="External"/><Relationship Id="rId6308" Type="http://schemas.openxmlformats.org/officeDocument/2006/relationships/hyperlink" Target="https://eitaa.com/heyatrazmandeganshahrud" TargetMode="External"/><Relationship Id="rId6309" Type="http://schemas.openxmlformats.org/officeDocument/2006/relationships/hyperlink" Target="https://www.instagram.com/khozestanihaye_moghim_shahrood" TargetMode="External"/><Relationship Id="rId7639" Type="http://schemas.openxmlformats.org/officeDocument/2006/relationships/hyperlink" Target="https://www.instagram.com/husseiniyah_prophet_abolfazl_a" TargetMode="External"/><Relationship Id="rId6306" Type="http://schemas.openxmlformats.org/officeDocument/2006/relationships/hyperlink" Target="https://www.instagram.com/ashoorayanshahrood" TargetMode="External"/><Relationship Id="rId7638" Type="http://schemas.openxmlformats.org/officeDocument/2006/relationships/hyperlink" Target="https://www.instagram.com/moontazeran.zohour" TargetMode="External"/><Relationship Id="rId8969" Type="http://schemas.openxmlformats.org/officeDocument/2006/relationships/hyperlink" Target="https://www.instagram.com/sarallahqom" TargetMode="External"/><Relationship Id="rId6307" Type="http://schemas.openxmlformats.org/officeDocument/2006/relationships/hyperlink" Target="https://www.instagram.com/heatmontazeranezohr" TargetMode="External"/><Relationship Id="rId7637" Type="http://schemas.openxmlformats.org/officeDocument/2006/relationships/hyperlink" Target="https://www.instagram.com/beyt.aljavad" TargetMode="External"/><Relationship Id="rId8968" Type="http://schemas.openxmlformats.org/officeDocument/2006/relationships/hyperlink" Target="https://t.me/heyat_beynolharameyn_qom_118" TargetMode="External"/><Relationship Id="rId6300" Type="http://schemas.openxmlformats.org/officeDocument/2006/relationships/hyperlink" Target="https://eitaa.com/gomnamshahrood" TargetMode="External"/><Relationship Id="rId7632" Type="http://schemas.openxmlformats.org/officeDocument/2006/relationships/hyperlink" Target="https://www.instagram.com/h.mosiebnjafar" TargetMode="External"/><Relationship Id="rId8963" Type="http://schemas.openxmlformats.org/officeDocument/2006/relationships/hyperlink" Target="https://www.instagram.com/ansaar_128/" TargetMode="External"/><Relationship Id="rId6301" Type="http://schemas.openxmlformats.org/officeDocument/2006/relationships/hyperlink" Target="https://www.instagram.com/masjed_media" TargetMode="External"/><Relationship Id="rId7631" Type="http://schemas.openxmlformats.org/officeDocument/2006/relationships/hyperlink" Target="https://www.instagram.com/heyat_fatemiyon81" TargetMode="External"/><Relationship Id="rId8962" Type="http://schemas.openxmlformats.org/officeDocument/2006/relationships/hyperlink" Target="https://t.me/ansar_lhasan_118" TargetMode="External"/><Relationship Id="rId7630" Type="http://schemas.openxmlformats.org/officeDocument/2006/relationships/hyperlink" Target="https://www.instagram.com/heyat.asheghan.sarallah" TargetMode="External"/><Relationship Id="rId8961" Type="http://schemas.openxmlformats.org/officeDocument/2006/relationships/hyperlink" Target="https://www.instagram.com/ansarlhasan_qom/" TargetMode="External"/><Relationship Id="rId8960" Type="http://schemas.openxmlformats.org/officeDocument/2006/relationships/hyperlink" Target="https://eitaa.com/heyatozzeynab" TargetMode="External"/><Relationship Id="rId6304" Type="http://schemas.openxmlformats.org/officeDocument/2006/relationships/hyperlink" Target="https://www.instagram.com/mahdeyeh.shahrood" TargetMode="External"/><Relationship Id="rId7636" Type="http://schemas.openxmlformats.org/officeDocument/2006/relationships/hyperlink" Target="https://t.me/m_shohada_pakdasht" TargetMode="External"/><Relationship Id="rId8967" Type="http://schemas.openxmlformats.org/officeDocument/2006/relationships/hyperlink" Target="https://www.instagram.com/heyat.beynolharameyn.qom/" TargetMode="External"/><Relationship Id="rId6305" Type="http://schemas.openxmlformats.org/officeDocument/2006/relationships/hyperlink" Target="https://t.me/mahdeyehshahrood" TargetMode="External"/><Relationship Id="rId7635" Type="http://schemas.openxmlformats.org/officeDocument/2006/relationships/hyperlink" Target="https://www.instagram.com/m.shohada.ir" TargetMode="External"/><Relationship Id="rId8966" Type="http://schemas.openxmlformats.org/officeDocument/2006/relationships/hyperlink" Target="https://www.youtube.com/baitolabbas_qom" TargetMode="External"/><Relationship Id="rId6302" Type="http://schemas.openxmlformats.org/officeDocument/2006/relationships/hyperlink" Target="https://www.instagram.com/ya_zahra_11_213" TargetMode="External"/><Relationship Id="rId7634" Type="http://schemas.openxmlformats.org/officeDocument/2006/relationships/hyperlink" Target="https://eitaa.com/heiatoshagh" TargetMode="External"/><Relationship Id="rId8965" Type="http://schemas.openxmlformats.org/officeDocument/2006/relationships/hyperlink" Target="https://www.instagram.com/baitolabbas_qom/" TargetMode="External"/><Relationship Id="rId6303" Type="http://schemas.openxmlformats.org/officeDocument/2006/relationships/hyperlink" Target="https://www.instagram.com/h_fatemion" TargetMode="External"/><Relationship Id="rId7633" Type="http://schemas.openxmlformats.org/officeDocument/2006/relationships/hyperlink" Target="https://www.instagram.com/kheimegahe_zerenjan" TargetMode="External"/><Relationship Id="rId8964" Type="http://schemas.openxmlformats.org/officeDocument/2006/relationships/hyperlink" Target="https://t.me/ansaar_128" TargetMode="External"/><Relationship Id="rId7629" Type="http://schemas.openxmlformats.org/officeDocument/2006/relationships/hyperlink" Target="https://eitaa.com/oshaqalvelayah_kaums" TargetMode="External"/><Relationship Id="rId7628" Type="http://schemas.openxmlformats.org/officeDocument/2006/relationships/hyperlink" Target="https://t.me/oshaqalvelayah_kaums" TargetMode="External"/><Relationship Id="rId8959" Type="http://schemas.openxmlformats.org/officeDocument/2006/relationships/hyperlink" Target="https://www.instagram.com/heyatozeynab" TargetMode="External"/><Relationship Id="rId7627" Type="http://schemas.openxmlformats.org/officeDocument/2006/relationships/hyperlink" Target="https://www.instagram.com/heyatkaums" TargetMode="External"/><Relationship Id="rId8958" Type="http://schemas.openxmlformats.org/officeDocument/2006/relationships/hyperlink" Target="https://eitaa.com/moj_al_hossein" TargetMode="External"/><Relationship Id="rId7626" Type="http://schemas.openxmlformats.org/officeDocument/2006/relationships/hyperlink" Target="https://www.instagram.com/h_oshaghalzahra_kashan/" TargetMode="External"/><Relationship Id="rId8957" Type="http://schemas.openxmlformats.org/officeDocument/2006/relationships/hyperlink" Target="https://www.instagram.com/heyat_aba_abdellah/" TargetMode="External"/><Relationship Id="rId7621" Type="http://schemas.openxmlformats.org/officeDocument/2006/relationships/hyperlink" Target="https://www.instagram.com/emamayn/" TargetMode="External"/><Relationship Id="rId8952" Type="http://schemas.openxmlformats.org/officeDocument/2006/relationships/hyperlink" Target="https://www.instagram.com/mohebin313_qom/" TargetMode="External"/><Relationship Id="rId7620" Type="http://schemas.openxmlformats.org/officeDocument/2006/relationships/hyperlink" Target="https://www.instagram.com/h_gamarbanihashem" TargetMode="External"/><Relationship Id="rId8951" Type="http://schemas.openxmlformats.org/officeDocument/2006/relationships/hyperlink" Target="https://eitaa.com/karbalaeihaqom" TargetMode="External"/><Relationship Id="rId8950" Type="http://schemas.openxmlformats.org/officeDocument/2006/relationships/hyperlink" Target="https://t.me/karbalaeihaqom" TargetMode="External"/><Relationship Id="rId7625" Type="http://schemas.openxmlformats.org/officeDocument/2006/relationships/hyperlink" Target="https://t.me/jannat_al_abbas" TargetMode="External"/><Relationship Id="rId8956" Type="http://schemas.openxmlformats.org/officeDocument/2006/relationships/hyperlink" Target="https://www.instagram.com/maktabozahra_qom/" TargetMode="External"/><Relationship Id="rId7624" Type="http://schemas.openxmlformats.org/officeDocument/2006/relationships/hyperlink" Target="https://www.instagram.com/janat.al.abbas/" TargetMode="External"/><Relationship Id="rId8955" Type="http://schemas.openxmlformats.org/officeDocument/2006/relationships/hyperlink" Target="https://t.me/maktabroghaye_qom" TargetMode="External"/><Relationship Id="rId7623" Type="http://schemas.openxmlformats.org/officeDocument/2006/relationships/hyperlink" Target="https://www.instagram.com/hasanjanir/" TargetMode="External"/><Relationship Id="rId8954" Type="http://schemas.openxmlformats.org/officeDocument/2006/relationships/hyperlink" Target="https://www.instagram.com/kheyzaran.128/" TargetMode="External"/><Relationship Id="rId7622" Type="http://schemas.openxmlformats.org/officeDocument/2006/relationships/hyperlink" Target="https://t.me/emamayn" TargetMode="External"/><Relationship Id="rId8953" Type="http://schemas.openxmlformats.org/officeDocument/2006/relationships/hyperlink" Target="https://www.instagram.com/moezolmomeninqom_ir/" TargetMode="External"/><Relationship Id="rId6328" Type="http://schemas.openxmlformats.org/officeDocument/2006/relationships/hyperlink" Target="https://eitaa.com/HeyatAli_asghar" TargetMode="External"/><Relationship Id="rId6329" Type="http://schemas.openxmlformats.org/officeDocument/2006/relationships/hyperlink" Target="https://www.instagram.com/heiatozahra2.ir" TargetMode="External"/><Relationship Id="rId7659" Type="http://schemas.openxmlformats.org/officeDocument/2006/relationships/hyperlink" Target="https://t.me/masjedsajadnaein" TargetMode="External"/><Relationship Id="rId7650" Type="http://schemas.openxmlformats.org/officeDocument/2006/relationships/hyperlink" Target="https://eitaa.com/jameh_esf" TargetMode="External"/><Relationship Id="rId8981" Type="http://schemas.openxmlformats.org/officeDocument/2006/relationships/hyperlink" Target="https://www.instagram.com/khademalreza.qom/" TargetMode="External"/><Relationship Id="rId8980" Type="http://schemas.openxmlformats.org/officeDocument/2006/relationships/hyperlink" Target="https://eitaa.com/hoseinefatematazahra" TargetMode="External"/><Relationship Id="rId6322" Type="http://schemas.openxmlformats.org/officeDocument/2006/relationships/hyperlink" Target="https://t.me/jannesarane_abalfazl" TargetMode="External"/><Relationship Id="rId7654" Type="http://schemas.openxmlformats.org/officeDocument/2006/relationships/hyperlink" Target="https://www.instagram.com/nehzat_eslami_isfahan" TargetMode="External"/><Relationship Id="rId8985" Type="http://schemas.openxmlformats.org/officeDocument/2006/relationships/hyperlink" Target="https://www.instagram.com/khademin_hazrat_zeynab/" TargetMode="External"/><Relationship Id="rId6323" Type="http://schemas.openxmlformats.org/officeDocument/2006/relationships/hyperlink" Target="https://eitaa.com/jannesarane_abalfazl" TargetMode="External"/><Relationship Id="rId7653" Type="http://schemas.openxmlformats.org/officeDocument/2006/relationships/hyperlink" Target="https://www.instagram.com/heyat__hazrat__abolfzl_yonart" TargetMode="External"/><Relationship Id="rId8984" Type="http://schemas.openxmlformats.org/officeDocument/2006/relationships/hyperlink" Target="https://khademalreza.ir/" TargetMode="External"/><Relationship Id="rId6320" Type="http://schemas.openxmlformats.org/officeDocument/2006/relationships/hyperlink" Target="https://www.instagram.com/bi_haram118" TargetMode="External"/><Relationship Id="rId7652" Type="http://schemas.openxmlformats.org/officeDocument/2006/relationships/hyperlink" Target="https://eitaa.com/beynolharameinfarvi" TargetMode="External"/><Relationship Id="rId8983" Type="http://schemas.openxmlformats.org/officeDocument/2006/relationships/hyperlink" Target="https://eitaa.com/khademalreza_qom" TargetMode="External"/><Relationship Id="rId6321" Type="http://schemas.openxmlformats.org/officeDocument/2006/relationships/hyperlink" Target="https://www.instagram.com/jannesarane_abalfazl" TargetMode="External"/><Relationship Id="rId7651" Type="http://schemas.openxmlformats.org/officeDocument/2006/relationships/hyperlink" Target="https://eitaa.com/masjed_esf" TargetMode="External"/><Relationship Id="rId8982" Type="http://schemas.openxmlformats.org/officeDocument/2006/relationships/hyperlink" Target="https://t.me/khademalrezaqom1" TargetMode="External"/><Relationship Id="rId6326" Type="http://schemas.openxmlformats.org/officeDocument/2006/relationships/hyperlink" Target="https://eitaa.com/javananaliakbar" TargetMode="External"/><Relationship Id="rId7658" Type="http://schemas.openxmlformats.org/officeDocument/2006/relationships/hyperlink" Target="https://www.instagram.com/beytolabass133" TargetMode="External"/><Relationship Id="rId8989" Type="http://schemas.openxmlformats.org/officeDocument/2006/relationships/hyperlink" Target="https://www.instagram.com/razmandeganqom/" TargetMode="External"/><Relationship Id="rId6327" Type="http://schemas.openxmlformats.org/officeDocument/2006/relationships/hyperlink" Target="https://www.instagram.com/heyat_hazrat_aliasghar1375" TargetMode="External"/><Relationship Id="rId7657" Type="http://schemas.openxmlformats.org/officeDocument/2006/relationships/hyperlink" Target="https://www.instagram.com/masjedesajad" TargetMode="External"/><Relationship Id="rId8988" Type="http://schemas.openxmlformats.org/officeDocument/2006/relationships/hyperlink" Target="https://t.me/mahfel_omebanin_GOM" TargetMode="External"/><Relationship Id="rId6324" Type="http://schemas.openxmlformats.org/officeDocument/2006/relationships/hyperlink" Target="https://t.me/emamzadedizej" TargetMode="External"/><Relationship Id="rId7656" Type="http://schemas.openxmlformats.org/officeDocument/2006/relationships/hyperlink" Target="https://www.instagram.com/heyat_heydari_meydanbala" TargetMode="External"/><Relationship Id="rId8987" Type="http://schemas.openxmlformats.org/officeDocument/2006/relationships/hyperlink" Target="https://www.instagram.com/mahfel_omebanin/" TargetMode="External"/><Relationship Id="rId6325" Type="http://schemas.openxmlformats.org/officeDocument/2006/relationships/hyperlink" Target="https://eitaa.com/emamzademohamddizj" TargetMode="External"/><Relationship Id="rId7655" Type="http://schemas.openxmlformats.org/officeDocument/2006/relationships/hyperlink" Target="https://www.instagram.com/javanan.saralah" TargetMode="External"/><Relationship Id="rId8986" Type="http://schemas.openxmlformats.org/officeDocument/2006/relationships/hyperlink" Target="https://t.me/khademin_hazrat_zeynab" TargetMode="External"/><Relationship Id="rId6319" Type="http://schemas.openxmlformats.org/officeDocument/2006/relationships/hyperlink" Target="https://eitaa.com/sout_janat" TargetMode="External"/><Relationship Id="rId6317" Type="http://schemas.openxmlformats.org/officeDocument/2006/relationships/hyperlink" Target="https://eitaa.com/Inavab" TargetMode="External"/><Relationship Id="rId7649" Type="http://schemas.openxmlformats.org/officeDocument/2006/relationships/hyperlink" Target="https://eitaa.com/ghasemebnelhasandastgerd" TargetMode="External"/><Relationship Id="rId6318" Type="http://schemas.openxmlformats.org/officeDocument/2006/relationships/hyperlink" Target="https://www.instagram.com/sout_janat" TargetMode="External"/><Relationship Id="rId7648" Type="http://schemas.openxmlformats.org/officeDocument/2006/relationships/hyperlink" Target="https://www.instagram.com/ghasem_ebnlhasan/" TargetMode="External"/><Relationship Id="rId8979" Type="http://schemas.openxmlformats.org/officeDocument/2006/relationships/hyperlink" Target="https://www.instagram.com/hu_hazrat_zahra.qom" TargetMode="External"/><Relationship Id="rId8970" Type="http://schemas.openxmlformats.org/officeDocument/2006/relationships/hyperlink" Target="https://eitaa.com/sarallahqom" TargetMode="External"/><Relationship Id="rId6311" Type="http://schemas.openxmlformats.org/officeDocument/2006/relationships/hyperlink" Target="https://www.instagram.com/aghilatolarab.shahroud" TargetMode="External"/><Relationship Id="rId7643" Type="http://schemas.openxmlformats.org/officeDocument/2006/relationships/hyperlink" Target="https://www.instagram.com/faresalhejaz.aj" TargetMode="External"/><Relationship Id="rId8974" Type="http://schemas.openxmlformats.org/officeDocument/2006/relationships/hyperlink" Target="https://www.instagram.com/tekyeqom/" TargetMode="External"/><Relationship Id="rId6312" Type="http://schemas.openxmlformats.org/officeDocument/2006/relationships/hyperlink" Target="https://eitaa.com/kanoonrasool" TargetMode="External"/><Relationship Id="rId7642" Type="http://schemas.openxmlformats.org/officeDocument/2006/relationships/hyperlink" Target="https://www.instagram.com/reyhaneyenabi" TargetMode="External"/><Relationship Id="rId8973" Type="http://schemas.openxmlformats.org/officeDocument/2006/relationships/hyperlink" Target="https://t.me/sana_goyane_hazrate_ho" TargetMode="External"/><Relationship Id="rId7641" Type="http://schemas.openxmlformats.org/officeDocument/2006/relationships/hyperlink" Target="https://www.instagram.com/reza1369d" TargetMode="External"/><Relationship Id="rId8972" Type="http://schemas.openxmlformats.org/officeDocument/2006/relationships/hyperlink" Target="https://www.instagram.com/sana_goyane_hazrate_ho_online/" TargetMode="External"/><Relationship Id="rId6310" Type="http://schemas.openxmlformats.org/officeDocument/2006/relationships/hyperlink" Target="https://www.instagram.com/h_babalhavaej" TargetMode="External"/><Relationship Id="rId7640" Type="http://schemas.openxmlformats.org/officeDocument/2006/relationships/hyperlink" Target="https://eitaa.com/zahraeioon" TargetMode="External"/><Relationship Id="rId8971" Type="http://schemas.openxmlformats.org/officeDocument/2006/relationships/hyperlink" Target="https://sarallahqom.ir/" TargetMode="External"/><Relationship Id="rId6315" Type="http://schemas.openxmlformats.org/officeDocument/2006/relationships/hyperlink" Target="https://www.instagram.com/heyate_ammaryioun" TargetMode="External"/><Relationship Id="rId7647" Type="http://schemas.openxmlformats.org/officeDocument/2006/relationships/hyperlink" Target="https://www.instagram.com/heyat_hazrat_aboalfazl" TargetMode="External"/><Relationship Id="rId8978" Type="http://schemas.openxmlformats.org/officeDocument/2006/relationships/hyperlink" Target="https://eitaa.com/hasanie_qom" TargetMode="External"/><Relationship Id="rId6316" Type="http://schemas.openxmlformats.org/officeDocument/2006/relationships/hyperlink" Target="https://eitaa.com/heyate_ammariyon" TargetMode="External"/><Relationship Id="rId7646" Type="http://schemas.openxmlformats.org/officeDocument/2006/relationships/hyperlink" Target="https://eitaa.com/alamdareh_hosein" TargetMode="External"/><Relationship Id="rId8977" Type="http://schemas.openxmlformats.org/officeDocument/2006/relationships/hyperlink" Target="https://t.me/hasanieqom" TargetMode="External"/><Relationship Id="rId6313" Type="http://schemas.openxmlformats.org/officeDocument/2006/relationships/hyperlink" Target="https://www.instagram.com/rahrovane_velayate_shahrood" TargetMode="External"/><Relationship Id="rId7645" Type="http://schemas.openxmlformats.org/officeDocument/2006/relationships/hyperlink" Target="https://t.me/abolfazlnajafshahr" TargetMode="External"/><Relationship Id="rId8976" Type="http://schemas.openxmlformats.org/officeDocument/2006/relationships/hyperlink" Target="https://www.instagram.com/hasanie_qom" TargetMode="External"/><Relationship Id="rId6314" Type="http://schemas.openxmlformats.org/officeDocument/2006/relationships/hyperlink" Target="https://eitaa.com/zeinabiehshahrood" TargetMode="External"/><Relationship Id="rId7644" Type="http://schemas.openxmlformats.org/officeDocument/2006/relationships/hyperlink" Target="https://www.instagram.com/heyat_abolfazl_najafshahr" TargetMode="External"/><Relationship Id="rId8975" Type="http://schemas.openxmlformats.org/officeDocument/2006/relationships/hyperlink" Target="https://t.me/tekyeqom" TargetMode="External"/><Relationship Id="rId2820" Type="http://schemas.openxmlformats.org/officeDocument/2006/relationships/hyperlink" Target="https://www.instagram.com/heyate_ale_taha/" TargetMode="External"/><Relationship Id="rId2821" Type="http://schemas.openxmlformats.org/officeDocument/2006/relationships/hyperlink" Target="https://www.instagram.com/ale_taha_yasin/" TargetMode="External"/><Relationship Id="rId2822" Type="http://schemas.openxmlformats.org/officeDocument/2006/relationships/hyperlink" Target="https://www.instagram.com/mokebabalfazl/" TargetMode="External"/><Relationship Id="rId2823" Type="http://schemas.openxmlformats.org/officeDocument/2006/relationships/hyperlink" Target="https://eitaa.com/ansarolmahdi1431" TargetMode="External"/><Relationship Id="rId2824" Type="http://schemas.openxmlformats.org/officeDocument/2006/relationships/hyperlink" Target="https://www.instagram.com/beyat_gonabad/" TargetMode="External"/><Relationship Id="rId2825" Type="http://schemas.openxmlformats.org/officeDocument/2006/relationships/hyperlink" Target="http://t.me/Beyat_Gonabad" TargetMode="External"/><Relationship Id="rId2826" Type="http://schemas.openxmlformats.org/officeDocument/2006/relationships/hyperlink" Target="https://www.instagram.com/sayedshohada128/" TargetMode="External"/><Relationship Id="rId2827" Type="http://schemas.openxmlformats.org/officeDocument/2006/relationships/hyperlink" Target="http://t.me/sayedshohada_128" TargetMode="External"/><Relationship Id="rId2828" Type="http://schemas.openxmlformats.org/officeDocument/2006/relationships/hyperlink" Target="https://eitaa.com/hayyat_ahbab_alreza_susra" TargetMode="External"/><Relationship Id="rId2829" Type="http://schemas.openxmlformats.org/officeDocument/2006/relationships/hyperlink" Target="https://www.instagram.com/moheban_alhasan" TargetMode="External"/><Relationship Id="rId5093" Type="http://schemas.openxmlformats.org/officeDocument/2006/relationships/hyperlink" Target="https://www.instagram.com/sofre_omalbanin_zarand/" TargetMode="External"/><Relationship Id="rId5094" Type="http://schemas.openxmlformats.org/officeDocument/2006/relationships/hyperlink" Target="https://www.instagram.com/shg_bam/" TargetMode="External"/><Relationship Id="rId5091" Type="http://schemas.openxmlformats.org/officeDocument/2006/relationships/hyperlink" Target="http://eitaa.com/heyatemamhasan_sh" TargetMode="External"/><Relationship Id="rId5092" Type="http://schemas.openxmlformats.org/officeDocument/2006/relationships/hyperlink" Target="https://www.instagram.com/mahfele__zeynabiyon/" TargetMode="External"/><Relationship Id="rId5097" Type="http://schemas.openxmlformats.org/officeDocument/2006/relationships/hyperlink" Target="https://www.instagram.com/heyat_azadaran_fatemeh_zahra/" TargetMode="External"/><Relationship Id="rId5098" Type="http://schemas.openxmlformats.org/officeDocument/2006/relationships/hyperlink" Target="https://www.instagram.com/heyat.bardsir/" TargetMode="External"/><Relationship Id="rId5095" Type="http://schemas.openxmlformats.org/officeDocument/2006/relationships/hyperlink" Target="https://t.me/shg_bam" TargetMode="External"/><Relationship Id="rId5096" Type="http://schemas.openxmlformats.org/officeDocument/2006/relationships/hyperlink" Target="https://www.instagram.com/alamdar_bam/" TargetMode="External"/><Relationship Id="rId5099" Type="http://schemas.openxmlformats.org/officeDocument/2006/relationships/hyperlink" Target="https://eitaa.com/fatemiyoonhanza" TargetMode="External"/><Relationship Id="rId2810" Type="http://schemas.openxmlformats.org/officeDocument/2006/relationships/hyperlink" Target="http://eitaa.com/pooyeshparcham8" TargetMode="External"/><Relationship Id="rId2811" Type="http://schemas.openxmlformats.org/officeDocument/2006/relationships/hyperlink" Target="https://www.instagram.com/moslemebneaghil_sabzevar/" TargetMode="External"/><Relationship Id="rId2812" Type="http://schemas.openxmlformats.org/officeDocument/2006/relationships/hyperlink" Target="https://www.instagram.com/alamdar_brd/" TargetMode="External"/><Relationship Id="rId2813" Type="http://schemas.openxmlformats.org/officeDocument/2006/relationships/hyperlink" Target="https://t.me/alamdarbrd98" TargetMode="External"/><Relationship Id="rId2814" Type="http://schemas.openxmlformats.org/officeDocument/2006/relationships/hyperlink" Target="https://www.instagram.com/mohebban_27/" TargetMode="External"/><Relationship Id="rId2815" Type="http://schemas.openxmlformats.org/officeDocument/2006/relationships/hyperlink" Target="https://www.instagram.com/oshaghalhossayn/" TargetMode="External"/><Relationship Id="rId2816" Type="http://schemas.openxmlformats.org/officeDocument/2006/relationships/hyperlink" Target="https://www.instagram.com/saelanheydar/" TargetMode="External"/><Relationship Id="rId2817" Type="http://schemas.openxmlformats.org/officeDocument/2006/relationships/hyperlink" Target="http://tlgrm.me/saelanheydar" TargetMode="External"/><Relationship Id="rId2818" Type="http://schemas.openxmlformats.org/officeDocument/2006/relationships/hyperlink" Target="https://www.instagram.com/ziarat_ashora/" TargetMode="External"/><Relationship Id="rId2819" Type="http://schemas.openxmlformats.org/officeDocument/2006/relationships/hyperlink" Target="http://t.me/ziyarat69" TargetMode="External"/><Relationship Id="rId5090" Type="http://schemas.openxmlformats.org/officeDocument/2006/relationships/hyperlink" Target="https://www.instagram.com/heyatemamhasan_/" TargetMode="External"/><Relationship Id="rId5082" Type="http://schemas.openxmlformats.org/officeDocument/2006/relationships/hyperlink" Target="http://t.me/heyat_tafahos" TargetMode="External"/><Relationship Id="rId5083" Type="http://schemas.openxmlformats.org/officeDocument/2006/relationships/hyperlink" Target="https://eitaa.com/mohebin18" TargetMode="External"/><Relationship Id="rId5080" Type="http://schemas.openxmlformats.org/officeDocument/2006/relationships/hyperlink" Target="http://t.me/heyatrezaa" TargetMode="External"/><Relationship Id="rId5081" Type="http://schemas.openxmlformats.org/officeDocument/2006/relationships/hyperlink" Target="https://www.instagram.com/heyat_tafahos/" TargetMode="External"/><Relationship Id="rId5086" Type="http://schemas.openxmlformats.org/officeDocument/2006/relationships/hyperlink" Target="https://eitaa.com/masjedorezakoohbanan" TargetMode="External"/><Relationship Id="rId5087" Type="http://schemas.openxmlformats.org/officeDocument/2006/relationships/hyperlink" Target="https://www.instagram.com/dfueijwjk/" TargetMode="External"/><Relationship Id="rId5084" Type="http://schemas.openxmlformats.org/officeDocument/2006/relationships/hyperlink" Target="https://www.instagram.com/ansarolmahdi_bam/" TargetMode="External"/><Relationship Id="rId5085" Type="http://schemas.openxmlformats.org/officeDocument/2006/relationships/hyperlink" Target="https://eitaa.com/javananmahdaviravar" TargetMode="External"/><Relationship Id="rId5088" Type="http://schemas.openxmlformats.org/officeDocument/2006/relationships/hyperlink" Target="https://www.instagram.com/sarallah_sirjan/" TargetMode="External"/><Relationship Id="rId5089" Type="http://schemas.openxmlformats.org/officeDocument/2006/relationships/hyperlink" Target="https://www.instagram.com/oshagholhosein_rayen/" TargetMode="External"/><Relationship Id="rId1510" Type="http://schemas.openxmlformats.org/officeDocument/2006/relationships/hyperlink" Target="https://t.me/morteza_khademi110" TargetMode="External"/><Relationship Id="rId2841" Type="http://schemas.openxmlformats.org/officeDocument/2006/relationships/hyperlink" Target="https://eitaa.com/hayaat_mohajerin" TargetMode="External"/><Relationship Id="rId1511" Type="http://schemas.openxmlformats.org/officeDocument/2006/relationships/hyperlink" Target="https://www.instagram.com/nooshevar/" TargetMode="External"/><Relationship Id="rId2842" Type="http://schemas.openxmlformats.org/officeDocument/2006/relationships/hyperlink" Target="https://eitaa.com/maktabalzahra_brd" TargetMode="External"/><Relationship Id="rId1512" Type="http://schemas.openxmlformats.org/officeDocument/2006/relationships/hyperlink" Target="https://t.me/nooshevar" TargetMode="External"/><Relationship Id="rId2843" Type="http://schemas.openxmlformats.org/officeDocument/2006/relationships/hyperlink" Target="https://eitaa.com/raytalabbasmashhad" TargetMode="External"/><Relationship Id="rId1513" Type="http://schemas.openxmlformats.org/officeDocument/2006/relationships/hyperlink" Target="https://www.instagram.com/h_khalaj" TargetMode="External"/><Relationship Id="rId2844" Type="http://schemas.openxmlformats.org/officeDocument/2006/relationships/hyperlink" Target="https://eitaa.com/khatekhoon" TargetMode="External"/><Relationship Id="rId1514" Type="http://schemas.openxmlformats.org/officeDocument/2006/relationships/hyperlink" Target="https://t.me/norolboka" TargetMode="External"/><Relationship Id="rId2845" Type="http://schemas.openxmlformats.org/officeDocument/2006/relationships/hyperlink" Target="https://eitaa.com/vadieh_org" TargetMode="External"/><Relationship Id="rId1515" Type="http://schemas.openxmlformats.org/officeDocument/2006/relationships/hyperlink" Target="https://eitaa.com/norolboka" TargetMode="External"/><Relationship Id="rId2846" Type="http://schemas.openxmlformats.org/officeDocument/2006/relationships/hyperlink" Target="https://eitaa.com/mukebemamhasan" TargetMode="External"/><Relationship Id="rId1516" Type="http://schemas.openxmlformats.org/officeDocument/2006/relationships/hyperlink" Target="https://norolboka.ir/" TargetMode="External"/><Relationship Id="rId2847" Type="http://schemas.openxmlformats.org/officeDocument/2006/relationships/hyperlink" Target="https://eitaa.com/masjedekadkaniha" TargetMode="External"/><Relationship Id="rId1517" Type="http://schemas.openxmlformats.org/officeDocument/2006/relationships/hyperlink" Target="https://www.instagram.com/payamkiyani.205/" TargetMode="External"/><Relationship Id="rId2848" Type="http://schemas.openxmlformats.org/officeDocument/2006/relationships/hyperlink" Target="https://eitaa.com/heiateharam" TargetMode="External"/><Relationship Id="rId1518" Type="http://schemas.openxmlformats.org/officeDocument/2006/relationships/hyperlink" Target="https://t.me/payamkiyani" TargetMode="External"/><Relationship Id="rId2849" Type="http://schemas.openxmlformats.org/officeDocument/2006/relationships/hyperlink" Target="https://www.instagram.com/javanan_entezaar/" TargetMode="External"/><Relationship Id="rId1519" Type="http://schemas.openxmlformats.org/officeDocument/2006/relationships/hyperlink" Target="https://eitaa.com/Payamkiyani_eitaa" TargetMode="External"/><Relationship Id="rId2840" Type="http://schemas.openxmlformats.org/officeDocument/2006/relationships/hyperlink" Target="https://eitaa.com/mohebbanaeme" TargetMode="External"/><Relationship Id="rId2830" Type="http://schemas.openxmlformats.org/officeDocument/2006/relationships/hyperlink" Target="https://www.instagram.com/mahdiehthr/" TargetMode="External"/><Relationship Id="rId1500" Type="http://schemas.openxmlformats.org/officeDocument/2006/relationships/hyperlink" Target="https://eitaa.com/mhpooyanfar" TargetMode="External"/><Relationship Id="rId2831" Type="http://schemas.openxmlformats.org/officeDocument/2006/relationships/hyperlink" Target="https://www.instagram.com/zeynabiun1382/" TargetMode="External"/><Relationship Id="rId1501" Type="http://schemas.openxmlformats.org/officeDocument/2006/relationships/hyperlink" Target="https://www.youtube.com/@mhpooyanfar" TargetMode="External"/><Relationship Id="rId2832" Type="http://schemas.openxmlformats.org/officeDocument/2006/relationships/hyperlink" Target="http://t.me/zeynabiuun69" TargetMode="External"/><Relationship Id="rId1502" Type="http://schemas.openxmlformats.org/officeDocument/2006/relationships/hyperlink" Target="https://www.instagram.com/karbalaie_mohsen_araghiii/" TargetMode="External"/><Relationship Id="rId2833" Type="http://schemas.openxmlformats.org/officeDocument/2006/relationships/hyperlink" Target="https://www.instagram.com/fatemionshahed_ney/" TargetMode="External"/><Relationship Id="rId1503" Type="http://schemas.openxmlformats.org/officeDocument/2006/relationships/hyperlink" Target="https://t.me/mohsenaraghi" TargetMode="External"/><Relationship Id="rId2834" Type="http://schemas.openxmlformats.org/officeDocument/2006/relationships/hyperlink" Target="https://www.instagram.com/gharibemadine_mashhad/" TargetMode="External"/><Relationship Id="rId1504" Type="http://schemas.openxmlformats.org/officeDocument/2006/relationships/hyperlink" Target="https://www.instagram.com/mohsenaraghiofficial/" TargetMode="External"/><Relationship Id="rId2835" Type="http://schemas.openxmlformats.org/officeDocument/2006/relationships/hyperlink" Target="http://t.me/gharibemadine113" TargetMode="External"/><Relationship Id="rId1505" Type="http://schemas.openxmlformats.org/officeDocument/2006/relationships/hyperlink" Target="https://www.instagram.com/mohammadreza.alikhanii/" TargetMode="External"/><Relationship Id="rId2836" Type="http://schemas.openxmlformats.org/officeDocument/2006/relationships/hyperlink" Target="https://www.instagram.com/peshmerg313/" TargetMode="External"/><Relationship Id="rId1506" Type="http://schemas.openxmlformats.org/officeDocument/2006/relationships/hyperlink" Target="https://t.me/momamadrezaalikhani" TargetMode="External"/><Relationship Id="rId2837" Type="http://schemas.openxmlformats.org/officeDocument/2006/relationships/hyperlink" Target="https://www.instagram.com/ahbab_m/" TargetMode="External"/><Relationship Id="rId1507" Type="http://schemas.openxmlformats.org/officeDocument/2006/relationships/hyperlink" Target="https://www.instagram.com/mooezeh.ir/" TargetMode="External"/><Relationship Id="rId2838" Type="http://schemas.openxmlformats.org/officeDocument/2006/relationships/hyperlink" Target="https://eitaa.com/mohebbinahlobeyt" TargetMode="External"/><Relationship Id="rId1508" Type="http://schemas.openxmlformats.org/officeDocument/2006/relationships/hyperlink" Target="https://t.me/mooezeh" TargetMode="External"/><Relationship Id="rId2839" Type="http://schemas.openxmlformats.org/officeDocument/2006/relationships/hyperlink" Target="https://eitaa.com/aliasghar535" TargetMode="External"/><Relationship Id="rId1509" Type="http://schemas.openxmlformats.org/officeDocument/2006/relationships/hyperlink" Target="https://www.instagram.com/morteza_khademi315/" TargetMode="External"/><Relationship Id="rId6380" Type="http://schemas.openxmlformats.org/officeDocument/2006/relationships/hyperlink" Target="https://www.instagram.com/levau.zeynab.zahedan/" TargetMode="External"/><Relationship Id="rId5050" Type="http://schemas.openxmlformats.org/officeDocument/2006/relationships/hyperlink" Target="https://www.instagram.com/heyat.12emam/" TargetMode="External"/><Relationship Id="rId6381" Type="http://schemas.openxmlformats.org/officeDocument/2006/relationships/hyperlink" Target="https://eitaa.com/hoseiniealiasgharzahedan" TargetMode="External"/><Relationship Id="rId5053" Type="http://schemas.openxmlformats.org/officeDocument/2006/relationships/hyperlink" Target="https://www.instagram.com/oshaghorasool_cyb2/" TargetMode="External"/><Relationship Id="rId6384" Type="http://schemas.openxmlformats.org/officeDocument/2006/relationships/hyperlink" Target="https://www.instagram.com/reyhaneh_al_hossein_315/" TargetMode="External"/><Relationship Id="rId5054" Type="http://schemas.openxmlformats.org/officeDocument/2006/relationships/hyperlink" Target="https://www.instagram.com/shohadaygomnam.ghaleganj/" TargetMode="External"/><Relationship Id="rId6385" Type="http://schemas.openxmlformats.org/officeDocument/2006/relationships/hyperlink" Target="https://www.instagram.com/bakin_ir/" TargetMode="External"/><Relationship Id="rId5051" Type="http://schemas.openxmlformats.org/officeDocument/2006/relationships/hyperlink" Target="https://www.instagram.com/modafein__harimvelayat/" TargetMode="External"/><Relationship Id="rId6382" Type="http://schemas.openxmlformats.org/officeDocument/2006/relationships/hyperlink" Target="https://www.instagram.com/khadem_alroqayeh/" TargetMode="External"/><Relationship Id="rId5052" Type="http://schemas.openxmlformats.org/officeDocument/2006/relationships/hyperlink" Target="https://www.instagram.com/montazeran88/" TargetMode="External"/><Relationship Id="rId6383" Type="http://schemas.openxmlformats.org/officeDocument/2006/relationships/hyperlink" Target="https://eitaa.com/misaq_ba_shohada" TargetMode="External"/><Relationship Id="rId5057" Type="http://schemas.openxmlformats.org/officeDocument/2006/relationships/hyperlink" Target="https://www.instagram.com/masjedjamekouhbanan/" TargetMode="External"/><Relationship Id="rId6388" Type="http://schemas.openxmlformats.org/officeDocument/2006/relationships/hyperlink" Target="https://eitaa.com/ansarreza_zahedan" TargetMode="External"/><Relationship Id="rId5058" Type="http://schemas.openxmlformats.org/officeDocument/2006/relationships/hyperlink" Target="https://eitaa.com/heatbagheralolomkerman" TargetMode="External"/><Relationship Id="rId6389" Type="http://schemas.openxmlformats.org/officeDocument/2006/relationships/hyperlink" Target="https://www.instagram.com/beytolabbas_zahedan/" TargetMode="External"/><Relationship Id="rId5055" Type="http://schemas.openxmlformats.org/officeDocument/2006/relationships/hyperlink" Target="https://www.instagram.com/aliasghar_soleymanieh/" TargetMode="External"/><Relationship Id="rId6386" Type="http://schemas.openxmlformats.org/officeDocument/2006/relationships/hyperlink" Target="https://www.instagram.com/h_ansar_zahedan/" TargetMode="External"/><Relationship Id="rId5056" Type="http://schemas.openxmlformats.org/officeDocument/2006/relationships/hyperlink" Target="https://www.instagram.com/heyat_fatemiyeh_kerman/" TargetMode="External"/><Relationship Id="rId6387" Type="http://schemas.openxmlformats.org/officeDocument/2006/relationships/hyperlink" Target="https://www.instagram.com/beytolroghaye.zahedan/" TargetMode="External"/><Relationship Id="rId5059" Type="http://schemas.openxmlformats.org/officeDocument/2006/relationships/hyperlink" Target="https://www.instagram.com/heyatozahrakerman.ir/" TargetMode="External"/><Relationship Id="rId6370" Type="http://schemas.openxmlformats.org/officeDocument/2006/relationships/hyperlink" Target="https://www.instagram.com/alamdar.sistan/" TargetMode="External"/><Relationship Id="rId5042" Type="http://schemas.openxmlformats.org/officeDocument/2006/relationships/hyperlink" Target="http://t.me/heyatseyedoshohada_kerman" TargetMode="External"/><Relationship Id="rId6373" Type="http://schemas.openxmlformats.org/officeDocument/2006/relationships/hyperlink" Target="https://www.instagram.com/hoseinieh.babol.havayej/" TargetMode="External"/><Relationship Id="rId5043" Type="http://schemas.openxmlformats.org/officeDocument/2006/relationships/hyperlink" Target="https://www.instagram.com/zovar_olhossein/" TargetMode="External"/><Relationship Id="rId6374" Type="http://schemas.openxmlformats.org/officeDocument/2006/relationships/hyperlink" Target="https://www.instagram.com/m_asheghaneabalfazl/" TargetMode="External"/><Relationship Id="rId5040" Type="http://schemas.openxmlformats.org/officeDocument/2006/relationships/hyperlink" Target="https://www.instagram.com/khadem_roghayye/" TargetMode="External"/><Relationship Id="rId6371" Type="http://schemas.openxmlformats.org/officeDocument/2006/relationships/hyperlink" Target="http://t.me/alamdarsistan" TargetMode="External"/><Relationship Id="rId5041" Type="http://schemas.openxmlformats.org/officeDocument/2006/relationships/hyperlink" Target="https://www.instagram.com/heyatseyedoshohada_kerman/" TargetMode="External"/><Relationship Id="rId6372" Type="http://schemas.openxmlformats.org/officeDocument/2006/relationships/hyperlink" Target="https://www.instagram.com/aleyaseen.ir/" TargetMode="External"/><Relationship Id="rId5046" Type="http://schemas.openxmlformats.org/officeDocument/2006/relationships/hyperlink" Target="https://www.instagram.com/golkhane_koodak/" TargetMode="External"/><Relationship Id="rId6377" Type="http://schemas.openxmlformats.org/officeDocument/2006/relationships/hyperlink" Target="https://www.instagram.com/osh.aghreza/" TargetMode="External"/><Relationship Id="rId5047" Type="http://schemas.openxmlformats.org/officeDocument/2006/relationships/hyperlink" Target="https://www.instagram.com/rozatolrogheyeh_315/" TargetMode="External"/><Relationship Id="rId6378" Type="http://schemas.openxmlformats.org/officeDocument/2006/relationships/hyperlink" Target="https://www.instagram.com/seyedoshohada_sb/" TargetMode="External"/><Relationship Id="rId5044" Type="http://schemas.openxmlformats.org/officeDocument/2006/relationships/hyperlink" Target="https://www.instagram.com/meraj_hosein_kerman/" TargetMode="External"/><Relationship Id="rId6375" Type="http://schemas.openxmlformats.org/officeDocument/2006/relationships/hyperlink" Target="https://www.instagram.com/q_banihashem_sistan/" TargetMode="External"/><Relationship Id="rId5045" Type="http://schemas.openxmlformats.org/officeDocument/2006/relationships/hyperlink" Target="https://www.instagram.com/baziran.shahrbabak" TargetMode="External"/><Relationship Id="rId6376" Type="http://schemas.openxmlformats.org/officeDocument/2006/relationships/hyperlink" Target="https://www.instagram.com/bakin_ir/" TargetMode="External"/><Relationship Id="rId5048" Type="http://schemas.openxmlformats.org/officeDocument/2006/relationships/hyperlink" Target="https://www.instagram.com/rahrovanshohadarobat_315/" TargetMode="External"/><Relationship Id="rId6379" Type="http://schemas.openxmlformats.org/officeDocument/2006/relationships/hyperlink" Target="https://www.instagram.com/khane_ali.fatemeh_zahedan/" TargetMode="External"/><Relationship Id="rId5049" Type="http://schemas.openxmlformats.org/officeDocument/2006/relationships/hyperlink" Target="https://eitaa.com/Heiat_Shahid_Mohsen_Hojaji" TargetMode="External"/><Relationship Id="rId2800" Type="http://schemas.openxmlformats.org/officeDocument/2006/relationships/hyperlink" Target="http://t.me/M_khademin" TargetMode="External"/><Relationship Id="rId2801" Type="http://schemas.openxmlformats.org/officeDocument/2006/relationships/hyperlink" Target="https://www.instagram.com/kafol.abbas.sabzevar/" TargetMode="External"/><Relationship Id="rId2802" Type="http://schemas.openxmlformats.org/officeDocument/2006/relationships/hyperlink" Target="https://www.instagram.com/ansarolmahdi_quchan/" TargetMode="External"/><Relationship Id="rId2803" Type="http://schemas.openxmlformats.org/officeDocument/2006/relationships/hyperlink" Target="https://www.instagram.com/a_abaabdellah/" TargetMode="External"/><Relationship Id="rId2804" Type="http://schemas.openxmlformats.org/officeDocument/2006/relationships/hyperlink" Target="http://t.me/a_abaabdellah" TargetMode="External"/><Relationship Id="rId2805" Type="http://schemas.openxmlformats.org/officeDocument/2006/relationships/hyperlink" Target="https://www.instagram.com/chardahmassom/" TargetMode="External"/><Relationship Id="rId2806" Type="http://schemas.openxmlformats.org/officeDocument/2006/relationships/hyperlink" Target="http://t.me/chardahmassom" TargetMode="External"/><Relationship Id="rId2807" Type="http://schemas.openxmlformats.org/officeDocument/2006/relationships/hyperlink" Target="https://www.instagram.com/fatemiun_mashhad313/" TargetMode="External"/><Relationship Id="rId2808" Type="http://schemas.openxmlformats.org/officeDocument/2006/relationships/hyperlink" Target="https://www.instagram.com/mohebaneali/" TargetMode="External"/><Relationship Id="rId2809" Type="http://schemas.openxmlformats.org/officeDocument/2006/relationships/hyperlink" Target="https://www.instagram.com/pooyeshparcham8/" TargetMode="External"/><Relationship Id="rId5071" Type="http://schemas.openxmlformats.org/officeDocument/2006/relationships/hyperlink" Target="https://www.instagram.com/reyhanatoanabiroodbar/" TargetMode="External"/><Relationship Id="rId5072" Type="http://schemas.openxmlformats.org/officeDocument/2006/relationships/hyperlink" Target="https://www.instagram.com/beyragholhosain/" TargetMode="External"/><Relationship Id="rId5070" Type="http://schemas.openxmlformats.org/officeDocument/2006/relationships/hyperlink" Target="https://eitaa.com/yalesaratalhoseinanar" TargetMode="External"/><Relationship Id="rId5075" Type="http://schemas.openxmlformats.org/officeDocument/2006/relationships/hyperlink" Target="https://www.instagram.com/majma_mahdiyeh_sirjan/" TargetMode="External"/><Relationship Id="rId5076" Type="http://schemas.openxmlformats.org/officeDocument/2006/relationships/hyperlink" Target="http://t.me/majma_mahdiyeh_sirjan" TargetMode="External"/><Relationship Id="rId5073" Type="http://schemas.openxmlformats.org/officeDocument/2006/relationships/hyperlink" Target="https://eitaa.com/valaeiyan" TargetMode="External"/><Relationship Id="rId5074" Type="http://schemas.openxmlformats.org/officeDocument/2006/relationships/hyperlink" Target="https://www.instagram.com/mohebolreza__bam/" TargetMode="External"/><Relationship Id="rId5079" Type="http://schemas.openxmlformats.org/officeDocument/2006/relationships/hyperlink" Target="https://www.instagram.com/heyatreza/" TargetMode="External"/><Relationship Id="rId5077" Type="http://schemas.openxmlformats.org/officeDocument/2006/relationships/hyperlink" Target="https://www.instagram.com/ansar_srj/" TargetMode="External"/><Relationship Id="rId5078" Type="http://schemas.openxmlformats.org/officeDocument/2006/relationships/hyperlink" Target="https://www.instagram.com/yavaran_kerman/" TargetMode="External"/><Relationship Id="rId5060" Type="http://schemas.openxmlformats.org/officeDocument/2006/relationships/hyperlink" Target="https://www.instagram.com/heiat_hazrat_roghaye_/" TargetMode="External"/><Relationship Id="rId6391" Type="http://schemas.openxmlformats.org/officeDocument/2006/relationships/hyperlink" Target="https://eitaa.com/beytolheydar_zahedan" TargetMode="External"/><Relationship Id="rId5061" Type="http://schemas.openxmlformats.org/officeDocument/2006/relationships/hyperlink" Target="https://eitaa.com/HeyateHazrateOmmulMasaeb" TargetMode="External"/><Relationship Id="rId6392" Type="http://schemas.openxmlformats.org/officeDocument/2006/relationships/hyperlink" Target="https://eitaa.com/ashaboshohada_sb" TargetMode="External"/><Relationship Id="rId6390" Type="http://schemas.openxmlformats.org/officeDocument/2006/relationships/hyperlink" Target="https://www.instagram.com/beytolheydar_zahedan" TargetMode="External"/><Relationship Id="rId5064" Type="http://schemas.openxmlformats.org/officeDocument/2006/relationships/hyperlink" Target="https://www.instagram.com/khademreza_resane/" TargetMode="External"/><Relationship Id="rId6395" Type="http://schemas.openxmlformats.org/officeDocument/2006/relationships/hyperlink" Target="https://www.instagram.com/h_mohbin_ahle_beyt/" TargetMode="External"/><Relationship Id="rId5065" Type="http://schemas.openxmlformats.org/officeDocument/2006/relationships/hyperlink" Target="https://www.instagram.com/heiat.abaabdelah/" TargetMode="External"/><Relationship Id="rId6396" Type="http://schemas.openxmlformats.org/officeDocument/2006/relationships/hyperlink" Target="https://www.instagram.com/bytolmahdi/" TargetMode="External"/><Relationship Id="rId5062" Type="http://schemas.openxmlformats.org/officeDocument/2006/relationships/hyperlink" Target="https://www.instagram.com/heiate.al_yassin/" TargetMode="External"/><Relationship Id="rId6393" Type="http://schemas.openxmlformats.org/officeDocument/2006/relationships/hyperlink" Target="https://splus.ir/heyat_zahak" TargetMode="External"/><Relationship Id="rId5063" Type="http://schemas.openxmlformats.org/officeDocument/2006/relationships/hyperlink" Target="https://www.instagram.com/heiat_abolfazl_kerman/" TargetMode="External"/><Relationship Id="rId6394" Type="http://schemas.openxmlformats.org/officeDocument/2006/relationships/hyperlink" Target="https://www.instagram.com/hheydarkarar/" TargetMode="External"/><Relationship Id="rId5068" Type="http://schemas.openxmlformats.org/officeDocument/2006/relationships/hyperlink" Target="https://www.instagram.com/baghiyatallah_59/" TargetMode="External"/><Relationship Id="rId6399" Type="http://schemas.openxmlformats.org/officeDocument/2006/relationships/hyperlink" Target="https://www.instagram.com/heyaat.14masoum/" TargetMode="External"/><Relationship Id="rId5069" Type="http://schemas.openxmlformats.org/officeDocument/2006/relationships/hyperlink" Target="https://eitaa.com/Mahfelalghamerafsanjan" TargetMode="External"/><Relationship Id="rId5066" Type="http://schemas.openxmlformats.org/officeDocument/2006/relationships/hyperlink" Target="https://www.instagram.com/zabihkerman/" TargetMode="External"/><Relationship Id="rId6397" Type="http://schemas.openxmlformats.org/officeDocument/2006/relationships/hyperlink" Target="https://www.instagram.com/heiat_moslem_zahedan/" TargetMode="External"/><Relationship Id="rId5067" Type="http://schemas.openxmlformats.org/officeDocument/2006/relationships/hyperlink" Target="http://t.me/zabihkerman" TargetMode="External"/><Relationship Id="rId6398" Type="http://schemas.openxmlformats.org/officeDocument/2006/relationships/hyperlink" Target="https://www.instagram.com/moheban_panjtan/" TargetMode="External"/><Relationship Id="rId1576" Type="http://schemas.openxmlformats.org/officeDocument/2006/relationships/hyperlink" Target="https://www.instagram.com/seyed_mohamad_javadii/" TargetMode="External"/><Relationship Id="rId1577" Type="http://schemas.openxmlformats.org/officeDocument/2006/relationships/hyperlink" Target="https://www.instagram.com/mahmmum_ir" TargetMode="External"/><Relationship Id="rId1578" Type="http://schemas.openxmlformats.org/officeDocument/2006/relationships/hyperlink" Target="https://eitaa.com/mahmum_ir" TargetMode="External"/><Relationship Id="rId1579" Type="http://schemas.openxmlformats.org/officeDocument/2006/relationships/hyperlink" Target="https://www.instagram.com/zhoolide/" TargetMode="External"/><Relationship Id="rId987" Type="http://schemas.openxmlformats.org/officeDocument/2006/relationships/hyperlink" Target="https://www.instagram.com/emam_hasan18/" TargetMode="External"/><Relationship Id="rId986" Type="http://schemas.openxmlformats.org/officeDocument/2006/relationships/hyperlink" Target="http://t.me/seyde_zeynab69" TargetMode="External"/><Relationship Id="rId985" Type="http://schemas.openxmlformats.org/officeDocument/2006/relationships/hyperlink" Target="https://www.instagram.com/seyde_zeynab69/" TargetMode="External"/><Relationship Id="rId984" Type="http://schemas.openxmlformats.org/officeDocument/2006/relationships/hyperlink" Target="https://eitaa.com/rroze_213" TargetMode="External"/><Relationship Id="rId989" Type="http://schemas.openxmlformats.org/officeDocument/2006/relationships/hyperlink" Target="https://www.instagram.com/deldadeganroghaye/" TargetMode="External"/><Relationship Id="rId988" Type="http://schemas.openxmlformats.org/officeDocument/2006/relationships/hyperlink" Target="http://t.me/heiat_emam_hasan" TargetMode="External"/><Relationship Id="rId1570" Type="http://schemas.openxmlformats.org/officeDocument/2006/relationships/hyperlink" Target="https://www.instagram.com/hamid.dadvandi/" TargetMode="External"/><Relationship Id="rId1571" Type="http://schemas.openxmlformats.org/officeDocument/2006/relationships/hyperlink" Target="https://www.instagram.com/haniftaherii" TargetMode="External"/><Relationship Id="rId983" Type="http://schemas.openxmlformats.org/officeDocument/2006/relationships/hyperlink" Target="https://www.instagram.com/hanif.sch.ir/" TargetMode="External"/><Relationship Id="rId1572" Type="http://schemas.openxmlformats.org/officeDocument/2006/relationships/hyperlink" Target="https://www.youtube.com/HanifTaheri" TargetMode="External"/><Relationship Id="rId982" Type="http://schemas.openxmlformats.org/officeDocument/2006/relationships/hyperlink" Target="https://www.instagram.com/rezvanorg_ir/" TargetMode="External"/><Relationship Id="rId1573" Type="http://schemas.openxmlformats.org/officeDocument/2006/relationships/hyperlink" Target="https://www.instagram.com/seyedali_momeni/" TargetMode="External"/><Relationship Id="rId981" Type="http://schemas.openxmlformats.org/officeDocument/2006/relationships/hyperlink" Target="http://tlgrm.me/ansar_83" TargetMode="External"/><Relationship Id="rId1574" Type="http://schemas.openxmlformats.org/officeDocument/2006/relationships/hyperlink" Target="https://www.instagram.com/banifatemeh/" TargetMode="External"/><Relationship Id="rId980" Type="http://schemas.openxmlformats.org/officeDocument/2006/relationships/hyperlink" Target="https://www.instagram.com/ansar_83/" TargetMode="External"/><Relationship Id="rId1575" Type="http://schemas.openxmlformats.org/officeDocument/2006/relationships/hyperlink" Target="https://www.youtube.com/@seyedmajidbanifatemeh6163" TargetMode="External"/><Relationship Id="rId1565" Type="http://schemas.openxmlformats.org/officeDocument/2006/relationships/hyperlink" Target="https://hoseinsotoodeh.ir/" TargetMode="External"/><Relationship Id="rId2896" Type="http://schemas.openxmlformats.org/officeDocument/2006/relationships/hyperlink" Target="https://www.instagram.com/faezoun_tabriz/" TargetMode="External"/><Relationship Id="rId1566" Type="http://schemas.openxmlformats.org/officeDocument/2006/relationships/hyperlink" Target="https://www.instagram.com/arash.pilehvar/" TargetMode="External"/><Relationship Id="rId2897" Type="http://schemas.openxmlformats.org/officeDocument/2006/relationships/hyperlink" Target="https://www.instagram.com/bageriyetabriz/channel/" TargetMode="External"/><Relationship Id="rId1567" Type="http://schemas.openxmlformats.org/officeDocument/2006/relationships/hyperlink" Target="https://www.instagram.com/abdolahad.ghadami/" TargetMode="External"/><Relationship Id="rId2898" Type="http://schemas.openxmlformats.org/officeDocument/2006/relationships/hyperlink" Target="https://www.instagram.com/shahzade.aliasghar.tabriz/" TargetMode="External"/><Relationship Id="rId1568" Type="http://schemas.openxmlformats.org/officeDocument/2006/relationships/hyperlink" Target="https://www.instagram.com/tasooa.ir" TargetMode="External"/><Relationship Id="rId2899" Type="http://schemas.openxmlformats.org/officeDocument/2006/relationships/hyperlink" Target="http://t.me/shahzadealiasgar" TargetMode="External"/><Relationship Id="rId1569" Type="http://schemas.openxmlformats.org/officeDocument/2006/relationships/hyperlink" Target="https://www.instagram.com/javadheydaari/" TargetMode="External"/><Relationship Id="rId976" Type="http://schemas.openxmlformats.org/officeDocument/2006/relationships/hyperlink" Target="https://www.instagram.com/moheban.yousefzahra/" TargetMode="External"/><Relationship Id="rId975" Type="http://schemas.openxmlformats.org/officeDocument/2006/relationships/hyperlink" Target="http://t.me/eheyat_marasemat" TargetMode="External"/><Relationship Id="rId974" Type="http://schemas.openxmlformats.org/officeDocument/2006/relationships/hyperlink" Target="https://www.instagram.com/heyat_razmandegan_eslam/" TargetMode="External"/><Relationship Id="rId973" Type="http://schemas.openxmlformats.org/officeDocument/2006/relationships/hyperlink" Target="https://www.instagram.com/hm14masum/" TargetMode="External"/><Relationship Id="rId979" Type="http://schemas.openxmlformats.org/officeDocument/2006/relationships/hyperlink" Target="https://www.instagram.com/asheghan.hossein133/" TargetMode="External"/><Relationship Id="rId978" Type="http://schemas.openxmlformats.org/officeDocument/2006/relationships/hyperlink" Target="https://www.instagram.com/jahadibeytolzahra/" TargetMode="External"/><Relationship Id="rId977" Type="http://schemas.openxmlformats.org/officeDocument/2006/relationships/hyperlink" Target="https://www.instagram.com/moheban_emam_mojta/" TargetMode="External"/><Relationship Id="rId2890" Type="http://schemas.openxmlformats.org/officeDocument/2006/relationships/hyperlink" Target="https://www.instagram.com/ansarolfateme/" TargetMode="External"/><Relationship Id="rId1560" Type="http://schemas.openxmlformats.org/officeDocument/2006/relationships/hyperlink" Target="https://www.instagram.com/rezahelaliofficial" TargetMode="External"/><Relationship Id="rId2891" Type="http://schemas.openxmlformats.org/officeDocument/2006/relationships/hyperlink" Target="https://www.instagram.com/ziarat_ashura_tabriz/" TargetMode="External"/><Relationship Id="rId972" Type="http://schemas.openxmlformats.org/officeDocument/2006/relationships/hyperlink" Target="https://www.instagram.com/heiat_mohsenozahra/" TargetMode="External"/><Relationship Id="rId1561" Type="http://schemas.openxmlformats.org/officeDocument/2006/relationships/hyperlink" Target="http://t.me/helaliabdolreza" TargetMode="External"/><Relationship Id="rId2892" Type="http://schemas.openxmlformats.org/officeDocument/2006/relationships/hyperlink" Target="https://www.instagram.com/modafana_haram_hzrata_zaynab/" TargetMode="External"/><Relationship Id="rId971" Type="http://schemas.openxmlformats.org/officeDocument/2006/relationships/hyperlink" Target="https://eitaa.com/Sedighe_info" TargetMode="External"/><Relationship Id="rId1562" Type="http://schemas.openxmlformats.org/officeDocument/2006/relationships/hyperlink" Target="https://www.instagram.com/hosein.sotoodeh/" TargetMode="External"/><Relationship Id="rId2893" Type="http://schemas.openxmlformats.org/officeDocument/2006/relationships/hyperlink" Target="https://www.instagram.com/noorolhossein_ir/" TargetMode="External"/><Relationship Id="rId970" Type="http://schemas.openxmlformats.org/officeDocument/2006/relationships/hyperlink" Target="https://www.instagram.com/heiatefatemi/" TargetMode="External"/><Relationship Id="rId1563" Type="http://schemas.openxmlformats.org/officeDocument/2006/relationships/hyperlink" Target="http://t.me/hoseinsotude" TargetMode="External"/><Relationship Id="rId2894" Type="http://schemas.openxmlformats.org/officeDocument/2006/relationships/hyperlink" Target="https://www.instagram.com/gabas313/" TargetMode="External"/><Relationship Id="rId1564" Type="http://schemas.openxmlformats.org/officeDocument/2006/relationships/hyperlink" Target="https://www.youtube.com/@HosseinSotoodeh1" TargetMode="External"/><Relationship Id="rId2895" Type="http://schemas.openxmlformats.org/officeDocument/2006/relationships/hyperlink" Target="http://t.me/gabas313" TargetMode="External"/><Relationship Id="rId1598" Type="http://schemas.openxmlformats.org/officeDocument/2006/relationships/hyperlink" Target="https://www.instagram.com/hamedkashani__/" TargetMode="External"/><Relationship Id="rId1599" Type="http://schemas.openxmlformats.org/officeDocument/2006/relationships/hyperlink" Target="https://t.me/kashani1395" TargetMode="External"/><Relationship Id="rId1590" Type="http://schemas.openxmlformats.org/officeDocument/2006/relationships/hyperlink" Target="https://t.me/fares_ir" TargetMode="External"/><Relationship Id="rId1591" Type="http://schemas.openxmlformats.org/officeDocument/2006/relationships/hyperlink" Target="https://eitaa.com/Fares_ir" TargetMode="External"/><Relationship Id="rId1592" Type="http://schemas.openxmlformats.org/officeDocument/2006/relationships/hyperlink" Target="https://www.fares.ir" TargetMode="External"/><Relationship Id="rId1593" Type="http://schemas.openxmlformats.org/officeDocument/2006/relationships/hyperlink" Target="https://www.instagram.com/fayyazbakhsh_org/" TargetMode="External"/><Relationship Id="rId1594" Type="http://schemas.openxmlformats.org/officeDocument/2006/relationships/hyperlink" Target="https://t.me/Jelvehnooralavi" TargetMode="External"/><Relationship Id="rId1595" Type="http://schemas.openxmlformats.org/officeDocument/2006/relationships/hyperlink" Target="https://eitaa.com/Jelvehnooralavi" TargetMode="External"/><Relationship Id="rId1596" Type="http://schemas.openxmlformats.org/officeDocument/2006/relationships/hyperlink" Target="https://ble.ir/Jelvehnooralavi" TargetMode="External"/><Relationship Id="rId1597" Type="http://schemas.openxmlformats.org/officeDocument/2006/relationships/hyperlink" Target="https://www.jelveh.org/" TargetMode="External"/><Relationship Id="rId1587" Type="http://schemas.openxmlformats.org/officeDocument/2006/relationships/hyperlink" Target="https://www.instagram.com/nariman__panahi" TargetMode="External"/><Relationship Id="rId1588" Type="http://schemas.openxmlformats.org/officeDocument/2006/relationships/hyperlink" Target="https://www.youtube.com/@nariman__panahi" TargetMode="External"/><Relationship Id="rId1589" Type="http://schemas.openxmlformats.org/officeDocument/2006/relationships/hyperlink" Target="https://www.instagram.com/alavitehrani_ir/" TargetMode="External"/><Relationship Id="rId998" Type="http://schemas.openxmlformats.org/officeDocument/2006/relationships/hyperlink" Target="https://www.instagram.com/heat.mohebbanrogaey1387/" TargetMode="External"/><Relationship Id="rId997" Type="http://schemas.openxmlformats.org/officeDocument/2006/relationships/hyperlink" Target="https://www.instagram.com/ghaem1399/" TargetMode="External"/><Relationship Id="rId996" Type="http://schemas.openxmlformats.org/officeDocument/2006/relationships/hyperlink" Target="http://t.me/mohebbanolabbas135" TargetMode="External"/><Relationship Id="rId995" Type="http://schemas.openxmlformats.org/officeDocument/2006/relationships/hyperlink" Target="https://www.instagram.com/mohebbanolabbas135/" TargetMode="External"/><Relationship Id="rId999" Type="http://schemas.openxmlformats.org/officeDocument/2006/relationships/hyperlink" Target="https://www.instagram.com/montazeranmedia/" TargetMode="External"/><Relationship Id="rId990" Type="http://schemas.openxmlformats.org/officeDocument/2006/relationships/hyperlink" Target="https://www.instagram.com/moheban_ali/" TargetMode="External"/><Relationship Id="rId1580" Type="http://schemas.openxmlformats.org/officeDocument/2006/relationships/hyperlink" Target="https://www.instagram.com/alijahanbakhsh___/" TargetMode="External"/><Relationship Id="rId1581" Type="http://schemas.openxmlformats.org/officeDocument/2006/relationships/hyperlink" Target="https://www.instagram.com/ali_aliyan315/" TargetMode="External"/><Relationship Id="rId1582" Type="http://schemas.openxmlformats.org/officeDocument/2006/relationships/hyperlink" Target="https://www.instagram.com/hajmohsentaheri.official" TargetMode="External"/><Relationship Id="rId994" Type="http://schemas.openxmlformats.org/officeDocument/2006/relationships/hyperlink" Target="http://eitaa.com/beyt_olabas" TargetMode="External"/><Relationship Id="rId1583" Type="http://schemas.openxmlformats.org/officeDocument/2006/relationships/hyperlink" Target="https://www.instagram.com/mohamadjavadakbari69/" TargetMode="External"/><Relationship Id="rId993" Type="http://schemas.openxmlformats.org/officeDocument/2006/relationships/hyperlink" Target="https://www.instagram.com/beyt.olabas" TargetMode="External"/><Relationship Id="rId1584" Type="http://schemas.openxmlformats.org/officeDocument/2006/relationships/hyperlink" Target="https://www.instagram.com/mohammad.hasan.feizi/" TargetMode="External"/><Relationship Id="rId992" Type="http://schemas.openxmlformats.org/officeDocument/2006/relationships/hyperlink" Target="https://www.instagram.com/mhbfatematozahra/" TargetMode="External"/><Relationship Id="rId1585" Type="http://schemas.openxmlformats.org/officeDocument/2006/relationships/hyperlink" Target="https://www.instagram.com/mortezataheri110/" TargetMode="External"/><Relationship Id="rId991" Type="http://schemas.openxmlformats.org/officeDocument/2006/relationships/hyperlink" Target="https://www.instagram.com/mohebban_rouhollah/" TargetMode="External"/><Relationship Id="rId1586" Type="http://schemas.openxmlformats.org/officeDocument/2006/relationships/hyperlink" Target="https://www.instagram.com/hoseyn_bakhtyari_313/" TargetMode="External"/><Relationship Id="rId1532" Type="http://schemas.openxmlformats.org/officeDocument/2006/relationships/hyperlink" Target="https://www.instagram.com/ehsansafari.ir/" TargetMode="External"/><Relationship Id="rId2863" Type="http://schemas.openxmlformats.org/officeDocument/2006/relationships/hyperlink" Target="https://www.instagram.com/abna.alhasan.tabriz/" TargetMode="External"/><Relationship Id="rId1533" Type="http://schemas.openxmlformats.org/officeDocument/2006/relationships/hyperlink" Target="https://t.me/safari_ehsan" TargetMode="External"/><Relationship Id="rId2864" Type="http://schemas.openxmlformats.org/officeDocument/2006/relationships/hyperlink" Target="https://www.instagram.com/hamze_seyad_alshohada/" TargetMode="External"/><Relationship Id="rId1534" Type="http://schemas.openxmlformats.org/officeDocument/2006/relationships/hyperlink" Target="https://eitaa.com/ehsan_safarii123" TargetMode="External"/><Relationship Id="rId2865" Type="http://schemas.openxmlformats.org/officeDocument/2006/relationships/hyperlink" Target="http://eitaa.com/hamze_seyedalshohada" TargetMode="External"/><Relationship Id="rId1535" Type="http://schemas.openxmlformats.org/officeDocument/2006/relationships/hyperlink" Target="https://www.instagram.com/seyyedamirhoseini/" TargetMode="External"/><Relationship Id="rId2866" Type="http://schemas.openxmlformats.org/officeDocument/2006/relationships/hyperlink" Target="https://www.instagram.com/heat_shohadaye_karbala_nobar/" TargetMode="External"/><Relationship Id="rId1536" Type="http://schemas.openxmlformats.org/officeDocument/2006/relationships/hyperlink" Target="https://t.me/sameh6969" TargetMode="External"/><Relationship Id="rId2867" Type="http://schemas.openxmlformats.org/officeDocument/2006/relationships/hyperlink" Target="http://t.me/Shohadayekarbala_Ht" TargetMode="External"/><Relationship Id="rId1537" Type="http://schemas.openxmlformats.org/officeDocument/2006/relationships/hyperlink" Target="https://www.instagram.com/seyyedamirhoseini_official/" TargetMode="External"/><Relationship Id="rId2868" Type="http://schemas.openxmlformats.org/officeDocument/2006/relationships/hyperlink" Target="https://www.instagram.com/mokabaliakbar/" TargetMode="External"/><Relationship Id="rId1538" Type="http://schemas.openxmlformats.org/officeDocument/2006/relationships/hyperlink" Target="https://www.instagram.com/abolfazl.bakhtiyari/" TargetMode="External"/><Relationship Id="rId2869" Type="http://schemas.openxmlformats.org/officeDocument/2006/relationships/hyperlink" Target="https://t.me/s/aliakbartabriz1" TargetMode="External"/><Relationship Id="rId1539" Type="http://schemas.openxmlformats.org/officeDocument/2006/relationships/hyperlink" Target="https://t.me/serajalhosein" TargetMode="External"/><Relationship Id="rId949" Type="http://schemas.openxmlformats.org/officeDocument/2006/relationships/hyperlink" Target="https://msagheb.ir/" TargetMode="External"/><Relationship Id="rId948" Type="http://schemas.openxmlformats.org/officeDocument/2006/relationships/hyperlink" Target="https://www.instagram.com/msagheb.ir/" TargetMode="External"/><Relationship Id="rId943" Type="http://schemas.openxmlformats.org/officeDocument/2006/relationships/hyperlink" Target="https://www.instagram.com/hkt_ir/" TargetMode="External"/><Relationship Id="rId942" Type="http://schemas.openxmlformats.org/officeDocument/2006/relationships/hyperlink" Target="https://www.instagram.com/heyate_ghasem.benhasan/" TargetMode="External"/><Relationship Id="rId941" Type="http://schemas.openxmlformats.org/officeDocument/2006/relationships/hyperlink" Target="http://t.me/heyatalzahra" TargetMode="External"/><Relationship Id="rId940" Type="http://schemas.openxmlformats.org/officeDocument/2006/relationships/hyperlink" Target="https://www.instagram.com/mokebalzahra/" TargetMode="External"/><Relationship Id="rId947" Type="http://schemas.openxmlformats.org/officeDocument/2006/relationships/hyperlink" Target="http://eitaa.com/mohebban_nontazeran" TargetMode="External"/><Relationship Id="rId946" Type="http://schemas.openxmlformats.org/officeDocument/2006/relationships/hyperlink" Target="https://www.instagram.com/moheban_elhasin_info/" TargetMode="External"/><Relationship Id="rId945" Type="http://schemas.openxmlformats.org/officeDocument/2006/relationships/hyperlink" Target="https://www.instagram.com/samarra.12/" TargetMode="External"/><Relationship Id="rId944" Type="http://schemas.openxmlformats.org/officeDocument/2006/relationships/hyperlink" Target="http://tlgrm.me/hkt_ir" TargetMode="External"/><Relationship Id="rId2860" Type="http://schemas.openxmlformats.org/officeDocument/2006/relationships/hyperlink" Target="https://www.instagram.com/mokabearabebanihashem/" TargetMode="External"/><Relationship Id="rId1530" Type="http://schemas.openxmlformats.org/officeDocument/2006/relationships/hyperlink" Target="https://t.me/saajjad_mohammadi" TargetMode="External"/><Relationship Id="rId2861" Type="http://schemas.openxmlformats.org/officeDocument/2006/relationships/hyperlink" Target="https://www.instagram.com/sinezanan_ir/" TargetMode="External"/><Relationship Id="rId1531" Type="http://schemas.openxmlformats.org/officeDocument/2006/relationships/hyperlink" Target="https://www.youtube.com/@sajjadmohammadi1" TargetMode="External"/><Relationship Id="rId2862" Type="http://schemas.openxmlformats.org/officeDocument/2006/relationships/hyperlink" Target="https://www.instagram.com/kheyme_roghayeh/" TargetMode="External"/><Relationship Id="rId1521" Type="http://schemas.openxmlformats.org/officeDocument/2006/relationships/hyperlink" Target="https://www.instagram.com/komeil128/" TargetMode="External"/><Relationship Id="rId2852" Type="http://schemas.openxmlformats.org/officeDocument/2006/relationships/hyperlink" Target="https://www.instagram.com/hazratfatemezahrabarogiyan/" TargetMode="External"/><Relationship Id="rId1522" Type="http://schemas.openxmlformats.org/officeDocument/2006/relationships/hyperlink" Target="https://t.me/ravaq" TargetMode="External"/><Relationship Id="rId2853" Type="http://schemas.openxmlformats.org/officeDocument/2006/relationships/hyperlink" Target="https://www.instagram.com/maktabozzahra_tabriz/" TargetMode="External"/><Relationship Id="rId1523" Type="http://schemas.openxmlformats.org/officeDocument/2006/relationships/hyperlink" Target="https://eitaa.com/ravaq_eitaa" TargetMode="External"/><Relationship Id="rId2854" Type="http://schemas.openxmlformats.org/officeDocument/2006/relationships/hyperlink" Target="https://www.instagram.com/heyat14masoum.tabriz/" TargetMode="External"/><Relationship Id="rId1524" Type="http://schemas.openxmlformats.org/officeDocument/2006/relationships/hyperlink" Target="https://www.instagram.com/mohamadkomeil_official/" TargetMode="External"/><Relationship Id="rId2855" Type="http://schemas.openxmlformats.org/officeDocument/2006/relationships/hyperlink" Target="https://www.instagram.com/arab_kuchebag_tabriz/" TargetMode="External"/><Relationship Id="rId1525" Type="http://schemas.openxmlformats.org/officeDocument/2006/relationships/hyperlink" Target="https://www.instagram.com/rohollahbahmani/" TargetMode="External"/><Relationship Id="rId2856" Type="http://schemas.openxmlformats.org/officeDocument/2006/relationships/hyperlink" Target="https://www.instagram.com/heyatealzahrayetabriz/" TargetMode="External"/><Relationship Id="rId1526" Type="http://schemas.openxmlformats.org/officeDocument/2006/relationships/hyperlink" Target="https://t.me/rohollahbahmani" TargetMode="External"/><Relationship Id="rId2857" Type="http://schemas.openxmlformats.org/officeDocument/2006/relationships/hyperlink" Target="https://www.instagram.com/mosabnjafar.tbz/" TargetMode="External"/><Relationship Id="rId1527" Type="http://schemas.openxmlformats.org/officeDocument/2006/relationships/hyperlink" Target="https://www.instagram.com/mahdi_mobini_poor/" TargetMode="External"/><Relationship Id="rId2858" Type="http://schemas.openxmlformats.org/officeDocument/2006/relationships/hyperlink" Target="https://www.instagram.com/h_mesbaholshia/" TargetMode="External"/><Relationship Id="rId1528" Type="http://schemas.openxmlformats.org/officeDocument/2006/relationships/hyperlink" Target="https://t.me/rozeh135" TargetMode="External"/><Relationship Id="rId2859" Type="http://schemas.openxmlformats.org/officeDocument/2006/relationships/hyperlink" Target="http://rubika.ir/mesbaholshia" TargetMode="External"/><Relationship Id="rId1529" Type="http://schemas.openxmlformats.org/officeDocument/2006/relationships/hyperlink" Target="https://www.instagram.com/sajjad_mohammadii/" TargetMode="External"/><Relationship Id="rId939" Type="http://schemas.openxmlformats.org/officeDocument/2006/relationships/hyperlink" Target="http://telegram.me/mohsenfeyzi" TargetMode="External"/><Relationship Id="rId938" Type="http://schemas.openxmlformats.org/officeDocument/2006/relationships/hyperlink" Target="https://www.instagram.com/ansaralzahra128/" TargetMode="External"/><Relationship Id="rId937" Type="http://schemas.openxmlformats.org/officeDocument/2006/relationships/hyperlink" Target="https://www.instagram.com/heyat_motevaselin_ghamar/" TargetMode="External"/><Relationship Id="rId932" Type="http://schemas.openxmlformats.org/officeDocument/2006/relationships/hyperlink" Target="http://moheban244.ir" TargetMode="External"/><Relationship Id="rId931" Type="http://schemas.openxmlformats.org/officeDocument/2006/relationships/hyperlink" Target="https://www.instagram.com/moheban244" TargetMode="External"/><Relationship Id="rId930" Type="http://schemas.openxmlformats.org/officeDocument/2006/relationships/hyperlink" Target="http://t.me/heyatMJ" TargetMode="External"/><Relationship Id="rId936" Type="http://schemas.openxmlformats.org/officeDocument/2006/relationships/hyperlink" Target="https://www.instagram.com/a.i.hossein/" TargetMode="External"/><Relationship Id="rId935" Type="http://schemas.openxmlformats.org/officeDocument/2006/relationships/hyperlink" Target="https://www.instagram.com/khoddamolmahdi_313/" TargetMode="External"/><Relationship Id="rId934" Type="http://schemas.openxmlformats.org/officeDocument/2006/relationships/hyperlink" Target="https://www.instagram.com/lasarat_alhoseein/" TargetMode="External"/><Relationship Id="rId933" Type="http://schemas.openxmlformats.org/officeDocument/2006/relationships/hyperlink" Target="https://www.instagram.com/welayat_ir/" TargetMode="External"/><Relationship Id="rId2850" Type="http://schemas.openxmlformats.org/officeDocument/2006/relationships/hyperlink" Target="https://www.instagram.com/heyat_razmandegan_osku" TargetMode="External"/><Relationship Id="rId1520" Type="http://schemas.openxmlformats.org/officeDocument/2006/relationships/hyperlink" Target="https://www.youtube.com/@payamkiani" TargetMode="External"/><Relationship Id="rId2851" Type="http://schemas.openxmlformats.org/officeDocument/2006/relationships/hyperlink" Target="https://eitaa.com/heyat_razmandegan_osku1" TargetMode="External"/><Relationship Id="rId1554" Type="http://schemas.openxmlformats.org/officeDocument/2006/relationships/hyperlink" Target="https://www.instagram.com/hajmansourarzi/" TargetMode="External"/><Relationship Id="rId2885" Type="http://schemas.openxmlformats.org/officeDocument/2006/relationships/hyperlink" Target="https://www.instagram.com/heyatolrogaye/" TargetMode="External"/><Relationship Id="rId1555" Type="http://schemas.openxmlformats.org/officeDocument/2006/relationships/hyperlink" Target="http://t.me/hajmansourarzi" TargetMode="External"/><Relationship Id="rId2886" Type="http://schemas.openxmlformats.org/officeDocument/2006/relationships/hyperlink" Target="http://t.me/heyatolrogaye" TargetMode="External"/><Relationship Id="rId1556" Type="http://schemas.openxmlformats.org/officeDocument/2006/relationships/hyperlink" Target="https://eitaa.com/hajmansourarzi" TargetMode="External"/><Relationship Id="rId2887" Type="http://schemas.openxmlformats.org/officeDocument/2006/relationships/hyperlink" Target="https://www.instagram.com/ansarolhadi_tabriz/" TargetMode="External"/><Relationship Id="rId1557" Type="http://schemas.openxmlformats.org/officeDocument/2006/relationships/hyperlink" Target="http://t.me/hajmohamadtaheri" TargetMode="External"/><Relationship Id="rId2888" Type="http://schemas.openxmlformats.org/officeDocument/2006/relationships/hyperlink" Target="http://t.me/ansarolhadi_tabriz" TargetMode="External"/><Relationship Id="rId1558" Type="http://schemas.openxmlformats.org/officeDocument/2006/relationships/hyperlink" Target="https://www.instagram.com/hajsaeidhadadian/" TargetMode="External"/><Relationship Id="rId2889" Type="http://schemas.openxmlformats.org/officeDocument/2006/relationships/hyperlink" Target="https://www.instagram.com/maktab_seyedolshohada/" TargetMode="External"/><Relationship Id="rId1559" Type="http://schemas.openxmlformats.org/officeDocument/2006/relationships/hyperlink" Target="http://t.me/heiat_razmandegan" TargetMode="External"/><Relationship Id="rId965" Type="http://schemas.openxmlformats.org/officeDocument/2006/relationships/hyperlink" Target="http://t.me/ansar_ol_Hossein" TargetMode="External"/><Relationship Id="rId964" Type="http://schemas.openxmlformats.org/officeDocument/2006/relationships/hyperlink" Target="https://www.instagram.com/ansarolhossein13/" TargetMode="External"/><Relationship Id="rId963" Type="http://schemas.openxmlformats.org/officeDocument/2006/relationships/hyperlink" Target="https://www.instagram.com/abalfazlieha_1398/" TargetMode="External"/><Relationship Id="rId962" Type="http://schemas.openxmlformats.org/officeDocument/2006/relationships/hyperlink" Target="https://www.instagram.com/heyat_phs/" TargetMode="External"/><Relationship Id="rId969" Type="http://schemas.openxmlformats.org/officeDocument/2006/relationships/hyperlink" Target="http://t.me/maktabolzahradoolab" TargetMode="External"/><Relationship Id="rId968" Type="http://schemas.openxmlformats.org/officeDocument/2006/relationships/hyperlink" Target="https://www.instagram.com/maktabolzahradoolab/" TargetMode="External"/><Relationship Id="rId967" Type="http://schemas.openxmlformats.org/officeDocument/2006/relationships/hyperlink" Target="https://www.instagram.com/khademin88/" TargetMode="External"/><Relationship Id="rId966" Type="http://schemas.openxmlformats.org/officeDocument/2006/relationships/hyperlink" Target="https://www.instagram.com/heyatjavanan.aliakbar/" TargetMode="External"/><Relationship Id="rId2880" Type="http://schemas.openxmlformats.org/officeDocument/2006/relationships/hyperlink" Target="https://www.instagram.com/ghasemiye_live/" TargetMode="External"/><Relationship Id="rId961" Type="http://schemas.openxmlformats.org/officeDocument/2006/relationships/hyperlink" Target="https://www.instagram.com/booria_info/" TargetMode="External"/><Relationship Id="rId1550" Type="http://schemas.openxmlformats.org/officeDocument/2006/relationships/hyperlink" Target="https://eitaa.com/tahmasbpour_ir" TargetMode="External"/><Relationship Id="rId2881" Type="http://schemas.openxmlformats.org/officeDocument/2006/relationships/hyperlink" Target="https://www.instagram.com/montazerane_moud/" TargetMode="External"/><Relationship Id="rId960" Type="http://schemas.openxmlformats.org/officeDocument/2006/relationships/hyperlink" Target="https://www.instagram.com/seydoshohada1353/" TargetMode="External"/><Relationship Id="rId1551" Type="http://schemas.openxmlformats.org/officeDocument/2006/relationships/hyperlink" Target="https://tahmasbpour.ir/" TargetMode="External"/><Relationship Id="rId2882" Type="http://schemas.openxmlformats.org/officeDocument/2006/relationships/hyperlink" Target="http://eitaa.com/montazerane_moud" TargetMode="External"/><Relationship Id="rId1552" Type="http://schemas.openxmlformats.org/officeDocument/2006/relationships/hyperlink" Target="https://www.instagram.com/sibsorkhi.official/" TargetMode="External"/><Relationship Id="rId2883" Type="http://schemas.openxmlformats.org/officeDocument/2006/relationships/hyperlink" Target="https://www.instagram.com/heyat.ashabalhosein.tabriz/" TargetMode="External"/><Relationship Id="rId1553" Type="http://schemas.openxmlformats.org/officeDocument/2006/relationships/hyperlink" Target="https://www.instagram.com/sibsorkhi.clips/" TargetMode="External"/><Relationship Id="rId2884" Type="http://schemas.openxmlformats.org/officeDocument/2006/relationships/hyperlink" Target="http://t.me/ashabalhoseintabriz" TargetMode="External"/><Relationship Id="rId1543" Type="http://schemas.openxmlformats.org/officeDocument/2006/relationships/hyperlink" Target="https://www.instagram.com/s.mohammadreza_hoseini/" TargetMode="External"/><Relationship Id="rId2874" Type="http://schemas.openxmlformats.org/officeDocument/2006/relationships/hyperlink" Target="https://www.instagram.com/tasnimsarallahh/" TargetMode="External"/><Relationship Id="rId1544" Type="http://schemas.openxmlformats.org/officeDocument/2006/relationships/hyperlink" Target="https://t.me/Seyedmohamadreza_hoseini" TargetMode="External"/><Relationship Id="rId2875" Type="http://schemas.openxmlformats.org/officeDocument/2006/relationships/hyperlink" Target="https://eitaa.com/tasnimsarallahh" TargetMode="External"/><Relationship Id="rId1545" Type="http://schemas.openxmlformats.org/officeDocument/2006/relationships/hyperlink" Target="https://www.instagram.com/smahdi_hoseini/" TargetMode="External"/><Relationship Id="rId2876" Type="http://schemas.openxmlformats.org/officeDocument/2006/relationships/hyperlink" Target="https://www.instagram.com/heyatolreza_/" TargetMode="External"/><Relationship Id="rId1546" Type="http://schemas.openxmlformats.org/officeDocument/2006/relationships/hyperlink" Target="https://t.me/Smahdi_hoseini" TargetMode="External"/><Relationship Id="rId2877" Type="http://schemas.openxmlformats.org/officeDocument/2006/relationships/hyperlink" Target="https://www.instagram.com/mokeb.beytolheydar/" TargetMode="External"/><Relationship Id="rId1547" Type="http://schemas.openxmlformats.org/officeDocument/2006/relationships/hyperlink" Target="https://eitaa.com/smahdi_hoseini_eitaa" TargetMode="External"/><Relationship Id="rId2878" Type="http://schemas.openxmlformats.org/officeDocument/2006/relationships/hyperlink" Target="https://www.instagram.com/heyat.honar/" TargetMode="External"/><Relationship Id="rId1548" Type="http://schemas.openxmlformats.org/officeDocument/2006/relationships/hyperlink" Target="https://www.instagram.com/tahmasbpour_abbas/" TargetMode="External"/><Relationship Id="rId2879" Type="http://schemas.openxmlformats.org/officeDocument/2006/relationships/hyperlink" Target="http://t.me/heyathonartabriz" TargetMode="External"/><Relationship Id="rId1549" Type="http://schemas.openxmlformats.org/officeDocument/2006/relationships/hyperlink" Target="https://t.me/tahmasbpour_ir" TargetMode="External"/><Relationship Id="rId959" Type="http://schemas.openxmlformats.org/officeDocument/2006/relationships/hyperlink" Target="http://tlgrm.in/mohebbin110" TargetMode="External"/><Relationship Id="rId954" Type="http://schemas.openxmlformats.org/officeDocument/2006/relationships/hyperlink" Target="http://t.me/heiatmohebbin213" TargetMode="External"/><Relationship Id="rId953" Type="http://schemas.openxmlformats.org/officeDocument/2006/relationships/hyperlink" Target="https://www.instagram.com/masjed_mohebbin/" TargetMode="External"/><Relationship Id="rId952" Type="http://schemas.openxmlformats.org/officeDocument/2006/relationships/hyperlink" Target="http://t.me/ghatilolabaraat" TargetMode="External"/><Relationship Id="rId951" Type="http://schemas.openxmlformats.org/officeDocument/2006/relationships/hyperlink" Target="https://www.instagram.com/ghatilolabaraat/" TargetMode="External"/><Relationship Id="rId958" Type="http://schemas.openxmlformats.org/officeDocument/2006/relationships/hyperlink" Target="https://www.instagram.com/mohebbin.110/" TargetMode="External"/><Relationship Id="rId957" Type="http://schemas.openxmlformats.org/officeDocument/2006/relationships/hyperlink" Target="http://eitaa.com/safiranzynab" TargetMode="External"/><Relationship Id="rId956" Type="http://schemas.openxmlformats.org/officeDocument/2006/relationships/hyperlink" Target="https://www.instagram.com/safiranzynab313/" TargetMode="External"/><Relationship Id="rId955" Type="http://schemas.openxmlformats.org/officeDocument/2006/relationships/hyperlink" Target="https://www.instagram.com/heyatenorolhoda/" TargetMode="External"/><Relationship Id="rId950" Type="http://schemas.openxmlformats.org/officeDocument/2006/relationships/hyperlink" Target="https://www.instagram.com/heiatmontazerin1370/" TargetMode="External"/><Relationship Id="rId2870" Type="http://schemas.openxmlformats.org/officeDocument/2006/relationships/hyperlink" Target="https://www.instagram.com/rayatolhossein_tabriz/" TargetMode="External"/><Relationship Id="rId1540" Type="http://schemas.openxmlformats.org/officeDocument/2006/relationships/hyperlink" Target="https://www.instagram.com/serajalhosein/" TargetMode="External"/><Relationship Id="rId2871" Type="http://schemas.openxmlformats.org/officeDocument/2006/relationships/hyperlink" Target="http://t.me/rayatolhossein_tabriz" TargetMode="External"/><Relationship Id="rId1541" Type="http://schemas.openxmlformats.org/officeDocument/2006/relationships/hyperlink" Target="https://www.instagram.com/seyedhojjat/" TargetMode="External"/><Relationship Id="rId2872" Type="http://schemas.openxmlformats.org/officeDocument/2006/relationships/hyperlink" Target="https://www.instagram.com/heyaat.mirchoopan/" TargetMode="External"/><Relationship Id="rId1542" Type="http://schemas.openxmlformats.org/officeDocument/2006/relationships/hyperlink" Target="https://t.me/seyedhojjat128" TargetMode="External"/><Relationship Id="rId2873" Type="http://schemas.openxmlformats.org/officeDocument/2006/relationships/hyperlink" Target="https://www.instagram.com/babolhosseintabriz/" TargetMode="External"/><Relationship Id="rId7717" Type="http://schemas.openxmlformats.org/officeDocument/2006/relationships/hyperlink" Target="https://www.instagram.com/h_baghiyatallah" TargetMode="External"/><Relationship Id="rId7716" Type="http://schemas.openxmlformats.org/officeDocument/2006/relationships/hyperlink" Target="https://eitaa.com/asheghanemahdi_chanel" TargetMode="External"/><Relationship Id="rId7715" Type="http://schemas.openxmlformats.org/officeDocument/2006/relationships/hyperlink" Target="https://www.instagram.com/asheghanemahdi_esfahan" TargetMode="External"/><Relationship Id="rId7714" Type="http://schemas.openxmlformats.org/officeDocument/2006/relationships/hyperlink" Target="https://eitaa.com/farzandan_ashura" TargetMode="External"/><Relationship Id="rId7719" Type="http://schemas.openxmlformats.org/officeDocument/2006/relationships/hyperlink" Target="https://eitaa.com/khodamnjf_313" TargetMode="External"/><Relationship Id="rId7718" Type="http://schemas.openxmlformats.org/officeDocument/2006/relationships/hyperlink" Target="https://www.instagram.com/khodamnjf_313" TargetMode="External"/><Relationship Id="rId7713" Type="http://schemas.openxmlformats.org/officeDocument/2006/relationships/hyperlink" Target="https://eitaa.com/basijemamreza313" TargetMode="External"/><Relationship Id="rId7712" Type="http://schemas.openxmlformats.org/officeDocument/2006/relationships/hyperlink" Target="https://www.instagram.com/ansaralmahdi1376" TargetMode="External"/><Relationship Id="rId7711" Type="http://schemas.openxmlformats.org/officeDocument/2006/relationships/hyperlink" Target="https://www.instagram.com/heyat_ghamar_banihashm" TargetMode="External"/><Relationship Id="rId7710" Type="http://schemas.openxmlformats.org/officeDocument/2006/relationships/hyperlink" Target="https://www.instagram.com/maktab_olhosein" TargetMode="External"/><Relationship Id="rId7706" Type="http://schemas.openxmlformats.org/officeDocument/2006/relationships/hyperlink" Target="https://www.instagram.com/hadiannaghi" TargetMode="External"/><Relationship Id="rId7705" Type="http://schemas.openxmlformats.org/officeDocument/2006/relationships/hyperlink" Target="https://eitaa.com/heiatoshagh" TargetMode="External"/><Relationship Id="rId7704" Type="http://schemas.openxmlformats.org/officeDocument/2006/relationships/hyperlink" Target="https://t.me/Heyat_Quran_Ahlebeyt" TargetMode="External"/><Relationship Id="rId7703" Type="http://schemas.openxmlformats.org/officeDocument/2006/relationships/hyperlink" Target="https://www.instagram.com/heyat_quran_ahlebeyt" TargetMode="External"/><Relationship Id="rId7709" Type="http://schemas.openxmlformats.org/officeDocument/2006/relationships/hyperlink" Target="https://eitaa.com/heiatmohebaneahlulbeit" TargetMode="External"/><Relationship Id="rId7708" Type="http://schemas.openxmlformats.org/officeDocument/2006/relationships/hyperlink" Target="https://eitaa.com/MasjedAlmahdiGolpa" TargetMode="External"/><Relationship Id="rId7707" Type="http://schemas.openxmlformats.org/officeDocument/2006/relationships/hyperlink" Target="https://t.me/hadiannaghi" TargetMode="External"/><Relationship Id="rId7702" Type="http://schemas.openxmlformats.org/officeDocument/2006/relationships/hyperlink" Target="https://www.instagram.com/monajat_online99" TargetMode="External"/><Relationship Id="rId7701" Type="http://schemas.openxmlformats.org/officeDocument/2006/relationships/hyperlink" Target="https://eitaa.com/heyatoreza_isf" TargetMode="External"/><Relationship Id="rId7700" Type="http://schemas.openxmlformats.org/officeDocument/2006/relationships/hyperlink" Target="https://t.me/heyatoreza_isf" TargetMode="External"/><Relationship Id="rId6407" Type="http://schemas.openxmlformats.org/officeDocument/2006/relationships/hyperlink" Target="https://www.instagram.com/heiat_yazahra_zahedan/" TargetMode="External"/><Relationship Id="rId7739" Type="http://schemas.openxmlformats.org/officeDocument/2006/relationships/hyperlink" Target="https://eitaa.com/ansaralmahdi1" TargetMode="External"/><Relationship Id="rId6408" Type="http://schemas.openxmlformats.org/officeDocument/2006/relationships/hyperlink" Target="https://www.instagram.com/boghe_seyedbagher/" TargetMode="External"/><Relationship Id="rId7738" Type="http://schemas.openxmlformats.org/officeDocument/2006/relationships/hyperlink" Target="https://www.instagram.com/ansar_almahdii_110" TargetMode="External"/><Relationship Id="rId6405" Type="http://schemas.openxmlformats.org/officeDocument/2006/relationships/hyperlink" Target="https://www.instagram.com/beit_zeinab_zahedan/" TargetMode="External"/><Relationship Id="rId7737" Type="http://schemas.openxmlformats.org/officeDocument/2006/relationships/hyperlink" Target="https://eitaa.com/sayyedmahdi8" TargetMode="External"/><Relationship Id="rId6406" Type="http://schemas.openxmlformats.org/officeDocument/2006/relationships/hyperlink" Target="http://t.me/Beit_Zeinab_Zahedan" TargetMode="External"/><Relationship Id="rId7736" Type="http://schemas.openxmlformats.org/officeDocument/2006/relationships/hyperlink" Target="https://t.me/haronieh" TargetMode="External"/><Relationship Id="rId6409" Type="http://schemas.openxmlformats.org/officeDocument/2006/relationships/hyperlink" Target="https://www.instagram.com/yava.ranmonjmoud313/" TargetMode="External"/><Relationship Id="rId7731" Type="http://schemas.openxmlformats.org/officeDocument/2006/relationships/hyperlink" Target="https://www.instagram.com/razmandegan_bh2023" TargetMode="External"/><Relationship Id="rId6400" Type="http://schemas.openxmlformats.org/officeDocument/2006/relationships/hyperlink" Target="https://www.instagram.com/ashaboshohada_sb" TargetMode="External"/><Relationship Id="rId7730" Type="http://schemas.openxmlformats.org/officeDocument/2006/relationships/hyperlink" Target="https://eitaa.com/mohebbinahlobeyt" TargetMode="External"/><Relationship Id="rId6403" Type="http://schemas.openxmlformats.org/officeDocument/2006/relationships/hyperlink" Target="https://www.instagram.com/masjed_emamhosein_zahedan/" TargetMode="External"/><Relationship Id="rId7735" Type="http://schemas.openxmlformats.org/officeDocument/2006/relationships/hyperlink" Target="https://www.instagram.com/haroniieh" TargetMode="External"/><Relationship Id="rId6404" Type="http://schemas.openxmlformats.org/officeDocument/2006/relationships/hyperlink" Target="http://eitaa.com/masjed_emamhosein_zahedan" TargetMode="External"/><Relationship Id="rId7734" Type="http://schemas.openxmlformats.org/officeDocument/2006/relationships/hyperlink" Target="https://eitaa.com/fatemeyunesf" TargetMode="External"/><Relationship Id="rId6401" Type="http://schemas.openxmlformats.org/officeDocument/2006/relationships/hyperlink" Target="http://t.me/ashaboshohada_sb" TargetMode="External"/><Relationship Id="rId7733" Type="http://schemas.openxmlformats.org/officeDocument/2006/relationships/hyperlink" Target="https://eitaa.com/razmandegan_bh" TargetMode="External"/><Relationship Id="rId6402" Type="http://schemas.openxmlformats.org/officeDocument/2006/relationships/hyperlink" Target="https://eitaa.com/ashaboshohada_sb" TargetMode="External"/><Relationship Id="rId7732" Type="http://schemas.openxmlformats.org/officeDocument/2006/relationships/hyperlink" Target="https://t.me/razmandegan_bh" TargetMode="External"/><Relationship Id="rId7728" Type="http://schemas.openxmlformats.org/officeDocument/2006/relationships/hyperlink" Target="https://www.instagram.com/mohebbin_ahlobeyt" TargetMode="External"/><Relationship Id="rId7727" Type="http://schemas.openxmlformats.org/officeDocument/2006/relationships/hyperlink" Target="https://eitaa.com/shohada_gomnam78" TargetMode="External"/><Relationship Id="rId7726" Type="http://schemas.openxmlformats.org/officeDocument/2006/relationships/hyperlink" Target="https://eitaa.com/emamzade_aliakbar" TargetMode="External"/><Relationship Id="rId7725" Type="http://schemas.openxmlformats.org/officeDocument/2006/relationships/hyperlink" Target="https://www.instagram.com/mahdyieh.kh1" TargetMode="External"/><Relationship Id="rId7729" Type="http://schemas.openxmlformats.org/officeDocument/2006/relationships/hyperlink" Target="https://t.me/mohebbinahlobeyt" TargetMode="External"/><Relationship Id="rId7720" Type="http://schemas.openxmlformats.org/officeDocument/2006/relationships/hyperlink" Target="https://www.instagram.com/moheban_emam_esf" TargetMode="External"/><Relationship Id="rId7724" Type="http://schemas.openxmlformats.org/officeDocument/2006/relationships/hyperlink" Target="https://www.instagram.com/rozatozzahra_esf" TargetMode="External"/><Relationship Id="rId7723" Type="http://schemas.openxmlformats.org/officeDocument/2006/relationships/hyperlink" Target="https://www.instagram.com/heiat.ghamar.bani.hashem.133" TargetMode="External"/><Relationship Id="rId7722" Type="http://schemas.openxmlformats.org/officeDocument/2006/relationships/hyperlink" Target="https://www.instagram.com/yaroghayeh.bm" TargetMode="External"/><Relationship Id="rId7721" Type="http://schemas.openxmlformats.org/officeDocument/2006/relationships/hyperlink" Target="https://www.instagram.com/hosseinie_ale_yasin" TargetMode="External"/><Relationship Id="rId5130" Type="http://schemas.openxmlformats.org/officeDocument/2006/relationships/hyperlink" Target="https://www.instagram.com/h_beytolahzan_kerman/" TargetMode="External"/><Relationship Id="rId6461" Type="http://schemas.openxmlformats.org/officeDocument/2006/relationships/hyperlink" Target="https://www.instagram.com/banatolheydar" TargetMode="External"/><Relationship Id="rId7793" Type="http://schemas.openxmlformats.org/officeDocument/2006/relationships/hyperlink" Target="https://www.instagram.com/mohebinefatemeh135" TargetMode="External"/><Relationship Id="rId5131" Type="http://schemas.openxmlformats.org/officeDocument/2006/relationships/hyperlink" Target="https://www.instagram.com/imam_hussain_valfajr/" TargetMode="External"/><Relationship Id="rId6462" Type="http://schemas.openxmlformats.org/officeDocument/2006/relationships/hyperlink" Target="https://eitaa.com/banatolheydar" TargetMode="External"/><Relationship Id="rId7792" Type="http://schemas.openxmlformats.org/officeDocument/2006/relationships/hyperlink" Target="https://eitaa.com/Rasool_Akram_Mosque" TargetMode="External"/><Relationship Id="rId7791" Type="http://schemas.openxmlformats.org/officeDocument/2006/relationships/hyperlink" Target="https://eitaa.com/yadegaranir" TargetMode="External"/><Relationship Id="rId6460" Type="http://schemas.openxmlformats.org/officeDocument/2006/relationships/hyperlink" Target="https://l.instagram.com/?u=https%3A%2F%2Ft.me%2Favval_mazlom%3Futm_source%3Dig%26utm_medium%3Dsocial%26utm_content%3Dlink_in_bio%26fbclid%3DPAZXh0bgNhZW0CMTEAc3J0YwZhcHBfaWQMMjU2MjgxMDQwNTU4AAGnNBsINHoJwpn-BVKRbsuYyn8gq1bOSR4xJ0Tax6H1OTiIV8OI7Y3vQ8zmViA_aem_zWdQGRLmGvVtTpCqTikMrw&amp;e=AT2mgfSG0o6MD0KIkBG-MTzcrvNSALR6ivfPQrFsaw6JEFrZ9chiJJXQQO46ZppG61f5wmh0WcfG8bFGVCB6ODqtizDZQHaVJVMfip8PcQ" TargetMode="External"/><Relationship Id="rId7790" Type="http://schemas.openxmlformats.org/officeDocument/2006/relationships/hyperlink" Target="https://www.instagram.com/yadegaran_ir" TargetMode="External"/><Relationship Id="rId5134" Type="http://schemas.openxmlformats.org/officeDocument/2006/relationships/hyperlink" Target="http://t.me/d_beynolharameyn" TargetMode="External"/><Relationship Id="rId6465" Type="http://schemas.openxmlformats.org/officeDocument/2006/relationships/hyperlink" Target="https://eitaa.com/baregah" TargetMode="External"/><Relationship Id="rId7797" Type="http://schemas.openxmlformats.org/officeDocument/2006/relationships/hyperlink" Target="https://eitaa.com/BonyadeAlmahdi" TargetMode="External"/><Relationship Id="rId5135" Type="http://schemas.openxmlformats.org/officeDocument/2006/relationships/hyperlink" Target="https://www.instagram.com/maktabalsadegh195/" TargetMode="External"/><Relationship Id="rId6466" Type="http://schemas.openxmlformats.org/officeDocument/2006/relationships/hyperlink" Target="https://www.instagram.com/beheshttv" TargetMode="External"/><Relationship Id="rId7796" Type="http://schemas.openxmlformats.org/officeDocument/2006/relationships/hyperlink" Target="https://eitaa.com/abasalehalmahdidorche" TargetMode="External"/><Relationship Id="rId5132" Type="http://schemas.openxmlformats.org/officeDocument/2006/relationships/hyperlink" Target="https://eitaa.com/h_janatoreza" TargetMode="External"/><Relationship Id="rId6463" Type="http://schemas.openxmlformats.org/officeDocument/2006/relationships/hyperlink" Target="https://www.instagram.com/bargah.ir" TargetMode="External"/><Relationship Id="rId7795" Type="http://schemas.openxmlformats.org/officeDocument/2006/relationships/hyperlink" Target="https://www.instagram.com/abasaleh47" TargetMode="External"/><Relationship Id="rId5133" Type="http://schemas.openxmlformats.org/officeDocument/2006/relationships/hyperlink" Target="https://www.instagram.com/d.beynolharameyn/" TargetMode="External"/><Relationship Id="rId6464" Type="http://schemas.openxmlformats.org/officeDocument/2006/relationships/hyperlink" Target="https://t.me/rahmannavazani" TargetMode="External"/><Relationship Id="rId7794" Type="http://schemas.openxmlformats.org/officeDocument/2006/relationships/hyperlink" Target="https://eitaa.com/mohebinefatemeh135" TargetMode="External"/><Relationship Id="rId5138" Type="http://schemas.openxmlformats.org/officeDocument/2006/relationships/hyperlink" Target="https://www.instagram.com/maktab_alsadegh_kerman/" TargetMode="External"/><Relationship Id="rId6469" Type="http://schemas.openxmlformats.org/officeDocument/2006/relationships/hyperlink" Target="https://www.instagram.com/beitoreza_ir" TargetMode="External"/><Relationship Id="rId5139" Type="http://schemas.openxmlformats.org/officeDocument/2006/relationships/hyperlink" Target="https://eitaa.com/maktab_alsadegh_kerman" TargetMode="External"/><Relationship Id="rId5136" Type="http://schemas.openxmlformats.org/officeDocument/2006/relationships/hyperlink" Target="https://www.instagram.com/maktabzahracfu/" TargetMode="External"/><Relationship Id="rId6467" Type="http://schemas.openxmlformats.org/officeDocument/2006/relationships/hyperlink" Target="https://www.instagram.com/beitonoor.alborz" TargetMode="External"/><Relationship Id="rId7799" Type="http://schemas.openxmlformats.org/officeDocument/2006/relationships/hyperlink" Target="https://eitaa.com/heyat_javadolaeme77" TargetMode="External"/><Relationship Id="rId5137" Type="http://schemas.openxmlformats.org/officeDocument/2006/relationships/hyperlink" Target="https://eitaa.com/maktabzahracfu" TargetMode="External"/><Relationship Id="rId6468" Type="http://schemas.openxmlformats.org/officeDocument/2006/relationships/hyperlink" Target="https://www.instagram.com/beitoolmahdi/" TargetMode="External"/><Relationship Id="rId7798" Type="http://schemas.openxmlformats.org/officeDocument/2006/relationships/hyperlink" Target="https://www.instagram.com/ya.hassan.118/" TargetMode="External"/><Relationship Id="rId5129" Type="http://schemas.openxmlformats.org/officeDocument/2006/relationships/hyperlink" Target="https://www.instagram.com/varesinfadak/" TargetMode="External"/><Relationship Id="rId6450" Type="http://schemas.openxmlformats.org/officeDocument/2006/relationships/hyperlink" Target="https://t.me/Ansarolmahdi_Karaj" TargetMode="External"/><Relationship Id="rId7782" Type="http://schemas.openxmlformats.org/officeDocument/2006/relationships/hyperlink" Target="https://eitaa.com/rahrovanhossein" TargetMode="External"/><Relationship Id="rId5120" Type="http://schemas.openxmlformats.org/officeDocument/2006/relationships/hyperlink" Target="https://www.instagram.com/teshnegan_ir/" TargetMode="External"/><Relationship Id="rId6451" Type="http://schemas.openxmlformats.org/officeDocument/2006/relationships/hyperlink" Target="https://l.instagram.com/?u=https%3A%2F%2Feitaa.com%2Fjoinchat%2F3946578260C24fe94a0ac%3Futm_source%3Dig%26utm_medium%3Dsocial%26utm_content%3Dlink_in_bio%26fbclid%3DPAZXh0bgNhZW0CMTEAc3J0YwZhcHBfaWQMMjU2MjgxMDQwNTU4AAGnC9BNTRe2XXheGHJQVe7Ol8GQB1NE3IlU7pyFna2MEA4VAotCoRgmS7p19zI_aem_sMqTBjJEpi1ePtdmY8J9KQ&amp;e=AT11gQIUK1vDnrmbGWx7bHmzl9Aqj53CtE6wfdHjU5akSM1Yucv5Wbayvm5TNHs1dvS3bItYogUeoelu9swN3G-7dg55Jdorrza7kCWr0Q" TargetMode="External"/><Relationship Id="rId7781" Type="http://schemas.openxmlformats.org/officeDocument/2006/relationships/hyperlink" Target="https://eitaa.com/javanan_ashurai_eghlid" TargetMode="External"/><Relationship Id="rId7780" Type="http://schemas.openxmlformats.org/officeDocument/2006/relationships/hyperlink" Target="https://www.instagram.com/heyate.emamhadi" TargetMode="External"/><Relationship Id="rId5123" Type="http://schemas.openxmlformats.org/officeDocument/2006/relationships/hyperlink" Target="https://eitaa.com/mohebbanqaem1347" TargetMode="External"/><Relationship Id="rId6454" Type="http://schemas.openxmlformats.org/officeDocument/2006/relationships/hyperlink" Target="https://www.instagram.com/ansarolmahdi.pnu.ir" TargetMode="External"/><Relationship Id="rId7786" Type="http://schemas.openxmlformats.org/officeDocument/2006/relationships/hyperlink" Target="https://t.me/oshagholzahra213" TargetMode="External"/><Relationship Id="rId5124" Type="http://schemas.openxmlformats.org/officeDocument/2006/relationships/hyperlink" Target="https://eitaa.com/h_sarallah" TargetMode="External"/><Relationship Id="rId6455" Type="http://schemas.openxmlformats.org/officeDocument/2006/relationships/hyperlink" Target="https://t.me/ansarolmahdipnuir" TargetMode="External"/><Relationship Id="rId7785" Type="http://schemas.openxmlformats.org/officeDocument/2006/relationships/hyperlink" Target="https://www.instagram.com/oshagholzahra213" TargetMode="External"/><Relationship Id="rId5121" Type="http://schemas.openxmlformats.org/officeDocument/2006/relationships/hyperlink" Target="http://t.me/Teshnegan_ir" TargetMode="External"/><Relationship Id="rId6452" Type="http://schemas.openxmlformats.org/officeDocument/2006/relationships/hyperlink" Target="https://www.instagram.com/ansarolmahdi.nazarabad/" TargetMode="External"/><Relationship Id="rId7784" Type="http://schemas.openxmlformats.org/officeDocument/2006/relationships/hyperlink" Target="https://www.instagram.com/heyat.sarallah.ab" TargetMode="External"/><Relationship Id="rId5122" Type="http://schemas.openxmlformats.org/officeDocument/2006/relationships/hyperlink" Target="https://www.instagram.com/fatemiyoon__/" TargetMode="External"/><Relationship Id="rId6453" Type="http://schemas.openxmlformats.org/officeDocument/2006/relationships/hyperlink" Target="http://t.me/@ansarolmahdinazarabad" TargetMode="External"/><Relationship Id="rId7783" Type="http://schemas.openxmlformats.org/officeDocument/2006/relationships/hyperlink" Target="https://eitaa.com/mohebbin_net" TargetMode="External"/><Relationship Id="rId5127" Type="http://schemas.openxmlformats.org/officeDocument/2006/relationships/hyperlink" Target="http://t.me/maktabollzahra" TargetMode="External"/><Relationship Id="rId6458" Type="http://schemas.openxmlformats.org/officeDocument/2006/relationships/hyperlink" Target="https://www.instagram.com/asheghane_shahadat110" TargetMode="External"/><Relationship Id="rId5128" Type="http://schemas.openxmlformats.org/officeDocument/2006/relationships/hyperlink" Target="https://www.instagram.com/sarallah_bardsir/" TargetMode="External"/><Relationship Id="rId6459" Type="http://schemas.openxmlformats.org/officeDocument/2006/relationships/hyperlink" Target="https://www.instagram.com/avval_mazlom/" TargetMode="External"/><Relationship Id="rId7789" Type="http://schemas.openxmlformats.org/officeDocument/2006/relationships/hyperlink" Target="https://eitaa.com/sayyedmahdi8" TargetMode="External"/><Relationship Id="rId5125" Type="http://schemas.openxmlformats.org/officeDocument/2006/relationships/hyperlink" Target="https://www.instagram.com/meraj_hosein_kerman/" TargetMode="External"/><Relationship Id="rId6456" Type="http://schemas.openxmlformats.org/officeDocument/2006/relationships/hyperlink" Target="https://www.instagram.com/ansarozahra_rozeh/" TargetMode="External"/><Relationship Id="rId7788" Type="http://schemas.openxmlformats.org/officeDocument/2006/relationships/hyperlink" Target="https://www.instagram.com/heyataliebnemosareza" TargetMode="External"/><Relationship Id="rId5126" Type="http://schemas.openxmlformats.org/officeDocument/2006/relationships/hyperlink" Target="https://www.instagram.com/maktabol_zahra/" TargetMode="External"/><Relationship Id="rId6457" Type="http://schemas.openxmlformats.org/officeDocument/2006/relationships/hyperlink" Target="https://www.instagram.com/ashaab_almahdi" TargetMode="External"/><Relationship Id="rId7787" Type="http://schemas.openxmlformats.org/officeDocument/2006/relationships/hyperlink" Target="https://eitaa.com/javananashoraiidaran" TargetMode="External"/><Relationship Id="rId6480" Type="http://schemas.openxmlformats.org/officeDocument/2006/relationships/hyperlink" Target="https://www.instagram.com/beytolhosseinkarajj/" TargetMode="External"/><Relationship Id="rId5152" Type="http://schemas.openxmlformats.org/officeDocument/2006/relationships/hyperlink" Target="https://t.me/maktabolzahra_kerman" TargetMode="External"/><Relationship Id="rId6483" Type="http://schemas.openxmlformats.org/officeDocument/2006/relationships/hyperlink" Target="https://www.instagram.com/boqe_ir" TargetMode="External"/><Relationship Id="rId5153" Type="http://schemas.openxmlformats.org/officeDocument/2006/relationships/hyperlink" Target="https://eitaa.com/maktabzahracfu" TargetMode="External"/><Relationship Id="rId6484" Type="http://schemas.openxmlformats.org/officeDocument/2006/relationships/hyperlink" Target="https://t.me/boqe_ir" TargetMode="External"/><Relationship Id="rId5150" Type="http://schemas.openxmlformats.org/officeDocument/2006/relationships/hyperlink" Target="https://www.instagram.com/heyaat_s_sajedin/" TargetMode="External"/><Relationship Id="rId6481" Type="http://schemas.openxmlformats.org/officeDocument/2006/relationships/hyperlink" Target="https://www.instagram.com/bokae_ir" TargetMode="External"/><Relationship Id="rId5151" Type="http://schemas.openxmlformats.org/officeDocument/2006/relationships/hyperlink" Target="https://www.instagram.com/maktabolzahraa" TargetMode="External"/><Relationship Id="rId6482" Type="http://schemas.openxmlformats.org/officeDocument/2006/relationships/hyperlink" Target="https://t.me/moheban_azahra_karaj" TargetMode="External"/><Relationship Id="rId5156" Type="http://schemas.openxmlformats.org/officeDocument/2006/relationships/hyperlink" Target="https://eitaa.com/mehr_hosein" TargetMode="External"/><Relationship Id="rId6487" Type="http://schemas.openxmlformats.org/officeDocument/2006/relationships/hyperlink" Target="https://eitaa.com/asheghansarallah_karaj" TargetMode="External"/><Relationship Id="rId5157" Type="http://schemas.openxmlformats.org/officeDocument/2006/relationships/hyperlink" Target="https://www.instagram.com/h_sarallah" TargetMode="External"/><Relationship Id="rId6488" Type="http://schemas.openxmlformats.org/officeDocument/2006/relationships/hyperlink" Target="https://www.instagram.com/delsookhteganhazratroghaie/" TargetMode="External"/><Relationship Id="rId5154" Type="http://schemas.openxmlformats.org/officeDocument/2006/relationships/hyperlink" Target="https://www.instagram.com/mohebbanheiat" TargetMode="External"/><Relationship Id="rId6485" Type="http://schemas.openxmlformats.org/officeDocument/2006/relationships/hyperlink" Target="https://eitaa.com/boqe_ir" TargetMode="External"/><Relationship Id="rId5155" Type="http://schemas.openxmlformats.org/officeDocument/2006/relationships/hyperlink" Target="https://eitaa.com/mohebanalhasan" TargetMode="External"/><Relationship Id="rId6486" Type="http://schemas.openxmlformats.org/officeDocument/2006/relationships/hyperlink" Target="https://www.instagram.com/bouriya_video/" TargetMode="External"/><Relationship Id="rId5158" Type="http://schemas.openxmlformats.org/officeDocument/2006/relationships/hyperlink" Target="https://eitaa.com/h_sarallah" TargetMode="External"/><Relationship Id="rId6489" Type="http://schemas.openxmlformats.org/officeDocument/2006/relationships/hyperlink" Target="https://www.instagram.com/emamzadeh_heidar_karaj" TargetMode="External"/><Relationship Id="rId5159" Type="http://schemas.openxmlformats.org/officeDocument/2006/relationships/hyperlink" Target="https://www.instagram.com/darolsaghalein_sbu" TargetMode="External"/><Relationship Id="rId5141" Type="http://schemas.openxmlformats.org/officeDocument/2006/relationships/hyperlink" Target="https://eitaa.com/HomemadeRoza" TargetMode="External"/><Relationship Id="rId6472" Type="http://schemas.openxmlformats.org/officeDocument/2006/relationships/hyperlink" Target="https://eitaa.com/bentolhoda_81" TargetMode="External"/><Relationship Id="rId5142" Type="http://schemas.openxmlformats.org/officeDocument/2006/relationships/hyperlink" Target="https://www.instagram.com/eyvannajaf_kerman" TargetMode="External"/><Relationship Id="rId6473" Type="http://schemas.openxmlformats.org/officeDocument/2006/relationships/hyperlink" Target="https://www.instagram.com/beynollharamein8/" TargetMode="External"/><Relationship Id="rId6470" Type="http://schemas.openxmlformats.org/officeDocument/2006/relationships/hyperlink" Target="https://eitaa.com/beitoreza_ir" TargetMode="External"/><Relationship Id="rId5140" Type="http://schemas.openxmlformats.org/officeDocument/2006/relationships/hyperlink" Target="https://www.instagram.com/heyat_hazratkhadijeh/" TargetMode="External"/><Relationship Id="rId6471" Type="http://schemas.openxmlformats.org/officeDocument/2006/relationships/hyperlink" Target="https://www.instagram.com/bentolhoda81" TargetMode="External"/><Relationship Id="rId5145" Type="http://schemas.openxmlformats.org/officeDocument/2006/relationships/hyperlink" Target="https://www.instagram.com/emaam_sajaad" TargetMode="External"/><Relationship Id="rId6476" Type="http://schemas.openxmlformats.org/officeDocument/2006/relationships/hyperlink" Target="https://www.instagram.com/beytalhzanhzratroghe" TargetMode="External"/><Relationship Id="rId5146" Type="http://schemas.openxmlformats.org/officeDocument/2006/relationships/hyperlink" Target="https://www.instagram.com/khademolhasan_kerman" TargetMode="External"/><Relationship Id="rId6477" Type="http://schemas.openxmlformats.org/officeDocument/2006/relationships/hyperlink" Target="https://www.instagram.com/beytolabbas_133" TargetMode="External"/><Relationship Id="rId5143" Type="http://schemas.openxmlformats.org/officeDocument/2006/relationships/hyperlink" Target="https://www.instagram.com/hoseiniehazam.kerman" TargetMode="External"/><Relationship Id="rId6474" Type="http://schemas.openxmlformats.org/officeDocument/2006/relationships/hyperlink" Target="https://www.instagram.com/beyragh.info/" TargetMode="External"/><Relationship Id="rId5144" Type="http://schemas.openxmlformats.org/officeDocument/2006/relationships/hyperlink" Target="https://www.instagram.com/ravianneynava313" TargetMode="External"/><Relationship Id="rId6475" Type="http://schemas.openxmlformats.org/officeDocument/2006/relationships/hyperlink" Target="http://t.me/Beyraghinfo" TargetMode="External"/><Relationship Id="rId5149" Type="http://schemas.openxmlformats.org/officeDocument/2006/relationships/hyperlink" Target="https://t.me/Behaaldin_golzar" TargetMode="External"/><Relationship Id="rId5147" Type="http://schemas.openxmlformats.org/officeDocument/2006/relationships/hyperlink" Target="https://t.me/khademolhasan_kerman" TargetMode="External"/><Relationship Id="rId6478" Type="http://schemas.openxmlformats.org/officeDocument/2006/relationships/hyperlink" Target="https://t.me/beytol_abbas_133" TargetMode="External"/><Relationship Id="rId5148" Type="http://schemas.openxmlformats.org/officeDocument/2006/relationships/hyperlink" Target="https://www.instagram.com/behaaldin_golzar" TargetMode="External"/><Relationship Id="rId6479" Type="http://schemas.openxmlformats.org/officeDocument/2006/relationships/hyperlink" Target="https://www.instagram.com/beytolahzan_karaj" TargetMode="External"/><Relationship Id="rId6429" Type="http://schemas.openxmlformats.org/officeDocument/2006/relationships/hyperlink" Target="https://www.instagram.com/alamdar_karaj/" TargetMode="External"/><Relationship Id="rId6427" Type="http://schemas.openxmlformats.org/officeDocument/2006/relationships/hyperlink" Target="https://t.me/abasebneali_karaj" TargetMode="External"/><Relationship Id="rId7759" Type="http://schemas.openxmlformats.org/officeDocument/2006/relationships/hyperlink" Target="https://www.instagram.com/mohebanreza_ir/" TargetMode="External"/><Relationship Id="rId6428" Type="http://schemas.openxmlformats.org/officeDocument/2006/relationships/hyperlink" Target="https://www.instagram.com/abnaalreza/" TargetMode="External"/><Relationship Id="rId7758" Type="http://schemas.openxmlformats.org/officeDocument/2006/relationships/hyperlink" Target="https://eitaa.com/fatemyoon" TargetMode="External"/><Relationship Id="rId6421" Type="http://schemas.openxmlformats.org/officeDocument/2006/relationships/hyperlink" Target="https://www.instagram.com/heyatmohebbanali/" TargetMode="External"/><Relationship Id="rId7753" Type="http://schemas.openxmlformats.org/officeDocument/2006/relationships/hyperlink" Target="https://www.instagram.com/ali_asghar_heiat" TargetMode="External"/><Relationship Id="rId6422" Type="http://schemas.openxmlformats.org/officeDocument/2006/relationships/hyperlink" Target="https://www.instagram.com/masjed_besat_zahedan/" TargetMode="External"/><Relationship Id="rId7752" Type="http://schemas.openxmlformats.org/officeDocument/2006/relationships/hyperlink" Target="https://www.instagram.com/heyat_hazrate.abalfazl" TargetMode="External"/><Relationship Id="rId7751" Type="http://schemas.openxmlformats.org/officeDocument/2006/relationships/hyperlink" Target="https://www.instagram.com/heiatsemirom" TargetMode="External"/><Relationship Id="rId6420" Type="http://schemas.openxmlformats.org/officeDocument/2006/relationships/hyperlink" Target="https://www.instagram.com/roghayekhaton.0313/" TargetMode="External"/><Relationship Id="rId7750" Type="http://schemas.openxmlformats.org/officeDocument/2006/relationships/hyperlink" Target="https://www.instagram.com/heyataaliakbar" TargetMode="External"/><Relationship Id="rId6425" Type="http://schemas.openxmlformats.org/officeDocument/2006/relationships/hyperlink" Target="https://www.instagram.com/1382seyedolshohada/" TargetMode="External"/><Relationship Id="rId7757" Type="http://schemas.openxmlformats.org/officeDocument/2006/relationships/hyperlink" Target="https://www.instagram.com/fatemyoun_ir" TargetMode="External"/><Relationship Id="rId6426" Type="http://schemas.openxmlformats.org/officeDocument/2006/relationships/hyperlink" Target="https://www.instagram.com/abasebneali_karaj/" TargetMode="External"/><Relationship Id="rId7756" Type="http://schemas.openxmlformats.org/officeDocument/2006/relationships/hyperlink" Target="https://www.instagram.com/alamdarenajaf" TargetMode="External"/><Relationship Id="rId6423" Type="http://schemas.openxmlformats.org/officeDocument/2006/relationships/hyperlink" Target="https://www.instagram.com/masjed_mohammadie1360/" TargetMode="External"/><Relationship Id="rId7755" Type="http://schemas.openxmlformats.org/officeDocument/2006/relationships/hyperlink" Target="https://eitaa.com/emamhasan_njf" TargetMode="External"/><Relationship Id="rId6424" Type="http://schemas.openxmlformats.org/officeDocument/2006/relationships/hyperlink" Target="https://www.instagram.com/raayat_alhoda.ir" TargetMode="External"/><Relationship Id="rId7754" Type="http://schemas.openxmlformats.org/officeDocument/2006/relationships/hyperlink" Target="https://eitaa.com/Rahpouyan_vesal_Isfahan" TargetMode="External"/><Relationship Id="rId6418" Type="http://schemas.openxmlformats.org/officeDocument/2006/relationships/hyperlink" Target="https://www.instagram.com/ansarolabbas_zahedan/" TargetMode="External"/><Relationship Id="rId6419" Type="http://schemas.openxmlformats.org/officeDocument/2006/relationships/hyperlink" Target="http://t.me/ansarolabbas_zahedan" TargetMode="External"/><Relationship Id="rId7749" Type="http://schemas.openxmlformats.org/officeDocument/2006/relationships/hyperlink" Target="https://www.instagram.com/heyat.hosseini.khansar" TargetMode="External"/><Relationship Id="rId6416" Type="http://schemas.openxmlformats.org/officeDocument/2006/relationships/hyperlink" Target="http://t.me/masjad_abozar" TargetMode="External"/><Relationship Id="rId7748" Type="http://schemas.openxmlformats.org/officeDocument/2006/relationships/hyperlink" Target="https://eitaa.com/karbalaeiha_isf" TargetMode="External"/><Relationship Id="rId6417" Type="http://schemas.openxmlformats.org/officeDocument/2006/relationships/hyperlink" Target="https://www.instagram.com/shiftegan_ahlebeit_zahedan72/" TargetMode="External"/><Relationship Id="rId7747" Type="http://schemas.openxmlformats.org/officeDocument/2006/relationships/hyperlink" Target="https://eitaa.com/hiatehazratealiakbar" TargetMode="External"/><Relationship Id="rId6410" Type="http://schemas.openxmlformats.org/officeDocument/2006/relationships/hyperlink" Target="https://www.instagram.com/ashooraeyan_sistan/" TargetMode="External"/><Relationship Id="rId7742" Type="http://schemas.openxmlformats.org/officeDocument/2006/relationships/hyperlink" Target="https://www.instagram.com/heyat_abolfazl_khansar" TargetMode="External"/><Relationship Id="rId6411" Type="http://schemas.openxmlformats.org/officeDocument/2006/relationships/hyperlink" Target="https://www.instagram.com/aqilatol_arab/" TargetMode="External"/><Relationship Id="rId7741" Type="http://schemas.openxmlformats.org/officeDocument/2006/relationships/hyperlink" Target="https://t.me/mohebanhosein_esf" TargetMode="External"/><Relationship Id="rId7740" Type="http://schemas.openxmlformats.org/officeDocument/2006/relationships/hyperlink" Target="https://www.instagram.com/moheban_al_hossein" TargetMode="External"/><Relationship Id="rId6414" Type="http://schemas.openxmlformats.org/officeDocument/2006/relationships/hyperlink" Target="https://www.instagram.com/masjedemamhasanmojtabazahedan/" TargetMode="External"/><Relationship Id="rId7746" Type="http://schemas.openxmlformats.org/officeDocument/2006/relationships/hyperlink" Target="https://eitaa.com/fatemiundastgerd" TargetMode="External"/><Relationship Id="rId6415" Type="http://schemas.openxmlformats.org/officeDocument/2006/relationships/hyperlink" Target="https://www.instagram.com/masjad_abozar/" TargetMode="External"/><Relationship Id="rId7745" Type="http://schemas.openxmlformats.org/officeDocument/2006/relationships/hyperlink" Target="https://www.instagram.com/fatemiundastgerd" TargetMode="External"/><Relationship Id="rId6412" Type="http://schemas.openxmlformats.org/officeDocument/2006/relationships/hyperlink" Target="https://www.instagram.com/shifteganekosarsistan/" TargetMode="External"/><Relationship Id="rId7744" Type="http://schemas.openxmlformats.org/officeDocument/2006/relationships/hyperlink" Target="https://www.instagram.com/maktabol_abbas1" TargetMode="External"/><Relationship Id="rId6413" Type="http://schemas.openxmlformats.org/officeDocument/2006/relationships/hyperlink" Target="https://www.instagram.com/beitolhossein_sb/" TargetMode="External"/><Relationship Id="rId7743" Type="http://schemas.openxmlformats.org/officeDocument/2006/relationships/hyperlink" Target="https://t.me/heyat_abolfazl_khansar" TargetMode="External"/><Relationship Id="rId5118" Type="http://schemas.openxmlformats.org/officeDocument/2006/relationships/hyperlink" Target="http://t.me/levaalzeynab_kerman" TargetMode="External"/><Relationship Id="rId6449" Type="http://schemas.openxmlformats.org/officeDocument/2006/relationships/hyperlink" Target="https://www.instagram.com/ansarolmahdi_karaj" TargetMode="External"/><Relationship Id="rId5119" Type="http://schemas.openxmlformats.org/officeDocument/2006/relationships/hyperlink" Target="https://www.instagram.com/mohebinahlebeit.mahan/" TargetMode="External"/><Relationship Id="rId7771" Type="http://schemas.openxmlformats.org/officeDocument/2006/relationships/hyperlink" Target="https://eitaa.com/oshaghalheidarkashan" TargetMode="External"/><Relationship Id="rId6440" Type="http://schemas.openxmlformats.org/officeDocument/2006/relationships/hyperlink" Target="https://www.instagram.com/ansar_alabas/" TargetMode="External"/><Relationship Id="rId7770" Type="http://schemas.openxmlformats.org/officeDocument/2006/relationships/hyperlink" Target="https://t.me/heiatnama_ir" TargetMode="External"/><Relationship Id="rId5112" Type="http://schemas.openxmlformats.org/officeDocument/2006/relationships/hyperlink" Target="https://eitaa.com/beitollah" TargetMode="External"/><Relationship Id="rId6443" Type="http://schemas.openxmlformats.org/officeDocument/2006/relationships/hyperlink" Target="https://t.me/Sajjadieh_1380" TargetMode="External"/><Relationship Id="rId7775" Type="http://schemas.openxmlformats.org/officeDocument/2006/relationships/hyperlink" Target="https://www.instagram.com/ashegan.imam_hosuen" TargetMode="External"/><Relationship Id="rId5113" Type="http://schemas.openxmlformats.org/officeDocument/2006/relationships/hyperlink" Target="https://www.instagram.com/oshagh.alroghayeh.kerman/" TargetMode="External"/><Relationship Id="rId6444" Type="http://schemas.openxmlformats.org/officeDocument/2006/relationships/hyperlink" Target="https://www.instagram.com/ansar_jahadi" TargetMode="External"/><Relationship Id="rId7774" Type="http://schemas.openxmlformats.org/officeDocument/2006/relationships/hyperlink" Target="https://www.instagram.com/asheghan_sarallah_isfahan" TargetMode="External"/><Relationship Id="rId5110" Type="http://schemas.openxmlformats.org/officeDocument/2006/relationships/hyperlink" Target="https://www.instagram.com/ommolaemmeh1387/" TargetMode="External"/><Relationship Id="rId6441" Type="http://schemas.openxmlformats.org/officeDocument/2006/relationships/hyperlink" Target="http://t.me/ansarabass" TargetMode="External"/><Relationship Id="rId7773" Type="http://schemas.openxmlformats.org/officeDocument/2006/relationships/hyperlink" Target="https://www.instagram.com/din.pazhohan" TargetMode="External"/><Relationship Id="rId5111" Type="http://schemas.openxmlformats.org/officeDocument/2006/relationships/hyperlink" Target="https://t.me/chmaktab" TargetMode="External"/><Relationship Id="rId6442" Type="http://schemas.openxmlformats.org/officeDocument/2006/relationships/hyperlink" Target="https://www.instagram.com/ansar_alreza1380" TargetMode="External"/><Relationship Id="rId7772" Type="http://schemas.openxmlformats.org/officeDocument/2006/relationships/hyperlink" Target="https://www.instagram.com/ommolhasanein" TargetMode="External"/><Relationship Id="rId5116" Type="http://schemas.openxmlformats.org/officeDocument/2006/relationships/hyperlink" Target="http://eitaa.com/moheban315" TargetMode="External"/><Relationship Id="rId6447" Type="http://schemas.openxmlformats.org/officeDocument/2006/relationships/hyperlink" Target="https://eitaa.com/ansaremamir" TargetMode="External"/><Relationship Id="rId7779" Type="http://schemas.openxmlformats.org/officeDocument/2006/relationships/hyperlink" Target="https://eitaa.com/kanoon_sagha" TargetMode="External"/><Relationship Id="rId5117" Type="http://schemas.openxmlformats.org/officeDocument/2006/relationships/hyperlink" Target="https://www.instagram.com/levaalzeynab_kerman/" TargetMode="External"/><Relationship Id="rId6448" Type="http://schemas.openxmlformats.org/officeDocument/2006/relationships/hyperlink" Target="https://www.instagram.com/ansaremam/" TargetMode="External"/><Relationship Id="rId7778" Type="http://schemas.openxmlformats.org/officeDocument/2006/relationships/hyperlink" Target="https://eitaa.com/mohebanolhosain1364" TargetMode="External"/><Relationship Id="rId5114" Type="http://schemas.openxmlformats.org/officeDocument/2006/relationships/hyperlink" Target="https://www.instagram.com/fatemion_rafsanjan/" TargetMode="External"/><Relationship Id="rId6445" Type="http://schemas.openxmlformats.org/officeDocument/2006/relationships/hyperlink" Target="https://www.instagram.com/ansaremam.ir/" TargetMode="External"/><Relationship Id="rId7777" Type="http://schemas.openxmlformats.org/officeDocument/2006/relationships/hyperlink" Target="https://eitaa.com/arshian133" TargetMode="External"/><Relationship Id="rId5115" Type="http://schemas.openxmlformats.org/officeDocument/2006/relationships/hyperlink" Target="https://www.instagram.com/moheban.315/" TargetMode="External"/><Relationship Id="rId6446" Type="http://schemas.openxmlformats.org/officeDocument/2006/relationships/hyperlink" Target="https://t.me/ansaremam_ir" TargetMode="External"/><Relationship Id="rId7776" Type="http://schemas.openxmlformats.org/officeDocument/2006/relationships/hyperlink" Target="https://www.instagram.com/arshian._133" TargetMode="External"/><Relationship Id="rId5109" Type="http://schemas.openxmlformats.org/officeDocument/2006/relationships/hyperlink" Target="https://www.instagram.com/shahzadeh_aliasghar_sirch/" TargetMode="External"/><Relationship Id="rId5107" Type="http://schemas.openxmlformats.org/officeDocument/2006/relationships/hyperlink" Target="https://eitaa.com/rahrovane_shohadaa" TargetMode="External"/><Relationship Id="rId6438" Type="http://schemas.openxmlformats.org/officeDocument/2006/relationships/hyperlink" Target="https://www.instagram.com/ansaar_ir" TargetMode="External"/><Relationship Id="rId5108" Type="http://schemas.openxmlformats.org/officeDocument/2006/relationships/hyperlink" Target="https://www.instagram.com/emamhasan_kerman/" TargetMode="External"/><Relationship Id="rId6439" Type="http://schemas.openxmlformats.org/officeDocument/2006/relationships/hyperlink" Target="https://eitaa.com/ansaar_ir" TargetMode="External"/><Relationship Id="rId7769" Type="http://schemas.openxmlformats.org/officeDocument/2006/relationships/hyperlink" Target="https://www.instagram.com/oshagh_alheidar_kashan" TargetMode="External"/><Relationship Id="rId7760" Type="http://schemas.openxmlformats.org/officeDocument/2006/relationships/hyperlink" Target="https://www.instagram.com/mohebanozahra_esf" TargetMode="External"/><Relationship Id="rId5101" Type="http://schemas.openxmlformats.org/officeDocument/2006/relationships/hyperlink" Target="https://www.instagram.com/mohebbinemojtaba_kerman/" TargetMode="External"/><Relationship Id="rId6432" Type="http://schemas.openxmlformats.org/officeDocument/2006/relationships/hyperlink" Target="https://www.instagram.com/alamdare_basirat/" TargetMode="External"/><Relationship Id="rId7764" Type="http://schemas.openxmlformats.org/officeDocument/2006/relationships/hyperlink" Target="https://eitaa.com/ayene_ir" TargetMode="External"/><Relationship Id="rId5102" Type="http://schemas.openxmlformats.org/officeDocument/2006/relationships/hyperlink" Target="https://www.instagram.com/khadem_alreza_kerman/" TargetMode="External"/><Relationship Id="rId6433" Type="http://schemas.openxmlformats.org/officeDocument/2006/relationships/hyperlink" Target="https://www.instagram.com/alghame_karaj" TargetMode="External"/><Relationship Id="rId7763" Type="http://schemas.openxmlformats.org/officeDocument/2006/relationships/hyperlink" Target="https://eitaa.com/rahrovanshohadash" TargetMode="External"/><Relationship Id="rId6430" Type="http://schemas.openxmlformats.org/officeDocument/2006/relationships/hyperlink" Target="https://eitaa.com/Heyate_Alamdar" TargetMode="External"/><Relationship Id="rId7762" Type="http://schemas.openxmlformats.org/officeDocument/2006/relationships/hyperlink" Target="https://www.instagram.com/rahrovanshohadash" TargetMode="External"/><Relationship Id="rId5100" Type="http://schemas.openxmlformats.org/officeDocument/2006/relationships/hyperlink" Target="https://eitaa.com/ansarolmahdi_kerman" TargetMode="External"/><Relationship Id="rId6431" Type="http://schemas.openxmlformats.org/officeDocument/2006/relationships/hyperlink" Target="https://www.instagram.com/alamdaranefardis/" TargetMode="External"/><Relationship Id="rId7761" Type="http://schemas.openxmlformats.org/officeDocument/2006/relationships/hyperlink" Target="https://t.me/mohebanozahra_esf" TargetMode="External"/><Relationship Id="rId5105" Type="http://schemas.openxmlformats.org/officeDocument/2006/relationships/hyperlink" Target="https://www.instagram.com/ommolmasaeb_kerman/" TargetMode="External"/><Relationship Id="rId6436" Type="http://schemas.openxmlformats.org/officeDocument/2006/relationships/hyperlink" Target="https://www.instagram.com/aliasqar_313" TargetMode="External"/><Relationship Id="rId7768" Type="http://schemas.openxmlformats.org/officeDocument/2006/relationships/hyperlink" Target="https://eitaa.com/Rahpoooyan" TargetMode="External"/><Relationship Id="rId5106" Type="http://schemas.openxmlformats.org/officeDocument/2006/relationships/hyperlink" Target="https://www.instagram.com/h.r.shohada/" TargetMode="External"/><Relationship Id="rId6437" Type="http://schemas.openxmlformats.org/officeDocument/2006/relationships/hyperlink" Target="https://www.instagram.com/ansa.rolhosein/" TargetMode="External"/><Relationship Id="rId7767" Type="http://schemas.openxmlformats.org/officeDocument/2006/relationships/hyperlink" Target="https://eitaa.com/gharibmadine1" TargetMode="External"/><Relationship Id="rId5103" Type="http://schemas.openxmlformats.org/officeDocument/2006/relationships/hyperlink" Target="http://t.me/khadem_alreza_kerman" TargetMode="External"/><Relationship Id="rId6434" Type="http://schemas.openxmlformats.org/officeDocument/2006/relationships/hyperlink" Target="https://www.instagram.com/ali_akbar_javanan" TargetMode="External"/><Relationship Id="rId7766" Type="http://schemas.openxmlformats.org/officeDocument/2006/relationships/hyperlink" Target="https://www.instagram.com/gharibmadine1" TargetMode="External"/><Relationship Id="rId5104" Type="http://schemas.openxmlformats.org/officeDocument/2006/relationships/hyperlink" Target="https://www.instagram.com/delbakhtegan_ker/" TargetMode="External"/><Relationship Id="rId6435" Type="http://schemas.openxmlformats.org/officeDocument/2006/relationships/hyperlink" Target="https://eitaa.com/ali_akbar_javanan" TargetMode="External"/><Relationship Id="rId7765" Type="http://schemas.openxmlformats.org/officeDocument/2006/relationships/hyperlink" Target="https://t.me/javanan_ansarolhosein_1393" TargetMode="External"/><Relationship Id="rId2940" Type="http://schemas.openxmlformats.org/officeDocument/2006/relationships/hyperlink" Target="https://www.instagram.com/heyat_yahosein_oskou" TargetMode="External"/><Relationship Id="rId1610" Type="http://schemas.openxmlformats.org/officeDocument/2006/relationships/hyperlink" Target="https://t.me/heiatorreza" TargetMode="External"/><Relationship Id="rId2941" Type="http://schemas.openxmlformats.org/officeDocument/2006/relationships/hyperlink" Target="https://t.me/bdsut_ir" TargetMode="External"/><Relationship Id="rId1611" Type="http://schemas.openxmlformats.org/officeDocument/2006/relationships/hyperlink" Target="https://ble.ir/heiatorreza" TargetMode="External"/><Relationship Id="rId2942" Type="http://schemas.openxmlformats.org/officeDocument/2006/relationships/hyperlink" Target="https://www.instagram.com/mohebban213_ir" TargetMode="External"/><Relationship Id="rId1612" Type="http://schemas.openxmlformats.org/officeDocument/2006/relationships/hyperlink" Target="https://www.youtube.com/@heiatorreza1418" TargetMode="External"/><Relationship Id="rId2943" Type="http://schemas.openxmlformats.org/officeDocument/2006/relationships/hyperlink" Target="https://t.me/mohebban213_ir" TargetMode="External"/><Relationship Id="rId1613" Type="http://schemas.openxmlformats.org/officeDocument/2006/relationships/hyperlink" Target="https://www.behesht.info/" TargetMode="External"/><Relationship Id="rId2944" Type="http://schemas.openxmlformats.org/officeDocument/2006/relationships/hyperlink" Target="https://www.instagram.com/heyat.abolfazl.bayram/" TargetMode="External"/><Relationship Id="rId1614" Type="http://schemas.openxmlformats.org/officeDocument/2006/relationships/hyperlink" Target="https://www.instagram.com/heyathonar_/" TargetMode="External"/><Relationship Id="rId2945" Type="http://schemas.openxmlformats.org/officeDocument/2006/relationships/hyperlink" Target="https://www.instagram.com/heyat_mohebin_sahand" TargetMode="External"/><Relationship Id="rId1615" Type="http://schemas.openxmlformats.org/officeDocument/2006/relationships/hyperlink" Target="https://t.me/HeyatHonar" TargetMode="External"/><Relationship Id="rId2946" Type="http://schemas.openxmlformats.org/officeDocument/2006/relationships/hyperlink" Target="https://www.instagram.com/saralahahar" TargetMode="External"/><Relationship Id="rId1616" Type="http://schemas.openxmlformats.org/officeDocument/2006/relationships/hyperlink" Target="https://ble.ir/heyathonar" TargetMode="External"/><Relationship Id="rId2947" Type="http://schemas.openxmlformats.org/officeDocument/2006/relationships/hyperlink" Target="https://www.instagram.com/montazeran.zohur.ahar" TargetMode="External"/><Relationship Id="rId907" Type="http://schemas.openxmlformats.org/officeDocument/2006/relationships/hyperlink" Target="http://t.me/khadem_zahra" TargetMode="External"/><Relationship Id="rId1617" Type="http://schemas.openxmlformats.org/officeDocument/2006/relationships/hyperlink" Target="https://eitaa.com/heyathonar" TargetMode="External"/><Relationship Id="rId2948" Type="http://schemas.openxmlformats.org/officeDocument/2006/relationships/hyperlink" Target="https://www.instagram.com/tashnaganakosar.ahar" TargetMode="External"/><Relationship Id="rId906" Type="http://schemas.openxmlformats.org/officeDocument/2006/relationships/hyperlink" Target="https://www.instagram.com/khadem_zahra.213/" TargetMode="External"/><Relationship Id="rId1618" Type="http://schemas.openxmlformats.org/officeDocument/2006/relationships/hyperlink" Target="https://www.instagram.com/maktab6969/" TargetMode="External"/><Relationship Id="rId2949" Type="http://schemas.openxmlformats.org/officeDocument/2006/relationships/hyperlink" Target="https://t.me/teshnganekosar" TargetMode="External"/><Relationship Id="rId905" Type="http://schemas.openxmlformats.org/officeDocument/2006/relationships/hyperlink" Target="http://t.me/heiiatoshoda" TargetMode="External"/><Relationship Id="rId1619" Type="http://schemas.openxmlformats.org/officeDocument/2006/relationships/hyperlink" Target="https://t.me/maktab6969" TargetMode="External"/><Relationship Id="rId904" Type="http://schemas.openxmlformats.org/officeDocument/2006/relationships/hyperlink" Target="https://www.instagram.com/heiiatoshohada/" TargetMode="External"/><Relationship Id="rId909" Type="http://schemas.openxmlformats.org/officeDocument/2006/relationships/hyperlink" Target="https://www.instagram.com/heyaatmohebanaliakbar/" TargetMode="External"/><Relationship Id="rId908" Type="http://schemas.openxmlformats.org/officeDocument/2006/relationships/hyperlink" Target="https://www.instagram.com/khames_ir/" TargetMode="External"/><Relationship Id="rId903" Type="http://schemas.openxmlformats.org/officeDocument/2006/relationships/hyperlink" Target="https://www.instagram.com/rozatol_zeynab_tehran/" TargetMode="External"/><Relationship Id="rId902" Type="http://schemas.openxmlformats.org/officeDocument/2006/relationships/hyperlink" Target="http://t.me/ansarmahdi_tehran" TargetMode="External"/><Relationship Id="rId901" Type="http://schemas.openxmlformats.org/officeDocument/2006/relationships/hyperlink" Target="https://www.instagram.com/ansaralmahdi_tehran/" TargetMode="External"/><Relationship Id="rId900" Type="http://schemas.openxmlformats.org/officeDocument/2006/relationships/hyperlink" Target="http://t.me/rahrovan_saralah" TargetMode="External"/><Relationship Id="rId2930" Type="http://schemas.openxmlformats.org/officeDocument/2006/relationships/hyperlink" Target="https://www.instagram.com/azakhane_akbariye/" TargetMode="External"/><Relationship Id="rId1600" Type="http://schemas.openxmlformats.org/officeDocument/2006/relationships/hyperlink" Target="https://eitaa.com/kashani1395" TargetMode="External"/><Relationship Id="rId2931" Type="http://schemas.openxmlformats.org/officeDocument/2006/relationships/hyperlink" Target="https://www.instagram.com/akbarieh_khosrowshah/" TargetMode="External"/><Relationship Id="rId1601" Type="http://schemas.openxmlformats.org/officeDocument/2006/relationships/hyperlink" Target="https://www.youtube.com/@kashani1395" TargetMode="External"/><Relationship Id="rId2932" Type="http://schemas.openxmlformats.org/officeDocument/2006/relationships/hyperlink" Target="https://www.instagram.com/heyat_fatemeh_alzahra/" TargetMode="External"/><Relationship Id="rId1602" Type="http://schemas.openxmlformats.org/officeDocument/2006/relationships/hyperlink" Target="https://ble.ir/kashani1395" TargetMode="External"/><Relationship Id="rId2933" Type="http://schemas.openxmlformats.org/officeDocument/2006/relationships/hyperlink" Target="http://t.me/heyat_gallery" TargetMode="External"/><Relationship Id="rId1603" Type="http://schemas.openxmlformats.org/officeDocument/2006/relationships/hyperlink" Target="https://www.instagram.com/esmaeilramezaniofficial/" TargetMode="External"/><Relationship Id="rId2934" Type="http://schemas.openxmlformats.org/officeDocument/2006/relationships/hyperlink" Target="https://www.instagram.com/ashuraeyan_maragheh2/" TargetMode="External"/><Relationship Id="rId1604" Type="http://schemas.openxmlformats.org/officeDocument/2006/relationships/hyperlink" Target="https://www.instagram.com/ansarian_ir/" TargetMode="External"/><Relationship Id="rId2935" Type="http://schemas.openxmlformats.org/officeDocument/2006/relationships/hyperlink" Target="https://www.instagram.com/rayatolrezakondroud/" TargetMode="External"/><Relationship Id="rId1605" Type="http://schemas.openxmlformats.org/officeDocument/2006/relationships/hyperlink" Target="https://www.youtube.com/@darolerfan_ir" TargetMode="External"/><Relationship Id="rId2936" Type="http://schemas.openxmlformats.org/officeDocument/2006/relationships/hyperlink" Target="https://eitaa.com/heyat_razmandegan_osku1" TargetMode="External"/><Relationship Id="rId1606" Type="http://schemas.openxmlformats.org/officeDocument/2006/relationships/hyperlink" Target="https://erfan.ir/" TargetMode="External"/><Relationship Id="rId2937" Type="http://schemas.openxmlformats.org/officeDocument/2006/relationships/hyperlink" Target="https://www.instagram.com/mokebfatemiunosku" TargetMode="External"/><Relationship Id="rId1607" Type="http://schemas.openxmlformats.org/officeDocument/2006/relationships/hyperlink" Target="https://www.instagram.com/naserr_yosefi/" TargetMode="External"/><Relationship Id="rId2938" Type="http://schemas.openxmlformats.org/officeDocument/2006/relationships/hyperlink" Target="https://t.me/arbaeinosku" TargetMode="External"/><Relationship Id="rId1608" Type="http://schemas.openxmlformats.org/officeDocument/2006/relationships/hyperlink" Target="https://eitaa.com/havariun" TargetMode="External"/><Relationship Id="rId2939" Type="http://schemas.openxmlformats.org/officeDocument/2006/relationships/hyperlink" Target="https://www.instagram.com/heiatesamen" TargetMode="External"/><Relationship Id="rId1609" Type="http://schemas.openxmlformats.org/officeDocument/2006/relationships/hyperlink" Target="https://www.instagram.com/heiatorreza1418/" TargetMode="External"/><Relationship Id="rId1631" Type="http://schemas.openxmlformats.org/officeDocument/2006/relationships/hyperlink" Target="https://eitaa.com/heiat_janatolhasan" TargetMode="External"/><Relationship Id="rId2962" Type="http://schemas.openxmlformats.org/officeDocument/2006/relationships/hyperlink" Target="https://www.instagram.com/asghariyehahar_ir" TargetMode="External"/><Relationship Id="rId1632" Type="http://schemas.openxmlformats.org/officeDocument/2006/relationships/hyperlink" Target="https://www.instagram.com/heiat_mohebban/" TargetMode="External"/><Relationship Id="rId2963" Type="http://schemas.openxmlformats.org/officeDocument/2006/relationships/hyperlink" Target="https://www.instagram.com/teshneghan_kosar_ahar" TargetMode="External"/><Relationship Id="rId1633" Type="http://schemas.openxmlformats.org/officeDocument/2006/relationships/hyperlink" Target="https://eitaa.com/heiat_mohebban" TargetMode="External"/><Relationship Id="rId2964" Type="http://schemas.openxmlformats.org/officeDocument/2006/relationships/hyperlink" Target="https://www.instagram.com/heyatasheghankarbla_ahar1376" TargetMode="External"/><Relationship Id="rId1634" Type="http://schemas.openxmlformats.org/officeDocument/2006/relationships/hyperlink" Target="https://www.instagram.com/heiataut" TargetMode="External"/><Relationship Id="rId2965" Type="http://schemas.openxmlformats.org/officeDocument/2006/relationships/hyperlink" Target="https://www.instagram.com/heiat_fatemealzahra_ahar" TargetMode="External"/><Relationship Id="rId1635" Type="http://schemas.openxmlformats.org/officeDocument/2006/relationships/hyperlink" Target="https://t.me/HeiatAut" TargetMode="External"/><Relationship Id="rId2966" Type="http://schemas.openxmlformats.org/officeDocument/2006/relationships/hyperlink" Target="https://t.me/fatemealzahra97" TargetMode="External"/><Relationship Id="rId1636" Type="http://schemas.openxmlformats.org/officeDocument/2006/relationships/hyperlink" Target="https://eitaa.com/heiataut" TargetMode="External"/><Relationship Id="rId2967" Type="http://schemas.openxmlformats.org/officeDocument/2006/relationships/hyperlink" Target="https://www.instagram.com/maktabolabas.ahar" TargetMode="External"/><Relationship Id="rId1637" Type="http://schemas.openxmlformats.org/officeDocument/2006/relationships/hyperlink" Target="https://ble.ir/heiataut" TargetMode="External"/><Relationship Id="rId2968" Type="http://schemas.openxmlformats.org/officeDocument/2006/relationships/hyperlink" Target="https://www.instagram.com/razavi.ahar" TargetMode="External"/><Relationship Id="rId1638" Type="http://schemas.openxmlformats.org/officeDocument/2006/relationships/hyperlink" Target="https://www.instagram.com/heiatorrasoul/" TargetMode="External"/><Relationship Id="rId2969" Type="http://schemas.openxmlformats.org/officeDocument/2006/relationships/hyperlink" Target="https://www.instagram.com/mashar_110" TargetMode="External"/><Relationship Id="rId929" Type="http://schemas.openxmlformats.org/officeDocument/2006/relationships/hyperlink" Target="https://www.instagram.com/heyatmj/" TargetMode="External"/><Relationship Id="rId1639" Type="http://schemas.openxmlformats.org/officeDocument/2006/relationships/hyperlink" Target="https://eitaa.com/Heiatorrasoul" TargetMode="External"/><Relationship Id="rId928" Type="http://schemas.openxmlformats.org/officeDocument/2006/relationships/hyperlink" Target="https://t.me/Roghayekhatoontehran" TargetMode="External"/><Relationship Id="rId927" Type="http://schemas.openxmlformats.org/officeDocument/2006/relationships/hyperlink" Target="https://www.instagram.com/roghayekhatoontehran/" TargetMode="External"/><Relationship Id="rId926" Type="http://schemas.openxmlformats.org/officeDocument/2006/relationships/hyperlink" Target="http://t.me/ansar_info83" TargetMode="External"/><Relationship Id="rId921" Type="http://schemas.openxmlformats.org/officeDocument/2006/relationships/hyperlink" Target="https://www.instagram.com/h.14.masoom/" TargetMode="External"/><Relationship Id="rId920" Type="http://schemas.openxmlformats.org/officeDocument/2006/relationships/hyperlink" Target="https://www.instagram.com/h.aliebneabitaleb.teh/" TargetMode="External"/><Relationship Id="rId925" Type="http://schemas.openxmlformats.org/officeDocument/2006/relationships/hyperlink" Target="https://www.instagram.com/ansar_info/" TargetMode="External"/><Relationship Id="rId924" Type="http://schemas.openxmlformats.org/officeDocument/2006/relationships/hyperlink" Target="https://eitaa.com/mahdiarteam" TargetMode="External"/><Relationship Id="rId923" Type="http://schemas.openxmlformats.org/officeDocument/2006/relationships/hyperlink" Target="http://t.me/khademin_hazrate_robab" TargetMode="External"/><Relationship Id="rId922" Type="http://schemas.openxmlformats.org/officeDocument/2006/relationships/hyperlink" Target="https://www.instagram.com/khademin_hazrate_robab/" TargetMode="External"/><Relationship Id="rId2960" Type="http://schemas.openxmlformats.org/officeDocument/2006/relationships/hyperlink" Target="https://www.instagram.com/heyyateemamsajjad" TargetMode="External"/><Relationship Id="rId1630" Type="http://schemas.openxmlformats.org/officeDocument/2006/relationships/hyperlink" Target="https://t.me/heiat_janatolhasan" TargetMode="External"/><Relationship Id="rId2961" Type="http://schemas.openxmlformats.org/officeDocument/2006/relationships/hyperlink" Target="https://www.instagram.com/heyat.sahebalzaman.ahar" TargetMode="External"/><Relationship Id="rId1620" Type="http://schemas.openxmlformats.org/officeDocument/2006/relationships/hyperlink" Target="https://ble.ir/maktab6969" TargetMode="External"/><Relationship Id="rId2951" Type="http://schemas.openxmlformats.org/officeDocument/2006/relationships/hyperlink" Target="https://www.instagram.com/matamkade_hazrat_zienab_ahar" TargetMode="External"/><Relationship Id="rId1621" Type="http://schemas.openxmlformats.org/officeDocument/2006/relationships/hyperlink" Target="https://www.instagram.com/shahzadeh_aliakbar33/" TargetMode="External"/><Relationship Id="rId2952" Type="http://schemas.openxmlformats.org/officeDocument/2006/relationships/hyperlink" Target="https://www.instagram.com/maktab.zahra.ahar" TargetMode="External"/><Relationship Id="rId1622" Type="http://schemas.openxmlformats.org/officeDocument/2006/relationships/hyperlink" Target="https://ble.ir/moheban_shahzadeh_aliakbar" TargetMode="External"/><Relationship Id="rId2953" Type="http://schemas.openxmlformats.org/officeDocument/2006/relationships/hyperlink" Target="https://t.me/maktabolzahra_ahar" TargetMode="External"/><Relationship Id="rId1623" Type="http://schemas.openxmlformats.org/officeDocument/2006/relationships/hyperlink" Target="https://www.instagram.com/shahe_najaf121/" TargetMode="External"/><Relationship Id="rId2954" Type="http://schemas.openxmlformats.org/officeDocument/2006/relationships/hyperlink" Target="https://www.instagram.com/hoseyniye_ansar.ahar" TargetMode="External"/><Relationship Id="rId1624" Type="http://schemas.openxmlformats.org/officeDocument/2006/relationships/hyperlink" Target="https://ble.ir/shahe_najaf" TargetMode="External"/><Relationship Id="rId2955" Type="http://schemas.openxmlformats.org/officeDocument/2006/relationships/hyperlink" Target="https://www.instagram.com/levazeynab_ahar" TargetMode="External"/><Relationship Id="rId1625" Type="http://schemas.openxmlformats.org/officeDocument/2006/relationships/hyperlink" Target="https://www.instagram.com/ziarate_ashura/" TargetMode="External"/><Relationship Id="rId2956" Type="http://schemas.openxmlformats.org/officeDocument/2006/relationships/hyperlink" Target="https://www.instagram.com/jannatolhosein_ahar" TargetMode="External"/><Relationship Id="rId1626" Type="http://schemas.openxmlformats.org/officeDocument/2006/relationships/hyperlink" Target="https://t.me/ziarate_ashoora" TargetMode="External"/><Relationship Id="rId2957" Type="http://schemas.openxmlformats.org/officeDocument/2006/relationships/hyperlink" Target="https://www.instagram.com/sabzposhanealavi.ahar" TargetMode="External"/><Relationship Id="rId1627" Type="http://schemas.openxmlformats.org/officeDocument/2006/relationships/hyperlink" Target="https://ble.ir/ziarate_ashura" TargetMode="External"/><Relationship Id="rId2958" Type="http://schemas.openxmlformats.org/officeDocument/2006/relationships/hyperlink" Target="https://t.me/sabzposhanalavi1385" TargetMode="External"/><Relationship Id="rId918" Type="http://schemas.openxmlformats.org/officeDocument/2006/relationships/hyperlink" Target="https://www.instagram.com/motevaselin.info/" TargetMode="External"/><Relationship Id="rId1628" Type="http://schemas.openxmlformats.org/officeDocument/2006/relationships/hyperlink" Target="https://eitaa.com/ghararedel110" TargetMode="External"/><Relationship Id="rId2959" Type="http://schemas.openxmlformats.org/officeDocument/2006/relationships/hyperlink" Target="https://www.instagram.com/jan_nsaran.ahr/" TargetMode="External"/><Relationship Id="rId917" Type="http://schemas.openxmlformats.org/officeDocument/2006/relationships/hyperlink" Target="http://t.me/heyat14" TargetMode="External"/><Relationship Id="rId1629" Type="http://schemas.openxmlformats.org/officeDocument/2006/relationships/hyperlink" Target="https://www.instagram.com/heiat_janatolhasan/" TargetMode="External"/><Relationship Id="rId916" Type="http://schemas.openxmlformats.org/officeDocument/2006/relationships/hyperlink" Target="https://www.instagram.com/14masoume_tehran/" TargetMode="External"/><Relationship Id="rId915" Type="http://schemas.openxmlformats.org/officeDocument/2006/relationships/hyperlink" Target="https://www.instagram.com/heyate_nokarane_ahlebeyt/" TargetMode="External"/><Relationship Id="rId919" Type="http://schemas.openxmlformats.org/officeDocument/2006/relationships/hyperlink" Target="http://t.me/motevaselin_hazratabas" TargetMode="External"/><Relationship Id="rId910" Type="http://schemas.openxmlformats.org/officeDocument/2006/relationships/hyperlink" Target="https://www.instagram.com/heyatfatemie/" TargetMode="External"/><Relationship Id="rId914" Type="http://schemas.openxmlformats.org/officeDocument/2006/relationships/hyperlink" Target="http://tlgrm.me/hcmst" TargetMode="External"/><Relationship Id="rId913" Type="http://schemas.openxmlformats.org/officeDocument/2006/relationships/hyperlink" Target="https://www.instagram.com/hcmst_/" TargetMode="External"/><Relationship Id="rId912" Type="http://schemas.openxmlformats.org/officeDocument/2006/relationships/hyperlink" Target="https://www.instagram.com/hyt6391/" TargetMode="External"/><Relationship Id="rId911" Type="http://schemas.openxmlformats.org/officeDocument/2006/relationships/hyperlink" Target="https://www.instagram.com/beytozahraa/?" TargetMode="External"/><Relationship Id="rId2950" Type="http://schemas.openxmlformats.org/officeDocument/2006/relationships/hyperlink" Target="https://www.instagram.com/emame_mosabne_jafar" TargetMode="External"/><Relationship Id="rId2900" Type="http://schemas.openxmlformats.org/officeDocument/2006/relationships/hyperlink" Target="https://www.instagram.com/aghilatalarab_tb/" TargetMode="External"/><Relationship Id="rId2901" Type="http://schemas.openxmlformats.org/officeDocument/2006/relationships/hyperlink" Target="https://www.instagram.com/heiaat_gaem/" TargetMode="External"/><Relationship Id="rId2902" Type="http://schemas.openxmlformats.org/officeDocument/2006/relationships/hyperlink" Target="https://www.instagram.com/asheganealiakbar79/" TargetMode="External"/><Relationship Id="rId2903" Type="http://schemas.openxmlformats.org/officeDocument/2006/relationships/hyperlink" Target="https://www.instagram.com/zeinabietabriz/" TargetMode="External"/><Relationship Id="rId2904" Type="http://schemas.openxmlformats.org/officeDocument/2006/relationships/hyperlink" Target="https://www.instagram.com/hosseinebnali.ir/" TargetMode="External"/><Relationship Id="rId2905" Type="http://schemas.openxmlformats.org/officeDocument/2006/relationships/hyperlink" Target="https://www.instagram.com/samenolaemeh1/" TargetMode="External"/><Relationship Id="rId2906" Type="http://schemas.openxmlformats.org/officeDocument/2006/relationships/hyperlink" Target="https://www.instagram.com/heyat_ansarolmahditabriz/" TargetMode="External"/><Relationship Id="rId2907" Type="http://schemas.openxmlformats.org/officeDocument/2006/relationships/hyperlink" Target="https://www.instagram.com/sobhevesal_ir/" TargetMode="External"/><Relationship Id="rId2908" Type="http://schemas.openxmlformats.org/officeDocument/2006/relationships/hyperlink" Target="https://www.instagram.com/sarallahm/" TargetMode="External"/><Relationship Id="rId2909" Type="http://schemas.openxmlformats.org/officeDocument/2006/relationships/hyperlink" Target="http://t.me/sarallahm" TargetMode="External"/><Relationship Id="rId5170" Type="http://schemas.openxmlformats.org/officeDocument/2006/relationships/hyperlink" Target="https://www.instagram.com/anbarabad_city_council313" TargetMode="External"/><Relationship Id="rId5171" Type="http://schemas.openxmlformats.org/officeDocument/2006/relationships/hyperlink" Target="https://www.instagram.com/tazieh.saraye.fatemehzahra" TargetMode="External"/><Relationship Id="rId5174" Type="http://schemas.openxmlformats.org/officeDocument/2006/relationships/hyperlink" Target="https://www.instagram.com/shohada_gomnam_rabor" TargetMode="External"/><Relationship Id="rId5175" Type="http://schemas.openxmlformats.org/officeDocument/2006/relationships/hyperlink" Target="https://www.instagram.com/heyat_aliakbaar" TargetMode="External"/><Relationship Id="rId5172" Type="http://schemas.openxmlformats.org/officeDocument/2006/relationships/hyperlink" Target="https://www.instagram.com/saghakhane_abalfazl_zarand" TargetMode="External"/><Relationship Id="rId5173" Type="http://schemas.openxmlformats.org/officeDocument/2006/relationships/hyperlink" Target="https://eitaa.com/Sagha_Khaneh_Aballfazl" TargetMode="External"/><Relationship Id="rId5178" Type="http://schemas.openxmlformats.org/officeDocument/2006/relationships/hyperlink" Target="https://t.me/heiatasheghanheydarkararrafsanjn" TargetMode="External"/><Relationship Id="rId5179" Type="http://schemas.openxmlformats.org/officeDocument/2006/relationships/hyperlink" Target="https://www.instagram.com/heiatghamarbanihashem" TargetMode="External"/><Relationship Id="rId5176" Type="http://schemas.openxmlformats.org/officeDocument/2006/relationships/hyperlink" Target="https://www.instagram.com/heyat.karimahlebeyt" TargetMode="External"/><Relationship Id="rId5177" Type="http://schemas.openxmlformats.org/officeDocument/2006/relationships/hyperlink" Target="https://www.instagram.com/asheghan_heydarkarar" TargetMode="External"/><Relationship Id="rId6490" Type="http://schemas.openxmlformats.org/officeDocument/2006/relationships/hyperlink" Target="https://t.me/emamzadehheidarkaraj" TargetMode="External"/><Relationship Id="rId5160" Type="http://schemas.openxmlformats.org/officeDocument/2006/relationships/hyperlink" Target="https://t.me/darolsaghalein_tm" TargetMode="External"/><Relationship Id="rId6491" Type="http://schemas.openxmlformats.org/officeDocument/2006/relationships/hyperlink" Target="https://eitaa.com/em_heidar" TargetMode="External"/><Relationship Id="rId5163" Type="http://schemas.openxmlformats.org/officeDocument/2006/relationships/hyperlink" Target="https://t.me/Behaaldin_golzar" TargetMode="External"/><Relationship Id="rId6494" Type="http://schemas.openxmlformats.org/officeDocument/2006/relationships/hyperlink" Target="https://eitaa.com/Ahbabolemam_fardis" TargetMode="External"/><Relationship Id="rId5164" Type="http://schemas.openxmlformats.org/officeDocument/2006/relationships/hyperlink" Target="https://www.instagram.com/heyat_razmandegan_kerman" TargetMode="External"/><Relationship Id="rId6495" Type="http://schemas.openxmlformats.org/officeDocument/2006/relationships/hyperlink" Target="https://www.instagram.com/fatemion_hashtgerd/" TargetMode="External"/><Relationship Id="rId5161" Type="http://schemas.openxmlformats.org/officeDocument/2006/relationships/hyperlink" Target="https://eitaa.com/darolsaghalein" TargetMode="External"/><Relationship Id="rId6492" Type="http://schemas.openxmlformats.org/officeDocument/2006/relationships/hyperlink" Target="https://www.instagram.com/etehadye_alborz/" TargetMode="External"/><Relationship Id="rId5162" Type="http://schemas.openxmlformats.org/officeDocument/2006/relationships/hyperlink" Target="https://www.instagram.com/behaaldin_golzar" TargetMode="External"/><Relationship Id="rId6493" Type="http://schemas.openxmlformats.org/officeDocument/2006/relationships/hyperlink" Target="https://www.instagram.com/fadaeian_mahdi.ir" TargetMode="External"/><Relationship Id="rId5167" Type="http://schemas.openxmlformats.org/officeDocument/2006/relationships/hyperlink" Target="https://www.instagram.com/sahebolamr_ir" TargetMode="External"/><Relationship Id="rId6498" Type="http://schemas.openxmlformats.org/officeDocument/2006/relationships/hyperlink" Target="https://l.instagram.com/?u=https%3A%2F%2Ft.me%2Fjoinchat%2FBLe4mkLCUpJ_NrDpkXq4JQ%3Futm_source%3Dig%26utm_medium%3Dsocial%26utm_content%3Dlink_in_bio%26fbclid%3DPAZXh0bgNhZW0CMTEAc3J0YwZhcHBfaWQMMjU2MjgxMDQwNTU4AAGnRDoGeAlx3BfuqJIcdTjddyG62umqlFU7UZRsEvQMmAc39wXuX2AyD7FI4I4_aem_AyD9Unx8xJntxug39DQKGQ&amp;e=AT2Dh8V58yPK0TgRPwsyM6ILVyMK5_0Cw28u-VD9tsqhy2cJDsSDNFQDGNFQyZZBOP6Mxzi_G6AZXqEiIHwiYQjnl3haewBfjDJry_zQgg" TargetMode="External"/><Relationship Id="rId5168" Type="http://schemas.openxmlformats.org/officeDocument/2006/relationships/hyperlink" Target="https://www.instagram.com/ansarolmahdi_kerman" TargetMode="External"/><Relationship Id="rId6499" Type="http://schemas.openxmlformats.org/officeDocument/2006/relationships/hyperlink" Target="https://www.instagram.com/ghasemiyounn" TargetMode="External"/><Relationship Id="rId5165" Type="http://schemas.openxmlformats.org/officeDocument/2006/relationships/hyperlink" Target="https://t.me/razmandegan_eslam_kerman" TargetMode="External"/><Relationship Id="rId6496" Type="http://schemas.openxmlformats.org/officeDocument/2006/relationships/hyperlink" Target="https://t.me/fatemion_hashtgerd" TargetMode="External"/><Relationship Id="rId5166" Type="http://schemas.openxmlformats.org/officeDocument/2006/relationships/hyperlink" Target="https://eitaa.com/kanoonemb" TargetMode="External"/><Relationship Id="rId6497" Type="http://schemas.openxmlformats.org/officeDocument/2006/relationships/hyperlink" Target="https://www.instagram.com/ghamar_bani.hashem/" TargetMode="External"/><Relationship Id="rId5169" Type="http://schemas.openxmlformats.org/officeDocument/2006/relationships/hyperlink" Target="https://eitaa.com/ansarolmahdi_kerman" TargetMode="External"/><Relationship Id="rId2920" Type="http://schemas.openxmlformats.org/officeDocument/2006/relationships/hyperlink" Target="https://www.instagram.com/heyatemohammadrasolallah/" TargetMode="External"/><Relationship Id="rId2921" Type="http://schemas.openxmlformats.org/officeDocument/2006/relationships/hyperlink" Target="https://www.instagram.com/ansaralhusseintabriz/" TargetMode="External"/><Relationship Id="rId2922" Type="http://schemas.openxmlformats.org/officeDocument/2006/relationships/hyperlink" Target="http://t.me/ansaralhussaintabriz" TargetMode="External"/><Relationship Id="rId2923" Type="http://schemas.openxmlformats.org/officeDocument/2006/relationships/hyperlink" Target="https://www.instagram.com/heyate_almahdi/" TargetMode="External"/><Relationship Id="rId2924" Type="http://schemas.openxmlformats.org/officeDocument/2006/relationships/hyperlink" Target="http://t.me/heyateealmahdi" TargetMode="External"/><Relationship Id="rId2925" Type="http://schemas.openxmlformats.org/officeDocument/2006/relationships/hyperlink" Target="http://eitaa.com/heyatealmahdi" TargetMode="External"/><Relationship Id="rId2926" Type="http://schemas.openxmlformats.org/officeDocument/2006/relationships/hyperlink" Target="https://www.instagram.com/varesan_sarallah/" TargetMode="External"/><Relationship Id="rId2927" Type="http://schemas.openxmlformats.org/officeDocument/2006/relationships/hyperlink" Target="http://eitaa.com/varesansarallah" TargetMode="External"/><Relationship Id="rId2928" Type="http://schemas.openxmlformats.org/officeDocument/2006/relationships/hyperlink" Target="https://www.instagram.com/maktabalshohada_tb/" TargetMode="External"/><Relationship Id="rId2929" Type="http://schemas.openxmlformats.org/officeDocument/2006/relationships/hyperlink" Target="http://eitaa.com/maktab_alshouhada" TargetMode="External"/><Relationship Id="rId5192" Type="http://schemas.openxmlformats.org/officeDocument/2006/relationships/hyperlink" Target="https://www.instagram.com/masjed.meshkatalrasol" TargetMode="External"/><Relationship Id="rId5193" Type="http://schemas.openxmlformats.org/officeDocument/2006/relationships/hyperlink" Target="https://eitaa.com/meshkatalrasool" TargetMode="External"/><Relationship Id="rId5190" Type="http://schemas.openxmlformats.org/officeDocument/2006/relationships/hyperlink" Target="https://www.instagram.com/heiat.abaabdelah" TargetMode="External"/><Relationship Id="rId5191" Type="http://schemas.openxmlformats.org/officeDocument/2006/relationships/hyperlink" Target="https://www.instagram.com/heyaatozahra1383" TargetMode="External"/><Relationship Id="rId5196" Type="http://schemas.openxmlformats.org/officeDocument/2006/relationships/hyperlink" Target="https://eitaa.com/heyatrahrovan" TargetMode="External"/><Relationship Id="rId5197" Type="http://schemas.openxmlformats.org/officeDocument/2006/relationships/hyperlink" Target="https://www.instagram.com/teshnegan_live" TargetMode="External"/><Relationship Id="rId5194" Type="http://schemas.openxmlformats.org/officeDocument/2006/relationships/hyperlink" Target="https://www.instagram.com/banooyebineshanemadineh" TargetMode="External"/><Relationship Id="rId5195" Type="http://schemas.openxmlformats.org/officeDocument/2006/relationships/hyperlink" Target="https://www.instagram.com/aeeneh_khaneh" TargetMode="External"/><Relationship Id="rId5198" Type="http://schemas.openxmlformats.org/officeDocument/2006/relationships/hyperlink" Target="https://eitaa.com/yaranebiriyaa" TargetMode="External"/><Relationship Id="rId5199" Type="http://schemas.openxmlformats.org/officeDocument/2006/relationships/hyperlink" Target="https://www.instagram.com/heyat.saralah.kouhbanan" TargetMode="External"/><Relationship Id="rId2910" Type="http://schemas.openxmlformats.org/officeDocument/2006/relationships/hyperlink" Target="https://www.instagram.com/rauofealetaha_ir/" TargetMode="External"/><Relationship Id="rId2911" Type="http://schemas.openxmlformats.org/officeDocument/2006/relationships/hyperlink" Target="https://www.instagram.com/ashegane_velayat_tabriz/" TargetMode="External"/><Relationship Id="rId2912" Type="http://schemas.openxmlformats.org/officeDocument/2006/relationships/hyperlink" Target="https://www.instagram.com/bentolhossein_tb/" TargetMode="External"/><Relationship Id="rId2913" Type="http://schemas.openxmlformats.org/officeDocument/2006/relationships/hyperlink" Target="https://www.instagram.com/montazeranemahdi.tb/" TargetMode="External"/><Relationship Id="rId2914" Type="http://schemas.openxmlformats.org/officeDocument/2006/relationships/hyperlink" Target="https://www.instagram.com/eheyat_azsh/" TargetMode="External"/><Relationship Id="rId2915" Type="http://schemas.openxmlformats.org/officeDocument/2006/relationships/hyperlink" Target="https://www.instagram.com/heyat_ghamarbani_hashem_tabriz/" TargetMode="External"/><Relationship Id="rId2916" Type="http://schemas.openxmlformats.org/officeDocument/2006/relationships/hyperlink" Target="https://www.instagram.com/asheganeseidalshohada/" TargetMode="External"/><Relationship Id="rId2917" Type="http://schemas.openxmlformats.org/officeDocument/2006/relationships/hyperlink" Target="http://telegram.me/AsheganeSeidAlshohada" TargetMode="External"/><Relationship Id="rId2918" Type="http://schemas.openxmlformats.org/officeDocument/2006/relationships/hyperlink" Target="https://www.instagram.com/shohadayegomnam.tabriz/" TargetMode="External"/><Relationship Id="rId2919" Type="http://schemas.openxmlformats.org/officeDocument/2006/relationships/hyperlink" Target="https://eitaa.com/shohadayeghomnamT" TargetMode="External"/><Relationship Id="rId5181" Type="http://schemas.openxmlformats.org/officeDocument/2006/relationships/hyperlink" Target="https://www.instagram.com/mahdieh_rafsanjan" TargetMode="External"/><Relationship Id="rId5182" Type="http://schemas.openxmlformats.org/officeDocument/2006/relationships/hyperlink" Target="https://www.instagram.com/heyat.ashghanaliasghar" TargetMode="External"/><Relationship Id="rId5180" Type="http://schemas.openxmlformats.org/officeDocument/2006/relationships/hyperlink" Target="https://t.me/ghamarbanihashembaghin" TargetMode="External"/><Relationship Id="rId5185" Type="http://schemas.openxmlformats.org/officeDocument/2006/relationships/hyperlink" Target="https://www.instagram.com/hoseiniehseyedebrahimi" TargetMode="External"/><Relationship Id="rId5186" Type="http://schemas.openxmlformats.org/officeDocument/2006/relationships/hyperlink" Target="https://t.me/hmse1" TargetMode="External"/><Relationship Id="rId5183" Type="http://schemas.openxmlformats.org/officeDocument/2006/relationships/hyperlink" Target="https://eitaa.com/Najvaye_lea" TargetMode="External"/><Relationship Id="rId5184" Type="http://schemas.openxmlformats.org/officeDocument/2006/relationships/hyperlink" Target="https://www.instagram.com/emam_reza_baft" TargetMode="External"/><Relationship Id="rId5189" Type="http://schemas.openxmlformats.org/officeDocument/2006/relationships/hyperlink" Target="https://www.instagram.com/heyat.abalfazl_" TargetMode="External"/><Relationship Id="rId5187" Type="http://schemas.openxmlformats.org/officeDocument/2006/relationships/hyperlink" Target="https://www.instagram.com/heyathazratabolfazlbardsir" TargetMode="External"/><Relationship Id="rId5188" Type="http://schemas.openxmlformats.org/officeDocument/2006/relationships/hyperlink" Target="https://www.instagram.com/heiat_abolfazl_kerman" TargetMode="External"/><Relationship Id="rId1697" Type="http://schemas.openxmlformats.org/officeDocument/2006/relationships/hyperlink" Target="https://www.instagram.com/mohebin_tmu/" TargetMode="External"/><Relationship Id="rId1698" Type="http://schemas.openxmlformats.org/officeDocument/2006/relationships/hyperlink" Target="https://t.me/mohebbin_tmu" TargetMode="External"/><Relationship Id="rId1699" Type="http://schemas.openxmlformats.org/officeDocument/2006/relationships/hyperlink" Target="https://eitaa.com/mohebbin_tmu" TargetMode="External"/><Relationship Id="rId866" Type="http://schemas.openxmlformats.org/officeDocument/2006/relationships/hyperlink" Target="https://www.instagram.com/ghamare_bani_hashem__/" TargetMode="External"/><Relationship Id="rId865" Type="http://schemas.openxmlformats.org/officeDocument/2006/relationships/hyperlink" Target="http://t.me/heyat_mohebanozahra" TargetMode="External"/><Relationship Id="rId864" Type="http://schemas.openxmlformats.org/officeDocument/2006/relationships/hyperlink" Target="https://www.instagram.com/heyat.mohebanozahra/" TargetMode="External"/><Relationship Id="rId863" Type="http://schemas.openxmlformats.org/officeDocument/2006/relationships/hyperlink" Target="https://www.instagram.com/motvaslin_315/" TargetMode="External"/><Relationship Id="rId869" Type="http://schemas.openxmlformats.org/officeDocument/2006/relationships/hyperlink" Target="http://instagram.com/fatemieh_info/" TargetMode="External"/><Relationship Id="rId868" Type="http://schemas.openxmlformats.org/officeDocument/2006/relationships/hyperlink" Target="https://www.instagram.com/heyat_ali_asghar/" TargetMode="External"/><Relationship Id="rId867" Type="http://schemas.openxmlformats.org/officeDocument/2006/relationships/hyperlink" Target="https://www.instagram.com/sadramosque/" TargetMode="External"/><Relationship Id="rId1690" Type="http://schemas.openxmlformats.org/officeDocument/2006/relationships/hyperlink" Target="https://www.instagram.com/mohebban69.ir/" TargetMode="External"/><Relationship Id="rId1691" Type="http://schemas.openxmlformats.org/officeDocument/2006/relationships/hyperlink" Target="https://eitaa.com/moheban69" TargetMode="External"/><Relationship Id="rId1692" Type="http://schemas.openxmlformats.org/officeDocument/2006/relationships/hyperlink" Target="https://www.instagram.com/mohhebban_al_hosein/" TargetMode="External"/><Relationship Id="rId862" Type="http://schemas.openxmlformats.org/officeDocument/2006/relationships/hyperlink" Target="https://www.instagram.com/hasan_ebne_ali/" TargetMode="External"/><Relationship Id="rId1693" Type="http://schemas.openxmlformats.org/officeDocument/2006/relationships/hyperlink" Target="https://t.me/kaffollabbas" TargetMode="External"/><Relationship Id="rId861" Type="http://schemas.openxmlformats.org/officeDocument/2006/relationships/hyperlink" Target="http://t.me/heyat_fatemata_zahra" TargetMode="External"/><Relationship Id="rId1694" Type="http://schemas.openxmlformats.org/officeDocument/2006/relationships/hyperlink" Target="https://eitaa.com/mohebban_alhosein" TargetMode="External"/><Relationship Id="rId860" Type="http://schemas.openxmlformats.org/officeDocument/2006/relationships/hyperlink" Target="https://www.instagram.com/heyat.fatematazahra/" TargetMode="External"/><Relationship Id="rId1695" Type="http://schemas.openxmlformats.org/officeDocument/2006/relationships/hyperlink" Target="https://www.instagram.com/mohebbanozahra.ir/" TargetMode="External"/><Relationship Id="rId1696" Type="http://schemas.openxmlformats.org/officeDocument/2006/relationships/hyperlink" Target="https://eitaa.com/mohebbaniha" TargetMode="External"/><Relationship Id="rId1686" Type="http://schemas.openxmlformats.org/officeDocument/2006/relationships/hyperlink" Target="https://eitaa.com/meftah_net" TargetMode="External"/><Relationship Id="rId1687" Type="http://schemas.openxmlformats.org/officeDocument/2006/relationships/hyperlink" Target="https://www.instagram.com/moez_org/" TargetMode="External"/><Relationship Id="rId1688" Type="http://schemas.openxmlformats.org/officeDocument/2006/relationships/hyperlink" Target="https://t.me/moez_org" TargetMode="External"/><Relationship Id="rId1689" Type="http://schemas.openxmlformats.org/officeDocument/2006/relationships/hyperlink" Target="https://eitaa.com/moez_org" TargetMode="External"/><Relationship Id="rId855" Type="http://schemas.openxmlformats.org/officeDocument/2006/relationships/hyperlink" Target="http://heyatolmahdi.ir" TargetMode="External"/><Relationship Id="rId854" Type="http://schemas.openxmlformats.org/officeDocument/2006/relationships/hyperlink" Target="https://www.instagram.com/heyatolmahdi_ir/" TargetMode="External"/><Relationship Id="rId853" Type="http://schemas.openxmlformats.org/officeDocument/2006/relationships/hyperlink" Target="http://t.me/seyedolshohada19" TargetMode="External"/><Relationship Id="rId852" Type="http://schemas.openxmlformats.org/officeDocument/2006/relationships/hyperlink" Target="https://www.instagram.com/heyate_seyedolshohada19/" TargetMode="External"/><Relationship Id="rId859" Type="http://schemas.openxmlformats.org/officeDocument/2006/relationships/hyperlink" Target="http://t.me/payamghadyr_parvareshi" TargetMode="External"/><Relationship Id="rId858" Type="http://schemas.openxmlformats.org/officeDocument/2006/relationships/hyperlink" Target="https://www.instagram.com/rahrovanghadyr/" TargetMode="External"/><Relationship Id="rId857" Type="http://schemas.openxmlformats.org/officeDocument/2006/relationships/hyperlink" Target="http://t.me/ghamarbanihashem79" TargetMode="External"/><Relationship Id="rId856" Type="http://schemas.openxmlformats.org/officeDocument/2006/relationships/hyperlink" Target="https://www.instagram.com/ghamarebanihashem79/" TargetMode="External"/><Relationship Id="rId1680" Type="http://schemas.openxmlformats.org/officeDocument/2006/relationships/hyperlink" Target="https://eitaa.com/mahfel_mahehashemion" TargetMode="External"/><Relationship Id="rId1681" Type="http://schemas.openxmlformats.org/officeDocument/2006/relationships/hyperlink" Target="https://www.instagram.com/heiatoalzahra/" TargetMode="External"/><Relationship Id="rId851" Type="http://schemas.openxmlformats.org/officeDocument/2006/relationships/hyperlink" Target="https://www.instagram.com/seyed__shohada/" TargetMode="External"/><Relationship Id="rId1682" Type="http://schemas.openxmlformats.org/officeDocument/2006/relationships/hyperlink" Target="https://t.me/heiatoalzahra213" TargetMode="External"/><Relationship Id="rId850" Type="http://schemas.openxmlformats.org/officeDocument/2006/relationships/hyperlink" Target="https://www.instagram.com/heyaat_ansarolmahdi/" TargetMode="External"/><Relationship Id="rId1683" Type="http://schemas.openxmlformats.org/officeDocument/2006/relationships/hyperlink" Target="https://eitaa.com/masjedaliasghar" TargetMode="External"/><Relationship Id="rId1684" Type="http://schemas.openxmlformats.org/officeDocument/2006/relationships/hyperlink" Target="https://www.instagram.com/meftah_net" TargetMode="External"/><Relationship Id="rId1685" Type="http://schemas.openxmlformats.org/officeDocument/2006/relationships/hyperlink" Target="https://t.me/meftah_net" TargetMode="External"/><Relationship Id="rId888" Type="http://schemas.openxmlformats.org/officeDocument/2006/relationships/hyperlink" Target="http://youtube.com/@BeyteKhoddam?si=6Kfixc0IdSTeEZ_v" TargetMode="External"/><Relationship Id="rId887" Type="http://schemas.openxmlformats.org/officeDocument/2006/relationships/hyperlink" Target="https://www.instagram.com/beytekhoddam/" TargetMode="External"/><Relationship Id="rId886" Type="http://schemas.openxmlformats.org/officeDocument/2006/relationships/hyperlink" Target="https://www.instagram.com/heyatghamarbanihashem_faz3/" TargetMode="External"/><Relationship Id="rId885" Type="http://schemas.openxmlformats.org/officeDocument/2006/relationships/hyperlink" Target="http://t.me/heiatmohebbin213" TargetMode="External"/><Relationship Id="rId889" Type="http://schemas.openxmlformats.org/officeDocument/2006/relationships/hyperlink" Target="https://www.instagram.com/maktabolghaem.h/" TargetMode="External"/><Relationship Id="rId880" Type="http://schemas.openxmlformats.org/officeDocument/2006/relationships/hyperlink" Target="https://www.instagram.com/heyat_hazrat_roghaye315/" TargetMode="External"/><Relationship Id="rId884" Type="http://schemas.openxmlformats.org/officeDocument/2006/relationships/hyperlink" Target="https://www.instagram.com/heiat_mohebbin/" TargetMode="External"/><Relationship Id="rId883" Type="http://schemas.openxmlformats.org/officeDocument/2006/relationships/hyperlink" Target="http://t.me/alam_alhosain" TargetMode="External"/><Relationship Id="rId882" Type="http://schemas.openxmlformats.org/officeDocument/2006/relationships/hyperlink" Target="https://www.instagram.com/alam_alhosain/" TargetMode="External"/><Relationship Id="rId881" Type="http://schemas.openxmlformats.org/officeDocument/2006/relationships/hyperlink" Target="http://t.me/heyat_hazrat_roghaye315" TargetMode="External"/><Relationship Id="rId877" Type="http://schemas.openxmlformats.org/officeDocument/2006/relationships/hyperlink" Target="https://www.instagram.com/heyat_ghamare.banihashem1364/" TargetMode="External"/><Relationship Id="rId876" Type="http://schemas.openxmlformats.org/officeDocument/2006/relationships/hyperlink" Target="https://www.instagram.com/Azadaran_s_shohada/" TargetMode="External"/><Relationship Id="rId875" Type="http://schemas.openxmlformats.org/officeDocument/2006/relationships/hyperlink" Target="https://www.instagram.com/hoseiniealghame/" TargetMode="External"/><Relationship Id="rId874" Type="http://schemas.openxmlformats.org/officeDocument/2006/relationships/hyperlink" Target="http://t.me/oshagh_ol_reza" TargetMode="External"/><Relationship Id="rId879" Type="http://schemas.openxmlformats.org/officeDocument/2006/relationships/hyperlink" Target="http://t.me/ghamarebanihashem1348" TargetMode="External"/><Relationship Id="rId878" Type="http://schemas.openxmlformats.org/officeDocument/2006/relationships/hyperlink" Target="https://www.instagram.com/ghamarebanihashem1348/" TargetMode="External"/><Relationship Id="rId873" Type="http://schemas.openxmlformats.org/officeDocument/2006/relationships/hyperlink" Target="https://www.instagram.com/oshagh_ol_reza/" TargetMode="External"/><Relationship Id="rId872" Type="http://schemas.openxmlformats.org/officeDocument/2006/relationships/hyperlink" Target="https://www.instagram.com/heyat_sahebalzaman_rey/" TargetMode="External"/><Relationship Id="rId871" Type="http://schemas.openxmlformats.org/officeDocument/2006/relationships/hyperlink" Target="http://t.me/abulfazlabbas" TargetMode="External"/><Relationship Id="rId870" Type="http://schemas.openxmlformats.org/officeDocument/2006/relationships/hyperlink" Target="https://www.instagram.com/h.abulfazlabbas/" TargetMode="External"/><Relationship Id="rId1653" Type="http://schemas.openxmlformats.org/officeDocument/2006/relationships/hyperlink" Target="https://eitaa.com/heyatshohadanarmak" TargetMode="External"/><Relationship Id="rId2984" Type="http://schemas.openxmlformats.org/officeDocument/2006/relationships/hyperlink" Target="https://www.instagram.com/sarallah_fajr" TargetMode="External"/><Relationship Id="rId1654" Type="http://schemas.openxmlformats.org/officeDocument/2006/relationships/hyperlink" Target="https://www.instagram.com/hobinfo/" TargetMode="External"/><Relationship Id="rId2985" Type="http://schemas.openxmlformats.org/officeDocument/2006/relationships/hyperlink" Target="https://www.instagram.com/rahrovan_shohada79" TargetMode="External"/><Relationship Id="rId1655" Type="http://schemas.openxmlformats.org/officeDocument/2006/relationships/hyperlink" Target="https://t.me/hobinfo" TargetMode="External"/><Relationship Id="rId2986" Type="http://schemas.openxmlformats.org/officeDocument/2006/relationships/hyperlink" Target="https://eitaa.com/rahrovaneshohada79" TargetMode="External"/><Relationship Id="rId1656" Type="http://schemas.openxmlformats.org/officeDocument/2006/relationships/hyperlink" Target="https://eitaa.com/hobinfo" TargetMode="External"/><Relationship Id="rId2987" Type="http://schemas.openxmlformats.org/officeDocument/2006/relationships/hyperlink" Target="https://www.instagram.com/sarbaz_sheshmahe/" TargetMode="External"/><Relationship Id="rId1657" Type="http://schemas.openxmlformats.org/officeDocument/2006/relationships/hyperlink" Target="https://www.instagram.com/hossein_janam_ir/" TargetMode="External"/><Relationship Id="rId2988" Type="http://schemas.openxmlformats.org/officeDocument/2006/relationships/hyperlink" Target="https://t.me/sarbaze6mahe?" TargetMode="External"/><Relationship Id="rId1658" Type="http://schemas.openxmlformats.org/officeDocument/2006/relationships/hyperlink" Target="https://t.me/hossein_janam_ir" TargetMode="External"/><Relationship Id="rId2989" Type="http://schemas.openxmlformats.org/officeDocument/2006/relationships/hyperlink" Target="https://www.instagram.com/teflane_muslem" TargetMode="External"/><Relationship Id="rId1659" Type="http://schemas.openxmlformats.org/officeDocument/2006/relationships/hyperlink" Target="https://eitaa.com/hossein_janam_ir" TargetMode="External"/><Relationship Id="rId829" Type="http://schemas.openxmlformats.org/officeDocument/2006/relationships/hyperlink" Target="https://www.instagram.com/h_rahrovan_velayat/" TargetMode="External"/><Relationship Id="rId828" Type="http://schemas.openxmlformats.org/officeDocument/2006/relationships/hyperlink" Target="https://www.instagram.com/heyat_saralah1/" TargetMode="External"/><Relationship Id="rId827" Type="http://schemas.openxmlformats.org/officeDocument/2006/relationships/hyperlink" Target="https://www.instagram.com/saelane_ahlebeit/" TargetMode="External"/><Relationship Id="rId822" Type="http://schemas.openxmlformats.org/officeDocument/2006/relationships/hyperlink" Target="https://www.instagram.com/javadolaemme1389/" TargetMode="External"/><Relationship Id="rId821" Type="http://schemas.openxmlformats.org/officeDocument/2006/relationships/hyperlink" Target="https://www.instagram.com/heyatsahebalzamankahrizak/" TargetMode="External"/><Relationship Id="rId820" Type="http://schemas.openxmlformats.org/officeDocument/2006/relationships/hyperlink" Target="https://www.instagram.com/mosque_ahmadiye/" TargetMode="External"/><Relationship Id="rId826" Type="http://schemas.openxmlformats.org/officeDocument/2006/relationships/hyperlink" Target="http://t.me/j_sahebzamani" TargetMode="External"/><Relationship Id="rId825" Type="http://schemas.openxmlformats.org/officeDocument/2006/relationships/hyperlink" Target="https://www.instagram.com/j_sahebzamani/" TargetMode="External"/><Relationship Id="rId824" Type="http://schemas.openxmlformats.org/officeDocument/2006/relationships/hyperlink" Target="https://www.instagram.com/mohebbanozahraa/" TargetMode="External"/><Relationship Id="rId823" Type="http://schemas.openxmlformats.org/officeDocument/2006/relationships/hyperlink" Target="http://t.me/emamjavad1389" TargetMode="External"/><Relationship Id="rId2980" Type="http://schemas.openxmlformats.org/officeDocument/2006/relationships/hyperlink" Target="https://www.instagram.com/heyatereyhanatolrasuletabriz/" TargetMode="External"/><Relationship Id="rId1650" Type="http://schemas.openxmlformats.org/officeDocument/2006/relationships/hyperlink" Target="https://eitaa.com/heyatebeytalreza1001" TargetMode="External"/><Relationship Id="rId2981" Type="http://schemas.openxmlformats.org/officeDocument/2006/relationships/hyperlink" Target="https://www.instagram.com/heyat.seyyed.shouri" TargetMode="External"/><Relationship Id="rId1651" Type="http://schemas.openxmlformats.org/officeDocument/2006/relationships/hyperlink" Target="https://www.instagram.com/heyatshohadanarmak/" TargetMode="External"/><Relationship Id="rId2982" Type="http://schemas.openxmlformats.org/officeDocument/2006/relationships/hyperlink" Target="https://www.instagram.com/imamalimosque" TargetMode="External"/><Relationship Id="rId1652" Type="http://schemas.openxmlformats.org/officeDocument/2006/relationships/hyperlink" Target="https://t.me/heyatshohadanarmak" TargetMode="External"/><Relationship Id="rId2983" Type="http://schemas.openxmlformats.org/officeDocument/2006/relationships/hyperlink" Target="https://www.instagram.com/eheyat_azsh/" TargetMode="External"/><Relationship Id="rId1642" Type="http://schemas.openxmlformats.org/officeDocument/2006/relationships/hyperlink" Target="https://eitaa.com/heiatozahraa" TargetMode="External"/><Relationship Id="rId2973" Type="http://schemas.openxmlformats.org/officeDocument/2006/relationships/hyperlink" Target="https://www.instagram.com/hayet_baytolahzan_azarhsahr" TargetMode="External"/><Relationship Id="rId1643" Type="http://schemas.openxmlformats.org/officeDocument/2006/relationships/hyperlink" Target="https://www.instagram.com/heyat.iust.ac.ir/" TargetMode="External"/><Relationship Id="rId2974" Type="http://schemas.openxmlformats.org/officeDocument/2006/relationships/hyperlink" Target="https://www.instagram.com/abbasion_heyat" TargetMode="External"/><Relationship Id="rId1644" Type="http://schemas.openxmlformats.org/officeDocument/2006/relationships/hyperlink" Target="https://t.me/heyat_gomnam_iust" TargetMode="External"/><Relationship Id="rId2975" Type="http://schemas.openxmlformats.org/officeDocument/2006/relationships/hyperlink" Target="https://t.me/Abbasion_heyat" TargetMode="External"/><Relationship Id="rId1645" Type="http://schemas.openxmlformats.org/officeDocument/2006/relationships/hyperlink" Target="https://eitaa.com/heyat_gomnam_iust" TargetMode="External"/><Relationship Id="rId2976" Type="http://schemas.openxmlformats.org/officeDocument/2006/relationships/hyperlink" Target="https://eitaa.com/abbasion_heyat" TargetMode="External"/><Relationship Id="rId1646" Type="http://schemas.openxmlformats.org/officeDocument/2006/relationships/hyperlink" Target="https://ble.ir/heyat_gomnam_iust" TargetMode="External"/><Relationship Id="rId2977" Type="http://schemas.openxmlformats.org/officeDocument/2006/relationships/hyperlink" Target="https://www.youtube.com/@heyat_abbasion" TargetMode="External"/><Relationship Id="rId1647" Type="http://schemas.openxmlformats.org/officeDocument/2006/relationships/hyperlink" Target="https://eitaa.com/heyat_koodak" TargetMode="External"/><Relationship Id="rId2978" Type="http://schemas.openxmlformats.org/officeDocument/2006/relationships/hyperlink" Target="https://www.instagram.com/levaolmahdi_1/" TargetMode="External"/><Relationship Id="rId1648" Type="http://schemas.openxmlformats.org/officeDocument/2006/relationships/hyperlink" Target="https://www.instagram.com/heyatebeytalreza1001/" TargetMode="External"/><Relationship Id="rId2979" Type="http://schemas.openxmlformats.org/officeDocument/2006/relationships/hyperlink" Target="https://t.me/levaolmahdi_1" TargetMode="External"/><Relationship Id="rId1649" Type="http://schemas.openxmlformats.org/officeDocument/2006/relationships/hyperlink" Target="https://t.me/heyatebeytalreza1001" TargetMode="External"/><Relationship Id="rId819" Type="http://schemas.openxmlformats.org/officeDocument/2006/relationships/hyperlink" Target="http://t.me/mohebbanolaemeh" TargetMode="External"/><Relationship Id="rId818" Type="http://schemas.openxmlformats.org/officeDocument/2006/relationships/hyperlink" Target="https://www.instagram.com/mohebbanolaemeh/" TargetMode="External"/><Relationship Id="rId817" Type="http://schemas.openxmlformats.org/officeDocument/2006/relationships/hyperlink" Target="http://t.me/sedreh_info128" TargetMode="External"/><Relationship Id="rId816" Type="http://schemas.openxmlformats.org/officeDocument/2006/relationships/hyperlink" Target="https://www.instagram.com/sedreh__info/" TargetMode="External"/><Relationship Id="rId811" Type="http://schemas.openxmlformats.org/officeDocument/2006/relationships/hyperlink" Target="https://www.instagram.com/emamhasan118ir/" TargetMode="External"/><Relationship Id="rId810" Type="http://schemas.openxmlformats.org/officeDocument/2006/relationships/hyperlink" Target="http://t.me/saajjad_mohammadi" TargetMode="External"/><Relationship Id="rId815" Type="http://schemas.openxmlformats.org/officeDocument/2006/relationships/hyperlink" Target="https://www.instagram.com/heiat_jannecaran_1305/" TargetMode="External"/><Relationship Id="rId814" Type="http://schemas.openxmlformats.org/officeDocument/2006/relationships/hyperlink" Target="https://www.instagram.com/heiat_mohebban_hossein/" TargetMode="External"/><Relationship Id="rId813" Type="http://schemas.openxmlformats.org/officeDocument/2006/relationships/hyperlink" Target="https://t.me/maktaboshohada1375" TargetMode="External"/><Relationship Id="rId812" Type="http://schemas.openxmlformats.org/officeDocument/2006/relationships/hyperlink" Target="https://www.instagram.com/maktab.ashohada/" TargetMode="External"/><Relationship Id="rId2970" Type="http://schemas.openxmlformats.org/officeDocument/2006/relationships/hyperlink" Target="https://www.instagram.com/heyat_maktabzahra_azarshahr" TargetMode="External"/><Relationship Id="rId1640" Type="http://schemas.openxmlformats.org/officeDocument/2006/relationships/hyperlink" Target="https://www.instagram.com/heiatozahraa/" TargetMode="External"/><Relationship Id="rId2971" Type="http://schemas.openxmlformats.org/officeDocument/2006/relationships/hyperlink" Target="https://t.me/maktabzahra" TargetMode="External"/><Relationship Id="rId1641" Type="http://schemas.openxmlformats.org/officeDocument/2006/relationships/hyperlink" Target="https://t.me/heiatozahraa" TargetMode="External"/><Relationship Id="rId2972" Type="http://schemas.openxmlformats.org/officeDocument/2006/relationships/hyperlink" Target="https://www.instagram.com/heyat_akbarye_gogan" TargetMode="External"/><Relationship Id="rId1675" Type="http://schemas.openxmlformats.org/officeDocument/2006/relationships/hyperlink" Target="https://t.me/maheharaminfo" TargetMode="External"/><Relationship Id="rId1676" Type="http://schemas.openxmlformats.org/officeDocument/2006/relationships/hyperlink" Target="https://eitaa.com/maheharaminfo" TargetMode="External"/><Relationship Id="rId1677" Type="http://schemas.openxmlformats.org/officeDocument/2006/relationships/hyperlink" Target="https://www.maheharam.info/" TargetMode="External"/><Relationship Id="rId1678" Type="http://schemas.openxmlformats.org/officeDocument/2006/relationships/hyperlink" Target="https://www.instagram.com/mahfel_mahe_hashemion/" TargetMode="External"/><Relationship Id="rId1679" Type="http://schemas.openxmlformats.org/officeDocument/2006/relationships/hyperlink" Target="https://t.me/mahfel_mahe_hashemion" TargetMode="External"/><Relationship Id="rId849" Type="http://schemas.openxmlformats.org/officeDocument/2006/relationships/hyperlink" Target="https://www.instagram.com/heat_ali.akbar/" TargetMode="External"/><Relationship Id="rId844" Type="http://schemas.openxmlformats.org/officeDocument/2006/relationships/hyperlink" Target="https://www.instagram.com/heyate_harandiha1342/" TargetMode="External"/><Relationship Id="rId843" Type="http://schemas.openxmlformats.org/officeDocument/2006/relationships/hyperlink" Target="http://t.me/heyatansaralabastehran" TargetMode="External"/><Relationship Id="rId842" Type="http://schemas.openxmlformats.org/officeDocument/2006/relationships/hyperlink" Target="https://www.instagram.com/heyatansarolabbas.tehran/" TargetMode="External"/><Relationship Id="rId841" Type="http://schemas.openxmlformats.org/officeDocument/2006/relationships/hyperlink" Target="https://www.instagram.com/h.karimeahlebeyt.h/" TargetMode="External"/><Relationship Id="rId848" Type="http://schemas.openxmlformats.org/officeDocument/2006/relationships/hyperlink" Target="https://www.instagram.com/qoran_va_etrat/" TargetMode="External"/><Relationship Id="rId847" Type="http://schemas.openxmlformats.org/officeDocument/2006/relationships/hyperlink" Target="http://t.me/alamdar_22" TargetMode="External"/><Relationship Id="rId846" Type="http://schemas.openxmlformats.org/officeDocument/2006/relationships/hyperlink" Target="https://www.instagram.com/alamdar__22/" TargetMode="External"/><Relationship Id="rId845" Type="http://schemas.openxmlformats.org/officeDocument/2006/relationships/hyperlink" Target="http://t.me/harandiha1342" TargetMode="External"/><Relationship Id="rId1670" Type="http://schemas.openxmlformats.org/officeDocument/2006/relationships/hyperlink" Target="https://eitaa.com/madhmola" TargetMode="External"/><Relationship Id="rId840" Type="http://schemas.openxmlformats.org/officeDocument/2006/relationships/hyperlink" Target="https://www.instagram.com/mohebin31/" TargetMode="External"/><Relationship Id="rId1671" Type="http://schemas.openxmlformats.org/officeDocument/2006/relationships/hyperlink" Target="https://www.instagram.com/mahdaviye_info/" TargetMode="External"/><Relationship Id="rId1672" Type="http://schemas.openxmlformats.org/officeDocument/2006/relationships/hyperlink" Target="https://t.me/Mahdaviye_info" TargetMode="External"/><Relationship Id="rId1673" Type="http://schemas.openxmlformats.org/officeDocument/2006/relationships/hyperlink" Target="https://eitaa.com/mahdaviye_info" TargetMode="External"/><Relationship Id="rId1674" Type="http://schemas.openxmlformats.org/officeDocument/2006/relationships/hyperlink" Target="https://www.instagram.com/maheharam.media" TargetMode="External"/><Relationship Id="rId1664" Type="http://schemas.openxmlformats.org/officeDocument/2006/relationships/hyperlink" Target="https://eitaa.com/hovalawal" TargetMode="External"/><Relationship Id="rId2995" Type="http://schemas.openxmlformats.org/officeDocument/2006/relationships/hyperlink" Target="https://www.instagram.com/bouria_ir" TargetMode="External"/><Relationship Id="rId1665" Type="http://schemas.openxmlformats.org/officeDocument/2006/relationships/hyperlink" Target="http://bale.ir/huvalawal" TargetMode="External"/><Relationship Id="rId2996" Type="http://schemas.openxmlformats.org/officeDocument/2006/relationships/hyperlink" Target="https://t.me/bouria" TargetMode="External"/><Relationship Id="rId1666" Type="http://schemas.openxmlformats.org/officeDocument/2006/relationships/hyperlink" Target="https://www.instagram.com/kolsomiyeh/" TargetMode="External"/><Relationship Id="rId2997" Type="http://schemas.openxmlformats.org/officeDocument/2006/relationships/hyperlink" Target="https://www.instagram.com/maktab_azahra" TargetMode="External"/><Relationship Id="rId1667" Type="http://schemas.openxmlformats.org/officeDocument/2006/relationships/hyperlink" Target="https://eitaa.com/kolsomiyeh_169" TargetMode="External"/><Relationship Id="rId2998" Type="http://schemas.openxmlformats.org/officeDocument/2006/relationships/hyperlink" Target="https://eitaa.com/maktabezahra1401" TargetMode="External"/><Relationship Id="rId1668" Type="http://schemas.openxmlformats.org/officeDocument/2006/relationships/hyperlink" Target="https://www.instagram.com/madhmola/" TargetMode="External"/><Relationship Id="rId2999" Type="http://schemas.openxmlformats.org/officeDocument/2006/relationships/hyperlink" Target="https://t.me/mannokarehoseinam" TargetMode="External"/><Relationship Id="rId1669" Type="http://schemas.openxmlformats.org/officeDocument/2006/relationships/hyperlink" Target="https://t.me/madhmola110" TargetMode="External"/><Relationship Id="rId839" Type="http://schemas.openxmlformats.org/officeDocument/2006/relationships/hyperlink" Target="http://t.me/beytoroghayeh_315" TargetMode="External"/><Relationship Id="rId838" Type="http://schemas.openxmlformats.org/officeDocument/2006/relationships/hyperlink" Target="https://www.instagram.com/beytoroghayeh_315/" TargetMode="External"/><Relationship Id="rId833" Type="http://schemas.openxmlformats.org/officeDocument/2006/relationships/hyperlink" Target="https://www.instagram.com/heyaat.omolbanin.officiall/" TargetMode="External"/><Relationship Id="rId832" Type="http://schemas.openxmlformats.org/officeDocument/2006/relationships/hyperlink" Target="https://eitaa.com/torbat89" TargetMode="External"/><Relationship Id="rId831" Type="http://schemas.openxmlformats.org/officeDocument/2006/relationships/hyperlink" Target="https://www.instagram.com/heyate_abalfazl_sharghe_tehran/" TargetMode="External"/><Relationship Id="rId830" Type="http://schemas.openxmlformats.org/officeDocument/2006/relationships/hyperlink" Target="https://www.instagram.com/shahidatoot/" TargetMode="External"/><Relationship Id="rId837" Type="http://schemas.openxmlformats.org/officeDocument/2006/relationships/hyperlink" Target="http://tlgrm.me/shahenajf110" TargetMode="External"/><Relationship Id="rId836" Type="http://schemas.openxmlformats.org/officeDocument/2006/relationships/hyperlink" Target="https://www.instagram.com/shahnajaf110/" TargetMode="External"/><Relationship Id="rId835" Type="http://schemas.openxmlformats.org/officeDocument/2006/relationships/hyperlink" Target="https://www.instagram.com/sabatioun/" TargetMode="External"/><Relationship Id="rId834" Type="http://schemas.openxmlformats.org/officeDocument/2006/relationships/hyperlink" Target="https://www.instagram.com/sepahsalar_video/" TargetMode="External"/><Relationship Id="rId2990" Type="http://schemas.openxmlformats.org/officeDocument/2006/relationships/hyperlink" Target="https://t.me/teflane_muslem_tbz1" TargetMode="External"/><Relationship Id="rId1660" Type="http://schemas.openxmlformats.org/officeDocument/2006/relationships/hyperlink" Target="https://www.instagram.com/hossein_janam_ir/" TargetMode="External"/><Relationship Id="rId2991" Type="http://schemas.openxmlformats.org/officeDocument/2006/relationships/hyperlink" Target="https://www.instagram.com/masjed_jame_bostanabad" TargetMode="External"/><Relationship Id="rId1661" Type="http://schemas.openxmlformats.org/officeDocument/2006/relationships/hyperlink" Target="https://t.me/hossein_janam_ir" TargetMode="External"/><Relationship Id="rId2992" Type="http://schemas.openxmlformats.org/officeDocument/2006/relationships/hyperlink" Target="https://www.instagram.com/masjed_hazrat_abolfazl_1354/" TargetMode="External"/><Relationship Id="rId1662" Type="http://schemas.openxmlformats.org/officeDocument/2006/relationships/hyperlink" Target="https://eitaa.com/hossein_janam_ir" TargetMode="External"/><Relationship Id="rId2993" Type="http://schemas.openxmlformats.org/officeDocument/2006/relationships/hyperlink" Target="https://www.instagram.com/h.javanan.hazrat.abolfazl/" TargetMode="External"/><Relationship Id="rId1663" Type="http://schemas.openxmlformats.org/officeDocument/2006/relationships/hyperlink" Target="https://www.instagram.com/hovalawal/" TargetMode="External"/><Relationship Id="rId2994" Type="http://schemas.openxmlformats.org/officeDocument/2006/relationships/hyperlink" Target="https://www.instagram.com/heyat.14.masoom" TargetMode="External"/><Relationship Id="rId6506" Type="http://schemas.openxmlformats.org/officeDocument/2006/relationships/hyperlink" Target="https://www.instagram.com/h_yazahra_fardis/" TargetMode="External"/><Relationship Id="rId7838" Type="http://schemas.openxmlformats.org/officeDocument/2006/relationships/hyperlink" Target="https://www.instagram.com/rozatolzeinabb" TargetMode="External"/><Relationship Id="rId6507" Type="http://schemas.openxmlformats.org/officeDocument/2006/relationships/hyperlink" Target="http://t.me/h_yazahra_fardis" TargetMode="External"/><Relationship Id="rId7837" Type="http://schemas.openxmlformats.org/officeDocument/2006/relationships/hyperlink" Target="https://eitaa.com/raayatozzahra1" TargetMode="External"/><Relationship Id="rId6504" Type="http://schemas.openxmlformats.org/officeDocument/2006/relationships/hyperlink" Target="https://t.me/h_m_Reza" TargetMode="External"/><Relationship Id="rId7836" Type="http://schemas.openxmlformats.org/officeDocument/2006/relationships/hyperlink" Target="https://t.me/Raayatozzahra" TargetMode="External"/><Relationship Id="rId6505" Type="http://schemas.openxmlformats.org/officeDocument/2006/relationships/hyperlink" Target="https://eitaa.com/h_m_reza11" TargetMode="External"/><Relationship Id="rId7835" Type="http://schemas.openxmlformats.org/officeDocument/2006/relationships/hyperlink" Target="https://www.instagram.com/raayatozzahra" TargetMode="External"/><Relationship Id="rId6508" Type="http://schemas.openxmlformats.org/officeDocument/2006/relationships/hyperlink" Target="https://www.instagram.com/hasanieh_oshagholmahdi/" TargetMode="External"/><Relationship Id="rId6509" Type="http://schemas.openxmlformats.org/officeDocument/2006/relationships/hyperlink" Target="https://www.instagram.com/hayat.divanegane_hossain/" TargetMode="External"/><Relationship Id="rId7839" Type="http://schemas.openxmlformats.org/officeDocument/2006/relationships/hyperlink" Target="https://t.me/rozatolzeinabb" TargetMode="External"/><Relationship Id="rId7830" Type="http://schemas.openxmlformats.org/officeDocument/2006/relationships/hyperlink" Target="https://www.instagram.com/mohebanalaeme_naein" TargetMode="External"/><Relationship Id="rId6502" Type="http://schemas.openxmlformats.org/officeDocument/2006/relationships/hyperlink" Target="https://l.instagram.com/?u=https%3A%2F%2Ftlgrm.me%2Fjoinchat%2FBlHfjjye2vsP7j9qx4mAaQ%3Futm_source%3Dig%26utm_medium%3Dsocial%26utm_content%3Dlink_in_bio%26fbclid%3DPAZXh0bgNhZW0CMTEAc3J0YwZhcHBfaWQMMjU2MjgxMDQwNTU4AAGnK6RTfdnR37k4_W9Ti5pgqcgKVPrmlY1shzdf8oZjhhJ0ni8LhCW9JvAAgq8_aem_x4RXqcSmK3AQ5XBVRYkt3A&amp;e=AT2mltbJvO9PJJRrN42KryVgq79pRLHngr99FZplUfJe-eHuzCetYNKseuY3rQJ_U_Fx5-qxUlPJZ5YVvo3FjIxvFOC11ordAX0_hN9qYw" TargetMode="External"/><Relationship Id="rId7834" Type="http://schemas.openxmlformats.org/officeDocument/2006/relationships/hyperlink" Target="https://www.instagram.com/heyatbanifateme_foladshahr" TargetMode="External"/><Relationship Id="rId6503" Type="http://schemas.openxmlformats.org/officeDocument/2006/relationships/hyperlink" Target="https://www.instagram.com/h_mohebanolreza" TargetMode="External"/><Relationship Id="rId7833" Type="http://schemas.openxmlformats.org/officeDocument/2006/relationships/hyperlink" Target="https://www.instagram.com/maktab_alzahra_daran" TargetMode="External"/><Relationship Id="rId6500" Type="http://schemas.openxmlformats.org/officeDocument/2006/relationships/hyperlink" Target="https://www.instagram.com/h_beytozahraa" TargetMode="External"/><Relationship Id="rId7832" Type="http://schemas.openxmlformats.org/officeDocument/2006/relationships/hyperlink" Target="https://eitaa.com/mohebban_naein" TargetMode="External"/><Relationship Id="rId6501" Type="http://schemas.openxmlformats.org/officeDocument/2006/relationships/hyperlink" Target="https://www.instagram.com/h_h_roghaye_karaj/" TargetMode="External"/><Relationship Id="rId7831" Type="http://schemas.openxmlformats.org/officeDocument/2006/relationships/hyperlink" Target="https://t.me/mohebban_naein" TargetMode="External"/><Relationship Id="rId7827" Type="http://schemas.openxmlformats.org/officeDocument/2006/relationships/hyperlink" Target="https://eitaa.com/fatemioneshahreza" TargetMode="External"/><Relationship Id="rId7826" Type="http://schemas.openxmlformats.org/officeDocument/2006/relationships/hyperlink" Target="https://www.instagram.com/bab_al_javad" TargetMode="External"/><Relationship Id="rId7825" Type="http://schemas.openxmlformats.org/officeDocument/2006/relationships/hyperlink" Target="https://t.me/monadiyankarbala110" TargetMode="External"/><Relationship Id="rId7824" Type="http://schemas.openxmlformats.org/officeDocument/2006/relationships/hyperlink" Target="https://www.instagram.com/monadiankarbala" TargetMode="External"/><Relationship Id="rId7829" Type="http://schemas.openxmlformats.org/officeDocument/2006/relationships/hyperlink" Target="https://eitaa.com/yazeinab_golpa" TargetMode="External"/><Relationship Id="rId7828" Type="http://schemas.openxmlformats.org/officeDocument/2006/relationships/hyperlink" Target="https://www.instagram.com/kanoon.emam" TargetMode="External"/><Relationship Id="rId7823" Type="http://schemas.openxmlformats.org/officeDocument/2006/relationships/hyperlink" Target="https://eitaa.com/bicheragh118" TargetMode="External"/><Relationship Id="rId7822" Type="http://schemas.openxmlformats.org/officeDocument/2006/relationships/hyperlink" Target="https://www.instagram.com/masjedefatemieh" TargetMode="External"/><Relationship Id="rId7821" Type="http://schemas.openxmlformats.org/officeDocument/2006/relationships/hyperlink" Target="https://eitaa.com/jannatolmava" TargetMode="External"/><Relationship Id="rId7820" Type="http://schemas.openxmlformats.org/officeDocument/2006/relationships/hyperlink" Target="https://t.me/jahadefarhangi313" TargetMode="External"/><Relationship Id="rId6528" Type="http://schemas.openxmlformats.org/officeDocument/2006/relationships/hyperlink" Target="https://www.instagram.com/heyat_abalfazllabas133/" TargetMode="External"/><Relationship Id="rId6529" Type="http://schemas.openxmlformats.org/officeDocument/2006/relationships/hyperlink" Target="https://www.instagram.com/heyat_asheghan_hazrat_abulfazl/" TargetMode="External"/><Relationship Id="rId7859" Type="http://schemas.openxmlformats.org/officeDocument/2006/relationships/hyperlink" Target="https://t.me/fatemieh1375" TargetMode="External"/><Relationship Id="rId6526" Type="http://schemas.openxmlformats.org/officeDocument/2006/relationships/hyperlink" Target="https://www.instagram.com/hey_at_honarmandan_alborz/" TargetMode="External"/><Relationship Id="rId7858" Type="http://schemas.openxmlformats.org/officeDocument/2006/relationships/hyperlink" Target="https://www.instagram.com/fatemieh1375" TargetMode="External"/><Relationship Id="rId6527" Type="http://schemas.openxmlformats.org/officeDocument/2006/relationships/hyperlink" Target="https://www.instagram.com/heyaat_karim_ahlebeyt" TargetMode="External"/><Relationship Id="rId7857" Type="http://schemas.openxmlformats.org/officeDocument/2006/relationships/hyperlink" Target="https://www.instagram.com/maktabazzahra" TargetMode="External"/><Relationship Id="rId6520" Type="http://schemas.openxmlformats.org/officeDocument/2006/relationships/hyperlink" Target="https://www.instagram.com/heiatealeyasiin" TargetMode="External"/><Relationship Id="rId7852" Type="http://schemas.openxmlformats.org/officeDocument/2006/relationships/hyperlink" Target="https://eitaa.com/yazahra_esf" TargetMode="External"/><Relationship Id="rId6521" Type="http://schemas.openxmlformats.org/officeDocument/2006/relationships/hyperlink" Target="https://www.instagram.com/heiatemamhasanmojtaba6" TargetMode="External"/><Relationship Id="rId7851" Type="http://schemas.openxmlformats.org/officeDocument/2006/relationships/hyperlink" Target="https://www.instagram.com/yazahra_isf/" TargetMode="External"/><Relationship Id="rId7850" Type="http://schemas.openxmlformats.org/officeDocument/2006/relationships/hyperlink" Target="https://www.instagram.com/forat.info/" TargetMode="External"/><Relationship Id="rId6524" Type="http://schemas.openxmlformats.org/officeDocument/2006/relationships/hyperlink" Target="https://www.instagram.com/heiatsamen.info" TargetMode="External"/><Relationship Id="rId7856" Type="http://schemas.openxmlformats.org/officeDocument/2006/relationships/hyperlink" Target="https://www.instagram.com/yaran_mehdi1400" TargetMode="External"/><Relationship Id="rId6525" Type="http://schemas.openxmlformats.org/officeDocument/2006/relationships/hyperlink" Target="https://t.me/samen_channel" TargetMode="External"/><Relationship Id="rId7855" Type="http://schemas.openxmlformats.org/officeDocument/2006/relationships/hyperlink" Target="https://eitaa.com/narjes_khatoon59" TargetMode="External"/><Relationship Id="rId6522" Type="http://schemas.openxmlformats.org/officeDocument/2006/relationships/hyperlink" Target="https://www.instagram.com/heiateshabab/" TargetMode="External"/><Relationship Id="rId7854" Type="http://schemas.openxmlformats.org/officeDocument/2006/relationships/hyperlink" Target="https://eitaa.com/Kousariye_channel" TargetMode="External"/><Relationship Id="rId6523" Type="http://schemas.openxmlformats.org/officeDocument/2006/relationships/hyperlink" Target="https://eitaa.com/heiateshabab" TargetMode="External"/><Relationship Id="rId7853" Type="http://schemas.openxmlformats.org/officeDocument/2006/relationships/hyperlink" Target="https://eitaa.com/reyhanatonnabi" TargetMode="External"/><Relationship Id="rId6517" Type="http://schemas.openxmlformats.org/officeDocument/2006/relationships/hyperlink" Target="https://www.instagram.com/heiat_montazerane_mahdi/" TargetMode="External"/><Relationship Id="rId7849" Type="http://schemas.openxmlformats.org/officeDocument/2006/relationships/hyperlink" Target="https://eitaa.com/jannat_shohada" TargetMode="External"/><Relationship Id="rId6518" Type="http://schemas.openxmlformats.org/officeDocument/2006/relationships/hyperlink" Target="https://www.instagram.com/heiat_montazerane_mahdi/" TargetMode="External"/><Relationship Id="rId7848" Type="http://schemas.openxmlformats.org/officeDocument/2006/relationships/hyperlink" Target="https://www.instagram.com/zeynabioon_kashan/" TargetMode="External"/><Relationship Id="rId6515" Type="http://schemas.openxmlformats.org/officeDocument/2006/relationships/hyperlink" Target="https://www.instagram.com/heiat_hazrat_roghaye_" TargetMode="External"/><Relationship Id="rId7847" Type="http://schemas.openxmlformats.org/officeDocument/2006/relationships/hyperlink" Target="https://eitaa.com/NJF313" TargetMode="External"/><Relationship Id="rId6516" Type="http://schemas.openxmlformats.org/officeDocument/2006/relationships/hyperlink" Target="https://www.instagram.com/heiat_jvanan_aliasghar" TargetMode="External"/><Relationship Id="rId7846" Type="http://schemas.openxmlformats.org/officeDocument/2006/relationships/hyperlink" Target="https://www.instagram.com/heyat_alamdar_99" TargetMode="External"/><Relationship Id="rId6519" Type="http://schemas.openxmlformats.org/officeDocument/2006/relationships/hyperlink" Target="https://www.instagram.com/heiate_banifatemeh/" TargetMode="External"/><Relationship Id="rId7841" Type="http://schemas.openxmlformats.org/officeDocument/2006/relationships/hyperlink" Target="https://www.instagram.com/heyat_masjed_jame" TargetMode="External"/><Relationship Id="rId6510" Type="http://schemas.openxmlformats.org/officeDocument/2006/relationships/hyperlink" Target="https://www.instagram.com/hazrat_zahrayiha/" TargetMode="External"/><Relationship Id="rId7840" Type="http://schemas.openxmlformats.org/officeDocument/2006/relationships/hyperlink" Target="https://www.instagram.com/inst_imamreza_lenjan" TargetMode="External"/><Relationship Id="rId6513" Type="http://schemas.openxmlformats.org/officeDocument/2006/relationships/hyperlink" Target="https://www.instagram.com/heiat_ansaralmahdi/" TargetMode="External"/><Relationship Id="rId7845" Type="http://schemas.openxmlformats.org/officeDocument/2006/relationships/hyperlink" Target="https://eitaa.com/Qasem_ibn_Hasan" TargetMode="External"/><Relationship Id="rId6514" Type="http://schemas.openxmlformats.org/officeDocument/2006/relationships/hyperlink" Target="https://l.instagram.com/?u=http%3A%2F%2Fte.me%2Fheiatansaralmahdi313%3Futm_source%3Dig%26utm_medium%3Dsocial%26utm_content%3Dlink_in_bio%26fbclid%3DPAZXh0bgNhZW0CMTEAc3J0YwZhcHBfaWQMMjU2MjgxMDQwNTU4AAGnuSOmnL0b9aRtK6S8DdbpMrZkMVcD_SPeqr6IdfUVpMztm7Ink2POb4lz9SM_aem_TDHKIEm-lPFR-gR0gyifsg&amp;e=AT19VihR2bHQuSdGIpFmYYwpaZbhtq-0yasgu8hW-_0UR_KHO39VX8N4dgDULY2dvgHF0rv1VAD4Z2XItt1WsZajaE93nGehynYSZMeiWg" TargetMode="External"/><Relationship Id="rId7844" Type="http://schemas.openxmlformats.org/officeDocument/2006/relationships/hyperlink" Target="https://www.instagram.com/qasem_ibn_hasan" TargetMode="External"/><Relationship Id="rId6511" Type="http://schemas.openxmlformats.org/officeDocument/2006/relationships/hyperlink" Target="https://t.me/hazratzahrayihaa" TargetMode="External"/><Relationship Id="rId7843" Type="http://schemas.openxmlformats.org/officeDocument/2006/relationships/hyperlink" Target="https://eitaa.com/sahebalzaman_313" TargetMode="External"/><Relationship Id="rId6512" Type="http://schemas.openxmlformats.org/officeDocument/2006/relationships/hyperlink" Target="https://www.instagram.com/heat_asheghan_roghaye/" TargetMode="External"/><Relationship Id="rId7842" Type="http://schemas.openxmlformats.org/officeDocument/2006/relationships/hyperlink" Target="https://eitaa.com/maktabolabas_118" TargetMode="External"/><Relationship Id="rId899" Type="http://schemas.openxmlformats.org/officeDocument/2006/relationships/hyperlink" Target="https://www.instagram.com/rahrovan_saralah/" TargetMode="External"/><Relationship Id="rId898" Type="http://schemas.openxmlformats.org/officeDocument/2006/relationships/hyperlink" Target="https://eitaa.com/ansarolhosain72" TargetMode="External"/><Relationship Id="rId897" Type="http://schemas.openxmlformats.org/officeDocument/2006/relationships/hyperlink" Target="http://t.me/yasekabodetehran" TargetMode="External"/><Relationship Id="rId896" Type="http://schemas.openxmlformats.org/officeDocument/2006/relationships/hyperlink" Target="https://www.instagram.com/yasekabodtehran/" TargetMode="External"/><Relationship Id="rId891" Type="http://schemas.openxmlformats.org/officeDocument/2006/relationships/hyperlink" Target="http://t.me/heyatvaliasr313" TargetMode="External"/><Relationship Id="rId890" Type="http://schemas.openxmlformats.org/officeDocument/2006/relationships/hyperlink" Target="https://www.instagram.com/heyaat_valiasr/" TargetMode="External"/><Relationship Id="rId895" Type="http://schemas.openxmlformats.org/officeDocument/2006/relationships/hyperlink" Target="http://telegram.me/mohje_ir" TargetMode="External"/><Relationship Id="rId894" Type="http://schemas.openxmlformats.org/officeDocument/2006/relationships/hyperlink" Target="https://www.instagram.com/mohje.ir/" TargetMode="External"/><Relationship Id="rId893" Type="http://schemas.openxmlformats.org/officeDocument/2006/relationships/hyperlink" Target="http://eitta.com/heyatallshohada" TargetMode="External"/><Relationship Id="rId892" Type="http://schemas.openxmlformats.org/officeDocument/2006/relationships/hyperlink" Target="https://www.instagram.com/heyatallshohada/" TargetMode="External"/><Relationship Id="rId7816" Type="http://schemas.openxmlformats.org/officeDocument/2006/relationships/hyperlink" Target="https://www.instagram.com/noorolhoseyn" TargetMode="External"/><Relationship Id="rId7815" Type="http://schemas.openxmlformats.org/officeDocument/2006/relationships/hyperlink" Target="https://t.me/asheghanabalfazlll" TargetMode="External"/><Relationship Id="rId7814" Type="http://schemas.openxmlformats.org/officeDocument/2006/relationships/hyperlink" Target="https://www.instagram.com/asheghan.abalfazl" TargetMode="External"/><Relationship Id="rId7813" Type="http://schemas.openxmlformats.org/officeDocument/2006/relationships/hyperlink" Target="https://www.instagram.com/maktab_hosein.shahreza" TargetMode="External"/><Relationship Id="rId7819" Type="http://schemas.openxmlformats.org/officeDocument/2006/relationships/hyperlink" Target="https://www.instagram.com/naslenghelab" TargetMode="External"/><Relationship Id="rId7818" Type="http://schemas.openxmlformats.org/officeDocument/2006/relationships/hyperlink" Target="https://eitaa.com/panjtanallaba" TargetMode="External"/><Relationship Id="rId7817" Type="http://schemas.openxmlformats.org/officeDocument/2006/relationships/hyperlink" Target="https://www.instagram.com/ansaralmahdi_sh" TargetMode="External"/><Relationship Id="rId7812" Type="http://schemas.openxmlformats.org/officeDocument/2006/relationships/hyperlink" Target="https://www.instagram.com/h.ghasemebnlhasan_sp" TargetMode="External"/><Relationship Id="rId7811" Type="http://schemas.openxmlformats.org/officeDocument/2006/relationships/hyperlink" Target="https://eitaa.com/fadaian_zeynab69" TargetMode="External"/><Relationship Id="rId7810" Type="http://schemas.openxmlformats.org/officeDocument/2006/relationships/hyperlink" Target="https://www.instagram.com/fatemiyoon83" TargetMode="External"/><Relationship Id="rId7805" Type="http://schemas.openxmlformats.org/officeDocument/2006/relationships/hyperlink" Target="https://www.instagram.com/mahdehghoran_ab" TargetMode="External"/><Relationship Id="rId7804" Type="http://schemas.openxmlformats.org/officeDocument/2006/relationships/hyperlink" Target="https://eitaa.com/alamdar_khoor" TargetMode="External"/><Relationship Id="rId7803" Type="http://schemas.openxmlformats.org/officeDocument/2006/relationships/hyperlink" Target="https://eitaa.com/chahardahmasomf" TargetMode="External"/><Relationship Id="rId7802" Type="http://schemas.openxmlformats.org/officeDocument/2006/relationships/hyperlink" Target="https://t.me/moheban_aliasghar_esfahan" TargetMode="External"/><Relationship Id="rId7809" Type="http://schemas.openxmlformats.org/officeDocument/2006/relationships/hyperlink" Target="https://www.instagram.com/heyat_emamhasanaskari" TargetMode="External"/><Relationship Id="rId7808" Type="http://schemas.openxmlformats.org/officeDocument/2006/relationships/hyperlink" Target="https://eitaa.com/hejs_m" TargetMode="External"/><Relationship Id="rId7807" Type="http://schemas.openxmlformats.org/officeDocument/2006/relationships/hyperlink" Target="https://www.instagram.com/mofattehmedia" TargetMode="External"/><Relationship Id="rId7806" Type="http://schemas.openxmlformats.org/officeDocument/2006/relationships/hyperlink" Target="https://www.instagram.com/janat_esfahan" TargetMode="External"/><Relationship Id="rId7801" Type="http://schemas.openxmlformats.org/officeDocument/2006/relationships/hyperlink" Target="https://eitaa.com/maktabolhossein313archive" TargetMode="External"/><Relationship Id="rId7800" Type="http://schemas.openxmlformats.org/officeDocument/2006/relationships/hyperlink" Target="https://eitaa.com/mohebanemamreza" TargetMode="External"/></Relationships>
</file>

<file path=xl/worksheets/_rels/sheet2.xml.rels><?xml version="1.0" encoding="UTF-8" standalone="yes"?><Relationships xmlns="http://schemas.openxmlformats.org/package/2006/relationships"><Relationship Id="rId107" Type="http://schemas.openxmlformats.org/officeDocument/2006/relationships/hyperlink" Target="https://t.me/jannat617" TargetMode="External"/><Relationship Id="rId106" Type="http://schemas.openxmlformats.org/officeDocument/2006/relationships/hyperlink" Target="https://www.instagram.com/jannatolabas617/" TargetMode="External"/><Relationship Id="rId105" Type="http://schemas.openxmlformats.org/officeDocument/2006/relationships/hyperlink" Target="https://www.instagram.com/bibi_omekolsom/" TargetMode="External"/><Relationship Id="rId104" Type="http://schemas.openxmlformats.org/officeDocument/2006/relationships/hyperlink" Target="https://t.me/Mohebaneabalfazl133" TargetMode="External"/><Relationship Id="rId109" Type="http://schemas.openxmlformats.org/officeDocument/2006/relationships/hyperlink" Target="https://eitaa.com/rozehinfo" TargetMode="External"/><Relationship Id="rId108" Type="http://schemas.openxmlformats.org/officeDocument/2006/relationships/hyperlink" Target="https://www.instagram.com/rozeh__info/" TargetMode="External"/><Relationship Id="rId103" Type="http://schemas.openxmlformats.org/officeDocument/2006/relationships/hyperlink" Target="https://www.instagram.com/mohebanabalfazl/" TargetMode="External"/><Relationship Id="rId102" Type="http://schemas.openxmlformats.org/officeDocument/2006/relationships/hyperlink" Target="https://eitaa.com/magharkhademin" TargetMode="External"/><Relationship Id="rId101" Type="http://schemas.openxmlformats.org/officeDocument/2006/relationships/hyperlink" Target="https://www.instagram.com/maghar.khademiiin/" TargetMode="External"/><Relationship Id="rId100" Type="http://schemas.openxmlformats.org/officeDocument/2006/relationships/hyperlink" Target="https://eitaa.com/Ahbabolemam_fardis" TargetMode="External"/><Relationship Id="rId126" Type="http://schemas.openxmlformats.org/officeDocument/2006/relationships/drawing" Target="../drawings/drawing2.xml"/><Relationship Id="rId121" Type="http://schemas.openxmlformats.org/officeDocument/2006/relationships/hyperlink" Target="https://eitaa.com/Moukebmontazeran" TargetMode="External"/><Relationship Id="rId120" Type="http://schemas.openxmlformats.org/officeDocument/2006/relationships/hyperlink" Target="https://www.instagram.com/esteshhadiyon_karaj/" TargetMode="External"/><Relationship Id="rId125" Type="http://schemas.openxmlformats.org/officeDocument/2006/relationships/hyperlink" Target="https://eitaa.com/khorasanihakarbala" TargetMode="External"/><Relationship Id="rId124" Type="http://schemas.openxmlformats.org/officeDocument/2006/relationships/hyperlink" Target="https://eitaa.com/qoobbe" TargetMode="External"/><Relationship Id="rId123" Type="http://schemas.openxmlformats.org/officeDocument/2006/relationships/hyperlink" Target="https://eitaa.com/moukeb1120" TargetMode="External"/><Relationship Id="rId122" Type="http://schemas.openxmlformats.org/officeDocument/2006/relationships/hyperlink" Target="https://eitaa.com/Shohada1152" TargetMode="External"/><Relationship Id="rId118" Type="http://schemas.openxmlformats.org/officeDocument/2006/relationships/hyperlink" Target="https://t.me/ya_zeynab_karaj" TargetMode="External"/><Relationship Id="rId117" Type="http://schemas.openxmlformats.org/officeDocument/2006/relationships/hyperlink" Target="https://www.instagram.com/ya_zeynab_karaj/" TargetMode="External"/><Relationship Id="rId116" Type="http://schemas.openxmlformats.org/officeDocument/2006/relationships/hyperlink" Target="https://t.me/avval_mazlom" TargetMode="External"/><Relationship Id="rId115" Type="http://schemas.openxmlformats.org/officeDocument/2006/relationships/hyperlink" Target="https://www.instagram.com/avval_mazlom/" TargetMode="External"/><Relationship Id="rId119" Type="http://schemas.openxmlformats.org/officeDocument/2006/relationships/hyperlink" Target="https://www.instagram.com/mohebbinolaemmeh79/" TargetMode="External"/><Relationship Id="rId110" Type="http://schemas.openxmlformats.org/officeDocument/2006/relationships/hyperlink" Target="https://www.instagram.com/qodsgomnam/" TargetMode="External"/><Relationship Id="rId114" Type="http://schemas.openxmlformats.org/officeDocument/2006/relationships/hyperlink" Target="https://t.me/shiftegankaraj" TargetMode="External"/><Relationship Id="rId113" Type="http://schemas.openxmlformats.org/officeDocument/2006/relationships/hyperlink" Target="https://www.instagram.com/shiftegankaraj/" TargetMode="External"/><Relationship Id="rId112" Type="http://schemas.openxmlformats.org/officeDocument/2006/relationships/hyperlink" Target="https://www.instagram.com/heyatejanatolrogaye315/" TargetMode="External"/><Relationship Id="rId111" Type="http://schemas.openxmlformats.org/officeDocument/2006/relationships/hyperlink" Target="https://t.me/qodsgomnam" TargetMode="External"/><Relationship Id="rId40" Type="http://schemas.openxmlformats.org/officeDocument/2006/relationships/hyperlink" Target="http://t.me/ansaralmahdi313_official" TargetMode="External"/><Relationship Id="rId42" Type="http://schemas.openxmlformats.org/officeDocument/2006/relationships/hyperlink" Target="https://www.instagram.com/roghayejan.info/" TargetMode="External"/><Relationship Id="rId41" Type="http://schemas.openxmlformats.org/officeDocument/2006/relationships/hyperlink" Target="https://eitaa.com/ansaralmahdi313_official" TargetMode="External"/><Relationship Id="rId44" Type="http://schemas.openxmlformats.org/officeDocument/2006/relationships/hyperlink" Target="https://www.instagram.com/raiat_alabbas/" TargetMode="External"/><Relationship Id="rId43" Type="http://schemas.openxmlformats.org/officeDocument/2006/relationships/hyperlink" Target="https://t.me/roghayejan_info" TargetMode="External"/><Relationship Id="rId46" Type="http://schemas.openxmlformats.org/officeDocument/2006/relationships/hyperlink" Target="https://www.instagram.com/_rayhaneh_alnabi/" TargetMode="External"/><Relationship Id="rId45" Type="http://schemas.openxmlformats.org/officeDocument/2006/relationships/hyperlink" Target="https://www.instagram.com/pelak.hasht.ir/" TargetMode="External"/><Relationship Id="rId48" Type="http://schemas.openxmlformats.org/officeDocument/2006/relationships/hyperlink" Target="https://www.instagram.com/heyat_abnaoalzahra/" TargetMode="External"/><Relationship Id="rId47" Type="http://schemas.openxmlformats.org/officeDocument/2006/relationships/hyperlink" Target="https://t.me/rehantlyubcc" TargetMode="External"/><Relationship Id="rId49" Type="http://schemas.openxmlformats.org/officeDocument/2006/relationships/hyperlink" Target="https://eitaa.com/HEYATABNAOALZAHRA" TargetMode="External"/><Relationship Id="rId31" Type="http://schemas.openxmlformats.org/officeDocument/2006/relationships/hyperlink" Target="https://www.instagram.com/qasim_ibn_hasan/" TargetMode="External"/><Relationship Id="rId30" Type="http://schemas.openxmlformats.org/officeDocument/2006/relationships/hyperlink" Target="https://www.instagram.com/betaplus.official/" TargetMode="External"/><Relationship Id="rId33" Type="http://schemas.openxmlformats.org/officeDocument/2006/relationships/hyperlink" Target="https://t.me/khademin_hazrat_zahra_qom" TargetMode="External"/><Relationship Id="rId32" Type="http://schemas.openxmlformats.org/officeDocument/2006/relationships/hyperlink" Target="https://www.instagram.com/khademin_hazrat_zahra_qom/" TargetMode="External"/><Relationship Id="rId35" Type="http://schemas.openxmlformats.org/officeDocument/2006/relationships/hyperlink" Target="https://t.me/khademolhasan_kerman" TargetMode="External"/><Relationship Id="rId34" Type="http://schemas.openxmlformats.org/officeDocument/2006/relationships/hyperlink" Target="https://www.instagram.com/khademolhasan_kerman/" TargetMode="External"/><Relationship Id="rId37" Type="http://schemas.openxmlformats.org/officeDocument/2006/relationships/hyperlink" Target="https://t.me/heyatazad_ir" TargetMode="External"/><Relationship Id="rId36" Type="http://schemas.openxmlformats.org/officeDocument/2006/relationships/hyperlink" Target="https://www.instagram.com/heyatazad_ir/" TargetMode="External"/><Relationship Id="rId39" Type="http://schemas.openxmlformats.org/officeDocument/2006/relationships/hyperlink" Target="https://www.instagram.com/ansaralmahdi_official?utm_source=ig_web_button_share_sheet&amp;igsh=ZDNlZDc0MzIxNw==" TargetMode="External"/><Relationship Id="rId38" Type="http://schemas.openxmlformats.org/officeDocument/2006/relationships/hyperlink" Target="https://eitaa.com/heyatazad_ir" TargetMode="External"/><Relationship Id="rId20" Type="http://schemas.openxmlformats.org/officeDocument/2006/relationships/hyperlink" Target="https://t.me/maktab_All_zahra" TargetMode="External"/><Relationship Id="rId22" Type="http://schemas.openxmlformats.org/officeDocument/2006/relationships/hyperlink" Target="https://l.instagram.com/?u=https%3A%2F%2Ftlgrm.me%2Fasheghane_karbala_shushdaniel315%3Futm_source%3Dig%26utm_medium%3Dsocial%26utm_content%3Dlink_in_bio%26fbclid%3DPAZXh0bgNhZW0CMTEAc3J0YwZhcHBfaWQMMjU2MjgxMDQwNTU4AAGnpnFEA4Fb9KvbuT0iXTfn8MfzA_um6zV-OreSLQoFNsu9-PMRpZsW37e86Oc_aem_Ew2mUj-h7AItLVl1h62LsA&amp;e=AT3Bur1sa8B8HlNv97yjCHCO3DYoc4Pe-IylJ77JDiaVxmdIoRu03Zo-cMawdpK1l25jaTungj8o287uy3i-X8ApzZGkoermDDbpGBHO0g" TargetMode="External"/><Relationship Id="rId21" Type="http://schemas.openxmlformats.org/officeDocument/2006/relationships/hyperlink" Target="https://www.instagram.com/asheghane_karbala_shushdaniel/" TargetMode="External"/><Relationship Id="rId24" Type="http://schemas.openxmlformats.org/officeDocument/2006/relationships/hyperlink" Target="https://eitaa.com/fatemiyondizej" TargetMode="External"/><Relationship Id="rId23" Type="http://schemas.openxmlformats.org/officeDocument/2006/relationships/hyperlink" Target="https://www.instagram.com/fatemiyondizej/" TargetMode="External"/><Relationship Id="rId26" Type="http://schemas.openxmlformats.org/officeDocument/2006/relationships/hyperlink" Target="https://www.instagram.com/hayat_liwa_saqi/" TargetMode="External"/><Relationship Id="rId25" Type="http://schemas.openxmlformats.org/officeDocument/2006/relationships/hyperlink" Target="https://www.instagram.com/heyat_mohammad_mostafa_semnan/" TargetMode="External"/><Relationship Id="rId28" Type="http://schemas.openxmlformats.org/officeDocument/2006/relationships/hyperlink" Target="https://www.instagram.com/ghamarmedia/" TargetMode="External"/><Relationship Id="rId27" Type="http://schemas.openxmlformats.org/officeDocument/2006/relationships/hyperlink" Target="https://www.instagram.com/betaplus.official/" TargetMode="External"/><Relationship Id="rId29" Type="http://schemas.openxmlformats.org/officeDocument/2006/relationships/hyperlink" Target="https://www.instagram.com/dideban_info/" TargetMode="External"/><Relationship Id="rId11" Type="http://schemas.openxmlformats.org/officeDocument/2006/relationships/hyperlink" Target="https://eitaa.com/rowzatolabbas" TargetMode="External"/><Relationship Id="rId10" Type="http://schemas.openxmlformats.org/officeDocument/2006/relationships/hyperlink" Target="https://t.me/rowzatolabbas" TargetMode="External"/><Relationship Id="rId13" Type="http://schemas.openxmlformats.org/officeDocument/2006/relationships/hyperlink" Target="https://www.instagram.com/beynolharamein_sh/" TargetMode="External"/><Relationship Id="rId12" Type="http://schemas.openxmlformats.org/officeDocument/2006/relationships/hyperlink" Target="https://www.instagram.com/maktabmohammaditehran/" TargetMode="External"/><Relationship Id="rId15" Type="http://schemas.openxmlformats.org/officeDocument/2006/relationships/hyperlink" Target="https://t.me/shafighatolhossein" TargetMode="External"/><Relationship Id="rId14" Type="http://schemas.openxmlformats.org/officeDocument/2006/relationships/hyperlink" Target="https://www.instagram.com/shafighatolhossein/" TargetMode="External"/><Relationship Id="rId17" Type="http://schemas.openxmlformats.org/officeDocument/2006/relationships/hyperlink" Target="https://www.instagram.com/almahdi_team" TargetMode="External"/><Relationship Id="rId16" Type="http://schemas.openxmlformats.org/officeDocument/2006/relationships/hyperlink" Target="https://www.instagram.com/heyatsarallah128" TargetMode="External"/><Relationship Id="rId19" Type="http://schemas.openxmlformats.org/officeDocument/2006/relationships/hyperlink" Target="https://www.instagram.com/maktab_all_zahra/" TargetMode="External"/><Relationship Id="rId18" Type="http://schemas.openxmlformats.org/officeDocument/2006/relationships/hyperlink" Target="https://t.me/mashhad_almahdi" TargetMode="External"/><Relationship Id="rId84" Type="http://schemas.openxmlformats.org/officeDocument/2006/relationships/hyperlink" Target="https://www.instagram.com/montazeranolmahdi59/" TargetMode="External"/><Relationship Id="rId83" Type="http://schemas.openxmlformats.org/officeDocument/2006/relationships/hyperlink" Target="https://www.instagram.com/ashoora128/" TargetMode="External"/><Relationship Id="rId86" Type="http://schemas.openxmlformats.org/officeDocument/2006/relationships/hyperlink" Target="https://eitaa.com/montazeranolmahdi59" TargetMode="External"/><Relationship Id="rId85" Type="http://schemas.openxmlformats.org/officeDocument/2006/relationships/hyperlink" Target="https://t.me/montazeranolmahdi59" TargetMode="External"/><Relationship Id="rId88" Type="http://schemas.openxmlformats.org/officeDocument/2006/relationships/hyperlink" Target="https://t.me/panjeshahkashan" TargetMode="External"/><Relationship Id="rId87" Type="http://schemas.openxmlformats.org/officeDocument/2006/relationships/hyperlink" Target="http://tlgrm.me/panjeshahkashan" TargetMode="External"/><Relationship Id="rId89" Type="http://schemas.openxmlformats.org/officeDocument/2006/relationships/hyperlink" Target="https://www.instagram.com/ansar_ardehal/" TargetMode="External"/><Relationship Id="rId80" Type="http://schemas.openxmlformats.org/officeDocument/2006/relationships/hyperlink" Target="https://t.me/h_oshaghalzahra_kashan" TargetMode="External"/><Relationship Id="rId82" Type="http://schemas.openxmlformats.org/officeDocument/2006/relationships/hyperlink" Target="https://www.instagram.com/heyate_hoseyni_sensen/" TargetMode="External"/><Relationship Id="rId81" Type="http://schemas.openxmlformats.org/officeDocument/2006/relationships/hyperlink" Target="https://eitaa.com/mokebe_saheb_alzaman" TargetMode="External"/><Relationship Id="rId73" Type="http://schemas.openxmlformats.org/officeDocument/2006/relationships/hyperlink" Target="https://t.me/abalfazliha1300" TargetMode="External"/><Relationship Id="rId72" Type="http://schemas.openxmlformats.org/officeDocument/2006/relationships/hyperlink" Target="https://www.instagram.com/h_abalfazliha1300/" TargetMode="External"/><Relationship Id="rId75" Type="http://schemas.openxmlformats.org/officeDocument/2006/relationships/hyperlink" Target="https://www.instagram.com/beynolharameyn_ab/" TargetMode="External"/><Relationship Id="rId74" Type="http://schemas.openxmlformats.org/officeDocument/2006/relationships/hyperlink" Target="https://eitaa.com/h_abalfazliha1300" TargetMode="External"/><Relationship Id="rId77" Type="http://schemas.openxmlformats.org/officeDocument/2006/relationships/hyperlink" Target="https://www.instagram.com/janatoreza_kashan/" TargetMode="External"/><Relationship Id="rId76" Type="http://schemas.openxmlformats.org/officeDocument/2006/relationships/hyperlink" Target="https://t.me/beynolharameynab" TargetMode="External"/><Relationship Id="rId79" Type="http://schemas.openxmlformats.org/officeDocument/2006/relationships/hyperlink" Target="https://www.instagram.com/h_oshaghalzahra_kashan/" TargetMode="External"/><Relationship Id="rId78" Type="http://schemas.openxmlformats.org/officeDocument/2006/relationships/hyperlink" Target="https://eitaa.com/janat_reza_kashan" TargetMode="External"/><Relationship Id="rId71" Type="http://schemas.openxmlformats.org/officeDocument/2006/relationships/hyperlink" Target="https://www.instagram.com/nojavanan_najaf/" TargetMode="External"/><Relationship Id="rId70" Type="http://schemas.openxmlformats.org/officeDocument/2006/relationships/hyperlink" Target="https://www.instagram.com/seyedatonnesa?utm_source=ig_web_button_share_sheet&amp;igsh=ZDNlZDc0MzIxNw==" TargetMode="External"/><Relationship Id="rId62" Type="http://schemas.openxmlformats.org/officeDocument/2006/relationships/hyperlink" Target="https://www.instagram.com/levaolhussain/" TargetMode="External"/><Relationship Id="rId61" Type="http://schemas.openxmlformats.org/officeDocument/2006/relationships/hyperlink" Target="https://www.instagram.com/alamdaran_ashoora/" TargetMode="External"/><Relationship Id="rId64" Type="http://schemas.openxmlformats.org/officeDocument/2006/relationships/hyperlink" Target="https://eitaa.com/levaolhussain" TargetMode="External"/><Relationship Id="rId63" Type="http://schemas.openxmlformats.org/officeDocument/2006/relationships/hyperlink" Target="https://t.me/levaolhosseynmeibod" TargetMode="External"/><Relationship Id="rId66" Type="http://schemas.openxmlformats.org/officeDocument/2006/relationships/hyperlink" Target="https://www.instagram.com/vesalmedia118" TargetMode="External"/><Relationship Id="rId65" Type="http://schemas.openxmlformats.org/officeDocument/2006/relationships/hyperlink" Target="https://www.instagram.com/hareem_media/" TargetMode="External"/><Relationship Id="rId68" Type="http://schemas.openxmlformats.org/officeDocument/2006/relationships/hyperlink" Target="https://www.instagram.com/adnanmedia_315/" TargetMode="External"/><Relationship Id="rId67" Type="http://schemas.openxmlformats.org/officeDocument/2006/relationships/hyperlink" Target="https://eitaa.com/vesal_media118" TargetMode="External"/><Relationship Id="rId60" Type="http://schemas.openxmlformats.org/officeDocument/2006/relationships/hyperlink" Target="https://www.instagram.com/babalhavaejyazd/" TargetMode="External"/><Relationship Id="rId69" Type="http://schemas.openxmlformats.org/officeDocument/2006/relationships/hyperlink" Target="https://eitaa.com/mokebjahadi" TargetMode="External"/><Relationship Id="rId51" Type="http://schemas.openxmlformats.org/officeDocument/2006/relationships/hyperlink" Target="https://t.me/mokeb_ommoshohada" TargetMode="External"/><Relationship Id="rId50" Type="http://schemas.openxmlformats.org/officeDocument/2006/relationships/hyperlink" Target="https://www.instagram.com/ommo_shohada_135/" TargetMode="External"/><Relationship Id="rId53" Type="http://schemas.openxmlformats.org/officeDocument/2006/relationships/hyperlink" Target="https://www.instagram.com/heyatejwananemohajran/" TargetMode="External"/><Relationship Id="rId52" Type="http://schemas.openxmlformats.org/officeDocument/2006/relationships/hyperlink" Target="https://www.instagram.com/mooradi.ir/" TargetMode="External"/><Relationship Id="rId55" Type="http://schemas.openxmlformats.org/officeDocument/2006/relationships/hyperlink" Target="https://www.instagram.com/mohaejran_heyatmohebin/" TargetMode="External"/><Relationship Id="rId54" Type="http://schemas.openxmlformats.org/officeDocument/2006/relationships/hyperlink" Target="https://eitaa.com/heyaatejwananemohajran" TargetMode="External"/><Relationship Id="rId57" Type="http://schemas.openxmlformats.org/officeDocument/2006/relationships/hyperlink" Target="https://www.instagram.com/heyat_javadolaemehabar/" TargetMode="External"/><Relationship Id="rId56" Type="http://schemas.openxmlformats.org/officeDocument/2006/relationships/hyperlink" Target="https://www.instagram.com/mahdiye_arak/" TargetMode="External"/><Relationship Id="rId59" Type="http://schemas.openxmlformats.org/officeDocument/2006/relationships/hyperlink" Target="https://www.instagram.com/alamatkashan_yazd/" TargetMode="External"/><Relationship Id="rId58" Type="http://schemas.openxmlformats.org/officeDocument/2006/relationships/hyperlink" Target="https://eitaa.com/Abnoalreza" TargetMode="External"/><Relationship Id="rId95" Type="http://schemas.openxmlformats.org/officeDocument/2006/relationships/hyperlink" Target="https://www.instagram.com/fatemiyeh_ghamsar/" TargetMode="External"/><Relationship Id="rId94" Type="http://schemas.openxmlformats.org/officeDocument/2006/relationships/hyperlink" Target="https://www.instagram.com/heyathazrate_roghayeh/" TargetMode="External"/><Relationship Id="rId97" Type="http://schemas.openxmlformats.org/officeDocument/2006/relationships/hyperlink" Target="https://www.instagram.com/mojtaba_fakhri_official" TargetMode="External"/><Relationship Id="rId96" Type="http://schemas.openxmlformats.org/officeDocument/2006/relationships/hyperlink" Target="https://t.me/fatemiyeh_ghamsar" TargetMode="External"/><Relationship Id="rId99" Type="http://schemas.openxmlformats.org/officeDocument/2006/relationships/hyperlink" Target="https://www.instagram.com/moez_info/" TargetMode="External"/><Relationship Id="rId98" Type="http://schemas.openxmlformats.org/officeDocument/2006/relationships/hyperlink" Target="https://www.instagram.com/alghame_karaj/" TargetMode="External"/><Relationship Id="rId91" Type="http://schemas.openxmlformats.org/officeDocument/2006/relationships/hyperlink" Target="https://t.me/mohebanahlebeytsefidshahr" TargetMode="External"/><Relationship Id="rId90" Type="http://schemas.openxmlformats.org/officeDocument/2006/relationships/hyperlink" Target="https://www.instagram.com/_moheban.ahlebeyt_/" TargetMode="External"/><Relationship Id="rId93" Type="http://schemas.openxmlformats.org/officeDocument/2006/relationships/hyperlink" Target="https://eitaa.com/bynolharamin315" TargetMode="External"/><Relationship Id="rId92" Type="http://schemas.openxmlformats.org/officeDocument/2006/relationships/hyperlink" Target="https://www.instagram.com/beynolharameyn_kashan/" TargetMode="External"/><Relationship Id="rId1" Type="http://schemas.openxmlformats.org/officeDocument/2006/relationships/hyperlink" Target="https://www.instagram.com/ansarolmahdi_kabul/" TargetMode="External"/><Relationship Id="rId2" Type="http://schemas.openxmlformats.org/officeDocument/2006/relationships/hyperlink" Target="https://www.instagram.com/mahfel_ya.ghasem.karaj" TargetMode="External"/><Relationship Id="rId3" Type="http://schemas.openxmlformats.org/officeDocument/2006/relationships/hyperlink" Target="https://www.instagram.com/maajar_315/" TargetMode="External"/><Relationship Id="rId4" Type="http://schemas.openxmlformats.org/officeDocument/2006/relationships/hyperlink" Target="https://t.me/maajar_315" TargetMode="External"/><Relationship Id="rId9" Type="http://schemas.openxmlformats.org/officeDocument/2006/relationships/hyperlink" Target="https://www.instagram.com/rowzatolabbas/" TargetMode="External"/><Relationship Id="rId5" Type="http://schemas.openxmlformats.org/officeDocument/2006/relationships/hyperlink" Target="https://www.instagram.com/ahlebeytmedia/" TargetMode="External"/><Relationship Id="rId6" Type="http://schemas.openxmlformats.org/officeDocument/2006/relationships/hyperlink" Target="https://t.me/AhleBeytMedia" TargetMode="External"/><Relationship Id="rId7" Type="http://schemas.openxmlformats.org/officeDocument/2006/relationships/hyperlink" Target="https://www.instagram.com/heyat_alamdar_karbala_gharb/" TargetMode="External"/><Relationship Id="rId8" Type="http://schemas.openxmlformats.org/officeDocument/2006/relationships/hyperlink" Target="https://t.me/heyat_alamdar_karbala" TargetMode="External"/></Relationships>
</file>

<file path=xl/worksheets/_rels/sheet3.xml.rels><?xml version="1.0" encoding="UTF-8" standalone="yes"?><Relationships xmlns="http://schemas.openxmlformats.org/package/2006/relationships"><Relationship Id="rId1059" Type="http://schemas.openxmlformats.org/officeDocument/2006/relationships/hyperlink" Target="https://ble.ir/maktab6969" TargetMode="External"/><Relationship Id="rId1050" Type="http://schemas.openxmlformats.org/officeDocument/2006/relationships/hyperlink" Target="https://ble.ir/heiatorreza" TargetMode="External"/><Relationship Id="rId1051" Type="http://schemas.openxmlformats.org/officeDocument/2006/relationships/hyperlink" Target="https://www.youtube.com/@heiatorreza1418" TargetMode="External"/><Relationship Id="rId1052" Type="http://schemas.openxmlformats.org/officeDocument/2006/relationships/hyperlink" Target="https://www.behesht.info/" TargetMode="External"/><Relationship Id="rId1053" Type="http://schemas.openxmlformats.org/officeDocument/2006/relationships/hyperlink" Target="https://www.instagram.com/heyathonar_/" TargetMode="External"/><Relationship Id="rId1054" Type="http://schemas.openxmlformats.org/officeDocument/2006/relationships/hyperlink" Target="https://t.me/HeyatHonar" TargetMode="External"/><Relationship Id="rId1055" Type="http://schemas.openxmlformats.org/officeDocument/2006/relationships/hyperlink" Target="https://ble.ir/heyathonar" TargetMode="External"/><Relationship Id="rId1056" Type="http://schemas.openxmlformats.org/officeDocument/2006/relationships/hyperlink" Target="https://eitaa.com/heyathonar" TargetMode="External"/><Relationship Id="rId1057" Type="http://schemas.openxmlformats.org/officeDocument/2006/relationships/hyperlink" Target="https://www.instagram.com/maktab6969/" TargetMode="External"/><Relationship Id="rId1058" Type="http://schemas.openxmlformats.org/officeDocument/2006/relationships/hyperlink" Target="https://t.me/maktab6969" TargetMode="External"/><Relationship Id="rId1048" Type="http://schemas.openxmlformats.org/officeDocument/2006/relationships/hyperlink" Target="https://www.instagram.com/heiatorreza1418/" TargetMode="External"/><Relationship Id="rId1049" Type="http://schemas.openxmlformats.org/officeDocument/2006/relationships/hyperlink" Target="https://t.me/heiatorreza" TargetMode="External"/><Relationship Id="rId1040" Type="http://schemas.openxmlformats.org/officeDocument/2006/relationships/hyperlink" Target="https://www.youtube.com/@kashani1395" TargetMode="External"/><Relationship Id="rId1041" Type="http://schemas.openxmlformats.org/officeDocument/2006/relationships/hyperlink" Target="https://ble.ir/kashani1395" TargetMode="External"/><Relationship Id="rId1042" Type="http://schemas.openxmlformats.org/officeDocument/2006/relationships/hyperlink" Target="https://www.instagram.com/esmaeilramezaniofficial/" TargetMode="External"/><Relationship Id="rId1043" Type="http://schemas.openxmlformats.org/officeDocument/2006/relationships/hyperlink" Target="https://www.instagram.com/ansarian_ir/" TargetMode="External"/><Relationship Id="rId1044" Type="http://schemas.openxmlformats.org/officeDocument/2006/relationships/hyperlink" Target="https://www.youtube.com/@darolerfan_ir" TargetMode="External"/><Relationship Id="rId1045" Type="http://schemas.openxmlformats.org/officeDocument/2006/relationships/hyperlink" Target="https://erfan.ir/" TargetMode="External"/><Relationship Id="rId1046" Type="http://schemas.openxmlformats.org/officeDocument/2006/relationships/hyperlink" Target="https://www.instagram.com/naserr_yosefi/" TargetMode="External"/><Relationship Id="rId1047" Type="http://schemas.openxmlformats.org/officeDocument/2006/relationships/hyperlink" Target="https://eitaa.com/havariun" TargetMode="External"/><Relationship Id="rId1070" Type="http://schemas.openxmlformats.org/officeDocument/2006/relationships/hyperlink" Target="https://eitaa.com/heiat_janatolhasan" TargetMode="External"/><Relationship Id="rId1071" Type="http://schemas.openxmlformats.org/officeDocument/2006/relationships/hyperlink" Target="https://www.instagram.com/heiat_mohebban/" TargetMode="External"/><Relationship Id="rId1072" Type="http://schemas.openxmlformats.org/officeDocument/2006/relationships/hyperlink" Target="https://eitaa.com/heiat_mohebban" TargetMode="External"/><Relationship Id="rId1073" Type="http://schemas.openxmlformats.org/officeDocument/2006/relationships/hyperlink" Target="https://www.instagram.com/heiataut" TargetMode="External"/><Relationship Id="rId1074" Type="http://schemas.openxmlformats.org/officeDocument/2006/relationships/hyperlink" Target="https://t.me/HeiatAut" TargetMode="External"/><Relationship Id="rId1075" Type="http://schemas.openxmlformats.org/officeDocument/2006/relationships/hyperlink" Target="https://eitaa.com/heiataut" TargetMode="External"/><Relationship Id="rId1076" Type="http://schemas.openxmlformats.org/officeDocument/2006/relationships/hyperlink" Target="https://ble.ir/heiataut" TargetMode="External"/><Relationship Id="rId1077" Type="http://schemas.openxmlformats.org/officeDocument/2006/relationships/hyperlink" Target="https://www.instagram.com/heiatorrasoul/" TargetMode="External"/><Relationship Id="rId1078" Type="http://schemas.openxmlformats.org/officeDocument/2006/relationships/hyperlink" Target="https://eitaa.com/Heiatorrasoul" TargetMode="External"/><Relationship Id="rId1079" Type="http://schemas.openxmlformats.org/officeDocument/2006/relationships/hyperlink" Target="https://www.instagram.com/heiatozahraa/" TargetMode="External"/><Relationship Id="rId1060" Type="http://schemas.openxmlformats.org/officeDocument/2006/relationships/hyperlink" Target="https://www.instagram.com/shahzadeh_aliakbar33/" TargetMode="External"/><Relationship Id="rId1061" Type="http://schemas.openxmlformats.org/officeDocument/2006/relationships/hyperlink" Target="https://ble.ir/moheban_shahzadeh_aliakbar" TargetMode="External"/><Relationship Id="rId1062" Type="http://schemas.openxmlformats.org/officeDocument/2006/relationships/hyperlink" Target="https://www.instagram.com/shahe_najaf121/" TargetMode="External"/><Relationship Id="rId1063" Type="http://schemas.openxmlformats.org/officeDocument/2006/relationships/hyperlink" Target="https://ble.ir/shahe_najaf" TargetMode="External"/><Relationship Id="rId1064" Type="http://schemas.openxmlformats.org/officeDocument/2006/relationships/hyperlink" Target="https://www.instagram.com/ziarate_ashura/" TargetMode="External"/><Relationship Id="rId1065" Type="http://schemas.openxmlformats.org/officeDocument/2006/relationships/hyperlink" Target="https://t.me/ziarate_ashoora" TargetMode="External"/><Relationship Id="rId1066" Type="http://schemas.openxmlformats.org/officeDocument/2006/relationships/hyperlink" Target="https://ble.ir/ziarate_ashura" TargetMode="External"/><Relationship Id="rId1067" Type="http://schemas.openxmlformats.org/officeDocument/2006/relationships/hyperlink" Target="https://eitaa.com/ghararedel110" TargetMode="External"/><Relationship Id="rId1068" Type="http://schemas.openxmlformats.org/officeDocument/2006/relationships/hyperlink" Target="https://www.instagram.com/heiat_janatolhasan/" TargetMode="External"/><Relationship Id="rId1069" Type="http://schemas.openxmlformats.org/officeDocument/2006/relationships/hyperlink" Target="https://t.me/heiat_janatolhasan" TargetMode="External"/><Relationship Id="rId1015" Type="http://schemas.openxmlformats.org/officeDocument/2006/relationships/hyperlink" Target="https://www.instagram.com/seyed_mohamad_javadii/" TargetMode="External"/><Relationship Id="rId1016" Type="http://schemas.openxmlformats.org/officeDocument/2006/relationships/hyperlink" Target="https://www.instagram.com/mahmmum_ir" TargetMode="External"/><Relationship Id="rId1017" Type="http://schemas.openxmlformats.org/officeDocument/2006/relationships/hyperlink" Target="https://eitaa.com/mahmum_ir" TargetMode="External"/><Relationship Id="rId1018" Type="http://schemas.openxmlformats.org/officeDocument/2006/relationships/hyperlink" Target="https://www.instagram.com/zhoolide/" TargetMode="External"/><Relationship Id="rId1019" Type="http://schemas.openxmlformats.org/officeDocument/2006/relationships/hyperlink" Target="https://www.instagram.com/alijahanbakhsh___/" TargetMode="External"/><Relationship Id="rId1010" Type="http://schemas.openxmlformats.org/officeDocument/2006/relationships/hyperlink" Target="https://www.instagram.com/haniftaherii" TargetMode="External"/><Relationship Id="rId1011" Type="http://schemas.openxmlformats.org/officeDocument/2006/relationships/hyperlink" Target="https://www.youtube.com/HanifTaheri" TargetMode="External"/><Relationship Id="rId1012" Type="http://schemas.openxmlformats.org/officeDocument/2006/relationships/hyperlink" Target="https://www.instagram.com/seyedali_momeni/" TargetMode="External"/><Relationship Id="rId1013" Type="http://schemas.openxmlformats.org/officeDocument/2006/relationships/hyperlink" Target="https://www.instagram.com/banifatemeh/" TargetMode="External"/><Relationship Id="rId1014" Type="http://schemas.openxmlformats.org/officeDocument/2006/relationships/hyperlink" Target="https://www.youtube.com/@seyedmajidbanifatemeh6163" TargetMode="External"/><Relationship Id="rId1004" Type="http://schemas.openxmlformats.org/officeDocument/2006/relationships/hyperlink" Target="https://hoseinsotoodeh.ir/" TargetMode="External"/><Relationship Id="rId1005" Type="http://schemas.openxmlformats.org/officeDocument/2006/relationships/hyperlink" Target="https://www.instagram.com/arash.pilehvar/" TargetMode="External"/><Relationship Id="rId1006" Type="http://schemas.openxmlformats.org/officeDocument/2006/relationships/hyperlink" Target="https://www.instagram.com/abdolahad.ghadami/" TargetMode="External"/><Relationship Id="rId1007" Type="http://schemas.openxmlformats.org/officeDocument/2006/relationships/hyperlink" Target="https://www.instagram.com/tasooa.ir/following/" TargetMode="External"/><Relationship Id="rId1008" Type="http://schemas.openxmlformats.org/officeDocument/2006/relationships/hyperlink" Target="https://www.instagram.com/javadheydaari/" TargetMode="External"/><Relationship Id="rId1009" Type="http://schemas.openxmlformats.org/officeDocument/2006/relationships/hyperlink" Target="https://www.instagram.com/hamid.dadvandi/" TargetMode="External"/><Relationship Id="rId1000" Type="http://schemas.openxmlformats.org/officeDocument/2006/relationships/hyperlink" Target="http://t.me/helaliabdolreza" TargetMode="External"/><Relationship Id="rId1001" Type="http://schemas.openxmlformats.org/officeDocument/2006/relationships/hyperlink" Target="https://www.instagram.com/hosein.sotoodeh/" TargetMode="External"/><Relationship Id="rId1002" Type="http://schemas.openxmlformats.org/officeDocument/2006/relationships/hyperlink" Target="http://t.me/hoseinsotude" TargetMode="External"/><Relationship Id="rId1003" Type="http://schemas.openxmlformats.org/officeDocument/2006/relationships/hyperlink" Target="https://www.youtube.com/@HosseinSotoodeh1" TargetMode="External"/><Relationship Id="rId1037" Type="http://schemas.openxmlformats.org/officeDocument/2006/relationships/hyperlink" Target="https://www.instagram.com/hamedkashani__/" TargetMode="External"/><Relationship Id="rId1038" Type="http://schemas.openxmlformats.org/officeDocument/2006/relationships/hyperlink" Target="https://t.me/kashani1395" TargetMode="External"/><Relationship Id="rId1039" Type="http://schemas.openxmlformats.org/officeDocument/2006/relationships/hyperlink" Target="https://eitaa.com/kashani1395" TargetMode="External"/><Relationship Id="rId1030" Type="http://schemas.openxmlformats.org/officeDocument/2006/relationships/hyperlink" Target="https://eitaa.com/Fares_ir" TargetMode="External"/><Relationship Id="rId1031" Type="http://schemas.openxmlformats.org/officeDocument/2006/relationships/hyperlink" Target="https://www.fares.ir" TargetMode="External"/><Relationship Id="rId1032" Type="http://schemas.openxmlformats.org/officeDocument/2006/relationships/hyperlink" Target="https://www.instagram.com/fayyazbakhsh_org/" TargetMode="External"/><Relationship Id="rId1033" Type="http://schemas.openxmlformats.org/officeDocument/2006/relationships/hyperlink" Target="https://t.me/Jelvehnooralavi" TargetMode="External"/><Relationship Id="rId1034" Type="http://schemas.openxmlformats.org/officeDocument/2006/relationships/hyperlink" Target="https://eitaa.com/Jelvehnooralavi" TargetMode="External"/><Relationship Id="rId1035" Type="http://schemas.openxmlformats.org/officeDocument/2006/relationships/hyperlink" Target="https://ble.ir/Jelvehnooralavi" TargetMode="External"/><Relationship Id="rId1036" Type="http://schemas.openxmlformats.org/officeDocument/2006/relationships/hyperlink" Target="https://www.jelveh.org/" TargetMode="External"/><Relationship Id="rId1026" Type="http://schemas.openxmlformats.org/officeDocument/2006/relationships/hyperlink" Target="https://www.instagram.com/nariman__panahi" TargetMode="External"/><Relationship Id="rId1027" Type="http://schemas.openxmlformats.org/officeDocument/2006/relationships/hyperlink" Target="https://www.youtube.com/@nariman__panahi" TargetMode="External"/><Relationship Id="rId1028" Type="http://schemas.openxmlformats.org/officeDocument/2006/relationships/hyperlink" Target="https://www.instagram.com/alavitehrani_ir/" TargetMode="External"/><Relationship Id="rId1029" Type="http://schemas.openxmlformats.org/officeDocument/2006/relationships/hyperlink" Target="https://t.me/fares_ir" TargetMode="External"/><Relationship Id="rId1020" Type="http://schemas.openxmlformats.org/officeDocument/2006/relationships/hyperlink" Target="https://www.instagram.com/ali_aliyan315/" TargetMode="External"/><Relationship Id="rId1021" Type="http://schemas.openxmlformats.org/officeDocument/2006/relationships/hyperlink" Target="https://www.instagram.com/hajmohsentaheri.official" TargetMode="External"/><Relationship Id="rId1022" Type="http://schemas.openxmlformats.org/officeDocument/2006/relationships/hyperlink" Target="https://www.instagram.com/mohamadjavadakbari69/" TargetMode="External"/><Relationship Id="rId1023" Type="http://schemas.openxmlformats.org/officeDocument/2006/relationships/hyperlink" Target="https://www.instagram.com/mohammad.hasan.feizi/" TargetMode="External"/><Relationship Id="rId1024" Type="http://schemas.openxmlformats.org/officeDocument/2006/relationships/hyperlink" Target="https://www.instagram.com/mortezataheri110/" TargetMode="External"/><Relationship Id="rId1025" Type="http://schemas.openxmlformats.org/officeDocument/2006/relationships/hyperlink" Target="https://www.instagram.com/hoseyn_bakhtyari_313/" TargetMode="External"/><Relationship Id="rId1090" Type="http://schemas.openxmlformats.org/officeDocument/2006/relationships/hyperlink" Target="https://www.instagram.com/heyatshohadanarmak/" TargetMode="External"/><Relationship Id="rId1091" Type="http://schemas.openxmlformats.org/officeDocument/2006/relationships/hyperlink" Target="https://t.me/heyatshohadanarmak" TargetMode="External"/><Relationship Id="rId1092" Type="http://schemas.openxmlformats.org/officeDocument/2006/relationships/hyperlink" Target="https://eitaa.com/heyatshohadanarmak" TargetMode="External"/><Relationship Id="rId1093" Type="http://schemas.openxmlformats.org/officeDocument/2006/relationships/hyperlink" Target="https://www.instagram.com/hobinfo/" TargetMode="External"/><Relationship Id="rId1094" Type="http://schemas.openxmlformats.org/officeDocument/2006/relationships/hyperlink" Target="https://t.me/hobinfo" TargetMode="External"/><Relationship Id="rId1095" Type="http://schemas.openxmlformats.org/officeDocument/2006/relationships/hyperlink" Target="https://eitaa.com/hobinfo" TargetMode="External"/><Relationship Id="rId1096" Type="http://schemas.openxmlformats.org/officeDocument/2006/relationships/hyperlink" Target="https://www.instagram.com/hossein_janam_ir/" TargetMode="External"/><Relationship Id="rId1097" Type="http://schemas.openxmlformats.org/officeDocument/2006/relationships/hyperlink" Target="https://t.me/hossein_janam_ir" TargetMode="External"/><Relationship Id="rId1098" Type="http://schemas.openxmlformats.org/officeDocument/2006/relationships/hyperlink" Target="https://eitaa.com/hossein_janam_ir" TargetMode="External"/><Relationship Id="rId1099" Type="http://schemas.openxmlformats.org/officeDocument/2006/relationships/hyperlink" Target="https://www.instagram.com/hossein_janam_ir/" TargetMode="External"/><Relationship Id="rId1080" Type="http://schemas.openxmlformats.org/officeDocument/2006/relationships/hyperlink" Target="https://t.me/heiatozahraa" TargetMode="External"/><Relationship Id="rId1081" Type="http://schemas.openxmlformats.org/officeDocument/2006/relationships/hyperlink" Target="https://eitaa.com/heiatozahraa" TargetMode="External"/><Relationship Id="rId1082" Type="http://schemas.openxmlformats.org/officeDocument/2006/relationships/hyperlink" Target="https://www.instagram.com/heyat.iust.ac.ir/" TargetMode="External"/><Relationship Id="rId1083" Type="http://schemas.openxmlformats.org/officeDocument/2006/relationships/hyperlink" Target="https://t.me/heyat_gomnam_iust" TargetMode="External"/><Relationship Id="rId1084" Type="http://schemas.openxmlformats.org/officeDocument/2006/relationships/hyperlink" Target="https://eitaa.com/heyat_gomnam_iust" TargetMode="External"/><Relationship Id="rId1085" Type="http://schemas.openxmlformats.org/officeDocument/2006/relationships/hyperlink" Target="https://ble.ir/heyat_gomnam_iust" TargetMode="External"/><Relationship Id="rId1086" Type="http://schemas.openxmlformats.org/officeDocument/2006/relationships/hyperlink" Target="https://eitaa.com/heyat_koodak" TargetMode="External"/><Relationship Id="rId1087" Type="http://schemas.openxmlformats.org/officeDocument/2006/relationships/hyperlink" Target="https://www.instagram.com/heyatebeytalreza1001/" TargetMode="External"/><Relationship Id="rId1088" Type="http://schemas.openxmlformats.org/officeDocument/2006/relationships/hyperlink" Target="https://t.me/heyatebeytalreza1001" TargetMode="External"/><Relationship Id="rId1089" Type="http://schemas.openxmlformats.org/officeDocument/2006/relationships/hyperlink" Target="https://eitaa.com/heyatebeytalreza1001" TargetMode="External"/><Relationship Id="rId1114" Type="http://schemas.openxmlformats.org/officeDocument/2006/relationships/hyperlink" Target="http://t.me/maheharaminfo" TargetMode="External"/><Relationship Id="rId1115" Type="http://schemas.openxmlformats.org/officeDocument/2006/relationships/hyperlink" Target="https://eitaa.com/maheharaminfo" TargetMode="External"/><Relationship Id="rId1116" Type="http://schemas.openxmlformats.org/officeDocument/2006/relationships/hyperlink" Target="https://www.maheharam.info/" TargetMode="External"/><Relationship Id="rId1117" Type="http://schemas.openxmlformats.org/officeDocument/2006/relationships/hyperlink" Target="https://www.instagram.com/mahfel_mahe_hashemion/" TargetMode="External"/><Relationship Id="rId1118" Type="http://schemas.openxmlformats.org/officeDocument/2006/relationships/hyperlink" Target="https://t.me/mahfel_mahe_hashemion" TargetMode="External"/><Relationship Id="rId1119" Type="http://schemas.openxmlformats.org/officeDocument/2006/relationships/hyperlink" Target="https://eitaa.com/mahfel_mahehashemion" TargetMode="External"/><Relationship Id="rId1110" Type="http://schemas.openxmlformats.org/officeDocument/2006/relationships/hyperlink" Target="https://www.instagram.com/mahdaviye_info/" TargetMode="External"/><Relationship Id="rId1111" Type="http://schemas.openxmlformats.org/officeDocument/2006/relationships/hyperlink" Target="https://t.me/Mahdaviye_info" TargetMode="External"/><Relationship Id="rId1112" Type="http://schemas.openxmlformats.org/officeDocument/2006/relationships/hyperlink" Target="https://eitaa.com/mahdaviye_info" TargetMode="External"/><Relationship Id="rId1113" Type="http://schemas.openxmlformats.org/officeDocument/2006/relationships/hyperlink" Target="https://www.instagram.com/maheharam.media" TargetMode="External"/><Relationship Id="rId1103" Type="http://schemas.openxmlformats.org/officeDocument/2006/relationships/hyperlink" Target="https://eitaa.com/hovalawal" TargetMode="External"/><Relationship Id="rId1104" Type="http://schemas.openxmlformats.org/officeDocument/2006/relationships/hyperlink" Target="http://bale.ir/huvalawal" TargetMode="External"/><Relationship Id="rId1105" Type="http://schemas.openxmlformats.org/officeDocument/2006/relationships/hyperlink" Target="https://www.instagram.com/kolsomiyeh/" TargetMode="External"/><Relationship Id="rId1106" Type="http://schemas.openxmlformats.org/officeDocument/2006/relationships/hyperlink" Target="https://eitaa.com/kolsomiyeh_169" TargetMode="External"/><Relationship Id="rId1107" Type="http://schemas.openxmlformats.org/officeDocument/2006/relationships/hyperlink" Target="https://www.instagram.com/madhmola/" TargetMode="External"/><Relationship Id="rId1108" Type="http://schemas.openxmlformats.org/officeDocument/2006/relationships/hyperlink" Target="https://t.me/madhmola110" TargetMode="External"/><Relationship Id="rId1109" Type="http://schemas.openxmlformats.org/officeDocument/2006/relationships/hyperlink" Target="https://eitaa.com/madhmola" TargetMode="External"/><Relationship Id="rId1100" Type="http://schemas.openxmlformats.org/officeDocument/2006/relationships/hyperlink" Target="https://t.me/hossein_janam_ir" TargetMode="External"/><Relationship Id="rId1101" Type="http://schemas.openxmlformats.org/officeDocument/2006/relationships/hyperlink" Target="https://eitaa.com/hossein_janam_ir" TargetMode="External"/><Relationship Id="rId1102" Type="http://schemas.openxmlformats.org/officeDocument/2006/relationships/hyperlink" Target="https://www.instagram.com/hovalawal/" TargetMode="External"/><Relationship Id="rId1170" Type="http://schemas.openxmlformats.org/officeDocument/2006/relationships/hyperlink" Target="https://eitaa.com/rozeansarozahra" TargetMode="External"/><Relationship Id="rId1171" Type="http://schemas.openxmlformats.org/officeDocument/2006/relationships/hyperlink" Target="https://rozeansarozahra.ir/" TargetMode="External"/><Relationship Id="rId1172" Type="http://schemas.openxmlformats.org/officeDocument/2006/relationships/hyperlink" Target="https://www.instagram.com/rozekhanehajmasoudmehrjoo" TargetMode="External"/><Relationship Id="rId1173" Type="http://schemas.openxmlformats.org/officeDocument/2006/relationships/hyperlink" Target="https://t.me/hajmasoudmehrjoo" TargetMode="External"/><Relationship Id="rId1174" Type="http://schemas.openxmlformats.org/officeDocument/2006/relationships/hyperlink" Target="https://eitaa.com/s/hajmasoudmehrjoo" TargetMode="External"/><Relationship Id="rId1175" Type="http://schemas.openxmlformats.org/officeDocument/2006/relationships/hyperlink" Target="https://www.instagram.com/heyat201_ir/" TargetMode="External"/><Relationship Id="rId1176" Type="http://schemas.openxmlformats.org/officeDocument/2006/relationships/hyperlink" Target="https://t.me/heyat201_ir" TargetMode="External"/><Relationship Id="rId1177" Type="http://schemas.openxmlformats.org/officeDocument/2006/relationships/hyperlink" Target="https://eitaa.com/s/Heyat201_ir" TargetMode="External"/><Relationship Id="rId1178" Type="http://schemas.openxmlformats.org/officeDocument/2006/relationships/hyperlink" Target="https://www.instagram.com/masjedzeinabieh/" TargetMode="External"/><Relationship Id="rId1179" Type="http://schemas.openxmlformats.org/officeDocument/2006/relationships/hyperlink" Target="https://t.me/masjedzeinabieh" TargetMode="External"/><Relationship Id="rId1169" Type="http://schemas.openxmlformats.org/officeDocument/2006/relationships/hyperlink" Target="https://t.me/rozeansarozahra" TargetMode="External"/><Relationship Id="rId1160" Type="http://schemas.openxmlformats.org/officeDocument/2006/relationships/hyperlink" Target="https://t.me/reyhanatolhossein_channel" TargetMode="External"/><Relationship Id="rId1161" Type="http://schemas.openxmlformats.org/officeDocument/2006/relationships/hyperlink" Target="https://eitaa.com/reyhanatolhossein_channell" TargetMode="External"/><Relationship Id="rId1162" Type="http://schemas.openxmlformats.org/officeDocument/2006/relationships/hyperlink" Target="https://www.instagram.com/lohoof.info/" TargetMode="External"/><Relationship Id="rId1163" Type="http://schemas.openxmlformats.org/officeDocument/2006/relationships/hyperlink" Target="https://lohoof.com/" TargetMode="External"/><Relationship Id="rId1164" Type="http://schemas.openxmlformats.org/officeDocument/2006/relationships/hyperlink" Target="https://www.instagram.com/reza_jan_tehran/" TargetMode="External"/><Relationship Id="rId1165" Type="http://schemas.openxmlformats.org/officeDocument/2006/relationships/hyperlink" Target="https://t.me/reza_jan_tehran" TargetMode="External"/><Relationship Id="rId1166" Type="http://schemas.openxmlformats.org/officeDocument/2006/relationships/hyperlink" Target="https://eitaa.com/reza_jan_tehran" TargetMode="External"/><Relationship Id="rId1167" Type="http://schemas.openxmlformats.org/officeDocument/2006/relationships/hyperlink" Target="https://www.youtube.com/@rezajantehrann" TargetMode="External"/><Relationship Id="rId1168" Type="http://schemas.openxmlformats.org/officeDocument/2006/relationships/hyperlink" Target="https://www.instagram.com/rozeansarozahra/" TargetMode="External"/><Relationship Id="rId1190" Type="http://schemas.openxmlformats.org/officeDocument/2006/relationships/hyperlink" Target="https://eitaa.com/s/safineh_info" TargetMode="External"/><Relationship Id="rId1191" Type="http://schemas.openxmlformats.org/officeDocument/2006/relationships/hyperlink" Target="https://www.instagram.com/saelin18/" TargetMode="External"/><Relationship Id="rId1192" Type="http://schemas.openxmlformats.org/officeDocument/2006/relationships/hyperlink" Target="https://t.me/saelin18" TargetMode="External"/><Relationship Id="rId1193" Type="http://schemas.openxmlformats.org/officeDocument/2006/relationships/hyperlink" Target="https://eitaa.com/saelin18" TargetMode="External"/><Relationship Id="rId1194" Type="http://schemas.openxmlformats.org/officeDocument/2006/relationships/hyperlink" Target="https://www.instagram.com/saralahnet/" TargetMode="External"/><Relationship Id="rId1195" Type="http://schemas.openxmlformats.org/officeDocument/2006/relationships/hyperlink" Target="https://t.me/saralahnet" TargetMode="External"/><Relationship Id="rId1196" Type="http://schemas.openxmlformats.org/officeDocument/2006/relationships/hyperlink" Target="https://eitaa.com/saralahnet" TargetMode="External"/><Relationship Id="rId1197" Type="http://schemas.openxmlformats.org/officeDocument/2006/relationships/hyperlink" Target="https://www.instagram.com/sbu_heyat/" TargetMode="External"/><Relationship Id="rId1198" Type="http://schemas.openxmlformats.org/officeDocument/2006/relationships/hyperlink" Target="https://t.me/SBU_HEYAT" TargetMode="External"/><Relationship Id="rId1199" Type="http://schemas.openxmlformats.org/officeDocument/2006/relationships/hyperlink" Target="https://eitaa.com/sbu_heyat" TargetMode="External"/><Relationship Id="rId1180" Type="http://schemas.openxmlformats.org/officeDocument/2006/relationships/hyperlink" Target="https://eitaa.com/s/masjedzeynabieh" TargetMode="External"/><Relationship Id="rId1181" Type="http://schemas.openxmlformats.org/officeDocument/2006/relationships/hyperlink" Target="https://www.instagram.com/misaq_ba_shohada/" TargetMode="External"/><Relationship Id="rId1182" Type="http://schemas.openxmlformats.org/officeDocument/2006/relationships/hyperlink" Target="https://t.me/misaq_ba_shohada" TargetMode="External"/><Relationship Id="rId1183" Type="http://schemas.openxmlformats.org/officeDocument/2006/relationships/hyperlink" Target="https://eitaa.com/s/misaq_ba_shohada" TargetMode="External"/><Relationship Id="rId1184" Type="http://schemas.openxmlformats.org/officeDocument/2006/relationships/hyperlink" Target="https://ble.ir/@misaq_ba_shohada" TargetMode="External"/><Relationship Id="rId1185" Type="http://schemas.openxmlformats.org/officeDocument/2006/relationships/hyperlink" Target="https://www.instagram.com/rozatoshohada.ir/" TargetMode="External"/><Relationship Id="rId1186" Type="http://schemas.openxmlformats.org/officeDocument/2006/relationships/hyperlink" Target="https://t.me/rozatoshohada_ir" TargetMode="External"/><Relationship Id="rId1187" Type="http://schemas.openxmlformats.org/officeDocument/2006/relationships/hyperlink" Target="https://eitaa.com/s/rozatoshohadaa_ir" TargetMode="External"/><Relationship Id="rId1188" Type="http://schemas.openxmlformats.org/officeDocument/2006/relationships/hyperlink" Target="https://www.instagram.com/safineh.info/" TargetMode="External"/><Relationship Id="rId1189" Type="http://schemas.openxmlformats.org/officeDocument/2006/relationships/hyperlink" Target="https://t.me/Safineh_info" TargetMode="External"/><Relationship Id="rId1136" Type="http://schemas.openxmlformats.org/officeDocument/2006/relationships/hyperlink" Target="https://eitaa.com/mohebbaniha" TargetMode="External"/><Relationship Id="rId1137" Type="http://schemas.openxmlformats.org/officeDocument/2006/relationships/hyperlink" Target="https://www.instagram.com/mohebin_tmu/" TargetMode="External"/><Relationship Id="rId1138" Type="http://schemas.openxmlformats.org/officeDocument/2006/relationships/hyperlink" Target="https://t.me/mohebbin_tmu" TargetMode="External"/><Relationship Id="rId1139" Type="http://schemas.openxmlformats.org/officeDocument/2006/relationships/hyperlink" Target="https://eitaa.com/mohebbin_tmu" TargetMode="External"/><Relationship Id="rId1130" Type="http://schemas.openxmlformats.org/officeDocument/2006/relationships/hyperlink" Target="https://t.me/mohebban69" TargetMode="External"/><Relationship Id="rId1131" Type="http://schemas.openxmlformats.org/officeDocument/2006/relationships/hyperlink" Target="https://eitaa.com/moheban69" TargetMode="External"/><Relationship Id="rId1132" Type="http://schemas.openxmlformats.org/officeDocument/2006/relationships/hyperlink" Target="https://www.instagram.com/mohhebban_al_hosein/" TargetMode="External"/><Relationship Id="rId1133" Type="http://schemas.openxmlformats.org/officeDocument/2006/relationships/hyperlink" Target="https://t.me/kaffollabbas" TargetMode="External"/><Relationship Id="rId1134" Type="http://schemas.openxmlformats.org/officeDocument/2006/relationships/hyperlink" Target="https://eitaa.com/mohebban_alhosein" TargetMode="External"/><Relationship Id="rId1135" Type="http://schemas.openxmlformats.org/officeDocument/2006/relationships/hyperlink" Target="https://www.instagram.com/mohebbanozahra.ir/" TargetMode="External"/><Relationship Id="rId1125" Type="http://schemas.openxmlformats.org/officeDocument/2006/relationships/hyperlink" Target="https://eitaa.com/meftah_net" TargetMode="External"/><Relationship Id="rId1126" Type="http://schemas.openxmlformats.org/officeDocument/2006/relationships/hyperlink" Target="https://www.instagram.com/moez_org/" TargetMode="External"/><Relationship Id="rId1127" Type="http://schemas.openxmlformats.org/officeDocument/2006/relationships/hyperlink" Target="https://t.me/moez_org" TargetMode="External"/><Relationship Id="rId1128" Type="http://schemas.openxmlformats.org/officeDocument/2006/relationships/hyperlink" Target="https://eitaa.com/moez_org" TargetMode="External"/><Relationship Id="rId1129" Type="http://schemas.openxmlformats.org/officeDocument/2006/relationships/hyperlink" Target="https://www.instagram.com/mohebban69.ir/" TargetMode="External"/><Relationship Id="rId1120" Type="http://schemas.openxmlformats.org/officeDocument/2006/relationships/hyperlink" Target="https://www.instagram.com/heiatoalzahra/" TargetMode="External"/><Relationship Id="rId1121" Type="http://schemas.openxmlformats.org/officeDocument/2006/relationships/hyperlink" Target="https://t.me/heiatoalzahra213" TargetMode="External"/><Relationship Id="rId1122" Type="http://schemas.openxmlformats.org/officeDocument/2006/relationships/hyperlink" Target="https://eitaa.com/masjedaliasghar" TargetMode="External"/><Relationship Id="rId1123" Type="http://schemas.openxmlformats.org/officeDocument/2006/relationships/hyperlink" Target="https://www.instagram.com/meftah_net" TargetMode="External"/><Relationship Id="rId1124" Type="http://schemas.openxmlformats.org/officeDocument/2006/relationships/hyperlink" Target="https://t.me/meftah_net" TargetMode="External"/><Relationship Id="rId1158" Type="http://schemas.openxmlformats.org/officeDocument/2006/relationships/hyperlink" Target="https://www.youtube.com/@reyhanatolhosein" TargetMode="External"/><Relationship Id="rId1159" Type="http://schemas.openxmlformats.org/officeDocument/2006/relationships/hyperlink" Target="https://www.instagram.com/reyhanatolhossein" TargetMode="External"/><Relationship Id="rId1150" Type="http://schemas.openxmlformats.org/officeDocument/2006/relationships/hyperlink" Target="https://www.instagram.com/nororeza/" TargetMode="External"/><Relationship Id="rId1151" Type="http://schemas.openxmlformats.org/officeDocument/2006/relationships/hyperlink" Target="https://t.me/nororeza" TargetMode="External"/><Relationship Id="rId1152" Type="http://schemas.openxmlformats.org/officeDocument/2006/relationships/hyperlink" Target="https://eitaa.com/nororeza" TargetMode="External"/><Relationship Id="rId1153" Type="http://schemas.openxmlformats.org/officeDocument/2006/relationships/hyperlink" Target="https://www.instagram.com/oshagh_al_zeynab_s/" TargetMode="External"/><Relationship Id="rId1154" Type="http://schemas.openxmlformats.org/officeDocument/2006/relationships/hyperlink" Target="https://eitaa.com/oshagh_alzeynab_s" TargetMode="External"/><Relationship Id="rId1155" Type="http://schemas.openxmlformats.org/officeDocument/2006/relationships/hyperlink" Target="https://www.instagram.com/reyhanatolhosein1436/" TargetMode="External"/><Relationship Id="rId1156" Type="http://schemas.openxmlformats.org/officeDocument/2006/relationships/hyperlink" Target="https://t.me/Reyhanatolhosein1436" TargetMode="External"/><Relationship Id="rId1157" Type="http://schemas.openxmlformats.org/officeDocument/2006/relationships/hyperlink" Target="https://eitaa.com/reyhanatolhosein1436" TargetMode="External"/><Relationship Id="rId1147" Type="http://schemas.openxmlformats.org/officeDocument/2006/relationships/hyperlink" Target="https://t.me/nooriehinfo" TargetMode="External"/><Relationship Id="rId1148" Type="http://schemas.openxmlformats.org/officeDocument/2006/relationships/hyperlink" Target="https://eitaa.com/noorieh_ir" TargetMode="External"/><Relationship Id="rId1149" Type="http://schemas.openxmlformats.org/officeDocument/2006/relationships/hyperlink" Target="https://noorieh.ir/" TargetMode="External"/><Relationship Id="rId1140" Type="http://schemas.openxmlformats.org/officeDocument/2006/relationships/hyperlink" Target="https://ble.ir/mohebbin_tmu" TargetMode="External"/><Relationship Id="rId1141" Type="http://schemas.openxmlformats.org/officeDocument/2006/relationships/hyperlink" Target="https://www.instagram.com/mohebinoljavad135/" TargetMode="External"/><Relationship Id="rId1142" Type="http://schemas.openxmlformats.org/officeDocument/2006/relationships/hyperlink" Target="https://eitaa.com/mohebinoljavad135" TargetMode="External"/><Relationship Id="rId1143" Type="http://schemas.openxmlformats.org/officeDocument/2006/relationships/hyperlink" Target="https://www.instagram.com/mohebbin__info/" TargetMode="External"/><Relationship Id="rId1144" Type="http://schemas.openxmlformats.org/officeDocument/2006/relationships/hyperlink" Target="https://t.me/mohebbineshahadat" TargetMode="External"/><Relationship Id="rId1145" Type="http://schemas.openxmlformats.org/officeDocument/2006/relationships/hyperlink" Target="https://eitaa.com/mohebinshahadat110" TargetMode="External"/><Relationship Id="rId1146" Type="http://schemas.openxmlformats.org/officeDocument/2006/relationships/hyperlink" Target="https://www.instagram.com/nooriehinfo/" TargetMode="External"/><Relationship Id="rId1213" Type="http://schemas.openxmlformats.org/officeDocument/2006/relationships/hyperlink" Target="https://t.me/hoseiniemashayekhi" TargetMode="External"/><Relationship Id="rId1214" Type="http://schemas.openxmlformats.org/officeDocument/2006/relationships/hyperlink" Target="https://www.instagram.com/hoseiniemashayekhi/" TargetMode="External"/><Relationship Id="rId1215" Type="http://schemas.openxmlformats.org/officeDocument/2006/relationships/hyperlink" Target="https://www.instagram.com/mokeb_ansaralabas/" TargetMode="External"/><Relationship Id="rId1216" Type="http://schemas.openxmlformats.org/officeDocument/2006/relationships/hyperlink" Target="https://t.me/ansaralabasgharbtehran" TargetMode="External"/><Relationship Id="rId1217" Type="http://schemas.openxmlformats.org/officeDocument/2006/relationships/hyperlink" Target="https://www.instagram.com/hoseiniyh_ansaralabbas/" TargetMode="External"/><Relationship Id="rId1218" Type="http://schemas.openxmlformats.org/officeDocument/2006/relationships/hyperlink" Target="https://www.instagram.com/masjed_yahya/" TargetMode="External"/><Relationship Id="rId1219" Type="http://schemas.openxmlformats.org/officeDocument/2006/relationships/hyperlink" Target="https://t.me/mazloomeh" TargetMode="External"/><Relationship Id="rId1210" Type="http://schemas.openxmlformats.org/officeDocument/2006/relationships/hyperlink" Target="https://t.me/hasanjan" TargetMode="External"/><Relationship Id="rId1211" Type="http://schemas.openxmlformats.org/officeDocument/2006/relationships/hyperlink" Target="https://www.instagram.com/hasan.jan/" TargetMode="External"/><Relationship Id="rId1212" Type="http://schemas.openxmlformats.org/officeDocument/2006/relationships/hyperlink" Target="https://www.instagram.com/okhtolabas/following/" TargetMode="External"/><Relationship Id="rId1202" Type="http://schemas.openxmlformats.org/officeDocument/2006/relationships/hyperlink" Target="https://t.me/senf_bazzaz" TargetMode="External"/><Relationship Id="rId1203" Type="http://schemas.openxmlformats.org/officeDocument/2006/relationships/hyperlink" Target="https://eitaa.com/senf_bazzaz" TargetMode="External"/><Relationship Id="rId1204" Type="http://schemas.openxmlformats.org/officeDocument/2006/relationships/hyperlink" Target="https://www.instagram.com/shafie_al_moznebin/" TargetMode="External"/><Relationship Id="rId1205" Type="http://schemas.openxmlformats.org/officeDocument/2006/relationships/hyperlink" Target="https://t.me/Shafie_al_moznebin" TargetMode="External"/><Relationship Id="rId1206" Type="http://schemas.openxmlformats.org/officeDocument/2006/relationships/hyperlink" Target="https://eitaa.com/Shafie_al_mozne" TargetMode="External"/><Relationship Id="rId1207" Type="http://schemas.openxmlformats.org/officeDocument/2006/relationships/hyperlink" Target="https://www.instagram.com/heyat_yaazaynab/" TargetMode="External"/><Relationship Id="rId1208" Type="http://schemas.openxmlformats.org/officeDocument/2006/relationships/hyperlink" Target="https://eitaa.com/yaa_zaynab" TargetMode="External"/><Relationship Id="rId1209" Type="http://schemas.openxmlformats.org/officeDocument/2006/relationships/hyperlink" Target="https://www.instagram.com/heiat.hasanjan/" TargetMode="External"/><Relationship Id="rId1200" Type="http://schemas.openxmlformats.org/officeDocument/2006/relationships/hyperlink" Target="https://ble.ir/Sbu_heyat" TargetMode="External"/><Relationship Id="rId1201" Type="http://schemas.openxmlformats.org/officeDocument/2006/relationships/hyperlink" Target="https://www.instagram.com/senf_bazzaz/" TargetMode="External"/><Relationship Id="rId1235" Type="http://schemas.openxmlformats.org/officeDocument/2006/relationships/hyperlink" Target="https://t.me/dordanehosein" TargetMode="External"/><Relationship Id="rId1236" Type="http://schemas.openxmlformats.org/officeDocument/2006/relationships/hyperlink" Target="https://www.instagram.com/heyaat_fatemioon/" TargetMode="External"/><Relationship Id="rId1237" Type="http://schemas.openxmlformats.org/officeDocument/2006/relationships/hyperlink" Target="https://t.me/fatemioongharb" TargetMode="External"/><Relationship Id="rId1238" Type="http://schemas.openxmlformats.org/officeDocument/2006/relationships/hyperlink" Target="https://www.instagram.com/majmaolansar/" TargetMode="External"/><Relationship Id="rId1239" Type="http://schemas.openxmlformats.org/officeDocument/2006/relationships/hyperlink" Target="https://t.me/Fatemiyeh_94" TargetMode="External"/><Relationship Id="rId1230" Type="http://schemas.openxmlformats.org/officeDocument/2006/relationships/hyperlink" Target="https://t.me/@alkosarheiatozahra" TargetMode="External"/><Relationship Id="rId1231" Type="http://schemas.openxmlformats.org/officeDocument/2006/relationships/hyperlink" Target="https://www.khonehmadari.com/" TargetMode="External"/><Relationship Id="rId1232" Type="http://schemas.openxmlformats.org/officeDocument/2006/relationships/hyperlink" Target="https://www.instagram.com/mohebanozahra/" TargetMode="External"/><Relationship Id="rId1233" Type="http://schemas.openxmlformats.org/officeDocument/2006/relationships/hyperlink" Target="https://t.me/C_agh" TargetMode="External"/><Relationship Id="rId1234" Type="http://schemas.openxmlformats.org/officeDocument/2006/relationships/hyperlink" Target="https://www.instagram.com/roze_dordane_hosein/" TargetMode="External"/><Relationship Id="rId1224" Type="http://schemas.openxmlformats.org/officeDocument/2006/relationships/hyperlink" Target="https://www.instagram.com/peyrovan_emam_hosein/" TargetMode="External"/><Relationship Id="rId1225" Type="http://schemas.openxmlformats.org/officeDocument/2006/relationships/hyperlink" Target="https://t.me/peyrovan_emam_hosein" TargetMode="External"/><Relationship Id="rId1226" Type="http://schemas.openxmlformats.org/officeDocument/2006/relationships/hyperlink" Target="https://eitaa.com/peyrovan_emam_hosein" TargetMode="External"/><Relationship Id="rId1227" Type="http://schemas.openxmlformats.org/officeDocument/2006/relationships/hyperlink" Target="https://www.instagram.com/lasaratalhossein1378/" TargetMode="External"/><Relationship Id="rId1228" Type="http://schemas.openxmlformats.org/officeDocument/2006/relationships/hyperlink" Target="http://t.me/lasaratelhosain" TargetMode="External"/><Relationship Id="rId1229" Type="http://schemas.openxmlformats.org/officeDocument/2006/relationships/hyperlink" Target="https://www.instagram.com/heiatozahra/" TargetMode="External"/><Relationship Id="rId1220" Type="http://schemas.openxmlformats.org/officeDocument/2006/relationships/hyperlink" Target="https://www.instagram.com/mazloomeh/" TargetMode="External"/><Relationship Id="rId1221" Type="http://schemas.openxmlformats.org/officeDocument/2006/relationships/hyperlink" Target="https://www.instagram.com/razavioun.media/" TargetMode="External"/><Relationship Id="rId1222" Type="http://schemas.openxmlformats.org/officeDocument/2006/relationships/hyperlink" Target="https://t.me/razaviouninfo" TargetMode="External"/><Relationship Id="rId1223" Type="http://schemas.openxmlformats.org/officeDocument/2006/relationships/hyperlink" Target="https://www.instagram.com/razaviouninfo/" TargetMode="External"/><Relationship Id="rId1290" Type="http://schemas.openxmlformats.org/officeDocument/2006/relationships/hyperlink" Target="https://www.instagram.com/iribu_heyat/" TargetMode="External"/><Relationship Id="rId1291" Type="http://schemas.openxmlformats.org/officeDocument/2006/relationships/hyperlink" Target="https://t.me/iribu_heyat" TargetMode="External"/><Relationship Id="rId1292" Type="http://schemas.openxmlformats.org/officeDocument/2006/relationships/hyperlink" Target="https://www.instagram.com/jannat_hosein/" TargetMode="External"/><Relationship Id="rId1293" Type="http://schemas.openxmlformats.org/officeDocument/2006/relationships/hyperlink" Target="https://t.me/jannat_hosein" TargetMode="External"/><Relationship Id="rId1294" Type="http://schemas.openxmlformats.org/officeDocument/2006/relationships/hyperlink" Target="https://www.instagram.com/hobona.ir/" TargetMode="External"/><Relationship Id="rId1295" Type="http://schemas.openxmlformats.org/officeDocument/2006/relationships/hyperlink" Target="https://t.me/jannat_o_reza" TargetMode="External"/><Relationship Id="rId1296" Type="http://schemas.openxmlformats.org/officeDocument/2006/relationships/hyperlink" Target="https://www.instagram.com/javanan_sarallah/" TargetMode="External"/><Relationship Id="rId1297" Type="http://schemas.openxmlformats.org/officeDocument/2006/relationships/hyperlink" Target="https://t.me/javanan_saraallah" TargetMode="External"/><Relationship Id="rId1298" Type="http://schemas.openxmlformats.org/officeDocument/2006/relationships/hyperlink" Target="https://www.instagram.com/khademin.info/" TargetMode="External"/><Relationship Id="rId1299" Type="http://schemas.openxmlformats.org/officeDocument/2006/relationships/hyperlink" Target="https://t.me/khademin_315" TargetMode="External"/><Relationship Id="rId1280" Type="http://schemas.openxmlformats.org/officeDocument/2006/relationships/hyperlink" Target="https://www.instagram.com/vareth_ir/" TargetMode="External"/><Relationship Id="rId1281" Type="http://schemas.openxmlformats.org/officeDocument/2006/relationships/hyperlink" Target="https://t.me/heyatvareth" TargetMode="External"/><Relationship Id="rId1282" Type="http://schemas.openxmlformats.org/officeDocument/2006/relationships/hyperlink" Target="https://www.instagram.com/heidariyonh/" TargetMode="External"/><Relationship Id="rId1283" Type="http://schemas.openxmlformats.org/officeDocument/2006/relationships/hyperlink" Target="https://t.me/heydariyon1416" TargetMode="External"/><Relationship Id="rId1284" Type="http://schemas.openxmlformats.org/officeDocument/2006/relationships/hyperlink" Target="https://www.instagram.com/hobolhusein/" TargetMode="External"/><Relationship Id="rId1285" Type="http://schemas.openxmlformats.org/officeDocument/2006/relationships/hyperlink" Target="https://t.me/hobolhusein" TargetMode="External"/><Relationship Id="rId1286" Type="http://schemas.openxmlformats.org/officeDocument/2006/relationships/hyperlink" Target="https://www.instagram.com/hosseinie_karbala/" TargetMode="External"/><Relationship Id="rId1287" Type="http://schemas.openxmlformats.org/officeDocument/2006/relationships/hyperlink" Target="https://t.me/hosseinie_karbala" TargetMode="External"/><Relationship Id="rId1288" Type="http://schemas.openxmlformats.org/officeDocument/2006/relationships/hyperlink" Target="https://www.instagram.com/hosseiniyedarake/" TargetMode="External"/><Relationship Id="rId1289" Type="http://schemas.openxmlformats.org/officeDocument/2006/relationships/hyperlink" Target="https://t.me/hosseiniye_darake" TargetMode="External"/><Relationship Id="rId1257" Type="http://schemas.openxmlformats.org/officeDocument/2006/relationships/hyperlink" Target="https://www.instagram.com/heiatseyedoshohada/" TargetMode="External"/><Relationship Id="rId1258" Type="http://schemas.openxmlformats.org/officeDocument/2006/relationships/hyperlink" Target="https://t.me/heiatseyedoshohada" TargetMode="External"/><Relationship Id="rId1259" Type="http://schemas.openxmlformats.org/officeDocument/2006/relationships/hyperlink" Target="https://www.instagram.com/shahzade_aliakbarr333/" TargetMode="External"/><Relationship Id="rId1250" Type="http://schemas.openxmlformats.org/officeDocument/2006/relationships/hyperlink" Target="https://www.instagram.com/heiate_mohebbin/" TargetMode="External"/><Relationship Id="rId1251" Type="http://schemas.openxmlformats.org/officeDocument/2006/relationships/hyperlink" Target="https://t.me/heiate_mohebbin" TargetMode="External"/><Relationship Id="rId1252" Type="http://schemas.openxmlformats.org/officeDocument/2006/relationships/hyperlink" Target="https://www.instagram.com/heiate.bentonabi/" TargetMode="External"/><Relationship Id="rId1253" Type="http://schemas.openxmlformats.org/officeDocument/2006/relationships/hyperlink" Target="https://t.me/heiatebentonabi" TargetMode="External"/><Relationship Id="rId1254" Type="http://schemas.openxmlformats.org/officeDocument/2006/relationships/hyperlink" Target="https://www.instagram.com/heiatrazmandegan" TargetMode="External"/><Relationship Id="rId1255" Type="http://schemas.openxmlformats.org/officeDocument/2006/relationships/hyperlink" Target="https://t.me/heiatrazmandegan" TargetMode="External"/><Relationship Id="rId1256" Type="http://schemas.openxmlformats.org/officeDocument/2006/relationships/hyperlink" Target="https://valasr.ir/" TargetMode="External"/><Relationship Id="rId1246" Type="http://schemas.openxmlformats.org/officeDocument/2006/relationships/hyperlink" Target="https://www.instagram.com/heyat_ya_zahra135/" TargetMode="External"/><Relationship Id="rId1247" Type="http://schemas.openxmlformats.org/officeDocument/2006/relationships/hyperlink" Target="https://t.me/Hasan_hoseynkhani" TargetMode="External"/><Relationship Id="rId1248" Type="http://schemas.openxmlformats.org/officeDocument/2006/relationships/hyperlink" Target="https://www.instagram.com/heiate.ebnoreza/" TargetMode="External"/><Relationship Id="rId1249" Type="http://schemas.openxmlformats.org/officeDocument/2006/relationships/hyperlink" Target="https://t.me/heiate_ebnoreza" TargetMode="External"/><Relationship Id="rId1240" Type="http://schemas.openxmlformats.org/officeDocument/2006/relationships/hyperlink" Target="https://www.instagram.com/tahuor110/" TargetMode="External"/><Relationship Id="rId1241" Type="http://schemas.openxmlformats.org/officeDocument/2006/relationships/hyperlink" Target="https://t.me/gahvareh_tahur" TargetMode="External"/><Relationship Id="rId1242" Type="http://schemas.openxmlformats.org/officeDocument/2006/relationships/hyperlink" Target="https://www.instagram.com/shahzadegan_e_karbala/" TargetMode="External"/><Relationship Id="rId1243" Type="http://schemas.openxmlformats.org/officeDocument/2006/relationships/hyperlink" Target="https://t.me/gharib133" TargetMode="External"/><Relationship Id="rId1244" Type="http://schemas.openxmlformats.org/officeDocument/2006/relationships/hyperlink" Target="https://www.instagram.com/heyat_yahassan_tehran/" TargetMode="External"/><Relationship Id="rId1245" Type="http://schemas.openxmlformats.org/officeDocument/2006/relationships/hyperlink" Target="https://t.me/haj_Seyed_Vahid_Mostafavi" TargetMode="External"/><Relationship Id="rId1279" Type="http://schemas.openxmlformats.org/officeDocument/2006/relationships/hyperlink" Target="https://samen1001.com/" TargetMode="External"/><Relationship Id="rId1270" Type="http://schemas.openxmlformats.org/officeDocument/2006/relationships/hyperlink" Target="https://t.me/heyatharam" TargetMode="External"/><Relationship Id="rId1271" Type="http://schemas.openxmlformats.org/officeDocument/2006/relationships/hyperlink" Target="https://www.instagram.com/heyate_janatol_reza/" TargetMode="External"/><Relationship Id="rId1272" Type="http://schemas.openxmlformats.org/officeDocument/2006/relationships/hyperlink" Target="https://t.me/heyatjanatolrezatehran" TargetMode="External"/><Relationship Id="rId1273" Type="http://schemas.openxmlformats.org/officeDocument/2006/relationships/hyperlink" Target="https://www.instagram.com/heyatjannesaran/" TargetMode="External"/><Relationship Id="rId1274" Type="http://schemas.openxmlformats.org/officeDocument/2006/relationships/hyperlink" Target="https://t.me/heyatjannesaran" TargetMode="External"/><Relationship Id="rId1275" Type="http://schemas.openxmlformats.org/officeDocument/2006/relationships/hyperlink" Target="https://www.instagram.com/heyat.karbala/" TargetMode="External"/><Relationship Id="rId1276" Type="http://schemas.openxmlformats.org/officeDocument/2006/relationships/hyperlink" Target="https://t.me/HeyatKarbala" TargetMode="External"/><Relationship Id="rId1277" Type="http://schemas.openxmlformats.org/officeDocument/2006/relationships/hyperlink" Target="https://www.instagram.com/samenolaemeh.1001/" TargetMode="External"/><Relationship Id="rId1278" Type="http://schemas.openxmlformats.org/officeDocument/2006/relationships/hyperlink" Target="https://t.me/heyatsamenolaeme" TargetMode="External"/><Relationship Id="rId1268" Type="http://schemas.openxmlformats.org/officeDocument/2006/relationships/hyperlink" Target="https://t.me/heyatealatash" TargetMode="External"/><Relationship Id="rId1269" Type="http://schemas.openxmlformats.org/officeDocument/2006/relationships/hyperlink" Target="https://www.instagram.com/heyatharam" TargetMode="External"/><Relationship Id="rId1260" Type="http://schemas.openxmlformats.org/officeDocument/2006/relationships/hyperlink" Target="https://t.me/heiatshahzadealiakbar82" TargetMode="External"/><Relationship Id="rId1261" Type="http://schemas.openxmlformats.org/officeDocument/2006/relationships/hyperlink" Target="https://www.instagram.com/heyat__sajadieh/" TargetMode="External"/><Relationship Id="rId1262" Type="http://schemas.openxmlformats.org/officeDocument/2006/relationships/hyperlink" Target="https://t.me/heyaatsajadieh" TargetMode="External"/><Relationship Id="rId1263" Type="http://schemas.openxmlformats.org/officeDocument/2006/relationships/hyperlink" Target="https://www.instagram.com/heyat_oshagholreza1001/" TargetMode="External"/><Relationship Id="rId1264" Type="http://schemas.openxmlformats.org/officeDocument/2006/relationships/hyperlink" Target="https://t.me/heyat_oshagholreza1001" TargetMode="External"/><Relationship Id="rId1265" Type="http://schemas.openxmlformats.org/officeDocument/2006/relationships/hyperlink" Target="https://www.instagram.com/heyate817/" TargetMode="External"/><Relationship Id="rId1266" Type="http://schemas.openxmlformats.org/officeDocument/2006/relationships/hyperlink" Target="https://t.me/heyate817" TargetMode="External"/><Relationship Id="rId1267" Type="http://schemas.openxmlformats.org/officeDocument/2006/relationships/hyperlink" Target="https://www.instagram.com/heyatealatash/" TargetMode="External"/><Relationship Id="rId190" Type="http://schemas.openxmlformats.org/officeDocument/2006/relationships/hyperlink" Target="https://www.instagram.com/godal.info/" TargetMode="External"/><Relationship Id="rId194" Type="http://schemas.openxmlformats.org/officeDocument/2006/relationships/hyperlink" Target="https://www.instagram.com/hasanjaanam/" TargetMode="External"/><Relationship Id="rId193" Type="http://schemas.openxmlformats.org/officeDocument/2006/relationships/hyperlink" Target="https://t.me/godalghatlegah_ir" TargetMode="External"/><Relationship Id="rId192" Type="http://schemas.openxmlformats.org/officeDocument/2006/relationships/hyperlink" Target="https://www.instagram.com/godalghatlegah_ir/" TargetMode="External"/><Relationship Id="rId191" Type="http://schemas.openxmlformats.org/officeDocument/2006/relationships/hyperlink" Target="https://t.me/godal_info" TargetMode="External"/><Relationship Id="rId187" Type="http://schemas.openxmlformats.org/officeDocument/2006/relationships/hyperlink" Target="https://www.instagram.com/ghorb_ir" TargetMode="External"/><Relationship Id="rId186" Type="http://schemas.openxmlformats.org/officeDocument/2006/relationships/hyperlink" Target="https://t.me/gheblehinfo" TargetMode="External"/><Relationship Id="rId185" Type="http://schemas.openxmlformats.org/officeDocument/2006/relationships/hyperlink" Target="https://www.instagram.com/ghebleh.info/" TargetMode="External"/><Relationship Id="rId184" Type="http://schemas.openxmlformats.org/officeDocument/2006/relationships/hyperlink" Target="https://t.me/ghatilinfo" TargetMode="External"/><Relationship Id="rId189" Type="http://schemas.openxmlformats.org/officeDocument/2006/relationships/hyperlink" Target="https://www.ghorb.ir/" TargetMode="External"/><Relationship Id="rId188" Type="http://schemas.openxmlformats.org/officeDocument/2006/relationships/hyperlink" Target="http://www.telegram.me/ghorb" TargetMode="External"/><Relationship Id="rId183" Type="http://schemas.openxmlformats.org/officeDocument/2006/relationships/hyperlink" Target="https://www.instagram.com/ghatil.info/" TargetMode="External"/><Relationship Id="rId182" Type="http://schemas.openxmlformats.org/officeDocument/2006/relationships/hyperlink" Target="https://t.me/gharibesamera_emamhadi" TargetMode="External"/><Relationship Id="rId181" Type="http://schemas.openxmlformats.org/officeDocument/2006/relationships/hyperlink" Target="https://www.instagram.com/gharibesamera_emamhadi/" TargetMode="External"/><Relationship Id="rId180" Type="http://schemas.openxmlformats.org/officeDocument/2006/relationships/hyperlink" Target="https://t.me/ghamaar133" TargetMode="External"/><Relationship Id="rId176" Type="http://schemas.openxmlformats.org/officeDocument/2006/relationships/hyperlink" Target="https://t.me/fanni_rayatolhoda" TargetMode="External"/><Relationship Id="rId175" Type="http://schemas.openxmlformats.org/officeDocument/2006/relationships/hyperlink" Target="https://www.instagram.com/fanni_rayatolhoda/" TargetMode="External"/><Relationship Id="rId174" Type="http://schemas.openxmlformats.org/officeDocument/2006/relationships/hyperlink" Target="https://t.me/ehsanolhosein" TargetMode="External"/><Relationship Id="rId173" Type="http://schemas.openxmlformats.org/officeDocument/2006/relationships/hyperlink" Target="https://www.instagram.com/ehsanolhosein/" TargetMode="External"/><Relationship Id="rId179" Type="http://schemas.openxmlformats.org/officeDocument/2006/relationships/hyperlink" Target="https://www.instagram.com/ghamaar.133/" TargetMode="External"/><Relationship Id="rId178" Type="http://schemas.openxmlformats.org/officeDocument/2006/relationships/hyperlink" Target="https://t.me/fatemiehershad135" TargetMode="External"/><Relationship Id="rId177" Type="http://schemas.openxmlformats.org/officeDocument/2006/relationships/hyperlink" Target="https://www.instagram.com/fatemiehershad135/" TargetMode="External"/><Relationship Id="rId198" Type="http://schemas.openxmlformats.org/officeDocument/2006/relationships/hyperlink" Target="https://www.instagram.com/_amiralmomenin_110/" TargetMode="External"/><Relationship Id="rId197" Type="http://schemas.openxmlformats.org/officeDocument/2006/relationships/hyperlink" Target="https://t.me/heiat_emam_hasan_118" TargetMode="External"/><Relationship Id="rId196" Type="http://schemas.openxmlformats.org/officeDocument/2006/relationships/hyperlink" Target="https://www.instagram.com/emam_hasan_mojtba118/" TargetMode="External"/><Relationship Id="rId195" Type="http://schemas.openxmlformats.org/officeDocument/2006/relationships/hyperlink" Target="https://t.me/hasaanjaanam" TargetMode="External"/><Relationship Id="rId199" Type="http://schemas.openxmlformats.org/officeDocument/2006/relationships/hyperlink" Target="https://t.me/heyat_amiralmomenin" TargetMode="External"/><Relationship Id="rId150" Type="http://schemas.openxmlformats.org/officeDocument/2006/relationships/hyperlink" Target="https://www.instagram.com/beytorreza/" TargetMode="External"/><Relationship Id="rId149" Type="http://schemas.openxmlformats.org/officeDocument/2006/relationships/hyperlink" Target="https://t.me/beytoreza_info" TargetMode="External"/><Relationship Id="rId148" Type="http://schemas.openxmlformats.org/officeDocument/2006/relationships/hyperlink" Target="https://www.instagram.com/beytoreza_info/" TargetMode="External"/><Relationship Id="rId143" Type="http://schemas.openxmlformats.org/officeDocument/2006/relationships/hyperlink" Target="https://t.me/beytolroghayee_315" TargetMode="External"/><Relationship Id="rId142" Type="http://schemas.openxmlformats.org/officeDocument/2006/relationships/hyperlink" Target="https://www.instagram.com/beytolroghaye_315/" TargetMode="External"/><Relationship Id="rId141" Type="http://schemas.openxmlformats.org/officeDocument/2006/relationships/hyperlink" Target="https://t.me/beytoljavad_14" TargetMode="External"/><Relationship Id="rId140" Type="http://schemas.openxmlformats.org/officeDocument/2006/relationships/hyperlink" Target="https://www.instagram.com/beytoljavad_14/" TargetMode="External"/><Relationship Id="rId147" Type="http://schemas.openxmlformats.org/officeDocument/2006/relationships/hyperlink" Target="https://t.me/beytoorogaye" TargetMode="External"/><Relationship Id="rId146" Type="http://schemas.openxmlformats.org/officeDocument/2006/relationships/hyperlink" Target="https://www.instagram.com/beytoorogaye/" TargetMode="External"/><Relationship Id="rId145" Type="http://schemas.openxmlformats.org/officeDocument/2006/relationships/hyperlink" Target="https://t.me/beytool_hasan" TargetMode="External"/><Relationship Id="rId144" Type="http://schemas.openxmlformats.org/officeDocument/2006/relationships/hyperlink" Target="https://www.instagram.com/beytool_hasan/" TargetMode="External"/><Relationship Id="rId139" Type="http://schemas.openxmlformats.org/officeDocument/2006/relationships/hyperlink" Target="https://t.me/beynolharameyn_tehran" TargetMode="External"/><Relationship Id="rId138" Type="http://schemas.openxmlformats.org/officeDocument/2006/relationships/hyperlink" Target="https://www.instagram.com/beynolharameyn.rasmi" TargetMode="External"/><Relationship Id="rId137" Type="http://schemas.openxmlformats.org/officeDocument/2006/relationships/hyperlink" Target="https://t.me/beynolharamein135" TargetMode="External"/><Relationship Id="rId132" Type="http://schemas.openxmlformats.org/officeDocument/2006/relationships/hyperlink" Target="https://www.instagram.com/beitoolabbas/" TargetMode="External"/><Relationship Id="rId131" Type="http://schemas.openxmlformats.org/officeDocument/2006/relationships/hyperlink" Target="https://t.me/beitolhasan_chavoshi" TargetMode="External"/><Relationship Id="rId130" Type="http://schemas.openxmlformats.org/officeDocument/2006/relationships/hyperlink" Target="https://www.instagram.com/beitolhasan_ir/" TargetMode="External"/><Relationship Id="rId136" Type="http://schemas.openxmlformats.org/officeDocument/2006/relationships/hyperlink" Target="https://www.instagram.com/beynolharamein135/" TargetMode="External"/><Relationship Id="rId135" Type="http://schemas.openxmlformats.org/officeDocument/2006/relationships/hyperlink" Target="https://t.me/beitozzahraa" TargetMode="External"/><Relationship Id="rId134" Type="http://schemas.openxmlformats.org/officeDocument/2006/relationships/hyperlink" Target="https://www.instagram.com/beitozzahraa/" TargetMode="External"/><Relationship Id="rId133" Type="http://schemas.openxmlformats.org/officeDocument/2006/relationships/hyperlink" Target="https://t.me/beitoolabbas" TargetMode="External"/><Relationship Id="rId172" Type="http://schemas.openxmlformats.org/officeDocument/2006/relationships/hyperlink" Target="https://t.me/ebnalzahra" TargetMode="External"/><Relationship Id="rId171" Type="http://schemas.openxmlformats.org/officeDocument/2006/relationships/hyperlink" Target="https://www.instagram.com/ebn_alzahra/" TargetMode="External"/><Relationship Id="rId170" Type="http://schemas.openxmlformats.org/officeDocument/2006/relationships/hyperlink" Target="https://t.me/dordaneh_info" TargetMode="External"/><Relationship Id="rId165" Type="http://schemas.openxmlformats.org/officeDocument/2006/relationships/hyperlink" Target="https://www.instagram.com/divanegan128/" TargetMode="External"/><Relationship Id="rId164" Type="http://schemas.openxmlformats.org/officeDocument/2006/relationships/hyperlink" Target="https://t.me/deldadegan_abdolah" TargetMode="External"/><Relationship Id="rId163" Type="http://schemas.openxmlformats.org/officeDocument/2006/relationships/hyperlink" Target="https://www.instagram.com/deldadegan_abdolah142/" TargetMode="External"/><Relationship Id="rId162" Type="http://schemas.openxmlformats.org/officeDocument/2006/relationships/hyperlink" Target="https://t.me/dakhil_info" TargetMode="External"/><Relationship Id="rId169" Type="http://schemas.openxmlformats.org/officeDocument/2006/relationships/hyperlink" Target="https://www.instagram.com/dordaneh_info/" TargetMode="External"/><Relationship Id="rId168" Type="http://schemas.openxmlformats.org/officeDocument/2006/relationships/hyperlink" Target="https://t.me/dobanoyedameshgh" TargetMode="External"/><Relationship Id="rId167" Type="http://schemas.openxmlformats.org/officeDocument/2006/relationships/hyperlink" Target="https://www.instagram.com/dobanoyedameshgh/" TargetMode="External"/><Relationship Id="rId166" Type="http://schemas.openxmlformats.org/officeDocument/2006/relationships/hyperlink" Target="https://t.me/divanegane128" TargetMode="External"/><Relationship Id="rId161" Type="http://schemas.openxmlformats.org/officeDocument/2006/relationships/hyperlink" Target="https://www.instagram.com/dakhil_info/" TargetMode="External"/><Relationship Id="rId160" Type="http://schemas.openxmlformats.org/officeDocument/2006/relationships/hyperlink" Target="https://t.me/bokaeeye" TargetMode="External"/><Relationship Id="rId159" Type="http://schemas.openxmlformats.org/officeDocument/2006/relationships/hyperlink" Target="https://www.instagram.com/bokaeeye.135/" TargetMode="External"/><Relationship Id="rId154" Type="http://schemas.openxmlformats.org/officeDocument/2006/relationships/hyperlink" Target="https://t.me/beytozzahraSal" TargetMode="External"/><Relationship Id="rId153" Type="http://schemas.openxmlformats.org/officeDocument/2006/relationships/hyperlink" Target="https://www.instagram.com/heiat_beytozzahra/" TargetMode="External"/><Relationship Id="rId152" Type="http://schemas.openxmlformats.org/officeDocument/2006/relationships/hyperlink" Target="http://beytorreza.ir/" TargetMode="External"/><Relationship Id="rId151" Type="http://schemas.openxmlformats.org/officeDocument/2006/relationships/hyperlink" Target="https://t.me/beytorreza" TargetMode="External"/><Relationship Id="rId158" Type="http://schemas.openxmlformats.org/officeDocument/2006/relationships/hyperlink" Target="https://t.me/bibi_fatemeh_gharchak" TargetMode="External"/><Relationship Id="rId157" Type="http://schemas.openxmlformats.org/officeDocument/2006/relationships/hyperlink" Target="https://www.instagram.com/bibi_fatemeh_gharchak/" TargetMode="External"/><Relationship Id="rId156" Type="http://schemas.openxmlformats.org/officeDocument/2006/relationships/hyperlink" Target="https://t.me/bezatolhasan" TargetMode="External"/><Relationship Id="rId155" Type="http://schemas.openxmlformats.org/officeDocument/2006/relationships/hyperlink" Target="https://www.instagram.com/bezatolhasan/" TargetMode="External"/><Relationship Id="rId107" Type="http://schemas.openxmlformats.org/officeDocument/2006/relationships/hyperlink" Target="https://t.me/ansar_almahdi313" TargetMode="External"/><Relationship Id="rId106" Type="http://schemas.openxmlformats.org/officeDocument/2006/relationships/hyperlink" Target="https://www.instagram.com/ansar_almahdi313/" TargetMode="External"/><Relationship Id="rId105" Type="http://schemas.openxmlformats.org/officeDocument/2006/relationships/hyperlink" Target="https://t.me/ansaar_315" TargetMode="External"/><Relationship Id="rId104" Type="http://schemas.openxmlformats.org/officeDocument/2006/relationships/hyperlink" Target="https://www.instagram.com/ansar_.315/" TargetMode="External"/><Relationship Id="rId109" Type="http://schemas.openxmlformats.org/officeDocument/2006/relationships/hyperlink" Target="https://t.me/ansarabbasdoolab1325" TargetMode="External"/><Relationship Id="rId108" Type="http://schemas.openxmlformats.org/officeDocument/2006/relationships/hyperlink" Target="https://www.instagram.com/ansarabbasdoolab/" TargetMode="External"/><Relationship Id="rId103" Type="http://schemas.openxmlformats.org/officeDocument/2006/relationships/hyperlink" Target="https://t.me/aliiasghar_1401" TargetMode="External"/><Relationship Id="rId102" Type="http://schemas.openxmlformats.org/officeDocument/2006/relationships/hyperlink" Target="https://www.instagram.com/aliiasghar_1401/" TargetMode="External"/><Relationship Id="rId101" Type="http://schemas.openxmlformats.org/officeDocument/2006/relationships/hyperlink" Target="https://t.me/ali_porkaveh_zanjani" TargetMode="External"/><Relationship Id="rId100" Type="http://schemas.openxmlformats.org/officeDocument/2006/relationships/hyperlink" Target="https://www.instagram.com/ahlaa_men_asal/" TargetMode="External"/><Relationship Id="rId129" Type="http://schemas.openxmlformats.org/officeDocument/2006/relationships/hyperlink" Target="https://t.me/bazatorasul" TargetMode="External"/><Relationship Id="rId128" Type="http://schemas.openxmlformats.org/officeDocument/2006/relationships/hyperlink" Target="https://www.instagram.com/bazatorasul/" TargetMode="External"/><Relationship Id="rId127" Type="http://schemas.openxmlformats.org/officeDocument/2006/relationships/hyperlink" Target="https://t.me/banezahra_ir" TargetMode="External"/><Relationship Id="rId126" Type="http://schemas.openxmlformats.org/officeDocument/2006/relationships/hyperlink" Target="https://www.instagram.com/banezahra.ir/" TargetMode="External"/><Relationship Id="rId121" Type="http://schemas.openxmlformats.org/officeDocument/2006/relationships/hyperlink" Target="https://t.me/atu_ashuraeei" TargetMode="External"/><Relationship Id="rId120" Type="http://schemas.openxmlformats.org/officeDocument/2006/relationships/hyperlink" Target="https://www.instagram.com/atu_ashuraeei/" TargetMode="External"/><Relationship Id="rId125" Type="http://schemas.openxmlformats.org/officeDocument/2006/relationships/hyperlink" Target="https://t.me/babolghebleh_ir" TargetMode="External"/><Relationship Id="rId124" Type="http://schemas.openxmlformats.org/officeDocument/2006/relationships/hyperlink" Target="https://www.instagram.com/babolghebleh_ir/" TargetMode="External"/><Relationship Id="rId123" Type="http://schemas.openxmlformats.org/officeDocument/2006/relationships/hyperlink" Target="https://t.me/azadaran_129" TargetMode="External"/><Relationship Id="rId122" Type="http://schemas.openxmlformats.org/officeDocument/2006/relationships/hyperlink" Target="https://www.instagram.com/129_azadaran/" TargetMode="External"/><Relationship Id="rId118" Type="http://schemas.openxmlformats.org/officeDocument/2006/relationships/hyperlink" Target="https://www.instagram.com/asheghanehosseini/" TargetMode="External"/><Relationship Id="rId117" Type="http://schemas.openxmlformats.org/officeDocument/2006/relationships/hyperlink" Target="https://t.me/ashabeghaem" TargetMode="External"/><Relationship Id="rId116" Type="http://schemas.openxmlformats.org/officeDocument/2006/relationships/hyperlink" Target="https://www.instagram.com/ashabolghaem/" TargetMode="External"/><Relationship Id="rId115" Type="http://schemas.openxmlformats.org/officeDocument/2006/relationships/hyperlink" Target="https://t.me/ashabalhoseini" TargetMode="External"/><Relationship Id="rId119" Type="http://schemas.openxmlformats.org/officeDocument/2006/relationships/hyperlink" Target="https://t.me/asheghanehosseini313" TargetMode="External"/><Relationship Id="rId110" Type="http://schemas.openxmlformats.org/officeDocument/2006/relationships/hyperlink" Target="https://www.instagram.com/ansarhussainie/" TargetMode="External"/><Relationship Id="rId114" Type="http://schemas.openxmlformats.org/officeDocument/2006/relationships/hyperlink" Target="https://www.instagram.com/ashab_hosseine/" TargetMode="External"/><Relationship Id="rId113" Type="http://schemas.openxmlformats.org/officeDocument/2006/relationships/hyperlink" Target="https://t.me/ansarolabas1340" TargetMode="External"/><Relationship Id="rId112" Type="http://schemas.openxmlformats.org/officeDocument/2006/relationships/hyperlink" Target="https://www.instagram.com/ansarolabas/" TargetMode="External"/><Relationship Id="rId111" Type="http://schemas.openxmlformats.org/officeDocument/2006/relationships/hyperlink" Target="https://t.me/ansarhussainie" TargetMode="External"/><Relationship Id="rId392" Type="http://schemas.openxmlformats.org/officeDocument/2006/relationships/hyperlink" Target="https://www.instagram.com/safiranzynab313/" TargetMode="External"/><Relationship Id="rId391" Type="http://schemas.openxmlformats.org/officeDocument/2006/relationships/hyperlink" Target="https://www.instagram.com/heyatenorolhoda/" TargetMode="External"/><Relationship Id="rId390" Type="http://schemas.openxmlformats.org/officeDocument/2006/relationships/hyperlink" Target="https://l.instagram.com/?u=https%3A%2F%2Ft.me%2Fheiatmohebbin213%3Futm_source%3Dig%26utm_medium%3Dsocial%26utm_content%3Dlink_in_bio%26fbclid%3DPAZXh0bgNhZW0CMTEAc3J0YwZhcHBfaWQMMjU2MjgxMDQwNTU4AAGn9OezL9rYR9KEfRctuSgEL7Ug0wNa7eVoayMtCRhBmPmLk3B3pc9_sBI10DI_aem_tpw-E7-wNBmZg7j-q5QaYQ&amp;e=AT0jRngz0THD5cmefYa6sg2dR9eQstiZATztdouAVeceChRZrIGWggWIpXjyaOsi6VsJaJxvT1m8atpcxEW_UcAdr-JOQzSxHZYZ-sSuMw" TargetMode="External"/><Relationship Id="rId385" Type="http://schemas.openxmlformats.org/officeDocument/2006/relationships/hyperlink" Target="https://msagheb.ir/" TargetMode="External"/><Relationship Id="rId384" Type="http://schemas.openxmlformats.org/officeDocument/2006/relationships/hyperlink" Target="https://www.instagram.com/msagheb.ir/" TargetMode="External"/><Relationship Id="rId383" Type="http://schemas.openxmlformats.org/officeDocument/2006/relationships/hyperlink" Target="https://l.instagram.com/?u=https%3A%2F%2Feitaa.com%2Fmohebban_nontazeran%3Futm_source%3Dig%26utm_medium%3Dsocial%26utm_content%3Dlink_in_bio%26fbclid%3DPAZXh0bgNhZW0CMTEAc3J0YwZhcHBfaWQMMjU2MjgxMDQwNTU4AAGnHSPTmf3A6cYvTu0wrlNe4u_aK9aLiuKpGdORDSSgFy4TixEyiB7h7rSZWjE_aem_8d6WVjUC1k02P4h4VGCdKQ&amp;e=AT1vjW9yTtYlYZX3cmZJlIE19seB59byHzU_Oeh8tmRrVKfYnXKjKPrzyBQBR_D4e29uK9vE_szCnM3vGp0enlFtc1FSyducAlUcIwl8Dw" TargetMode="External"/><Relationship Id="rId382" Type="http://schemas.openxmlformats.org/officeDocument/2006/relationships/hyperlink" Target="https://www.instagram.com/moheban_elhasin_info/" TargetMode="External"/><Relationship Id="rId389" Type="http://schemas.openxmlformats.org/officeDocument/2006/relationships/hyperlink" Target="https://www.instagram.com/masjed_mohebbin/" TargetMode="External"/><Relationship Id="rId388" Type="http://schemas.openxmlformats.org/officeDocument/2006/relationships/hyperlink" Target="https://l.instagram.com/?u=http%3A%2F%2Ft.me%2Fghatilolabaraat%3Futm_source%3Dig%26utm_medium%3Dsocial%26utm_content%3Dlink_in_bio%26fbclid%3DPAZXh0bgNhZW0CMTEAc3J0YwZhcHBfaWQMMjU2MjgxMDQwNTU4AAGn4fLgGLmtBu4oBSTRJGSF_W98bqDM2lsbvpg-hEvjbm_t8ZOzlLL4u5x_Bfc_aem_exwHYAg_eCVcYbPo7m4ytA&amp;e=AT3-Fq3ZGyhXkfF03yX0JKs4mkdonf1OMCKTH5_OpAFh7sxnE63GJlrfLxzs__A_gVbKQZBH8ZvIUmfIy2GzaDaW8rZVjwKnNiX10E6r4A" TargetMode="External"/><Relationship Id="rId387" Type="http://schemas.openxmlformats.org/officeDocument/2006/relationships/hyperlink" Target="https://www.instagram.com/ghatilolabaraat/" TargetMode="External"/><Relationship Id="rId386" Type="http://schemas.openxmlformats.org/officeDocument/2006/relationships/hyperlink" Target="https://www.instagram.com/heiatmontazerin1370/" TargetMode="External"/><Relationship Id="rId381" Type="http://schemas.openxmlformats.org/officeDocument/2006/relationships/hyperlink" Target="https://www.instagram.com/samarra.12/" TargetMode="External"/><Relationship Id="rId380" Type="http://schemas.openxmlformats.org/officeDocument/2006/relationships/hyperlink" Target="https://l.instagram.com/?u=http%3A%2F%2Ftlgrm.me%2Fhkt_ir%3Futm_source%3Dig%26utm_medium%3Dsocial%26utm_content%3Dlink_in_bio%26fbclid%3DPAZXh0bgNhZW0CMTEAc3J0YwZhcHBfaWQMMjU2MjgxMDQwNTU4AAGnRynPvyRsQmSHz6QaSK3sMnJHuBBRgYsjDTrMilrToM8FftuPIQ79xIKQGII_aem_r3KBhY9gnZIKK-_cr4rmOg&amp;e=AT3UHbaA4JrPck9-kOYdmI9v4L7TVamucF8es49VzNGHgPBePNSQR9Xdk03vhbEJUBE0CmbZqiGFIky9U0VBhMIDTQEUYHu30uGXEILSIA" TargetMode="External"/><Relationship Id="rId379" Type="http://schemas.openxmlformats.org/officeDocument/2006/relationships/hyperlink" Target="https://www.instagram.com/hkt_ir/" TargetMode="External"/><Relationship Id="rId374" Type="http://schemas.openxmlformats.org/officeDocument/2006/relationships/hyperlink" Target="https://www.instagram.com/ansaralzahra128/" TargetMode="External"/><Relationship Id="rId373" Type="http://schemas.openxmlformats.org/officeDocument/2006/relationships/hyperlink" Target="https://www.instagram.com/heyat_motevaselin_ghamar/" TargetMode="External"/><Relationship Id="rId372" Type="http://schemas.openxmlformats.org/officeDocument/2006/relationships/hyperlink" Target="https://www.instagram.com/a.i.hossein/" TargetMode="External"/><Relationship Id="rId371" Type="http://schemas.openxmlformats.org/officeDocument/2006/relationships/hyperlink" Target="https://www.instagram.com/khoddamolmahdi_313/" TargetMode="External"/><Relationship Id="rId378" Type="http://schemas.openxmlformats.org/officeDocument/2006/relationships/hyperlink" Target="https://www.instagram.com/heyate_ghasem.benhasan/" TargetMode="External"/><Relationship Id="rId377" Type="http://schemas.openxmlformats.org/officeDocument/2006/relationships/hyperlink" Target="https://l.instagram.com/?u=https%3A%2F%2Ft.me%2Fheyatalzahra%3Futm_source%3Dig%26utm_medium%3Dsocial%26utm_content%3Dlink_in_bio%26fbclid%3DPAZXh0bgNhZW0CMTEAc3J0YwZhcHBfaWQMMjU2MjgxMDQwNTU4AAGnLkt3aZFARHGOZvPEmlDTLBY7jtCuNOZZ0ENP9gp39toikvjrqg3rddeRyiM_aem_7im8coZtm0vJGFMVlkY6yQ&amp;e=AT2VZv60I8wlS2_pZnu7r7N5p16EFTb4lIORKQhz3b0HDroO5dLAIS2wg9ctvfOHEU_uZ5Oz_XXS6gB4-dnhG4NKTXBQkqnoI_xIyCtRUg" TargetMode="External"/><Relationship Id="rId376" Type="http://schemas.openxmlformats.org/officeDocument/2006/relationships/hyperlink" Target="https://www.instagram.com/mokebalzahra/" TargetMode="External"/><Relationship Id="rId375" Type="http://schemas.openxmlformats.org/officeDocument/2006/relationships/hyperlink" Target="https://l.instagram.com/?u=https%3A%2F%2Ftelegram.me%2Fmohsenfeyzi%3Futm_source%3Dig%26utm_medium%3Dsocial%26utm_content%3Dlink_in_bio%26fbclid%3DPAZXh0bgNhZW0CMTEAc3J0YwZhcHBfaWQMMjU2MjgxMDQwNTU4AAGnKBq7PgTu7zCQWs2ZEXypkKHwQjA0QsjuyIlCfPmrnkSMxi99cuoDwEU8sNs_aem_Wvy515u5OvTt3zksL18plA&amp;e=AT3IErm5jAcR_567Z1Nufh6zi3nhw5aiXELrVnJyALOV1mO4HizAmMHdeUtDuIO4uw2_Kfk6WLCW18tCORDEhJxFLfldy0zbJcaayRRzXw" TargetMode="External"/><Relationship Id="rId396" Type="http://schemas.openxmlformats.org/officeDocument/2006/relationships/hyperlink" Target="https://www.instagram.com/seydoshohada1353/" TargetMode="External"/><Relationship Id="rId395" Type="http://schemas.openxmlformats.org/officeDocument/2006/relationships/hyperlink" Target="https://l.instagram.com/?u=http%3A%2F%2Ftlgrm.in%2Fmohebbin110%3Futm_source%3Dig%26utm_medium%3Dsocial%26utm_content%3Dlink_in_bio%26fbclid%3DPAZXh0bgNhZW0CMTEAc3J0YwZhcHBfaWQMMjU2MjgxMDQwNTU4AAGnr29_enzboccnvlq_TUXV6QsW6oAidhCAlbyBdd40lvkS5xSfKbVdWOBZP9w_aem_aeE4RTkH96Qlg7dIFxWQxw&amp;e=AT3KoTSvXmnxxdHUbRrCwp9Eh1tyKxlAc6_wEHrwJp-NiDerZmq5Nu_KVBnjXorVVzRCXgKzOUdoZTBIJ8HkyEDdA_1LTwqfkXR1tclwjg" TargetMode="External"/><Relationship Id="rId394" Type="http://schemas.openxmlformats.org/officeDocument/2006/relationships/hyperlink" Target="https://www.instagram.com/mohebbin.110/" TargetMode="External"/><Relationship Id="rId393" Type="http://schemas.openxmlformats.org/officeDocument/2006/relationships/hyperlink" Target="https://l.instagram.com/?u=https%3A%2F%2Feitaa.com%2Fsafiranzynab%3Futm_source%3Dig%26utm_medium%3Dsocial%26utm_content%3Dlink_in_bio%26fbclid%3DPAZXh0bgNhZW0CMTEAc3J0YwZhcHBfaWQMMjU2MjgxMDQwNTU4AAGn0FH-4YC-q1N-fXcm7A6LINuAR_08kENjBH_lzHeFUhgs6ekfi0icvTHYXPo_aem_I3RvERFpWWDBI84v6lrJNA&amp;e=AT25ZFR3xgey5wJM1F3PTpe02XRxYMZ6kcF2JY0BGWWdd_ttS8us_H9FHJnbMsRd5yB1wgxJTjz4at9JJ5B_ok2p-unApSJZgV60p76m1A" TargetMode="External"/><Relationship Id="rId399" Type="http://schemas.openxmlformats.org/officeDocument/2006/relationships/hyperlink" Target="https://www.instagram.com/abalfazlieha_1398/" TargetMode="External"/><Relationship Id="rId398" Type="http://schemas.openxmlformats.org/officeDocument/2006/relationships/hyperlink" Target="https://www.instagram.com/heyat_phs/" TargetMode="External"/><Relationship Id="rId397" Type="http://schemas.openxmlformats.org/officeDocument/2006/relationships/hyperlink" Target="https://www.instagram.com/booria_info/" TargetMode="External"/><Relationship Id="rId40" Type="http://schemas.openxmlformats.org/officeDocument/2006/relationships/hyperlink" Target="https://eitaa.com/babalhavaej1403" TargetMode="External"/><Relationship Id="rId42" Type="http://schemas.openxmlformats.org/officeDocument/2006/relationships/hyperlink" Target="https://t.me/beytoreza" TargetMode="External"/><Relationship Id="rId41" Type="http://schemas.openxmlformats.org/officeDocument/2006/relationships/hyperlink" Target="https://www.instagram.com/beytoreza.info/" TargetMode="External"/><Relationship Id="rId44" Type="http://schemas.openxmlformats.org/officeDocument/2006/relationships/hyperlink" Target="https://www.instagram.com/beytozahra_/" TargetMode="External"/><Relationship Id="rId43" Type="http://schemas.openxmlformats.org/officeDocument/2006/relationships/hyperlink" Target="https://eitaa.com/beytoreza" TargetMode="External"/><Relationship Id="rId46" Type="http://schemas.openxmlformats.org/officeDocument/2006/relationships/hyperlink" Target="https://eitaa.com/Beytozahra_s" TargetMode="External"/><Relationship Id="rId45" Type="http://schemas.openxmlformats.org/officeDocument/2006/relationships/hyperlink" Target="https://t.me/beytozahra_s" TargetMode="External"/><Relationship Id="rId48" Type="http://schemas.openxmlformats.org/officeDocument/2006/relationships/hyperlink" Target="https://t.me/chahardahmasoum_14" TargetMode="External"/><Relationship Id="rId47" Type="http://schemas.openxmlformats.org/officeDocument/2006/relationships/hyperlink" Target="https://www.instagram.com/14masoum.ir/" TargetMode="External"/><Relationship Id="rId49" Type="http://schemas.openxmlformats.org/officeDocument/2006/relationships/hyperlink" Target="https://eitaa.com/chahardahmasoum_14" TargetMode="External"/><Relationship Id="rId31" Type="http://schemas.openxmlformats.org/officeDocument/2006/relationships/hyperlink" Target="https://www.instagram.com/ashuraeian_ir/" TargetMode="External"/><Relationship Id="rId30" Type="http://schemas.openxmlformats.org/officeDocument/2006/relationships/hyperlink" Target="https://eitaa.com/ansar_alhassan1399" TargetMode="External"/><Relationship Id="rId33" Type="http://schemas.openxmlformats.org/officeDocument/2006/relationships/hyperlink" Target="https://eitaa.com/ashuraeian_ir" TargetMode="External"/><Relationship Id="rId32" Type="http://schemas.openxmlformats.org/officeDocument/2006/relationships/hyperlink" Target="https://t.me/ashuraeian_ir" TargetMode="External"/><Relationship Id="rId35" Type="http://schemas.openxmlformats.org/officeDocument/2006/relationships/hyperlink" Target="https://t.me/s/AzzahraaSharif" TargetMode="External"/><Relationship Id="rId34" Type="http://schemas.openxmlformats.org/officeDocument/2006/relationships/hyperlink" Target="https://www.instagram.com/azzahraasharif1" TargetMode="External"/><Relationship Id="rId37" Type="http://schemas.openxmlformats.org/officeDocument/2006/relationships/hyperlink" Target="http://azzahraa.ir/" TargetMode="External"/><Relationship Id="rId36" Type="http://schemas.openxmlformats.org/officeDocument/2006/relationships/hyperlink" Target="https://eitaa.com/azzahraasharif" TargetMode="External"/><Relationship Id="rId39" Type="http://schemas.openxmlformats.org/officeDocument/2006/relationships/hyperlink" Target="https://t.me/babalhavaej1403" TargetMode="External"/><Relationship Id="rId38" Type="http://schemas.openxmlformats.org/officeDocument/2006/relationships/hyperlink" Target="https://www.instagram.com/babalhavaej1403/" TargetMode="External"/><Relationship Id="rId20" Type="http://schemas.openxmlformats.org/officeDocument/2006/relationships/hyperlink" Target="https://ble.ir/@ansar_fatemeh" TargetMode="External"/><Relationship Id="rId22" Type="http://schemas.openxmlformats.org/officeDocument/2006/relationships/hyperlink" Target="http://t.me/aalekasa" TargetMode="External"/><Relationship Id="rId21" Type="http://schemas.openxmlformats.org/officeDocument/2006/relationships/hyperlink" Target="https://www.instagram.com/a_alekasa/" TargetMode="External"/><Relationship Id="rId24" Type="http://schemas.openxmlformats.org/officeDocument/2006/relationships/hyperlink" Target="https://www.instagram.com/aematolhodaa/" TargetMode="External"/><Relationship Id="rId23" Type="http://schemas.openxmlformats.org/officeDocument/2006/relationships/hyperlink" Target="https://eitaa.com/a_alekasa" TargetMode="External"/><Relationship Id="rId26" Type="http://schemas.openxmlformats.org/officeDocument/2006/relationships/hyperlink" Target="https://www.instagram.com/alatash_net/" TargetMode="External"/><Relationship Id="rId25" Type="http://schemas.openxmlformats.org/officeDocument/2006/relationships/hyperlink" Target="https://eitaa.com/aemehoda" TargetMode="External"/><Relationship Id="rId28" Type="http://schemas.openxmlformats.org/officeDocument/2006/relationships/hyperlink" Target="https://eitaa.com/alatash_net" TargetMode="External"/><Relationship Id="rId27" Type="http://schemas.openxmlformats.org/officeDocument/2006/relationships/hyperlink" Target="https://t.me/alatash_net" TargetMode="External"/><Relationship Id="rId29" Type="http://schemas.openxmlformats.org/officeDocument/2006/relationships/hyperlink" Target="https://www.instagram.com/ansar_alhassan/" TargetMode="External"/><Relationship Id="rId11" Type="http://schemas.openxmlformats.org/officeDocument/2006/relationships/hyperlink" Target="https://www.instagram.com/heyat.razmandegan.pardis/" TargetMode="External"/><Relationship Id="rId10" Type="http://schemas.openxmlformats.org/officeDocument/2006/relationships/hyperlink" Target="https://www.instagram.com/fatemiyeh.delsokhtegan/" TargetMode="External"/><Relationship Id="rId13" Type="http://schemas.openxmlformats.org/officeDocument/2006/relationships/hyperlink" Target="https://l.instagram.com/?u=https%3A%2F%2Feitaa.com%2Fhazrat_omolbanin%3Futm_source%3Dig%26utm_medium%3Dsocial%26utm_content%3Dlink_in_bio%26fbclid%3DPAZXh0bgNhZW0CMTEAc3J0YwZhcHBfaWQMMjU2MjgxMDQwNTU4AAGnijaBoQB3ej5qfXXtpxexTQwfrKvy2fEU1awbt15fHGmyIcSyXH6PkJ4Rc1w_aem_00fuxFKOh2_mjWVbI0qeJQ&amp;e=AT2bie1d-KIfBXGfdmt5S7E8CMEeWlon_8CZsoU75R9DLNxKW4d5bf_Ay_EM4WDnIBcLC8mGjmwJqix1SEfxDw_d3p95a7JZ1SPwR2mFsw" TargetMode="External"/><Relationship Id="rId12" Type="http://schemas.openxmlformats.org/officeDocument/2006/relationships/hyperlink" Target="https://www.instagram.com/hazrat.omolbanin/" TargetMode="External"/><Relationship Id="rId15" Type="http://schemas.openxmlformats.org/officeDocument/2006/relationships/hyperlink" Target="https://l.instagram.com/?u=https%3A%2F%2Ft.me%2Fmohebbin_ozgol%3Futm_source%3Dig%26utm_medium%3Dsocial%26utm_content%3Dlink_in_bio%26fbclid%3DPAZXh0bgNhZW0CMTEAc3J0YwZhcHBfaWQMMjU2MjgxMDQwNTU4AAGn1QGqx3WUVHM70p_ZH3ggL2xJZneCTFasq0nh-XFux9LMlMWqsK3Xcwf9Cz4_aem_GVuEIgUCWgwbNPJvIervQA&amp;e=AT0MDg7f7O_Q9oNazORflK3DzViZV3taBauHjjCUvW7Lnfp-zZcylbVJbAJI1zF_gxxX3lR5sIOn5KxO8XmBNKuOBw1F0-XInIKVzAxUJA" TargetMode="External"/><Relationship Id="rId14" Type="http://schemas.openxmlformats.org/officeDocument/2006/relationships/hyperlink" Target="https://www.instagram.com/mohebbin_ozgol/" TargetMode="External"/><Relationship Id="rId17" Type="http://schemas.openxmlformats.org/officeDocument/2006/relationships/hyperlink" Target="https://l.instagram.com/?u=https%3A%2F%2Ft.me%2Frozatolmahdy%3Futm_source%3Dig%26utm_medium%3Dsocial%26utm_content%3Dlink_in_bio%26fbclid%3DPAZXh0bgNhZW0CMTEAc3J0YwZhcHBfaWQMMjU2MjgxMDQwNTU4AAGn_cHxoG9ye0V7lqWDXuXE1KfNd14gqADeVTyFpN4RlzgRdWVOnID88OGplC0_aem_Umxsnf9CgpoiDAXumA31YQ&amp;e=AT2i7YqGX5uF_5MZg_GfDz8d01AlXi5hSwsvPskJotHvG8uVEWSiO2saYWIvK-yXHxxo7ma2nK2uqK0W1w-k2lw7BtqNcdk-L1OdBOEOMA" TargetMode="External"/><Relationship Id="rId16" Type="http://schemas.openxmlformats.org/officeDocument/2006/relationships/hyperlink" Target="https://www.instagram.com/rozatolmahdy/" TargetMode="External"/><Relationship Id="rId19" Type="http://schemas.openxmlformats.org/officeDocument/2006/relationships/hyperlink" Target="https://t.me/ansar_fatemeh" TargetMode="External"/><Relationship Id="rId18" Type="http://schemas.openxmlformats.org/officeDocument/2006/relationships/hyperlink" Target="https://www.instagram.com/ansarolfatemeh/" TargetMode="External"/><Relationship Id="rId84" Type="http://schemas.openxmlformats.org/officeDocument/2006/relationships/hyperlink" Target="https://www.instagram.com/abnaozzahra135/" TargetMode="External"/><Relationship Id="rId83" Type="http://schemas.openxmlformats.org/officeDocument/2006/relationships/hyperlink" Target="https://t.me/abnaolzahra_info" TargetMode="External"/><Relationship Id="rId86" Type="http://schemas.openxmlformats.org/officeDocument/2006/relationships/hyperlink" Target="https://www.instagram.com/abotorab_info/" TargetMode="External"/><Relationship Id="rId85" Type="http://schemas.openxmlformats.org/officeDocument/2006/relationships/hyperlink" Target="https://t.me/abnaozzahra135" TargetMode="External"/><Relationship Id="rId88" Type="http://schemas.openxmlformats.org/officeDocument/2006/relationships/hyperlink" Target="https://www.instagram.com/abutorab.ir/" TargetMode="External"/><Relationship Id="rId87" Type="http://schemas.openxmlformats.org/officeDocument/2006/relationships/hyperlink" Target="https://t.me/abotorab_info" TargetMode="External"/><Relationship Id="rId89" Type="http://schemas.openxmlformats.org/officeDocument/2006/relationships/hyperlink" Target="https://t.me/abutoraab" TargetMode="External"/><Relationship Id="rId80" Type="http://schemas.openxmlformats.org/officeDocument/2006/relationships/hyperlink" Target="https://www.instagram.com/abna_alheidar/" TargetMode="External"/><Relationship Id="rId82" Type="http://schemas.openxmlformats.org/officeDocument/2006/relationships/hyperlink" Target="https://www.instagram.com/abnaolzahra_info/" TargetMode="External"/><Relationship Id="rId81" Type="http://schemas.openxmlformats.org/officeDocument/2006/relationships/hyperlink" Target="https://t.me/abna_alheidar" TargetMode="External"/><Relationship Id="rId73" Type="http://schemas.openxmlformats.org/officeDocument/2006/relationships/hyperlink" Target="https://www.eitaa.com/ashabolhossein_ir" TargetMode="External"/><Relationship Id="rId72" Type="http://schemas.openxmlformats.org/officeDocument/2006/relationships/hyperlink" Target="https://t.me/ashabolhossein_ir" TargetMode="External"/><Relationship Id="rId75" Type="http://schemas.openxmlformats.org/officeDocument/2006/relationships/hyperlink" Target="https://www.instagram.com/beytolkarim_resane/" TargetMode="External"/><Relationship Id="rId74" Type="http://schemas.openxmlformats.org/officeDocument/2006/relationships/hyperlink" Target="https://www.youtube.com/@ashabolhossein_ir" TargetMode="External"/><Relationship Id="rId77" Type="http://schemas.openxmlformats.org/officeDocument/2006/relationships/hyperlink" Target="https://www.instagram.com/beytolkarim1377/" TargetMode="External"/><Relationship Id="rId76" Type="http://schemas.openxmlformats.org/officeDocument/2006/relationships/hyperlink" Target="https://t.me/beytolkarim" TargetMode="External"/><Relationship Id="rId79" Type="http://schemas.openxmlformats.org/officeDocument/2006/relationships/hyperlink" Target="https://t.me/buyesib_com" TargetMode="External"/><Relationship Id="rId78" Type="http://schemas.openxmlformats.org/officeDocument/2006/relationships/hyperlink" Target="https://www.instagram.com/buyesib110/" TargetMode="External"/><Relationship Id="rId71" Type="http://schemas.openxmlformats.org/officeDocument/2006/relationships/hyperlink" Target="https://www.instagram.com/ashabolhossein_ir/" TargetMode="External"/><Relationship Id="rId70" Type="http://schemas.openxmlformats.org/officeDocument/2006/relationships/hyperlink" Target="https://eitaa.com/s/dameshghinfo315" TargetMode="External"/><Relationship Id="rId62" Type="http://schemas.openxmlformats.org/officeDocument/2006/relationships/hyperlink" Target="https://eitaa.com/s/asheghane128" TargetMode="External"/><Relationship Id="rId61" Type="http://schemas.openxmlformats.org/officeDocument/2006/relationships/hyperlink" Target="https://t.me/asheghane128" TargetMode="External"/><Relationship Id="rId64" Type="http://schemas.openxmlformats.org/officeDocument/2006/relationships/hyperlink" Target="https://sharieh.com/" TargetMode="External"/><Relationship Id="rId63" Type="http://schemas.openxmlformats.org/officeDocument/2006/relationships/hyperlink" Target="https://ble.ir/asheghane128" TargetMode="External"/><Relationship Id="rId66" Type="http://schemas.openxmlformats.org/officeDocument/2006/relationships/hyperlink" Target="https://t.me/beyt_133" TargetMode="External"/><Relationship Id="rId65" Type="http://schemas.openxmlformats.org/officeDocument/2006/relationships/hyperlink" Target="https://www.instagram.com/beyt_133/" TargetMode="External"/><Relationship Id="rId68" Type="http://schemas.openxmlformats.org/officeDocument/2006/relationships/hyperlink" Target="https://www.instagram.com/dameshghinfo/" TargetMode="External"/><Relationship Id="rId67" Type="http://schemas.openxmlformats.org/officeDocument/2006/relationships/hyperlink" Target="https://eitaa.com/s/beyt133" TargetMode="External"/><Relationship Id="rId60" Type="http://schemas.openxmlformats.org/officeDocument/2006/relationships/hyperlink" Target="https://www.instagram.com/asheghane128/" TargetMode="External"/><Relationship Id="rId69" Type="http://schemas.openxmlformats.org/officeDocument/2006/relationships/hyperlink" Target="https://t.me/Dameshghinfo" TargetMode="External"/><Relationship Id="rId51" Type="http://schemas.openxmlformats.org/officeDocument/2006/relationships/hyperlink" Target="https://t.me/delrish" TargetMode="External"/><Relationship Id="rId50" Type="http://schemas.openxmlformats.org/officeDocument/2006/relationships/hyperlink" Target="https://www.instagram.com/delrish_/" TargetMode="External"/><Relationship Id="rId53" Type="http://schemas.openxmlformats.org/officeDocument/2006/relationships/hyperlink" Target="https://www.instagram.com/FADAKINFO" TargetMode="External"/><Relationship Id="rId52" Type="http://schemas.openxmlformats.org/officeDocument/2006/relationships/hyperlink" Target="https://eitaa.com/Delrish" TargetMode="External"/><Relationship Id="rId55" Type="http://schemas.openxmlformats.org/officeDocument/2006/relationships/hyperlink" Target="https://eitaa.com/fadakinfo_chanel" TargetMode="External"/><Relationship Id="rId54" Type="http://schemas.openxmlformats.org/officeDocument/2006/relationships/hyperlink" Target="https://t.me/fadakinfo_channel" TargetMode="External"/><Relationship Id="rId57" Type="http://schemas.openxmlformats.org/officeDocument/2006/relationships/hyperlink" Target="https://www.instagram.com/alhadi_sbu/" TargetMode="External"/><Relationship Id="rId56" Type="http://schemas.openxmlformats.org/officeDocument/2006/relationships/hyperlink" Target="https://fadak.me/" TargetMode="External"/><Relationship Id="rId59" Type="http://schemas.openxmlformats.org/officeDocument/2006/relationships/hyperlink" Target="https://eitaa.com/s/alhadi_sbu" TargetMode="External"/><Relationship Id="rId58" Type="http://schemas.openxmlformats.org/officeDocument/2006/relationships/hyperlink" Target="https://t.me/alhadi_sbu" TargetMode="External"/><Relationship Id="rId349" Type="http://schemas.openxmlformats.org/officeDocument/2006/relationships/hyperlink" Target="https://www.instagram.com/hcmst_/" TargetMode="External"/><Relationship Id="rId348" Type="http://schemas.openxmlformats.org/officeDocument/2006/relationships/hyperlink" Target="https://www.instagram.com/hyt6391/" TargetMode="External"/><Relationship Id="rId347" Type="http://schemas.openxmlformats.org/officeDocument/2006/relationships/hyperlink" Target="https://www.instagram.com/beytozahraa/?" TargetMode="External"/><Relationship Id="rId346" Type="http://schemas.openxmlformats.org/officeDocument/2006/relationships/hyperlink" Target="https://www.instagram.com/heyatfatemie/" TargetMode="External"/><Relationship Id="rId341" Type="http://schemas.openxmlformats.org/officeDocument/2006/relationships/hyperlink" Target="https://l.instagram.com/?u=https%3A%2F%2Ft.me%2Fheiiatoshoda%3Futm_source%3Dig%26utm_medium%3Dsocial%26utm_content%3Dlink_in_bio%26fbclid%3DPAZXh0bgNhZW0CMTEAc3J0YwZhcHBfaWQMMjU2MjgxMDQwNTU4AAGnTYjP5LjX6XZkn9ZjP8VkS1AE364t34tPJGwngZqggMRHSOB1qI7Q_IydTFY_aem_ooE5QeR0K8ucZN3kt__FfQ&amp;e=AT1UK7no6lvQjc4ycQNNyZSq8JntQ1SkI0vXaxrSDiJPGF7u7nsrQl9oZyrilnVef_-k7fkUp51-qNHc_tuB2kbpg7QUzofmsliTdmKsWQ" TargetMode="External"/><Relationship Id="rId340" Type="http://schemas.openxmlformats.org/officeDocument/2006/relationships/hyperlink" Target="https://www.instagram.com/heiiatoshohada/" TargetMode="External"/><Relationship Id="rId345" Type="http://schemas.openxmlformats.org/officeDocument/2006/relationships/hyperlink" Target="https://www.instagram.com/heyaatmohebanaliakbar/" TargetMode="External"/><Relationship Id="rId344" Type="http://schemas.openxmlformats.org/officeDocument/2006/relationships/hyperlink" Target="https://www.instagram.com/khames_ir/" TargetMode="External"/><Relationship Id="rId343" Type="http://schemas.openxmlformats.org/officeDocument/2006/relationships/hyperlink" Target="https://l.instagram.com/?u=https%3A%2F%2Ft.me%2Fkhadem_zahra%3Futm_source%3Dig%26utm_medium%3Dsocial%26utm_content%3Dlink_in_bio%26fbclid%3DPAZXh0bgNhZW0CMTEAc3J0YwZhcHBfaWQMMjU2MjgxMDQwNTU4AAGnzzaVv431k8T3Yg8JPIXz22tkAuAzYGGxF78U7ZuvYaHX4nceZyksJkB1ErM_aem_ug534ip0q_oPfsW37xoeKw&amp;e=AT2gsI39cJqbFXOD0nPuH4gxgDNj_psacUWp94FefTB8RL6NK5IfsqFfhF3hD7w3mNOytCbS6KrUAveWn5kSBuWGjV_zitYDp2ENvqMXzQ" TargetMode="External"/><Relationship Id="rId342" Type="http://schemas.openxmlformats.org/officeDocument/2006/relationships/hyperlink" Target="https://www.instagram.com/khadem_zahra.213/" TargetMode="External"/><Relationship Id="rId338" Type="http://schemas.openxmlformats.org/officeDocument/2006/relationships/hyperlink" Target="https://l.instagram.com/?u=https%3A%2F%2Ft.me%2Fansarmahdi_tehran%3Futm_source%3Dig%26utm_medium%3Dsocial%26utm_content%3Dlink_in_bio%26fbclid%3DPAZXh0bgNhZW0CMTEAc3J0YwZhcHBfaWQMMjU2MjgxMDQwNTU4AAGntMVKATy0dHgkCr9e_VL6xc_Qwv7wWiIobGNIeNkrsiaWSM08HCQikGQMEXw_aem_kiSxpPZG_z-X7DUJB5qBXA&amp;e=AT3QGGfDMjF99tk6KQWtwreD885UIZM4Lph8BnbvOSVsIOLJlc6OOo6XpOztkXzX1TOiSqqY4grdJ1TUaj-fJutlrHmW8ubXJ0sQ7W1Dpw" TargetMode="External"/><Relationship Id="rId337" Type="http://schemas.openxmlformats.org/officeDocument/2006/relationships/hyperlink" Target="https://www.instagram.com/ansaralmahdi_tehran/" TargetMode="External"/><Relationship Id="rId336" Type="http://schemas.openxmlformats.org/officeDocument/2006/relationships/hyperlink" Target="https://l.instagram.com/?u=https%3A%2F%2Ft.me%2Frahrovan_saralah%3Futm_source%3Dig%26utm_medium%3Dsocial%26utm_content%3Dlink_in_bio%26fbclid%3DPAZXh0bgNhZW0CMTEAc3J0YwZhcHBfaWQMMjU2MjgxMDQwNTU4AAGnOUiBZEQJN2XKAeTMd6XrM9bdImQPczOQZsFbyUKe0jnOF2rnyxmEGoZg_xg_aem_fI6_cDRa5EF497LFH7AZbg&amp;e=AT2gOGCEasIHaxi4FflprW_nHTmZEb5W-6NX7GGRceRtI6ycrF201mpKg82p9zxw5xRkYSGxUzS1dr_sjdzrj6qAZrPF-puHMO9Z2CG_iQ" TargetMode="External"/><Relationship Id="rId335" Type="http://schemas.openxmlformats.org/officeDocument/2006/relationships/hyperlink" Target="https://www.instagram.com/rahrovan_saralah/" TargetMode="External"/><Relationship Id="rId339" Type="http://schemas.openxmlformats.org/officeDocument/2006/relationships/hyperlink" Target="https://www.instagram.com/rozatol_zeynab_tehran/" TargetMode="External"/><Relationship Id="rId330" Type="http://schemas.openxmlformats.org/officeDocument/2006/relationships/hyperlink" Target="https://www.instagram.com/mohje.ir/" TargetMode="External"/><Relationship Id="rId334" Type="http://schemas.openxmlformats.org/officeDocument/2006/relationships/hyperlink" Target="https://eitaa.com/ansarolhosain72" TargetMode="External"/><Relationship Id="rId333" Type="http://schemas.openxmlformats.org/officeDocument/2006/relationships/hyperlink" Target="https://l.instagram.com/?u=http%3A%2F%2Ft.me%2Fyasekabodetehran%3Futm_source%3Dig%26utm_medium%3Dsocial%26utm_content%3Dlink_in_bio%26fbclid%3DPAZXh0bgNhZW0CMTEAc3J0YwZhcHBfaWQMMjU2MjgxMDQwNTU4AAGnZxB4-GAmOuikMDhcnMiXDjXtpGaajnpqspsudhhcEODhXZXp2ekmSfAD-v0_aem_bItKmD_98O672-NJKr8tHg&amp;e=AT2oPFqqg1ogVZ0QAY3kq9aZQmoSR0zGPnHbfv-3AmVtvadoUbp67vP2peF-0_YqQ7ukyXG6cWZQLmTRMy33Tco6XjFEtXVaHPNQk-DfXg" TargetMode="External"/><Relationship Id="rId332" Type="http://schemas.openxmlformats.org/officeDocument/2006/relationships/hyperlink" Target="https://www.instagram.com/yasekabodtehran/" TargetMode="External"/><Relationship Id="rId331" Type="http://schemas.openxmlformats.org/officeDocument/2006/relationships/hyperlink" Target="https://l.instagram.com/?u=http%3A%2F%2Ftelegram.me%2Fmohje_ir%3Futm_source%3Dig%26utm_medium%3Dsocial%26utm_content%3Dlink_in_bio%26fbclid%3DPAZXh0bgNhZW0CMTEAc3J0YwZhcHBfaWQMMjU2MjgxMDQwNTU4AAGnStKk30c2CHu77sKERBJthIJfhMVPtzEaeQOV5sds5p4u7HDsPgw5YSKbJ6M_aem_-cIS49gTfr0NlevxX6q-rA&amp;e=AT3YwhTgGnbqSDlCU5p4qAkVZ0ba9dcN-ClcUEXShe3J47tNJWCdimyvJBdMK56r3QyjUjHoKqUBso-B4Dfcp2fuHhPABMnQvi0dDiwBFg" TargetMode="External"/><Relationship Id="rId370" Type="http://schemas.openxmlformats.org/officeDocument/2006/relationships/hyperlink" Target="https://www.instagram.com/lasarat_alhoseein/" TargetMode="External"/><Relationship Id="rId369" Type="http://schemas.openxmlformats.org/officeDocument/2006/relationships/hyperlink" Target="https://www.instagram.com/welayat_ir/" TargetMode="External"/><Relationship Id="rId368" Type="http://schemas.openxmlformats.org/officeDocument/2006/relationships/hyperlink" Target="https://l.instagram.com/?u=http%3A%2F%2Fmoheban244.ir%2F%3Futm_source%3Dig%26utm_medium%3Dsocial%26utm_content%3Dlink_in_bio%26fbclid%3DPAZXh0bgNhZW0CMTEAc3J0YwZhcHBfaWQMMjU2MjgxMDQwNTU4AAGnHKKMCMjbTri6rhSUpOCRlC-lY3Tkh2RG838YciCpZvVUo1iwiQ1i4JoSvjM_aem_Jbq6b9etMtG9MA4FauhgRQ&amp;e=AT2oxJSdpIRSQZpWTZtrJCo2bLaaR4-k7qBpSveJdHsaN3qhuNw5XQCjCT3KFhnBF0xI4GxJp_UtNXhZkB65EbnZEQhpCbI2fGCXFFlMPw" TargetMode="External"/><Relationship Id="rId363" Type="http://schemas.openxmlformats.org/officeDocument/2006/relationships/hyperlink" Target="https://www.instagram.com/roghayekhatoontehran/" TargetMode="External"/><Relationship Id="rId362" Type="http://schemas.openxmlformats.org/officeDocument/2006/relationships/hyperlink" Target="https://l.instagram.com/?u=http%3A%2F%2Ft.me%2Fansar_info83%3Futm_source%3Dig%26utm_medium%3Dsocial%26utm_content%3Dlink_in_bio%26fbclid%3DPAZXh0bgNhZW0CMTEAc3J0YwZhcHBfaWQMMjU2MjgxMDQwNTU4AAGnGSI6-va1UDViaGDFOf6_5x5QFZOW-LGOv8X_2N6EzalxpcUdBjW79BTl6h0_aem_EYL_3bjJlhK-bUEjExqePg&amp;e=AT2ZEYjafu8g9rqlrOVHNNFOthy1ExsCvCrkjCaVu0RhkPPVqwhsSAYtT_VvIpOTMqiX1rCpFlvQAJJTYwetFJ0ddcMOoXyYYiHQDToXnA" TargetMode="External"/><Relationship Id="rId361" Type="http://schemas.openxmlformats.org/officeDocument/2006/relationships/hyperlink" Target="https://www.instagram.com/ansar_info/" TargetMode="External"/><Relationship Id="rId360" Type="http://schemas.openxmlformats.org/officeDocument/2006/relationships/hyperlink" Target="https://eitaa.com/mahdiarteam" TargetMode="External"/><Relationship Id="rId367" Type="http://schemas.openxmlformats.org/officeDocument/2006/relationships/hyperlink" Target="https://www.instagram.com/moheban244" TargetMode="External"/><Relationship Id="rId366" Type="http://schemas.openxmlformats.org/officeDocument/2006/relationships/hyperlink" Target="https://l.instagram.com/?u=https%3A%2F%2Ft.me%2FheyatMJ%3Futm_source%3Dig%26utm_medium%3Dsocial%26utm_content%3Dlink_in_bio%26fbclid%3DPAZXh0bgNhZW0CMTEAc3J0YwZhcHBfaWQMMjU2MjgxMDQwNTU4AAGnlByDXnN_BTyDIX7vnwbbMHxvG_M_Cd9xe4YhyAEWNucQFEj2viAmAExom8s_aem_ux0PSrKJeL36ByjYQ488Qw&amp;e=AT2I1C5gv7VuaBxbXy_kE404ChwhrWnCdlimgNQe8qVxLONl2uJBy2qt8rFtDiLjXh1umvqsQsqddUhB7HU8M9M-bbtezjinoJTe_42O9Q" TargetMode="External"/><Relationship Id="rId365" Type="http://schemas.openxmlformats.org/officeDocument/2006/relationships/hyperlink" Target="https://www.instagram.com/heyatmj/" TargetMode="External"/><Relationship Id="rId364" Type="http://schemas.openxmlformats.org/officeDocument/2006/relationships/hyperlink" Target="https://t.me/Roghayekhatoontehran" TargetMode="External"/><Relationship Id="rId95" Type="http://schemas.openxmlformats.org/officeDocument/2006/relationships/hyperlink" Target="https://t.me/al_mahdi89" TargetMode="External"/><Relationship Id="rId94" Type="http://schemas.openxmlformats.org/officeDocument/2006/relationships/hyperlink" Target="https://www.instagram.com/al_mahdi89/" TargetMode="External"/><Relationship Id="rId97" Type="http://schemas.openxmlformats.org/officeDocument/2006/relationships/hyperlink" Target="https://t.me/Aleyasiin59" TargetMode="External"/><Relationship Id="rId96" Type="http://schemas.openxmlformats.org/officeDocument/2006/relationships/hyperlink" Target="https://www.instagram.com/aleyasin59.ir/" TargetMode="External"/><Relationship Id="rId99" Type="http://schemas.openxmlformats.org/officeDocument/2006/relationships/hyperlink" Target="https://t.me/alghami_media" TargetMode="External"/><Relationship Id="rId98" Type="http://schemas.openxmlformats.org/officeDocument/2006/relationships/hyperlink" Target="https://www.instagram.com/alghami_media/" TargetMode="External"/><Relationship Id="rId91" Type="http://schemas.openxmlformats.org/officeDocument/2006/relationships/hyperlink" Target="https://t.me/aeenehosseini" TargetMode="External"/><Relationship Id="rId90" Type="http://schemas.openxmlformats.org/officeDocument/2006/relationships/hyperlink" Target="https://www.instagram.com/aeenehosseini.heiat" TargetMode="External"/><Relationship Id="rId93" Type="http://schemas.openxmlformats.org/officeDocument/2006/relationships/hyperlink" Target="https://t.me/aghilatolarab" TargetMode="External"/><Relationship Id="rId92" Type="http://schemas.openxmlformats.org/officeDocument/2006/relationships/hyperlink" Target="https://www.instagram.com/aghilatolarab/" TargetMode="External"/><Relationship Id="rId359" Type="http://schemas.openxmlformats.org/officeDocument/2006/relationships/hyperlink" Target="https://l.instagram.com/?u=http%3A%2F%2Ft.me%2Fkhademin_hazrate_robab%3Futm_source%3Dig%26utm_medium%3Dsocial%26utm_content%3Dlink_in_bio%26fbclid%3DPAZXh0bgNhZW0CMTEAc3J0YwZhcHBfaWQMMjU2MjgxMDQwNTU4AAGnv-5qMtbSYNIaVW-8-hLpRHtm-myJpmZ4pLoTA_zsPew1jWswSxBEJlzuSFI_aem_KFEGGp8KAWHCvvAGKRqkPg&amp;e=AT3nmzBijseONGjWmsagDKtiLD4Af7rEFseR_dr_52JsT-AZ7jJm8nO3rldovTB3088Rdt70zULCIfYQjC1Kg5NcymPnq0i1Mv6kon_DIQ" TargetMode="External"/><Relationship Id="rId358" Type="http://schemas.openxmlformats.org/officeDocument/2006/relationships/hyperlink" Target="https://www.instagram.com/khademin_hazrate_robab/" TargetMode="External"/><Relationship Id="rId357" Type="http://schemas.openxmlformats.org/officeDocument/2006/relationships/hyperlink" Target="https://www.instagram.com/h.14.masoom/" TargetMode="External"/><Relationship Id="rId352" Type="http://schemas.openxmlformats.org/officeDocument/2006/relationships/hyperlink" Target="https://www.instagram.com/14masoume_tehran/" TargetMode="External"/><Relationship Id="rId351" Type="http://schemas.openxmlformats.org/officeDocument/2006/relationships/hyperlink" Target="https://www.instagram.com/heyate_nokarane_ahlebeyt/" TargetMode="External"/><Relationship Id="rId350" Type="http://schemas.openxmlformats.org/officeDocument/2006/relationships/hyperlink" Target="https://l.instagram.com/?u=https%3A%2F%2Ftlgrm.me%2Fhcmst%3Futm_source%3Dig%26utm_medium%3Dsocial%26utm_content%3Dlink_in_bio%26fbclid%3DPAZXh0bgNhZW0CMTEAc3J0YwZhcHBfaWQMMjU2MjgxMDQwNTU4AAGnO2mEKCWFuSUz6D2vX1SYzjtacRIkkh5Ii160DDeRFyVfhhtkmtLRLHUH_vk_aem_UArmXz3LW6dvFPCfxfADUg&amp;e=AT0fdz2ORXkWlrqKnMyDPywF5CqybmIKqd7YtVdjl5JY5g5X9Y1LIvDZ3UOcc97invy3aXgcMTFd84DZorbbNuuX9z3RNrkXb_aiXS8xUg" TargetMode="External"/><Relationship Id="rId356" Type="http://schemas.openxmlformats.org/officeDocument/2006/relationships/hyperlink" Target="https://www.instagram.com/h.aliebneabitaleb.teh/" TargetMode="External"/><Relationship Id="rId355" Type="http://schemas.openxmlformats.org/officeDocument/2006/relationships/hyperlink" Target="https://l.instagram.com/?u=https%3A%2F%2Ft.me%2Fmotevaselin_hazratabas%3Futm_source%3Dig%26utm_medium%3Dsocial%26utm_content%3Dlink_in_bio%26fbclid%3DPAZXh0bgNhZW0CMTEAc3J0YwZhcHBfaWQMMjU2MjgxMDQwNTU4AAGn1sntk1bcXouLaYO9FuLuakUy38LUkAHuNwbcdYOsNKzKKLGxUpOb3XGbw00_aem_KoaKPHqIWMsMlYnq9iYpwQ&amp;e=AT0nbUjY9Yn8SV4r-pFuXQEnjoKsSIQBMmelTLewFDScM6BsaA_43rcthr_fE-x6N5ZuwplI5P8GDeCCLxWF4nbHZzl35Od3nMMw1RDc0Q" TargetMode="External"/><Relationship Id="rId354" Type="http://schemas.openxmlformats.org/officeDocument/2006/relationships/hyperlink" Target="https://www.instagram.com/motevaselin.info/" TargetMode="External"/><Relationship Id="rId353" Type="http://schemas.openxmlformats.org/officeDocument/2006/relationships/hyperlink" Target="https://l.instagram.com/?u=https%3A%2F%2Ft.me%2Fheyat14%3Futm_source%3Dig%26utm_medium%3Dsocial%26utm_content%3Dlink_in_bio%26fbclid%3DPAZXh0bgNhZW0CMTEAc3J0YwZhcHBfaWQMMjU2MjgxMDQwNTU4AAGnuuTuraor3vrrpUMK_8RbzMUL1IChLsXsSNHLSlABJtkMuKHbI1VAhXTYbGA_aem_RKEqK1TMNkJuhRCelpoNuA&amp;e=AT1uunTgrPVtAiymImh4a8yU2cPDx3rLkt6gemFt-qICWBSMl-JVqyt0pQdbhz1bpBhApD9N8gdtjPlR_KKiqblBSGZiC2IBo021ldbREA" TargetMode="External"/><Relationship Id="rId305" Type="http://schemas.openxmlformats.org/officeDocument/2006/relationships/hyperlink" Target="http://instagram.com/fatemieh_info/" TargetMode="External"/><Relationship Id="rId304" Type="http://schemas.openxmlformats.org/officeDocument/2006/relationships/hyperlink" Target="https://www.instagram.com/heyat_ali_asghar/" TargetMode="External"/><Relationship Id="rId303" Type="http://schemas.openxmlformats.org/officeDocument/2006/relationships/hyperlink" Target="https://www.instagram.com/sadramosque/" TargetMode="External"/><Relationship Id="rId302" Type="http://schemas.openxmlformats.org/officeDocument/2006/relationships/hyperlink" Target="https://www.instagram.com/ghamare_bani_hashem__/" TargetMode="External"/><Relationship Id="rId309" Type="http://schemas.openxmlformats.org/officeDocument/2006/relationships/hyperlink" Target="https://www.instagram.com/oshagh_ol_reza/" TargetMode="External"/><Relationship Id="rId308" Type="http://schemas.openxmlformats.org/officeDocument/2006/relationships/hyperlink" Target="https://www.instagram.com/heyat_sahebalzaman_rey/" TargetMode="External"/><Relationship Id="rId307" Type="http://schemas.openxmlformats.org/officeDocument/2006/relationships/hyperlink" Target="https://l.instagram.com/?u=http%3A%2F%2Ft.me%2Fabulfazlabbas%3Futm_source%3Dig%26utm_medium%3Dsocial%26utm_content%3Dlink_in_bio%26fbclid%3DPAZXh0bgNhZW0CMTEAc3J0YwZhcHBfaWQMMjU2MjgxMDQwNTU4AAGn2bS1BxNNWGxR882SSVIYdkMuD9Qpw-2D1jTU15TMqVSIavdIXhnp_wFOKaM_aem_gfXcZhT2jQz2Sgv--jRjkg&amp;e=AT0pQrK4-oqCuEhiOLw35N8JZw-4Z7cFIm3oyrvXqZqzaewa0Y3NnEtgwaROatsywzdzuRzZRKEGFz6yjPD8Ga6fmstvGp-z_z-Y8D4RmA" TargetMode="External"/><Relationship Id="rId306" Type="http://schemas.openxmlformats.org/officeDocument/2006/relationships/hyperlink" Target="https://www.instagram.com/h.abulfazlabbas/" TargetMode="External"/><Relationship Id="rId301" Type="http://schemas.openxmlformats.org/officeDocument/2006/relationships/hyperlink" Target="https://l.instagram.com/?u=https%3A%2F%2Ft.me%2Fheyat_mohebanozahra%3Futm_source%3Dig%26utm_medium%3Dsocial%26utm_content%3Dlink_in_bio%26fbclid%3DPAZXh0bgNhZW0CMTEAc3J0YwZhcHBfaWQMMjU2MjgxMDQwNTU4AAGnPxc8gAHu_04jZlwIEJSDH_CI3uxmpMItCH4ZDyWgk9HoXKhIHi8p3BavyX4_aem_I8EXkypDPajfqQrK7ouFRQ&amp;e=AT1X6kgALbJ7jtnd6Fj-vCaftDgTwtImRUFIuAsPyr714JPrOquxyzGm6XnYjh0zkJzjD5FCQcP-OTmRYEZ9COlcW0sVzhVLKfPxLtISSQ" TargetMode="External"/><Relationship Id="rId300" Type="http://schemas.openxmlformats.org/officeDocument/2006/relationships/hyperlink" Target="https://www.instagram.com/heyat.mohebanozahra/" TargetMode="External"/><Relationship Id="rId327" Type="http://schemas.openxmlformats.org/officeDocument/2006/relationships/hyperlink" Target="https://l.instagram.com/?u=http%3A%2F%2Ft.me%2Fheyatvaliasr313%3Futm_source%3Dig%26utm_medium%3Dsocial%26utm_content%3Dlink_in_bio%26fbclid%3DPAZXh0bgNhZW0CMTEAc3J0YwZhcHBfaWQMMjU2MjgxMDQwNTU4AAGn7HM5SapRrE0kOZo_BrLzeih6edJ2kPsusyIoVTQDC8tuksKUWZ31uMnrPrM_aem_Ji8_Dkp5pwUuuHy2CsaJmA&amp;e=AT12Lmp3mS0cv_uxEOEApGYUS54DYscM_FoPoKP4v6P_03_8umHUXvYh-3UfA7LIvq8fbi_JpSgWr7GoC02z1459f6GEkLul3-vrYX4gqg" TargetMode="External"/><Relationship Id="rId326" Type="http://schemas.openxmlformats.org/officeDocument/2006/relationships/hyperlink" Target="https://www.instagram.com/heyaat_valiasr/" TargetMode="External"/><Relationship Id="rId325" Type="http://schemas.openxmlformats.org/officeDocument/2006/relationships/hyperlink" Target="https://www.instagram.com/maktabolghaem.h/" TargetMode="External"/><Relationship Id="rId324" Type="http://schemas.openxmlformats.org/officeDocument/2006/relationships/hyperlink" Target="https://l.instagram.com/?u=https%3A%2F%2Fyoutube.com%2F%40BeyteKhoddam%3Fsi%3D6Kfixc0IdSTeEZ_v%26fbclid%3DPAZXh0bgNhZW0CMTEAc3J0YwZhcHBfaWQMMjU2MjgxMDQwNTU4AAGn_KQmud2YpnJS2xHym-kn7BZE1q0zjro8C0bIjd3kghWGCB1FnbmVayOUW2o_aem_ZAFZDQP4Pho5HZhWJNJDBA&amp;e=AT3e-0zagiucsFDipSk8hZy0heWVRs42KtxnVtb5ppPdwCLDfJw32VbbtwNqd8kwDmVDTvuMNpLMFzE6p3yXekXxuv1_j2zYHAJUKT9gm5K8M-BQeTLTtnBi9w" TargetMode="External"/><Relationship Id="rId329" Type="http://schemas.openxmlformats.org/officeDocument/2006/relationships/hyperlink" Target="http://eitta.com/heyatallshohada" TargetMode="External"/><Relationship Id="rId328" Type="http://schemas.openxmlformats.org/officeDocument/2006/relationships/hyperlink" Target="https://www.instagram.com/heyatallshohada/" TargetMode="External"/><Relationship Id="rId323" Type="http://schemas.openxmlformats.org/officeDocument/2006/relationships/hyperlink" Target="https://www.instagram.com/beytekhoddam/" TargetMode="External"/><Relationship Id="rId322" Type="http://schemas.openxmlformats.org/officeDocument/2006/relationships/hyperlink" Target="https://www.instagram.com/heyatghamarbanihashem_faz3/" TargetMode="External"/><Relationship Id="rId321" Type="http://schemas.openxmlformats.org/officeDocument/2006/relationships/hyperlink" Target="https://l.instagram.com/?u=https%3A%2F%2Ft.me%2Fheiatmohebbin213%3Futm_source%3Dig%26utm_medium%3Dsocial%26utm_content%3Dlink_in_bio%26fbclid%3DPAZXh0bgNhZW0CMTEAc3J0YwZhcHBfaWQMMjU2MjgxMDQwNTU4AAGncDxASAnxPGFzT383hIBpzJYzWIhH2dkB7YTRhLL6OIO_GT3aPl80UfsosDE_aem_aPR-sEkAXVWhcExE5mJPmA&amp;e=AT2t_FtSIvjyqtKVKuV0U3Sk7KMC5CGIwZbh-odUNO5dWeXRHnlBJhhofK5iZ-tT2eafSt8MBx-gdNvdz-lNzfWDRs8gv5CskIZrpTOSo0NLeuLmr4gvz0YgcA" TargetMode="External"/><Relationship Id="rId320" Type="http://schemas.openxmlformats.org/officeDocument/2006/relationships/hyperlink" Target="https://www.instagram.com/heiat_mohebbin/" TargetMode="External"/><Relationship Id="rId316" Type="http://schemas.openxmlformats.org/officeDocument/2006/relationships/hyperlink" Target="https://www.instagram.com/heyat_hazrat_roghaye315/" TargetMode="External"/><Relationship Id="rId315" Type="http://schemas.openxmlformats.org/officeDocument/2006/relationships/hyperlink" Target="https://l.instagram.com/?u=https%3A%2F%2Ft.me%2Fghamarebanihashem1348%3Futm_source%3Dig%26utm_medium%3Dsocial%26utm_content%3Dlink_in_bio%26fbclid%3DPAZXh0bgNhZW0CMTEAc3J0YwZhcHBfaWQMMjU2MjgxMDQwNTU4AAGnnIsfbuCcrjC2G8PFNocB_EhtmGhoZhaOlNtfBsO7ehQJzY8MpSuSJiSC6EI_aem_LvRbqN5W_M2igFTgiv3Vzg&amp;e=AT1Ij5Ww_S-gkW7MdnTwo8YYYP-CQWgT0wJ1hYvyyw_2weqJ6iUKKPJ7g6sFFCk-_VE8T8BPhiIZLiKfcyW0VwhbnCmu2uZQazTW3pXMYQ" TargetMode="External"/><Relationship Id="rId314" Type="http://schemas.openxmlformats.org/officeDocument/2006/relationships/hyperlink" Target="https://www.instagram.com/ghamarebanihashem1348/" TargetMode="External"/><Relationship Id="rId313" Type="http://schemas.openxmlformats.org/officeDocument/2006/relationships/hyperlink" Target="https://www.instagram.com/heyat_ghamare.banihashem1364/" TargetMode="External"/><Relationship Id="rId319" Type="http://schemas.openxmlformats.org/officeDocument/2006/relationships/hyperlink" Target="https://l.instagram.com/?u=http%3A%2F%2Ft.me%2Falam_alhosain%3Futm_source%3Dig%26utm_medium%3Dsocial%26utm_content%3Dlink_in_bio%26fbclid%3DPAZXh0bgNhZW0CMTEAc3J0YwZhcHBfaWQMMjU2MjgxMDQwNTU4AAGn_oDgA-pkHSuvBmOumpH2wFnt2NiQKekQaTMIa9q8ylL2rbWNETlFVKFk_5g_aem_Y9xJl1YhxcbKgrI-v3Ateg&amp;e=AT3h2OsT1_J6HPna7E8YC3KIj8SJ31Z7uDO-0lozBTB0vIoOS2Zz8_EiTasWmi1eW1S48KZn8dv7QRa5wNq3Uvb0WgBJarkyMa8fMkr0XA" TargetMode="External"/><Relationship Id="rId318" Type="http://schemas.openxmlformats.org/officeDocument/2006/relationships/hyperlink" Target="https://www.instagram.com/alam_alhosain/" TargetMode="External"/><Relationship Id="rId317" Type="http://schemas.openxmlformats.org/officeDocument/2006/relationships/hyperlink" Target="https://l.instagram.com/?u=http%3A%2F%2Ft.me%2Fheyat_hazrat_roghaye315%3Futm_source%3Dig%26utm_medium%3Dsocial%26utm_content%3Dlink_in_bio%26fbclid%3DPAZXh0bgNhZW0CMTEAc3J0YwZhcHBfaWQMMjU2MjgxMDQwNTU4AAGne49njBj3iV00S6OXiWEP_cspzSzJ8n4SGjhRTy6vb64z_qOcLBmGi-_aQ5A_aem_P0G0RZfpNjEtmPZHJ1CgaQ&amp;e=AT39oxhI3baTiWfhy5Mig35nLISkjIfSDG_qgCX3B0ZXWwf-FBLzQM3KdodBzeL_TlzDsMy2JzHAHZ1ZmBE6Bd7tppv0CnMAEn4yen4tAg" TargetMode="External"/><Relationship Id="rId312" Type="http://schemas.openxmlformats.org/officeDocument/2006/relationships/hyperlink" Target="https://www.instagram.com/Azadaran_s_shohada/" TargetMode="External"/><Relationship Id="rId311" Type="http://schemas.openxmlformats.org/officeDocument/2006/relationships/hyperlink" Target="https://www.instagram.com/hoseiniealghame/" TargetMode="External"/><Relationship Id="rId310" Type="http://schemas.openxmlformats.org/officeDocument/2006/relationships/hyperlink" Target="https://l.instagram.com/?u=https%3A%2F%2Ft.me%2Foshagh_ol_reza%3Futm_source%3Dig%26utm_medium%3Dsocial%26utm_content%3Dlink_in_bio%26fbclid%3DPAZXh0bgNhZW0CMTEAc3J0YwZhcHBfaWQMMjU2MjgxMDQwNTU4AAGn3mKYupw91cmk2dvra9roq-U3DKkGRicCJxlRBRrtdGSNUA1VSb0NoK3UJBU_aem_isDRtnogP6tdT3jXBcGW2Q&amp;e=AT3OQhdBweY-FxcGGZ0YcEOI1UZms-BwnOlM4BZdo5iMfApw5twW_kuTxCyJssMscNnfzgjmO8jWYMOQ2BP8CKkKJgsw-4ev2TDDDVMYlKlj26icRvsFNRde6w" TargetMode="External"/><Relationship Id="rId297" Type="http://schemas.openxmlformats.org/officeDocument/2006/relationships/hyperlink" Target="https://l.instagram.com/?u=https%3A%2F%2Ft.me%2Fheyat_fatemata_zahra%3Futm_source%3Dig%26utm_medium%3Dsocial%26utm_content%3Dlink_in_bio%26fbclid%3DPAZXh0bgNhZW0CMTEAc3J0YwZhcHBfaWQMMjU2MjgxMDQwNTU4AAGnvvxHqF3HKBYSTfZneIDwbh-vfakHTJnYypV1KjSwEuB-9Oyp8fQRCpdg9XE_aem_4e-e8hmt_Eu2S-Ftbvf_QA&amp;e=AT2-_9aM8ypfGHna-aEDqirJMXAT0UNiBlAjEb6q8M2cVS4ggPrc6TlIACRVBVuqAq4V7ytaqr3k1VgWbZ4anPsq9ZB6Qkn9tL2yv6v3nUT9BJGnOqSgn_xuXg" TargetMode="External"/><Relationship Id="rId296" Type="http://schemas.openxmlformats.org/officeDocument/2006/relationships/hyperlink" Target="https://www.instagram.com/heyat.fatematazahra/" TargetMode="External"/><Relationship Id="rId295" Type="http://schemas.openxmlformats.org/officeDocument/2006/relationships/hyperlink" Target="https://l.instagram.com/?u=https%3A%2F%2Ft.me%2Fpayamghadyr_parvareshi%3Futm_source%3Dig%26utm_medium%3Dsocial%26utm_content%3Dlink_in_bio%26fbclid%3DPAZXh0bgNhZW0CMTEAc3J0YwZhcHBfaWQMMjU2MjgxMDQwNTU4AAGnsI6bCYrZ-FsX0ygy6G-gQTH2DgF9USFAZ5DQcslCWEyxpCUq-dDbFOMKr-k_aem_e1bSH-Q3XlmVys0Pc_pgeQ&amp;e=AT24Fihu1ilfJEd1HNb4tJZeV7fmePpe-PgiJFZk_1nQ0OxJ50XrkD9W64aNohrhUgxVScxapBj6T8P7t_dq3V9AQlgyxcibpEshI1nQ1aVkbwmV89hjdShkFA" TargetMode="External"/><Relationship Id="rId294" Type="http://schemas.openxmlformats.org/officeDocument/2006/relationships/hyperlink" Target="https://www.instagram.com/rahrovanghadyr/" TargetMode="External"/><Relationship Id="rId299" Type="http://schemas.openxmlformats.org/officeDocument/2006/relationships/hyperlink" Target="https://www.instagram.com/motvaslin_315/" TargetMode="External"/><Relationship Id="rId298" Type="http://schemas.openxmlformats.org/officeDocument/2006/relationships/hyperlink" Target="https://www.instagram.com/hasan_ebne_ali/" TargetMode="External"/><Relationship Id="rId271" Type="http://schemas.openxmlformats.org/officeDocument/2006/relationships/hyperlink" Target="https://www.instagram.com/sabatioun/" TargetMode="External"/><Relationship Id="rId270" Type="http://schemas.openxmlformats.org/officeDocument/2006/relationships/hyperlink" Target="https://www.instagram.com/sepahsalar_video/" TargetMode="External"/><Relationship Id="rId269" Type="http://schemas.openxmlformats.org/officeDocument/2006/relationships/hyperlink" Target="https://www.instagram.com/heyaat.omolbanin.officiall/" TargetMode="External"/><Relationship Id="rId264" Type="http://schemas.openxmlformats.org/officeDocument/2006/relationships/hyperlink" Target="https://www.instagram.com/heyat_saralah1/" TargetMode="External"/><Relationship Id="rId263" Type="http://schemas.openxmlformats.org/officeDocument/2006/relationships/hyperlink" Target="https://www.instagram.com/saelane_ahlebeit/" TargetMode="External"/><Relationship Id="rId262" Type="http://schemas.openxmlformats.org/officeDocument/2006/relationships/hyperlink" Target="https://l.instagram.com/?u=https%3A%2F%2Ft.me%2Fj_sahebzamani%3Futm_source%3Dig%26utm_medium%3Dsocial%26utm_content%3Dlink_in_bio%26fbclid%3DPAZXh0bgNhZW0CMTEAc3J0YwZhcHBfaWQMMjU2MjgxMDQwNTU4AAGnSpMzXhXPo3tHyvne42NyJjrdqI6B-XNdy1WS891CXjU5ORewsVMFnRpqAjQ_aem_fIBTIyOs_u0Rs_cvi6GxJw&amp;e=AT2mZyIo2A_Q-6p19RthO5GhvDSUec2bldlbBpDASuiqZBZzWzHYW0zUzO2FyL4BKRID5jD6abekwHhS_Ze2jZ4ghydD0TfOpwjNLMMsZQ" TargetMode="External"/><Relationship Id="rId261" Type="http://schemas.openxmlformats.org/officeDocument/2006/relationships/hyperlink" Target="https://www.instagram.com/j_sahebzamani/" TargetMode="External"/><Relationship Id="rId268" Type="http://schemas.openxmlformats.org/officeDocument/2006/relationships/hyperlink" Target="https://eitaa.com/torbat89" TargetMode="External"/><Relationship Id="rId267" Type="http://schemas.openxmlformats.org/officeDocument/2006/relationships/hyperlink" Target="https://www.instagram.com/heyate_abalfazl_sharghe_tehran/" TargetMode="External"/><Relationship Id="rId266" Type="http://schemas.openxmlformats.org/officeDocument/2006/relationships/hyperlink" Target="https://www.instagram.com/shahidatoot/" TargetMode="External"/><Relationship Id="rId265" Type="http://schemas.openxmlformats.org/officeDocument/2006/relationships/hyperlink" Target="https://www.instagram.com/h_rahrovan_velayat/" TargetMode="External"/><Relationship Id="rId260" Type="http://schemas.openxmlformats.org/officeDocument/2006/relationships/hyperlink" Target="https://www.instagram.com/mohebbanozahraa/" TargetMode="External"/><Relationship Id="rId259" Type="http://schemas.openxmlformats.org/officeDocument/2006/relationships/hyperlink" Target="https://l.instagram.com/?u=https%3A%2F%2Ft.me%2Femamjavad1389%3Futm_source%3Dig%26utm_medium%3Dsocial%26utm_content%3Dlink_in_bio%26fbclid%3DPAZXh0bgNhZW0CMTEAc3J0YwZhcHBfaWQMMjU2MjgxMDQwNTU4AAGn8t6SX_WY9rymEkSC4AchKozNR5WbcrxGpdbBzDsZ7CislYqDtQXbeYShsv8_aem_2aSbbcwn9ycIWV8Z_PPJAA&amp;e=AT38OeSXhu8Hje3zPOzMMVLF_6PY7FAgRl1QrBelXMzfJZevXoZPG00Lp3tmw5wwXzLMdR2DjgdZMgSnqhsJY2BmTrW4PjQAjh9R8irxWO0kA7u23sdzNuQvzw" TargetMode="External"/><Relationship Id="rId258" Type="http://schemas.openxmlformats.org/officeDocument/2006/relationships/hyperlink" Target="https://www.instagram.com/javadolaemme1389/" TargetMode="External"/><Relationship Id="rId253" Type="http://schemas.openxmlformats.org/officeDocument/2006/relationships/hyperlink" Target="https://l.instagram.com/?u=http%3A%2F%2Ft.me%2Fsedreh_info128%3Futm_source%3Dig%26utm_medium%3Dsocial%26utm_content%3Dlink_in_bio%26fbclid%3DPAZXh0bgNhZW0CMTEAc3J0YwZhcHBfaWQMMjU2MjgxMDQwNTU4AAGnLf23OC8Wiw8Kpx4V-UwbSEyVMxymX7qGA_TErmBEjeqxVGLf66XwzmJuvSw_aem_k-_FOOHqZQus6vKtd9TRsQ&amp;e=AT2xxAUlz2FmwIsViHgem7NO5U64a4XrHyWyVFxMpPuoct1nPoQc1yRHyAeGRrKUzpPhAlDnGoLJCZl0h-L8wpL5bwMyyx_jMm3E9JJUog" TargetMode="External"/><Relationship Id="rId252" Type="http://schemas.openxmlformats.org/officeDocument/2006/relationships/hyperlink" Target="https://www.instagram.com/sedreh__info/" TargetMode="External"/><Relationship Id="rId251" Type="http://schemas.openxmlformats.org/officeDocument/2006/relationships/hyperlink" Target="https://www.instagram.com/heiat_jannecaran_1305/" TargetMode="External"/><Relationship Id="rId250" Type="http://schemas.openxmlformats.org/officeDocument/2006/relationships/hyperlink" Target="https://www.instagram.com/heiat_mohebban_hossein/" TargetMode="External"/><Relationship Id="rId257" Type="http://schemas.openxmlformats.org/officeDocument/2006/relationships/hyperlink" Target="https://www.instagram.com/heyatsahebalzamankahrizak/" TargetMode="External"/><Relationship Id="rId256" Type="http://schemas.openxmlformats.org/officeDocument/2006/relationships/hyperlink" Target="https://www.instagram.com/mosque_ahmadiye/" TargetMode="External"/><Relationship Id="rId255" Type="http://schemas.openxmlformats.org/officeDocument/2006/relationships/hyperlink" Target="https://l.instagram.com/?u=http%3A%2F%2Ft.me%2Fmohebbanolaemeh%3Futm_source%3Dig%26utm_medium%3Dsocial%26utm_content%3Dlink_in_bio%26fbclid%3DPAZXh0bgNhZW0CMTEAc3J0YwZhcHBfaWQMMjU2MjgxMDQwNTU4AAGn5upq9t4THIeEgps1bYoxR3m1vxkKwFoxQNQzk93CHaxlvpMZY108UP5e5ZQ_aem_hlIktU7bduFLi9oI2y8EBQ&amp;e=AT1N4esqDLQhwloM8XPzHnvcaJ6BF8tdxEbB_juz_PrL3zt-aPVdNLyZ9vjt0qTP2j-_YCxHbxQIACoYAl_P_z01UYqdasV_FDzkS7Ldxw" TargetMode="External"/><Relationship Id="rId254" Type="http://schemas.openxmlformats.org/officeDocument/2006/relationships/hyperlink" Target="https://www.instagram.com/mohebbanolaemeh/" TargetMode="External"/><Relationship Id="rId293" Type="http://schemas.openxmlformats.org/officeDocument/2006/relationships/hyperlink" Target="https://l.instagram.com/?u=http%3A%2F%2Ft.me%2Fghamarbanihashem79%3Futm_source%3Dig%26utm_medium%3Dsocial%26utm_content%3Dlink_in_bio%26fbclid%3DPAZXh0bgNhZW0CMTEAc3J0YwZhcHBfaWQMMjU2MjgxMDQwNTU4AAGnuq_SFpGIXqd99Iq2h0IfwPGmMiPSp7OtAoCJyfW_ywOyrmMElZs1T2B_cqI_aem_ebkl0ZR-WOQBT_azlq4rTQ&amp;e=AT2RFye0k1L8poqqV82vbcUBrfFQD5O05UTwkPD2vNQJexySQrlZ3CEBvFlNrQzHhaVd02FifVe_-WtkfD4zu-E20luk1LJd6RQn1YOf3G5mvI1xaliHls6sOQ" TargetMode="External"/><Relationship Id="rId292" Type="http://schemas.openxmlformats.org/officeDocument/2006/relationships/hyperlink" Target="https://www.instagram.com/ghamarebanihashem79/" TargetMode="External"/><Relationship Id="rId291" Type="http://schemas.openxmlformats.org/officeDocument/2006/relationships/hyperlink" Target="https://l.instagram.com/?u=http%3A%2F%2Fheyatolmahdi.ir%2F%3Futm_source%3Dig%26utm_medium%3Dsocial%26utm_content%3Dlink_in_bio%26fbclid%3DPAZXh0bgNhZW0CMTEAc3J0YwZhcHBfaWQMMjU2MjgxMDQwNTU4AAGnZ31vfbP2bCrFL4gVwYg1QWOEav0YM9cW4Eyl4WHuPUFCUzlTWRjq0FDUJPg_aem_0MtjeGKqN4MwgDVlS8jqrg&amp;e=AT3dycGE0BKgoLWlVyBPJRWA-BixfECfa8Kn81201SoPJ1GbLLpOmviK0sMlYbKY5kjxAjP8YwBsTG6gy-FiyvfFSe3OivigFdm_QGzgqPM2Tf9TuCkuR-WklQ" TargetMode="External"/><Relationship Id="rId290" Type="http://schemas.openxmlformats.org/officeDocument/2006/relationships/hyperlink" Target="https://www.instagram.com/heyatolmahdi_ir/" TargetMode="External"/><Relationship Id="rId286" Type="http://schemas.openxmlformats.org/officeDocument/2006/relationships/hyperlink" Target="https://www.instagram.com/heyaat_ansarolmahdi/" TargetMode="External"/><Relationship Id="rId285" Type="http://schemas.openxmlformats.org/officeDocument/2006/relationships/hyperlink" Target="https://www.instagram.com/heat_ali.akbar/" TargetMode="External"/><Relationship Id="rId284" Type="http://schemas.openxmlformats.org/officeDocument/2006/relationships/hyperlink" Target="https://www.instagram.com/qoran_va_etrat/" TargetMode="External"/><Relationship Id="rId283" Type="http://schemas.openxmlformats.org/officeDocument/2006/relationships/hyperlink" Target="https://l.instagram.com/?u=https%3A%2F%2Ft.me%2Falamdar_22%3Futm_source%3Dig%26utm_medium%3Dsocial%26utm_content%3Dlink_in_bio%26fbclid%3DPAZXh0bgNhZW0CMTEAc3J0YwZhcHBfaWQMMjU2MjgxMDQwNTU4AAGn19pHRPR7jkQRsBlpxq881wuwCr3M_sICaa-fLpMFWhllGwScX3aM34rzjkQ_aem_d1ozNOf_CFJ5JUGQxM7I1A&amp;e=AT2QCxcCaC0ANkEXBj9c2JIZvRN4pglNdlo_3twWlY4U9AsK2CFjWk1pZh2EEolk7rw9_yG_poaKm0CAbOfhKETCQZa_w-zzZm32RQqyH1mskr-z7MwNkiA1pw" TargetMode="External"/><Relationship Id="rId289" Type="http://schemas.openxmlformats.org/officeDocument/2006/relationships/hyperlink" Target="https://l.instagram.com/?u=https%3A%2F%2Ft.me%2Fseyedolshohada19%3Futm_source%3Dig%26utm_medium%3Dsocial%26utm_content%3Dlink_in_bio%26fbclid%3DPAZXh0bgNhZW0CMTEAc3J0YwZhcHBfaWQMMjU2MjgxMDQwNTU4AAGnY-kJON6ePcKMGzxlKMy6yMJ3RoJKYpNKtLEwcub7aUjmKE53cADiqge1ifI_aem_DKTlpmjGUKwxuFq8GFBJDQ&amp;e=AT124CBPQfGtUjBpIFdFH2zNBEb8zNQG5ipaLyRqid6Kr_omGRnE6AqP9t9QPGwKp6YCjkdQgtmEMg3ik1fJqglw6RLQDYvCqu7HLiKuq_k8riZQgWQSzljxUA" TargetMode="External"/><Relationship Id="rId288" Type="http://schemas.openxmlformats.org/officeDocument/2006/relationships/hyperlink" Target="https://www.instagram.com/heyate_seyedolshohada19/" TargetMode="External"/><Relationship Id="rId287" Type="http://schemas.openxmlformats.org/officeDocument/2006/relationships/hyperlink" Target="https://www.instagram.com/seyed__shohada/" TargetMode="External"/><Relationship Id="rId282" Type="http://schemas.openxmlformats.org/officeDocument/2006/relationships/hyperlink" Target="https://www.instagram.com/alamdar__22/" TargetMode="External"/><Relationship Id="rId281" Type="http://schemas.openxmlformats.org/officeDocument/2006/relationships/hyperlink" Target="https://l.instagram.com/?u=http%3A%2F%2Ft.me%2Fharandiha1342%3Futm_source%3Dig%26utm_medium%3Dsocial%26utm_content%3Dlink_in_bio%26fbclid%3DPAZXh0bgNhZW0CMTEAc3J0YwZhcHBfaWQMMjU2MjgxMDQwNTU4AAGnDT_WnAC30TASFcv3BerMBJqENmA1e1Lc0TtzAzmOT2pI0Bft82oBMeRRRE8_aem_hRXkjGi9CouTyDJ5Xp5H5g&amp;e=AT2Xh1y3GyHoUo_LxSNMJUKUiWmadaY40mfn4b5b4zfo1PI9owSV9Hj0VjrobXLkHfrQePFQsSOaTHbd_rzT9Er-qAjwonXOPRFzAFWiP2zqAEBCnxz4o23HIQ" TargetMode="External"/><Relationship Id="rId280" Type="http://schemas.openxmlformats.org/officeDocument/2006/relationships/hyperlink" Target="https://www.instagram.com/heyate_harandiha1342/" TargetMode="External"/><Relationship Id="rId275" Type="http://schemas.openxmlformats.org/officeDocument/2006/relationships/hyperlink" Target="http://t.me/beytoroghayeh_315" TargetMode="External"/><Relationship Id="rId274" Type="http://schemas.openxmlformats.org/officeDocument/2006/relationships/hyperlink" Target="https://www.instagram.com/beytoroghayeh_315/" TargetMode="External"/><Relationship Id="rId273" Type="http://schemas.openxmlformats.org/officeDocument/2006/relationships/hyperlink" Target="https://l.instagram.com/?u=http%3A%2F%2Ftlgrm.me%2Fshahenajf110%3Futm_source%3Dig%26utm_medium%3Dsocial%26utm_content%3Dlink_in_bio%26fbclid%3DPAZXh0bgNhZW0CMTEAc3J0YwZhcHBfaWQMMjU2MjgxMDQwNTU4AAGngbhiJGYxoUVQb9Kx7LozXS8V6biqSNG_LFH1Mpds9hejhOXG4CMZfZGwKWE_aem_6NGjBBH2Z08DoheYot9-rg&amp;e=AT28PCNXZIYDpzLJIUNIMSCciPoWQUm5wHKgn1XDUjqtVwPDK5q8RF8Sdsj3IJ7PiXehIpg-CwcDAuxP2uoHiegPjXFG0MSsFWpg_-qqVPfSA260p6zEySnOVg" TargetMode="External"/><Relationship Id="rId272" Type="http://schemas.openxmlformats.org/officeDocument/2006/relationships/hyperlink" Target="https://www.instagram.com/shahnajaf110/" TargetMode="External"/><Relationship Id="rId279" Type="http://schemas.openxmlformats.org/officeDocument/2006/relationships/hyperlink" Target="https://l.instagram.com/?u=https%3A%2F%2Ft.me%2Fheyatansaralabastehran%3Futm_source%3Dig%26utm_medium%3Dsocial%26utm_content%3Dlink_in_bio%26fbclid%3DPAZXh0bgNhZW0CMTEAc3J0YwZhcHBfaWQMMjU2MjgxMDQwNTU4AAGnbOsXOyn-WxsMPh-DVpciKFopPEcM2WRW5avYH5OGxITZN4m_Ql3y5VKveyE_aem_A2QI62c-8RxhGqyEeSaIsw&amp;e=AT3ib2-MdiAakwWyCh_iOrtrJa2Tyc0_fTXZVuZwa5H05MzKA3zsT2Pr-0dSmM26r8tGUlJrzLYd4vUUAPl1AppahharVHpMH1IHOssicTMN16riL9nVpbyQNg" TargetMode="External"/><Relationship Id="rId278" Type="http://schemas.openxmlformats.org/officeDocument/2006/relationships/hyperlink" Target="https://www.instagram.com/heyatansarolabbas.tehran/" TargetMode="External"/><Relationship Id="rId277" Type="http://schemas.openxmlformats.org/officeDocument/2006/relationships/hyperlink" Target="https://www.instagram.com/h.karimeahlebeyt.h/" TargetMode="External"/><Relationship Id="rId276" Type="http://schemas.openxmlformats.org/officeDocument/2006/relationships/hyperlink" Target="https://www.instagram.com/mohebin31/" TargetMode="External"/><Relationship Id="rId228" Type="http://schemas.openxmlformats.org/officeDocument/2006/relationships/hyperlink" Target="https://www.instagram.com/heiatozahra.mokhadarat/" TargetMode="External"/><Relationship Id="rId227" Type="http://schemas.openxmlformats.org/officeDocument/2006/relationships/hyperlink" Target="https://ble.ir/soore_heyaat" TargetMode="External"/><Relationship Id="rId226" Type="http://schemas.openxmlformats.org/officeDocument/2006/relationships/hyperlink" Target="https://t.me/soore_heyaat" TargetMode="External"/><Relationship Id="rId225" Type="http://schemas.openxmlformats.org/officeDocument/2006/relationships/hyperlink" Target="https://www.instagram.com/soore_heyaat" TargetMode="External"/><Relationship Id="rId229" Type="http://schemas.openxmlformats.org/officeDocument/2006/relationships/hyperlink" Target="https://www.instagram.com/fatemion_shahed/" TargetMode="External"/><Relationship Id="rId220" Type="http://schemas.openxmlformats.org/officeDocument/2006/relationships/hyperlink" Target="https://eitaa.com/heyat_valiamr_aj" TargetMode="External"/><Relationship Id="rId224" Type="http://schemas.openxmlformats.org/officeDocument/2006/relationships/hyperlink" Target="https://eitaa.com/noore_maaah" TargetMode="External"/><Relationship Id="rId223" Type="http://schemas.openxmlformats.org/officeDocument/2006/relationships/hyperlink" Target="https://t.me/noore_maaah" TargetMode="External"/><Relationship Id="rId222" Type="http://schemas.openxmlformats.org/officeDocument/2006/relationships/hyperlink" Target="https://www.instagram.com/noore_maaah/" TargetMode="External"/><Relationship Id="rId221" Type="http://schemas.openxmlformats.org/officeDocument/2006/relationships/hyperlink" Target="https://www.instagram.com/heiat.seyyedezeinab/" TargetMode="External"/><Relationship Id="rId217" Type="http://schemas.openxmlformats.org/officeDocument/2006/relationships/hyperlink" Target="https://t.me/mashhad_almahdi" TargetMode="External"/><Relationship Id="rId216" Type="http://schemas.openxmlformats.org/officeDocument/2006/relationships/hyperlink" Target="https://www.instagram.com/heiat_azzahraa/" TargetMode="External"/><Relationship Id="rId215" Type="http://schemas.openxmlformats.org/officeDocument/2006/relationships/hyperlink" Target="https://www.instagram.com/hasaniyon.ir/" TargetMode="External"/><Relationship Id="rId214" Type="http://schemas.openxmlformats.org/officeDocument/2006/relationships/hyperlink" Target="https://www.instagram.com/fatemioon_official/" TargetMode="External"/><Relationship Id="rId219" Type="http://schemas.openxmlformats.org/officeDocument/2006/relationships/hyperlink" Target="https://t.me/heyat_valiamr_aj" TargetMode="External"/><Relationship Id="rId218" Type="http://schemas.openxmlformats.org/officeDocument/2006/relationships/hyperlink" Target="https://www.instagram.com/heyatvaliamr_aj" TargetMode="External"/><Relationship Id="rId213" Type="http://schemas.openxmlformats.org/officeDocument/2006/relationships/hyperlink" Target="https://www.instagram.com/atashalhusain/" TargetMode="External"/><Relationship Id="rId212" Type="http://schemas.openxmlformats.org/officeDocument/2006/relationships/hyperlink" Target="https://www.instagram.com/ansaralzahra.ir/" TargetMode="External"/><Relationship Id="rId211" Type="http://schemas.openxmlformats.org/officeDocument/2006/relationships/hyperlink" Target="http://t.me/AmirHosseinRajablou" TargetMode="External"/><Relationship Id="rId210" Type="http://schemas.openxmlformats.org/officeDocument/2006/relationships/hyperlink" Target="https://www.instagram.com/beytolhosein_tehran/" TargetMode="External"/><Relationship Id="rId249" Type="http://schemas.openxmlformats.org/officeDocument/2006/relationships/hyperlink" Target="https://t.me/maktaboshohada1375" TargetMode="External"/><Relationship Id="rId248" Type="http://schemas.openxmlformats.org/officeDocument/2006/relationships/hyperlink" Target="https://www.instagram.com/maktab.ashohada/" TargetMode="External"/><Relationship Id="rId247" Type="http://schemas.openxmlformats.org/officeDocument/2006/relationships/hyperlink" Target="https://www.instagram.com/emamhasan118ir/" TargetMode="External"/><Relationship Id="rId242" Type="http://schemas.openxmlformats.org/officeDocument/2006/relationships/hyperlink" Target="https://eitaa.com/heiatrahrovan" TargetMode="External"/><Relationship Id="rId241" Type="http://schemas.openxmlformats.org/officeDocument/2006/relationships/hyperlink" Target="https://l.instagram.com/?u=http%3A%2F%2Ft.me%2Fmohebban_alreza%3Futm_source%3Dig%26utm_medium%3Dsocial%26utm_content%3Dlink_in_bio%26fbclid%3DPAZXh0bgNhZW0CMTEAc3J0YwZhcHBfaWQMMjU2MjgxMDQwNTU4AAGnXBgIbM15sZSyquWN2nr8d4dvryHy-z32dMfYOLIe18uBHta-zPoMI9_IEMo_aem_pU_ngFbw9qwSemUJpRx-yA&amp;e=AT24WtUpmAExYFyY8M-_Eu-E762S5-vXKTWM66TJS8wsD9ny4xUK_D5_MQAZWFaULUbLrugTwlxkDQFJD5b-0e60P4e-Paksmja6fbYk3dRAvjvVLwXRDeXEWw" TargetMode="External"/><Relationship Id="rId240" Type="http://schemas.openxmlformats.org/officeDocument/2006/relationships/hyperlink" Target="https://www.instagram.com/mohebban_alreza/" TargetMode="External"/><Relationship Id="rId246" Type="http://schemas.openxmlformats.org/officeDocument/2006/relationships/hyperlink" Target="https://l.instagram.com/?u=https%3A%2F%2Ft.me%2Fsaajjad_mohammadi%3Futm_source%3Dig%26utm_medium%3Dsocial%26utm_content%3Dlink_in_bio%26fbclid%3DPAZXh0bgNhZW0CMTEAc3J0YwZhcHBfaWQMMjU2MjgxMDQwNTU4AAGnF79T_GaRGMhX4hYlVXKt8SVC8evVTpaDLlZLKUA-IPRBgnanGoCny4kt_og_aem_CQayU5D3BM5cz2L1KAQTHg&amp;e=AT0r1X5oDNJ2XQcxm8BNCNRJlDFeS_nfH_l1KxglYZVdSus9VNHrj_2q21rXMsoMTXwAns8_c5Ln2YBwKwITwcnueQTyY1HNveWijK2iQ702Spjh85bU1oW_Fw" TargetMode="External"/><Relationship Id="rId245" Type="http://schemas.openxmlformats.org/officeDocument/2006/relationships/hyperlink" Target="https://www.instagram.com/qatil_info/" TargetMode="External"/><Relationship Id="rId244" Type="http://schemas.openxmlformats.org/officeDocument/2006/relationships/hyperlink" Target="https://l.instagram.com/?u=https%3A%2F%2Ft.me%2FGhaseme_hasann%3Futm_source%3Dig%26utm_medium%3Dsocial%26utm_content%3Dlink_in_bio%26fbclid%3DPAZXh0bgNhZW0CMTEAc3J0YwZhcHBfaWQMMjU2MjgxMDQwNTU4AAGndkGru3vvFViRxbOlAz_ztRp19emNq7exOc3zkSEgWbdpikDWt_h4KANj_2Y_aem_D1VkJBytI9acgcTDHy5Vlg&amp;e=AT1o7JNY26WtvM6hkDDEKgfVm593683kNJuMzHaZ_XP0gs5Avz5yjduTnnW9HKUBH6k7eRi_JsSdhnqVqj2Yp-Z-Ts5rF9HNX-V-sF-u3mraC15u4Y_6xQT87g" TargetMode="External"/><Relationship Id="rId243" Type="http://schemas.openxmlformats.org/officeDocument/2006/relationships/hyperlink" Target="https://www.instagram.com/h.ghasem.201/" TargetMode="External"/><Relationship Id="rId239" Type="http://schemas.openxmlformats.org/officeDocument/2006/relationships/hyperlink" Target="https://www.instagram.com/abna_al_khomeini/" TargetMode="External"/><Relationship Id="rId238" Type="http://schemas.openxmlformats.org/officeDocument/2006/relationships/hyperlink" Target="https://l.instagram.com/?u=https%3A%2F%2Ft.me%2Fansarmahdi_tehran%3Futm_source%3Dig%26utm_medium%3Dsocial%26utm_content%3Dlink_in_bio%26fbclid%3DPAZXh0bgNhZW0CMTEAc3J0YwZhcHBfaWQMMjU2MjgxMDQwNTU4AAGnmENrsJ5kMTComWrkkeSiK6aK8bGU1NwF3tP-UL-gqBbzfEmuXQVxXw9Dpx0_aem_srpYCBJDHLqFmDSK15aFVQ&amp;e=AT39LVUUezwYf1TmdGyzWvRkTKD26AU3dgv8C1Mw0sZ0wmQyuN7FvnCGPS0sxiIZgiKSjT36WD2_6gaI8vEZlcUTaXa_V1wK62BXZz2I6PmlDpXRdPc6IhvFow" TargetMode="External"/><Relationship Id="rId237" Type="http://schemas.openxmlformats.org/officeDocument/2006/relationships/hyperlink" Target="https://www.instagram.com/ansaralmahdi_tehran/" TargetMode="External"/><Relationship Id="rId236" Type="http://schemas.openxmlformats.org/officeDocument/2006/relationships/hyperlink" Target="https://www.instagram.com/ansarolmahdiaj313/" TargetMode="External"/><Relationship Id="rId231" Type="http://schemas.openxmlformats.org/officeDocument/2006/relationships/hyperlink" Target="https://www.instagram.com/h_jannatreza101/" TargetMode="External"/><Relationship Id="rId230" Type="http://schemas.openxmlformats.org/officeDocument/2006/relationships/hyperlink" Target="https://www.instagram.com/saheb1377s/" TargetMode="External"/><Relationship Id="rId235" Type="http://schemas.openxmlformats.org/officeDocument/2006/relationships/hyperlink" Target="https://eitaa.com/Heyat_Aliakbar_tehran" TargetMode="External"/><Relationship Id="rId234" Type="http://schemas.openxmlformats.org/officeDocument/2006/relationships/hyperlink" Target="https://www.instagram.com/oshaghalmahdiii/" TargetMode="External"/><Relationship Id="rId233" Type="http://schemas.openxmlformats.org/officeDocument/2006/relationships/hyperlink" Target="https://l.instagram.com/?u=https%3A%2F%2Ft.me%2FJavanan_Sadegh%3Futm_source%3Dig%26utm_medium%3Dsocial%26utm_content%3Dlink_in_bio%26fbclid%3DPAZXh0bgNhZW0CMTEAc3J0YwZhcHBfaWQMMjU2MjgxMDQwNTU4AAGnafpC-gRd9dkiaefxDjo2pOlzjJRBD05koEDGKuRXscs5GvcWyKLcsE0Zkkc_aem_uMzQbQH3uXuQ5W8atEwzDQ&amp;e=AT27MO_vkFjRjaN-irYFTgTM0dlQWnsDeoCmY4zP7iWraHCXWxfGGQQi045IolQVrE-nN64d-8BwtzE3Ogbt0rH58fvCwbNOrB-SqiV0bV3fMY6TCGl5i2pKJQ" TargetMode="External"/><Relationship Id="rId232" Type="http://schemas.openxmlformats.org/officeDocument/2006/relationships/hyperlink" Target="https://www.instagram.com/heiatsadegh/" TargetMode="External"/><Relationship Id="rId206" Type="http://schemas.openxmlformats.org/officeDocument/2006/relationships/hyperlink" Target="https://www.instagram.com/beytosadat/" TargetMode="External"/><Relationship Id="rId205" Type="http://schemas.openxmlformats.org/officeDocument/2006/relationships/hyperlink" Target="https://t.me/rozatozeynab169" TargetMode="External"/><Relationship Id="rId204" Type="http://schemas.openxmlformats.org/officeDocument/2006/relationships/hyperlink" Target="https://www.instagram.com/aghile.69/" TargetMode="External"/><Relationship Id="rId203" Type="http://schemas.openxmlformats.org/officeDocument/2006/relationships/hyperlink" Target="https://t.me/majlesroze" TargetMode="External"/><Relationship Id="rId209" Type="http://schemas.openxmlformats.org/officeDocument/2006/relationships/hyperlink" Target="https://t.me/tasuair" TargetMode="External"/><Relationship Id="rId208" Type="http://schemas.openxmlformats.org/officeDocument/2006/relationships/hyperlink" Target="https://www.instagram.com/ghamarebanihashem/" TargetMode="External"/><Relationship Id="rId207" Type="http://schemas.openxmlformats.org/officeDocument/2006/relationships/hyperlink" Target="https://t.me/Tarighhossein" TargetMode="External"/><Relationship Id="rId202" Type="http://schemas.openxmlformats.org/officeDocument/2006/relationships/hyperlink" Target="http://instagram.com/majles_roze/" TargetMode="External"/><Relationship Id="rId201" Type="http://schemas.openxmlformats.org/officeDocument/2006/relationships/hyperlink" Target="https://t.me/khamseh110" TargetMode="External"/><Relationship Id="rId200" Type="http://schemas.openxmlformats.org/officeDocument/2006/relationships/hyperlink" Target="https://www.instagram.com/ahraralhosein128/" TargetMode="External"/><Relationship Id="rId509" Type="http://schemas.openxmlformats.org/officeDocument/2006/relationships/hyperlink" Target="https://t.me/doteflan" TargetMode="External"/><Relationship Id="rId508" Type="http://schemas.openxmlformats.org/officeDocument/2006/relationships/hyperlink" Target="https://www.instagram.com/doteflan/" TargetMode="External"/><Relationship Id="rId503" Type="http://schemas.openxmlformats.org/officeDocument/2006/relationships/hyperlink" Target="https://www.instagram.com/abnaozahra_com/" TargetMode="External"/><Relationship Id="rId502" Type="http://schemas.openxmlformats.org/officeDocument/2006/relationships/hyperlink" Target="https://eitaa.com/heiateDahehashtadiha" TargetMode="External"/><Relationship Id="rId501" Type="http://schemas.openxmlformats.org/officeDocument/2006/relationships/hyperlink" Target="https://l.instagram.com/?u=http%3A%2F%2Ftlgrm.in%2Fharameemah%3Futm_source%3Dig%26utm_medium%3Dsocial%26utm_content%3Dlink_in_bio%26fbclid%3DPAZXh0bgNhZW0CMTEAc3J0YwZhcHBfaWQMMjU2MjgxMDQwNTU4AAGntyk28n53YSH4nc6MWZf02oP2k8DCx-FCMt3MimHELHZ8OSrHlHctRc2YU0A_aem_V53YbWWZJj2gU79WeISPsA&amp;e=AT0bxHHtBKsbcT1S0_5RUbJdSPII6YXRMBu1m_m9idoIMR6042h1jdj_zznG82xbxECrlhEfabWseYl80PE1WJGicHqdT9gw3-yGMk6owQ" TargetMode="External"/><Relationship Id="rId500" Type="http://schemas.openxmlformats.org/officeDocument/2006/relationships/hyperlink" Target="https://www.instagram.com/harameemah/" TargetMode="External"/><Relationship Id="rId507" Type="http://schemas.openxmlformats.org/officeDocument/2006/relationships/hyperlink" Target="https://abnaozahra.com/" TargetMode="External"/><Relationship Id="rId506" Type="http://schemas.openxmlformats.org/officeDocument/2006/relationships/hyperlink" Target="https://www.youtube.com/@abnaozahra_com" TargetMode="External"/><Relationship Id="rId505" Type="http://schemas.openxmlformats.org/officeDocument/2006/relationships/hyperlink" Target="https://eitaa.com/Abnaozahra_com" TargetMode="External"/><Relationship Id="rId504" Type="http://schemas.openxmlformats.org/officeDocument/2006/relationships/hyperlink" Target="https://t.me/abnaozahra_com" TargetMode="External"/><Relationship Id="rId525" Type="http://schemas.openxmlformats.org/officeDocument/2006/relationships/hyperlink" Target="https://www.instagram.com/masjedaliebnelhossein/" TargetMode="External"/><Relationship Id="rId524" Type="http://schemas.openxmlformats.org/officeDocument/2006/relationships/hyperlink" Target="https://eitaa.com/kheymekarimahlbeyt" TargetMode="External"/><Relationship Id="rId523" Type="http://schemas.openxmlformats.org/officeDocument/2006/relationships/hyperlink" Target="https://www.instagram.com/kheymekarimahlbeyt" TargetMode="External"/><Relationship Id="rId522" Type="http://schemas.openxmlformats.org/officeDocument/2006/relationships/hyperlink" Target="https://eitaa.com/ahbabolhojah" TargetMode="External"/><Relationship Id="rId529" Type="http://schemas.openxmlformats.org/officeDocument/2006/relationships/hyperlink" Target="https://l.instagram.com/?u=https%3A%2F%2Ft.me%2FHajSeyedMeysamMahmoudi%3Futm_source%3Dig%26utm_medium%3Dsocial%26utm_content%3Dlink_in_bio%26fbclid%3DPAZXh0bgNhZW0CMTEAc3J0YwZhcHBfaWQMMjU2MjgxMDQwNTU4AAGnT64W00DrjHH9l_KWx69ost5UeQsu7kViy78vSYl8a6hhiLJUM4scz8gYG7M_aem_M_aADlpCgoyYw859bkOqUA&amp;e=AT25mD3oB1VnbcQPVbws3nibA1fAnaQECX7WJ1rZvQED-35VLrJlFvwkRLqRw0XA3mgi18s7wDBkOmUgvqhMfNPD2YL_zg7k0WpWE9mJlw" TargetMode="External"/><Relationship Id="rId528" Type="http://schemas.openxmlformats.org/officeDocument/2006/relationships/hyperlink" Target="https://www.instagram.com/maktaborreza_qods/" TargetMode="External"/><Relationship Id="rId527" Type="http://schemas.openxmlformats.org/officeDocument/2006/relationships/hyperlink" Target="https://www.instagram.com/oshaghalzahra/" TargetMode="External"/><Relationship Id="rId526" Type="http://schemas.openxmlformats.org/officeDocument/2006/relationships/hyperlink" Target="https://l.instagram.com/?u=https%3A%2F%2Fble.ir%2Faliebnelhossein%3Futm_source%3Dig%26utm_medium%3Dsocial%26utm_content%3Dlink_in_bio%26fbclid%3DPAZXh0bgNhZW0CMTEAc3J0YwZhcHBfaWQMMjU2MjgxMDQwNTU4AAGn7TP4_3xEVffFZkxyuyx5mz0QXLGVbdpoexXxQTYGLOJFFXuOtDprsKtdGYc_aem_0riPH9yVtb8CYr6QFsdEpw&amp;e=AT0_SoxkcgCfPLrwockl7J_PsLt3qCUNnjnV6aILBGj1Y4wimSg__lPI9lgJiNNfuSJgJhq5QBdqR5xTU2ZljzgU_Fk8pn_BUgmtPtrHUA" TargetMode="External"/><Relationship Id="rId521" Type="http://schemas.openxmlformats.org/officeDocument/2006/relationships/hyperlink" Target="https://www.instagram.com/h.maktab_omonojaba/" TargetMode="External"/><Relationship Id="rId520" Type="http://schemas.openxmlformats.org/officeDocument/2006/relationships/hyperlink" Target="https://l.instagram.com/?u=https%3A%2F%2Ft.me%2Fheyatejavananehazratealiakbarr%3Futm_source%3Dig%26utm_medium%3Dsocial%26utm_content%3Dlink_in_bio%26fbclid%3DPAZXh0bgNhZW0CMTEAc3J0YwZhcHBfaWQMMjU2MjgxMDQwNTU4AAGnjffKzuZRKM6bvXHwuKgHizRmhmVr4WHiQmLkOTGjFyXKlZYIa5ViFWh_RqI_aem_qctzUBOjkk0QdmQ1OhSc2g&amp;e=AT10fFiI4LLduvFNQbaMqUUzhmCFKuWPlnVjz8iABGOTZRB_fMJdjDjmgeso5_Yt6x8aGtH0I6OQsd-9PeWkLMalCJ0WdPuUG5n6offIng" TargetMode="External"/><Relationship Id="rId519" Type="http://schemas.openxmlformats.org/officeDocument/2006/relationships/hyperlink" Target="https://www.instagram.com/heyatejavananehazratealiakbar/" TargetMode="External"/><Relationship Id="rId514" Type="http://schemas.openxmlformats.org/officeDocument/2006/relationships/hyperlink" Target="https://www.instagram.com/fatemiyetehran/" TargetMode="External"/><Relationship Id="rId513" Type="http://schemas.openxmlformats.org/officeDocument/2006/relationships/hyperlink" Target="https://l.instagram.com/?u=https%3A%2F%2Ft.me%2Fbabolhavaej10metri%3Futm_source%3Dig%26utm_medium%3Dsocial%26utm_content%3Dlink_in_bio%26fbclid%3DPAZXh0bgNhZW0CMTEAc3J0YwZhcHBfaWQMMjU2MjgxMDQwNTU4AAGnlgPau6Fr_Xk2_LYcDmkorsqA2MF9rMUOZFa7maEXE1s7RfoRa2lJv4vuMsk_aem_yUGR7MfIl3qBfAAsFRU8qA&amp;e=AT23d05iS8eKacimXiKu3OJmauRBoMVdxfAJJLBYwg6rPdtbupkLZf-FYjNVYWbjKl8IRi0LpkchykH5Tex841IhPIJtIuWmEbOacYwu5w" TargetMode="External"/><Relationship Id="rId512" Type="http://schemas.openxmlformats.org/officeDocument/2006/relationships/hyperlink" Target="https://www.instagram.com/heyatbabolhavaej_gharb_tehran/" TargetMode="External"/><Relationship Id="rId511" Type="http://schemas.openxmlformats.org/officeDocument/2006/relationships/hyperlink" Target="https://www.instagram.com/alamdar.varamin/" TargetMode="External"/><Relationship Id="rId518" Type="http://schemas.openxmlformats.org/officeDocument/2006/relationships/hyperlink" Target="https://l.instagram.com/?u=https%3A%2F%2Ft.me%2Fehyaae_amr%3Futm_source%3Dig%26utm_medium%3Dsocial%26utm_content%3Dlink_in_bio%26fbclid%3DPAZXh0bgNhZW0CMTEAc3J0YwZhcHBfaWQMMjU2MjgxMDQwNTU4AAGnLkIcopChaooDNYcdCbicV4DePFUkQJyVHBwDAs3-zOMQ0FTiWq2T15zivhg_aem_zEYrg-gz0ZlXjQTgXjzZaQ&amp;e=AT2IAiVAaXngLA71zfmLFzcIpCI4MrsVJXhc62ME9UojdD7WbUrFPvClmap3PpIQijHjBc-7LJEG-YqVqrpqFkTxDD9cslpI34bNiKJS9A" TargetMode="External"/><Relationship Id="rId517" Type="http://schemas.openxmlformats.org/officeDocument/2006/relationships/hyperlink" Target="https://www.instagram.com/ehyaae_amr/" TargetMode="External"/><Relationship Id="rId516" Type="http://schemas.openxmlformats.org/officeDocument/2006/relationships/hyperlink" Target="https://eitaa.com/b59313" TargetMode="External"/><Relationship Id="rId515" Type="http://schemas.openxmlformats.org/officeDocument/2006/relationships/hyperlink" Target="https://www.instagram.com/rooghaye_jan/" TargetMode="External"/><Relationship Id="rId510" Type="http://schemas.openxmlformats.org/officeDocument/2006/relationships/hyperlink" Target="https://eitaa.com/doteflan" TargetMode="External"/><Relationship Id="rId590" Type="http://schemas.openxmlformats.org/officeDocument/2006/relationships/hyperlink" Target="https://www.instagram.com/masjjed_masjjed/" TargetMode="External"/><Relationship Id="rId589" Type="http://schemas.openxmlformats.org/officeDocument/2006/relationships/hyperlink" Target="https://l.instagram.com/?u=http%3A%2F%2Ft.me%2Fmasjedemammahdi%3Futm_source%3Dig%26utm_medium%3Dsocial%26utm_content%3Dlink_in_bio%26fbclid%3DPAZXh0bgNhZW0CMTEAc3J0YwZhcHBfaWQMMjU2MjgxMDQwNTU4AAGnxaj9k0LzZSNbDlfBBcSso3txQ0B2onaYsvcnSy4yB_0J7yx8zdhul9kzPM0_aem__qgTItpegB5LA_PF2qsWJg&amp;e=AT08wrj6s3gKAK9JNGmw1eX8GGgKoOmi5wcu9M4iNIE_XmACxQ8JBVsVVG5Ms6dEpszD6exQHK46gQVdTdcY66PxmQqw0q_0oR_QUXv7Xg" TargetMode="External"/><Relationship Id="rId588" Type="http://schemas.openxmlformats.org/officeDocument/2006/relationships/hyperlink" Target="https://www.instagram.com/masjedemammahdi/" TargetMode="External"/><Relationship Id="rId583" Type="http://schemas.openxmlformats.org/officeDocument/2006/relationships/hyperlink" Target="https://www.instagram.com/shababozahra/" TargetMode="External"/><Relationship Id="rId582" Type="http://schemas.openxmlformats.org/officeDocument/2006/relationships/hyperlink" Target="https://l.instagram.com/?u=https%3A%2F%2Ft.me%2FMaktabzeynabb%3Futm_source%3Dig%26utm_medium%3Dsocial%26utm_content%3Dlink_in_bio%26fbclid%3DPAZXh0bgNhZW0CMTEAc3J0YwZhcHBfaWQMMjU2MjgxMDQwNTU4AAGnEas3Odx-Qi7ow1pLnCo_XwAjPdtN4ZcL06P65NcEULHlAcHYO0knNfzVcuk_aem_MBVCikp5olinJz9N1ya9zg&amp;e=AT2DOo6AZp5wxuPxvyHhBKJhvMyD50zYghiZ7x0lERb0msRjPlsaBgFRBsX7zwNOIMIJxwsjHByJ0dhvJQuoJEilY2BnijCJxnxmNNiLdQ" TargetMode="External"/><Relationship Id="rId581" Type="http://schemas.openxmlformats.org/officeDocument/2006/relationships/hyperlink" Target="https://www.instagram.com/maktabzeynab/" TargetMode="External"/><Relationship Id="rId580" Type="http://schemas.openxmlformats.org/officeDocument/2006/relationships/hyperlink" Target="https://www.instagram.com/asrentezarpakdasht/" TargetMode="External"/><Relationship Id="rId587" Type="http://schemas.openxmlformats.org/officeDocument/2006/relationships/hyperlink" Target="https://l.instagram.com/?u=http%3A%2F%2Fmohebban-almahdi.ir%2F%3Futm_source%3Dig%26utm_medium%3Dsocial%26utm_content%3Dlink_in_bio%26fbclid%3DPAZXh0bgNhZW0CMTEAc3J0YwZhcHBfaWQMMjU2MjgxMDQwNTU4AAGn_1mYpXU7k7h1dU1LARuN_rCfrtuV-j4xEjtip4yKBUsgFcasuww8eSuCW14_aem_sSEOBmgN1n0sIeLQN6D2hw&amp;e=AT1nGousrLoWmIi3VekjkXdMRuEPDODI_L8bBhZnMnKloiudXDW2EpNbVHT_m-MzUxfZ6o6ib6bKEwrAoib3RzTypXhkwi0jyNwe8fCuKA" TargetMode="External"/><Relationship Id="rId586" Type="http://schemas.openxmlformats.org/officeDocument/2006/relationships/hyperlink" Target="https://www.instagram.com/mohebban_almahdi10/" TargetMode="External"/><Relationship Id="rId585" Type="http://schemas.openxmlformats.org/officeDocument/2006/relationships/hyperlink" Target="https://www.instagram.com/yahoseyn_tehran/" TargetMode="External"/><Relationship Id="rId584" Type="http://schemas.openxmlformats.org/officeDocument/2006/relationships/hyperlink" Target="https://www.instagram.com/reiyhane_alnabi/" TargetMode="External"/><Relationship Id="rId579" Type="http://schemas.openxmlformats.org/officeDocument/2006/relationships/hyperlink" Target="https://www.instagram.com/hsaelanahlebeyt/" TargetMode="External"/><Relationship Id="rId578" Type="http://schemas.openxmlformats.org/officeDocument/2006/relationships/hyperlink" Target="https://eitaa.com/maktaboshohada_info" TargetMode="External"/><Relationship Id="rId577" Type="http://schemas.openxmlformats.org/officeDocument/2006/relationships/hyperlink" Target="https://l.instagram.com/?u=https%3A%2F%2Ft.me%2Fmokebinfo%3Futm_source%3Dig%26utm_medium%3Dsocial%26utm_content%3Dlink_in_bio%26fbclid%3DPAZXh0bgNhZW0CMTEAc3J0YwZhcHBfaWQMMjU2MjgxMDQwNTU4AAGnw0wIQHKyB0WhX9SJ7fbvlWJZapatZa5EoLvPShmLakQhXKZKORHHwsmPIsU_aem_LaXrOurPEwlaybHbiCsORg&amp;e=AT1YdOsgLnbajNRpabdZs36Rc67UVaDVwk7_meSk542lc2h5Z0tNogkVEiEivYYmg2pfO7TnJHLcmIDzYeUU9vaHCVcgv_bCAvNiflQhAw" TargetMode="External"/><Relationship Id="rId572" Type="http://schemas.openxmlformats.org/officeDocument/2006/relationships/hyperlink" Target="https://www.instagram.com/hazrateghasem_201/" TargetMode="External"/><Relationship Id="rId571" Type="http://schemas.openxmlformats.org/officeDocument/2006/relationships/hyperlink" Target="https://www.instagram.com/heyat.shohada.alollah/" TargetMode="External"/><Relationship Id="rId570" Type="http://schemas.openxmlformats.org/officeDocument/2006/relationships/hyperlink" Target="https://www.instagram.com/rayatolahrar/" TargetMode="External"/><Relationship Id="rId576" Type="http://schemas.openxmlformats.org/officeDocument/2006/relationships/hyperlink" Target="https://www.instagram.com/mokeb.video/" TargetMode="External"/><Relationship Id="rId575" Type="http://schemas.openxmlformats.org/officeDocument/2006/relationships/hyperlink" Target="https://www.instagram.com/mahmoodkarimi_rayatalabbas/" TargetMode="External"/><Relationship Id="rId574" Type="http://schemas.openxmlformats.org/officeDocument/2006/relationships/hyperlink" Target="https://www.instagram.com/serat_213/" TargetMode="External"/><Relationship Id="rId573" Type="http://schemas.openxmlformats.org/officeDocument/2006/relationships/hyperlink" Target="https://l.instagram.com/?u=http%3A%2F%2Fghasem201.ir%2F%3Futm_source%3Dig%26utm_medium%3Dsocial%26utm_content%3Dlink_in_bio%26fbclid%3DPAZXh0bgNhZW0CMTEAc3J0YwZhcHBfaWQMMjU2MjgxMDQwNTU4AAGnCq8KFyk9GwkiqKxbsRS-MusS7PQdfcKO0AfooEKh4R-bDwwHYHOPgfSKJpU_aem_2lQLPkKAiBzNoEddrbMO2Q&amp;e=AT0IXyuObwm-U6KNO7c9TbFNR_34BahVec2mynwyhYFIvqC1nQV5gEPqf4pIVhCNYg0weVzNwEIn6P1uitnhhRzxphVw0gy9P56jYc5dzg" TargetMode="External"/><Relationship Id="rId599" Type="http://schemas.openxmlformats.org/officeDocument/2006/relationships/hyperlink" Target="https://l.instagram.com/?u=https%3A%2F%2Feitaa.com%2FKhatamolosiaa%3Futm_source%3Dig%26utm_medium%3Dsocial%26utm_content%3Dlink_in_bio%26fbclid%3DPAZXh0bgNhZW0CMTEAc3J0YwZhcHBfaWQMMjU2MjgxMDQwNTU4AAGnG5DGG0xh4_qSFQf2SFR0f9sr4X9vaKmJkhtC6xnjqPUSI-jyqakR501EJ_8_aem_80Qj5YnlMf70xm9v1K_asQ&amp;e=AT09l-TfNQhaDZ6TMWAJhwWi2AVh-ylqNEmRQfg6TtAC4R0IlIeMaEwkTaLfi5Bl5aEx7tF2iRNHNIIHlsxiZxZhuyoh0qc9eHwndIcAdw" TargetMode="External"/><Relationship Id="rId594" Type="http://schemas.openxmlformats.org/officeDocument/2006/relationships/hyperlink" Target="https://eitaa.com/masjeed14m" TargetMode="External"/><Relationship Id="rId593" Type="http://schemas.openxmlformats.org/officeDocument/2006/relationships/hyperlink" Target="https://l.instagram.com/?u=https%3A%2F%2Fble.ir%2Fmasjed62_ir%3Futm_source%3Dig%26utm_medium%3Dsocial%26utm_content%3Dlink_in_bio%26fbclid%3DPAZXh0bgNhZW0CMTEAc3J0YwZhcHBfaWQMMjU2MjgxMDQwNTU4AAGnzRyqzxC827qeYgCK924LW5YoZWcAmg3YHjherZkM56v1-vRO75sFPD6uYjQ_aem_qFx3IRirgxBcAPikw2xiCA&amp;e=AT0DblKMitx2Ts8kmxAorLWWXjsT3skwa6BhQUbX-YBUUiRzXkIHPT7cTTY4c4VoAyfUpEGuMx1r17l23HhN3BJzgOrInDmmjLYc2CtOlQ" TargetMode="External"/><Relationship Id="rId592" Type="http://schemas.openxmlformats.org/officeDocument/2006/relationships/hyperlink" Target="https://www.instagram.com/masjed62_ir/" TargetMode="External"/><Relationship Id="rId591" Type="http://schemas.openxmlformats.org/officeDocument/2006/relationships/hyperlink" Target="https://l.instagram.com/?u=http%3A%2F%2Fwww.masjedemousabnejafar.ir%2F%3Futm_source%3Dig%26utm_medium%3Dsocial%26utm_content%3Dlink_in_bio%26fbclid%3DPAZXh0bgNhZW0CMTEAc3J0YwZhcHBfaWQMMjU2MjgxMDQwNTU4AAGnSmM1tLLS5yD7XJ-K5KOD6K5_4QkefmVKCp0CYK7nxtFnKQba9UmQAoJ8khc_aem_la_L7GsCv8mQ_1ch_Of1Fw&amp;e=AT0wt5iskCIBu0g34h-tY7m9qrL8RHq8IwSKjfHbJUhqoi6dnfJTPGzzNBRcvbHDlM9y43F7WhBRVmmskyIBYUQ1B3Qu2D1lPmJJ1yePeg" TargetMode="External"/><Relationship Id="rId598" Type="http://schemas.openxmlformats.org/officeDocument/2006/relationships/hyperlink" Target="https://www.instagram.com/khatamolosiaa/" TargetMode="External"/><Relationship Id="rId597" Type="http://schemas.openxmlformats.org/officeDocument/2006/relationships/hyperlink" Target="https://eitaa.com/mohebban_srttu" TargetMode="External"/><Relationship Id="rId596" Type="http://schemas.openxmlformats.org/officeDocument/2006/relationships/hyperlink" Target="https://l.instagram.com/?u=http%3A%2F%2Ft.me%2Fmaktaboshohada_com%3Futm_source%3Dig%26utm_medium%3Dsocial%26utm_content%3Dlink_in_bio%26fbclid%3DPAZXh0bgNhZW0CMTEAc3J0YwZhcHBfaWQMMjU2MjgxMDQwNTU4AAGnXwJAKC9yMfseIIzRhXkhAnrnohnh-SoVysqudr7nnKmPGXAX0rS2ocMAQ2g_aem_qB33Mf0V_-INUBOGvWnJbg&amp;e=AT0jmnLxKNdBy_AR_d-rAo_nqKCaXPa_T2xnSR340fZodnENpYviyUnL3np1_xN9d4xQCns0XldVT1UlQAXb1eb0sx4J_NwPcxYOYtPfNA" TargetMode="External"/><Relationship Id="rId595" Type="http://schemas.openxmlformats.org/officeDocument/2006/relationships/hyperlink" Target="https://www.instagram.com/maktaboshohada_com/" TargetMode="External"/><Relationship Id="rId547" Type="http://schemas.openxmlformats.org/officeDocument/2006/relationships/hyperlink" Target="https://www.instagram.com/stereobeytolahzan1/" TargetMode="External"/><Relationship Id="rId546" Type="http://schemas.openxmlformats.org/officeDocument/2006/relationships/hyperlink" Target="https://l.instagram.com/?u=https%3A%2F%2Ft.me%2Fkaramkhaneh_omolbanin%3Futm_source%3Dig%26utm_medium%3Dsocial%26utm_content%3Dlink_in_bio%26fbclid%3DPAZXh0bgNhZW0CMTEAc3J0YwZhcHBfaWQMMjU2MjgxMDQwNTU4AAGnFGtbQb2Rg6trhofMver2YhO2FUibG4-1LMgYgm2G-e6IPQ9tUMU7XzlomNY_aem_6vtwzqL9qWuMx7uDkYl0-Q&amp;e=AT0V9r77ENpnPkG-BHnTiB27y_wgh422bITHu41UYyE7X67SVDd0Y7kHFm43-TGsIfIoYM6Zdik9q6_xqCusfkc6RPVMR5Or5j9UXkUVGA" TargetMode="External"/><Relationship Id="rId545" Type="http://schemas.openxmlformats.org/officeDocument/2006/relationships/hyperlink" Target="https://www.instagram.com/karamkhaneh.ir/" TargetMode="External"/><Relationship Id="rId544" Type="http://schemas.openxmlformats.org/officeDocument/2006/relationships/hyperlink" Target="https://l.instagram.com/?u=http%3A%2F%2Ftlgrm.me%2FGhamar_al_Ashireh%3Futm_source%3Dig%26utm_medium%3Dsocial%26utm_content%3Dlink_in_bio%26fbclid%3DPAZXh0bgNhZW0CMTEAc3J0YwZhcHBfaWQMMjU2MjgxMDQwNTU4AAGnGkBvEeue2TzlUmwTsLBdBeyTv2BZquUh8ck3Ixc5zk5GOW1RDBVHYlEqpao_aem_4Qe68mceedwoGQVb70KEPA&amp;e=AT1G-k1FAyTwso0zBbZGyFN3VpTG__Ixu79vOMOZmBuBB1sXGJDTDaT9jdXIN8OABGt2-tGF3IoRRfxyt_G1MHPZ3KLIIoRcjfDhkFI-Cg" TargetMode="External"/><Relationship Id="rId549" Type="http://schemas.openxmlformats.org/officeDocument/2006/relationships/hyperlink" Target="https://www.instagram.com/beytozzahra_abouzar17/" TargetMode="External"/><Relationship Id="rId548" Type="http://schemas.openxmlformats.org/officeDocument/2006/relationships/hyperlink" Target="https://l.instagram.com/?u=https%3A%2F%2Ft.me%2F%40stereobeytolahzan2%3Futm_source%3Dig%26utm_medium%3Dsocial%26utm_content%3Dlink_in_bio%26fbclid%3DPAZXh0bgNhZW0CMTEAc3J0YwZhcHBfaWQMMjU2MjgxMDQwNTU4AAGnX8LyEI9XnlrBCmcmESOY83Rs-sHDsckCHy7zt42pskfa_gC4ut3gqe7tCN4_aem_USG8tTO9XiE4wDnJ5uAU_w&amp;e=AT32pNrl8I-zoKfU9SuK1T3Od9Oh2VoAK3m4FUVBhjK2ZmULBJFZosb6uIQZ5qpJs8o2vgvGs_vUx31ykiTK-MPjhmLAGK8k_gptwOCqnA" TargetMode="External"/><Relationship Id="rId543" Type="http://schemas.openxmlformats.org/officeDocument/2006/relationships/hyperlink" Target="https://www.instagram.com/ghamar_al_ashireh/" TargetMode="External"/><Relationship Id="rId542" Type="http://schemas.openxmlformats.org/officeDocument/2006/relationships/hyperlink" Target="https://l.instagram.com/?u=https%3A%2F%2Ft.me%2Foshagh_zeynab69%3Futm_source%3Dig%26utm_medium%3Dsocial%26utm_content%3Dlink_in_bio%26fbclid%3DPAZXh0bgNhZW0CMTEAc3J0YwZhcHBfaWQMMjU2MjgxMDQwNTU4AAGn-9GH2faSMKonHUonOen0z45MeSDfYdeAnQd4zxSXIG-FnsojUn5HvocDMCk_aem_6JRxrnVi5rjbG_gYFOuiXw&amp;e=AT29qesBnIWYWeTmY0Pdn3kS6OU07chQ8zt0Z2JxX5zoKAA-PNmoqwcOFAz8nzuGVCCRAlzoZljZdP7sEvzT44dd_jEOy8RK8KV3vpgFYw" TargetMode="External"/><Relationship Id="rId541" Type="http://schemas.openxmlformats.org/officeDocument/2006/relationships/hyperlink" Target="https://www.instagram.com/mahfel_oshagh_69/" TargetMode="External"/><Relationship Id="rId540" Type="http://schemas.openxmlformats.org/officeDocument/2006/relationships/hyperlink" Target="https://eitaa.com/mesbahalhoda1" TargetMode="External"/><Relationship Id="rId536" Type="http://schemas.openxmlformats.org/officeDocument/2006/relationships/hyperlink" Target="https://www.instagram.com/masjedhoori/" TargetMode="External"/><Relationship Id="rId535" Type="http://schemas.openxmlformats.org/officeDocument/2006/relationships/hyperlink" Target="https://l.instagram.com/?u=https%3A%2F%2Ft.me%2Fmaktabozzahra1368%3Futm_source%3Dig%26utm_medium%3Dsocial%26utm_content%3Dlink_in_bio%26fbclid%3DPAZXh0bgNhZW0CMTEAc3J0YwZhcHBfaWQMMjU2MjgxMDQwNTU4AAGn5hGXlna4poYATFelqh75__xvt406Cfsfbpn_y7z8waMMqKxsToKs5PcXaNo_aem_gazDzppaOu2w-_2iVKfRJA&amp;e=AT1xvh2XbZY6zXjLquJ-ML2NM7wv3HxKKHT-BU6pwohArCPwfeayy1olcZfplEVLoorFVmoyOu86y963R-ktbcs2cRwxtDeEsgLkQgGJIQ" TargetMode="External"/><Relationship Id="rId534" Type="http://schemas.openxmlformats.org/officeDocument/2006/relationships/hyperlink" Target="https://www.instagram.com/maktabozzahra_official/" TargetMode="External"/><Relationship Id="rId533" Type="http://schemas.openxmlformats.org/officeDocument/2006/relationships/hyperlink" Target="http://mohebb.ir/" TargetMode="External"/><Relationship Id="rId539" Type="http://schemas.openxmlformats.org/officeDocument/2006/relationships/hyperlink" Target="https://www.instagram.com/mesbahalhoda1/" TargetMode="External"/><Relationship Id="rId538" Type="http://schemas.openxmlformats.org/officeDocument/2006/relationships/hyperlink" Target="https://l.instagram.com/?u=http%3A%2F%2Ft.me%2FMontazeranMosleh_Narmak%3Futm_source%3Dig%26utm_medium%3Dsocial%26utm_content%3Dlink_in_bio%26fbclid%3DPAZXh0bgNhZW0CMTEAc3J0YwZhcHBfaWQMMjU2MjgxMDQwNTU4AAGnSlLK3twcNnmy98Uzyyh_K8CMaEhPtgFWkcqNt73ogtRuxwTvU8I_Pxi5p4Q_aem_beVxOqYduHyiWbM5VJZXsg&amp;e=AT0-lSfv-dESuYp3phbFrk5pVlxfO9ADJXFR539cPBAlbNhXpqSMlEPDLRtXVQTrr1dPDX6eWNqd0XhSAy8_xHgZgHGEKwN7dHvT2HRkDQ" TargetMode="External"/><Relationship Id="rId537" Type="http://schemas.openxmlformats.org/officeDocument/2006/relationships/hyperlink" Target="https://www.instagram.com/montazeranmosleh_narmak/" TargetMode="External"/><Relationship Id="rId532" Type="http://schemas.openxmlformats.org/officeDocument/2006/relationships/hyperlink" Target="https://eitaa.com/mohebb_ir" TargetMode="External"/><Relationship Id="rId531" Type="http://schemas.openxmlformats.org/officeDocument/2006/relationships/hyperlink" Target="https://l.instagram.com/?u=http%3A%2F%2Ft.me%2Fmahfell_ashk%3Futm_source%3Dig%26utm_medium%3Dsocial%26utm_content%3Dlink_in_bio%26fbclid%3DPAZXh0bgNhZW0CMTEAc3J0YwZhcHBfaWQMMjU2MjgxMDQwNTU4AAGn7RUpVX2hACISstidr2fKHTQrjHeb2BBX3C_IgmobReYo57XbhZvgM6WuFmk_aem_EZ9qydQHSLJJFOEhheSvPg&amp;e=AT2rwg4mBPt5_cDgQgKDHun1bm3BEXRv5tibPyrcaJFetn8Lsy7g1SByNgCGzkPS_cAdIzAuPxGSg4ajcXs1DMP0lKBGlD4cnWSAyThJNQ" TargetMode="External"/><Relationship Id="rId530" Type="http://schemas.openxmlformats.org/officeDocument/2006/relationships/hyperlink" Target="https://www.instagram.com/mahfell_ashk/" TargetMode="External"/><Relationship Id="rId569" Type="http://schemas.openxmlformats.org/officeDocument/2006/relationships/hyperlink" Target="https://l.instagram.com/?u=https%3A%2F%2Ft.me%2Fjannat133%3Futm_source%3Dig%26utm_medium%3Dsocial%26utm_content%3Dlink_in_bio%26fbclid%3DPAZXh0bgNhZW0CMTEAc3J0YwZhcHBfaWQMMjU2MjgxMDQwNTU4AAGnQfCaixYqKRBuQk_poDVro2IAkJQ6CT9Zuv37LDHCbCuPQHFgDHKnEtWQgLc_aem_lcgO0jA2MUBs6VPPXYRSGg&amp;e=AT16Ccq4Py6voP-SOBgnXFNkGH3XPG_z2fDAeICQFUG2Aoh-o6JNcr6t9HeMov9OH2Zd7RNIVym3FtiriKquxP1SNNj5dbovatJ6mic5mQ" TargetMode="External"/><Relationship Id="rId568" Type="http://schemas.openxmlformats.org/officeDocument/2006/relationships/hyperlink" Target="https://www.instagram.com/jannat133/" TargetMode="External"/><Relationship Id="rId567" Type="http://schemas.openxmlformats.org/officeDocument/2006/relationships/hyperlink" Target="https://eitaa.com/safiranzynab" TargetMode="External"/><Relationship Id="rId566" Type="http://schemas.openxmlformats.org/officeDocument/2006/relationships/hyperlink" Target="https://l.instagram.com/?u=http%3A%2F%2Fmisaq.ir%2F%3Futm_source%3Dig%26utm_medium%3Dsocial%26utm_content%3Dlink_in_bio%26fbclid%3DPAZXh0bgNhZW0CMTEAc3J0YwZhcHBfaWQMMjU2MjgxMDQwNTU4AAGnt9Fi7BxBRcTUHpocydIbzGKYzHkIT4EuQxc6X1QBRl1vXnLx0gh5jlkC7xA_aem_FQO-MUSMroUYfclWCllCeg&amp;e=AT1AJSJDVFHDBP87aWBykeNMNFjfrgadZzAlY3R84rqts7sgm7hvodzge1FYTgdp0-aBr7tjilumfjUeHSkYujFzwkbkfOHss050lCin2A" TargetMode="External"/><Relationship Id="rId561" Type="http://schemas.openxmlformats.org/officeDocument/2006/relationships/hyperlink" Target="https://www.instagram.com/maktabolheydar.rozeh/" TargetMode="External"/><Relationship Id="rId560" Type="http://schemas.openxmlformats.org/officeDocument/2006/relationships/hyperlink" Target="http://instagram.com/heyat_zavar_alreza_/" TargetMode="External"/><Relationship Id="rId565" Type="http://schemas.openxmlformats.org/officeDocument/2006/relationships/hyperlink" Target="https://www.instagram.com/misaq_nojavan/" TargetMode="External"/><Relationship Id="rId564" Type="http://schemas.openxmlformats.org/officeDocument/2006/relationships/hyperlink" Target="https://eitaa.com/raheasheghan" TargetMode="External"/><Relationship Id="rId563" Type="http://schemas.openxmlformats.org/officeDocument/2006/relationships/hyperlink" Target="https://www.instagram.com/raheasheghan/" TargetMode="External"/><Relationship Id="rId562" Type="http://schemas.openxmlformats.org/officeDocument/2006/relationships/hyperlink" Target="https://l.instagram.com/?u=http%3A%2F%2Ft.me%2Fmaktabolheydar%3Futm_source%3Dig%26utm_medium%3Dsocial%26utm_content%3Dlink_in_bio%26fbclid%3DPAZXh0bgNhZW0CMTEAc3J0YwZhcHBfaWQMMjU2MjgxMDQwNTU4AAGnpZR7plVqDZbAIFYTN3o64bFjdeqyKAfnpKSE4uFPXhLC9ycGHrQD9zux6z0_aem_KsaD51Ej7CknYAVq5Nfl0A&amp;e=AT0wrpwxfIYqxqjG1ZRSGf0rIibFyjHFOUfQwrURRtynI5poHOJeUwTRQ_XANYr-KUiyIeLK7teiGtzfSDA6RXwIU_ZkfuB9zQmn4sXeSg" TargetMode="External"/><Relationship Id="rId558" Type="http://schemas.openxmlformats.org/officeDocument/2006/relationships/hyperlink" Target="https://www.instagram.com/heyatearbab/" TargetMode="External"/><Relationship Id="rId557" Type="http://schemas.openxmlformats.org/officeDocument/2006/relationships/hyperlink" Target="https://www.instagram.com/samenhojaj1353/" TargetMode="External"/><Relationship Id="rId556" Type="http://schemas.openxmlformats.org/officeDocument/2006/relationships/hyperlink" Target="https://l.instagram.com/?u=http%3A%2F%2Ft.me%2Fansarolmahdi_utm%3Futm_source%3Dig%26utm_medium%3Dsocial%26utm_content%3Dlink_in_bio%26fbclid%3DPAZXh0bgNhZW0CMTEAc3J0YwZhcHBfaWQMMjU2MjgxMDQwNTU4AAGnmp2a-6LA1mFb690g4WEWLJFlYcXq20GqD04GFhT_sIOJ_XGyKzJ8ZlPYXyk_aem_Kip0-XsAVXmH-GbH7jXN4g&amp;e=AT1TMg5KkrhUD9YQt86iyYPAVaNNPLfHIB8cd89ReUuTVuFAUss88tLw62n95lTKD_YHydhPozat9fLNi2d5nWWKIY8ZsHiVUO1D6xT41A" TargetMode="External"/><Relationship Id="rId555" Type="http://schemas.openxmlformats.org/officeDocument/2006/relationships/hyperlink" Target="https://www.instagram.com/ansarolmahdi_ut/" TargetMode="External"/><Relationship Id="rId559" Type="http://schemas.openxmlformats.org/officeDocument/2006/relationships/hyperlink" Target="https://l.instagram.com/?u=https%3A%2F%2Ft.me%2Fheyatearbab%3Futm_source%3Dig%26utm_medium%3Dsocial%26utm_content%3Dlink_in_bio%26fbclid%3DPAZXh0bgNhZW0CMTEAc3J0YwZhcHBfaWQMMjU2MjgxMDQwNTU4AAGnu4QCvE3188XE3L4xQYyf6Esc_16pGCWGsoBzzYU6Pr1kA69OVxZujfPTuGQ_aem_O2BeD7IEwI5D-iRgo5qCvg&amp;e=AT3jkX8LpelWpZxw2OrC86QpFR2S94pFwZzocQbEa7DeeCSCrYv1w0cSVxz8FhbJ3z3WHqJScXElgQ60i9guilsP3RXbP3XcH5gclPtyRA" TargetMode="External"/><Relationship Id="rId550" Type="http://schemas.openxmlformats.org/officeDocument/2006/relationships/hyperlink" Target="https://t.me/Beytozzahra_abouzar17" TargetMode="External"/><Relationship Id="rId554" Type="http://schemas.openxmlformats.org/officeDocument/2006/relationships/hyperlink" Target="https://l.instagram.com/?u=https%3A%2F%2Ft.me%2Fqatilalabaraat%3Futm_source%3Dig%26utm_medium%3Dsocial%26utm_content%3Dlink_in_bio%26fbclid%3DPAZXh0bgNhZW0CMTEAc3J0YwZhcHBfaWQMMjU2MjgxMDQwNTU4AAGnVaKtbOChM3xKj9UhNlYRcWth3iPyHEue66guo5kJKCpWTOER8M1mnHm-STk_aem_d-AwHW4Zvt-qzsEB-i1HpA&amp;e=AT2Bfb0TWKWqe-eTH3gIHMHqd7ONIxh-L6Tkf_VNZO6DVrkOYmNGNW59zSP0ZRH0n2i7SnrRm4epI3hk-OSBFMyGUeRQmPRnwdYNASeyDA" TargetMode="External"/><Relationship Id="rId553" Type="http://schemas.openxmlformats.org/officeDocument/2006/relationships/hyperlink" Target="https://www.instagram.com/qaatil_info/" TargetMode="External"/><Relationship Id="rId552" Type="http://schemas.openxmlformats.org/officeDocument/2006/relationships/hyperlink" Target="https://eitaa.com/masjedsafa" TargetMode="External"/><Relationship Id="rId551" Type="http://schemas.openxmlformats.org/officeDocument/2006/relationships/hyperlink" Target="https://www.instagram.com/heyataghile/" TargetMode="External"/><Relationship Id="rId495" Type="http://schemas.openxmlformats.org/officeDocument/2006/relationships/hyperlink" Target="https://www.instagram.com/jannat_alhosein/" TargetMode="External"/><Relationship Id="rId494" Type="http://schemas.openxmlformats.org/officeDocument/2006/relationships/hyperlink" Target="https://eitaa.com/nooravin" TargetMode="External"/><Relationship Id="rId493" Type="http://schemas.openxmlformats.org/officeDocument/2006/relationships/hyperlink" Target="https://t.me/hazratzahraiaumarkaz" TargetMode="External"/><Relationship Id="rId492" Type="http://schemas.openxmlformats.org/officeDocument/2006/relationships/hyperlink" Target="https://www.instagram.com/heyatealzahra_ir/" TargetMode="External"/><Relationship Id="rId499" Type="http://schemas.openxmlformats.org/officeDocument/2006/relationships/hyperlink" Target="https://t.me/mohebanalreza_bot" TargetMode="External"/><Relationship Id="rId498" Type="http://schemas.openxmlformats.org/officeDocument/2006/relationships/hyperlink" Target="https://www.instagram.com/aleyasin_tehran/" TargetMode="External"/><Relationship Id="rId497" Type="http://schemas.openxmlformats.org/officeDocument/2006/relationships/hyperlink" Target="https://www.instagram.com/ansar_alreza1383/" TargetMode="External"/><Relationship Id="rId496" Type="http://schemas.openxmlformats.org/officeDocument/2006/relationships/hyperlink" Target="https://l.instagram.com/?u=http%3A%2F%2Ft.me%2Fjannat_alhosain%3Futm_source%3Dig%26utm_medium%3Dsocial%26utm_content%3Dlink_in_bio%26fbclid%3DPAZXh0bgNhZW0CMTEAc3J0YwZhcHBfaWQMMjU2MjgxMDQwNTU4AAGn3Z1QnJdqaldaSaM-Yj1TUsvruPzviil0EO3quzkma6czT2lyhUupOm3Mr_0_aem_f0dO8BMNOYzTNPyq7PPH3Q&amp;e=AT250QWSb_mINuKeqjmnAXvrAQxEILgfOVTxQcnp_MER2CuGakI6sSwCWElL-RNGrKcr7_FtaTYa5EADaWa4dPTEITfPsuj2lDUJ3OHHvw" TargetMode="External"/><Relationship Id="rId409" Type="http://schemas.openxmlformats.org/officeDocument/2006/relationships/hyperlink" Target="https://www.instagram.com/hm14masum/" TargetMode="External"/><Relationship Id="rId404" Type="http://schemas.openxmlformats.org/officeDocument/2006/relationships/hyperlink" Target="https://www.instagram.com/maktabolzahradoolab/" TargetMode="External"/><Relationship Id="rId403" Type="http://schemas.openxmlformats.org/officeDocument/2006/relationships/hyperlink" Target="https://www.instagram.com/khademin88/" TargetMode="External"/><Relationship Id="rId402" Type="http://schemas.openxmlformats.org/officeDocument/2006/relationships/hyperlink" Target="https://www.instagram.com/heyatjavanan.aliakbar/" TargetMode="External"/><Relationship Id="rId401" Type="http://schemas.openxmlformats.org/officeDocument/2006/relationships/hyperlink" Target="https://l.instagram.com/?u=https%3A%2F%2Ft.me%2Fansar_ol_Hossein%3Futm_source%3Dig%26utm_medium%3Dsocial%26utm_content%3Dlink_in_bio%26fbclid%3DPAZXh0bgNhZW0CMTEAc3J0YwZhcHBfaWQMMjU2MjgxMDQwNTU4AAGnfEbh-L5PDQwMBRRecKN-v1XdtWCRiV_FHU_NqA0VN4JVuOKP8_37Oz03dVQ_aem_iPL7QInF7B5IFKX28MRkjA&amp;e=AT07GMhc_L-LK9vdLu-UYBwTnESRm4n2ga9aM83x5fxFTfNC4ew69bHgRtMUvu1NkGEdrHDTmvj5_p3pFk7lrc0LePQhSHHYeyhskSELrw" TargetMode="External"/><Relationship Id="rId408" Type="http://schemas.openxmlformats.org/officeDocument/2006/relationships/hyperlink" Target="https://www.instagram.com/heiat_mohsenozahra/" TargetMode="External"/><Relationship Id="rId407" Type="http://schemas.openxmlformats.org/officeDocument/2006/relationships/hyperlink" Target="https://eitaa.com/Sedighe_info" TargetMode="External"/><Relationship Id="rId406" Type="http://schemas.openxmlformats.org/officeDocument/2006/relationships/hyperlink" Target="https://www.instagram.com/heiatefatemi/" TargetMode="External"/><Relationship Id="rId405" Type="http://schemas.openxmlformats.org/officeDocument/2006/relationships/hyperlink" Target="https://l.instagram.com/?u=https%3A%2F%2Ft.me%2Fmaktabolzahradoolab%3Futm_source%3Dig%26utm_medium%3Dsocial%26utm_content%3Dlink_in_bio%26fbclid%3DPAZXh0bgNhZW0CMTEAc3J0YwZhcHBfaWQMMjU2MjgxMDQwNTU4AAGnYtBfxdjo0gxTC9QvuP3cHCUZU-_jfXW2ImAPzmPN7K5lsFC2LN8lNC0whEE_aem_23N3rl5a3W8GGfwjg0PiYQ&amp;e=AT2IFte1J1GfElgNcAcClxPmTOTf0D9Ay8KpxQaXUzQiwEHBJj1jd7aZzLnFyvY-klajj0PAk-lAK01lP24stbkTfuPf2iPBc-jQ1_yNdg" TargetMode="External"/><Relationship Id="rId400" Type="http://schemas.openxmlformats.org/officeDocument/2006/relationships/hyperlink" Target="https://www.instagram.com/ansarolhossein13/" TargetMode="External"/><Relationship Id="rId469" Type="http://schemas.openxmlformats.org/officeDocument/2006/relationships/hyperlink" Target="https://www.instagram.com/heyate_mohebane_ali_asghar/" TargetMode="External"/><Relationship Id="rId468" Type="http://schemas.openxmlformats.org/officeDocument/2006/relationships/hyperlink" Target="https://www.instagram.com/heiate.khademin/" TargetMode="External"/><Relationship Id="rId467" Type="http://schemas.openxmlformats.org/officeDocument/2006/relationships/hyperlink" Target="https://l.instagram.com/?u=http%3A%2F%2Ftlgrm.me%2Ffatemiun313%3Futm_source%3Dig%26utm_medium%3Dsocial%26utm_content%3Dlink_in_bio%26fbclid%3DPAZXh0bgNhZW0CMTEAc3J0YwZhcHBfaWQMMjU2MjgxMDQwNTU4AAGn_fb_Uaiats_kv8eCDj3sDQHKNvbDs2hAPlBbKCpq_OeJ_ukHpNZah6DbNmc_aem_713MhgV3XUxt3Z09aZkmlA&amp;e=AT1gvV2t3g5-2sV7jgQ0xTuEkyPhV8-KEu9AVofLIpJ_AcHyhmHnhKVeZTXKw4QGdsFTx3mU_Mps5CEwUgFox0yBjLmKzY3O2n9uFyDmhA" TargetMode="External"/><Relationship Id="rId462" Type="http://schemas.openxmlformats.org/officeDocument/2006/relationships/hyperlink" Target="https://www.instagram.com/heiat_mohebban_hossein/" TargetMode="External"/><Relationship Id="rId461" Type="http://schemas.openxmlformats.org/officeDocument/2006/relationships/hyperlink" Target="https://www.instagram.com/hosiniezanjaniha/" TargetMode="External"/><Relationship Id="rId460" Type="http://schemas.openxmlformats.org/officeDocument/2006/relationships/hyperlink" Target="https://l.instagram.com/?u=http%3A%2F%2Ftle.me%2Fpanjtanbakhshayesh%3Futm_source%3Dig%26utm_medium%3Dsocial%26utm_content%3Dlink_in_bio%26fbclid%3DPAZXh0bgNhZW0CMTEAc3J0YwZhcHBfaWQMMjU2MjgxMDQwNTU4AAGn3PPyGc43pOwAvDmIyuKBpbW8FUXQrExm1o4GR45VRishM-CyJs1mFWEauzY_aem_Xi_AzPIhr6yrJEg0bnQa7Q&amp;e=AT03X2qZVDoBxSnb7FFazvEDKldPsL2UKbWzsJoqb79CER1hHxnv0x-xEJ4p8yirKaWy05O5kVFBWWPuJ3CBZ8DzpL6LXeu0lZqaJwznvw" TargetMode="External"/><Relationship Id="rId466" Type="http://schemas.openxmlformats.org/officeDocument/2006/relationships/hyperlink" Target="https://www.instagram.com/zfgvhvhbj/" TargetMode="External"/><Relationship Id="rId465" Type="http://schemas.openxmlformats.org/officeDocument/2006/relationships/hyperlink" Target="https://www.instagram.com/heyat.aba.abdelah/" TargetMode="External"/><Relationship Id="rId464" Type="http://schemas.openxmlformats.org/officeDocument/2006/relationships/hyperlink" Target="https://www.instagram.com/heyatjavanangamarbanihashm/" TargetMode="External"/><Relationship Id="rId463" Type="http://schemas.openxmlformats.org/officeDocument/2006/relationships/hyperlink" Target="https://l.instagram.com/?u=https%3A%2F%2Ft.me%2Fmohebbanelhossein%3Futm_source%3Dig%26utm_medium%3Dsocial%26utm_content%3Dlink_in_bio%26fbclid%3DPAZXh0bgNhZW0CMTEAc3J0YwZhcHBfaWQMMjU2MjgxMDQwNTU4AAGnw_PwtOhJ6jMV340MwSnnUZ7N2Ql9kJHBPtDA8AtU0mkgPbZ-aKNIkPdLIwU_aem_BDt6nxOuwx84xpAbBD-s_Q&amp;e=AT0_dcedEmX-VwtqVp9_SC0U_2FOEhqvv_OUPP7do3ZUanPl9bjysaCP08hxSWKx5xP-ERTO_sNblypB6cHGOvHluecvE7TKuADZV9KcGQ" TargetMode="External"/><Relationship Id="rId459" Type="http://schemas.openxmlformats.org/officeDocument/2006/relationships/hyperlink" Target="https://www.instagram.com/panjtanbakhshayesh/" TargetMode="External"/><Relationship Id="rId458" Type="http://schemas.openxmlformats.org/officeDocument/2006/relationships/hyperlink" Target="https://eitaa.com/varesanesarallah" TargetMode="External"/><Relationship Id="rId457" Type="http://schemas.openxmlformats.org/officeDocument/2006/relationships/hyperlink" Target="https://l.instagram.com/?u=https%3A%2F%2Ft.me%2Fsaralah18%3Futm_source%3Dig%26utm_medium%3Dsocial%26utm_content%3Dlink_in_bio%26fbclid%3DPAZXh0bgNhZW0CMTEAc3J0YwZhcHBfaWQMMjU2MjgxMDQwNTU4AAGniCSLo-HAQZS8zevj3BcuxrkJUblD9cOVcO_1NXEC076dAaMeOG0Dux7tXmo_aem_3fLWbZWgrXWgTlJ-75eIlg&amp;e=AT0ovX9YoVPA23ArFB8X4fy7wWCjR39ebRO-KxhedVGbyjwmMonJVdFAo1baFMI00dY-Be7ns9VSg-bT5TGZYpRbbQA7huNCE3LtbXjOoQ" TargetMode="External"/><Relationship Id="rId456" Type="http://schemas.openxmlformats.org/officeDocument/2006/relationships/hyperlink" Target="https://www.instagram.com/saralah18/" TargetMode="External"/><Relationship Id="rId451" Type="http://schemas.openxmlformats.org/officeDocument/2006/relationships/hyperlink" Target="https://l.instagram.com/?u=https%3A%2F%2Ft.me%2FHHAAA1370%3Futm_source%3Dig%26utm_medium%3Dsocial%26utm_content%3Dlink_in_bio%26fbclid%3DPAZXh0bgNhZW0CMTEAc3J0YwZhcHBfaWQMMjU2MjgxMDQwNTU4AAGnN5AuQzORSs6FwXZjST96Xm-mqEUeAXikEvE6Li0YGGETGyQGd73UsSmGN1I_aem_5eUQHE0Duqhm2sLUwp72xw&amp;e=AT2JfVJbif1tp6D5az6EgJpZjmVf3cOY1WfkG8do5JCa50ydpEZo7J6GDxZzg8IcNYQXfaA79VZQiqRH_MIJksz546sFeE-zH1Y5JiMoPQ" TargetMode="External"/><Relationship Id="rId450" Type="http://schemas.openxmlformats.org/officeDocument/2006/relationships/hyperlink" Target="https://www.instagram.com/hhaa1370_/" TargetMode="External"/><Relationship Id="rId455" Type="http://schemas.openxmlformats.org/officeDocument/2006/relationships/hyperlink" Target="https://www.instagram.com/shohada_1349/" TargetMode="External"/><Relationship Id="rId454" Type="http://schemas.openxmlformats.org/officeDocument/2006/relationships/hyperlink" Target="https://www.instagram.com/beytolhadi_128/" TargetMode="External"/><Relationship Id="rId453" Type="http://schemas.openxmlformats.org/officeDocument/2006/relationships/hyperlink" Target="https://www.instagram.com/hrm_shohada2/" TargetMode="External"/><Relationship Id="rId452" Type="http://schemas.openxmlformats.org/officeDocument/2006/relationships/hyperlink" Target="https://www.instagram.com/mokab_alzahra/" TargetMode="External"/><Relationship Id="rId491" Type="http://schemas.openxmlformats.org/officeDocument/2006/relationships/hyperlink" Target="https://l.instagram.com/?u=http%3A%2F%2Fheyat.sbu.ac.ir%2F%3Futm_source%3Dig%26utm_medium%3Dsocial%26utm_content%3Dlink_in_bio%26fbclid%3DPAZXh0bgNhZW0CMTEAc3J0YwZhcHBfaWQMMjU2MjgxMDQwNTU4AAGn-_D4qS4-LwfxUa9dBqlUqGyvbpXqnTjh8L40CMBF2PyOH6KiHOMETBffVP4_aem_oisWX0rw1xW1_Aqcqh0Pog&amp;e=AT3wTfg9XWYmvL26ztIdqWAhQwKPsWKxCQidmlSUbFwoqEAObuvvsYoExU4IbByt1EjsKwGBbX4It6xc1CAzz1UL07H-yEey3cJXbac6pw" TargetMode="External"/><Relationship Id="rId490" Type="http://schemas.openxmlformats.org/officeDocument/2006/relationships/hyperlink" Target="https://www.instagram.com/heiatefatemion/" TargetMode="External"/><Relationship Id="rId489" Type="http://schemas.openxmlformats.org/officeDocument/2006/relationships/hyperlink" Target="https://soore.ac.ir/" TargetMode="External"/><Relationship Id="rId484" Type="http://schemas.openxmlformats.org/officeDocument/2006/relationships/hyperlink" Target="https://www.instagram.com/avsh_ir/" TargetMode="External"/><Relationship Id="rId483" Type="http://schemas.openxmlformats.org/officeDocument/2006/relationships/hyperlink" Target="https://t.me/haidarieh" TargetMode="External"/><Relationship Id="rId482" Type="http://schemas.openxmlformats.org/officeDocument/2006/relationships/hyperlink" Target="https://www.instagram.com/haidarieh/" TargetMode="External"/><Relationship Id="rId481" Type="http://schemas.openxmlformats.org/officeDocument/2006/relationships/hyperlink" Target="https://www.instagram.com/heyat_javanan_atabak15/" TargetMode="External"/><Relationship Id="rId488" Type="http://schemas.openxmlformats.org/officeDocument/2006/relationships/hyperlink" Target="https://eitaa.com/soore_IU" TargetMode="External"/><Relationship Id="rId487" Type="http://schemas.openxmlformats.org/officeDocument/2006/relationships/hyperlink" Target="https://www.instagram.com/soureh_iu/" TargetMode="External"/><Relationship Id="rId486" Type="http://schemas.openxmlformats.org/officeDocument/2006/relationships/hyperlink" Target="https://www.instagram.com/karbalaasalam/" TargetMode="External"/><Relationship Id="rId485" Type="http://schemas.openxmlformats.org/officeDocument/2006/relationships/hyperlink" Target="https://l.instagram.com/?u=https%3A%2F%2Feitaa.com%2Favsh_ir%3Futm_source%3Dig%26utm_medium%3Dsocial%26utm_content%3Dlink_in_bio%26fbclid%3DPAZXh0bgNhZW0CMTEAc3J0YwZhcHBfaWQMMjU2MjgxMDQwNTU4AAGnf2d4v0ERgeKw7NpyOtoAiTLUOpVfwN2Mn1Pjrd2OozjE1NdPnsuZ_u3djGQ_aem_7a-96EqnHPGlxBN1WkH9tg&amp;e=AT1dTrys9LebH7Zgrb8hrVkM03k79RhP99Gn3TOVnqfELn8rDs5SIAyoN3wzEJN7zO6goap92HCUR8s4WATSmlPFoA451NFjwVx3SDv0Ng" TargetMode="External"/><Relationship Id="rId480" Type="http://schemas.openxmlformats.org/officeDocument/2006/relationships/hyperlink" Target="https://www.instagram.com/bit_abas/" TargetMode="External"/><Relationship Id="rId479" Type="http://schemas.openxmlformats.org/officeDocument/2006/relationships/hyperlink" Target="https://www.instagram.com/sesalehir/" TargetMode="External"/><Relationship Id="rId478" Type="http://schemas.openxmlformats.org/officeDocument/2006/relationships/hyperlink" Target="https://l.instagram.com/?u=https%3A%2F%2Ft.me%2Fheyat_javanan_ansar%3Futm_source%3Dig%26utm_medium%3Dsocial%26utm_content%3Dlink_in_bio%26fbclid%3DPAZXh0bgNhZW0CMTEAc3J0YwZhcHBfaWQMMjU2MjgxMDQwNTU4AAGnoGkN2a_8YSM-mj2QZljKKUaHbMaUFMBRnovqh42cdt9pbnzR_ZKI1lBAo88_aem_qb7HSzF5sWmR7tUhnmb53A&amp;e=AT1l4buvXhmNFAPly6IfwvqdJaViDY3_1Nc2BMAQydsp--nerHYpDG9j2gqh0bNORJsouOn6Uu6JYY_ZDqO2HtQHvzRCE5OiyUkfZEahxg" TargetMode="External"/><Relationship Id="rId473" Type="http://schemas.openxmlformats.org/officeDocument/2006/relationships/hyperlink" Target="https://www.instagram.com/mohebinaemeh_ir/" TargetMode="External"/><Relationship Id="rId472" Type="http://schemas.openxmlformats.org/officeDocument/2006/relationships/hyperlink" Target="https://www.instagram.com/mohebbanalaemeh/" TargetMode="External"/><Relationship Id="rId471" Type="http://schemas.openxmlformats.org/officeDocument/2006/relationships/hyperlink" Target="https://www.instagram.com/aliasghariha/" TargetMode="External"/><Relationship Id="rId470" Type="http://schemas.openxmlformats.org/officeDocument/2006/relationships/hyperlink" Target="https://l.instagram.com/?u=http%3A%2F%2Ftlgrm.me%2Fmohebanealiasghar71%3Futm_source%3Dig%26utm_medium%3Dsocial%26utm_content%3Dlink_in_bio%26fbclid%3DPAZXh0bgNhZW0CMTEAc3J0YwZhcHBfaWQMMjU2MjgxMDQwNTU4AAGnbVZsfkJv-2iM2IdCf6y38EvSAmIAC7LnsozFMRjOntZVVZ6yALgVAaK-25g_aem_9Xe9fOy3hG-fs0MmPr5HwQ&amp;e=AT1msUoxHqcT8IBwC7E00xYgPD1hH8MGSuGN-dzifv9XT8xMBm8-piaUfTOlLkXFGCmwkPUOYmR9xVZjmXPPAsKRa0WVZ2SUO49B5t63XA" TargetMode="External"/><Relationship Id="rId477" Type="http://schemas.openxmlformats.org/officeDocument/2006/relationships/hyperlink" Target="https://www.instagram.com/heyat_javanan_ansar/" TargetMode="External"/><Relationship Id="rId476" Type="http://schemas.openxmlformats.org/officeDocument/2006/relationships/hyperlink" Target="https://l.instagram.com/?u=http%3A%2F%2Ft.me%2F%40mohebanabbas%3Futm_source%3Dig%26utm_medium%3Dsocial%26utm_content%3Dlink_in_bio%26fbclid%3DPAZXh0bgNhZW0CMTEAc3J0YwZhcHBfaWQMMjU2MjgxMDQwNTU4AAGn8sO7XZhHQmpid12gKBBNcS1spZidfJ9_siJ-JKz71N2_pDRgputHgPrBD3E_aem_m8SO9KKQZhavFVRFIhb_IA&amp;e=AT3PhQ67GTH2XJ9wofBeNvbMVv6tAeh0AnfociCsvkoHToCR91_pFkMfL9L8OKBXRssaUUIEwh8HVX2dOo3-gbEgGKj-kX9shIjoqh2OmA" TargetMode="External"/><Relationship Id="rId475" Type="http://schemas.openxmlformats.org/officeDocument/2006/relationships/hyperlink" Target="https://www.instagram.com/moheban.abbas.1384/" TargetMode="External"/><Relationship Id="rId474" Type="http://schemas.openxmlformats.org/officeDocument/2006/relationships/hyperlink" Target="https://l.instagram.com/?u=https%3A%2F%2Ft.me%2FMohebbin_Alaeme%3Futm_source%3Dig%26utm_medium%3Dsocial%26utm_content%3Dlink_in_bio%26fbclid%3DPAZXh0bgNhZW0CMTEAc3J0YwZhcHBfaWQMMjU2MjgxMDQwNTU4AAGnVi98RK4QhJbTcSHtIuEaYGFVuN3a3uik7rTtu5tO45VNVewbKnigLtsY5rA_aem_mC6qS3pBsEj7-LTpqhhvrw&amp;e=AT00mgygRBu5-qU9QSUgddkXoWrg5tpucmdWgvckUWzHe5yrW7ZKjVzvXVTf8zVPUed0tCAw99iX1NS-ZABNVmJWBfmYfQmHfWTdv0k0IA" TargetMode="External"/><Relationship Id="rId426" Type="http://schemas.openxmlformats.org/officeDocument/2006/relationships/hyperlink" Target="https://www.instagram.com/moheban_ali/" TargetMode="External"/><Relationship Id="rId425" Type="http://schemas.openxmlformats.org/officeDocument/2006/relationships/hyperlink" Target="https://www.instagram.com/deldadeganroghaye/" TargetMode="External"/><Relationship Id="rId424" Type="http://schemas.openxmlformats.org/officeDocument/2006/relationships/hyperlink" Target="https://l.instagram.com/?u=http%3A%2F%2Ft.me%2Fheiat_emam_hasan%3Futm_source%3Dig%26utm_medium%3Dsocial%26utm_content%3Dlink_in_bio%26fbclid%3DPAZXh0bgNhZW0CMTEAc3J0YwZhcHBfaWQMMjU2MjgxMDQwNTU4AAGnfGhsM5Bx6kfSIndlExdzoysyEBrVFMes29oBGTvxky_i1vanM12pVx0iLlo_aem_2F_3W5hPIN4hdKTqyHlKSQ&amp;e=AT1aLuxWluZV1zEqy2Wf_31bAULGDK47HyGZ7jx5APsb151J3uLulvqkN8n6wHmquSXDp5mwWP9ly7sqgUCP_FLvlP3PiFEHvvjoLM7R2g" TargetMode="External"/><Relationship Id="rId423" Type="http://schemas.openxmlformats.org/officeDocument/2006/relationships/hyperlink" Target="https://www.instagram.com/emam_hasan18/" TargetMode="External"/><Relationship Id="rId429" Type="http://schemas.openxmlformats.org/officeDocument/2006/relationships/hyperlink" Target="https://www.instagram.com/beyt.olabas" TargetMode="External"/><Relationship Id="rId428" Type="http://schemas.openxmlformats.org/officeDocument/2006/relationships/hyperlink" Target="https://www.instagram.com/mhbfatematozahra/" TargetMode="External"/><Relationship Id="rId427" Type="http://schemas.openxmlformats.org/officeDocument/2006/relationships/hyperlink" Target="https://www.instagram.com/mohebban_rouhollah/" TargetMode="External"/><Relationship Id="rId422" Type="http://schemas.openxmlformats.org/officeDocument/2006/relationships/hyperlink" Target="https://l.instagram.com/?u=https%3A%2F%2Ft.me%2Fseyde_zeynab69%3Futm_source%3Dig%26utm_medium%3Dsocial%26utm_content%3Dlink_in_bio%26fbclid%3DPAZXh0bgNhZW0CMTEAc3J0YwZhcHBfaWQMMjU2MjgxMDQwNTU4AAGnl2fgQlumMIwaklFDdbeOQV4ptsNztYmxqIEMnqVGawUnfnqSWnLycTTANWA_aem_j99aLKrDHOGXsdqOKcY9rQ&amp;e=AT3TEvvD6xiPhsHNDJHzaUlQfAjk-vhKI1RE0Gu_mFk5eMNgPw4naP9DMnw5p1pb7KPxyxTSopMqOAb1g6dAAmOE_cJPWPdwjMaow9vSKQ" TargetMode="External"/><Relationship Id="rId421" Type="http://schemas.openxmlformats.org/officeDocument/2006/relationships/hyperlink" Target="https://www.instagram.com/seyde_zeynab69/" TargetMode="External"/><Relationship Id="rId420" Type="http://schemas.openxmlformats.org/officeDocument/2006/relationships/hyperlink" Target="https://eitaa.com/rroze_213" TargetMode="External"/><Relationship Id="rId415" Type="http://schemas.openxmlformats.org/officeDocument/2006/relationships/hyperlink" Target="https://www.instagram.com/asheghan.hossein133/" TargetMode="External"/><Relationship Id="rId414" Type="http://schemas.openxmlformats.org/officeDocument/2006/relationships/hyperlink" Target="https://www.instagram.com/jahadibeytolzahra/" TargetMode="External"/><Relationship Id="rId413" Type="http://schemas.openxmlformats.org/officeDocument/2006/relationships/hyperlink" Target="https://www.instagram.com/moheban_emam_mojta/" TargetMode="External"/><Relationship Id="rId412" Type="http://schemas.openxmlformats.org/officeDocument/2006/relationships/hyperlink" Target="https://www.instagram.com/moheban.yousefzahra/" TargetMode="External"/><Relationship Id="rId419" Type="http://schemas.openxmlformats.org/officeDocument/2006/relationships/hyperlink" Target="https://www.instagram.com/hanif.sch.ir/" TargetMode="External"/><Relationship Id="rId418" Type="http://schemas.openxmlformats.org/officeDocument/2006/relationships/hyperlink" Target="https://www.instagram.com/rezvanorg_ir/" TargetMode="External"/><Relationship Id="rId417" Type="http://schemas.openxmlformats.org/officeDocument/2006/relationships/hyperlink" Target="https://l.instagram.com/?u=http%3A%2F%2Ftlgrm.me%2Fansar_83%3Futm_source%3Dig%26utm_medium%3Dsocial%26utm_content%3Dlink_in_bio%26fbclid%3DPAZXh0bgNhZW0CMTEAc3J0YwZhcHBfaWQMMjU2MjgxMDQwNTU4AAGnMCBknRIZk3MQA1kNIalBIVVkx5FDe8e9Fe0QSsqrbrBt_UaPHgS4XhIoPdw_aem_9KreBZD4wjNTKLco0owcWg&amp;e=AT2MK1vrFYyeBOs8wgb07AuWPqx8CsVrduLIVNaWyJincc1hmZcBwGLpB6rqw5zsLl9wW1pldprLr2yCuz9v87k4xEWypczj5RNXvEgNOA" TargetMode="External"/><Relationship Id="rId416" Type="http://schemas.openxmlformats.org/officeDocument/2006/relationships/hyperlink" Target="https://www.instagram.com/ansar_83/" TargetMode="External"/><Relationship Id="rId411" Type="http://schemas.openxmlformats.org/officeDocument/2006/relationships/hyperlink" Target="https://l.instagram.com/?u=https%3A%2F%2Ft.me%2Feheyat_marasemat%3Futm_source%3Dig%26utm_medium%3Dsocial%26utm_content%3Dlink_in_bio%26fbclid%3DPAZXh0bgNhZW0CMTEAc3J0YwZhcHBfaWQMMjU2MjgxMDQwNTU4AAGnrDKe4OvrdmaBwNfw0Oc1LUAlKkshz_VrqMqXZvic4VB2kZRHHTlfISBwE8Y_aem_B5el1ngidywCm53KU-xsng&amp;e=AT2qLndw-cGNOdqlNil8OCMuO8cw5pi53HLduzDA61bxK9YKspqxz4XrnLs3J0FHB-kW5JbRQDN_-shypQPVP7RwGLJgESrP6RkzbEXZxA" TargetMode="External"/><Relationship Id="rId410" Type="http://schemas.openxmlformats.org/officeDocument/2006/relationships/hyperlink" Target="https://www.instagram.com/heyat_razmandegan_eslam/" TargetMode="External"/><Relationship Id="rId448" Type="http://schemas.openxmlformats.org/officeDocument/2006/relationships/hyperlink" Target="https://t.me/ghanatabad" TargetMode="External"/><Relationship Id="rId447" Type="http://schemas.openxmlformats.org/officeDocument/2006/relationships/hyperlink" Target="https://www.instagram.com/hoseinye_karegaran_kafash/" TargetMode="External"/><Relationship Id="rId446" Type="http://schemas.openxmlformats.org/officeDocument/2006/relationships/hyperlink" Target="https://www.instagram.com/heiatmbaa/" TargetMode="External"/><Relationship Id="rId445" Type="http://schemas.openxmlformats.org/officeDocument/2006/relationships/hyperlink" Target="https://l.instagram.com/?u=https%3A%2F%2Ftelegram.me%2Fkhazib%3Futm_source%3Dig%26utm_medium%3Dsocial%26utm_content%3Dlink_in_bio%26fbclid%3DPAZXh0bgNhZW0CMTEAc3J0YwZhcHBfaWQMMjU2MjgxMDQwNTU4AAGnG24icePVM2iwI8tYPz5wBtzsme9hgDn14FQYYXnxVja4-uJAjkWSIknxXKI_aem_YKZSsAyNQIQEcA_XzB0-EQ&amp;e=AT3A79K40b9hILTNkRimAddj6TdZ8tAO9Z2sU1ql_JhkWfdLrbGpAhoG4b_jMJn2Mm3VUGoYYb5zvl1k2Dr6xTjgQL3lp2CEaxv7gyat-A" TargetMode="External"/><Relationship Id="rId449" Type="http://schemas.openxmlformats.org/officeDocument/2006/relationships/hyperlink" Target="https://www.instagram.com/karbalaiha/" TargetMode="External"/><Relationship Id="rId440" Type="http://schemas.openxmlformats.org/officeDocument/2006/relationships/hyperlink" Target="https://www.instagram.com/raziolhosein/" TargetMode="External"/><Relationship Id="rId444" Type="http://schemas.openxmlformats.org/officeDocument/2006/relationships/hyperlink" Target="https://www.instagram.com/jannatol_hoseiin/" TargetMode="External"/><Relationship Id="rId443" Type="http://schemas.openxmlformats.org/officeDocument/2006/relationships/hyperlink" Target="https://eitaa.com/HeyateHazrateOmmulMasaeb" TargetMode="External"/><Relationship Id="rId442" Type="http://schemas.openxmlformats.org/officeDocument/2006/relationships/hyperlink" Target="https://www.instagram.com/beito_zeinab/" TargetMode="External"/><Relationship Id="rId441" Type="http://schemas.openxmlformats.org/officeDocument/2006/relationships/hyperlink" Target="https://www.instagram.com/mohebano_zahra_s/" TargetMode="External"/><Relationship Id="rId437" Type="http://schemas.openxmlformats.org/officeDocument/2006/relationships/hyperlink" Target="https://www.instagram.com/ashoraeiha/" TargetMode="External"/><Relationship Id="rId436" Type="http://schemas.openxmlformats.org/officeDocument/2006/relationships/hyperlink" Target="https://www.instagram.com/hoseinieh_hazrat_seyedoshohada/" TargetMode="External"/><Relationship Id="rId435" Type="http://schemas.openxmlformats.org/officeDocument/2006/relationships/hyperlink" Target="https://www.instagram.com/montazeranmedia/" TargetMode="External"/><Relationship Id="rId434" Type="http://schemas.openxmlformats.org/officeDocument/2006/relationships/hyperlink" Target="https://www.instagram.com/heat.mohebbanrogaey1387/" TargetMode="External"/><Relationship Id="rId439" Type="http://schemas.openxmlformats.org/officeDocument/2006/relationships/hyperlink" Target="https://www.instagram.com/rozatollah118/" TargetMode="External"/><Relationship Id="rId438" Type="http://schemas.openxmlformats.org/officeDocument/2006/relationships/hyperlink" Target="https://l.instagram.com/?u=http%3A%2F%2Feitaa.com%2Fashoraeiha%3Futm_source%3Dig%26utm_medium%3Dsocial%26utm_content%3Dlink_in_bio%26fbclid%3DPAZXh0bgNhZW0CMTEAc3J0YwZhcHBfaWQMMjU2MjgxMDQwNTU4AAGn7rUKT63CTVV4E20xLCgkp6Aeou_F3_QMuFVxvJA9_exkupEppmBGlsJKMZ4_aem_vYK3nLPtX_DoPFTFQeVGkA&amp;e=AT3kLAQ2C2inSrpfERkIaXGmeeHsrlA35frAXTeXzM1S-0_fQh1E722AmKxIQbrfjW1PXGckIeHxqo-EbBORDf4UWTHxB-JSuKjkfAcRvA" TargetMode="External"/><Relationship Id="rId433" Type="http://schemas.openxmlformats.org/officeDocument/2006/relationships/hyperlink" Target="https://www.instagram.com/ghaem1399/" TargetMode="External"/><Relationship Id="rId432" Type="http://schemas.openxmlformats.org/officeDocument/2006/relationships/hyperlink" Target="https://l.instagram.com/?u=https%3A%2F%2Ft.me%2Fmohebbanolabbas135%3Futm_source%3Dig%26utm_medium%3Dsocial%26utm_content%3Dlink_in_bio%26fbclid%3DPAZXh0bgNhZW0CMTEAc3J0YwZhcHBfaWQMMjU2MjgxMDQwNTU4AAGntK272gt0X_V64GgUMcCEunMOA8VRcQAGTjsUSKhGOuk7d9OYpyD8KzwGUWg_aem_jZifouaOknt2uNSfGBu5fg&amp;e=AT01P9iPD05x9O-tAH1mpLP08w37PPpHlpGcjmcQX3hpNXoUl6LQ_cBLiSMdXL_WsYztKmfaSgUcNxO3Rbv6br4Q4SSojeusMu82gJdQbg" TargetMode="External"/><Relationship Id="rId431" Type="http://schemas.openxmlformats.org/officeDocument/2006/relationships/hyperlink" Target="https://www.instagram.com/mohebbanolabbas135/" TargetMode="External"/><Relationship Id="rId430" Type="http://schemas.openxmlformats.org/officeDocument/2006/relationships/hyperlink" Target="https://l.instagram.com/?u=https%3A%2F%2Feitaa.com%2Fbeyt_olabas%3Futm_source%3Dig%26utm_medium%3Dsocial%26utm_content%3Dlink_in_bio%26fbclid%3DPAZXh0bgNhZW0CMTEAc3J0YwZhcHBfaWQMMjU2MjgxMDQwNTU4AAGnQs5tHQmnyw3LAee3cMqvQoiOXgiHVm0dwx3p9Wkhr_9gx8RfDLZ-UzJcMsw_aem_as2AeNsCypA8UuYqMiqGNg&amp;e=AT2egZzFPS_Zhp5WLTCPVBirovm6K2pCbNdQNw4hNpd_YEFMv8W2j08N0u-REqHD4gD_G8L-G3truIfU2uPNea-D5aEZ9Y5W2Uc1w39Inw" TargetMode="External"/><Relationship Id="rId1" Type="http://schemas.openxmlformats.org/officeDocument/2006/relationships/hyperlink" Target="https://www.instagram.com/javadolaemeh_ir/" TargetMode="External"/><Relationship Id="rId2" Type="http://schemas.openxmlformats.org/officeDocument/2006/relationships/hyperlink" Target="https://www.instagram.com/sajjadiye_eslamshahr/" TargetMode="External"/><Relationship Id="rId3" Type="http://schemas.openxmlformats.org/officeDocument/2006/relationships/hyperlink" Target="https://www.instagram.com/mokeb_alzahra/" TargetMode="External"/><Relationship Id="rId4" Type="http://schemas.openxmlformats.org/officeDocument/2006/relationships/hyperlink" Target="https://l.instagram.com/?u=http%3A%2F%2Ft.me%2Fmokeb_alzahra%3Futm_source%3Dig%26utm_medium%3Dsocial%26utm_content%3Dlink_in_bio%26fbclid%3DPAZXh0bgNhZW0CMTEAc3J0YwZhcHBfaWQMMjU2MjgxMDQwNTU4AAGngBQEzJl24luynFP3JW43b7LOCqNszz0a1mywxboD0pkJ-CB7sBXqCddZQ6s_aem_jpurc0ZusnOieb9v1EHV1A&amp;e=AT29IumQOgEsAHofyRaKX20m4n7k3wo5hVNHOyFrzOuePcLwgIsUBesycCv34AcBPUPC1S-dw6nGuggDBl8UbabjEBNDgrXKW274wwknuA" TargetMode="External"/><Relationship Id="rId9" Type="http://schemas.openxmlformats.org/officeDocument/2006/relationships/hyperlink" Target="https://www.instagram.com/zeynab_salam_olah_/" TargetMode="External"/><Relationship Id="rId5" Type="http://schemas.openxmlformats.org/officeDocument/2006/relationships/hyperlink" Target="https://www.instagram.com/mohebbanreza_ir/" TargetMode="External"/><Relationship Id="rId6" Type="http://schemas.openxmlformats.org/officeDocument/2006/relationships/hyperlink" Target="https://l.instagram.com/?u=http%3A%2F%2Ft.me%2F%40mohebbanreza_ir%3Futm_source%3Dig%26utm_medium%3Dsocial%26utm_content%3Dlink_in_bio%26fbclid%3DPAZXh0bgNhZW0CMTEAc3J0YwZhcHBfaWQMMjU2MjgxMDQwNTU4AAGneieWsEeHTu0tarqoodJ4r2BhIzys3wfhdSJ0Gt4HoYsGq5jB8II_ZPoWojw_aem_R9tjhGfWHPgLf0BOVryV0A&amp;e=AT1DpPkBAWyindQYkZLAzwABzT6z3lixb7nwdlVNiTYNSLBfZxgI0rDyTq3TD2cMN-b91w_Jbs-6RZFbtlzqFT-E4jj7M4vSttEQlpZF6w" TargetMode="External"/><Relationship Id="rId7" Type="http://schemas.openxmlformats.org/officeDocument/2006/relationships/hyperlink" Target="https://www.instagram.com/asheghaneabalfazll/" TargetMode="External"/><Relationship Id="rId8" Type="http://schemas.openxmlformats.org/officeDocument/2006/relationships/hyperlink" Target="https://l.instagram.com/?u=https%3A%2F%2Ft.me%2Fheyatasheghanabalfazll%3Futm_source%3Dig%26utm_medium%3Dsocial%26utm_content%3Dlink_in_bio%26fbclid%3DPAZXh0bgNhZW0CMTEAc3J0YwZhcHBfaWQMMjU2MjgxMDQwNTU4AAGnG0Qkp5pDas2Tahx157UbD1qf38Ounw5yuuUp14QVq78f5GajDGs50ZgRAjg_aem_o9xpZ3kq4YYt_dBGSMV1JA&amp;e=AT3VhZTOll4pXmTrIPSAzrntTzWktyDtX6wYEXpIH8LnPe0dS_vJlbvN7vFUTSBC3stohRZ4HQ-FYBAj1hDV2JILA9RJxudNIFvtTwlyIkW5ZUjAJgDc-4Vy_w" TargetMode="External"/><Relationship Id="rId808" Type="http://schemas.openxmlformats.org/officeDocument/2006/relationships/hyperlink" Target="https://t.me/heiatealamdar" TargetMode="External"/><Relationship Id="rId807" Type="http://schemas.openxmlformats.org/officeDocument/2006/relationships/hyperlink" Target="https://www.instagram.com/heiatealamdar/" TargetMode="External"/><Relationship Id="rId806" Type="http://schemas.openxmlformats.org/officeDocument/2006/relationships/hyperlink" Target="https://eitaa.com/mookkeb" TargetMode="External"/><Relationship Id="rId805" Type="http://schemas.openxmlformats.org/officeDocument/2006/relationships/hyperlink" Target="https://www.instagram.com/mokeb_olzahra315/" TargetMode="External"/><Relationship Id="rId809" Type="http://schemas.openxmlformats.org/officeDocument/2006/relationships/hyperlink" Target="https://www.instagram.com/beyt_ol_sadegh/" TargetMode="External"/><Relationship Id="rId800" Type="http://schemas.openxmlformats.org/officeDocument/2006/relationships/hyperlink" Target="https://www.instagram.com/asheghansarallah_tehran/" TargetMode="External"/><Relationship Id="rId804" Type="http://schemas.openxmlformats.org/officeDocument/2006/relationships/hyperlink" Target="https://eitaa.com/shababozahra" TargetMode="External"/><Relationship Id="rId803" Type="http://schemas.openxmlformats.org/officeDocument/2006/relationships/hyperlink" Target="https://l.instagram.com/?u=https%3A%2F%2Ft.me%2Fmaktabollhosein_rey%3Futm_source%3Dig%26utm_medium%3Dsocial%26utm_content%3Dlink_in_bio%26fbclid%3DPAZXh0bgNhZW0CMTEAc3J0YwZhcHBfaWQMMjU2MjgxMDQwNTU4AAGn_3Getn_pNLWNe1HTyYkDTdz8yM1f8SqZhljmQKaIlc7gJjTK_ViiPqEbCPk_aem_pe6-dQc9VpK5kgFAeo5wQA&amp;e=AT0O79gIP5EBN-HDlGt0qCITGd_Nm1T73pyIj8YUrgSW-H0txGfJ7sI_xj-8VJ2Fa6ncsWAlPG4rkcMReQKlwfitzS9XeWkjCJjUKfC76Q" TargetMode="External"/><Relationship Id="rId802" Type="http://schemas.openxmlformats.org/officeDocument/2006/relationships/hyperlink" Target="https://www.instagram.com/maktaboolhosein.media/" TargetMode="External"/><Relationship Id="rId801" Type="http://schemas.openxmlformats.org/officeDocument/2006/relationships/hyperlink" Target="https://l.instagram.com/?u=http%3A%2F%2Ft.me%2F%40ashegansarallah%3Futm_source%3Dig%26utm_medium%3Dsocial%26utm_content%3Dlink_in_bio%26fbclid%3DPAZXh0bgNhZW0CMTEAc3J0YwZhcHBfaWQMMjU2MjgxMDQwNTU4AAGnQLobj3rRFMEScVJaPqGvDAXkEz5NQivHGJVmERqfrXBMQRF56RKEWC3PTac_aem_LqlCNiOi_UjGZos39G-x_w&amp;e=AT1UBty_L1S2LTcPqLMwbL20mVFy8pEww4E5bGbL3SeDxh93QO-E9D2BPkZrrnmQ_bIqACorm0fhOjx28dceOwqi3qQWPQ65liW6ipWc-g" TargetMode="External"/><Relationship Id="rId1334" Type="http://schemas.openxmlformats.org/officeDocument/2006/relationships/hyperlink" Target="https://www.instagram.com/moheban_aliakbar/" TargetMode="External"/><Relationship Id="rId1335" Type="http://schemas.openxmlformats.org/officeDocument/2006/relationships/hyperlink" Target="https://t.me/mohebanAliakbar" TargetMode="External"/><Relationship Id="rId1336" Type="http://schemas.openxmlformats.org/officeDocument/2006/relationships/hyperlink" Target="https://www.instagram.com/mohebanolroghaye/" TargetMode="External"/><Relationship Id="rId1337" Type="http://schemas.openxmlformats.org/officeDocument/2006/relationships/hyperlink" Target="https://t.me/mohebane_roghaye_rey" TargetMode="External"/><Relationship Id="rId1338" Type="http://schemas.openxmlformats.org/officeDocument/2006/relationships/hyperlink" Target="https://www.instagram.com/mohebanoshohada/" TargetMode="External"/><Relationship Id="rId1339" Type="http://schemas.openxmlformats.org/officeDocument/2006/relationships/hyperlink" Target="https://t.me/mohebanoshohada" TargetMode="External"/><Relationship Id="rId745" Type="http://schemas.openxmlformats.org/officeDocument/2006/relationships/hyperlink" Target="https://www.instagram.com/rahrovan.aliakbar/" TargetMode="External"/><Relationship Id="rId744" Type="http://schemas.openxmlformats.org/officeDocument/2006/relationships/hyperlink" Target="https://l.instagram.com/?u=http%3A%2F%2Ft.me%2Fheyat_hobbolhosein%3Futm_source%3Dig%26utm_medium%3Dsocial%26utm_content%3Dlink_in_bio%26fbclid%3DPAZXh0bgNhZW0CMTEAc3J0YwZhcHBfaWQMMjU2MjgxMDQwNTU4AAGn7OfGpt5iOGzjlfc2OllVgs3ZRhEv1MGf09BX4jndOIuPLEGQ0sYVDRYmVWY_aem_zoLdVB6npUrY7k4ixBKkdA&amp;e=AT3bATAFV4wMLNEXWOUy9POKUa51KmpRihCp7Hexn-qWIfKsunK8Skl5qrVDpfaNESnPm8d5b7258vNLZDhr0_oHteuh8f41SSEqf5rYDoh_c9JRXaL3MIjpcw" TargetMode="External"/><Relationship Id="rId743" Type="http://schemas.openxmlformats.org/officeDocument/2006/relationships/hyperlink" Target="https://www.instagram.com/heyat_hobbolhosein/" TargetMode="External"/><Relationship Id="rId742" Type="http://schemas.openxmlformats.org/officeDocument/2006/relationships/hyperlink" Target="https://l.instagram.com/?u=http%3A%2F%2Ft.me%2Fhyate_hazrt_abolfazl%3Futm_source%3Dig%26utm_medium%3Dsocial%26utm_content%3Dlink_in_bio%26fbclid%3DPAZXh0bgNhZW0CMTEAc3J0YwZhcHBfaWQMMjU2MjgxMDQwNTU4AAGn8IFBlmLYu0xTg4zYv9SY92f85W-rpEbbCFG9SIy5sFq9zGToeih1-LSBiOE_aem_NLW-DtGyY-2GUessFl7Ssg&amp;e=AT3K_BDMeZj58MwolcCa2M38hJkY7yf-yW3Yry4bgsp__EHehNCBR5eaPbACVIltwCQudYOrJS5MYAizf8fsvOfN6xzUpqpHv-FpAhP5KQ" TargetMode="External"/><Relationship Id="rId749" Type="http://schemas.openxmlformats.org/officeDocument/2006/relationships/hyperlink" Target="https://eitaa.com/e_arbaeen" TargetMode="External"/><Relationship Id="rId748" Type="http://schemas.openxmlformats.org/officeDocument/2006/relationships/hyperlink" Target="http://instagram.com/hasaniyeh133/" TargetMode="External"/><Relationship Id="rId747" Type="http://schemas.openxmlformats.org/officeDocument/2006/relationships/hyperlink" Target="https://www.instagram.com/majmaolansar/" TargetMode="External"/><Relationship Id="rId746" Type="http://schemas.openxmlformats.org/officeDocument/2006/relationships/hyperlink" Target="https://l.instagram.com/?u=https%3A%2F%2Feitaa.com%2FRahrovanaliakbar%3Futm_source%3Dig%26utm_medium%3Dsocial%26utm_content%3Dlink_in_bio%26fbclid%3DPAZXh0bgNhZW0CMTEAc3J0YwZhcHBfaWQMMjU2MjgxMDQwNTU4AAGnBlpvM9z4OA2w2zdYnUGLuJdgVZcFZhBoGjSYqIdwsGQjNO6ATPMZRoTSDe0_aem_6exytrc-5pVoYTi2ni1EvQ&amp;e=AT3GGlCutr7H9vEpDkOwVYmvql8eCaDWqyMj4y2OZnwy0p09osQCZrJuWXVIIxTQg2GHwoOCS55JOJntk6NVuuW1U2Cm9Zsw4iQgM4yCew" TargetMode="External"/><Relationship Id="rId741" Type="http://schemas.openxmlformats.org/officeDocument/2006/relationships/hyperlink" Target="https://www.instagram.com/hyate.hazrt.abolfazl/" TargetMode="External"/><Relationship Id="rId1330" Type="http://schemas.openxmlformats.org/officeDocument/2006/relationships/hyperlink" Target="https://www.instagram.com/mazlomeh.ir/" TargetMode="External"/><Relationship Id="rId740" Type="http://schemas.openxmlformats.org/officeDocument/2006/relationships/hyperlink" Target="https://www.instagram.com/maktabalzahraut/" TargetMode="External"/><Relationship Id="rId1331" Type="http://schemas.openxmlformats.org/officeDocument/2006/relationships/hyperlink" Target="https://t.me/mazlomeh_ir" TargetMode="External"/><Relationship Id="rId1332" Type="http://schemas.openxmlformats.org/officeDocument/2006/relationships/hyperlink" Target="https://www.instagram.com/mesbaholhoda201/" TargetMode="External"/><Relationship Id="rId1333" Type="http://schemas.openxmlformats.org/officeDocument/2006/relationships/hyperlink" Target="https://t.me/mesbahi_am" TargetMode="External"/><Relationship Id="rId1323" Type="http://schemas.openxmlformats.org/officeDocument/2006/relationships/hyperlink" Target="https://t.me/maktab1357" TargetMode="External"/><Relationship Id="rId1324" Type="http://schemas.openxmlformats.org/officeDocument/2006/relationships/hyperlink" Target="https://www.instagram.com/oshagholhosein/" TargetMode="External"/><Relationship Id="rId1325" Type="http://schemas.openxmlformats.org/officeDocument/2006/relationships/hyperlink" Target="https://t.me/maktabeoshagholhosein" TargetMode="External"/><Relationship Id="rId1326" Type="http://schemas.openxmlformats.org/officeDocument/2006/relationships/hyperlink" Target="https://www.instagram.com/maktaborreza/" TargetMode="External"/><Relationship Id="rId1327" Type="http://schemas.openxmlformats.org/officeDocument/2006/relationships/hyperlink" Target="https://t.me/maktaborreza" TargetMode="External"/><Relationship Id="rId1328" Type="http://schemas.openxmlformats.org/officeDocument/2006/relationships/hyperlink" Target="https://www.instagram.com/roze_maolforat/" TargetMode="External"/><Relationship Id="rId1329" Type="http://schemas.openxmlformats.org/officeDocument/2006/relationships/hyperlink" Target="https://t.me/maolforat" TargetMode="External"/><Relationship Id="rId739" Type="http://schemas.openxmlformats.org/officeDocument/2006/relationships/hyperlink" Target="https://l.instagram.com/?u=http%3A%2F%2Ftlgrm.me%2Fsalarzeynab313%3Futm_source%3Dig%26utm_medium%3Dsocial%26utm_content%3Dlink_in_bio%26fbclid%3DPAZXh0bgNhZW0CMTEAc3J0YwZhcHBfaWQMMjU2MjgxMDQwNTU4AAGnNR2jjZYMbWVxfNPz89xiw_ML61HlVDmSwiWIwlCK115KflYWY945KVVxoEc_aem_2e5mssfe20dnlRWJ59O0Ng&amp;e=AT1piIMS1EKkYvdFziOtMHU8BJT4VHQdEwHHwpTugOeKXVLwjOtSkIRDB6WoLI0UH2Cv4DGlyqjgpPL1r6bGa8zCgp6lgRxKE9IEMW06FQ" TargetMode="External"/><Relationship Id="rId734" Type="http://schemas.openxmlformats.org/officeDocument/2006/relationships/hyperlink" Target="https://www.instagram.com/heydariye_gharbe_tehran/" TargetMode="External"/><Relationship Id="rId733" Type="http://schemas.openxmlformats.org/officeDocument/2006/relationships/hyperlink" Target="http://eitaa.com/heiatalyasin" TargetMode="External"/><Relationship Id="rId732" Type="http://schemas.openxmlformats.org/officeDocument/2006/relationships/hyperlink" Target="https://t.me/basij_masjed_imamsadiq" TargetMode="External"/><Relationship Id="rId731" Type="http://schemas.openxmlformats.org/officeDocument/2006/relationships/hyperlink" Target="https://www.instagram.com/heiat.alyasin/" TargetMode="External"/><Relationship Id="rId738" Type="http://schemas.openxmlformats.org/officeDocument/2006/relationships/hyperlink" Target="https://www.instagram.com/salarzeynab315/" TargetMode="External"/><Relationship Id="rId737" Type="http://schemas.openxmlformats.org/officeDocument/2006/relationships/hyperlink" Target="https://l.instagram.com/?u=http%3A%2F%2Ft.me%2Fbaniifatemeh%3Futm_source%3Dig%26utm_medium%3Dsocial%26utm_content%3Dlink_in_bio%26fbclid%3DPAZXh0bgNhZW0CMTEAc3J0YwZhcHBfaWQMMjU2MjgxMDQwNTU4AAGn1RG1mtRUEx6sLnDPFDN9OjDRS_8336-jes5uakDecLyMQ0xcBXIsV7H3-uk_aem_z8Y6Yk7J0LnCVVkuQtk70g&amp;e=AT0wUFWtBka9VwgT5n3pyFhJIq4FJIpso9BaPIlSZ7sAjHKrKKCilyBsUk2ffXLUkIPQEoFIR1Ms1szFOyTbgwqljyXHvyLWXuY2WqFaqA" TargetMode="External"/><Relationship Id="rId736" Type="http://schemas.openxmlformats.org/officeDocument/2006/relationships/hyperlink" Target="https://www.instagram.com/baniifatemeh.live/" TargetMode="External"/><Relationship Id="rId735" Type="http://schemas.openxmlformats.org/officeDocument/2006/relationships/hyperlink" Target="https://t.me/heydariyeh110" TargetMode="External"/><Relationship Id="rId730" Type="http://schemas.openxmlformats.org/officeDocument/2006/relationships/hyperlink" Target="https://www.instagram.com/yafatemattozahra/" TargetMode="External"/><Relationship Id="rId1320" Type="http://schemas.openxmlformats.org/officeDocument/2006/relationships/hyperlink" Target="https://www.instagram.com/maktab_mola_ali/" TargetMode="External"/><Relationship Id="rId1321" Type="http://schemas.openxmlformats.org/officeDocument/2006/relationships/hyperlink" Target="https://t.me/maktab_mola_ali" TargetMode="External"/><Relationship Id="rId1322" Type="http://schemas.openxmlformats.org/officeDocument/2006/relationships/hyperlink" Target="https://www.instagram.com/maktab1357/" TargetMode="External"/><Relationship Id="rId1356" Type="http://schemas.openxmlformats.org/officeDocument/2006/relationships/hyperlink" Target="https://www.instagram.com/mojolhasan/" TargetMode="External"/><Relationship Id="rId1357" Type="http://schemas.openxmlformats.org/officeDocument/2006/relationships/hyperlink" Target="https://t.me/mojolhasan" TargetMode="External"/><Relationship Id="rId1358" Type="http://schemas.openxmlformats.org/officeDocument/2006/relationships/hyperlink" Target="https://www.instagram.com/mokebalreza/" TargetMode="External"/><Relationship Id="rId1359" Type="http://schemas.openxmlformats.org/officeDocument/2006/relationships/hyperlink" Target="https://t.me/MOKEBALREZA" TargetMode="External"/><Relationship Id="rId767" Type="http://schemas.openxmlformats.org/officeDocument/2006/relationships/hyperlink" Target="https://www.instagram.com/hajmansourarzi?utm_source=ig_web_button_share_sheet&amp;igsh=ZDNlZDc0MzIxNw==" TargetMode="External"/><Relationship Id="rId766" Type="http://schemas.openxmlformats.org/officeDocument/2006/relationships/hyperlink" Target="https://eitaa.com/msagheb_ir" TargetMode="External"/><Relationship Id="rId765" Type="http://schemas.openxmlformats.org/officeDocument/2006/relationships/hyperlink" Target="https://eitaa.com/mirbaqeri_ir" TargetMode="External"/><Relationship Id="rId764" Type="http://schemas.openxmlformats.org/officeDocument/2006/relationships/hyperlink" Target="https://eitaa.com/roze_daftari" TargetMode="External"/><Relationship Id="rId769" Type="http://schemas.openxmlformats.org/officeDocument/2006/relationships/hyperlink" Target="https://eitaa.com/heyat_et" TargetMode="External"/><Relationship Id="rId768" Type="http://schemas.openxmlformats.org/officeDocument/2006/relationships/hyperlink" Target="https://eitaa.com/hajmansourarzi" TargetMode="External"/><Relationship Id="rId1350" Type="http://schemas.openxmlformats.org/officeDocument/2006/relationships/hyperlink" Target="https://www.instagram.com/mohjatolrasul/" TargetMode="External"/><Relationship Id="rId1351" Type="http://schemas.openxmlformats.org/officeDocument/2006/relationships/hyperlink" Target="https://t.me/mohjatolrasul" TargetMode="External"/><Relationship Id="rId763" Type="http://schemas.openxmlformats.org/officeDocument/2006/relationships/hyperlink" Target="https://eitaa.com/HajMahmoud_Karimi1" TargetMode="External"/><Relationship Id="rId1352" Type="http://schemas.openxmlformats.org/officeDocument/2006/relationships/hyperlink" Target="https://www.instagram.com/mohsenie_tehran/" TargetMode="External"/><Relationship Id="rId762" Type="http://schemas.openxmlformats.org/officeDocument/2006/relationships/hyperlink" Target="https://eitaa.com/HajMahmoud_Karimi" TargetMode="External"/><Relationship Id="rId1353" Type="http://schemas.openxmlformats.org/officeDocument/2006/relationships/hyperlink" Target="https://t.me/mohsenie_tehran" TargetMode="External"/><Relationship Id="rId761" Type="http://schemas.openxmlformats.org/officeDocument/2006/relationships/hyperlink" Target="https://eitaa.com/ostad_aali" TargetMode="External"/><Relationship Id="rId1354" Type="http://schemas.openxmlformats.org/officeDocument/2006/relationships/hyperlink" Target="https://www.instagram.com/mohsenie315/" TargetMode="External"/><Relationship Id="rId760" Type="http://schemas.openxmlformats.org/officeDocument/2006/relationships/hyperlink" Target="https://eitaa.com/rozekhanegee" TargetMode="External"/><Relationship Id="rId1355" Type="http://schemas.openxmlformats.org/officeDocument/2006/relationships/hyperlink" Target="https://t.me/mohsenie118" TargetMode="External"/><Relationship Id="rId1345" Type="http://schemas.openxmlformats.org/officeDocument/2006/relationships/hyperlink" Target="https://t.me/mohebbanehazratealiakbar" TargetMode="External"/><Relationship Id="rId1346" Type="http://schemas.openxmlformats.org/officeDocument/2006/relationships/hyperlink" Target="https://www.instagram.com/mohebbanghamar/" TargetMode="External"/><Relationship Id="rId1347" Type="http://schemas.openxmlformats.org/officeDocument/2006/relationships/hyperlink" Target="https://t.me/Mohebbanghamar" TargetMode="External"/><Relationship Id="rId1348" Type="http://schemas.openxmlformats.org/officeDocument/2006/relationships/hyperlink" Target="https://www.instagram.com/mohebbin110/" TargetMode="External"/><Relationship Id="rId1349" Type="http://schemas.openxmlformats.org/officeDocument/2006/relationships/hyperlink" Target="https://t.me/Mohebbin_110" TargetMode="External"/><Relationship Id="rId756" Type="http://schemas.openxmlformats.org/officeDocument/2006/relationships/hyperlink" Target="https://www.instagram.com/meysammotiee.official?utm_source=ig_web_button_share_sheet&amp;igsh=ZDNlZDc0MzIxNw==" TargetMode="External"/><Relationship Id="rId755" Type="http://schemas.openxmlformats.org/officeDocument/2006/relationships/hyperlink" Target="https://eitaa.com/sheykhramezani" TargetMode="External"/><Relationship Id="rId754" Type="http://schemas.openxmlformats.org/officeDocument/2006/relationships/hyperlink" Target="https://eitaa.com/kashani1395" TargetMode="External"/><Relationship Id="rId753" Type="http://schemas.openxmlformats.org/officeDocument/2006/relationships/hyperlink" Target="https://www.instagram.com/hamedkashani__?utm_source=ig_web_button_share_sheet&amp;igsh=ZDNlZDc0MzIxNw==" TargetMode="External"/><Relationship Id="rId759" Type="http://schemas.openxmlformats.org/officeDocument/2006/relationships/hyperlink" Target="https://eitaa.com/maddah_sho" TargetMode="External"/><Relationship Id="rId758" Type="http://schemas.openxmlformats.org/officeDocument/2006/relationships/hyperlink" Target="https://eitaa.com/panahian_mp3" TargetMode="External"/><Relationship Id="rId757" Type="http://schemas.openxmlformats.org/officeDocument/2006/relationships/hyperlink" Target="https://eitaa.com/MeysamMotiee" TargetMode="External"/><Relationship Id="rId1340" Type="http://schemas.openxmlformats.org/officeDocument/2006/relationships/hyperlink" Target="https://www.instagram.com/moheban._.fatemeh/" TargetMode="External"/><Relationship Id="rId752" Type="http://schemas.openxmlformats.org/officeDocument/2006/relationships/hyperlink" Target="https://l.instagram.com/?u=http%3A%2F%2Ft.me%2Faghilatolarab1%E2%80%8C%3Futm_source%3Dig%26utm_medium%3Dsocial%26utm_content%3Dlink_in_bio%26fbclid%3DPAZXh0bgNhZW0CMTEAc3J0YwZhcHBfaWQMMjU2MjgxMDQwNTU4AAGn1rQRFASLqFn3mZblrM7FzwAKtTuVdAMIe1Myjk0GvVqNT9n96pvtODGB1f0_aem_K_ftA9QllZwJt_5CURb8lQ&amp;e=AT1VIfgCX8Jlq6XwzRA8mZwLZ-xSEwLaOwOmdYX-dSqg1cM1ohzgChMEgB638aUvQDk_hFah5hxQcayYqN6Sceb4REZVgiANWpXt0xrUIA" TargetMode="External"/><Relationship Id="rId1341" Type="http://schemas.openxmlformats.org/officeDocument/2006/relationships/hyperlink" Target="https://t.me/mohebban_fatemeh" TargetMode="External"/><Relationship Id="rId751" Type="http://schemas.openxmlformats.org/officeDocument/2006/relationships/hyperlink" Target="https://www.instagram.com/aghilatolarab1/" TargetMode="External"/><Relationship Id="rId1342" Type="http://schemas.openxmlformats.org/officeDocument/2006/relationships/hyperlink" Target="https://www.instagram.com/mohebban_o_zahra/" TargetMode="External"/><Relationship Id="rId750" Type="http://schemas.openxmlformats.org/officeDocument/2006/relationships/hyperlink" Target="https://eitaa.com/moallatv3" TargetMode="External"/><Relationship Id="rId1343" Type="http://schemas.openxmlformats.org/officeDocument/2006/relationships/hyperlink" Target="https://t.me/mohebban_o_zahra" TargetMode="External"/><Relationship Id="rId1344" Type="http://schemas.openxmlformats.org/officeDocument/2006/relationships/hyperlink" Target="https://www.instagram.com/moheban.333/" TargetMode="External"/><Relationship Id="rId709" Type="http://schemas.openxmlformats.org/officeDocument/2006/relationships/hyperlink" Target="https://www.instagram.com/bharam.ir/" TargetMode="External"/><Relationship Id="rId708" Type="http://schemas.openxmlformats.org/officeDocument/2006/relationships/hyperlink" Target="https://www.instagram.com/azizamzeynab/" TargetMode="External"/><Relationship Id="rId707" Type="http://schemas.openxmlformats.org/officeDocument/2006/relationships/hyperlink" Target="https://instagram.com/masjedsaheb/" TargetMode="External"/><Relationship Id="rId706" Type="http://schemas.openxmlformats.org/officeDocument/2006/relationships/hyperlink" Target="https://l.instagram.com/?u=https%3A%2F%2Ft.me%2Fmasjedgondoghdi%3Futm_source%3Dig%26utm_medium%3Dsocial%26utm_content%3Dlink_in_bio%26fbclid%3DPAZXh0bgNhZW0CMTEAc3J0YwZhcHBfaWQMMjU2MjgxMDQwNTU4AAGnCPBhSgWalWEzfRXcbIkfSHkEizxhvfzlnOvVk1Pg8BBqjtIWJQ61kB8OWQs_aem_CAYHEdqgkpcDCHG_Dy584Q&amp;e=AT00r5rHVQS_UhgPU5E-wTs_DMoqiLWmJCDz2cahuFRSTNEhuw43TFCPq2UrMCK_UQjADN5ulFgf4KZcawI7JLrUUSDTjwH1yzcJBhI-Ag" TargetMode="External"/><Relationship Id="rId701" Type="http://schemas.openxmlformats.org/officeDocument/2006/relationships/hyperlink" Target="https://l.instagram.com/?u=http%3A%2F%2Ft.me%2Fmohebbanolreza%3Futm_source%3Dig%26utm_medium%3Dsocial%26utm_content%3Dlink_in_bio%26fbclid%3DPAZXh0bgNhZW0CMTEAc3J0YwZhcHBfaWQMMjU2MjgxMDQwNTU4AAGnEfHdRMODH-WUoKMvMeD9QifCJTmayVueq0OD3H8upf9gKxH8716Q0BE4T4s_aem_fX4WQkjXIPCz-KWDjVAYjQ&amp;e=AT0LdnPMs-01-_cIWX_3qJyNc5uE0Dw6wniPqhykDFlD-qgheKIwRRyAZn-pqCSS3ta6xWC4JlS5BbPXcQLKTTE94qf5sUgfGj3hpvby1w" TargetMode="External"/><Relationship Id="rId700" Type="http://schemas.openxmlformats.org/officeDocument/2006/relationships/hyperlink" Target="https://www.instagram.com/mohebbanolreza/" TargetMode="External"/><Relationship Id="rId705" Type="http://schemas.openxmlformats.org/officeDocument/2006/relationships/hyperlink" Target="https://www.instagram.com/hazrataboalfazl/" TargetMode="External"/><Relationship Id="rId704" Type="http://schemas.openxmlformats.org/officeDocument/2006/relationships/hyperlink" Target="https://l.instagram.com/?u=https%3A%2F%2Ft.me%2Fbeitalhosain%3Futm_source%3Dig%26utm_medium%3Dsocial%26utm_content%3Dlink_in_bio%26fbclid%3DPAZXh0bgNhZW0CMTEAc3J0YwZhcHBfaWQMMjU2MjgxMDQwNTU4AAGnJAbvMkK4zm5Hx3rDKmT3ueZy9nPhdxja1vh1eFFMphcCR6pyr0u5ifI3MD8_aem_HaR1LqKNrTl1QQkee9cskg&amp;e=AT3HAs9PdpF_kxxKZipk4FuVmIdi1xd0RIOPX5LdDbsAdjOMOcp1qccgGKBS_elUvbYOLZlbT1WbEKJ5pfFwpDCD4N2OLnwYot0YURt_9Q" TargetMode="External"/><Relationship Id="rId703" Type="http://schemas.openxmlformats.org/officeDocument/2006/relationships/hyperlink" Target="https://www.instagram.com/beitalhosain/" TargetMode="External"/><Relationship Id="rId702" Type="http://schemas.openxmlformats.org/officeDocument/2006/relationships/hyperlink" Target="https://www.instagram.com/beyragh.ir/" TargetMode="External"/><Relationship Id="rId1312" Type="http://schemas.openxmlformats.org/officeDocument/2006/relationships/hyperlink" Target="https://www.instagram.com/mahfel_fatemiun_tehran/" TargetMode="External"/><Relationship Id="rId1313" Type="http://schemas.openxmlformats.org/officeDocument/2006/relationships/hyperlink" Target="https://t.me/mahfel_fatemiun_tehran" TargetMode="External"/><Relationship Id="rId1314" Type="http://schemas.openxmlformats.org/officeDocument/2006/relationships/hyperlink" Target="https://www.instagram.com/mahfelashk205/" TargetMode="External"/><Relationship Id="rId1315" Type="http://schemas.openxmlformats.org/officeDocument/2006/relationships/hyperlink" Target="https://t.me/mahfelashk" TargetMode="External"/><Relationship Id="rId1316" Type="http://schemas.openxmlformats.org/officeDocument/2006/relationships/hyperlink" Target="https://www.instagram.com/mahfelroqaye/" TargetMode="External"/><Relationship Id="rId1317" Type="http://schemas.openxmlformats.org/officeDocument/2006/relationships/hyperlink" Target="https://t.me/mahfelroqaye" TargetMode="External"/><Relationship Id="rId1318" Type="http://schemas.openxmlformats.org/officeDocument/2006/relationships/hyperlink" Target="https://www.instagram.com/maktab_alhasan_118/" TargetMode="External"/><Relationship Id="rId1319" Type="http://schemas.openxmlformats.org/officeDocument/2006/relationships/hyperlink" Target="https://t.me/maktab_alhasan_118" TargetMode="External"/><Relationship Id="rId729" Type="http://schemas.openxmlformats.org/officeDocument/2006/relationships/hyperlink" Target="https://l.instagram.com/?u=https%3A%2F%2Ft.me%2FMahdiontehran%3Futm_source%3Dig%26utm_medium%3Dsocial%26utm_content%3Dlink_in_bio%26fbclid%3DPAZXh0bgNhZW0CMTEAc3J0YwZhcHBfaWQMMjU2MjgxMDQwNTU4AAGn2jhruxX6yu-28zE-qgQ6uqg88vpyA3iNzFnQRgEpGRwW0PcyVnx88J2b5_Q_aem_A_uOHkJXcRZBIN_sCMH9bg&amp;e=AT0y5CCpZwj4iD56JKam3kuyLeZpAi10cxsvg_ffj1Z3BAMjkwfUGE-jpxPWcwR0wzAJ1Uia8eQCsG6aZNVkKRou0TeZK6xXu_3EXgHbPA" TargetMode="External"/><Relationship Id="rId728" Type="http://schemas.openxmlformats.org/officeDocument/2006/relationships/hyperlink" Target="https://www.instagram.com/mahdiontehran/" TargetMode="External"/><Relationship Id="rId723" Type="http://schemas.openxmlformats.org/officeDocument/2006/relationships/hyperlink" Target="https://l.instagram.com/?u=http%3A%2F%2Ft.me%2Frayatol.abas%3Futm_source%3Dig%26utm_medium%3Dsocial%26utm_content%3Dlink_in_bio%26fbclid%3DPAZXh0bgNhZW0CMTEAc3J0YwZhcHBfaWQMMjU2MjgxMDQwNTU4AAGnewO4jcGeOP0Mj20wLbpk-cXcG5AEdtQMHA0eX4ASzMnJVqMk7WKw4iZgQb4_aem_Dxh5Yxid6q8e7tKi66-5mA&amp;e=AT3rReN2948bA7OeFBxna18RN4Qk85OE0KHskADGAOt8eLBQHfLixuizHDrbwG9KHbVtpvN4OzppaUzrlEnprvn8E_nPAVneQE4V4F9j9g" TargetMode="External"/><Relationship Id="rId722" Type="http://schemas.openxmlformats.org/officeDocument/2006/relationships/hyperlink" Target="https://www.instagram.com/rayatol.abas/" TargetMode="External"/><Relationship Id="rId721" Type="http://schemas.openxmlformats.org/officeDocument/2006/relationships/hyperlink" Target="https://l.instagram.com/?u=https%3A%2F%2Feitaa.com%2Fheiat_hazratealiasghr%3Futm_source%3Dig%26utm_medium%3Dsocial%26utm_content%3Dlink_in_bio%26fbclid%3DPAZXh0bgNhZW0CMTEAc3J0YwZhcHBfaWQMMjU2MjgxMDQwNTU4AAGnlHksjARLFgRPlNhLmT4nHMaNFcjP3sN3E_yr2d6i8inVuxI7UlKF2orH3ZY_aem_IQULAZLcXoQi7ifrVQs8pQ&amp;e=AT0-XkWpnPv8pQb_vx4A-zGTu6gyYKzDcEADpi9NTNWPZTSbSmBKbstLmqw_RitO27KmjmSFasnOFE9vm5hEqJnkkSNE9ul_M-x_NJTGjw" TargetMode="External"/><Relationship Id="rId720" Type="http://schemas.openxmlformats.org/officeDocument/2006/relationships/hyperlink" Target="https://www.instagram.com/heyat_hazratealiasghr/" TargetMode="External"/><Relationship Id="rId727" Type="http://schemas.openxmlformats.org/officeDocument/2006/relationships/hyperlink" Target="https://www.instagram.com/heiat_shohada/" TargetMode="External"/><Relationship Id="rId726" Type="http://schemas.openxmlformats.org/officeDocument/2006/relationships/hyperlink" Target="https://www.instagram.com/masjed_alhossein/" TargetMode="External"/><Relationship Id="rId725" Type="http://schemas.openxmlformats.org/officeDocument/2006/relationships/hyperlink" Target="https://l.instagram.com/?u=http%3A%2F%2Ftelegram.me%2Fmahmel169%3Futm_source%3Dig%26utm_medium%3Dsocial%26utm_content%3Dlink_in_bio%26fbclid%3DPAZXh0bgNhZW0CMTEAc3J0YwZhcHBfaWQMMjU2MjgxMDQwNTU4AAGn613cIA4TElcpTS_bjtA-k5RYjekhD1VuZtjASbHA3HJAir2QPWhJ6XZOEnQ_aem_PbQSoMdK3LxP_RbuDWzK9Q&amp;e=AT3dCxbEDs0VqkbWmEigxEDYFfc6RNkh8uQlI6WGgcfDN5QukNJgVjPcVnoM4lGjUDngT2_rGEU0_lnHCwqAJ8sagah__PyeGl4izhnZ1A" TargetMode="External"/><Relationship Id="rId724" Type="http://schemas.openxmlformats.org/officeDocument/2006/relationships/hyperlink" Target="https://www.instagram.com/mahmel69/" TargetMode="External"/><Relationship Id="rId1310" Type="http://schemas.openxmlformats.org/officeDocument/2006/relationships/hyperlink" Target="https://www.instagram.com/maajar_135/" TargetMode="External"/><Relationship Id="rId1311" Type="http://schemas.openxmlformats.org/officeDocument/2006/relationships/hyperlink" Target="https://t.me/maajar_channel" TargetMode="External"/><Relationship Id="rId1301" Type="http://schemas.openxmlformats.org/officeDocument/2006/relationships/hyperlink" Target="https://t.me/kharabeneshinaan315" TargetMode="External"/><Relationship Id="rId1302" Type="http://schemas.openxmlformats.org/officeDocument/2006/relationships/hyperlink" Target="https://www.instagram.com/kheime133/" TargetMode="External"/><Relationship Id="rId1303" Type="http://schemas.openxmlformats.org/officeDocument/2006/relationships/hyperlink" Target="https://t.me/kheime133" TargetMode="External"/><Relationship Id="rId1304" Type="http://schemas.openxmlformats.org/officeDocument/2006/relationships/hyperlink" Target="https://www.instagram.com/kheymatolroghaye/" TargetMode="External"/><Relationship Id="rId1305" Type="http://schemas.openxmlformats.org/officeDocument/2006/relationships/hyperlink" Target="https://t.me/kheymatolroghaye" TargetMode="External"/><Relationship Id="rId1306" Type="http://schemas.openxmlformats.org/officeDocument/2006/relationships/hyperlink" Target="https://www.instagram.com/leva_hosein/" TargetMode="External"/><Relationship Id="rId1307" Type="http://schemas.openxmlformats.org/officeDocument/2006/relationships/hyperlink" Target="https://t.me/leva_hosein" TargetMode="External"/><Relationship Id="rId1308" Type="http://schemas.openxmlformats.org/officeDocument/2006/relationships/hyperlink" Target="https://www.instagram.com/levaozzeynabetehran/" TargetMode="External"/><Relationship Id="rId1309" Type="http://schemas.openxmlformats.org/officeDocument/2006/relationships/hyperlink" Target="https://t.me/levaozzeynabetehran" TargetMode="External"/><Relationship Id="rId719" Type="http://schemas.openxmlformats.org/officeDocument/2006/relationships/hyperlink" Target="https://www.instagram.com/yasekabood2022/" TargetMode="External"/><Relationship Id="rId718" Type="http://schemas.openxmlformats.org/officeDocument/2006/relationships/hyperlink" Target="https://www.instagram.com/hosseinie_shohada/" TargetMode="External"/><Relationship Id="rId717" Type="http://schemas.openxmlformats.org/officeDocument/2006/relationships/hyperlink" Target="https://www.instagram.com/hoseinemontazeranalmahdi/" TargetMode="External"/><Relationship Id="rId712" Type="http://schemas.openxmlformats.org/officeDocument/2006/relationships/hyperlink" Target="https://l.instagram.com/?u=https%3A%2F%2Ft.me%2Fmohebbane_sadegh%3Futm_source%3Dig%26utm_medium%3Dsocial%26utm_content%3Dlink_in_bio%26fbclid%3DPAZXh0bgNhZW0CMTEAc3J0YwZhcHBfaWQMMjU2MjgxMDQwNTU4AAGneTe_ZBIStXIpr6CM3USv0iJmX4crlKweZv-j50FfmavanaJxXFoR8ymYmAw_aem_UKWlIWi2K1msvV1qzbc_MQ&amp;e=AT2ahz5B3t_lTZHL4hk9ZndhkkXuxIwE9Tk9tDyiPnEHasNSJn6Q4hq7lawuVjWvSudcsYqTJYaJP4-sp7FHkkg1Uz7ukquDAmFabnTH3Q" TargetMode="External"/><Relationship Id="rId711" Type="http://schemas.openxmlformats.org/officeDocument/2006/relationships/hyperlink" Target="https://www.instagram.com/sadeghioun.info/" TargetMode="External"/><Relationship Id="rId710" Type="http://schemas.openxmlformats.org/officeDocument/2006/relationships/hyperlink" Target="https://www.instagram.com/oshagh_almahdi_ekbatan/" TargetMode="External"/><Relationship Id="rId716" Type="http://schemas.openxmlformats.org/officeDocument/2006/relationships/hyperlink" Target="https://www.instagram.com/heyat_lesarat_alhosein/" TargetMode="External"/><Relationship Id="rId715" Type="http://schemas.openxmlformats.org/officeDocument/2006/relationships/hyperlink" Target="https://www.instagram.com/h.babalhavaej/" TargetMode="External"/><Relationship Id="rId714" Type="http://schemas.openxmlformats.org/officeDocument/2006/relationships/hyperlink" Target="https://l.instagram.com/?u=https%3A%2F%2Ftelegram.me%2Fbeytoolabas%3Futm_source%3Dig%26utm_medium%3Dsocial%26utm_content%3Dlink_in_bio%26fbclid%3DPAZXh0bgNhZW0CMTEAc3J0YwZhcHBfaWQMMjU2MjgxMDQwNTU4AAGnamr5_aiBqJKk1A1C_MMbXocqlYdVlAVixf8A5LCqvi0MFNcXP5doevd02bs_aem_jJT0fxZgEucFhA979Dv7XA&amp;e=AT2dx0zqFBJxiJQmv6JWONA59vsiEekf_UmpwRxbzKlj2ugeWMSv8jMMHj8kc0s6joRvyWVx6UMDsZFSnuRDVcqW7D5F-RsnFM7G9Mof0g" TargetMode="External"/><Relationship Id="rId713" Type="http://schemas.openxmlformats.org/officeDocument/2006/relationships/hyperlink" Target="https://www.instagram.com/beytolabas1/" TargetMode="External"/><Relationship Id="rId1300" Type="http://schemas.openxmlformats.org/officeDocument/2006/relationships/hyperlink" Target="https://www.instagram.com/kharabeneshinaan315/" TargetMode="External"/><Relationship Id="rId1378" Type="http://schemas.openxmlformats.org/officeDocument/2006/relationships/hyperlink" Target="https://t.me/nokarkhoune" TargetMode="External"/><Relationship Id="rId1379" Type="http://schemas.openxmlformats.org/officeDocument/2006/relationships/hyperlink" Target="https://www.instagram.com/noorolhoda_ya_reza_1001/" TargetMode="External"/><Relationship Id="rId789" Type="http://schemas.openxmlformats.org/officeDocument/2006/relationships/hyperlink" Target="https://www.instagram.com/alollah" TargetMode="External"/><Relationship Id="rId788" Type="http://schemas.openxmlformats.org/officeDocument/2006/relationships/hyperlink" Target="https://eitaa.com/narjesaneh_ir" TargetMode="External"/><Relationship Id="rId787" Type="http://schemas.openxmlformats.org/officeDocument/2006/relationships/hyperlink" Target="https://eitaa.com/masafmokeb" TargetMode="External"/><Relationship Id="rId786" Type="http://schemas.openxmlformats.org/officeDocument/2006/relationships/hyperlink" Target="https://eitaa.com/ashooraeeian" TargetMode="External"/><Relationship Id="rId781" Type="http://schemas.openxmlformats.org/officeDocument/2006/relationships/hyperlink" Target="https://eitaa.com/saghakhanih" TargetMode="External"/><Relationship Id="rId1370" Type="http://schemas.openxmlformats.org/officeDocument/2006/relationships/hyperlink" Target="https://t.me/moukebolhossein" TargetMode="External"/><Relationship Id="rId780" Type="http://schemas.openxmlformats.org/officeDocument/2006/relationships/hyperlink" Target="https://eitaa.com/nooralzahra5" TargetMode="External"/><Relationship Id="rId1371" Type="http://schemas.openxmlformats.org/officeDocument/2006/relationships/hyperlink" Target="https://www.instagram.com/movasi_info/" TargetMode="External"/><Relationship Id="rId1372" Type="http://schemas.openxmlformats.org/officeDocument/2006/relationships/hyperlink" Target="https://t.me/movasi_info" TargetMode="External"/><Relationship Id="rId1373" Type="http://schemas.openxmlformats.org/officeDocument/2006/relationships/hyperlink" Target="https://www.instagram.com/zoovarolhosein_ir/" TargetMode="External"/><Relationship Id="rId785" Type="http://schemas.openxmlformats.org/officeDocument/2006/relationships/hyperlink" Target="https://eitaa.com/Beyragheheyat" TargetMode="External"/><Relationship Id="rId1374" Type="http://schemas.openxmlformats.org/officeDocument/2006/relationships/hyperlink" Target="https://t.me/navayeroze69" TargetMode="External"/><Relationship Id="rId784" Type="http://schemas.openxmlformats.org/officeDocument/2006/relationships/hyperlink" Target="https://eitaa.com/hosenih_maghtal" TargetMode="External"/><Relationship Id="rId1375" Type="http://schemas.openxmlformats.org/officeDocument/2006/relationships/hyperlink" Target="https://www.instagram.com/nobavegan.ghanatabad/" TargetMode="External"/><Relationship Id="rId783" Type="http://schemas.openxmlformats.org/officeDocument/2006/relationships/hyperlink" Target="https://t.me/hosenih_maghtal" TargetMode="External"/><Relationship Id="rId1376" Type="http://schemas.openxmlformats.org/officeDocument/2006/relationships/hyperlink" Target="https://t.me/NobaveganGhanatAbad" TargetMode="External"/><Relationship Id="rId782" Type="http://schemas.openxmlformats.org/officeDocument/2006/relationships/hyperlink" Target="https://www.instagram.com/payegahe_hoseinieh_maghtal?utm_source=ig_web_button_share_sheet&amp;igsh=ZDNlZDc0MzIxNw==" TargetMode="External"/><Relationship Id="rId1377" Type="http://schemas.openxmlformats.org/officeDocument/2006/relationships/hyperlink" Target="https://www.instagram.com/nokar_khoneh/" TargetMode="External"/><Relationship Id="rId1367" Type="http://schemas.openxmlformats.org/officeDocument/2006/relationships/hyperlink" Target="https://www.instagram.com/motevasselin110/" TargetMode="External"/><Relationship Id="rId1368" Type="http://schemas.openxmlformats.org/officeDocument/2006/relationships/hyperlink" Target="https://t.me/motevasselin110" TargetMode="External"/><Relationship Id="rId1369" Type="http://schemas.openxmlformats.org/officeDocument/2006/relationships/hyperlink" Target="https://www.instagram.com/moukebolhossein/" TargetMode="External"/><Relationship Id="rId778" Type="http://schemas.openxmlformats.org/officeDocument/2006/relationships/hyperlink" Target="https://eitaa.com/hoseinie_hedayat" TargetMode="External"/><Relationship Id="rId777" Type="http://schemas.openxmlformats.org/officeDocument/2006/relationships/hyperlink" Target="https://eitaa.com/zovvaralzahra" TargetMode="External"/><Relationship Id="rId776" Type="http://schemas.openxmlformats.org/officeDocument/2006/relationships/hyperlink" Target="https://eitaa.com/ShereHeyat" TargetMode="External"/><Relationship Id="rId775" Type="http://schemas.openxmlformats.org/officeDocument/2006/relationships/hyperlink" Target="https://eitaa.com/mahfeltv3" TargetMode="External"/><Relationship Id="rId779" Type="http://schemas.openxmlformats.org/officeDocument/2006/relationships/hyperlink" Target="https://eitaa.com/heiatrqt" TargetMode="External"/><Relationship Id="rId770" Type="http://schemas.openxmlformats.org/officeDocument/2006/relationships/hyperlink" Target="https://eitaa.com/Tweet_Heyati" TargetMode="External"/><Relationship Id="rId1360" Type="http://schemas.openxmlformats.org/officeDocument/2006/relationships/hyperlink" Target="https://www.instagram.com/mokeb.info/" TargetMode="External"/><Relationship Id="rId1361" Type="http://schemas.openxmlformats.org/officeDocument/2006/relationships/hyperlink" Target="https://t.me/mokebinfo" TargetMode="External"/><Relationship Id="rId1362" Type="http://schemas.openxmlformats.org/officeDocument/2006/relationships/hyperlink" Target="https://mokeb.info/" TargetMode="External"/><Relationship Id="rId774" Type="http://schemas.openxmlformats.org/officeDocument/2006/relationships/hyperlink" Target="https://t.me/mahfeltv3" TargetMode="External"/><Relationship Id="rId1363" Type="http://schemas.openxmlformats.org/officeDocument/2006/relationships/hyperlink" Target="https://www.instagram.com/montazeran313/" TargetMode="External"/><Relationship Id="rId773" Type="http://schemas.openxmlformats.org/officeDocument/2006/relationships/hyperlink" Target="https://www.instagram.com/mahfeltv3?utm_source=ig_web_button_share_sheet&amp;igsh=ZDNlZDc0MzIxNw==" TargetMode="External"/><Relationship Id="rId1364" Type="http://schemas.openxmlformats.org/officeDocument/2006/relationships/hyperlink" Target="https://t.me/montazeran313_com" TargetMode="External"/><Relationship Id="rId772" Type="http://schemas.openxmlformats.org/officeDocument/2006/relationships/hyperlink" Target="https://eitaa.com/heyat_co" TargetMode="External"/><Relationship Id="rId1365" Type="http://schemas.openxmlformats.org/officeDocument/2006/relationships/hyperlink" Target="https://www.instagram.com/montazerin.ir/" TargetMode="External"/><Relationship Id="rId771" Type="http://schemas.openxmlformats.org/officeDocument/2006/relationships/hyperlink" Target="https://eitaa.com/hoseiniehseyedalshohada" TargetMode="External"/><Relationship Id="rId1366" Type="http://schemas.openxmlformats.org/officeDocument/2006/relationships/hyperlink" Target="https://t.me/montazerin" TargetMode="External"/><Relationship Id="rId1390" Type="http://schemas.openxmlformats.org/officeDocument/2006/relationships/hyperlink" Target="https://t.me/rayatalabbas_chizar" TargetMode="External"/><Relationship Id="rId1391" Type="http://schemas.openxmlformats.org/officeDocument/2006/relationships/hyperlink" Target="https://www.instagram.com/rayatolreza/" TargetMode="External"/><Relationship Id="rId1392" Type="http://schemas.openxmlformats.org/officeDocument/2006/relationships/hyperlink" Target="https://t.me/rayatolreza" TargetMode="External"/><Relationship Id="rId1393" Type="http://schemas.openxmlformats.org/officeDocument/2006/relationships/hyperlink" Target="https://www.instagram.com/reyhane.info" TargetMode="External"/><Relationship Id="rId1394" Type="http://schemas.openxmlformats.org/officeDocument/2006/relationships/hyperlink" Target="https://t.me/reyhane_channel" TargetMode="External"/><Relationship Id="rId1395" Type="http://schemas.openxmlformats.org/officeDocument/2006/relationships/hyperlink" Target="https://www.instagram.com/reyhaneh_al_hossein/" TargetMode="External"/><Relationship Id="rId1396" Type="http://schemas.openxmlformats.org/officeDocument/2006/relationships/hyperlink" Target="https://t.me/reyhaneh_al_hossein" TargetMode="External"/><Relationship Id="rId1397" Type="http://schemas.openxmlformats.org/officeDocument/2006/relationships/hyperlink" Target="https://www.instagram.com/robabiun.ir/" TargetMode="External"/><Relationship Id="rId1398" Type="http://schemas.openxmlformats.org/officeDocument/2006/relationships/hyperlink" Target="https://t.me/robabiiun" TargetMode="External"/><Relationship Id="rId1399" Type="http://schemas.openxmlformats.org/officeDocument/2006/relationships/hyperlink" Target="https://www.instagram.com/roghaayesadat/" TargetMode="External"/><Relationship Id="rId1389" Type="http://schemas.openxmlformats.org/officeDocument/2006/relationships/hyperlink" Target="https://www.instagram.com/rayatalabbas_chizar/" TargetMode="External"/><Relationship Id="rId799" Type="http://schemas.openxmlformats.org/officeDocument/2006/relationships/hyperlink" Target="https://l.instagram.com/?u=https%3A%2F%2Ft.me%2FH_khadame_ahlebeit%3Futm_source%3Dig%26utm_medium%3Dsocial%26utm_content%3Dlink_in_bio%26fbclid%3DPAZXh0bgNhZW0CMTEAc3J0YwZhcHBfaWQMMjU2MjgxMDQwNTU4AAGnyEpqdBAeF7e0KG-mDCAipeAkzaeo5Rn98IGOt98AVrRGewHCB7TyF9vdwQA_aem_OH6INivcSyZFeBee0gunzA&amp;e=AT2GUbS-2HA6ENwq3qMr-MrFNo7JgINDrLZiwfrth6cD4dK0QXBrmdBndvsmCA_ObnVUxTXbNImdCp3XW8qf_eShcAoko-Txk3P9oBnLWQ" TargetMode="External"/><Relationship Id="rId798" Type="http://schemas.openxmlformats.org/officeDocument/2006/relationships/hyperlink" Target="https://www.instagram.com/karbalaee_rey/" TargetMode="External"/><Relationship Id="rId797" Type="http://schemas.openxmlformats.org/officeDocument/2006/relationships/hyperlink" Target="https://www.instagram.com/psk_rey/" TargetMode="External"/><Relationship Id="rId1380" Type="http://schemas.openxmlformats.org/officeDocument/2006/relationships/hyperlink" Target="https://t.me/noorolhoda_yareza69" TargetMode="External"/><Relationship Id="rId792" Type="http://schemas.openxmlformats.org/officeDocument/2006/relationships/hyperlink" Target="https://mavaddatiha.ir/" TargetMode="External"/><Relationship Id="rId1381" Type="http://schemas.openxmlformats.org/officeDocument/2006/relationships/hyperlink" Target="https://www.instagram.com/omolmasaeb_net/" TargetMode="External"/><Relationship Id="rId791" Type="http://schemas.openxmlformats.org/officeDocument/2006/relationships/hyperlink" Target="https://eitaa.com/alollah_mavaddat" TargetMode="External"/><Relationship Id="rId1382" Type="http://schemas.openxmlformats.org/officeDocument/2006/relationships/hyperlink" Target="https://t.me/omolmasaeb_net" TargetMode="External"/><Relationship Id="rId790" Type="http://schemas.openxmlformats.org/officeDocument/2006/relationships/hyperlink" Target="https://t.me/alollah_mavaddat" TargetMode="External"/><Relationship Id="rId1383" Type="http://schemas.openxmlformats.org/officeDocument/2006/relationships/hyperlink" Target="https://www.instagram.com/oshagh_revagh313/" TargetMode="External"/><Relationship Id="rId1384" Type="http://schemas.openxmlformats.org/officeDocument/2006/relationships/hyperlink" Target="https://t.me/oshagh_revagh313" TargetMode="External"/><Relationship Id="rId796" Type="http://schemas.openxmlformats.org/officeDocument/2006/relationships/hyperlink" Target="https://www.instagram.com/j.ghamarebanihashem_133/" TargetMode="External"/><Relationship Id="rId1385" Type="http://schemas.openxmlformats.org/officeDocument/2006/relationships/hyperlink" Target="https://www.instagram.com/oshagh_heidar/" TargetMode="External"/><Relationship Id="rId795" Type="http://schemas.openxmlformats.org/officeDocument/2006/relationships/hyperlink" Target="https://www.instagram.com/tazieh_daranbabalhavaej/" TargetMode="External"/><Relationship Id="rId1386" Type="http://schemas.openxmlformats.org/officeDocument/2006/relationships/hyperlink" Target="https://t.me/oshaghalhydar" TargetMode="External"/><Relationship Id="rId794" Type="http://schemas.openxmlformats.org/officeDocument/2006/relationships/hyperlink" Target="https://www.instagram.com/rozatol_lahfan/" TargetMode="External"/><Relationship Id="rId1387" Type="http://schemas.openxmlformats.org/officeDocument/2006/relationships/hyperlink" Target="https://www.instagram.com/raasolhosein/" TargetMode="External"/><Relationship Id="rId793" Type="http://schemas.openxmlformats.org/officeDocument/2006/relationships/hyperlink" Target="https://eitaa.com/heyatmohebanvelayat" TargetMode="External"/><Relationship Id="rId1388" Type="http://schemas.openxmlformats.org/officeDocument/2006/relationships/hyperlink" Target="https://t.me/raasolhosein" TargetMode="External"/><Relationship Id="rId1455" Type="http://schemas.openxmlformats.org/officeDocument/2006/relationships/hyperlink" Target="https://www.instagram.com/maktab_al_zahra213/" TargetMode="External"/><Relationship Id="rId1456" Type="http://schemas.openxmlformats.org/officeDocument/2006/relationships/hyperlink" Target="https://www.instagram.com/maktab_al_zahra213/" TargetMode="External"/><Relationship Id="rId1457" Type="http://schemas.openxmlformats.org/officeDocument/2006/relationships/hyperlink" Target="https://www.instagram.com/heyat_alamdar_gharb_tehran/" TargetMode="External"/><Relationship Id="rId1458" Type="http://schemas.openxmlformats.org/officeDocument/2006/relationships/hyperlink" Target="https://www.instagram.com/heyat_ghamare_monir_banihashem/" TargetMode="External"/><Relationship Id="rId1459" Type="http://schemas.openxmlformats.org/officeDocument/2006/relationships/hyperlink" Target="https://www.instagram.com/heyate_mohammadie/" TargetMode="External"/><Relationship Id="rId629" Type="http://schemas.openxmlformats.org/officeDocument/2006/relationships/hyperlink" Target="https://www.instagram.com/roghayeh__sadat/" TargetMode="External"/><Relationship Id="rId624" Type="http://schemas.openxmlformats.org/officeDocument/2006/relationships/hyperlink" Target="https://l.instagram.com/?u=https%3A%2F%2Feitaa.com%2Fhabibtm%3Futm_source%3Dig%26utm_medium%3Dsocial%26utm_content%3Dlink_in_bio%26fbclid%3DPAZXh0bgNhZW0CMTEAc3J0YwZhcHBfaWQMMjU2MjgxMDQwNTU4AAGn3AyztT_OA1aL1X1B4Hjg8qb9DeBQ03rSO7Lws_wYwZnRYKKZPhjjXc2ax7I_aem_pE1tyhIPRfdI-IFWafuVdA&amp;e=AT3dZmi-Xt8eAumwQNLDOtBpD0J2BeowzRh0cFXDl7eiBua19IpHRPx1IZ61d6tiWnIIKzQVxkaIIBgNMC9N7XlcEWok4F61WV0vGbYB5g" TargetMode="External"/><Relationship Id="rId623" Type="http://schemas.openxmlformats.org/officeDocument/2006/relationships/hyperlink" Target="https://www.instagram.com/habibtm_/" TargetMode="External"/><Relationship Id="rId622" Type="http://schemas.openxmlformats.org/officeDocument/2006/relationships/hyperlink" Target="https://l.instagram.com/?u=http%3A%2F%2Ft.me%2Fjanat%3Futm_source%3Dig%26utm_medium%3Dsocial%26utm_content%3Dlink_in_bio%26fbclid%3DPAZXh0bgNhZW0CMTEAc3J0YwZhcHBfaWQMMjU2MjgxMDQwNTU4AAGnNYMMUMMdeYw4AHHtCBKP5rh_fJ7RsDS3OtpnWEcp-FK0aCbSoqdJSZhzI88_aem_hX1-HIt5A7uYCFcSaOPxkA&amp;e=AT15h6cP_lIgD9XdA6rYT_8eUqBy2BjgO7N4U54wzK1LPXzVutu0i3qHd_hGqbymYxPO8-OAuak6k3cd3w2uwWmOQQhs2OdtYkykPcn77w" TargetMode="External"/><Relationship Id="rId621" Type="http://schemas.openxmlformats.org/officeDocument/2006/relationships/hyperlink" Target="https://www.instagram.com/jannatolbaqi/" TargetMode="External"/><Relationship Id="rId628" Type="http://schemas.openxmlformats.org/officeDocument/2006/relationships/hyperlink" Target="https://www.instagram.com/heyat_asheghan_neynava/" TargetMode="External"/><Relationship Id="rId627" Type="http://schemas.openxmlformats.org/officeDocument/2006/relationships/hyperlink" Target="https://eitaa.com/oshagh_alheydar" TargetMode="External"/><Relationship Id="rId626" Type="http://schemas.openxmlformats.org/officeDocument/2006/relationships/hyperlink" Target="https://t.me/oshagh_alheydar" TargetMode="External"/><Relationship Id="rId625" Type="http://schemas.openxmlformats.org/officeDocument/2006/relationships/hyperlink" Target="https://www.instagram.com/oshagh_alheydar/" TargetMode="External"/><Relationship Id="rId1450" Type="http://schemas.openxmlformats.org/officeDocument/2006/relationships/hyperlink" Target="https://t.me/seratolhossein" TargetMode="External"/><Relationship Id="rId620" Type="http://schemas.openxmlformats.org/officeDocument/2006/relationships/hyperlink" Target="https://l.instagram.com/?u=https%3A%2F%2Ft.me%2Froghaye_bentolhosein%3Futm_source%3Dig%26utm_medium%3Dsocial%26utm_content%3Dlink_in_bio%26fbclid%3DPAZXh0bgNhZW0CMTEAc3J0YwZhcHBfaWQMMjU2MjgxMDQwNTU4AAGn3231Cgg_KHT-5G6FfubUXwGaxS6h-N_U5VLJg68wBl6sh0m1MVg4VhjSZzI_aem_2oHrqmQor9w008uTDA9yzA&amp;e=AT0YCe_R-D4aXQTDgl1HfepshG7qgNl2fgUSSLX48M6VZt7JVDT1XIDwC6uWpVO59Ul7GxYLICbfc7AM_TM5PdRtobFh7EnjM3ntdULahw" TargetMode="External"/><Relationship Id="rId1451" Type="http://schemas.openxmlformats.org/officeDocument/2006/relationships/hyperlink" Target="https://www.instagram.com/seyedeh_sharifeh_595/" TargetMode="External"/><Relationship Id="rId1452" Type="http://schemas.openxmlformats.org/officeDocument/2006/relationships/hyperlink" Target="https://t.me/seyedeh_sharifeh_595" TargetMode="External"/><Relationship Id="rId1453" Type="http://schemas.openxmlformats.org/officeDocument/2006/relationships/hyperlink" Target="https://www.instagram.com/shabab_ir/" TargetMode="External"/><Relationship Id="rId1454" Type="http://schemas.openxmlformats.org/officeDocument/2006/relationships/hyperlink" Target="https://t.me/shabab_ir" TargetMode="External"/><Relationship Id="rId1444" Type="http://schemas.openxmlformats.org/officeDocument/2006/relationships/hyperlink" Target="https://t.me/saelinolabas" TargetMode="External"/><Relationship Id="rId1445" Type="http://schemas.openxmlformats.org/officeDocument/2006/relationships/hyperlink" Target="https://www.instagram.com/samene_tehran/" TargetMode="External"/><Relationship Id="rId1446" Type="http://schemas.openxmlformats.org/officeDocument/2006/relationships/hyperlink" Target="https://t.me/samene_tehran" TargetMode="External"/><Relationship Id="rId1447" Type="http://schemas.openxmlformats.org/officeDocument/2006/relationships/hyperlink" Target="https://www.instagram.com/sarallah.rey/" TargetMode="External"/><Relationship Id="rId1448" Type="http://schemas.openxmlformats.org/officeDocument/2006/relationships/hyperlink" Target="https://t.me/sarallah_rey" TargetMode="External"/><Relationship Id="rId1449" Type="http://schemas.openxmlformats.org/officeDocument/2006/relationships/hyperlink" Target="https://www.instagram.com/seratolhossein/" TargetMode="External"/><Relationship Id="rId619" Type="http://schemas.openxmlformats.org/officeDocument/2006/relationships/hyperlink" Target="https://www.instagram.com/roghaye_bentolhosein/" TargetMode="External"/><Relationship Id="rId618" Type="http://schemas.openxmlformats.org/officeDocument/2006/relationships/hyperlink" Target="https://eitaa.com/BaytalAbbass" TargetMode="External"/><Relationship Id="rId613" Type="http://schemas.openxmlformats.org/officeDocument/2006/relationships/hyperlink" Target="https://www.instagram.com/zavarolhosein_momeni/" TargetMode="External"/><Relationship Id="rId612" Type="http://schemas.openxmlformats.org/officeDocument/2006/relationships/hyperlink" Target="https://www.instagram.com/maktab.sadegh/" TargetMode="External"/><Relationship Id="rId611" Type="http://schemas.openxmlformats.org/officeDocument/2006/relationships/hyperlink" Target="https://l.instagram.com/?u=http%3A%2F%2Ft.me%2FHeyatsadat%3Futm_source%3Dig%26utm_medium%3Dsocial%26utm_content%3Dlink_in_bio%26fbclid%3DPAZXh0bgNhZW0CMTEAc3J0YwZhcHBfaWQMMjU2MjgxMDQwNTU4AAGnVeLts76OydRHb_XDIIm6Kx94WvSLclSe5-rw0haXeBCGsxexRfi9N3N_-po_aem_iwc1nZFk3VadoCDEpD1j9w&amp;e=AT3wVArffakAtNeg5y6wYro-f6Zb2xiuSzIyhCLygfkr1_AU26JHU2En5GOZGWYUdf-rkgNVN-oi_S4HTNvyeNnMeBkNDRf2zQu5OKl6rg" TargetMode="External"/><Relationship Id="rId610" Type="http://schemas.openxmlformats.org/officeDocument/2006/relationships/hyperlink" Target="https://www.instagram.com/heyathoseini/" TargetMode="External"/><Relationship Id="rId617" Type="http://schemas.openxmlformats.org/officeDocument/2006/relationships/hyperlink" Target="https://t.me/BaytalAbbass" TargetMode="External"/><Relationship Id="rId616" Type="http://schemas.openxmlformats.org/officeDocument/2006/relationships/hyperlink" Target="https://www.instagram.com/beitol_abbas_ir/" TargetMode="External"/><Relationship Id="rId615" Type="http://schemas.openxmlformats.org/officeDocument/2006/relationships/hyperlink" Target="https://www.instagram.com/mohebann_ir/" TargetMode="External"/><Relationship Id="rId614" Type="http://schemas.openxmlformats.org/officeDocument/2006/relationships/hyperlink" Target="https://l.instagram.com/?u=https%3A%2F%2Ft.me%2Fseyedalimomeni%3Futm_source%3Dig%26utm_medium%3Dsocial%26utm_content%3Dlink_in_bio%26fbclid%3DPAZXh0bgNhZW0CMTEAc3J0YwZhcHBfaWQMMjU2MjgxMDQwNTU4AAGnsCwizrg3waKo-b4Co1Ck7dbIO0c6QXB6YjhD5ghkZ-cRQ59OoBGdVeFc7ic_aem_LRYPf-XYDdbRb6P307V9Ow&amp;e=AT2UH92rAzwAvTirfe7PltggM07fSEnUgTtfLxARE4m_oD5k4lb8wHYW9oSEw28zIJtG3VliRroB6JnFr_ajv_VlPmwfbHt2-DKVWvlfOA" TargetMode="External"/><Relationship Id="rId1440" Type="http://schemas.openxmlformats.org/officeDocument/2006/relationships/hyperlink" Target="https://t.me/sadatakhaviih" TargetMode="External"/><Relationship Id="rId1441" Type="http://schemas.openxmlformats.org/officeDocument/2006/relationships/hyperlink" Target="https://www.instagram.com/saelin_info/" TargetMode="External"/><Relationship Id="rId1442" Type="http://schemas.openxmlformats.org/officeDocument/2006/relationships/hyperlink" Target="https://t.me/saelin_info" TargetMode="External"/><Relationship Id="rId1443" Type="http://schemas.openxmlformats.org/officeDocument/2006/relationships/hyperlink" Target="https://www.instagram.com/saelinolabas/" TargetMode="External"/><Relationship Id="rId1477" Type="http://schemas.openxmlformats.org/officeDocument/2006/relationships/hyperlink" Target="https://www.instagram.com/sayedatolhelma/" TargetMode="External"/><Relationship Id="rId1478" Type="http://schemas.openxmlformats.org/officeDocument/2006/relationships/hyperlink" Target="https://www.instagram.com/shahzadegan_karbala/" TargetMode="External"/><Relationship Id="rId1479" Type="http://schemas.openxmlformats.org/officeDocument/2006/relationships/hyperlink" Target="https://www.instagram.com/shiftegaan.133/" TargetMode="External"/><Relationship Id="rId646" Type="http://schemas.openxmlformats.org/officeDocument/2006/relationships/hyperlink" Target="https://www.instagram.com/ghafele_info/" TargetMode="External"/><Relationship Id="rId645" Type="http://schemas.openxmlformats.org/officeDocument/2006/relationships/hyperlink" Target="https://eitaa.com/rahrovan_shohada1375" TargetMode="External"/><Relationship Id="rId644" Type="http://schemas.openxmlformats.org/officeDocument/2006/relationships/hyperlink" Target="https://t.me/boryr" TargetMode="External"/><Relationship Id="rId643" Type="http://schemas.openxmlformats.org/officeDocument/2006/relationships/hyperlink" Target="https://www.instagram.com/rah.shohada/" TargetMode="External"/><Relationship Id="rId649" Type="http://schemas.openxmlformats.org/officeDocument/2006/relationships/hyperlink" Target="http://telegram.me/zeynabiyeh_media" TargetMode="External"/><Relationship Id="rId648" Type="http://schemas.openxmlformats.org/officeDocument/2006/relationships/hyperlink" Target="https://www.instagram.com/zeynabiyeh_media/" TargetMode="External"/><Relationship Id="rId647" Type="http://schemas.openxmlformats.org/officeDocument/2006/relationships/hyperlink" Target="https://l.instagram.com/?u=http%3A%2F%2Ft.me%2Fghafele_info%3Futm_source%3Dig%26utm_medium%3Dsocial%26utm_content%3Dlink_in_bio%26fbclid%3DPAZXh0bgNhZW0CMTEAc3J0YwZhcHBfaWQMMjU2MjgxMDQwNTU4AAGnrjLFQyMF8Aln_FlRXhPbsHqhOTBMqXkjY78vh05wWAHWACsBheTACjlb6dc_aem_9QoQ3vSsG72mGVba-y0Lww&amp;e=AT3YX5E90-GBdBAuC9azrfxo5c5BnXk4a4umYdH9J6zzHAd288eULH4yMUC2GRf-ONtLHFxB0LdF3V39j6Srhy19ZAn3w2dBQ7wAY8yzUQ" TargetMode="External"/><Relationship Id="rId1470" Type="http://schemas.openxmlformats.org/officeDocument/2006/relationships/hyperlink" Target="https://www.instagram.com/mktab.shohada/" TargetMode="External"/><Relationship Id="rId1471" Type="http://schemas.openxmlformats.org/officeDocument/2006/relationships/hyperlink" Target="https://www.instagram.com/mojolhosein/" TargetMode="External"/><Relationship Id="rId1472" Type="http://schemas.openxmlformats.org/officeDocument/2006/relationships/hyperlink" Target="https://www.instagram.com/mokeb_hazrat_mohsen_ebn_ali/" TargetMode="External"/><Relationship Id="rId642" Type="http://schemas.openxmlformats.org/officeDocument/2006/relationships/hyperlink" Target="https://eitaa.com/jahadi_janatolhosein" TargetMode="External"/><Relationship Id="rId1473" Type="http://schemas.openxmlformats.org/officeDocument/2006/relationships/hyperlink" Target="https://www.instagram.com/norollaemmeh.135/" TargetMode="External"/><Relationship Id="rId641" Type="http://schemas.openxmlformats.org/officeDocument/2006/relationships/hyperlink" Target="https://eitaa.com/masjedjamesahebazamanaj" TargetMode="External"/><Relationship Id="rId1474" Type="http://schemas.openxmlformats.org/officeDocument/2006/relationships/hyperlink" Target="https://www.instagram.com/omolbokae/" TargetMode="External"/><Relationship Id="rId640" Type="http://schemas.openxmlformats.org/officeDocument/2006/relationships/hyperlink" Target="https://t.me/heyatMasjedHazratAbalfazllll" TargetMode="External"/><Relationship Id="rId1475" Type="http://schemas.openxmlformats.org/officeDocument/2006/relationships/hyperlink" Target="https://www.instagram.com/oshagholabbas/following/" TargetMode="External"/><Relationship Id="rId1476" Type="http://schemas.openxmlformats.org/officeDocument/2006/relationships/hyperlink" Target="https://www.instagram.com/rozatolhasanein/" TargetMode="External"/><Relationship Id="rId1466" Type="http://schemas.openxmlformats.org/officeDocument/2006/relationships/hyperlink" Target="https://www.instagram.com/maktabalmahdi313/" TargetMode="External"/><Relationship Id="rId1467" Type="http://schemas.openxmlformats.org/officeDocument/2006/relationships/hyperlink" Target="https://www.instagram.com/maktabolmahdi.aj/" TargetMode="External"/><Relationship Id="rId1468" Type="http://schemas.openxmlformats.org/officeDocument/2006/relationships/hyperlink" Target="https://www.instagram.com/masjedsafa_com/" TargetMode="External"/><Relationship Id="rId1469" Type="http://schemas.openxmlformats.org/officeDocument/2006/relationships/hyperlink" Target="https://www.instagram.com/matamkadehhazratzeynab/" TargetMode="External"/><Relationship Id="rId635" Type="http://schemas.openxmlformats.org/officeDocument/2006/relationships/hyperlink" Target="https://www.instagram.com/alamdar_alghameh133/" TargetMode="External"/><Relationship Id="rId634" Type="http://schemas.openxmlformats.org/officeDocument/2006/relationships/hyperlink" Target="https://www.instagram.com/mohebbanali1/" TargetMode="External"/><Relationship Id="rId633" Type="http://schemas.openxmlformats.org/officeDocument/2006/relationships/hyperlink" Target="https://www.instagram.com/kheimegah128/" TargetMode="External"/><Relationship Id="rId632" Type="http://schemas.openxmlformats.org/officeDocument/2006/relationships/hyperlink" Target="https://eitaa.com/heyate_chahardah_masom" TargetMode="External"/><Relationship Id="rId639" Type="http://schemas.openxmlformats.org/officeDocument/2006/relationships/hyperlink" Target="https://www.instagram.com/masjed_hazrat_abalfazl/" TargetMode="External"/><Relationship Id="rId638" Type="http://schemas.openxmlformats.org/officeDocument/2006/relationships/hyperlink" Target="https://l.instagram.com/?u=https%3A%2F%2Ft.me%2Frayatolzahra%3Futm_source%3Dig%26utm_medium%3Dsocial%26utm_content%3Dlink_in_bio%26fbclid%3DPAZXh0bgNhZW0CMTEAc3J0YwZhcHBfaWQMMjU2MjgxMDQwNTU4AAGnj0fkOPk47q46s5VguIc2kocGQZ0HW38pVKA5MkuLi2e75CW_hqpECm4j6sQ_aem__WnANrfOyT4FoZIIDEW4tA&amp;e=AT1IYOlJjghi5dO1PzFdGEA19-5XJe1r22DnioGH8QKiuasLXw1BvHTHmDL1yIedb9N41AsyRRdzwkD5GF5WjLwkd0s3gBKFGjU27ZjOkA" TargetMode="External"/><Relationship Id="rId637" Type="http://schemas.openxmlformats.org/officeDocument/2006/relationships/hyperlink" Target="https://www.instagram.com/rayatolzahra.babol/" TargetMode="External"/><Relationship Id="rId636" Type="http://schemas.openxmlformats.org/officeDocument/2006/relationships/hyperlink" Target="https://www.instagram.com/heat.javanan.14masoom/" TargetMode="External"/><Relationship Id="rId1460" Type="http://schemas.openxmlformats.org/officeDocument/2006/relationships/hyperlink" Target="https://www.instagram.com/heyatmontazeranmahdi/" TargetMode="External"/><Relationship Id="rId1461" Type="http://schemas.openxmlformats.org/officeDocument/2006/relationships/hyperlink" Target="https://www.instagram.com/heyatoljavadofficial/" TargetMode="External"/><Relationship Id="rId631" Type="http://schemas.openxmlformats.org/officeDocument/2006/relationships/hyperlink" Target="https://www.instagram.com/heiat_roknolhoda135/" TargetMode="External"/><Relationship Id="rId1462" Type="http://schemas.openxmlformats.org/officeDocument/2006/relationships/hyperlink" Target="https://www.instagram.com/imamzade_ghasem/" TargetMode="External"/><Relationship Id="rId630" Type="http://schemas.openxmlformats.org/officeDocument/2006/relationships/hyperlink" Target="https://l.instagram.com/?u=https%3A%2F%2Ft.me%2Froghaye_saadat%3Futm_source%3Dig%26utm_medium%3Dsocial%26utm_content%3Dlink_in_bio%26fbclid%3DPAZXh0bgNhZW0CMTEAc3J0YwZhcHBfaWQMMjU2MjgxMDQwNTU4AAGn9n2TXFtdcJctFJ5U1VI_MM05Z2Jk8BrsEWsGfHLBtRKEMWMW_abgberKkWo_aem_d487i3e2SR1ZXrVGdjyO0Q&amp;e=AT0EKfAvmoSnKIrx8Regae6ezHBk6SkEz_4IH0D6yR_KBm0yo1_QsJTA3divLRfdpDWDH9iPAtQ8BPup36lEUt2WSCPD831sETW1bkYEzg" TargetMode="External"/><Relationship Id="rId1463" Type="http://schemas.openxmlformats.org/officeDocument/2006/relationships/hyperlink" Target="https://ahlamenalasal.com/" TargetMode="External"/><Relationship Id="rId1464" Type="http://schemas.openxmlformats.org/officeDocument/2006/relationships/hyperlink" Target="https://www.instagram.com/khoddam_59/" TargetMode="External"/><Relationship Id="rId1465" Type="http://schemas.openxmlformats.org/officeDocument/2006/relationships/hyperlink" Target="https://www.instagram.com/mahfel_zavaro_al_baghie/" TargetMode="External"/><Relationship Id="rId1411" Type="http://schemas.openxmlformats.org/officeDocument/2006/relationships/hyperlink" Target="https://www.instagram.com/rozatolzahra_teh/" TargetMode="External"/><Relationship Id="rId1412" Type="http://schemas.openxmlformats.org/officeDocument/2006/relationships/hyperlink" Target="https://t.me/rozatolzahra_teh" TargetMode="External"/><Relationship Id="rId1413" Type="http://schemas.openxmlformats.org/officeDocument/2006/relationships/hyperlink" Target="https://www.instagram.com/rozatolzeynab/" TargetMode="External"/><Relationship Id="rId1414" Type="http://schemas.openxmlformats.org/officeDocument/2006/relationships/hyperlink" Target="https://t.me/rozatolzeynab" TargetMode="External"/><Relationship Id="rId1415" Type="http://schemas.openxmlformats.org/officeDocument/2006/relationships/hyperlink" Target="https://www.instagram.com/rozatoolhusein/" TargetMode="External"/><Relationship Id="rId1416" Type="http://schemas.openxmlformats.org/officeDocument/2006/relationships/hyperlink" Target="https://t.me/rozatoolhosein" TargetMode="External"/><Relationship Id="rId1417" Type="http://schemas.openxmlformats.org/officeDocument/2006/relationships/hyperlink" Target="https://www.instagram.com/rozatozahra/" TargetMode="External"/><Relationship Id="rId1418" Type="http://schemas.openxmlformats.org/officeDocument/2006/relationships/hyperlink" Target="https://t.me/rozatozahra_channel" TargetMode="External"/><Relationship Id="rId1419" Type="http://schemas.openxmlformats.org/officeDocument/2006/relationships/hyperlink" Target="https://www.instagram.com/rozatozeynab/" TargetMode="External"/><Relationship Id="rId1410" Type="http://schemas.openxmlformats.org/officeDocument/2006/relationships/hyperlink" Target="https://t.me/rozatolhassan" TargetMode="External"/><Relationship Id="rId1400" Type="http://schemas.openxmlformats.org/officeDocument/2006/relationships/hyperlink" Target="https://t.me/roghaye_saadat" TargetMode="External"/><Relationship Id="rId1401" Type="http://schemas.openxmlformats.org/officeDocument/2006/relationships/hyperlink" Target="https://www.instagram.com/roghaye__khaton/" TargetMode="External"/><Relationship Id="rId1402" Type="http://schemas.openxmlformats.org/officeDocument/2006/relationships/hyperlink" Target="https://t.me/roghayekhaton" TargetMode="External"/><Relationship Id="rId1403" Type="http://schemas.openxmlformats.org/officeDocument/2006/relationships/hyperlink" Target="https://www.instagram.com/rozatol_zahra135/" TargetMode="External"/><Relationship Id="rId1404" Type="http://schemas.openxmlformats.org/officeDocument/2006/relationships/hyperlink" Target="https://t.me/rozatol_zahra135" TargetMode="External"/><Relationship Id="rId1405" Type="http://schemas.openxmlformats.org/officeDocument/2006/relationships/hyperlink" Target="https://www.instagram.com/rozatolabbas1/" TargetMode="External"/><Relationship Id="rId1406" Type="http://schemas.openxmlformats.org/officeDocument/2006/relationships/hyperlink" Target="https://t.me/Rozatolabas1" TargetMode="External"/><Relationship Id="rId1407" Type="http://schemas.openxmlformats.org/officeDocument/2006/relationships/hyperlink" Target="https://www.instagram.com/rozatolghasem1391/" TargetMode="External"/><Relationship Id="rId1408" Type="http://schemas.openxmlformats.org/officeDocument/2006/relationships/hyperlink" Target="https://t.me/rozatolghasem1391" TargetMode="External"/><Relationship Id="rId1409" Type="http://schemas.openxmlformats.org/officeDocument/2006/relationships/hyperlink" Target="https://www.instagram.com/rozatolhassan/" TargetMode="External"/><Relationship Id="rId1433" Type="http://schemas.openxmlformats.org/officeDocument/2006/relationships/hyperlink" Target="https://www.instagram.com/rozehghasem/" TargetMode="External"/><Relationship Id="rId1434" Type="http://schemas.openxmlformats.org/officeDocument/2006/relationships/hyperlink" Target="https://t.me/ROZEHGHASEM" TargetMode="External"/><Relationship Id="rId1435" Type="http://schemas.openxmlformats.org/officeDocument/2006/relationships/hyperlink" Target="https://www.instagram.com/rozeoshaghalmahdi/" TargetMode="External"/><Relationship Id="rId1436" Type="http://schemas.openxmlformats.org/officeDocument/2006/relationships/hyperlink" Target="https://t.me/rozeoshaghalmahdi" TargetMode="External"/><Relationship Id="rId1437" Type="http://schemas.openxmlformats.org/officeDocument/2006/relationships/hyperlink" Target="https://www.instagram.com/rozeroghayeh/" TargetMode="External"/><Relationship Id="rId1438" Type="http://schemas.openxmlformats.org/officeDocument/2006/relationships/hyperlink" Target="https://t.me/rozeroghayeh" TargetMode="External"/><Relationship Id="rId1439" Type="http://schemas.openxmlformats.org/officeDocument/2006/relationships/hyperlink" Target="https://www.instagram.com/sadatakhavii/" TargetMode="External"/><Relationship Id="rId609" Type="http://schemas.openxmlformats.org/officeDocument/2006/relationships/hyperlink" Target="https://l.instagram.com/?u=http%3A%2F%2Ft.me%2Fheyatkarbala69%3Futm_source%3Dig%26utm_medium%3Dsocial%26utm_content%3Dlink_in_bio%26fbclid%3DPAZXh0bgNhZW0CMTEAc3J0YwZhcHBfaWQMMjU2MjgxMDQwNTU4AAGnUOZKpZ8z_Qr0XBNbC7dR4x-SGNBNIyor9NW2K_j-eTKnbKt6V1FWZT1bPIY_aem_ZkvL340VFqNFolbxLpDV6Q&amp;e=AT0jfoF_2j1cA_q4vrusE4jPQcVwZkPoZN54XMcOuudZx8C09h7UOitbmzjIa3yj9gNKGI8aDsVc31aE9IHR_t-W4_cjUqVe-eLWBRd8aw" TargetMode="External"/><Relationship Id="rId608" Type="http://schemas.openxmlformats.org/officeDocument/2006/relationships/hyperlink" Target="https://www.instagram.com/heyatkarbala.69/" TargetMode="External"/><Relationship Id="rId607" Type="http://schemas.openxmlformats.org/officeDocument/2006/relationships/hyperlink" Target="https://l.instagram.com/?u=https%3A%2F%2Ft.me%2Frayatollmahdi_ir%3Futm_source%3Dig%26utm_medium%3Dsocial%26utm_content%3Dlink_in_bio%26fbclid%3DPAZXh0bgNhZW0CMTEAc3J0YwZhcHBfaWQMMjU2MjgxMDQwNTU4AAGn8-K0fJQUhyekWUtLZuibyHUJEikHkdubXeCj_wEJ58eI9D-cUsZHCTnHfVA_aem_sbkpcOke_ljKUcm0f3nYEg&amp;e=AT0zqgiYrLCpK2Fdp6gZlUBqaGLHzJtX7dnELqIVN8uXt21di5HIGhOiY8f2e854UV5VrDL9phh3MdWAYmFfalyv54Nc1-dXVNV-L3Yi-A" TargetMode="External"/><Relationship Id="rId602" Type="http://schemas.openxmlformats.org/officeDocument/2006/relationships/hyperlink" Target="https://www.instagram.com/heyathasanjan/" TargetMode="External"/><Relationship Id="rId601" Type="http://schemas.openxmlformats.org/officeDocument/2006/relationships/hyperlink" Target="https://l.instagram.com/?u=http%3A%2F%2Ft.me%2Fheyat_oshagholmahdi%3Futm_source%3Dig%26utm_medium%3Dsocial%26utm_content%3Dlink_in_bio%26fbclid%3DPAZXh0bgNhZW0CMTEAc3J0YwZhcHBfaWQMMjU2MjgxMDQwNTU4AAGnpDWTDDN3KOoQdJ82AMjr47EpTMbfWrL0H71_lXjp1A8HlpekVReIU7eOE5g_aem_Xs0CwuVQ489RBuUGn3HxTg&amp;e=AT1Vao_VaPVC0Y8d_yjCbSDMvF1Jk_z7CbRUamyU_R89_hGnv450OwTHkqX2_gUsgFiXwgWWBbmCzG3xbes_Xm2JGiI8IklUS58MDxs_eA" TargetMode="External"/><Relationship Id="rId600" Type="http://schemas.openxmlformats.org/officeDocument/2006/relationships/hyperlink" Target="https://www.instagram.com/heyat_oshagholmahdi/" TargetMode="External"/><Relationship Id="rId606" Type="http://schemas.openxmlformats.org/officeDocument/2006/relationships/hyperlink" Target="https://www.instagram.com/rayatollmahdi_ir/" TargetMode="External"/><Relationship Id="rId605" Type="http://schemas.openxmlformats.org/officeDocument/2006/relationships/hyperlink" Target="https://l.instagram.com/?u=http%3A%2F%2Ftlgrm.in%2Fbeytoreza1%3Futm_source%3Dig%26utm_medium%3Dsocial%26utm_content%3Dlink_in_bio%26fbclid%3DPAZXh0bgNhZW0CMTEAc3J0YwZhcHBfaWQMMjU2MjgxMDQwNTU4AAGneiFPRwJZb7w8MdevFRyr4fm_sHL70i0kKNQlpsbSMXYHd31qwCIAemO3sow_aem_Ci_Q3jS6n65PbFpkb2t4cQ&amp;e=AT0yjClYdRPzoHWwief_ZZlOPf55IUzrTE0S6wuueD2_yVCvJquQALIpj0DmpmxKiIuuiz8jeNq6_FjfMbdQMzz0L_pGIzu61_f2vPUpIQ" TargetMode="External"/><Relationship Id="rId604" Type="http://schemas.openxmlformats.org/officeDocument/2006/relationships/hyperlink" Target="https://www.instagram.com/beytoreza1/" TargetMode="External"/><Relationship Id="rId603" Type="http://schemas.openxmlformats.org/officeDocument/2006/relationships/hyperlink" Target="https://www.instagram.com/hfatemion83/" TargetMode="External"/><Relationship Id="rId1430" Type="http://schemas.openxmlformats.org/officeDocument/2006/relationships/hyperlink" Target="https://t.me/rozeh_ir" TargetMode="External"/><Relationship Id="rId1431" Type="http://schemas.openxmlformats.org/officeDocument/2006/relationships/hyperlink" Target="https://www.instagram.com/rozehasaniyon/" TargetMode="External"/><Relationship Id="rId1432" Type="http://schemas.openxmlformats.org/officeDocument/2006/relationships/hyperlink" Target="https://t.me/rozehasaniyon" TargetMode="External"/><Relationship Id="rId1422" Type="http://schemas.openxmlformats.org/officeDocument/2006/relationships/hyperlink" Target="https://t.me/roze_mahane18" TargetMode="External"/><Relationship Id="rId1423" Type="http://schemas.openxmlformats.org/officeDocument/2006/relationships/hyperlink" Target="https://www.instagram.com/rozealjavad/" TargetMode="External"/><Relationship Id="rId1424" Type="http://schemas.openxmlformats.org/officeDocument/2006/relationships/hyperlink" Target="https://t.me/Rozealjavad" TargetMode="External"/><Relationship Id="rId1425" Type="http://schemas.openxmlformats.org/officeDocument/2006/relationships/hyperlink" Target="https://www.instagram.com/rozeansarolabbas/" TargetMode="External"/><Relationship Id="rId1426" Type="http://schemas.openxmlformats.org/officeDocument/2006/relationships/hyperlink" Target="https://t.me/rozeansarolabbas" TargetMode="External"/><Relationship Id="rId1427" Type="http://schemas.openxmlformats.org/officeDocument/2006/relationships/hyperlink" Target="https://www.instagram.com/rozeh_ehsanolhasan/" TargetMode="External"/><Relationship Id="rId1428" Type="http://schemas.openxmlformats.org/officeDocument/2006/relationships/hyperlink" Target="https://t.me/rozeh_ehsanolhasan" TargetMode="External"/><Relationship Id="rId1429" Type="http://schemas.openxmlformats.org/officeDocument/2006/relationships/hyperlink" Target="https://www.instagram.com/rozeh_ir/" TargetMode="External"/><Relationship Id="rId1420" Type="http://schemas.openxmlformats.org/officeDocument/2006/relationships/hyperlink" Target="https://t.me/rozatozeynab6969" TargetMode="External"/><Relationship Id="rId1421" Type="http://schemas.openxmlformats.org/officeDocument/2006/relationships/hyperlink" Target="https://www.instagram.com/roze.mahane/" TargetMode="External"/><Relationship Id="rId699" Type="http://schemas.openxmlformats.org/officeDocument/2006/relationships/hyperlink" Target="https://www.instagram.com/heyat.muslim.ibn.aqeel/" TargetMode="External"/><Relationship Id="rId698" Type="http://schemas.openxmlformats.org/officeDocument/2006/relationships/hyperlink" Target="https://l.instagram.com/?u=https%3A%2F%2Ft.me%2Fmohebanolkarim%3Futm_source%3Dig%26utm_medium%3Dsocial%26utm_content%3Dlink_in_bio%26fbclid%3DPAZXh0bgNhZW0CMTEAc3J0YwZhcHBfaWQMMjU2MjgxMDQwNTU4AAGnLaNH4SOGroBTbEYVbGbT3JR4wb7m8piDSWUqrYr5ShcZC4p0zi7lY4IOehY_aem_Jlh_Q32ibFA9nNz9Erw8rA&amp;e=AT0VVTTWVIlJWeijDufLz1H9jAuWhQTXA4Wpa72uhrHNqeWeJGfYSmJsIcCNlXMQxCyZrevDt7sQ9cEFvzAjb6DfvviG1sK9jdiAhres3g" TargetMode="External"/><Relationship Id="rId693" Type="http://schemas.openxmlformats.org/officeDocument/2006/relationships/hyperlink" Target="https://www.instagram.com/maktabalhossein_ir/" TargetMode="External"/><Relationship Id="rId692" Type="http://schemas.openxmlformats.org/officeDocument/2006/relationships/hyperlink" Target="https://www.instagram.com/heiat_javanan_sayedoshohada/" TargetMode="External"/><Relationship Id="rId691" Type="http://schemas.openxmlformats.org/officeDocument/2006/relationships/hyperlink" Target="https://eitaa.com/noorolasfia_mosque" TargetMode="External"/><Relationship Id="rId690" Type="http://schemas.openxmlformats.org/officeDocument/2006/relationships/hyperlink" Target="https://www.instagram.com/safinato_alnejat/" TargetMode="External"/><Relationship Id="rId697" Type="http://schemas.openxmlformats.org/officeDocument/2006/relationships/hyperlink" Target="https://www.instagram.com/mohebanolkarim/" TargetMode="External"/><Relationship Id="rId696" Type="http://schemas.openxmlformats.org/officeDocument/2006/relationships/hyperlink" Target="https://l.instagram.com/?u=http%3A%2F%2Ftelegram.me%2Fheiatghaem%3Futm_source%3Dig%26utm_medium%3Dsocial%26utm_content%3Dlink_in_bio%26fbclid%3DPAZXh0bgNhZW0CMTEAc3J0YwZhcHBfaWQMMjU2MjgxMDQwNTU4AAGnjyI6qljifezAHeEuZxQfeYFYjDNEJJMFLeNpXZ9whprD8bOe_Mucmccsm70_aem_slmDRwzhFBMap6nCy6b03A&amp;e=AT1WP-W5OnV-iLYcW7o0pqoK58LfvDV6bAJGXw4Ukx16rwijelf4itWqHJ4JCNp06JhfpNn-oi2CGn_rIWBKo_d7QU1pJLPwienhsRLNXQ" TargetMode="External"/><Relationship Id="rId695" Type="http://schemas.openxmlformats.org/officeDocument/2006/relationships/hyperlink" Target="https://www.instagram.com/heiat_ghaaem/" TargetMode="External"/><Relationship Id="rId694" Type="http://schemas.openxmlformats.org/officeDocument/2006/relationships/hyperlink" Target="https://l.instagram.com/?u=http%3A%2F%2Ft.me%2Fmaktabalhossein_ir%3Futm_source%3Dig%26utm_medium%3Dsocial%26utm_content%3Dlink_in_bio%26fbclid%3DPAZXh0bgNhZW0CMTEAc3J0YwZhcHBfaWQMMjU2MjgxMDQwNTU4AAGnv53AxaKmOPNjs0iuJW8zyxG89tFqtVKJGkocVS16qJoxvFN-H8k3Aef6QTo_aem_3d0QXAKAuK2H9M18-G66Jw&amp;e=AT0bRcf-2b_RSeHX8HHDeqtXLWHw47WuZfZ65KrZL1xRB92eAjGHeuOGESVydkDWGGxF_Q00cW6XnCMgWJIM6w8FNGRTLnXM2CqReeqtgQ" TargetMode="External"/><Relationship Id="rId1499" Type="http://schemas.openxmlformats.org/officeDocument/2006/relationships/hyperlink" Target="https://www.instagram.com/asheghanebaghi/" TargetMode="External"/><Relationship Id="rId668" Type="http://schemas.openxmlformats.org/officeDocument/2006/relationships/hyperlink" Target="https://www.instagram.com/alabbas.info/" TargetMode="External"/><Relationship Id="rId667" Type="http://schemas.openxmlformats.org/officeDocument/2006/relationships/hyperlink" Target="https://eitaa.com/ashabolhossein_ir" TargetMode="External"/><Relationship Id="rId666" Type="http://schemas.openxmlformats.org/officeDocument/2006/relationships/hyperlink" Target="https://l.instagram.com/?u=https%3A%2F%2Ft.me%2Fgharibmadineh.teh%3Futm_source%3Dig%26utm_medium%3Dsocial%26utm_content%3Dlink_in_bio%26fbclid%3DPAZXh0bgNhZW0CMTEAc3J0YwZhcHBfaWQMMjU2MjgxMDQwNTU4AAGnprlRc0h24hqehdE6Le1BRqlB8k2vAUYUZCYDIEMdOrbHhbBCTzu6bOFa8II_aem_pStNUV5tafWH84p3mROjPA&amp;e=AT3gYa04XUotmNiXFsN_0WR1Npsz2GDd-6L3Jn8EbJFPW6L_lUrD4HjWiID4i9jVgmfpeH9wPljUYaH-fgu6TjWxacOjtutt4FOCA_eH2g" TargetMode="External"/><Relationship Id="rId665" Type="http://schemas.openxmlformats.org/officeDocument/2006/relationships/hyperlink" Target="https://www.instagram.com/gharibmadineh.teh/" TargetMode="External"/><Relationship Id="rId669" Type="http://schemas.openxmlformats.org/officeDocument/2006/relationships/hyperlink" Target="https://t.me/heiat_alamdar" TargetMode="External"/><Relationship Id="rId1490" Type="http://schemas.openxmlformats.org/officeDocument/2006/relationships/hyperlink" Target="https://www.instagram.com/saabaat.ir/" TargetMode="External"/><Relationship Id="rId660" Type="http://schemas.openxmlformats.org/officeDocument/2006/relationships/hyperlink" Target="https://www.instagram.com/oshaghol.zeinab/" TargetMode="External"/><Relationship Id="rId1491" Type="http://schemas.openxmlformats.org/officeDocument/2006/relationships/hyperlink" Target="https://t.me/mohsenfarhangiyan118" TargetMode="External"/><Relationship Id="rId1492" Type="http://schemas.openxmlformats.org/officeDocument/2006/relationships/hyperlink" Target="https://eitaa.com/mohsenfarhangiyan118" TargetMode="External"/><Relationship Id="rId1493" Type="http://schemas.openxmlformats.org/officeDocument/2006/relationships/hyperlink" Target="https://www.instagram.com/hoseinieshohada.ir/" TargetMode="External"/><Relationship Id="rId1494" Type="http://schemas.openxmlformats.org/officeDocument/2006/relationships/hyperlink" Target="https://t.me/hoseinieshohada_530" TargetMode="External"/><Relationship Id="rId664" Type="http://schemas.openxmlformats.org/officeDocument/2006/relationships/hyperlink" Target="https://eitaa.com/mohamadimasjed" TargetMode="External"/><Relationship Id="rId1495" Type="http://schemas.openxmlformats.org/officeDocument/2006/relationships/hyperlink" Target="https://eitaa.com/hoseinieshohada" TargetMode="External"/><Relationship Id="rId663" Type="http://schemas.openxmlformats.org/officeDocument/2006/relationships/hyperlink" Target="https://l.instagram.com/?u=https%3A%2F%2Feitaa.com%2Fmotavaseliin%3Futm_source%3Dig%26utm_medium%3Dsocial%26utm_content%3Dlink_in_bio%26fbclid%3DPAZXh0bgNhZW0CMTEAc3J0YwZhcHBfaWQMMjU2MjgxMDQwNTU4AAGnJ9VTvTu_lNlaf4ZtJGfRyAOOsCFb1tUcPmQ8VXXent2qpSIUSFg1ru0dvDs_aem_YLr_JMM2FNLY5YWtvwryYw&amp;e=AT2qt03d99yyzLdZ00sD8DdBB9nwFrkJ2jHGpJKooReUjBvYF_6HxI1hiypv-NKSC5Z3RWfcOmAZ_RhpzNS2xR3JhsUmQLsd2WrI2bQkWA" TargetMode="External"/><Relationship Id="rId1496" Type="http://schemas.openxmlformats.org/officeDocument/2006/relationships/hyperlink" Target="https://www.instagram.com/zvaralhasan/" TargetMode="External"/><Relationship Id="rId662" Type="http://schemas.openxmlformats.org/officeDocument/2006/relationships/hyperlink" Target="https://www.instagram.com/motevaseliin/" TargetMode="External"/><Relationship Id="rId1497" Type="http://schemas.openxmlformats.org/officeDocument/2006/relationships/hyperlink" Target="https://www.instagram.com/heyat_nokaran_abalfazl/" TargetMode="External"/><Relationship Id="rId661" Type="http://schemas.openxmlformats.org/officeDocument/2006/relationships/hyperlink" Target="https://l.instagram.com/?u=https%3A%2F%2Ft.me%2Foshagh6969%3Futm_source%3Dig%26utm_medium%3Dsocial%26utm_content%3Dlink_in_bio%26fbclid%3DPAZXh0bgNhZW0CMTEAc3J0YwZhcHBfaWQMMjU2MjgxMDQwNTU4AAGnBcl6uFetCOXp8Z2PnWFd51zYI-SWua5O9kipLaMx5nYhfqc92RFclORQj7s_aem_NSXh-3AZwDnLnEOrlvhsrQ&amp;e=AT3Snu5J_ES2BnlCh_ikq4TqJlXwgzFFrsUQSoGrd2ZnMEOxKRpwD3yKWbrvL__wWKPhMpU-cVppFOpZtoNjpPB_fyKH-IsPy8OuMvP2ow" TargetMode="External"/><Relationship Id="rId1498" Type="http://schemas.openxmlformats.org/officeDocument/2006/relationships/hyperlink" Target="https://www.instagram.com/aminozahra/" TargetMode="External"/><Relationship Id="rId1488" Type="http://schemas.openxmlformats.org/officeDocument/2006/relationships/hyperlink" Target="https://www.instagram.com/vahidazimpor/" TargetMode="External"/><Relationship Id="rId1489" Type="http://schemas.openxmlformats.org/officeDocument/2006/relationships/hyperlink" Target="https://t.me/bargah110" TargetMode="External"/><Relationship Id="rId657" Type="http://schemas.openxmlformats.org/officeDocument/2006/relationships/hyperlink" Target="https://l.instagram.com/?u=https%3A%2F%2Feitaa.com%2Fheyat_sarallah_10%3Futm_source%3Dig%26utm_medium%3Dsocial%26utm_content%3Dlink_in_bio%26fbclid%3DPAZXh0bgNhZW0CMTEAc3J0YwZhcHBfaWQMMjU2MjgxMDQwNTU4AAGnj0WW4FX2Gjrf_RGEtyulqCnZle7QzLQMPQ3OLks82JQkFfjW1u4Eri1Txwk_aem_LXqjE76rTKP91UjU927UCg&amp;e=AT3TU1RWmRRO3DK9sT2A8tAOWQI5nRCjXhNTqXOtuekSclK-2pc4ZMQpqJtR3rzF4u1tYXJlZcyjeKzYWp16DcPgu73OQOmEUYK8cVahHQ" TargetMode="External"/><Relationship Id="rId656" Type="http://schemas.openxmlformats.org/officeDocument/2006/relationships/hyperlink" Target="https://www.instagram.com/heyat_sarallah.tehran/" TargetMode="External"/><Relationship Id="rId655" Type="http://schemas.openxmlformats.org/officeDocument/2006/relationships/hyperlink" Target="https://www.instagram.com/roze_315_/" TargetMode="External"/><Relationship Id="rId654" Type="http://schemas.openxmlformats.org/officeDocument/2006/relationships/hyperlink" Target="https://eitaa.com/masjedfa" TargetMode="External"/><Relationship Id="rId659" Type="http://schemas.openxmlformats.org/officeDocument/2006/relationships/hyperlink" Target="https://eitaa.com/b59313" TargetMode="External"/><Relationship Id="rId658" Type="http://schemas.openxmlformats.org/officeDocument/2006/relationships/hyperlink" Target="https://www.instagram.com/b59313" TargetMode="External"/><Relationship Id="rId1480" Type="http://schemas.openxmlformats.org/officeDocument/2006/relationships/hyperlink" Target="https://www.instagram.com/tekiyegah_ir/" TargetMode="External"/><Relationship Id="rId1481" Type="http://schemas.openxmlformats.org/officeDocument/2006/relationships/hyperlink" Target="https://www.instagram.com/zeynabiyon110/" TargetMode="External"/><Relationship Id="rId1482" Type="http://schemas.openxmlformats.org/officeDocument/2006/relationships/hyperlink" Target="https://www.instagram.com/zovaralhosein/" TargetMode="External"/><Relationship Id="rId1483" Type="http://schemas.openxmlformats.org/officeDocument/2006/relationships/hyperlink" Target="https://www.instagram.com/zovvaralzahra/" TargetMode="External"/><Relationship Id="rId653" Type="http://schemas.openxmlformats.org/officeDocument/2006/relationships/hyperlink" Target="https://eitaa.com/maktabolmahdyy" TargetMode="External"/><Relationship Id="rId1484" Type="http://schemas.openxmlformats.org/officeDocument/2006/relationships/hyperlink" Target="https://zovvar.com/" TargetMode="External"/><Relationship Id="rId652" Type="http://schemas.openxmlformats.org/officeDocument/2006/relationships/hyperlink" Target="https://aghigh.ayandehsazan.ir/" TargetMode="External"/><Relationship Id="rId1485" Type="http://schemas.openxmlformats.org/officeDocument/2006/relationships/hyperlink" Target="https://www.instagram.com/yasgrafic/" TargetMode="External"/><Relationship Id="rId651" Type="http://schemas.openxmlformats.org/officeDocument/2006/relationships/hyperlink" Target="https://l.instagram.com/?u=http%3A%2F%2Ftlgrm.me%2Fazahraa_ir%3Futm_source%3Dig%26utm_medium%3Dsocial%26utm_content%3Dlink_in_bio%26fbclid%3DPAZXh0bgNhZW0CMTEAc3J0YwZhcHBfaWQMMjU2MjgxMDQwNTU4AAGnYE019ywDwTg0JARh1-CoG8iy5F-hN6BGDXLAwWvY5CHLovY_l8-7zneyGAY_aem_O_zXBE3ixBSXF2ryJFuABg&amp;e=AT1oz-_Ds2YkxSUv4crxs2nv5wfKSqWZj2TaWCN5yxPn-Z9cYQvoZJATdfCgxX4ifL7r5SUEAWfdjR1yBdgJSd5YNdzwR1b9hyJ8KwQsMQ" TargetMode="External"/><Relationship Id="rId1486" Type="http://schemas.openxmlformats.org/officeDocument/2006/relationships/hyperlink" Target="https://www.instagram.com/moosarezayi_officiall/" TargetMode="External"/><Relationship Id="rId650" Type="http://schemas.openxmlformats.org/officeDocument/2006/relationships/hyperlink" Target="https://www.instagram.com/azahraa.ir/" TargetMode="External"/><Relationship Id="rId1487" Type="http://schemas.openxmlformats.org/officeDocument/2006/relationships/hyperlink" Target="https://l.instagram.com/?u=http%3A%2F%2Ft.me%2Fmoosa_rezayi%3Ffbclid%3DPAZXh0bgNhZW0CMTEAAadR8_H8SdnKPJB_IVg4OdSF7bbDwl4MZ_Euld5DYViS_7bVV-zqXMIbuKoGTg_aem_Yp92sKt9Hyv-4WbnFMQ6aA&amp;e=AT2DqSm8bgXtNVzTQSmPStWLfjMIfvCJ9tdO1embOvwnMeVdkVpyKNZPakFCa01Qtz3S1eEolcIsRQC6v2uB4RLxiFVo3bgZpOeQoAxlcIK1rYRVksKb2IM" TargetMode="External"/><Relationship Id="rId689" Type="http://schemas.openxmlformats.org/officeDocument/2006/relationships/hyperlink" Target="https://www.instagram.com/saelin_hazrat_zeinab/" TargetMode="External"/><Relationship Id="rId688" Type="http://schemas.openxmlformats.org/officeDocument/2006/relationships/hyperlink" Target="https://www.instagram.com/shohada72/" TargetMode="External"/><Relationship Id="rId687" Type="http://schemas.openxmlformats.org/officeDocument/2006/relationships/hyperlink" Target="https://eitaa.com/heiat_aleyasin" TargetMode="External"/><Relationship Id="rId682" Type="http://schemas.openxmlformats.org/officeDocument/2006/relationships/hyperlink" Target="https://www.instagram.com/rozatozeynab213/" TargetMode="External"/><Relationship Id="rId681" Type="http://schemas.openxmlformats.org/officeDocument/2006/relationships/hyperlink" Target="https://www.instagram.com/hiatjvanan_palash/" TargetMode="External"/><Relationship Id="rId680" Type="http://schemas.openxmlformats.org/officeDocument/2006/relationships/hyperlink" Target="https://l.instagram.com/?u=http%3A%2F%2Ftlgrm.me%2Frozato_shohada%3Futm_source%3Dig%26utm_medium%3Dsocial%26utm_content%3Dlink_in_bio%26fbclid%3DPAZXh0bgNhZW0CMTEAc3J0YwZhcHBfaWQMMjU2MjgxMDQwNTU4AAGniXl-P-Yq-f3P2HnQ-pIQ0cRq9bGxFNMBlAKqb2kbtdvD446d04ozw1z2h7I_aem_uPg21zLEAilwvPflqMmnGw&amp;e=AT3ZQMRTiMBv0qlLm58TAUnnuFZND-yNzSJKE4Rh1BPiiST4F_ZIeEPRCPTSyofUhOZJp80VmUJxAaZ1MijrOcfuK2W-LMY1KrAKJ6VAUw" TargetMode="External"/><Relationship Id="rId686" Type="http://schemas.openxmlformats.org/officeDocument/2006/relationships/hyperlink" Target="https://t.me/heiat_aleyasin" TargetMode="External"/><Relationship Id="rId685" Type="http://schemas.openxmlformats.org/officeDocument/2006/relationships/hyperlink" Target="https://www.instagram.com/heiat_aleyasin" TargetMode="External"/><Relationship Id="rId684" Type="http://schemas.openxmlformats.org/officeDocument/2006/relationships/hyperlink" Target="https://www.instagram.com/amir_almomeninmosque/" TargetMode="External"/><Relationship Id="rId683" Type="http://schemas.openxmlformats.org/officeDocument/2006/relationships/hyperlink" Target="https://l.instagram.com/?u=https%3A%2F%2Ft.me%2Frozatozeynab213%3Futm_source%3Dig%26utm_medium%3Dsocial%26utm_content%3Dlink_in_bio%26fbclid%3DPAZXh0bgNhZW0CMTEAc3J0YwZhcHBfaWQMMjU2MjgxMDQwNTU4AAGnAJVT_VNdfPBMKCDX_4T3FiW-xB8Xoc7ANY_4b1JAzPS3P3qpcy6N6dBVT5w_aem_lTXAyGv_K3JVYMQlfdnIbQ&amp;e=AT0JHPjzhLYmztPG8Ono8kh19w5Qv897dHs6mVE7CDDlu67jkrLVa9yfoZyGT5tg9Ev6INQz_aFrxtUdkD6eY-pY1Y7iUi6zbZ81Uwj5ng" TargetMode="External"/><Relationship Id="rId679" Type="http://schemas.openxmlformats.org/officeDocument/2006/relationships/hyperlink" Target="https://www.instagram.com/rozato_shohada/" TargetMode="External"/><Relationship Id="rId678" Type="http://schemas.openxmlformats.org/officeDocument/2006/relationships/hyperlink" Target="https://www.instagram.com/oshagholreza8/" TargetMode="External"/><Relationship Id="rId677" Type="http://schemas.openxmlformats.org/officeDocument/2006/relationships/hyperlink" Target="https://www.instagram.com/ghatiolkaffein/" TargetMode="External"/><Relationship Id="rId676" Type="http://schemas.openxmlformats.org/officeDocument/2006/relationships/hyperlink" Target="https://l.instagram.com/?u=http%3A%2F%2Ft.me%2Fansaralhussain128%2F%3Futm_source%3Dig%26utm_medium%3Dsocial%26utm_content%3Dlink_in_bio%26fbclid%3DPAZXh0bgNhZW0CMTEAc3J0YwZhcHBfaWQMMjU2MjgxMDQwNTU4AAGn_zgQYC3005Bmgxvi3Z9siy35y-qkIIXpakBIhg7I9kYCuGesRUJQwH28pB0_aem_Jv8T66L-aJfv7IDmcisekQ&amp;e=AT3aisG2TJQHy6Omayi4JK4XfmTbL1WVEyVCKdNbAWXXsEEx0qB_k1BQR7POCEcIIcTCdKh6wn6mAGfW4k1YFC7LT3kLviBJwhumwKYlHw" TargetMode="External"/><Relationship Id="rId671" Type="http://schemas.openxmlformats.org/officeDocument/2006/relationships/hyperlink" Target="https://www.instagram.com/roghayejan315/" TargetMode="External"/><Relationship Id="rId670" Type="http://schemas.openxmlformats.org/officeDocument/2006/relationships/hyperlink" Target="https://eitaa.com/majidiealamdar" TargetMode="External"/><Relationship Id="rId675" Type="http://schemas.openxmlformats.org/officeDocument/2006/relationships/hyperlink" Target="https://www.instagram.com/ansaralhussain128/" TargetMode="External"/><Relationship Id="rId674" Type="http://schemas.openxmlformats.org/officeDocument/2006/relationships/hyperlink" Target="https://www.instagram.com/heyat_samen86/" TargetMode="External"/><Relationship Id="rId673" Type="http://schemas.openxmlformats.org/officeDocument/2006/relationships/hyperlink" Target="https://www.instagram.com/mohebanorezaa/" TargetMode="External"/><Relationship Id="rId672" Type="http://schemas.openxmlformats.org/officeDocument/2006/relationships/hyperlink" Target="https://l.instagram.com/?u=http%3A%2F%2Ft.me%2Frooghayejan315%3Futm_source%3Dig%26utm_medium%3Dsocial%26utm_content%3Dlink_in_bio%26fbclid%3DPAZXh0bgNhZW0CMTEAc3J0YwZhcHBfaWQMMjU2MjgxMDQwNTU4AAGnOdb-8DnHmM-85vjOpXmck4Se51AfaWKpNQZ7GxuRL8SrWqQa3_l6NiHYuPs_aem_KHqaKxss9YT5f2BgPZsvmg&amp;e=AT3dmpXmCkdNkq4snHmgb-j5alvy7VCB4rnYnms9AINIzshDul9R0k2Hn_MwbaFtFv0jFzv-5rjrMTuD6Ee8YdLq0UWWxAZYLMAvkq5tqg" TargetMode="External"/><Relationship Id="rId1510" Type="http://schemas.openxmlformats.org/officeDocument/2006/relationships/hyperlink" Target="https://www.instagram.com/misagh_al_mahdi/" TargetMode="External"/><Relationship Id="rId1511" Type="http://schemas.openxmlformats.org/officeDocument/2006/relationships/hyperlink" Target="https://www.instagram.com/ansarolhossein.1365/" TargetMode="External"/><Relationship Id="rId1512" Type="http://schemas.openxmlformats.org/officeDocument/2006/relationships/hyperlink" Target="https://www.instagram.com/heyat_imam_sajad/" TargetMode="External"/><Relationship Id="rId1513" Type="http://schemas.openxmlformats.org/officeDocument/2006/relationships/hyperlink" Target="https://www.instagram.com/hazrateqasem/" TargetMode="External"/><Relationship Id="rId1514" Type="http://schemas.openxmlformats.org/officeDocument/2006/relationships/hyperlink" Target="https://www.instagram.com/heyatealzahra_ir/" TargetMode="External"/><Relationship Id="rId1515" Type="http://schemas.openxmlformats.org/officeDocument/2006/relationships/hyperlink" Target="http://t.me/asheghaneghamarbanihashem" TargetMode="External"/><Relationship Id="rId1516" Type="http://schemas.openxmlformats.org/officeDocument/2006/relationships/hyperlink" Target="https://eitaa.com/hoseinie_emamkhomeini" TargetMode="External"/><Relationship Id="rId1517" Type="http://schemas.openxmlformats.org/officeDocument/2006/relationships/hyperlink" Target="https://eitaa.com/oshaghalkhomeini" TargetMode="External"/><Relationship Id="rId1518" Type="http://schemas.openxmlformats.org/officeDocument/2006/relationships/hyperlink" Target="https://eitaa.com/abnaolzahra" TargetMode="External"/><Relationship Id="rId1519" Type="http://schemas.openxmlformats.org/officeDocument/2006/relationships/hyperlink" Target="https://eitaa.com/mokeb_khodamoreza" TargetMode="External"/><Relationship Id="rId1500" Type="http://schemas.openxmlformats.org/officeDocument/2006/relationships/hyperlink" Target="https://www.instagram.com/ansaralhosein_qods/" TargetMode="External"/><Relationship Id="rId1501" Type="http://schemas.openxmlformats.org/officeDocument/2006/relationships/hyperlink" Target="https://www.instagram.com/heyatahbabolhasan/" TargetMode="External"/><Relationship Id="rId1502" Type="http://schemas.openxmlformats.org/officeDocument/2006/relationships/hyperlink" Target="https://www.instagram.com/hmadareab/" TargetMode="External"/><Relationship Id="rId1503" Type="http://schemas.openxmlformats.org/officeDocument/2006/relationships/hyperlink" Target="https://www.instagram.com/rahrovan_rey/" TargetMode="External"/><Relationship Id="rId1504" Type="http://schemas.openxmlformats.org/officeDocument/2006/relationships/hyperlink" Target="https://www.instagram.com/faares_313/" TargetMode="External"/><Relationship Id="rId1505" Type="http://schemas.openxmlformats.org/officeDocument/2006/relationships/hyperlink" Target="https://www.instagram.com/heyate_beytooreza/" TargetMode="External"/><Relationship Id="rId1506" Type="http://schemas.openxmlformats.org/officeDocument/2006/relationships/hyperlink" Target="https://www.instagram.com/heyat.shabab.aljanah/" TargetMode="External"/><Relationship Id="rId1507" Type="http://schemas.openxmlformats.org/officeDocument/2006/relationships/hyperlink" Target="https://www.instagram.com/saralah18/" TargetMode="External"/><Relationship Id="rId1508" Type="http://schemas.openxmlformats.org/officeDocument/2006/relationships/hyperlink" Target="https://www.instagram.com/heyat_rayatalabas/" TargetMode="External"/><Relationship Id="rId1509" Type="http://schemas.openxmlformats.org/officeDocument/2006/relationships/hyperlink" Target="https://www.instagram.com/ashabolghaem/" TargetMode="External"/><Relationship Id="rId987" Type="http://schemas.openxmlformats.org/officeDocument/2006/relationships/hyperlink" Target="https://www.instagram.com/tahmasbpour_abbas/" TargetMode="External"/><Relationship Id="rId986" Type="http://schemas.openxmlformats.org/officeDocument/2006/relationships/hyperlink" Target="https://eitaa.com/smahdi_hoseini_eitaa" TargetMode="External"/><Relationship Id="rId985" Type="http://schemas.openxmlformats.org/officeDocument/2006/relationships/hyperlink" Target="https://t.me/Smahdi_hoseini" TargetMode="External"/><Relationship Id="rId984" Type="http://schemas.openxmlformats.org/officeDocument/2006/relationships/hyperlink" Target="https://www.instagram.com/smahdi_hoseini/" TargetMode="External"/><Relationship Id="rId989" Type="http://schemas.openxmlformats.org/officeDocument/2006/relationships/hyperlink" Target="https://eitaa.com/tahmasbpour_ir" TargetMode="External"/><Relationship Id="rId988" Type="http://schemas.openxmlformats.org/officeDocument/2006/relationships/hyperlink" Target="https://t.me/tahmasbpour_ir" TargetMode="External"/><Relationship Id="rId1570" Type="http://schemas.openxmlformats.org/officeDocument/2006/relationships/hyperlink" Target="https://www.instagram.com/heyatyazahra/" TargetMode="External"/><Relationship Id="rId1571" Type="http://schemas.openxmlformats.org/officeDocument/2006/relationships/drawing" Target="../drawings/drawing3.xml"/><Relationship Id="rId983" Type="http://schemas.openxmlformats.org/officeDocument/2006/relationships/hyperlink" Target="https://t.me/Seyedmohamadreza_hoseini" TargetMode="External"/><Relationship Id="rId982" Type="http://schemas.openxmlformats.org/officeDocument/2006/relationships/hyperlink" Target="https://www.instagram.com/s.mohammadreza_hoseini/" TargetMode="External"/><Relationship Id="rId981" Type="http://schemas.openxmlformats.org/officeDocument/2006/relationships/hyperlink" Target="https://t.me/seyedhojjat128" TargetMode="External"/><Relationship Id="rId980" Type="http://schemas.openxmlformats.org/officeDocument/2006/relationships/hyperlink" Target="https://www.instagram.com/seyedhojjat/" TargetMode="External"/><Relationship Id="rId1565" Type="http://schemas.openxmlformats.org/officeDocument/2006/relationships/hyperlink" Target="https://eitaa.com/modafeanharam" TargetMode="External"/><Relationship Id="rId1566" Type="http://schemas.openxmlformats.org/officeDocument/2006/relationships/hyperlink" Target="https://eitaa.com/heiat_behesht_bafgh" TargetMode="External"/><Relationship Id="rId1567" Type="http://schemas.openxmlformats.org/officeDocument/2006/relationships/hyperlink" Target="https://eitaa.com/Heyat_Fatemiyun" TargetMode="External"/><Relationship Id="rId1568" Type="http://schemas.openxmlformats.org/officeDocument/2006/relationships/hyperlink" Target="https://eitaa.com/massoumiyeh" TargetMode="External"/><Relationship Id="rId1569" Type="http://schemas.openxmlformats.org/officeDocument/2006/relationships/hyperlink" Target="https://eitaa.com/heyatealzahra_ir" TargetMode="External"/><Relationship Id="rId976" Type="http://schemas.openxmlformats.org/officeDocument/2006/relationships/hyperlink" Target="https://www.instagram.com/seyyedamirhoseini_official/" TargetMode="External"/><Relationship Id="rId975" Type="http://schemas.openxmlformats.org/officeDocument/2006/relationships/hyperlink" Target="https://t.me/sameh6969" TargetMode="External"/><Relationship Id="rId974" Type="http://schemas.openxmlformats.org/officeDocument/2006/relationships/hyperlink" Target="https://www.instagram.com/seyyedamirhoseini/" TargetMode="External"/><Relationship Id="rId973" Type="http://schemas.openxmlformats.org/officeDocument/2006/relationships/hyperlink" Target="https://eitaa.com/ehsan_safarii123" TargetMode="External"/><Relationship Id="rId979" Type="http://schemas.openxmlformats.org/officeDocument/2006/relationships/hyperlink" Target="https://www.instagram.com/serajalhosein/" TargetMode="External"/><Relationship Id="rId978" Type="http://schemas.openxmlformats.org/officeDocument/2006/relationships/hyperlink" Target="https://t.me/serajalhosein" TargetMode="External"/><Relationship Id="rId977" Type="http://schemas.openxmlformats.org/officeDocument/2006/relationships/hyperlink" Target="https://www.instagram.com/abolfazl.bakhtiyari/" TargetMode="External"/><Relationship Id="rId1560" Type="http://schemas.openxmlformats.org/officeDocument/2006/relationships/hyperlink" Target="https://eitaa.com/heyat_parand" TargetMode="External"/><Relationship Id="rId972" Type="http://schemas.openxmlformats.org/officeDocument/2006/relationships/hyperlink" Target="https://t.me/safari_ehsan" TargetMode="External"/><Relationship Id="rId1561" Type="http://schemas.openxmlformats.org/officeDocument/2006/relationships/hyperlink" Target="https://eitaa.com/a_ghaaem" TargetMode="External"/><Relationship Id="rId971" Type="http://schemas.openxmlformats.org/officeDocument/2006/relationships/hyperlink" Target="https://www.instagram.com/ehsansafari.ir/" TargetMode="External"/><Relationship Id="rId1562" Type="http://schemas.openxmlformats.org/officeDocument/2006/relationships/hyperlink" Target="https://eitaa.com/NaraghMokeb" TargetMode="External"/><Relationship Id="rId970" Type="http://schemas.openxmlformats.org/officeDocument/2006/relationships/hyperlink" Target="https://www.youtube.com/@sajjadmohammadi1" TargetMode="External"/><Relationship Id="rId1563" Type="http://schemas.openxmlformats.org/officeDocument/2006/relationships/hyperlink" Target="https://eitaa.com/AbolfazlAbbas_Kormanjha" TargetMode="External"/><Relationship Id="rId1564" Type="http://schemas.openxmlformats.org/officeDocument/2006/relationships/hyperlink" Target="https://eitaa.com/sajjadiye_Eslamshahr" TargetMode="External"/><Relationship Id="rId998" Type="http://schemas.openxmlformats.org/officeDocument/2006/relationships/hyperlink" Target="http://t.me/heiat_razmandegan" TargetMode="External"/><Relationship Id="rId997" Type="http://schemas.openxmlformats.org/officeDocument/2006/relationships/hyperlink" Target="https://www.instagram.com/hajsaeidhadadian/" TargetMode="External"/><Relationship Id="rId996" Type="http://schemas.openxmlformats.org/officeDocument/2006/relationships/hyperlink" Target="http://t.me/hajmohamadtaheri" TargetMode="External"/><Relationship Id="rId995" Type="http://schemas.openxmlformats.org/officeDocument/2006/relationships/hyperlink" Target="https://eitaa.com/hajmansourarzi" TargetMode="External"/><Relationship Id="rId999" Type="http://schemas.openxmlformats.org/officeDocument/2006/relationships/hyperlink" Target="https://www.instagram.com/rezahelaliofficial" TargetMode="External"/><Relationship Id="rId990" Type="http://schemas.openxmlformats.org/officeDocument/2006/relationships/hyperlink" Target="https://tahmasbpour.ir/" TargetMode="External"/><Relationship Id="rId994" Type="http://schemas.openxmlformats.org/officeDocument/2006/relationships/hyperlink" Target="http://t.me/hajmansourarzi" TargetMode="External"/><Relationship Id="rId993" Type="http://schemas.openxmlformats.org/officeDocument/2006/relationships/hyperlink" Target="https://www.instagram.com/hajmansourarzi/" TargetMode="External"/><Relationship Id="rId992" Type="http://schemas.openxmlformats.org/officeDocument/2006/relationships/hyperlink" Target="https://www.instagram.com/sibsorkhi.clips/" TargetMode="External"/><Relationship Id="rId991" Type="http://schemas.openxmlformats.org/officeDocument/2006/relationships/hyperlink" Target="https://www.instagram.com/sibsorkhi.official/" TargetMode="External"/><Relationship Id="rId1532" Type="http://schemas.openxmlformats.org/officeDocument/2006/relationships/hyperlink" Target="https://l.instagram.com/?u=https%3A%2F%2Ft.me%2Fmaktab_shohada18%3Futm_source%3Dig%26utm_medium%3Dsocial%26utm_content%3Dlink_in_bio%26fbclid%3DPAZXh0bgNhZW0CMTEAc3J0YwZhcHBfaWQMMjU2MjgxMDQwNTU4AAGn2kDqlD7p-8LclQYdDwLixVDcaNC3UaAY5weTS6SUWAjnKQhsZAup-xYb1XA_aem_NosxFUP3fqhwgaVSofq-Fg&amp;e=AT7qBjHjUQe-f5uvEKIqgEOQB8nvWmzxrYlaFxoPLvKUKLEtYEFQNdA5D98Lgo8q5Jo9NJhEp6fSzN38W9gaOgcop-bChrUF46QdsE-v6g" TargetMode="External"/><Relationship Id="rId1533" Type="http://schemas.openxmlformats.org/officeDocument/2006/relationships/hyperlink" Target="https://www.instagram.com/godalghatlegah_ir?utm_source=ig_web_button_share_sheet&amp;igsh=ZDNlZDc0MzIxNw==" TargetMode="External"/><Relationship Id="rId1534" Type="http://schemas.openxmlformats.org/officeDocument/2006/relationships/hyperlink" Target="https://eitaa.com/godalghatlegah_ir" TargetMode="External"/><Relationship Id="rId1535" Type="http://schemas.openxmlformats.org/officeDocument/2006/relationships/hyperlink" Target="https://eitaa.com/Shafie_al_moznebin" TargetMode="External"/><Relationship Id="rId1536" Type="http://schemas.openxmlformats.org/officeDocument/2006/relationships/hyperlink" Target="https://eitaa.com/hosseinie_karbala" TargetMode="External"/><Relationship Id="rId1537" Type="http://schemas.openxmlformats.org/officeDocument/2006/relationships/hyperlink" Target="https://eitaa.com/beit_133" TargetMode="External"/><Relationship Id="rId1538" Type="http://schemas.openxmlformats.org/officeDocument/2006/relationships/hyperlink" Target="https://eitaa.com/mokebansarozahra135" TargetMode="External"/><Relationship Id="rId1539" Type="http://schemas.openxmlformats.org/officeDocument/2006/relationships/hyperlink" Target="https://eitaa.com/shohada72" TargetMode="External"/><Relationship Id="rId949" Type="http://schemas.openxmlformats.org/officeDocument/2006/relationships/hyperlink" Target="https://www.instagram.com/nooshevar/" TargetMode="External"/><Relationship Id="rId948" Type="http://schemas.openxmlformats.org/officeDocument/2006/relationships/hyperlink" Target="https://t.me/morteza_khademi110" TargetMode="External"/><Relationship Id="rId943" Type="http://schemas.openxmlformats.org/officeDocument/2006/relationships/hyperlink" Target="https://www.instagram.com/mohammadreza.alikhanii/" TargetMode="External"/><Relationship Id="rId942" Type="http://schemas.openxmlformats.org/officeDocument/2006/relationships/hyperlink" Target="https://www.instagram.com/mohsenaraghiofficial/" TargetMode="External"/><Relationship Id="rId941" Type="http://schemas.openxmlformats.org/officeDocument/2006/relationships/hyperlink" Target="https://t.me/mohsenaraghi" TargetMode="External"/><Relationship Id="rId940" Type="http://schemas.openxmlformats.org/officeDocument/2006/relationships/hyperlink" Target="https://www.instagram.com/karbalaie_mohsen_araghiii/" TargetMode="External"/><Relationship Id="rId947" Type="http://schemas.openxmlformats.org/officeDocument/2006/relationships/hyperlink" Target="https://www.instagram.com/morteza_khademi315/" TargetMode="External"/><Relationship Id="rId946" Type="http://schemas.openxmlformats.org/officeDocument/2006/relationships/hyperlink" Target="https://t.me/mooezeh" TargetMode="External"/><Relationship Id="rId945" Type="http://schemas.openxmlformats.org/officeDocument/2006/relationships/hyperlink" Target="https://www.instagram.com/mooezeh.ir/" TargetMode="External"/><Relationship Id="rId944" Type="http://schemas.openxmlformats.org/officeDocument/2006/relationships/hyperlink" Target="https://t.me/momamadrezaalikhani" TargetMode="External"/><Relationship Id="rId1530" Type="http://schemas.openxmlformats.org/officeDocument/2006/relationships/hyperlink" Target="https://eitaa.com/Reyhanatorasooll" TargetMode="External"/><Relationship Id="rId1531" Type="http://schemas.openxmlformats.org/officeDocument/2006/relationships/hyperlink" Target="https://www.instagram.com/heyat_maktab_shohada/" TargetMode="External"/><Relationship Id="rId1521" Type="http://schemas.openxmlformats.org/officeDocument/2006/relationships/hyperlink" Target="https://eitaa.com/khompich" TargetMode="External"/><Relationship Id="rId1522" Type="http://schemas.openxmlformats.org/officeDocument/2006/relationships/hyperlink" Target="https://eitaa.com/sahebalzamaan_313" TargetMode="External"/><Relationship Id="rId1523" Type="http://schemas.openxmlformats.org/officeDocument/2006/relationships/hyperlink" Target="https://eitaa.com/fatemyounvaramin" TargetMode="External"/><Relationship Id="rId1524" Type="http://schemas.openxmlformats.org/officeDocument/2006/relationships/hyperlink" Target="https://eitaa.com/Asheghan_Aemmeh" TargetMode="External"/><Relationship Id="rId1525" Type="http://schemas.openxmlformats.org/officeDocument/2006/relationships/hyperlink" Target="https://eitaa.com/HosseinShahidKhoshro" TargetMode="External"/><Relationship Id="rId1526" Type="http://schemas.openxmlformats.org/officeDocument/2006/relationships/hyperlink" Target="https://www.instagram.com/heyat_yamahdi?utm_source=ig_web_button_share_sheet&amp;igsh=ZDNlZDc0MzIxNw==" TargetMode="External"/><Relationship Id="rId1527" Type="http://schemas.openxmlformats.org/officeDocument/2006/relationships/hyperlink" Target="https://t.me/heyat_yamahdi" TargetMode="External"/><Relationship Id="rId1528" Type="http://schemas.openxmlformats.org/officeDocument/2006/relationships/hyperlink" Target="https://eitaa.com/heyat_yamahdi" TargetMode="External"/><Relationship Id="rId1529" Type="http://schemas.openxmlformats.org/officeDocument/2006/relationships/hyperlink" Target="https://eitaa.com/Delrish" TargetMode="External"/><Relationship Id="rId939" Type="http://schemas.openxmlformats.org/officeDocument/2006/relationships/hyperlink" Target="https://www.youtube.com/@mhpooyanfar" TargetMode="External"/><Relationship Id="rId938" Type="http://schemas.openxmlformats.org/officeDocument/2006/relationships/hyperlink" Target="https://eitaa.com/mhpooyanfar" TargetMode="External"/><Relationship Id="rId937" Type="http://schemas.openxmlformats.org/officeDocument/2006/relationships/hyperlink" Target="https://t.me/mhpooyanfar" TargetMode="External"/><Relationship Id="rId932" Type="http://schemas.openxmlformats.org/officeDocument/2006/relationships/hyperlink" Target="https://t.me/MeysamMotiee" TargetMode="External"/><Relationship Id="rId931" Type="http://schemas.openxmlformats.org/officeDocument/2006/relationships/hyperlink" Target="https://www.instagram.com/meysammotiee" TargetMode="External"/><Relationship Id="rId930" Type="http://schemas.openxmlformats.org/officeDocument/2006/relationships/hyperlink" Target="https://t.me/mazlum128" TargetMode="External"/><Relationship Id="rId936" Type="http://schemas.openxmlformats.org/officeDocument/2006/relationships/hyperlink" Target="https://www.instagram.com/mhpooyanfar" TargetMode="External"/><Relationship Id="rId935" Type="http://schemas.openxmlformats.org/officeDocument/2006/relationships/hyperlink" Target="https://meysammotiee.ir/" TargetMode="External"/><Relationship Id="rId934" Type="http://schemas.openxmlformats.org/officeDocument/2006/relationships/hyperlink" Target="https://www.youtube.com/@Meysam.Motiee" TargetMode="External"/><Relationship Id="rId933" Type="http://schemas.openxmlformats.org/officeDocument/2006/relationships/hyperlink" Target="https://eitaa.com/MeysamMotiee" TargetMode="External"/><Relationship Id="rId1520" Type="http://schemas.openxmlformats.org/officeDocument/2006/relationships/hyperlink" Target="https://eitaa.com/ahbabeslamshahr" TargetMode="External"/><Relationship Id="rId1554" Type="http://schemas.openxmlformats.org/officeDocument/2006/relationships/hyperlink" Target="https://eitaa.com/moheban81" TargetMode="External"/><Relationship Id="rId1555" Type="http://schemas.openxmlformats.org/officeDocument/2006/relationships/hyperlink" Target="https://eitaa.com/Heyat_omeaheba" TargetMode="External"/><Relationship Id="rId1556" Type="http://schemas.openxmlformats.org/officeDocument/2006/relationships/hyperlink" Target="https://eitaa.com/rozatolhosein1381" TargetMode="External"/><Relationship Id="rId1557" Type="http://schemas.openxmlformats.org/officeDocument/2006/relationships/hyperlink" Target="https://eitaa.com/ostovar313" TargetMode="External"/><Relationship Id="rId1558" Type="http://schemas.openxmlformats.org/officeDocument/2006/relationships/hyperlink" Target="https://eitaa.com/mokabkhademin" TargetMode="External"/><Relationship Id="rId1559" Type="http://schemas.openxmlformats.org/officeDocument/2006/relationships/hyperlink" Target="https://eitaa.com/heyatjame_dokhtranhajgasem" TargetMode="External"/><Relationship Id="rId965" Type="http://schemas.openxmlformats.org/officeDocument/2006/relationships/hyperlink" Target="https://www.instagram.com/mahdi_mobini_poor/" TargetMode="External"/><Relationship Id="rId964" Type="http://schemas.openxmlformats.org/officeDocument/2006/relationships/hyperlink" Target="https://t.me/rohollahbahmani" TargetMode="External"/><Relationship Id="rId963" Type="http://schemas.openxmlformats.org/officeDocument/2006/relationships/hyperlink" Target="https://www.instagram.com/rohollahbahmani/" TargetMode="External"/><Relationship Id="rId962" Type="http://schemas.openxmlformats.org/officeDocument/2006/relationships/hyperlink" Target="https://www.instagram.com/mohamadkomeil_official/" TargetMode="External"/><Relationship Id="rId969" Type="http://schemas.openxmlformats.org/officeDocument/2006/relationships/hyperlink" Target="https://eitaa.com/sajjadmohamadiii" TargetMode="External"/><Relationship Id="rId968" Type="http://schemas.openxmlformats.org/officeDocument/2006/relationships/hyperlink" Target="https://t.me/saajjad_mohammadi" TargetMode="External"/><Relationship Id="rId967" Type="http://schemas.openxmlformats.org/officeDocument/2006/relationships/hyperlink" Target="https://www.instagram.com/sajjad_mohammadii/" TargetMode="External"/><Relationship Id="rId966" Type="http://schemas.openxmlformats.org/officeDocument/2006/relationships/hyperlink" Target="https://t.me/rozeh135" TargetMode="External"/><Relationship Id="rId961" Type="http://schemas.openxmlformats.org/officeDocument/2006/relationships/hyperlink" Target="https://eitaa.com/ravaq_eitaa" TargetMode="External"/><Relationship Id="rId1550" Type="http://schemas.openxmlformats.org/officeDocument/2006/relationships/hyperlink" Target="https://eitaa.com/HshohadaQ" TargetMode="External"/><Relationship Id="rId960" Type="http://schemas.openxmlformats.org/officeDocument/2006/relationships/hyperlink" Target="https://t.me/ravaq" TargetMode="External"/><Relationship Id="rId1551" Type="http://schemas.openxmlformats.org/officeDocument/2006/relationships/hyperlink" Target="https://eitaa.com/maktab1385" TargetMode="External"/><Relationship Id="rId1552" Type="http://schemas.openxmlformats.org/officeDocument/2006/relationships/hyperlink" Target="https://eitaa.com/moslem535" TargetMode="External"/><Relationship Id="rId1553" Type="http://schemas.openxmlformats.org/officeDocument/2006/relationships/hyperlink" Target="https://eitaa.com/Shiftegan_Hazrat_Zeynab" TargetMode="External"/><Relationship Id="rId1543" Type="http://schemas.openxmlformats.org/officeDocument/2006/relationships/hyperlink" Target="https://eitaa.com/mseyed_ir" TargetMode="External"/><Relationship Id="rId1544" Type="http://schemas.openxmlformats.org/officeDocument/2006/relationships/hyperlink" Target="https://eitaa.com/ya_zahra_213_khademin" TargetMode="External"/><Relationship Id="rId1545" Type="http://schemas.openxmlformats.org/officeDocument/2006/relationships/hyperlink" Target="https://eitaa.com/hoseiniye_dastjerdiha" TargetMode="External"/><Relationship Id="rId1546" Type="http://schemas.openxmlformats.org/officeDocument/2006/relationships/hyperlink" Target="https://eitaa.com/mohebF" TargetMode="External"/><Relationship Id="rId1547" Type="http://schemas.openxmlformats.org/officeDocument/2006/relationships/hyperlink" Target="https://eitaa.com/contact_sarallah" TargetMode="External"/><Relationship Id="rId1548" Type="http://schemas.openxmlformats.org/officeDocument/2006/relationships/hyperlink" Target="https://www.instagram.com/hshohadaq?utm_source=ig_web_button_share_sheet&amp;igsh=ZDNlZDc0MzIxNw==" TargetMode="External"/><Relationship Id="rId1549" Type="http://schemas.openxmlformats.org/officeDocument/2006/relationships/hyperlink" Target="https://t.me/hshohadaq" TargetMode="External"/><Relationship Id="rId959" Type="http://schemas.openxmlformats.org/officeDocument/2006/relationships/hyperlink" Target="https://www.instagram.com/komeil128/" TargetMode="External"/><Relationship Id="rId954" Type="http://schemas.openxmlformats.org/officeDocument/2006/relationships/hyperlink" Target="https://norolboka.ir/" TargetMode="External"/><Relationship Id="rId953" Type="http://schemas.openxmlformats.org/officeDocument/2006/relationships/hyperlink" Target="https://eitaa.com/norolboka" TargetMode="External"/><Relationship Id="rId952" Type="http://schemas.openxmlformats.org/officeDocument/2006/relationships/hyperlink" Target="https://t.me/norolboka" TargetMode="External"/><Relationship Id="rId951" Type="http://schemas.openxmlformats.org/officeDocument/2006/relationships/hyperlink" Target="https://www.instagram.com/h_khalaj" TargetMode="External"/><Relationship Id="rId958" Type="http://schemas.openxmlformats.org/officeDocument/2006/relationships/hyperlink" Target="https://www.youtube.com/@payamkiani" TargetMode="External"/><Relationship Id="rId957" Type="http://schemas.openxmlformats.org/officeDocument/2006/relationships/hyperlink" Target="https://eitaa.com/Payamkiyani_eitaa" TargetMode="External"/><Relationship Id="rId956" Type="http://schemas.openxmlformats.org/officeDocument/2006/relationships/hyperlink" Target="https://t.me/payamkiyani" TargetMode="External"/><Relationship Id="rId955" Type="http://schemas.openxmlformats.org/officeDocument/2006/relationships/hyperlink" Target="https://www.instagram.com/payamkiyani.205/" TargetMode="External"/><Relationship Id="rId950" Type="http://schemas.openxmlformats.org/officeDocument/2006/relationships/hyperlink" Target="https://t.me/nooshevar" TargetMode="External"/><Relationship Id="rId1540" Type="http://schemas.openxmlformats.org/officeDocument/2006/relationships/hyperlink" Target="https://eitaa.com/ansar_alzahra40" TargetMode="External"/><Relationship Id="rId1541" Type="http://schemas.openxmlformats.org/officeDocument/2006/relationships/hyperlink" Target="https://eitaa.com/ansarvelayat313_info" TargetMode="External"/><Relationship Id="rId1542" Type="http://schemas.openxmlformats.org/officeDocument/2006/relationships/hyperlink" Target="https://eitaa.com/darbedaran" TargetMode="External"/><Relationship Id="rId907" Type="http://schemas.openxmlformats.org/officeDocument/2006/relationships/hyperlink" Target="https://t.me/hoseinizadkhah" TargetMode="External"/><Relationship Id="rId906" Type="http://schemas.openxmlformats.org/officeDocument/2006/relationships/hyperlink" Target="https://www.instagram.com/hosein.izadkhah/" TargetMode="External"/><Relationship Id="rId905" Type="http://schemas.openxmlformats.org/officeDocument/2006/relationships/hyperlink" Target="https://t.me/heiat_delsokhtegan" TargetMode="External"/><Relationship Id="rId904" Type="http://schemas.openxmlformats.org/officeDocument/2006/relationships/hyperlink" Target="https://www.instagram.com/ebrahim__rahiimi/" TargetMode="External"/><Relationship Id="rId909" Type="http://schemas.openxmlformats.org/officeDocument/2006/relationships/hyperlink" Target="https://eitaa.com/karbalaihoseintaheri" TargetMode="External"/><Relationship Id="rId908" Type="http://schemas.openxmlformats.org/officeDocument/2006/relationships/hyperlink" Target="http://eitaa.com/hoseine" TargetMode="External"/><Relationship Id="rId903" Type="http://schemas.openxmlformats.org/officeDocument/2006/relationships/hyperlink" Target="https://t.me/hasanrezagholi" TargetMode="External"/><Relationship Id="rId902" Type="http://schemas.openxmlformats.org/officeDocument/2006/relationships/hyperlink" Target="https://www.instagram.com/hasan.rezagholi/" TargetMode="External"/><Relationship Id="rId901" Type="http://schemas.openxmlformats.org/officeDocument/2006/relationships/hyperlink" Target="https://t.me/Hasan_hoseynkhani" TargetMode="External"/><Relationship Id="rId900" Type="http://schemas.openxmlformats.org/officeDocument/2006/relationships/hyperlink" Target="https://www.instagram.com/hasan_hoseynkhani/" TargetMode="External"/><Relationship Id="rId929" Type="http://schemas.openxmlformats.org/officeDocument/2006/relationships/hyperlink" Target="https://www.instagram.com/hossein_eidi201/" TargetMode="External"/><Relationship Id="rId928" Type="http://schemas.openxmlformats.org/officeDocument/2006/relationships/hyperlink" Target="https://heydariioon.com/" TargetMode="External"/><Relationship Id="rId927" Type="http://schemas.openxmlformats.org/officeDocument/2006/relationships/hyperlink" Target="https://t.me/Mahdii_ranaee" TargetMode="External"/><Relationship Id="rId926" Type="http://schemas.openxmlformats.org/officeDocument/2006/relationships/hyperlink" Target="https://www.instagram.com/mahdii_ranaee/" TargetMode="External"/><Relationship Id="rId921" Type="http://schemas.openxmlformats.org/officeDocument/2006/relationships/hyperlink" Target="https://t.me/karbalaimehrdadmaleki" TargetMode="External"/><Relationship Id="rId920" Type="http://schemas.openxmlformats.org/officeDocument/2006/relationships/hyperlink" Target="https://www.instagram.com/mehrdadmalekiofficial/" TargetMode="External"/><Relationship Id="rId925" Type="http://schemas.openxmlformats.org/officeDocument/2006/relationships/hyperlink" Target="https://t.me/khamseh128" TargetMode="External"/><Relationship Id="rId924" Type="http://schemas.openxmlformats.org/officeDocument/2006/relationships/hyperlink" Target="https://www.instagram.com/hamedkhamseh_official/" TargetMode="External"/><Relationship Id="rId923" Type="http://schemas.openxmlformats.org/officeDocument/2006/relationships/hyperlink" Target="https://t.me/khamseh110" TargetMode="External"/><Relationship Id="rId922" Type="http://schemas.openxmlformats.org/officeDocument/2006/relationships/hyperlink" Target="https://www.instagram.com/heydar.khamsee" TargetMode="External"/><Relationship Id="rId918" Type="http://schemas.openxmlformats.org/officeDocument/2006/relationships/hyperlink" Target="https://t.me/karbalaei_akbar_ebadi" TargetMode="External"/><Relationship Id="rId917" Type="http://schemas.openxmlformats.org/officeDocument/2006/relationships/hyperlink" Target="https://www.instagram.com/akbar___ebadi/" TargetMode="External"/><Relationship Id="rId916" Type="http://schemas.openxmlformats.org/officeDocument/2006/relationships/hyperlink" Target="https://t.me/K_ataieniya315" TargetMode="External"/><Relationship Id="rId915" Type="http://schemas.openxmlformats.org/officeDocument/2006/relationships/hyperlink" Target="https://www.instagram.com/mohammad_ataieniya216/" TargetMode="External"/><Relationship Id="rId919" Type="http://schemas.openxmlformats.org/officeDocument/2006/relationships/hyperlink" Target="https://eitaa.com/s/karbalaei_akbar_ebadi" TargetMode="External"/><Relationship Id="rId910" Type="http://schemas.openxmlformats.org/officeDocument/2006/relationships/hyperlink" Target="https://www.instagram.com/hoseintaheri" TargetMode="External"/><Relationship Id="rId914" Type="http://schemas.openxmlformats.org/officeDocument/2006/relationships/hyperlink" Target="https://t.me/javadmoghadamrasmi" TargetMode="External"/><Relationship Id="rId913" Type="http://schemas.openxmlformats.org/officeDocument/2006/relationships/hyperlink" Target="https://www.instagram.com/javadmoghadam.rasmi" TargetMode="External"/><Relationship Id="rId912" Type="http://schemas.openxmlformats.org/officeDocument/2006/relationships/hyperlink" Target="https://eitaa.com/hoseintaheri213" TargetMode="External"/><Relationship Id="rId911" Type="http://schemas.openxmlformats.org/officeDocument/2006/relationships/hyperlink" Target="https://t.me/hoseintaheri_telegram" TargetMode="External"/><Relationship Id="rId866" Type="http://schemas.openxmlformats.org/officeDocument/2006/relationships/hyperlink" Target="https://t.me/aminshadkamzakaria" TargetMode="External"/><Relationship Id="rId865" Type="http://schemas.openxmlformats.org/officeDocument/2006/relationships/hyperlink" Target="https://www.instagram.com/aminshadkamzakaria/" TargetMode="External"/><Relationship Id="rId864" Type="http://schemas.openxmlformats.org/officeDocument/2006/relationships/hyperlink" Target="https://t.me/amin_ghadim313" TargetMode="External"/><Relationship Id="rId863" Type="http://schemas.openxmlformats.org/officeDocument/2006/relationships/hyperlink" Target="https://www.instagram.com/amin_ghadim/" TargetMode="External"/><Relationship Id="rId869" Type="http://schemas.openxmlformats.org/officeDocument/2006/relationships/hyperlink" Target="https://www.instagram.com/hazrati.128/" TargetMode="External"/><Relationship Id="rId868" Type="http://schemas.openxmlformats.org/officeDocument/2006/relationships/hyperlink" Target="https://t.me/amirabbasi_net" TargetMode="External"/><Relationship Id="rId867" Type="http://schemas.openxmlformats.org/officeDocument/2006/relationships/hyperlink" Target="https://www.instagram.com/amirabbasi.313/" TargetMode="External"/><Relationship Id="rId862" Type="http://schemas.openxmlformats.org/officeDocument/2006/relationships/hyperlink" Target="https://alirezashahrabi.com/" TargetMode="External"/><Relationship Id="rId861" Type="http://schemas.openxmlformats.org/officeDocument/2006/relationships/hyperlink" Target="https://t.me/alirezashahrabi_online" TargetMode="External"/><Relationship Id="rId860" Type="http://schemas.openxmlformats.org/officeDocument/2006/relationships/hyperlink" Target="https://www.instagram.com/alireza_shahrabi_official/" TargetMode="External"/><Relationship Id="rId855" Type="http://schemas.openxmlformats.org/officeDocument/2006/relationships/hyperlink" Target="https://www.instagram.com/helalmedia/" TargetMode="External"/><Relationship Id="rId854" Type="http://schemas.openxmlformats.org/officeDocument/2006/relationships/hyperlink" Target="https://www.instagram.com/mooud.sound.group/" TargetMode="External"/><Relationship Id="rId853" Type="http://schemas.openxmlformats.org/officeDocument/2006/relationships/hyperlink" Target="https://www.instagram.com/mahed4441/" TargetMode="External"/><Relationship Id="rId852" Type="http://schemas.openxmlformats.org/officeDocument/2006/relationships/hyperlink" Target="https://www.instagram.com/fathgraf/" TargetMode="External"/><Relationship Id="rId859" Type="http://schemas.openxmlformats.org/officeDocument/2006/relationships/hyperlink" Target="https://t.me/aliensani135" TargetMode="External"/><Relationship Id="rId858" Type="http://schemas.openxmlformats.org/officeDocument/2006/relationships/hyperlink" Target="https://www.instagram.com/aliensani135/" TargetMode="External"/><Relationship Id="rId857" Type="http://schemas.openxmlformats.org/officeDocument/2006/relationships/hyperlink" Target="https://t.me/ali_porkaveh_zanjani" TargetMode="External"/><Relationship Id="rId856" Type="http://schemas.openxmlformats.org/officeDocument/2006/relationships/hyperlink" Target="https://www.instagram.com/ali_porkaveeh_org/" TargetMode="External"/><Relationship Id="rId851" Type="http://schemas.openxmlformats.org/officeDocument/2006/relationships/hyperlink" Target="https://www.instagram.com/HEJRAT_NET/" TargetMode="External"/><Relationship Id="rId850" Type="http://schemas.openxmlformats.org/officeDocument/2006/relationships/hyperlink" Target="https://www.instagram.com/khademolhasan_ir/" TargetMode="External"/><Relationship Id="rId888" Type="http://schemas.openxmlformats.org/officeDocument/2006/relationships/hyperlink" Target="https://t.me/haghighat_javad" TargetMode="External"/><Relationship Id="rId887" Type="http://schemas.openxmlformats.org/officeDocument/2006/relationships/hyperlink" Target="https://www.instagram.com/javadhaghighatofficial/" TargetMode="External"/><Relationship Id="rId886" Type="http://schemas.openxmlformats.org/officeDocument/2006/relationships/hyperlink" Target="http://fotros.ir/" TargetMode="External"/><Relationship Id="rId885" Type="http://schemas.openxmlformats.org/officeDocument/2006/relationships/hyperlink" Target="https://www.youtube.com/@mahmoudkarimiofficial" TargetMode="External"/><Relationship Id="rId889" Type="http://schemas.openxmlformats.org/officeDocument/2006/relationships/hyperlink" Target="https://www.instagram.com/seyedvahid_mostafavi_official/" TargetMode="External"/><Relationship Id="rId880" Type="http://schemas.openxmlformats.org/officeDocument/2006/relationships/hyperlink" Target="https://t.me/ebrahim_ziyadzade" TargetMode="External"/><Relationship Id="rId884" Type="http://schemas.openxmlformats.org/officeDocument/2006/relationships/hyperlink" Target="https://t.me/fotros_ir" TargetMode="External"/><Relationship Id="rId883" Type="http://schemas.openxmlformats.org/officeDocument/2006/relationships/hyperlink" Target="https://www.instagram.com/fotros_ir/" TargetMode="External"/><Relationship Id="rId882" Type="http://schemas.openxmlformats.org/officeDocument/2006/relationships/hyperlink" Target="https://t.me/farahani_info" TargetMode="External"/><Relationship Id="rId881" Type="http://schemas.openxmlformats.org/officeDocument/2006/relationships/hyperlink" Target="https://www.instagram.com/farahani.info/" TargetMode="External"/><Relationship Id="rId877" Type="http://schemas.openxmlformats.org/officeDocument/2006/relationships/hyperlink" Target="https://www.instagram.com/vahid_shokri118/" TargetMode="External"/><Relationship Id="rId876" Type="http://schemas.openxmlformats.org/officeDocument/2006/relationships/hyperlink" Target="https://eitaa.com/mohamadhoseyn_hadadian" TargetMode="External"/><Relationship Id="rId875" Type="http://schemas.openxmlformats.org/officeDocument/2006/relationships/hyperlink" Target="https://t.me/buyesib_com" TargetMode="External"/><Relationship Id="rId874" Type="http://schemas.openxmlformats.org/officeDocument/2006/relationships/hyperlink" Target="https://www.instagram.com/mohamadhosein_h" TargetMode="External"/><Relationship Id="rId879" Type="http://schemas.openxmlformats.org/officeDocument/2006/relationships/hyperlink" Target="https://www.instagram.com/ebrahim_ziyadzade_/" TargetMode="External"/><Relationship Id="rId878" Type="http://schemas.openxmlformats.org/officeDocument/2006/relationships/hyperlink" Target="https://t.me/channel_vahid_shokri_118" TargetMode="External"/><Relationship Id="rId873" Type="http://schemas.openxmlformats.org/officeDocument/2006/relationships/hyperlink" Target="https://t.me/AmirHosseinRajablou" TargetMode="External"/><Relationship Id="rId872" Type="http://schemas.openxmlformats.org/officeDocument/2006/relationships/hyperlink" Target="https://www.instagram.com/amir_hosein_rajablou/" TargetMode="External"/><Relationship Id="rId871" Type="http://schemas.openxmlformats.org/officeDocument/2006/relationships/hyperlink" Target="https://www.youtube.com/@Hazrati.128" TargetMode="External"/><Relationship Id="rId870" Type="http://schemas.openxmlformats.org/officeDocument/2006/relationships/hyperlink" Target="https://t.me/amirhoseinhazrati128" TargetMode="External"/><Relationship Id="rId829" Type="http://schemas.openxmlformats.org/officeDocument/2006/relationships/hyperlink" Target="https://www.instagram.com/mahmuudkarimi" TargetMode="External"/><Relationship Id="rId828" Type="http://schemas.openxmlformats.org/officeDocument/2006/relationships/hyperlink" Target="https://www.youtube.com/@heiatjanesaran" TargetMode="External"/><Relationship Id="rId827" Type="http://schemas.openxmlformats.org/officeDocument/2006/relationships/hyperlink" Target="https://t.me/heiatjanesaran" TargetMode="External"/><Relationship Id="rId822" Type="http://schemas.openxmlformats.org/officeDocument/2006/relationships/hyperlink" Target="https://www.instagram.com/avaye_bartar_sound_group/" TargetMode="External"/><Relationship Id="rId821" Type="http://schemas.openxmlformats.org/officeDocument/2006/relationships/hyperlink" Target="https://t.me/asraae_133" TargetMode="External"/><Relationship Id="rId820" Type="http://schemas.openxmlformats.org/officeDocument/2006/relationships/hyperlink" Target="https://www.instagram.com/asrae_133/" TargetMode="External"/><Relationship Id="rId826" Type="http://schemas.openxmlformats.org/officeDocument/2006/relationships/hyperlink" Target="https://www.instagram.com/heiatjanesaran/" TargetMode="External"/><Relationship Id="rId825" Type="http://schemas.openxmlformats.org/officeDocument/2006/relationships/hyperlink" Target="https://t.me/ghorubeadineh" TargetMode="External"/><Relationship Id="rId824" Type="http://schemas.openxmlformats.org/officeDocument/2006/relationships/hyperlink" Target="https://www.instagram.com/ghorobadineh.ir" TargetMode="External"/><Relationship Id="rId823" Type="http://schemas.openxmlformats.org/officeDocument/2006/relationships/hyperlink" Target="https://t.me/AvayeBartarSoundGroup" TargetMode="External"/><Relationship Id="rId819" Type="http://schemas.openxmlformats.org/officeDocument/2006/relationships/hyperlink" Target="https://www.youtube.com/@ahrar118" TargetMode="External"/><Relationship Id="rId818" Type="http://schemas.openxmlformats.org/officeDocument/2006/relationships/hyperlink" Target="https://t.me/ahrar_118" TargetMode="External"/><Relationship Id="rId817" Type="http://schemas.openxmlformats.org/officeDocument/2006/relationships/hyperlink" Target="https://www.instagram.com/ahrar_118/" TargetMode="External"/><Relationship Id="rId816" Type="http://schemas.openxmlformats.org/officeDocument/2006/relationships/hyperlink" Target="https://www.youtube.com/@ahlebeytmedia" TargetMode="External"/><Relationship Id="rId811" Type="http://schemas.openxmlformats.org/officeDocument/2006/relationships/hyperlink" Target="https://eitaa.com/beytolabbas12" TargetMode="External"/><Relationship Id="rId810" Type="http://schemas.openxmlformats.org/officeDocument/2006/relationships/hyperlink" Target="https://t.me/beyt_ol_sadegh" TargetMode="External"/><Relationship Id="rId815" Type="http://schemas.openxmlformats.org/officeDocument/2006/relationships/hyperlink" Target="https://t.me/AhleBeytMedia" TargetMode="External"/><Relationship Id="rId814" Type="http://schemas.openxmlformats.org/officeDocument/2006/relationships/hyperlink" Target="https://www.instagram.com/ahlebeytmedia/" TargetMode="External"/><Relationship Id="rId813" Type="http://schemas.openxmlformats.org/officeDocument/2006/relationships/hyperlink" Target="https://t.me/aghile_110" TargetMode="External"/><Relationship Id="rId812" Type="http://schemas.openxmlformats.org/officeDocument/2006/relationships/hyperlink" Target="https://www.instagram.com/aghile.110/" TargetMode="External"/><Relationship Id="rId849" Type="http://schemas.openxmlformats.org/officeDocument/2006/relationships/hyperlink" Target="https://www.instagram.com/hanifa.artmedia/" TargetMode="External"/><Relationship Id="rId844" Type="http://schemas.openxmlformats.org/officeDocument/2006/relationships/hyperlink" Target="https://www.instagram.com/pelan3/" TargetMode="External"/><Relationship Id="rId843" Type="http://schemas.openxmlformats.org/officeDocument/2006/relationships/hyperlink" Target="https://t.me/sot_alhosin" TargetMode="External"/><Relationship Id="rId842" Type="http://schemas.openxmlformats.org/officeDocument/2006/relationships/hyperlink" Target="https://www.instagram.com/sotolhosien.sound.group/" TargetMode="External"/><Relationship Id="rId841" Type="http://schemas.openxmlformats.org/officeDocument/2006/relationships/hyperlink" Target="https://www.instagram.com/ravaq.media/" TargetMode="External"/><Relationship Id="rId848" Type="http://schemas.openxmlformats.org/officeDocument/2006/relationships/hyperlink" Target="https://pelan3.com/" TargetMode="External"/><Relationship Id="rId847" Type="http://schemas.openxmlformats.org/officeDocument/2006/relationships/hyperlink" Target="https://www.youtube.com/pelan3" TargetMode="External"/><Relationship Id="rId846" Type="http://schemas.openxmlformats.org/officeDocument/2006/relationships/hyperlink" Target="https://eitaa.com/pelan3" TargetMode="External"/><Relationship Id="rId845" Type="http://schemas.openxmlformats.org/officeDocument/2006/relationships/hyperlink" Target="https://telegram.me/pelan_3" TargetMode="External"/><Relationship Id="rId840" Type="http://schemas.openxmlformats.org/officeDocument/2006/relationships/hyperlink" Target="https://www.instagram.com/ravaq.media/" TargetMode="External"/><Relationship Id="rId839" Type="http://schemas.openxmlformats.org/officeDocument/2006/relationships/hyperlink" Target="http://www.youtube.com/@neyestansoundgroup" TargetMode="External"/><Relationship Id="rId838" Type="http://schemas.openxmlformats.org/officeDocument/2006/relationships/hyperlink" Target="https://www.eitaa.com/neyestansoundgroup" TargetMode="External"/><Relationship Id="rId833" Type="http://schemas.openxmlformats.org/officeDocument/2006/relationships/hyperlink" Target="https://t.me/Mahuramedia" TargetMode="External"/><Relationship Id="rId832" Type="http://schemas.openxmlformats.org/officeDocument/2006/relationships/hyperlink" Target="https://www.instagram.com/mahuramedia/" TargetMode="External"/><Relationship Id="rId831" Type="http://schemas.openxmlformats.org/officeDocument/2006/relationships/hyperlink" Target="https://eitaa.com/mahmoudkarimmi" TargetMode="External"/><Relationship Id="rId830" Type="http://schemas.openxmlformats.org/officeDocument/2006/relationships/hyperlink" Target="https://t.me/mahmoudkarimmi" TargetMode="External"/><Relationship Id="rId837" Type="http://schemas.openxmlformats.org/officeDocument/2006/relationships/hyperlink" Target="https://t.me/NeyestanSoundGroup" TargetMode="External"/><Relationship Id="rId836" Type="http://schemas.openxmlformats.org/officeDocument/2006/relationships/hyperlink" Target="https://www.instagram.com/neyestan.sound.group/" TargetMode="External"/><Relationship Id="rId835" Type="http://schemas.openxmlformats.org/officeDocument/2006/relationships/hyperlink" Target="https://t.me/monji_sound_group" TargetMode="External"/><Relationship Id="rId834" Type="http://schemas.openxmlformats.org/officeDocument/2006/relationships/hyperlink" Target="https://www.instagram.com/monji_sound_group/" TargetMode="External"/><Relationship Id="rId899" Type="http://schemas.openxmlformats.org/officeDocument/2006/relationships/hyperlink" Target="https://www.instagram.com/haj_mohammad_norouzi_/" TargetMode="External"/><Relationship Id="rId898" Type="http://schemas.openxmlformats.org/officeDocument/2006/relationships/hyperlink" Target="https://t.me/hajmohammadnorozi" TargetMode="External"/><Relationship Id="rId897" Type="http://schemas.openxmlformats.org/officeDocument/2006/relationships/hyperlink" Target="https://www.instagram.com/haj_mohammad_norouzi/" TargetMode="External"/><Relationship Id="rId896" Type="http://schemas.openxmlformats.org/officeDocument/2006/relationships/hyperlink" Target="https://t.me/hajhoseinsazvar" TargetMode="External"/><Relationship Id="rId891" Type="http://schemas.openxmlformats.org/officeDocument/2006/relationships/hyperlink" Target="https://www.instagram.com/hajali_ghorbani/" TargetMode="External"/><Relationship Id="rId890" Type="http://schemas.openxmlformats.org/officeDocument/2006/relationships/hyperlink" Target="https://t.me/haj_Seyed_Vahid_Mostafavi" TargetMode="External"/><Relationship Id="rId895" Type="http://schemas.openxmlformats.org/officeDocument/2006/relationships/hyperlink" Target="https://www.instagram.com/hajhosseinsazvar" TargetMode="External"/><Relationship Id="rId894" Type="http://schemas.openxmlformats.org/officeDocument/2006/relationships/hyperlink" Target="https://www.youtube.com/@hajali_ghorbani" TargetMode="External"/><Relationship Id="rId893" Type="http://schemas.openxmlformats.org/officeDocument/2006/relationships/hyperlink" Target="https://eitaa.com/Hajali_ghorbani" TargetMode="External"/><Relationship Id="rId892" Type="http://schemas.openxmlformats.org/officeDocument/2006/relationships/hyperlink" Target="https://t.me/hajali_ghorbani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t.me/heyathazrateroghayee" TargetMode="External"/><Relationship Id="rId194" Type="http://schemas.openxmlformats.org/officeDocument/2006/relationships/hyperlink" Target="https://t.me/s_mohsen_habibolahpur" TargetMode="External"/><Relationship Id="rId193" Type="http://schemas.openxmlformats.org/officeDocument/2006/relationships/hyperlink" Target="https://www.instagram.com/heiatoreza_babolsar" TargetMode="External"/><Relationship Id="rId192" Type="http://schemas.openxmlformats.org/officeDocument/2006/relationships/hyperlink" Target="https://eitaa.com/Maktabol_heydar110" TargetMode="External"/><Relationship Id="rId191" Type="http://schemas.openxmlformats.org/officeDocument/2006/relationships/hyperlink" Target="https://www.instagram.com/maktabool_heydar110/" TargetMode="External"/><Relationship Id="rId187" Type="http://schemas.openxmlformats.org/officeDocument/2006/relationships/hyperlink" Target="https://t.me/javananhasani" TargetMode="External"/><Relationship Id="rId186" Type="http://schemas.openxmlformats.org/officeDocument/2006/relationships/hyperlink" Target="https://www.instagram.com/javananhasani/" TargetMode="External"/><Relationship Id="rId185" Type="http://schemas.openxmlformats.org/officeDocument/2006/relationships/hyperlink" Target="https://t.me/ansariyoun" TargetMode="External"/><Relationship Id="rId184" Type="http://schemas.openxmlformats.org/officeDocument/2006/relationships/hyperlink" Target="https://www.instagram.com/ansariyoun/" TargetMode="External"/><Relationship Id="rId189" Type="http://schemas.openxmlformats.org/officeDocument/2006/relationships/hyperlink" Target="https://www.instagram.com/heyathazrateroghayee" TargetMode="External"/><Relationship Id="rId188" Type="http://schemas.openxmlformats.org/officeDocument/2006/relationships/hyperlink" Target="https://www.instagram.com/heiatbeitozahra" TargetMode="External"/><Relationship Id="rId183" Type="http://schemas.openxmlformats.org/officeDocument/2006/relationships/hyperlink" Target="https://www.instagram.com/abalfazliha89/" TargetMode="External"/><Relationship Id="rId182" Type="http://schemas.openxmlformats.org/officeDocument/2006/relationships/hyperlink" Target="https://www.instagram.com/asheghanesaralah/" TargetMode="External"/><Relationship Id="rId181" Type="http://schemas.openxmlformats.org/officeDocument/2006/relationships/hyperlink" Target="https://eitaa.com/fatemion_bahnemir" TargetMode="External"/><Relationship Id="rId180" Type="http://schemas.openxmlformats.org/officeDocument/2006/relationships/hyperlink" Target="https://t.me/fatemion_bahnemir" TargetMode="External"/><Relationship Id="rId176" Type="http://schemas.openxmlformats.org/officeDocument/2006/relationships/hyperlink" Target="https://t.me/rozatozeynab_channel" TargetMode="External"/><Relationship Id="rId175" Type="http://schemas.openxmlformats.org/officeDocument/2006/relationships/hyperlink" Target="https://www.instagram.com/rozatozeynab.ir/" TargetMode="External"/><Relationship Id="rId174" Type="http://schemas.openxmlformats.org/officeDocument/2006/relationships/hyperlink" Target="https://www.instagram.com/seyyedoshohada/" TargetMode="External"/><Relationship Id="rId173" Type="http://schemas.openxmlformats.org/officeDocument/2006/relationships/hyperlink" Target="https://eitaa.com/s/seyyedoshohadaaa" TargetMode="External"/><Relationship Id="rId179" Type="http://schemas.openxmlformats.org/officeDocument/2006/relationships/hyperlink" Target="https://www.instagram.com/fatemion_bahnemir/" TargetMode="External"/><Relationship Id="rId178" Type="http://schemas.openxmlformats.org/officeDocument/2006/relationships/hyperlink" Target="https://t.me/aleyasiin_bahnamiir" TargetMode="External"/><Relationship Id="rId177" Type="http://schemas.openxmlformats.org/officeDocument/2006/relationships/hyperlink" Target="https://www.instagram.com/asheghanesaralah/" TargetMode="External"/><Relationship Id="rId198" Type="http://schemas.openxmlformats.org/officeDocument/2006/relationships/hyperlink" Target="https://www.instagram.com/yavaranevelayat" TargetMode="External"/><Relationship Id="rId197" Type="http://schemas.openxmlformats.org/officeDocument/2006/relationships/hyperlink" Target="https://www.instagram.com/mokebshohada_babolsar/" TargetMode="External"/><Relationship Id="rId196" Type="http://schemas.openxmlformats.org/officeDocument/2006/relationships/hyperlink" Target="https://t.me/heyatozahra_aliabad_babolsar79" TargetMode="External"/><Relationship Id="rId195" Type="http://schemas.openxmlformats.org/officeDocument/2006/relationships/hyperlink" Target="https://www.instagram.com/heiatolzahrabbs/" TargetMode="External"/><Relationship Id="rId199" Type="http://schemas.openxmlformats.org/officeDocument/2006/relationships/hyperlink" Target="https://t.me/heyateyavaranevelayat" TargetMode="External"/><Relationship Id="rId150" Type="http://schemas.openxmlformats.org/officeDocument/2006/relationships/hyperlink" Target="https://www.instagram.com/zeynab_bentol_heydar/" TargetMode="External"/><Relationship Id="rId149" Type="http://schemas.openxmlformats.org/officeDocument/2006/relationships/hyperlink" Target="https://eitaa.com/s/tolue_info" TargetMode="External"/><Relationship Id="rId148" Type="http://schemas.openxmlformats.org/officeDocument/2006/relationships/hyperlink" Target="https://t.me/tolue_org" TargetMode="External"/><Relationship Id="rId143" Type="http://schemas.openxmlformats.org/officeDocument/2006/relationships/hyperlink" Target="https://eitaa.com/hoddasolmahdi" TargetMode="External"/><Relationship Id="rId142" Type="http://schemas.openxmlformats.org/officeDocument/2006/relationships/hyperlink" Target="https://www.instagram.com/hoddasolmahdi/" TargetMode="External"/><Relationship Id="rId141" Type="http://schemas.openxmlformats.org/officeDocument/2006/relationships/hyperlink" Target="https://www.instagram.com/maktab_babol/" TargetMode="External"/><Relationship Id="rId140" Type="http://schemas.openxmlformats.org/officeDocument/2006/relationships/hyperlink" Target="https://www.instagram.com/rasoolmehr_ir" TargetMode="External"/><Relationship Id="rId147" Type="http://schemas.openxmlformats.org/officeDocument/2006/relationships/hyperlink" Target="https://www.instagram.com/aghille.info/" TargetMode="External"/><Relationship Id="rId146" Type="http://schemas.openxmlformats.org/officeDocument/2006/relationships/hyperlink" Target="https://eitaa.com/s/reyhanatolhussain_babol" TargetMode="External"/><Relationship Id="rId145" Type="http://schemas.openxmlformats.org/officeDocument/2006/relationships/hyperlink" Target="https://t.me/reyhanatolhussain_babol" TargetMode="External"/><Relationship Id="rId144" Type="http://schemas.openxmlformats.org/officeDocument/2006/relationships/hyperlink" Target="https://www.instagram.com/reyhanatolhussain_babol/" TargetMode="External"/><Relationship Id="rId139" Type="http://schemas.openxmlformats.org/officeDocument/2006/relationships/hyperlink" Target="https://eitaa.com/oshagh_mahdi_babol" TargetMode="External"/><Relationship Id="rId138" Type="http://schemas.openxmlformats.org/officeDocument/2006/relationships/hyperlink" Target="https://t.me/oshagh_mahdi_babol" TargetMode="External"/><Relationship Id="rId137" Type="http://schemas.openxmlformats.org/officeDocument/2006/relationships/hyperlink" Target="https://www.instagram.com/oshagh_mahdi_babol" TargetMode="External"/><Relationship Id="rId132" Type="http://schemas.openxmlformats.org/officeDocument/2006/relationships/hyperlink" Target="https://www.instagram.com/heyat_saheb_alzaman1347" TargetMode="External"/><Relationship Id="rId131" Type="http://schemas.openxmlformats.org/officeDocument/2006/relationships/hyperlink" Target="https://eitaa.com/shohadayegomnam_in" TargetMode="External"/><Relationship Id="rId130" Type="http://schemas.openxmlformats.org/officeDocument/2006/relationships/hyperlink" Target="https://www.instagram.com/daralhosein/" TargetMode="External"/><Relationship Id="rId136" Type="http://schemas.openxmlformats.org/officeDocument/2006/relationships/hyperlink" Target="https://eitaa.com/HeiatBabol" TargetMode="External"/><Relationship Id="rId135" Type="http://schemas.openxmlformats.org/officeDocument/2006/relationships/hyperlink" Target="https://t.me/HeiatBabol" TargetMode="External"/><Relationship Id="rId134" Type="http://schemas.openxmlformats.org/officeDocument/2006/relationships/hyperlink" Target="https://www.instagram.com/heiatbabol/" TargetMode="External"/><Relationship Id="rId133" Type="http://schemas.openxmlformats.org/officeDocument/2006/relationships/hyperlink" Target="https://t.me/heyat_sahebalzaman_alamdar" TargetMode="External"/><Relationship Id="rId172" Type="http://schemas.openxmlformats.org/officeDocument/2006/relationships/hyperlink" Target="https://t.me/seyyedoshohadaaa" TargetMode="External"/><Relationship Id="rId171" Type="http://schemas.openxmlformats.org/officeDocument/2006/relationships/hyperlink" Target="https://www.instagram.com/seyyedoshohada.bbs/" TargetMode="External"/><Relationship Id="rId170" Type="http://schemas.openxmlformats.org/officeDocument/2006/relationships/hyperlink" Target="https://t.me/mohebbanolhoseinbabolsar" TargetMode="External"/><Relationship Id="rId165" Type="http://schemas.openxmlformats.org/officeDocument/2006/relationships/hyperlink" Target="https://www.youtube.com/@sarallahbabolsar" TargetMode="External"/><Relationship Id="rId164" Type="http://schemas.openxmlformats.org/officeDocument/2006/relationships/hyperlink" Target="https://eitaa.com/sarallahbbs" TargetMode="External"/><Relationship Id="rId163" Type="http://schemas.openxmlformats.org/officeDocument/2006/relationships/hyperlink" Target="http://t.me/SarallahBbs" TargetMode="External"/><Relationship Id="rId162" Type="http://schemas.openxmlformats.org/officeDocument/2006/relationships/hyperlink" Target="https://www.instagram.com/sarallahbbs/" TargetMode="External"/><Relationship Id="rId169" Type="http://schemas.openxmlformats.org/officeDocument/2006/relationships/hyperlink" Target="https://www.instagram.com/mohebbanolhossein.128/" TargetMode="External"/><Relationship Id="rId168" Type="http://schemas.openxmlformats.org/officeDocument/2006/relationships/hyperlink" Target="https://t.me/BabollJavad_bbs" TargetMode="External"/><Relationship Id="rId167" Type="http://schemas.openxmlformats.org/officeDocument/2006/relationships/hyperlink" Target="https://www.instagram.com/babolljavad_bbs/" TargetMode="External"/><Relationship Id="rId166" Type="http://schemas.openxmlformats.org/officeDocument/2006/relationships/hyperlink" Target="https://www.instagram.com/sarallah_school/" TargetMode="External"/><Relationship Id="rId161" Type="http://schemas.openxmlformats.org/officeDocument/2006/relationships/hyperlink" Target="https://www.instagram.com/reyhanatal_hosein/" TargetMode="External"/><Relationship Id="rId160" Type="http://schemas.openxmlformats.org/officeDocument/2006/relationships/hyperlink" Target="https://t.me/rahimian_media" TargetMode="External"/><Relationship Id="rId159" Type="http://schemas.openxmlformats.org/officeDocument/2006/relationships/hyperlink" Target="https://www.instagram.com/roohollah.69_110/" TargetMode="External"/><Relationship Id="rId154" Type="http://schemas.openxmlformats.org/officeDocument/2006/relationships/hyperlink" Target="https://eitaa.com/labaikyamahdi_info" TargetMode="External"/><Relationship Id="rId153" Type="http://schemas.openxmlformats.org/officeDocument/2006/relationships/hyperlink" Target="https://t.me/labaikyamahdi_info" TargetMode="External"/><Relationship Id="rId152" Type="http://schemas.openxmlformats.org/officeDocument/2006/relationships/hyperlink" Target="https://www.instagram.com/labaikyamahdi_info/" TargetMode="External"/><Relationship Id="rId151" Type="http://schemas.openxmlformats.org/officeDocument/2006/relationships/hyperlink" Target="https://t.me/zeynab_bentol_heydar" TargetMode="External"/><Relationship Id="rId158" Type="http://schemas.openxmlformats.org/officeDocument/2006/relationships/hyperlink" Target="https://t.me/rozeh_khaneh128" TargetMode="External"/><Relationship Id="rId157" Type="http://schemas.openxmlformats.org/officeDocument/2006/relationships/hyperlink" Target="https://www.instagram.com/rozeh.khaneh128/" TargetMode="External"/><Relationship Id="rId156" Type="http://schemas.openxmlformats.org/officeDocument/2006/relationships/hyperlink" Target="https://www.instagram.com/mokebrowzatolhussain/" TargetMode="External"/><Relationship Id="rId155" Type="http://schemas.openxmlformats.org/officeDocument/2006/relationships/hyperlink" Target="https://www.instagram.com/moheban_alerasol/" TargetMode="External"/><Relationship Id="rId107" Type="http://schemas.openxmlformats.org/officeDocument/2006/relationships/hyperlink" Target="https://t.me/mohebanolreza_ir" TargetMode="External"/><Relationship Id="rId106" Type="http://schemas.openxmlformats.org/officeDocument/2006/relationships/hyperlink" Target="https://www.instagram.com/mohebanolreza_ir/" TargetMode="External"/><Relationship Id="rId105" Type="http://schemas.openxmlformats.org/officeDocument/2006/relationships/hyperlink" Target="https://www.instagram.com/seratalhosein/" TargetMode="External"/><Relationship Id="rId104" Type="http://schemas.openxmlformats.org/officeDocument/2006/relationships/hyperlink" Target="https://t.me/rozatolghasem_201" TargetMode="External"/><Relationship Id="rId109" Type="http://schemas.openxmlformats.org/officeDocument/2006/relationships/hyperlink" Target="https://www.instagram.com/heyat_ghamarbanihashem_babol" TargetMode="External"/><Relationship Id="rId108" Type="http://schemas.openxmlformats.org/officeDocument/2006/relationships/hyperlink" Target="https://eitaa.com/s/mohebanolreza_ir" TargetMode="External"/><Relationship Id="rId103" Type="http://schemas.openxmlformats.org/officeDocument/2006/relationships/hyperlink" Target="https://www.instagram.com/rozatolghasem201/" TargetMode="External"/><Relationship Id="rId102" Type="http://schemas.openxmlformats.org/officeDocument/2006/relationships/hyperlink" Target="https://t.me/aghile_media" TargetMode="External"/><Relationship Id="rId101" Type="http://schemas.openxmlformats.org/officeDocument/2006/relationships/hyperlink" Target="https://www.instagram.com/aghile_media/" TargetMode="External"/><Relationship Id="rId100" Type="http://schemas.openxmlformats.org/officeDocument/2006/relationships/hyperlink" Target="https://t.me/seyyedeh_zeynab" TargetMode="External"/><Relationship Id="rId129" Type="http://schemas.openxmlformats.org/officeDocument/2006/relationships/hyperlink" Target="https://eitaa.com/sayedashohada" TargetMode="External"/><Relationship Id="rId128" Type="http://schemas.openxmlformats.org/officeDocument/2006/relationships/hyperlink" Target="https://t.me/kheymgah_com" TargetMode="External"/><Relationship Id="rId127" Type="http://schemas.openxmlformats.org/officeDocument/2006/relationships/hyperlink" Target="https://www.instagram.com/sayedashohada" TargetMode="External"/><Relationship Id="rId126" Type="http://schemas.openxmlformats.org/officeDocument/2006/relationships/hyperlink" Target="https://www.instagram.com/heyat_seydalshohada128/" TargetMode="External"/><Relationship Id="rId121" Type="http://schemas.openxmlformats.org/officeDocument/2006/relationships/hyperlink" Target="https://t.me/beytolabbas_babol" TargetMode="External"/><Relationship Id="rId120" Type="http://schemas.openxmlformats.org/officeDocument/2006/relationships/hyperlink" Target="https://www.instagram.com/beytolabbas_/" TargetMode="External"/><Relationship Id="rId125" Type="http://schemas.openxmlformats.org/officeDocument/2006/relationships/hyperlink" Target="https://t.me/kheymgah_com" TargetMode="External"/><Relationship Id="rId124" Type="http://schemas.openxmlformats.org/officeDocument/2006/relationships/hyperlink" Target="https://www.instagram.com/kheymegah_com/" TargetMode="External"/><Relationship Id="rId123" Type="http://schemas.openxmlformats.org/officeDocument/2006/relationships/hyperlink" Target="https://t.me/ghamarbanihashem01" TargetMode="External"/><Relationship Id="rId122" Type="http://schemas.openxmlformats.org/officeDocument/2006/relationships/hyperlink" Target="https://www.instagram.com/ghamarolashire/" TargetMode="External"/><Relationship Id="rId118" Type="http://schemas.openxmlformats.org/officeDocument/2006/relationships/hyperlink" Target="https://www.instagram.com/beyt_shohada" TargetMode="External"/><Relationship Id="rId117" Type="http://schemas.openxmlformats.org/officeDocument/2006/relationships/hyperlink" Target="https://t.me/maktabhossein_babol" TargetMode="External"/><Relationship Id="rId116" Type="http://schemas.openxmlformats.org/officeDocument/2006/relationships/hyperlink" Target="https://www.instagram.com/maktabhossein_babol/" TargetMode="External"/><Relationship Id="rId115" Type="http://schemas.openxmlformats.org/officeDocument/2006/relationships/hyperlink" Target="https://www.youtube.com/@daralhosein" TargetMode="External"/><Relationship Id="rId119" Type="http://schemas.openxmlformats.org/officeDocument/2006/relationships/hyperlink" Target="https://t.me/beyt_shohada" TargetMode="External"/><Relationship Id="rId110" Type="http://schemas.openxmlformats.org/officeDocument/2006/relationships/hyperlink" Target="https://www.instagram.com/babol_rayatolmahdi" TargetMode="External"/><Relationship Id="rId114" Type="http://schemas.openxmlformats.org/officeDocument/2006/relationships/hyperlink" Target="https://t.me/daralhosein" TargetMode="External"/><Relationship Id="rId113" Type="http://schemas.openxmlformats.org/officeDocument/2006/relationships/hyperlink" Target="https://www.instagram.com/daralhosein/" TargetMode="External"/><Relationship Id="rId112" Type="http://schemas.openxmlformats.org/officeDocument/2006/relationships/hyperlink" Target="https://eitaa.com/AlimousaArreza" TargetMode="External"/><Relationship Id="rId111" Type="http://schemas.openxmlformats.org/officeDocument/2006/relationships/hyperlink" Target="https://t.me/babol_rayatolmahdi" TargetMode="External"/><Relationship Id="rId392" Type="http://schemas.openxmlformats.org/officeDocument/2006/relationships/hyperlink" Target="https://www.instagram.com/ale.rasoul/" TargetMode="External"/><Relationship Id="rId391" Type="http://schemas.openxmlformats.org/officeDocument/2006/relationships/hyperlink" Target="https://www.instagram.com/moheban_hazratmahdi_sari/" TargetMode="External"/><Relationship Id="rId390" Type="http://schemas.openxmlformats.org/officeDocument/2006/relationships/hyperlink" Target="https://www.instagram.com/heiat_beytolabbas" TargetMode="External"/><Relationship Id="rId385" Type="http://schemas.openxmlformats.org/officeDocument/2006/relationships/hyperlink" Target="https://www.instagram.com/heyat_hazrat_aliakbar_sari/" TargetMode="External"/><Relationship Id="rId384" Type="http://schemas.openxmlformats.org/officeDocument/2006/relationships/hyperlink" Target="https://t.me/maktabozahrasari" TargetMode="External"/><Relationship Id="rId383" Type="http://schemas.openxmlformats.org/officeDocument/2006/relationships/hyperlink" Target="https://www.instagram.com/maaktab/" TargetMode="External"/><Relationship Id="rId382" Type="http://schemas.openxmlformats.org/officeDocument/2006/relationships/hyperlink" Target="https://www.instagram.com/184panah/" TargetMode="External"/><Relationship Id="rId389" Type="http://schemas.openxmlformats.org/officeDocument/2006/relationships/hyperlink" Target="https://eitaa.com/s/heiat_deldadegan_sari" TargetMode="External"/><Relationship Id="rId388" Type="http://schemas.openxmlformats.org/officeDocument/2006/relationships/hyperlink" Target="https://t.me/heiat_deldadegan_sari" TargetMode="External"/><Relationship Id="rId387" Type="http://schemas.openxmlformats.org/officeDocument/2006/relationships/hyperlink" Target="https://www.instagram.com/heiat_deldadegan_sari/" TargetMode="External"/><Relationship Id="rId386" Type="http://schemas.openxmlformats.org/officeDocument/2006/relationships/hyperlink" Target="https://t.me/aliakbar278" TargetMode="External"/><Relationship Id="rId381" Type="http://schemas.openxmlformats.org/officeDocument/2006/relationships/hyperlink" Target="https://t.me/ommolbanin_sari" TargetMode="External"/><Relationship Id="rId380" Type="http://schemas.openxmlformats.org/officeDocument/2006/relationships/hyperlink" Target="https://www.instagram.com/ommolbanin_sari/" TargetMode="External"/><Relationship Id="rId379" Type="http://schemas.openxmlformats.org/officeDocument/2006/relationships/hyperlink" Target="https://eitaa.com/zovar_ir" TargetMode="External"/><Relationship Id="rId374" Type="http://schemas.openxmlformats.org/officeDocument/2006/relationships/hyperlink" Target="https://www.instagram.com/sina_fazlollahnezhad/" TargetMode="External"/><Relationship Id="rId373" Type="http://schemas.openxmlformats.org/officeDocument/2006/relationships/hyperlink" Target="https://www.instagram.com/sedre.media/" TargetMode="External"/><Relationship Id="rId372" Type="http://schemas.openxmlformats.org/officeDocument/2006/relationships/hyperlink" Target="https://t.me/naqqaremedia" TargetMode="External"/><Relationship Id="rId371" Type="http://schemas.openxmlformats.org/officeDocument/2006/relationships/hyperlink" Target="https://www.instagram.com/naqqare/" TargetMode="External"/><Relationship Id="rId378" Type="http://schemas.openxmlformats.org/officeDocument/2006/relationships/hyperlink" Target="https://www.instagram.com/zovar_ir" TargetMode="External"/><Relationship Id="rId377" Type="http://schemas.openxmlformats.org/officeDocument/2006/relationships/hyperlink" Target="https://www.instagram.com/rezapuor.ir/" TargetMode="External"/><Relationship Id="rId376" Type="http://schemas.openxmlformats.org/officeDocument/2006/relationships/hyperlink" Target="https://eitaa.com/sina_fazlollahnezhad" TargetMode="External"/><Relationship Id="rId375" Type="http://schemas.openxmlformats.org/officeDocument/2006/relationships/hyperlink" Target="https://t.me/fazlollahnezhad_ir" TargetMode="External"/><Relationship Id="rId396" Type="http://schemas.openxmlformats.org/officeDocument/2006/relationships/hyperlink" Target="https://eitaa.com/razmandegane_eslam_sari" TargetMode="External"/><Relationship Id="rId395" Type="http://schemas.openxmlformats.org/officeDocument/2006/relationships/hyperlink" Target="https://www.instagram.com/heyat_razmandegan_sari/" TargetMode="External"/><Relationship Id="rId394" Type="http://schemas.openxmlformats.org/officeDocument/2006/relationships/hyperlink" Target="https://eitaa.com/s/alerasoul" TargetMode="External"/><Relationship Id="rId393" Type="http://schemas.openxmlformats.org/officeDocument/2006/relationships/hyperlink" Target="https://t.me/alerasoul" TargetMode="External"/><Relationship Id="rId399" Type="http://schemas.openxmlformats.org/officeDocument/2006/relationships/hyperlink" Target="https://t.me/asheghaneesarallah" TargetMode="External"/><Relationship Id="rId398" Type="http://schemas.openxmlformats.org/officeDocument/2006/relationships/hyperlink" Target="https://www.instagram.com/asheghaneesarallah" TargetMode="External"/><Relationship Id="rId397" Type="http://schemas.openxmlformats.org/officeDocument/2006/relationships/hyperlink" Target="https://www.instagram.com/heiat.abolfazl_sari/" TargetMode="External"/><Relationship Id="rId40" Type="http://schemas.openxmlformats.org/officeDocument/2006/relationships/hyperlink" Target="https://www.instagram.com/mohebanalmahdi.ir/" TargetMode="External"/><Relationship Id="rId42" Type="http://schemas.openxmlformats.org/officeDocument/2006/relationships/hyperlink" Target="https://eitaa.com/Heyate_Moheban_ALmahdi" TargetMode="External"/><Relationship Id="rId41" Type="http://schemas.openxmlformats.org/officeDocument/2006/relationships/hyperlink" Target="https://t.me/Heyate_Moheban_ALmahdi" TargetMode="External"/><Relationship Id="rId44" Type="http://schemas.openxmlformats.org/officeDocument/2006/relationships/hyperlink" Target="https://t.me/Shahzadeh_AliAsghar_amol" TargetMode="External"/><Relationship Id="rId43" Type="http://schemas.openxmlformats.org/officeDocument/2006/relationships/hyperlink" Target="https://www.instagram.com/aliasgharioon_amol/" TargetMode="External"/><Relationship Id="rId46" Type="http://schemas.openxmlformats.org/officeDocument/2006/relationships/hyperlink" Target="https://t.me/mohebolabbas_amol" TargetMode="External"/><Relationship Id="rId45" Type="http://schemas.openxmlformats.org/officeDocument/2006/relationships/hyperlink" Target="https://www.instagram.com/mohebolabbas/" TargetMode="External"/><Relationship Id="rId48" Type="http://schemas.openxmlformats.org/officeDocument/2006/relationships/hyperlink" Target="https://t.me/peyrovanamiralmomenin" TargetMode="External"/><Relationship Id="rId47" Type="http://schemas.openxmlformats.org/officeDocument/2006/relationships/hyperlink" Target="https://www.instagram.com/peyrovan.amiralmomenin" TargetMode="External"/><Relationship Id="rId49" Type="http://schemas.openxmlformats.org/officeDocument/2006/relationships/hyperlink" Target="https://www.instagram.com/ashabie.313.ir/" TargetMode="External"/><Relationship Id="rId31" Type="http://schemas.openxmlformats.org/officeDocument/2006/relationships/hyperlink" Target="https://eitaa.com/aliakbar_amol" TargetMode="External"/><Relationship Id="rId30" Type="http://schemas.openxmlformats.org/officeDocument/2006/relationships/hyperlink" Target="https://t.me/aliakbar_amol" TargetMode="External"/><Relationship Id="rId33" Type="http://schemas.openxmlformats.org/officeDocument/2006/relationships/hyperlink" Target="https://t.me/saranbeneyamool" TargetMode="External"/><Relationship Id="rId32" Type="http://schemas.openxmlformats.org/officeDocument/2006/relationships/hyperlink" Target="https://www.instagram.com/saran_be_ney59/" TargetMode="External"/><Relationship Id="rId35" Type="http://schemas.openxmlformats.org/officeDocument/2006/relationships/hyperlink" Target="https://t.me/Mjnoonolabbas" TargetMode="External"/><Relationship Id="rId34" Type="http://schemas.openxmlformats.org/officeDocument/2006/relationships/hyperlink" Target="https://www.instagram.com/majnoonolabbas/" TargetMode="External"/><Relationship Id="rId37" Type="http://schemas.openxmlformats.org/officeDocument/2006/relationships/hyperlink" Target="https://www.instagram.com/fatemioon.ir/" TargetMode="External"/><Relationship Id="rId36" Type="http://schemas.openxmlformats.org/officeDocument/2006/relationships/hyperlink" Target="https://www.instagram.com/emamhasan.amoll/" TargetMode="External"/><Relationship Id="rId39" Type="http://schemas.openxmlformats.org/officeDocument/2006/relationships/hyperlink" Target="https://eitaa.com/fatemioon_amol" TargetMode="External"/><Relationship Id="rId38" Type="http://schemas.openxmlformats.org/officeDocument/2006/relationships/hyperlink" Target="https://t.me/fatemioon_amol" TargetMode="External"/><Relationship Id="rId20" Type="http://schemas.openxmlformats.org/officeDocument/2006/relationships/hyperlink" Target="https://t.me/sahebollamr" TargetMode="External"/><Relationship Id="rId22" Type="http://schemas.openxmlformats.org/officeDocument/2006/relationships/hyperlink" Target="https://t.me/yazahraamol" TargetMode="External"/><Relationship Id="rId21" Type="http://schemas.openxmlformats.org/officeDocument/2006/relationships/hyperlink" Target="https://www.instagram.com/ya.zahrainfo/" TargetMode="External"/><Relationship Id="rId24" Type="http://schemas.openxmlformats.org/officeDocument/2006/relationships/hyperlink" Target="https://t.me/ValliAsr_Amol" TargetMode="External"/><Relationship Id="rId23" Type="http://schemas.openxmlformats.org/officeDocument/2006/relationships/hyperlink" Target="https://www.instagram.com/ValliAsr_Amol" TargetMode="External"/><Relationship Id="rId26" Type="http://schemas.openxmlformats.org/officeDocument/2006/relationships/hyperlink" Target="https://valiasramol.ir/" TargetMode="External"/><Relationship Id="rId25" Type="http://schemas.openxmlformats.org/officeDocument/2006/relationships/hyperlink" Target="https://eitaa.com/ValliAsr_Amol" TargetMode="External"/><Relationship Id="rId28" Type="http://schemas.openxmlformats.org/officeDocument/2006/relationships/hyperlink" Target="https://www.instagram.com/darolboka_amol/" TargetMode="External"/><Relationship Id="rId27" Type="http://schemas.openxmlformats.org/officeDocument/2006/relationships/hyperlink" Target="https://www.instagram.com/tekie.barbarkheyl/" TargetMode="External"/><Relationship Id="rId29" Type="http://schemas.openxmlformats.org/officeDocument/2006/relationships/hyperlink" Target="https://www.instagram.com/aliakbar_amol" TargetMode="External"/><Relationship Id="rId11" Type="http://schemas.openxmlformats.org/officeDocument/2006/relationships/hyperlink" Target="https://www.instagram.com/mohebinrezaa/" TargetMode="External"/><Relationship Id="rId10" Type="http://schemas.openxmlformats.org/officeDocument/2006/relationships/hyperlink" Target="https://eitaa.com/yalesaratamol" TargetMode="External"/><Relationship Id="rId13" Type="http://schemas.openxmlformats.org/officeDocument/2006/relationships/hyperlink" Target="https://eitaa.com/joodir" TargetMode="External"/><Relationship Id="rId12" Type="http://schemas.openxmlformats.org/officeDocument/2006/relationships/hyperlink" Target="https://www.instagram.com/jood.ir/" TargetMode="External"/><Relationship Id="rId15" Type="http://schemas.openxmlformats.org/officeDocument/2006/relationships/hyperlink" Target="https://t.me/ashkenab_ir" TargetMode="External"/><Relationship Id="rId14" Type="http://schemas.openxmlformats.org/officeDocument/2006/relationships/hyperlink" Target="https://www.instagram.com/saelin.irr/" TargetMode="External"/><Relationship Id="rId17" Type="http://schemas.openxmlformats.org/officeDocument/2006/relationships/hyperlink" Target="https://www.instagram.com/aletaha_org/" TargetMode="External"/><Relationship Id="rId16" Type="http://schemas.openxmlformats.org/officeDocument/2006/relationships/hyperlink" Target="https://eitaa.com/saelin_ir" TargetMode="External"/><Relationship Id="rId19" Type="http://schemas.openxmlformats.org/officeDocument/2006/relationships/hyperlink" Target="https://www.instagram.com/sahebolamr.amol/" TargetMode="External"/><Relationship Id="rId18" Type="http://schemas.openxmlformats.org/officeDocument/2006/relationships/hyperlink" Target="https://eitaa.com/aletaha_org" TargetMode="External"/><Relationship Id="rId84" Type="http://schemas.openxmlformats.org/officeDocument/2006/relationships/hyperlink" Target="https://www.instagram.com/shohadayegomnam.babol" TargetMode="External"/><Relationship Id="rId83" Type="http://schemas.openxmlformats.org/officeDocument/2006/relationships/hyperlink" Target="https://tahmasbpour.ir/" TargetMode="External"/><Relationship Id="rId86" Type="http://schemas.openxmlformats.org/officeDocument/2006/relationships/hyperlink" Target="https://www.instagram.com/rowzatolhussain/" TargetMode="External"/><Relationship Id="rId85" Type="http://schemas.openxmlformats.org/officeDocument/2006/relationships/hyperlink" Target="https://eitaa.com/shohadayegomnam_in" TargetMode="External"/><Relationship Id="rId88" Type="http://schemas.openxmlformats.org/officeDocument/2006/relationships/hyperlink" Target="https://eitaa.com/s/rowzatolhussain" TargetMode="External"/><Relationship Id="rId87" Type="http://schemas.openxmlformats.org/officeDocument/2006/relationships/hyperlink" Target="https://t.me/Rowzatolhussain" TargetMode="External"/><Relationship Id="rId89" Type="http://schemas.openxmlformats.org/officeDocument/2006/relationships/hyperlink" Target="https://www.instagram.com/tarahom.info/" TargetMode="External"/><Relationship Id="rId80" Type="http://schemas.openxmlformats.org/officeDocument/2006/relationships/hyperlink" Target="https://t.me/ommolmasaeb_com" TargetMode="External"/><Relationship Id="rId82" Type="http://schemas.openxmlformats.org/officeDocument/2006/relationships/hyperlink" Target="https://eitaa.com/tahmasbpour_ir" TargetMode="External"/><Relationship Id="rId81" Type="http://schemas.openxmlformats.org/officeDocument/2006/relationships/hyperlink" Target="https://www.instagram.com/mohebanozahra_babol/" TargetMode="External"/><Relationship Id="rId73" Type="http://schemas.openxmlformats.org/officeDocument/2006/relationships/hyperlink" Target="http://tlgrm.me/buria_ir" TargetMode="External"/><Relationship Id="rId72" Type="http://schemas.openxmlformats.org/officeDocument/2006/relationships/hyperlink" Target="https://www.instagram.com/buria.ir/" TargetMode="External"/><Relationship Id="rId75" Type="http://schemas.openxmlformats.org/officeDocument/2006/relationships/hyperlink" Target="https://www.instagram.com/esajadieh_ir/" TargetMode="External"/><Relationship Id="rId74" Type="http://schemas.openxmlformats.org/officeDocument/2006/relationships/hyperlink" Target="https://eitaa.com/buriaaa" TargetMode="External"/><Relationship Id="rId77" Type="http://schemas.openxmlformats.org/officeDocument/2006/relationships/hyperlink" Target="https://t.me/beytolabbas_babol" TargetMode="External"/><Relationship Id="rId76" Type="http://schemas.openxmlformats.org/officeDocument/2006/relationships/hyperlink" Target="https://www.instagram.com/beytolabbas.info/" TargetMode="External"/><Relationship Id="rId79" Type="http://schemas.openxmlformats.org/officeDocument/2006/relationships/hyperlink" Target="https://www.instagram.com/ommolmasaeb/" TargetMode="External"/><Relationship Id="rId78" Type="http://schemas.openxmlformats.org/officeDocument/2006/relationships/hyperlink" Target="https://eitaa.com/beytolabbas_babol" TargetMode="External"/><Relationship Id="rId71" Type="http://schemas.openxmlformats.org/officeDocument/2006/relationships/hyperlink" Target="https://www.instagram.com/mookeb.info/" TargetMode="External"/><Relationship Id="rId70" Type="http://schemas.openxmlformats.org/officeDocument/2006/relationships/hyperlink" Target="http://www.beytozahra.com/" TargetMode="External"/><Relationship Id="rId62" Type="http://schemas.openxmlformats.org/officeDocument/2006/relationships/hyperlink" Target="https://www.instagram.com/mohebanalmasomin/" TargetMode="External"/><Relationship Id="rId61" Type="http://schemas.openxmlformats.org/officeDocument/2006/relationships/hyperlink" Target="https://eitaa.com/beyraq_info" TargetMode="External"/><Relationship Id="rId64" Type="http://schemas.openxmlformats.org/officeDocument/2006/relationships/hyperlink" Target="https://t.me/ommolboka_babol" TargetMode="External"/><Relationship Id="rId63" Type="http://schemas.openxmlformats.org/officeDocument/2006/relationships/hyperlink" Target="https://www.instagram.com/ommolboka_babol/" TargetMode="External"/><Relationship Id="rId66" Type="http://schemas.openxmlformats.org/officeDocument/2006/relationships/hyperlink" Target="https://www.instagram.com/beytozahra.info/" TargetMode="External"/><Relationship Id="rId65" Type="http://schemas.openxmlformats.org/officeDocument/2006/relationships/hyperlink" Target="https://eitaa.com/ommolboka_babol" TargetMode="External"/><Relationship Id="rId68" Type="http://schemas.openxmlformats.org/officeDocument/2006/relationships/hyperlink" Target="https://eitaa.com/beytozahra_ir" TargetMode="External"/><Relationship Id="rId67" Type="http://schemas.openxmlformats.org/officeDocument/2006/relationships/hyperlink" Target="https://t.me/beytozahra_ir" TargetMode="External"/><Relationship Id="rId60" Type="http://schemas.openxmlformats.org/officeDocument/2006/relationships/hyperlink" Target="https://t.me/beyraq_info" TargetMode="External"/><Relationship Id="rId69" Type="http://schemas.openxmlformats.org/officeDocument/2006/relationships/hyperlink" Target="https://www.youtube.com/@beytozahra4337/" TargetMode="External"/><Relationship Id="rId51" Type="http://schemas.openxmlformats.org/officeDocument/2006/relationships/hyperlink" Target="https://www.instagram.com/rozatoshohada.amol/" TargetMode="External"/><Relationship Id="rId50" Type="http://schemas.openxmlformats.org/officeDocument/2006/relationships/hyperlink" Target="https://t.me/ashabioon" TargetMode="External"/><Relationship Id="rId53" Type="http://schemas.openxmlformats.org/officeDocument/2006/relationships/hyperlink" Target="https://t.me/heyat_Amol" TargetMode="External"/><Relationship Id="rId52" Type="http://schemas.openxmlformats.org/officeDocument/2006/relationships/hyperlink" Target="https://www.instagram.com/heyat_seyedollshohada_amol/" TargetMode="External"/><Relationship Id="rId55" Type="http://schemas.openxmlformats.org/officeDocument/2006/relationships/hyperlink" Target="https://www.instagram.com/hasanioun.info/" TargetMode="External"/><Relationship Id="rId54" Type="http://schemas.openxmlformats.org/officeDocument/2006/relationships/hyperlink" Target="https://www.instagram.com/heiat.shahzade.aliakbar/" TargetMode="External"/><Relationship Id="rId57" Type="http://schemas.openxmlformats.org/officeDocument/2006/relationships/hyperlink" Target="https://www.instagram.com/peyrovan.amol/" TargetMode="External"/><Relationship Id="rId56" Type="http://schemas.openxmlformats.org/officeDocument/2006/relationships/hyperlink" Target="https://t.me/hasaniha" TargetMode="External"/><Relationship Id="rId59" Type="http://schemas.openxmlformats.org/officeDocument/2006/relationships/hyperlink" Target="https://www.instagram.com/mohebbanolabas/" TargetMode="External"/><Relationship Id="rId58" Type="http://schemas.openxmlformats.org/officeDocument/2006/relationships/hyperlink" Target="https://www.instagram.com/sahebalzamanir/" TargetMode="External"/><Relationship Id="rId349" Type="http://schemas.openxmlformats.org/officeDocument/2006/relationships/hyperlink" Target="https://www.instagram.com/qamarbanihashem.info/" TargetMode="External"/><Relationship Id="rId348" Type="http://schemas.openxmlformats.org/officeDocument/2006/relationships/hyperlink" Target="https://eitaa.com/rahrovan_shohada_sari" TargetMode="External"/><Relationship Id="rId347" Type="http://schemas.openxmlformats.org/officeDocument/2006/relationships/hyperlink" Target="https://t.me/rahrovanshohadasari" TargetMode="External"/><Relationship Id="rId346" Type="http://schemas.openxmlformats.org/officeDocument/2006/relationships/hyperlink" Target="https://www.instagram.com/rahrovanshohadasari/" TargetMode="External"/><Relationship Id="rId341" Type="http://schemas.openxmlformats.org/officeDocument/2006/relationships/hyperlink" Target="https://www.instagram.com/khoddam_shohada_sari" TargetMode="External"/><Relationship Id="rId340" Type="http://schemas.openxmlformats.org/officeDocument/2006/relationships/hyperlink" Target="https://www.instagram.com/ansariha_sari/" TargetMode="External"/><Relationship Id="rId345" Type="http://schemas.openxmlformats.org/officeDocument/2006/relationships/hyperlink" Target="https://www.instagram.com/rahrovan_sari/" TargetMode="External"/><Relationship Id="rId344" Type="http://schemas.openxmlformats.org/officeDocument/2006/relationships/hyperlink" Target="https://www.instagram.com/heydariion/" TargetMode="External"/><Relationship Id="rId343" Type="http://schemas.openxmlformats.org/officeDocument/2006/relationships/hyperlink" Target="https://eitaa.com/khodamoshohada_sari" TargetMode="External"/><Relationship Id="rId342" Type="http://schemas.openxmlformats.org/officeDocument/2006/relationships/hyperlink" Target="https://t.me/heyat_khodam" TargetMode="External"/><Relationship Id="rId338" Type="http://schemas.openxmlformats.org/officeDocument/2006/relationships/hyperlink" Target="https://t.me/ansaresarii" TargetMode="External"/><Relationship Id="rId337" Type="http://schemas.openxmlformats.org/officeDocument/2006/relationships/hyperlink" Target="https://www.instagram.com/ansaresarii/" TargetMode="External"/><Relationship Id="rId336" Type="http://schemas.openxmlformats.org/officeDocument/2006/relationships/hyperlink" Target="https://t.me/beitozzahra_ir" TargetMode="External"/><Relationship Id="rId335" Type="http://schemas.openxmlformats.org/officeDocument/2006/relationships/hyperlink" Target="https://www.instagram.com/beitozzahra_ir" TargetMode="External"/><Relationship Id="rId339" Type="http://schemas.openxmlformats.org/officeDocument/2006/relationships/hyperlink" Target="https://eitaa.com/ansaresarii" TargetMode="External"/><Relationship Id="rId330" Type="http://schemas.openxmlformats.org/officeDocument/2006/relationships/hyperlink" Target="https://www.instagram.com/javadolaeme_ir/" TargetMode="External"/><Relationship Id="rId334" Type="http://schemas.openxmlformats.org/officeDocument/2006/relationships/hyperlink" Target="https://www.instagram.com/gharibe_madine_sari" TargetMode="External"/><Relationship Id="rId333" Type="http://schemas.openxmlformats.org/officeDocument/2006/relationships/hyperlink" Target="https://www.instagram.com/maktab.sadegh84/" TargetMode="External"/><Relationship Id="rId332" Type="http://schemas.openxmlformats.org/officeDocument/2006/relationships/hyperlink" Target="https://www.instagram.com/ansaralmahdi.rostamkola/" TargetMode="External"/><Relationship Id="rId331" Type="http://schemas.openxmlformats.org/officeDocument/2006/relationships/hyperlink" Target="https://t.me/javanan_javadolaemeh_rostamkola" TargetMode="External"/><Relationship Id="rId370" Type="http://schemas.openxmlformats.org/officeDocument/2006/relationships/hyperlink" Target="https://t.me/shahekhorasan" TargetMode="External"/><Relationship Id="rId369" Type="http://schemas.openxmlformats.org/officeDocument/2006/relationships/hyperlink" Target="https://www.instagram.com/shahe_khorasan_media/" TargetMode="External"/><Relationship Id="rId368" Type="http://schemas.openxmlformats.org/officeDocument/2006/relationships/hyperlink" Target="https://eitaa.com/shabab_abalfazl" TargetMode="External"/><Relationship Id="rId363" Type="http://schemas.openxmlformats.org/officeDocument/2006/relationships/hyperlink" Target="https://www.instagram.com/shahe_khourasan_sari/" TargetMode="External"/><Relationship Id="rId362" Type="http://schemas.openxmlformats.org/officeDocument/2006/relationships/hyperlink" Target="https://t.me/zeynabioun_ir" TargetMode="External"/><Relationship Id="rId361" Type="http://schemas.openxmlformats.org/officeDocument/2006/relationships/hyperlink" Target="https://www.instagram.com/zeynabioun_ir" TargetMode="External"/><Relationship Id="rId360" Type="http://schemas.openxmlformats.org/officeDocument/2006/relationships/hyperlink" Target="https://www.instagram.com/javadolaemeh_sari/" TargetMode="External"/><Relationship Id="rId367" Type="http://schemas.openxmlformats.org/officeDocument/2006/relationships/hyperlink" Target="https://www.instagram.com/shabab_abalfazl/" TargetMode="External"/><Relationship Id="rId366" Type="http://schemas.openxmlformats.org/officeDocument/2006/relationships/hyperlink" Target="https://t.me/amesadatsari" TargetMode="External"/><Relationship Id="rId365" Type="http://schemas.openxmlformats.org/officeDocument/2006/relationships/hyperlink" Target="https://www.instagram.com/amesadatsari/" TargetMode="External"/><Relationship Id="rId364" Type="http://schemas.openxmlformats.org/officeDocument/2006/relationships/hyperlink" Target="https://t.me/shahekhorasan" TargetMode="External"/><Relationship Id="rId95" Type="http://schemas.openxmlformats.org/officeDocument/2006/relationships/hyperlink" Target="https://www.instagram.com/zamanyaghoubi/" TargetMode="External"/><Relationship Id="rId94" Type="http://schemas.openxmlformats.org/officeDocument/2006/relationships/hyperlink" Target="https://t.me/tahmasbpour_ir" TargetMode="External"/><Relationship Id="rId97" Type="http://schemas.openxmlformats.org/officeDocument/2006/relationships/hyperlink" Target="https://www.instagram.com/gharibmadinehamirkola/" TargetMode="External"/><Relationship Id="rId96" Type="http://schemas.openxmlformats.org/officeDocument/2006/relationships/hyperlink" Target="https://t.me/yaghoubi_yadegaari" TargetMode="External"/><Relationship Id="rId99" Type="http://schemas.openxmlformats.org/officeDocument/2006/relationships/hyperlink" Target="https://www.instagram.com/seyyedeh_zeinab/" TargetMode="External"/><Relationship Id="rId98" Type="http://schemas.openxmlformats.org/officeDocument/2006/relationships/hyperlink" Target="https://www.instagram.com/alamdarhussainorg/" TargetMode="External"/><Relationship Id="rId91" Type="http://schemas.openxmlformats.org/officeDocument/2006/relationships/hyperlink" Target="https://www.instagram.com/alamdar_media.ir/" TargetMode="External"/><Relationship Id="rId90" Type="http://schemas.openxmlformats.org/officeDocument/2006/relationships/hyperlink" Target="https://www.instagram.com/bazri.mohammadreza/" TargetMode="External"/><Relationship Id="rId93" Type="http://schemas.openxmlformats.org/officeDocument/2006/relationships/hyperlink" Target="https://www.instagram.com/tahmasbpour_abbas/" TargetMode="External"/><Relationship Id="rId92" Type="http://schemas.openxmlformats.org/officeDocument/2006/relationships/hyperlink" Target="https://t.me/Alamdarbabol" TargetMode="External"/><Relationship Id="rId359" Type="http://schemas.openxmlformats.org/officeDocument/2006/relationships/hyperlink" Target="https://www.youtube.com/@sarallah_sari1" TargetMode="External"/><Relationship Id="rId358" Type="http://schemas.openxmlformats.org/officeDocument/2006/relationships/hyperlink" Target="https://eitaa.com/sarallah_sari1" TargetMode="External"/><Relationship Id="rId357" Type="http://schemas.openxmlformats.org/officeDocument/2006/relationships/hyperlink" Target="https://t.me/sarallah_sari1" TargetMode="External"/><Relationship Id="rId352" Type="http://schemas.openxmlformats.org/officeDocument/2006/relationships/hyperlink" Target="https://eitaa.com/oshagholhosein_sari" TargetMode="External"/><Relationship Id="rId351" Type="http://schemas.openxmlformats.org/officeDocument/2006/relationships/hyperlink" Target="https://www.instagram.com/oshagholhosein_sari" TargetMode="External"/><Relationship Id="rId350" Type="http://schemas.openxmlformats.org/officeDocument/2006/relationships/hyperlink" Target="https://t.me/beiraq_ir" TargetMode="External"/><Relationship Id="rId356" Type="http://schemas.openxmlformats.org/officeDocument/2006/relationships/hyperlink" Target="https://www.instagram.com/sarallah_sari1/" TargetMode="External"/><Relationship Id="rId355" Type="http://schemas.openxmlformats.org/officeDocument/2006/relationships/hyperlink" Target="https://maps.app.goo.gl/uC2ir1cB6oEJPQKh6" TargetMode="External"/><Relationship Id="rId354" Type="http://schemas.openxmlformats.org/officeDocument/2006/relationships/hyperlink" Target="https://t.me/beynolharameynsari" TargetMode="External"/><Relationship Id="rId353" Type="http://schemas.openxmlformats.org/officeDocument/2006/relationships/hyperlink" Target="https://www.instagram.com/beynolharameynsari/" TargetMode="External"/><Relationship Id="rId305" Type="http://schemas.openxmlformats.org/officeDocument/2006/relationships/hyperlink" Target="https://t.me/ansarolhosein_72" TargetMode="External"/><Relationship Id="rId304" Type="http://schemas.openxmlformats.org/officeDocument/2006/relationships/hyperlink" Target="https://www.instagram.com/ansarolhosein_chaloos72" TargetMode="External"/><Relationship Id="rId303" Type="http://schemas.openxmlformats.org/officeDocument/2006/relationships/hyperlink" Target="https://www.instagram.com/heyat_emamhosein_chalous/" TargetMode="External"/><Relationship Id="rId302" Type="http://schemas.openxmlformats.org/officeDocument/2006/relationships/hyperlink" Target="https://t.me/heyat_abolfazli_halestan" TargetMode="External"/><Relationship Id="rId309" Type="http://schemas.openxmlformats.org/officeDocument/2006/relationships/hyperlink" Target="https://www.instagram.com/heyat_rohollah_chalus/" TargetMode="External"/><Relationship Id="rId308" Type="http://schemas.openxmlformats.org/officeDocument/2006/relationships/hyperlink" Target="https://www.instagram.com/heiaat_hazrat_ghasem_chalous" TargetMode="External"/><Relationship Id="rId307" Type="http://schemas.openxmlformats.org/officeDocument/2006/relationships/hyperlink" Target="https://t.me/heyat_aliasghar_chalus" TargetMode="External"/><Relationship Id="rId306" Type="http://schemas.openxmlformats.org/officeDocument/2006/relationships/hyperlink" Target="https://www.instagram.com/heyat_aliasghar_.chalus/" TargetMode="External"/><Relationship Id="rId301" Type="http://schemas.openxmlformats.org/officeDocument/2006/relationships/hyperlink" Target="https://www.instagram.com/heyat_abolfazli__halestan/" TargetMode="External"/><Relationship Id="rId300" Type="http://schemas.openxmlformats.org/officeDocument/2006/relationships/hyperlink" Target="https://t.me/mohebin_aemeh_chalus" TargetMode="External"/><Relationship Id="rId327" Type="http://schemas.openxmlformats.org/officeDocument/2006/relationships/hyperlink" Target="https://www.instagram.com/heyat_aliakbar_ramsar/" TargetMode="External"/><Relationship Id="rId326" Type="http://schemas.openxmlformats.org/officeDocument/2006/relationships/hyperlink" Target="https://www.instagram.com/abalfazliha_sadatshahr/" TargetMode="External"/><Relationship Id="rId325" Type="http://schemas.openxmlformats.org/officeDocument/2006/relationships/hyperlink" Target="https://eitaa.com/FATEMIONRAMSAR" TargetMode="External"/><Relationship Id="rId324" Type="http://schemas.openxmlformats.org/officeDocument/2006/relationships/hyperlink" Target="https://www.instagram.com/fatemiyoun_ramsar/" TargetMode="External"/><Relationship Id="rId329" Type="http://schemas.openxmlformats.org/officeDocument/2006/relationships/hyperlink" Target="https://t.me/babolhosein_ir" TargetMode="External"/><Relationship Id="rId328" Type="http://schemas.openxmlformats.org/officeDocument/2006/relationships/hyperlink" Target="https://www.instagram.com/babolhosein_rostamkola/" TargetMode="External"/><Relationship Id="rId323" Type="http://schemas.openxmlformats.org/officeDocument/2006/relationships/hyperlink" Target="https://eitaa.com/rheyat_ir" TargetMode="External"/><Relationship Id="rId322" Type="http://schemas.openxmlformats.org/officeDocument/2006/relationships/hyperlink" Target="https://t.me/rheyat_ir" TargetMode="External"/><Relationship Id="rId321" Type="http://schemas.openxmlformats.org/officeDocument/2006/relationships/hyperlink" Target="https://www.instagram.com/heyati.ramsar" TargetMode="External"/><Relationship Id="rId320" Type="http://schemas.openxmlformats.org/officeDocument/2006/relationships/hyperlink" Target="https://www.instagram.com/valiasr_heyat" TargetMode="External"/><Relationship Id="rId316" Type="http://schemas.openxmlformats.org/officeDocument/2006/relationships/hyperlink" Target="https://www.instagram.com/h_ansar_ramsar/" TargetMode="External"/><Relationship Id="rId315" Type="http://schemas.openxmlformats.org/officeDocument/2006/relationships/hyperlink" Target="https://www.instagram.com/delsoukhtegan69/" TargetMode="External"/><Relationship Id="rId314" Type="http://schemas.openxmlformats.org/officeDocument/2006/relationships/hyperlink" Target="https://t.me/mohebinaemeh_chalus" TargetMode="External"/><Relationship Id="rId313" Type="http://schemas.openxmlformats.org/officeDocument/2006/relationships/hyperlink" Target="https://www.instagram.com/mohebinaemeh_chalus/" TargetMode="External"/><Relationship Id="rId319" Type="http://schemas.openxmlformats.org/officeDocument/2006/relationships/hyperlink" Target="https://t.me/h_hor_ramsar" TargetMode="External"/><Relationship Id="rId318" Type="http://schemas.openxmlformats.org/officeDocument/2006/relationships/hyperlink" Target="https://www.instagram.com/horramsar" TargetMode="External"/><Relationship Id="rId317" Type="http://schemas.openxmlformats.org/officeDocument/2006/relationships/hyperlink" Target="https://eitaa.com/h_ansaralmahdiramsar" TargetMode="External"/><Relationship Id="rId312" Type="http://schemas.openxmlformats.org/officeDocument/2006/relationships/hyperlink" Target="https://www.instagram.com/heyat_olhossein1403/" TargetMode="External"/><Relationship Id="rId311" Type="http://schemas.openxmlformats.org/officeDocument/2006/relationships/hyperlink" Target="https://www.instagram.com/beytalroghaye_315/" TargetMode="External"/><Relationship Id="rId310" Type="http://schemas.openxmlformats.org/officeDocument/2006/relationships/hyperlink" Target="https://www.instagram.com/heyat.montazeran" TargetMode="External"/><Relationship Id="rId297" Type="http://schemas.openxmlformats.org/officeDocument/2006/relationships/hyperlink" Target="https://www.instagram.com/heiaate.hazrat.ghasem/" TargetMode="External"/><Relationship Id="rId296" Type="http://schemas.openxmlformats.org/officeDocument/2006/relationships/hyperlink" Target="https://www.instagram.com/hossein_alehabib/" TargetMode="External"/><Relationship Id="rId295" Type="http://schemas.openxmlformats.org/officeDocument/2006/relationships/hyperlink" Target="https://t.me/heyatolkarimchalus" TargetMode="External"/><Relationship Id="rId294" Type="http://schemas.openxmlformats.org/officeDocument/2006/relationships/hyperlink" Target="https://www.instagram.com/heyatolkarimchalus/" TargetMode="External"/><Relationship Id="rId299" Type="http://schemas.openxmlformats.org/officeDocument/2006/relationships/hyperlink" Target="https://www.instagram.com/mohebin_aemeh_chalos/" TargetMode="External"/><Relationship Id="rId298" Type="http://schemas.openxmlformats.org/officeDocument/2006/relationships/hyperlink" Target="https://www.instagram.com/javanan.ashoraii_hachiroud.ir/" TargetMode="External"/><Relationship Id="rId271" Type="http://schemas.openxmlformats.org/officeDocument/2006/relationships/hyperlink" Target="https://www.youtube.com/@resalatolhossein" TargetMode="External"/><Relationship Id="rId270" Type="http://schemas.openxmlformats.org/officeDocument/2006/relationships/hyperlink" Target="https://eitaa.com/ansarrol_hossein" TargetMode="External"/><Relationship Id="rId269" Type="http://schemas.openxmlformats.org/officeDocument/2006/relationships/hyperlink" Target="https://t.me/ansarolhosein_juybar" TargetMode="External"/><Relationship Id="rId264" Type="http://schemas.openxmlformats.org/officeDocument/2006/relationships/hyperlink" Target="https://www.instagram.com/ansarozzahra_ir/" TargetMode="External"/><Relationship Id="rId263" Type="http://schemas.openxmlformats.org/officeDocument/2006/relationships/hyperlink" Target="https://eitaa.com/s/oshaghorezair" TargetMode="External"/><Relationship Id="rId262" Type="http://schemas.openxmlformats.org/officeDocument/2006/relationships/hyperlink" Target="https://t.me/oshaghoreza_ir" TargetMode="External"/><Relationship Id="rId261" Type="http://schemas.openxmlformats.org/officeDocument/2006/relationships/hyperlink" Target="https://www.instagram.com/oshaghoreza_ir/" TargetMode="External"/><Relationship Id="rId268" Type="http://schemas.openxmlformats.org/officeDocument/2006/relationships/hyperlink" Target="https://www.instagram.com/ansarolhosein_juybar/" TargetMode="External"/><Relationship Id="rId267" Type="http://schemas.openxmlformats.org/officeDocument/2006/relationships/hyperlink" Target="https://t.me/saghakhuneh_ir" TargetMode="External"/><Relationship Id="rId266" Type="http://schemas.openxmlformats.org/officeDocument/2006/relationships/hyperlink" Target="https://www.instagram.com/saghakhuneh.ir/" TargetMode="External"/><Relationship Id="rId265" Type="http://schemas.openxmlformats.org/officeDocument/2006/relationships/hyperlink" Target="https://t.me/ansarozzahra_ir" TargetMode="External"/><Relationship Id="rId260" Type="http://schemas.openxmlformats.org/officeDocument/2006/relationships/hyperlink" Target="https://t.me/heyat_alamdar313" TargetMode="External"/><Relationship Id="rId259" Type="http://schemas.openxmlformats.org/officeDocument/2006/relationships/hyperlink" Target="https://www.instagram.com/heyat_alamdar" TargetMode="External"/><Relationship Id="rId258" Type="http://schemas.openxmlformats.org/officeDocument/2006/relationships/hyperlink" Target="https://eitaa.com/alamdar_moaddab" TargetMode="External"/><Relationship Id="rId253" Type="http://schemas.openxmlformats.org/officeDocument/2006/relationships/hyperlink" Target="https://eitaa.com/yalesaratalhosyntnkabon" TargetMode="External"/><Relationship Id="rId252" Type="http://schemas.openxmlformats.org/officeDocument/2006/relationships/hyperlink" Target="https://t.me/heiatshahekarbala" TargetMode="External"/><Relationship Id="rId251" Type="http://schemas.openxmlformats.org/officeDocument/2006/relationships/hyperlink" Target="https://www.instagram.com/heiat.shahekarbala" TargetMode="External"/><Relationship Id="rId250" Type="http://schemas.openxmlformats.org/officeDocument/2006/relationships/hyperlink" Target="https://www.instagram.com/asheghanabalfazll/" TargetMode="External"/><Relationship Id="rId257" Type="http://schemas.openxmlformats.org/officeDocument/2006/relationships/hyperlink" Target="https://t.me/alamdar_moaddab" TargetMode="External"/><Relationship Id="rId256" Type="http://schemas.openxmlformats.org/officeDocument/2006/relationships/hyperlink" Target="https://www.instagram.com/alamdar_moaddab/" TargetMode="External"/><Relationship Id="rId255" Type="http://schemas.openxmlformats.org/officeDocument/2006/relationships/hyperlink" Target="https://eitaa.com/heyatansarir" TargetMode="External"/><Relationship Id="rId254" Type="http://schemas.openxmlformats.org/officeDocument/2006/relationships/hyperlink" Target="https://www.instagram.com/heyatansarir/" TargetMode="External"/><Relationship Id="rId293" Type="http://schemas.openxmlformats.org/officeDocument/2006/relationships/hyperlink" Target="https://www.instagram.com/rowzatolabas.jouybar/" TargetMode="External"/><Relationship Id="rId292" Type="http://schemas.openxmlformats.org/officeDocument/2006/relationships/hyperlink" Target="https://eitaa.com/MojtameEmamreza" TargetMode="External"/><Relationship Id="rId291" Type="http://schemas.openxmlformats.org/officeDocument/2006/relationships/hyperlink" Target="https://t.me/Mojtame_Emamreza" TargetMode="External"/><Relationship Id="rId290" Type="http://schemas.openxmlformats.org/officeDocument/2006/relationships/hyperlink" Target="https://www.instagram.com/mojtameemamreza/" TargetMode="External"/><Relationship Id="rId286" Type="http://schemas.openxmlformats.org/officeDocument/2006/relationships/hyperlink" Target="https://t.me/rowzatolhosein_juybar" TargetMode="External"/><Relationship Id="rId285" Type="http://schemas.openxmlformats.org/officeDocument/2006/relationships/hyperlink" Target="https://www.instagram.com/rowzatolhosein_juybar/" TargetMode="External"/><Relationship Id="rId284" Type="http://schemas.openxmlformats.org/officeDocument/2006/relationships/hyperlink" Target="https://eitaa.com/shababekarbala" TargetMode="External"/><Relationship Id="rId283" Type="http://schemas.openxmlformats.org/officeDocument/2006/relationships/hyperlink" Target="https://t.me/shababekarbala" TargetMode="External"/><Relationship Id="rId289" Type="http://schemas.openxmlformats.org/officeDocument/2006/relationships/hyperlink" Target="https://www.instagram.com/rahrovan_shohada_shorka/" TargetMode="External"/><Relationship Id="rId288" Type="http://schemas.openxmlformats.org/officeDocument/2006/relationships/hyperlink" Target="https://t.me/heyatejavadolaeme" TargetMode="External"/><Relationship Id="rId287" Type="http://schemas.openxmlformats.org/officeDocument/2006/relationships/hyperlink" Target="https://www.instagram.com/heyate_javadolaeme_jouybar/" TargetMode="External"/><Relationship Id="rId282" Type="http://schemas.openxmlformats.org/officeDocument/2006/relationships/hyperlink" Target="https://www.instagram.com/shababekarbala/" TargetMode="External"/><Relationship Id="rId281" Type="http://schemas.openxmlformats.org/officeDocument/2006/relationships/hyperlink" Target="https://www.instagram.com/heyatpanjtanaleaba/" TargetMode="External"/><Relationship Id="rId280" Type="http://schemas.openxmlformats.org/officeDocument/2006/relationships/hyperlink" Target="https://eitaa.com/heiatsarallahjouybar" TargetMode="External"/><Relationship Id="rId275" Type="http://schemas.openxmlformats.org/officeDocument/2006/relationships/hyperlink" Target="https://t.me/moheban_valiasr_k" TargetMode="External"/><Relationship Id="rId274" Type="http://schemas.openxmlformats.org/officeDocument/2006/relationships/hyperlink" Target="https://www.instagram.com/moheban_valiasr_k/" TargetMode="External"/><Relationship Id="rId273" Type="http://schemas.openxmlformats.org/officeDocument/2006/relationships/hyperlink" Target="https://t.me/Mohebbinahlebeitjuybar" TargetMode="External"/><Relationship Id="rId272" Type="http://schemas.openxmlformats.org/officeDocument/2006/relationships/hyperlink" Target="https://www.instagram.com/mohebbinahlebeitjuybar313/" TargetMode="External"/><Relationship Id="rId279" Type="http://schemas.openxmlformats.org/officeDocument/2006/relationships/hyperlink" Target="https://www.instagram.com/hazratealiakbar" TargetMode="External"/><Relationship Id="rId278" Type="http://schemas.openxmlformats.org/officeDocument/2006/relationships/hyperlink" Target="https://www.instagram.com/heyat_seyedoshohada_jouybar/" TargetMode="External"/><Relationship Id="rId277" Type="http://schemas.openxmlformats.org/officeDocument/2006/relationships/hyperlink" Target="https://t.me/ansarjoybar" TargetMode="External"/><Relationship Id="rId276" Type="http://schemas.openxmlformats.org/officeDocument/2006/relationships/hyperlink" Target="https://www.instagram.com/ansaralmahdi_juybar/" TargetMode="External"/><Relationship Id="rId228" Type="http://schemas.openxmlformats.org/officeDocument/2006/relationships/hyperlink" Target="https://t.me/ghamare_bani_hashem_behshahr" TargetMode="External"/><Relationship Id="rId227" Type="http://schemas.openxmlformats.org/officeDocument/2006/relationships/hyperlink" Target="https://www.instagram.com/ghamarebanihasheme133/" TargetMode="External"/><Relationship Id="rId226" Type="http://schemas.openxmlformats.org/officeDocument/2006/relationships/hyperlink" Target="https://www.instagram.com/ghamarbanihashembehshahr/" TargetMode="External"/><Relationship Id="rId225" Type="http://schemas.openxmlformats.org/officeDocument/2006/relationships/hyperlink" Target="https://www.instagram.com/beynolharameyne_behshar" TargetMode="External"/><Relationship Id="rId229" Type="http://schemas.openxmlformats.org/officeDocument/2006/relationships/hyperlink" Target="https://www.instagram.com/abalfazlia.behshahr" TargetMode="External"/><Relationship Id="rId220" Type="http://schemas.openxmlformats.org/officeDocument/2006/relationships/hyperlink" Target="https://www.instagram.com/h.ansarolhosein/" TargetMode="External"/><Relationship Id="rId224" Type="http://schemas.openxmlformats.org/officeDocument/2006/relationships/hyperlink" Target="https://www.instagram.com/salar.shahidan81/" TargetMode="External"/><Relationship Id="rId223" Type="http://schemas.openxmlformats.org/officeDocument/2006/relationships/hyperlink" Target="https://www.instagram.com/montazranhojjat.bh/" TargetMode="External"/><Relationship Id="rId222" Type="http://schemas.openxmlformats.org/officeDocument/2006/relationships/hyperlink" Target="https://t.me/azadaran83" TargetMode="External"/><Relationship Id="rId221" Type="http://schemas.openxmlformats.org/officeDocument/2006/relationships/hyperlink" Target="https://www.instagram.com/azadaran.83/" TargetMode="External"/><Relationship Id="rId217" Type="http://schemas.openxmlformats.org/officeDocument/2006/relationships/hyperlink" Target="https://www.instagram.com/rahrovaneshohada_ir/" TargetMode="External"/><Relationship Id="rId216" Type="http://schemas.openxmlformats.org/officeDocument/2006/relationships/hyperlink" Target="https://www.instagram.com/beytoroghayeh_ir/" TargetMode="External"/><Relationship Id="rId215" Type="http://schemas.openxmlformats.org/officeDocument/2006/relationships/hyperlink" Target="https://eitaa.com/s/Hbanifateme" TargetMode="External"/><Relationship Id="rId214" Type="http://schemas.openxmlformats.org/officeDocument/2006/relationships/hyperlink" Target="https://t.me/hbanifateme" TargetMode="External"/><Relationship Id="rId219" Type="http://schemas.openxmlformats.org/officeDocument/2006/relationships/hyperlink" Target="https://www.instagram.com/heyatpeyrovan_b/" TargetMode="External"/><Relationship Id="rId218" Type="http://schemas.openxmlformats.org/officeDocument/2006/relationships/hyperlink" Target="https://t.me/rahrovaneshohada_ir" TargetMode="External"/><Relationship Id="rId213" Type="http://schemas.openxmlformats.org/officeDocument/2006/relationships/hyperlink" Target="https://www.instagram.com/hbanifateme/" TargetMode="External"/><Relationship Id="rId212" Type="http://schemas.openxmlformats.org/officeDocument/2006/relationships/hyperlink" Target="https://www.instagram.com/maisamashrafi/" TargetMode="External"/><Relationship Id="rId211" Type="http://schemas.openxmlformats.org/officeDocument/2006/relationships/hyperlink" Target="https://t.me/hasanebnali_ir" TargetMode="External"/><Relationship Id="rId210" Type="http://schemas.openxmlformats.org/officeDocument/2006/relationships/hyperlink" Target="https://www.instagram.com/hasanebnali_ir/" TargetMode="External"/><Relationship Id="rId249" Type="http://schemas.openxmlformats.org/officeDocument/2006/relationships/hyperlink" Target="https://eitaa.com/razmandegantonekabon" TargetMode="External"/><Relationship Id="rId248" Type="http://schemas.openxmlformats.org/officeDocument/2006/relationships/hyperlink" Target="https://t.me/fadaeiyanbibizeynab" TargetMode="External"/><Relationship Id="rId247" Type="http://schemas.openxmlformats.org/officeDocument/2006/relationships/hyperlink" Target="https://www.instagram.com/heyat_fadaeiyan_bibi_zeynab/" TargetMode="External"/><Relationship Id="rId242" Type="http://schemas.openxmlformats.org/officeDocument/2006/relationships/hyperlink" Target="https://www.instagram.com/yomna313_98/" TargetMode="External"/><Relationship Id="rId241" Type="http://schemas.openxmlformats.org/officeDocument/2006/relationships/hyperlink" Target="https://eitaa.com/alyasin_behshahr" TargetMode="External"/><Relationship Id="rId240" Type="http://schemas.openxmlformats.org/officeDocument/2006/relationships/hyperlink" Target="https://t.me/Alyasin_behshahr" TargetMode="External"/><Relationship Id="rId246" Type="http://schemas.openxmlformats.org/officeDocument/2006/relationships/hyperlink" Target="https://t.me/janatolhoseintonekabon" TargetMode="External"/><Relationship Id="rId245" Type="http://schemas.openxmlformats.org/officeDocument/2006/relationships/hyperlink" Target="https://www.instagram.com/heyatejanatol_hosseins/" TargetMode="External"/><Relationship Id="rId244" Type="http://schemas.openxmlformats.org/officeDocument/2006/relationships/hyperlink" Target="https://t.me/mahfelzovarolabbas" TargetMode="External"/><Relationship Id="rId243" Type="http://schemas.openxmlformats.org/officeDocument/2006/relationships/hyperlink" Target="https://www.instagram.com/zovarol_abbas/" TargetMode="External"/><Relationship Id="rId239" Type="http://schemas.openxmlformats.org/officeDocument/2006/relationships/hyperlink" Target="https://www.instagram.com/alyasin_behshahr/" TargetMode="External"/><Relationship Id="rId238" Type="http://schemas.openxmlformats.org/officeDocument/2006/relationships/hyperlink" Target="https://www.instagram.com/heyat.mohebbinolhossein/" TargetMode="External"/><Relationship Id="rId237" Type="http://schemas.openxmlformats.org/officeDocument/2006/relationships/hyperlink" Target="https://eitaa.com/khademin_behshahr" TargetMode="External"/><Relationship Id="rId236" Type="http://schemas.openxmlformats.org/officeDocument/2006/relationships/hyperlink" Target="https://t.me/khademoreza118" TargetMode="External"/><Relationship Id="rId231" Type="http://schemas.openxmlformats.org/officeDocument/2006/relationships/hyperlink" Target="https://eitaa.com/abaalfazlya_behshahr" TargetMode="External"/><Relationship Id="rId230" Type="http://schemas.openxmlformats.org/officeDocument/2006/relationships/hyperlink" Target="https://t.me/abalfazliah" TargetMode="External"/><Relationship Id="rId235" Type="http://schemas.openxmlformats.org/officeDocument/2006/relationships/hyperlink" Target="https://www.instagram.com/khademalreza__94" TargetMode="External"/><Relationship Id="rId234" Type="http://schemas.openxmlformats.org/officeDocument/2006/relationships/hyperlink" Target="https://www.instagram.com/heyaat_hazrat_aliakbar1384" TargetMode="External"/><Relationship Id="rId233" Type="http://schemas.openxmlformats.org/officeDocument/2006/relationships/hyperlink" Target="https://t.me/gorjichannel" TargetMode="External"/><Relationship Id="rId232" Type="http://schemas.openxmlformats.org/officeDocument/2006/relationships/hyperlink" Target="https://www.instagram.com/ashouraeiyaan" TargetMode="External"/><Relationship Id="rId206" Type="http://schemas.openxmlformats.org/officeDocument/2006/relationships/hyperlink" Target="https://www.instagram.com/maktabolhasan_118/" TargetMode="External"/><Relationship Id="rId205" Type="http://schemas.openxmlformats.org/officeDocument/2006/relationships/hyperlink" Target="https://t.me/hbnoor" TargetMode="External"/><Relationship Id="rId204" Type="http://schemas.openxmlformats.org/officeDocument/2006/relationships/hyperlink" Target="https://www.instagram.com/h.bnoor" TargetMode="External"/><Relationship Id="rId203" Type="http://schemas.openxmlformats.org/officeDocument/2006/relationships/hyperlink" Target="https://www.instagram.com/heyatefatematozahra.ir/" TargetMode="External"/><Relationship Id="rId209" Type="http://schemas.openxmlformats.org/officeDocument/2006/relationships/hyperlink" Target="https://t.me/jannatolroghaye_315" TargetMode="External"/><Relationship Id="rId208" Type="http://schemas.openxmlformats.org/officeDocument/2006/relationships/hyperlink" Target="https://www.instagram.com/jannat315_behshahr/" TargetMode="External"/><Relationship Id="rId207" Type="http://schemas.openxmlformats.org/officeDocument/2006/relationships/hyperlink" Target="https://t.me/pnamjo" TargetMode="External"/><Relationship Id="rId202" Type="http://schemas.openxmlformats.org/officeDocument/2006/relationships/hyperlink" Target="https://www.instagram.com/zanjir_zani_chardah_masoom" TargetMode="External"/><Relationship Id="rId201" Type="http://schemas.openxmlformats.org/officeDocument/2006/relationships/hyperlink" Target="https://t.me/peyrovaneetratebabolsar" TargetMode="External"/><Relationship Id="rId200" Type="http://schemas.openxmlformats.org/officeDocument/2006/relationships/hyperlink" Target="https://www.instagram.com/heyat_peyrovane_etrat_bbs" TargetMode="External"/><Relationship Id="rId509" Type="http://schemas.openxmlformats.org/officeDocument/2006/relationships/hyperlink" Target="https://www.instagram.com/mohebbannoor_ir/" TargetMode="External"/><Relationship Id="rId508" Type="http://schemas.openxmlformats.org/officeDocument/2006/relationships/hyperlink" Target="https://www.instagram.com/babalhavaejnoor" TargetMode="External"/><Relationship Id="rId503" Type="http://schemas.openxmlformats.org/officeDocument/2006/relationships/hyperlink" Target="https://www.instagram.com/ansaralmohsennoo" TargetMode="External"/><Relationship Id="rId502" Type="http://schemas.openxmlformats.org/officeDocument/2006/relationships/hyperlink" Target="https://eitaa.com/heyat_abolfazl_atrab" TargetMode="External"/><Relationship Id="rId501" Type="http://schemas.openxmlformats.org/officeDocument/2006/relationships/hyperlink" Target="https://www.instagram.com/heyat_abolfazl.atrab" TargetMode="External"/><Relationship Id="rId500" Type="http://schemas.openxmlformats.org/officeDocument/2006/relationships/hyperlink" Target="https://www.instagram.com/masjede_sajadie_neka" TargetMode="External"/><Relationship Id="rId507" Type="http://schemas.openxmlformats.org/officeDocument/2006/relationships/hyperlink" Target="https://www.instagram.com/heiat_jenabaliakbar/" TargetMode="External"/><Relationship Id="rId506" Type="http://schemas.openxmlformats.org/officeDocument/2006/relationships/hyperlink" Target="https://www.instagram.com/heyat_madar_sadat_noor/" TargetMode="External"/><Relationship Id="rId505" Type="http://schemas.openxmlformats.org/officeDocument/2006/relationships/hyperlink" Target="https://eitaa.com/heyat_abasaleh_chamestan" TargetMode="External"/><Relationship Id="rId504" Type="http://schemas.openxmlformats.org/officeDocument/2006/relationships/hyperlink" Target="https://t.me/ansaralmohsennoor" TargetMode="External"/><Relationship Id="rId525" Type="http://schemas.openxmlformats.org/officeDocument/2006/relationships/hyperlink" Target="https://t.me/heyat5tan_nowshahr" TargetMode="External"/><Relationship Id="rId524" Type="http://schemas.openxmlformats.org/officeDocument/2006/relationships/hyperlink" Target="https://www.instagram.com/heyat5tan_nowshahr/" TargetMode="External"/><Relationship Id="rId523" Type="http://schemas.openxmlformats.org/officeDocument/2006/relationships/hyperlink" Target="https://t.me/kheyrroodmisagh" TargetMode="External"/><Relationship Id="rId522" Type="http://schemas.openxmlformats.org/officeDocument/2006/relationships/hyperlink" Target="https://www.instagram.com/kanoon_misagh/" TargetMode="External"/><Relationship Id="rId529" Type="http://schemas.openxmlformats.org/officeDocument/2006/relationships/hyperlink" Target="https://t.me/heyAte_fatemezahra" TargetMode="External"/><Relationship Id="rId528" Type="http://schemas.openxmlformats.org/officeDocument/2006/relationships/hyperlink" Target="https://www.instagram.com/heyat_beytozahra14/" TargetMode="External"/><Relationship Id="rId527" Type="http://schemas.openxmlformats.org/officeDocument/2006/relationships/hyperlink" Target="https://t.me/kanoon_kdnn" TargetMode="External"/><Relationship Id="rId526" Type="http://schemas.openxmlformats.org/officeDocument/2006/relationships/hyperlink" Target="https://www.instagram.com/kanoon_kdnn/" TargetMode="External"/><Relationship Id="rId521" Type="http://schemas.openxmlformats.org/officeDocument/2006/relationships/hyperlink" Target="https://eitaa.com/emam_jafar_sadegh_nowshahr_01" TargetMode="External"/><Relationship Id="rId520" Type="http://schemas.openxmlformats.org/officeDocument/2006/relationships/hyperlink" Target="https://www.instagram.com/m.emam.jafar.sadegh.nowshahr/" TargetMode="External"/><Relationship Id="rId519" Type="http://schemas.openxmlformats.org/officeDocument/2006/relationships/hyperlink" Target="https://t.me/montazerannoshahr94" TargetMode="External"/><Relationship Id="rId514" Type="http://schemas.openxmlformats.org/officeDocument/2006/relationships/hyperlink" Target="https://www.instagram.com/maktabshohada" TargetMode="External"/><Relationship Id="rId513" Type="http://schemas.openxmlformats.org/officeDocument/2006/relationships/hyperlink" Target="https://www.instagram.com/farzandan_madar_bineshan/" TargetMode="External"/><Relationship Id="rId512" Type="http://schemas.openxmlformats.org/officeDocument/2006/relationships/hyperlink" Target="https://t.me/mojib_org" TargetMode="External"/><Relationship Id="rId511" Type="http://schemas.openxmlformats.org/officeDocument/2006/relationships/hyperlink" Target="https://www.instagram.com/mojib_org/" TargetMode="External"/><Relationship Id="rId518" Type="http://schemas.openxmlformats.org/officeDocument/2006/relationships/hyperlink" Target="https://www.instagram.com/montazeran_noshahr" TargetMode="External"/><Relationship Id="rId517" Type="http://schemas.openxmlformats.org/officeDocument/2006/relationships/hyperlink" Target="https://t.me/mojiir_org" TargetMode="External"/><Relationship Id="rId516" Type="http://schemas.openxmlformats.org/officeDocument/2006/relationships/hyperlink" Target="https://www.instagram.com/mojir.ir" TargetMode="External"/><Relationship Id="rId515" Type="http://schemas.openxmlformats.org/officeDocument/2006/relationships/hyperlink" Target="https://www.instagram.com/h_abalfazlia" TargetMode="External"/><Relationship Id="rId510" Type="http://schemas.openxmlformats.org/officeDocument/2006/relationships/hyperlink" Target="https://eitaa.com/heyatrazmandegannor" TargetMode="External"/><Relationship Id="rId547" Type="http://schemas.openxmlformats.org/officeDocument/2006/relationships/hyperlink" Target="https://www.instagram.com/qamar_media_ir/" TargetMode="External"/><Relationship Id="rId546" Type="http://schemas.openxmlformats.org/officeDocument/2006/relationships/hyperlink" Target="https://www.instagram.com/mahuramedia/" TargetMode="External"/><Relationship Id="rId545" Type="http://schemas.openxmlformats.org/officeDocument/2006/relationships/hyperlink" Target="https://t.me/tabesh_telegram" TargetMode="External"/><Relationship Id="rId544" Type="http://schemas.openxmlformats.org/officeDocument/2006/relationships/hyperlink" Target="https://www.instagram.com/tabesh___group/" TargetMode="External"/><Relationship Id="rId549" Type="http://schemas.openxmlformats.org/officeDocument/2006/relationships/hyperlink" Target="https://www.instagram.com/reyhan_artmedia/" TargetMode="External"/><Relationship Id="rId548" Type="http://schemas.openxmlformats.org/officeDocument/2006/relationships/hyperlink" Target="https://www.instagram.com/moshk_info/" TargetMode="External"/><Relationship Id="rId543" Type="http://schemas.openxmlformats.org/officeDocument/2006/relationships/hyperlink" Target="https://www.instagram.com/booriya_graph/" TargetMode="External"/><Relationship Id="rId542" Type="http://schemas.openxmlformats.org/officeDocument/2006/relationships/hyperlink" Target="https://www.instagram.com/shobeyr.media/" TargetMode="External"/><Relationship Id="rId541" Type="http://schemas.openxmlformats.org/officeDocument/2006/relationships/hyperlink" Target="https://www.instagram.com/yumma_org/" TargetMode="External"/><Relationship Id="rId540" Type="http://schemas.openxmlformats.org/officeDocument/2006/relationships/hyperlink" Target="https://eitaa.com/khademmedia_ir" TargetMode="External"/><Relationship Id="rId536" Type="http://schemas.openxmlformats.org/officeDocument/2006/relationships/hyperlink" Target="https://www.instagram.com/beytolabas133/" TargetMode="External"/><Relationship Id="rId535" Type="http://schemas.openxmlformats.org/officeDocument/2006/relationships/hyperlink" Target="https://t.me/mosleh118_info" TargetMode="External"/><Relationship Id="rId534" Type="http://schemas.openxmlformats.org/officeDocument/2006/relationships/hyperlink" Target="https://www.instagram.com/mosleh118_info/" TargetMode="External"/><Relationship Id="rId533" Type="http://schemas.openxmlformats.org/officeDocument/2006/relationships/hyperlink" Target="https://t.me/shahzadealiakbar1349" TargetMode="External"/><Relationship Id="rId539" Type="http://schemas.openxmlformats.org/officeDocument/2006/relationships/hyperlink" Target="https://t.me/khademmedia_ir" TargetMode="External"/><Relationship Id="rId538" Type="http://schemas.openxmlformats.org/officeDocument/2006/relationships/hyperlink" Target="https://www.instagram.com/khademmedia_ir/" TargetMode="External"/><Relationship Id="rId537" Type="http://schemas.openxmlformats.org/officeDocument/2006/relationships/hyperlink" Target="https://www.instagram.com/nokaran135/" TargetMode="External"/><Relationship Id="rId532" Type="http://schemas.openxmlformats.org/officeDocument/2006/relationships/hyperlink" Target="https://www.instagram.com/shahzadealiakbar.ir/" TargetMode="External"/><Relationship Id="rId531" Type="http://schemas.openxmlformats.org/officeDocument/2006/relationships/hyperlink" Target="https://www.instagram.com/heyat_jannesaran_nowshahr" TargetMode="External"/><Relationship Id="rId530" Type="http://schemas.openxmlformats.org/officeDocument/2006/relationships/hyperlink" Target="https://www.instagram.com/moheban_abalfazl_nowshahr/" TargetMode="External"/><Relationship Id="rId561" Type="http://schemas.openxmlformats.org/officeDocument/2006/relationships/hyperlink" Target="https://eitaa.com/razmandegan_babol" TargetMode="External"/><Relationship Id="rId560" Type="http://schemas.openxmlformats.org/officeDocument/2006/relationships/hyperlink" Target="https://eitaa.com/hbnoor" TargetMode="External"/><Relationship Id="rId565" Type="http://schemas.openxmlformats.org/officeDocument/2006/relationships/drawing" Target="../drawings/drawing4.xml"/><Relationship Id="rId564" Type="http://schemas.openxmlformats.org/officeDocument/2006/relationships/hyperlink" Target="https://eitaa.com/raayatalmahdi" TargetMode="External"/><Relationship Id="rId563" Type="http://schemas.openxmlformats.org/officeDocument/2006/relationships/hyperlink" Target="https://eitaa.com/heyatansarir" TargetMode="External"/><Relationship Id="rId562" Type="http://schemas.openxmlformats.org/officeDocument/2006/relationships/hyperlink" Target="https://eitaa.com/heiat_beytolabbas" TargetMode="External"/><Relationship Id="rId558" Type="http://schemas.openxmlformats.org/officeDocument/2006/relationships/hyperlink" Target="https://eitaa.com/Behshahr_Arbaeen" TargetMode="External"/><Relationship Id="rId557" Type="http://schemas.openxmlformats.org/officeDocument/2006/relationships/hyperlink" Target="https://eitaa.com/rahianekarbala" TargetMode="External"/><Relationship Id="rId556" Type="http://schemas.openxmlformats.org/officeDocument/2006/relationships/hyperlink" Target="https://eitaa.com/moheban_ahlebeyt" TargetMode="External"/><Relationship Id="rId555" Type="http://schemas.openxmlformats.org/officeDocument/2006/relationships/hyperlink" Target="https://www.instagram.com/moheban_ahlebeyt?utm_source=ig_web_button_share_sheet&amp;igsh=ZDNlZDc0MzIxNw==" TargetMode="External"/><Relationship Id="rId559" Type="http://schemas.openxmlformats.org/officeDocument/2006/relationships/hyperlink" Target="https://eitaa.com/heyatalzahra_ir" TargetMode="External"/><Relationship Id="rId550" Type="http://schemas.openxmlformats.org/officeDocument/2006/relationships/hyperlink" Target="https://www.instagram.com/avaye_shieh/" TargetMode="External"/><Relationship Id="rId554" Type="http://schemas.openxmlformats.org/officeDocument/2006/relationships/hyperlink" Target="https://eitaa.com/mookeeb" TargetMode="External"/><Relationship Id="rId553" Type="http://schemas.openxmlformats.org/officeDocument/2006/relationships/hyperlink" Target="https://www.instagram.com/horr_media/" TargetMode="External"/><Relationship Id="rId552" Type="http://schemas.openxmlformats.org/officeDocument/2006/relationships/hyperlink" Target="https://www.instagram.com/feraq.media/" TargetMode="External"/><Relationship Id="rId551" Type="http://schemas.openxmlformats.org/officeDocument/2006/relationships/hyperlink" Target="https://www.instagram.com/moghim118/" TargetMode="External"/><Relationship Id="rId495" Type="http://schemas.openxmlformats.org/officeDocument/2006/relationships/hyperlink" Target="https://eitaa.com/fatemiyehneka" TargetMode="External"/><Relationship Id="rId494" Type="http://schemas.openxmlformats.org/officeDocument/2006/relationships/hyperlink" Target="https://t.me/fatemiyehneka" TargetMode="External"/><Relationship Id="rId493" Type="http://schemas.openxmlformats.org/officeDocument/2006/relationships/hyperlink" Target="https://www.instagram.com/fatemiyeh_neka" TargetMode="External"/><Relationship Id="rId492" Type="http://schemas.openxmlformats.org/officeDocument/2006/relationships/hyperlink" Target="https://www.instagram.com/heyat_hoseynia_sourak/" TargetMode="External"/><Relationship Id="rId499" Type="http://schemas.openxmlformats.org/officeDocument/2006/relationships/hyperlink" Target="https://eitaa.com/heyatrazmandeganneka" TargetMode="External"/><Relationship Id="rId498" Type="http://schemas.openxmlformats.org/officeDocument/2006/relationships/hyperlink" Target="https://www.instagram.com/heyat.razmandegan.neka/" TargetMode="External"/><Relationship Id="rId497" Type="http://schemas.openxmlformats.org/officeDocument/2006/relationships/hyperlink" Target="https://t.me/aleyasin83" TargetMode="External"/><Relationship Id="rId496" Type="http://schemas.openxmlformats.org/officeDocument/2006/relationships/hyperlink" Target="https://www.instagram.com/aleyasin_83" TargetMode="External"/><Relationship Id="rId409" Type="http://schemas.openxmlformats.org/officeDocument/2006/relationships/hyperlink" Target="https://www.instagram.com/kheymegah_sari" TargetMode="External"/><Relationship Id="rId404" Type="http://schemas.openxmlformats.org/officeDocument/2006/relationships/hyperlink" Target="https://www.instagram.com/moheban_aliakbar_sari/" TargetMode="External"/><Relationship Id="rId403" Type="http://schemas.openxmlformats.org/officeDocument/2006/relationships/hyperlink" Target="https://t.me/lvaozzahra" TargetMode="External"/><Relationship Id="rId402" Type="http://schemas.openxmlformats.org/officeDocument/2006/relationships/hyperlink" Target="https://www.instagram.com/levaozzahra/" TargetMode="External"/><Relationship Id="rId401" Type="http://schemas.openxmlformats.org/officeDocument/2006/relationships/hyperlink" Target="https://t.me/maktabolreza_sari" TargetMode="External"/><Relationship Id="rId408" Type="http://schemas.openxmlformats.org/officeDocument/2006/relationships/hyperlink" Target="https://www.instagram.com/heyat_karbala_sari/" TargetMode="External"/><Relationship Id="rId407" Type="http://schemas.openxmlformats.org/officeDocument/2006/relationships/hyperlink" Target="https://www.instagram.com/heiat.mazums/" TargetMode="External"/><Relationship Id="rId406" Type="http://schemas.openxmlformats.org/officeDocument/2006/relationships/hyperlink" Target="https://eitaa.com/aliakbar_sari" TargetMode="External"/><Relationship Id="rId405" Type="http://schemas.openxmlformats.org/officeDocument/2006/relationships/hyperlink" Target="https://t.me/mohebban_aliakbar_sari" TargetMode="External"/><Relationship Id="rId400" Type="http://schemas.openxmlformats.org/officeDocument/2006/relationships/hyperlink" Target="https://www.instagram.com/maktabolreza.sari/" TargetMode="External"/><Relationship Id="rId469" Type="http://schemas.openxmlformats.org/officeDocument/2006/relationships/hyperlink" Target="https://t.me/heyatjavananaliasghar" TargetMode="External"/><Relationship Id="rId468" Type="http://schemas.openxmlformats.org/officeDocument/2006/relationships/hyperlink" Target="https://www.instagram.com/heyate.aliasghare.javanan" TargetMode="External"/><Relationship Id="rId467" Type="http://schemas.openxmlformats.org/officeDocument/2006/relationships/hyperlink" Target="https://eitaa.com/razmandegan_qaem" TargetMode="External"/><Relationship Id="rId462" Type="http://schemas.openxmlformats.org/officeDocument/2006/relationships/hyperlink" Target="https://t.me/jannatolhosein315" TargetMode="External"/><Relationship Id="rId461" Type="http://schemas.openxmlformats.org/officeDocument/2006/relationships/hyperlink" Target="https://www.instagram.com/jannatolhosein315/" TargetMode="External"/><Relationship Id="rId460" Type="http://schemas.openxmlformats.org/officeDocument/2006/relationships/hyperlink" Target="https://eitaa.com/heyat_maktabolshohada" TargetMode="External"/><Relationship Id="rId466" Type="http://schemas.openxmlformats.org/officeDocument/2006/relationships/hyperlink" Target="https://www.instagram.com/heyate_javanane_montazeran/" TargetMode="External"/><Relationship Id="rId465" Type="http://schemas.openxmlformats.org/officeDocument/2006/relationships/hyperlink" Target="https://www.instagram.com/sayedatyzahra" TargetMode="External"/><Relationship Id="rId464" Type="http://schemas.openxmlformats.org/officeDocument/2006/relationships/hyperlink" Target="https://www.instagram.com/maktabolhasan1" TargetMode="External"/><Relationship Id="rId463" Type="http://schemas.openxmlformats.org/officeDocument/2006/relationships/hyperlink" Target="https://www.instagram.com/emam.hasani.ha/" TargetMode="External"/><Relationship Id="rId459" Type="http://schemas.openxmlformats.org/officeDocument/2006/relationships/hyperlink" Target="https://t.me/heyat_maktabolshohada" TargetMode="External"/><Relationship Id="rId458" Type="http://schemas.openxmlformats.org/officeDocument/2006/relationships/hyperlink" Target="https://www.instagram.com/heyat_maktabolshohada/" TargetMode="External"/><Relationship Id="rId457" Type="http://schemas.openxmlformats.org/officeDocument/2006/relationships/hyperlink" Target="https://eitaa.com/s/heyatalzahra_ir" TargetMode="External"/><Relationship Id="rId456" Type="http://schemas.openxmlformats.org/officeDocument/2006/relationships/hyperlink" Target="https://t.me/heyatalzahra_ir" TargetMode="External"/><Relationship Id="rId451" Type="http://schemas.openxmlformats.org/officeDocument/2006/relationships/hyperlink" Target="https://www.instagram.com/rezapeirovii/" TargetMode="External"/><Relationship Id="rId450" Type="http://schemas.openxmlformats.org/officeDocument/2006/relationships/hyperlink" Target="https://t.me/hoseinpeirovi118" TargetMode="External"/><Relationship Id="rId455" Type="http://schemas.openxmlformats.org/officeDocument/2006/relationships/hyperlink" Target="https://www.instagram.com/heyatalzahra.ir/" TargetMode="External"/><Relationship Id="rId454" Type="http://schemas.openxmlformats.org/officeDocument/2006/relationships/hyperlink" Target="https://www.instagram.com/ghasembenhasan201" TargetMode="External"/><Relationship Id="rId453" Type="http://schemas.openxmlformats.org/officeDocument/2006/relationships/hyperlink" Target="https://www.youtube.com/@rezapeirovi" TargetMode="External"/><Relationship Id="rId452" Type="http://schemas.openxmlformats.org/officeDocument/2006/relationships/hyperlink" Target="https://t.me/rezapeirovi_channel" TargetMode="External"/><Relationship Id="rId491" Type="http://schemas.openxmlformats.org/officeDocument/2006/relationships/hyperlink" Target="https://www.instagram.com/khademhosein313/" TargetMode="External"/><Relationship Id="rId490" Type="http://schemas.openxmlformats.org/officeDocument/2006/relationships/hyperlink" Target="https://eitaa.com/aghighe1" TargetMode="External"/><Relationship Id="rId489" Type="http://schemas.openxmlformats.org/officeDocument/2006/relationships/hyperlink" Target="https://t.me/naslesoleimani_ir" TargetMode="External"/><Relationship Id="rId484" Type="http://schemas.openxmlformats.org/officeDocument/2006/relationships/hyperlink" Target="https://www.instagram.com/heyataliasgharmollakola/" TargetMode="External"/><Relationship Id="rId483" Type="http://schemas.openxmlformats.org/officeDocument/2006/relationships/hyperlink" Target="https://www.instagram.com/seyedoshohadasorkhrood/" TargetMode="External"/><Relationship Id="rId482" Type="http://schemas.openxmlformats.org/officeDocument/2006/relationships/hyperlink" Target="https://eitaa.com/HeyatGomnam" TargetMode="External"/><Relationship Id="rId481" Type="http://schemas.openxmlformats.org/officeDocument/2006/relationships/hyperlink" Target="https://www.instagram.com/heyatgomnam/" TargetMode="External"/><Relationship Id="rId488" Type="http://schemas.openxmlformats.org/officeDocument/2006/relationships/hyperlink" Target="https://www.instagram.com/aghighe1/" TargetMode="External"/><Relationship Id="rId487" Type="http://schemas.openxmlformats.org/officeDocument/2006/relationships/hyperlink" Target="https://www.instagram.com/heyat_sahebzaman/" TargetMode="External"/><Relationship Id="rId486" Type="http://schemas.openxmlformats.org/officeDocument/2006/relationships/hyperlink" Target="https://www.instagram.com/asheghanevelayat94/" TargetMode="External"/><Relationship Id="rId485" Type="http://schemas.openxmlformats.org/officeDocument/2006/relationships/hyperlink" Target="https://t.me/mohebinaliasghar" TargetMode="External"/><Relationship Id="rId480" Type="http://schemas.openxmlformats.org/officeDocument/2006/relationships/hyperlink" Target="https://www.instagram.com/hoseiniyeh_mahmodabad/" TargetMode="External"/><Relationship Id="rId479" Type="http://schemas.openxmlformats.org/officeDocument/2006/relationships/hyperlink" Target="https://www.instagram.com/bentalrasol/" TargetMode="External"/><Relationship Id="rId478" Type="http://schemas.openxmlformats.org/officeDocument/2006/relationships/hyperlink" Target="https://www.instagram.com/fadaeeyanezeynab313/" TargetMode="External"/><Relationship Id="rId473" Type="http://schemas.openxmlformats.org/officeDocument/2006/relationships/hyperlink" Target="https://www.instagram.com/baghiat_allah_ir/" TargetMode="External"/><Relationship Id="rId472" Type="http://schemas.openxmlformats.org/officeDocument/2006/relationships/hyperlink" Target="https://www.instagram.com/htfatemion313" TargetMode="External"/><Relationship Id="rId471" Type="http://schemas.openxmlformats.org/officeDocument/2006/relationships/hyperlink" Target="https://t.me/beytolzahra_com" TargetMode="External"/><Relationship Id="rId470" Type="http://schemas.openxmlformats.org/officeDocument/2006/relationships/hyperlink" Target="https://www.instagram.com/beytolzahra_com" TargetMode="External"/><Relationship Id="rId477" Type="http://schemas.openxmlformats.org/officeDocument/2006/relationships/hyperlink" Target="https://t.me/heyatesahebazzamangalougah" TargetMode="External"/><Relationship Id="rId476" Type="http://schemas.openxmlformats.org/officeDocument/2006/relationships/hyperlink" Target="https://www.instagram.com/heiate_saheb_zaman_galougah/" TargetMode="External"/><Relationship Id="rId475" Type="http://schemas.openxmlformats.org/officeDocument/2006/relationships/hyperlink" Target="https://www.instagram.com/msq.zeynab/" TargetMode="External"/><Relationship Id="rId474" Type="http://schemas.openxmlformats.org/officeDocument/2006/relationships/hyperlink" Target="https://eitaa.com/Baghiatallah_nojavan_313" TargetMode="External"/><Relationship Id="rId426" Type="http://schemas.openxmlformats.org/officeDocument/2006/relationships/hyperlink" Target="https://www.instagram.com/heiate_abolfazl/" TargetMode="External"/><Relationship Id="rId425" Type="http://schemas.openxmlformats.org/officeDocument/2006/relationships/hyperlink" Target="https://t.me/mokhayem_ir" TargetMode="External"/><Relationship Id="rId424" Type="http://schemas.openxmlformats.org/officeDocument/2006/relationships/hyperlink" Target="https://www.instagram.com/mokhayem/" TargetMode="External"/><Relationship Id="rId423" Type="http://schemas.openxmlformats.org/officeDocument/2006/relationships/hyperlink" Target="https://t.me/razavioon_ir" TargetMode="External"/><Relationship Id="rId429" Type="http://schemas.openxmlformats.org/officeDocument/2006/relationships/hyperlink" Target="https://www.instagram.com/heyat.karbalaeeha/" TargetMode="External"/><Relationship Id="rId428" Type="http://schemas.openxmlformats.org/officeDocument/2006/relationships/hyperlink" Target="https://www.instagram.com/karbalaeeha.fereidonkenar" TargetMode="External"/><Relationship Id="rId427" Type="http://schemas.openxmlformats.org/officeDocument/2006/relationships/hyperlink" Target="https://t.me/heiate_abolfazl" TargetMode="External"/><Relationship Id="rId422" Type="http://schemas.openxmlformats.org/officeDocument/2006/relationships/hyperlink" Target="https://www.instagram.com/razavioon_ir" TargetMode="External"/><Relationship Id="rId421" Type="http://schemas.openxmlformats.org/officeDocument/2006/relationships/hyperlink" Target="https://t.me/beheshtemamhasan" TargetMode="External"/><Relationship Id="rId420" Type="http://schemas.openxmlformats.org/officeDocument/2006/relationships/hyperlink" Target="https://www.instagram.com/janatolhasan.ir/" TargetMode="External"/><Relationship Id="rId415" Type="http://schemas.openxmlformats.org/officeDocument/2006/relationships/hyperlink" Target="https://www.instagram.com/montazeran_simorgh313/" TargetMode="External"/><Relationship Id="rId414" Type="http://schemas.openxmlformats.org/officeDocument/2006/relationships/hyperlink" Target="https://t.me/hoseinieemarkazi" TargetMode="External"/><Relationship Id="rId413" Type="http://schemas.openxmlformats.org/officeDocument/2006/relationships/hyperlink" Target="https://www.instagram.com/hoseinieemarkazi" TargetMode="External"/><Relationship Id="rId412" Type="http://schemas.openxmlformats.org/officeDocument/2006/relationships/hyperlink" Target="https://www.instagram.com/al_hadi_ir/" TargetMode="External"/><Relationship Id="rId419" Type="http://schemas.openxmlformats.org/officeDocument/2006/relationships/hyperlink" Target="https://t.me/oshagholhosein86_ir" TargetMode="External"/><Relationship Id="rId418" Type="http://schemas.openxmlformats.org/officeDocument/2006/relationships/hyperlink" Target="https://www.instagram.com/oshagholhosein_ir" TargetMode="External"/><Relationship Id="rId417" Type="http://schemas.openxmlformats.org/officeDocument/2006/relationships/hyperlink" Target="https://eitaa.com/montazeran_simorgh" TargetMode="External"/><Relationship Id="rId416" Type="http://schemas.openxmlformats.org/officeDocument/2006/relationships/hyperlink" Target="https://t.me/montazeran_simorgh313" TargetMode="External"/><Relationship Id="rId411" Type="http://schemas.openxmlformats.org/officeDocument/2006/relationships/hyperlink" Target="https://www.instagram.com/golzarshohada.polsefid/" TargetMode="External"/><Relationship Id="rId410" Type="http://schemas.openxmlformats.org/officeDocument/2006/relationships/hyperlink" Target="https://t.me/kelta_ir" TargetMode="External"/><Relationship Id="rId448" Type="http://schemas.openxmlformats.org/officeDocument/2006/relationships/hyperlink" Target="https://eitaa.com/nojavanan_oshagholreza1001" TargetMode="External"/><Relationship Id="rId447" Type="http://schemas.openxmlformats.org/officeDocument/2006/relationships/hyperlink" Target="https://www.instagram.com/nojavanan_oshagholreza1001/" TargetMode="External"/><Relationship Id="rId446" Type="http://schemas.openxmlformats.org/officeDocument/2006/relationships/hyperlink" Target="https://t.me/rozatolshohada_info" TargetMode="External"/><Relationship Id="rId445" Type="http://schemas.openxmlformats.org/officeDocument/2006/relationships/hyperlink" Target="https://www.instagram.com/rozatolshohada_info" TargetMode="External"/><Relationship Id="rId449" Type="http://schemas.openxmlformats.org/officeDocument/2006/relationships/hyperlink" Target="https://www.instagram.com/hoseinpeirovi118/" TargetMode="External"/><Relationship Id="rId440" Type="http://schemas.openxmlformats.org/officeDocument/2006/relationships/hyperlink" Target="http://eitaa.com/moheban_ahlebeyt" TargetMode="External"/><Relationship Id="rId444" Type="http://schemas.openxmlformats.org/officeDocument/2006/relationships/hyperlink" Target="https://eitaa.com/qarar_info" TargetMode="External"/><Relationship Id="rId443" Type="http://schemas.openxmlformats.org/officeDocument/2006/relationships/hyperlink" Target="https://t.me/qarar_info" TargetMode="External"/><Relationship Id="rId442" Type="http://schemas.openxmlformats.org/officeDocument/2006/relationships/hyperlink" Target="https://www.instagram.com/qarar_info/" TargetMode="External"/><Relationship Id="rId441" Type="http://schemas.openxmlformats.org/officeDocument/2006/relationships/hyperlink" Target="https://www.instagram.com/parvaztakhoda12/" TargetMode="External"/><Relationship Id="rId437" Type="http://schemas.openxmlformats.org/officeDocument/2006/relationships/hyperlink" Target="https://www.instagram.com/ansarolhosein.fk/" TargetMode="External"/><Relationship Id="rId436" Type="http://schemas.openxmlformats.org/officeDocument/2006/relationships/hyperlink" Target="https://eitaa.com/jannatgroup" TargetMode="External"/><Relationship Id="rId435" Type="http://schemas.openxmlformats.org/officeDocument/2006/relationships/hyperlink" Target="https://t.me/jannatgroup" TargetMode="External"/><Relationship Id="rId434" Type="http://schemas.openxmlformats.org/officeDocument/2006/relationships/hyperlink" Target="https://www.instagram.com/hosseiniha.ir" TargetMode="External"/><Relationship Id="rId439" Type="http://schemas.openxmlformats.org/officeDocument/2006/relationships/hyperlink" Target="https://t.me/moheban_ahlebeyt" TargetMode="External"/><Relationship Id="rId438" Type="http://schemas.openxmlformats.org/officeDocument/2006/relationships/hyperlink" Target="https://www.instagram.com/moheban_ahlebeyt/" TargetMode="External"/><Relationship Id="rId433" Type="http://schemas.openxmlformats.org/officeDocument/2006/relationships/hyperlink" Target="https://www.instagram.com/beit_alroghaye_315/" TargetMode="External"/><Relationship Id="rId432" Type="http://schemas.openxmlformats.org/officeDocument/2006/relationships/hyperlink" Target="https://www.instagram.com/beitolhasani_ir" TargetMode="External"/><Relationship Id="rId431" Type="http://schemas.openxmlformats.org/officeDocument/2006/relationships/hyperlink" Target="https://www.instagram.com/hasanieh_ir/" TargetMode="External"/><Relationship Id="rId430" Type="http://schemas.openxmlformats.org/officeDocument/2006/relationships/hyperlink" Target="https://eitaa.com/mahdieh1fri" TargetMode="External"/><Relationship Id="rId1" Type="http://schemas.openxmlformats.org/officeDocument/2006/relationships/hyperlink" Target="https://www.instagram.com/hsaf24/" TargetMode="External"/><Relationship Id="rId2" Type="http://schemas.openxmlformats.org/officeDocument/2006/relationships/hyperlink" Target="https://www.instagram.com/hsaf24/" TargetMode="External"/><Relationship Id="rId3" Type="http://schemas.openxmlformats.org/officeDocument/2006/relationships/hyperlink" Target="https://eitaa.com/hsaf24" TargetMode="External"/><Relationship Id="rId4" Type="http://schemas.openxmlformats.org/officeDocument/2006/relationships/hyperlink" Target="https://www.instagram.com/rahrovanshohada.ir/" TargetMode="External"/><Relationship Id="rId9" Type="http://schemas.openxmlformats.org/officeDocument/2006/relationships/hyperlink" Target="https://www.instagram.com/yalesarat.amol" TargetMode="External"/><Relationship Id="rId5" Type="http://schemas.openxmlformats.org/officeDocument/2006/relationships/hyperlink" Target="https://t.me/rsa1370" TargetMode="External"/><Relationship Id="rId6" Type="http://schemas.openxmlformats.org/officeDocument/2006/relationships/hyperlink" Target="https://eitaa.com/rahrovan_shohada1370" TargetMode="External"/><Relationship Id="rId7" Type="http://schemas.openxmlformats.org/officeDocument/2006/relationships/hyperlink" Target="https://www.instagram.com/hasanioun.info/" TargetMode="External"/><Relationship Id="rId8" Type="http://schemas.openxmlformats.org/officeDocument/2006/relationships/hyperlink" Target="https://eitaa.com/EmamHasanMojtabba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l.instagram.com/?u=http%3A%2F%2Ft.me%2Fbeytorroqayyeh%3Futm_source%3Dig%26utm_medium%3Dsocial%26utm_content%3Dlink_in_bio%26fbclid%3DPAZXh0bgNhZW0CMTEAc3J0YwZhcHBfaWQMMjU2MjgxMDQwNTU4AAGnhiN6fdSRjmL8CIwCuMh45CM71K0YFX7OulGhHHUnLX-fsWbqVfS1kxG2gGo_aem_E6OkfCEeSSMmeEq4-kv8bw&amp;e=AT0_JKAz2_qXvKU0080xKLLUD8lPyH9gkRNtKarkBqAAQqOcdpjgJlpjD0V4KOZk3_V6pek7vSZ1eS_sXlyeyteffC5ijK1s9uTN99Jkpw" TargetMode="External"/><Relationship Id="rId194" Type="http://schemas.openxmlformats.org/officeDocument/2006/relationships/hyperlink" Target="https://www.instagram.com/roghaye_jaan315/" TargetMode="External"/><Relationship Id="rId193" Type="http://schemas.openxmlformats.org/officeDocument/2006/relationships/hyperlink" Target="https://eitaa.com/hosseinjan_qazvin" TargetMode="External"/><Relationship Id="rId192" Type="http://schemas.openxmlformats.org/officeDocument/2006/relationships/hyperlink" Target="https://telegram.me/hosseinjan_qazvin" TargetMode="External"/><Relationship Id="rId191" Type="http://schemas.openxmlformats.org/officeDocument/2006/relationships/hyperlink" Target="https://www.instagram.com/hosseinjan_qazvin/" TargetMode="External"/><Relationship Id="rId187" Type="http://schemas.openxmlformats.org/officeDocument/2006/relationships/hyperlink" Target="https://t.me/yaranenamaz" TargetMode="External"/><Relationship Id="rId186" Type="http://schemas.openxmlformats.org/officeDocument/2006/relationships/hyperlink" Target="https://www.instagram.com/yaranenamaz/" TargetMode="External"/><Relationship Id="rId185" Type="http://schemas.openxmlformats.org/officeDocument/2006/relationships/hyperlink" Target="https://eitaa.com/hasanieh_heyat" TargetMode="External"/><Relationship Id="rId184" Type="http://schemas.openxmlformats.org/officeDocument/2006/relationships/hyperlink" Target="https://eitaa.com/abasaleh_inf" TargetMode="External"/><Relationship Id="rId189" Type="http://schemas.openxmlformats.org/officeDocument/2006/relationships/hyperlink" Target="https://www.instagram.com/beytorroqayyeh/" TargetMode="External"/><Relationship Id="rId188" Type="http://schemas.openxmlformats.org/officeDocument/2006/relationships/hyperlink" Target="https://l.instagram.com/?u=http%3A%2F%2Fwww.yaranenamaz.com%2F%3Futm_source%3Dig%26utm_medium%3Dsocial%26utm_content%3Dlink_in_bio%26fbclid%3DPAZXh0bgNhZW0CMTEAc3J0YwZhcHBfaWQMMjU2MjgxMDQwNTU4AAGnyRsl4XlnaEFauP-hpZx7sBSr1XsSOeLbLV7jXXq5UXluHYEBdTJoZkueBps_aem_O5TR0Ux4ofhjKkZaiSEBRQ&amp;e=AT2XzXOUGcfffDnlnVLv7kNFTuA5iRrUfNyxNLUsAgDLru_hsgLAcicLeWf0Wyek7q1ACHWe8nZncC2ZgddFeOcvujpCxM5ATeP03sGuMA" TargetMode="External"/><Relationship Id="rId183" Type="http://schemas.openxmlformats.org/officeDocument/2006/relationships/hyperlink" Target="https://t.me/Mohammadeamin_info" TargetMode="External"/><Relationship Id="rId182" Type="http://schemas.openxmlformats.org/officeDocument/2006/relationships/hyperlink" Target="https://www.instagram.com/mohammadeamin_info/" TargetMode="External"/><Relationship Id="rId181" Type="http://schemas.openxmlformats.org/officeDocument/2006/relationships/hyperlink" Target="https://www.instagram.com/fadak.qazvin/" TargetMode="External"/><Relationship Id="rId180" Type="http://schemas.openxmlformats.org/officeDocument/2006/relationships/hyperlink" Target="https://www.instagram.com/mohseniyeqazvin/" TargetMode="External"/><Relationship Id="rId176" Type="http://schemas.openxmlformats.org/officeDocument/2006/relationships/hyperlink" Target="https://www.instagram.com/hazratmoslem_qazvin/" TargetMode="External"/><Relationship Id="rId175" Type="http://schemas.openxmlformats.org/officeDocument/2006/relationships/hyperlink" Target="https://t.me/hasanjaan_qazvin" TargetMode="External"/><Relationship Id="rId174" Type="http://schemas.openxmlformats.org/officeDocument/2006/relationships/hyperlink" Target="https://www.instagram.com/hasanjaanqazvin/" TargetMode="External"/><Relationship Id="rId173" Type="http://schemas.openxmlformats.org/officeDocument/2006/relationships/hyperlink" Target="https://t.me/mohebbin_ommeabiha" TargetMode="External"/><Relationship Id="rId179" Type="http://schemas.openxmlformats.org/officeDocument/2006/relationships/hyperlink" Target="https://www.instagram.com/beitol_abbas_qazvinn/" TargetMode="External"/><Relationship Id="rId178" Type="http://schemas.openxmlformats.org/officeDocument/2006/relationships/hyperlink" Target="https://www.instagram.com/mahfel_moazam_yaali_qazvin/" TargetMode="External"/><Relationship Id="rId177" Type="http://schemas.openxmlformats.org/officeDocument/2006/relationships/hyperlink" Target="https://t.me/majmoe_hazratmoslem" TargetMode="External"/><Relationship Id="rId198" Type="http://schemas.openxmlformats.org/officeDocument/2006/relationships/hyperlink" Target="https://l.instagram.com/?u=https%3A%2F%2Ft.me%2FSedreh_Qazvin%3Futm_source%3Dig%26utm_medium%3Dsocial%26utm_content%3Dlink_in_bio%26fbclid%3DPAZXh0bgNhZW0CMTEAc3J0YwZhcHBfaWQMMjU2MjgxMDQwNTU4AAGnq2WZAxy_g4vfPwhUCpfJEODym_KQn65xZ-AHUJH7bdLYSAPNVKg0j-JKcZo_aem_c8qxS9mKRcgMR4_S9qts6g&amp;e=AT3NgcMYhNY9I0cbYu3zSZbK7oRCqZFq2iJkPpEW7rGe0AZj6z9K-5a8VOGOOldEf-6FgXZ_h-7rt7WbRWgbEnFO9yQrVGNaX1GBGHnI_A" TargetMode="External"/><Relationship Id="rId197" Type="http://schemas.openxmlformats.org/officeDocument/2006/relationships/hyperlink" Target="https://www.instagram.com/sedreh_qazvin/" TargetMode="External"/><Relationship Id="rId196" Type="http://schemas.openxmlformats.org/officeDocument/2006/relationships/hyperlink" Target="https://www.instagram.com/roghayeh_khatun_qazvin/" TargetMode="External"/><Relationship Id="rId195" Type="http://schemas.openxmlformats.org/officeDocument/2006/relationships/hyperlink" Target="https://l.instagram.com/?u=https%3A%2F%2Ft.me%2FRoghaye_jaan315%3Futm_source%3Dig%26utm_medium%3Dsocial%26utm_content%3Dlink_in_bio%26fbclid%3DPAZXh0bgNhZW0CMTEAc3J0YwZhcHBfaWQMMjU2MjgxMDQwNTU4AAGnVkDlxsVguuoN5pphYNnL9-fig5QitgS5f5fb4h7MRvau3XIVTv6H_NqZQGk_aem_Z4k7qYksDe_9E6EUutKKlw&amp;e=AT3qKB22MTCVeLIsVlYVJy3MZJmSZaYz8-ugENBnyrg4i7UiHXSA4w8M120kxrF38WBvjd_FhEUXLkx-CZxDqryOez90MkV8YfumVzYnfQ" TargetMode="External"/><Relationship Id="rId199" Type="http://schemas.openxmlformats.org/officeDocument/2006/relationships/hyperlink" Target="https://www.instagram.com/ashouraian_ir/" TargetMode="External"/><Relationship Id="rId150" Type="http://schemas.openxmlformats.org/officeDocument/2006/relationships/hyperlink" Target="https://l.instagram.com/?u=https%3A%2F%2Ft.me%2Fheiat_mohebanalzahra%3Ffbclid%3DPAZXh0bgNhZW0CMTEAc3J0YwZhcHBfaWQMMjU2MjgxMDQwNTU4AAGnBou8nHkVBOTiPebhEJSJlkrB6lAG1KcQFKBgsV1-qXE74quj1DZJViDMDSs_aem_c9X__AkzMCb17LIpj9gawA&amp;e=AT3RdrTFj1292ru0t1OKJybvmEaDjOeN17I26hHO73MBvYefQk2-nfIXMY03F5F-vhDPh1iw0ttljv9B_S5fzQQZue6dG7YrsLGmR3Pvcw" TargetMode="External"/><Relationship Id="rId149" Type="http://schemas.openxmlformats.org/officeDocument/2006/relationships/hyperlink" Target="https://www.instagram.com/heiat_mohebanalzahra/" TargetMode="External"/><Relationship Id="rId148" Type="http://schemas.openxmlformats.org/officeDocument/2006/relationships/hyperlink" Target="https://l.instagram.com/?u=http%3A%2F%2Ftelegram.me%2FMaktabalzahraa%3Ffbclid%3DPAZXh0bgNhZW0CMTEAc3J0YwZhcHBfaWQMMjU2MjgxMDQwNTU4AAGnkti_7d86NnbI8pYMkt1A6JtMGeYZZsqHrJRxkWK_949UysCeNU-_CCYyeJk_aem_3rcqIOwH_clgwYIuDf6W0g&amp;e=AT2wvLnNpz_h2uqyCjFZVvf-fgkC0akxw72NvREpYNGm81H5yUDPVFErHINXpT3XyEZqiAtzig1_r54uCzJQ5cDgYXb4VsoTph9Fy41qjQ" TargetMode="External"/><Relationship Id="rId143" Type="http://schemas.openxmlformats.org/officeDocument/2006/relationships/hyperlink" Target="https://www.instagram.com/meysamtammar_qz.ir/" TargetMode="External"/><Relationship Id="rId142" Type="http://schemas.openxmlformats.org/officeDocument/2006/relationships/hyperlink" Target="https://eitaa.com/ansarolmahdiqazvin" TargetMode="External"/><Relationship Id="rId141" Type="http://schemas.openxmlformats.org/officeDocument/2006/relationships/hyperlink" Target="https://www.instagram.com/javadolaemeh_qazvin/" TargetMode="External"/><Relationship Id="rId140" Type="http://schemas.openxmlformats.org/officeDocument/2006/relationships/hyperlink" Target="https://eitaa.com/heyatasheghaneqazvin" TargetMode="External"/><Relationship Id="rId147" Type="http://schemas.openxmlformats.org/officeDocument/2006/relationships/hyperlink" Target="https://www.instagram.com/maktabalzahra.qazvin/" TargetMode="External"/><Relationship Id="rId146" Type="http://schemas.openxmlformats.org/officeDocument/2006/relationships/hyperlink" Target="https://l.instagram.com/?u=https%3A%2F%2Ft.me%2Fheyaat_ashoora%3Ffbclid%3DPAZXh0bgNhZW0CMTEAc3J0YwZhcHBfaWQMMjU2MjgxMDQwNTU4AAGnZe-Lw9cLMbqbKojqocFqTeLBBJsknI1A4Q4ORaBqcwKdjjubbeYzBnJj7Qc_aem_DVViV1qHTydcWLsWOwHH1A&amp;e=AT3OO_0jhh4Eo4HP7yv__eX5TZ_yl1JQGcBbp0wHOZhiw_rhVBS4Ys0EajkzfU7sDJlABqp91LH6UVpiqDNvy8ktutObWhj7toSOPMOBow" TargetMode="External"/><Relationship Id="rId145" Type="http://schemas.openxmlformats.org/officeDocument/2006/relationships/hyperlink" Target="https://www.instagram.com/heyaat_ashoora_qazvin/" TargetMode="External"/><Relationship Id="rId144" Type="http://schemas.openxmlformats.org/officeDocument/2006/relationships/hyperlink" Target="https://eitaa.com/meysamtammar_qz" TargetMode="External"/><Relationship Id="rId139" Type="http://schemas.openxmlformats.org/officeDocument/2006/relationships/hyperlink" Target="https://l.instagram.com/?u=http%3A%2F%2Fqazvin.com%2F%3Ffbclid%3DPAZXh0bgNhZW0CMTEAc3J0YwZhcHBfaWQMMjU2MjgxMDQwNTU4AAGniJqekKSSFDXG_QPfmg-DBFUF3VACbZsR2IeVUoSDMXDWD_E4FAxAyv2USEo_aem_3RPtxnFd0foUAriyW5KfjA&amp;e=AT37lIh6z9QFZ7RXQnbQaGdIyws9Hki274tPxhsR5oPsQtlt3t-ikGuKXh-PtDjE-PlHFDTBuaildD_qJ-mBGkxUeJL443Mb1abMBkPpKA" TargetMode="External"/><Relationship Id="rId138" Type="http://schemas.openxmlformats.org/officeDocument/2006/relationships/hyperlink" Target="https://www.instagram.com/emamhosein_qaz/" TargetMode="External"/><Relationship Id="rId137" Type="http://schemas.openxmlformats.org/officeDocument/2006/relationships/hyperlink" Target="https://eitaa.com/ebn_reza_qazvin" TargetMode="External"/><Relationship Id="rId132" Type="http://schemas.openxmlformats.org/officeDocument/2006/relationships/hyperlink" Target="https://www.instagram.com/heeyat_rozatoreza/" TargetMode="External"/><Relationship Id="rId131" Type="http://schemas.openxmlformats.org/officeDocument/2006/relationships/hyperlink" Target="https://eitaa.com/Shamsoshomous_info" TargetMode="External"/><Relationship Id="rId130" Type="http://schemas.openxmlformats.org/officeDocument/2006/relationships/hyperlink" Target="https://eitaa.com/H_Mohebaneahlebeyt" TargetMode="External"/><Relationship Id="rId136" Type="http://schemas.openxmlformats.org/officeDocument/2006/relationships/hyperlink" Target="https://eitaa.com/yaranenamaz" TargetMode="External"/><Relationship Id="rId135" Type="http://schemas.openxmlformats.org/officeDocument/2006/relationships/hyperlink" Target="https://l.instagram.com/?u=http%3A%2F%2Ftelegram.dog%2Fheyatalshohada_qaz%3Ffbclid%3DPAZXh0bgNhZW0CMTEAc3J0YwZhcHBfaWQMMjU2MjgxMDQwNTU4AAGn3NHQTCGCNrrnJI2RWzo_LDvRGLn8eM-GAKNHeo3NOYc3RkyhjM6FcbCewVA_aem_46ROztdgcMG45WqXebHExg&amp;e=AT2T2VfzpinqCsUwnjAt326_NazSkZ8cX6dUMpDH1I-vQM5SMU6dFmgL6bvlXDXsw34IpJchNEbYyF7flCidViW6PjJqgn7vatND45J1Sg" TargetMode="External"/><Relationship Id="rId134" Type="http://schemas.openxmlformats.org/officeDocument/2006/relationships/hyperlink" Target="https://www.instagram.com/heyatalshohada/" TargetMode="External"/><Relationship Id="rId133" Type="http://schemas.openxmlformats.org/officeDocument/2006/relationships/hyperlink" Target="https://l.instagram.com/?u=https%3A%2F%2Ft.me%2Fheyat_rozatoreza%3Ffbclid%3DPAZXh0bgNhZW0CMTEAc3J0YwZhcHBfaWQMMjU2MjgxMDQwNTU4AAGnUsAgloNiuDM1_wci89NT9UVSmgBwZj_9cSWzHVqLNP9i-hq5PPdWLTxrGUg_aem_Vzn2UQ-_vH98f9AvJ10jmQ&amp;e=AT1atvfVIpZEBkamcWNsZZ7cF6WtL0H2dcr6o4L94b1AXgK7Txztg_ekLD3Us0e7ndFhezCiXQ2mPb7atNOshGqM15XZDKGoD5387tM-1A" TargetMode="External"/><Relationship Id="rId172" Type="http://schemas.openxmlformats.org/officeDocument/2006/relationships/hyperlink" Target="https://www.instagram.com/hussainia_omm_abiha1437/" TargetMode="External"/><Relationship Id="rId171" Type="http://schemas.openxmlformats.org/officeDocument/2006/relationships/hyperlink" Target="https://www.instagram.com/hosseinjan_qazvin/" TargetMode="External"/><Relationship Id="rId170" Type="http://schemas.openxmlformats.org/officeDocument/2006/relationships/hyperlink" Target="https://eitaa.com/ashouraiyanqazvin" TargetMode="External"/><Relationship Id="rId165" Type="http://schemas.openxmlformats.org/officeDocument/2006/relationships/hyperlink" Target="https://www.instagram.com/khoddamor_reza_qazvin/" TargetMode="External"/><Relationship Id="rId164" Type="http://schemas.openxmlformats.org/officeDocument/2006/relationships/hyperlink" Target="https://www.instagram.com/sarallah_qaz/" TargetMode="External"/><Relationship Id="rId163" Type="http://schemas.openxmlformats.org/officeDocument/2006/relationships/hyperlink" Target="https://www.instagram.com/maktabalabas/" TargetMode="External"/><Relationship Id="rId162" Type="http://schemas.openxmlformats.org/officeDocument/2006/relationships/hyperlink" Target="https://www.instagram.com/beitolabbasqazvin/" TargetMode="External"/><Relationship Id="rId169" Type="http://schemas.openxmlformats.org/officeDocument/2006/relationships/hyperlink" Target="https://l.instagram.com/?u=https%3A%2F%2Ft.me%2Fashouraiyanqazvin%3Ffbclid%3DPAZXh0bgNhZW0CMTEAc3J0YwZhcHBfaWQMMjU2MjgxMDQwNTU4AAGnpjeTlhjxnV2QYt8e95tkYFuRqox4jzPonkdArXS-RObM2pBDNBn0zkCmjFc_aem_g5mlKA-3VhRGF22x9UhRdQ&amp;e=AT1g_T_i8jGJLox0CRTUnhWU6AwzYHDZAjA0rZ-V6qaChuHMg6dZYdBWxXGSqz19B5OqU5KvUW6qS8k5k-hqmTVsAOyyx1ggCH4zCJ5EYg" TargetMode="External"/><Relationship Id="rId168" Type="http://schemas.openxmlformats.org/officeDocument/2006/relationships/hyperlink" Target="https://www.instagram.com/ashouraiyanqazvin" TargetMode="External"/><Relationship Id="rId167" Type="http://schemas.openxmlformats.org/officeDocument/2006/relationships/hyperlink" Target="https://eitaa.com/mohsenzahra_qazvin" TargetMode="External"/><Relationship Id="rId166" Type="http://schemas.openxmlformats.org/officeDocument/2006/relationships/hyperlink" Target="https://l.instagram.com/?u=https%3A%2F%2Ft.me%2Fkhoddamor_reza%3Ffbclid%3DPAZXh0bgNhZW0CMTEAc3J0YwZhcHBfaWQMMjU2MjgxMDQwNTU4AAGnNrXheLwcQqG6I8jc4aHQFpVWsTsh6abAHPoWfomCiEPE-qF4hNEqPztc-kM_aem_2Ei_bPszIvBaotSDBqustQ&amp;e=AT2EVegzEtlMT55KCjLfkH_DF97WU1uR-KgzXDoui4q9pOoisY533rDu0AnVfckcN6HEUE7wzLbR7guKnRrKU58B4Bc3FfRFGkfoBimoRQ" TargetMode="External"/><Relationship Id="rId161" Type="http://schemas.openxmlformats.org/officeDocument/2006/relationships/hyperlink" Target="https://www.instagram.com/masjedamir.net_/" TargetMode="External"/><Relationship Id="rId160" Type="http://schemas.openxmlformats.org/officeDocument/2006/relationships/hyperlink" Target="https://l.instagram.com/?u=https%3A%2F%2Feitaa.com%2Fyavaranevelayat_qazvin%3Ffbclid%3DPAZXh0bgNhZW0CMTEAc3J0YwZhcHBfaWQMMjU2MjgxMDQwNTU4AAGnmQOxumAMdoVWEYirc5boTDepTM9xrKxitTREI1WaJodaYSiyAGm4d2hTcPw_aem_0Ej-GP-Lee9toQojGdKKSg&amp;e=AT01pinAmIt2ZWzpUtSj41sXOmMKAZROU5BGbAjLFuUiYVjRmA-2_SHH7pLWdaFBE3wp0MNihZgcr4A5ZPwo2smbqa6ZgMQjzSxXvBwyhw" TargetMode="External"/><Relationship Id="rId159" Type="http://schemas.openxmlformats.org/officeDocument/2006/relationships/hyperlink" Target="https://www.instagram.com/yavaranevelayat_qazvin/" TargetMode="External"/><Relationship Id="rId154" Type="http://schemas.openxmlformats.org/officeDocument/2006/relationships/hyperlink" Target="https://www.instagram.com/alzahraqazvin/" TargetMode="External"/><Relationship Id="rId153" Type="http://schemas.openxmlformats.org/officeDocument/2006/relationships/hyperlink" Target="https://eitaa.com/khademanmahdi_ir" TargetMode="External"/><Relationship Id="rId152" Type="http://schemas.openxmlformats.org/officeDocument/2006/relationships/hyperlink" Target="https://www.instagram.com/khademanmahdi_ir" TargetMode="External"/><Relationship Id="rId151" Type="http://schemas.openxmlformats.org/officeDocument/2006/relationships/hyperlink" Target="https://www.instagram.com/i_esmaeil/" TargetMode="External"/><Relationship Id="rId158" Type="http://schemas.openxmlformats.org/officeDocument/2006/relationships/hyperlink" Target="https://www.instagram.com/ansarolmahdi_qazvin/" TargetMode="External"/><Relationship Id="rId157" Type="http://schemas.openxmlformats.org/officeDocument/2006/relationships/hyperlink" Target="https://eitaa.com/hasanieh_heyat" TargetMode="External"/><Relationship Id="rId156" Type="http://schemas.openxmlformats.org/officeDocument/2006/relationships/hyperlink" Target="https://www.instagram.com/razmandegan_qazvin.ir/" TargetMode="External"/><Relationship Id="rId155" Type="http://schemas.openxmlformats.org/officeDocument/2006/relationships/hyperlink" Target="https://l.instagram.com/?u=http%3A%2F%2Fwww.alzahraqazvin.ir%2F%3Ffbclid%3DPAZXh0bgNhZW0CMTEAc3J0YwZhcHBfaWQMMjU2MjgxMDQwNTU4AAGnzjbQVIKg5qZCTqrpG_1gq41GVpajhuOAamroQCn496OpP8x82q61P7oA4Ag_aem_Qih-6dz5g15lFjBqc5bumQ&amp;e=AT2VJIXRZ1rmO0LoiMMB4gm6AZi9NDWUJ-GxGf7_EZihBH2LbNpoj_m-UyT4jrPo8BHgXu9vWPeJ76y0ck9wxdbKwSKdbWrtMKrNOXGSnw" TargetMode="External"/><Relationship Id="rId107" Type="http://schemas.openxmlformats.org/officeDocument/2006/relationships/hyperlink" Target="https://t.me/heyatqums" TargetMode="External"/><Relationship Id="rId106" Type="http://schemas.openxmlformats.org/officeDocument/2006/relationships/hyperlink" Target="https://www.instagram.com/heyat.qums/" TargetMode="External"/><Relationship Id="rId105" Type="http://schemas.openxmlformats.org/officeDocument/2006/relationships/hyperlink" Target="https://t.me/mohebbin_info" TargetMode="External"/><Relationship Id="rId104" Type="http://schemas.openxmlformats.org/officeDocument/2006/relationships/hyperlink" Target="https://www.instagram.com/mohebbin.info/" TargetMode="External"/><Relationship Id="rId109" Type="http://schemas.openxmlformats.org/officeDocument/2006/relationships/hyperlink" Target="https://t.me/janathasan2" TargetMode="External"/><Relationship Id="rId108" Type="http://schemas.openxmlformats.org/officeDocument/2006/relationships/hyperlink" Target="https://www.instagram.com/janathasan_razjerd/" TargetMode="External"/><Relationship Id="rId103" Type="http://schemas.openxmlformats.org/officeDocument/2006/relationships/hyperlink" Target="https://eitaa.com/heiat_14masom_eghbaliiye" TargetMode="External"/><Relationship Id="rId102" Type="http://schemas.openxmlformats.org/officeDocument/2006/relationships/hyperlink" Target="https://www.instagram.com/heiat_14masom_eghbaliye/" TargetMode="External"/><Relationship Id="rId101" Type="http://schemas.openxmlformats.org/officeDocument/2006/relationships/hyperlink" Target="https://www.instagram.com/maktabreza75/" TargetMode="External"/><Relationship Id="rId100" Type="http://schemas.openxmlformats.org/officeDocument/2006/relationships/hyperlink" Target="https://www.instagram.com/maktab1382/" TargetMode="External"/><Relationship Id="rId129" Type="http://schemas.openxmlformats.org/officeDocument/2006/relationships/hyperlink" Target="https://t.me/h_mohebaneahlebeyt" TargetMode="External"/><Relationship Id="rId128" Type="http://schemas.openxmlformats.org/officeDocument/2006/relationships/hyperlink" Target="https://www.instagram.com/h_mohebaneahlebeyt/" TargetMode="External"/><Relationship Id="rId127" Type="http://schemas.openxmlformats.org/officeDocument/2006/relationships/hyperlink" Target="https://eitaa.com/shabab8_info" TargetMode="External"/><Relationship Id="rId126" Type="http://schemas.openxmlformats.org/officeDocument/2006/relationships/hyperlink" Target="https://www.instagram.com/shabab8_info/" TargetMode="External"/><Relationship Id="rId121" Type="http://schemas.openxmlformats.org/officeDocument/2006/relationships/hyperlink" Target="https://www.instagram.com/heyat_ehm/" TargetMode="External"/><Relationship Id="rId120" Type="http://schemas.openxmlformats.org/officeDocument/2006/relationships/hyperlink" Target="https://www.instagram.com/lasarat_qazvin/" TargetMode="External"/><Relationship Id="rId125" Type="http://schemas.openxmlformats.org/officeDocument/2006/relationships/hyperlink" Target="https://www.instagram.com/panjarefolad_ir/" TargetMode="External"/><Relationship Id="rId124" Type="http://schemas.openxmlformats.org/officeDocument/2006/relationships/hyperlink" Target="https://www.instagram.com/hasanjan_qazvin/" TargetMode="External"/><Relationship Id="rId123" Type="http://schemas.openxmlformats.org/officeDocument/2006/relationships/hyperlink" Target="https://eitaa.com/khademanmahdi_ir" TargetMode="External"/><Relationship Id="rId122" Type="http://schemas.openxmlformats.org/officeDocument/2006/relationships/hyperlink" Target="https://www.instagram.com/khademanmahdi_ir" TargetMode="External"/><Relationship Id="rId118" Type="http://schemas.openxmlformats.org/officeDocument/2006/relationships/hyperlink" Target="https://www.instagram.com/alzahra125.ir/" TargetMode="External"/><Relationship Id="rId117" Type="http://schemas.openxmlformats.org/officeDocument/2006/relationships/hyperlink" Target="https://www.instagram.com/rozatoshoohada/" TargetMode="External"/><Relationship Id="rId116" Type="http://schemas.openxmlformats.org/officeDocument/2006/relationships/hyperlink" Target="https://www.instagram.com/heyate_karimahlebeyt" TargetMode="External"/><Relationship Id="rId115" Type="http://schemas.openxmlformats.org/officeDocument/2006/relationships/hyperlink" Target="https://www.instagram.com/roghayehjan_info/" TargetMode="External"/><Relationship Id="rId119" Type="http://schemas.openxmlformats.org/officeDocument/2006/relationships/hyperlink" Target="https://www.instagram.com/mf_mahdijan/" TargetMode="External"/><Relationship Id="rId110" Type="http://schemas.openxmlformats.org/officeDocument/2006/relationships/hyperlink" Target="https://www.instagram.com/mohebbin_ahlebeyt_hassar/" TargetMode="External"/><Relationship Id="rId114" Type="http://schemas.openxmlformats.org/officeDocument/2006/relationships/hyperlink" Target="https://eitaa.com/masjedesz" TargetMode="External"/><Relationship Id="rId113" Type="http://schemas.openxmlformats.org/officeDocument/2006/relationships/hyperlink" Target="https://t.me/khakneshinan_ir" TargetMode="External"/><Relationship Id="rId112" Type="http://schemas.openxmlformats.org/officeDocument/2006/relationships/hyperlink" Target="https://www.instagram.com/khakneshinan_ir/" TargetMode="External"/><Relationship Id="rId111" Type="http://schemas.openxmlformats.org/officeDocument/2006/relationships/hyperlink" Target="https://www.instagram.com/mohebanaliakbar_qazvin/" TargetMode="External"/><Relationship Id="rId40" Type="http://schemas.openxmlformats.org/officeDocument/2006/relationships/hyperlink" Target="https://t.me/Oshaghozahra_ir" TargetMode="External"/><Relationship Id="rId42" Type="http://schemas.openxmlformats.org/officeDocument/2006/relationships/hyperlink" Target="https://www.instagram.com/yazahra.ir/" TargetMode="External"/><Relationship Id="rId41" Type="http://schemas.openxmlformats.org/officeDocument/2006/relationships/hyperlink" Target="https://www.instagram.com/heyat.qasem201/" TargetMode="External"/><Relationship Id="rId44" Type="http://schemas.openxmlformats.org/officeDocument/2006/relationships/hyperlink" Target="https://www.instagram.com/asheghan.hazrate.ghasem/" TargetMode="External"/><Relationship Id="rId43" Type="http://schemas.openxmlformats.org/officeDocument/2006/relationships/hyperlink" Target="https://l.instagram.com/?u=https%3A%2F%2Ft.me%2Fyazahra_ir%3Ffbclid%3DPAZXh0bgNhZW0CMTEAc3J0YwZhcHBfaWQMMjU2MjgxMDQwNTU4AAGnrEhqaraDiYgDYPIUj9uq9jxAItCVXF7tIlcUIscQt5cS0q5MVR1UxpGkWLE_aem_6YJVVRUT6wtfv6B_kBgfjQ&amp;e=AT2lNeoJvpg1oEohgnnUA-226Ti8xgV2NIQnDxVd16AgzeGIJzHmbGyKShsolG2fffLYsBlSFUGQGNQY6lIHHtDXlDbUPwuit8ICjYBpFw" TargetMode="External"/><Relationship Id="rId46" Type="http://schemas.openxmlformats.org/officeDocument/2006/relationships/hyperlink" Target="https://l.instagram.com/?u=https%3A%2F%2Ft.me%2Fakhbarheyat%3Futm_source%3Dig%26utm_medium%3Dsocial%26utm_content%3Dlink_in_bio%26fbclid%3DPAZXh0bgNhZW0CMTEAc3J0YwZhcHBfaWQMMjU2MjgxMDQwNTU4AAGnhN7ZRr1GZgnSAT8aVO7u4ExKVXvd0fK7N-lDLuSzUWqZ5Qluxs5zizXpUlM_aem_tclWCG62VXhMHLmwF01dGA&amp;e=AT0wkYSNpKXjNprOGGem_HkikG4OQYSC6wMb_tjdDljAi-OliHOuaDDWQ-T26j28WSMZAcUHSb5RcJLHSLhNGosz9WiTGFdaMzs6kL9ewg" TargetMode="External"/><Relationship Id="rId45" Type="http://schemas.openxmlformats.org/officeDocument/2006/relationships/hyperlink" Target="https://www.instagram.com/ansaralmahdy313/" TargetMode="External"/><Relationship Id="rId48" Type="http://schemas.openxmlformats.org/officeDocument/2006/relationships/hyperlink" Target="https://eitaa.com/heyat2bavers" TargetMode="External"/><Relationship Id="rId47" Type="http://schemas.openxmlformats.org/officeDocument/2006/relationships/hyperlink" Target="https://eitaa.com/fatemeh_alzahra" TargetMode="External"/><Relationship Id="rId49" Type="http://schemas.openxmlformats.org/officeDocument/2006/relationships/hyperlink" Target="https://www.instagram.com/imam_hasan_mojtaba_mehregan/" TargetMode="External"/><Relationship Id="rId31" Type="http://schemas.openxmlformats.org/officeDocument/2006/relationships/hyperlink" Target="https://www.instagram.com/levaozzeinab_alvand/" TargetMode="External"/><Relationship Id="rId30" Type="http://schemas.openxmlformats.org/officeDocument/2006/relationships/hyperlink" Target="https://t.me/yaroghayeh1380" TargetMode="External"/><Relationship Id="rId33" Type="http://schemas.openxmlformats.org/officeDocument/2006/relationships/hyperlink" Target="https://www.instagram.com/heeyatosagolrogey128/" TargetMode="External"/><Relationship Id="rId32" Type="http://schemas.openxmlformats.org/officeDocument/2006/relationships/hyperlink" Target="https://www.instagram.com/mahfel_ansar_alhossein/" TargetMode="External"/><Relationship Id="rId35" Type="http://schemas.openxmlformats.org/officeDocument/2006/relationships/hyperlink" Target="https://www.instagram.com/heyat_modafean_haram14/" TargetMode="External"/><Relationship Id="rId34" Type="http://schemas.openxmlformats.org/officeDocument/2006/relationships/hyperlink" Target="https://www.instagram.com/beytolhasan2/" TargetMode="External"/><Relationship Id="rId37" Type="http://schemas.openxmlformats.org/officeDocument/2006/relationships/hyperlink" Target="https://eitaa.com/heyaat_modafeane_haram" TargetMode="External"/><Relationship Id="rId36" Type="http://schemas.openxmlformats.org/officeDocument/2006/relationships/hyperlink" Target="https://t.me/heyaat_Modafeane_Haram" TargetMode="External"/><Relationship Id="rId39" Type="http://schemas.openxmlformats.org/officeDocument/2006/relationships/hyperlink" Target="http://instagram.com/Oshaghozahra_ir" TargetMode="External"/><Relationship Id="rId38" Type="http://schemas.openxmlformats.org/officeDocument/2006/relationships/hyperlink" Target="https://eitaa.com/bentolhossin_salamola" TargetMode="External"/><Relationship Id="rId20" Type="http://schemas.openxmlformats.org/officeDocument/2006/relationships/hyperlink" Target="https://t.me/shohada_gomnam_alvand" TargetMode="External"/><Relationship Id="rId22" Type="http://schemas.openxmlformats.org/officeDocument/2006/relationships/hyperlink" Target="https://www.instagram.com/mahfel_ansaralhosein/" TargetMode="External"/><Relationship Id="rId21" Type="http://schemas.openxmlformats.org/officeDocument/2006/relationships/hyperlink" Target="https://eitaa.com/shohada_gomnam_alvand" TargetMode="External"/><Relationship Id="rId24" Type="http://schemas.openxmlformats.org/officeDocument/2006/relationships/hyperlink" Target="https://l.instagram.com/?u=http%3A%2F%2Ft.me%2Ffatemiuon%3Ffbclid%3DPAZXh0bgNhZW0CMTEAc3J0YwZhcHBfaWQMMjU2MjgxMDQwNTU4AAGnOKKBGx-ERDdPypMezm7Au2DlzQvC2XztNeQN4ItLVLco7u7_LfUuYohCtJ4_aem__ZMccCLdZg2TwHmtDj26wQ&amp;e=AT3tJQyYXN4Be8IqmYP7qmkrE8zPAGyqvqd9fAcj2hciIqgXG8U0h4N_9JiWpgcXzZ8GE6v-kZX9oSzW_MSXW93aApJCcwP30u8Y75b9Kw" TargetMode="External"/><Relationship Id="rId23" Type="http://schemas.openxmlformats.org/officeDocument/2006/relationships/hyperlink" Target="https://www.instagram.com/fatemion_alvand/" TargetMode="External"/><Relationship Id="rId26" Type="http://schemas.openxmlformats.org/officeDocument/2006/relationships/hyperlink" Target="https://eitaa.com/Maktab97" TargetMode="External"/><Relationship Id="rId25" Type="http://schemas.openxmlformats.org/officeDocument/2006/relationships/hyperlink" Target="https://www.instagram.com/maktabolabbasalvand" TargetMode="External"/><Relationship Id="rId28" Type="http://schemas.openxmlformats.org/officeDocument/2006/relationships/hyperlink" Target="https://www.instagram.com/montazeranzohoor12/" TargetMode="External"/><Relationship Id="rId27" Type="http://schemas.openxmlformats.org/officeDocument/2006/relationships/hyperlink" Target="https://www.instagram.com/javanan_ghamarbani_cpehesham/" TargetMode="External"/><Relationship Id="rId29" Type="http://schemas.openxmlformats.org/officeDocument/2006/relationships/hyperlink" Target="http://tlgrm.me/montazeranzohoor12" TargetMode="External"/><Relationship Id="rId11" Type="http://schemas.openxmlformats.org/officeDocument/2006/relationships/hyperlink" Target="https://www.instagram.com/abnafateme/" TargetMode="External"/><Relationship Id="rId10" Type="http://schemas.openxmlformats.org/officeDocument/2006/relationships/hyperlink" Target="https://www.instagram.com/heyat.shiftegan.emamhossein/" TargetMode="External"/><Relationship Id="rId13" Type="http://schemas.openxmlformats.org/officeDocument/2006/relationships/hyperlink" Target="https://eitaa.com/abnafateme" TargetMode="External"/><Relationship Id="rId12" Type="http://schemas.openxmlformats.org/officeDocument/2006/relationships/hyperlink" Target="https://t.me/abnafateme" TargetMode="External"/><Relationship Id="rId15" Type="http://schemas.openxmlformats.org/officeDocument/2006/relationships/hyperlink" Target="https://www.instagram.com/h.j.abyek/" TargetMode="External"/><Relationship Id="rId14" Type="http://schemas.openxmlformats.org/officeDocument/2006/relationships/hyperlink" Target="https://www.instagram.com/razavioon.ir/" TargetMode="External"/><Relationship Id="rId17" Type="http://schemas.openxmlformats.org/officeDocument/2006/relationships/hyperlink" Target="https://www.instagram.com/heiat_mafi_ziyaran/" TargetMode="External"/><Relationship Id="rId16" Type="http://schemas.openxmlformats.org/officeDocument/2006/relationships/hyperlink" Target="https://www.instagram.com/mohebban_ab1/" TargetMode="External"/><Relationship Id="rId19" Type="http://schemas.openxmlformats.org/officeDocument/2006/relationships/hyperlink" Target="https://www.instagram.com/shohada_gomnam_alvand/" TargetMode="External"/><Relationship Id="rId18" Type="http://schemas.openxmlformats.org/officeDocument/2006/relationships/hyperlink" Target="https://www.instagram.com/sabeghoon_heyat/" TargetMode="External"/><Relationship Id="rId84" Type="http://schemas.openxmlformats.org/officeDocument/2006/relationships/hyperlink" Target="https://www.instagram.com/bh_takestan/" TargetMode="External"/><Relationship Id="rId83" Type="http://schemas.openxmlformats.org/officeDocument/2006/relationships/hyperlink" Target="https://www.instagram.com/fatemiyoun_tak/" TargetMode="External"/><Relationship Id="rId86" Type="http://schemas.openxmlformats.org/officeDocument/2006/relationships/hyperlink" Target="https://www.instagram.com/tarigh.aljane/" TargetMode="External"/><Relationship Id="rId85" Type="http://schemas.openxmlformats.org/officeDocument/2006/relationships/hyperlink" Target="https://www.instagram.com/heyat_misagh_ba_shohada/" TargetMode="External"/><Relationship Id="rId88" Type="http://schemas.openxmlformats.org/officeDocument/2006/relationships/hyperlink" Target="https://www.instagram.com/heyat_bageyatallah/" TargetMode="External"/><Relationship Id="rId87" Type="http://schemas.openxmlformats.org/officeDocument/2006/relationships/hyperlink" Target="https://telegram.me/Tarigh_aljane" TargetMode="External"/><Relationship Id="rId89" Type="http://schemas.openxmlformats.org/officeDocument/2006/relationships/hyperlink" Target="https://eitaa.com/MasjedjameEmamHasanAskary" TargetMode="External"/><Relationship Id="rId80" Type="http://schemas.openxmlformats.org/officeDocument/2006/relationships/hyperlink" Target="https://www.instagram.com/maktabalabbas133/channel/" TargetMode="External"/><Relationship Id="rId82" Type="http://schemas.openxmlformats.org/officeDocument/2006/relationships/hyperlink" Target="https://www.instagram.com/fadayanehosien" TargetMode="External"/><Relationship Id="rId81" Type="http://schemas.openxmlformats.org/officeDocument/2006/relationships/hyperlink" Target="https://l.instagram.com/?u=https%3A%2F%2Ft.me%2Fmaktabalabbas133%3Futm_source%3Dig%26utm_medium%3Dsocial%26utm_content%3Dlink_in_bio%26fbclid%3DPAZXh0bgNhZW0CMTEAc3J0YwZhcHBfaWQMMjU2MjgxMDQwNTU4AAGnDV7YBKcq4SlYxgURH6RDE4SnEEdZfgEYrtDR_T6HOb63hdm8gkXlEfrp--E_aem_hiUNMupI52LeruwY1G3jNQ&amp;e=AT3QO_5gKRbHmhfe7qu_ATMYWR12nf0zIHLCYZrWf4tnk0B72WSigeRQPkKmrue0uCQLuiCOW6NQDprArWhqZfkOSpUOCzE3jrFb17aNYg" TargetMode="External"/><Relationship Id="rId73" Type="http://schemas.openxmlformats.org/officeDocument/2006/relationships/hyperlink" Target="https://t.me/Zeinabei1" TargetMode="External"/><Relationship Id="rId72" Type="http://schemas.openxmlformats.org/officeDocument/2006/relationships/hyperlink" Target="https://www.instagram.com/zeinabei2/" TargetMode="External"/><Relationship Id="rId75" Type="http://schemas.openxmlformats.org/officeDocument/2006/relationships/hyperlink" Target="https://www.instagram.com/mahdialmohamad_" TargetMode="External"/><Relationship Id="rId74" Type="http://schemas.openxmlformats.org/officeDocument/2006/relationships/hyperlink" Target="https://www.instagram.com/heiat_fateme_zahra_narjeh/" TargetMode="External"/><Relationship Id="rId77" Type="http://schemas.openxmlformats.org/officeDocument/2006/relationships/hyperlink" Target="https://t.me/mahfel_maktab_zahra" TargetMode="External"/><Relationship Id="rId76" Type="http://schemas.openxmlformats.org/officeDocument/2006/relationships/hyperlink" Target="https://eitaa.com/mahdialmohamad" TargetMode="External"/><Relationship Id="rId79" Type="http://schemas.openxmlformats.org/officeDocument/2006/relationships/hyperlink" Target="https://l.instagram.com/?u=http%3A%2F%2Ft.me%2Fmahfel_maktab_zahra%3Futm_source%3Dig%26utm_medium%3Dsocial%26utm_content%3Dlink_in_bio%26fbclid%3DPAZXh0bgNhZW0CMTEAc3J0YwZhcHBfaWQMMjU2MjgxMDQwNTU4AAGnAgttBFMFBUJCnQCCZ2tSJtTX_omH9W3wVZC3WM-gYtXXobCLucrfPwOitZk_aem_cBfINNho0ngMG61NfgslAw&amp;e=AT38GvEIYw_BE8Tmk9SQCy9GeEYs3eWnm0adwf2aBuoJg0DSQbcISOaXKpMW6lZCxO52jvcQCxjTnsFwI34Vkfaqo_r6hcFa9402VZA1cA" TargetMode="External"/><Relationship Id="rId78" Type="http://schemas.openxmlformats.org/officeDocument/2006/relationships/hyperlink" Target="https://www.instagram.com/mahfel_maktab_zahra/" TargetMode="External"/><Relationship Id="rId71" Type="http://schemas.openxmlformats.org/officeDocument/2006/relationships/hyperlink" Target="https://eitaa.com/heyatoshohaada" TargetMode="External"/><Relationship Id="rId70" Type="http://schemas.openxmlformats.org/officeDocument/2006/relationships/hyperlink" Target="https://eitaa.com/heyatoshohaada" TargetMode="External"/><Relationship Id="rId62" Type="http://schemas.openxmlformats.org/officeDocument/2006/relationships/hyperlink" Target="https://www.instagram.com/ansaralhosein_khoznin1/" TargetMode="External"/><Relationship Id="rId61" Type="http://schemas.openxmlformats.org/officeDocument/2006/relationships/hyperlink" Target="https://eitaa.com/h_ansaralmahdi" TargetMode="External"/><Relationship Id="rId64" Type="http://schemas.openxmlformats.org/officeDocument/2006/relationships/hyperlink" Target="https://www.instagram.com/hoseynieh_aliasghar_buinzahra/" TargetMode="External"/><Relationship Id="rId63" Type="http://schemas.openxmlformats.org/officeDocument/2006/relationships/hyperlink" Target="https://t.me/ansaralhosein_khoznin" TargetMode="External"/><Relationship Id="rId66" Type="http://schemas.openxmlformats.org/officeDocument/2006/relationships/hyperlink" Target="https://t.me/teflanemoslam" TargetMode="External"/><Relationship Id="rId65" Type="http://schemas.openxmlformats.org/officeDocument/2006/relationships/hyperlink" Target="https://www.instagram.com/teflannemoslem/" TargetMode="External"/><Relationship Id="rId68" Type="http://schemas.openxmlformats.org/officeDocument/2006/relationships/hyperlink" Target="https://www.instagram.com/mohebban.ahl.beyt/" TargetMode="External"/><Relationship Id="rId67" Type="http://schemas.openxmlformats.org/officeDocument/2006/relationships/hyperlink" Target="https://eitaa.com/ammaryaseresfarvarin" TargetMode="External"/><Relationship Id="rId60" Type="http://schemas.openxmlformats.org/officeDocument/2006/relationships/hyperlink" Target="https://www.instagram.com/ansarmahdi_galeganji/" TargetMode="External"/><Relationship Id="rId69" Type="http://schemas.openxmlformats.org/officeDocument/2006/relationships/hyperlink" Target="https://www.instagram.com/ammaryaseresfarvarin/" TargetMode="External"/><Relationship Id="rId51" Type="http://schemas.openxmlformats.org/officeDocument/2006/relationships/hyperlink" Target="https://t.me/yazahra_mehregan" TargetMode="External"/><Relationship Id="rId50" Type="http://schemas.openxmlformats.org/officeDocument/2006/relationships/hyperlink" Target="https://www.instagram.com/yazahra.mehregan/" TargetMode="External"/><Relationship Id="rId53" Type="http://schemas.openxmlformats.org/officeDocument/2006/relationships/hyperlink" Target="https://l.instagram.com/?u=http%3A%2F%2Ft.me%2Fdanesfahanheiat%3Futm_source%3Dig%26utm_medium%3Dsocial%26utm_content%3Dlink_in_bio%26fbclid%3DPAZXh0bgNhZW0CMTEAc3J0YwZhcHBfaWQMMjU2MjgxMDQwNTU4AAGnRm7SWKWJutD8DUtMqNpdAcUlVFkV1N_WE0-dPGkne-r8woINlxsme0lytJ4_aem_EzjpK90xSelwzYaweQ6Lsw&amp;e=AT1YpWmEQx3hDjWEQds6bRtiHTdNV2J6FBsRjHoitrnZYuZ4D4OAMIBOKpHTQ6MGpgiCawxbdHzCuxRlRRgw0wNpqrifHPwptcQq17TSWw" TargetMode="External"/><Relationship Id="rId52" Type="http://schemas.openxmlformats.org/officeDocument/2006/relationships/hyperlink" Target="https://www.instagram.com/danesfahanheiat/" TargetMode="External"/><Relationship Id="rId55" Type="http://schemas.openxmlformats.org/officeDocument/2006/relationships/hyperlink" Target="https://www.instagram.com/heyat_saralah_shall/" TargetMode="External"/><Relationship Id="rId54" Type="http://schemas.openxmlformats.org/officeDocument/2006/relationships/hyperlink" Target="https://www.instagram.com/heyat_moheban_ahlebeit/" TargetMode="External"/><Relationship Id="rId57" Type="http://schemas.openxmlformats.org/officeDocument/2006/relationships/hyperlink" Target="https://www.instagram.com/heyat_ashuraiyan_shall/" TargetMode="External"/><Relationship Id="rId56" Type="http://schemas.openxmlformats.org/officeDocument/2006/relationships/hyperlink" Target="https://www.instagram.com/heyat_14masom_shal/" TargetMode="External"/><Relationship Id="rId59" Type="http://schemas.openxmlformats.org/officeDocument/2006/relationships/hyperlink" Target="https://www.instagram.com/heyate_emam_reza_shal/" TargetMode="External"/><Relationship Id="rId58" Type="http://schemas.openxmlformats.org/officeDocument/2006/relationships/hyperlink" Target="https://www.instagram.com/hrbshall/" TargetMode="External"/><Relationship Id="rId95" Type="http://schemas.openxmlformats.org/officeDocument/2006/relationships/hyperlink" Target="https://www.instagram.com/zeiynabyon" TargetMode="External"/><Relationship Id="rId94" Type="http://schemas.openxmlformats.org/officeDocument/2006/relationships/hyperlink" Target="https://www.instagram.com/gomnam__1394/" TargetMode="External"/><Relationship Id="rId97" Type="http://schemas.openxmlformats.org/officeDocument/2006/relationships/hyperlink" Target="https://www.instagram.com/asgari_martyr/" TargetMode="External"/><Relationship Id="rId96" Type="http://schemas.openxmlformats.org/officeDocument/2006/relationships/hyperlink" Target="https://telegram.dog/zeiynabyon1441" TargetMode="External"/><Relationship Id="rId99" Type="http://schemas.openxmlformats.org/officeDocument/2006/relationships/hyperlink" Target="https://t.me/HeyatepeyrovaneVelayat96" TargetMode="External"/><Relationship Id="rId98" Type="http://schemas.openxmlformats.org/officeDocument/2006/relationships/hyperlink" Target="https://www.instagram.com/peyrovanvelayat_egbaliye/" TargetMode="External"/><Relationship Id="rId91" Type="http://schemas.openxmlformats.org/officeDocument/2006/relationships/hyperlink" Target="https://www.instagram.com/majmaolhasanin/" TargetMode="External"/><Relationship Id="rId90" Type="http://schemas.openxmlformats.org/officeDocument/2006/relationships/hyperlink" Target="https://www.instagram.com/oshaqh_almahdi/" TargetMode="External"/><Relationship Id="rId93" Type="http://schemas.openxmlformats.org/officeDocument/2006/relationships/hyperlink" Target="https://www.instagram.com/heiatoshohada92/" TargetMode="External"/><Relationship Id="rId92" Type="http://schemas.openxmlformats.org/officeDocument/2006/relationships/hyperlink" Target="https://eitaa.com/peyrovanvelayat_egbaliye" TargetMode="External"/><Relationship Id="rId296" Type="http://schemas.openxmlformats.org/officeDocument/2006/relationships/drawing" Target="../drawings/drawing5.xml"/><Relationship Id="rId295" Type="http://schemas.openxmlformats.org/officeDocument/2006/relationships/hyperlink" Target="https://www.instagram.com/kheymegah_201/" TargetMode="External"/><Relationship Id="rId294" Type="http://schemas.openxmlformats.org/officeDocument/2006/relationships/hyperlink" Target="https://t.me/Roghayeh_Khatun_Qazvin" TargetMode="External"/><Relationship Id="rId271" Type="http://schemas.openxmlformats.org/officeDocument/2006/relationships/hyperlink" Target="https://eitaa.com/Peyrovan_amin" TargetMode="External"/><Relationship Id="rId270" Type="http://schemas.openxmlformats.org/officeDocument/2006/relationships/hyperlink" Target="https://www.instagram.com/peyrovan_amin/" TargetMode="External"/><Relationship Id="rId269" Type="http://schemas.openxmlformats.org/officeDocument/2006/relationships/hyperlink" Target="https://eitaa.com/dokhtaran_noora" TargetMode="External"/><Relationship Id="rId264" Type="http://schemas.openxmlformats.org/officeDocument/2006/relationships/hyperlink" Target="https://eitaa.com/ebn_reza_qazvin" TargetMode="External"/><Relationship Id="rId263" Type="http://schemas.openxmlformats.org/officeDocument/2006/relationships/hyperlink" Target="https://www.instagram.com/hoseynieh_qazvin/" TargetMode="External"/><Relationship Id="rId262" Type="http://schemas.openxmlformats.org/officeDocument/2006/relationships/hyperlink" Target="https://eitaa.com/beyt_sadat" TargetMode="External"/><Relationship Id="rId261" Type="http://schemas.openxmlformats.org/officeDocument/2006/relationships/hyperlink" Target="https://t.me/beyt_sadat" TargetMode="External"/><Relationship Id="rId268" Type="http://schemas.openxmlformats.org/officeDocument/2006/relationships/hyperlink" Target="https://www.instagram.com/dokhtarannoora/" TargetMode="External"/><Relationship Id="rId267" Type="http://schemas.openxmlformats.org/officeDocument/2006/relationships/hyperlink" Target="https://t.me/kheymehonar" TargetMode="External"/><Relationship Id="rId266" Type="http://schemas.openxmlformats.org/officeDocument/2006/relationships/hyperlink" Target="https://www.instagram.com/kheymehonar/" TargetMode="External"/><Relationship Id="rId265" Type="http://schemas.openxmlformats.org/officeDocument/2006/relationships/hyperlink" Target="https://t.me/njonon" TargetMode="External"/><Relationship Id="rId260" Type="http://schemas.openxmlformats.org/officeDocument/2006/relationships/hyperlink" Target="https://www.instagram.com/beyt_sadat/" TargetMode="External"/><Relationship Id="rId259" Type="http://schemas.openxmlformats.org/officeDocument/2006/relationships/hyperlink" Target="https://t.me/Atresib_ir" TargetMode="External"/><Relationship Id="rId258" Type="http://schemas.openxmlformats.org/officeDocument/2006/relationships/hyperlink" Target="https://www.instagram.com/atresib_ir/" TargetMode="External"/><Relationship Id="rId253" Type="http://schemas.openxmlformats.org/officeDocument/2006/relationships/hyperlink" Target="https://www.instagram.com/saghaa_ir/" TargetMode="External"/><Relationship Id="rId252" Type="http://schemas.openxmlformats.org/officeDocument/2006/relationships/hyperlink" Target="https://t.me/ayatolvelayat" TargetMode="External"/><Relationship Id="rId251" Type="http://schemas.openxmlformats.org/officeDocument/2006/relationships/hyperlink" Target="https://www.instagram.com/ayatolvelayat/" TargetMode="External"/><Relationship Id="rId250" Type="http://schemas.openxmlformats.org/officeDocument/2006/relationships/hyperlink" Target="https://eitaa.com/aboutorabi_hosseiniyeh" TargetMode="External"/><Relationship Id="rId257" Type="http://schemas.openxmlformats.org/officeDocument/2006/relationships/hyperlink" Target="https://t.me/Mohammadeamin_info" TargetMode="External"/><Relationship Id="rId256" Type="http://schemas.openxmlformats.org/officeDocument/2006/relationships/hyperlink" Target="https://www.instagram.com/bachehayepayambar/" TargetMode="External"/><Relationship Id="rId255" Type="http://schemas.openxmlformats.org/officeDocument/2006/relationships/hyperlink" Target="https://www.instagram.com/heyaat_aliakbar_qazvin/" TargetMode="External"/><Relationship Id="rId254" Type="http://schemas.openxmlformats.org/officeDocument/2006/relationships/hyperlink" Target="https://www.instagram.com/heiatshohada.q/" TargetMode="External"/><Relationship Id="rId293" Type="http://schemas.openxmlformats.org/officeDocument/2006/relationships/hyperlink" Target="https://t.me/Roghayeh_Khatun_Qazvin" TargetMode="External"/><Relationship Id="rId292" Type="http://schemas.openxmlformats.org/officeDocument/2006/relationships/hyperlink" Target="https://www.instagram.com/roghayeh.khatun.qazvin/" TargetMode="External"/><Relationship Id="rId291" Type="http://schemas.openxmlformats.org/officeDocument/2006/relationships/hyperlink" Target="https://eitaa.com/h_maktabolhadi_qazvin" TargetMode="External"/><Relationship Id="rId290" Type="http://schemas.openxmlformats.org/officeDocument/2006/relationships/hyperlink" Target="https://t.me/maktabolhadi_qazvin" TargetMode="External"/><Relationship Id="rId286" Type="http://schemas.openxmlformats.org/officeDocument/2006/relationships/hyperlink" Target="https://t.me/ayatolvelayat" TargetMode="External"/><Relationship Id="rId285" Type="http://schemas.openxmlformats.org/officeDocument/2006/relationships/hyperlink" Target="https://www.instagram.com/ayat_velayat/" TargetMode="External"/><Relationship Id="rId284" Type="http://schemas.openxmlformats.org/officeDocument/2006/relationships/hyperlink" Target="https://www.instagram.com/heyat_hazrat_javadolaemeh/" TargetMode="External"/><Relationship Id="rId283" Type="http://schemas.openxmlformats.org/officeDocument/2006/relationships/hyperlink" Target="https://eitaa.com/shohada_media_ir" TargetMode="External"/><Relationship Id="rId289" Type="http://schemas.openxmlformats.org/officeDocument/2006/relationships/hyperlink" Target="https://www.instagram.com/maktabolhadi_qazvin/" TargetMode="External"/><Relationship Id="rId288" Type="http://schemas.openxmlformats.org/officeDocument/2006/relationships/hyperlink" Target="https://www.instagram.com/h.oshagalmahdi/" TargetMode="External"/><Relationship Id="rId287" Type="http://schemas.openxmlformats.org/officeDocument/2006/relationships/hyperlink" Target="https://www.instagram.com/rozatoalzahra.qaz/" TargetMode="External"/><Relationship Id="rId282" Type="http://schemas.openxmlformats.org/officeDocument/2006/relationships/hyperlink" Target="https://www.instagram.com/shohada_media.ir/" TargetMode="External"/><Relationship Id="rId281" Type="http://schemas.openxmlformats.org/officeDocument/2006/relationships/hyperlink" Target="https://www.instagram.com/alamdar_shohada/" TargetMode="External"/><Relationship Id="rId280" Type="http://schemas.openxmlformats.org/officeDocument/2006/relationships/hyperlink" Target="https://t.me/mohsenzahra" TargetMode="External"/><Relationship Id="rId275" Type="http://schemas.openxmlformats.org/officeDocument/2006/relationships/hyperlink" Target="https://www.instagram.com/r.shohada/" TargetMode="External"/><Relationship Id="rId274" Type="http://schemas.openxmlformats.org/officeDocument/2006/relationships/hyperlink" Target="https://www.instagram.com/shohadayehosseini/" TargetMode="External"/><Relationship Id="rId273" Type="http://schemas.openxmlformats.org/officeDocument/2006/relationships/hyperlink" Target="https://t.me/abasaleh_inf" TargetMode="External"/><Relationship Id="rId272" Type="http://schemas.openxmlformats.org/officeDocument/2006/relationships/hyperlink" Target="https://www.instagram.com/abasaleh_inf/" TargetMode="External"/><Relationship Id="rId279" Type="http://schemas.openxmlformats.org/officeDocument/2006/relationships/hyperlink" Target="https://www.instagram.com/mohsenzahra.qazvin/" TargetMode="External"/><Relationship Id="rId278" Type="http://schemas.openxmlformats.org/officeDocument/2006/relationships/hyperlink" Target="https://t.me/masged_javadol_aemeh" TargetMode="External"/><Relationship Id="rId277" Type="http://schemas.openxmlformats.org/officeDocument/2006/relationships/hyperlink" Target="https://www.instagram.com/farhangi_javadolaeme/" TargetMode="External"/><Relationship Id="rId276" Type="http://schemas.openxmlformats.org/officeDocument/2006/relationships/hyperlink" Target="https://www.instagram.com/beyt_roghayeh_ir/" TargetMode="External"/><Relationship Id="rId228" Type="http://schemas.openxmlformats.org/officeDocument/2006/relationships/hyperlink" Target="https://t.me/karbalaeihayqazvin" TargetMode="External"/><Relationship Id="rId227" Type="http://schemas.openxmlformats.org/officeDocument/2006/relationships/hyperlink" Target="https://www.instagram.com/karbalaeihayqazvin/" TargetMode="External"/><Relationship Id="rId226" Type="http://schemas.openxmlformats.org/officeDocument/2006/relationships/hyperlink" Target="https://t.me/javanan_valiasr_qaz" TargetMode="External"/><Relationship Id="rId225" Type="http://schemas.openxmlformats.org/officeDocument/2006/relationships/hyperlink" Target="https://www.instagram.com/javanan_valiasr.qazvin/" TargetMode="External"/><Relationship Id="rId229" Type="http://schemas.openxmlformats.org/officeDocument/2006/relationships/hyperlink" Target="https://www.instagram.com/aleyasin_qazvin/" TargetMode="External"/><Relationship Id="rId220" Type="http://schemas.openxmlformats.org/officeDocument/2006/relationships/hyperlink" Target="https://www.instagram.com/heiatolhadiqazvin/" TargetMode="External"/><Relationship Id="rId224" Type="http://schemas.openxmlformats.org/officeDocument/2006/relationships/hyperlink" Target="https://t.me/javanan_baghedabir" TargetMode="External"/><Relationship Id="rId223" Type="http://schemas.openxmlformats.org/officeDocument/2006/relationships/hyperlink" Target="https://www.instagram.com/javanan_baghedabir" TargetMode="External"/><Relationship Id="rId222" Type="http://schemas.openxmlformats.org/officeDocument/2006/relationships/hyperlink" Target="https://t.me/khoddamalhusein" TargetMode="External"/><Relationship Id="rId221" Type="http://schemas.openxmlformats.org/officeDocument/2006/relationships/hyperlink" Target="https://www.instagram.com/khoddamalhusein/" TargetMode="External"/><Relationship Id="rId217" Type="http://schemas.openxmlformats.org/officeDocument/2006/relationships/hyperlink" Target="https://t.me/heyat1342" TargetMode="External"/><Relationship Id="rId216" Type="http://schemas.openxmlformats.org/officeDocument/2006/relationships/hyperlink" Target="https://www.instagram.com/heyat.1342.ir/" TargetMode="External"/><Relationship Id="rId215" Type="http://schemas.openxmlformats.org/officeDocument/2006/relationships/hyperlink" Target="https://eitaa.com/ansaralmahdy1197" TargetMode="External"/><Relationship Id="rId214" Type="http://schemas.openxmlformats.org/officeDocument/2006/relationships/hyperlink" Target="https://eitaa.com/h_ansaralmahdi" TargetMode="External"/><Relationship Id="rId219" Type="http://schemas.openxmlformats.org/officeDocument/2006/relationships/hyperlink" Target="https://eitaa.com/heyatasheghaneqazvin" TargetMode="External"/><Relationship Id="rId218" Type="http://schemas.openxmlformats.org/officeDocument/2006/relationships/hyperlink" Target="https://eitaa.com/heyat1342" TargetMode="External"/><Relationship Id="rId213" Type="http://schemas.openxmlformats.org/officeDocument/2006/relationships/hyperlink" Target="https://t.me/h_ansaralmahdi" TargetMode="External"/><Relationship Id="rId212" Type="http://schemas.openxmlformats.org/officeDocument/2006/relationships/hyperlink" Target="https://www.instagram.com/h_ansaralmahdi/" TargetMode="External"/><Relationship Id="rId211" Type="http://schemas.openxmlformats.org/officeDocument/2006/relationships/hyperlink" Target="https://www.instagram.com/tanhatarin.sardar.qazvn/" TargetMode="External"/><Relationship Id="rId210" Type="http://schemas.openxmlformats.org/officeDocument/2006/relationships/hyperlink" Target="https://www.instagram.com/norolhoda_daneshgah/" TargetMode="External"/><Relationship Id="rId249" Type="http://schemas.openxmlformats.org/officeDocument/2006/relationships/hyperlink" Target="https://t.me/aboutorabi_hosseiniyeh" TargetMode="External"/><Relationship Id="rId248" Type="http://schemas.openxmlformats.org/officeDocument/2006/relationships/hyperlink" Target="https://www.instagram.com/aboutorabi_hosseiniyeh/" TargetMode="External"/><Relationship Id="rId247" Type="http://schemas.openxmlformats.org/officeDocument/2006/relationships/hyperlink" Target="http://t.me/rozatolhosain_ir" TargetMode="External"/><Relationship Id="rId242" Type="http://schemas.openxmlformats.org/officeDocument/2006/relationships/hyperlink" Target="https://www.instagram.com/javananferdosiqazvin" TargetMode="External"/><Relationship Id="rId241" Type="http://schemas.openxmlformats.org/officeDocument/2006/relationships/hyperlink" Target="https://t.me/oshagh_alabbas_gh" TargetMode="External"/><Relationship Id="rId240" Type="http://schemas.openxmlformats.org/officeDocument/2006/relationships/hyperlink" Target="https://www.instagram.com/oshagh_alabbas_qaz/" TargetMode="External"/><Relationship Id="rId246" Type="http://schemas.openxmlformats.org/officeDocument/2006/relationships/hyperlink" Target="https://www.instagram.com/rozatolhossein.ir/" TargetMode="External"/><Relationship Id="rId245" Type="http://schemas.openxmlformats.org/officeDocument/2006/relationships/hyperlink" Target="https://t.me/javanane_tohid" TargetMode="External"/><Relationship Id="rId244" Type="http://schemas.openxmlformats.org/officeDocument/2006/relationships/hyperlink" Target="https://www.instagram.com/javanane_tohid/" TargetMode="External"/><Relationship Id="rId243" Type="http://schemas.openxmlformats.org/officeDocument/2006/relationships/hyperlink" Target="https://www.instagram.com/zovarolhossein_qazvin/" TargetMode="External"/><Relationship Id="rId239" Type="http://schemas.openxmlformats.org/officeDocument/2006/relationships/hyperlink" Target="https://www.instagram.com/javanankosarqazvin" TargetMode="External"/><Relationship Id="rId238" Type="http://schemas.openxmlformats.org/officeDocument/2006/relationships/hyperlink" Target="https://www.instagram.com/hyeataliakbari/" TargetMode="External"/><Relationship Id="rId237" Type="http://schemas.openxmlformats.org/officeDocument/2006/relationships/hyperlink" Target="https://www.instagram.com/rahyafteganqazvin/" TargetMode="External"/><Relationship Id="rId236" Type="http://schemas.openxmlformats.org/officeDocument/2006/relationships/hyperlink" Target="https://t.me/heyataliakbarzibashahr" TargetMode="External"/><Relationship Id="rId231" Type="http://schemas.openxmlformats.org/officeDocument/2006/relationships/hyperlink" Target="https://t.me/mohebban_emamzaman" TargetMode="External"/><Relationship Id="rId230" Type="http://schemas.openxmlformats.org/officeDocument/2006/relationships/hyperlink" Target="https://www.instagram.com/mohebbanemamzaman" TargetMode="External"/><Relationship Id="rId235" Type="http://schemas.openxmlformats.org/officeDocument/2006/relationships/hyperlink" Target="https://www.instagram.com/heyataliakbarzibashahr/" TargetMode="External"/><Relationship Id="rId234" Type="http://schemas.openxmlformats.org/officeDocument/2006/relationships/hyperlink" Target="https://www.instagram.com/masjed_tohid_qazvin/" TargetMode="External"/><Relationship Id="rId233" Type="http://schemas.openxmlformats.org/officeDocument/2006/relationships/hyperlink" Target="https://www.instagram.com/javanan_korosh_qazvin/" TargetMode="External"/><Relationship Id="rId232" Type="http://schemas.openxmlformats.org/officeDocument/2006/relationships/hyperlink" Target="https://www.instagram.com/leva_al_heydar/" TargetMode="External"/><Relationship Id="rId206" Type="http://schemas.openxmlformats.org/officeDocument/2006/relationships/hyperlink" Target="https://www.instagram.com/heyate.mohebin.hazrate.mohsen/" TargetMode="External"/><Relationship Id="rId205" Type="http://schemas.openxmlformats.org/officeDocument/2006/relationships/hyperlink" Target="https://www.instagram.com/majmaa110/" TargetMode="External"/><Relationship Id="rId204" Type="http://schemas.openxmlformats.org/officeDocument/2006/relationships/hyperlink" Target="https://www.instagram.com/heyat_asheghan_ahle_beyt/" TargetMode="External"/><Relationship Id="rId203" Type="http://schemas.openxmlformats.org/officeDocument/2006/relationships/hyperlink" Target="https://eitaa.com/kanoonetowhid" TargetMode="External"/><Relationship Id="rId209" Type="http://schemas.openxmlformats.org/officeDocument/2006/relationships/hyperlink" Target="https://eitaa.com/nasimmarefat13" TargetMode="External"/><Relationship Id="rId208" Type="http://schemas.openxmlformats.org/officeDocument/2006/relationships/hyperlink" Target="https://www.instagram.com/mahdion_qazvin/" TargetMode="External"/><Relationship Id="rId207" Type="http://schemas.openxmlformats.org/officeDocument/2006/relationships/hyperlink" Target="https://www.instagram.com/pirejamaran_com/" TargetMode="External"/><Relationship Id="rId202" Type="http://schemas.openxmlformats.org/officeDocument/2006/relationships/hyperlink" Target="https://l.instagram.com/?u=https%3A%2F%2Ft.me%2FAtresib_ir%3Futm_source%3Dig%26utm_medium%3Dsocial%26utm_content%3Dlink_in_bio%26fbclid%3DPAZXh0bgNhZW0CMTEAc3J0YwZhcHBfaWQMMjU2MjgxMDQwNTU4AAGneeKTDEKJSJBKyb-056KB8kr4rhihD4Szvq5zOHg-apb9E04i1aMSvKHFhco_aem_wJJs9Tljy3HJCHIgOMrZaQ&amp;e=AT3jMwOYWsdjTfKiY9ET80hl6sAzMwhW2AiBsnkhKUjnZrogmmRF-NkofJVhc3Ex-XG8xpRlmjfxxWE1aidChtQxFCw3Ml51be6TTlXUrA" TargetMode="External"/><Relationship Id="rId201" Type="http://schemas.openxmlformats.org/officeDocument/2006/relationships/hyperlink" Target="https://www.instagram.com/imamhosseinmosque/" TargetMode="External"/><Relationship Id="rId200" Type="http://schemas.openxmlformats.org/officeDocument/2006/relationships/hyperlink" Target="https://eitaa.com/oshaqh_almahdi" TargetMode="External"/><Relationship Id="rId1" Type="http://schemas.openxmlformats.org/officeDocument/2006/relationships/hyperlink" Target="https://www.instagram.com/razmandegan_abyek" TargetMode="External"/><Relationship Id="rId2" Type="http://schemas.openxmlformats.org/officeDocument/2006/relationships/hyperlink" Target="https://eitaa.com/razmandegan_abyek" TargetMode="External"/><Relationship Id="rId3" Type="http://schemas.openxmlformats.org/officeDocument/2006/relationships/hyperlink" Target="https://www.instagram.com/ebnolkarim315/" TargetMode="External"/><Relationship Id="rId4" Type="http://schemas.openxmlformats.org/officeDocument/2006/relationships/hyperlink" Target="https://l.instagram.com/?u=http%3A%2F%2Ft.me%2Febnolkarim315%3Futm_source%3Dig%26utm_medium%3Dsocial%26utm_content%3Dlink_in_bio%26fbclid%3DPAZXh0bgNhZW0CMTEAc3J0YwZhcHBfaWQMMjU2MjgxMDQwNTU4AAGnIQIr8PEwkvzcVlE-ksh4lEdXiEv_u-DeG0tMM1foFm_UnK2QpKu_gTY2zuY_aem_HZ8WRIGTBLqXG1tfnYs-Og&amp;e=AT0EU7q8lOVbwtMQTy9D5chuPPvNbRAI-ioQhvTWHCUorsPVXZ51eo2Yw5m0G68bkmheMgc78_07mhHdVVzGls0bCxH63IPLIDwXYmNdPw" TargetMode="External"/><Relationship Id="rId9" Type="http://schemas.openxmlformats.org/officeDocument/2006/relationships/hyperlink" Target="https://www.instagram.com/hose_ynie_varzeshkaran" TargetMode="External"/><Relationship Id="rId5" Type="http://schemas.openxmlformats.org/officeDocument/2006/relationships/hyperlink" Target="https://eitaa.com/oshagholhossein1376" TargetMode="External"/><Relationship Id="rId6" Type="http://schemas.openxmlformats.org/officeDocument/2006/relationships/hyperlink" Target="https://www.instagram.com/oshagh__abyek/" TargetMode="External"/><Relationship Id="rId7" Type="http://schemas.openxmlformats.org/officeDocument/2006/relationships/hyperlink" Target="https://l.instagram.com/?u=http%3A%2F%2Ft.me%2Foshagh_abyek%3Futm_source%3Dig%26utm_medium%3Dsocial%26utm_content%3Dlink_in_bio%26fbclid%3DPAZXh0bgNhZW0CMTEAc3J0YwZhcHBfaWQMMjU2MjgxMDQwNTU4AAGnNlPD84SoxRvIDgzcq-jEip2R-G-w3rw3r2tXR45aIOkT57PMWCXlgYojaus_aem_NRlQhnXGl1n1bjHWYuDCPw&amp;e=AT3JdpsU4hoFzL1ndaKkoEVPnT5H2LSC7OfAj9hAsNQZWcVDYLjOUAaWMHk1pL8aO9HuGnYHjGaIyo6aQMFuaovSB22UL-uH_tVdWDYbwg" TargetMode="External"/><Relationship Id="rId8" Type="http://schemas.openxmlformats.org/officeDocument/2006/relationships/hyperlink" Target="https://t.me/masjedvaliasrabyek97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eitaa.com/Masjed_sahebzaman_asadabad" TargetMode="External"/><Relationship Id="rId194" Type="http://schemas.openxmlformats.org/officeDocument/2006/relationships/hyperlink" Target="https://t.me/heyatmasjedeyn" TargetMode="External"/><Relationship Id="rId193" Type="http://schemas.openxmlformats.org/officeDocument/2006/relationships/hyperlink" Target="https://eitaa.com/hoseinieh_hmd" TargetMode="External"/><Relationship Id="rId192" Type="http://schemas.openxmlformats.org/officeDocument/2006/relationships/hyperlink" Target="https://www.instagram.com/hoseinieh_hmd?utm_source=ig_web_button_share_sheet&amp;igsh=ZDNlZDc0MzIxNw==" TargetMode="External"/><Relationship Id="rId191" Type="http://schemas.openxmlformats.org/officeDocument/2006/relationships/hyperlink" Target="https://www.instagram.com/heyat.abalfazl_abbas?utm_source=ig_web_button_share_sheet&amp;igsh=ZDNlZDc0MzIxNw==" TargetMode="External"/><Relationship Id="rId187" Type="http://schemas.openxmlformats.org/officeDocument/2006/relationships/hyperlink" Target="https://eitaa.com/anvarozahra" TargetMode="External"/><Relationship Id="rId186" Type="http://schemas.openxmlformats.org/officeDocument/2006/relationships/hyperlink" Target="https://www.instagram.com/anvarmedia_?utm_source=ig_web_button_share_sheet&amp;igsh=ZDNlZDc0MzIxNw==" TargetMode="External"/><Relationship Id="rId185" Type="http://schemas.openxmlformats.org/officeDocument/2006/relationships/hyperlink" Target="https://www.instagram.com/amiralmomenin_yaraniliya?utm_source=ig_web_button_share_sheet&amp;igsh=ZDNlZDc0MzIxNw==" TargetMode="External"/><Relationship Id="rId184" Type="http://schemas.openxmlformats.org/officeDocument/2006/relationships/hyperlink" Target="https://eitaa.com/meshkat_zahra" TargetMode="External"/><Relationship Id="rId189" Type="http://schemas.openxmlformats.org/officeDocument/2006/relationships/hyperlink" Target="https://eitaa.com/ansar_hmd" TargetMode="External"/><Relationship Id="rId188" Type="http://schemas.openxmlformats.org/officeDocument/2006/relationships/hyperlink" Target="https://www.instagram.com/ansaralmahdi_hmd?utm_source=ig_web_button_share_sheet&amp;igsh=ZDNlZDc0MzIxNw==" TargetMode="External"/><Relationship Id="rId183" Type="http://schemas.openxmlformats.org/officeDocument/2006/relationships/hyperlink" Target="https://t.me/meshkatzahra" TargetMode="External"/><Relationship Id="rId182" Type="http://schemas.openxmlformats.org/officeDocument/2006/relationships/hyperlink" Target="https://www.instagram.com/meshkat_zahra_?utm_source=ig_web_button_share_sheet&amp;igsh=ZDNlZDc0MzIxNw==" TargetMode="External"/><Relationship Id="rId181" Type="http://schemas.openxmlformats.org/officeDocument/2006/relationships/hyperlink" Target="https://t.me/yagharibemadineh" TargetMode="External"/><Relationship Id="rId180" Type="http://schemas.openxmlformats.org/officeDocument/2006/relationships/hyperlink" Target="https://eitaa.com/masjed_hajahmad" TargetMode="External"/><Relationship Id="rId176" Type="http://schemas.openxmlformats.org/officeDocument/2006/relationships/hyperlink" Target="https://www.instagram.com/beytolahzan_hamedan?utm_source=ig_web_button_share_sheet&amp;igsh=ZDNlZDc0MzIxNw==" TargetMode="External"/><Relationship Id="rId175" Type="http://schemas.openxmlformats.org/officeDocument/2006/relationships/hyperlink" Target="https://eitaa.com/Sunflower_Science_Club" TargetMode="External"/><Relationship Id="rId174" Type="http://schemas.openxmlformats.org/officeDocument/2006/relationships/hyperlink" Target="https://eitaa.com/mah_hmd" TargetMode="External"/><Relationship Id="rId173" Type="http://schemas.openxmlformats.org/officeDocument/2006/relationships/hyperlink" Target="https://www.instagram.com/heiat_sarallah_toy/" TargetMode="External"/><Relationship Id="rId179" Type="http://schemas.openxmlformats.org/officeDocument/2006/relationships/hyperlink" Target="https://www.instagram.com/___hajahmad___?utm_source=ig_web_button_share_sheet&amp;igsh=ZDNlZDc0MzIxNw==" TargetMode="External"/><Relationship Id="rId178" Type="http://schemas.openxmlformats.org/officeDocument/2006/relationships/hyperlink" Target="https://eitaa.com/beytolahzan_hamedan" TargetMode="External"/><Relationship Id="rId177" Type="http://schemas.openxmlformats.org/officeDocument/2006/relationships/hyperlink" Target="https://t.me/beytolahzane_hamedan" TargetMode="External"/><Relationship Id="rId198" Type="http://schemas.openxmlformats.org/officeDocument/2006/relationships/hyperlink" Target="https://www.instagram.com/heyat_sayedalshabab?utm_source=ig_web_button_share_sheet&amp;igsh=ZDNlZDc0MzIxNw==" TargetMode="External"/><Relationship Id="rId197" Type="http://schemas.openxmlformats.org/officeDocument/2006/relationships/hyperlink" Target="https://eitaa.com/asheghaneabalfazll1383" TargetMode="External"/><Relationship Id="rId196" Type="http://schemas.openxmlformats.org/officeDocument/2006/relationships/hyperlink" Target="https://eitaa.com/hoseinsafinatonnejat313" TargetMode="External"/><Relationship Id="rId195" Type="http://schemas.openxmlformats.org/officeDocument/2006/relationships/hyperlink" Target="https://www.instagram.com/rahrovan_shohada_hamedan?utm_source=ig_web_button_share_sheet&amp;igsh=ZDNlZDc0MzIxNw==" TargetMode="External"/><Relationship Id="rId199" Type="http://schemas.openxmlformats.org/officeDocument/2006/relationships/hyperlink" Target="https://t.me/heyat_sayedalshabab" TargetMode="External"/><Relationship Id="rId150" Type="http://schemas.openxmlformats.org/officeDocument/2006/relationships/hyperlink" Target="https://l.instagram.com/?u=https%3A%2F%2Ft.me%2Frozatol_roghaye_bahar%3Futm_source%3Dig%26utm_medium%3Dsocial%26utm_content%3Dlink_in_bio%26fbclid%3DPAZXh0bgNhZW0CMTEAc3J0YwZhcHBfaWQMMjU2MjgxMDQwNTU4AAGnIBm4RM2ziXVBLr-91NzOM7wh6kRMxozaMzIAuzh66sKzjv6B5JJgQE_Jh2Y_aem_Ro72tQ26z7SIb-SJZ7YReg&amp;e=AT35oPJDw-wwFk4_qYpHygKZV8Z_GGAvaKY00QBLdSYBLjg2NS4IIY0Rclu40ad6jxE5VG9uOggHwRqg9uvR6PyWpETPC6Ex0DVvzIjMEQ" TargetMode="External"/><Relationship Id="rId149" Type="http://schemas.openxmlformats.org/officeDocument/2006/relationships/hyperlink" Target="https://www.instagram.com/rozatol_roughaye/" TargetMode="External"/><Relationship Id="rId148" Type="http://schemas.openxmlformats.org/officeDocument/2006/relationships/hyperlink" Target="https://eitaa.com/ehsasejavan_ir" TargetMode="External"/><Relationship Id="rId143" Type="http://schemas.openxmlformats.org/officeDocument/2006/relationships/hyperlink" Target="https://www.instagram.com/yazahra_92?utm_source=ig_web_button_share_sheet&amp;igsh=ZDNlZDc0MzIxNw==" TargetMode="External"/><Relationship Id="rId142" Type="http://schemas.openxmlformats.org/officeDocument/2006/relationships/hyperlink" Target="https://www.instagram.com/heyat_aaletaha?utm_source=ig_web_button_share_sheet&amp;igsh=ZDNlZDc0MzIxNw==" TargetMode="External"/><Relationship Id="rId141" Type="http://schemas.openxmlformats.org/officeDocument/2006/relationships/hyperlink" Target="http://eitaa.ir/zovarozahra_kb/" TargetMode="External"/><Relationship Id="rId140" Type="http://schemas.openxmlformats.org/officeDocument/2006/relationships/hyperlink" Target="https://www.instagram.com/zovarozahra_kb.ir/" TargetMode="External"/><Relationship Id="rId147" Type="http://schemas.openxmlformats.org/officeDocument/2006/relationships/hyperlink" Target="https://www.instagram.com/ehsasejavan.ir?utm_source=ig_web_button_share_sheet&amp;igsh=ZDNlZDc0MzIxNw==" TargetMode="External"/><Relationship Id="rId146" Type="http://schemas.openxmlformats.org/officeDocument/2006/relationships/hyperlink" Target="https://www.instagram.com/mesbah_kb/" TargetMode="External"/><Relationship Id="rId145" Type="http://schemas.openxmlformats.org/officeDocument/2006/relationships/hyperlink" Target="https://www.instagram.com/hytmkhtblbshmdn/" TargetMode="External"/><Relationship Id="rId144" Type="http://schemas.openxmlformats.org/officeDocument/2006/relationships/hyperlink" Target="https://www.instagram.com/heiat_nojavanan1398/" TargetMode="External"/><Relationship Id="rId139" Type="http://schemas.openxmlformats.org/officeDocument/2006/relationships/hyperlink" Target="https://eitaa.com/s/shuada/" TargetMode="External"/><Relationship Id="rId138" Type="http://schemas.openxmlformats.org/officeDocument/2006/relationships/hyperlink" Target="https://t.me/Heyatiauh_mohebinfatemezahra" TargetMode="External"/><Relationship Id="rId137" Type="http://schemas.openxmlformats.org/officeDocument/2006/relationships/hyperlink" Target="https://www.instagram.com/heyatiauh_mohebinfatemezahra?utm_source=ig_web_button_share_sheet&amp;igsh=ZDNlZDc0MzIxNw==" TargetMode="External"/><Relationship Id="rId132" Type="http://schemas.openxmlformats.org/officeDocument/2006/relationships/hyperlink" Target="https://eitaa.com/heyatmaktaboshohada" TargetMode="External"/><Relationship Id="rId131" Type="http://schemas.openxmlformats.org/officeDocument/2006/relationships/hyperlink" Target="https://t.me/maktaboshohada2" TargetMode="External"/><Relationship Id="rId130" Type="http://schemas.openxmlformats.org/officeDocument/2006/relationships/hyperlink" Target="https://www.instagram.com/maktabo__shohada?utm_source=ig_web_button_share_sheet&amp;igsh=ZDNlZDc0MzIxNw==" TargetMode="External"/><Relationship Id="rId136" Type="http://schemas.openxmlformats.org/officeDocument/2006/relationships/hyperlink" Target="https://eitaa.com/heyat_karime" TargetMode="External"/><Relationship Id="rId135" Type="http://schemas.openxmlformats.org/officeDocument/2006/relationships/hyperlink" Target="https://www.instagram.com/heyat.karimeh?utm_source=ig_web_button_share_sheet&amp;igsh=ZDNlZDc0MzIxNw==" TargetMode="External"/><Relationship Id="rId134" Type="http://schemas.openxmlformats.org/officeDocument/2006/relationships/hyperlink" Target="https://eitaa.com/abolfazliya133" TargetMode="External"/><Relationship Id="rId133" Type="http://schemas.openxmlformats.org/officeDocument/2006/relationships/hyperlink" Target="https://www.instagram.com/abolfazliya133?utm_source=ig_web_button_share_sheet&amp;igsh=ZDNlZDc0MzIxNw==" TargetMode="External"/><Relationship Id="rId172" Type="http://schemas.openxmlformats.org/officeDocument/2006/relationships/hyperlink" Target="https://l.instagram.com/?u=https%3A%2F%2Feitaa.com%2Fmajma_alavion_malayer%3Ffbclid%3DPAZXh0bgNhZW0CMTEAAacqVEuAIaY7y20jZi5VzoO4okMjfaJBJxAPGIqDQHMLmFDgdzRGEzaxsQJS5Q_aem_NErzCSENJ_xf2JNCSb9wKw&amp;e=AT3A-XF479m9TCvcfLy0KG5EZ1ryt2TKN1zbKffICFG2ER-4YqwTIHrCvQNwrx9xIQuGHS6owxkkevErsbZv04ccnHjlG1wmqKFwJv9AZQ" TargetMode="External"/><Relationship Id="rId171" Type="http://schemas.openxmlformats.org/officeDocument/2006/relationships/hyperlink" Target="https://www.instagram.com/majma_alavion_malayer/" TargetMode="External"/><Relationship Id="rId170" Type="http://schemas.openxmlformats.org/officeDocument/2006/relationships/hyperlink" Target="https://www.instagram.com/shiftegan_malayer/" TargetMode="External"/><Relationship Id="rId165" Type="http://schemas.openxmlformats.org/officeDocument/2006/relationships/hyperlink" Target="https://www.instagram.com/htabein1376?utm_source=ig_web_button_share_sheet&amp;igsh=ZDNlZDc0MzIxNw==" TargetMode="External"/><Relationship Id="rId164" Type="http://schemas.openxmlformats.org/officeDocument/2006/relationships/hyperlink" Target="https://eitaa.com/maktabozahratoy_ir" TargetMode="External"/><Relationship Id="rId163" Type="http://schemas.openxmlformats.org/officeDocument/2006/relationships/hyperlink" Target="https://www.instagram.com/shahkarballa?utm_source=ig_web_button_share_sheet&amp;igsh=ZDNlZDc0MzIxNw==" TargetMode="External"/><Relationship Id="rId162" Type="http://schemas.openxmlformats.org/officeDocument/2006/relationships/hyperlink" Target="https://www.instagram.com/h.mohebbin/" TargetMode="External"/><Relationship Id="rId169" Type="http://schemas.openxmlformats.org/officeDocument/2006/relationships/hyperlink" Target="https://www.instagram.com/abaabdellah_dinarabad/" TargetMode="External"/><Relationship Id="rId168" Type="http://schemas.openxmlformats.org/officeDocument/2006/relationships/hyperlink" Target="https://www.instagram.com/mokeb_shahid__hamedani?utm_source=ig_web_button_share_sheet&amp;igsh=ZDNlZDc0MzIxNw==" TargetMode="External"/><Relationship Id="rId167" Type="http://schemas.openxmlformats.org/officeDocument/2006/relationships/hyperlink" Target="https://t.me/seyed_alahrar" TargetMode="External"/><Relationship Id="rId166" Type="http://schemas.openxmlformats.org/officeDocument/2006/relationships/hyperlink" Target="https://www.instagram.com/rozato__shohada?utm_source=ig_web_button_share_sheet&amp;igsh=ZDNlZDc0MzIxNw==" TargetMode="External"/><Relationship Id="rId161" Type="http://schemas.openxmlformats.org/officeDocument/2006/relationships/hyperlink" Target="https://eitaa.com/levaozahra_ir" TargetMode="External"/><Relationship Id="rId160" Type="http://schemas.openxmlformats.org/officeDocument/2006/relationships/hyperlink" Target="https://instagram.com/levaozahra_ir" TargetMode="External"/><Relationship Id="rId159" Type="http://schemas.openxmlformats.org/officeDocument/2006/relationships/hyperlink" Target="https://eitaa.com/Motavaselin_ahle_beyt" TargetMode="External"/><Relationship Id="rId154" Type="http://schemas.openxmlformats.org/officeDocument/2006/relationships/hyperlink" Target="https://eitaa.com/heiiat_shahidhamedani" TargetMode="External"/><Relationship Id="rId153" Type="http://schemas.openxmlformats.org/officeDocument/2006/relationships/hyperlink" Target="https://t.me/advar_hmd" TargetMode="External"/><Relationship Id="rId152" Type="http://schemas.openxmlformats.org/officeDocument/2006/relationships/hyperlink" Target="https://www.instagram.com/advar_hmd/" TargetMode="External"/><Relationship Id="rId151" Type="http://schemas.openxmlformats.org/officeDocument/2006/relationships/hyperlink" Target="https://www.instagram.com/ya_abalfazll_133?utm_source=ig_web_button_share_sheet&amp;igsh=ZDNlZDc0MzIxNw==" TargetMode="External"/><Relationship Id="rId158" Type="http://schemas.openxmlformats.org/officeDocument/2006/relationships/hyperlink" Target="https://l.instagram.com/?u=https%3A%2F%2Ft.me%2Fmahfelosadeghien%3Futm_source%3Dig%26utm_medium%3Dsocial%26utm_content%3Dlink_in_bio%26fbclid%3DPAZXh0bgNhZW0CMTEAc3J0YwZhcHBfaWQMMjU2MjgxMDQwNTU4AAGn3iEHoMzYHBfRDp4wMzkgxsuzK7Q3wmtrPDNhyT6pVZ6pwiNzJYBEa14P3no_aem_Rr2TaMorsnBtSvLu069Oew&amp;e=AT2l8jPQePLEtLzZJCMro3aszC1QSuc0Fo5RVOWWwdttXb2aCKtSxBNfNtornLpqWJX-0MTwYjrZAJ2leDLA_eJQGhjkqZz3Q8krlN8uXg" TargetMode="External"/><Relationship Id="rId157" Type="http://schemas.openxmlformats.org/officeDocument/2006/relationships/hyperlink" Target="https://www.instagram.com/mahfelosadeghin/" TargetMode="External"/><Relationship Id="rId156" Type="http://schemas.openxmlformats.org/officeDocument/2006/relationships/hyperlink" Target="https://www.instagram.com/motevaselin_hmd?utm_source=ig_web_button_share_sheet&amp;igsh=ZDNlZDc0MzIxNw==" TargetMode="External"/><Relationship Id="rId155" Type="http://schemas.openxmlformats.org/officeDocument/2006/relationships/hyperlink" Target="https://eitaa.com/atabatHMD" TargetMode="External"/><Relationship Id="rId107" Type="http://schemas.openxmlformats.org/officeDocument/2006/relationships/hyperlink" Target="https://www.instagram.com/khademoshohada_mly/" TargetMode="External"/><Relationship Id="rId106" Type="http://schemas.openxmlformats.org/officeDocument/2006/relationships/hyperlink" Target="https://t.me/hayatemohebin" TargetMode="External"/><Relationship Id="rId105" Type="http://schemas.openxmlformats.org/officeDocument/2006/relationships/hyperlink" Target="https://www.instagram.com/Heyattmohebbin/" TargetMode="External"/><Relationship Id="rId104" Type="http://schemas.openxmlformats.org/officeDocument/2006/relationships/hyperlink" Target="https://eitaa.com/shiftegan_abaabdelah" TargetMode="External"/><Relationship Id="rId109" Type="http://schemas.openxmlformats.org/officeDocument/2006/relationships/hyperlink" Target="https://www.instagram.com/shohadayegomnam_nahavand" TargetMode="External"/><Relationship Id="rId108" Type="http://schemas.openxmlformats.org/officeDocument/2006/relationships/hyperlink" Target="https://l.instagram.com/?u=http%3A%2F%2Feitaa.com%2Fkhademoshohada_mly%3Ffbclid%3DPAZXh0bgNhZW0CMTEAAaeU4h-U-XwrBS2ZZ5oC0uEjwM5m1DRyxe9_hdOSXUQpO09Bq--gqi9zO8CLaA_aem_18TjVgFa3gQFtBzcsb_ozA&amp;e=AT2DpL508tbQJf3rj4O06TJ5Y3kCna0F29ZesIZIXgsEuhPBvFA3vGl-B35oVYSECfi8Zb-VxsXHcPEby7slj31k-7kwiBWvdCibokWr_w" TargetMode="External"/><Relationship Id="rId103" Type="http://schemas.openxmlformats.org/officeDocument/2006/relationships/hyperlink" Target="https://www.instagram.com/shiftegan_abaabdelah/" TargetMode="External"/><Relationship Id="rId102" Type="http://schemas.openxmlformats.org/officeDocument/2006/relationships/hyperlink" Target="https://www.instagram.com/heyatjavananfamenin/" TargetMode="External"/><Relationship Id="rId101" Type="http://schemas.openxmlformats.org/officeDocument/2006/relationships/hyperlink" Target="https://eitaa.com/mohebbin_azzahra" TargetMode="External"/><Relationship Id="rId100" Type="http://schemas.openxmlformats.org/officeDocument/2006/relationships/hyperlink" Target="https://www.instagram.com/mohebbin_azzahra/" TargetMode="External"/><Relationship Id="rId129" Type="http://schemas.openxmlformats.org/officeDocument/2006/relationships/hyperlink" Target="https://www.instagram.com/heyat_ayatollah_bahari/" TargetMode="External"/><Relationship Id="rId128" Type="http://schemas.openxmlformats.org/officeDocument/2006/relationships/hyperlink" Target="https://eitaa.com/hamedanpeyrovan" TargetMode="External"/><Relationship Id="rId127" Type="http://schemas.openxmlformats.org/officeDocument/2006/relationships/hyperlink" Target="https://www.instagram.com/heyat_hossin_jan_hamedan/" TargetMode="External"/><Relationship Id="rId126" Type="http://schemas.openxmlformats.org/officeDocument/2006/relationships/hyperlink" Target="https://eitaa.com/heyat_rozatol_hosein" TargetMode="External"/><Relationship Id="rId121" Type="http://schemas.openxmlformats.org/officeDocument/2006/relationships/hyperlink" Target="https://eitaa.com/mohebaneharam" TargetMode="External"/><Relationship Id="rId120" Type="http://schemas.openxmlformats.org/officeDocument/2006/relationships/hyperlink" Target="https://www.instagram.com/mohebanharam/" TargetMode="External"/><Relationship Id="rId125" Type="http://schemas.openxmlformats.org/officeDocument/2006/relationships/hyperlink" Target="https://www.instagram.com/rozatolhosein_ir?utm_source=ig_web_button_share_sheet&amp;igsh=ZDNlZDc0MzIxNw==" TargetMode="External"/><Relationship Id="rId124" Type="http://schemas.openxmlformats.org/officeDocument/2006/relationships/hyperlink" Target="https://eitaa.com/alamdar110ir" TargetMode="External"/><Relationship Id="rId123" Type="http://schemas.openxmlformats.org/officeDocument/2006/relationships/hyperlink" Target="https://t.me/alamdar110ir" TargetMode="External"/><Relationship Id="rId122" Type="http://schemas.openxmlformats.org/officeDocument/2006/relationships/hyperlink" Target="https://www.instagram.com/alamdar110ir?utm_source=ig_web_button_share_sheet&amp;igsh=ZDNlZDc0MzIxNw==" TargetMode="External"/><Relationship Id="rId118" Type="http://schemas.openxmlformats.org/officeDocument/2006/relationships/hyperlink" Target="https://eitaa.com/shifteganeroghayeh" TargetMode="External"/><Relationship Id="rId117" Type="http://schemas.openxmlformats.org/officeDocument/2006/relationships/hyperlink" Target="https://t.me/shifteganeroghayeh" TargetMode="External"/><Relationship Id="rId116" Type="http://schemas.openxmlformats.org/officeDocument/2006/relationships/hyperlink" Target="https://www.instagram.com/shifteganeh_roghayyeh/?utm_source=ig_web_button_share_sheet" TargetMode="External"/><Relationship Id="rId115" Type="http://schemas.openxmlformats.org/officeDocument/2006/relationships/hyperlink" Target="https://eitaa.com/HeyateSeyyedeZeynab" TargetMode="External"/><Relationship Id="rId119" Type="http://schemas.openxmlformats.org/officeDocument/2006/relationships/hyperlink" Target="https://www.instagram.com/heyat_sahebalzaman_nhv/" TargetMode="External"/><Relationship Id="rId110" Type="http://schemas.openxmlformats.org/officeDocument/2006/relationships/hyperlink" Target="https://eitaa.com/shohadayegomnam_nahavand" TargetMode="External"/><Relationship Id="rId114" Type="http://schemas.openxmlformats.org/officeDocument/2006/relationships/hyperlink" Target="https://sapp.ir/ansarolmahdi_tochghaz2" TargetMode="External"/><Relationship Id="rId113" Type="http://schemas.openxmlformats.org/officeDocument/2006/relationships/hyperlink" Target="https://eitaa.com/fatemiyon_khaharan" TargetMode="External"/><Relationship Id="rId112" Type="http://schemas.openxmlformats.org/officeDocument/2006/relationships/hyperlink" Target="https://www.instagram.com/khatoon_heyat/" TargetMode="External"/><Relationship Id="rId111" Type="http://schemas.openxmlformats.org/officeDocument/2006/relationships/hyperlink" Target="https://eitaa.com/heydarion_hmd" TargetMode="External"/><Relationship Id="rId392" Type="http://schemas.openxmlformats.org/officeDocument/2006/relationships/hyperlink" Target="https://www.instagram.com/heyat_eradatmandan" TargetMode="External"/><Relationship Id="rId391" Type="http://schemas.openxmlformats.org/officeDocument/2006/relationships/hyperlink" Target="https://t.me/seraj_hamedan" TargetMode="External"/><Relationship Id="rId390" Type="http://schemas.openxmlformats.org/officeDocument/2006/relationships/hyperlink" Target="https://www.instagram.com/serajalhoseyn_hamedan/" TargetMode="External"/><Relationship Id="rId385" Type="http://schemas.openxmlformats.org/officeDocument/2006/relationships/hyperlink" Target="https://www.instagram.com/heyat_abolahrar/" TargetMode="External"/><Relationship Id="rId384" Type="http://schemas.openxmlformats.org/officeDocument/2006/relationships/hyperlink" Target="https://eitaa.com/rezvanlozahra" TargetMode="External"/><Relationship Id="rId383" Type="http://schemas.openxmlformats.org/officeDocument/2006/relationships/hyperlink" Target="https://t.me/rezvanzahra1403" TargetMode="External"/><Relationship Id="rId382" Type="http://schemas.openxmlformats.org/officeDocument/2006/relationships/hyperlink" Target="https://www.instagram.com/rezvanzahra.ir/" TargetMode="External"/><Relationship Id="rId389" Type="http://schemas.openxmlformats.org/officeDocument/2006/relationships/hyperlink" Target="https://eitaa.com/Javanan_mahdieh" TargetMode="External"/><Relationship Id="rId388" Type="http://schemas.openxmlformats.org/officeDocument/2006/relationships/hyperlink" Target="https://t.me/Javanan_mahdieh" TargetMode="External"/><Relationship Id="rId387" Type="http://schemas.openxmlformats.org/officeDocument/2006/relationships/hyperlink" Target="https://www.instagram.com/javanan_mahdieh" TargetMode="External"/><Relationship Id="rId386" Type="http://schemas.openxmlformats.org/officeDocument/2006/relationships/hyperlink" Target="https://t.me/heyat_abolahrarr" TargetMode="External"/><Relationship Id="rId381" Type="http://schemas.openxmlformats.org/officeDocument/2006/relationships/hyperlink" Target="https://eitaa.com/kheymatolabbas_kb" TargetMode="External"/><Relationship Id="rId380" Type="http://schemas.openxmlformats.org/officeDocument/2006/relationships/hyperlink" Target="https://www.instagram.com/kheymatolabbas_kb/" TargetMode="External"/><Relationship Id="rId379" Type="http://schemas.openxmlformats.org/officeDocument/2006/relationships/hyperlink" Target="https://www.instagram.com/ghamar_bani_hashem133/" TargetMode="External"/><Relationship Id="rId374" Type="http://schemas.openxmlformats.org/officeDocument/2006/relationships/hyperlink" Target="https://t.me/Moheban_alamdar_karballa_1382" TargetMode="External"/><Relationship Id="rId373" Type="http://schemas.openxmlformats.org/officeDocument/2006/relationships/hyperlink" Target="https://www.instagram.com/mohebane_alamdare_karbala/" TargetMode="External"/><Relationship Id="rId372" Type="http://schemas.openxmlformats.org/officeDocument/2006/relationships/hyperlink" Target="https://www.instagram.com/jan_nesaran_alamdar/" TargetMode="External"/><Relationship Id="rId371" Type="http://schemas.openxmlformats.org/officeDocument/2006/relationships/hyperlink" Target="https://www.instagram.com/zakerinhmd/" TargetMode="External"/><Relationship Id="rId378" Type="http://schemas.openxmlformats.org/officeDocument/2006/relationships/hyperlink" Target="https://t.me/mahfele_195" TargetMode="External"/><Relationship Id="rId377" Type="http://schemas.openxmlformats.org/officeDocument/2006/relationships/hyperlink" Target="https://www.instagram.com/mahfele_195/" TargetMode="External"/><Relationship Id="rId376" Type="http://schemas.openxmlformats.org/officeDocument/2006/relationships/hyperlink" Target="https://www.instagram.com/heiat_mkhtaran_hmd/" TargetMode="External"/><Relationship Id="rId375" Type="http://schemas.openxmlformats.org/officeDocument/2006/relationships/hyperlink" Target="https://www.instagram.com/beinolharamein_hamedan.co/" TargetMode="External"/><Relationship Id="rId396" Type="http://schemas.openxmlformats.org/officeDocument/2006/relationships/hyperlink" Target="https://www.instagram.com/bentolhosein.lalejin/" TargetMode="External"/><Relationship Id="rId395" Type="http://schemas.openxmlformats.org/officeDocument/2006/relationships/hyperlink" Target="https://www.instagram.com/heyate_amme_sadat_hamedan" TargetMode="External"/><Relationship Id="rId394" Type="http://schemas.openxmlformats.org/officeDocument/2006/relationships/hyperlink" Target="https://www.instagram.com/heyat.ghasemabad.hamedan/" TargetMode="External"/><Relationship Id="rId393" Type="http://schemas.openxmlformats.org/officeDocument/2006/relationships/hyperlink" Target="https://www.instagram.com/bento_hoseyn/" TargetMode="External"/><Relationship Id="rId399" Type="http://schemas.openxmlformats.org/officeDocument/2006/relationships/hyperlink" Target="https://t.me/hhabolfazle" TargetMode="External"/><Relationship Id="rId398" Type="http://schemas.openxmlformats.org/officeDocument/2006/relationships/hyperlink" Target="https://www.instagram.com/heiate.hazrate.abolfazl/" TargetMode="External"/><Relationship Id="rId397" Type="http://schemas.openxmlformats.org/officeDocument/2006/relationships/hyperlink" Target="http://t.me/bentolhoseinlalejin" TargetMode="External"/><Relationship Id="rId40" Type="http://schemas.openxmlformats.org/officeDocument/2006/relationships/hyperlink" Target="https://www.instagram.com/ghariban_ir/" TargetMode="External"/><Relationship Id="rId42" Type="http://schemas.openxmlformats.org/officeDocument/2006/relationships/hyperlink" Target="https://www.instagram.com/heyatteflanemoslem_75/" TargetMode="External"/><Relationship Id="rId41" Type="http://schemas.openxmlformats.org/officeDocument/2006/relationships/hyperlink" Target="https://www.instagram.com/ansarozahra.s/" TargetMode="External"/><Relationship Id="rId44" Type="http://schemas.openxmlformats.org/officeDocument/2006/relationships/hyperlink" Target="https://rubika.ir/heyat_eradatmandan" TargetMode="External"/><Relationship Id="rId43" Type="http://schemas.openxmlformats.org/officeDocument/2006/relationships/hyperlink" Target="https://www.instagram.com/javanan_saghaleyn_hamedan/" TargetMode="External"/><Relationship Id="rId46" Type="http://schemas.openxmlformats.org/officeDocument/2006/relationships/hyperlink" Target="https://www.instagram.com/fatemion_nahavand/" TargetMode="External"/><Relationship Id="rId45" Type="http://schemas.openxmlformats.org/officeDocument/2006/relationships/hyperlink" Target="https://eitaa.com/hshohada_ir" TargetMode="External"/><Relationship Id="rId48" Type="http://schemas.openxmlformats.org/officeDocument/2006/relationships/hyperlink" Target="https://eitaa.com/jmzohur" TargetMode="External"/><Relationship Id="rId47" Type="http://schemas.openxmlformats.org/officeDocument/2006/relationships/hyperlink" Target="https://eitaa.com/fatemion_nahavand" TargetMode="External"/><Relationship Id="rId49" Type="http://schemas.openxmlformats.org/officeDocument/2006/relationships/hyperlink" Target="https://www.instagram.com/fadaeiyan_ir/" TargetMode="External"/><Relationship Id="rId31" Type="http://schemas.openxmlformats.org/officeDocument/2006/relationships/hyperlink" Target="https://www.instagram.com/ansaroshohada/" TargetMode="External"/><Relationship Id="rId30" Type="http://schemas.openxmlformats.org/officeDocument/2006/relationships/hyperlink" Target="https://eitaa.com/mohebin_ir" TargetMode="External"/><Relationship Id="rId33" Type="http://schemas.openxmlformats.org/officeDocument/2006/relationships/hyperlink" Target="https://eitaa.com/ansaroshohada" TargetMode="External"/><Relationship Id="rId32" Type="http://schemas.openxmlformats.org/officeDocument/2006/relationships/hyperlink" Target="https://l.instagram.com/?u=http%3A%2F%2Ftlgrm.me%2Fansaroshohada%3Futm_source%3Dig%26utm_medium%3Dsocial%26utm_content%3Dlink_in_bio%26fbclid%3DPAZXh0bgNhZW0CMTEAc3J0YwZhcHBfaWQMMjU2MjgxMDQwNTU4AAGnLvqOPa4J3szopaF6XYP4jLtdAlgRO_GLrWesHFm788qMLfM9rZLLSpjKyH0_aem_078uhp7gLa5wZYXwRCFsNg&amp;e=AT3cVptmGKcsfhY8dzb_hrSzxnTO241bfcFDQhbaQQwYpP6WkG1k-U3QF7ZGH4aV0c3kEzIcKIdGojdwjEIJ3fHE0Pnzs6HaU40VRtOw6Q" TargetMode="External"/><Relationship Id="rId35" Type="http://schemas.openxmlformats.org/officeDocument/2006/relationships/hyperlink" Target="https://l.instagram.com/?u=https%3A%2F%2Feitaa.com%2Fansar813%3Futm_source%3Dig%26utm_medium%3Dsocial%26utm_content%3Dlink_in_bio%26fbclid%3DPAZXh0bgNhZW0CMTEAc3J0YwZhcHBfaWQMMjU2MjgxMDQwNTU4AAGnUO4iNh1KJDsx2jhBVnHhDVjWSqqccmJKFAHAhW61_8yznMK0ErrUkcIn_Sg_aem_eqeuyHw4HKMrxS0-hzCEWg&amp;e=AT2oqQHCxnNsml_2xzBwdLAw6swMODTg20Unja7UWsJrhwmRDYUYPEpLM_gNL8-FsoWigBD36q48bvbsKHpSsNf3xpbQndhdkaaf2WzlXw" TargetMode="External"/><Relationship Id="rId34" Type="http://schemas.openxmlformats.org/officeDocument/2006/relationships/hyperlink" Target="https://www.instagram.com/ansaralmahdiag313/" TargetMode="External"/><Relationship Id="rId37" Type="http://schemas.openxmlformats.org/officeDocument/2006/relationships/hyperlink" Target="https://l.instagram.com/?u=https%3A%2F%2Ft.me%2Faliebnabitaleb110%3Futm_source%3Dig%26utm_medium%3Dsocial%26utm_content%3Dlink_in_bio%26fbclid%3DPAZXh0bgNhZW0CMTEAc3J0YwZhcHBfaWQMMjU2MjgxMDQwNTU4AAGn4A2ES0mmooJuTR6M5DuM4acsxVrXPmVoWFy8q2RSWh9d4DmvFaOwhUzvAN4_aem_RWk1xaznV20jxrz1VjzGcQ&amp;e=AT3koDQK_EaM4dAnk62dxRFOj-YF0aTQkPFrvfvTxdhQU42JdEPuBu2dU7cbex_aigF156wACZEbBHvYgFEU8dJrTasIU9qhdTOPz5Unrg" TargetMode="External"/><Relationship Id="rId36" Type="http://schemas.openxmlformats.org/officeDocument/2006/relationships/hyperlink" Target="https://www.instagram.com/aliebnabitaleb_hmd/" TargetMode="External"/><Relationship Id="rId39" Type="http://schemas.openxmlformats.org/officeDocument/2006/relationships/hyperlink" Target="https://www.instagram.com/heyat_ansar_alhoseyn/" TargetMode="External"/><Relationship Id="rId38" Type="http://schemas.openxmlformats.org/officeDocument/2006/relationships/hyperlink" Target="https://eitaa.com/majmaozakerinhameda" TargetMode="External"/><Relationship Id="rId20" Type="http://schemas.openxmlformats.org/officeDocument/2006/relationships/hyperlink" Target="https://www.instagram.com/h_aliakbar1378/" TargetMode="External"/><Relationship Id="rId22" Type="http://schemas.openxmlformats.org/officeDocument/2006/relationships/hyperlink" Target="https://l.instagram.com/?u=https%3A%2F%2Feitaa.com%2Fdobanoydameshg%3Futm_source%3Dig%26utm_medium%3Dsocial%26utm_content%3Dlink_in_bio%26fbclid%3DPAZXh0bgNhZW0CMTEAc3J0YwZhcHBfaWQMMjU2MjgxMDQwNTU4AAGnBj14onmNLe5GBV4EFdQr77s-XZEqtdpCXEimOB7F3plb7351miWvZdk8Qa4_aem_bQXhNBakBDGkOhIR1G9SKQ&amp;e=AT2YQ1JVafwsW0OTG-WFT7izSVHql3tE0lOpr5js2g2dpaQfdCNVdf6LEONhN1uuYgIUKhHbMeDwCXzl5CLBnPpgJtXUdYU0XKf6AZzqtw" TargetMode="External"/><Relationship Id="rId21" Type="http://schemas.openxmlformats.org/officeDocument/2006/relationships/hyperlink" Target="https://www.instagram.com/_2banoyedameshgh/" TargetMode="External"/><Relationship Id="rId24" Type="http://schemas.openxmlformats.org/officeDocument/2006/relationships/hyperlink" Target="https://www.instagram.com/asheghan_mahdi_/" TargetMode="External"/><Relationship Id="rId23" Type="http://schemas.openxmlformats.org/officeDocument/2006/relationships/hyperlink" Target="https://www.instagram.com/hoosineh.khatm_anbia1402/" TargetMode="External"/><Relationship Id="rId26" Type="http://schemas.openxmlformats.org/officeDocument/2006/relationships/hyperlink" Target="https://www.instagram.com/mohebin_al_hosein_hamedan/" TargetMode="External"/><Relationship Id="rId25" Type="http://schemas.openxmlformats.org/officeDocument/2006/relationships/hyperlink" Target="https://l.instagram.com/?u=http%3A%2F%2Ft.me%2Fmontazran94%3Ffbclid%3DPAZXh0bgNhZW0CMTEAAadIil5yoGiP86-gQ7miGoUXPgpg3azO1oPSGsSTREC9x8D1PoMB2wT06072-w_aem_3C0WieJNX5H9_WVReZ70lw&amp;e=AT07WFv1Sl22mo1-UsRrdHW7l3JO8-BY3d33cZp6NEufSv3TOow1dx2xVhWI3HbegNBSPbqT-AOenQXRIgHRo4OK7GNJF1TlcbpX9KODSA" TargetMode="External"/><Relationship Id="rId28" Type="http://schemas.openxmlformats.org/officeDocument/2006/relationships/hyperlink" Target="https://www.instagram.com/abes.ir_" TargetMode="External"/><Relationship Id="rId27" Type="http://schemas.openxmlformats.org/officeDocument/2006/relationships/hyperlink" Target="https://eitaa.com/mohebin_ir" TargetMode="External"/><Relationship Id="rId29" Type="http://schemas.openxmlformats.org/officeDocument/2006/relationships/hyperlink" Target="https://t.me/mohebin_org" TargetMode="External"/><Relationship Id="rId11" Type="http://schemas.openxmlformats.org/officeDocument/2006/relationships/hyperlink" Target="https://eitaa.com/abbasiye_kochmeshki" TargetMode="External"/><Relationship Id="rId10" Type="http://schemas.openxmlformats.org/officeDocument/2006/relationships/hyperlink" Target="https://www.instagram.com/abbasiye_kochmeshki/" TargetMode="External"/><Relationship Id="rId13" Type="http://schemas.openxmlformats.org/officeDocument/2006/relationships/hyperlink" Target="https://www.instagram.com/seyedoshohada_malayer_/" TargetMode="External"/><Relationship Id="rId12" Type="http://schemas.openxmlformats.org/officeDocument/2006/relationships/hyperlink" Target="https://www.instagram.com/abbasie_julan/" TargetMode="External"/><Relationship Id="rId15" Type="http://schemas.openxmlformats.org/officeDocument/2006/relationships/hyperlink" Target="https://www.instagram.com/heiate_saelin/" TargetMode="External"/><Relationship Id="rId14" Type="http://schemas.openxmlformats.org/officeDocument/2006/relationships/hyperlink" Target="https://t.me/seyedoshohada_malayer" TargetMode="External"/><Relationship Id="rId17" Type="http://schemas.openxmlformats.org/officeDocument/2006/relationships/hyperlink" Target="https://www.instagram.com/heyatabasalehrazan/" TargetMode="External"/><Relationship Id="rId16" Type="http://schemas.openxmlformats.org/officeDocument/2006/relationships/hyperlink" Target="https://eitaa.com/hezbollahemalayer" TargetMode="External"/><Relationship Id="rId19" Type="http://schemas.openxmlformats.org/officeDocument/2006/relationships/hyperlink" Target="https://eitaa.com/heyatabasalehrazan" TargetMode="External"/><Relationship Id="rId18" Type="http://schemas.openxmlformats.org/officeDocument/2006/relationships/hyperlink" Target="https://t.me/Heyatabasalehrazan" TargetMode="External"/><Relationship Id="rId84" Type="http://schemas.openxmlformats.org/officeDocument/2006/relationships/hyperlink" Target="https://t.me/hashf110" TargetMode="External"/><Relationship Id="rId83" Type="http://schemas.openxmlformats.org/officeDocument/2006/relationships/hyperlink" Target="https://www.instagram.com/h_amiralmomenin.ir/" TargetMode="External"/><Relationship Id="rId86" Type="http://schemas.openxmlformats.org/officeDocument/2006/relationships/hyperlink" Target="https://eitaa.com/rayatolahrar" TargetMode="External"/><Relationship Id="rId85" Type="http://schemas.openxmlformats.org/officeDocument/2006/relationships/hyperlink" Target="https://www.instagram.com/masjed_emam_hoseyn/" TargetMode="External"/><Relationship Id="rId88" Type="http://schemas.openxmlformats.org/officeDocument/2006/relationships/hyperlink" Target="https://www.instagram.com/teflrobab_ir/" TargetMode="External"/><Relationship Id="rId87" Type="http://schemas.openxmlformats.org/officeDocument/2006/relationships/hyperlink" Target="https://www.instagram.com/m.f.ahmadiye.hamedan/" TargetMode="External"/><Relationship Id="rId89" Type="http://schemas.openxmlformats.org/officeDocument/2006/relationships/hyperlink" Target="https://eitaa.com/heyatpeyrovan59" TargetMode="External"/><Relationship Id="rId80" Type="http://schemas.openxmlformats.org/officeDocument/2006/relationships/hyperlink" Target="https://eitaa.com/mohebin_mahdi_hamedan" TargetMode="External"/><Relationship Id="rId82" Type="http://schemas.openxmlformats.org/officeDocument/2006/relationships/hyperlink" Target="https://t.me/tazye96" TargetMode="External"/><Relationship Id="rId81" Type="http://schemas.openxmlformats.org/officeDocument/2006/relationships/hyperlink" Target="https://www.instagram.com/maktab.ashoura/" TargetMode="External"/><Relationship Id="rId73" Type="http://schemas.openxmlformats.org/officeDocument/2006/relationships/hyperlink" Target="https://www.instagram.com/shahenajaf_nahavand/" TargetMode="External"/><Relationship Id="rId72" Type="http://schemas.openxmlformats.org/officeDocument/2006/relationships/hyperlink" Target="https://eitaa.com/ansar_almahdi_nahavand" TargetMode="External"/><Relationship Id="rId75" Type="http://schemas.openxmlformats.org/officeDocument/2006/relationships/hyperlink" Target="https://www.instagram.com/beitolheydar/" TargetMode="External"/><Relationship Id="rId74" Type="http://schemas.openxmlformats.org/officeDocument/2006/relationships/hyperlink" Target="https://eitaa.com/maktabalsadegh" TargetMode="External"/><Relationship Id="rId77" Type="http://schemas.openxmlformats.org/officeDocument/2006/relationships/hyperlink" Target="https://eitaa.com/rayatalhoda" TargetMode="External"/><Relationship Id="rId76" Type="http://schemas.openxmlformats.org/officeDocument/2006/relationships/hyperlink" Target="https://l.instagram.com/?u=http%3A%2F%2Ftlgrm.me%2Fbeitolheydar%3Futm_source%3Dig%26utm_medium%3Dsocial%26utm_content%3Dlink_in_bio%26fbclid%3DPAZXh0bgNhZW0CMTEAc3J0YwZhcHBfaWQMMjU2MjgxMDQwNTU4AAGnRC3_k10lzm6jgD-mvzs3P2Az9OAsqW1K9kJyIwiALxBH_zip62DBxposVWU_aem_EDSoUi2GyHNQGahcMtEkXQ&amp;e=AT196-negK_zT0D8_rONXbzhaPbL-5nxEl_VDg28wfeuHBuqBHKkb-u84nMH3oJ7l9J77fA_GLUl_Nk-WntFwCubiMzv6NFTFjj5k8DkLg" TargetMode="External"/><Relationship Id="rId79" Type="http://schemas.openxmlformats.org/officeDocument/2006/relationships/hyperlink" Target="https://l.instagram.com/?u=https%3A%2F%2Ft.me%2Fmohebin_mahdi_hamedan%3Futm_source%3Dig%26utm_medium%3Dsocial%26utm_content%3Dlink_in_bio%26fbclid%3DPAZXh0bgNhZW0CMTEAc3J0YwZhcHBfaWQMMjU2MjgxMDQwNTU4AAGnyFsIuhObB_A0TkqA2pXeNJkCoRryGO3zH0X9EQFbDP1dx1_HO2KlMKKBpWs_aem_9NmzCXw8w1w-IGMymRceJg&amp;e=AT1H50EsdA4YQ1J5qSI-eempTd2yWBlxmn2aM_W9KWJhW2-zbfrVYNwfWu3Fy2wZPoucPhKJ_qT17eGQlFWsqGdTV9KMZxDw2dqbdTBn2A" TargetMode="External"/><Relationship Id="rId78" Type="http://schemas.openxmlformats.org/officeDocument/2006/relationships/hyperlink" Target="https://www.instagram.com/mohebin_mahdi_hamedan" TargetMode="External"/><Relationship Id="rId71" Type="http://schemas.openxmlformats.org/officeDocument/2006/relationships/hyperlink" Target="https://www.instagram.com/ansar_almahdi_nahavand" TargetMode="External"/><Relationship Id="rId70" Type="http://schemas.openxmlformats.org/officeDocument/2006/relationships/hyperlink" Target="https://www.instagram.com/heyat.chahardahmasom.nhv/" TargetMode="External"/><Relationship Id="rId62" Type="http://schemas.openxmlformats.org/officeDocument/2006/relationships/hyperlink" Target="https://www.instagram.com/heiat_sarallah_toy/" TargetMode="External"/><Relationship Id="rId61" Type="http://schemas.openxmlformats.org/officeDocument/2006/relationships/hyperlink" Target="https://l.instagram.com/?u=http%3A%2F%2Fmontazeranserkan.ir%2F%3Ffbclid%3DPAZXh0bgNhZW0CMTEAAacgVImXiWpKMpiSX_IOnV9scLz_6-ooC2kfKcMEy1HtFEOOBhlVsIej1hF7Zw_aem_gj4W1-mTF_ZMY73fUT2_GA&amp;e=AT1kBauMrjLGL3DPuafCRALYx1GWO6YCdtgHNX8Z4NEVUmHpuMCJB9MWB9gxV3yGgWOicD3SwzGc1BSirDbEBDSwN3RrngOnNdpSevcxIw" TargetMode="External"/><Relationship Id="rId64" Type="http://schemas.openxmlformats.org/officeDocument/2006/relationships/hyperlink" Target="https://t.me/heydaryon110" TargetMode="External"/><Relationship Id="rId63" Type="http://schemas.openxmlformats.org/officeDocument/2006/relationships/hyperlink" Target="https://www.instagram.com/heydaryon110/" TargetMode="External"/><Relationship Id="rId66" Type="http://schemas.openxmlformats.org/officeDocument/2006/relationships/hyperlink" Target="https://eitaa.com/zovvarolzahraa" TargetMode="External"/><Relationship Id="rId65" Type="http://schemas.openxmlformats.org/officeDocument/2006/relationships/hyperlink" Target="https://www.instagram.com/hieat_hazrat_ghasem/" TargetMode="External"/><Relationship Id="rId68" Type="http://schemas.openxmlformats.org/officeDocument/2006/relationships/hyperlink" Target="https://www.instagram.com/montazeran.mu/" TargetMode="External"/><Relationship Id="rId67" Type="http://schemas.openxmlformats.org/officeDocument/2006/relationships/hyperlink" Target="https://www.instagram.com/moshtaghankarbala/" TargetMode="External"/><Relationship Id="rId60" Type="http://schemas.openxmlformats.org/officeDocument/2006/relationships/hyperlink" Target="https://www.instagram.com/montazeranserkan_ir/" TargetMode="External"/><Relationship Id="rId69" Type="http://schemas.openxmlformats.org/officeDocument/2006/relationships/hyperlink" Target="https://www.instagram.com/heyat_beytol_abaas/" TargetMode="External"/><Relationship Id="rId51" Type="http://schemas.openxmlformats.org/officeDocument/2006/relationships/hyperlink" Target="https://eitaa.com/heyate_h_aliasghar_a" TargetMode="External"/><Relationship Id="rId50" Type="http://schemas.openxmlformats.org/officeDocument/2006/relationships/hyperlink" Target="https://eitaa.com/fadayian_hamedan" TargetMode="External"/><Relationship Id="rId53" Type="http://schemas.openxmlformats.org/officeDocument/2006/relationships/hyperlink" Target="https://l.instagram.com/?u=http%3A%2F%2Ft.me%2Fjannatoreza313%3Ffbclid%3DPAZXh0bgNhZW0CMTEAAacHZm73nuHvfa6-5BG9YKUl23zzEZ3Cm8mWed2f8Jy0LQ-Rxn8U-AEG8X3JYw_aem_4Wo-Z-pdqo-qOta8FXtl1w&amp;e=AT2a2vw8BWnRnCInP64nwg4KwGyRiU9NEAU52oGYlDY1s_63VJZX-fqXhbJ06H7crS2evP2lFLGUkbqmZgOzapCITmhICNzYdi0ZhctCNw" TargetMode="External"/><Relationship Id="rId52" Type="http://schemas.openxmlformats.org/officeDocument/2006/relationships/hyperlink" Target="https://www.instagram.com/jannatoreza313/" TargetMode="External"/><Relationship Id="rId55" Type="http://schemas.openxmlformats.org/officeDocument/2006/relationships/hyperlink" Target="https://eitaa.com/heyatasheghanhosein" TargetMode="External"/><Relationship Id="rId54" Type="http://schemas.openxmlformats.org/officeDocument/2006/relationships/hyperlink" Target="https://www.instagram.com/htabein1376/" TargetMode="External"/><Relationship Id="rId57" Type="http://schemas.openxmlformats.org/officeDocument/2006/relationships/hyperlink" Target="https://eitaa.com/sahebzamanHAMEDAN1" TargetMode="External"/><Relationship Id="rId56" Type="http://schemas.openxmlformats.org/officeDocument/2006/relationships/hyperlink" Target="https://www.instagram.com/mohebban_saveh/" TargetMode="External"/><Relationship Id="rId59" Type="http://schemas.openxmlformats.org/officeDocument/2006/relationships/hyperlink" Target="https://www.instagram.com/heyat_mosabnejafar_bahar/" TargetMode="External"/><Relationship Id="rId58" Type="http://schemas.openxmlformats.org/officeDocument/2006/relationships/hyperlink" Target="https://www.instagram.com/peyrovane_hazrate_mahdi/" TargetMode="External"/><Relationship Id="rId349" Type="http://schemas.openxmlformats.org/officeDocument/2006/relationships/hyperlink" Target="https://www.instagram.com/heyatoalzahra/" TargetMode="External"/><Relationship Id="rId348" Type="http://schemas.openxmlformats.org/officeDocument/2006/relationships/hyperlink" Target="https://www.instagram.com/hamedan_ir_128/" TargetMode="External"/><Relationship Id="rId347" Type="http://schemas.openxmlformats.org/officeDocument/2006/relationships/hyperlink" Target="https://www.instagram.com/_montazerane_zohoor_313/" TargetMode="External"/><Relationship Id="rId346" Type="http://schemas.openxmlformats.org/officeDocument/2006/relationships/hyperlink" Target="https://eitaa.com/narjesaneh_ir" TargetMode="External"/><Relationship Id="rId341" Type="http://schemas.openxmlformats.org/officeDocument/2006/relationships/hyperlink" Target="https://www.instagram.com/levao_zahra_hamedan/" TargetMode="External"/><Relationship Id="rId340" Type="http://schemas.openxmlformats.org/officeDocument/2006/relationships/hyperlink" Target="https://l.instagram.com/?u=https%3A%2F%2Feitaa.com%2Fteflrobab_ir%3Futm_source%3Dig%26utm_medium%3Dsocial%26utm_content%3Dlink_in_bio%26fbclid%3DPAZXh0bgNhZW0CMTEAc3J0YwZhcHBfaWQMMjU2MjgxMDQwNTU4AAGnGawDy39hiVrKvg5MyPHDyR4ezcvrAyrXT9xHDlpYpHY-vDUDM8nYCcPi45w_aem_wZLhm3KkNzzgvSKuzZP_CA&amp;e=AT0C01acK2TgNojidVPiQVVIRLKFGv8z6lKhx6qSs-SJwRBFgGyUbGfLXZmo-OPv7m5QEOUA8MeS5F-QoKB1yu-B7m5HivjtFZ8R15r15A" TargetMode="External"/><Relationship Id="rId345" Type="http://schemas.openxmlformats.org/officeDocument/2006/relationships/hyperlink" Target="https://www.instagram.com/narjesaneh.ir?utm_source=ig_web_button_share_sheet&amp;igsh=ZDNlZDc0MzIxNw==" TargetMode="External"/><Relationship Id="rId344" Type="http://schemas.openxmlformats.org/officeDocument/2006/relationships/hyperlink" Target="https://l.instagram.com/?u=http%3A%2F%2Ftelegram.me%2Fmohebinhoseinbot%3Futm_source%3Dig%26utm_medium%3Dsocial%26utm_content%3Dlink_in_bio%26fbclid%3DPAZXh0bgNhZW0CMTEAc3J0YwZhcHBfaWQMMjU2MjgxMDQwNTU4AAGnuciijvFBde3kWFy_ik5iCRnMmem8P2mhytRI1SGM2M5y4JZZDlSVGO4NfUM_aem_1iSs3xFC8WSgcLdxwd_GTg&amp;e=AT1Zg53dPGfqIHJWyDZGDlLGJwN6ATHPwI5ur-pGY0txJ2movww5EaaoiyI062Rqru7Q0uyrGUnf8u2K7lO8Yc4PxQ3MYaEbpY_TW3D0xA" TargetMode="External"/><Relationship Id="rId343" Type="http://schemas.openxmlformats.org/officeDocument/2006/relationships/hyperlink" Target="https://www.instagram.com/mohbin_al_hosein_hamedan.info/" TargetMode="External"/><Relationship Id="rId342" Type="http://schemas.openxmlformats.org/officeDocument/2006/relationships/hyperlink" Target="https://t.me/levao_zahra_hamedan" TargetMode="External"/><Relationship Id="rId338" Type="http://schemas.openxmlformats.org/officeDocument/2006/relationships/hyperlink" Target="http://saelin.ir/" TargetMode="External"/><Relationship Id="rId337" Type="http://schemas.openxmlformats.org/officeDocument/2006/relationships/hyperlink" Target="https://www.instagram.com/saelin.ir/" TargetMode="External"/><Relationship Id="rId336" Type="http://schemas.openxmlformats.org/officeDocument/2006/relationships/hyperlink" Target="https://t.me/roze_roghaye" TargetMode="External"/><Relationship Id="rId335" Type="http://schemas.openxmlformats.org/officeDocument/2006/relationships/hyperlink" Target="https://www.instagram.com/horie.ir/" TargetMode="External"/><Relationship Id="rId339" Type="http://schemas.openxmlformats.org/officeDocument/2006/relationships/hyperlink" Target="https://www.instagram.com/teflrobab_ir/" TargetMode="External"/><Relationship Id="rId330" Type="http://schemas.openxmlformats.org/officeDocument/2006/relationships/hyperlink" Target="https://www.instagram.com/ansaroshohada.ir/" TargetMode="External"/><Relationship Id="rId334" Type="http://schemas.openxmlformats.org/officeDocument/2006/relationships/hyperlink" Target="https://www.instagram.com/dordane_robab/" TargetMode="External"/><Relationship Id="rId333" Type="http://schemas.openxmlformats.org/officeDocument/2006/relationships/hyperlink" Target="https://eitaa.com/saelin_1374" TargetMode="External"/><Relationship Id="rId332" Type="http://schemas.openxmlformats.org/officeDocument/2006/relationships/hyperlink" Target="https://www.instagram.com/saelin_almahdi/" TargetMode="External"/><Relationship Id="rId331" Type="http://schemas.openxmlformats.org/officeDocument/2006/relationships/hyperlink" Target="https://www.instagram.com/sarallah_hamedan/" TargetMode="External"/><Relationship Id="rId370" Type="http://schemas.openxmlformats.org/officeDocument/2006/relationships/hyperlink" Target="https://t.me/rozatol_robab_maryanaj" TargetMode="External"/><Relationship Id="rId369" Type="http://schemas.openxmlformats.org/officeDocument/2006/relationships/hyperlink" Target="https://www.instagram.com/rozatol_robab/" TargetMode="External"/><Relationship Id="rId368" Type="http://schemas.openxmlformats.org/officeDocument/2006/relationships/hyperlink" Target="https://www.instagram.com/mmohamadie.ir/" TargetMode="External"/><Relationship Id="rId363" Type="http://schemas.openxmlformats.org/officeDocument/2006/relationships/hyperlink" Target="https://www.instagram.com/mohebin_mersad/" TargetMode="External"/><Relationship Id="rId362" Type="http://schemas.openxmlformats.org/officeDocument/2006/relationships/hyperlink" Target="https://www.instagram.com/yekjorehiha/" TargetMode="External"/><Relationship Id="rId361" Type="http://schemas.openxmlformats.org/officeDocument/2006/relationships/hyperlink" Target="https://t.me/rezajaan1001" TargetMode="External"/><Relationship Id="rId360" Type="http://schemas.openxmlformats.org/officeDocument/2006/relationships/hyperlink" Target="https://www.instagram.com/reza_jan_hamedan/" TargetMode="External"/><Relationship Id="rId367" Type="http://schemas.openxmlformats.org/officeDocument/2006/relationships/hyperlink" Target="https://www.instagram.com/khadem92_/" TargetMode="External"/><Relationship Id="rId366" Type="http://schemas.openxmlformats.org/officeDocument/2006/relationships/hyperlink" Target="https://t.me/Moheban_alamdar_karballa_1382" TargetMode="External"/><Relationship Id="rId365" Type="http://schemas.openxmlformats.org/officeDocument/2006/relationships/hyperlink" Target="https://www.instagram.com/mo73792/" TargetMode="External"/><Relationship Id="rId364" Type="http://schemas.openxmlformats.org/officeDocument/2006/relationships/hyperlink" Target="https://www.instagram.com/mohebine_hazrate_abalfazl/" TargetMode="External"/><Relationship Id="rId95" Type="http://schemas.openxmlformats.org/officeDocument/2006/relationships/hyperlink" Target="https://t.me/beytolabbas_toy" TargetMode="External"/><Relationship Id="rId94" Type="http://schemas.openxmlformats.org/officeDocument/2006/relationships/hyperlink" Target="https://www.instagram.com/beytol.abbas/" TargetMode="External"/><Relationship Id="rId97" Type="http://schemas.openxmlformats.org/officeDocument/2006/relationships/hyperlink" Target="https://www.instagram.com/mahfel_mohebin_aemme_hamedan/" TargetMode="External"/><Relationship Id="rId96" Type="http://schemas.openxmlformats.org/officeDocument/2006/relationships/hyperlink" Target="https://eitaa.com/beytolabbastoyserkan" TargetMode="External"/><Relationship Id="rId99" Type="http://schemas.openxmlformats.org/officeDocument/2006/relationships/hyperlink" Target="http://t.me/reyhanatolhossein315" TargetMode="External"/><Relationship Id="rId98" Type="http://schemas.openxmlformats.org/officeDocument/2006/relationships/hyperlink" Target="https://www.instagram.com/heyat.kosar.bahar.dh/" TargetMode="External"/><Relationship Id="rId91" Type="http://schemas.openxmlformats.org/officeDocument/2006/relationships/hyperlink" Target="https://www.instagram.com/aemme_baghi/" TargetMode="External"/><Relationship Id="rId90" Type="http://schemas.openxmlformats.org/officeDocument/2006/relationships/hyperlink" Target="https://www.instagram.com/h_chhardh_mesvm1354/" TargetMode="External"/><Relationship Id="rId93" Type="http://schemas.openxmlformats.org/officeDocument/2006/relationships/hyperlink" Target="https://www.instagram.com/zeynabiee_1343/" TargetMode="External"/><Relationship Id="rId92" Type="http://schemas.openxmlformats.org/officeDocument/2006/relationships/hyperlink" Target="https://eitaa.com/aemme_baghi" TargetMode="External"/><Relationship Id="rId359" Type="http://schemas.openxmlformats.org/officeDocument/2006/relationships/hyperlink" Target="https://www.instagram.com/mohebin_hazrat/" TargetMode="External"/><Relationship Id="rId358" Type="http://schemas.openxmlformats.org/officeDocument/2006/relationships/hyperlink" Target="https://www.instagram.com/javanan.qasemebne.hasan.118/" TargetMode="External"/><Relationship Id="rId357" Type="http://schemas.openxmlformats.org/officeDocument/2006/relationships/hyperlink" Target="https://www.instagram.com/beyt.oroghaye/" TargetMode="External"/><Relationship Id="rId352" Type="http://schemas.openxmlformats.org/officeDocument/2006/relationships/hyperlink" Target="https://www.instagram.com/mohebin_hazrat_zahra.hmd5/" TargetMode="External"/><Relationship Id="rId351" Type="http://schemas.openxmlformats.org/officeDocument/2006/relationships/hyperlink" Target="https://www.instagram.com/maktabnamaz_hamedan/" TargetMode="External"/><Relationship Id="rId350" Type="http://schemas.openxmlformats.org/officeDocument/2006/relationships/hyperlink" Target="https://eitaa.com/heyatoalzahra" TargetMode="External"/><Relationship Id="rId356" Type="http://schemas.openxmlformats.org/officeDocument/2006/relationships/hyperlink" Target="https://www.instagram.com/reyhanatolhossein3/" TargetMode="External"/><Relationship Id="rId355" Type="http://schemas.openxmlformats.org/officeDocument/2006/relationships/hyperlink" Target="https://www.instagram.com/reyhanatolhoossein315/" TargetMode="External"/><Relationship Id="rId354" Type="http://schemas.openxmlformats.org/officeDocument/2006/relationships/hyperlink" Target="https://www.instagram.com/heyat_varkaneh_eiha/" TargetMode="External"/><Relationship Id="rId353" Type="http://schemas.openxmlformats.org/officeDocument/2006/relationships/hyperlink" Target="https://eitaa.com/mohebinhazratzahrahmd" TargetMode="External"/><Relationship Id="rId305" Type="http://schemas.openxmlformats.org/officeDocument/2006/relationships/hyperlink" Target="https://www.instagram.com/shohada_gomnam1404/" TargetMode="External"/><Relationship Id="rId304" Type="http://schemas.openxmlformats.org/officeDocument/2006/relationships/hyperlink" Target="https://www.instagram.com/heyat_mohebinalaeme/" TargetMode="External"/><Relationship Id="rId303" Type="http://schemas.openxmlformats.org/officeDocument/2006/relationships/hyperlink" Target="https://eitaa.com/maktabolshohadamalayer" TargetMode="External"/><Relationship Id="rId302" Type="http://schemas.openxmlformats.org/officeDocument/2006/relationships/hyperlink" Target="https://www.instagram.com/maktaboshohada_malayer" TargetMode="External"/><Relationship Id="rId309" Type="http://schemas.openxmlformats.org/officeDocument/2006/relationships/hyperlink" Target="https://www.instagram.com/heiatoreza_shm/" TargetMode="External"/><Relationship Id="rId308" Type="http://schemas.openxmlformats.org/officeDocument/2006/relationships/hyperlink" Target="https://www.instagram.com/montazeran_mahdi_gourab/" TargetMode="External"/><Relationship Id="rId307" Type="http://schemas.openxmlformats.org/officeDocument/2006/relationships/hyperlink" Target="https://www.instagram.com/heyat.aliebnemosareza/" TargetMode="External"/><Relationship Id="rId306" Type="http://schemas.openxmlformats.org/officeDocument/2006/relationships/hyperlink" Target="https://www.instagram.com/heyathadiskesa" TargetMode="External"/><Relationship Id="rId301" Type="http://schemas.openxmlformats.org/officeDocument/2006/relationships/hyperlink" Target="https://eitaa.com/heiat_fadaeian_mahdi" TargetMode="External"/><Relationship Id="rId300" Type="http://schemas.openxmlformats.org/officeDocument/2006/relationships/hyperlink" Target="https://www.instagram.com/heiatfadaeianmahdi/" TargetMode="External"/><Relationship Id="rId327" Type="http://schemas.openxmlformats.org/officeDocument/2006/relationships/hyperlink" Target="https://www.instagram.com/ghasemioon78/" TargetMode="External"/><Relationship Id="rId326" Type="http://schemas.openxmlformats.org/officeDocument/2006/relationships/hyperlink" Target="https://eitaa.com/heiatehoseinymeidannahavand1210" TargetMode="External"/><Relationship Id="rId325" Type="http://schemas.openxmlformats.org/officeDocument/2006/relationships/hyperlink" Target="https://www.instagram.com/heiatemeidan1280" TargetMode="External"/><Relationship Id="rId324" Type="http://schemas.openxmlformats.org/officeDocument/2006/relationships/hyperlink" Target="https://eitaa.com/sarallahnahavand" TargetMode="External"/><Relationship Id="rId329" Type="http://schemas.openxmlformats.org/officeDocument/2006/relationships/hyperlink" Target="https://www.instagram.com/ashk__1001/" TargetMode="External"/><Relationship Id="rId328" Type="http://schemas.openxmlformats.org/officeDocument/2006/relationships/hyperlink" Target="https://www.instagram.com/heyat_emam_hasanmojtaba/" TargetMode="External"/><Relationship Id="rId323" Type="http://schemas.openxmlformats.org/officeDocument/2006/relationships/hyperlink" Target="https://t.me/Sarallahnahavand" TargetMode="External"/><Relationship Id="rId322" Type="http://schemas.openxmlformats.org/officeDocument/2006/relationships/hyperlink" Target="https://www.instagram.com/sarallah_nhv/" TargetMode="External"/><Relationship Id="rId321" Type="http://schemas.openxmlformats.org/officeDocument/2006/relationships/hyperlink" Target="https://www.instagram.com/heiat.hosseiny.javanan_1331" TargetMode="External"/><Relationship Id="rId320" Type="http://schemas.openxmlformats.org/officeDocument/2006/relationships/hyperlink" Target="https://www.instagram.com/emam__hasan__mojtaba/" TargetMode="External"/><Relationship Id="rId316" Type="http://schemas.openxmlformats.org/officeDocument/2006/relationships/hyperlink" Target="https://t.me/heiatalzahranahavand" TargetMode="External"/><Relationship Id="rId315" Type="http://schemas.openxmlformats.org/officeDocument/2006/relationships/hyperlink" Target="https://www.instagram.com/heiatozahra.nahavand/" TargetMode="External"/><Relationship Id="rId314" Type="http://schemas.openxmlformats.org/officeDocument/2006/relationships/hyperlink" Target="https://eitaa.com/heydarmedia110" TargetMode="External"/><Relationship Id="rId313" Type="http://schemas.openxmlformats.org/officeDocument/2006/relationships/hyperlink" Target="https://t.me/heydar_media110" TargetMode="External"/><Relationship Id="rId319" Type="http://schemas.openxmlformats.org/officeDocument/2006/relationships/hyperlink" Target="https://www.instagram.com/h.emam.hasan/" TargetMode="External"/><Relationship Id="rId318" Type="http://schemas.openxmlformats.org/officeDocument/2006/relationships/hyperlink" Target="https://www.instagram.com/heyat_do_khaharan1319/" TargetMode="External"/><Relationship Id="rId317" Type="http://schemas.openxmlformats.org/officeDocument/2006/relationships/hyperlink" Target="https://www.instagram.com/moallanahavand/" TargetMode="External"/><Relationship Id="rId312" Type="http://schemas.openxmlformats.org/officeDocument/2006/relationships/hyperlink" Target="https://www.instagram.com/heydar_media110/" TargetMode="External"/><Relationship Id="rId311" Type="http://schemas.openxmlformats.org/officeDocument/2006/relationships/hyperlink" Target="https://www.instagram.com/heyat_sadeghie_malayer/" TargetMode="External"/><Relationship Id="rId310" Type="http://schemas.openxmlformats.org/officeDocument/2006/relationships/hyperlink" Target="https://www.instagram.com/heyatfatemiyehmalayer/" TargetMode="External"/><Relationship Id="rId297" Type="http://schemas.openxmlformats.org/officeDocument/2006/relationships/hyperlink" Target="https://eitaa.com/emamhasan_info" TargetMode="External"/><Relationship Id="rId296" Type="http://schemas.openxmlformats.org/officeDocument/2006/relationships/hyperlink" Target="https://t.me/emamhasan_info" TargetMode="External"/><Relationship Id="rId295" Type="http://schemas.openxmlformats.org/officeDocument/2006/relationships/hyperlink" Target="https://www.instagram.com/emamhasan_info/" TargetMode="External"/><Relationship Id="rId294" Type="http://schemas.openxmlformats.org/officeDocument/2006/relationships/hyperlink" Target="https://t.me/shifteganabalfazl" TargetMode="External"/><Relationship Id="rId299" Type="http://schemas.openxmlformats.org/officeDocument/2006/relationships/hyperlink" Target="https://eitaa.com/MahfelAshkMalayer" TargetMode="External"/><Relationship Id="rId298" Type="http://schemas.openxmlformats.org/officeDocument/2006/relationships/hyperlink" Target="https://www.instagram.com/mahfeleashk.malayer" TargetMode="External"/><Relationship Id="rId271" Type="http://schemas.openxmlformats.org/officeDocument/2006/relationships/hyperlink" Target="https://www.instagram.com/yavaran_mahdi_orginal/" TargetMode="External"/><Relationship Id="rId270" Type="http://schemas.openxmlformats.org/officeDocument/2006/relationships/hyperlink" Target="https://www.instagram.com/heyatmoheban_dargazin278/" TargetMode="External"/><Relationship Id="rId269" Type="http://schemas.openxmlformats.org/officeDocument/2006/relationships/hyperlink" Target="https://www.instagram.com/heiat_azadaran_dargazin/" TargetMode="External"/><Relationship Id="rId264" Type="http://schemas.openxmlformats.org/officeDocument/2006/relationships/hyperlink" Target="https://www.instagram.com/fatemiyoun_bahar/" TargetMode="External"/><Relationship Id="rId263" Type="http://schemas.openxmlformats.org/officeDocument/2006/relationships/hyperlink" Target="https://www.instagram.com/asheghaneabalfazl1383/" TargetMode="External"/><Relationship Id="rId262" Type="http://schemas.openxmlformats.org/officeDocument/2006/relationships/hyperlink" Target="https://www.instagram.com/h.yalasaratzanjan?utm_source=ig_web_button_share_sheet&amp;igsh=ZDNlZDc0MzIxNw==" TargetMode="External"/><Relationship Id="rId261" Type="http://schemas.openxmlformats.org/officeDocument/2006/relationships/hyperlink" Target="https://t.me/Heiat_as" TargetMode="External"/><Relationship Id="rId268" Type="http://schemas.openxmlformats.org/officeDocument/2006/relationships/hyperlink" Target="https://www.instagram.com/ziarat_aale_yasin/" TargetMode="External"/><Relationship Id="rId267" Type="http://schemas.openxmlformats.org/officeDocument/2006/relationships/hyperlink" Target="http://t.me/samenolaemehtuyserkan" TargetMode="External"/><Relationship Id="rId266" Type="http://schemas.openxmlformats.org/officeDocument/2006/relationships/hyperlink" Target="https://www.instagram.com/heyat_moheban_mahdi201/" TargetMode="External"/><Relationship Id="rId265" Type="http://schemas.openxmlformats.org/officeDocument/2006/relationships/hyperlink" Target="https://t.me/fatemiyoun_bahar" TargetMode="External"/><Relationship Id="rId260" Type="http://schemas.openxmlformats.org/officeDocument/2006/relationships/hyperlink" Target="https://www.instagram.com/heiat_as?utm_source=ig_web_button_share_sheet&amp;igsh=ZDNlZDc0MzIxNw==" TargetMode="External"/><Relationship Id="rId259" Type="http://schemas.openxmlformats.org/officeDocument/2006/relationships/hyperlink" Target="https://eitaa.com/yarane_hossein" TargetMode="External"/><Relationship Id="rId258" Type="http://schemas.openxmlformats.org/officeDocument/2006/relationships/hyperlink" Target="https://www.instagram.com/heyat.mohebin.fatemezahra?utm_source=ig_web_button_share_sheet&amp;igsh=ZDNlZDc0MzIxNw==" TargetMode="External"/><Relationship Id="rId253" Type="http://schemas.openxmlformats.org/officeDocument/2006/relationships/hyperlink" Target="https://www.instagram.com/samen_bahar/" TargetMode="External"/><Relationship Id="rId252" Type="http://schemas.openxmlformats.org/officeDocument/2006/relationships/hyperlink" Target="http://eitaa.com/Aliebnabitalbb" TargetMode="External"/><Relationship Id="rId251" Type="http://schemas.openxmlformats.org/officeDocument/2006/relationships/hyperlink" Target="https://www.instagram.com/heyat_aliebn_abitalb/" TargetMode="External"/><Relationship Id="rId250" Type="http://schemas.openxmlformats.org/officeDocument/2006/relationships/hyperlink" Target="https://www.instagram.com/mnmesbah/" TargetMode="External"/><Relationship Id="rId257" Type="http://schemas.openxmlformats.org/officeDocument/2006/relationships/hyperlink" Target="https://www.instagram.com/heyat_qamar_133/" TargetMode="External"/><Relationship Id="rId256" Type="http://schemas.openxmlformats.org/officeDocument/2006/relationships/hyperlink" Target="https://eitaa.com/javadolaemeh_malayer" TargetMode="External"/><Relationship Id="rId255" Type="http://schemas.openxmlformats.org/officeDocument/2006/relationships/hyperlink" Target="https://www.instagram.com/javadolaemeh_malayer?utm_source=ig_web_button_share_sheet&amp;igsh=ZDNlZDc0MzIxNw==" TargetMode="External"/><Relationship Id="rId254" Type="http://schemas.openxmlformats.org/officeDocument/2006/relationships/hyperlink" Target="https://www.instagram.com/heyat_sadeghieh_malayer/" TargetMode="External"/><Relationship Id="rId293" Type="http://schemas.openxmlformats.org/officeDocument/2006/relationships/hyperlink" Target="https://www.instagram.com/shifteganabalfazl" TargetMode="External"/><Relationship Id="rId292" Type="http://schemas.openxmlformats.org/officeDocument/2006/relationships/hyperlink" Target="https://www.instagram.com/janatolabass/" TargetMode="External"/><Relationship Id="rId291" Type="http://schemas.openxmlformats.org/officeDocument/2006/relationships/hyperlink" Target="https://eitaa.com/FadaiyanHazratZahraMalayeri" TargetMode="External"/><Relationship Id="rId290" Type="http://schemas.openxmlformats.org/officeDocument/2006/relationships/hyperlink" Target="https://www.instagram.com/heyat_fadaeiyan_zahra" TargetMode="External"/><Relationship Id="rId286" Type="http://schemas.openxmlformats.org/officeDocument/2006/relationships/hyperlink" Target="https://www.instagram.com/khodamalhassan/" TargetMode="External"/><Relationship Id="rId285" Type="http://schemas.openxmlformats.org/officeDocument/2006/relationships/hyperlink" Target="https://t.me/hezbollahemalayer" TargetMode="External"/><Relationship Id="rId284" Type="http://schemas.openxmlformats.org/officeDocument/2006/relationships/hyperlink" Target="https://www.instagram.com/hezbollahemalayer" TargetMode="External"/><Relationship Id="rId283" Type="http://schemas.openxmlformats.org/officeDocument/2006/relationships/hyperlink" Target="https://t.me/Heiatorza" TargetMode="External"/><Relationship Id="rId289" Type="http://schemas.openxmlformats.org/officeDocument/2006/relationships/hyperlink" Target="https://www.youtube.com/@khodamalhassan" TargetMode="External"/><Relationship Id="rId288" Type="http://schemas.openxmlformats.org/officeDocument/2006/relationships/hyperlink" Target="https://eitaa.com/khodamalhassan" TargetMode="External"/><Relationship Id="rId287" Type="http://schemas.openxmlformats.org/officeDocument/2006/relationships/hyperlink" Target="https://t.me/khodamalhassan" TargetMode="External"/><Relationship Id="rId282" Type="http://schemas.openxmlformats.org/officeDocument/2006/relationships/hyperlink" Target="https://www.instagram.com/_heiatoreza_/" TargetMode="External"/><Relationship Id="rId281" Type="http://schemas.openxmlformats.org/officeDocument/2006/relationships/hyperlink" Target="https://www.instagram.com/heyat.seyedoshohada/" TargetMode="External"/><Relationship Id="rId280" Type="http://schemas.openxmlformats.org/officeDocument/2006/relationships/hyperlink" Target="https://www.instagram.com/mokeb_aghile_malayer/" TargetMode="External"/><Relationship Id="rId275" Type="http://schemas.openxmlformats.org/officeDocument/2006/relationships/hyperlink" Target="https://www.instagram.com/mokeb_azadaran69/" TargetMode="External"/><Relationship Id="rId274" Type="http://schemas.openxmlformats.org/officeDocument/2006/relationships/hyperlink" Target="https://eitaa.com/h_fatimatzahra" TargetMode="External"/><Relationship Id="rId273" Type="http://schemas.openxmlformats.org/officeDocument/2006/relationships/hyperlink" Target="https://www.instagram.com/akbarion.ir/" TargetMode="External"/><Relationship Id="rId272" Type="http://schemas.openxmlformats.org/officeDocument/2006/relationships/hyperlink" Target="https://www.instagram.com/yavaran_mahdi_orginal2/" TargetMode="External"/><Relationship Id="rId279" Type="http://schemas.openxmlformats.org/officeDocument/2006/relationships/hyperlink" Target="https://l.instagram.com/?u=http%3A%2F%2Ftlgrm.me%2Fkanalkomail%3Futm_source%3Dig%26utm_medium%3Dsocial%26utm_content%3Dlink_in_bio%26fbclid%3DPAZXh0bgNhZW0CMTEAc3J0YwZhcHBfaWQMMjU2MjgxMDQwNTU4AAGnbbT99C_kdwJ7DW7WoTlcM2CxEj0VBDynI8iU0TPTayX0ZAvxrArHk-vWhPA_aem_wG3aE82VPxRp-Db8okZvog&amp;e=AT3yu76mcayH6ZcNhCV7zafFKLbK3FSRNbXFL4160bDyouF4VUrEO5lXQgWv3twV_U5rj7C8C_EIgp8--jYrVAUVx0Aoqw7cPP2ZjYGmgQ" TargetMode="External"/><Relationship Id="rId278" Type="http://schemas.openxmlformats.org/officeDocument/2006/relationships/hyperlink" Target="https://www.instagram.com/kanalkomail_ir/" TargetMode="External"/><Relationship Id="rId277" Type="http://schemas.openxmlformats.org/officeDocument/2006/relationships/hyperlink" Target="https://eitaa.com/javadolaemeh_malayer" TargetMode="External"/><Relationship Id="rId276" Type="http://schemas.openxmlformats.org/officeDocument/2006/relationships/hyperlink" Target="https://www.instagram.com/heyat_javadalaemeh_kb/" TargetMode="External"/><Relationship Id="rId228" Type="http://schemas.openxmlformats.org/officeDocument/2006/relationships/hyperlink" Target="https://eitaa.com/heyathonar_hmd" TargetMode="External"/><Relationship Id="rId227" Type="http://schemas.openxmlformats.org/officeDocument/2006/relationships/hyperlink" Target="https://www.instagram.com/heyathonar_hmd?utm_source=ig_web_button_share_sheet&amp;igsh=ZDNlZDc0MzIxNw==" TargetMode="External"/><Relationship Id="rId226" Type="http://schemas.openxmlformats.org/officeDocument/2006/relationships/hyperlink" Target="https://eitaa.com/sarallah_hmd" TargetMode="External"/><Relationship Id="rId225" Type="http://schemas.openxmlformats.org/officeDocument/2006/relationships/hyperlink" Target="https://www.instagram.com/sarallah_hmd?utm_source=ig_web_button_share_sheet&amp;igsh=ZDNlZDc0MzIxNw==" TargetMode="External"/><Relationship Id="rId229" Type="http://schemas.openxmlformats.org/officeDocument/2006/relationships/hyperlink" Target="https://www.instagram.com/aliebnabitaleb_hmd/?utm_source=ig_web_button_share_sheet" TargetMode="External"/><Relationship Id="rId220" Type="http://schemas.openxmlformats.org/officeDocument/2006/relationships/hyperlink" Target="https://www.instagram.com/shahzadeh.aliakbar_info?utm_source=ig_web_button_share_sheet&amp;igsh=ZDNlZDc0MzIxNw==" TargetMode="External"/><Relationship Id="rId224" Type="http://schemas.openxmlformats.org/officeDocument/2006/relationships/hyperlink" Target="https://t.me/heyattorbat" TargetMode="External"/><Relationship Id="rId223" Type="http://schemas.openxmlformats.org/officeDocument/2006/relationships/hyperlink" Target="https://www.instagram.com/heyattorbat?utm_source=ig_web_button_share_sheet&amp;igsh=ZDNlZDc0MzIxNw==" TargetMode="External"/><Relationship Id="rId222" Type="http://schemas.openxmlformats.org/officeDocument/2006/relationships/hyperlink" Target="https://eitaa.com/heyatalabas" TargetMode="External"/><Relationship Id="rId221" Type="http://schemas.openxmlformats.org/officeDocument/2006/relationships/hyperlink" Target="https://www.instagram.com/heyatalabbas?utm_source=ig_web_button_share_sheet&amp;igsh=ZDNlZDc0MzIxNw==" TargetMode="External"/><Relationship Id="rId217" Type="http://schemas.openxmlformats.org/officeDocument/2006/relationships/hyperlink" Target="https://eitaa.com/AlYassinheyat1404" TargetMode="External"/><Relationship Id="rId216" Type="http://schemas.openxmlformats.org/officeDocument/2006/relationships/hyperlink" Target="https://eitaa.com/maktabezeinab_hamedan" TargetMode="External"/><Relationship Id="rId215" Type="http://schemas.openxmlformats.org/officeDocument/2006/relationships/hyperlink" Target="https://www.instagram.com/maktabezeinab_hamedan?utm_source=ig_web_button_share_sheet&amp;igsh=ZDNlZDc0MzIxNw==" TargetMode="External"/><Relationship Id="rId214" Type="http://schemas.openxmlformats.org/officeDocument/2006/relationships/hyperlink" Target="https://eitaa.com/babolhavaej_hamedan" TargetMode="External"/><Relationship Id="rId219" Type="http://schemas.openxmlformats.org/officeDocument/2006/relationships/hyperlink" Target="https://www.instagram.com/heyat_aba.saleh_nahavand/" TargetMode="External"/><Relationship Id="rId218" Type="http://schemas.openxmlformats.org/officeDocument/2006/relationships/hyperlink" Target="https://eitaa.com/sahebalzaman_n" TargetMode="External"/><Relationship Id="rId213" Type="http://schemas.openxmlformats.org/officeDocument/2006/relationships/hyperlink" Target="https://t.me/babolhavaej_hamedan" TargetMode="External"/><Relationship Id="rId212" Type="http://schemas.openxmlformats.org/officeDocument/2006/relationships/hyperlink" Target="https://www.instagram.com/heyat.babolhavaej.hamedan?utm_source=ig_web_button_share_sheet&amp;igsh=ZDNlZDc0MzIxNw==" TargetMode="External"/><Relationship Id="rId211" Type="http://schemas.openxmlformats.org/officeDocument/2006/relationships/hyperlink" Target="https://eitaa.com/heyatemohamadrasololah" TargetMode="External"/><Relationship Id="rId210" Type="http://schemas.openxmlformats.org/officeDocument/2006/relationships/hyperlink" Target="https://www.instagram.com/rasolemehr?utm_source=ig_web_button_share_sheet&amp;igsh=ZDNlZDc0MzIxNw==" TargetMode="External"/><Relationship Id="rId249" Type="http://schemas.openxmlformats.org/officeDocument/2006/relationships/hyperlink" Target="https://www.instagram.com/sarcheshmemalayer/" TargetMode="External"/><Relationship Id="rId248" Type="http://schemas.openxmlformats.org/officeDocument/2006/relationships/hyperlink" Target="https://www.instagram.com/heyat_fatemiuon/" TargetMode="External"/><Relationship Id="rId247" Type="http://schemas.openxmlformats.org/officeDocument/2006/relationships/hyperlink" Target="https://www.instagram.com/sarallah_tuy1/" TargetMode="External"/><Relationship Id="rId242" Type="http://schemas.openxmlformats.org/officeDocument/2006/relationships/hyperlink" Target="https://www.instagram.com/rahpouyanvelayathmd?utm_source=ig_web_button_share_sheet&amp;igsh=ZDNlZDc0MzIxNw==" TargetMode="External"/><Relationship Id="rId241" Type="http://schemas.openxmlformats.org/officeDocument/2006/relationships/hyperlink" Target="https://www.instagram.com/heyat_sadat.hamedan?utm_source=ig_web_button_share_sheet&amp;igsh=ZDNlZDc0MzIxNw==" TargetMode="External"/><Relationship Id="rId240" Type="http://schemas.openxmlformats.org/officeDocument/2006/relationships/hyperlink" Target="https://eitaa.com/heyat_rezvanoljavad" TargetMode="External"/><Relationship Id="rId246" Type="http://schemas.openxmlformats.org/officeDocument/2006/relationships/hyperlink" Target="https://eitaa.com/ansaralemamalmojtaba400" TargetMode="External"/><Relationship Id="rId245" Type="http://schemas.openxmlformats.org/officeDocument/2006/relationships/hyperlink" Target="https://www.instagram.com/ansaralemamalmojtaba?utm_source=ig_web_button_share_sheet&amp;igsh=ZDNlZDc0MzIxNw==" TargetMode="External"/><Relationship Id="rId244" Type="http://schemas.openxmlformats.org/officeDocument/2006/relationships/hyperlink" Target="https://www.instagram.com/heyatozahraa.hamedan?utm_source=ig_web_button_share_sheet&amp;igsh=ZDNlZDc0MzIxNw==" TargetMode="External"/><Relationship Id="rId243" Type="http://schemas.openxmlformats.org/officeDocument/2006/relationships/hyperlink" Target="https://eitaa.com/rahpouyanvelayathmd" TargetMode="External"/><Relationship Id="rId239" Type="http://schemas.openxmlformats.org/officeDocument/2006/relationships/hyperlink" Target="https://www.instagram.com/heyat_rezvanoljavad?utm_source=ig_web_button_share_sheet&amp;igsh=ZDNlZDc0MzIxNw==" TargetMode="External"/><Relationship Id="rId238" Type="http://schemas.openxmlformats.org/officeDocument/2006/relationships/hyperlink" Target="https://eitaa.com/Dokhtaran_haaj_ghasem" TargetMode="External"/><Relationship Id="rId237" Type="http://schemas.openxmlformats.org/officeDocument/2006/relationships/hyperlink" Target="https://t.me/masjed_mohammadieh" TargetMode="External"/><Relationship Id="rId236" Type="http://schemas.openxmlformats.org/officeDocument/2006/relationships/hyperlink" Target="https://www.instagram.com/heyat_farhangiyan?utm_source=ig_web_button_share_sheet&amp;igsh=ZDNlZDc0MzIxNw==" TargetMode="External"/><Relationship Id="rId231" Type="http://schemas.openxmlformats.org/officeDocument/2006/relationships/hyperlink" Target="https://eitaa.com/samenolaemehhamedan" TargetMode="External"/><Relationship Id="rId230" Type="http://schemas.openxmlformats.org/officeDocument/2006/relationships/hyperlink" Target="https://www.instagram.com/samenol_aemmeh_hamedan.ir?utm_source=ig_web_button_share_sheet&amp;igsh=ZDNlZDc0MzIxNw==" TargetMode="External"/><Relationship Id="rId235" Type="http://schemas.openxmlformats.org/officeDocument/2006/relationships/hyperlink" Target="https://www.instagram.com/heydarioonfamenin/" TargetMode="External"/><Relationship Id="rId234" Type="http://schemas.openxmlformats.org/officeDocument/2006/relationships/hyperlink" Target="https://eitaa.com/heiat_ghasem1" TargetMode="External"/><Relationship Id="rId233" Type="http://schemas.openxmlformats.org/officeDocument/2006/relationships/hyperlink" Target="https://www.instagram.com/mokeb_ghasem_ibn_al_hassan?utm_source=ig_web_button_share_sheet&amp;igsh=ZDNlZDc0MzIxNw==" TargetMode="External"/><Relationship Id="rId232" Type="http://schemas.openxmlformats.org/officeDocument/2006/relationships/hyperlink" Target="https://www.instagram.com/hoseinie_jolan?utm_source=ig_web_button_share_sheet&amp;igsh=ZDNlZDc0MzIxNw==" TargetMode="External"/><Relationship Id="rId206" Type="http://schemas.openxmlformats.org/officeDocument/2006/relationships/hyperlink" Target="https://eitaa.com/ghamarbanihashem113" TargetMode="External"/><Relationship Id="rId205" Type="http://schemas.openxmlformats.org/officeDocument/2006/relationships/hyperlink" Target="https://www.instagram.com/heyate_ghamarebanihashem.133?utm_source=ig_web_button_share_sheet&amp;igsh=ZDNlZDc0MzIxNw==" TargetMode="External"/><Relationship Id="rId204" Type="http://schemas.openxmlformats.org/officeDocument/2006/relationships/hyperlink" Target="https://eitaa.com/Reyhanatolhossein_nahavand" TargetMode="External"/><Relationship Id="rId203" Type="http://schemas.openxmlformats.org/officeDocument/2006/relationships/hyperlink" Target="https://www.instagram.com/Reyhanatolhossein_nahavand/" TargetMode="External"/><Relationship Id="rId209" Type="http://schemas.openxmlformats.org/officeDocument/2006/relationships/hyperlink" Target="https://eitaa.com/heiatalzahranahavand" TargetMode="External"/><Relationship Id="rId208" Type="http://schemas.openxmlformats.org/officeDocument/2006/relationships/hyperlink" Target="https://l.instagram.com/?u=https%3A%2F%2Ft.me%2Foshagholhossein_1%3Ffbclid%3DPAZXh0bgNhZW0CMTEAAaei_-LoZxTwUkXnzUjdnboDCAw7e3JJNa2HXDuJ4DQIE5jDBxIxCPcMEK_IlQ_aem_5KYxozz39XI3iVzqfmcMnA&amp;e=AT1UBuCnP1KGekcL4pilsTX_Q6hd2Ai2-96HlORA1a2Mnjblqq9GnYedn6Ix84-NTT3Q8aSnF4uB9fLNESRe9TQXHxoIRviWTz1Z63F-XQ" TargetMode="External"/><Relationship Id="rId207" Type="http://schemas.openxmlformats.org/officeDocument/2006/relationships/hyperlink" Target="https://www.instagram.com/oshagholhossein_/" TargetMode="External"/><Relationship Id="rId202" Type="http://schemas.openxmlformats.org/officeDocument/2006/relationships/hyperlink" Target="https://t.me/heyat_shahzademohamad_nahavand" TargetMode="External"/><Relationship Id="rId201" Type="http://schemas.openxmlformats.org/officeDocument/2006/relationships/hyperlink" Target="http://instagram.com/heyat_shahzadehmohamad" TargetMode="External"/><Relationship Id="rId200" Type="http://schemas.openxmlformats.org/officeDocument/2006/relationships/hyperlink" Target="https://eitaa.com/heyat_sayedalshabab" TargetMode="External"/><Relationship Id="rId409" Type="http://schemas.openxmlformats.org/officeDocument/2006/relationships/hyperlink" Target="https://eitaa.com/hazrat_aliakbar_hmd" TargetMode="External"/><Relationship Id="rId404" Type="http://schemas.openxmlformats.org/officeDocument/2006/relationships/hyperlink" Target="https://www.instagram.com/jannatolheydar_110" TargetMode="External"/><Relationship Id="rId403" Type="http://schemas.openxmlformats.org/officeDocument/2006/relationships/hyperlink" Target="https://www.instagram.com/heiat_sonati_dorehdosh_famenin/" TargetMode="External"/><Relationship Id="rId402" Type="http://schemas.openxmlformats.org/officeDocument/2006/relationships/hyperlink" Target="https://www.instagram.com/shayesteheiat/" TargetMode="External"/><Relationship Id="rId401" Type="http://schemas.openxmlformats.org/officeDocument/2006/relationships/hyperlink" Target="https://www.instagram.com/alamdaran.lalejin.hamedan/" TargetMode="External"/><Relationship Id="rId408" Type="http://schemas.openxmlformats.org/officeDocument/2006/relationships/hyperlink" Target="https://eitaa.com/MokebeHazrateZahra" TargetMode="External"/><Relationship Id="rId407" Type="http://schemas.openxmlformats.org/officeDocument/2006/relationships/hyperlink" Target="https://eitaa.com/khaharankhademozahra" TargetMode="External"/><Relationship Id="rId406" Type="http://schemas.openxmlformats.org/officeDocument/2006/relationships/hyperlink" Target="https://www.instagram.com/sarallah_zanganeh/" TargetMode="External"/><Relationship Id="rId405" Type="http://schemas.openxmlformats.org/officeDocument/2006/relationships/hyperlink" Target="https://www.instagram.com/samen.city/" TargetMode="External"/><Relationship Id="rId400" Type="http://schemas.openxmlformats.org/officeDocument/2006/relationships/hyperlink" Target="https://www.instagram.com/tighe.zaban/" TargetMode="External"/><Relationship Id="rId411" Type="http://schemas.openxmlformats.org/officeDocument/2006/relationships/drawing" Target="../drawings/drawing6.xml"/><Relationship Id="rId410" Type="http://schemas.openxmlformats.org/officeDocument/2006/relationships/hyperlink" Target="https://eitaa.com/setadghadirm" TargetMode="External"/><Relationship Id="rId1" Type="http://schemas.openxmlformats.org/officeDocument/2006/relationships/hyperlink" Target="https://www.instagram.com/gholaman_ale_heydar/" TargetMode="External"/><Relationship Id="rId2" Type="http://schemas.openxmlformats.org/officeDocument/2006/relationships/hyperlink" Target="https://l.instagram.com/?u=http%3A%2F%2Ft.me%2Fgholaman_ale_heydar%3Futm_source%3Dig%26utm_medium%3Dsocial%26utm_content%3Dlink_in_bio%26fbclid%3DPAZXh0bgNhZW0CMTEAc3J0YwZhcHBfaWQMMjU2MjgxMDQwNTU4AAGnYQWAwl-8WLwgLFI8-krGf_4_LFy-QWgNr8nH9XgxC73PJq3HucH1IwWrsS0_aem_XKJCKT_dhM3r6mdqYqrr2g&amp;e=AT0rqOsGq5kAc3gBqvtoJ34skKz81g0i0xyvSW-sWeLC4hyIAvNQcDoGFTVS9z9zktadcRHUz5iJZ-QK1vFAe0ijdG0MbMtra_OiPEMjtw" TargetMode="External"/><Relationship Id="rId3" Type="http://schemas.openxmlformats.org/officeDocument/2006/relationships/hyperlink" Target="https://eitaa.com/gholaman_all_hidar" TargetMode="External"/><Relationship Id="rId4" Type="http://schemas.openxmlformats.org/officeDocument/2006/relationships/hyperlink" Target="https://www.instagram.com/alamdarinfo/" TargetMode="External"/><Relationship Id="rId9" Type="http://schemas.openxmlformats.org/officeDocument/2006/relationships/hyperlink" Target="https://eitaa.com/heyatbasu" TargetMode="External"/><Relationship Id="rId5" Type="http://schemas.openxmlformats.org/officeDocument/2006/relationships/hyperlink" Target="https://eitaa.com/Fatemiee313_hmd" TargetMode="External"/><Relationship Id="rId6" Type="http://schemas.openxmlformats.org/officeDocument/2006/relationships/hyperlink" Target="https://eitaa.com/saelin_almahdi" TargetMode="External"/><Relationship Id="rId7" Type="http://schemas.openxmlformats.org/officeDocument/2006/relationships/hyperlink" Target="https://www.instagram.com/heyat_ameh_sadat/" TargetMode="External"/><Relationship Id="rId8" Type="http://schemas.openxmlformats.org/officeDocument/2006/relationships/hyperlink" Target="https://www.instagram.com/heyatbasu/" TargetMode="Externa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t.me/khademalhasan_qom" TargetMode="External"/><Relationship Id="rId194" Type="http://schemas.openxmlformats.org/officeDocument/2006/relationships/hyperlink" Target="https://www.instagram.com/khademin_hojat/" TargetMode="External"/><Relationship Id="rId193" Type="http://schemas.openxmlformats.org/officeDocument/2006/relationships/hyperlink" Target="https://l.instagram.com/?u=https%3A%2F%2Ft.me%2Fkhademozahra_qom%3Ffbclid%3DPAZXh0bgNhZW0CMTEAc3J0YwZhcHBfaWQMMjU2MjgxMDQwNTU4AAGnyJgAfZTqgOJQxZkdWFL3tdg2MxwfCB9VYX6EYrZU9_OZg5D6cRAQgDhwwVQ_aem_gmDdH9MwjPlixRQhtgtmmg&amp;e=AT2FM5brTHOgYNP92NRaYvTn9GFj1cZw7HwoksY8Uz6lDOCc187FtuUx3rD3BIWjGFrIJ4KnWHq2VLxwiRkNEnCL6-LYCGvWtCjpWkmd_Q" TargetMode="External"/><Relationship Id="rId192" Type="http://schemas.openxmlformats.org/officeDocument/2006/relationships/hyperlink" Target="https://www.instagram.com/khademozahra_qom/" TargetMode="External"/><Relationship Id="rId191" Type="http://schemas.openxmlformats.org/officeDocument/2006/relationships/hyperlink" Target="https://eitaa.com/khademalhasan_qom" TargetMode="External"/><Relationship Id="rId187" Type="http://schemas.openxmlformats.org/officeDocument/2006/relationships/hyperlink" Target="https://www.instagram.com/heyat_aliakbar_qom/" TargetMode="External"/><Relationship Id="rId186" Type="http://schemas.openxmlformats.org/officeDocument/2006/relationships/hyperlink" Target="https://eitaa.com/Heyataliakbarqom" TargetMode="External"/><Relationship Id="rId185" Type="http://schemas.openxmlformats.org/officeDocument/2006/relationships/hyperlink" Target="http://heiataliasgharqom.ir" TargetMode="External"/><Relationship Id="rId184" Type="http://schemas.openxmlformats.org/officeDocument/2006/relationships/hyperlink" Target="https://www.instagram.com/heiate.aliasghar" TargetMode="External"/><Relationship Id="rId189" Type="http://schemas.openxmlformats.org/officeDocument/2006/relationships/hyperlink" Target="https://www.instagram.com/khademalhasan_qom" TargetMode="External"/><Relationship Id="rId188" Type="http://schemas.openxmlformats.org/officeDocument/2006/relationships/hyperlink" Target="https://l.instagram.com/?u=http%3A%2F%2Ft.me%2Fheyat_aliakbar_qom%3Ffbclid%3DPAZXh0bgNhZW0CMTEAc3J0YwZhcHBfaWQMMjU2MjgxMDQwNTU4AAGnOobZSuNNeF3DqZ4450f5khEfatc0dILcBTJP-B0mxXl8sNb7Jpgc_KgISZg_aem_4xfjNrWxPnXsgfHn9F5tiQ&amp;e=AT0cLtD_2Ni7KNX2hbXqJAE5wQkdvj-ouGoTC5kp32mBWUutLxB2a7_d-8_sVug3V5qd-UXZXf1gZRcUeWQMzlt9VFVoPQF_iQ6UHm0dzA" TargetMode="External"/><Relationship Id="rId183" Type="http://schemas.openxmlformats.org/officeDocument/2006/relationships/hyperlink" Target="https://www.instagram.com/beitol_ahzan_fatemeh_zahra/" TargetMode="External"/><Relationship Id="rId182" Type="http://schemas.openxmlformats.org/officeDocument/2006/relationships/hyperlink" Target="https://eitaa.com/haramolhasanqom" TargetMode="External"/><Relationship Id="rId181" Type="http://schemas.openxmlformats.org/officeDocument/2006/relationships/hyperlink" Target="https://www.instagram.com/haramolhasanqom1438/" TargetMode="External"/><Relationship Id="rId180" Type="http://schemas.openxmlformats.org/officeDocument/2006/relationships/hyperlink" Target="https://eitaa.com/heiat_javanan_qom_1" TargetMode="External"/><Relationship Id="rId176" Type="http://schemas.openxmlformats.org/officeDocument/2006/relationships/hyperlink" Target="https://www.instagram.com/jannatalhoseinqom/" TargetMode="External"/><Relationship Id="rId175" Type="http://schemas.openxmlformats.org/officeDocument/2006/relationships/hyperlink" Target="https://eitaa.com/Heyat_tasooa" TargetMode="External"/><Relationship Id="rId174" Type="http://schemas.openxmlformats.org/officeDocument/2006/relationships/hyperlink" Target="https://www.instagram.com/heyat_tasooa_qom/" TargetMode="External"/><Relationship Id="rId173" Type="http://schemas.openxmlformats.org/officeDocument/2006/relationships/hyperlink" Target="https://t.me/beyt_al_sajjad_offical" TargetMode="External"/><Relationship Id="rId179" Type="http://schemas.openxmlformats.org/officeDocument/2006/relationships/hyperlink" Target="https://www.instagram.com/heiat_javanan_qom_1/" TargetMode="External"/><Relationship Id="rId178" Type="http://schemas.openxmlformats.org/officeDocument/2006/relationships/hyperlink" Target="https://eitaa.com/jannatorreza401" TargetMode="External"/><Relationship Id="rId177" Type="http://schemas.openxmlformats.org/officeDocument/2006/relationships/hyperlink" Target="https://t.me/jannatalhoseinqom" TargetMode="External"/><Relationship Id="rId198" Type="http://schemas.openxmlformats.org/officeDocument/2006/relationships/hyperlink" Target="https://www.instagram.com/delsukhteganeqom/" TargetMode="External"/><Relationship Id="rId197" Type="http://schemas.openxmlformats.org/officeDocument/2006/relationships/hyperlink" Target="https://www.instagram.com/dakhil_ol_abbas" TargetMode="External"/><Relationship Id="rId196" Type="http://schemas.openxmlformats.org/officeDocument/2006/relationships/hyperlink" Target="https://www.instagram.com/k.a.almominin/" TargetMode="External"/><Relationship Id="rId195" Type="http://schemas.openxmlformats.org/officeDocument/2006/relationships/hyperlink" Target="https://t.me/khademin_hojat" TargetMode="External"/><Relationship Id="rId199" Type="http://schemas.openxmlformats.org/officeDocument/2006/relationships/hyperlink" Target="https://www.instagram.com/dammam1401/" TargetMode="External"/><Relationship Id="rId150" Type="http://schemas.openxmlformats.org/officeDocument/2006/relationships/hyperlink" Target="https://www.instagram.com/kadhimain_qom/" TargetMode="External"/><Relationship Id="rId149" Type="http://schemas.openxmlformats.org/officeDocument/2006/relationships/hyperlink" Target="https://t.me/AaleAli" TargetMode="External"/><Relationship Id="rId148" Type="http://schemas.openxmlformats.org/officeDocument/2006/relationships/hyperlink" Target="https://www.instagram.com/aaleali.qom/" TargetMode="External"/><Relationship Id="rId143" Type="http://schemas.openxmlformats.org/officeDocument/2006/relationships/hyperlink" Target="https://l.instagram.com/?u=https%3A%2F%2Ft.me%2Fhamnaleh_baroghayeh%3Ffbclid%3DPAZXh0bgNhZW0CMTEAc3J0YwZhcHBfaWQMMjU2MjgxMDQwNTU4AAGnG-NvtgpwwMJf5-hXbeXCd79bGL0-T2cfAnVlE_lajDoRHCG4cKI8dJ69RlI_aem_VNW0xfc1_A_Dxv9_ScJ-6Q&amp;e=AT28lKpmGBdO-SfQETrYYNJXUqa2G-DS5S-7JQejk6kT0z3OR_5BrgC722gOG57xEC7-5ZYYypn_Kc4uRHGsGJOziH0eTCz58ioc3Yu9YQ" TargetMode="External"/><Relationship Id="rId142" Type="http://schemas.openxmlformats.org/officeDocument/2006/relationships/hyperlink" Target="https://www.instagram.com/ham.naleh.ba.roghayeh/" TargetMode="External"/><Relationship Id="rId141" Type="http://schemas.openxmlformats.org/officeDocument/2006/relationships/hyperlink" Target="https://eitaa.com/montazerane_mahdi_heyat" TargetMode="External"/><Relationship Id="rId140" Type="http://schemas.openxmlformats.org/officeDocument/2006/relationships/hyperlink" Target="https://www.instagram.com/montazerane_mahdi_heyat" TargetMode="External"/><Relationship Id="rId147" Type="http://schemas.openxmlformats.org/officeDocument/2006/relationships/hyperlink" Target="https://www.instagram.com/yavaranzeinabqom/" TargetMode="External"/><Relationship Id="rId146" Type="http://schemas.openxmlformats.org/officeDocument/2006/relationships/hyperlink" Target="https://www.instagram.com/r.yalesaratalhoseine_qom/" TargetMode="External"/><Relationship Id="rId145" Type="http://schemas.openxmlformats.org/officeDocument/2006/relationships/hyperlink" Target="https://t.me/yaroghaiehe_ir" TargetMode="External"/><Relationship Id="rId144" Type="http://schemas.openxmlformats.org/officeDocument/2006/relationships/hyperlink" Target="https://www.instagram.com/yaroghaiehe_ir/" TargetMode="External"/><Relationship Id="rId139" Type="http://schemas.openxmlformats.org/officeDocument/2006/relationships/hyperlink" Target="https://t.me/montazeranfaraj1389" TargetMode="External"/><Relationship Id="rId138" Type="http://schemas.openxmlformats.org/officeDocument/2006/relationships/hyperlink" Target="https://www.instagram.com/montazeranfaraj.ir/" TargetMode="External"/><Relationship Id="rId137" Type="http://schemas.openxmlformats.org/officeDocument/2006/relationships/hyperlink" Target="https://www.instagram.com/maktab_69_zeynab/" TargetMode="External"/><Relationship Id="rId132" Type="http://schemas.openxmlformats.org/officeDocument/2006/relationships/hyperlink" Target="https://eitaa.com/mohebenseedashohad" TargetMode="External"/><Relationship Id="rId131" Type="http://schemas.openxmlformats.org/officeDocument/2006/relationships/hyperlink" Target="https://www.instagram.com/mohebin.h.masomeh/" TargetMode="External"/><Relationship Id="rId130" Type="http://schemas.openxmlformats.org/officeDocument/2006/relationships/hyperlink" Target="https://eitaa.com/aliakbar_heyatt" TargetMode="External"/><Relationship Id="rId136" Type="http://schemas.openxmlformats.org/officeDocument/2006/relationships/hyperlink" Target="https://www.instagram.com/mesbahalhoda_ir/" TargetMode="External"/><Relationship Id="rId135" Type="http://schemas.openxmlformats.org/officeDocument/2006/relationships/hyperlink" Target="https://www.instagram.com/moridane_zeynab/" TargetMode="External"/><Relationship Id="rId134" Type="http://schemas.openxmlformats.org/officeDocument/2006/relationships/hyperlink" Target="https://eitaa.com/ansarhosein1437" TargetMode="External"/><Relationship Id="rId133" Type="http://schemas.openxmlformats.org/officeDocument/2006/relationships/hyperlink" Target="https://www.instagram.com/ansarhosein1437/" TargetMode="External"/><Relationship Id="rId172" Type="http://schemas.openxmlformats.org/officeDocument/2006/relationships/hyperlink" Target="https://www.instagram.com/beyt_al_sajjad_offical/" TargetMode="External"/><Relationship Id="rId171" Type="http://schemas.openxmlformats.org/officeDocument/2006/relationships/hyperlink" Target="https://eitaa.com/razaviekh8" TargetMode="External"/><Relationship Id="rId170" Type="http://schemas.openxmlformats.org/officeDocument/2006/relationships/hyperlink" Target="http://eitaa.com/banealzahra_ir" TargetMode="External"/><Relationship Id="rId165" Type="http://schemas.openxmlformats.org/officeDocument/2006/relationships/hyperlink" Target="https://www.instagram.com/heyat_amiralmomenin_qom/" TargetMode="External"/><Relationship Id="rId164" Type="http://schemas.openxmlformats.org/officeDocument/2006/relationships/hyperlink" Target="https://eitaa.com/hazrat_mahdi" TargetMode="External"/><Relationship Id="rId163" Type="http://schemas.openxmlformats.org/officeDocument/2006/relationships/hyperlink" Target="https://eitaa.com/Heyatemamreza_qom" TargetMode="External"/><Relationship Id="rId162" Type="http://schemas.openxmlformats.org/officeDocument/2006/relationships/hyperlink" Target="https://www.instagram.com/heyatemamreza_qom/" TargetMode="External"/><Relationship Id="rId169" Type="http://schemas.openxmlformats.org/officeDocument/2006/relationships/hyperlink" Target="https://www.instagram.com/banealzahra_ir/" TargetMode="External"/><Relationship Id="rId168" Type="http://schemas.openxmlformats.org/officeDocument/2006/relationships/hyperlink" Target="https://www.instagram.com/hoseyniyeh_hamedani_ha/" TargetMode="External"/><Relationship Id="rId167" Type="http://schemas.openxmlformats.org/officeDocument/2006/relationships/hyperlink" Target="https://www.instagram.com/ansaralzahra135/" TargetMode="External"/><Relationship Id="rId166" Type="http://schemas.openxmlformats.org/officeDocument/2006/relationships/hyperlink" Target="https://eitaa.com/doteflanemoslem" TargetMode="External"/><Relationship Id="rId161" Type="http://schemas.openxmlformats.org/officeDocument/2006/relationships/hyperlink" Target="https://www.instagram.com/heyat_emamreza.qom/" TargetMode="External"/><Relationship Id="rId160" Type="http://schemas.openxmlformats.org/officeDocument/2006/relationships/hyperlink" Target="https://www.instagram.com/hasanieh_qom/" TargetMode="External"/><Relationship Id="rId159" Type="http://schemas.openxmlformats.org/officeDocument/2006/relationships/hyperlink" Target="https://www.youtube.com/@H.alnajafiye" TargetMode="External"/><Relationship Id="rId154" Type="http://schemas.openxmlformats.org/officeDocument/2006/relationships/hyperlink" Target="https://www.instagram.com/huseiniye.imam.hasan/" TargetMode="External"/><Relationship Id="rId153" Type="http://schemas.openxmlformats.org/officeDocument/2006/relationships/hyperlink" Target="https://eitaa.com/ThedelegationofHazratAbulfazl" TargetMode="External"/><Relationship Id="rId152" Type="http://schemas.openxmlformats.org/officeDocument/2006/relationships/hyperlink" Target="https://www.instagram.com/heyat_abalaytam110/" TargetMode="External"/><Relationship Id="rId151" Type="http://schemas.openxmlformats.org/officeDocument/2006/relationships/hyperlink" Target="https://eitaa.com/heyatabasalehqom" TargetMode="External"/><Relationship Id="rId158" Type="http://schemas.openxmlformats.org/officeDocument/2006/relationships/hyperlink" Target="https://t.me/h_alnajafiye" TargetMode="External"/><Relationship Id="rId157" Type="http://schemas.openxmlformats.org/officeDocument/2006/relationships/hyperlink" Target="https://www.instagram.com/h_alnajafiye/" TargetMode="External"/><Relationship Id="rId156" Type="http://schemas.openxmlformats.org/officeDocument/2006/relationships/hyperlink" Target="https://t.me/al_zahra_com" TargetMode="External"/><Relationship Id="rId155" Type="http://schemas.openxmlformats.org/officeDocument/2006/relationships/hyperlink" Target="https://www.instagram.com/alzahra_qom/" TargetMode="External"/><Relationship Id="rId107" Type="http://schemas.openxmlformats.org/officeDocument/2006/relationships/hyperlink" Target="https://www.instagram.com/mahfel_fadaaeian/" TargetMode="External"/><Relationship Id="rId106" Type="http://schemas.openxmlformats.org/officeDocument/2006/relationships/hyperlink" Target="https://www.instagram.com/fadaeiyan.bibi/" TargetMode="External"/><Relationship Id="rId105" Type="http://schemas.openxmlformats.org/officeDocument/2006/relationships/hyperlink" Target="https://www.instagram.com/fatemiyeh_qom/" TargetMode="External"/><Relationship Id="rId104" Type="http://schemas.openxmlformats.org/officeDocument/2006/relationships/hyperlink" Target="https://t.me/ghmqom" TargetMode="External"/><Relationship Id="rId109" Type="http://schemas.openxmlformats.org/officeDocument/2006/relationships/hyperlink" Target="https://eitaa.com/feghhoshahadat" TargetMode="External"/><Relationship Id="rId108" Type="http://schemas.openxmlformats.org/officeDocument/2006/relationships/hyperlink" Target="https://t.me/mahfel_fadaeeian" TargetMode="External"/><Relationship Id="rId103" Type="http://schemas.openxmlformats.org/officeDocument/2006/relationships/hyperlink" Target="https://www.instagram.com/ghmqom/" TargetMode="External"/><Relationship Id="rId102" Type="http://schemas.openxmlformats.org/officeDocument/2006/relationships/hyperlink" Target="https://t.me/alamdaar_qom" TargetMode="External"/><Relationship Id="rId101" Type="http://schemas.openxmlformats.org/officeDocument/2006/relationships/hyperlink" Target="https://www.instagram.com/alamdarhossein_qom" TargetMode="External"/><Relationship Id="rId100" Type="http://schemas.openxmlformats.org/officeDocument/2006/relationships/hyperlink" Target="https://t.me/alamolabas_qom" TargetMode="External"/><Relationship Id="rId129" Type="http://schemas.openxmlformats.org/officeDocument/2006/relationships/hyperlink" Target="https://www.instagram.com/shahzade_aliakbarr/" TargetMode="External"/><Relationship Id="rId128" Type="http://schemas.openxmlformats.org/officeDocument/2006/relationships/hyperlink" Target="https://www.instagram.com/mohebbin_com/" TargetMode="External"/><Relationship Id="rId127" Type="http://schemas.openxmlformats.org/officeDocument/2006/relationships/hyperlink" Target="https://www.instagram.com/moheban.sarallah_qom/" TargetMode="External"/><Relationship Id="rId126" Type="http://schemas.openxmlformats.org/officeDocument/2006/relationships/hyperlink" Target="https://eitaa.com/moheban4" TargetMode="External"/><Relationship Id="rId121" Type="http://schemas.openxmlformats.org/officeDocument/2006/relationships/hyperlink" Target="https://www.instagram.com/majanin_qom/" TargetMode="External"/><Relationship Id="rId120" Type="http://schemas.openxmlformats.org/officeDocument/2006/relationships/hyperlink" Target="https://t.me/kafil_zeynab_qom/" TargetMode="External"/><Relationship Id="rId125" Type="http://schemas.openxmlformats.org/officeDocument/2006/relationships/hyperlink" Target="https://t.me/majmaa_javanan_karbalaii" TargetMode="External"/><Relationship Id="rId124" Type="http://schemas.openxmlformats.org/officeDocument/2006/relationships/hyperlink" Target="https://www.instagram.com/majmaa_javanan_karbalaii/" TargetMode="External"/><Relationship Id="rId123" Type="http://schemas.openxmlformats.org/officeDocument/2006/relationships/hyperlink" Target="https://eitaa.com/almontazerin_ir" TargetMode="External"/><Relationship Id="rId122" Type="http://schemas.openxmlformats.org/officeDocument/2006/relationships/hyperlink" Target="https://www.instagram.com/almontazerin" TargetMode="External"/><Relationship Id="rId118" Type="http://schemas.openxmlformats.org/officeDocument/2006/relationships/hyperlink" Target="https://l.instagram.com/?u=http%3A%2F%2Ft.me%2Fheiatkarimeh%3Ffbclid%3DPAZXh0bgNhZW0CMTEAc3J0YwZhcHBfaWQMMjU2MjgxMDQwNTU4AAGn5ybNnvvxrmR739u2Y14MwpDDyZXdCX_0xVCrNkh_1FaAlsEFLu1gcnHNB8Q_aem_Cdn-5Z1EjfdSAr4nKIy4pA&amp;e=AT0wXDxkJt4Q6742BPCQzLowLYoUG0Ors_fezkqh3zg72KYiYjwYp4aag_WtuVe6iET1TXn5DSg-KCXT1LrGheJ17zurGGyOyO0v5ecTAQ" TargetMode="External"/><Relationship Id="rId117" Type="http://schemas.openxmlformats.org/officeDocument/2006/relationships/hyperlink" Target="https://www.instagram.com/h.karimeh/" TargetMode="External"/><Relationship Id="rId116" Type="http://schemas.openxmlformats.org/officeDocument/2006/relationships/hyperlink" Target="https://eitaa.com/emam_hasan_jan" TargetMode="External"/><Relationship Id="rId115" Type="http://schemas.openxmlformats.org/officeDocument/2006/relationships/hyperlink" Target="https://eitaa.com/qamarbanihashemqom" TargetMode="External"/><Relationship Id="rId119" Type="http://schemas.openxmlformats.org/officeDocument/2006/relationships/hyperlink" Target="https://www.instagram.com/kafil_zeynab_qom/" TargetMode="External"/><Relationship Id="rId110" Type="http://schemas.openxmlformats.org/officeDocument/2006/relationships/hyperlink" Target="https://www.instagram.com/qasemebnhasanqom/" TargetMode="External"/><Relationship Id="rId114" Type="http://schemas.openxmlformats.org/officeDocument/2006/relationships/hyperlink" Target="https://www.instagram.com/ghamarbh/" TargetMode="External"/><Relationship Id="rId113" Type="http://schemas.openxmlformats.org/officeDocument/2006/relationships/hyperlink" Target="https://t.me/ghamaralhosein" TargetMode="External"/><Relationship Id="rId112" Type="http://schemas.openxmlformats.org/officeDocument/2006/relationships/hyperlink" Target="https://www.instagram.com/heyat_ghamar_alhosein/" TargetMode="External"/><Relationship Id="rId111" Type="http://schemas.openxmlformats.org/officeDocument/2006/relationships/hyperlink" Target="https://t.me/qasemebnhasanqom" TargetMode="External"/><Relationship Id="rId392" Type="http://schemas.openxmlformats.org/officeDocument/2006/relationships/hyperlink" Target="https://www.instagram.com/h_rozato_zahra/" TargetMode="External"/><Relationship Id="rId391" Type="http://schemas.openxmlformats.org/officeDocument/2006/relationships/hyperlink" Target="https://razmandeganqom.ir/" TargetMode="External"/><Relationship Id="rId390" Type="http://schemas.openxmlformats.org/officeDocument/2006/relationships/hyperlink" Target="https://www.instagram.com/razmandeganqom.live/" TargetMode="External"/><Relationship Id="rId385" Type="http://schemas.openxmlformats.org/officeDocument/2006/relationships/hyperlink" Target="https://www.instagram.com/mahfel_omebanin/" TargetMode="External"/><Relationship Id="rId384" Type="http://schemas.openxmlformats.org/officeDocument/2006/relationships/hyperlink" Target="https://t.me/khademin_hazrat_zeynab" TargetMode="External"/><Relationship Id="rId383" Type="http://schemas.openxmlformats.org/officeDocument/2006/relationships/hyperlink" Target="https://www.instagram.com/khademin_hazrat_zeynab/" TargetMode="External"/><Relationship Id="rId382" Type="http://schemas.openxmlformats.org/officeDocument/2006/relationships/hyperlink" Target="https://khademalreza.ir/" TargetMode="External"/><Relationship Id="rId389" Type="http://schemas.openxmlformats.org/officeDocument/2006/relationships/hyperlink" Target="https://eitaa.com/razmandeganqom" TargetMode="External"/><Relationship Id="rId388" Type="http://schemas.openxmlformats.org/officeDocument/2006/relationships/hyperlink" Target="https://t.me/RazmandeganQom" TargetMode="External"/><Relationship Id="rId387" Type="http://schemas.openxmlformats.org/officeDocument/2006/relationships/hyperlink" Target="https://www.instagram.com/razmandeganqom/" TargetMode="External"/><Relationship Id="rId386" Type="http://schemas.openxmlformats.org/officeDocument/2006/relationships/hyperlink" Target="https://t.me/mahfel_omebanin_GOM" TargetMode="External"/><Relationship Id="rId381" Type="http://schemas.openxmlformats.org/officeDocument/2006/relationships/hyperlink" Target="https://eitaa.com/khademalreza_qom" TargetMode="External"/><Relationship Id="rId380" Type="http://schemas.openxmlformats.org/officeDocument/2006/relationships/hyperlink" Target="https://t.me/khademalrezaqom1" TargetMode="External"/><Relationship Id="rId379" Type="http://schemas.openxmlformats.org/officeDocument/2006/relationships/hyperlink" Target="https://www.instagram.com/khademalreza.qom/" TargetMode="External"/><Relationship Id="rId374" Type="http://schemas.openxmlformats.org/officeDocument/2006/relationships/hyperlink" Target="https://www.instagram.com/hasanie_qom" TargetMode="External"/><Relationship Id="rId373" Type="http://schemas.openxmlformats.org/officeDocument/2006/relationships/hyperlink" Target="https://t.me/tekyeqom" TargetMode="External"/><Relationship Id="rId372" Type="http://schemas.openxmlformats.org/officeDocument/2006/relationships/hyperlink" Target="https://www.instagram.com/tekyeqom/" TargetMode="External"/><Relationship Id="rId371" Type="http://schemas.openxmlformats.org/officeDocument/2006/relationships/hyperlink" Target="https://t.me/sana_goyane_hazrate_ho" TargetMode="External"/><Relationship Id="rId378" Type="http://schemas.openxmlformats.org/officeDocument/2006/relationships/hyperlink" Target="https://eitaa.com/hoseinefatematazahra" TargetMode="External"/><Relationship Id="rId377" Type="http://schemas.openxmlformats.org/officeDocument/2006/relationships/hyperlink" Target="https://www.instagram.com/hu_hazrat_zahra.qom" TargetMode="External"/><Relationship Id="rId376" Type="http://schemas.openxmlformats.org/officeDocument/2006/relationships/hyperlink" Target="https://eitaa.com/hasanie_qom" TargetMode="External"/><Relationship Id="rId375" Type="http://schemas.openxmlformats.org/officeDocument/2006/relationships/hyperlink" Target="https://t.me/hasanieqom" TargetMode="External"/><Relationship Id="rId396" Type="http://schemas.openxmlformats.org/officeDocument/2006/relationships/hyperlink" Target="https://t.me/heyat_ome_abiha" TargetMode="External"/><Relationship Id="rId395" Type="http://schemas.openxmlformats.org/officeDocument/2006/relationships/hyperlink" Target="https://www.instagram.com/heyat_ome_abiha" TargetMode="External"/><Relationship Id="rId394" Type="http://schemas.openxmlformats.org/officeDocument/2006/relationships/hyperlink" Target="https://eitaa.com/h_rozato_zahra" TargetMode="External"/><Relationship Id="rId393" Type="http://schemas.openxmlformats.org/officeDocument/2006/relationships/hyperlink" Target="https://t.me/H_Rozato_zahra" TargetMode="External"/><Relationship Id="rId399" Type="http://schemas.openxmlformats.org/officeDocument/2006/relationships/hyperlink" Target="https://www.instagram.com/behesht_abbas/" TargetMode="External"/><Relationship Id="rId398" Type="http://schemas.openxmlformats.org/officeDocument/2006/relationships/hyperlink" Target="https://www.instagram.com/mehremadari.charity" TargetMode="External"/><Relationship Id="rId397" Type="http://schemas.openxmlformats.org/officeDocument/2006/relationships/hyperlink" Target="https://www.instagram.com/heyatomeabiha.ensiatalhora/" TargetMode="External"/><Relationship Id="rId40" Type="http://schemas.openxmlformats.org/officeDocument/2006/relationships/hyperlink" Target="https://www.instagram.com/imamsadegh_qom/" TargetMode="External"/><Relationship Id="rId42" Type="http://schemas.openxmlformats.org/officeDocument/2006/relationships/hyperlink" Target="https://www.instagram.com/hassan_ebn_heidar/" TargetMode="External"/><Relationship Id="rId41" Type="http://schemas.openxmlformats.org/officeDocument/2006/relationships/hyperlink" Target="https://t.me/imamsadegh_qom" TargetMode="External"/><Relationship Id="rId44" Type="http://schemas.openxmlformats.org/officeDocument/2006/relationships/hyperlink" Target="https://eitaa.com/hoseiniekoodak" TargetMode="External"/><Relationship Id="rId43" Type="http://schemas.openxmlformats.org/officeDocument/2006/relationships/hyperlink" Target="https://www.instagram.com/hoseinie_koodak/" TargetMode="External"/><Relationship Id="rId46" Type="http://schemas.openxmlformats.org/officeDocument/2006/relationships/hyperlink" Target="https://eitaa.com/ali_e_akbar_pardisan" TargetMode="External"/><Relationship Id="rId45" Type="http://schemas.openxmlformats.org/officeDocument/2006/relationships/hyperlink" Target="https://www.instagram.com/heyataliakbarr/" TargetMode="External"/><Relationship Id="rId48" Type="http://schemas.openxmlformats.org/officeDocument/2006/relationships/hyperlink" Target="https://eitaa.com/hfatemealzahra" TargetMode="External"/><Relationship Id="rId47" Type="http://schemas.openxmlformats.org/officeDocument/2006/relationships/hyperlink" Target="https://www.instagram.com/heyat_alzahraaqom/" TargetMode="External"/><Relationship Id="rId49" Type="http://schemas.openxmlformats.org/officeDocument/2006/relationships/hyperlink" Target="https://www.instagram.com/heyate_fatemeh_zahra/" TargetMode="External"/><Relationship Id="rId31" Type="http://schemas.openxmlformats.org/officeDocument/2006/relationships/hyperlink" Target="https://www.instagram.com/masjed_toliat/" TargetMode="External"/><Relationship Id="rId30" Type="http://schemas.openxmlformats.org/officeDocument/2006/relationships/hyperlink" Target="https://l.instagram.com/?u=https%3A%2F%2Ft.me%2Fkafilozeynab%3Ffbclid%3DPAZXh0bgNhZW0CMTEAc3J0YwZhcHBfaWQMMjU2MjgxMDQwNTU4AAGnYukD6V_EH6SyOYUMftcAA1-lh8zC1zuMJiUgGet1-5kITtixpqPC_NUelLo_aem_9ZiJnJ0ddIzOsgauSN9y7g&amp;e=AT19OBkDbt1L3ekmANuXbQzwRwO29Ck87wXKiVTVDa4AT1cMvDZa5eYotuRoS1m9Fnp3Qo3AQ6-FcVZKBSUwzch_8vkyFtck2sQMCEHzBg" TargetMode="External"/><Relationship Id="rId33" Type="http://schemas.openxmlformats.org/officeDocument/2006/relationships/hyperlink" Target="https://www.instagram.com/mohsenieh_samen/" TargetMode="External"/><Relationship Id="rId32" Type="http://schemas.openxmlformats.org/officeDocument/2006/relationships/hyperlink" Target="https://eitaa.com/masjed_toliat" TargetMode="External"/><Relationship Id="rId35" Type="http://schemas.openxmlformats.org/officeDocument/2006/relationships/hyperlink" Target="http://t.me/jannatalroghayeqom" TargetMode="External"/><Relationship Id="rId34" Type="http://schemas.openxmlformats.org/officeDocument/2006/relationships/hyperlink" Target="https://www.instagram.com/jannatalroghaye315/" TargetMode="External"/><Relationship Id="rId37" Type="http://schemas.openxmlformats.org/officeDocument/2006/relationships/hyperlink" Target="https://t.me/miadgah_313" TargetMode="External"/><Relationship Id="rId36" Type="http://schemas.openxmlformats.org/officeDocument/2006/relationships/hyperlink" Target="https://www.instagram.com/javad_rezaei313.313/" TargetMode="External"/><Relationship Id="rId39" Type="http://schemas.openxmlformats.org/officeDocument/2006/relationships/hyperlink" Target="https://www.instagram.com/javadalaima_qom/" TargetMode="External"/><Relationship Id="rId38" Type="http://schemas.openxmlformats.org/officeDocument/2006/relationships/hyperlink" Target="https://eitaa.com/javadrezaei3" TargetMode="External"/><Relationship Id="rId20" Type="http://schemas.openxmlformats.org/officeDocument/2006/relationships/hyperlink" Target="https://www.instagram.com/babolhoseinqom/" TargetMode="External"/><Relationship Id="rId22" Type="http://schemas.openxmlformats.org/officeDocument/2006/relationships/hyperlink" Target="https://www.instagram.com/heiatbabalmorad/" TargetMode="External"/><Relationship Id="rId21" Type="http://schemas.openxmlformats.org/officeDocument/2006/relationships/hyperlink" Target="https://t.me/babolhoseinqom" TargetMode="External"/><Relationship Id="rId24" Type="http://schemas.openxmlformats.org/officeDocument/2006/relationships/hyperlink" Target="https://www.instagram.com/beyt_alzzahra/" TargetMode="External"/><Relationship Id="rId23" Type="http://schemas.openxmlformats.org/officeDocument/2006/relationships/hyperlink" Target="https://t.me/heiat_babalmorad" TargetMode="External"/><Relationship Id="rId26" Type="http://schemas.openxmlformats.org/officeDocument/2006/relationships/hyperlink" Target="https://www.instagram.com/beytoalreza/" TargetMode="External"/><Relationship Id="rId25" Type="http://schemas.openxmlformats.org/officeDocument/2006/relationships/hyperlink" Target="https://t.me/Beyt_alzzahra" TargetMode="External"/><Relationship Id="rId28" Type="http://schemas.openxmlformats.org/officeDocument/2006/relationships/hyperlink" Target="https://t.me/beitorooghaieh" TargetMode="External"/><Relationship Id="rId27" Type="http://schemas.openxmlformats.org/officeDocument/2006/relationships/hyperlink" Target="https://www.instagram.com/beitorooghaieh.qom/" TargetMode="External"/><Relationship Id="rId29" Type="http://schemas.openxmlformats.org/officeDocument/2006/relationships/hyperlink" Target="https://www.instagram.com/kafilozzeynab_qom/" TargetMode="External"/><Relationship Id="rId11" Type="http://schemas.openxmlformats.org/officeDocument/2006/relationships/hyperlink" Target="https://www.instagram.com/heyatolhadi_qom/" TargetMode="External"/><Relationship Id="rId10" Type="http://schemas.openxmlformats.org/officeDocument/2006/relationships/hyperlink" Target="https://telegram.me/motemasekin" TargetMode="External"/><Relationship Id="rId13" Type="http://schemas.openxmlformats.org/officeDocument/2006/relationships/hyperlink" Target="https://l.instagram.com/?u=http%3A%2F%2Ft.me%2Fheyatolhadiqom%3Ffbclid%3DPAZXh0bgNhZW0CMTEAc3J0YwZhcHBfaWQMMjU2MjgxMDQwNTU4AAGn1HxHlyl_Vk9KE7FHwqcl1gupGrfQhmkCjNsdQpDJYOwcrSH46I8pP77hRWQ_aem_ODu61ACIbVo9qabX3GqQfg&amp;e=AT1UtIzB0vPz6y6WfFehBtuk6WLChPG-i0bKwBh9vRf0qLuh4-U-gO6VmOGt50LbwbMZd3_hnYYuU-3ZB8AEvVWiDas1U9e41fp_ioAmwA" TargetMode="External"/><Relationship Id="rId12" Type="http://schemas.openxmlformats.org/officeDocument/2006/relationships/hyperlink" Target="https://www.instagram.com/heyatolhadi_qom/" TargetMode="External"/><Relationship Id="rId15" Type="http://schemas.openxmlformats.org/officeDocument/2006/relationships/hyperlink" Target="https://eitaa.com/heiat_imamhasan" TargetMode="External"/><Relationship Id="rId14" Type="http://schemas.openxmlformats.org/officeDocument/2006/relationships/hyperlink" Target="https://www.instagram.com/heiat_imamhasan/" TargetMode="External"/><Relationship Id="rId17" Type="http://schemas.openxmlformats.org/officeDocument/2006/relationships/hyperlink" Target="https://www.instagram.com/ansar_alzahra1421/" TargetMode="External"/><Relationship Id="rId16" Type="http://schemas.openxmlformats.org/officeDocument/2006/relationships/hyperlink" Target="https://www.instagram.com/hoseyniyeh_qom/" TargetMode="External"/><Relationship Id="rId19" Type="http://schemas.openxmlformats.org/officeDocument/2006/relationships/hyperlink" Target="https://l.instagram.com/?u=http%3A%2F%2Ft.me%2Fansarolmahdiqom%3Ffbclid%3DPAZXh0bgNhZW0CMTEAc3J0YwZhcHBfaWQMMjU2MjgxMDQwNTU4AAGnh1ISNefKwZmehI4dXWGnU4RoiQ464WHG5ywo68GEU5kPEHJkB73fm_zt188_aem_Wwd5adaDxBIQMsL42pnrlw&amp;e=AT3rVsYoc3U0edkFMdbIBaxInp8sWm8RAQByoCJe1OXoNrvj1Fa4vhRUauVmkqGZNLSblx8Lz1UbQf7vrXqMdIywo5m7aHm1yFwhuY8qZQ" TargetMode="External"/><Relationship Id="rId18" Type="http://schemas.openxmlformats.org/officeDocument/2006/relationships/hyperlink" Target="https://www.instagram.com/ansarolmahdiqom/" TargetMode="External"/><Relationship Id="rId84" Type="http://schemas.openxmlformats.org/officeDocument/2006/relationships/hyperlink" Target="https://eitaa.com/serajalavi" TargetMode="External"/><Relationship Id="rId83" Type="http://schemas.openxmlformats.org/officeDocument/2006/relationships/hyperlink" Target="https://www.instagram.com/zeynabion.qom" TargetMode="External"/><Relationship Id="rId86" Type="http://schemas.openxmlformats.org/officeDocument/2006/relationships/hyperlink" Target="https://t.me/sinechakanqom" TargetMode="External"/><Relationship Id="rId85" Type="http://schemas.openxmlformats.org/officeDocument/2006/relationships/hyperlink" Target="https://www.instagram.com/sine_chakan/" TargetMode="External"/><Relationship Id="rId88" Type="http://schemas.openxmlformats.org/officeDocument/2006/relationships/hyperlink" Target="https://t.me/shababalroqieh" TargetMode="External"/><Relationship Id="rId87" Type="http://schemas.openxmlformats.org/officeDocument/2006/relationships/hyperlink" Target="https://www.instagram.com/shababalroqieh/" TargetMode="External"/><Relationship Id="rId89" Type="http://schemas.openxmlformats.org/officeDocument/2006/relationships/hyperlink" Target="https://www.instagram.com/hoseinyeh_shohada/" TargetMode="External"/><Relationship Id="rId80" Type="http://schemas.openxmlformats.org/officeDocument/2006/relationships/hyperlink" Target="https://t.me/zavaralzahra" TargetMode="External"/><Relationship Id="rId82" Type="http://schemas.openxmlformats.org/officeDocument/2006/relationships/hyperlink" Target="http://tlgrm.me/zeynabion_qom" TargetMode="External"/><Relationship Id="rId81" Type="http://schemas.openxmlformats.org/officeDocument/2006/relationships/hyperlink" Target="https://www.instagram.com/zeynabion_qom" TargetMode="External"/><Relationship Id="rId73" Type="http://schemas.openxmlformats.org/officeDocument/2006/relationships/hyperlink" Target="https://www.instagram.com/rovzatozzeinab/" TargetMode="External"/><Relationship Id="rId72" Type="http://schemas.openxmlformats.org/officeDocument/2006/relationships/hyperlink" Target="https://l.instagram.com/?u=https%3A%2F%2Ft.me%2Frahrovanshoohada%3Ffbclid%3DPAZXh0bgNhZW0CMTEAc3J0YwZhcHBfaWQMMjU2MjgxMDQwNTU4AAGnLQBvo-adRo_omc5LxSBGOuhg4g-xgBIdJDkHZI1vVNy3qhfSPL7kagLrY5g_aem_xVh1GUSfCow3Al9638FkSw&amp;e=AT1qKAF-smPKvZJn6-H4ST0x7A3Q9avYbThuJ8YEqcOpxFLnb2LAGEfXoefYzQzV_gAQyNfxs17XgHZwX4oX2nACn1NZv3x8fBdrUqkV_A" TargetMode="External"/><Relationship Id="rId75" Type="http://schemas.openxmlformats.org/officeDocument/2006/relationships/hyperlink" Target="https://t.me/rozeh_alabas133" TargetMode="External"/><Relationship Id="rId74" Type="http://schemas.openxmlformats.org/officeDocument/2006/relationships/hyperlink" Target="https://www.instagram.com/rozeh_alabas133/" TargetMode="External"/><Relationship Id="rId77" Type="http://schemas.openxmlformats.org/officeDocument/2006/relationships/hyperlink" Target="https://t.me/heyat_rozat_al_roghaye" TargetMode="External"/><Relationship Id="rId76" Type="http://schemas.openxmlformats.org/officeDocument/2006/relationships/hyperlink" Target="https://www.instagram.com/reyhane__info/" TargetMode="External"/><Relationship Id="rId79" Type="http://schemas.openxmlformats.org/officeDocument/2006/relationships/hyperlink" Target="https://www.instagram.com/zavaralzahra/" TargetMode="External"/><Relationship Id="rId78" Type="http://schemas.openxmlformats.org/officeDocument/2006/relationships/hyperlink" Target="https://www.instagram.com/rshohada/" TargetMode="External"/><Relationship Id="rId71" Type="http://schemas.openxmlformats.org/officeDocument/2006/relationships/hyperlink" Target="https://www.instagram.com/rahrovanshohada_qom/" TargetMode="External"/><Relationship Id="rId70" Type="http://schemas.openxmlformats.org/officeDocument/2006/relationships/hyperlink" Target="https://www.instagram.com/roghaye_bentol_hoseinn/" TargetMode="External"/><Relationship Id="rId62" Type="http://schemas.openxmlformats.org/officeDocument/2006/relationships/hyperlink" Target="https://www.instagram.com/khademoshohadaqom" TargetMode="External"/><Relationship Id="rId61" Type="http://schemas.openxmlformats.org/officeDocument/2006/relationships/hyperlink" Target="https://www.instagram.com/khadem_al_mahdi_ir/" TargetMode="External"/><Relationship Id="rId64" Type="http://schemas.openxmlformats.org/officeDocument/2006/relationships/hyperlink" Target="https://www.instagram.com/khademoshohadaqom/?hl=en" TargetMode="External"/><Relationship Id="rId63" Type="http://schemas.openxmlformats.org/officeDocument/2006/relationships/hyperlink" Target="https://www.instagram.com/khademoshohadaqom/?hl=en" TargetMode="External"/><Relationship Id="rId66" Type="http://schemas.openxmlformats.org/officeDocument/2006/relationships/hyperlink" Target="https://www.instagram.com/bokaa315/" TargetMode="External"/><Relationship Id="rId65" Type="http://schemas.openxmlformats.org/officeDocument/2006/relationships/hyperlink" Target="https://www.instagram.com/kheimegah_qom/" TargetMode="External"/><Relationship Id="rId68" Type="http://schemas.openxmlformats.org/officeDocument/2006/relationships/hyperlink" Target="https://t.me/rayatalhosein_ir" TargetMode="External"/><Relationship Id="rId67" Type="http://schemas.openxmlformats.org/officeDocument/2006/relationships/hyperlink" Target="https://www.instagram.com/rayatalhosein_ir/" TargetMode="External"/><Relationship Id="rId60" Type="http://schemas.openxmlformats.org/officeDocument/2006/relationships/hyperlink" Target="https://eitaa.com/khaadem_almahdy" TargetMode="External"/><Relationship Id="rId69" Type="http://schemas.openxmlformats.org/officeDocument/2006/relationships/hyperlink" Target="https://eitaa.com/rayatalhosein_ir" TargetMode="External"/><Relationship Id="rId51" Type="http://schemas.openxmlformats.org/officeDocument/2006/relationships/hyperlink" Target="https://t.me/heidariun_qom" TargetMode="External"/><Relationship Id="rId50" Type="http://schemas.openxmlformats.org/officeDocument/2006/relationships/hyperlink" Target="https://www.instagram.com/heidariun_qom/" TargetMode="External"/><Relationship Id="rId53" Type="http://schemas.openxmlformats.org/officeDocument/2006/relationships/hyperlink" Target="https://t.me/heyat_khademalhossein" TargetMode="External"/><Relationship Id="rId52" Type="http://schemas.openxmlformats.org/officeDocument/2006/relationships/hyperlink" Target="https://www.instagram.com/heyat_khademalhossein/" TargetMode="External"/><Relationship Id="rId55" Type="http://schemas.openxmlformats.org/officeDocument/2006/relationships/hyperlink" Target="https://t.me/khadem_alroghaye315" TargetMode="External"/><Relationship Id="rId54" Type="http://schemas.openxmlformats.org/officeDocument/2006/relationships/hyperlink" Target="https://www.instagram.com/khadem_alroghaye315/" TargetMode="External"/><Relationship Id="rId57" Type="http://schemas.openxmlformats.org/officeDocument/2006/relationships/hyperlink" Target="https://t.me/khademozahraqom" TargetMode="External"/><Relationship Id="rId56" Type="http://schemas.openxmlformats.org/officeDocument/2006/relationships/hyperlink" Target="https://www.instagram.com/khademozahraqom/" TargetMode="External"/><Relationship Id="rId59" Type="http://schemas.openxmlformats.org/officeDocument/2006/relationships/hyperlink" Target="https://t.me/khadem_almahdy" TargetMode="External"/><Relationship Id="rId58" Type="http://schemas.openxmlformats.org/officeDocument/2006/relationships/hyperlink" Target="https://www.instagram.com/khadem_almahdy/" TargetMode="External"/><Relationship Id="rId349" Type="http://schemas.openxmlformats.org/officeDocument/2006/relationships/hyperlink" Target="https://eitaa.com/karbalaeihaqom" TargetMode="External"/><Relationship Id="rId348" Type="http://schemas.openxmlformats.org/officeDocument/2006/relationships/hyperlink" Target="https://t.me/karbalaeihaqom" TargetMode="External"/><Relationship Id="rId347" Type="http://schemas.openxmlformats.org/officeDocument/2006/relationships/hyperlink" Target="https://www.instagram.com/karbalaeihaqom/" TargetMode="External"/><Relationship Id="rId346" Type="http://schemas.openxmlformats.org/officeDocument/2006/relationships/hyperlink" Target="https://eitaa.com/kashefalkarb_qom" TargetMode="External"/><Relationship Id="rId341" Type="http://schemas.openxmlformats.org/officeDocument/2006/relationships/hyperlink" Target="https://www.instagram.com/heyat_seyedalshohada_qom/" TargetMode="External"/><Relationship Id="rId340" Type="http://schemas.openxmlformats.org/officeDocument/2006/relationships/hyperlink" Target="https://eitaa.com/hfatemealzahra" TargetMode="External"/><Relationship Id="rId345" Type="http://schemas.openxmlformats.org/officeDocument/2006/relationships/hyperlink" Target="https://www.instagram.com/kashefalkarb_qom/" TargetMode="External"/><Relationship Id="rId344" Type="http://schemas.openxmlformats.org/officeDocument/2006/relationships/hyperlink" Target="https://eitaa.com/ghatilalabarat_qom" TargetMode="External"/><Relationship Id="rId343" Type="http://schemas.openxmlformats.org/officeDocument/2006/relationships/hyperlink" Target="https://www.instagram.com/ghatilalabarat_qom" TargetMode="External"/><Relationship Id="rId342" Type="http://schemas.openxmlformats.org/officeDocument/2006/relationships/hyperlink" Target="https://eitaa.com/ashouraeyan313" TargetMode="External"/><Relationship Id="rId338" Type="http://schemas.openxmlformats.org/officeDocument/2006/relationships/hyperlink" Target="https://www.instagram.com/beyt_alzahra1382/" TargetMode="External"/><Relationship Id="rId337" Type="http://schemas.openxmlformats.org/officeDocument/2006/relationships/hyperlink" Target="https://eitaa.com/heiat_ana_men_hosein" TargetMode="External"/><Relationship Id="rId336" Type="http://schemas.openxmlformats.org/officeDocument/2006/relationships/hyperlink" Target="https://eitaa.com/yyavarann" TargetMode="External"/><Relationship Id="rId335" Type="http://schemas.openxmlformats.org/officeDocument/2006/relationships/hyperlink" Target="https://eitaa.com/heyatyazahra_213" TargetMode="External"/><Relationship Id="rId339" Type="http://schemas.openxmlformats.org/officeDocument/2006/relationships/hyperlink" Target="https://www.instagram.com/heyat_ommolbanin_qom/" TargetMode="External"/><Relationship Id="rId330" Type="http://schemas.openxmlformats.org/officeDocument/2006/relationships/hyperlink" Target="https://eitaa.com/Maktab_Sadeg_Qom" TargetMode="External"/><Relationship Id="rId334" Type="http://schemas.openxmlformats.org/officeDocument/2006/relationships/hyperlink" Target="https://t.me/heyatyazahra_213" TargetMode="External"/><Relationship Id="rId333" Type="http://schemas.openxmlformats.org/officeDocument/2006/relationships/hyperlink" Target="https://www.instagram.com/heyatyazahra_1/" TargetMode="External"/><Relationship Id="rId332" Type="http://schemas.openxmlformats.org/officeDocument/2006/relationships/hyperlink" Target="https://eitaa.com/yazeinaba_ir" TargetMode="External"/><Relationship Id="rId331" Type="http://schemas.openxmlformats.org/officeDocument/2006/relationships/hyperlink" Target="https://www.instagram.com/yazeinaba.ir/" TargetMode="External"/><Relationship Id="rId370" Type="http://schemas.openxmlformats.org/officeDocument/2006/relationships/hyperlink" Target="https://www.instagram.com/sana_goyane_hazrate_ho_online/" TargetMode="External"/><Relationship Id="rId369" Type="http://schemas.openxmlformats.org/officeDocument/2006/relationships/hyperlink" Target="https://sarallahqom.ir/" TargetMode="External"/><Relationship Id="rId368" Type="http://schemas.openxmlformats.org/officeDocument/2006/relationships/hyperlink" Target="https://eitaa.com/sarallahqom" TargetMode="External"/><Relationship Id="rId363" Type="http://schemas.openxmlformats.org/officeDocument/2006/relationships/hyperlink" Target="https://www.instagram.com/baitolabbas_qom/" TargetMode="External"/><Relationship Id="rId362" Type="http://schemas.openxmlformats.org/officeDocument/2006/relationships/hyperlink" Target="https://t.me/ansaar_128" TargetMode="External"/><Relationship Id="rId361" Type="http://schemas.openxmlformats.org/officeDocument/2006/relationships/hyperlink" Target="https://www.instagram.com/ansaar_128/" TargetMode="External"/><Relationship Id="rId360" Type="http://schemas.openxmlformats.org/officeDocument/2006/relationships/hyperlink" Target="https://t.me/ansar_lhasan_118" TargetMode="External"/><Relationship Id="rId367" Type="http://schemas.openxmlformats.org/officeDocument/2006/relationships/hyperlink" Target="https://www.instagram.com/sarallahqom" TargetMode="External"/><Relationship Id="rId366" Type="http://schemas.openxmlformats.org/officeDocument/2006/relationships/hyperlink" Target="https://t.me/heyat_beynolharameyn_qom_118" TargetMode="External"/><Relationship Id="rId365" Type="http://schemas.openxmlformats.org/officeDocument/2006/relationships/hyperlink" Target="https://www.instagram.com/heyat.beynolharameyn.qom/" TargetMode="External"/><Relationship Id="rId364" Type="http://schemas.openxmlformats.org/officeDocument/2006/relationships/hyperlink" Target="https://www.youtube.com/baitolabbas_qom" TargetMode="External"/><Relationship Id="rId95" Type="http://schemas.openxmlformats.org/officeDocument/2006/relationships/hyperlink" Target="https://www.instagram.com/ashegane_emamzaman_qom/" TargetMode="External"/><Relationship Id="rId94" Type="http://schemas.openxmlformats.org/officeDocument/2006/relationships/hyperlink" Target="https://www.instagram.com/asheghan.sarallah.nerogah.qom/" TargetMode="External"/><Relationship Id="rId97" Type="http://schemas.openxmlformats.org/officeDocument/2006/relationships/hyperlink" Target="https://www.instagram.com/aghilatolarab.qom/" TargetMode="External"/><Relationship Id="rId96" Type="http://schemas.openxmlformats.org/officeDocument/2006/relationships/hyperlink" Target="https://www.instagram.com/heiate_ashooraeian_qom/" TargetMode="External"/><Relationship Id="rId99" Type="http://schemas.openxmlformats.org/officeDocument/2006/relationships/hyperlink" Target="https://www.instagram.com/alamolabas_qom/" TargetMode="External"/><Relationship Id="rId98" Type="http://schemas.openxmlformats.org/officeDocument/2006/relationships/hyperlink" Target="https://t.me/yaaaaazeinab" TargetMode="External"/><Relationship Id="rId91" Type="http://schemas.openxmlformats.org/officeDocument/2006/relationships/hyperlink" Target="https://www.instagram.com/shahzadeqasemqom/" TargetMode="External"/><Relationship Id="rId90" Type="http://schemas.openxmlformats.org/officeDocument/2006/relationships/hyperlink" Target="https://t.me/hoseinyeh_shohada" TargetMode="External"/><Relationship Id="rId93" Type="http://schemas.openxmlformats.org/officeDocument/2006/relationships/hyperlink" Target="https://www.instagram.com/sahebolamr_313/" TargetMode="External"/><Relationship Id="rId92" Type="http://schemas.openxmlformats.org/officeDocument/2006/relationships/hyperlink" Target="https://t.me/shahzadeQasemQom110" TargetMode="External"/><Relationship Id="rId359" Type="http://schemas.openxmlformats.org/officeDocument/2006/relationships/hyperlink" Target="https://www.instagram.com/ansarlhasan_qom/" TargetMode="External"/><Relationship Id="rId358" Type="http://schemas.openxmlformats.org/officeDocument/2006/relationships/hyperlink" Target="https://eitaa.com/heyatozzeynab" TargetMode="External"/><Relationship Id="rId357" Type="http://schemas.openxmlformats.org/officeDocument/2006/relationships/hyperlink" Target="https://www.instagram.com/heyatozeynab" TargetMode="External"/><Relationship Id="rId352" Type="http://schemas.openxmlformats.org/officeDocument/2006/relationships/hyperlink" Target="https://www.instagram.com/kheyzaran.128/" TargetMode="External"/><Relationship Id="rId351" Type="http://schemas.openxmlformats.org/officeDocument/2006/relationships/hyperlink" Target="https://www.instagram.com/moezolmomeninqom_ir/" TargetMode="External"/><Relationship Id="rId350" Type="http://schemas.openxmlformats.org/officeDocument/2006/relationships/hyperlink" Target="https://www.instagram.com/mohebin313_qom/" TargetMode="External"/><Relationship Id="rId356" Type="http://schemas.openxmlformats.org/officeDocument/2006/relationships/hyperlink" Target="https://eitaa.com/moj_al_hossein" TargetMode="External"/><Relationship Id="rId355" Type="http://schemas.openxmlformats.org/officeDocument/2006/relationships/hyperlink" Target="https://www.instagram.com/heyat_aba_abdellah/" TargetMode="External"/><Relationship Id="rId354" Type="http://schemas.openxmlformats.org/officeDocument/2006/relationships/hyperlink" Target="https://www.instagram.com/maktabozahra_qom/" TargetMode="External"/><Relationship Id="rId353" Type="http://schemas.openxmlformats.org/officeDocument/2006/relationships/hyperlink" Target="https://t.me/maktabroghaye_qom" TargetMode="External"/><Relationship Id="rId305" Type="http://schemas.openxmlformats.org/officeDocument/2006/relationships/hyperlink" Target="https://www.instagram.com/oshshagolmahdi/reels/" TargetMode="External"/><Relationship Id="rId304" Type="http://schemas.openxmlformats.org/officeDocument/2006/relationships/hyperlink" Target="https://t.me/oshage" TargetMode="External"/><Relationship Id="rId303" Type="http://schemas.openxmlformats.org/officeDocument/2006/relationships/hyperlink" Target="https://www.instagram.com/oshaghe_ol_abbas_/" TargetMode="External"/><Relationship Id="rId302" Type="http://schemas.openxmlformats.org/officeDocument/2006/relationships/hyperlink" Target="https://www.instagram.com/asheghan_mosabnejafar/" TargetMode="External"/><Relationship Id="rId309" Type="http://schemas.openxmlformats.org/officeDocument/2006/relationships/hyperlink" Target="https://www.instagram.com/qeiratolabbas.qom/" TargetMode="External"/><Relationship Id="rId308" Type="http://schemas.openxmlformats.org/officeDocument/2006/relationships/hyperlink" Target="https://t.me/moharam_qom" TargetMode="External"/><Relationship Id="rId307" Type="http://schemas.openxmlformats.org/officeDocument/2006/relationships/hyperlink" Target="https://www.instagram.com/moharam_qom/" TargetMode="External"/><Relationship Id="rId306" Type="http://schemas.openxmlformats.org/officeDocument/2006/relationships/hyperlink" Target="https://eitaa.com/oshshagolmahdi" TargetMode="External"/><Relationship Id="rId301" Type="http://schemas.openxmlformats.org/officeDocument/2006/relationships/hyperlink" Target="https://eitaa.com/sarallaheqom128" TargetMode="External"/><Relationship Id="rId300" Type="http://schemas.openxmlformats.org/officeDocument/2006/relationships/hyperlink" Target="https://eitaa.com/heiatsolaleqom" TargetMode="External"/><Relationship Id="rId327" Type="http://schemas.openxmlformats.org/officeDocument/2006/relationships/hyperlink" Target="https://www.instagram.com/maktabolzeinab1390/" TargetMode="External"/><Relationship Id="rId326" Type="http://schemas.openxmlformats.org/officeDocument/2006/relationships/hyperlink" Target="https://eitaa.com/heyatvalieasr" TargetMode="External"/><Relationship Id="rId325" Type="http://schemas.openxmlformats.org/officeDocument/2006/relationships/hyperlink" Target="https://www.instagram.com/valiasr_heiat/" TargetMode="External"/><Relationship Id="rId324" Type="http://schemas.openxmlformats.org/officeDocument/2006/relationships/hyperlink" Target="https://eitaa.com/mesbaholhodaqom" TargetMode="External"/><Relationship Id="rId329" Type="http://schemas.openxmlformats.org/officeDocument/2006/relationships/hyperlink" Target="https://t.me/maktabalsadegh_qom" TargetMode="External"/><Relationship Id="rId328" Type="http://schemas.openxmlformats.org/officeDocument/2006/relationships/hyperlink" Target="https://www.instagram.com/maktabalsadegh_qom" TargetMode="External"/><Relationship Id="rId323" Type="http://schemas.openxmlformats.org/officeDocument/2006/relationships/hyperlink" Target="https://www.instagram.com/masjed_alnabi_salarie/" TargetMode="External"/><Relationship Id="rId322" Type="http://schemas.openxmlformats.org/officeDocument/2006/relationships/hyperlink" Target="https://eitaa.com/heyatalreza_ir" TargetMode="External"/><Relationship Id="rId321" Type="http://schemas.openxmlformats.org/officeDocument/2006/relationships/hyperlink" Target="https://www.instagram.com/heyatalreza_ir" TargetMode="External"/><Relationship Id="rId320" Type="http://schemas.openxmlformats.org/officeDocument/2006/relationships/hyperlink" Target="https://eitaa.com/mohebbin_net" TargetMode="External"/><Relationship Id="rId316" Type="http://schemas.openxmlformats.org/officeDocument/2006/relationships/hyperlink" Target="https://t.me/Matamkade_Hazrat_Robab" TargetMode="External"/><Relationship Id="rId315" Type="http://schemas.openxmlformats.org/officeDocument/2006/relationships/hyperlink" Target="https://www.instagram.com/matamkade_hazrat_robab/" TargetMode="External"/><Relationship Id="rId314" Type="http://schemas.openxmlformats.org/officeDocument/2006/relationships/hyperlink" Target="https://eitaa.com/HazratQasim110" TargetMode="External"/><Relationship Id="rId313" Type="http://schemas.openxmlformats.org/officeDocument/2006/relationships/hyperlink" Target="https://eitaa.com/heyatghasem1440" TargetMode="External"/><Relationship Id="rId319" Type="http://schemas.openxmlformats.org/officeDocument/2006/relationships/hyperlink" Target="https://eitaa.com/mohebanozahra_heyat" TargetMode="External"/><Relationship Id="rId318" Type="http://schemas.openxmlformats.org/officeDocument/2006/relationships/hyperlink" Target="https://www.instagram.com/mohebanozahra_heyat/" TargetMode="External"/><Relationship Id="rId317" Type="http://schemas.openxmlformats.org/officeDocument/2006/relationships/hyperlink" Target="https://eitaa.com/kargahmadahinojavanan" TargetMode="External"/><Relationship Id="rId312" Type="http://schemas.openxmlformats.org/officeDocument/2006/relationships/hyperlink" Target="https://eitaa.com/fadaiyaninfo" TargetMode="External"/><Relationship Id="rId311" Type="http://schemas.openxmlformats.org/officeDocument/2006/relationships/hyperlink" Target="https://www.instagram.com/qeiratolabbas_online/" TargetMode="External"/><Relationship Id="rId310" Type="http://schemas.openxmlformats.org/officeDocument/2006/relationships/hyperlink" Target="https://t.me/qeiratolabbas" TargetMode="External"/><Relationship Id="rId297" Type="http://schemas.openxmlformats.org/officeDocument/2006/relationships/hyperlink" Target="https://www.instagram.com/dokhtarane_mosa_ibn_jafar_/" TargetMode="External"/><Relationship Id="rId296" Type="http://schemas.openxmlformats.org/officeDocument/2006/relationships/hyperlink" Target="https://eitaa.com/kheymeh_gah_emam_reza" TargetMode="External"/><Relationship Id="rId295" Type="http://schemas.openxmlformats.org/officeDocument/2006/relationships/hyperlink" Target="https://t.me/kheimegah_aliebnemousaalreza" TargetMode="External"/><Relationship Id="rId294" Type="http://schemas.openxmlformats.org/officeDocument/2006/relationships/hyperlink" Target="https://www.instagram.com/kheimegah_aliebnemousaalreza/" TargetMode="External"/><Relationship Id="rId299" Type="http://schemas.openxmlformats.org/officeDocument/2006/relationships/hyperlink" Target="https://www.instagram.com/reyhanatorrasoul_ir/" TargetMode="External"/><Relationship Id="rId298" Type="http://schemas.openxmlformats.org/officeDocument/2006/relationships/hyperlink" Target="https://www.instagram.com/umm_al_masaib/" TargetMode="External"/><Relationship Id="rId271" Type="http://schemas.openxmlformats.org/officeDocument/2006/relationships/hyperlink" Target="https://eitaa.com/heyat_emamhasan_mojtaba" TargetMode="External"/><Relationship Id="rId270" Type="http://schemas.openxmlformats.org/officeDocument/2006/relationships/hyperlink" Target="https://t.me/heyat_emamhasan_mojtaba" TargetMode="External"/><Relationship Id="rId269" Type="http://schemas.openxmlformats.org/officeDocument/2006/relationships/hyperlink" Target="https://www.instagram.com/heyat_emamhasan_mojtaba" TargetMode="External"/><Relationship Id="rId264" Type="http://schemas.openxmlformats.org/officeDocument/2006/relationships/hyperlink" Target="https://www.instagram.com/honarvarasaneh/" TargetMode="External"/><Relationship Id="rId263" Type="http://schemas.openxmlformats.org/officeDocument/2006/relationships/hyperlink" Target="https://eitaa.com/pnunooralzahra" TargetMode="External"/><Relationship Id="rId262" Type="http://schemas.openxmlformats.org/officeDocument/2006/relationships/hyperlink" Target="https://eitaa.com/MighatAlReza" TargetMode="External"/><Relationship Id="rId261" Type="http://schemas.openxmlformats.org/officeDocument/2006/relationships/hyperlink" Target="https://eitaa.com/babalhavaej1" TargetMode="External"/><Relationship Id="rId268" Type="http://schemas.openxmlformats.org/officeDocument/2006/relationships/hyperlink" Target="https://eitaa.com/heiat_imamhasan" TargetMode="External"/><Relationship Id="rId267" Type="http://schemas.openxmlformats.org/officeDocument/2006/relationships/hyperlink" Target="https://l.instagram.com/?u=https%3A%2F%2Feitaa.com%2FjavananAbolfazlQom%3Ffbclid%3DPAZXh0bgNhZW0CMTEAc3J0YwZhcHBfaWQMMjU2MjgxMDQwNTU4AAGny8JS8vaFv_OA7eAvh650X7rfYAaq31Ia-qdUCeWnG5foCD9mJjVUraDTo2o_aem_Ys3kpIX23PqUi5a2x5bpNw&amp;e=AT0IwRmLj172j0diqqzQwQ_kiWUyVuQLISggKLhlZoJL5buismjuL0H03TsAVfNUGZMi0jSt869dO7cIxlUiV9i6ho-yPxkLQKoShbqihQ" TargetMode="External"/><Relationship Id="rId266" Type="http://schemas.openxmlformats.org/officeDocument/2006/relationships/hyperlink" Target="https://www.instagram.com/bit_olabbas/" TargetMode="External"/><Relationship Id="rId265" Type="http://schemas.openxmlformats.org/officeDocument/2006/relationships/hyperlink" Target="https://t.me/hoormediafiles" TargetMode="External"/><Relationship Id="rId260" Type="http://schemas.openxmlformats.org/officeDocument/2006/relationships/hyperlink" Target="https://eitaa.com/montzaranemahdi" TargetMode="External"/><Relationship Id="rId259" Type="http://schemas.openxmlformats.org/officeDocument/2006/relationships/hyperlink" Target="https://eitaa.com/maktabalzahraqom" TargetMode="External"/><Relationship Id="rId258" Type="http://schemas.openxmlformats.org/officeDocument/2006/relationships/hyperlink" Target="https://www.instagram.com/maktabalzahraqom.media/" TargetMode="External"/><Relationship Id="rId253" Type="http://schemas.openxmlformats.org/officeDocument/2006/relationships/hyperlink" Target="https://www.instagram.com/mohebin_musabnjafar_qom/" TargetMode="External"/><Relationship Id="rId252" Type="http://schemas.openxmlformats.org/officeDocument/2006/relationships/hyperlink" Target="https://eitaa.com/mohebin_hazratezahra" TargetMode="External"/><Relationship Id="rId251" Type="http://schemas.openxmlformats.org/officeDocument/2006/relationships/hyperlink" Target="https://www.instagram.com/mohebin_hazratezahra/" TargetMode="External"/><Relationship Id="rId250" Type="http://schemas.openxmlformats.org/officeDocument/2006/relationships/hyperlink" Target="https://eitaa.com/mohedinzahra" TargetMode="External"/><Relationship Id="rId257" Type="http://schemas.openxmlformats.org/officeDocument/2006/relationships/hyperlink" Target="https://www.instagram.com/maktabalroghaye_qom/" TargetMode="External"/><Relationship Id="rId256" Type="http://schemas.openxmlformats.org/officeDocument/2006/relationships/hyperlink" Target="https://eitaa.com/quran_had" TargetMode="External"/><Relationship Id="rId255" Type="http://schemas.openxmlformats.org/officeDocument/2006/relationships/hyperlink" Target="https://eitaa.com/HmrasullahQom" TargetMode="External"/><Relationship Id="rId254" Type="http://schemas.openxmlformats.org/officeDocument/2006/relationships/hyperlink" Target="https://www.instagram.com/aminalla.ir/" TargetMode="External"/><Relationship Id="rId293" Type="http://schemas.openxmlformats.org/officeDocument/2006/relationships/hyperlink" Target="https://www.instagram.com/khademin_h_zahra/" TargetMode="External"/><Relationship Id="rId292" Type="http://schemas.openxmlformats.org/officeDocument/2006/relationships/hyperlink" Target="https://eitaa.com/miadgah_313" TargetMode="External"/><Relationship Id="rId291" Type="http://schemas.openxmlformats.org/officeDocument/2006/relationships/hyperlink" Target="https://t.me/miadgah_313" TargetMode="External"/><Relationship Id="rId290" Type="http://schemas.openxmlformats.org/officeDocument/2006/relationships/hyperlink" Target="https://www.instagram.com/heyat_hazrate_sahebalzaman/" TargetMode="External"/><Relationship Id="rId286" Type="http://schemas.openxmlformats.org/officeDocument/2006/relationships/hyperlink" Target="https://eitaa.com/heyathojjat" TargetMode="External"/><Relationship Id="rId285" Type="http://schemas.openxmlformats.org/officeDocument/2006/relationships/hyperlink" Target="https://www.instagram.com/heiat_14masoume/" TargetMode="External"/><Relationship Id="rId284" Type="http://schemas.openxmlformats.org/officeDocument/2006/relationships/hyperlink" Target="https://eitaa.com/s/hasanie_qom" TargetMode="External"/><Relationship Id="rId283" Type="http://schemas.openxmlformats.org/officeDocument/2006/relationships/hyperlink" Target="https://t.me/hasanieqom" TargetMode="External"/><Relationship Id="rId289" Type="http://schemas.openxmlformats.org/officeDocument/2006/relationships/hyperlink" Target="https://eitaa.com/Heyat_hamze" TargetMode="External"/><Relationship Id="rId288" Type="http://schemas.openxmlformats.org/officeDocument/2006/relationships/hyperlink" Target="https://eitaa.com/huddath_al_hussain_ir" TargetMode="External"/><Relationship Id="rId287" Type="http://schemas.openxmlformats.org/officeDocument/2006/relationships/hyperlink" Target="https://www.instagram.com/mirzamohammadi_ir" TargetMode="External"/><Relationship Id="rId282" Type="http://schemas.openxmlformats.org/officeDocument/2006/relationships/hyperlink" Target="https://www.instagram.com/hasanie_qom/" TargetMode="External"/><Relationship Id="rId281" Type="http://schemas.openxmlformats.org/officeDocument/2006/relationships/hyperlink" Target="https://t.me/jannatalzeinabqom" TargetMode="External"/><Relationship Id="rId280" Type="http://schemas.openxmlformats.org/officeDocument/2006/relationships/hyperlink" Target="https://www.instagram.com/jannatalzeinabqom/" TargetMode="External"/><Relationship Id="rId275" Type="http://schemas.openxmlformats.org/officeDocument/2006/relationships/hyperlink" Target="https://www.instagram.com/h_banezahra118/" TargetMode="External"/><Relationship Id="rId274" Type="http://schemas.openxmlformats.org/officeDocument/2006/relationships/hyperlink" Target="https://t.me/AnsaralmahdiQom" TargetMode="External"/><Relationship Id="rId273" Type="http://schemas.openxmlformats.org/officeDocument/2006/relationships/hyperlink" Target="https://www.instagram.com/ansaralmahdiqom" TargetMode="External"/><Relationship Id="rId272" Type="http://schemas.openxmlformats.org/officeDocument/2006/relationships/hyperlink" Target="https://eitaa.com/ansar_alhosseyn313" TargetMode="External"/><Relationship Id="rId279" Type="http://schemas.openxmlformats.org/officeDocument/2006/relationships/hyperlink" Target="https://www.instagram.com/jannatolboka.ir/" TargetMode="External"/><Relationship Id="rId278" Type="http://schemas.openxmlformats.org/officeDocument/2006/relationships/hyperlink" Target="https://eitaa.com/samenallhojaj" TargetMode="External"/><Relationship Id="rId277" Type="http://schemas.openxmlformats.org/officeDocument/2006/relationships/hyperlink" Target="https://www.instagram.com/samenall_hojaj/" TargetMode="External"/><Relationship Id="rId276" Type="http://schemas.openxmlformats.org/officeDocument/2006/relationships/hyperlink" Target="https://l.instagram.com/?u=http%3A%2F%2Feitaa.com%2Fh_banezahra118%3Ffbclid%3DPAZXh0bgNhZW0CMTEAc3J0YwZhcHBfaWQMMjU2MjgxMDQwNTU4AAGn1Fx8HG3WpHkLVZfyf3l-_glCbMJlUWEAu4wk8FyYq9Ql1y94Va9F-YFKGaI_aem_nsEBDGMCKseTMYaREIsyiQ&amp;e=AT0OBj0bDQJA6g8kaLW5RkqfBqLvJuf_0xaE2JJ2gJTmrKSm0Gh1PsyNiCLTnIR5Xns9bVivyrrJHWtVP7DY2a3ED-6P_00zMgHjzaM0fw" TargetMode="External"/><Relationship Id="rId228" Type="http://schemas.openxmlformats.org/officeDocument/2006/relationships/hyperlink" Target="https://eitaa.com/ABALmontazar" TargetMode="External"/><Relationship Id="rId227" Type="http://schemas.openxmlformats.org/officeDocument/2006/relationships/hyperlink" Target="https://eitaa.com/RozeMadareSadatt" TargetMode="External"/><Relationship Id="rId226" Type="http://schemas.openxmlformats.org/officeDocument/2006/relationships/hyperlink" Target="https://eitaa.com/kalzahra_ir" TargetMode="External"/><Relationship Id="rId225" Type="http://schemas.openxmlformats.org/officeDocument/2006/relationships/hyperlink" Target="https://www.instagram.com/qasim_bin_alhassan/" TargetMode="External"/><Relationship Id="rId229" Type="http://schemas.openxmlformats.org/officeDocument/2006/relationships/hyperlink" Target="https://eitaa.com/tazeyehqom" TargetMode="External"/><Relationship Id="rId220" Type="http://schemas.openxmlformats.org/officeDocument/2006/relationships/hyperlink" Target="https://www.instagram.com/fadaeianhosein_qom/" TargetMode="External"/><Relationship Id="rId224" Type="http://schemas.openxmlformats.org/officeDocument/2006/relationships/hyperlink" Target="https://eitaa.com/fadaeyan_ir" TargetMode="External"/><Relationship Id="rId223" Type="http://schemas.openxmlformats.org/officeDocument/2006/relationships/hyperlink" Target="https://www.instagram.com/fadaeyan_ir/" TargetMode="External"/><Relationship Id="rId222" Type="http://schemas.openxmlformats.org/officeDocument/2006/relationships/hyperlink" Target="https://eitaa.com/fadaeianhosein_qom" TargetMode="External"/><Relationship Id="rId221" Type="http://schemas.openxmlformats.org/officeDocument/2006/relationships/hyperlink" Target="https://t.me/fadaeianhosein_qom/" TargetMode="External"/><Relationship Id="rId217" Type="http://schemas.openxmlformats.org/officeDocument/2006/relationships/hyperlink" Target="https://eitaa.com/hazratemasome313" TargetMode="External"/><Relationship Id="rId216" Type="http://schemas.openxmlformats.org/officeDocument/2006/relationships/hyperlink" Target="https://www.instagram.com/gharibesamera20/" TargetMode="External"/><Relationship Id="rId215" Type="http://schemas.openxmlformats.org/officeDocument/2006/relationships/hyperlink" Target="https://l.instagram.com/?u=https%3A%2F%2Feitaa.com%2Falamdar_qom79%3Ffbclid%3DPAZXh0bgNhZW0CMTEAc3J0YwZhcHBfaWQMMjU2MjgxMDQwNTU4AAGnhpWOCa4mEh8VeTf2Fgooud4PfaVNf_2ilduH-hCehhtBXk8wvp0xo7e4tVQ_aem_D6hX3QzvLMND58E4FX-VmQ&amp;e=AT0E09b1-DVRjIwQXIwlD7_iQCreM9Pz6DyNnIOuhRSi_TwZOD3xFrxGhkmcUkg947iC2e6CuyYSR_2ZCs4GdY3ciniXf_X0QpMS4nYF9w" TargetMode="External"/><Relationship Id="rId214" Type="http://schemas.openxmlformats.org/officeDocument/2006/relationships/hyperlink" Target="https://www.instagram.com/alamdar_qom79/" TargetMode="External"/><Relationship Id="rId219" Type="http://schemas.openxmlformats.org/officeDocument/2006/relationships/hyperlink" Target="https://eitaa.com/Fatemiyoon_Qom" TargetMode="External"/><Relationship Id="rId218" Type="http://schemas.openxmlformats.org/officeDocument/2006/relationships/hyperlink" Target="https://www.instagram.com/fatemiyoon_qom" TargetMode="External"/><Relationship Id="rId213" Type="http://schemas.openxmlformats.org/officeDocument/2006/relationships/hyperlink" Target="https://eitaa.com/asheghanaliakbar" TargetMode="External"/><Relationship Id="rId212" Type="http://schemas.openxmlformats.org/officeDocument/2006/relationships/hyperlink" Target="https://eitaa.com/asheghan_zahra" TargetMode="External"/><Relationship Id="rId211" Type="http://schemas.openxmlformats.org/officeDocument/2006/relationships/hyperlink" Target="https://t.me/serat_alheydar" TargetMode="External"/><Relationship Id="rId210" Type="http://schemas.openxmlformats.org/officeDocument/2006/relationships/hyperlink" Target="https://www.instagram.com/serat_alheydar/" TargetMode="External"/><Relationship Id="rId249" Type="http://schemas.openxmlformats.org/officeDocument/2006/relationships/hyperlink" Target="https://eitaa.com/mohebbinbanezzahra" TargetMode="External"/><Relationship Id="rId248" Type="http://schemas.openxmlformats.org/officeDocument/2006/relationships/hyperlink" Target="https://www.mohebbin-alzahra.ir/" TargetMode="External"/><Relationship Id="rId247" Type="http://schemas.openxmlformats.org/officeDocument/2006/relationships/hyperlink" Target="https://www.instagram.com/mohebbin_alzahra.ir/" TargetMode="External"/><Relationship Id="rId242" Type="http://schemas.openxmlformats.org/officeDocument/2006/relationships/hyperlink" Target="https://www.instagram.com/mohebbanrezainfo/" TargetMode="External"/><Relationship Id="rId241" Type="http://schemas.openxmlformats.org/officeDocument/2006/relationships/hyperlink" Target="https://t.me/mohebanalhoseinqom" TargetMode="External"/><Relationship Id="rId240" Type="http://schemas.openxmlformats.org/officeDocument/2006/relationships/hyperlink" Target="https://www.instagram.com/mahfel_moheban/" TargetMode="External"/><Relationship Id="rId246" Type="http://schemas.openxmlformats.org/officeDocument/2006/relationships/hyperlink" Target="https://t.me/GHASEMebnelHASANqom" TargetMode="External"/><Relationship Id="rId245" Type="http://schemas.openxmlformats.org/officeDocument/2006/relationships/hyperlink" Target="https://www.instagram.com/mohebban.ghasem201/" TargetMode="External"/><Relationship Id="rId244" Type="http://schemas.openxmlformats.org/officeDocument/2006/relationships/hyperlink" Target="https://eitaa.com/mohebbanrezainfo" TargetMode="External"/><Relationship Id="rId243" Type="http://schemas.openxmlformats.org/officeDocument/2006/relationships/hyperlink" Target="https://t.me/mohebbanrezainfo" TargetMode="External"/><Relationship Id="rId239" Type="http://schemas.openxmlformats.org/officeDocument/2006/relationships/hyperlink" Target="https://t.me/majmamohseniunqom" TargetMode="External"/><Relationship Id="rId238" Type="http://schemas.openxmlformats.org/officeDocument/2006/relationships/hyperlink" Target="https://www.instagram.com/majmamohseniun_qom/" TargetMode="External"/><Relationship Id="rId237" Type="http://schemas.openxmlformats.org/officeDocument/2006/relationships/hyperlink" Target="https://eitaa.com/majmaeasheqan" TargetMode="External"/><Relationship Id="rId236" Type="http://schemas.openxmlformats.org/officeDocument/2006/relationships/hyperlink" Target="https://t.me/delsukhtegan" TargetMode="External"/><Relationship Id="rId231" Type="http://schemas.openxmlformats.org/officeDocument/2006/relationships/hyperlink" Target="https://eitaa.com/motevaselinaliakbar" TargetMode="External"/><Relationship Id="rId230" Type="http://schemas.openxmlformats.org/officeDocument/2006/relationships/hyperlink" Target="https://www.instagram.com/motevaselin.aliakbar1392/" TargetMode="External"/><Relationship Id="rId235" Type="http://schemas.openxmlformats.org/officeDocument/2006/relationships/hyperlink" Target="https://www.instagram.com/delsukhtegan_qom/" TargetMode="External"/><Relationship Id="rId234" Type="http://schemas.openxmlformats.org/officeDocument/2006/relationships/hyperlink" Target="https://t.me/qamarbanihashemir" TargetMode="External"/><Relationship Id="rId233" Type="http://schemas.openxmlformats.org/officeDocument/2006/relationships/hyperlink" Target="https://www.instagram.com/qamarbanihashemir/" TargetMode="External"/><Relationship Id="rId232" Type="http://schemas.openxmlformats.org/officeDocument/2006/relationships/hyperlink" Target="https://eitaa.com/heyat_emam_zaman" TargetMode="External"/><Relationship Id="rId206" Type="http://schemas.openxmlformats.org/officeDocument/2006/relationships/hyperlink" Target="https://eitaa.com/gomnam_darolhadith" TargetMode="External"/><Relationship Id="rId205" Type="http://schemas.openxmlformats.org/officeDocument/2006/relationships/hyperlink" Target="https://www.instagram.com/gomnam_darolhadith/" TargetMode="External"/><Relationship Id="rId204" Type="http://schemas.openxmlformats.org/officeDocument/2006/relationships/hyperlink" Target="https://eitaa.com/qom14masoom" TargetMode="External"/><Relationship Id="rId203" Type="http://schemas.openxmlformats.org/officeDocument/2006/relationships/hyperlink" Target="https://eitaa.com/rozatozinab" TargetMode="External"/><Relationship Id="rId209" Type="http://schemas.openxmlformats.org/officeDocument/2006/relationships/hyperlink" Target="https://eitaa.com/sahebona_ir" TargetMode="External"/><Relationship Id="rId208" Type="http://schemas.openxmlformats.org/officeDocument/2006/relationships/hyperlink" Target="https://eitaa.com/sahebalfath_ir" TargetMode="External"/><Relationship Id="rId207" Type="http://schemas.openxmlformats.org/officeDocument/2006/relationships/hyperlink" Target="https://eitaa.com/heyatkiau" TargetMode="External"/><Relationship Id="rId202" Type="http://schemas.openxmlformats.org/officeDocument/2006/relationships/hyperlink" Target="https://www.instagram.com/mahfel_roghaye_sadat_315/" TargetMode="External"/><Relationship Id="rId201" Type="http://schemas.openxmlformats.org/officeDocument/2006/relationships/hyperlink" Target="https://www.instagram.com/rahe_fatemeh/" TargetMode="External"/><Relationship Id="rId200" Type="http://schemas.openxmlformats.org/officeDocument/2006/relationships/hyperlink" Target="https://eitaa.com/dammam1401" TargetMode="External"/><Relationship Id="rId509" Type="http://schemas.openxmlformats.org/officeDocument/2006/relationships/hyperlink" Target="https://eitaa.com/Fatemiyonkhaharan" TargetMode="External"/><Relationship Id="rId508" Type="http://schemas.openxmlformats.org/officeDocument/2006/relationships/hyperlink" Target="https://eitaa.com/ansarolmahdi_aj" TargetMode="External"/><Relationship Id="rId503" Type="http://schemas.openxmlformats.org/officeDocument/2006/relationships/hyperlink" Target="https://eitaa.com/hazratkhadijajamkaran" TargetMode="External"/><Relationship Id="rId502" Type="http://schemas.openxmlformats.org/officeDocument/2006/relationships/hyperlink" Target="https://eitaa.com/MokebAhaliQom" TargetMode="External"/><Relationship Id="rId501" Type="http://schemas.openxmlformats.org/officeDocument/2006/relationships/hyperlink" Target="https://eitaa.com/abasiyesahebalzaman" TargetMode="External"/><Relationship Id="rId500" Type="http://schemas.openxmlformats.org/officeDocument/2006/relationships/hyperlink" Target="https://eitaa.com/m_ghanbarian" TargetMode="External"/><Relationship Id="rId507" Type="http://schemas.openxmlformats.org/officeDocument/2006/relationships/hyperlink" Target="https://eitaa.com/heyatalreza_ir" TargetMode="External"/><Relationship Id="rId506" Type="http://schemas.openxmlformats.org/officeDocument/2006/relationships/hyperlink" Target="https://t.me/heyatalreza_ir" TargetMode="External"/><Relationship Id="rId505" Type="http://schemas.openxmlformats.org/officeDocument/2006/relationships/hyperlink" Target="https://www.instagram.com/heyatalreza_ir?utm_source=ig_web_button_share_sheet&amp;igsh=ZDNlZDc0MzIxNw==" TargetMode="External"/><Relationship Id="rId504" Type="http://schemas.openxmlformats.org/officeDocument/2006/relationships/hyperlink" Target="https://eitaa.com/aleyasinqom" TargetMode="External"/><Relationship Id="rId525" Type="http://schemas.openxmlformats.org/officeDocument/2006/relationships/hyperlink" Target="https://eitaa.com/khadijeh622" TargetMode="External"/><Relationship Id="rId524" Type="http://schemas.openxmlformats.org/officeDocument/2006/relationships/hyperlink" Target="https://eitaa.com/Zeinabiyye" TargetMode="External"/><Relationship Id="rId523" Type="http://schemas.openxmlformats.org/officeDocument/2006/relationships/hyperlink" Target="https://eitaa.com/banatozzahra" TargetMode="External"/><Relationship Id="rId522" Type="http://schemas.openxmlformats.org/officeDocument/2006/relationships/hyperlink" Target="https://eitaa.com/mohebin313_qom" TargetMode="External"/><Relationship Id="rId528" Type="http://schemas.openxmlformats.org/officeDocument/2006/relationships/drawing" Target="../drawings/drawing7.xml"/><Relationship Id="rId527" Type="http://schemas.openxmlformats.org/officeDocument/2006/relationships/hyperlink" Target="https://eitaa.com/h_shohada_rahjerd" TargetMode="External"/><Relationship Id="rId526" Type="http://schemas.openxmlformats.org/officeDocument/2006/relationships/hyperlink" Target="https://eitaa.com/kaffolabbas" TargetMode="External"/><Relationship Id="rId521" Type="http://schemas.openxmlformats.org/officeDocument/2006/relationships/hyperlink" Target="https://eitaa.com/mahdiyehalanaghiha" TargetMode="External"/><Relationship Id="rId520" Type="http://schemas.openxmlformats.org/officeDocument/2006/relationships/hyperlink" Target="https://eitaa.com/fatemiyeh_qom" TargetMode="External"/><Relationship Id="rId519" Type="http://schemas.openxmlformats.org/officeDocument/2006/relationships/hyperlink" Target="https://eitaa.com/heyat_omeabiha" TargetMode="External"/><Relationship Id="rId514" Type="http://schemas.openxmlformats.org/officeDocument/2006/relationships/hyperlink" Target="https://www.instagram.com/heyatyazahra.ir?utm_source=ig_web_button_share_sheet&amp;igsh=ZDNlZDc0MzIxNw==" TargetMode="External"/><Relationship Id="rId513" Type="http://schemas.openxmlformats.org/officeDocument/2006/relationships/hyperlink" Target="https://eitaa.com/HossiniehAndisheh" TargetMode="External"/><Relationship Id="rId512" Type="http://schemas.openxmlformats.org/officeDocument/2006/relationships/hyperlink" Target="https://eitaa.com/heyatashoraqom" TargetMode="External"/><Relationship Id="rId511" Type="http://schemas.openxmlformats.org/officeDocument/2006/relationships/hyperlink" Target="https://eitaa.com/khoneh_madari" TargetMode="External"/><Relationship Id="rId518" Type="http://schemas.openxmlformats.org/officeDocument/2006/relationships/hyperlink" Target="https://eitaa.com/kh_alshohada" TargetMode="External"/><Relationship Id="rId517" Type="http://schemas.openxmlformats.org/officeDocument/2006/relationships/hyperlink" Target="https://eitaa.com/QatilAlabarat" TargetMode="External"/><Relationship Id="rId516" Type="http://schemas.openxmlformats.org/officeDocument/2006/relationships/hyperlink" Target="https://eitaa.com/mokebe_ansarolmahdi" TargetMode="External"/><Relationship Id="rId515" Type="http://schemas.openxmlformats.org/officeDocument/2006/relationships/hyperlink" Target="https://eitaa.com/heyatyazahra_ir" TargetMode="External"/><Relationship Id="rId510" Type="http://schemas.openxmlformats.org/officeDocument/2006/relationships/hyperlink" Target="https://eitaa.com/alamdar_qom79" TargetMode="External"/><Relationship Id="rId495" Type="http://schemas.openxmlformats.org/officeDocument/2006/relationships/hyperlink" Target="https://eitaa.com/maddahionlin" TargetMode="External"/><Relationship Id="rId494" Type="http://schemas.openxmlformats.org/officeDocument/2006/relationships/hyperlink" Target="https://eitaa.com/msagheb_ir" TargetMode="External"/><Relationship Id="rId493" Type="http://schemas.openxmlformats.org/officeDocument/2006/relationships/hyperlink" Target="https://t.me/mohsentavakolian_channel" TargetMode="External"/><Relationship Id="rId492" Type="http://schemas.openxmlformats.org/officeDocument/2006/relationships/hyperlink" Target="https://www.instagram.com/mohsen.tavakolyan/" TargetMode="External"/><Relationship Id="rId499" Type="http://schemas.openxmlformats.org/officeDocument/2006/relationships/hyperlink" Target="https://www.instagram.com/ghanbarian.ir/?utm_source=ig_web_button_share_sheet" TargetMode="External"/><Relationship Id="rId498" Type="http://schemas.openxmlformats.org/officeDocument/2006/relationships/hyperlink" Target="https://eitaa.com/Heyatsarallah_qom" TargetMode="External"/><Relationship Id="rId497" Type="http://schemas.openxmlformats.org/officeDocument/2006/relationships/hyperlink" Target="https://eitaa.com/mahdavi_arfae" TargetMode="External"/><Relationship Id="rId496" Type="http://schemas.openxmlformats.org/officeDocument/2006/relationships/hyperlink" Target="https://eitaa.com/oshaghalhosein_313" TargetMode="External"/><Relationship Id="rId409" Type="http://schemas.openxmlformats.org/officeDocument/2006/relationships/hyperlink" Target="https://www.instagram.com/mohebbin_zeynab/" TargetMode="External"/><Relationship Id="rId404" Type="http://schemas.openxmlformats.org/officeDocument/2006/relationships/hyperlink" Target="https://eitaa.com/fatemiyoun_ir" TargetMode="External"/><Relationship Id="rId403" Type="http://schemas.openxmlformats.org/officeDocument/2006/relationships/hyperlink" Target="https://www.instagram.com/heyat.hasanebnali.qom/" TargetMode="External"/><Relationship Id="rId402" Type="http://schemas.openxmlformats.org/officeDocument/2006/relationships/hyperlink" Target="https://t.me/beytozahra_qom" TargetMode="External"/><Relationship Id="rId401" Type="http://schemas.openxmlformats.org/officeDocument/2006/relationships/hyperlink" Target="https://www.instagram.com/beytozahraqom/" TargetMode="External"/><Relationship Id="rId408" Type="http://schemas.openxmlformats.org/officeDocument/2006/relationships/hyperlink" Target="https://eitaa.com/rayatolmoghavemat" TargetMode="External"/><Relationship Id="rId407" Type="http://schemas.openxmlformats.org/officeDocument/2006/relationships/hyperlink" Target="https://beytonabi.ir/" TargetMode="External"/><Relationship Id="rId406" Type="http://schemas.openxmlformats.org/officeDocument/2006/relationships/hyperlink" Target="https://eitaa.com/beytonabi_ir" TargetMode="External"/><Relationship Id="rId405" Type="http://schemas.openxmlformats.org/officeDocument/2006/relationships/hyperlink" Target="https://www.instagram.com/beytonabi_ir/?hl=en" TargetMode="External"/><Relationship Id="rId400" Type="http://schemas.openxmlformats.org/officeDocument/2006/relationships/hyperlink" Target="https://t.me/behesht_abbas" TargetMode="External"/><Relationship Id="rId469" Type="http://schemas.openxmlformats.org/officeDocument/2006/relationships/hyperlink" Target="https://t.me/saran_be_ney_qom" TargetMode="External"/><Relationship Id="rId468" Type="http://schemas.openxmlformats.org/officeDocument/2006/relationships/hyperlink" Target="https://www.instagram.com/saran.be.ney_qom/" TargetMode="External"/><Relationship Id="rId467" Type="http://schemas.openxmlformats.org/officeDocument/2006/relationships/hyperlink" Target="https://eitaa.com/arasgoni" TargetMode="External"/><Relationship Id="rId462" Type="http://schemas.openxmlformats.org/officeDocument/2006/relationships/hyperlink" Target="http://tlgrm.me/shabab_almahdi" TargetMode="External"/><Relationship Id="rId461" Type="http://schemas.openxmlformats.org/officeDocument/2006/relationships/hyperlink" Target="https://www.instagram.com/shabab_almahdi" TargetMode="External"/><Relationship Id="rId460" Type="http://schemas.openxmlformats.org/officeDocument/2006/relationships/hyperlink" Target="https://t.me/roghai" TargetMode="External"/><Relationship Id="rId466" Type="http://schemas.openxmlformats.org/officeDocument/2006/relationships/hyperlink" Target="https://www.instagram.com/kaf.abbas/" TargetMode="External"/><Relationship Id="rId465" Type="http://schemas.openxmlformats.org/officeDocument/2006/relationships/hyperlink" Target="https://eitaa.com/Shiftegan315qom" TargetMode="External"/><Relationship Id="rId464" Type="http://schemas.openxmlformats.org/officeDocument/2006/relationships/hyperlink" Target="https://t.me/Shiftegan315qom" TargetMode="External"/><Relationship Id="rId463" Type="http://schemas.openxmlformats.org/officeDocument/2006/relationships/hyperlink" Target="https://www.instagram.com/shiftegan315qom/" TargetMode="External"/><Relationship Id="rId459" Type="http://schemas.openxmlformats.org/officeDocument/2006/relationships/hyperlink" Target="https://www.instagram.com/moazam.hazrat.roghaieh/" TargetMode="External"/><Relationship Id="rId458" Type="http://schemas.openxmlformats.org/officeDocument/2006/relationships/hyperlink" Target="https://eitaa.com/ansariha_qom" TargetMode="External"/><Relationship Id="rId457" Type="http://schemas.openxmlformats.org/officeDocument/2006/relationships/hyperlink" Target="https://www.instagram.com/ansariha_qom" TargetMode="External"/><Relationship Id="rId456" Type="http://schemas.openxmlformats.org/officeDocument/2006/relationships/hyperlink" Target="https://www.instagram.com/maktab_abbas_qom/" TargetMode="External"/><Relationship Id="rId451" Type="http://schemas.openxmlformats.org/officeDocument/2006/relationships/hyperlink" Target="https://eitaa.com/h_montazeralmahdi" TargetMode="External"/><Relationship Id="rId450" Type="http://schemas.openxmlformats.org/officeDocument/2006/relationships/hyperlink" Target="https://eitaa.com/ghamkhaneh_qom" TargetMode="External"/><Relationship Id="rId455" Type="http://schemas.openxmlformats.org/officeDocument/2006/relationships/hyperlink" Target="https://t.me/maktab_abbas_qom" TargetMode="External"/><Relationship Id="rId454" Type="http://schemas.openxmlformats.org/officeDocument/2006/relationships/hyperlink" Target="https://www.instagram.com/maktab_abbas_media/" TargetMode="External"/><Relationship Id="rId453" Type="http://schemas.openxmlformats.org/officeDocument/2006/relationships/hyperlink" Target="https://eitaa.com/hkeimeh" TargetMode="External"/><Relationship Id="rId452" Type="http://schemas.openxmlformats.org/officeDocument/2006/relationships/hyperlink" Target="https://eitaa.com/emame_hosein" TargetMode="External"/><Relationship Id="rId491" Type="http://schemas.openxmlformats.org/officeDocument/2006/relationships/hyperlink" Target="https://eitaa.com/Meghdadmediaaf" TargetMode="External"/><Relationship Id="rId490" Type="http://schemas.openxmlformats.org/officeDocument/2006/relationships/hyperlink" Target="https://www.instagram.com/meghdadmedia.af/" TargetMode="External"/><Relationship Id="rId489" Type="http://schemas.openxmlformats.org/officeDocument/2006/relationships/hyperlink" Target="http://havayenoo.ir" TargetMode="External"/><Relationship Id="rId484" Type="http://schemas.openxmlformats.org/officeDocument/2006/relationships/hyperlink" Target="https://www.instagram.com/aliakbarhaeri/" TargetMode="External"/><Relationship Id="rId483" Type="http://schemas.openxmlformats.org/officeDocument/2006/relationships/hyperlink" Target="https://l.instagram.com/?u=http%3A%2F%2Faabes.ir%2F%3Ffbclid%3DPAZXh0bgNhZW0CMTEAc3J0YwZhcHBfaWQMMjU2MjgxMDQwNTU4AAGnx1oNDdSI3pO5fxzrensT9ydKd0z33sHG6S9N2VXmW3P6LXq7GomzITS7rVo_aem_axhLT9XOOIkd7cCQnM5iiQ&amp;e=AT1aYrFlgQB2LWSwbWv2SxjmwAeNvQm33tLwT45e0xvUr3o9iAmic8BFe3DO8x1ULiMEgL1Tqg5zvZvPgMW00R_crMMB7YO4xTJydb8r9w" TargetMode="External"/><Relationship Id="rId482" Type="http://schemas.openxmlformats.org/officeDocument/2006/relationships/hyperlink" Target="http://t.me/s_mahdi_mirdamad" TargetMode="External"/><Relationship Id="rId481" Type="http://schemas.openxmlformats.org/officeDocument/2006/relationships/hyperlink" Target="https://www.instagram.com/aabes_ir/" TargetMode="External"/><Relationship Id="rId488" Type="http://schemas.openxmlformats.org/officeDocument/2006/relationships/hyperlink" Target="https://t.me/ali_habibzadeh315" TargetMode="External"/><Relationship Id="rId487" Type="http://schemas.openxmlformats.org/officeDocument/2006/relationships/hyperlink" Target="https://www.instagram.com/ali_habibzadeh315/" TargetMode="External"/><Relationship Id="rId486" Type="http://schemas.openxmlformats.org/officeDocument/2006/relationships/hyperlink" Target="https://eitaa.com/aliakbarhaeri_info" TargetMode="External"/><Relationship Id="rId485" Type="http://schemas.openxmlformats.org/officeDocument/2006/relationships/hyperlink" Target="https://t.me/ALIAKBARHAERI" TargetMode="External"/><Relationship Id="rId480" Type="http://schemas.openxmlformats.org/officeDocument/2006/relationships/hyperlink" Target="https://www.instagram.com/seyedrezatahvildar/" TargetMode="External"/><Relationship Id="rId479" Type="http://schemas.openxmlformats.org/officeDocument/2006/relationships/hyperlink" Target="https://eitaa.com/ziregonbadetala" TargetMode="External"/><Relationship Id="rId478" Type="http://schemas.openxmlformats.org/officeDocument/2006/relationships/hyperlink" Target="https://eitaa.com/hassanataie" TargetMode="External"/><Relationship Id="rId473" Type="http://schemas.openxmlformats.org/officeDocument/2006/relationships/hyperlink" Target="https://www.instagram.com/hasan__shalbafan/" TargetMode="External"/><Relationship Id="rId472" Type="http://schemas.openxmlformats.org/officeDocument/2006/relationships/hyperlink" Target="https://t.me/eslam_mirzaei" TargetMode="External"/><Relationship Id="rId471" Type="http://schemas.openxmlformats.org/officeDocument/2006/relationships/hyperlink" Target="https://www.instagram.com/eslammirzaei1191/" TargetMode="External"/><Relationship Id="rId470" Type="http://schemas.openxmlformats.org/officeDocument/2006/relationships/hyperlink" Target="https://eitaa.com/saranbeney59" TargetMode="External"/><Relationship Id="rId477" Type="http://schemas.openxmlformats.org/officeDocument/2006/relationships/hyperlink" Target="https://t.me/hassanataie1" TargetMode="External"/><Relationship Id="rId476" Type="http://schemas.openxmlformats.org/officeDocument/2006/relationships/hyperlink" Target="https://www.instagram.com/hassanataie/" TargetMode="External"/><Relationship Id="rId475" Type="http://schemas.openxmlformats.org/officeDocument/2006/relationships/hyperlink" Target="https://eitaa.com/hasanshalbafan110" TargetMode="External"/><Relationship Id="rId474" Type="http://schemas.openxmlformats.org/officeDocument/2006/relationships/hyperlink" Target="https://t.me/hasan_shalbafan_118" TargetMode="External"/><Relationship Id="rId426" Type="http://schemas.openxmlformats.org/officeDocument/2006/relationships/hyperlink" Target="https://t.me/oshaqheydar110" TargetMode="External"/><Relationship Id="rId425" Type="http://schemas.openxmlformats.org/officeDocument/2006/relationships/hyperlink" Target="https://www.instagram.com/oshaqheydar" TargetMode="External"/><Relationship Id="rId424" Type="http://schemas.openxmlformats.org/officeDocument/2006/relationships/hyperlink" Target="https://www.youtube.com/@hayatshababalruqaia3287" TargetMode="External"/><Relationship Id="rId423" Type="http://schemas.openxmlformats.org/officeDocument/2006/relationships/hyperlink" Target="https://t.me/hayat_shabab_alruqaia" TargetMode="External"/><Relationship Id="rId429" Type="http://schemas.openxmlformats.org/officeDocument/2006/relationships/hyperlink" Target="http://telegram.im/GHM_Qom" TargetMode="External"/><Relationship Id="rId428" Type="http://schemas.openxmlformats.org/officeDocument/2006/relationships/hyperlink" Target="https://www.instagram.com/heyate_gharibe_madineh_qom/" TargetMode="External"/><Relationship Id="rId427" Type="http://schemas.openxmlformats.org/officeDocument/2006/relationships/hyperlink" Target="https://www.instagram.com/aleyasinqom/" TargetMode="External"/><Relationship Id="rId422" Type="http://schemas.openxmlformats.org/officeDocument/2006/relationships/hyperlink" Target="https://www.instagram.com/hayat_shabab_alruqaia" TargetMode="External"/><Relationship Id="rId421" Type="http://schemas.openxmlformats.org/officeDocument/2006/relationships/hyperlink" Target="https://t.me/mahfel_shah_najaf_110" TargetMode="External"/><Relationship Id="rId420" Type="http://schemas.openxmlformats.org/officeDocument/2006/relationships/hyperlink" Target="https://www.instagram.com/mahfel_shahnajaf_qom" TargetMode="External"/><Relationship Id="rId415" Type="http://schemas.openxmlformats.org/officeDocument/2006/relationships/hyperlink" Target="https://t.me/devaneganroqaie" TargetMode="External"/><Relationship Id="rId414" Type="http://schemas.openxmlformats.org/officeDocument/2006/relationships/hyperlink" Target="https://www.instagram.com/divaneganroqaie/" TargetMode="External"/><Relationship Id="rId413" Type="http://schemas.openxmlformats.org/officeDocument/2006/relationships/hyperlink" Target="https://t.me/divangan_205" TargetMode="External"/><Relationship Id="rId412" Type="http://schemas.openxmlformats.org/officeDocument/2006/relationships/hyperlink" Target="https://www.instagram.com/divangan_205/" TargetMode="External"/><Relationship Id="rId419" Type="http://schemas.openxmlformats.org/officeDocument/2006/relationships/hyperlink" Target="https://t.me/shah_alghame" TargetMode="External"/><Relationship Id="rId418" Type="http://schemas.openxmlformats.org/officeDocument/2006/relationships/hyperlink" Target="https://www.instagram.com/shah_alghame/" TargetMode="External"/><Relationship Id="rId417" Type="http://schemas.openxmlformats.org/officeDocument/2006/relationships/hyperlink" Target="https://t.me/reyhanatolhoseinqom315" TargetMode="External"/><Relationship Id="rId416" Type="http://schemas.openxmlformats.org/officeDocument/2006/relationships/hyperlink" Target="https://www.instagram.com/reyhanatolhosein315_qom/" TargetMode="External"/><Relationship Id="rId411" Type="http://schemas.openxmlformats.org/officeDocument/2006/relationships/hyperlink" Target="https://eitaa.com/s/mohebbin_zeynab" TargetMode="External"/><Relationship Id="rId410" Type="http://schemas.openxmlformats.org/officeDocument/2006/relationships/hyperlink" Target="https://t.me/mohebbin_zeynab" TargetMode="External"/><Relationship Id="rId448" Type="http://schemas.openxmlformats.org/officeDocument/2006/relationships/hyperlink" Target="https://www.instagram.com/ghamkhanehqom" TargetMode="External"/><Relationship Id="rId447" Type="http://schemas.openxmlformats.org/officeDocument/2006/relationships/hyperlink" Target="https://t.me/shabab_al_hosein" TargetMode="External"/><Relationship Id="rId446" Type="http://schemas.openxmlformats.org/officeDocument/2006/relationships/hyperlink" Target="https://www.instagram.com/shabab_al_hosein/" TargetMode="External"/><Relationship Id="rId445" Type="http://schemas.openxmlformats.org/officeDocument/2006/relationships/hyperlink" Target="https://www.instagram.com/jannat.info/" TargetMode="External"/><Relationship Id="rId449" Type="http://schemas.openxmlformats.org/officeDocument/2006/relationships/hyperlink" Target="https://t.me/Ghamkhanehqom" TargetMode="External"/><Relationship Id="rId440" Type="http://schemas.openxmlformats.org/officeDocument/2006/relationships/hyperlink" Target="https://eitaa.com/haliasghar" TargetMode="External"/><Relationship Id="rId444" Type="http://schemas.openxmlformats.org/officeDocument/2006/relationships/hyperlink" Target="https://www.instagram.com/khademin_behesht" TargetMode="External"/><Relationship Id="rId443" Type="http://schemas.openxmlformats.org/officeDocument/2006/relationships/hyperlink" Target="https://eitaa.com/vetrinfo_channel" TargetMode="External"/><Relationship Id="rId442" Type="http://schemas.openxmlformats.org/officeDocument/2006/relationships/hyperlink" Target="https://t.me/vetrinfo_channel" TargetMode="External"/><Relationship Id="rId441" Type="http://schemas.openxmlformats.org/officeDocument/2006/relationships/hyperlink" Target="https://www.instagram.com/vetr.info" TargetMode="External"/><Relationship Id="rId437" Type="http://schemas.openxmlformats.org/officeDocument/2006/relationships/hyperlink" Target="https://www.instagram.com/l_ghadr/" TargetMode="External"/><Relationship Id="rId436" Type="http://schemas.openxmlformats.org/officeDocument/2006/relationships/hyperlink" Target="https://www.youtube.com/@levaozzeynab_com" TargetMode="External"/><Relationship Id="rId435" Type="http://schemas.openxmlformats.org/officeDocument/2006/relationships/hyperlink" Target="https://eitaa.com/levaozzeynab_qom" TargetMode="External"/><Relationship Id="rId434" Type="http://schemas.openxmlformats.org/officeDocument/2006/relationships/hyperlink" Target="https://t.me/levaozzeynab_com" TargetMode="External"/><Relationship Id="rId439" Type="http://schemas.openxmlformats.org/officeDocument/2006/relationships/hyperlink" Target="https://www.instagram.com/heyatyazahra.ir/" TargetMode="External"/><Relationship Id="rId438" Type="http://schemas.openxmlformats.org/officeDocument/2006/relationships/hyperlink" Target="https://t.me/l_ghadr" TargetMode="External"/><Relationship Id="rId433" Type="http://schemas.openxmlformats.org/officeDocument/2006/relationships/hyperlink" Target="https://www.instagram.com/levaozzeynab/" TargetMode="External"/><Relationship Id="rId432" Type="http://schemas.openxmlformats.org/officeDocument/2006/relationships/hyperlink" Target="https://eitaa.com/hfatemealzahra" TargetMode="External"/><Relationship Id="rId431" Type="http://schemas.openxmlformats.org/officeDocument/2006/relationships/hyperlink" Target="https://t.me/h_yazahra69" TargetMode="External"/><Relationship Id="rId430" Type="http://schemas.openxmlformats.org/officeDocument/2006/relationships/hyperlink" Target="https://www.instagram.com/h_yazahra69/" TargetMode="External"/><Relationship Id="rId1" Type="http://schemas.openxmlformats.org/officeDocument/2006/relationships/hyperlink" Target="https://www.instagram.com/ziarat_nahieh/" TargetMode="External"/><Relationship Id="rId2" Type="http://schemas.openxmlformats.org/officeDocument/2006/relationships/hyperlink" Target="https://www.instagram.com/abna.heydar_110/" TargetMode="External"/><Relationship Id="rId3" Type="http://schemas.openxmlformats.org/officeDocument/2006/relationships/hyperlink" Target="https://www.instagram.com/okht.al.reza/" TargetMode="External"/><Relationship Id="rId4" Type="http://schemas.openxmlformats.org/officeDocument/2006/relationships/hyperlink" Target="https://t.me/okhtalreza" TargetMode="External"/><Relationship Id="rId9" Type="http://schemas.openxmlformats.org/officeDocument/2006/relationships/hyperlink" Target="https://www.instagram.com/motemasekin/" TargetMode="External"/><Relationship Id="rId5" Type="http://schemas.openxmlformats.org/officeDocument/2006/relationships/hyperlink" Target="https://www.instagram.com/masjedazzahra_qom/" TargetMode="External"/><Relationship Id="rId6" Type="http://schemas.openxmlformats.org/officeDocument/2006/relationships/hyperlink" Target="https://l.instagram.com/?u=http%3A%2F%2Feitaa.com%2Fmasjedazzahra_qom%3Futm_source%3Dig%26utm_medium%3Dsocial%26utm_content%3Dlink_in_bio%26fbclid%3DPAZXh0bgNhZW0CMTEAc3J0YwZhcHBfaWQMMjU2MjgxMDQwNTU4AAGnD7NPDO_7HFlS7NgJh3vnBM5QR6HMb1pFA3mKF9KNvvtzCKOWLK7zNfZrIVk_aem_na55KoSApyGurhUQhXY9Yw&amp;e=AT1MseLgoxmjTuYQ0T4E-3qe5jNwwkzFyNRSbG9FEKmXuZd9d_ZORRvbwi1nzhdQ1o0_4UVMNSLhmJb32-SEWELFR4lFU6SGOK33oE2w6w" TargetMode="External"/><Relationship Id="rId7" Type="http://schemas.openxmlformats.org/officeDocument/2006/relationships/hyperlink" Target="https://www.instagram.com/heyat__alshohada/" TargetMode="External"/><Relationship Id="rId8" Type="http://schemas.openxmlformats.org/officeDocument/2006/relationships/hyperlink" Target="https://eitaa.com/heyatashohada" TargetMode="Externa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s://eitaa.com/ma_ashabolhossein_ahw" TargetMode="External"/><Relationship Id="rId194" Type="http://schemas.openxmlformats.org/officeDocument/2006/relationships/hyperlink" Target="https://t.me/asheghankarbala86" TargetMode="External"/><Relationship Id="rId193" Type="http://schemas.openxmlformats.org/officeDocument/2006/relationships/hyperlink" Target="https://www.instagram.com/asheghanekarbala86" TargetMode="External"/><Relationship Id="rId192" Type="http://schemas.openxmlformats.org/officeDocument/2006/relationships/hyperlink" Target="https://eitaa.com/masjed_imk" TargetMode="External"/><Relationship Id="rId191" Type="http://schemas.openxmlformats.org/officeDocument/2006/relationships/hyperlink" Target="https://eitaa.com/masjedevelayat" TargetMode="External"/><Relationship Id="rId187" Type="http://schemas.openxmlformats.org/officeDocument/2006/relationships/hyperlink" Target="https://t.me/mohebbanajums" TargetMode="External"/><Relationship Id="rId186" Type="http://schemas.openxmlformats.org/officeDocument/2006/relationships/hyperlink" Target="https://www.instagram.com/mohebanajums" TargetMode="External"/><Relationship Id="rId185" Type="http://schemas.openxmlformats.org/officeDocument/2006/relationships/hyperlink" Target="https://www.instagram.com/heyat_scu" TargetMode="External"/><Relationship Id="rId184" Type="http://schemas.openxmlformats.org/officeDocument/2006/relationships/hyperlink" Target="https://eitaa.com/heyat_cfu" TargetMode="External"/><Relationship Id="rId189" Type="http://schemas.openxmlformats.org/officeDocument/2006/relationships/hyperlink" Target="https://www.instagram.com/m.a_ashabolhossein_ahw" TargetMode="External"/><Relationship Id="rId188" Type="http://schemas.openxmlformats.org/officeDocument/2006/relationships/hyperlink" Target="https://www.instagram.com/heyat_put/" TargetMode="External"/><Relationship Id="rId183" Type="http://schemas.openxmlformats.org/officeDocument/2006/relationships/hyperlink" Target="https://www.instagram.com/heyat_cfu" TargetMode="External"/><Relationship Id="rId182" Type="http://schemas.openxmlformats.org/officeDocument/2006/relationships/hyperlink" Target="https://eitaa.com/heyat_asnrukh" TargetMode="External"/><Relationship Id="rId181" Type="http://schemas.openxmlformats.org/officeDocument/2006/relationships/hyperlink" Target="https://www.instagram.com/heyat_asnrukh" TargetMode="External"/><Relationship Id="rId180" Type="http://schemas.openxmlformats.org/officeDocument/2006/relationships/hyperlink" Target="https://eitaa.com/masjed_ghobaa" TargetMode="External"/><Relationship Id="rId176" Type="http://schemas.openxmlformats.org/officeDocument/2006/relationships/hyperlink" Target="https://www.instagram.com/iahsin1404/" TargetMode="External"/><Relationship Id="rId175" Type="http://schemas.openxmlformats.org/officeDocument/2006/relationships/hyperlink" Target="https://eitaa.com/oshagholhosseinahwaz" TargetMode="External"/><Relationship Id="rId174" Type="http://schemas.openxmlformats.org/officeDocument/2006/relationships/hyperlink" Target="https://t.me/oshagholhosseinahwaz" TargetMode="External"/><Relationship Id="rId173" Type="http://schemas.openxmlformats.org/officeDocument/2006/relationships/hyperlink" Target="https://www.instagram.com/oshagholhosseinahwaz" TargetMode="External"/><Relationship Id="rId179" Type="http://schemas.openxmlformats.org/officeDocument/2006/relationships/hyperlink" Target="https://eitaa.com/fadaeyan_hossein_jan" TargetMode="External"/><Relationship Id="rId178" Type="http://schemas.openxmlformats.org/officeDocument/2006/relationships/hyperlink" Target="https://t.me/fadaiyan_hosseinjan" TargetMode="External"/><Relationship Id="rId177" Type="http://schemas.openxmlformats.org/officeDocument/2006/relationships/hyperlink" Target="https://www.instagram.com/_fadaiyanhosseinjan" TargetMode="External"/><Relationship Id="rId198" Type="http://schemas.openxmlformats.org/officeDocument/2006/relationships/hyperlink" Target="https://www.instagram.com/masjed.emam_hasan/" TargetMode="External"/><Relationship Id="rId197" Type="http://schemas.openxmlformats.org/officeDocument/2006/relationships/hyperlink" Target="https://www.instagram.com/razmandegan_bik" TargetMode="External"/><Relationship Id="rId196" Type="http://schemas.openxmlformats.org/officeDocument/2006/relationships/hyperlink" Target="https://www.instagram.com/heyat_abolfazlalabaas/" TargetMode="External"/><Relationship Id="rId195" Type="http://schemas.openxmlformats.org/officeDocument/2006/relationships/hyperlink" Target="https://eitaa.com/k_izeh" TargetMode="External"/><Relationship Id="rId199" Type="http://schemas.openxmlformats.org/officeDocument/2006/relationships/hyperlink" Target="https://www.instagram.com/jannatolhosein128" TargetMode="External"/><Relationship Id="rId150" Type="http://schemas.openxmlformats.org/officeDocument/2006/relationships/hyperlink" Target="https://www.instagram.com/heyat_mohebin_ahl_albait/" TargetMode="External"/><Relationship Id="rId149" Type="http://schemas.openxmlformats.org/officeDocument/2006/relationships/hyperlink" Target="https://eitaa.com/jameloor" TargetMode="External"/><Relationship Id="rId148" Type="http://schemas.openxmlformats.org/officeDocument/2006/relationships/hyperlink" Target="https://eitaa.com/kahfolvara" TargetMode="External"/><Relationship Id="rId143" Type="http://schemas.openxmlformats.org/officeDocument/2006/relationships/hyperlink" Target="https://eitaa.com/Hazeatrogayehabadan" TargetMode="External"/><Relationship Id="rId142" Type="http://schemas.openxmlformats.org/officeDocument/2006/relationships/hyperlink" Target="https://www.instagram.com/hoseiniye_javanane_banihashem" TargetMode="External"/><Relationship Id="rId141" Type="http://schemas.openxmlformats.org/officeDocument/2006/relationships/hyperlink" Target="https://www.instagram.com/imam_hadi12/" TargetMode="External"/><Relationship Id="rId140" Type="http://schemas.openxmlformats.org/officeDocument/2006/relationships/hyperlink" Target="https://www.instagram.com/h_alzahraaa/" TargetMode="External"/><Relationship Id="rId147" Type="http://schemas.openxmlformats.org/officeDocument/2006/relationships/hyperlink" Target="https://www.instagram.com/qamar.banihashem/" TargetMode="External"/><Relationship Id="rId146" Type="http://schemas.openxmlformats.org/officeDocument/2006/relationships/hyperlink" Target="https://www.instagram.com/maktab_alabbas_ab/" TargetMode="External"/><Relationship Id="rId145" Type="http://schemas.openxmlformats.org/officeDocument/2006/relationships/hyperlink" Target="https://eitaa.com/heiathozeabadan" TargetMode="External"/><Relationship Id="rId144" Type="http://schemas.openxmlformats.org/officeDocument/2006/relationships/hyperlink" Target="https://www.instagram.com/maktab_allsadegh/" TargetMode="External"/><Relationship Id="rId139" Type="http://schemas.openxmlformats.org/officeDocument/2006/relationships/hyperlink" Target="https://www.instagram.com/heyatolreza8_aums" TargetMode="External"/><Relationship Id="rId138" Type="http://schemas.openxmlformats.org/officeDocument/2006/relationships/hyperlink" Target="https://www.instagram.com/hossein_alhossein_seyyed_shaha/" TargetMode="External"/><Relationship Id="rId137" Type="http://schemas.openxmlformats.org/officeDocument/2006/relationships/hyperlink" Target="https://www.instagram.com/kazemeyn.veys/" TargetMode="External"/><Relationship Id="rId132" Type="http://schemas.openxmlformats.org/officeDocument/2006/relationships/hyperlink" Target="https://www.instagram.com/m_i_s_7kl/" TargetMode="External"/><Relationship Id="rId131" Type="http://schemas.openxmlformats.org/officeDocument/2006/relationships/hyperlink" Target="https://www.instagram.com/heyat_montazeran_mis/" TargetMode="External"/><Relationship Id="rId130" Type="http://schemas.openxmlformats.org/officeDocument/2006/relationships/hyperlink" Target="https://t.me/fatemiyoongotvand" TargetMode="External"/><Relationship Id="rId136" Type="http://schemas.openxmlformats.org/officeDocument/2006/relationships/hyperlink" Target="https://www.instagram.com/ansar_shahed/" TargetMode="External"/><Relationship Id="rId135" Type="http://schemas.openxmlformats.org/officeDocument/2006/relationships/hyperlink" Target="https://www.instagram.com/faresalhejaz1/" TargetMode="External"/><Relationship Id="rId134" Type="http://schemas.openxmlformats.org/officeDocument/2006/relationships/hyperlink" Target="https://www.instagram.com/hyytsydlshhdmsjd/" TargetMode="External"/><Relationship Id="rId133" Type="http://schemas.openxmlformats.org/officeDocument/2006/relationships/hyperlink" Target="https://www.instagram.com/heyat.mohamadi/" TargetMode="External"/><Relationship Id="rId172" Type="http://schemas.openxmlformats.org/officeDocument/2006/relationships/hyperlink" Target="https://l.instagram.com/?u=http%3A%2F%2Ft.me%2Fheyat_1345%3Futm_source%3Dig%26utm_medium%3Dsocial%26utm_content%3Dlink_in_bio%26fbclid%3DPAZXh0bgNhZW0CMTEAc3J0YwZhcHBfaWQMMjU2MjgxMDQwNTU4AAGnRM5fosi3QhJPvJ2JaLK6OBJr0j_m9EBlw39iEeJvYLM6T04-PIdXrSA6Piw_aem_tK_rnIMUEaIObKPXrTI7Bg&amp;e=AT2uYrexLH8tO0-lXw6Yyy_e_ClyN2lOF3cEBm1hC3Z7t1g6y35OAmBi0PvONLTxmVXKXceoRz2Xwuuj9VGtMMM0jElzSxio5NCP4GAe_g" TargetMode="External"/><Relationship Id="rId171" Type="http://schemas.openxmlformats.org/officeDocument/2006/relationships/hyperlink" Target="https://www.instagram.com/heyat_1345/" TargetMode="External"/><Relationship Id="rId170" Type="http://schemas.openxmlformats.org/officeDocument/2006/relationships/hyperlink" Target="https://t.me/Asheghan_eb" TargetMode="External"/><Relationship Id="rId165" Type="http://schemas.openxmlformats.org/officeDocument/2006/relationships/hyperlink" Target="https://www.instagram.com/roza.tolzahra213" TargetMode="External"/><Relationship Id="rId164" Type="http://schemas.openxmlformats.org/officeDocument/2006/relationships/hyperlink" Target="https://eitaa.com/rahrovanzeinabi" TargetMode="External"/><Relationship Id="rId163" Type="http://schemas.openxmlformats.org/officeDocument/2006/relationships/hyperlink" Target="https://www.instagram.com/heyatrazmandegan_khz/?hl=cs" TargetMode="External"/><Relationship Id="rId162" Type="http://schemas.openxmlformats.org/officeDocument/2006/relationships/hyperlink" Target="https://eitaa.com/hajghasem_d" TargetMode="External"/><Relationship Id="rId169" Type="http://schemas.openxmlformats.org/officeDocument/2006/relationships/hyperlink" Target="https://www.instagram.com/asheghan_ab" TargetMode="External"/><Relationship Id="rId168" Type="http://schemas.openxmlformats.org/officeDocument/2006/relationships/hyperlink" Target="https://www.instagram.com/bahmai_iran/" TargetMode="External"/><Relationship Id="rId167" Type="http://schemas.openxmlformats.org/officeDocument/2006/relationships/hyperlink" Target="https://www.instagram.com/heyat.seyedalshohada_ahvaz/" TargetMode="External"/><Relationship Id="rId166" Type="http://schemas.openxmlformats.org/officeDocument/2006/relationships/hyperlink" Target="https://t.me/rozat_olzahra213" TargetMode="External"/><Relationship Id="rId161" Type="http://schemas.openxmlformats.org/officeDocument/2006/relationships/hyperlink" Target="https://eitaa.com/masjedkhatam" TargetMode="External"/><Relationship Id="rId160" Type="http://schemas.openxmlformats.org/officeDocument/2006/relationships/hyperlink" Target="https://eitaa.com/masjed_hj" TargetMode="External"/><Relationship Id="rId159" Type="http://schemas.openxmlformats.org/officeDocument/2006/relationships/hyperlink" Target="https://www.instagram.com/janat.alreza_ahw/" TargetMode="External"/><Relationship Id="rId154" Type="http://schemas.openxmlformats.org/officeDocument/2006/relationships/hyperlink" Target="https://eitaa.com/masjed_azam_ahvaz" TargetMode="External"/><Relationship Id="rId153" Type="http://schemas.openxmlformats.org/officeDocument/2006/relationships/hyperlink" Target="https://eitaa.com/masjed_sahebzaman_313" TargetMode="External"/><Relationship Id="rId152" Type="http://schemas.openxmlformats.org/officeDocument/2006/relationships/hyperlink" Target="https://eitaa.com/masjedmohamadi" TargetMode="External"/><Relationship Id="rId151" Type="http://schemas.openxmlformats.org/officeDocument/2006/relationships/hyperlink" Target="https://eitaa.com/masjed_andimeshk1400" TargetMode="External"/><Relationship Id="rId158" Type="http://schemas.openxmlformats.org/officeDocument/2006/relationships/hyperlink" Target="https://eitaa.com/Basij_pnuahvaz" TargetMode="External"/><Relationship Id="rId157" Type="http://schemas.openxmlformats.org/officeDocument/2006/relationships/hyperlink" Target="https://eitaa.com/heyat_banovan_boshra" TargetMode="External"/><Relationship Id="rId156" Type="http://schemas.openxmlformats.org/officeDocument/2006/relationships/hyperlink" Target="https://www.instagram.com/heyat_imamsajad02/" TargetMode="External"/><Relationship Id="rId155" Type="http://schemas.openxmlformats.org/officeDocument/2006/relationships/hyperlink" Target="https://www.instagram.com/naba_alazim34" TargetMode="External"/><Relationship Id="rId107" Type="http://schemas.openxmlformats.org/officeDocument/2006/relationships/hyperlink" Target="https://eitaa.com/mohebinazahra1" TargetMode="External"/><Relationship Id="rId106" Type="http://schemas.openxmlformats.org/officeDocument/2006/relationships/hyperlink" Target="https://l.instagram.com/?u=http%3A%2F%2Ft.me%2Fhkarimhasanjan%3Futm_source%3Dig%26utm_medium%3Dsocial%26utm_content%3Dlink_in_bio%26fbclid%3DPAZXh0bgNhZW0CMTEAc3J0YwZhcHBfaWQMMjU2MjgxMDQwNTU4AAGnIfRno9U_GBA3RZMyBlM5431rfOvbnwTFYWO9aj12qgRnGgTTZNVh6HHMvIQ_aem_ldAUJUq9imId2l43ydzSRA&amp;e=AT399T7K9EF9qqoOeJ2BKutbbRrqm2mN30M_jVC2XjHYzvsX6ixRvLvGUcDEIwMLKujS38qQn2BirLT5CnO9xnNtIaKz71DMjIotqy4wjQ" TargetMode="External"/><Relationship Id="rId105" Type="http://schemas.openxmlformats.org/officeDocument/2006/relationships/hyperlink" Target="https://www.instagram.com/hkarimhasanjan/" TargetMode="External"/><Relationship Id="rId104" Type="http://schemas.openxmlformats.org/officeDocument/2006/relationships/hyperlink" Target="https://www.instagram.com/h.g.b.h.alamdar/" TargetMode="External"/><Relationship Id="rId109" Type="http://schemas.openxmlformats.org/officeDocument/2006/relationships/hyperlink" Target="https://www.instagram.com/heyat__omolbanin/" TargetMode="External"/><Relationship Id="rId108" Type="http://schemas.openxmlformats.org/officeDocument/2006/relationships/hyperlink" Target="https://www.instagram.com/mirhashmi.h/" TargetMode="External"/><Relationship Id="rId103" Type="http://schemas.openxmlformats.org/officeDocument/2006/relationships/hyperlink" Target="https://www.instagram.com/moheban81beh" TargetMode="External"/><Relationship Id="rId102" Type="http://schemas.openxmlformats.org/officeDocument/2006/relationships/hyperlink" Target="https://www.instagram.com/beytolabbas.ramshir/" TargetMode="External"/><Relationship Id="rId101" Type="http://schemas.openxmlformats.org/officeDocument/2006/relationships/hyperlink" Target="https://l.instagram.com/?u=http%3A%2F%2Fwww.yalesaratdez.ir%2F%3Futm_source%3Dig%26utm_medium%3Dsocial%26utm_content%3Dlink_in_bio%26fbclid%3DPAZXh0bgNhZW0CMTEAc3J0YwZhcHBfaWQMMjU2MjgxMDQwNTU4AAGntYZiQLfnWswhUPukdKYOsdM4tD54hEnoNEb7G6Kik3jjTp-nwhSweCR6DT4_aem_7kI2KlcbilAQcZ3_UWAOnQ&amp;e=AT1m_VAIviZUAFw1UCZNII7neZHGmrIdjUORIbZys8EB8vulVJ6TAIy8CAW_l7u5JhrepweoTbVzywIbBIgTz8NNfG9Iekj0s7zYu_a_2A" TargetMode="External"/><Relationship Id="rId100" Type="http://schemas.openxmlformats.org/officeDocument/2006/relationships/hyperlink" Target="https://www.instagram.com/yalesaratdez_ir/" TargetMode="External"/><Relationship Id="rId129" Type="http://schemas.openxmlformats.org/officeDocument/2006/relationships/hyperlink" Target="https://www.instagram.com/heyat_mahdavioun/" TargetMode="External"/><Relationship Id="rId128" Type="http://schemas.openxmlformats.org/officeDocument/2006/relationships/hyperlink" Target="https://www.instagram.com/masjed.abrishamkaran/" TargetMode="External"/><Relationship Id="rId127" Type="http://schemas.openxmlformats.org/officeDocument/2006/relationships/hyperlink" Target="https://www.instagram.com/masjed_ahangran/" TargetMode="External"/><Relationship Id="rId126" Type="http://schemas.openxmlformats.org/officeDocument/2006/relationships/hyperlink" Target="https://t.me/alamdarshushtar_bot" TargetMode="External"/><Relationship Id="rId121" Type="http://schemas.openxmlformats.org/officeDocument/2006/relationships/hyperlink" Target="https://www.instagram.com/zanjirzanan_mosabne_jafar_sush/" TargetMode="External"/><Relationship Id="rId120" Type="http://schemas.openxmlformats.org/officeDocument/2006/relationships/hyperlink" Target="https://www.instagram.com/shushtarkhademalrezaa/" TargetMode="External"/><Relationship Id="rId125" Type="http://schemas.openxmlformats.org/officeDocument/2006/relationships/hyperlink" Target="https://www.instagram.com/h_alamdar.ir" TargetMode="External"/><Relationship Id="rId124" Type="http://schemas.openxmlformats.org/officeDocument/2006/relationships/hyperlink" Target="https://t.me/khadem345" TargetMode="External"/><Relationship Id="rId123" Type="http://schemas.openxmlformats.org/officeDocument/2006/relationships/hyperlink" Target="https://www.instagram.com/alamdar_shushtar_official" TargetMode="External"/><Relationship Id="rId122" Type="http://schemas.openxmlformats.org/officeDocument/2006/relationships/hyperlink" Target="https://www.instagram.com/heyat_sadat.shooshtar/" TargetMode="External"/><Relationship Id="rId118" Type="http://schemas.openxmlformats.org/officeDocument/2006/relationships/hyperlink" Target="https://t.me/hoseyniyeomalbanin" TargetMode="External"/><Relationship Id="rId117" Type="http://schemas.openxmlformats.org/officeDocument/2006/relationships/hyperlink" Target="https://www.instagram.com/hoseyniyeomalbanin1434/" TargetMode="External"/><Relationship Id="rId116" Type="http://schemas.openxmlformats.org/officeDocument/2006/relationships/hyperlink" Target="https://www.instagram.com/hoseynie_azam.str/" TargetMode="External"/><Relationship Id="rId115" Type="http://schemas.openxmlformats.org/officeDocument/2006/relationships/hyperlink" Target="https://l.instagram.com/?u=http%3A%2F%2Ft.me%2Fyavaranmahdialaihesalam%3Futm_source%3Dig%26utm_medium%3Dsocial%26utm_content%3Dlink_in_bio%26fbclid%3DPAZXh0bgNhZW0CMTEAc3J0YwZhcHBfaWQMMjU2MjgxMDQwNTU4AAGnhywMT9ZEGkYRDKQFCv7t8zyH2syp70RlZQDo2VtAYoRQwOERWXDdBtoZh5o_aem_lSCAcpx2HqonZOPG8Gujew&amp;e=AT03kJUw0r6YrsioAu0wTuj1oMVvHkIoq19GwbN2LC5NYJm8b1BKtDJuyhQtIyh25aceHrHTJIfBlAUYO0Fu0JrJT4YLITiXsoPLb7axoQ" TargetMode="External"/><Relationship Id="rId119" Type="http://schemas.openxmlformats.org/officeDocument/2006/relationships/hyperlink" Target="https://www.instagram.com/h_emam_hassania_str97/" TargetMode="External"/><Relationship Id="rId110" Type="http://schemas.openxmlformats.org/officeDocument/2006/relationships/hyperlink" Target="https://l.instagram.com/?u=http%3A%2F%2Fwww.aparat.com%2Fv%2F8skZi%3Futm_source%3Dig%26utm_medium%3Dsocial%26utm_content%3Dlink_in_bio%26fbclid%3DPAZXh0bgNhZW0CMTEAc3J0YwZhcHBfaWQMMjU2MjgxMDQwNTU4AAGnsJOIBhSwMiazVJf0oXZlLqaV3lPLhH9Q6yfVR5sIKNOWMRxSH3OWztdguBQ_aem_LgbTw_MHoq1fsJAO73sWOQ&amp;e=AT1tdqNjr1LI1MXsUlZy0EcPe8Bbz8NPZ3HcnFRR5B3FTwL7cmgws-XR6a-S6el72tpXD7Q1VudvzErFdg6kW9NariD7tX-uvxFoALX9_Q" TargetMode="External"/><Relationship Id="rId114" Type="http://schemas.openxmlformats.org/officeDocument/2006/relationships/hyperlink" Target="https://www.instagram.com/yavaran_mahdi_alaihesalam/" TargetMode="External"/><Relationship Id="rId113" Type="http://schemas.openxmlformats.org/officeDocument/2006/relationships/hyperlink" Target="https://t.me/majmaahlebeytshoush" TargetMode="External"/><Relationship Id="rId112" Type="http://schemas.openxmlformats.org/officeDocument/2006/relationships/hyperlink" Target="https://www.instagram.com/hyaat_khaddamal_hussein/" TargetMode="External"/><Relationship Id="rId111" Type="http://schemas.openxmlformats.org/officeDocument/2006/relationships/hyperlink" Target="https://www.instagram.com/heyat.aliasghar.shoush.94/" TargetMode="External"/><Relationship Id="rId392" Type="http://schemas.openxmlformats.org/officeDocument/2006/relationships/hyperlink" Target="https://www.youtube.com/@HYAT_ALTAHA" TargetMode="External"/><Relationship Id="rId391" Type="http://schemas.openxmlformats.org/officeDocument/2006/relationships/hyperlink" Target="https://t.me/altahakhodamalmahdi" TargetMode="External"/><Relationship Id="rId390" Type="http://schemas.openxmlformats.org/officeDocument/2006/relationships/hyperlink" Target="https://www.instagram.com/hyat_altaha" TargetMode="External"/><Relationship Id="rId385" Type="http://schemas.openxmlformats.org/officeDocument/2006/relationships/hyperlink" Target="https://www.instagram.com/zahraye3saleh" TargetMode="External"/><Relationship Id="rId384" Type="http://schemas.openxmlformats.org/officeDocument/2006/relationships/hyperlink" Target="https://eitaa.com/hj_mahshahr" TargetMode="External"/><Relationship Id="rId383" Type="http://schemas.openxmlformats.org/officeDocument/2006/relationships/hyperlink" Target="https://www.instagram.com/hj_mahshahr" TargetMode="External"/><Relationship Id="rId382" Type="http://schemas.openxmlformats.org/officeDocument/2006/relationships/hyperlink" Target="https://t.me/heyat_rahrovanshohada" TargetMode="External"/><Relationship Id="rId389" Type="http://schemas.openxmlformats.org/officeDocument/2006/relationships/hyperlink" Target="https://eitaa.com/s/mohebbinalroghaye" TargetMode="External"/><Relationship Id="rId388" Type="http://schemas.openxmlformats.org/officeDocument/2006/relationships/hyperlink" Target="https://t.me/mohebbinalroghaye" TargetMode="External"/><Relationship Id="rId387" Type="http://schemas.openxmlformats.org/officeDocument/2006/relationships/hyperlink" Target="https://www.instagram.com/mohebbinalroghaye" TargetMode="External"/><Relationship Id="rId386" Type="http://schemas.openxmlformats.org/officeDocument/2006/relationships/hyperlink" Target="https://t.me/zahraye3saleh" TargetMode="External"/><Relationship Id="rId381" Type="http://schemas.openxmlformats.org/officeDocument/2006/relationships/hyperlink" Target="https://www.instagram.com/r.shohada_ir/" TargetMode="External"/><Relationship Id="rId380" Type="http://schemas.openxmlformats.org/officeDocument/2006/relationships/hyperlink" Target="https://eitaa.com/bakiehir" TargetMode="External"/><Relationship Id="rId379" Type="http://schemas.openxmlformats.org/officeDocument/2006/relationships/hyperlink" Target="https://t.me/bakiehir" TargetMode="External"/><Relationship Id="rId374" Type="http://schemas.openxmlformats.org/officeDocument/2006/relationships/hyperlink" Target="https://www.instagram.com/shahzadegan_mahshahr/" TargetMode="External"/><Relationship Id="rId373" Type="http://schemas.openxmlformats.org/officeDocument/2006/relationships/hyperlink" Target="https://t.me/bab_alqeble" TargetMode="External"/><Relationship Id="rId372" Type="http://schemas.openxmlformats.org/officeDocument/2006/relationships/hyperlink" Target="https://www.instagram.com/bab_alqeble" TargetMode="External"/><Relationship Id="rId371" Type="http://schemas.openxmlformats.org/officeDocument/2006/relationships/hyperlink" Target="https://www.instagram.com/ansar.abozar/" TargetMode="External"/><Relationship Id="rId378" Type="http://schemas.openxmlformats.org/officeDocument/2006/relationships/hyperlink" Target="https://www.instagram.com/bakiehir" TargetMode="External"/><Relationship Id="rId377" Type="http://schemas.openxmlformats.org/officeDocument/2006/relationships/hyperlink" Target="https://eitaa.com/masjedalghadir1" TargetMode="External"/><Relationship Id="rId376" Type="http://schemas.openxmlformats.org/officeDocument/2006/relationships/hyperlink" Target="https://www.instagram.com/masjed.alghadir1/" TargetMode="External"/><Relationship Id="rId375" Type="http://schemas.openxmlformats.org/officeDocument/2006/relationships/hyperlink" Target="https://t.me/Shahzadegan_mahshahr" TargetMode="External"/><Relationship Id="rId396" Type="http://schemas.openxmlformats.org/officeDocument/2006/relationships/hyperlink" Target="https://www.instagram.com/heyat_ashaq_alhussain" TargetMode="External"/><Relationship Id="rId395" Type="http://schemas.openxmlformats.org/officeDocument/2006/relationships/hyperlink" Target="https://eitaa.com/hasanjan_info" TargetMode="External"/><Relationship Id="rId394" Type="http://schemas.openxmlformats.org/officeDocument/2006/relationships/hyperlink" Target="https://t.me/hasanjan_info" TargetMode="External"/><Relationship Id="rId393" Type="http://schemas.openxmlformats.org/officeDocument/2006/relationships/hyperlink" Target="https://www.instagram.com/hasanjan_info" TargetMode="External"/><Relationship Id="rId399" Type="http://schemas.openxmlformats.org/officeDocument/2006/relationships/hyperlink" Target="https://www.youtube.com/@alaghileir" TargetMode="External"/><Relationship Id="rId398" Type="http://schemas.openxmlformats.org/officeDocument/2006/relationships/hyperlink" Target="https://www.instagram.com/alaghileir/" TargetMode="External"/><Relationship Id="rId397" Type="http://schemas.openxmlformats.org/officeDocument/2006/relationships/hyperlink" Target="https://www.youtube.com/@heyatashagathussain" TargetMode="External"/><Relationship Id="rId40" Type="http://schemas.openxmlformats.org/officeDocument/2006/relationships/hyperlink" Target="https://eitaa.com/fatemioon_ahwaz" TargetMode="External"/><Relationship Id="rId42" Type="http://schemas.openxmlformats.org/officeDocument/2006/relationships/hyperlink" Target="https://www.instagram.com/koolebaremehrabanii/" TargetMode="External"/><Relationship Id="rId41" Type="http://schemas.openxmlformats.org/officeDocument/2006/relationships/hyperlink" Target="https://www.instagram.com/heyat_cfuf" TargetMode="External"/><Relationship Id="rId44" Type="http://schemas.openxmlformats.org/officeDocument/2006/relationships/hyperlink" Target="https://www.instagram.com/labbaik_ya_hosain/" TargetMode="External"/><Relationship Id="rId43" Type="http://schemas.openxmlformats.org/officeDocument/2006/relationships/hyperlink" Target="https://www.instagram.com/gomnaman_mahdavi/" TargetMode="External"/><Relationship Id="rId46" Type="http://schemas.openxmlformats.org/officeDocument/2006/relationships/hyperlink" Target="https://www.instagram.com/mohebandez/" TargetMode="External"/><Relationship Id="rId45" Type="http://schemas.openxmlformats.org/officeDocument/2006/relationships/hyperlink" Target="https://www.instagram.com/majmae_oshagh/" TargetMode="External"/><Relationship Id="rId48" Type="http://schemas.openxmlformats.org/officeDocument/2006/relationships/hyperlink" Target="https://www.instagram.com/mohebban_omalbanin/" TargetMode="External"/><Relationship Id="rId47" Type="http://schemas.openxmlformats.org/officeDocument/2006/relationships/hyperlink" Target="https://l.instagram.com/?u=http%3A%2F%2Ftlgrm.me%2Fmohebandez%3Futm_source%3Dig%26utm_medium%3Dsocial%26utm_content%3Dlink_in_bio%26fbclid%3DPAZXh0bgNhZW0CMTEAc3J0YwZhcHBfaWQMMjU2MjgxMDQwNTU4AAGnvvxcfxhuSSqXPuqtOKqf8mMU77syYVP2-S4v36_EklJEJaswMbnV4UmzsYo_aem_WXLspsRqcm4pDWxGcWqQMA&amp;e=AT3fUulyWzsOCl-f29UVG_DdNCxLW7npPTaCBL009ybhs2VeqoSY5b2eRxi2fKI0G2jvA8d18B5V5fR40QGe2keKvyXgNWNd-5uuT7fRRg" TargetMode="External"/><Relationship Id="rId49" Type="http://schemas.openxmlformats.org/officeDocument/2006/relationships/hyperlink" Target="https://www.instagram.com/mohebin.ahlbait/" TargetMode="External"/><Relationship Id="rId31" Type="http://schemas.openxmlformats.org/officeDocument/2006/relationships/hyperlink" Target="https://www.instagram.com/heyat.reihanealrasol/" TargetMode="External"/><Relationship Id="rId30" Type="http://schemas.openxmlformats.org/officeDocument/2006/relationships/hyperlink" Target="https://www.instagram.com/khorshed_al_easin_ahvaz/" TargetMode="External"/><Relationship Id="rId33" Type="http://schemas.openxmlformats.org/officeDocument/2006/relationships/hyperlink" Target="https://www.instagram.com/sajadiyeahvaz/" TargetMode="External"/><Relationship Id="rId32" Type="http://schemas.openxmlformats.org/officeDocument/2006/relationships/hyperlink" Target="https://www.instagram.com/zovaralhasan_ahwaz/" TargetMode="External"/><Relationship Id="rId35" Type="http://schemas.openxmlformats.org/officeDocument/2006/relationships/hyperlink" Target="https://www.instagram.com/sangar.313_ir/" TargetMode="External"/><Relationship Id="rId34" Type="http://schemas.openxmlformats.org/officeDocument/2006/relationships/hyperlink" Target="https://www.instagram.com/hosseiniyeh.seyed.al.shohada" TargetMode="External"/><Relationship Id="rId37" Type="http://schemas.openxmlformats.org/officeDocument/2006/relationships/hyperlink" Target="https://www.instagram.com/shyrhzbh/" TargetMode="External"/><Relationship Id="rId36" Type="http://schemas.openxmlformats.org/officeDocument/2006/relationships/hyperlink" Target="https://www.instagram.com/sarallah_mahshahr/" TargetMode="External"/><Relationship Id="rId39" Type="http://schemas.openxmlformats.org/officeDocument/2006/relationships/hyperlink" Target="https://t.me/fatemioon_ahwaz" TargetMode="External"/><Relationship Id="rId38" Type="http://schemas.openxmlformats.org/officeDocument/2006/relationships/hyperlink" Target="https://www.instagram.com/fatemioon_ahwaz/" TargetMode="External"/><Relationship Id="rId20" Type="http://schemas.openxmlformats.org/officeDocument/2006/relationships/hyperlink" Target="https://www.instagram.com/masjede_anbia/" TargetMode="External"/><Relationship Id="rId22" Type="http://schemas.openxmlformats.org/officeDocument/2006/relationships/hyperlink" Target="https://www.instagram.com/heiat_emam_moosa_alkazem" TargetMode="External"/><Relationship Id="rId21" Type="http://schemas.openxmlformats.org/officeDocument/2006/relationships/hyperlink" Target="https://www.instagram.com/heiatozahra_ahwaz/" TargetMode="External"/><Relationship Id="rId24" Type="http://schemas.openxmlformats.org/officeDocument/2006/relationships/hyperlink" Target="https://eitaa.com/heyat_jahad_kh" TargetMode="External"/><Relationship Id="rId23" Type="http://schemas.openxmlformats.org/officeDocument/2006/relationships/hyperlink" Target="https://www.instagram.com/jahadgaran.heyat/" TargetMode="External"/><Relationship Id="rId26" Type="http://schemas.openxmlformats.org/officeDocument/2006/relationships/hyperlink" Target="https://l.instagram.com/?u=http%3A%2F%2Ftelegram.me%2Fjvadolaemeh1391%3Ffbclid%3DPAZXh0bgNhZW0CMTEAc3J0YwZhcHBfaWQMMjU2MjgxMDQwNTU4CGNhbGxzaXRlAjE1AAGnCMDVkkdbDaAUR7MlpkAoZ5eQ7YyPfm5_nqE7XOL41bkT7LBZjxsoTVLLh_I_aem_0O0yke4dS3oUc3iU0W0SdA&amp;e=AT14PdyauKLHTrWwyOys2cq8F5j83pFOx_ckwy5dQJCwnfGBz8kQ9Y-Odvvfq5qg1o6hHOkSwz31W4mtPc-fVr1zHv_8l8FdGjtonRz3Sg" TargetMode="External"/><Relationship Id="rId25" Type="http://schemas.openxmlformats.org/officeDocument/2006/relationships/hyperlink" Target="https://www.instagram.com/heyat_javanan_jvadolaemehahwaz/" TargetMode="External"/><Relationship Id="rId28" Type="http://schemas.openxmlformats.org/officeDocument/2006/relationships/hyperlink" Target="https://www.instagram.com/samihamadi1/" TargetMode="External"/><Relationship Id="rId27" Type="http://schemas.openxmlformats.org/officeDocument/2006/relationships/hyperlink" Target="https://www.instagram.com/heiatkhdamalhusinahwazmandali/" TargetMode="External"/><Relationship Id="rId29" Type="http://schemas.openxmlformats.org/officeDocument/2006/relationships/hyperlink" Target="https://www.instagram.com/heyat_khoddam_alzahra/" TargetMode="External"/><Relationship Id="rId11" Type="http://schemas.openxmlformats.org/officeDocument/2006/relationships/hyperlink" Target="https://www.instagram.com/hosseinyeh.sahebalzaman/" TargetMode="External"/><Relationship Id="rId10" Type="http://schemas.openxmlformats.org/officeDocument/2006/relationships/hyperlink" Target="https://telegram.me/ferdosabadan" TargetMode="External"/><Relationship Id="rId13" Type="http://schemas.openxmlformats.org/officeDocument/2006/relationships/hyperlink" Target="https://www.instagram.com/masjed.hojatabadan/" TargetMode="External"/><Relationship Id="rId12" Type="http://schemas.openxmlformats.org/officeDocument/2006/relationships/hyperlink" Target="https://www.instagram.com/quran_abadan_ir/" TargetMode="External"/><Relationship Id="rId15" Type="http://schemas.openxmlformats.org/officeDocument/2006/relationships/hyperlink" Target="https://eitaa.com/dokhtaran_haj_ghasem4" TargetMode="External"/><Relationship Id="rId14" Type="http://schemas.openxmlformats.org/officeDocument/2006/relationships/hyperlink" Target="http://instagram.com/heiat.javananbanihashem/" TargetMode="External"/><Relationship Id="rId17" Type="http://schemas.openxmlformats.org/officeDocument/2006/relationships/hyperlink" Target="https://www.instagram.com/ashoraandimeshk/" TargetMode="External"/><Relationship Id="rId16" Type="http://schemas.openxmlformats.org/officeDocument/2006/relationships/hyperlink" Target="https://eitaa.com/dokhtaran_haj_ghasem4" TargetMode="External"/><Relationship Id="rId19" Type="http://schemas.openxmlformats.org/officeDocument/2006/relationships/hyperlink" Target="https://www.instagram.com/heyat.abalfazl.ahvaz/" TargetMode="External"/><Relationship Id="rId18" Type="http://schemas.openxmlformats.org/officeDocument/2006/relationships/hyperlink" Target="https://www.instagram.com/ansar_alhussein_board_956/" TargetMode="External"/><Relationship Id="rId84" Type="http://schemas.openxmlformats.org/officeDocument/2006/relationships/hyperlink" Target="https://ble.ir/cfu_heyat" TargetMode="External"/><Relationship Id="rId83" Type="http://schemas.openxmlformats.org/officeDocument/2006/relationships/hyperlink" Target="https://www.instagram.com/cfu_heyat" TargetMode="External"/><Relationship Id="rId86" Type="http://schemas.openxmlformats.org/officeDocument/2006/relationships/hyperlink" Target="https://ble.ir/mrat1377" TargetMode="External"/><Relationship Id="rId85" Type="http://schemas.openxmlformats.org/officeDocument/2006/relationships/hyperlink" Target="https://www.instagram.com/h_asheghan_sarallah/" TargetMode="External"/><Relationship Id="rId88" Type="http://schemas.openxmlformats.org/officeDocument/2006/relationships/hyperlink" Target="https://t.me/maktaboshohada99" TargetMode="External"/><Relationship Id="rId87" Type="http://schemas.openxmlformats.org/officeDocument/2006/relationships/hyperlink" Target="https://www.instagram.com/maktaboshohada99" TargetMode="External"/><Relationship Id="rId89" Type="http://schemas.openxmlformats.org/officeDocument/2006/relationships/hyperlink" Target="https://t.me/rahrovankhorramshahr" TargetMode="External"/><Relationship Id="rId80" Type="http://schemas.openxmlformats.org/officeDocument/2006/relationships/hyperlink" Target="https://www.instagram.com/rayat86man/?hl=en" TargetMode="External"/><Relationship Id="rId82" Type="http://schemas.openxmlformats.org/officeDocument/2006/relationships/hyperlink" Target="https://www.instagram.com/rozatolabas.behbahan" TargetMode="External"/><Relationship Id="rId81" Type="http://schemas.openxmlformats.org/officeDocument/2006/relationships/hyperlink" Target="https://www.instagram.com/razmandegan.behbahan/" TargetMode="External"/><Relationship Id="rId73" Type="http://schemas.openxmlformats.org/officeDocument/2006/relationships/hyperlink" Target="https://www.instagram.com/heyat_1384" TargetMode="External"/><Relationship Id="rId72" Type="http://schemas.openxmlformats.org/officeDocument/2006/relationships/hyperlink" Target="https://t.me/jannat_info" TargetMode="External"/><Relationship Id="rId75" Type="http://schemas.openxmlformats.org/officeDocument/2006/relationships/hyperlink" Target="https://www.instagram.com/mehdi.f_m.behbahan2145/" TargetMode="External"/><Relationship Id="rId74" Type="http://schemas.openxmlformats.org/officeDocument/2006/relationships/hyperlink" Target="https://www.instagram.com/khatamolanbia_behbahan" TargetMode="External"/><Relationship Id="rId77" Type="http://schemas.openxmlformats.org/officeDocument/2006/relationships/hyperlink" Target="https://t.me/damat_alruqayyeh" TargetMode="External"/><Relationship Id="rId76" Type="http://schemas.openxmlformats.org/officeDocument/2006/relationships/hyperlink" Target="https://www.instagram.com/damat_alruqayyeh" TargetMode="External"/><Relationship Id="rId79" Type="http://schemas.openxmlformats.org/officeDocument/2006/relationships/hyperlink" Target="https://t.me/rayat86man" TargetMode="External"/><Relationship Id="rId78" Type="http://schemas.openxmlformats.org/officeDocument/2006/relationships/hyperlink" Target="https://www.instagram.com/rayat86man" TargetMode="External"/><Relationship Id="rId71" Type="http://schemas.openxmlformats.org/officeDocument/2006/relationships/hyperlink" Target="https://www.instagram.com/jannat_info" TargetMode="External"/><Relationship Id="rId70" Type="http://schemas.openxmlformats.org/officeDocument/2006/relationships/hyperlink" Target="https://eitaa.com/jannat_info" TargetMode="External"/><Relationship Id="rId62" Type="http://schemas.openxmlformats.org/officeDocument/2006/relationships/hyperlink" Target="https://www.instagram.com/ansarolmahdi_mahshahr/" TargetMode="External"/><Relationship Id="rId61" Type="http://schemas.openxmlformats.org/officeDocument/2006/relationships/hyperlink" Target="http://instagram.com/heyat_rayatolabas/" TargetMode="External"/><Relationship Id="rId64" Type="http://schemas.openxmlformats.org/officeDocument/2006/relationships/hyperlink" Target="https://www.instagram.com/hyat.alzahrea/" TargetMode="External"/><Relationship Id="rId63" Type="http://schemas.openxmlformats.org/officeDocument/2006/relationships/hyperlink" Target="http://telegram.me/ansaralmahdi14" TargetMode="External"/><Relationship Id="rId66" Type="http://schemas.openxmlformats.org/officeDocument/2006/relationships/hyperlink" Target="https://www.instagram.com/heyat_emam_hasan95/" TargetMode="External"/><Relationship Id="rId65" Type="http://schemas.openxmlformats.org/officeDocument/2006/relationships/hyperlink" Target="https://www.instagram.com/mahshahr_zinalabedin/" TargetMode="External"/><Relationship Id="rId68" Type="http://schemas.openxmlformats.org/officeDocument/2006/relationships/hyperlink" Target="https://www.instagram.com/beitolabbas_heiat" TargetMode="External"/><Relationship Id="rId67" Type="http://schemas.openxmlformats.org/officeDocument/2006/relationships/hyperlink" Target="https://l.instagram.com/?u=http%3A%2F%2Ft.me%2Fheyat_emam_hasan_95%3Futm_source%3Dig%26utm_medium%3Dsocial%26utm_content%3Dlink_in_bio%26fbclid%3DPAZXh0bgNhZW0CMTEAc3J0YwZhcHBfaWQMMjU2MjgxMDQwNTU4AAGnU7se8Ql-w21d0rRbcP0N64pcZ_PrlViFuUpDamNdkE7g3b1uF3T7GFAuHsE_aem_1DptxZND68VfMR0RcdBKgQ&amp;e=AT20ZbWicasakkoEzTBD_U8i1drDkvff2ktzEwu9MjOi6HvsHoD80Ykcv15ssaRSy5Ib4z7VJjBx1VvRaVn6I0iikv7lS2B5UpT0dT4iIA" TargetMode="External"/><Relationship Id="rId60" Type="http://schemas.openxmlformats.org/officeDocument/2006/relationships/hyperlink" Target="https://www.instagram.com/masjed.shohada.mahshahr/" TargetMode="External"/><Relationship Id="rId69" Type="http://schemas.openxmlformats.org/officeDocument/2006/relationships/hyperlink" Target="https://www.instagram.com/jannatt_al_hossein/" TargetMode="External"/><Relationship Id="rId51" Type="http://schemas.openxmlformats.org/officeDocument/2006/relationships/hyperlink" Target="https://www.instagram.com/hoseynieh_fatematozahra/" TargetMode="External"/><Relationship Id="rId50" Type="http://schemas.openxmlformats.org/officeDocument/2006/relationships/hyperlink" Target="https://www.instagram.com/rahrovanshohada_ir/" TargetMode="External"/><Relationship Id="rId53" Type="http://schemas.openxmlformats.org/officeDocument/2006/relationships/hyperlink" Target="https://t.me/mohebinolhasanizeh" TargetMode="External"/><Relationship Id="rId52" Type="http://schemas.openxmlformats.org/officeDocument/2006/relationships/hyperlink" Target="https://www.instagram.com/mohebinolhasan.izeh" TargetMode="External"/><Relationship Id="rId55" Type="http://schemas.openxmlformats.org/officeDocument/2006/relationships/hyperlink" Target="https://www.instagram.com/hyytbwlfdllbskhfyl/" TargetMode="External"/><Relationship Id="rId54" Type="http://schemas.openxmlformats.org/officeDocument/2006/relationships/hyperlink" Target="https://eitaa.com/mohbinalhasan" TargetMode="External"/><Relationship Id="rId57" Type="http://schemas.openxmlformats.org/officeDocument/2006/relationships/hyperlink" Target="https://www.instagram.com/hosseiniye.taleghani.bik" TargetMode="External"/><Relationship Id="rId56" Type="http://schemas.openxmlformats.org/officeDocument/2006/relationships/hyperlink" Target="https://www.instagram.com/khaneh.javanan" TargetMode="External"/><Relationship Id="rId59" Type="http://schemas.openxmlformats.org/officeDocument/2006/relationships/hyperlink" Target="https://www.instagram.com/samenalhojaj_mahshahr/" TargetMode="External"/><Relationship Id="rId58" Type="http://schemas.openxmlformats.org/officeDocument/2006/relationships/hyperlink" Target="https://www.instagram.com/sydmhmdlkhrsn9/" TargetMode="External"/><Relationship Id="rId349" Type="http://schemas.openxmlformats.org/officeDocument/2006/relationships/hyperlink" Target="https://www.instagram.com/feyz.info/" TargetMode="External"/><Relationship Id="rId348" Type="http://schemas.openxmlformats.org/officeDocument/2006/relationships/hyperlink" Target="https://eitaa.com/dokhtaranesoleymani3" TargetMode="External"/><Relationship Id="rId347" Type="http://schemas.openxmlformats.org/officeDocument/2006/relationships/hyperlink" Target="https://eitaa.com/jahadiabadan" TargetMode="External"/><Relationship Id="rId346" Type="http://schemas.openxmlformats.org/officeDocument/2006/relationships/hyperlink" Target="https://eitaa.com/fatemeyoon" TargetMode="External"/><Relationship Id="rId341" Type="http://schemas.openxmlformats.org/officeDocument/2006/relationships/hyperlink" Target="https://www.instagram.com/ansar_al_thaghalein/" TargetMode="External"/><Relationship Id="rId340" Type="http://schemas.openxmlformats.org/officeDocument/2006/relationships/hyperlink" Target="https://eitaa.com/mahfelshohada_ir" TargetMode="External"/><Relationship Id="rId345" Type="http://schemas.openxmlformats.org/officeDocument/2006/relationships/hyperlink" Target="https://t.me/fatemeyoon" TargetMode="External"/><Relationship Id="rId344" Type="http://schemas.openxmlformats.org/officeDocument/2006/relationships/hyperlink" Target="https://www.instagram.com/fatemeyoon/" TargetMode="External"/><Relationship Id="rId343" Type="http://schemas.openxmlformats.org/officeDocument/2006/relationships/hyperlink" Target="https://eitaa.com/ansar1437" TargetMode="External"/><Relationship Id="rId342" Type="http://schemas.openxmlformats.org/officeDocument/2006/relationships/hyperlink" Target="https://t.me/ansar1401" TargetMode="External"/><Relationship Id="rId338" Type="http://schemas.openxmlformats.org/officeDocument/2006/relationships/hyperlink" Target="https://www.instagram.com/raayatoolabbas/?hl=en" TargetMode="External"/><Relationship Id="rId337" Type="http://schemas.openxmlformats.org/officeDocument/2006/relationships/hyperlink" Target="https://eitaa.com/aleyasinbeh" TargetMode="External"/><Relationship Id="rId336" Type="http://schemas.openxmlformats.org/officeDocument/2006/relationships/hyperlink" Target="https://www.instagram.com/aleyasin.beh/?hl=en" TargetMode="External"/><Relationship Id="rId335" Type="http://schemas.openxmlformats.org/officeDocument/2006/relationships/hyperlink" Target="https://eitaa.com/ghamarbanihashem_ir" TargetMode="External"/><Relationship Id="rId339" Type="http://schemas.openxmlformats.org/officeDocument/2006/relationships/hyperlink" Target="https://www.instagram.com/mahfelshohada.ir/" TargetMode="External"/><Relationship Id="rId330" Type="http://schemas.openxmlformats.org/officeDocument/2006/relationships/hyperlink" Target="https://www.instagram.com/rayat_susa/" TargetMode="External"/><Relationship Id="rId334" Type="http://schemas.openxmlformats.org/officeDocument/2006/relationships/hyperlink" Target="https://t.me/MasjedJame_mahshahr" TargetMode="External"/><Relationship Id="rId333" Type="http://schemas.openxmlformats.org/officeDocument/2006/relationships/hyperlink" Target="https://www.instagram.com/ghamarbanihashem_ir/" TargetMode="External"/><Relationship Id="rId332" Type="http://schemas.openxmlformats.org/officeDocument/2006/relationships/hyperlink" Target="https://www.aparat.com/rayat_susa" TargetMode="External"/><Relationship Id="rId331" Type="http://schemas.openxmlformats.org/officeDocument/2006/relationships/hyperlink" Target="https://eitaa.com/rayat_susa" TargetMode="External"/><Relationship Id="rId370" Type="http://schemas.openxmlformats.org/officeDocument/2006/relationships/hyperlink" Target="https://t.me/ashofte_maqam" TargetMode="External"/><Relationship Id="rId369" Type="http://schemas.openxmlformats.org/officeDocument/2006/relationships/hyperlink" Target="https://www.instagram.com/maqam_aliakbar/" TargetMode="External"/><Relationship Id="rId368" Type="http://schemas.openxmlformats.org/officeDocument/2006/relationships/hyperlink" Target="https://t.me/heyatmohbinahlalbeit" TargetMode="External"/><Relationship Id="rId363" Type="http://schemas.openxmlformats.org/officeDocument/2006/relationships/hyperlink" Target="https://t.me/shah_najaf_ahwaz" TargetMode="External"/><Relationship Id="rId362" Type="http://schemas.openxmlformats.org/officeDocument/2006/relationships/hyperlink" Target="https://www.instagram.com/shah_najaf_ahwaz/" TargetMode="External"/><Relationship Id="rId361" Type="http://schemas.openxmlformats.org/officeDocument/2006/relationships/hyperlink" Target="https://t.me/khademin315ahwaz" TargetMode="External"/><Relationship Id="rId360" Type="http://schemas.openxmlformats.org/officeDocument/2006/relationships/hyperlink" Target="https://www.instagram.com/khademin315.ir" TargetMode="External"/><Relationship Id="rId367" Type="http://schemas.openxmlformats.org/officeDocument/2006/relationships/hyperlink" Target="https://www.instagram.com/heyat_mohebin_ahlebeit110" TargetMode="External"/><Relationship Id="rId366" Type="http://schemas.openxmlformats.org/officeDocument/2006/relationships/hyperlink" Target="https://t.me/aza_althakla" TargetMode="External"/><Relationship Id="rId365" Type="http://schemas.openxmlformats.org/officeDocument/2006/relationships/hyperlink" Target="https://www.instagram.com/aza.althakla128" TargetMode="External"/><Relationship Id="rId364" Type="http://schemas.openxmlformats.org/officeDocument/2006/relationships/hyperlink" Target="https://www.instagram.com/heyat_iau" TargetMode="External"/><Relationship Id="rId95" Type="http://schemas.openxmlformats.org/officeDocument/2006/relationships/hyperlink" Target="https://www.instagram.com/khybar_heiat_mohebinahlalbeit/" TargetMode="External"/><Relationship Id="rId94" Type="http://schemas.openxmlformats.org/officeDocument/2006/relationships/hyperlink" Target="https://www.instagram.com/marshaliebnmosaalreza/" TargetMode="External"/><Relationship Id="rId97" Type="http://schemas.openxmlformats.org/officeDocument/2006/relationships/hyperlink" Target="https://eitaa.com/mszdir" TargetMode="External"/><Relationship Id="rId96" Type="http://schemas.openxmlformats.org/officeDocument/2006/relationships/hyperlink" Target="https://www.instagram.com/mszdir/" TargetMode="External"/><Relationship Id="rId99" Type="http://schemas.openxmlformats.org/officeDocument/2006/relationships/hyperlink" Target="https://www.instagram.com/maktab_alrughayeh/" TargetMode="External"/><Relationship Id="rId98" Type="http://schemas.openxmlformats.org/officeDocument/2006/relationships/hyperlink" Target="https://www.mszd.ir" TargetMode="External"/><Relationship Id="rId91" Type="http://schemas.openxmlformats.org/officeDocument/2006/relationships/hyperlink" Target="https://www.instagram.com/hossinie_pirabas_dazful/" TargetMode="External"/><Relationship Id="rId90" Type="http://schemas.openxmlformats.org/officeDocument/2006/relationships/hyperlink" Target="https://www.instagram.com/imam_zayn_alabidin_khaibar/" TargetMode="External"/><Relationship Id="rId93" Type="http://schemas.openxmlformats.org/officeDocument/2006/relationships/hyperlink" Target="https://t.me/leva.dez/" TargetMode="External"/><Relationship Id="rId92" Type="http://schemas.openxmlformats.org/officeDocument/2006/relationships/hyperlink" Target="https://www.instagram.com/leva.dez/" TargetMode="External"/><Relationship Id="rId359" Type="http://schemas.openxmlformats.org/officeDocument/2006/relationships/hyperlink" Target="https://www.instagram.com/beytolahzan_ahwaz/?hl=en" TargetMode="External"/><Relationship Id="rId358" Type="http://schemas.openxmlformats.org/officeDocument/2006/relationships/hyperlink" Target="https://eitaa.com/s/heyat_omolbanin_ahvaz" TargetMode="External"/><Relationship Id="rId357" Type="http://schemas.openxmlformats.org/officeDocument/2006/relationships/hyperlink" Target="https://t.me/heyat_omolbanin_ahvaz" TargetMode="External"/><Relationship Id="rId352" Type="http://schemas.openxmlformats.org/officeDocument/2006/relationships/hyperlink" Target="https://www.instagram.com/heyat_omolbanin_omd" TargetMode="External"/><Relationship Id="rId351" Type="http://schemas.openxmlformats.org/officeDocument/2006/relationships/hyperlink" Target="https://eitaa.com/Feyz_info" TargetMode="External"/><Relationship Id="rId350" Type="http://schemas.openxmlformats.org/officeDocument/2006/relationships/hyperlink" Target="https://t.me/Feyz_info" TargetMode="External"/><Relationship Id="rId356" Type="http://schemas.openxmlformats.org/officeDocument/2006/relationships/hyperlink" Target="https://www.instagram.com/heyat_omolbanin_ahvaz" TargetMode="External"/><Relationship Id="rId355" Type="http://schemas.openxmlformats.org/officeDocument/2006/relationships/hyperlink" Target="https://l.instagram.com/?u=https%3A%2F%2Ft.me%2Fomalmosaeb%3Futm_source%3Dig%26utm_medium%3Dsocial%26utm_content%3Dlink_in_bio%26fbclid%3DPAZXh0bgNhZW0CMTEAc3J0YwZhcHBfaWQMMjU2MjgxMDQwNTU4AAGnm_LGJ7rpBI-UqoOsUyY2ofP9st0DVN_EE3yMHILviGIUQQ1wIN0Rh1Gcx8s_aem_eqVuq6zu7SAIaY55VSseOQ&amp;e=AT3VNoi_OIBfzD0meMjkugcOiHJxozdIwus13kvc0KufGD1mn_5qHFZ_LAwniJfCllLVYzHEr9_TEY6yHq9S9Jy7Eq7Vue5PiLSDmkRImw" TargetMode="External"/><Relationship Id="rId354" Type="http://schemas.openxmlformats.org/officeDocument/2006/relationships/hyperlink" Target="https://www.instagram.com/om.al.mosaeb/" TargetMode="External"/><Relationship Id="rId353" Type="http://schemas.openxmlformats.org/officeDocument/2006/relationships/hyperlink" Target="https://t.me/omolbanin_184_133" TargetMode="External"/><Relationship Id="rId305" Type="http://schemas.openxmlformats.org/officeDocument/2006/relationships/hyperlink" Target="http://aparat.com/sakha313" TargetMode="External"/><Relationship Id="rId304" Type="http://schemas.openxmlformats.org/officeDocument/2006/relationships/hyperlink" Target="https://www.instagram.com/saheb_alamr313/" TargetMode="External"/><Relationship Id="rId303" Type="http://schemas.openxmlformats.org/officeDocument/2006/relationships/hyperlink" Target="https://www.instagram.com/javanan_ahwaz/" TargetMode="External"/><Relationship Id="rId302" Type="http://schemas.openxmlformats.org/officeDocument/2006/relationships/hyperlink" Target="https://www.instagram.com/janat_al_mojtaba" TargetMode="External"/><Relationship Id="rId309" Type="http://schemas.openxmlformats.org/officeDocument/2006/relationships/hyperlink" Target="https://www.instagram.com/khodamolabas/" TargetMode="External"/><Relationship Id="rId308" Type="http://schemas.openxmlformats.org/officeDocument/2006/relationships/hyperlink" Target="https://eitaa.com/kanal_KHADEMO_REZA" TargetMode="External"/><Relationship Id="rId307" Type="http://schemas.openxmlformats.org/officeDocument/2006/relationships/hyperlink" Target="https://t.me/khadem_olreza" TargetMode="External"/><Relationship Id="rId306" Type="http://schemas.openxmlformats.org/officeDocument/2006/relationships/hyperlink" Target="https://www.instagram.com/khadem_olreza/" TargetMode="External"/><Relationship Id="rId301" Type="http://schemas.openxmlformats.org/officeDocument/2006/relationships/hyperlink" Target="https://eitaa.com/kafil_net" TargetMode="External"/><Relationship Id="rId300" Type="http://schemas.openxmlformats.org/officeDocument/2006/relationships/hyperlink" Target="https://t.me/kafil_net" TargetMode="External"/><Relationship Id="rId327" Type="http://schemas.openxmlformats.org/officeDocument/2006/relationships/hyperlink" Target="https://sapp.ir/heyaat_moheban" TargetMode="External"/><Relationship Id="rId326" Type="http://schemas.openxmlformats.org/officeDocument/2006/relationships/hyperlink" Target="https://www.instagram.com/hmohebban" TargetMode="External"/><Relationship Id="rId325" Type="http://schemas.openxmlformats.org/officeDocument/2006/relationships/hyperlink" Target="https://l.instagram.com/?u=https%3A%2F%2Ft.me%2FNOOROLAEME_NET%3Futm_source%3Dig%26utm_medium%3Dsocial%26utm_content%3Dlink_in_bio%26fbclid%3DPAZXh0bgNhZW0CMTEAc3J0YwZhcHBfaWQMMjU2MjgxMDQwNTU4AAGnDWshMuSnWvlSU_ZnBiojRhK8vPVwAspunPE9ywxoi7n7zCaE4oIeg1flRS8_aem_CX3jSevAXoBm7ErW6g2jtQ&amp;e=AT2Wa9ql-Jk0vU22o0bOPh5SgzaCRsApCfkdILPQMR2oYScEr85c1F9VcN9kG7BxiVNchbsm-y0Hrdef8ECXQRJLWryEgGbYXqFxb1C8rw" TargetMode="External"/><Relationship Id="rId324" Type="http://schemas.openxmlformats.org/officeDocument/2006/relationships/hyperlink" Target="https://www.instagram.com/noorolaeme_live/" TargetMode="External"/><Relationship Id="rId329" Type="http://schemas.openxmlformats.org/officeDocument/2006/relationships/hyperlink" Target="https://www.instagram.com/h_maktab.alhossein/" TargetMode="External"/><Relationship Id="rId328" Type="http://schemas.openxmlformats.org/officeDocument/2006/relationships/hyperlink" Target="https://www.aparat.com/hmohebban" TargetMode="External"/><Relationship Id="rId323" Type="http://schemas.openxmlformats.org/officeDocument/2006/relationships/hyperlink" Target="https://www.youtube.com/@mohebin.ahlalbi" TargetMode="External"/><Relationship Id="rId322" Type="http://schemas.openxmlformats.org/officeDocument/2006/relationships/hyperlink" Target="https://t.me/mohbin_ahlalbyt" TargetMode="External"/><Relationship Id="rId321" Type="http://schemas.openxmlformats.org/officeDocument/2006/relationships/hyperlink" Target="https://www.instagram.com/mohebbin.ahlalbeyt" TargetMode="External"/><Relationship Id="rId320" Type="http://schemas.openxmlformats.org/officeDocument/2006/relationships/hyperlink" Target="https://www.instagram.com/heat_ali_alakbar/" TargetMode="External"/><Relationship Id="rId316" Type="http://schemas.openxmlformats.org/officeDocument/2006/relationships/hyperlink" Target="https://l.instagram.com/?u=http%3A%2F%2Ft.me%2FRayatolmahdi59%3Ffbclid%3DPAZXh0bgNhZW0CMTEAAacN7y4NdLP-9voQaD-FUVBKIVBiIfFosC6nrkhfDJZhbJWElWUokIoCpszlEg_aem_gYV8DtTKGAIqOEXVa_eRrA&amp;e=AT2RCNvnIJXsrz-VW5kMot_obCreEwBfIIndq10dKEjpgMeQg111CfUAJNs_by-nEwvvusqI1VCP2wdSobHiZCz7NZIoa2THgS5NfwY" TargetMode="External"/><Relationship Id="rId315" Type="http://schemas.openxmlformats.org/officeDocument/2006/relationships/hyperlink" Target="https://www.instagram.com/rayatolmahdi59/?hl=en" TargetMode="External"/><Relationship Id="rId314" Type="http://schemas.openxmlformats.org/officeDocument/2006/relationships/hyperlink" Target="https://www.youtube.com/@alfatemiyon313" TargetMode="External"/><Relationship Id="rId313" Type="http://schemas.openxmlformats.org/officeDocument/2006/relationships/hyperlink" Target="https://t.me/alfatemiyon313" TargetMode="External"/><Relationship Id="rId319" Type="http://schemas.openxmlformats.org/officeDocument/2006/relationships/hyperlink" Target="https://www.instagram.com/heyat_alialkbar" TargetMode="External"/><Relationship Id="rId318" Type="http://schemas.openxmlformats.org/officeDocument/2006/relationships/hyperlink" Target="https://eitaa.com/masjed_sahebazaman_shahrknaft" TargetMode="External"/><Relationship Id="rId317" Type="http://schemas.openxmlformats.org/officeDocument/2006/relationships/hyperlink" Target="https://www.instagram.com/seyedehzeinab_ahwaz/" TargetMode="External"/><Relationship Id="rId312" Type="http://schemas.openxmlformats.org/officeDocument/2006/relationships/hyperlink" Target="https://www.instagram.com/alfatemiyon313" TargetMode="External"/><Relationship Id="rId311" Type="http://schemas.openxmlformats.org/officeDocument/2006/relationships/hyperlink" Target="https://eitaa.com/khodamolabas_ir" TargetMode="External"/><Relationship Id="rId310" Type="http://schemas.openxmlformats.org/officeDocument/2006/relationships/hyperlink" Target="https://t.me/khodamolabas_ir" TargetMode="External"/><Relationship Id="rId297" Type="http://schemas.openxmlformats.org/officeDocument/2006/relationships/hyperlink" Target="https://t.me/ansaralhojah1" TargetMode="External"/><Relationship Id="rId296" Type="http://schemas.openxmlformats.org/officeDocument/2006/relationships/hyperlink" Target="https://www.instagram.com/ansaralhojah" TargetMode="External"/><Relationship Id="rId295" Type="http://schemas.openxmlformats.org/officeDocument/2006/relationships/hyperlink" Target="https://eitaa.com/imamhussain_ahvaz" TargetMode="External"/><Relationship Id="rId294" Type="http://schemas.openxmlformats.org/officeDocument/2006/relationships/hyperlink" Target="https://eitaa.com/imamhussain_ahvaz" TargetMode="External"/><Relationship Id="rId299" Type="http://schemas.openxmlformats.org/officeDocument/2006/relationships/hyperlink" Target="https://www.instagram.com/kafil_net" TargetMode="External"/><Relationship Id="rId298" Type="http://schemas.openxmlformats.org/officeDocument/2006/relationships/hyperlink" Target="https://eitaa.com/Ansar_alhojah" TargetMode="External"/><Relationship Id="rId271" Type="http://schemas.openxmlformats.org/officeDocument/2006/relationships/hyperlink" Target="https://www.instagram.com/damat_roghaye315" TargetMode="External"/><Relationship Id="rId270" Type="http://schemas.openxmlformats.org/officeDocument/2006/relationships/hyperlink" Target="https://www.instagram.com/hoseinieh_alabbasieh/" TargetMode="External"/><Relationship Id="rId269" Type="http://schemas.openxmlformats.org/officeDocument/2006/relationships/hyperlink" Target="https://www.instagram.com/hoseinieh_alzainabieh/" TargetMode="External"/><Relationship Id="rId264" Type="http://schemas.openxmlformats.org/officeDocument/2006/relationships/hyperlink" Target="https://eitaa.com/vajih128" TargetMode="External"/><Relationship Id="rId263" Type="http://schemas.openxmlformats.org/officeDocument/2006/relationships/hyperlink" Target="https://www.instagram.com/vajih128" TargetMode="External"/><Relationship Id="rId262" Type="http://schemas.openxmlformats.org/officeDocument/2006/relationships/hyperlink" Target="https://www.instagram.com/nojavananashoorai" TargetMode="External"/><Relationship Id="rId261" Type="http://schemas.openxmlformats.org/officeDocument/2006/relationships/hyperlink" Target="https://www.instagram.com/mokebkarbala" TargetMode="External"/><Relationship Id="rId268" Type="http://schemas.openxmlformats.org/officeDocument/2006/relationships/hyperlink" Target="https://eitaa.com/heyat_khoddam" TargetMode="External"/><Relationship Id="rId267" Type="http://schemas.openxmlformats.org/officeDocument/2006/relationships/hyperlink" Target="https://www.instagram.com/heyat_khoddam/" TargetMode="External"/><Relationship Id="rId266" Type="http://schemas.openxmlformats.org/officeDocument/2006/relationships/hyperlink" Target="https://eitaa.com/abaalfazlalabas133" TargetMode="External"/><Relationship Id="rId265" Type="http://schemas.openxmlformats.org/officeDocument/2006/relationships/hyperlink" Target="https://www.instagram.com/abaalfazlalabas133/" TargetMode="External"/><Relationship Id="rId260" Type="http://schemas.openxmlformats.org/officeDocument/2006/relationships/hyperlink" Target="https://t.me/marasemeeshgh_ahwaz" TargetMode="External"/><Relationship Id="rId259" Type="http://schemas.openxmlformats.org/officeDocument/2006/relationships/hyperlink" Target="https://www.instagram.com/maraseme.eshgh" TargetMode="External"/><Relationship Id="rId258" Type="http://schemas.openxmlformats.org/officeDocument/2006/relationships/hyperlink" Target="https://www.instagram.com/heyat_aliasghar_aliakbar/" TargetMode="External"/><Relationship Id="rId253" Type="http://schemas.openxmlformats.org/officeDocument/2006/relationships/hyperlink" Target="https://eitaa.com/motevaselin_ir" TargetMode="External"/><Relationship Id="rId252" Type="http://schemas.openxmlformats.org/officeDocument/2006/relationships/hyperlink" Target="https://eitaa.com/Heyaat_beynol_harameyn_omd" TargetMode="External"/><Relationship Id="rId251" Type="http://schemas.openxmlformats.org/officeDocument/2006/relationships/hyperlink" Target="https://www.instagram.com/heyaat.beynol.harameyn.omd/" TargetMode="External"/><Relationship Id="rId250" Type="http://schemas.openxmlformats.org/officeDocument/2006/relationships/hyperlink" Target="https://eitaa.com/mahda_abadan" TargetMode="External"/><Relationship Id="rId257" Type="http://schemas.openxmlformats.org/officeDocument/2006/relationships/hyperlink" Target="https://eitaa.com/Heiat_Alamdar_Hosein" TargetMode="External"/><Relationship Id="rId256" Type="http://schemas.openxmlformats.org/officeDocument/2006/relationships/hyperlink" Target="https://www.instagram.com/heiat_alamdar_hosein" TargetMode="External"/><Relationship Id="rId255" Type="http://schemas.openxmlformats.org/officeDocument/2006/relationships/hyperlink" Target="https://t.me/daralmohsn" TargetMode="External"/><Relationship Id="rId254" Type="http://schemas.openxmlformats.org/officeDocument/2006/relationships/hyperlink" Target="https://www.instagram.com/dar_almohsen158/" TargetMode="External"/><Relationship Id="rId293" Type="http://schemas.openxmlformats.org/officeDocument/2006/relationships/hyperlink" Target="https://www.instagram.com/imamhussain_ahvaz/" TargetMode="External"/><Relationship Id="rId292" Type="http://schemas.openxmlformats.org/officeDocument/2006/relationships/hyperlink" Target="https://www.instagram.com/ahvz_heyat/" TargetMode="External"/><Relationship Id="rId291" Type="http://schemas.openxmlformats.org/officeDocument/2006/relationships/hyperlink" Target="https://www.instagram.com/heat.ansar/" TargetMode="External"/><Relationship Id="rId290" Type="http://schemas.openxmlformats.org/officeDocument/2006/relationships/hyperlink" Target="https://t.me/babalhavaejj1384" TargetMode="External"/><Relationship Id="rId286" Type="http://schemas.openxmlformats.org/officeDocument/2006/relationships/hyperlink" Target="https://www.instagram.com/zeynabiyon_ab" TargetMode="External"/><Relationship Id="rId285" Type="http://schemas.openxmlformats.org/officeDocument/2006/relationships/hyperlink" Target="https://www.instagram.com/mahale_karsara" TargetMode="External"/><Relationship Id="rId284" Type="http://schemas.openxmlformats.org/officeDocument/2006/relationships/hyperlink" Target="https://eitaa.com/ghasemiyon" TargetMode="External"/><Relationship Id="rId283" Type="http://schemas.openxmlformats.org/officeDocument/2006/relationships/hyperlink" Target="https://eitaa.com/alamdar_karbala_72" TargetMode="External"/><Relationship Id="rId289" Type="http://schemas.openxmlformats.org/officeDocument/2006/relationships/hyperlink" Target="https://www.instagram.com/babalhavaej1384/" TargetMode="External"/><Relationship Id="rId288" Type="http://schemas.openxmlformats.org/officeDocument/2006/relationships/hyperlink" Target="https://eitaa.com/s/zeynabiyon_ab" TargetMode="External"/><Relationship Id="rId287" Type="http://schemas.openxmlformats.org/officeDocument/2006/relationships/hyperlink" Target="https://t.me/zeynabiyon_ab" TargetMode="External"/><Relationship Id="rId282" Type="http://schemas.openxmlformats.org/officeDocument/2006/relationships/hyperlink" Target="https://www.instagram.com/alamdar_karbala_96/?hl=ar" TargetMode="External"/><Relationship Id="rId281" Type="http://schemas.openxmlformats.org/officeDocument/2006/relationships/hyperlink" Target="https://www.instagram.com/heyat.jh" TargetMode="External"/><Relationship Id="rId280" Type="http://schemas.openxmlformats.org/officeDocument/2006/relationships/hyperlink" Target="https://www.instagram.com/heyat_bkatu" TargetMode="External"/><Relationship Id="rId275" Type="http://schemas.openxmlformats.org/officeDocument/2006/relationships/hyperlink" Target="https://www.instagram.com/heyat_montazeran.313/" TargetMode="External"/><Relationship Id="rId274" Type="http://schemas.openxmlformats.org/officeDocument/2006/relationships/hyperlink" Target="https://www.instagram.com/maktab_al_hassan118/" TargetMode="External"/><Relationship Id="rId273" Type="http://schemas.openxmlformats.org/officeDocument/2006/relationships/hyperlink" Target="https://eitaa.com/mohebanvelayat" TargetMode="External"/><Relationship Id="rId272" Type="http://schemas.openxmlformats.org/officeDocument/2006/relationships/hyperlink" Target="https://www.instagram.com/mohebanvelaya/" TargetMode="External"/><Relationship Id="rId279" Type="http://schemas.openxmlformats.org/officeDocument/2006/relationships/hyperlink" Target="https://www.youtube.com/@heiatalreza_behbahan8" TargetMode="External"/><Relationship Id="rId278" Type="http://schemas.openxmlformats.org/officeDocument/2006/relationships/hyperlink" Target="https://www.instagram.com/heiatalreza_behbahan8" TargetMode="External"/><Relationship Id="rId277" Type="http://schemas.openxmlformats.org/officeDocument/2006/relationships/hyperlink" Target="https://eitaa.com/razmandeganmahshahr" TargetMode="External"/><Relationship Id="rId276" Type="http://schemas.openxmlformats.org/officeDocument/2006/relationships/hyperlink" Target="https://t.me/heiat_montazeran313ir" TargetMode="External"/><Relationship Id="rId228" Type="http://schemas.openxmlformats.org/officeDocument/2006/relationships/hyperlink" Target="https://www.instagram.com/mahale_koore.str/" TargetMode="External"/><Relationship Id="rId227" Type="http://schemas.openxmlformats.org/officeDocument/2006/relationships/hyperlink" Target="https://www.instagram.com/moheban.aleyasin.str" TargetMode="External"/><Relationship Id="rId226" Type="http://schemas.openxmlformats.org/officeDocument/2006/relationships/hyperlink" Target="https://www.instagram.com/hosseiniyeh_doldol.str/" TargetMode="External"/><Relationship Id="rId225" Type="http://schemas.openxmlformats.org/officeDocument/2006/relationships/hyperlink" Target="https://www.instagram.com/boleyti.heiat/" TargetMode="External"/><Relationship Id="rId229" Type="http://schemas.openxmlformats.org/officeDocument/2006/relationships/hyperlink" Target="https://www.instagram.com/beytolroghayeh3" TargetMode="External"/><Relationship Id="rId220" Type="http://schemas.openxmlformats.org/officeDocument/2006/relationships/hyperlink" Target="https://www.instagram.com/ahbabalhussain1345/" TargetMode="External"/><Relationship Id="rId224" Type="http://schemas.openxmlformats.org/officeDocument/2006/relationships/hyperlink" Target="https://www.instagram.com/rayatalabbas_shoushtar/" TargetMode="External"/><Relationship Id="rId223" Type="http://schemas.openxmlformats.org/officeDocument/2006/relationships/hyperlink" Target="https://www.instagram.com/shushtarkhademalreza/" TargetMode="External"/><Relationship Id="rId222" Type="http://schemas.openxmlformats.org/officeDocument/2006/relationships/hyperlink" Target="https://www.instagram.com/masjed.sheykh.jafar" TargetMode="External"/><Relationship Id="rId221" Type="http://schemas.openxmlformats.org/officeDocument/2006/relationships/hyperlink" Target="https://www.instagram.com/beynolharameyn.shushtar/" TargetMode="External"/><Relationship Id="rId217" Type="http://schemas.openxmlformats.org/officeDocument/2006/relationships/hyperlink" Target="https://www.instagram.com/masjedesajjad_ir" TargetMode="External"/><Relationship Id="rId216" Type="http://schemas.openxmlformats.org/officeDocument/2006/relationships/hyperlink" Target="https://www.instagram.com/heyat_mohibiy_alzahra/" TargetMode="External"/><Relationship Id="rId215" Type="http://schemas.openxmlformats.org/officeDocument/2006/relationships/hyperlink" Target="https://www.instagram.com/moheban.karim.ahl.beyt/?hl=en" TargetMode="External"/><Relationship Id="rId214" Type="http://schemas.openxmlformats.org/officeDocument/2006/relationships/hyperlink" Target="https://l.instagram.com/?u=http%3A%2F%2Ft.me%2Fcham_khalaf_official%3Futm_source%3Dig%26utm_medium%3Dsocial%26utm_content%3Dlink_in_bio%26fbclid%3DPAZXh0bgNhZW0CMTEAc3J0YwZhcHBfaWQMMjU2MjgxMDQwNTU4AAGnFFQRmTVZPnbqKePyhaz02Cu1emupH2OBcJ8Ww8FKoYfRYVlKGPQkKzoe0_k_aem_XSDTvgvyOYUgNMB6YTmumQ&amp;e=AT1dDqHm7zg4IP24SjwyrXd7BCM21PfvmOtxHqx23I0iz1dE7ibYL4Lh1C0pSUlqHeL6gOTmztVd7IzMyPd9LQtUoQPd1DplIsluexIohw" TargetMode="External"/><Relationship Id="rId219" Type="http://schemas.openxmlformats.org/officeDocument/2006/relationships/hyperlink" Target="https://www.instagram.com/heyat_sarala/" TargetMode="External"/><Relationship Id="rId218" Type="http://schemas.openxmlformats.org/officeDocument/2006/relationships/hyperlink" Target="https://t.me/Masjed_Sajjad_Shush" TargetMode="External"/><Relationship Id="rId213" Type="http://schemas.openxmlformats.org/officeDocument/2006/relationships/hyperlink" Target="https://www.instagram.com/cham_khalaf_official/" TargetMode="External"/><Relationship Id="rId212" Type="http://schemas.openxmlformats.org/officeDocument/2006/relationships/hyperlink" Target="https://www.instagram.com/shem.a4794/" TargetMode="External"/><Relationship Id="rId211" Type="http://schemas.openxmlformats.org/officeDocument/2006/relationships/hyperlink" Target="https://www.instagram.com/heyatrahrowan_dhz/" TargetMode="External"/><Relationship Id="rId210" Type="http://schemas.openxmlformats.org/officeDocument/2006/relationships/hyperlink" Target="https://t.me/marshkornasian" TargetMode="External"/><Relationship Id="rId249" Type="http://schemas.openxmlformats.org/officeDocument/2006/relationships/hyperlink" Target="https://www.instagram.com/mahda_abadan/" TargetMode="External"/><Relationship Id="rId248" Type="http://schemas.openxmlformats.org/officeDocument/2006/relationships/hyperlink" Target="https://www.instagram.com/maktabosadegh128/" TargetMode="External"/><Relationship Id="rId247" Type="http://schemas.openxmlformats.org/officeDocument/2006/relationships/hyperlink" Target="https://www.instagram.com/hoseiniye_shohadaye_abadan" TargetMode="External"/><Relationship Id="rId242" Type="http://schemas.openxmlformats.org/officeDocument/2006/relationships/hyperlink" Target="https://www.instagram.com/khatam_media" TargetMode="External"/><Relationship Id="rId241" Type="http://schemas.openxmlformats.org/officeDocument/2006/relationships/hyperlink" Target="https://www.instagram.com/hoseiniy_hosen_ebnali_abadan/" TargetMode="External"/><Relationship Id="rId240" Type="http://schemas.openxmlformats.org/officeDocument/2006/relationships/hyperlink" Target="https://www.youtube.com/@Beytolahzanabadan" TargetMode="External"/><Relationship Id="rId246" Type="http://schemas.openxmlformats.org/officeDocument/2006/relationships/hyperlink" Target="https://eitaa.com/s/safir_alhosein_abadan" TargetMode="External"/><Relationship Id="rId245" Type="http://schemas.openxmlformats.org/officeDocument/2006/relationships/hyperlink" Target="https://t.me/safir_alhosein_abadan" TargetMode="External"/><Relationship Id="rId244" Type="http://schemas.openxmlformats.org/officeDocument/2006/relationships/hyperlink" Target="https://www.instagram.com/safiralhosein_abadan/" TargetMode="External"/><Relationship Id="rId243" Type="http://schemas.openxmlformats.org/officeDocument/2006/relationships/hyperlink" Target="https://t.me/ya_khatam_abadan" TargetMode="External"/><Relationship Id="rId239" Type="http://schemas.openxmlformats.org/officeDocument/2006/relationships/hyperlink" Target="https://www.instagram.com/beytolahzanabadan" TargetMode="External"/><Relationship Id="rId238" Type="http://schemas.openxmlformats.org/officeDocument/2006/relationships/hyperlink" Target="https://t.me/hsgfaomnvc213" TargetMode="External"/><Relationship Id="rId237" Type="http://schemas.openxmlformats.org/officeDocument/2006/relationships/hyperlink" Target="https://www.instagram.com/rao___213/" TargetMode="External"/><Relationship Id="rId236" Type="http://schemas.openxmlformats.org/officeDocument/2006/relationships/hyperlink" Target="https://www.youtube.com/@ansar.alhosainhovizeh" TargetMode="External"/><Relationship Id="rId231" Type="http://schemas.openxmlformats.org/officeDocument/2006/relationships/hyperlink" Target="https://www.instagram.com/khodam___alhossein/" TargetMode="External"/><Relationship Id="rId230" Type="http://schemas.openxmlformats.org/officeDocument/2006/relationships/hyperlink" Target="https://ble.ir/beytolroghayeh3" TargetMode="External"/><Relationship Id="rId235" Type="http://schemas.openxmlformats.org/officeDocument/2006/relationships/hyperlink" Target="https://www.instagram.com/ansar_al_hossein/" TargetMode="External"/><Relationship Id="rId234" Type="http://schemas.openxmlformats.org/officeDocument/2006/relationships/hyperlink" Target="https://www.instagram.com/h_a_alhojah/" TargetMode="External"/><Relationship Id="rId233" Type="http://schemas.openxmlformats.org/officeDocument/2006/relationships/hyperlink" Target="https://www.instagram.com/fatemiyon_h/" TargetMode="External"/><Relationship Id="rId232" Type="http://schemas.openxmlformats.org/officeDocument/2006/relationships/hyperlink" Target="https://www.instagram.com/heyatsahebzaman1355/" TargetMode="External"/><Relationship Id="rId206" Type="http://schemas.openxmlformats.org/officeDocument/2006/relationships/hyperlink" Target="https://www.instagram.com/emamzadehheydar/" TargetMode="External"/><Relationship Id="rId205" Type="http://schemas.openxmlformats.org/officeDocument/2006/relationships/hyperlink" Target="https://eitaa.com/dokhtaran_bik" TargetMode="External"/><Relationship Id="rId204" Type="http://schemas.openxmlformats.org/officeDocument/2006/relationships/hyperlink" Target="https://www.instagram.com/ghasem_ebnelhassan/" TargetMode="External"/><Relationship Id="rId203" Type="http://schemas.openxmlformats.org/officeDocument/2006/relationships/hyperlink" Target="https://eitaa.com/gahvareh_info" TargetMode="External"/><Relationship Id="rId209" Type="http://schemas.openxmlformats.org/officeDocument/2006/relationships/hyperlink" Target="https://www.instagram.com/marsh_kornasian.1360/" TargetMode="External"/><Relationship Id="rId208" Type="http://schemas.openxmlformats.org/officeDocument/2006/relationships/hyperlink" Target="https://eitaa.com/zainabion_ir" TargetMode="External"/><Relationship Id="rId207" Type="http://schemas.openxmlformats.org/officeDocument/2006/relationships/hyperlink" Target="https://www.instagram.com/moheban81beh" TargetMode="External"/><Relationship Id="rId202" Type="http://schemas.openxmlformats.org/officeDocument/2006/relationships/hyperlink" Target="https://www.instagram.com/gahvareh_info/" TargetMode="External"/><Relationship Id="rId201" Type="http://schemas.openxmlformats.org/officeDocument/2006/relationships/hyperlink" Target="https://eitaa.com/s/Jannatolhosein128" TargetMode="External"/><Relationship Id="rId200" Type="http://schemas.openxmlformats.org/officeDocument/2006/relationships/hyperlink" Target="https://t.me/jannatolhosein128" TargetMode="External"/><Relationship Id="rId509" Type="http://schemas.openxmlformats.org/officeDocument/2006/relationships/hyperlink" Target="https://www.instagram.com/masjed.besat.dezful/" TargetMode="External"/><Relationship Id="rId508" Type="http://schemas.openxmlformats.org/officeDocument/2006/relationships/hyperlink" Target="https://www.instagram.com/masjed_besat_dezful/" TargetMode="External"/><Relationship Id="rId503" Type="http://schemas.openxmlformats.org/officeDocument/2006/relationships/hyperlink" Target="https://www.instagram.com/emam.reza.dezful/" TargetMode="External"/><Relationship Id="rId502" Type="http://schemas.openxmlformats.org/officeDocument/2006/relationships/hyperlink" Target="https://www.instagram.com/heyat_iaudez" TargetMode="External"/><Relationship Id="rId501" Type="http://schemas.openxmlformats.org/officeDocument/2006/relationships/hyperlink" Target="https://www.instagram.com/heyat_shohday_kargar/" TargetMode="External"/><Relationship Id="rId500" Type="http://schemas.openxmlformats.org/officeDocument/2006/relationships/hyperlink" Target="https://t.me/hoseinieh_shohada_dezful" TargetMode="External"/><Relationship Id="rId507" Type="http://schemas.openxmlformats.org/officeDocument/2006/relationships/hyperlink" Target="https://www.instagram.com/heyat_hejlegah_qasem/" TargetMode="External"/><Relationship Id="rId506" Type="http://schemas.openxmlformats.org/officeDocument/2006/relationships/hyperlink" Target="https://www.instagram.com/ghamar_benjafar/" TargetMode="External"/><Relationship Id="rId505" Type="http://schemas.openxmlformats.org/officeDocument/2006/relationships/hyperlink" Target="https://www.instagram.com/takiye_asheqan_hoseyni/" TargetMode="External"/><Relationship Id="rId504" Type="http://schemas.openxmlformats.org/officeDocument/2006/relationships/hyperlink" Target="https://www.instagram.com/heyat.saheb.alzaman/" TargetMode="External"/><Relationship Id="rId525" Type="http://schemas.openxmlformats.org/officeDocument/2006/relationships/hyperlink" Target="https://www.instagram.com/matamkade_narjes_khatoon/" TargetMode="External"/><Relationship Id="rId524" Type="http://schemas.openxmlformats.org/officeDocument/2006/relationships/hyperlink" Target="https://t.me/kafolabbas_ir" TargetMode="External"/><Relationship Id="rId523" Type="http://schemas.openxmlformats.org/officeDocument/2006/relationships/hyperlink" Target="https://www.instagram.com/kafolabas_ir/" TargetMode="External"/><Relationship Id="rId522" Type="http://schemas.openxmlformats.org/officeDocument/2006/relationships/hyperlink" Target="https://www.instagram.com/hoseiniye.kazemeyn.dezfoul/" TargetMode="External"/><Relationship Id="rId529" Type="http://schemas.openxmlformats.org/officeDocument/2006/relationships/hyperlink" Target="https://www.instagram.com/moheban_ali_ir_/?hl=en" TargetMode="External"/><Relationship Id="rId528" Type="http://schemas.openxmlformats.org/officeDocument/2006/relationships/hyperlink" Target="https://t.me/abasiehir" TargetMode="External"/><Relationship Id="rId527" Type="http://schemas.openxmlformats.org/officeDocument/2006/relationships/hyperlink" Target="https://www.instagram.com/abasieh.ir/" TargetMode="External"/><Relationship Id="rId526" Type="http://schemas.openxmlformats.org/officeDocument/2006/relationships/hyperlink" Target="https://t.me/matamkadehazratnarjeskhaton" TargetMode="External"/><Relationship Id="rId521" Type="http://schemas.openxmlformats.org/officeDocument/2006/relationships/hyperlink" Target="https://eitaa.com/hosseinieh_fatemh_alzahra" TargetMode="External"/><Relationship Id="rId520" Type="http://schemas.openxmlformats.org/officeDocument/2006/relationships/hyperlink" Target="https://t.me/fadakieh_beytolahzan" TargetMode="External"/><Relationship Id="rId519" Type="http://schemas.openxmlformats.org/officeDocument/2006/relationships/hyperlink" Target="https://www.instagram.com/hosseinieh.fatemeh.alzahra/" TargetMode="External"/><Relationship Id="rId514" Type="http://schemas.openxmlformats.org/officeDocument/2006/relationships/hyperlink" Target="https://www.instagram.com/alamdar_heyat/" TargetMode="External"/><Relationship Id="rId513" Type="http://schemas.openxmlformats.org/officeDocument/2006/relationships/hyperlink" Target="https://www.instagram.com/hoseynieh.alamabbas/" TargetMode="External"/><Relationship Id="rId512" Type="http://schemas.openxmlformats.org/officeDocument/2006/relationships/hyperlink" Target="https://t.me/heyat_totonchi" TargetMode="External"/><Relationship Id="rId511" Type="http://schemas.openxmlformats.org/officeDocument/2006/relationships/hyperlink" Target="https://www.instagram.com/heyat_totonchi/" TargetMode="External"/><Relationship Id="rId518" Type="http://schemas.openxmlformats.org/officeDocument/2006/relationships/hyperlink" Target="https://eitaa.com/sh_farokhi" TargetMode="External"/><Relationship Id="rId517" Type="http://schemas.openxmlformats.org/officeDocument/2006/relationships/hyperlink" Target="https://www.instagram.com/alghadir_dez/" TargetMode="External"/><Relationship Id="rId516" Type="http://schemas.openxmlformats.org/officeDocument/2006/relationships/hyperlink" Target="https://t.me/mobinrezazadeh70" TargetMode="External"/><Relationship Id="rId515" Type="http://schemas.openxmlformats.org/officeDocument/2006/relationships/hyperlink" Target="https://www.instagram.com/masjed_aliabneabitaleb_dezfoul/" TargetMode="External"/><Relationship Id="rId510" Type="http://schemas.openxmlformats.org/officeDocument/2006/relationships/hyperlink" Target="https://www.instagram.com/mosque.alavie.dez/" TargetMode="External"/><Relationship Id="rId590" Type="http://schemas.openxmlformats.org/officeDocument/2006/relationships/hyperlink" Target="https://www.instagram.com/jan__nsaran/" TargetMode="External"/><Relationship Id="rId589" Type="http://schemas.openxmlformats.org/officeDocument/2006/relationships/hyperlink" Target="https://t.me/heyat_yousef_alzahra" TargetMode="External"/><Relationship Id="rId588" Type="http://schemas.openxmlformats.org/officeDocument/2006/relationships/hyperlink" Target="https://www.instagram.com/heyat_yosefalzahra_shoushtar/" TargetMode="External"/><Relationship Id="rId583" Type="http://schemas.openxmlformats.org/officeDocument/2006/relationships/hyperlink" Target="https://eitaa.com/heyatfatemioonlongor" TargetMode="External"/><Relationship Id="rId582" Type="http://schemas.openxmlformats.org/officeDocument/2006/relationships/hyperlink" Target="https://www.instagram.com/heyatfatemioonlongor/" TargetMode="External"/><Relationship Id="rId581" Type="http://schemas.openxmlformats.org/officeDocument/2006/relationships/hyperlink" Target="https://eitaa.com/heyatolreza83" TargetMode="External"/><Relationship Id="rId580" Type="http://schemas.openxmlformats.org/officeDocument/2006/relationships/hyperlink" Target="https://eitaa.com/heyatolreza83" TargetMode="External"/><Relationship Id="rId587" Type="http://schemas.openxmlformats.org/officeDocument/2006/relationships/hyperlink" Target="https://www.instagram.com/magham_alishoshtar/" TargetMode="External"/><Relationship Id="rId586" Type="http://schemas.openxmlformats.org/officeDocument/2006/relationships/hyperlink" Target="https://t.me/mohebanaltaha313" TargetMode="External"/><Relationship Id="rId585" Type="http://schemas.openxmlformats.org/officeDocument/2006/relationships/hyperlink" Target="https://www.instagram.com/heyat_al.taha313" TargetMode="External"/><Relationship Id="rId584" Type="http://schemas.openxmlformats.org/officeDocument/2006/relationships/hyperlink" Target="https://www.instagram.com/fadaeiyon_seyedezeynab" TargetMode="External"/><Relationship Id="rId579" Type="http://schemas.openxmlformats.org/officeDocument/2006/relationships/hyperlink" Target="https://www.instagram.com/heyatolreza83" TargetMode="External"/><Relationship Id="rId578" Type="http://schemas.openxmlformats.org/officeDocument/2006/relationships/hyperlink" Target="https://eitaa.com/masjed_allameh" TargetMode="External"/><Relationship Id="rId577" Type="http://schemas.openxmlformats.org/officeDocument/2006/relationships/hyperlink" Target="https://www.instagram.com/masjed_allameh/" TargetMode="External"/><Relationship Id="rId572" Type="http://schemas.openxmlformats.org/officeDocument/2006/relationships/hyperlink" Target="https://www.instagram.com/heyate_seyedalshohada" TargetMode="External"/><Relationship Id="rId571" Type="http://schemas.openxmlformats.org/officeDocument/2006/relationships/hyperlink" Target="https://www.instagram.com/heyat_sadat_313/" TargetMode="External"/><Relationship Id="rId570" Type="http://schemas.openxmlformats.org/officeDocument/2006/relationships/hyperlink" Target="https://www.instagram.com/ashuraee.str/" TargetMode="External"/><Relationship Id="rId576" Type="http://schemas.openxmlformats.org/officeDocument/2006/relationships/hyperlink" Target="https://www.instagram.com/oshagh128_1390/" TargetMode="External"/><Relationship Id="rId575" Type="http://schemas.openxmlformats.org/officeDocument/2006/relationships/hyperlink" Target="https://t.me/asheghan_abas_str" TargetMode="External"/><Relationship Id="rId574" Type="http://schemas.openxmlformats.org/officeDocument/2006/relationships/hyperlink" Target="https://www.instagram.com/asheghanabas_313/" TargetMode="External"/><Relationship Id="rId573" Type="http://schemas.openxmlformats.org/officeDocument/2006/relationships/hyperlink" Target="https://www.instagram.com/heyat_sadeghione_shoushtar" TargetMode="External"/><Relationship Id="rId599" Type="http://schemas.openxmlformats.org/officeDocument/2006/relationships/hyperlink" Target="https://www.instagram.com/faegh_ir/" TargetMode="External"/><Relationship Id="rId594" Type="http://schemas.openxmlformats.org/officeDocument/2006/relationships/hyperlink" Target="https://www.instagram.com/shahzadeh.art/" TargetMode="External"/><Relationship Id="rId593" Type="http://schemas.openxmlformats.org/officeDocument/2006/relationships/hyperlink" Target="https://www.instagram.com/ahali.alhoveyzeh/" TargetMode="External"/><Relationship Id="rId592" Type="http://schemas.openxmlformats.org/officeDocument/2006/relationships/hyperlink" Target="https://eitaa.com/heyatorezahendijan" TargetMode="External"/><Relationship Id="rId591" Type="http://schemas.openxmlformats.org/officeDocument/2006/relationships/hyperlink" Target="https://eitaa.com/zohoor7kL" TargetMode="External"/><Relationship Id="rId598" Type="http://schemas.openxmlformats.org/officeDocument/2006/relationships/hyperlink" Target="https://www.instagram.com/najaf.stori/" TargetMode="External"/><Relationship Id="rId597" Type="http://schemas.openxmlformats.org/officeDocument/2006/relationships/hyperlink" Target="https://www.instagram.com/haora_studioo/" TargetMode="External"/><Relationship Id="rId596" Type="http://schemas.openxmlformats.org/officeDocument/2006/relationships/hyperlink" Target="https://www.instagram.com/alghameh_media/" TargetMode="External"/><Relationship Id="rId595" Type="http://schemas.openxmlformats.org/officeDocument/2006/relationships/hyperlink" Target="https://www.instagram.com/315info/" TargetMode="External"/><Relationship Id="rId547" Type="http://schemas.openxmlformats.org/officeDocument/2006/relationships/hyperlink" Target="https://eitaa.com/heyat_fzu" TargetMode="External"/><Relationship Id="rId546" Type="http://schemas.openxmlformats.org/officeDocument/2006/relationships/hyperlink" Target="https://www.instagram.com/heyat_fzu" TargetMode="External"/><Relationship Id="rId545" Type="http://schemas.openxmlformats.org/officeDocument/2006/relationships/hyperlink" Target="https://eitaa.com/shohadaye_gomnam_rmz" TargetMode="External"/><Relationship Id="rId544" Type="http://schemas.openxmlformats.org/officeDocument/2006/relationships/hyperlink" Target="https://eitaa.com/hosseinjan_rmz" TargetMode="External"/><Relationship Id="rId549" Type="http://schemas.openxmlformats.org/officeDocument/2006/relationships/hyperlink" Target="https://eitaa.com/Karime_rmz" TargetMode="External"/><Relationship Id="rId548" Type="http://schemas.openxmlformats.org/officeDocument/2006/relationships/hyperlink" Target="https://www.instagram.com/karime_rmzz/" TargetMode="External"/><Relationship Id="rId543" Type="http://schemas.openxmlformats.org/officeDocument/2006/relationships/hyperlink" Target="https://t.me/hosseinjan_rmz" TargetMode="External"/><Relationship Id="rId542" Type="http://schemas.openxmlformats.org/officeDocument/2006/relationships/hyperlink" Target="https://www.instagram.com/hosseinjan_rmz" TargetMode="External"/><Relationship Id="rId541" Type="http://schemas.openxmlformats.org/officeDocument/2006/relationships/hyperlink" Target="https://eitaa.com/alheydar_rmz" TargetMode="External"/><Relationship Id="rId540" Type="http://schemas.openxmlformats.org/officeDocument/2006/relationships/hyperlink" Target="https://www.instagram.com/hyat_ghasem_ramshir/" TargetMode="External"/><Relationship Id="rId536" Type="http://schemas.openxmlformats.org/officeDocument/2006/relationships/hyperlink" Target="https://eitaa.com/yalesaratdezful" TargetMode="External"/><Relationship Id="rId535" Type="http://schemas.openxmlformats.org/officeDocument/2006/relationships/hyperlink" Target="https://www.instagram.com/yalesaratdez/" TargetMode="External"/><Relationship Id="rId534" Type="http://schemas.openxmlformats.org/officeDocument/2006/relationships/hyperlink" Target="https://www.instagram.com/maktabalabbas/" TargetMode="External"/><Relationship Id="rId533" Type="http://schemas.openxmlformats.org/officeDocument/2006/relationships/hyperlink" Target="https://t.me/fatemiedezfulir" TargetMode="External"/><Relationship Id="rId539" Type="http://schemas.openxmlformats.org/officeDocument/2006/relationships/hyperlink" Target="https://l.instagram.com/?u=https%3A%2F%2Ft.me%2Fthe_thaqalain%3Futm_source%3Dig%26utm_medium%3Dsocial%26utm_content%3Dlink_in_bio%26fbclid%3DPAZXh0bgNhZW0CMTEAc3J0YwZhcHBfaWQMMjU2MjgxMDQwNTU4AAGnzXTPH7JtL_HmKarY5JaajrGRiRwp4X7RZ3bVVeUH3J1uexgxBWzQtnOrzes_aem_9ZWsoqYKPMU00HzeAgcfiw&amp;e=AT1NiY5W6KTh8jpOXavXdeEarVq_jTO2Jw0HpvZNV5lMc3Cr-zfjEucLUEkq_T_dwN12u1mu1rft4kgTib14fJmO7wx0T0d6zKRWQSywZw" TargetMode="External"/><Relationship Id="rId538" Type="http://schemas.openxmlformats.org/officeDocument/2006/relationships/hyperlink" Target="https://www.instagram.com/thaqalainheyat/" TargetMode="External"/><Relationship Id="rId537" Type="http://schemas.openxmlformats.org/officeDocument/2006/relationships/hyperlink" Target="https://l.instagram.com/?u=http%3A%2F%2Fwww.yalesaratdez.ir%2F%3Ffbclid%3DPAZXh0bgNhZW0CMTEAAafeSF74GVVfA6lg7WEv2GRzSoSAJ7cBRsnKsdtdDTZ6qK7VF7BIVZ1rK1tr9Q_aem_JLBtH4ZWiOmSBqA9jCNAdA&amp;e=AT0wRMaoPCvOxPczftax35Pz57D1pIME-c1mdCJddmUkuW3_HDPlzrjgrdXJjzvxoIXPNmy_CYWrGJlZiAYHRwZ0qp-c1gDbmIRAf30" TargetMode="External"/><Relationship Id="rId532" Type="http://schemas.openxmlformats.org/officeDocument/2006/relationships/hyperlink" Target="https://www.instagram.com/fatemiedezful.ir/" TargetMode="External"/><Relationship Id="rId531" Type="http://schemas.openxmlformats.org/officeDocument/2006/relationships/hyperlink" Target="https://www.instagram.com/moharam.dezfull/" TargetMode="External"/><Relationship Id="rId530" Type="http://schemas.openxmlformats.org/officeDocument/2006/relationships/hyperlink" Target="https://eitaa.com/s/moheban_ali_ir/" TargetMode="External"/><Relationship Id="rId569" Type="http://schemas.openxmlformats.org/officeDocument/2006/relationships/hyperlink" Target="https://www.instagram.com/panahandegan_shooshtar" TargetMode="External"/><Relationship Id="rId568" Type="http://schemas.openxmlformats.org/officeDocument/2006/relationships/hyperlink" Target="https://www.instagram.com/behshtolrogye_1404/" TargetMode="External"/><Relationship Id="rId567" Type="http://schemas.openxmlformats.org/officeDocument/2006/relationships/hyperlink" Target="https://www.instagram.com/heyatolhosein69/" TargetMode="External"/><Relationship Id="rId566" Type="http://schemas.openxmlformats.org/officeDocument/2006/relationships/hyperlink" Target="https://www.instagram.com/masjed_sabzpoush" TargetMode="External"/><Relationship Id="rId561" Type="http://schemas.openxmlformats.org/officeDocument/2006/relationships/hyperlink" Target="https://eitaa.com/kanon_1403" TargetMode="External"/><Relationship Id="rId560" Type="http://schemas.openxmlformats.org/officeDocument/2006/relationships/hyperlink" Target="https://eitaa.com/masjederasool_ir1" TargetMode="External"/><Relationship Id="rId565" Type="http://schemas.openxmlformats.org/officeDocument/2006/relationships/hyperlink" Target="https://l.instagram.com/?u=http%3A%2F%2Ft.me%2Fkheimegah1381%3Futm_source%3Dig%26utm_medium%3Dsocial%26utm_content%3Dlink_in_bio%26fbclid%3DPAZXh0bgNhZW0CMTEAc3J0YwZhcHBfaWQMMjU2MjgxMDQwNTU4AAGnKkfKohVTFMna9rRLN1r9L2f2ZRJdmyPAxWwhFiVJNb8seqxLSVxX1ZX5jn8_aem_GQNxo4EXQ1Hbc5m2HxaZ7Q&amp;e=AT0quteDZIUG1j6Yzpm7FKlqlL47f_s_uEyAy_lYGmWBJyf_iKhxj3jn02z2-vsEsrn1DeE86cEsQOazb19NTX7ahiI8x4LNDN8AMCzSIw" TargetMode="External"/><Relationship Id="rId564" Type="http://schemas.openxmlformats.org/officeDocument/2006/relationships/hyperlink" Target="https://www.instagram.com/kheimegah1381/" TargetMode="External"/><Relationship Id="rId563" Type="http://schemas.openxmlformats.org/officeDocument/2006/relationships/hyperlink" Target="https://l.instagram.com/?u=https%3A%2F%2Ftlgrm.me%2Fhossine_mobarke_karbala%3Futm_source%3Dig%26utm_medium%3Dsocial%26utm_content%3Dlink_in_bio%26fbclid%3DPAZXh0bgNhZW0CMTEAc3J0YwZhcHBfaWQMMjU2MjgxMDQwNTU4AAGn1mcaloxTxkYrQW6wTXYdiBPq_XzZ3QqvqWGrviW0DTJRRIzmtn-O4Dqxhy0_aem_VEgH9JEkzQdAf6iIqAUoyQ&amp;e=AT085cToMg5JtoKuGGIENBwGhXTqVhRYev9WLVdaAiEmcaHgQf2VBrO4nxD4pXRtms0A56NwAwvV_ckMhVZDNUtWfd0p3vlPMit3i93Pgg" TargetMode="External"/><Relationship Id="rId562" Type="http://schemas.openxmlformats.org/officeDocument/2006/relationships/hyperlink" Target="https://www.instagram.com/hossine_mobarke_karbala_shush_/" TargetMode="External"/><Relationship Id="rId558" Type="http://schemas.openxmlformats.org/officeDocument/2006/relationships/hyperlink" Target="https://l.instagram.com/?u=http%3A%2F%2Feitaa.com%2Fheiatsarallah_78%3Futm_source%3Dig%26utm_medium%3Dsocial%26utm_content%3Dlink_in_bio%26utm_id%3D1344207247310791_v2_s02_e1002%26fbclid%3DPAZXh0bgNhZW0CMTEAc3J0YwZhcHBfaWQMMjU2MjgxMDQwNTU4CGNhbGxzaXRlAjE1AAGnp7aLdeKHvbn1taGETq9CBr7vpnBukSsy1VyQutN87vWwoitESgGMeNU8cs0_aem_QZrZICY_twFjMnoc615fJg&amp;e=AT26b6vvVEop0FYrjahFxHcS6l6Un9SidQq1HeVoeEm5OE7pATx5H51FwbP27OZ7XqjGm642yUSPEjvxR1sITyKMMtF0Steq6DWTvgX8lQ" TargetMode="External"/><Relationship Id="rId557" Type="http://schemas.openxmlformats.org/officeDocument/2006/relationships/hyperlink" Target="https://www.instagram.com/heiatsarallah_78/" TargetMode="External"/><Relationship Id="rId556" Type="http://schemas.openxmlformats.org/officeDocument/2006/relationships/hyperlink" Target="https://t.me/vadiatolhosein" TargetMode="External"/><Relationship Id="rId555" Type="http://schemas.openxmlformats.org/officeDocument/2006/relationships/hyperlink" Target="https://www.instagram.com/vadiatolhosein" TargetMode="External"/><Relationship Id="rId559" Type="http://schemas.openxmlformats.org/officeDocument/2006/relationships/hyperlink" Target="https://www.instagram.com/ghasemieh.shoosh.1352/" TargetMode="External"/><Relationship Id="rId550" Type="http://schemas.openxmlformats.org/officeDocument/2006/relationships/hyperlink" Target="https://www.instagram.com/husseiniyah_alazam_alkhafajie/" TargetMode="External"/><Relationship Id="rId554" Type="http://schemas.openxmlformats.org/officeDocument/2006/relationships/hyperlink" Target="https://www.instagram.com/heyat_mohebanomolbanin/?hl=en" TargetMode="External"/><Relationship Id="rId553" Type="http://schemas.openxmlformats.org/officeDocument/2006/relationships/hyperlink" Target="https://www.youtube.com/@abna_alhussein_1" TargetMode="External"/><Relationship Id="rId552" Type="http://schemas.openxmlformats.org/officeDocument/2006/relationships/hyperlink" Target="https://www.instagram.com/abna_alhussein/" TargetMode="External"/><Relationship Id="rId551" Type="http://schemas.openxmlformats.org/officeDocument/2006/relationships/hyperlink" Target="https://www.youtube.com/@husseiniyahalazamalkhafajie" TargetMode="External"/><Relationship Id="rId495" Type="http://schemas.openxmlformats.org/officeDocument/2006/relationships/hyperlink" Target="https://www.instagram.com/malekashtar_dezful/" TargetMode="External"/><Relationship Id="rId494" Type="http://schemas.openxmlformats.org/officeDocument/2006/relationships/hyperlink" Target="https://www.instagram.com/tekyeasheghanehosseinebneali_a/" TargetMode="External"/><Relationship Id="rId493" Type="http://schemas.openxmlformats.org/officeDocument/2006/relationships/hyperlink" Target="https://www.instagram.com/safir_khz/" TargetMode="External"/><Relationship Id="rId492" Type="http://schemas.openxmlformats.org/officeDocument/2006/relationships/hyperlink" Target="https://www.instagram.com/imamhosseinghalehseyyed/" TargetMode="External"/><Relationship Id="rId499" Type="http://schemas.openxmlformats.org/officeDocument/2006/relationships/hyperlink" Target="https://www.instagram.com/hoseinieh.shohada/" TargetMode="External"/><Relationship Id="rId498" Type="http://schemas.openxmlformats.org/officeDocument/2006/relationships/hyperlink" Target="https://t.me/HosseiniehSeyedolshohada" TargetMode="External"/><Relationship Id="rId497" Type="http://schemas.openxmlformats.org/officeDocument/2006/relationships/hyperlink" Target="https://www.instagram.com/hoseniye.seyed.shohada/" TargetMode="External"/><Relationship Id="rId496" Type="http://schemas.openxmlformats.org/officeDocument/2006/relationships/hyperlink" Target="https://www.instagram.com/serat_jalasat/" TargetMode="External"/><Relationship Id="rId409" Type="http://schemas.openxmlformats.org/officeDocument/2006/relationships/hyperlink" Target="https://eitaa.com/heyatorrezaa" TargetMode="External"/><Relationship Id="rId404" Type="http://schemas.openxmlformats.org/officeDocument/2006/relationships/hyperlink" Target="https://www.instagram.com/bokaeinfo" TargetMode="External"/><Relationship Id="rId403" Type="http://schemas.openxmlformats.org/officeDocument/2006/relationships/hyperlink" Target="https://eitaa.com/fater14" TargetMode="External"/><Relationship Id="rId402" Type="http://schemas.openxmlformats.org/officeDocument/2006/relationships/hyperlink" Target="https://www.instagram.com/fater.14" TargetMode="External"/><Relationship Id="rId401" Type="http://schemas.openxmlformats.org/officeDocument/2006/relationships/hyperlink" Target="https://eitaa.com/ghobe_ir" TargetMode="External"/><Relationship Id="rId408" Type="http://schemas.openxmlformats.org/officeDocument/2006/relationships/hyperlink" Target="https://t.me/Heyatorreza" TargetMode="External"/><Relationship Id="rId407" Type="http://schemas.openxmlformats.org/officeDocument/2006/relationships/hyperlink" Target="https://www.instagram.com/heyatoreza.mahshahr" TargetMode="External"/><Relationship Id="rId406" Type="http://schemas.openxmlformats.org/officeDocument/2006/relationships/hyperlink" Target="https://eitaa.com/BokaeInfo" TargetMode="External"/><Relationship Id="rId405" Type="http://schemas.openxmlformats.org/officeDocument/2006/relationships/hyperlink" Target="https://t.me/bokaeinfo" TargetMode="External"/><Relationship Id="rId400" Type="http://schemas.openxmlformats.org/officeDocument/2006/relationships/hyperlink" Target="https://www.instagram.com/ghobe_ir/" TargetMode="External"/><Relationship Id="rId469" Type="http://schemas.openxmlformats.org/officeDocument/2006/relationships/hyperlink" Target="https://www.instagram.com/imam.zaynalabidin/" TargetMode="External"/><Relationship Id="rId468" Type="http://schemas.openxmlformats.org/officeDocument/2006/relationships/hyperlink" Target="https://www.instagram.com/aliakbaradl/" TargetMode="External"/><Relationship Id="rId467" Type="http://schemas.openxmlformats.org/officeDocument/2006/relationships/hyperlink" Target="https://l.instagram.com/?u=https%3A%2F%2Feitaa.com%2Fmasjed_zeynab_dezful%3Futm_source%3Dig%26utm_medium%3Dsocial%26utm_content%3Dlink_in_bio%26fbclid%3DPAZXh0bgNhZW0CMTEAc3J0YwZhcHBfaWQMMjU2MjgxMDQwNTU4AAGnEGfSxLB5CJQBi9r3Ak8KVfnrnyejllfom8jmj5PNnID4Eihq6DGorCxbfDg_aem_p3WWfqj2B_v9sZGLyYKHCA&amp;e=AT3exqS6tqdpAV_1CtRWcXziJYSJ1xAmswvEh75PKIuY_cD4bzBU7ZT80IqTiFbGaXDhMWNEetC5G-W6BDpVGmAk3V0wMvqsp1lyCqvZkQ" TargetMode="External"/><Relationship Id="rId462" Type="http://schemas.openxmlformats.org/officeDocument/2006/relationships/hyperlink" Target="https://www.instagram.com/ansaralmahdi.dezful/" TargetMode="External"/><Relationship Id="rId461" Type="http://schemas.openxmlformats.org/officeDocument/2006/relationships/hyperlink" Target="https://www.instagram.com/jahadi_emamhadi/" TargetMode="External"/><Relationship Id="rId460" Type="http://schemas.openxmlformats.org/officeDocument/2006/relationships/hyperlink" Target="https://eitaa.com/hoseinieemamreza" TargetMode="External"/><Relationship Id="rId466" Type="http://schemas.openxmlformats.org/officeDocument/2006/relationships/hyperlink" Target="https://www.instagram.com/masjed_zeynab_dezful/" TargetMode="External"/><Relationship Id="rId465" Type="http://schemas.openxmlformats.org/officeDocument/2006/relationships/hyperlink" Target="https://www.instagram.com/tekiyenakhl/" TargetMode="External"/><Relationship Id="rId464" Type="http://schemas.openxmlformats.org/officeDocument/2006/relationships/hyperlink" Target="https://eitaa.com/Baytolhasandez" TargetMode="External"/><Relationship Id="rId463" Type="http://schemas.openxmlformats.org/officeDocument/2006/relationships/hyperlink" Target="https://www.instagram.com/beytolhasan.dez/" TargetMode="External"/><Relationship Id="rId459" Type="http://schemas.openxmlformats.org/officeDocument/2006/relationships/hyperlink" Target="https://www.instagram.com/hoseinie_emamreza/" TargetMode="External"/><Relationship Id="rId458" Type="http://schemas.openxmlformats.org/officeDocument/2006/relationships/hyperlink" Target="https://www.instagram.com/heyatorreza_ir" TargetMode="External"/><Relationship Id="rId457" Type="http://schemas.openxmlformats.org/officeDocument/2006/relationships/hyperlink" Target="https://eitaa.com/masjed_khatam_dez" TargetMode="External"/><Relationship Id="rId456" Type="http://schemas.openxmlformats.org/officeDocument/2006/relationships/hyperlink" Target="https://www.instagram.com/masjed_khatam_dez/" TargetMode="External"/><Relationship Id="rId451" Type="http://schemas.openxmlformats.org/officeDocument/2006/relationships/hyperlink" Target="https://www.instagram.com/heyetkmsu" TargetMode="External"/><Relationship Id="rId450" Type="http://schemas.openxmlformats.org/officeDocument/2006/relationships/hyperlink" Target="https://t.me/tl_lwaa_zainab_1432" TargetMode="External"/><Relationship Id="rId455" Type="http://schemas.openxmlformats.org/officeDocument/2006/relationships/hyperlink" Target="https://www.instagram.com/montazeran_1427/" TargetMode="External"/><Relationship Id="rId454" Type="http://schemas.openxmlformats.org/officeDocument/2006/relationships/hyperlink" Target="https://www.instagram.com/hmz.kh/" TargetMode="External"/><Relationship Id="rId453" Type="http://schemas.openxmlformats.org/officeDocument/2006/relationships/hyperlink" Target="https://www.instagram.com/hosseineh_mohamad_rasoulallah/" TargetMode="External"/><Relationship Id="rId452" Type="http://schemas.openxmlformats.org/officeDocument/2006/relationships/hyperlink" Target="https://eitaa.com/heyetkmsu" TargetMode="External"/><Relationship Id="rId491" Type="http://schemas.openxmlformats.org/officeDocument/2006/relationships/hyperlink" Target="https://eitaa.com/nabiyazahra" TargetMode="External"/><Relationship Id="rId490" Type="http://schemas.openxmlformats.org/officeDocument/2006/relationships/hyperlink" Target="https://tel.me/nabiyazahra" TargetMode="External"/><Relationship Id="rId489" Type="http://schemas.openxmlformats.org/officeDocument/2006/relationships/hyperlink" Target="https://www.instagram.com/nabiyazahra/" TargetMode="External"/><Relationship Id="rId484" Type="http://schemas.openxmlformats.org/officeDocument/2006/relationships/hyperlink" Target="https://www.instagram.com/reyhanaalnabi.ir/" TargetMode="External"/><Relationship Id="rId483" Type="http://schemas.openxmlformats.org/officeDocument/2006/relationships/hyperlink" Target="https://eitaa.ir/rozatoalzahra_ir" TargetMode="External"/><Relationship Id="rId482" Type="http://schemas.openxmlformats.org/officeDocument/2006/relationships/hyperlink" Target="https://www.instagram.com/rozatoalzahrair/" TargetMode="External"/><Relationship Id="rId481" Type="http://schemas.openxmlformats.org/officeDocument/2006/relationships/hyperlink" Target="https://eitaa.com/rahrovan_shohada110" TargetMode="External"/><Relationship Id="rId488" Type="http://schemas.openxmlformats.org/officeDocument/2006/relationships/hyperlink" Target="https://www.instagram.com/zanjirzanan.hazrat.ghasem/" TargetMode="External"/><Relationship Id="rId487" Type="http://schemas.openxmlformats.org/officeDocument/2006/relationships/hyperlink" Target="https://www.instagram.com/zanjir_sabzeghaba/" TargetMode="External"/><Relationship Id="rId486" Type="http://schemas.openxmlformats.org/officeDocument/2006/relationships/hyperlink" Target="https://t.me/heyat_emam_sajjad_1371" TargetMode="External"/><Relationship Id="rId485" Type="http://schemas.openxmlformats.org/officeDocument/2006/relationships/hyperlink" Target="https://www.instagram.com/heyat.emam.sajjad/" TargetMode="External"/><Relationship Id="rId480" Type="http://schemas.openxmlformats.org/officeDocument/2006/relationships/hyperlink" Target="https://www.instagram.com/rahrovane_shohada_/" TargetMode="External"/><Relationship Id="rId479" Type="http://schemas.openxmlformats.org/officeDocument/2006/relationships/hyperlink" Target="https://eitaa.com/Razmandegan_Dezful" TargetMode="External"/><Relationship Id="rId478" Type="http://schemas.openxmlformats.org/officeDocument/2006/relationships/hyperlink" Target="https://www.instagram.com/razmandegandezful/" TargetMode="External"/><Relationship Id="rId473" Type="http://schemas.openxmlformats.org/officeDocument/2006/relationships/hyperlink" Target="https://www.instagram.com/khoddamdez/" TargetMode="External"/><Relationship Id="rId472" Type="http://schemas.openxmlformats.org/officeDocument/2006/relationships/hyperlink" Target="https://eitaa.com/khodam_alabbas" TargetMode="External"/><Relationship Id="rId471" Type="http://schemas.openxmlformats.org/officeDocument/2006/relationships/hyperlink" Target="https://www.instagram.com/khodam_alabbas/" TargetMode="External"/><Relationship Id="rId470" Type="http://schemas.openxmlformats.org/officeDocument/2006/relationships/hyperlink" Target="https://www.instagram.com/khodamalhossein118/" TargetMode="External"/><Relationship Id="rId477" Type="http://schemas.openxmlformats.org/officeDocument/2006/relationships/hyperlink" Target="https://www.instagram.com/rayatalhoda_dezful/" TargetMode="External"/><Relationship Id="rId476" Type="http://schemas.openxmlformats.org/officeDocument/2006/relationships/hyperlink" Target="https://www.instagram.com/kheimegah_dez/" TargetMode="External"/><Relationship Id="rId475" Type="http://schemas.openxmlformats.org/officeDocument/2006/relationships/hyperlink" Target="https://eitaa.com/khodamalmahdi_dezfoul" TargetMode="External"/><Relationship Id="rId474" Type="http://schemas.openxmlformats.org/officeDocument/2006/relationships/hyperlink" Target="https://t.me/khoddam_dez" TargetMode="External"/><Relationship Id="rId426" Type="http://schemas.openxmlformats.org/officeDocument/2006/relationships/hyperlink" Target="https://www.instagram.com/abamahdi313/" TargetMode="External"/><Relationship Id="rId425" Type="http://schemas.openxmlformats.org/officeDocument/2006/relationships/hyperlink" Target="https://eitaa.com/Moezolmomeninir" TargetMode="External"/><Relationship Id="rId424" Type="http://schemas.openxmlformats.org/officeDocument/2006/relationships/hyperlink" Target="https://t.me/moezolmomenin_ir" TargetMode="External"/><Relationship Id="rId423" Type="http://schemas.openxmlformats.org/officeDocument/2006/relationships/hyperlink" Target="https://www.instagram.com/moezolmomenin_ir" TargetMode="External"/><Relationship Id="rId429" Type="http://schemas.openxmlformats.org/officeDocument/2006/relationships/hyperlink" Target="https://eitaa.com/seyyedolkarim" TargetMode="External"/><Relationship Id="rId428" Type="http://schemas.openxmlformats.org/officeDocument/2006/relationships/hyperlink" Target="https://www.instagram.com/seyyedolkarim" TargetMode="External"/><Relationship Id="rId427" Type="http://schemas.openxmlformats.org/officeDocument/2006/relationships/hyperlink" Target="https://eitaa.com/abamahdi" TargetMode="External"/><Relationship Id="rId422" Type="http://schemas.openxmlformats.org/officeDocument/2006/relationships/hyperlink" Target="https://eitaa.com/Moezolmomeninir" TargetMode="External"/><Relationship Id="rId421" Type="http://schemas.openxmlformats.org/officeDocument/2006/relationships/hyperlink" Target="https://t.me/moezolmomenin_ir" TargetMode="External"/><Relationship Id="rId420" Type="http://schemas.openxmlformats.org/officeDocument/2006/relationships/hyperlink" Target="https://www.instagram.com/behesht_moezolmomenin/" TargetMode="External"/><Relationship Id="rId415" Type="http://schemas.openxmlformats.org/officeDocument/2006/relationships/hyperlink" Target="https://eitaa.com/karbala_mahshahr1" TargetMode="External"/><Relationship Id="rId414" Type="http://schemas.openxmlformats.org/officeDocument/2006/relationships/hyperlink" Target="https://www.instagram.com/karbala_mahshahr1/" TargetMode="External"/><Relationship Id="rId413" Type="http://schemas.openxmlformats.org/officeDocument/2006/relationships/hyperlink" Target="https://t.me/chadoorkhaki69" TargetMode="External"/><Relationship Id="rId412" Type="http://schemas.openxmlformats.org/officeDocument/2006/relationships/hyperlink" Target="https://www.instagram.com/chadoorkhaki69/" TargetMode="External"/><Relationship Id="rId419" Type="http://schemas.openxmlformats.org/officeDocument/2006/relationships/hyperlink" Target="https://eitaa.com/oshaghozahrabeh" TargetMode="External"/><Relationship Id="rId418" Type="http://schemas.openxmlformats.org/officeDocument/2006/relationships/hyperlink" Target="https://www.instagram.com/oshaghozahra.beh" TargetMode="External"/><Relationship Id="rId417" Type="http://schemas.openxmlformats.org/officeDocument/2006/relationships/hyperlink" Target="https://www.instagram.com/moheban_roqaye_315/" TargetMode="External"/><Relationship Id="rId416" Type="http://schemas.openxmlformats.org/officeDocument/2006/relationships/hyperlink" Target="https://eitaa.com/karbala_mahshahr1" TargetMode="External"/><Relationship Id="rId411" Type="http://schemas.openxmlformats.org/officeDocument/2006/relationships/hyperlink" Target="https://t.me/khoddamalhooseyn" TargetMode="External"/><Relationship Id="rId410" Type="http://schemas.openxmlformats.org/officeDocument/2006/relationships/hyperlink" Target="https://www.instagram.com/khoddamalhoseyn" TargetMode="External"/><Relationship Id="rId448" Type="http://schemas.openxmlformats.org/officeDocument/2006/relationships/hyperlink" Target="https://www.instagram.com/ghamar.alashireh_kh/" TargetMode="External"/><Relationship Id="rId447" Type="http://schemas.openxmlformats.org/officeDocument/2006/relationships/hyperlink" Target="http://tlgrm.me/heyat_ghatia_alkafain" TargetMode="External"/><Relationship Id="rId446" Type="http://schemas.openxmlformats.org/officeDocument/2006/relationships/hyperlink" Target="https://www.instagram.com/heyat.ghatia.alkafain/" TargetMode="External"/><Relationship Id="rId445" Type="http://schemas.openxmlformats.org/officeDocument/2006/relationships/hyperlink" Target="https://www.instagram.com/heyat_hazrat_roghaye/?hl=en" TargetMode="External"/><Relationship Id="rId449" Type="http://schemas.openxmlformats.org/officeDocument/2006/relationships/hyperlink" Target="https://www.instagram.com/lwaa.zainab_1432/" TargetMode="External"/><Relationship Id="rId440" Type="http://schemas.openxmlformats.org/officeDocument/2006/relationships/hyperlink" Target="https://eitaa.com/Ansaralmahdi_kho" TargetMode="External"/><Relationship Id="rId444" Type="http://schemas.openxmlformats.org/officeDocument/2006/relationships/hyperlink" Target="https://www.instagram.com/shohada_gomnam_khoramshahr/" TargetMode="External"/><Relationship Id="rId443" Type="http://schemas.openxmlformats.org/officeDocument/2006/relationships/hyperlink" Target="https://www.instagram.com/mwkib.shbabalqasim" TargetMode="External"/><Relationship Id="rId442" Type="http://schemas.openxmlformats.org/officeDocument/2006/relationships/hyperlink" Target="https://www.instagram.com/dar.al.imam.alreza/" TargetMode="External"/><Relationship Id="rId441" Type="http://schemas.openxmlformats.org/officeDocument/2006/relationships/hyperlink" Target="https://eitaa.com/Ansaralmahdi_kho" TargetMode="External"/><Relationship Id="rId437" Type="http://schemas.openxmlformats.org/officeDocument/2006/relationships/hyperlink" Target="https://www.instagram.com/seraj_behbahan/" TargetMode="External"/><Relationship Id="rId436" Type="http://schemas.openxmlformats.org/officeDocument/2006/relationships/hyperlink" Target="https://www.instagram.com/tajil_ir/?hl=en" TargetMode="External"/><Relationship Id="rId435" Type="http://schemas.openxmlformats.org/officeDocument/2006/relationships/hyperlink" Target="https://eitaa.com/basijnews_DashtAzadagan" TargetMode="External"/><Relationship Id="rId434" Type="http://schemas.openxmlformats.org/officeDocument/2006/relationships/hyperlink" Target="https://rubika.ir/marvani_mostafa" TargetMode="External"/><Relationship Id="rId439" Type="http://schemas.openxmlformats.org/officeDocument/2006/relationships/hyperlink" Target="https://www.instagram.com/ansaralmahdi_kh" TargetMode="External"/><Relationship Id="rId438" Type="http://schemas.openxmlformats.org/officeDocument/2006/relationships/hyperlink" Target="https://www.instagram.com/zohrabpours/" TargetMode="External"/><Relationship Id="rId433" Type="http://schemas.openxmlformats.org/officeDocument/2006/relationships/hyperlink" Target="https://www.instagram.com/mostafa_marvani" TargetMode="External"/><Relationship Id="rId432" Type="http://schemas.openxmlformats.org/officeDocument/2006/relationships/hyperlink" Target="https://eitaa.com/sshanbehaye_mahdavi_abadan" TargetMode="External"/><Relationship Id="rId431" Type="http://schemas.openxmlformats.org/officeDocument/2006/relationships/hyperlink" Target="https://eitaa.com/heiateitaa" TargetMode="External"/><Relationship Id="rId430" Type="http://schemas.openxmlformats.org/officeDocument/2006/relationships/hyperlink" Target="https://www.instagram.com/heiat.official/" TargetMode="External"/><Relationship Id="rId1" Type="http://schemas.openxmlformats.org/officeDocument/2006/relationships/hyperlink" Target="https://www.instagram.com/emamhasan_ab/" TargetMode="External"/><Relationship Id="rId2" Type="http://schemas.openxmlformats.org/officeDocument/2006/relationships/hyperlink" Target="https://www.instagram.com/bagheriyon.ir/" TargetMode="External"/><Relationship Id="rId3" Type="http://schemas.openxmlformats.org/officeDocument/2006/relationships/hyperlink" Target="https://www.instagram.com/khaghani_1321/" TargetMode="External"/><Relationship Id="rId4" Type="http://schemas.openxmlformats.org/officeDocument/2006/relationships/hyperlink" Target="https://www.instagram.com/hoseinie_booshehriha" TargetMode="External"/><Relationship Id="rId9" Type="http://schemas.openxmlformats.org/officeDocument/2006/relationships/hyperlink" Target="https://www.instagram.com/ferdosabadan" TargetMode="External"/><Relationship Id="rId5" Type="http://schemas.openxmlformats.org/officeDocument/2006/relationships/hyperlink" Target="http://telegram.me/hoseinie_booshehriha" TargetMode="External"/><Relationship Id="rId6" Type="http://schemas.openxmlformats.org/officeDocument/2006/relationships/hyperlink" Target="https://www.instagram.com/masjed.samen/" TargetMode="External"/><Relationship Id="rId7" Type="http://schemas.openxmlformats.org/officeDocument/2006/relationships/hyperlink" Target="https://www.instagram.com/heyat_hazrat_roghayeh.ab/" TargetMode="External"/><Relationship Id="rId8" Type="http://schemas.openxmlformats.org/officeDocument/2006/relationships/hyperlink" Target="https://www.instagram.com/hoseiniye_davaniha_abadan/" TargetMode="External"/><Relationship Id="rId618" Type="http://schemas.openxmlformats.org/officeDocument/2006/relationships/drawing" Target="../drawings/drawing8.xml"/><Relationship Id="rId613" Type="http://schemas.openxmlformats.org/officeDocument/2006/relationships/hyperlink" Target="https://t.me/ansaralhojah1" TargetMode="External"/><Relationship Id="rId612" Type="http://schemas.openxmlformats.org/officeDocument/2006/relationships/hyperlink" Target="https://www.instagram.com/ansaralhojah?utm_source=ig_web_button_share_sheet&amp;igsh=ZDNlZDc0MzIxNw==" TargetMode="External"/><Relationship Id="rId611" Type="http://schemas.openxmlformats.org/officeDocument/2006/relationships/hyperlink" Target="https://eitaa.com/mohebandez" TargetMode="External"/><Relationship Id="rId610" Type="http://schemas.openxmlformats.org/officeDocument/2006/relationships/hyperlink" Target="https://eitaa.com/tajil_ir" TargetMode="External"/><Relationship Id="rId617" Type="http://schemas.openxmlformats.org/officeDocument/2006/relationships/hyperlink" Target="https://eitaa.com/saheb_alamr313" TargetMode="External"/><Relationship Id="rId616" Type="http://schemas.openxmlformats.org/officeDocument/2006/relationships/hyperlink" Target="https://eitaa.com/HosseinehEmamReza" TargetMode="External"/><Relationship Id="rId615" Type="http://schemas.openxmlformats.org/officeDocument/2006/relationships/hyperlink" Target="https://eitaa.com/ahangran401" TargetMode="External"/><Relationship Id="rId614" Type="http://schemas.openxmlformats.org/officeDocument/2006/relationships/hyperlink" Target="https://eitaa.com/ansar_alhojah" TargetMode="External"/><Relationship Id="rId609" Type="http://schemas.openxmlformats.org/officeDocument/2006/relationships/hyperlink" Target="https://www.instagram.com/tajil_ir?utm_source=ig_web_button_share_sheet&amp;igsh=ZDNlZDc0MzIxNw==" TargetMode="External"/><Relationship Id="rId608" Type="http://schemas.openxmlformats.org/officeDocument/2006/relationships/hyperlink" Target="https://eitaa.com/moheban_ali_ir" TargetMode="External"/><Relationship Id="rId607" Type="http://schemas.openxmlformats.org/officeDocument/2006/relationships/hyperlink" Target="https://eitaa.com/khadimalreza" TargetMode="External"/><Relationship Id="rId602" Type="http://schemas.openxmlformats.org/officeDocument/2006/relationships/hyperlink" Target="https://eitaa.com/morteza_yebor313" TargetMode="External"/><Relationship Id="rId601" Type="http://schemas.openxmlformats.org/officeDocument/2006/relationships/hyperlink" Target="https://t.me/morteza_yebor313" TargetMode="External"/><Relationship Id="rId600" Type="http://schemas.openxmlformats.org/officeDocument/2006/relationships/hyperlink" Target="https://www.instagram.com/_.133__?utm_source=ig_web_button_share_sheet&amp;igsh=ZDNlZDc0MzIxNw==" TargetMode="External"/><Relationship Id="rId606" Type="http://schemas.openxmlformats.org/officeDocument/2006/relationships/hyperlink" Target="https://eitaa.com/Sarallah_Dezful" TargetMode="External"/><Relationship Id="rId605" Type="http://schemas.openxmlformats.org/officeDocument/2006/relationships/hyperlink" Target="https://eitaa.com/rozatoalzahra_ir" TargetMode="External"/><Relationship Id="rId604" Type="http://schemas.openxmlformats.org/officeDocument/2006/relationships/hyperlink" Target="https://eitaa.com/ostadelahi" TargetMode="External"/><Relationship Id="rId603" Type="http://schemas.openxmlformats.org/officeDocument/2006/relationships/hyperlink" Target="https://eitaa.com/sarallah_awz" TargetMode="External"/></Relationships>
</file>

<file path=xl/worksheets/_rels/sheet9.xml.rels><?xml version="1.0" encoding="UTF-8" standalone="yes"?><Relationships xmlns="http://schemas.openxmlformats.org/package/2006/relationships"><Relationship Id="rId190" Type="http://schemas.openxmlformats.org/officeDocument/2006/relationships/hyperlink" Target="https://eitaa.com/mohebbine213" TargetMode="External"/><Relationship Id="rId194" Type="http://schemas.openxmlformats.org/officeDocument/2006/relationships/hyperlink" Target="https://www.instagram.com/qbh_zarch" TargetMode="External"/><Relationship Id="rId193" Type="http://schemas.openxmlformats.org/officeDocument/2006/relationships/hyperlink" Target="https://eitaa.com/samenalhadid" TargetMode="External"/><Relationship Id="rId192" Type="http://schemas.openxmlformats.org/officeDocument/2006/relationships/hyperlink" Target="https://t.me/samenalhadid" TargetMode="External"/><Relationship Id="rId191" Type="http://schemas.openxmlformats.org/officeDocument/2006/relationships/hyperlink" Target="https://www.instagram.com/samen_zarch?utm_source=ig_web_button_share_sheet&amp;igsh=ZDNlZDc0MzIxNw==" TargetMode="External"/><Relationship Id="rId187" Type="http://schemas.openxmlformats.org/officeDocument/2006/relationships/hyperlink" Target="https://eitaa.com/mahfel133zarch" TargetMode="External"/><Relationship Id="rId186" Type="http://schemas.openxmlformats.org/officeDocument/2006/relationships/hyperlink" Target="https://www.instagram.com/mahfel133zarch?utm_source=ig_web_button_share_sheet&amp;igsh=ZDNlZDc0MzIxNw==" TargetMode="External"/><Relationship Id="rId185" Type="http://schemas.openxmlformats.org/officeDocument/2006/relationships/hyperlink" Target="https://www.instagram.com/hossinye.gh.1/" TargetMode="External"/><Relationship Id="rId184" Type="http://schemas.openxmlformats.org/officeDocument/2006/relationships/hyperlink" Target="https://t.me/ansarozahrayazd" TargetMode="External"/><Relationship Id="rId189" Type="http://schemas.openxmlformats.org/officeDocument/2006/relationships/hyperlink" Target="https://t.me/mohebbin213" TargetMode="External"/><Relationship Id="rId188" Type="http://schemas.openxmlformats.org/officeDocument/2006/relationships/hyperlink" Target="https://instagram.com/mohebbin213" TargetMode="External"/><Relationship Id="rId183" Type="http://schemas.openxmlformats.org/officeDocument/2006/relationships/hyperlink" Target="https://www.instagram.com/ansarozahrayazd?utm_source=ig_web_button_share_sheet&amp;igsh=ZDNlZDc0MzIxNw==" TargetMode="External"/><Relationship Id="rId182" Type="http://schemas.openxmlformats.org/officeDocument/2006/relationships/hyperlink" Target="https://eitaa.com/seshanbehayeshohadaii" TargetMode="External"/><Relationship Id="rId181" Type="http://schemas.openxmlformats.org/officeDocument/2006/relationships/hyperlink" Target="https://www.instagram.com/maktabeshohada.135?utm_source=ig_web_button_share_sheet&amp;igsh=ZDNlZDc0MzIxNw==" TargetMode="External"/><Relationship Id="rId180" Type="http://schemas.openxmlformats.org/officeDocument/2006/relationships/hyperlink" Target="https://eitaa.com/heiatesalmanefarsi97" TargetMode="External"/><Relationship Id="rId176" Type="http://schemas.openxmlformats.org/officeDocument/2006/relationships/hyperlink" Target="https://www.instagram.com/majnoon_alhosaintft" TargetMode="External"/><Relationship Id="rId175" Type="http://schemas.openxmlformats.org/officeDocument/2006/relationships/hyperlink" Target="https://www.instagram.com/khadem.roghayeh_315/" TargetMode="External"/><Relationship Id="rId174" Type="http://schemas.openxmlformats.org/officeDocument/2006/relationships/hyperlink" Target="https://www.instagram.com/heydarekarar_taft_110" TargetMode="External"/><Relationship Id="rId173" Type="http://schemas.openxmlformats.org/officeDocument/2006/relationships/hyperlink" Target="https://t.me/heyatsamentaft" TargetMode="External"/><Relationship Id="rId179" Type="http://schemas.openxmlformats.org/officeDocument/2006/relationships/hyperlink" Target="https://www.instagram.com/salmanefarsi97?utm_source=ig_web_button_share_sheet&amp;igsh=ZDNlZDc0MzIxNw==" TargetMode="External"/><Relationship Id="rId178" Type="http://schemas.openxmlformats.org/officeDocument/2006/relationships/hyperlink" Target="https://www.instagram.com/heyat_ansar_almahdi85?utm_source=ig_web_button_share_sheet&amp;igsh=ZDNlZDc0MzIxNw==" TargetMode="External"/><Relationship Id="rId177" Type="http://schemas.openxmlformats.org/officeDocument/2006/relationships/hyperlink" Target="https://eitaa.com/hezbollahyazd" TargetMode="External"/><Relationship Id="rId198" Type="http://schemas.openxmlformats.org/officeDocument/2006/relationships/hyperlink" Target="https://www.instagram.com/taziyeh_alghame_zarch/" TargetMode="External"/><Relationship Id="rId197" Type="http://schemas.openxmlformats.org/officeDocument/2006/relationships/hyperlink" Target="https://www.instagram.com/zarch_husseiniyeh_yazd/" TargetMode="External"/><Relationship Id="rId196" Type="http://schemas.openxmlformats.org/officeDocument/2006/relationships/hyperlink" Target="https://eitaa.com/qbh_zarch" TargetMode="External"/><Relationship Id="rId195" Type="http://schemas.openxmlformats.org/officeDocument/2006/relationships/hyperlink" Target="https://t.me/qbh_zarch" TargetMode="External"/><Relationship Id="rId199" Type="http://schemas.openxmlformats.org/officeDocument/2006/relationships/hyperlink" Target="https://www.instagram.com/neynava.zarch.yazd/" TargetMode="External"/><Relationship Id="rId150" Type="http://schemas.openxmlformats.org/officeDocument/2006/relationships/hyperlink" Target="https://eitaa.com/m_sahebalzaman" TargetMode="External"/><Relationship Id="rId149" Type="http://schemas.openxmlformats.org/officeDocument/2006/relationships/hyperlink" Target="https://www.instagram.com/h_hazrataliasghar?utm_source=ig_web_button_share_sheet&amp;igsh=ZDNlZDc0MzIxNw==" TargetMode="External"/><Relationship Id="rId148" Type="http://schemas.openxmlformats.org/officeDocument/2006/relationships/hyperlink" Target="https://t.me/AsheghanBaghiTaft" TargetMode="External"/><Relationship Id="rId143" Type="http://schemas.openxmlformats.org/officeDocument/2006/relationships/hyperlink" Target="https://t.me/heyat_jannesaran_abolfazl" TargetMode="External"/><Relationship Id="rId142" Type="http://schemas.openxmlformats.org/officeDocument/2006/relationships/hyperlink" Target="https://www.instagram.com/heyat.janesaran.abolfazl/" TargetMode="External"/><Relationship Id="rId141" Type="http://schemas.openxmlformats.org/officeDocument/2006/relationships/hyperlink" Target="https://www.instagram.com/aliakbarbahabad/" TargetMode="External"/><Relationship Id="rId140" Type="http://schemas.openxmlformats.org/officeDocument/2006/relationships/hyperlink" Target="https://eitaa.com/beitrezayazd" TargetMode="External"/><Relationship Id="rId147" Type="http://schemas.openxmlformats.org/officeDocument/2006/relationships/hyperlink" Target="https://www.instagram.com/asheghanbaghitaft?utm_source=ig_web_button_share_sheet&amp;igsh=ZDNlZDc0MzIxNw==" TargetMode="External"/><Relationship Id="rId146" Type="http://schemas.openxmlformats.org/officeDocument/2006/relationships/hyperlink" Target="https://www.instagram.com/heyat_babal_havaej_1401?utm_source=ig_web_button_share_sheet&amp;igsh=ZDNlZDc0MzIxNw==" TargetMode="External"/><Relationship Id="rId145" Type="http://schemas.openxmlformats.org/officeDocument/2006/relationships/hyperlink" Target="https://eitaa.com/alamdaranevelayat110" TargetMode="External"/><Relationship Id="rId144" Type="http://schemas.openxmlformats.org/officeDocument/2006/relationships/hyperlink" Target="https://eitaa.com/maktabeyar" TargetMode="External"/><Relationship Id="rId139" Type="http://schemas.openxmlformats.org/officeDocument/2006/relationships/hyperlink" Target="https://eitaa.com/beinolharameinbahabad" TargetMode="External"/><Relationship Id="rId138" Type="http://schemas.openxmlformats.org/officeDocument/2006/relationships/hyperlink" Target="https://www.instagram.com/beynolharameyn_bahabad?utm_source=ig_web_button_share_sheet&amp;igsh=ZDNlZDc0MzIxNw==" TargetMode="External"/><Relationship Id="rId137" Type="http://schemas.openxmlformats.org/officeDocument/2006/relationships/hyperlink" Target="https://eitaa.com/heydariunir" TargetMode="External"/><Relationship Id="rId132" Type="http://schemas.openxmlformats.org/officeDocument/2006/relationships/hyperlink" Target="https://www.instagram.com/h_ansar133?utm_source=ig_web_button_share_sheet&amp;igsh=ZDNlZDc0MzIxNw==" TargetMode="External"/><Relationship Id="rId131" Type="http://schemas.openxmlformats.org/officeDocument/2006/relationships/hyperlink" Target="https://t.me/safinanejat" TargetMode="External"/><Relationship Id="rId130" Type="http://schemas.openxmlformats.org/officeDocument/2006/relationships/hyperlink" Target="https://www.instagram.com/safina.nejat?utm_source=ig_web_button_share_sheet&amp;igsh=ZDNlZDc0MzIxNw==" TargetMode="External"/><Relationship Id="rId136" Type="http://schemas.openxmlformats.org/officeDocument/2006/relationships/hyperlink" Target="https://www.instagram.com/heydarion_dammamzani?utm_source=ig_web_button_share_sheet&amp;igsh=ZDNlZDc0MzIxNw==" TargetMode="External"/><Relationship Id="rId135" Type="http://schemas.openxmlformats.org/officeDocument/2006/relationships/hyperlink" Target="https://eitaa.com/jannesaranabalfazlebahabad" TargetMode="External"/><Relationship Id="rId134" Type="http://schemas.openxmlformats.org/officeDocument/2006/relationships/hyperlink" Target="https://www.instagram.com/beynolharameyn_bahabad/" TargetMode="External"/><Relationship Id="rId133" Type="http://schemas.openxmlformats.org/officeDocument/2006/relationships/hyperlink" Target="https://eitaa.com/AnsarAl_abass" TargetMode="External"/><Relationship Id="rId172" Type="http://schemas.openxmlformats.org/officeDocument/2006/relationships/hyperlink" Target="https://www.instagram.com/heyatesamentaft/" TargetMode="External"/><Relationship Id="rId171" Type="http://schemas.openxmlformats.org/officeDocument/2006/relationships/hyperlink" Target="https://www.instagram.com/mokebol_abbas_/" TargetMode="External"/><Relationship Id="rId170" Type="http://schemas.openxmlformats.org/officeDocument/2006/relationships/hyperlink" Target="https://t.me/ghiasabad" TargetMode="External"/><Relationship Id="rId165" Type="http://schemas.openxmlformats.org/officeDocument/2006/relationships/hyperlink" Target="https://eitaa.com/heyatesaredeh" TargetMode="External"/><Relationship Id="rId164" Type="http://schemas.openxmlformats.org/officeDocument/2006/relationships/hyperlink" Target="https://t.me/heyatesaredeh" TargetMode="External"/><Relationship Id="rId163" Type="http://schemas.openxmlformats.org/officeDocument/2006/relationships/hyperlink" Target="https://instagram.com/saredehtaft" TargetMode="External"/><Relationship Id="rId162" Type="http://schemas.openxmlformats.org/officeDocument/2006/relationships/hyperlink" Target="https://www.instagram.com/azakhaneh_taft?utm_source=ig_web_button_share_sheet&amp;igsh=ZDNlZDc0MzIxNw==" TargetMode="External"/><Relationship Id="rId169" Type="http://schemas.openxmlformats.org/officeDocument/2006/relationships/hyperlink" Target="https://www.instagram.com/yavaranmahditaft/" TargetMode="External"/><Relationship Id="rId168" Type="http://schemas.openxmlformats.org/officeDocument/2006/relationships/hyperlink" Target="https://www.instagram.com/bazartaft/" TargetMode="External"/><Relationship Id="rId167" Type="http://schemas.openxmlformats.org/officeDocument/2006/relationships/hyperlink" Target="https://www.instagram.com/heyate_hazrate_ali_asghar?utm_source=ig_web_button_share_sheet&amp;igsh=ZDNlZDc0MzIxNw==" TargetMode="External"/><Relationship Id="rId166" Type="http://schemas.openxmlformats.org/officeDocument/2006/relationships/hyperlink" Target="https://www.instagram.com/heyhat_seyedoshohada?utm_source=ig_web_button_share_sheet&amp;igsh=ZDNlZDc0MzIxNw==" TargetMode="External"/><Relationship Id="rId161" Type="http://schemas.openxmlformats.org/officeDocument/2006/relationships/hyperlink" Target="https://www.instagram.com/shohadayeeslamieh?utm_source=ig_web_button_share_sheet&amp;igsh=ZDNlZDc0MzIxNw==" TargetMode="External"/><Relationship Id="rId160" Type="http://schemas.openxmlformats.org/officeDocument/2006/relationships/hyperlink" Target="https://eitaa.com/heyatoreza_dehshir" TargetMode="External"/><Relationship Id="rId159" Type="http://schemas.openxmlformats.org/officeDocument/2006/relationships/hyperlink" Target="https://eitaa.com/r_velayat_nir_yazd" TargetMode="External"/><Relationship Id="rId154" Type="http://schemas.openxmlformats.org/officeDocument/2006/relationships/hyperlink" Target="https://eitaa.com/heyatesaredeh" TargetMode="External"/><Relationship Id="rId153" Type="http://schemas.openxmlformats.org/officeDocument/2006/relationships/hyperlink" Target="http://t.me/heyatesaredeh" TargetMode="External"/><Relationship Id="rId152" Type="http://schemas.openxmlformats.org/officeDocument/2006/relationships/hyperlink" Target="https://www.instagram.com/saredehtaft?utm_source=ig_web_button_share_sheet&amp;igsh=ZDNlZDc0MzIxNw==" TargetMode="External"/><Relationship Id="rId151" Type="http://schemas.openxmlformats.org/officeDocument/2006/relationships/hyperlink" Target="https://www.instagram.com/majmaalzakrin?utm_source=ig_web_button_share_sheet&amp;igsh=ZDNlZDc0MzIxNw==" TargetMode="External"/><Relationship Id="rId158" Type="http://schemas.openxmlformats.org/officeDocument/2006/relationships/hyperlink" Target="https://www.instagram.com/rv_nir_yazd/?utm_source=ig_web_button_share_sheet" TargetMode="External"/><Relationship Id="rId157" Type="http://schemas.openxmlformats.org/officeDocument/2006/relationships/hyperlink" Target="https://www.instagram.com/fadaeyan.hasan._?utm_source=ig_web_button_share_sheet&amp;igsh=ZDNlZDc0MzIxNw==" TargetMode="External"/><Relationship Id="rId156" Type="http://schemas.openxmlformats.org/officeDocument/2006/relationships/hyperlink" Target="https://www.instagram.com/heiat.aboalfazl?utm_source=ig_web_button_share_sheet&amp;igsh=ZDNlZDc0MzIxNw==" TargetMode="External"/><Relationship Id="rId155" Type="http://schemas.openxmlformats.org/officeDocument/2006/relationships/hyperlink" Target="https://eitaa.com/dashtak_oolia" TargetMode="External"/><Relationship Id="rId107" Type="http://schemas.openxmlformats.org/officeDocument/2006/relationships/hyperlink" Target="https://eitaa.com/hasanebnealii" TargetMode="External"/><Relationship Id="rId106" Type="http://schemas.openxmlformats.org/officeDocument/2006/relationships/hyperlink" Target="https://eitaa.com/Bafeq_Board" TargetMode="External"/><Relationship Id="rId105" Type="http://schemas.openxmlformats.org/officeDocument/2006/relationships/hyperlink" Target="https://www.instagram.com/heiatghasemebnelhassan?utm_source=ig_web_button_share_sheet&amp;igsh=ZDNlZDc0MzIxNw==" TargetMode="External"/><Relationship Id="rId104" Type="http://schemas.openxmlformats.org/officeDocument/2006/relationships/hyperlink" Target="https://eitaa.com/kheymehgahebafgh" TargetMode="External"/><Relationship Id="rId109" Type="http://schemas.openxmlformats.org/officeDocument/2006/relationships/hyperlink" Target="https://www.instagram.com/fadaeianhazratzahrabafq?utm_source=ig_web_button_share_sheet&amp;igsh=ZDNlZDc0MzIxNw==" TargetMode="External"/><Relationship Id="rId108" Type="http://schemas.openxmlformats.org/officeDocument/2006/relationships/hyperlink" Target="https://www.instagram.com/sahebzamanbafq/" TargetMode="External"/><Relationship Id="rId103" Type="http://schemas.openxmlformats.org/officeDocument/2006/relationships/hyperlink" Target="https://t.me/kheymehgahebafgh" TargetMode="External"/><Relationship Id="rId102" Type="http://schemas.openxmlformats.org/officeDocument/2006/relationships/hyperlink" Target="https://www.instagram.com/kheymehgahebafgh13?utm_source=ig_web_button_share_sheet&amp;igsh=ZDNlZDc0MzIxNw==" TargetMode="External"/><Relationship Id="rId101" Type="http://schemas.openxmlformats.org/officeDocument/2006/relationships/hyperlink" Target="https://www.instagram.com/mohebanbafgh?utm_source=ig_web_button_share_sheet&amp;igsh=ZDNlZDc0MzIxNw==" TargetMode="External"/><Relationship Id="rId100" Type="http://schemas.openxmlformats.org/officeDocument/2006/relationships/hyperlink" Target="https://www.instagram.com/beitreza/?utm_source=ig_web_button_share_sheet" TargetMode="External"/><Relationship Id="rId129" Type="http://schemas.openxmlformats.org/officeDocument/2006/relationships/hyperlink" Target="https://www.instagram.com/mohebbin_zeinab_yazd?utm_source=ig_web_button_share_sheet&amp;igsh=ZDNlZDc0MzIxNw==" TargetMode="External"/><Relationship Id="rId128" Type="http://schemas.openxmlformats.org/officeDocument/2006/relationships/hyperlink" Target="https://www.instagram.com/samenalaemeyzd?utm_source=ig_web_button_share_sheet&amp;igsh=ZDNlZDc0MzIxNw==" TargetMode="External"/><Relationship Id="rId127" Type="http://schemas.openxmlformats.org/officeDocument/2006/relationships/hyperlink" Target="https://www.instagram.com/alqamehbafgh/" TargetMode="External"/><Relationship Id="rId126" Type="http://schemas.openxmlformats.org/officeDocument/2006/relationships/hyperlink" Target="https://t.me/heyatehabib" TargetMode="External"/><Relationship Id="rId121" Type="http://schemas.openxmlformats.org/officeDocument/2006/relationships/hyperlink" Target="https://www.instagram.com/mearajoshohada?utm_source=ig_web_button_share_sheet&amp;igsh=ZDNlZDc0MzIxNw==" TargetMode="External"/><Relationship Id="rId120" Type="http://schemas.openxmlformats.org/officeDocument/2006/relationships/hyperlink" Target="https://eitaa.com/hjavananbafgh" TargetMode="External"/><Relationship Id="rId125" Type="http://schemas.openxmlformats.org/officeDocument/2006/relationships/hyperlink" Target="https://www.instagram.com/heyate_habib_mazaher12/" TargetMode="External"/><Relationship Id="rId124" Type="http://schemas.openxmlformats.org/officeDocument/2006/relationships/hyperlink" Target="https://www.instagram.com/heyatjavananhazrataliasghar_6/" TargetMode="External"/><Relationship Id="rId123" Type="http://schemas.openxmlformats.org/officeDocument/2006/relationships/hyperlink" Target="https://www.instagram.com/beithasan/" TargetMode="External"/><Relationship Id="rId122" Type="http://schemas.openxmlformats.org/officeDocument/2006/relationships/hyperlink" Target="https://eitaa.com/merajshohadabir" TargetMode="External"/><Relationship Id="rId118" Type="http://schemas.openxmlformats.org/officeDocument/2006/relationships/hyperlink" Target="https://eitaa.com/khademin_shohada_bafgh" TargetMode="External"/><Relationship Id="rId117" Type="http://schemas.openxmlformats.org/officeDocument/2006/relationships/hyperlink" Target="https://www.instagram.com/khadem_alshohada_bafgh?utm_source=ig_web_button_share_sheet&amp;igsh=ZDNlZDc0MzIxNw==" TargetMode="External"/><Relationship Id="rId116" Type="http://schemas.openxmlformats.org/officeDocument/2006/relationships/hyperlink" Target="https://www.instagram.com/zeynabiion_69?utm_source=ig_web_button_share_sheet&amp;igsh=ZDNlZDc0MzIxNw==" TargetMode="External"/><Relationship Id="rId115" Type="http://schemas.openxmlformats.org/officeDocument/2006/relationships/hyperlink" Target="https://t.me/heyaterozatolroghaye" TargetMode="External"/><Relationship Id="rId119" Type="http://schemas.openxmlformats.org/officeDocument/2006/relationships/hyperlink" Target="https://www.instagram.com/heyat_javanan?utm_source=ig_web_button_share_sheet&amp;igsh=ZDNlZDc0MzIxNw==" TargetMode="External"/><Relationship Id="rId110" Type="http://schemas.openxmlformats.org/officeDocument/2006/relationships/hyperlink" Target="https://www.instagram.com/heyat.hazrate.hojat.bafgh1354?utm_source=ig_web_button_share_sheet&amp;igsh=ZDNlZDc0MzIxNw==" TargetMode="External"/><Relationship Id="rId114" Type="http://schemas.openxmlformats.org/officeDocument/2006/relationships/hyperlink" Target="https://www.instagram.com/heyate.rozatolroghayeh?utm_source=ig_web_button_share_sheet&amp;igsh=ZDNlZDc0MzIxNw==" TargetMode="External"/><Relationship Id="rId113" Type="http://schemas.openxmlformats.org/officeDocument/2006/relationships/hyperlink" Target="https://eitaa.com/rozatozahra_bafq" TargetMode="External"/><Relationship Id="rId112" Type="http://schemas.openxmlformats.org/officeDocument/2006/relationships/hyperlink" Target="https://eitaa.com/montazeranbafgh" TargetMode="External"/><Relationship Id="rId111" Type="http://schemas.openxmlformats.org/officeDocument/2006/relationships/hyperlink" Target="https://www.instagram.com/heyat_montazeran_bafgh/?utm_source=ig_web_button_share_sheet" TargetMode="External"/><Relationship Id="rId392" Type="http://schemas.openxmlformats.org/officeDocument/2006/relationships/hyperlink" Target="https://eitaa.com/rayatolmahdim" TargetMode="External"/><Relationship Id="rId391" Type="http://schemas.openxmlformats.org/officeDocument/2006/relationships/hyperlink" Target="https://www.instagram.com/rayatolmahdim?utm_source=ig_web_button_share_sheet&amp;igsh=ZDNlZDc0MzIxNw==" TargetMode="External"/><Relationship Id="rId390" Type="http://schemas.openxmlformats.org/officeDocument/2006/relationships/hyperlink" Target="https://eitaa.com/rayat_info" TargetMode="External"/><Relationship Id="rId385" Type="http://schemas.openxmlformats.org/officeDocument/2006/relationships/hyperlink" Target="https://eitaa.com/rayat_khaharan" TargetMode="External"/><Relationship Id="rId384" Type="http://schemas.openxmlformats.org/officeDocument/2006/relationships/hyperlink" Target="https://eitaa.com/jannatorreza" TargetMode="External"/><Relationship Id="rId383" Type="http://schemas.openxmlformats.org/officeDocument/2006/relationships/hyperlink" Target="https://t.me/jannatorreza" TargetMode="External"/><Relationship Id="rId382" Type="http://schemas.openxmlformats.org/officeDocument/2006/relationships/hyperlink" Target="https://instagram.com/jannatorreza_yazd?igshid=NjIwNz" TargetMode="External"/><Relationship Id="rId389" Type="http://schemas.openxmlformats.org/officeDocument/2006/relationships/hyperlink" Target="https://www.instagram.com/darolhedayeh/" TargetMode="External"/><Relationship Id="rId388" Type="http://schemas.openxmlformats.org/officeDocument/2006/relationships/hyperlink" Target="https://eitaa.com/Heyat72" TargetMode="External"/><Relationship Id="rId387" Type="http://schemas.openxmlformats.org/officeDocument/2006/relationships/hyperlink" Target="https://eitaa.com/aleyasinyazd" TargetMode="External"/><Relationship Id="rId386" Type="http://schemas.openxmlformats.org/officeDocument/2006/relationships/hyperlink" Target="https://www.instagram.com/javanan.fatemi/?utm_source=ig_web_button_share_sheet" TargetMode="External"/><Relationship Id="rId381" Type="http://schemas.openxmlformats.org/officeDocument/2006/relationships/hyperlink" Target="https://eitaa.com/rayat_zahra213" TargetMode="External"/><Relationship Id="rId380" Type="http://schemas.openxmlformats.org/officeDocument/2006/relationships/hyperlink" Target="https://www.instagram.com/rayat.zahra213?utm_source=ig_web_button_share_sheet&amp;igsh=ZDNlZDc0MzIxNw==" TargetMode="External"/><Relationship Id="rId379" Type="http://schemas.openxmlformats.org/officeDocument/2006/relationships/hyperlink" Target="https://eitaa.com/qolub1" TargetMode="External"/><Relationship Id="rId374" Type="http://schemas.openxmlformats.org/officeDocument/2006/relationships/hyperlink" Target="https://eitaa.com/bso_yazd" TargetMode="External"/><Relationship Id="rId373" Type="http://schemas.openxmlformats.org/officeDocument/2006/relationships/hyperlink" Target="https://l.instagram.com/?u=http%3A%2F%2Feitaa.com%2Fyaomah_com%3Ffbclid%3DPAZXh0bgNhZW0CMTEAAafx5X2ZFVlqayuzysRKraxD0Lv_AoTzSrgUalGhgpIYubmgDJtR1GZ6z-gpAQ_aem_jIpBy6rral0THLxgh-v_rw&amp;e=AT1DwEQsqJlct3xPKQiw0xRfcmPqC9vKY9Fpz6YT9QbVQX1WxHYPoGtRe5hfMl818roQ2s8oOIufRnJ18i1QmCbNhu5GHXaRzt7vVfPzUg" TargetMode="External"/><Relationship Id="rId372" Type="http://schemas.openxmlformats.org/officeDocument/2006/relationships/hyperlink" Target="https://yek.link/yaomah_com" TargetMode="External"/><Relationship Id="rId371" Type="http://schemas.openxmlformats.org/officeDocument/2006/relationships/hyperlink" Target="https://www.instagram.com/yaomah_ir/" TargetMode="External"/><Relationship Id="rId378" Type="http://schemas.openxmlformats.org/officeDocument/2006/relationships/hyperlink" Target="http://http//Instagram.com/qolub.2" TargetMode="External"/><Relationship Id="rId377" Type="http://schemas.openxmlformats.org/officeDocument/2006/relationships/hyperlink" Target="https://www.darozzekr.com" TargetMode="External"/><Relationship Id="rId376" Type="http://schemas.openxmlformats.org/officeDocument/2006/relationships/hyperlink" Target="https://eitaa.com/darozzekr_com" TargetMode="External"/><Relationship Id="rId375" Type="http://schemas.openxmlformats.org/officeDocument/2006/relationships/hyperlink" Target="https://www.instagram.com/darozzekr/" TargetMode="External"/><Relationship Id="rId396" Type="http://schemas.openxmlformats.org/officeDocument/2006/relationships/hyperlink" Target="https://www.instagram.com/jahadi_fatemeh97?utm_source=ig_web_button_share_sheet&amp;igsh=ZDNlZDc0MzIxNw==" TargetMode="External"/><Relationship Id="rId395" Type="http://schemas.openxmlformats.org/officeDocument/2006/relationships/hyperlink" Target="https://eitaa.com/booyesib_ir" TargetMode="External"/><Relationship Id="rId394" Type="http://schemas.openxmlformats.org/officeDocument/2006/relationships/hyperlink" Target="https://www.instagram.com/booyesib_ir?utm_source=ig_web_button_share_sheet&amp;igsh=ZDNlZDc0MzIxNw==" TargetMode="External"/><Relationship Id="rId393" Type="http://schemas.openxmlformats.org/officeDocument/2006/relationships/hyperlink" Target="https://eitaa.com/Qnooryazd" TargetMode="External"/><Relationship Id="rId399" Type="http://schemas.openxmlformats.org/officeDocument/2006/relationships/hyperlink" Target="https://eitaa.com/heyattoshohada" TargetMode="External"/><Relationship Id="rId398" Type="http://schemas.openxmlformats.org/officeDocument/2006/relationships/hyperlink" Target="https://www.instagram.com/heyattoshohada?utm_source=ig_web_button_share_sheet&amp;igsh=ZDNlZDc0MzIxNw==" TargetMode="External"/><Relationship Id="rId397" Type="http://schemas.openxmlformats.org/officeDocument/2006/relationships/hyperlink" Target="https://eitaa.com/ansarolmahdi_yazd" TargetMode="External"/><Relationship Id="rId40" Type="http://schemas.openxmlformats.org/officeDocument/2006/relationships/hyperlink" Target="https://eitaa.com/Hossineh_Hazrat_Abolfazl" TargetMode="External"/><Relationship Id="rId42" Type="http://schemas.openxmlformats.org/officeDocument/2006/relationships/hyperlink" Target="https://eitaa.com/hosseinie_ershad" TargetMode="External"/><Relationship Id="rId41" Type="http://schemas.openxmlformats.org/officeDocument/2006/relationships/hyperlink" Target="https://www.instagram.com/heyat_abolfazl_ardakan?utm_source=ig_web_button_share_sheet&amp;igsh=ZDNlZDc0MzIxNw==" TargetMode="External"/><Relationship Id="rId44" Type="http://schemas.openxmlformats.org/officeDocument/2006/relationships/hyperlink" Target="https://www.instagram.com/heyatsarallah_ardakan?utm_source=ig_web_button_share_sheet&amp;igsh=ZDNlZDc0MzIxNw==" TargetMode="External"/><Relationship Id="rId43" Type="http://schemas.openxmlformats.org/officeDocument/2006/relationships/hyperlink" Target="https://www.instagram.com/heyat_abbalfazl/?utm_source=ig_web_button_share_sheet" TargetMode="External"/><Relationship Id="rId46" Type="http://schemas.openxmlformats.org/officeDocument/2006/relationships/hyperlink" Target="https://t.me/noorozahraardakan" TargetMode="External"/><Relationship Id="rId45" Type="http://schemas.openxmlformats.org/officeDocument/2006/relationships/hyperlink" Target="https://eitaa.com/heyatsarallah_ardakan" TargetMode="External"/><Relationship Id="rId48" Type="http://schemas.openxmlformats.org/officeDocument/2006/relationships/hyperlink" Target="https://www.instagram.com/khadem_alshohada_ardakan?utm_source=ig_web_button_share_sheet&amp;igsh=ZDNlZDc0MzIxNw==" TargetMode="External"/><Relationship Id="rId47" Type="http://schemas.openxmlformats.org/officeDocument/2006/relationships/hyperlink" Target="https://eitaa.com/noorozahraardakan" TargetMode="External"/><Relationship Id="rId49" Type="http://schemas.openxmlformats.org/officeDocument/2006/relationships/hyperlink" Target="https://eitaa.com/khademin_shohada_Ardakan" TargetMode="External"/><Relationship Id="rId31" Type="http://schemas.openxmlformats.org/officeDocument/2006/relationships/hyperlink" Target="https://www.instagram.com/bazarno.ardakan?utm_source=ig_web_button_share_sheet&amp;igsh=ZDNlZDc0MzIxNw==" TargetMode="External"/><Relationship Id="rId30" Type="http://schemas.openxmlformats.org/officeDocument/2006/relationships/hyperlink" Target="https://eitaa.com/masjedkhatam25" TargetMode="External"/><Relationship Id="rId33" Type="http://schemas.openxmlformats.org/officeDocument/2006/relationships/hyperlink" Target="https://www.instagram.com/emamhosein_ardakan?utm_source=ig_web_button_share_sheet&amp;igsh=ZDNlZDc0MzIxNw==" TargetMode="External"/><Relationship Id="rId32" Type="http://schemas.openxmlformats.org/officeDocument/2006/relationships/hyperlink" Target="https://eitaa.com/bazarnoardakan" TargetMode="External"/><Relationship Id="rId35" Type="http://schemas.openxmlformats.org/officeDocument/2006/relationships/hyperlink" Target="https://eitaa.com/khimegah_bitozahra" TargetMode="External"/><Relationship Id="rId34" Type="http://schemas.openxmlformats.org/officeDocument/2006/relationships/hyperlink" Target="https://eitaa.com/eamamhosein_ardakan" TargetMode="External"/><Relationship Id="rId37" Type="http://schemas.openxmlformats.org/officeDocument/2006/relationships/hyperlink" Target="https://www.instagram.com/kaanoonquran?utm_source=ig_web_button_share_sheet&amp;igsh=ZDNlZDc0MzIxNw==" TargetMode="External"/><Relationship Id="rId36" Type="http://schemas.openxmlformats.org/officeDocument/2006/relationships/hyperlink" Target="https://eitaa.com/beitolhosseinshahidzaffak" TargetMode="External"/><Relationship Id="rId39" Type="http://schemas.openxmlformats.org/officeDocument/2006/relationships/hyperlink" Target="https://eitaa.com/sarallahdeldadegan" TargetMode="External"/><Relationship Id="rId38" Type="http://schemas.openxmlformats.org/officeDocument/2006/relationships/hyperlink" Target="https://eitaa.com/KanoonQuran" TargetMode="External"/><Relationship Id="rId20" Type="http://schemas.openxmlformats.org/officeDocument/2006/relationships/hyperlink" Target="https://eitaa.com/Baradarebavafa" TargetMode="External"/><Relationship Id="rId22" Type="http://schemas.openxmlformats.org/officeDocument/2006/relationships/hyperlink" Target="https://t.me/mahdie_ardakan" TargetMode="External"/><Relationship Id="rId21" Type="http://schemas.openxmlformats.org/officeDocument/2006/relationships/hyperlink" Target="https://www.instagram.com/mahdie_ardakan/?utm_source=ig_web_button_share_sheet" TargetMode="External"/><Relationship Id="rId24" Type="http://schemas.openxmlformats.org/officeDocument/2006/relationships/hyperlink" Target="https://eitaa.com/Masjdsahibalzaman" TargetMode="External"/><Relationship Id="rId23" Type="http://schemas.openxmlformats.org/officeDocument/2006/relationships/hyperlink" Target="https://eitaa.com/mahdie_ardakan" TargetMode="External"/><Relationship Id="rId26" Type="http://schemas.openxmlformats.org/officeDocument/2006/relationships/hyperlink" Target="https://eitaa.com/masjed110" TargetMode="External"/><Relationship Id="rId25" Type="http://schemas.openxmlformats.org/officeDocument/2006/relationships/hyperlink" Target="https://eitaa.com/HOMEHOSINEBNALIARDAKAN" TargetMode="External"/><Relationship Id="rId28" Type="http://schemas.openxmlformats.org/officeDocument/2006/relationships/hyperlink" Target="https://www.instagram.com/abnaolhosseyn/" TargetMode="External"/><Relationship Id="rId27" Type="http://schemas.openxmlformats.org/officeDocument/2006/relationships/hyperlink" Target="https://eitaa.com/peyrovan_etrat" TargetMode="External"/><Relationship Id="rId29" Type="http://schemas.openxmlformats.org/officeDocument/2006/relationships/hyperlink" Target="https://www.instagram.com/hoseinie_sarallah?utm_source=ig_web_button_share_sheet&amp;igsh=ZDNlZDc0MzIxNw==" TargetMode="External"/><Relationship Id="rId11" Type="http://schemas.openxmlformats.org/officeDocument/2006/relationships/hyperlink" Target="https://www.instagram.com/heyat_razmandegan.abar?utm_source=ig_web_button_share_sheet&amp;igsh=ZDNlZDc0MzIxNw==" TargetMode="External"/><Relationship Id="rId10" Type="http://schemas.openxmlformats.org/officeDocument/2006/relationships/hyperlink" Target="https://eitaa.com/heyatrazmandeganabar" TargetMode="External"/><Relationship Id="rId13" Type="http://schemas.openxmlformats.org/officeDocument/2006/relationships/hyperlink" Target="https://www.instagram.com/benttolhossein?utm_source=ig_web_button_share_sheet&amp;igsh=ZDNlZDc0MzIxNw==" TargetMode="External"/><Relationship Id="rId12" Type="http://schemas.openxmlformats.org/officeDocument/2006/relationships/hyperlink" Target="https://eitaa.com/heyatrazmandeganabar" TargetMode="External"/><Relationship Id="rId15" Type="http://schemas.openxmlformats.org/officeDocument/2006/relationships/hyperlink" Target="https://eitaa.com/yasegharibardakan" TargetMode="External"/><Relationship Id="rId14" Type="http://schemas.openxmlformats.org/officeDocument/2006/relationships/hyperlink" Target="https://www.instagram.com/h_o_golkaran?utm_source=ig_web_button_share_sheet&amp;igsh=ZDNlZDc0MzIxNw==" TargetMode="External"/><Relationship Id="rId17" Type="http://schemas.openxmlformats.org/officeDocument/2006/relationships/hyperlink" Target="https://eitaa.com/hosseinie_ershad" TargetMode="External"/><Relationship Id="rId16" Type="http://schemas.openxmlformats.org/officeDocument/2006/relationships/hyperlink" Target="https://eitaa.com/baradarebavafa" TargetMode="External"/><Relationship Id="rId19" Type="http://schemas.openxmlformats.org/officeDocument/2006/relationships/hyperlink" Target="https://eitaa.com/amvatardakan" TargetMode="External"/><Relationship Id="rId18" Type="http://schemas.openxmlformats.org/officeDocument/2006/relationships/hyperlink" Target="https://eitaa.com/rasa_ar" TargetMode="External"/><Relationship Id="rId84" Type="http://schemas.openxmlformats.org/officeDocument/2006/relationships/hyperlink" Target="https://www.instagram.com/abaabdeallah?utm_source=ig_web_button_share_sheet&amp;igsh=ZDNlZDc0MzIxNw==" TargetMode="External"/><Relationship Id="rId83" Type="http://schemas.openxmlformats.org/officeDocument/2006/relationships/hyperlink" Target="https://www.instagram.com/emamhossein_shohada_ashkezar/" TargetMode="External"/><Relationship Id="rId86" Type="http://schemas.openxmlformats.org/officeDocument/2006/relationships/hyperlink" Target="https://t.me/Eslamabadyazd" TargetMode="External"/><Relationship Id="rId85" Type="http://schemas.openxmlformats.org/officeDocument/2006/relationships/hyperlink" Target="https://t.me/abaabdellah_hosein" TargetMode="External"/><Relationship Id="rId88" Type="http://schemas.openxmlformats.org/officeDocument/2006/relationships/hyperlink" Target="https://www.instagram.com/heyate_hazeratealiakbar?utm_source=ig_web_button_share_sheet&amp;igsh=ZDNlZDc0MzIxNw==" TargetMode="External"/><Relationship Id="rId87" Type="http://schemas.openxmlformats.org/officeDocument/2006/relationships/hyperlink" Target="https://eitaa.com/hezarcheshmeh" TargetMode="External"/><Relationship Id="rId89" Type="http://schemas.openxmlformats.org/officeDocument/2006/relationships/hyperlink" Target="https://www.instagram.com/heyat_14_masom?utm_source=ig_web_button_share_sheet&amp;igsh=ZDNlZDc0MzIxNw==" TargetMode="External"/><Relationship Id="rId80" Type="http://schemas.openxmlformats.org/officeDocument/2006/relationships/hyperlink" Target="https://eitaa.com/reyhanatolnabi_a" TargetMode="External"/><Relationship Id="rId82" Type="http://schemas.openxmlformats.org/officeDocument/2006/relationships/hyperlink" Target="https://www.instagram.com/heiat.fatemieh.kharanaq/" TargetMode="External"/><Relationship Id="rId81" Type="http://schemas.openxmlformats.org/officeDocument/2006/relationships/hyperlink" Target="https://www.instagram.com/mokebalhoseinardakan" TargetMode="External"/><Relationship Id="rId73" Type="http://schemas.openxmlformats.org/officeDocument/2006/relationships/hyperlink" Target="https://heyatrazmandeganardakan.blog.ir/" TargetMode="External"/><Relationship Id="rId72" Type="http://schemas.openxmlformats.org/officeDocument/2006/relationships/hyperlink" Target="https://eitaa.com/fatemeazhra" TargetMode="External"/><Relationship Id="rId75" Type="http://schemas.openxmlformats.org/officeDocument/2006/relationships/hyperlink" Target="https://eitaa.com/hansarolmohsen_ardakan" TargetMode="External"/><Relationship Id="rId74" Type="http://schemas.openxmlformats.org/officeDocument/2006/relationships/hyperlink" Target="https://www.instagram.com/ansarolmohsen?utm_source=ig_web_button_share_sheet&amp;igsh=ZDNlZDc0MzIxNw==" TargetMode="External"/><Relationship Id="rId77" Type="http://schemas.openxmlformats.org/officeDocument/2006/relationships/hyperlink" Target="https://www.instagram.com/reyhanatolhossein_ir/" TargetMode="External"/><Relationship Id="rId76" Type="http://schemas.openxmlformats.org/officeDocument/2006/relationships/hyperlink" Target="https://www.instagram.com/heiatemamhasanardakan11" TargetMode="External"/><Relationship Id="rId79" Type="http://schemas.openxmlformats.org/officeDocument/2006/relationships/hyperlink" Target="https://www.instagram.com/reyhanatonabi.a" TargetMode="External"/><Relationship Id="rId78" Type="http://schemas.openxmlformats.org/officeDocument/2006/relationships/hyperlink" Target="https://t.me/reyhanatolhosseyn315" TargetMode="External"/><Relationship Id="rId71" Type="http://schemas.openxmlformats.org/officeDocument/2006/relationships/hyperlink" Target="https://www.instagram.com/heyatfatematazzahra/?utm_source=ig_web_button_share_sheet" TargetMode="External"/><Relationship Id="rId70" Type="http://schemas.openxmlformats.org/officeDocument/2006/relationships/hyperlink" Target="https://eitaa.com/KanoonQuran" TargetMode="External"/><Relationship Id="rId62" Type="http://schemas.openxmlformats.org/officeDocument/2006/relationships/hyperlink" Target="https://eitaa.com/eamamhosein_ardakan" TargetMode="External"/><Relationship Id="rId61" Type="http://schemas.openxmlformats.org/officeDocument/2006/relationships/hyperlink" Target="https://www.instagram.com/emamhosein_ardakan?utm_source=ig_web_button_share_sheet&amp;igsh=ZDNlZDc0MzIxNw==" TargetMode="External"/><Relationship Id="rId64" Type="http://schemas.openxmlformats.org/officeDocument/2006/relationships/hyperlink" Target="https://eitaa.com/Sadeghieh_ardakan" TargetMode="External"/><Relationship Id="rId63" Type="http://schemas.openxmlformats.org/officeDocument/2006/relationships/hyperlink" Target="https://www.instagram.com/sadeghieh_ardakan?utm_source=ig_web_button_share_sheet&amp;igsh=ZDNlZDc0MzIxNw==" TargetMode="External"/><Relationship Id="rId66" Type="http://schemas.openxmlformats.org/officeDocument/2006/relationships/hyperlink" Target="https://eitaa.com/bso_ardakan" TargetMode="External"/><Relationship Id="rId65" Type="http://schemas.openxmlformats.org/officeDocument/2006/relationships/hyperlink" Target="https://eitaa.com/noojavanhosini" TargetMode="External"/><Relationship Id="rId68" Type="http://schemas.openxmlformats.org/officeDocument/2006/relationships/hyperlink" Target="https://t.me/koshkenow_yazd" TargetMode="External"/><Relationship Id="rId67" Type="http://schemas.openxmlformats.org/officeDocument/2006/relationships/hyperlink" Target="https://www.instagram.com/koshkenow_yazd?utm_source=ig_web_button_share_sheet&amp;igsh=ZDNlZDc0MzIxNw==" TargetMode="External"/><Relationship Id="rId60" Type="http://schemas.openxmlformats.org/officeDocument/2006/relationships/hyperlink" Target="https://t.me/sthshsh" TargetMode="External"/><Relationship Id="rId69" Type="http://schemas.openxmlformats.org/officeDocument/2006/relationships/hyperlink" Target="https://eitaa.com/koshkenow_yazd" TargetMode="External"/><Relationship Id="rId51" Type="http://schemas.openxmlformats.org/officeDocument/2006/relationships/hyperlink" Target="https://www.instagram.com/iahosin2816?utm_source=ig_web_button_share_sheet&amp;igsh=ZDNlZDc0MzIxNw==" TargetMode="External"/><Relationship Id="rId50" Type="http://schemas.openxmlformats.org/officeDocument/2006/relationships/hyperlink" Target="https://eitaa.com/khaimmegahArdakan" TargetMode="External"/><Relationship Id="rId53" Type="http://schemas.openxmlformats.org/officeDocument/2006/relationships/hyperlink" Target="https://www.instagram.com/kheaymahgah_ghasamabnalhasan?utm_source=ig_web_button_share_sheet&amp;igsh=ZDNlZDc0MzIxNw==" TargetMode="External"/><Relationship Id="rId52" Type="http://schemas.openxmlformats.org/officeDocument/2006/relationships/hyperlink" Target="https://eitaa.com/msq_abolfazl" TargetMode="External"/><Relationship Id="rId55" Type="http://schemas.openxmlformats.org/officeDocument/2006/relationships/hyperlink" Target="https://eitaa.com/hosseinieh_alibeyk" TargetMode="External"/><Relationship Id="rId54" Type="http://schemas.openxmlformats.org/officeDocument/2006/relationships/hyperlink" Target="https://www.instagram.com/hosseinieh_alibeyk?utm_source=ig_web_button_share_sheet&amp;igsh=ZDNlZDc0MzIxNw==" TargetMode="External"/><Relationship Id="rId57" Type="http://schemas.openxmlformats.org/officeDocument/2006/relationships/hyperlink" Target="https://www.instagram.com/hosseiniyeh_teflan_moslem?utm_source=ig_web_button_share_sheet&amp;igsh=ZDNlZDc0MzIxNw==" TargetMode="External"/><Relationship Id="rId56" Type="http://schemas.openxmlformats.org/officeDocument/2006/relationships/hyperlink" Target="https://www.instagram.com/hoseiniecharkhab?utm_source=ig_web_button_share_sheet&amp;igsh=ZDNlZDc0MzIxNw==" TargetMode="External"/><Relationship Id="rId59" Type="http://schemas.openxmlformats.org/officeDocument/2006/relationships/hyperlink" Target="https://www.instagram.com/hoseinieh.sh.sh?utm_source=ig_web_button_share_sheet&amp;igsh=ZDNlZDc0MzIxNw==" TargetMode="External"/><Relationship Id="rId58" Type="http://schemas.openxmlformats.org/officeDocument/2006/relationships/hyperlink" Target="https://t.me/gharibmadinehemamhasanmojtaba" TargetMode="External"/><Relationship Id="rId349" Type="http://schemas.openxmlformats.org/officeDocument/2006/relationships/hyperlink" Target="https://eitaa.com/heiatemamhasan_elmohonar" TargetMode="External"/><Relationship Id="rId348" Type="http://schemas.openxmlformats.org/officeDocument/2006/relationships/hyperlink" Target="https://www.instagram.com/abulfazl_alabbas_yazd?utm_source=ig_web_button_share_sheet&amp;igsh=ZDNlZDc0MzIxNw==" TargetMode="External"/><Relationship Id="rId347" Type="http://schemas.openxmlformats.org/officeDocument/2006/relationships/hyperlink" Target="https://www.instagram.com/heydaryun110/?utm_source=ig_web_button_share_sheet" TargetMode="External"/><Relationship Id="rId346" Type="http://schemas.openxmlformats.org/officeDocument/2006/relationships/hyperlink" Target="https://eitaa.com/Moheban313zahra" TargetMode="External"/><Relationship Id="rId341" Type="http://schemas.openxmlformats.org/officeDocument/2006/relationships/hyperlink" Target="https://www.instagram.com/ansar118118?utm_source=ig_web_button_share_sheet&amp;igsh=ZDNlZDc0MzIxNw==" TargetMode="External"/><Relationship Id="rId340" Type="http://schemas.openxmlformats.org/officeDocument/2006/relationships/hyperlink" Target="https://www.instagram.com/heyat_asheghan_zarch?utm_source=ig_web_button_share_sheet&amp;igsh=ZDNlZDc0MzIxNw==" TargetMode="External"/><Relationship Id="rId345" Type="http://schemas.openxmlformats.org/officeDocument/2006/relationships/hyperlink" Target="https://www.instagram.com/moheban_alzahras/?utm_source=ig_web_button_share_sheet" TargetMode="External"/><Relationship Id="rId344" Type="http://schemas.openxmlformats.org/officeDocument/2006/relationships/hyperlink" Target="https://eitaa.com/emamzade_jafar_yazd" TargetMode="External"/><Relationship Id="rId343" Type="http://schemas.openxmlformats.org/officeDocument/2006/relationships/hyperlink" Target="https://www.instagram.com/shahzadefazel.yazd?utm_source=ig_web_button_share_sheet&amp;igsh=ZDNlZDc0MzIxNw==" TargetMode="External"/><Relationship Id="rId342" Type="http://schemas.openxmlformats.org/officeDocument/2006/relationships/hyperlink" Target="https://www.instagram.com/haram128.ir?utm_source=ig_web_button_share_sheet&amp;igsh=ZDNlZDc0MzIxNw==" TargetMode="External"/><Relationship Id="rId338" Type="http://schemas.openxmlformats.org/officeDocument/2006/relationships/hyperlink" Target="https://www.instagram.com/neynavasafaieh/?utm_source=ig_web_button_share_sheet" TargetMode="External"/><Relationship Id="rId337" Type="http://schemas.openxmlformats.org/officeDocument/2006/relationships/hyperlink" Target="https://eitaa.com/masjedvelayatyazd" TargetMode="External"/><Relationship Id="rId336" Type="http://schemas.openxmlformats.org/officeDocument/2006/relationships/hyperlink" Target="https://eitaa.com/madrese_eshgh_yazd" TargetMode="External"/><Relationship Id="rId335" Type="http://schemas.openxmlformats.org/officeDocument/2006/relationships/hyperlink" Target="https://www.instagram.com/heyat_javadolaemeh_yazd/?utm_source=ig_web_button_share_sheet" TargetMode="External"/><Relationship Id="rId339" Type="http://schemas.openxmlformats.org/officeDocument/2006/relationships/hyperlink" Target="https://eitaa.com/butorab_info" TargetMode="External"/><Relationship Id="rId330" Type="http://schemas.openxmlformats.org/officeDocument/2006/relationships/hyperlink" Target="https://t.me/ansareaemeh" TargetMode="External"/><Relationship Id="rId334" Type="http://schemas.openxmlformats.org/officeDocument/2006/relationships/hyperlink" Target="https://eitaa.com/ansaroghayeh_yazd" TargetMode="External"/><Relationship Id="rId333" Type="http://schemas.openxmlformats.org/officeDocument/2006/relationships/hyperlink" Target="https://t.me/ansaroghayeh_yazd" TargetMode="External"/><Relationship Id="rId332" Type="http://schemas.openxmlformats.org/officeDocument/2006/relationships/hyperlink" Target="https://www.instagram.com/ansaroghayeh_yazd?utm_source=ig_web_button_share_sheet&amp;igsh=ZDNlZDc0MzIxNw==" TargetMode="External"/><Relationship Id="rId331" Type="http://schemas.openxmlformats.org/officeDocument/2006/relationships/hyperlink" Target="https://eitaa.com/ansareaemeh" TargetMode="External"/><Relationship Id="rId370" Type="http://schemas.openxmlformats.org/officeDocument/2006/relationships/hyperlink" Target="https://l.instagram.com/?u=http%3A%2F%2Ft.me%2Fyazdsalavat1384%3Ffbclid%3DPAZXh0bgNhZW0CMTEAAadjEHtwhVY-q_paAoPKgLbR0pWmr7pZ48fxu6rI1G6iaDOmgYIhs7rQuLJYBA_aem_0xjBYUYl95bv1c7f7_3sug&amp;e=AT19AuEP2SIT3HdfLvzcHzDtgWJlOVnzB94GtwHE34Q2MnTnLaCKvhQ3IHzfVmoCL51okR563rtODR90Da1qe_n_KRfsPjC22Bj9hXs2mQ" TargetMode="External"/><Relationship Id="rId369" Type="http://schemas.openxmlformats.org/officeDocument/2006/relationships/hyperlink" Target="https://www.instagram.com/yazdsalavat1384/" TargetMode="External"/><Relationship Id="rId368" Type="http://schemas.openxmlformats.org/officeDocument/2006/relationships/hyperlink" Target="https://eitaa.com/nooralhodainfo" TargetMode="External"/><Relationship Id="rId363" Type="http://schemas.openxmlformats.org/officeDocument/2006/relationships/hyperlink" Target="https://www.instagram.com/heyatekhalfebagh_yazd?utm_source=ig_web_button_share_sheet&amp;igsh=ZDNlZDc0MzIxNw==" TargetMode="External"/><Relationship Id="rId362" Type="http://schemas.openxmlformats.org/officeDocument/2006/relationships/hyperlink" Target="https://eitaa.com/moheban313ir" TargetMode="External"/><Relationship Id="rId361" Type="http://schemas.openxmlformats.org/officeDocument/2006/relationships/hyperlink" Target="https://www.instagram.com/moheban_al_hosein_yazd?utm_source=ig_web_button_share_sheet&amp;igsh=ZDNlZDc0MzIxNw==" TargetMode="External"/><Relationship Id="rId360" Type="http://schemas.openxmlformats.org/officeDocument/2006/relationships/hyperlink" Target="https://www.instagram.com/moheban313_ir/" TargetMode="External"/><Relationship Id="rId367" Type="http://schemas.openxmlformats.org/officeDocument/2006/relationships/hyperlink" Target="https://www.instagram.com/darvazeshahi_yazd/?utm_source=ig_web_button_share_sheet" TargetMode="External"/><Relationship Id="rId366" Type="http://schemas.openxmlformats.org/officeDocument/2006/relationships/hyperlink" Target="https://www.instagram.com/fahadan.yazd?utm_source=ig_web_button_share_sheet&amp;igsh=ZDNlZDc0MzIxNw==" TargetMode="External"/><Relationship Id="rId365" Type="http://schemas.openxmlformats.org/officeDocument/2006/relationships/hyperlink" Target="https://t.me/chaharmonaryazd" TargetMode="External"/><Relationship Id="rId364" Type="http://schemas.openxmlformats.org/officeDocument/2006/relationships/hyperlink" Target="https://www.instagram.com/chaharmonar.yazd/?utm_source=ig_web_button_share_sheet" TargetMode="External"/><Relationship Id="rId95" Type="http://schemas.openxmlformats.org/officeDocument/2006/relationships/hyperlink" Target="https://www.instagram.com/hayat_emamhasan_mojtaba/" TargetMode="External"/><Relationship Id="rId94" Type="http://schemas.openxmlformats.org/officeDocument/2006/relationships/hyperlink" Target="https://www.instagram.com/hosseinieh_sefid_ashkezar/" TargetMode="External"/><Relationship Id="rId97" Type="http://schemas.openxmlformats.org/officeDocument/2006/relationships/hyperlink" Target="https://www.instagram.com/baitozahra.rezvanshahr/" TargetMode="External"/><Relationship Id="rId96" Type="http://schemas.openxmlformats.org/officeDocument/2006/relationships/hyperlink" Target="https://www.instagram.com/heyat_aliasghar_majoomerd/" TargetMode="External"/><Relationship Id="rId99" Type="http://schemas.openxmlformats.org/officeDocument/2006/relationships/hyperlink" Target="https://www.instagram.com/heyat.khezrabad/" TargetMode="External"/><Relationship Id="rId98" Type="http://schemas.openxmlformats.org/officeDocument/2006/relationships/hyperlink" Target="https://www.instagram.com/heiat.javananshahrmajomerd/" TargetMode="External"/><Relationship Id="rId91" Type="http://schemas.openxmlformats.org/officeDocument/2006/relationships/hyperlink" Target="https://www.instagram.com/majmaozakerinyazd?utm_source=ig_web_button_share_sheet&amp;igsh=ZDNlZDc0MzIxNw==" TargetMode="External"/><Relationship Id="rId90" Type="http://schemas.openxmlformats.org/officeDocument/2006/relationships/hyperlink" Target="https://eitaa.com/mf14masoumemamshahr" TargetMode="External"/><Relationship Id="rId93" Type="http://schemas.openxmlformats.org/officeDocument/2006/relationships/hyperlink" Target="https://eitaa.com/majmaozakerinyazd" TargetMode="External"/><Relationship Id="rId92" Type="http://schemas.openxmlformats.org/officeDocument/2006/relationships/hyperlink" Target="https://t.me/majmaozakerinyazd" TargetMode="External"/><Relationship Id="rId359" Type="http://schemas.openxmlformats.org/officeDocument/2006/relationships/hyperlink" Target="https://www.instagram.com/javanane_ghamare_bani_hashem?utm_source=ig_web_button_share_sheet&amp;igsh=ZDNlZDc0MzIxNw==" TargetMode="External"/><Relationship Id="rId358" Type="http://schemas.openxmlformats.org/officeDocument/2006/relationships/hyperlink" Target="https://www.instagram.com/eslamabadyazd/?utm_source=ig_web_button_share_sheet" TargetMode="External"/><Relationship Id="rId357" Type="http://schemas.openxmlformats.org/officeDocument/2006/relationships/hyperlink" Target="https://www.instagram.com/heyat_abasalehyazd/?utm_source=ig_web_button_share_sheet" TargetMode="External"/><Relationship Id="rId352" Type="http://schemas.openxmlformats.org/officeDocument/2006/relationships/hyperlink" Target="https://eitaa.com/binolharamienyazd" TargetMode="External"/><Relationship Id="rId351" Type="http://schemas.openxmlformats.org/officeDocument/2006/relationships/hyperlink" Target="https://t.me/+qQwUPeI4u2U5MGVk" TargetMode="External"/><Relationship Id="rId350" Type="http://schemas.openxmlformats.org/officeDocument/2006/relationships/hyperlink" Target="https://www.instagram.com/binolharamien.yazd/?utm_source=ig_web_button_share_sheet" TargetMode="External"/><Relationship Id="rId356" Type="http://schemas.openxmlformats.org/officeDocument/2006/relationships/hyperlink" Target="https://eitaa.com/maddahanyazd" TargetMode="External"/><Relationship Id="rId355" Type="http://schemas.openxmlformats.org/officeDocument/2006/relationships/hyperlink" Target="https://eitaa.com/rozatolkarbala" TargetMode="External"/><Relationship Id="rId354" Type="http://schemas.openxmlformats.org/officeDocument/2006/relationships/hyperlink" Target="https://www.instagram.com/rozatolkarbala?utm_source=ig_web_button_share_sheet&amp;igsh=ZDNlZDc0MzIxNw==" TargetMode="External"/><Relationship Id="rId353" Type="http://schemas.openxmlformats.org/officeDocument/2006/relationships/hyperlink" Target="https://www.instagram.com/asheghanbanizahra?utm_source=ig_web_button_share_sheet&amp;igsh=ZDNlZDc0MzIxNw==" TargetMode="External"/><Relationship Id="rId305" Type="http://schemas.openxmlformats.org/officeDocument/2006/relationships/hyperlink" Target="https://www.instagram.com/heyat.aliakbar.sh/" TargetMode="External"/><Relationship Id="rId304" Type="http://schemas.openxmlformats.org/officeDocument/2006/relationships/hyperlink" Target="https://t.me/heyate_roghayeh" TargetMode="External"/><Relationship Id="rId303" Type="http://schemas.openxmlformats.org/officeDocument/2006/relationships/hyperlink" Target="https://www.instagram.com/heyate_roghayeh/" TargetMode="External"/><Relationship Id="rId302" Type="http://schemas.openxmlformats.org/officeDocument/2006/relationships/hyperlink" Target="https://www.instagram.com/hussainiyah.b.d/" TargetMode="External"/><Relationship Id="rId309" Type="http://schemas.openxmlformats.org/officeDocument/2006/relationships/hyperlink" Target="https://eitaa.com/beyto_roghaye" TargetMode="External"/><Relationship Id="rId308" Type="http://schemas.openxmlformats.org/officeDocument/2006/relationships/hyperlink" Target="https://www.instagram.com/beyto.roghaye.bafruiyeh/" TargetMode="External"/><Relationship Id="rId307" Type="http://schemas.openxmlformats.org/officeDocument/2006/relationships/hyperlink" Target="https://www.instagram.com/heyat_javadolaeme_bafrueyeh/" TargetMode="External"/><Relationship Id="rId306" Type="http://schemas.openxmlformats.org/officeDocument/2006/relationships/hyperlink" Target="https://www.instagram.com/heyat_fatemiyeh_bafru/" TargetMode="External"/><Relationship Id="rId301" Type="http://schemas.openxmlformats.org/officeDocument/2006/relationships/hyperlink" Target="https://t.me/fatemiha_khanaghah" TargetMode="External"/><Relationship Id="rId300" Type="http://schemas.openxmlformats.org/officeDocument/2006/relationships/hyperlink" Target="https://www.instagram.com/fatemiha_khanaghah/" TargetMode="External"/><Relationship Id="rId327" Type="http://schemas.openxmlformats.org/officeDocument/2006/relationships/hyperlink" Target="https://www.instagram.com/farajyazd?utm_source=ig_web_button_share_sheet&amp;igsh=ZDNlZDc0MzIxNw==" TargetMode="External"/><Relationship Id="rId326" Type="http://schemas.openxmlformats.org/officeDocument/2006/relationships/hyperlink" Target="https://t.me/fadaeian_info69" TargetMode="External"/><Relationship Id="rId325" Type="http://schemas.openxmlformats.org/officeDocument/2006/relationships/hyperlink" Target="https://www.instagram.com/fadaeian_info?utm_source=ig_web_button_share_sheet&amp;igsh=ZDNlZDc0MzIxNw==" TargetMode="External"/><Relationship Id="rId324" Type="http://schemas.openxmlformats.org/officeDocument/2006/relationships/hyperlink" Target="https://eitaa.com/nehzat_yazd" TargetMode="External"/><Relationship Id="rId329" Type="http://schemas.openxmlformats.org/officeDocument/2006/relationships/hyperlink" Target="https://www.instagram.com/ansareaemeh/?utm_source=ig_web_button_share_sheet" TargetMode="External"/><Relationship Id="rId328" Type="http://schemas.openxmlformats.org/officeDocument/2006/relationships/hyperlink" Target="https://t.me/farajyazd" TargetMode="External"/><Relationship Id="rId323" Type="http://schemas.openxmlformats.org/officeDocument/2006/relationships/hyperlink" Target="https://eitaa.com/hezbollahyazd" TargetMode="External"/><Relationship Id="rId322" Type="http://schemas.openxmlformats.org/officeDocument/2006/relationships/hyperlink" Target="https://www.instagram.com/darulfeiz.ir/?utm_source=ig_web_button_share_sheet" TargetMode="External"/><Relationship Id="rId321" Type="http://schemas.openxmlformats.org/officeDocument/2006/relationships/hyperlink" Target="https://t.me/heiat_fatemieh_yazd" TargetMode="External"/><Relationship Id="rId320" Type="http://schemas.openxmlformats.org/officeDocument/2006/relationships/hyperlink" Target="https://www.instagram.com/heiat_fatemieh/?utm_source=ig_web_button_share_sheet" TargetMode="External"/><Relationship Id="rId316" Type="http://schemas.openxmlformats.org/officeDocument/2006/relationships/hyperlink" Target="https://www.instagram.com/Baqiatallah_aj/" TargetMode="External"/><Relationship Id="rId315" Type="http://schemas.openxmlformats.org/officeDocument/2006/relationships/hyperlink" Target="https://eitaa.com/heiatesalmanefarsi97" TargetMode="External"/><Relationship Id="rId314" Type="http://schemas.openxmlformats.org/officeDocument/2006/relationships/hyperlink" Target="https://t.me/heiatsalmanfarsi" TargetMode="External"/><Relationship Id="rId313" Type="http://schemas.openxmlformats.org/officeDocument/2006/relationships/hyperlink" Target="https://www.instagram.com/heiatsalmanfarsi" TargetMode="External"/><Relationship Id="rId319" Type="http://schemas.openxmlformats.org/officeDocument/2006/relationships/hyperlink" Target="https://www.instagram.com/moheban.yazd/" TargetMode="External"/><Relationship Id="rId318" Type="http://schemas.openxmlformats.org/officeDocument/2006/relationships/hyperlink" Target="https://eitaa.com/Baqiatallah_aj" TargetMode="External"/><Relationship Id="rId317" Type="http://schemas.openxmlformats.org/officeDocument/2006/relationships/hyperlink" Target="https://t.me/Baqiatallah_aj" TargetMode="External"/><Relationship Id="rId312" Type="http://schemas.openxmlformats.org/officeDocument/2006/relationships/hyperlink" Target="https://eitaa.com/Ansarolmahdi_nodoushan" TargetMode="External"/><Relationship Id="rId311" Type="http://schemas.openxmlformats.org/officeDocument/2006/relationships/hyperlink" Target="https://t.me/Ansarolmahdi_nodoushan" TargetMode="External"/><Relationship Id="rId310" Type="http://schemas.openxmlformats.org/officeDocument/2006/relationships/hyperlink" Target="https://www.instagram.com/ansarolmahdi_nodoushan/" TargetMode="External"/><Relationship Id="rId297" Type="http://schemas.openxmlformats.org/officeDocument/2006/relationships/hyperlink" Target="https://eitaa.com/fatemioon_meybod" TargetMode="External"/><Relationship Id="rId296" Type="http://schemas.openxmlformats.org/officeDocument/2006/relationships/hyperlink" Target="https://t.me/fatemioon_meybod" TargetMode="External"/><Relationship Id="rId295" Type="http://schemas.openxmlformats.org/officeDocument/2006/relationships/hyperlink" Target="https://www.instagram.com/fatemioon_meybod/" TargetMode="External"/><Relationship Id="rId294" Type="http://schemas.openxmlformats.org/officeDocument/2006/relationships/hyperlink" Target="https://eitaa.com/heyateakbarabadyazd" TargetMode="External"/><Relationship Id="rId299" Type="http://schemas.openxmlformats.org/officeDocument/2006/relationships/hyperlink" Target="https://eitaa.com/iranhusseeiniva" TargetMode="External"/><Relationship Id="rId298" Type="http://schemas.openxmlformats.org/officeDocument/2006/relationships/hyperlink" Target="https://www.instagram.com/jannesaran_hosseini/" TargetMode="External"/><Relationship Id="rId271" Type="http://schemas.openxmlformats.org/officeDocument/2006/relationships/hyperlink" Target="https://www.instagram.com/imamhossein6?utm_source=ig_web_button_share_sheet&amp;igsh=ZDNlZDc0MzIxNw==" TargetMode="External"/><Relationship Id="rId270" Type="http://schemas.openxmlformats.org/officeDocument/2006/relationships/hyperlink" Target="https://eitaa.com/moheban_alabas" TargetMode="External"/><Relationship Id="rId269" Type="http://schemas.openxmlformats.org/officeDocument/2006/relationships/hyperlink" Target="https://www.instagram.com/maktabolabbas_meybod?utm_source=ig_web_button_share_sheet&amp;igsh=ZDNlZDc0MzIxNw==" TargetMode="External"/><Relationship Id="rId264" Type="http://schemas.openxmlformats.org/officeDocument/2006/relationships/hyperlink" Target="https://t.me/mehrizbaghebahar" TargetMode="External"/><Relationship Id="rId263" Type="http://schemas.openxmlformats.org/officeDocument/2006/relationships/hyperlink" Target="https://www.instagram.com/mehrizbaghebahar/" TargetMode="External"/><Relationship Id="rId262" Type="http://schemas.openxmlformats.org/officeDocument/2006/relationships/hyperlink" Target="https://t.me/majmeabbas" TargetMode="External"/><Relationship Id="rId261" Type="http://schemas.openxmlformats.org/officeDocument/2006/relationships/hyperlink" Target="https://www.instagram.com/majmeabbas/" TargetMode="External"/><Relationship Id="rId268" Type="http://schemas.openxmlformats.org/officeDocument/2006/relationships/hyperlink" Target="https://www.instagram.com/tal_zaynabiah/" TargetMode="External"/><Relationship Id="rId267" Type="http://schemas.openxmlformats.org/officeDocument/2006/relationships/hyperlink" Target="https://eitaa.com/beytonoor_mehriz" TargetMode="External"/><Relationship Id="rId266" Type="http://schemas.openxmlformats.org/officeDocument/2006/relationships/hyperlink" Target="https://www.instagram.com/beytonoor_mehriz/" TargetMode="External"/><Relationship Id="rId265" Type="http://schemas.openxmlformats.org/officeDocument/2006/relationships/hyperlink" Target="https://eitaa.com/mehrizbaghebahar" TargetMode="External"/><Relationship Id="rId260" Type="http://schemas.openxmlformats.org/officeDocument/2006/relationships/hyperlink" Target="https://www.instagram.com/hoseinie_azam_mazvirabad/" TargetMode="External"/><Relationship Id="rId259" Type="http://schemas.openxmlformats.org/officeDocument/2006/relationships/hyperlink" Target="https://www.instagram.com/heyat.ghamar.banihashem1/" TargetMode="External"/><Relationship Id="rId258" Type="http://schemas.openxmlformats.org/officeDocument/2006/relationships/hyperlink" Target="https://eitaa.com/Allamdarkarbala" TargetMode="External"/><Relationship Id="rId253" Type="http://schemas.openxmlformats.org/officeDocument/2006/relationships/hyperlink" Target="https://www.instagram.com/heyat_ghamare_bany_hashem?utm_source=ig_web_button_share_sheet&amp;igsh=ZDNlZDc0MzIxNw==" TargetMode="External"/><Relationship Id="rId252" Type="http://schemas.openxmlformats.org/officeDocument/2006/relationships/hyperlink" Target="https://eitaa.com/heyatsarcheshme" TargetMode="External"/><Relationship Id="rId251" Type="http://schemas.openxmlformats.org/officeDocument/2006/relationships/hyperlink" Target="https://www.instagram.com/azadaransarcheshme.ir?utm_source=ig_web_button_share_sheet&amp;igsh=ZDNlZDc0MzIxNw==" TargetMode="External"/><Relationship Id="rId250" Type="http://schemas.openxmlformats.org/officeDocument/2006/relationships/hyperlink" Target="https://eitaa.com/mosqueeazratabolfazl_ir" TargetMode="External"/><Relationship Id="rId257" Type="http://schemas.openxmlformats.org/officeDocument/2006/relationships/hyperlink" Target="https://instagram.com/allamdarkarbala?igs" TargetMode="External"/><Relationship Id="rId256" Type="http://schemas.openxmlformats.org/officeDocument/2006/relationships/hyperlink" Target="https://eitaa.com/ansarmehriz" TargetMode="External"/><Relationship Id="rId255" Type="http://schemas.openxmlformats.org/officeDocument/2006/relationships/hyperlink" Target="https://www.instagram.com/ansarmehriz?utm_source=ig_web_button_share_sheet&amp;igsh=ZDNlZDc0MzIxNw==" TargetMode="External"/><Relationship Id="rId254" Type="http://schemas.openxmlformats.org/officeDocument/2006/relationships/hyperlink" Target="https://eitaa.com/ghadimal_ehsan_mehriz" TargetMode="External"/><Relationship Id="rId293" Type="http://schemas.openxmlformats.org/officeDocument/2006/relationships/hyperlink" Target="https://www.instagram.com/akbarabadyazd/?utm_source=ig_web_button_share_sheet" TargetMode="External"/><Relationship Id="rId292" Type="http://schemas.openxmlformats.org/officeDocument/2006/relationships/hyperlink" Target="https://eitaa.com/mahdiehmeybod" TargetMode="External"/><Relationship Id="rId291" Type="http://schemas.openxmlformats.org/officeDocument/2006/relationships/hyperlink" Target="https://www.instagram.com/mahdiehmeybod?utm_source=ig_web_button_share_sheet&amp;igsh=ZDNlZDc0MzIxNw==" TargetMode="External"/><Relationship Id="rId290" Type="http://schemas.openxmlformats.org/officeDocument/2006/relationships/hyperlink" Target="https://eitaa.com/fatemiahb10" TargetMode="External"/><Relationship Id="rId286" Type="http://schemas.openxmlformats.org/officeDocument/2006/relationships/hyperlink" Target="https://eitaa.com/m_Rasoolallah_m" TargetMode="External"/><Relationship Id="rId285" Type="http://schemas.openxmlformats.org/officeDocument/2006/relationships/hyperlink" Target="https://www.instagram.com/heyat.ghasemebnelhasan.dehabad?utm_source=ig_web_button_share_sheet&amp;igsh=ZDNlZDc0MzIxNw==" TargetMode="External"/><Relationship Id="rId284" Type="http://schemas.openxmlformats.org/officeDocument/2006/relationships/hyperlink" Target="https://www.instagram.com/heyat_saeedi_meybod?utm_source=ig_web_button_share_sheet&amp;igsh=ZDNlZDc0MzIxNw==" TargetMode="External"/><Relationship Id="rId283" Type="http://schemas.openxmlformats.org/officeDocument/2006/relationships/hyperlink" Target="https://eitaa.com/yasenili_ir" TargetMode="External"/><Relationship Id="rId289" Type="http://schemas.openxmlformats.org/officeDocument/2006/relationships/hyperlink" Target="https://www.instagram.com/fatemiahb10?utm_source=ig_web_button_share_sheet&amp;igsh=ZDNlZDc0MzIxNw==" TargetMode="External"/><Relationship Id="rId288" Type="http://schemas.openxmlformats.org/officeDocument/2006/relationships/hyperlink" Target="https://eitaa.com/etratkhaharan313" TargetMode="External"/><Relationship Id="rId287" Type="http://schemas.openxmlformats.org/officeDocument/2006/relationships/hyperlink" Target="https://eitaa.com/H_razmandegan_meybod" TargetMode="External"/><Relationship Id="rId282" Type="http://schemas.openxmlformats.org/officeDocument/2006/relationships/hyperlink" Target="https://t.me/yasenili_ir" TargetMode="External"/><Relationship Id="rId281" Type="http://schemas.openxmlformats.org/officeDocument/2006/relationships/hyperlink" Target="https://www.instagram.com/yasenili_ir/" TargetMode="External"/><Relationship Id="rId280" Type="http://schemas.openxmlformats.org/officeDocument/2006/relationships/hyperlink" Target="https://eitaa.com/mabm77" TargetMode="External"/><Relationship Id="rId275" Type="http://schemas.openxmlformats.org/officeDocument/2006/relationships/hyperlink" Target="https://eitaa.com/m_amirabad" TargetMode="External"/><Relationship Id="rId274" Type="http://schemas.openxmlformats.org/officeDocument/2006/relationships/hyperlink" Target="https://www.instagram.com/heyat_abolfazli_sharak_shohada?utm_source=ig_web_button_share_sheet&amp;igsh=ZDNlZDc0MzIxNw==" TargetMode="External"/><Relationship Id="rId273" Type="http://schemas.openxmlformats.org/officeDocument/2006/relationships/hyperlink" Target="https://eitaa.com/Meybodmosala" TargetMode="External"/><Relationship Id="rId272" Type="http://schemas.openxmlformats.org/officeDocument/2006/relationships/hyperlink" Target="https://eitaa.com/mirshamsolhaghmeybod" TargetMode="External"/><Relationship Id="rId279" Type="http://schemas.openxmlformats.org/officeDocument/2006/relationships/hyperlink" Target="https://www.instagram.com/mabm_77?utm_source=ig_web_button_share_sheet&amp;igsh=ZDNlZDc0MzIxNw==" TargetMode="External"/><Relationship Id="rId278" Type="http://schemas.openxmlformats.org/officeDocument/2006/relationships/hyperlink" Target="https://eitaa.com/ashouraeiyan_ir" TargetMode="External"/><Relationship Id="rId277" Type="http://schemas.openxmlformats.org/officeDocument/2006/relationships/hyperlink" Target="https://t.me/ashouraeiyan_ir" TargetMode="External"/><Relationship Id="rId276" Type="http://schemas.openxmlformats.org/officeDocument/2006/relationships/hyperlink" Target="https://www.instagram.com/ashouraeiyan_ir/" TargetMode="External"/><Relationship Id="rId228" Type="http://schemas.openxmlformats.org/officeDocument/2006/relationships/hyperlink" Target="https://www.instagram.com/saryazd1?utm_source=ig_web_button_share_sheet&amp;igsh=ZDNlZDc0MzIxNw==" TargetMode="External"/><Relationship Id="rId227" Type="http://schemas.openxmlformats.org/officeDocument/2006/relationships/hyperlink" Target="https://www.instagram.com/heiate_aliebneabitaleb/?utm_source=ig_web_button_share_sheet" TargetMode="External"/><Relationship Id="rId226" Type="http://schemas.openxmlformats.org/officeDocument/2006/relationships/hyperlink" Target="https://eitaa.com/ansarmehriz" TargetMode="External"/><Relationship Id="rId225" Type="http://schemas.openxmlformats.org/officeDocument/2006/relationships/hyperlink" Target="https://instagram.com/Ansarmehriz" TargetMode="External"/><Relationship Id="rId229" Type="http://schemas.openxmlformats.org/officeDocument/2006/relationships/hyperlink" Target="https://www.instagram.com/khadimalaemeh?utm_source=ig_web_button_share_sheet&amp;igsh=ZDNlZDc0MzIxNw==" TargetMode="External"/><Relationship Id="rId220" Type="http://schemas.openxmlformats.org/officeDocument/2006/relationships/hyperlink" Target="https://www.instagram.com/rozatolshohada.live" TargetMode="External"/><Relationship Id="rId224" Type="http://schemas.openxmlformats.org/officeDocument/2006/relationships/hyperlink" Target="https://eitaa.com/ansarolheidar_ir" TargetMode="External"/><Relationship Id="rId223" Type="http://schemas.openxmlformats.org/officeDocument/2006/relationships/hyperlink" Target="https://www.instagram.com/ansarolheidar_ir?utm_source=ig_web_button_share_sheet&amp;igsh=ZDNlZDc0MzIxNw==" TargetMode="External"/><Relationship Id="rId222" Type="http://schemas.openxmlformats.org/officeDocument/2006/relationships/hyperlink" Target="https://l.instagram.com/?u=http%3A%2F%2Frozatolshohada.ir%2F%3Ffbclid%3DPAZXh0bgNhZW0CMTEAAafzoIlDW2wDLb1ew4C6LY086DwzpAPjTYbPu31S4CGjYrujDGFm02r_KNysMQ_aem_fQ6U1cCQH7wWHlg43w4QAA&amp;e=AT0eRFQzkFmoCgpWgWdg3-Pdqhuh5F_pwjiG-FKXc4IEhRsXeqwYgbReLIi0v7z8Ngxw1b5H101nedxcmbQJe33n-irl60LmdBrDu2rOYw" TargetMode="External"/><Relationship Id="rId221" Type="http://schemas.openxmlformats.org/officeDocument/2006/relationships/hyperlink" Target="https://eitaa.com/rozatolshohadamehriz" TargetMode="External"/><Relationship Id="rId217" Type="http://schemas.openxmlformats.org/officeDocument/2006/relationships/hyperlink" Target="https://www.instagram.com/h_ghamar_bani_hashem?utm_source=ig_web_button_share_sheet&amp;igsh=ZDNlZDc0MzIxNw==" TargetMode="External"/><Relationship Id="rId216" Type="http://schemas.openxmlformats.org/officeDocument/2006/relationships/hyperlink" Target="https://www.instagram.com/masjed_rasol_mehriz?utm_source=ig_web_button_share_sheet&amp;igsh=ZDNlZDc0MzIxNw==" TargetMode="External"/><Relationship Id="rId215" Type="http://schemas.openxmlformats.org/officeDocument/2006/relationships/hyperlink" Target="https://l.instagram.com/?u=https%3A%2F%2Feitaa.com%2Falavioon_mehrdasht%3Ffbclid%3DPAZXh0bgNhZW0CMTEAAafY34q01AjFSbi0Zz4bb9sY9xOL5XpX4BKpZn0W2GZzOiD-lkqO2TjCap3kFQ_aem_lE6-sqV8GYWcV4UrxJPRLw&amp;e=AT0VUkF7Bs9j_06C5cuLHxFC3u0IoVdGLoJSHQa9QogZApnMQAnqtOEtw208bfPVGZe_F45icwcw6_LUNwGpsrjUxaBcZzSvZMZh91G2Eg" TargetMode="External"/><Relationship Id="rId214" Type="http://schemas.openxmlformats.org/officeDocument/2006/relationships/hyperlink" Target="https://www.instagram.com/alavioon_mehrdasht/" TargetMode="External"/><Relationship Id="rId219" Type="http://schemas.openxmlformats.org/officeDocument/2006/relationships/hyperlink" Target="https://eitaa.com/aliasghar_mehriz" TargetMode="External"/><Relationship Id="rId218" Type="http://schemas.openxmlformats.org/officeDocument/2006/relationships/hyperlink" Target="https://www.instagram.com/aliasghar.mehriz?utm_source=ig_web_button_share_sheet&amp;igsh=ZDNlZDc0MzIxNw==" TargetMode="External"/><Relationship Id="rId213" Type="http://schemas.openxmlformats.org/officeDocument/2006/relationships/hyperlink" Target="https://www.instagram.com/montazaran_mahdi_marwast/" TargetMode="External"/><Relationship Id="rId212" Type="http://schemas.openxmlformats.org/officeDocument/2006/relationships/hyperlink" Target="https://www.instagram.com/taziye_salare_shahidan_marvast?utm_source=ig_web_button_share_sheet&amp;igsh=ZDNlZDc0MzIxNw==" TargetMode="External"/><Relationship Id="rId211" Type="http://schemas.openxmlformats.org/officeDocument/2006/relationships/hyperlink" Target="https://eitaa.com/esteghamaii" TargetMode="External"/><Relationship Id="rId210" Type="http://schemas.openxmlformats.org/officeDocument/2006/relationships/hyperlink" Target="https://t.me/sahebazamanitabas" TargetMode="External"/><Relationship Id="rId249" Type="http://schemas.openxmlformats.org/officeDocument/2006/relationships/hyperlink" Target="https://www.instagram.com/khaterate_khormiz?utm_source=ig_web_button_share_sheet&amp;igsh=ZDNlZDc0MzIxNw==" TargetMode="External"/><Relationship Id="rId248" Type="http://schemas.openxmlformats.org/officeDocument/2006/relationships/hyperlink" Target="https://t.me/ansarolhosain_mehriz" TargetMode="External"/><Relationship Id="rId247" Type="http://schemas.openxmlformats.org/officeDocument/2006/relationships/hyperlink" Target="https://www.instagram.com/ansarolhosain_mehriz?utm_source=ig_web_button_share_sheet&amp;igsh=ZDNlZDc0MzIxNw==" TargetMode="External"/><Relationship Id="rId242" Type="http://schemas.openxmlformats.org/officeDocument/2006/relationships/hyperlink" Target="https://eitaa.com/yarogayee" TargetMode="External"/><Relationship Id="rId241" Type="http://schemas.openxmlformats.org/officeDocument/2006/relationships/hyperlink" Target="https://www.instagram.com/moheban_hazrat_roghaye?utm_source=ig_web_button_share_sheet&amp;igsh=ZDNlZDc0MzIxNw==" TargetMode="External"/><Relationship Id="rId240" Type="http://schemas.openxmlformats.org/officeDocument/2006/relationships/hyperlink" Target="https://eitaa.com/ashouraeiyan_ir" TargetMode="External"/><Relationship Id="rId246" Type="http://schemas.openxmlformats.org/officeDocument/2006/relationships/hyperlink" Target="https://eitaa.com/sarallahmehriz" TargetMode="External"/><Relationship Id="rId245" Type="http://schemas.openxmlformats.org/officeDocument/2006/relationships/hyperlink" Target="https://t.me/sarallahmehriz" TargetMode="External"/><Relationship Id="rId244" Type="http://schemas.openxmlformats.org/officeDocument/2006/relationships/hyperlink" Target="https://instagram.com/sarallahmehriz" TargetMode="External"/><Relationship Id="rId243" Type="http://schemas.openxmlformats.org/officeDocument/2006/relationships/hyperlink" Target="https://www.instagram.com/heyat_abolfazll_alabbas?utm_source=ig_web_button_share_sheet&amp;igsh=ZDNlZDc0MzIxNw==" TargetMode="External"/><Relationship Id="rId239" Type="http://schemas.openxmlformats.org/officeDocument/2006/relationships/hyperlink" Target="https://t.me/ashouraeiyan_ir" TargetMode="External"/><Relationship Id="rId238" Type="http://schemas.openxmlformats.org/officeDocument/2006/relationships/hyperlink" Target="https://instagram.com/ashouraeiyan_ir" TargetMode="External"/><Relationship Id="rId237" Type="http://schemas.openxmlformats.org/officeDocument/2006/relationships/hyperlink" Target="https://www.instagram.com/heyat_abolfazll_alabbas?utm_source=ig_web_button_share_sheet&amp;igsh=ZDNlZDc0MzIxNw==" TargetMode="External"/><Relationship Id="rId236" Type="http://schemas.openxmlformats.org/officeDocument/2006/relationships/hyperlink" Target="https://eitaa.com/heyatsarcheshme" TargetMode="External"/><Relationship Id="rId231" Type="http://schemas.openxmlformats.org/officeDocument/2006/relationships/hyperlink" Target="https://eitaa.com/mosqueeazratabolfazl_ir" TargetMode="External"/><Relationship Id="rId230" Type="http://schemas.openxmlformats.org/officeDocument/2006/relationships/hyperlink" Target="https://www.instagram.com/mosqueeazratabolfazl_ir?utm_source=ig_web_button_share_sheet&amp;igsh=ZDNlZDc0MzIxNw==" TargetMode="External"/><Relationship Id="rId235" Type="http://schemas.openxmlformats.org/officeDocument/2006/relationships/hyperlink" Target="https://eitaa.com/heyatghasmbanelhasan" TargetMode="External"/><Relationship Id="rId234" Type="http://schemas.openxmlformats.org/officeDocument/2006/relationships/hyperlink" Target="https://www.instagram.com/heeyat.ghasmbanelhasan?utm_source=ig_web_button_share_sheet&amp;igsh=ZDNlZDc0MzIxNw==" TargetMode="External"/><Relationship Id="rId233" Type="http://schemas.openxmlformats.org/officeDocument/2006/relationships/hyperlink" Target="https://www.instagram.com/masjed_abolfazl_yazd?utm_source=ig_web_button_share_sheet&amp;igsh=ZDNlZDc0MzIxNw==" TargetMode="External"/><Relationship Id="rId232" Type="http://schemas.openxmlformats.org/officeDocument/2006/relationships/hyperlink" Target="https://www.instagram.com/khane_imamhossini_yazd?utm_source=ig_web_button_share_sheet&amp;igsh=ZDNlZDc0MzIxNw==" TargetMode="External"/><Relationship Id="rId206" Type="http://schemas.openxmlformats.org/officeDocument/2006/relationships/hyperlink" Target="https://www.instagram.com/abolfazlitabas?utm_source=ig_web_button_share_sheet&amp;igsh=ZDNlZDc0MzIxNw==" TargetMode="External"/><Relationship Id="rId205" Type="http://schemas.openxmlformats.org/officeDocument/2006/relationships/hyperlink" Target="https://www.instagram.com/takiye_hazrat_abalfazl/" TargetMode="External"/><Relationship Id="rId204" Type="http://schemas.openxmlformats.org/officeDocument/2006/relationships/hyperlink" Target="https://www.instagram.com/shrouded_in_zarch/" TargetMode="External"/><Relationship Id="rId203" Type="http://schemas.openxmlformats.org/officeDocument/2006/relationships/hyperlink" Target="https://eitaa.com/mohebbine213" TargetMode="External"/><Relationship Id="rId209" Type="http://schemas.openxmlformats.org/officeDocument/2006/relationships/hyperlink" Target="https://www.instagram.com/heyat_sahebazamani_tabas?utm_source=ig_web_button_share_sheet&amp;igsh=ZDNlZDc0MzIxNw==" TargetMode="External"/><Relationship Id="rId208" Type="http://schemas.openxmlformats.org/officeDocument/2006/relationships/hyperlink" Target="https://t.me/s/heyathoseynitabas/2552" TargetMode="External"/><Relationship Id="rId207" Type="http://schemas.openxmlformats.org/officeDocument/2006/relationships/hyperlink" Target="https://www.instagram.com/heyathoseynitabas?utm_source=ig_web_button_share_sheet&amp;igsh=ZDNlZDc0MzIxNw==" TargetMode="External"/><Relationship Id="rId202" Type="http://schemas.openxmlformats.org/officeDocument/2006/relationships/hyperlink" Target="https://t.me/mohebbin213" TargetMode="External"/><Relationship Id="rId201" Type="http://schemas.openxmlformats.org/officeDocument/2006/relationships/hyperlink" Target="https://www.instagram.com/mohebbin213/" TargetMode="External"/><Relationship Id="rId200" Type="http://schemas.openxmlformats.org/officeDocument/2006/relationships/hyperlink" Target="https://t.me/neynava_zarch" TargetMode="External"/><Relationship Id="rId509" Type="http://schemas.openxmlformats.org/officeDocument/2006/relationships/hyperlink" Target="https://t.me/manshadheyat" TargetMode="External"/><Relationship Id="rId508" Type="http://schemas.openxmlformats.org/officeDocument/2006/relationships/hyperlink" Target="https://www.instagram.com/manshadheyat/" TargetMode="External"/><Relationship Id="rId503" Type="http://schemas.openxmlformats.org/officeDocument/2006/relationships/hyperlink" Target="https://www.instagram.com/bani.hashem_yazd/" TargetMode="External"/><Relationship Id="rId502" Type="http://schemas.openxmlformats.org/officeDocument/2006/relationships/hyperlink" Target="https://www.instagram.com/kheimah_sarallah/" TargetMode="External"/><Relationship Id="rId501" Type="http://schemas.openxmlformats.org/officeDocument/2006/relationships/hyperlink" Target="https://www.instagram.com/khorramshah.yazd/" TargetMode="External"/><Relationship Id="rId500" Type="http://schemas.openxmlformats.org/officeDocument/2006/relationships/hyperlink" Target="https://www.instagram.com/heiat.golchinan.yazd/" TargetMode="External"/><Relationship Id="rId507" Type="http://schemas.openxmlformats.org/officeDocument/2006/relationships/hyperlink" Target="https://t.me/bagh_gandom_yazd" TargetMode="External"/><Relationship Id="rId506" Type="http://schemas.openxmlformats.org/officeDocument/2006/relationships/hyperlink" Target="https://www.instagram.com/bagh_gandom/" TargetMode="External"/><Relationship Id="rId505" Type="http://schemas.openxmlformats.org/officeDocument/2006/relationships/hyperlink" Target="https://t.me/foratrasaneh_yazd" TargetMode="External"/><Relationship Id="rId504" Type="http://schemas.openxmlformats.org/officeDocument/2006/relationships/hyperlink" Target="https://www.instagram.com/forat.yazd/" TargetMode="External"/><Relationship Id="rId525" Type="http://schemas.openxmlformats.org/officeDocument/2006/relationships/hyperlink" Target="https://www.instagram.com/heyat.sarejam/" TargetMode="External"/><Relationship Id="rId524" Type="http://schemas.openxmlformats.org/officeDocument/2006/relationships/hyperlink" Target="https://www.instagram.com/khajekhezryazd/" TargetMode="External"/><Relationship Id="rId523" Type="http://schemas.openxmlformats.org/officeDocument/2006/relationships/hyperlink" Target="https://www.instagram.com/mahdieh_shahedieh/" TargetMode="External"/><Relationship Id="rId522" Type="http://schemas.openxmlformats.org/officeDocument/2006/relationships/hyperlink" Target="https://www.instagram.com/heiate.aliakbar/" TargetMode="External"/><Relationship Id="rId529" Type="http://schemas.openxmlformats.org/officeDocument/2006/relationships/hyperlink" Target="https://www.instagram.com/alamdar.yazd/" TargetMode="External"/><Relationship Id="rId528" Type="http://schemas.openxmlformats.org/officeDocument/2006/relationships/hyperlink" Target="https://www.instagram.com/mirghotb_yazd/" TargetMode="External"/><Relationship Id="rId527" Type="http://schemas.openxmlformats.org/officeDocument/2006/relationships/hyperlink" Target="https://t.me/piroborj" TargetMode="External"/><Relationship Id="rId526" Type="http://schemas.openxmlformats.org/officeDocument/2006/relationships/hyperlink" Target="https://www.instagram.com/piroborj.yazd/" TargetMode="External"/><Relationship Id="rId521" Type="http://schemas.openxmlformats.org/officeDocument/2006/relationships/hyperlink" Target="https://www.instagram.com/hoseynieh.hajiyousef.yazd/" TargetMode="External"/><Relationship Id="rId520" Type="http://schemas.openxmlformats.org/officeDocument/2006/relationships/hyperlink" Target="https://www.instagram.com/alghamehh/" TargetMode="External"/><Relationship Id="rId519" Type="http://schemas.openxmlformats.org/officeDocument/2006/relationships/hyperlink" Target="http://t.me/panbekaran" TargetMode="External"/><Relationship Id="rId514" Type="http://schemas.openxmlformats.org/officeDocument/2006/relationships/hyperlink" Target="https://t.me/Heiat_Azadshahr" TargetMode="External"/><Relationship Id="rId513" Type="http://schemas.openxmlformats.org/officeDocument/2006/relationships/hyperlink" Target="https://www.instagram.com/heiat_azadshahr/" TargetMode="External"/><Relationship Id="rId512" Type="http://schemas.openxmlformats.org/officeDocument/2006/relationships/hyperlink" Target="https://t.me/Heyat_Sahebalzaman_Yazd" TargetMode="External"/><Relationship Id="rId511" Type="http://schemas.openxmlformats.org/officeDocument/2006/relationships/hyperlink" Target="https://www.instagram.com/heyat_mardabad_yazd/" TargetMode="External"/><Relationship Id="rId518" Type="http://schemas.openxmlformats.org/officeDocument/2006/relationships/hyperlink" Target="https://www.instagram.com/panbekaran/" TargetMode="External"/><Relationship Id="rId517" Type="http://schemas.openxmlformats.org/officeDocument/2006/relationships/hyperlink" Target="https://eitaa.com/kouchebiuk" TargetMode="External"/><Relationship Id="rId516" Type="http://schemas.openxmlformats.org/officeDocument/2006/relationships/hyperlink" Target="https://www.instagram.com/koochebiuk.ir/" TargetMode="External"/><Relationship Id="rId515" Type="http://schemas.openxmlformats.org/officeDocument/2006/relationships/hyperlink" Target="https://eitaa.com/heiat_azadshahr" TargetMode="External"/><Relationship Id="rId510" Type="http://schemas.openxmlformats.org/officeDocument/2006/relationships/hyperlink" Target="https://www.instagram.com/mokeb_arbaeen_1444/" TargetMode="External"/><Relationship Id="rId590" Type="http://schemas.openxmlformats.org/officeDocument/2006/relationships/hyperlink" Target="https://eitaa.com/shababalhasan" TargetMode="External"/><Relationship Id="rId589" Type="http://schemas.openxmlformats.org/officeDocument/2006/relationships/hyperlink" Target="http://www.haram133.com" TargetMode="External"/><Relationship Id="rId588" Type="http://schemas.openxmlformats.org/officeDocument/2006/relationships/hyperlink" Target="https://www.instagram.com/mohammadalivatankhah/" TargetMode="External"/><Relationship Id="rId583" Type="http://schemas.openxmlformats.org/officeDocument/2006/relationships/hyperlink" Target="https://www.instagram.com/malamir_yazd/" TargetMode="External"/><Relationship Id="rId582" Type="http://schemas.openxmlformats.org/officeDocument/2006/relationships/hyperlink" Target="https://www.instagram.com/kheymeh.gahe_abas/" TargetMode="External"/><Relationship Id="rId581" Type="http://schemas.openxmlformats.org/officeDocument/2006/relationships/hyperlink" Target="https://www.instagram.com/janatabad_yazd/" TargetMode="External"/><Relationship Id="rId580" Type="http://schemas.openxmlformats.org/officeDocument/2006/relationships/hyperlink" Target="https://www.instagram.com/mahale_saresang_yazd/" TargetMode="External"/><Relationship Id="rId587" Type="http://schemas.openxmlformats.org/officeDocument/2006/relationships/hyperlink" Target="https://t.me/haram133" TargetMode="External"/><Relationship Id="rId586" Type="http://schemas.openxmlformats.org/officeDocument/2006/relationships/hyperlink" Target="https://www.instagram.com/haram133.info?utm_source=ig_web_button_share_sheet&amp;igsh=ZDNlZDc0MzIxNw==" TargetMode="External"/><Relationship Id="rId585" Type="http://schemas.openxmlformats.org/officeDocument/2006/relationships/hyperlink" Target="http://t.me/sabbaghan_yazd" TargetMode="External"/><Relationship Id="rId584" Type="http://schemas.openxmlformats.org/officeDocument/2006/relationships/hyperlink" Target="https://www.instagram.com/sabbaghan_yazd/" TargetMode="External"/><Relationship Id="rId579" Type="http://schemas.openxmlformats.org/officeDocument/2006/relationships/hyperlink" Target="https://t.me/Ghafournews" TargetMode="External"/><Relationship Id="rId578" Type="http://schemas.openxmlformats.org/officeDocument/2006/relationships/hyperlink" Target="https://www.instagram.com/kalak_ghafur_original/" TargetMode="External"/><Relationship Id="rId577" Type="http://schemas.openxmlformats.org/officeDocument/2006/relationships/hyperlink" Target="https://www.instagram.com/darolabbas/" TargetMode="External"/><Relationship Id="rId572" Type="http://schemas.openxmlformats.org/officeDocument/2006/relationships/hyperlink" Target="https://www.instagram.com/neynava_yazd/" TargetMode="External"/><Relationship Id="rId571" Type="http://schemas.openxmlformats.org/officeDocument/2006/relationships/hyperlink" Target="https://www.instagram.com/hosseiniyehazam/" TargetMode="External"/><Relationship Id="rId570" Type="http://schemas.openxmlformats.org/officeDocument/2006/relationships/hyperlink" Target="https://www.instagram.com/qhamar.bani.hashem/" TargetMode="External"/><Relationship Id="rId576" Type="http://schemas.openxmlformats.org/officeDocument/2006/relationships/hyperlink" Target="https://www.instagram.com/heyat_abolfazle_abeshoor_yazd/" TargetMode="External"/><Relationship Id="rId575" Type="http://schemas.openxmlformats.org/officeDocument/2006/relationships/hyperlink" Target="https://www.instagram.com/alamdaran.yazd/" TargetMode="External"/><Relationship Id="rId574" Type="http://schemas.openxmlformats.org/officeDocument/2006/relationships/hyperlink" Target="https://www.instagram.com/daroshefa.yazd/" TargetMode="External"/><Relationship Id="rId573" Type="http://schemas.openxmlformats.org/officeDocument/2006/relationships/hyperlink" Target="https://www.instagram.com/ebrahimabad.yazd/" TargetMode="External"/><Relationship Id="rId599" Type="http://schemas.openxmlformats.org/officeDocument/2006/relationships/hyperlink" Target="https://eitaa.com/rayat_yazd" TargetMode="External"/><Relationship Id="rId594" Type="http://schemas.openxmlformats.org/officeDocument/2006/relationships/hyperlink" Target="https://eitaa.com/mokeb_arbaeen_1444" TargetMode="External"/><Relationship Id="rId593" Type="http://schemas.openxmlformats.org/officeDocument/2006/relationships/hyperlink" Target="https://eitaa.com/baghebahar" TargetMode="External"/><Relationship Id="rId592" Type="http://schemas.openxmlformats.org/officeDocument/2006/relationships/hyperlink" Target="https://www.instagram.com/mehrizbaghebahar?utm_source=ig_web_button_share_sheet&amp;igsh=ZDNlZDc0MzIxNw==" TargetMode="External"/><Relationship Id="rId591" Type="http://schemas.openxmlformats.org/officeDocument/2006/relationships/hyperlink" Target="https://eitaa.com/yhi_com" TargetMode="External"/><Relationship Id="rId598" Type="http://schemas.openxmlformats.org/officeDocument/2006/relationships/hyperlink" Target="https://eitaa.com/yazdmokeb" TargetMode="External"/><Relationship Id="rId597" Type="http://schemas.openxmlformats.org/officeDocument/2006/relationships/hyperlink" Target="https://eitaa.com/beytolabbasyazd133" TargetMode="External"/><Relationship Id="rId596" Type="http://schemas.openxmlformats.org/officeDocument/2006/relationships/hyperlink" Target="https://www.instagram.com/heyat.fatemieh.firoozabad1351" TargetMode="External"/><Relationship Id="rId595" Type="http://schemas.openxmlformats.org/officeDocument/2006/relationships/hyperlink" Target="https://eitaa.com/Mokeb_emamreza_yzd" TargetMode="External"/><Relationship Id="rId547" Type="http://schemas.openxmlformats.org/officeDocument/2006/relationships/hyperlink" Target="https://www.instagram.com/heyat_hasanabadmoshir/" TargetMode="External"/><Relationship Id="rId546" Type="http://schemas.openxmlformats.org/officeDocument/2006/relationships/hyperlink" Target="https://www.instagram.com/shahabolghasem_yazd/" TargetMode="External"/><Relationship Id="rId545" Type="http://schemas.openxmlformats.org/officeDocument/2006/relationships/hyperlink" Target="https://t.me/kheirabad_yazd" TargetMode="External"/><Relationship Id="rId544" Type="http://schemas.openxmlformats.org/officeDocument/2006/relationships/hyperlink" Target="https://www.instagram.com/kheirabad_yazd/" TargetMode="External"/><Relationship Id="rId549" Type="http://schemas.openxmlformats.org/officeDocument/2006/relationships/hyperlink" Target="https://t.me/polenavvabyazd" TargetMode="External"/><Relationship Id="rId548" Type="http://schemas.openxmlformats.org/officeDocument/2006/relationships/hyperlink" Target="https://www.instagram.com/pole.navab.yazd/" TargetMode="External"/><Relationship Id="rId543" Type="http://schemas.openxmlformats.org/officeDocument/2006/relationships/hyperlink" Target="https://www.instagram.com/ashoora.yazd/" TargetMode="External"/><Relationship Id="rId542" Type="http://schemas.openxmlformats.org/officeDocument/2006/relationships/hyperlink" Target="https://eitaa.com/yaghobi_yazd" TargetMode="External"/><Relationship Id="rId541" Type="http://schemas.openxmlformats.org/officeDocument/2006/relationships/hyperlink" Target="https://www.instagram.com/yaghobi_yazd/" TargetMode="External"/><Relationship Id="rId540" Type="http://schemas.openxmlformats.org/officeDocument/2006/relationships/hyperlink" Target="https://www.instagram.com/heyat_janesaran_abolfazl_yazd/" TargetMode="External"/><Relationship Id="rId536" Type="http://schemas.openxmlformats.org/officeDocument/2006/relationships/hyperlink" Target="https://eitaa.com/heyat_javadolaemeh_yazd" TargetMode="External"/><Relationship Id="rId535" Type="http://schemas.openxmlformats.org/officeDocument/2006/relationships/hyperlink" Target="https://www.instagram.com/javadolaemeh.yazd/" TargetMode="External"/><Relationship Id="rId534" Type="http://schemas.openxmlformats.org/officeDocument/2006/relationships/hyperlink" Target="https://www.instagram.com/hosseinieh_gazorgah/" TargetMode="External"/><Relationship Id="rId533" Type="http://schemas.openxmlformats.org/officeDocument/2006/relationships/hyperlink" Target="https://www.instagram.com/hoseinie_abolfazl_yazd/" TargetMode="External"/><Relationship Id="rId539" Type="http://schemas.openxmlformats.org/officeDocument/2006/relationships/hyperlink" Target="https://www.instagram.com/heyaate_gariz/" TargetMode="External"/><Relationship Id="rId538" Type="http://schemas.openxmlformats.org/officeDocument/2006/relationships/hyperlink" Target="https://www.instagram.com/heiat.sarodorah/" TargetMode="External"/><Relationship Id="rId537" Type="http://schemas.openxmlformats.org/officeDocument/2006/relationships/hyperlink" Target="https://www.instagram.com/atash.yazd/" TargetMode="External"/><Relationship Id="rId532" Type="http://schemas.openxmlformats.org/officeDocument/2006/relationships/hyperlink" Target="https://www.instagram.com/shahzadeh_aliakbar_yazd/" TargetMode="External"/><Relationship Id="rId531" Type="http://schemas.openxmlformats.org/officeDocument/2006/relationships/hyperlink" Target="https://eitaa.com/alamdar_mostafa_khomeyni" TargetMode="External"/><Relationship Id="rId530" Type="http://schemas.openxmlformats.org/officeDocument/2006/relationships/hyperlink" Target="https://t.me/mostafa_khomeynii" TargetMode="External"/><Relationship Id="rId569" Type="http://schemas.openxmlformats.org/officeDocument/2006/relationships/hyperlink" Target="https://www.instagram.com/heyat.seyed.sahra.yazd/" TargetMode="External"/><Relationship Id="rId568" Type="http://schemas.openxmlformats.org/officeDocument/2006/relationships/hyperlink" Target="https://www.instagram.com/gazorgah.yazd/" TargetMode="External"/><Relationship Id="rId567" Type="http://schemas.openxmlformats.org/officeDocument/2006/relationships/hyperlink" Target="https://eitaa.com/abalfazli_mehrjard" TargetMode="External"/><Relationship Id="rId566" Type="http://schemas.openxmlformats.org/officeDocument/2006/relationships/hyperlink" Target="https://www.instagram.com/abalfazli_mehrjard/" TargetMode="External"/><Relationship Id="rId561" Type="http://schemas.openxmlformats.org/officeDocument/2006/relationships/hyperlink" Target="https://www.instagram.com/mf14masoum/" TargetMode="External"/><Relationship Id="rId560" Type="http://schemas.openxmlformats.org/officeDocument/2006/relationships/hyperlink" Target="https://www.instagram.com/maktabeemam/" TargetMode="External"/><Relationship Id="rId565" Type="http://schemas.openxmlformats.org/officeDocument/2006/relationships/hyperlink" Target="https://www.instagram.com/hoseinie.azam/" TargetMode="External"/><Relationship Id="rId564" Type="http://schemas.openxmlformats.org/officeDocument/2006/relationships/hyperlink" Target="https://www.instagram.com/heyate_ghasem_abad_yazd/" TargetMode="External"/><Relationship Id="rId563" Type="http://schemas.openxmlformats.org/officeDocument/2006/relationships/hyperlink" Target="https://www.instagram.com/damam_zeinabiyoun/" TargetMode="External"/><Relationship Id="rId562" Type="http://schemas.openxmlformats.org/officeDocument/2006/relationships/hyperlink" Target="https://www.instagram.com/damamzani_naemabad/" TargetMode="External"/><Relationship Id="rId558" Type="http://schemas.openxmlformats.org/officeDocument/2006/relationships/hyperlink" Target="https://t.me/rahmatabad_ir" TargetMode="External"/><Relationship Id="rId557" Type="http://schemas.openxmlformats.org/officeDocument/2006/relationships/hyperlink" Target="https://www.instagram.com/rahmatabad_ir/" TargetMode="External"/><Relationship Id="rId556" Type="http://schemas.openxmlformats.org/officeDocument/2006/relationships/hyperlink" Target="https://www.instagram.com/hoseiniye_mozafari_yazd/" TargetMode="External"/><Relationship Id="rId555" Type="http://schemas.openxmlformats.org/officeDocument/2006/relationships/hyperlink" Target="https://t.me/maryamabad_yazd" TargetMode="External"/><Relationship Id="rId559" Type="http://schemas.openxmlformats.org/officeDocument/2006/relationships/hyperlink" Target="https://eitaa.com/rahmatabad_ir" TargetMode="External"/><Relationship Id="rId550" Type="http://schemas.openxmlformats.org/officeDocument/2006/relationships/hyperlink" Target="https://www.instagram.com/heyaatbesatyazd/" TargetMode="External"/><Relationship Id="rId554" Type="http://schemas.openxmlformats.org/officeDocument/2006/relationships/hyperlink" Target="https://www.instagram.com/maryamabad_yazd/" TargetMode="External"/><Relationship Id="rId553" Type="http://schemas.openxmlformats.org/officeDocument/2006/relationships/hyperlink" Target="https://www.instagram.com/heiat_neinava_azadshahr/" TargetMode="External"/><Relationship Id="rId552" Type="http://schemas.openxmlformats.org/officeDocument/2006/relationships/hyperlink" Target="https://www.instagram.com/heyat_abolfazl.abbas_yazd/" TargetMode="External"/><Relationship Id="rId551" Type="http://schemas.openxmlformats.org/officeDocument/2006/relationships/hyperlink" Target="https://t.me/heyaatbesatyazd" TargetMode="External"/><Relationship Id="rId495" Type="http://schemas.openxmlformats.org/officeDocument/2006/relationships/hyperlink" Target="https://www.instagram.com/ahrestan.yazd/" TargetMode="External"/><Relationship Id="rId494" Type="http://schemas.openxmlformats.org/officeDocument/2006/relationships/hyperlink" Target="https://www.instagram.com/koyesaadiyazd/" TargetMode="External"/><Relationship Id="rId493" Type="http://schemas.openxmlformats.org/officeDocument/2006/relationships/hyperlink" Target="https://t.me/masjddd" TargetMode="External"/><Relationship Id="rId492" Type="http://schemas.openxmlformats.org/officeDocument/2006/relationships/hyperlink" Target="https://www.instagram.com/eayshabad.yazd/" TargetMode="External"/><Relationship Id="rId499" Type="http://schemas.openxmlformats.org/officeDocument/2006/relationships/hyperlink" Target="https://www.instagram.com/naeeimabadyazd/" TargetMode="External"/><Relationship Id="rId498" Type="http://schemas.openxmlformats.org/officeDocument/2006/relationships/hyperlink" Target="https://www.instagram.com/karbalaeiha_yazd/" TargetMode="External"/><Relationship Id="rId497" Type="http://schemas.openxmlformats.org/officeDocument/2006/relationships/hyperlink" Target="https://eitaa.com/ahrestan_yazd" TargetMode="External"/><Relationship Id="rId496" Type="http://schemas.openxmlformats.org/officeDocument/2006/relationships/hyperlink" Target="https://t.me/heyatahrestanyazd" TargetMode="External"/><Relationship Id="rId409" Type="http://schemas.openxmlformats.org/officeDocument/2006/relationships/hyperlink" Target="https://eitaa.com/levaolmahdi_ir" TargetMode="External"/><Relationship Id="rId404" Type="http://schemas.openxmlformats.org/officeDocument/2006/relationships/hyperlink" Target="https://eitaa.com/Qnooryazd" TargetMode="External"/><Relationship Id="rId403" Type="http://schemas.openxmlformats.org/officeDocument/2006/relationships/hyperlink" Target="https://eitaa.com/plack_313" TargetMode="External"/><Relationship Id="rId402" Type="http://schemas.openxmlformats.org/officeDocument/2006/relationships/hyperlink" Target="https://eitaa.com/shababalhasan" TargetMode="External"/><Relationship Id="rId401" Type="http://schemas.openxmlformats.org/officeDocument/2006/relationships/hyperlink" Target="https://www.instagram.com/shababolhasan?utm_source=ig_web_button_share_sheet&amp;igsh=ZDNlZDc0MzIxNw==" TargetMode="External"/><Relationship Id="rId408" Type="http://schemas.openxmlformats.org/officeDocument/2006/relationships/hyperlink" Target="https://t.me/beyt_al_zahra_s" TargetMode="External"/><Relationship Id="rId407" Type="http://schemas.openxmlformats.org/officeDocument/2006/relationships/hyperlink" Target="https://eitaa.com/maktab_yazd" TargetMode="External"/><Relationship Id="rId406" Type="http://schemas.openxmlformats.org/officeDocument/2006/relationships/hyperlink" Target="https://www.instagram.com/hasaniye_yazd/?utm_source=ig_web_button_share_sheet" TargetMode="External"/><Relationship Id="rId405" Type="http://schemas.openxmlformats.org/officeDocument/2006/relationships/hyperlink" Target="https://eitaa.com/ansareaemeh" TargetMode="External"/><Relationship Id="rId400" Type="http://schemas.openxmlformats.org/officeDocument/2006/relationships/hyperlink" Target="https://www.instagram.com/heyatrouhollah?utm_source=ig_web_button_share_sheet&amp;igsh=ZDNlZDc0MzIxNw==" TargetMode="External"/><Relationship Id="rId469" Type="http://schemas.openxmlformats.org/officeDocument/2006/relationships/hyperlink" Target="https://www.instagram.com/ansarolhossein.yazd?utm_source=ig_web_button_share_sheet&amp;igsh=ZDNlZDc0MzIxNw==" TargetMode="External"/><Relationship Id="rId468" Type="http://schemas.openxmlformats.org/officeDocument/2006/relationships/hyperlink" Target="https://www.instagram.com/_asheghanmahdi_academy?utm_source=ig_web_button_share_sheet&amp;igsh=ZDNlZDc0MzIxNw==" TargetMode="External"/><Relationship Id="rId467" Type="http://schemas.openxmlformats.org/officeDocument/2006/relationships/hyperlink" Target="https://eitaa.com/heiathazratabalfazl" TargetMode="External"/><Relationship Id="rId462" Type="http://schemas.openxmlformats.org/officeDocument/2006/relationships/hyperlink" Target="https://eitaa.com/amirbayanyazd" TargetMode="External"/><Relationship Id="rId461" Type="http://schemas.openxmlformats.org/officeDocument/2006/relationships/hyperlink" Target="https://www.instagram.com/amirbayanyazd?utm_source=ig_web_button_share_sheet&amp;igsh=ZDNlZDc0MzIxNw==" TargetMode="External"/><Relationship Id="rId460" Type="http://schemas.openxmlformats.org/officeDocument/2006/relationships/hyperlink" Target="https://t.me/asheghanvelayat_sakhvid" TargetMode="External"/><Relationship Id="rId466" Type="http://schemas.openxmlformats.org/officeDocument/2006/relationships/hyperlink" Target="https://www.instagram.com/heiat.hazrat.abalfazl?utm_source=ig_web_button_share_sheet&amp;igsh=ZDNlZDc0MzIxNw==" TargetMode="External"/><Relationship Id="rId465" Type="http://schemas.openxmlformats.org/officeDocument/2006/relationships/hyperlink" Target="https://eitaa.com/heyatrozatolmahdi" TargetMode="External"/><Relationship Id="rId464" Type="http://schemas.openxmlformats.org/officeDocument/2006/relationships/hyperlink" Target="https://www.instagram.com/heyatrozatolmahdi/" TargetMode="External"/><Relationship Id="rId463" Type="http://schemas.openxmlformats.org/officeDocument/2006/relationships/hyperlink" Target="https://www.instagram.com/roshanatourism?utm_source=ig_web_button_share_sheet&amp;igsh=ZDNlZDc0MzIxNw==" TargetMode="External"/><Relationship Id="rId459" Type="http://schemas.openxmlformats.org/officeDocument/2006/relationships/hyperlink" Target="https://www.instagram.com/asheghan.velayat.sakhvid?utm_source=ig_web_button_share_sheet&amp;igsh=ZDNlZDc0MzIxNw==" TargetMode="External"/><Relationship Id="rId458" Type="http://schemas.openxmlformats.org/officeDocument/2006/relationships/hyperlink" Target="https://t.me/GonbadsabzYazd" TargetMode="External"/><Relationship Id="rId457" Type="http://schemas.openxmlformats.org/officeDocument/2006/relationships/hyperlink" Target="https://www.instagram.com/gonbadsabz_yazd?utm_source=ig_web_button_share_sheet&amp;igsh=ZDNlZDc0MzIxNw==" TargetMode="External"/><Relationship Id="rId456" Type="http://schemas.openxmlformats.org/officeDocument/2006/relationships/hyperlink" Target="https://www.instagram.com/jannesaranabalfazlchaleshtor?utm_source=ig_web_button_share_sheet&amp;igsh=ZDNlZDc0MzIxNw==" TargetMode="External"/><Relationship Id="rId451" Type="http://schemas.openxmlformats.org/officeDocument/2006/relationships/hyperlink" Target="https://eitaa.com/madahaneyazdi" TargetMode="External"/><Relationship Id="rId450" Type="http://schemas.openxmlformats.org/officeDocument/2006/relationships/hyperlink" Target="https://www.instagram.com/setayeshgaran.yazd?utm_source=ig_web_button_share_sheet&amp;igsh=ZDNlZDc0MzIxNw==" TargetMode="External"/><Relationship Id="rId455" Type="http://schemas.openxmlformats.org/officeDocument/2006/relationships/hyperlink" Target="https://t.me/heiatghadiramirabad" TargetMode="External"/><Relationship Id="rId454" Type="http://schemas.openxmlformats.org/officeDocument/2006/relationships/hyperlink" Target="https://www.instagram.com/heiatghadiramirabad?utm_source=ig_web_button_share_sheet&amp;igsh=ZDNlZDc0MzIxNw==" TargetMode="External"/><Relationship Id="rId453" Type="http://schemas.openxmlformats.org/officeDocument/2006/relationships/hyperlink" Target="https://eitaa.com/marasemat_yazd" TargetMode="External"/><Relationship Id="rId452" Type="http://schemas.openxmlformats.org/officeDocument/2006/relationships/hyperlink" Target="https://www.instagram.com/marasemat_yazd?utm_source=ig_web_button_share_sheet&amp;igsh=ZDNlZDc0MzIxNw==" TargetMode="External"/><Relationship Id="rId491" Type="http://schemas.openxmlformats.org/officeDocument/2006/relationships/hyperlink" Target="https://www.instagram.com/kouyeoliaonline/" TargetMode="External"/><Relationship Id="rId490" Type="http://schemas.openxmlformats.org/officeDocument/2006/relationships/hyperlink" Target="https://www.instagram.com/zangi_yazd/" TargetMode="External"/><Relationship Id="rId489" Type="http://schemas.openxmlformats.org/officeDocument/2006/relationships/hyperlink" Target="https://www.instagram.com/kooyetalyazd/" TargetMode="External"/><Relationship Id="rId484" Type="http://schemas.openxmlformats.org/officeDocument/2006/relationships/hyperlink" Target="https://www.instagram.com/yaghobiyazd/" TargetMode="External"/><Relationship Id="rId483" Type="http://schemas.openxmlformats.org/officeDocument/2006/relationships/hyperlink" Target="https://t.me/ansarozahrayazd" TargetMode="External"/><Relationship Id="rId482" Type="http://schemas.openxmlformats.org/officeDocument/2006/relationships/hyperlink" Target="https://www.instagram.com/ansarozahrayazd/?utm_source=ig_web_button_share_sheet" TargetMode="External"/><Relationship Id="rId481" Type="http://schemas.openxmlformats.org/officeDocument/2006/relationships/hyperlink" Target="https://eitaa.com/debelyazd" TargetMode="External"/><Relationship Id="rId488" Type="http://schemas.openxmlformats.org/officeDocument/2006/relationships/hyperlink" Target="https://www.instagram.com/koyehojat/" TargetMode="External"/><Relationship Id="rId487" Type="http://schemas.openxmlformats.org/officeDocument/2006/relationships/hyperlink" Target="https://www.instagram.com/khorramshah_yazd/" TargetMode="External"/><Relationship Id="rId486" Type="http://schemas.openxmlformats.org/officeDocument/2006/relationships/hyperlink" Target="https://www.instagram.com/baghegandom_official/" TargetMode="External"/><Relationship Id="rId485" Type="http://schemas.openxmlformats.org/officeDocument/2006/relationships/hyperlink" Target="https://www.instagram.com/sheikhdad.yazd/" TargetMode="External"/><Relationship Id="rId480" Type="http://schemas.openxmlformats.org/officeDocument/2006/relationships/hyperlink" Target="https://t.me/s/deabel_ir?after=15341" TargetMode="External"/><Relationship Id="rId479" Type="http://schemas.openxmlformats.org/officeDocument/2006/relationships/hyperlink" Target="https://t.me/s/deabel_ir?after=15341" TargetMode="External"/><Relationship Id="rId478" Type="http://schemas.openxmlformats.org/officeDocument/2006/relationships/hyperlink" Target="https://eitaa.com/hm3611" TargetMode="External"/><Relationship Id="rId473" Type="http://schemas.openxmlformats.org/officeDocument/2006/relationships/hyperlink" Target="https://instagram.com/ahd313ir" TargetMode="External"/><Relationship Id="rId472" Type="http://schemas.openxmlformats.org/officeDocument/2006/relationships/hyperlink" Target="https://www.instagram.com/peyman_e_yazd?utm_source=ig_web_button_share_sheet&amp;igsh=ZDNlZDc0MzIxNw==" TargetMode="External"/><Relationship Id="rId471" Type="http://schemas.openxmlformats.org/officeDocument/2006/relationships/hyperlink" Target="https://eitaa.com/ansarolhosseinyazd1" TargetMode="External"/><Relationship Id="rId470" Type="http://schemas.openxmlformats.org/officeDocument/2006/relationships/hyperlink" Target="https://t.me/Ansarolhosseinyazd" TargetMode="External"/><Relationship Id="rId477" Type="http://schemas.openxmlformats.org/officeDocument/2006/relationships/hyperlink" Target="https://www.instagram.com/hayat_emamhasan_mojtaba?utm_source=ig_web_button_share_sheet&amp;igsh=ZDNlZDc0MzIxNw==" TargetMode="External"/><Relationship Id="rId476" Type="http://schemas.openxmlformats.org/officeDocument/2006/relationships/hyperlink" Target="https://t.me/heyat_zeinabieh" TargetMode="External"/><Relationship Id="rId475" Type="http://schemas.openxmlformats.org/officeDocument/2006/relationships/hyperlink" Target="https://www.instagram.com/heyat_zeinabieh_yazd?utm_source=ig_web_button_share_sheet&amp;igsh=ZDNlZDc0MzIxNw==" TargetMode="External"/><Relationship Id="rId474" Type="http://schemas.openxmlformats.org/officeDocument/2006/relationships/hyperlink" Target="https://eitaa.com/ahd313ir" TargetMode="External"/><Relationship Id="rId426" Type="http://schemas.openxmlformats.org/officeDocument/2006/relationships/hyperlink" Target="https://www.instagram.com/ansareamir_ir?utm_source=ig_web_button_share_sheet&amp;igsh=ZDNlZDc0MzIxNw==" TargetMode="External"/><Relationship Id="rId425" Type="http://schemas.openxmlformats.org/officeDocument/2006/relationships/hyperlink" Target="https://eitaa.com/bachehaye_fateme" TargetMode="External"/><Relationship Id="rId424" Type="http://schemas.openxmlformats.org/officeDocument/2006/relationships/hyperlink" Target="https://eitaa.com/banatolheydar_ir" TargetMode="External"/><Relationship Id="rId423" Type="http://schemas.openxmlformats.org/officeDocument/2006/relationships/hyperlink" Target="https://www.instagram.com/banatolheydar_yazd?utm_source=ig_web_button_share_sheet&amp;igsh=ZDNlZDc0MzIxNw==" TargetMode="External"/><Relationship Id="rId429" Type="http://schemas.openxmlformats.org/officeDocument/2006/relationships/hyperlink" Target="https://eitaa.com/tarighoshohadayazd" TargetMode="External"/><Relationship Id="rId428" Type="http://schemas.openxmlformats.org/officeDocument/2006/relationships/hyperlink" Target="https://www.instagram.com/tarigh_shohada_yazd?utm_source=ig_web_button_share_sheet&amp;igsh=ZDNlZDc0MzIxNw==" TargetMode="External"/><Relationship Id="rId427" Type="http://schemas.openxmlformats.org/officeDocument/2006/relationships/hyperlink" Target="https://eitaa.com/ansareamir" TargetMode="External"/><Relationship Id="rId422" Type="http://schemas.openxmlformats.org/officeDocument/2006/relationships/hyperlink" Target="https://eitaa.com/mahdavee1400" TargetMode="External"/><Relationship Id="rId421" Type="http://schemas.openxmlformats.org/officeDocument/2006/relationships/hyperlink" Target="https://www.instagram.com/mahdavee__1400/?utm_source=ig_web_button_share_sheet" TargetMode="External"/><Relationship Id="rId420" Type="http://schemas.openxmlformats.org/officeDocument/2006/relationships/hyperlink" Target="https://eitaa.com/heyat_emam_zaman" TargetMode="External"/><Relationship Id="rId415" Type="http://schemas.openxmlformats.org/officeDocument/2006/relationships/hyperlink" Target="https://eitaa.com/ahla_ghasem201" TargetMode="External"/><Relationship Id="rId414" Type="http://schemas.openxmlformats.org/officeDocument/2006/relationships/hyperlink" Target="https://eitaa.com/heyatfatemiyun" TargetMode="External"/><Relationship Id="rId413" Type="http://schemas.openxmlformats.org/officeDocument/2006/relationships/hyperlink" Target="https://t.me/heyatfatemiyun" TargetMode="External"/><Relationship Id="rId412" Type="http://schemas.openxmlformats.org/officeDocument/2006/relationships/hyperlink" Target="http://instagram.com/heyatfatemiyun" TargetMode="External"/><Relationship Id="rId419" Type="http://schemas.openxmlformats.org/officeDocument/2006/relationships/hyperlink" Target="https://eitaa.com/ahd313ir" TargetMode="External"/><Relationship Id="rId418" Type="http://schemas.openxmlformats.org/officeDocument/2006/relationships/hyperlink" Target="https://www.instagram.com/ahd313ir/?utm_source=ig_web_button_share_sheet" TargetMode="External"/><Relationship Id="rId417" Type="http://schemas.openxmlformats.org/officeDocument/2006/relationships/hyperlink" Target="https://eitaa.com/mf14masoum" TargetMode="External"/><Relationship Id="rId416" Type="http://schemas.openxmlformats.org/officeDocument/2006/relationships/hyperlink" Target="https://www.instagram.com/_asheghanmahdi_academy?utm_source=ig_web_button_share_sheet&amp;igsh=ZDNlZDc0MzIxNw==" TargetMode="External"/><Relationship Id="rId411" Type="http://schemas.openxmlformats.org/officeDocument/2006/relationships/hyperlink" Target="https://eitaa.com/gomnamy_ir" TargetMode="External"/><Relationship Id="rId410" Type="http://schemas.openxmlformats.org/officeDocument/2006/relationships/hyperlink" Target="https://www.instagram.com/gomnamy_ir?utm_source=ig_web_button_share_sheet&amp;igsh=ZDNlZDc0MzIxNw==" TargetMode="External"/><Relationship Id="rId448" Type="http://schemas.openxmlformats.org/officeDocument/2006/relationships/hyperlink" Target="https://eitaa.com/heyatvaresin" TargetMode="External"/><Relationship Id="rId447" Type="http://schemas.openxmlformats.org/officeDocument/2006/relationships/hyperlink" Target="https://www.instagram.com/moasesa_boshra?utm_source=ig_web_button_share_sheet&amp;igsh=ZDNlZDc0MzIxNw==" TargetMode="External"/><Relationship Id="rId446" Type="http://schemas.openxmlformats.org/officeDocument/2006/relationships/hyperlink" Target="https://eitaa.com/mersad_yazd" TargetMode="External"/><Relationship Id="rId445" Type="http://schemas.openxmlformats.org/officeDocument/2006/relationships/hyperlink" Target="https://www.instagram.com/mersad.yazd?utm_source=ig_web_button_share_sheet&amp;igsh=ZDNlZDc0MzIxNw==" TargetMode="External"/><Relationship Id="rId449" Type="http://schemas.openxmlformats.org/officeDocument/2006/relationships/hyperlink" Target="https://eitaa.com/bargah_noor" TargetMode="External"/><Relationship Id="rId440" Type="http://schemas.openxmlformats.org/officeDocument/2006/relationships/hyperlink" Target="https://eitaa.com/marammahdavi_marvast1402" TargetMode="External"/><Relationship Id="rId444" Type="http://schemas.openxmlformats.org/officeDocument/2006/relationships/hyperlink" Target="https://eitaa.com/harime_haura" TargetMode="External"/><Relationship Id="rId443" Type="http://schemas.openxmlformats.org/officeDocument/2006/relationships/hyperlink" Target="https://eitaa.com/butorab_info" TargetMode="External"/><Relationship Id="rId442" Type="http://schemas.openxmlformats.org/officeDocument/2006/relationships/hyperlink" Target="https://eitaa.com/ansarozahrayazd" TargetMode="External"/><Relationship Id="rId441" Type="http://schemas.openxmlformats.org/officeDocument/2006/relationships/hyperlink" Target="https://www.instagram.com/ansarozahrayazd/?utm_source=ig_web_button_share_sheet" TargetMode="External"/><Relationship Id="rId437" Type="http://schemas.openxmlformats.org/officeDocument/2006/relationships/hyperlink" Target="https://www.instagram.com/heydarion_yazd?utm_source=ig_web_button_share_sheet&amp;igsh=ZDNlZDc0MzIxNw==" TargetMode="External"/><Relationship Id="rId436" Type="http://schemas.openxmlformats.org/officeDocument/2006/relationships/hyperlink" Target="https://eitaa.com/alamdarehossein_yazd" TargetMode="External"/><Relationship Id="rId435" Type="http://schemas.openxmlformats.org/officeDocument/2006/relationships/hyperlink" Target="https://t.me/alamdarehossein_yazd" TargetMode="External"/><Relationship Id="rId434" Type="http://schemas.openxmlformats.org/officeDocument/2006/relationships/hyperlink" Target="https://www.instagram.com/heiat_alamdar_hosein_yazd?utm_source=ig_web_button_share_sheet&amp;igsh=ZDNlZDc0MzIxNw==" TargetMode="External"/><Relationship Id="rId439" Type="http://schemas.openxmlformats.org/officeDocument/2006/relationships/hyperlink" Target="https://eitaa.com/heyat_iauy" TargetMode="External"/><Relationship Id="rId438" Type="http://schemas.openxmlformats.org/officeDocument/2006/relationships/hyperlink" Target="https://www.instagram.com/heyat_iauy?utm_source=ig_web_button_share_sheet&amp;igsh=ZDNlZDc0MzIxNw==" TargetMode="External"/><Relationship Id="rId433" Type="http://schemas.openxmlformats.org/officeDocument/2006/relationships/hyperlink" Target="https://eitaa.com/maddahanyazd" TargetMode="External"/><Relationship Id="rId432" Type="http://schemas.openxmlformats.org/officeDocument/2006/relationships/hyperlink" Target="https://eitaa.com/darolkerame" TargetMode="External"/><Relationship Id="rId431" Type="http://schemas.openxmlformats.org/officeDocument/2006/relationships/hyperlink" Target="https://www.instagram.com/rozatolhasn118?utm_source=ig_web_button_share_sheet&amp;igsh=ZDNlZDc0MzIxNw==" TargetMode="External"/><Relationship Id="rId430" Type="http://schemas.openxmlformats.org/officeDocument/2006/relationships/hyperlink" Target="https://eitaa.com/m_ahmadiroshan" TargetMode="External"/><Relationship Id="rId1" Type="http://schemas.openxmlformats.org/officeDocument/2006/relationships/hyperlink" Target="https://eitaa.com/ali_asghar_abarkooh" TargetMode="External"/><Relationship Id="rId2" Type="http://schemas.openxmlformats.org/officeDocument/2006/relationships/hyperlink" Target="https://eitaa.com/nedayebehesht" TargetMode="External"/><Relationship Id="rId3" Type="http://schemas.openxmlformats.org/officeDocument/2006/relationships/hyperlink" Target="https://www.instagram.com/fatmeun_abarkoh?utm_source=ig_web_button_share_sheet&amp;igsh=ZDNlZDc0MzIxNw==" TargetMode="External"/><Relationship Id="rId4" Type="http://schemas.openxmlformats.org/officeDocument/2006/relationships/hyperlink" Target="https://eitaa.com/fatmeun_abarkoh" TargetMode="External"/><Relationship Id="rId9" Type="http://schemas.openxmlformats.org/officeDocument/2006/relationships/hyperlink" Target="https://eitaa.com/alamdaarehosein" TargetMode="External"/><Relationship Id="rId5" Type="http://schemas.openxmlformats.org/officeDocument/2006/relationships/hyperlink" Target="https://t.me/hayhatmennazellah" TargetMode="External"/><Relationship Id="rId6" Type="http://schemas.openxmlformats.org/officeDocument/2006/relationships/hyperlink" Target="https://eitaa.com/maryamabadyazd" TargetMode="External"/><Relationship Id="rId7" Type="http://schemas.openxmlformats.org/officeDocument/2006/relationships/hyperlink" Target="https://www.instagram.com/ansar_almahdi_abarkooh?utm_source=ig_web_button_share_sheet&amp;igsh=ZDNlZDc0MzIxNw==" TargetMode="External"/><Relationship Id="rId8" Type="http://schemas.openxmlformats.org/officeDocument/2006/relationships/hyperlink" Target="https://eitaa.com/ansarolmahdiabarkooh" TargetMode="External"/><Relationship Id="rId608" Type="http://schemas.openxmlformats.org/officeDocument/2006/relationships/drawing" Target="../drawings/drawing9.xml"/><Relationship Id="rId607" Type="http://schemas.openxmlformats.org/officeDocument/2006/relationships/hyperlink" Target="https://eitaa.com/Mesbah_Alhoda72" TargetMode="External"/><Relationship Id="rId602" Type="http://schemas.openxmlformats.org/officeDocument/2006/relationships/hyperlink" Target="https://eitaa.com/rayahin_ir" TargetMode="External"/><Relationship Id="rId601" Type="http://schemas.openxmlformats.org/officeDocument/2006/relationships/hyperlink" Target="https://eitaa.com/ansarollhosrinnajaf" TargetMode="External"/><Relationship Id="rId600" Type="http://schemas.openxmlformats.org/officeDocument/2006/relationships/hyperlink" Target="https://eitaa.com/mahdiehmeybod" TargetMode="External"/><Relationship Id="rId606" Type="http://schemas.openxmlformats.org/officeDocument/2006/relationships/hyperlink" Target="https://eitaa.com/manshadheyat" TargetMode="External"/><Relationship Id="rId605" Type="http://schemas.openxmlformats.org/officeDocument/2006/relationships/hyperlink" Target="https://eitaa.com/shabab_al_zahra_yazd" TargetMode="External"/><Relationship Id="rId604" Type="http://schemas.openxmlformats.org/officeDocument/2006/relationships/hyperlink" Target="https://eitaa.com/shahzadeh_aliakbar_yazd" TargetMode="External"/><Relationship Id="rId603" Type="http://schemas.openxmlformats.org/officeDocument/2006/relationships/hyperlink" Target="https://eitaa.com/MournersofSakhvid2023" TargetMode="External"/></Relationships>
</file>

<file path=xl/worksheets/_rels/sheet10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mahfel_oshaqolhasan" TargetMode="External"/><Relationship Id="rId194" Type="http://schemas.openxmlformats.org/officeDocument/2006/relationships/hyperlink" Target="https://www.instagram.com/emamjavad14/" TargetMode="External"/><Relationship Id="rId193" Type="http://schemas.openxmlformats.org/officeDocument/2006/relationships/hyperlink" Target="https://www.instagram.com/aliabadekatul" TargetMode="External"/><Relationship Id="rId192" Type="http://schemas.openxmlformats.org/officeDocument/2006/relationships/hyperlink" Target="https://www.instagram.com/tekiyeh_seyedshohada/" TargetMode="External"/><Relationship Id="rId191" Type="http://schemas.openxmlformats.org/officeDocument/2006/relationships/hyperlink" Target="https://t.me/oshaqolhasan" TargetMode="External"/><Relationship Id="rId187" Type="http://schemas.openxmlformats.org/officeDocument/2006/relationships/hyperlink" Target="https://www.instagram.com/heyat_abolfazlel_abas" TargetMode="External"/><Relationship Id="rId186" Type="http://schemas.openxmlformats.org/officeDocument/2006/relationships/hyperlink" Target="https://www.instagram.com/heyat_abolfazlel_abas?utm_source=ig_web_button_share_sheet&amp;igsh=ZDNlZDc0MzIxNw==" TargetMode="External"/><Relationship Id="rId185" Type="http://schemas.openxmlformats.org/officeDocument/2006/relationships/hyperlink" Target="https://www.instagram.com/ansar_ol_zeynab313" TargetMode="External"/><Relationship Id="rId184" Type="http://schemas.openxmlformats.org/officeDocument/2006/relationships/hyperlink" Target="https://www.instagram.com/ansar_bandar/" TargetMode="External"/><Relationship Id="rId189" Type="http://schemas.openxmlformats.org/officeDocument/2006/relationships/hyperlink" Target="https://www.instagram.com/tekiyeh_hazratabolfazl/?utm_source=ig_web_button_share_sheet" TargetMode="External"/><Relationship Id="rId188" Type="http://schemas.openxmlformats.org/officeDocument/2006/relationships/hyperlink" Target="https://www.instagram.com/ghamar_bh/" TargetMode="External"/><Relationship Id="rId183" Type="http://schemas.openxmlformats.org/officeDocument/2006/relationships/hyperlink" Target="https://www.instagram.com/heyatkarimaltaha/" TargetMode="External"/><Relationship Id="rId182" Type="http://schemas.openxmlformats.org/officeDocument/2006/relationships/hyperlink" Target="https://t.me/ghamar_baniii_hashem" TargetMode="External"/><Relationship Id="rId181" Type="http://schemas.openxmlformats.org/officeDocument/2006/relationships/hyperlink" Target="https://www.instagram.com/heyat_qamar_bani_hashem" TargetMode="External"/><Relationship Id="rId180" Type="http://schemas.openxmlformats.org/officeDocument/2006/relationships/hyperlink" Target="https://www.instagram.com/heiatolrezabandargaz" TargetMode="External"/><Relationship Id="rId176" Type="http://schemas.openxmlformats.org/officeDocument/2006/relationships/hyperlink" Target="https://www.instagram.com/heiatorreza_bandargaz/" TargetMode="External"/><Relationship Id="rId175" Type="http://schemas.openxmlformats.org/officeDocument/2006/relationships/hyperlink" Target="https://www.instagram.com/abalfazliya.ir/" TargetMode="External"/><Relationship Id="rId174" Type="http://schemas.openxmlformats.org/officeDocument/2006/relationships/hyperlink" Target="https://t.me/abal_fazliya" TargetMode="External"/><Relationship Id="rId173" Type="http://schemas.openxmlformats.org/officeDocument/2006/relationships/hyperlink" Target="https://www.instagram.com/abal.fazliya/" TargetMode="External"/><Relationship Id="rId179" Type="http://schemas.openxmlformats.org/officeDocument/2006/relationships/hyperlink" Target="https://www.instagram.com/asheghan_molahossein/" TargetMode="External"/><Relationship Id="rId178" Type="http://schemas.openxmlformats.org/officeDocument/2006/relationships/hyperlink" Target="https://www.instagram.com/heyat_abolfazlel_abas/" TargetMode="External"/><Relationship Id="rId177" Type="http://schemas.openxmlformats.org/officeDocument/2006/relationships/hyperlink" Target="https://t.me/heiatorreza_bandargaz" TargetMode="External"/><Relationship Id="rId198" Type="http://schemas.openxmlformats.org/officeDocument/2006/relationships/hyperlink" Target="http://eitaa.com/mokebarbabhosein87" TargetMode="External"/><Relationship Id="rId197" Type="http://schemas.openxmlformats.org/officeDocument/2006/relationships/hyperlink" Target="https://www.instagram.com/arbabhosein87/" TargetMode="External"/><Relationship Id="rId196" Type="http://schemas.openxmlformats.org/officeDocument/2006/relationships/hyperlink" Target="https://eitaa.com/emamjavad14_ir" TargetMode="External"/><Relationship Id="rId195" Type="http://schemas.openxmlformats.org/officeDocument/2006/relationships/hyperlink" Target="https://t.me/emamjavad14_ir" TargetMode="External"/><Relationship Id="rId199" Type="http://schemas.openxmlformats.org/officeDocument/2006/relationships/hyperlink" Target="https://www.instagram.com/heyat_asheghan_hazrataliasghar" TargetMode="External"/><Relationship Id="rId150" Type="http://schemas.openxmlformats.org/officeDocument/2006/relationships/hyperlink" Target="https://eitaa.com/rayatolabbasgorgan" TargetMode="External"/><Relationship Id="rId149" Type="http://schemas.openxmlformats.org/officeDocument/2006/relationships/hyperlink" Target="https://www.instagram.com/hyet_abolfazl_abas/?utm_source=ig_web_button_share_sheet" TargetMode="External"/><Relationship Id="rId148" Type="http://schemas.openxmlformats.org/officeDocument/2006/relationships/hyperlink" Target="https://eitaa.com/MOKEBEHAZRATEZEYNABMINOODASHT" TargetMode="External"/><Relationship Id="rId143" Type="http://schemas.openxmlformats.org/officeDocument/2006/relationships/hyperlink" Target="https://l.instagram.com/?u=http%3A%2F%2Feitaa.com%2Fheyat_emameraouf%3Futm_source%3Dig%26utm_medium%3Dsocial%26utm_content%3Dlink_in_bio%26fbclid%3DPAZXh0bgNhZW0CMTEAc3J0YwZhcHBfaWQMMjU2MjgxMDQwNTU4AAGnGiRC5o9y3f6en40R7V3Z6BMevfgQQ4f08AwP8NxiRSpUOFjFRC7NegeVG6k_aem_lFzOpQtRAuEs837yskQX5A&amp;e=AT21xUqHclmwGud3UCaU1mypBi8sO1OPHPfJTB6unVd4PAD3sq0AUlg0iOebmjyH6_3D-sA5ZBNC6WYQVkk_aO6_6tcIsq1z8MAnt1Xh_Q" TargetMode="External"/><Relationship Id="rId142" Type="http://schemas.openxmlformats.org/officeDocument/2006/relationships/hyperlink" Target="https://www.instagram.com/heyat_emameraouf?utm_source=ig_web_button_share_sheet&amp;igsh=ZDNlZDc0MzIxNw==" TargetMode="External"/><Relationship Id="rId141" Type="http://schemas.openxmlformats.org/officeDocument/2006/relationships/hyperlink" Target="https://www.instagram.com/yaran.aftab.gorgan?utm_source=ig_web_button_share_sheet&amp;igsh=ZDNlZDc0MzIxNw==" TargetMode="External"/><Relationship Id="rId140" Type="http://schemas.openxmlformats.org/officeDocument/2006/relationships/hyperlink" Target="https://www.instagram.com/gharargah_sadra?utm_source=ig_web_button_share_sheet&amp;igsh=ZDNlZDc0MzIxNw==" TargetMode="External"/><Relationship Id="rId147" Type="http://schemas.openxmlformats.org/officeDocument/2006/relationships/hyperlink" Target="https://t.me/MOKEBEHAZRATEZEYNABMINOODASHT" TargetMode="External"/><Relationship Id="rId146" Type="http://schemas.openxmlformats.org/officeDocument/2006/relationships/hyperlink" Target="https://www.instagram.com/mokeb_minoodasht?utm_source=ig_web_button_share_sheet&amp;igsh=ZDNlZDc0MzIxNw==" TargetMode="External"/><Relationship Id="rId145" Type="http://schemas.openxmlformats.org/officeDocument/2006/relationships/hyperlink" Target="https://www.instagram.com/meshkat_alhosein?utm_source=ig_web_button_share_sheet&amp;igsh=ZDNlZDc0MzIxNw==" TargetMode="External"/><Relationship Id="rId144" Type="http://schemas.openxmlformats.org/officeDocument/2006/relationships/hyperlink" Target="https://www.instagram.com/mohsenebnali.ir?utm_source=ig_web_button_share_sheet&amp;igsh=ZDNlZDc0MzIxNw==" TargetMode="External"/><Relationship Id="rId139" Type="http://schemas.openxmlformats.org/officeDocument/2006/relationships/hyperlink" Target="http://tlgrm.me/jantolabasgonbad?" TargetMode="External"/><Relationship Id="rId138" Type="http://schemas.openxmlformats.org/officeDocument/2006/relationships/hyperlink" Target="https://www.instagram.com/janatolabas_gonbad?utm_source=ig_web_button_share_sheet&amp;igsh=ZDNlZDc0MzIxNw==" TargetMode="External"/><Relationship Id="rId137" Type="http://schemas.openxmlformats.org/officeDocument/2006/relationships/hyperlink" Target="https://t.me/Hasaniooun" TargetMode="External"/><Relationship Id="rId132" Type="http://schemas.openxmlformats.org/officeDocument/2006/relationships/hyperlink" Target="https://www.instagram.com/heiat_oshaqozahra_ramian" TargetMode="External"/><Relationship Id="rId131" Type="http://schemas.openxmlformats.org/officeDocument/2006/relationships/hyperlink" Target="https://eitaa.com/masjed_nama_kalaleh" TargetMode="External"/><Relationship Id="rId130" Type="http://schemas.openxmlformats.org/officeDocument/2006/relationships/hyperlink" Target="https://www.instagram.com/golafrayema" TargetMode="External"/><Relationship Id="rId136" Type="http://schemas.openxmlformats.org/officeDocument/2006/relationships/hyperlink" Target="https://www.instagram.com/hasaniooun118?utm_source=ig_web_button_share_sheet&amp;igsh=ZDNlZDc0MzIxNw==" TargetMode="External"/><Relationship Id="rId135" Type="http://schemas.openxmlformats.org/officeDocument/2006/relationships/hyperlink" Target="https://eitaa.com/saheb_azaman313" TargetMode="External"/><Relationship Id="rId134" Type="http://schemas.openxmlformats.org/officeDocument/2006/relationships/hyperlink" Target="https://www.instagram.com/saheb.a.zaman313?utm_source=ig_web_button_share_sheet&amp;igsh=ZDNlZDc0MzIxNw==" TargetMode="External"/><Relationship Id="rId133" Type="http://schemas.openxmlformats.org/officeDocument/2006/relationships/hyperlink" Target="https://www.instagram.com/heyatshohadaigomnam.gonbad?utm_source=ig_web_button_share_sheet&amp;igsh=ZDNlZDc0MzIxNw==" TargetMode="External"/><Relationship Id="rId172" Type="http://schemas.openxmlformats.org/officeDocument/2006/relationships/hyperlink" Target="https://www.instagram.com/heyyat_khademolreza/" TargetMode="External"/><Relationship Id="rId171" Type="http://schemas.openxmlformats.org/officeDocument/2006/relationships/hyperlink" Target="https://t.me/montazeranajneginshahr" TargetMode="External"/><Relationship Id="rId170" Type="http://schemas.openxmlformats.org/officeDocument/2006/relationships/hyperlink" Target="https://www.instagram.com/montazeranemahdi.ng/" TargetMode="External"/><Relationship Id="rId165" Type="http://schemas.openxmlformats.org/officeDocument/2006/relationships/hyperlink" Target="https://eitta.com/AnsarAlmahdi_Media" TargetMode="External"/><Relationship Id="rId164" Type="http://schemas.openxmlformats.org/officeDocument/2006/relationships/hyperlink" Target="https://www.instagram.com/ansaralmahdi_azadshahr/" TargetMode="External"/><Relationship Id="rId163" Type="http://schemas.openxmlformats.org/officeDocument/2006/relationships/hyperlink" Target="https://www.instagram.com/khademozahra_gor?utm_source=ig_web_button_share_sheet&amp;igsh=ZDNlZDc0MzIxNw==" TargetMode="External"/><Relationship Id="rId162" Type="http://schemas.openxmlformats.org/officeDocument/2006/relationships/hyperlink" Target="http://eitaa.com/maktabeshohada_gorgan" TargetMode="External"/><Relationship Id="rId169" Type="http://schemas.openxmlformats.org/officeDocument/2006/relationships/hyperlink" Target="https://www.instagram.com/heyat_emam_zaman_azadshahr" TargetMode="External"/><Relationship Id="rId168" Type="http://schemas.openxmlformats.org/officeDocument/2006/relationships/hyperlink" Target="https://www.instagram.com/hayyat_ahbab_alreza_susra?utm_source=ig_web_button_share_sheet&amp;igsh=ZDNlZDc0MzIxNw==" TargetMode="External"/><Relationship Id="rId167" Type="http://schemas.openxmlformats.org/officeDocument/2006/relationships/hyperlink" Target="https://eitaa.com/razmandegan_azadshahr" TargetMode="External"/><Relationship Id="rId166" Type="http://schemas.openxmlformats.org/officeDocument/2006/relationships/hyperlink" Target="https://www.instagram.com/eheyat.azadshahr_/" TargetMode="External"/><Relationship Id="rId161" Type="http://schemas.openxmlformats.org/officeDocument/2006/relationships/hyperlink" Target="https://www.instagram.com/maktabeshohada_gorgan?utm_source=ig_web_button_share_sheet&amp;igsh=ZDNlZDc0MzIxNw==" TargetMode="External"/><Relationship Id="rId160" Type="http://schemas.openxmlformats.org/officeDocument/2006/relationships/hyperlink" Target="http://t.me/GHAMR_BH" TargetMode="External"/><Relationship Id="rId159" Type="http://schemas.openxmlformats.org/officeDocument/2006/relationships/hyperlink" Target="https://www.instagram.com/ghamar_bh?utm_source=ig_web_button_share_sheet&amp;igsh=ZDNlZDc0MzIxNw==" TargetMode="External"/><Relationship Id="rId154" Type="http://schemas.openxmlformats.org/officeDocument/2006/relationships/hyperlink" Target="https://www.instagram.com/ahrarozahra.info?utm_source=ig_web_button_share_sheet&amp;igsh=ZDNlZDc0MzIxNw==" TargetMode="External"/><Relationship Id="rId153" Type="http://schemas.openxmlformats.org/officeDocument/2006/relationships/hyperlink" Target="https://www.instagram.com/heyat_motavasselin_313?utm_source=ig_web_button_share_sheet&amp;igsh=ZDNlZDc0MzIxNw==" TargetMode="External"/><Relationship Id="rId152" Type="http://schemas.openxmlformats.org/officeDocument/2006/relationships/hyperlink" Target="https://www.instagram.com/heyat_moheban_ahle_beyt?utm_source=ig_web_button_share_sheet&amp;igsh=ZDNlZDc0MzIxNw==" TargetMode="External"/><Relationship Id="rId151" Type="http://schemas.openxmlformats.org/officeDocument/2006/relationships/hyperlink" Target="https://www.instagram.com/seyed_shohada128" TargetMode="External"/><Relationship Id="rId158" Type="http://schemas.openxmlformats.org/officeDocument/2006/relationships/hyperlink" Target="https://www.instagram.com/alamdaran.alamkshan?utm_source=ig_web_button_share_sheet&amp;igsh=ZDNlZDc0MzIxNw==" TargetMode="External"/><Relationship Id="rId157" Type="http://schemas.openxmlformats.org/officeDocument/2006/relationships/hyperlink" Target="https://eitaa.com/heyatemotavasselin_313" TargetMode="External"/><Relationship Id="rId156" Type="http://schemas.openxmlformats.org/officeDocument/2006/relationships/hyperlink" Target="https://www.instagram.com/ejtema_gorgan?utm_source=ig_web_button_share_sheet&amp;igsh=ZDNlZDc0MzIxNw==" TargetMode="External"/><Relationship Id="rId155" Type="http://schemas.openxmlformats.org/officeDocument/2006/relationships/hyperlink" Target="https://l.instagram.com/?u=http%3A%2F%2Ftelegram.im%2Fbeyki213%3Futm_source%3Dig%26utm_medium%3Dsocial%26utm_content%3Dlink_in_bio%26fbclid%3DPAZXh0bgNhZW0CMTEAc3J0YwZhcHBfaWQMMjU2MjgxMDQwNTU4AAGnsiao8JSXSTw5I1Io5z6GlbciHdzlGhoFjKtV92dfVh3kcHYPW2ANUOC2qXk_aem_iVbofjMp_4pavPwAPMNx1A&amp;e=AT3NxxS2PDSnvITdXzhMLHxpAkzZWNR7oxiUSzMpJKKcfOZMGce-E-L_Me489U6Kzy2s5_sFpXIdMTSNQjVOvtQ2TxWHpRQQt-zD1ftEkQ" TargetMode="External"/><Relationship Id="rId107" Type="http://schemas.openxmlformats.org/officeDocument/2006/relationships/hyperlink" Target="https://www.instagram.com/gharibemadine_info?utm_source=ig_web_button_share_sheet&amp;igsh=ZDNlZDc0MzIxNw==" TargetMode="External"/><Relationship Id="rId106" Type="http://schemas.openxmlformats.org/officeDocument/2006/relationships/hyperlink" Target="https://www.instagram.com/masjed_baghiatallah14?utm_source=ig_web_button_share_sheet&amp;igsh=ZDNlZDc0MzIxNw==" TargetMode="External"/><Relationship Id="rId105" Type="http://schemas.openxmlformats.org/officeDocument/2006/relationships/hyperlink" Target="https://www.instagram.com/heyatiha14?utm_source=ig_web_button_share_sheet&amp;igsh=ZDNlZDc0MzIxNw==" TargetMode="External"/><Relationship Id="rId104" Type="http://schemas.openxmlformats.org/officeDocument/2006/relationships/hyperlink" Target="https://www.instagram.com/rahrovan_uni?utm_source=ig_web_button_share_sheet&amp;igsh=ZDNlZDc0MzIxNw==" TargetMode="External"/><Relationship Id="rId109" Type="http://schemas.openxmlformats.org/officeDocument/2006/relationships/hyperlink" Target="https://www.instagram.com/emamzadeh.abdollah.gorgan?utm_source=ig_web_button_share_sheet&amp;igsh=ZDNlZDc0MzIxNw==" TargetMode="External"/><Relationship Id="rId108" Type="http://schemas.openxmlformats.org/officeDocument/2006/relationships/hyperlink" Target="https://t.me/gharibemadine_info?" TargetMode="External"/><Relationship Id="rId103" Type="http://schemas.openxmlformats.org/officeDocument/2006/relationships/hyperlink" Target="https://www.instagram.com/montazeran_mahdi_gorgan?utm_source=ig_web_button_share_sheet&amp;igsh=ZDNlZDc0MzIxNw==" TargetMode="External"/><Relationship Id="rId102" Type="http://schemas.openxmlformats.org/officeDocument/2006/relationships/hyperlink" Target="https://www.instagram.com/shohada_m_h" TargetMode="External"/><Relationship Id="rId101" Type="http://schemas.openxmlformats.org/officeDocument/2006/relationships/hyperlink" Target="https://www.instagram.com/heyaatolreza?utm_source=ig_web_button_share_sheet&amp;igsh=ZDNlZDc0MzIxNw==" TargetMode="External"/><Relationship Id="rId100" Type="http://schemas.openxmlformats.org/officeDocument/2006/relationships/hyperlink" Target="https://www.instagram.com/nooroshohada.ir?utm_source=ig_web_button_share_sheet&amp;igsh=ZDNlZDc0MzIxNw==" TargetMode="External"/><Relationship Id="rId129" Type="http://schemas.openxmlformats.org/officeDocument/2006/relationships/hyperlink" Target="https://www.instagram.com/hosseinieh_azam_salikandeh?utm_source=ig_web_button_share_sheet&amp;igsh=ZDNlZDc0MzIxNw==" TargetMode="External"/><Relationship Id="rId128" Type="http://schemas.openxmlformats.org/officeDocument/2006/relationships/hyperlink" Target="https://www.instagram.com/heiat.javanan.aliebnemosareza?utm_source=ig_web_button_share_sheet&amp;igsh=ZDNlZDc0MzIxNw==" TargetMode="External"/><Relationship Id="rId127" Type="http://schemas.openxmlformats.org/officeDocument/2006/relationships/hyperlink" Target="https://www.instagram.com/heyat_amar_yaser?utm_source=ig_web_button_share_sheet&amp;igsh=ZDNlZDc0MzIxNw==" TargetMode="External"/><Relationship Id="rId126" Type="http://schemas.openxmlformats.org/officeDocument/2006/relationships/hyperlink" Target="https://www.instagram.com/heyat_qamarbani.hashem" TargetMode="External"/><Relationship Id="rId121" Type="http://schemas.openxmlformats.org/officeDocument/2006/relationships/hyperlink" Target="https://www.instagram.com/ali_asghariha/" TargetMode="External"/><Relationship Id="rId120" Type="http://schemas.openxmlformats.org/officeDocument/2006/relationships/hyperlink" Target="http://rubika.ir/montazerinmahdi" TargetMode="External"/><Relationship Id="rId125" Type="http://schemas.openxmlformats.org/officeDocument/2006/relationships/hyperlink" Target="https://www.instagram.com/m_hajikalateh" TargetMode="External"/><Relationship Id="rId124" Type="http://schemas.openxmlformats.org/officeDocument/2006/relationships/hyperlink" Target="https://www.instagram.com/beytol_ahzan135" TargetMode="External"/><Relationship Id="rId123" Type="http://schemas.openxmlformats.org/officeDocument/2006/relationships/hyperlink" Target="https://l.instagram.com/?u=https%3A%2F%2Feitaa.com%2Fansariha_gorgan%3Futm_source%3Dig%26utm_medium%3Dsocial%26utm_content%3Dlink_in_bio%26fbclid%3DPAZXh0bgNhZW0CMTEAc3J0YwZhcHBfaWQMMjU2MjgxMDQwNTU4AAGnZuIDqXdrWDNhSWnmpmhYf77kZNgZZMq-h2mBh_g5V2EfUIxGJokjmdjIV5w_aem_OZjmVNM_iZnmKFns5cYQqA&amp;e=AT2Yx5voDKl6vuiSDMOZBI2J8cJuKFiBkwtpxD-RIlCoEFG4iK-mvYyPXs0b0iunGw8kLvHcLPm5n_szb4BHO1n4fyY4skzR67buD-v0DQ" TargetMode="External"/><Relationship Id="rId122" Type="http://schemas.openxmlformats.org/officeDocument/2006/relationships/hyperlink" Target="https://www.instagram.com/ansariha_gorgan/?utm_source=ig_web_button_share_sheet" TargetMode="External"/><Relationship Id="rId118" Type="http://schemas.openxmlformats.org/officeDocument/2006/relationships/hyperlink" Target="https://eitaa.com/bainolharamaingalikesh" TargetMode="External"/><Relationship Id="rId117" Type="http://schemas.openxmlformats.org/officeDocument/2006/relationships/hyperlink" Target="https://eitaa.com/razmandegan_azadshahr" TargetMode="External"/><Relationship Id="rId116" Type="http://schemas.openxmlformats.org/officeDocument/2006/relationships/hyperlink" Target="https://l.instagram.com/?u=http%3A%2F%2Ft.me%2FEheyat_Azadshahr%3Futm_source%3Dig%26utm_medium%3Dsocial%26utm_content%3Dlink_in_bio%26fbclid%3DPAZXh0bgNhZW0CMTEAc3J0YwZhcHBfaWQMMjU2MjgxMDQwNTU4AAGnBjhyvSFhZVsprh8-yqRrvr5Pb8-Z-SXlDl1UusbhiZUdbxVu4lm1DksS0qs_aem__rb1VKK74BakoPWZODPxLA&amp;e=AT1TeDV_TfkocEbK4JUC4AnXG1TtFUIJ_2L7ksLt0Wac_V-W34omLJto72hn18Au95f5FLsy-5-FfBwyxpZvsXvfe4RFVfATMaUqVF6ZJg" TargetMode="External"/><Relationship Id="rId115" Type="http://schemas.openxmlformats.org/officeDocument/2006/relationships/hyperlink" Target="https://www.instagram.com/eheyat_azadshahr?utm_source=ig_web_button_share_sheet&amp;igsh=ZDNlZDc0MzIxNw==" TargetMode="External"/><Relationship Id="rId119" Type="http://schemas.openxmlformats.org/officeDocument/2006/relationships/hyperlink" Target="https://www.instagram.com/montazerinmahdigorgan?utm_source=ig_web_button_share_sheet&amp;igsh=ZDNlZDc0MzIxNw==" TargetMode="External"/><Relationship Id="rId110" Type="http://schemas.openxmlformats.org/officeDocument/2006/relationships/hyperlink" Target="https://www.instagram.com/hoseynieh.etrat?utm_source=ig_web_button_share_sheet&amp;igsh=ZDNlZDc0MzIxNw==" TargetMode="External"/><Relationship Id="rId114" Type="http://schemas.openxmlformats.org/officeDocument/2006/relationships/hyperlink" Target="https://t.me/montazeran_mahdi_aj_gonbad" TargetMode="External"/><Relationship Id="rId113" Type="http://schemas.openxmlformats.org/officeDocument/2006/relationships/hyperlink" Target="https://www.instagram.com/313montazeran_com?utm_source=ig_web_button_share_sheet&amp;igsh=ZDNlZDc0MzIxNw==" TargetMode="External"/><Relationship Id="rId112" Type="http://schemas.openxmlformats.org/officeDocument/2006/relationships/hyperlink" Target="https://www.instagram.com/ansar_al.hossein?utm_source=ig_web_button_share_sheet&amp;igsh=ZDNlZDc0MzIxNw==" TargetMode="External"/><Relationship Id="rId111" Type="http://schemas.openxmlformats.org/officeDocument/2006/relationships/hyperlink" Target="https://www.instagram.com/aliabadshajar?utm_source=ig_web_button_share_sheet&amp;igsh=ZDNlZDc0MzIxNw==" TargetMode="External"/><Relationship Id="rId40" Type="http://schemas.openxmlformats.org/officeDocument/2006/relationships/hyperlink" Target="https://eitaa.com/heyatshohadayealeyasin" TargetMode="External"/><Relationship Id="rId42" Type="http://schemas.openxmlformats.org/officeDocument/2006/relationships/hyperlink" Target="https://www.instagram.com/heyat_javanan_kordkuy?utm_source=ig_web_button_share_sheet&amp;igsh=ZDNlZDc0MzIxNw==" TargetMode="External"/><Relationship Id="rId41" Type="http://schemas.openxmlformats.org/officeDocument/2006/relationships/hyperlink" Target="https://www.instagram.com/kanoonazadshahr" TargetMode="External"/><Relationship Id="rId44" Type="http://schemas.openxmlformats.org/officeDocument/2006/relationships/hyperlink" Target="https://t.me/s/mohebbin_aliakbar" TargetMode="External"/><Relationship Id="rId43" Type="http://schemas.openxmlformats.org/officeDocument/2006/relationships/hyperlink" Target="https://eitaa.com/kashkkuol" TargetMode="External"/><Relationship Id="rId46" Type="http://schemas.openxmlformats.org/officeDocument/2006/relationships/hyperlink" Target="http://t.me/h_p_v" TargetMode="External"/><Relationship Id="rId45" Type="http://schemas.openxmlformats.org/officeDocument/2006/relationships/hyperlink" Target="http://www.instagram.com/heyat.peyrovan.velaya" TargetMode="External"/><Relationship Id="rId48" Type="http://schemas.openxmlformats.org/officeDocument/2006/relationships/hyperlink" Target="https://www.instagram.com/navayeabas?utm_source=ig_web_button_share_sheet&amp;igsh=ZDNlZDc0MzIxNw==" TargetMode="External"/><Relationship Id="rId47" Type="http://schemas.openxmlformats.org/officeDocument/2006/relationships/hyperlink" Target="https://eitaa.com/h_p_v_gorgan" TargetMode="External"/><Relationship Id="rId49" Type="http://schemas.openxmlformats.org/officeDocument/2006/relationships/hyperlink" Target="https://www.instagram.com/del.bakhtegan81?utm_source=ig_web_button_share_sheet&amp;igsh=ZDNlZDc0MzIxNw==" TargetMode="External"/><Relationship Id="rId31" Type="http://schemas.openxmlformats.org/officeDocument/2006/relationships/hyperlink" Target="https://www.instagram.com/heydariun_gorgann?utm_source=ig_web_button_share_sheet&amp;igsh=ZDNlZDc0MzIxNw==" TargetMode="External"/><Relationship Id="rId30" Type="http://schemas.openxmlformats.org/officeDocument/2006/relationships/hyperlink" Target="https://eitaa.com/Heiat_asheghanemahdi_gorgan" TargetMode="External"/><Relationship Id="rId33" Type="http://schemas.openxmlformats.org/officeDocument/2006/relationships/hyperlink" Target="https://www.instagram.com/javananbani_bani_hashem" TargetMode="External"/><Relationship Id="rId32" Type="http://schemas.openxmlformats.org/officeDocument/2006/relationships/hyperlink" Target="https://www.instagram.com/kheymatol_abas?utm_source=ig_web_button_share_sheet&amp;igsh=ZDNlZDc0MzIxNw==" TargetMode="External"/><Relationship Id="rId35" Type="http://schemas.openxmlformats.org/officeDocument/2006/relationships/hyperlink" Target="https://www.instagram.com/bytbibi_3_sale?utm_source=ig_web_button_share_sheet&amp;igsh=ZDNlZDc0MzIxNw==" TargetMode="External"/><Relationship Id="rId34" Type="http://schemas.openxmlformats.org/officeDocument/2006/relationships/hyperlink" Target="https://www.instagram.com/bacheh_haye_masjed?utm_source=ig_web_button_share_sheet&amp;igsh=ZDNlZDc0MzIxNw==" TargetMode="External"/><Relationship Id="rId37" Type="http://schemas.openxmlformats.org/officeDocument/2006/relationships/hyperlink" Target="https://eitaa.com/bytbibi3" TargetMode="External"/><Relationship Id="rId36" Type="http://schemas.openxmlformats.org/officeDocument/2006/relationships/hyperlink" Target="https://t.me/bytbibi" TargetMode="External"/><Relationship Id="rId39" Type="http://schemas.openxmlformats.org/officeDocument/2006/relationships/hyperlink" Target="https://www.instagram.com/yavaranemonji?utm_source=ig_web_button_share_sheet&amp;igsh=ZDNlZDc0MzIxNw==" TargetMode="External"/><Relationship Id="rId38" Type="http://schemas.openxmlformats.org/officeDocument/2006/relationships/hyperlink" Target="https://www.instagram.com/heyatemamhasanmojtaba?utm_source=ig_web_button_share_sheet&amp;igsh=ZDNlZDc0MzIxNw==" TargetMode="External"/><Relationship Id="rId20" Type="http://schemas.openxmlformats.org/officeDocument/2006/relationships/hyperlink" Target="https://www.instagram.com/oshagh_alzahra_s?utm_source=ig_web_button_share_sheet&amp;igsh=ZDNlZDc0MzIxNw==" TargetMode="External"/><Relationship Id="rId22" Type="http://schemas.openxmlformats.org/officeDocument/2006/relationships/hyperlink" Target="https://eitaa.com/Valiasr_eslamabad" TargetMode="External"/><Relationship Id="rId21" Type="http://schemas.openxmlformats.org/officeDocument/2006/relationships/hyperlink" Target="https://eitaa.com/razmandegan_kordkuy" TargetMode="External"/><Relationship Id="rId24" Type="http://schemas.openxmlformats.org/officeDocument/2006/relationships/hyperlink" Target="https://www.instagram.com/oshaghel_hossein" TargetMode="External"/><Relationship Id="rId23" Type="http://schemas.openxmlformats.org/officeDocument/2006/relationships/hyperlink" Target="https://telegram.me/s/masjed5tanminoodasht?before=2270" TargetMode="External"/><Relationship Id="rId26" Type="http://schemas.openxmlformats.org/officeDocument/2006/relationships/hyperlink" Target="http://t.me/bytozzahra" TargetMode="External"/><Relationship Id="rId25" Type="http://schemas.openxmlformats.org/officeDocument/2006/relationships/hyperlink" Target="https://www.instagram.com/beytozzahra79" TargetMode="External"/><Relationship Id="rId28" Type="http://schemas.openxmlformats.org/officeDocument/2006/relationships/hyperlink" Target="https://www.instagram.com/asheghanemahdigorgan?utm_source=ig_web_button_share_sheet&amp;igsh=ZDNlZDc0MzIxNw==" TargetMode="External"/><Relationship Id="rId27" Type="http://schemas.openxmlformats.org/officeDocument/2006/relationships/hyperlink" Target="https://www.instagram.com/rayatolabbas_resane?utm_source=ig_web_button_share_sheet&amp;igsh=ZDNlZDc0MzIxNw==" TargetMode="External"/><Relationship Id="rId29" Type="http://schemas.openxmlformats.org/officeDocument/2006/relationships/hyperlink" Target="https://t.me/s/HeiateAsheghanemahdi" TargetMode="External"/><Relationship Id="rId11" Type="http://schemas.openxmlformats.org/officeDocument/2006/relationships/hyperlink" Target="https://t.me/bytozzahra" TargetMode="External"/><Relationship Id="rId10" Type="http://schemas.openxmlformats.org/officeDocument/2006/relationships/hyperlink" Target="https://www.instagram.com/kalaleh.heyat?utm_source=ig_web_button_share_sheet&amp;igsh=ZDNlZDc0MzIxNw==" TargetMode="External"/><Relationship Id="rId13" Type="http://schemas.openxmlformats.org/officeDocument/2006/relationships/hyperlink" Target="https://www.instagram.com/h_faresalhejaz_gorgan?utm_source=ig_web_button_share_sheet&amp;igsh=ZDNlZDc0MzIxNw==" TargetMode="External"/><Relationship Id="rId12" Type="http://schemas.openxmlformats.org/officeDocument/2006/relationships/hyperlink" Target="https://www.instagram.com/montazeringhaem313?utm_source=ig_web_button_share_sheet&amp;igsh=ZDNlZDc0MzIxNw==" TargetMode="External"/><Relationship Id="rId15" Type="http://schemas.openxmlformats.org/officeDocument/2006/relationships/hyperlink" Target="https://www.instagram.com/khademinemamasr?utm_source=ig_web_button_share_sheet&amp;igsh=ZDNlZDc0MzIxNw==" TargetMode="External"/><Relationship Id="rId14" Type="http://schemas.openxmlformats.org/officeDocument/2006/relationships/hyperlink" Target="https://www.instagram.com/masjed_emam_khomeini/?utm_source=ig_web_button_share_sheet" TargetMode="External"/><Relationship Id="rId17" Type="http://schemas.openxmlformats.org/officeDocument/2006/relationships/hyperlink" Target="https://l.instagram.com/?u=http%3A%2F%2Ft.me%2Fbeynolharmeyn_kordkoy%3Futm_source%3Dig%26utm_medium%3Dsocial%26utm_content%3Dlink_in_bio%26fbclid%3DPAZXh0bgNhZW0CMTEAc3J0YwZhcHBfaWQMMjU2MjgxMDQwNTU4AAGnUdp6X36CLUoX-bT8vI1eN9tvDOjmSJR5291atyByY---XIKlxMHd3vDHl-4_aem_f62fvoYkLh25lYUnLkk9xw&amp;e=AT1RSxTmIo47tjlCPC_uFbf1oV-ORIXV5Fxp-aH13vhSS51gsAO1d1JzPUHzA01SZmaJZn2QHmCqq9boBYX_9PPdIlhYtrYkcAPhkRVm7Q" TargetMode="External"/><Relationship Id="rId16" Type="http://schemas.openxmlformats.org/officeDocument/2006/relationships/hyperlink" Target="https://www.instagram.com/beynolharmeyn_kordkoy?utm_source=ig_web_button_share_sheet&amp;igsh=ZDNlZDc0MzIxNw==" TargetMode="External"/><Relationship Id="rId19" Type="http://schemas.openxmlformats.org/officeDocument/2006/relationships/hyperlink" Target="https://www.instagram.com/heyat_al_abbas" TargetMode="External"/><Relationship Id="rId18" Type="http://schemas.openxmlformats.org/officeDocument/2006/relationships/hyperlink" Target="https://www.instagram.com/javanan_sajadieh?utm_source=ig_web_button_share_sheet&amp;igsh=ZDNlZDc0MzIxNw==" TargetMode="External"/><Relationship Id="rId84" Type="http://schemas.openxmlformats.org/officeDocument/2006/relationships/hyperlink" Target="https://www.instagram.com/mohebanali_110?utm_source=ig_web_button_share_sheet&amp;igsh=ZDNlZDc0MzIxNw==" TargetMode="External"/><Relationship Id="rId83" Type="http://schemas.openxmlformats.org/officeDocument/2006/relationships/hyperlink" Target="https://www.instagram.com/razmandegan.eslam.gor?utm_source=ig_web_button_share_sheet&amp;igsh=ZDNlZDc0MzIxNw==" TargetMode="External"/><Relationship Id="rId86" Type="http://schemas.openxmlformats.org/officeDocument/2006/relationships/hyperlink" Target="https://eitaa.com/alzahra135" TargetMode="External"/><Relationship Id="rId85" Type="http://schemas.openxmlformats.org/officeDocument/2006/relationships/hyperlink" Target="https://www.instagram.com/heyat.misaghalhossein.gorgan" TargetMode="External"/><Relationship Id="rId88" Type="http://schemas.openxmlformats.org/officeDocument/2006/relationships/hyperlink" Target="https://t.me/rozat_133ir" TargetMode="External"/><Relationship Id="rId87" Type="http://schemas.openxmlformats.org/officeDocument/2006/relationships/hyperlink" Target="https://www.instagram.com/rozat_133ir?utm_source=ig_web_button_share_sheet&amp;igsh=ZDNlZDc0MzIxNw==" TargetMode="External"/><Relationship Id="rId89" Type="http://schemas.openxmlformats.org/officeDocument/2006/relationships/hyperlink" Target="https://www.instagram.com/rozatolroghaie?utm_source=ig_web_button_share_sheet&amp;igsh=ZDNlZDc0MzIxNw==" TargetMode="External"/><Relationship Id="rId80" Type="http://schemas.openxmlformats.org/officeDocument/2006/relationships/hyperlink" Target="https://www.instagram.com/ht_hazrateabolfazl" TargetMode="External"/><Relationship Id="rId82" Type="http://schemas.openxmlformats.org/officeDocument/2006/relationships/hyperlink" Target="https://www.instagram.com/masjed.emamreza.gorgan?utm_source=ig_web_button_share_sheet&amp;igsh=ZDNlZDc0MzIxNw==" TargetMode="External"/><Relationship Id="rId81" Type="http://schemas.openxmlformats.org/officeDocument/2006/relationships/hyperlink" Target="https://www.instagram.com/masjed_sahebalzaman_aliabad" TargetMode="External"/><Relationship Id="rId73" Type="http://schemas.openxmlformats.org/officeDocument/2006/relationships/hyperlink" Target="https://www.instagram.com/khiabangorgan?utm_source=ig_web_button_share_sheet&amp;igsh=ZDNlZDc0MzIxNw==" TargetMode="External"/><Relationship Id="rId72" Type="http://schemas.openxmlformats.org/officeDocument/2006/relationships/hyperlink" Target="https://eitaa.com/heyat_ya_hossein" TargetMode="External"/><Relationship Id="rId75" Type="http://schemas.openxmlformats.org/officeDocument/2006/relationships/hyperlink" Target="https://www.instagram.com/razmandegan_kalale?utm_source=ig_web_button_share_sheet&amp;igsh=ZDNlZDc0MzIxNw==" TargetMode="External"/><Relationship Id="rId74" Type="http://schemas.openxmlformats.org/officeDocument/2006/relationships/hyperlink" Target="https://www.instagram.com/khademoljavad.ir?utm_source=ig_web_button_share_sheet&amp;igsh=ZDNlZDc0MzIxNw==" TargetMode="External"/><Relationship Id="rId77" Type="http://schemas.openxmlformats.org/officeDocument/2006/relationships/hyperlink" Target="https://t.me/rahrovan_velayat_ir" TargetMode="External"/><Relationship Id="rId76" Type="http://schemas.openxmlformats.org/officeDocument/2006/relationships/hyperlink" Target="https://instagram.com/rahrovan_velayat_ir" TargetMode="External"/><Relationship Id="rId79" Type="http://schemas.openxmlformats.org/officeDocument/2006/relationships/hyperlink" Target="https://www.instagram.com/heyatiha14" TargetMode="External"/><Relationship Id="rId78" Type="http://schemas.openxmlformats.org/officeDocument/2006/relationships/hyperlink" Target="https://eitaa.com/rahrovan_velayat_ir" TargetMode="External"/><Relationship Id="rId71" Type="http://schemas.openxmlformats.org/officeDocument/2006/relationships/hyperlink" Target="https://www.instagram.com/heyat_ya_hosein" TargetMode="External"/><Relationship Id="rId70" Type="http://schemas.openxmlformats.org/officeDocument/2006/relationships/hyperlink" Target="https://www.instagram.com/heyatamiralmomeninazadshahr" TargetMode="External"/><Relationship Id="rId62" Type="http://schemas.openxmlformats.org/officeDocument/2006/relationships/hyperlink" Target="https://eitaa.com/fatemiun_com1" TargetMode="External"/><Relationship Id="rId61" Type="http://schemas.openxmlformats.org/officeDocument/2006/relationships/hyperlink" Target="https://www.instagram.com/fatemiun_com1" TargetMode="External"/><Relationship Id="rId64" Type="http://schemas.openxmlformats.org/officeDocument/2006/relationships/hyperlink" Target="https://www.instagram.com/janamalamdar133" TargetMode="External"/><Relationship Id="rId63" Type="http://schemas.openxmlformats.org/officeDocument/2006/relationships/hyperlink" Target="https://rubika.ir/fatemiun_com1" TargetMode="External"/><Relationship Id="rId66" Type="http://schemas.openxmlformats.org/officeDocument/2006/relationships/hyperlink" Target="https://eitaa.com/emamzadehabdollah1gorgan" TargetMode="External"/><Relationship Id="rId65" Type="http://schemas.openxmlformats.org/officeDocument/2006/relationships/hyperlink" Target="https://www.instagram.com/heiat_hazrat_roghaye_?utm_source=ig_web_button_share_sheet&amp;igsh=ZDNlZDc0MzIxNw==" TargetMode="External"/><Relationship Id="rId68" Type="http://schemas.openxmlformats.org/officeDocument/2006/relationships/hyperlink" Target="https://www.instagram.com/abasaleh.minodasht?utm_source=ig_web_button_share_sheet&amp;igsh=ZDNlZDc0MzIxNw==" TargetMode="External"/><Relationship Id="rId67" Type="http://schemas.openxmlformats.org/officeDocument/2006/relationships/hyperlink" Target="https://www.instagram.com/mooheban_ahle_byt?utm_source=ig_web_button_share_sheet&amp;igsh=ZDNlZDc0MzIxNw==" TargetMode="External"/><Relationship Id="rId60" Type="http://schemas.openxmlformats.org/officeDocument/2006/relationships/hyperlink" Target="https://www.instagram.com/ghaem5418?utm_source=ig_web_button_share_sheet&amp;igsh=ZDNlZDc0MzIxNw==" TargetMode="External"/><Relationship Id="rId69" Type="http://schemas.openxmlformats.org/officeDocument/2006/relationships/hyperlink" Target="https://www.instagram.com/h.hazrat_aliasghar?utm_source=ig_web_button_share_sheet&amp;igsh=ZDNlZDc0MzIxNw==" TargetMode="External"/><Relationship Id="rId51" Type="http://schemas.openxmlformats.org/officeDocument/2006/relationships/hyperlink" Target="https://t.me/khademolaemegonbad" TargetMode="External"/><Relationship Id="rId50" Type="http://schemas.openxmlformats.org/officeDocument/2006/relationships/hyperlink" Target="https://www.instagram.com/khademolaemehgonbad?utm_source=ig_web_button_share_sheet&amp;igsh=ZDNlZDc0MzIxNw==" TargetMode="External"/><Relationship Id="rId53" Type="http://schemas.openxmlformats.org/officeDocument/2006/relationships/hyperlink" Target="https://www.instagram.com/hoseinie_valiasr_gonbad?utm_source=ig_web_button_share_sheet&amp;igsh=ZDNlZDc0MzIxNw==" TargetMode="External"/><Relationship Id="rId52" Type="http://schemas.openxmlformats.org/officeDocument/2006/relationships/hyperlink" Target="https://www.instagram.com/moheban.gonbad?utm_source=ig_web_button_share_sheet&amp;igsh=ZDNlZDc0MzIxNw==" TargetMode="External"/><Relationship Id="rId55" Type="http://schemas.openxmlformats.org/officeDocument/2006/relationships/hyperlink" Target="https://eitaa.com/nehzat_eslami_minoodasht" TargetMode="External"/><Relationship Id="rId54" Type="http://schemas.openxmlformats.org/officeDocument/2006/relationships/hyperlink" Target="https://www.instagram.com/razmandegan__gonbad?utm_source=ig_web_button_share_sheet&amp;igsh=ZDNlZDc0MzIxNw==" TargetMode="External"/><Relationship Id="rId57" Type="http://schemas.openxmlformats.org/officeDocument/2006/relationships/hyperlink" Target="https://www.instagram.com/khademolhossain.ir?utm_source=ig_web_button_share_sheet&amp;igsh=ZDNlZDc0MzIxNw==" TargetMode="External"/><Relationship Id="rId56" Type="http://schemas.openxmlformats.org/officeDocument/2006/relationships/hyperlink" Target="https://www.instagram.com/mahdiehminoodasht?utm_source=ig_web_button_share_sheet&amp;igsh=ZDNlZDc0MzIxNw==" TargetMode="External"/><Relationship Id="rId59" Type="http://schemas.openxmlformats.org/officeDocument/2006/relationships/hyperlink" Target="https://t.me/heyat118" TargetMode="External"/><Relationship Id="rId58" Type="http://schemas.openxmlformats.org/officeDocument/2006/relationships/hyperlink" Target="https://www.instagram.com/heyat118_gonbad?utm_source=ig_web_button_share_sheet&amp;igsh=ZDNlZDc0MzIxNw==" TargetMode="External"/><Relationship Id="rId95" Type="http://schemas.openxmlformats.org/officeDocument/2006/relationships/hyperlink" Target="https://www.instagram.com/mohebbin_gorgan?utm_source=ig_web_button_share_sheet&amp;igsh=ZDNlZDc0MzIxNw==" TargetMode="External"/><Relationship Id="rId94" Type="http://schemas.openxmlformats.org/officeDocument/2006/relationships/hyperlink" Target="https://www.instagram.com/chahardah.masom_ozinee?utm_source=ig_web_button_share_sheet&amp;igsh=ZDNlZDc0MzIxNw==" TargetMode="External"/><Relationship Id="rId97" Type="http://schemas.openxmlformats.org/officeDocument/2006/relationships/hyperlink" Target="https://eitaa.com/ahraralmahdi313" TargetMode="External"/><Relationship Id="rId96" Type="http://schemas.openxmlformats.org/officeDocument/2006/relationships/hyperlink" Target="https://www.instagram.com/ahraralmahdi.313?utm_source=ig_web_button_share_sheet&amp;igsh=ZDNlZDc0MzIxNw==" TargetMode="External"/><Relationship Id="rId99" Type="http://schemas.openxmlformats.org/officeDocument/2006/relationships/hyperlink" Target="https://www.instagram.com/delbakhtegan.ir?utm_source=ig_web_button_share_sheet&amp;igsh=ZDNlZDc0MzIxNw==" TargetMode="External"/><Relationship Id="rId98" Type="http://schemas.openxmlformats.org/officeDocument/2006/relationships/hyperlink" Target="https://www.instagram.com/mohsenebnealia?utm_source=ig_web_button_share_sheet&amp;igsh=ZDNlZDc0MzIxNw==" TargetMode="External"/><Relationship Id="rId91" Type="http://schemas.openxmlformats.org/officeDocument/2006/relationships/hyperlink" Target="https://www.instagram.com/zeynabiyeh_kalaleh?utm_source=ig_web_button_share_sheet&amp;igsh=ZDNlZDc0MzIxNw==" TargetMode="External"/><Relationship Id="rId90" Type="http://schemas.openxmlformats.org/officeDocument/2006/relationships/hyperlink" Target="https://l.instagram.com/?u=http%3A%2F%2Ftlgrm.me%2FRoztolroghaye%3Futm_source%3Dig%26utm_medium%3Dsocial%26utm_content%3Dlink_in_bio%26fbclid%3DPAZXh0bgNhZW0CMTEAc3J0YwZhcHBfaWQMMjU2MjgxMDQwNTU4AAGnMHwyOQ5-IYBn7Vvu6zOY76GlglIXHETd8SyStW6jydgK72V8rJ2XM9-BQ2U_aem_ryVmZmawj8v-C1S8W-bU3Q&amp;e=AT0y7F-X4M-V59u-7OAD9Hcnw3AyTtJpq-_POkLFogNEJHDp2yA-BPgyhnhM3Bv9rxFHOaNOWf2Q0TWB0mGlejSltNYF_KDCTIbha8DAeA" TargetMode="External"/><Relationship Id="rId93" Type="http://schemas.openxmlformats.org/officeDocument/2006/relationships/hyperlink" Target="https://www.instagram.com/mahdaviun_gorgan?utm_source=ig_web_button_share_sheet&amp;igsh=ZDNlZDc0MzIxNw==" TargetMode="External"/><Relationship Id="rId92" Type="http://schemas.openxmlformats.org/officeDocument/2006/relationships/hyperlink" Target="https://www.instagram.com/peyrovanetrat?utm_source=ig_web_button_share_sheet&amp;igsh=ZDNlZDc0MzIxNw==" TargetMode="External"/><Relationship Id="rId271" Type="http://schemas.openxmlformats.org/officeDocument/2006/relationships/hyperlink" Target="https://www.instagram.com/sabre_zeinab?utm_source=ig_web_button_share_sheet&amp;igsh=ZDNlZDc0MzIxNw==" TargetMode="External"/><Relationship Id="rId270" Type="http://schemas.openxmlformats.org/officeDocument/2006/relationships/hyperlink" Target="https://www.instagram.com/m_hajikalateh" TargetMode="External"/><Relationship Id="rId269" Type="http://schemas.openxmlformats.org/officeDocument/2006/relationships/hyperlink" Target="https://www.instagram.com/heyat_amar_yaser?utm_source=ig_web_button_share_sheet&amp;igsh=ZDNlZDc0MzIxNw==" TargetMode="External"/><Relationship Id="rId264" Type="http://schemas.openxmlformats.org/officeDocument/2006/relationships/hyperlink" Target="https://eitaa.com/masjed_nama_kalaleh" TargetMode="External"/><Relationship Id="rId263" Type="http://schemas.openxmlformats.org/officeDocument/2006/relationships/hyperlink" Target="https://eitaa.com/saheb_azaman313" TargetMode="External"/><Relationship Id="rId262" Type="http://schemas.openxmlformats.org/officeDocument/2006/relationships/hyperlink" Target="https://www.instagram.com/saheb.a.zaman313?utm_source=ig_web_button_share_sheet&amp;igsh=ZDNlZDc0MzIxNw==" TargetMode="External"/><Relationship Id="rId261" Type="http://schemas.openxmlformats.org/officeDocument/2006/relationships/hyperlink" Target="https://eitaa.com/kashkkuol" TargetMode="External"/><Relationship Id="rId268" Type="http://schemas.openxmlformats.org/officeDocument/2006/relationships/hyperlink" Target="https://t.me/s/mohebbin_aliakbar" TargetMode="External"/><Relationship Id="rId267" Type="http://schemas.openxmlformats.org/officeDocument/2006/relationships/hyperlink" Target="https://eitaa.com/emamzadehabdollah1gorgan" TargetMode="External"/><Relationship Id="rId266" Type="http://schemas.openxmlformats.org/officeDocument/2006/relationships/hyperlink" Target="https://eitaa.com/bainolharamaingalikesh" TargetMode="External"/><Relationship Id="rId265" Type="http://schemas.openxmlformats.org/officeDocument/2006/relationships/hyperlink" Target="https://eitaa.com/heyatemotavasselin_313" TargetMode="External"/><Relationship Id="rId260" Type="http://schemas.openxmlformats.org/officeDocument/2006/relationships/hyperlink" Target="https://eitaa.com/razmandegan_kordkuy" TargetMode="External"/><Relationship Id="rId259" Type="http://schemas.openxmlformats.org/officeDocument/2006/relationships/hyperlink" Target="https://t.me/bytozzahra" TargetMode="External"/><Relationship Id="rId258" Type="http://schemas.openxmlformats.org/officeDocument/2006/relationships/hyperlink" Target="https://eitaa.com/alzahra135" TargetMode="External"/><Relationship Id="rId253" Type="http://schemas.openxmlformats.org/officeDocument/2006/relationships/hyperlink" Target="https://www.instagram.com/mokeb_minoodasht?utm_source=ig_web_button_share_sheet&amp;igsh=ZDNlZDc0MzIxNw==" TargetMode="External"/><Relationship Id="rId252" Type="http://schemas.openxmlformats.org/officeDocument/2006/relationships/hyperlink" Target="https://telegram.me/s/masjed5tanminoodasht?before=2270" TargetMode="External"/><Relationship Id="rId251" Type="http://schemas.openxmlformats.org/officeDocument/2006/relationships/hyperlink" Target="https://eitaa.com/montazeran_com" TargetMode="External"/><Relationship Id="rId250" Type="http://schemas.openxmlformats.org/officeDocument/2006/relationships/hyperlink" Target="https://t.me/beinolharamein_minoodasht" TargetMode="External"/><Relationship Id="rId257" Type="http://schemas.openxmlformats.org/officeDocument/2006/relationships/hyperlink" Target="https://eitaa.com/nehzat_eslami_minoodasht" TargetMode="External"/><Relationship Id="rId256" Type="http://schemas.openxmlformats.org/officeDocument/2006/relationships/hyperlink" Target="https://www.instagram.com/abolfazlia_minoodasht?utm_source=ig_web_button_share_sheet&amp;igsh=ZDNlZDc0MzIxNw==" TargetMode="External"/><Relationship Id="rId255" Type="http://schemas.openxmlformats.org/officeDocument/2006/relationships/hyperlink" Target="https://eitaa.com/MOKEBEHAZRATEZEYNABMINOODASHT" TargetMode="External"/><Relationship Id="rId254" Type="http://schemas.openxmlformats.org/officeDocument/2006/relationships/hyperlink" Target="https://t.me/MOKEBEHAZRATEZEYNABMINOODASHT" TargetMode="External"/><Relationship Id="rId274" Type="http://schemas.openxmlformats.org/officeDocument/2006/relationships/drawing" Target="../drawings/drawing10.xml"/><Relationship Id="rId273" Type="http://schemas.openxmlformats.org/officeDocument/2006/relationships/hyperlink" Target="https://eitaa.com/mokebhazrataliasghargorgan" TargetMode="External"/><Relationship Id="rId272" Type="http://schemas.openxmlformats.org/officeDocument/2006/relationships/hyperlink" Target="https://eitaa.com/mv_1396" TargetMode="External"/><Relationship Id="rId228" Type="http://schemas.openxmlformats.org/officeDocument/2006/relationships/hyperlink" Target="https://eitaa.com/maktabeshohada_gorgan" TargetMode="External"/><Relationship Id="rId227" Type="http://schemas.openxmlformats.org/officeDocument/2006/relationships/hyperlink" Target="https://www.instagram.com/maktabeshohada_gorgan/" TargetMode="External"/><Relationship Id="rId226" Type="http://schemas.openxmlformats.org/officeDocument/2006/relationships/hyperlink" Target="https://rubika.ir/khames_alaba_110" TargetMode="External"/><Relationship Id="rId225" Type="http://schemas.openxmlformats.org/officeDocument/2006/relationships/hyperlink" Target="https://www.instagram.com/khames.alaba/" TargetMode="External"/><Relationship Id="rId229" Type="http://schemas.openxmlformats.org/officeDocument/2006/relationships/hyperlink" Target="https://www.instagram.com/masjed_jame_golshan" TargetMode="External"/><Relationship Id="rId220" Type="http://schemas.openxmlformats.org/officeDocument/2006/relationships/hyperlink" Target="https://www.instagram.com/fatemioongorgan/" TargetMode="External"/><Relationship Id="rId224" Type="http://schemas.openxmlformats.org/officeDocument/2006/relationships/hyperlink" Target="https://www.instagram.com/hyat.mohebn.fatema.zahra/" TargetMode="External"/><Relationship Id="rId223" Type="http://schemas.openxmlformats.org/officeDocument/2006/relationships/hyperlink" Target="https://www.instagram.com/heyat_rayatol_abbas" TargetMode="External"/><Relationship Id="rId222" Type="http://schemas.openxmlformats.org/officeDocument/2006/relationships/hyperlink" Target="https://www.instagram.com/heiat.mohammadabad.gorgan" TargetMode="External"/><Relationship Id="rId221" Type="http://schemas.openxmlformats.org/officeDocument/2006/relationships/hyperlink" Target="https://www.instagram.com/h.azadaran?utm_source=ig_web_button_share_sheet&amp;igsh=ZDNlZDc0MzIxNw==" TargetMode="External"/><Relationship Id="rId217" Type="http://schemas.openxmlformats.org/officeDocument/2006/relationships/hyperlink" Target="https://www.instagram.com/beeytolahzan" TargetMode="External"/><Relationship Id="rId216" Type="http://schemas.openxmlformats.org/officeDocument/2006/relationships/hyperlink" Target="http://telegram.me/hoseiniyeazamgalikesh" TargetMode="External"/><Relationship Id="rId215" Type="http://schemas.openxmlformats.org/officeDocument/2006/relationships/hyperlink" Target="https://www.instagram.com/hosseinie.azam.seyedoshohada/" TargetMode="External"/><Relationship Id="rId214" Type="http://schemas.openxmlformats.org/officeDocument/2006/relationships/hyperlink" Target="https://www.instagram.com/masjed.sahebzaman.galikesh" TargetMode="External"/><Relationship Id="rId219" Type="http://schemas.openxmlformats.org/officeDocument/2006/relationships/hyperlink" Target="https://eitaa.com/s/dokhtaran_khames_aleaba" TargetMode="External"/><Relationship Id="rId218" Type="http://schemas.openxmlformats.org/officeDocument/2006/relationships/hyperlink" Target="https://www.instagram.com/dokhtarane_khames_aleaba/" TargetMode="External"/><Relationship Id="rId213" Type="http://schemas.openxmlformats.org/officeDocument/2006/relationships/hyperlink" Target="https://www.instagram.com/fadaktv.ir/" TargetMode="External"/><Relationship Id="rId212" Type="http://schemas.openxmlformats.org/officeDocument/2006/relationships/hyperlink" Target="https://www.instagram.com/beytozahra_kalaleh/" TargetMode="External"/><Relationship Id="rId211" Type="http://schemas.openxmlformats.org/officeDocument/2006/relationships/hyperlink" Target="https://www.instagram.com/heyat_moheban_333/" TargetMode="External"/><Relationship Id="rId210" Type="http://schemas.openxmlformats.org/officeDocument/2006/relationships/hyperlink" Target="https://www.instagram.com/heyatansar_313/" TargetMode="External"/><Relationship Id="rId249" Type="http://schemas.openxmlformats.org/officeDocument/2006/relationships/hyperlink" Target="https://www.instagram.com/beinolharameinminudasht/" TargetMode="External"/><Relationship Id="rId248" Type="http://schemas.openxmlformats.org/officeDocument/2006/relationships/hyperlink" Target="https://www.instagram.com/janatolabas__gonbad/" TargetMode="External"/><Relationship Id="rId247" Type="http://schemas.openxmlformats.org/officeDocument/2006/relationships/hyperlink" Target="https://www.instagram.com/fadaeian_gonbad/" TargetMode="External"/><Relationship Id="rId242" Type="http://schemas.openxmlformats.org/officeDocument/2006/relationships/hyperlink" Target="https://l.instagram.com/?u=http%3A%2F%2Feitaa.com%2Faliakbar_h333%3Futm_source%3Dig%26utm_medium%3Dsocial%26utm_content%3Dlink_in_bio%26fbclid%3DPAZXh0bgNhZW0CMTEAc3J0YwZhcHBfaWQMMjU2MjgxMDQwNTU4AAGnVPObR2Z9ZLsWiRlWQZu1Jkt1C24lf3RBApl8oGydZJdf9l2yl8c68wxchEY_aem__R2QZwXgM43ebbViWdsGbA&amp;e=AT0oLsUQqj3UNNQ_hp0R4dBbtxYjfs4FGWVYiFXwttTW7hOs7TD6fDcYbjZSG1GaKlkgAWotZAX87oS5d8lQbo86y23rzH2TKDUI3RqnXw" TargetMode="External"/><Relationship Id="rId241" Type="http://schemas.openxmlformats.org/officeDocument/2006/relationships/hyperlink" Target="https://www.instagram.com/aliakbar_h333?utm_source=ig_web_button_share_sheet&amp;igsh=ZDNlZDc0MzIxNw==" TargetMode="External"/><Relationship Id="rId240" Type="http://schemas.openxmlformats.org/officeDocument/2006/relationships/hyperlink" Target="https://www.instagram.com/javanan_bnihashem" TargetMode="External"/><Relationship Id="rId246" Type="http://schemas.openxmlformats.org/officeDocument/2006/relationships/hyperlink" Target="https://www.instagram.com/emam.reza116/" TargetMode="External"/><Relationship Id="rId245" Type="http://schemas.openxmlformats.org/officeDocument/2006/relationships/hyperlink" Target="https://t.me/montazeran_mahdi_aj_gonbad" TargetMode="External"/><Relationship Id="rId244" Type="http://schemas.openxmlformats.org/officeDocument/2006/relationships/hyperlink" Target="https://www.instagram.com/313montazeran_com/" TargetMode="External"/><Relationship Id="rId243" Type="http://schemas.openxmlformats.org/officeDocument/2006/relationships/hyperlink" Target="https://www.instagram.com/hasan.jafary313/" TargetMode="External"/><Relationship Id="rId239" Type="http://schemas.openxmlformats.org/officeDocument/2006/relationships/hyperlink" Target="https://www.instagram.com/heyate_hazrate_roqayeh95/" TargetMode="External"/><Relationship Id="rId238" Type="http://schemas.openxmlformats.org/officeDocument/2006/relationships/hyperlink" Target="https://www.instagram.com/heiatsarallah96/" TargetMode="External"/><Relationship Id="rId237" Type="http://schemas.openxmlformats.org/officeDocument/2006/relationships/hyperlink" Target="https://www.instagram.com/heyate_emam_hasan_mojtaba" TargetMode="External"/><Relationship Id="rId236" Type="http://schemas.openxmlformats.org/officeDocument/2006/relationships/hyperlink" Target="https://www.instagram.com/noorolshohada.ir/" TargetMode="External"/><Relationship Id="rId231" Type="http://schemas.openxmlformats.org/officeDocument/2006/relationships/hyperlink" Target="https://www.instagram.com/nooroshohada.ir/" TargetMode="External"/><Relationship Id="rId230" Type="http://schemas.openxmlformats.org/officeDocument/2006/relationships/hyperlink" Target="https://www.instagram.com/moheban.o.zahra" TargetMode="External"/><Relationship Id="rId235" Type="http://schemas.openxmlformats.org/officeDocument/2006/relationships/hyperlink" Target="https://eitaa.com/rahrovann_ir" TargetMode="External"/><Relationship Id="rId234" Type="http://schemas.openxmlformats.org/officeDocument/2006/relationships/hyperlink" Target="https://t.me/rahrovann_ir" TargetMode="External"/><Relationship Id="rId233" Type="http://schemas.openxmlformats.org/officeDocument/2006/relationships/hyperlink" Target="https://www.instagram.com/rahrovann_ir/" TargetMode="External"/><Relationship Id="rId232" Type="http://schemas.openxmlformats.org/officeDocument/2006/relationships/hyperlink" Target="https://eitaa.com/s/noorolshohada_ir" TargetMode="External"/><Relationship Id="rId206" Type="http://schemas.openxmlformats.org/officeDocument/2006/relationships/hyperlink" Target="https://www.instagram.com/beynolharmeyn_kordkoy/" TargetMode="External"/><Relationship Id="rId205" Type="http://schemas.openxmlformats.org/officeDocument/2006/relationships/hyperlink" Target="https://www.instagram.com/heyat_moheban_ahle_beyt/" TargetMode="External"/><Relationship Id="rId204" Type="http://schemas.openxmlformats.org/officeDocument/2006/relationships/hyperlink" Target="https://www.instagram.com/heyat.karim.ahle.beyt/" TargetMode="External"/><Relationship Id="rId203" Type="http://schemas.openxmlformats.org/officeDocument/2006/relationships/hyperlink" Target="https://eitaa.com/heyat_sajjadieh_kordkoy" TargetMode="External"/><Relationship Id="rId209" Type="http://schemas.openxmlformats.org/officeDocument/2006/relationships/hyperlink" Target="https://eitaa.com/eshagh_elhasan118" TargetMode="External"/><Relationship Id="rId208" Type="http://schemas.openxmlformats.org/officeDocument/2006/relationships/hyperlink" Target="https://www.instagram.com/eshagh_elhasan118/" TargetMode="External"/><Relationship Id="rId207" Type="http://schemas.openxmlformats.org/officeDocument/2006/relationships/hyperlink" Target="https://t.me/beynolharmeyn_kordkoy" TargetMode="External"/><Relationship Id="rId202" Type="http://schemas.openxmlformats.org/officeDocument/2006/relationships/hyperlink" Target="https://www.instagram.com/heyat_sajjadieh" TargetMode="External"/><Relationship Id="rId201" Type="http://schemas.openxmlformats.org/officeDocument/2006/relationships/hyperlink" Target="https://www.instagram.com/heyat_razavi_kordkuy" TargetMode="External"/><Relationship Id="rId200" Type="http://schemas.openxmlformats.org/officeDocument/2006/relationships/hyperlink" Target="https://www.instagram.com/montazeran_mahdi_valaghoz/" TargetMode="External"/><Relationship Id="rId1" Type="http://schemas.openxmlformats.org/officeDocument/2006/relationships/hyperlink" Target="https://www.instagram.com/heiate5tanealeaba" TargetMode="External"/><Relationship Id="rId2" Type="http://schemas.openxmlformats.org/officeDocument/2006/relationships/hyperlink" Target="https://www.instagram.com/mohebbanolmahdi_s?utm_source=ig_web_button_share_sheet&amp;igsh=ZDNlZDc0MzIxNw==" TargetMode="External"/><Relationship Id="rId3" Type="http://schemas.openxmlformats.org/officeDocument/2006/relationships/hyperlink" Target="https://t.me/mohebbanolmahdi_sooderjan" TargetMode="External"/><Relationship Id="rId4" Type="http://schemas.openxmlformats.org/officeDocument/2006/relationships/hyperlink" Target="https://www.instagram.com/oshagh_roghaye315?utm_source=ig_web_button_share_sheet&amp;igsh=ZDNlZDc0MzIxNw==" TargetMode="External"/><Relationship Id="rId9" Type="http://schemas.openxmlformats.org/officeDocument/2006/relationships/hyperlink" Target="https://www.instagram.com/masjed_aghsa_gorgan?utm_source=ig_web_button_share_sheet&amp;igsh=ZDNlZDc0MzIxNw==" TargetMode="External"/><Relationship Id="rId5" Type="http://schemas.openxmlformats.org/officeDocument/2006/relationships/hyperlink" Target="https://www.instagram.com/heyat_moheban_333?utm_source=ig_web_button_share_sheet&amp;igsh=ZDNlZDc0MzIxNw==" TargetMode="External"/><Relationship Id="rId6" Type="http://schemas.openxmlformats.org/officeDocument/2006/relationships/hyperlink" Target="https://eitaa.com/heyat_moheban_333" TargetMode="External"/><Relationship Id="rId7" Type="http://schemas.openxmlformats.org/officeDocument/2006/relationships/hyperlink" Target="https://www.instagram.com/heiat_beinolharamein110" TargetMode="External"/><Relationship Id="rId8" Type="http://schemas.openxmlformats.org/officeDocument/2006/relationships/hyperlink" Target="http://t.me/heiat_bein_ol_harameni_110" TargetMode="External"/></Relationships>
</file>

<file path=xl/worksheets/_rels/sheet11.xml.rels><?xml version="1.0" encoding="UTF-8" standalone="yes"?><Relationships xmlns="http://schemas.openxmlformats.org/package/2006/relationships"><Relationship Id="rId1059" Type="http://schemas.openxmlformats.org/officeDocument/2006/relationships/hyperlink" Target="https://www.instagram.com/jannat_al_mojtaba/" TargetMode="External"/><Relationship Id="rId1050" Type="http://schemas.openxmlformats.org/officeDocument/2006/relationships/hyperlink" Target="https://www.instagram.com/mohben_ahle_bet/?hl=en" TargetMode="External"/><Relationship Id="rId1051" Type="http://schemas.openxmlformats.org/officeDocument/2006/relationships/hyperlink" Target="https://www.instagram.com/mohammad_ataieniya216/" TargetMode="External"/><Relationship Id="rId1052" Type="http://schemas.openxmlformats.org/officeDocument/2006/relationships/hyperlink" Target="https://t.me/K_ataieniya315" TargetMode="External"/><Relationship Id="rId1053" Type="http://schemas.openxmlformats.org/officeDocument/2006/relationships/hyperlink" Target="https://www.instagram.com/h.yusofezahra/" TargetMode="External"/><Relationship Id="rId1054" Type="http://schemas.openxmlformats.org/officeDocument/2006/relationships/hyperlink" Target="https://eitaa.com/yusofe_zahra" TargetMode="External"/><Relationship Id="rId1055" Type="http://schemas.openxmlformats.org/officeDocument/2006/relationships/hyperlink" Target="https://www.instagram.com/pelak69_ir/" TargetMode="External"/><Relationship Id="rId1056" Type="http://schemas.openxmlformats.org/officeDocument/2006/relationships/hyperlink" Target="https://t.me/pelak69_ir" TargetMode="External"/><Relationship Id="rId1057" Type="http://schemas.openxmlformats.org/officeDocument/2006/relationships/hyperlink" Target="https://eitaa.com/pelak69_ir" TargetMode="External"/><Relationship Id="rId1058" Type="http://schemas.openxmlformats.org/officeDocument/2006/relationships/hyperlink" Target="https://www.instagram.com/heyat.alreza" TargetMode="External"/><Relationship Id="rId1048" Type="http://schemas.openxmlformats.org/officeDocument/2006/relationships/hyperlink" Target="https://www.instagram.com/fadaeianhoseinir/" TargetMode="External"/><Relationship Id="rId1049" Type="http://schemas.openxmlformats.org/officeDocument/2006/relationships/hyperlink" Target="https://www.instagram.com/mohebanozahra_90/" TargetMode="External"/><Relationship Id="rId1040" Type="http://schemas.openxmlformats.org/officeDocument/2006/relationships/hyperlink" Target="https://www.instagram.com/ravagholhosein/" TargetMode="External"/><Relationship Id="rId1041" Type="http://schemas.openxmlformats.org/officeDocument/2006/relationships/hyperlink" Target="https://t.me/ravagholhosein" TargetMode="External"/><Relationship Id="rId1042" Type="http://schemas.openxmlformats.org/officeDocument/2006/relationships/hyperlink" Target="https://eitaa.com/ravagholhosein" TargetMode="External"/><Relationship Id="rId1043" Type="http://schemas.openxmlformats.org/officeDocument/2006/relationships/hyperlink" Target="https://www.instagram.com/heyataliakbar_estark" TargetMode="External"/><Relationship Id="rId1044" Type="http://schemas.openxmlformats.org/officeDocument/2006/relationships/hyperlink" Target="https://t.me/aliakbarestark" TargetMode="External"/><Relationship Id="rId1045" Type="http://schemas.openxmlformats.org/officeDocument/2006/relationships/hyperlink" Target="https://www.instagram.com/fatemye_kashan/" TargetMode="External"/><Relationship Id="rId1046" Type="http://schemas.openxmlformats.org/officeDocument/2006/relationships/hyperlink" Target="https://l.instagram.com/?u=http%3A%2F%2Ftelegram.dog%2Ffatemye_kashan%3Ffbclid%3DPAZXh0bgNhZW0CMTEAAady0LqbVrGgJ9Ws4dJjdroUyTv2_R2wOEqRN7muQ61ymnWP9bZ_Hp9j5V0dvQ_aem_rCrf4QFAn3Yc9IAsY5JrUQ&amp;e=AT2A6f70VxITvu3ONLahvM7okCKRDNKii3ovGgzonHYdDJZalymRg7RmM3p1WPtOa6H9Lcq1H5eOIVrSD4OT1HPsNsmrF0L3Yf6Ftl8Cyw" TargetMode="External"/><Relationship Id="rId1047" Type="http://schemas.openxmlformats.org/officeDocument/2006/relationships/hyperlink" Target="https://www.instagram.com/fatemiyun_mahmoodabad/" TargetMode="External"/><Relationship Id="rId1070" Type="http://schemas.openxmlformats.org/officeDocument/2006/relationships/hyperlink" Target="https://t.me/jannatolroghayekashan315" TargetMode="External"/><Relationship Id="rId1071" Type="http://schemas.openxmlformats.org/officeDocument/2006/relationships/hyperlink" Target="https://eitaa.com/jannatolroghayekashan315" TargetMode="External"/><Relationship Id="rId1072" Type="http://schemas.openxmlformats.org/officeDocument/2006/relationships/hyperlink" Target="https://www.instagram.com/_mohtadoun_/" TargetMode="External"/><Relationship Id="rId1073" Type="http://schemas.openxmlformats.org/officeDocument/2006/relationships/hyperlink" Target="https://t.me/mohtadoun" TargetMode="External"/><Relationship Id="rId1074" Type="http://schemas.openxmlformats.org/officeDocument/2006/relationships/hyperlink" Target="https://www.instagram.com/jannatol_zahra/" TargetMode="External"/><Relationship Id="rId1075" Type="http://schemas.openxmlformats.org/officeDocument/2006/relationships/hyperlink" Target="https://t.me/janatol_zahra_AranandBidgol" TargetMode="External"/><Relationship Id="rId1076" Type="http://schemas.openxmlformats.org/officeDocument/2006/relationships/hyperlink" Target="https://www.instagram.com/rozatolabbas_noushabad/" TargetMode="External"/><Relationship Id="rId1077" Type="http://schemas.openxmlformats.org/officeDocument/2006/relationships/hyperlink" Target="https://t.me/rozatolabbas_noushabad" TargetMode="External"/><Relationship Id="rId1078" Type="http://schemas.openxmlformats.org/officeDocument/2006/relationships/hyperlink" Target="https://eitaa.com/rozatolabbas_noushabad" TargetMode="External"/><Relationship Id="rId1079" Type="http://schemas.openxmlformats.org/officeDocument/2006/relationships/hyperlink" Target="https://www.instagram.com/aliakbarpamenar/" TargetMode="External"/><Relationship Id="rId1060" Type="http://schemas.openxmlformats.org/officeDocument/2006/relationships/hyperlink" Target="https://eitaa.com/jannat_al_mojtaba" TargetMode="External"/><Relationship Id="rId1061" Type="http://schemas.openxmlformats.org/officeDocument/2006/relationships/hyperlink" Target="https://www.instagram.com/heyat_abolfazl_saresang/" TargetMode="External"/><Relationship Id="rId1062" Type="http://schemas.openxmlformats.org/officeDocument/2006/relationships/hyperlink" Target="https://t.me/saresang" TargetMode="External"/><Relationship Id="rId1063" Type="http://schemas.openxmlformats.org/officeDocument/2006/relationships/hyperlink" Target="https://www.instagram.com/babalhavaeg_barzok/" TargetMode="External"/><Relationship Id="rId1064" Type="http://schemas.openxmlformats.org/officeDocument/2006/relationships/hyperlink" Target="https://eitaa.com/babalhavaeg_barzok" TargetMode="External"/><Relationship Id="rId1065" Type="http://schemas.openxmlformats.org/officeDocument/2006/relationships/hyperlink" Target="http://instagram.com/safiralhossein/" TargetMode="External"/><Relationship Id="rId1066" Type="http://schemas.openxmlformats.org/officeDocument/2006/relationships/hyperlink" Target="https://t.me/safiralhossain" TargetMode="External"/><Relationship Id="rId1067" Type="http://schemas.openxmlformats.org/officeDocument/2006/relationships/hyperlink" Target="https://www.instagram.com/14masoomkashan/" TargetMode="External"/><Relationship Id="rId1068" Type="http://schemas.openxmlformats.org/officeDocument/2006/relationships/hyperlink" Target="https://www.instagram.com/mokebefin/" TargetMode="External"/><Relationship Id="rId1069" Type="http://schemas.openxmlformats.org/officeDocument/2006/relationships/hyperlink" Target="https://www.instagram.com/jannatroghayekashan315/" TargetMode="External"/><Relationship Id="rId1015" Type="http://schemas.openxmlformats.org/officeDocument/2006/relationships/hyperlink" Target="https://www.instagram.com/heyat.abalfazl.harand/?hl=en" TargetMode="External"/><Relationship Id="rId1016" Type="http://schemas.openxmlformats.org/officeDocument/2006/relationships/hyperlink" Target="https://t.me/harandheatabalfazlabas" TargetMode="External"/><Relationship Id="rId1017" Type="http://schemas.openxmlformats.org/officeDocument/2006/relationships/hyperlink" Target="https://www.instagram.com/mf_darosalam/" TargetMode="External"/><Relationship Id="rId1018" Type="http://schemas.openxmlformats.org/officeDocument/2006/relationships/hyperlink" Target="https://t.me/m_darosalam" TargetMode="External"/><Relationship Id="rId1019" Type="http://schemas.openxmlformats.org/officeDocument/2006/relationships/hyperlink" Target="https://eitaa.com/m_darosalam" TargetMode="External"/><Relationship Id="rId1010" Type="http://schemas.openxmlformats.org/officeDocument/2006/relationships/hyperlink" Target="https://t.me/ALMAHDI1360" TargetMode="External"/><Relationship Id="rId1011" Type="http://schemas.openxmlformats.org/officeDocument/2006/relationships/hyperlink" Target="https://www.instagram.com/motevaselin_mashha/" TargetMode="External"/><Relationship Id="rId1012" Type="http://schemas.openxmlformats.org/officeDocument/2006/relationships/hyperlink" Target="https://t.me/Motevaselin_mashhad" TargetMode="External"/><Relationship Id="rId1013" Type="http://schemas.openxmlformats.org/officeDocument/2006/relationships/hyperlink" Target="https://www.instagram.com/khademo_lhasan_valhosein/?hl=en" TargetMode="External"/><Relationship Id="rId1014" Type="http://schemas.openxmlformats.org/officeDocument/2006/relationships/hyperlink" Target="https://t.me/khademo_lhasan_valhosein" TargetMode="External"/><Relationship Id="rId1004" Type="http://schemas.openxmlformats.org/officeDocument/2006/relationships/hyperlink" Target="https://www.instagram.com/masjed_iut?utm_source=ig_web_button_share_sheet&amp;igsh=ZDNlZDc0MzIxNw==" TargetMode="External"/><Relationship Id="rId1005" Type="http://schemas.openxmlformats.org/officeDocument/2006/relationships/hyperlink" Target="https://t.me/masjed_iut" TargetMode="External"/><Relationship Id="rId1006" Type="http://schemas.openxmlformats.org/officeDocument/2006/relationships/hyperlink" Target="https://eitaa.com/masjed_iut" TargetMode="External"/><Relationship Id="rId1007" Type="http://schemas.openxmlformats.org/officeDocument/2006/relationships/hyperlink" Target="https://www.instagram.com/rozato_labbas133?utm_source=ig_web_button_share_sheet&amp;igsh=ZDNlZDc0MzIxNw==" TargetMode="External"/><Relationship Id="rId1008" Type="http://schemas.openxmlformats.org/officeDocument/2006/relationships/hyperlink" Target="https://eitaa.com/rozatolabbas1" TargetMode="External"/><Relationship Id="rId1009" Type="http://schemas.openxmlformats.org/officeDocument/2006/relationships/hyperlink" Target="https://www.instagram.com/heyat_javanan14/reels/" TargetMode="External"/><Relationship Id="rId1000" Type="http://schemas.openxmlformats.org/officeDocument/2006/relationships/hyperlink" Target="https://eitaa.com/gomnam_ui" TargetMode="External"/><Relationship Id="rId1001" Type="http://schemas.openxmlformats.org/officeDocument/2006/relationships/hyperlink" Target="https://www.instagram.com/gomnam_ui/" TargetMode="External"/><Relationship Id="rId1002" Type="http://schemas.openxmlformats.org/officeDocument/2006/relationships/hyperlink" Target="https://t.me/gomnam_ui" TargetMode="External"/><Relationship Id="rId1003" Type="http://schemas.openxmlformats.org/officeDocument/2006/relationships/hyperlink" Target="https://eitaa.com/gomnam_ui" TargetMode="External"/><Relationship Id="rId1037" Type="http://schemas.openxmlformats.org/officeDocument/2006/relationships/hyperlink" Target="https://eitaa.com/heyat_daroleshgh" TargetMode="External"/><Relationship Id="rId1038" Type="http://schemas.openxmlformats.org/officeDocument/2006/relationships/hyperlink" Target="https://www.instagram.com/delsuokhtegan/" TargetMode="External"/><Relationship Id="rId1039" Type="http://schemas.openxmlformats.org/officeDocument/2006/relationships/hyperlink" Target="https://www.instagram.com/hytrzmndgnslmjnwb/" TargetMode="External"/><Relationship Id="rId1030" Type="http://schemas.openxmlformats.org/officeDocument/2006/relationships/hyperlink" Target="https://www.instagram.com/ensiatolhaoraa?utm_source=ig_web_button_share_sheet&amp;igsh=ZDNlZDc0MzIxNw==" TargetMode="External"/><Relationship Id="rId1031" Type="http://schemas.openxmlformats.org/officeDocument/2006/relationships/hyperlink" Target="https://eitaa.com/ensiatalhora" TargetMode="External"/><Relationship Id="rId1032" Type="http://schemas.openxmlformats.org/officeDocument/2006/relationships/hyperlink" Target="https://www.instagram.com/ansarolhossein.esf?utm_source=ig_web_button_share_sheet&amp;igsh=ZDNlZDc0MzIxNw==" TargetMode="External"/><Relationship Id="rId1033" Type="http://schemas.openxmlformats.org/officeDocument/2006/relationships/hyperlink" Target="https://eitaa.com/ansarolhossein_esf" TargetMode="External"/><Relationship Id="rId1034" Type="http://schemas.openxmlformats.org/officeDocument/2006/relationships/hyperlink" Target="https://www.instagram.com/heydariioon" TargetMode="External"/><Relationship Id="rId1035" Type="http://schemas.openxmlformats.org/officeDocument/2006/relationships/hyperlink" Target="https://eitaa.com/khshohada_ir" TargetMode="External"/><Relationship Id="rId1036" Type="http://schemas.openxmlformats.org/officeDocument/2006/relationships/hyperlink" Target="https://www.instagram.com/heyat_daroleshgh/" TargetMode="External"/><Relationship Id="rId1026" Type="http://schemas.openxmlformats.org/officeDocument/2006/relationships/hyperlink" Target="https://eitaa.com/heyatseraj" TargetMode="External"/><Relationship Id="rId1027" Type="http://schemas.openxmlformats.org/officeDocument/2006/relationships/hyperlink" Target="https://www.instagram.com/heyatallzahra/" TargetMode="External"/><Relationship Id="rId1028" Type="http://schemas.openxmlformats.org/officeDocument/2006/relationships/hyperlink" Target="https://t.me/heyatallzahra" TargetMode="External"/><Relationship Id="rId1029" Type="http://schemas.openxmlformats.org/officeDocument/2006/relationships/hyperlink" Target="https://eitaa.com/heyatalzahragolpa" TargetMode="External"/><Relationship Id="rId1020" Type="http://schemas.openxmlformats.org/officeDocument/2006/relationships/hyperlink" Target="https://www.instagram.com/ya_aliasghar.ir/" TargetMode="External"/><Relationship Id="rId1021" Type="http://schemas.openxmlformats.org/officeDocument/2006/relationships/hyperlink" Target="https://eitaa.com/roze_borkhar" TargetMode="External"/><Relationship Id="rId1022" Type="http://schemas.openxmlformats.org/officeDocument/2006/relationships/hyperlink" Target="https://www.instagram.com/moheban70/?hl=en" TargetMode="External"/><Relationship Id="rId1023" Type="http://schemas.openxmlformats.org/officeDocument/2006/relationships/hyperlink" Target="https://eitaa.com/moheban70" TargetMode="External"/><Relationship Id="rId1024" Type="http://schemas.openxmlformats.org/officeDocument/2006/relationships/hyperlink" Target="https://eitaa.com/reyhaneh_info" TargetMode="External"/><Relationship Id="rId1025" Type="http://schemas.openxmlformats.org/officeDocument/2006/relationships/hyperlink" Target="https://www.instagram.com/seraj_media?utm_source=ig_web_button_share_sheet&amp;igsh=ZDNlZDc0MzIxNw==" TargetMode="External"/><Relationship Id="rId1090" Type="http://schemas.openxmlformats.org/officeDocument/2006/relationships/hyperlink" Target="https://www.instagram.com/ashooraiyan69/" TargetMode="External"/><Relationship Id="rId1091" Type="http://schemas.openxmlformats.org/officeDocument/2006/relationships/hyperlink" Target="https://t.me/ashooraiyan69" TargetMode="External"/><Relationship Id="rId1092" Type="http://schemas.openxmlformats.org/officeDocument/2006/relationships/hyperlink" Target="https://www.instagram.com/seyedrezanarimanifan?utm_source=ig_web_button_share_sheet&amp;igsh=ZDNlZDc0MzIxNw==" TargetMode="External"/><Relationship Id="rId1093" Type="http://schemas.openxmlformats.org/officeDocument/2006/relationships/hyperlink" Target="https://t.me/fadaeianhoseinir" TargetMode="External"/><Relationship Id="rId1094" Type="http://schemas.openxmlformats.org/officeDocument/2006/relationships/hyperlink" Target="https://eitaa.com/seyedrezanarimani" TargetMode="External"/><Relationship Id="rId1095" Type="http://schemas.openxmlformats.org/officeDocument/2006/relationships/hyperlink" Target="https://eitaa.com/kheymegah" TargetMode="External"/><Relationship Id="rId1096" Type="http://schemas.openxmlformats.org/officeDocument/2006/relationships/hyperlink" Target="https://eitaa.com/isf_wr" TargetMode="External"/><Relationship Id="rId1097" Type="http://schemas.openxmlformats.org/officeDocument/2006/relationships/hyperlink" Target="https://eitaa.com/yadmanshohada" TargetMode="External"/><Relationship Id="rId1098" Type="http://schemas.openxmlformats.org/officeDocument/2006/relationships/hyperlink" Target="https://eitaa.com/karbalayebaran" TargetMode="External"/><Relationship Id="rId1099" Type="http://schemas.openxmlformats.org/officeDocument/2006/relationships/hyperlink" Target="https://eitaa.com/mokabvaliebnmosa" TargetMode="External"/><Relationship Id="rId1080" Type="http://schemas.openxmlformats.org/officeDocument/2006/relationships/hyperlink" Target="https://t.me/hazrat_aliakbr" TargetMode="External"/><Relationship Id="rId1081" Type="http://schemas.openxmlformats.org/officeDocument/2006/relationships/hyperlink" Target="https://www.instagram.com/ansarhasan_resane/" TargetMode="External"/><Relationship Id="rId1082" Type="http://schemas.openxmlformats.org/officeDocument/2006/relationships/hyperlink" Target="https://www.instagram.com/alamdar_kashan/" TargetMode="External"/><Relationship Id="rId1083" Type="http://schemas.openxmlformats.org/officeDocument/2006/relationships/hyperlink" Target="https://t.me/alamdarkashan" TargetMode="External"/><Relationship Id="rId1084" Type="http://schemas.openxmlformats.org/officeDocument/2006/relationships/hyperlink" Target="https://eitaa.com/Alamdarkashan" TargetMode="External"/><Relationship Id="rId1085" Type="http://schemas.openxmlformats.org/officeDocument/2006/relationships/hyperlink" Target="https://www.instagram.com/hosseininoushabad/" TargetMode="External"/><Relationship Id="rId1086" Type="http://schemas.openxmlformats.org/officeDocument/2006/relationships/hyperlink" Target="https://www.instagram.com/ya_abbas82/" TargetMode="External"/><Relationship Id="rId1087" Type="http://schemas.openxmlformats.org/officeDocument/2006/relationships/hyperlink" Target="https://t.me/ya_abbas_82" TargetMode="External"/><Relationship Id="rId1088" Type="http://schemas.openxmlformats.org/officeDocument/2006/relationships/hyperlink" Target="https://www.instagram.com/shahzade.aliasghar.kashan_1401/" TargetMode="External"/><Relationship Id="rId1089" Type="http://schemas.openxmlformats.org/officeDocument/2006/relationships/hyperlink" Target="https://t.me/shahzadehaliasgharkashan" TargetMode="External"/><Relationship Id="rId1114" Type="http://schemas.openxmlformats.org/officeDocument/2006/relationships/hyperlink" Target="https://eitaa.com/sajjadie_ravand" TargetMode="External"/><Relationship Id="rId1115" Type="http://schemas.openxmlformats.org/officeDocument/2006/relationships/hyperlink" Target="https://eitaa.com/hoseiniyeh_esfahaniha" TargetMode="External"/><Relationship Id="rId1116" Type="http://schemas.openxmlformats.org/officeDocument/2006/relationships/hyperlink" Target="https://eitaa.com/molalmovahden" TargetMode="External"/><Relationship Id="rId1117" Type="http://schemas.openxmlformats.org/officeDocument/2006/relationships/hyperlink" Target="https://eitaa.com/mokeb_yousef_Zahra" TargetMode="External"/><Relationship Id="rId1118" Type="http://schemas.openxmlformats.org/officeDocument/2006/relationships/hyperlink" Target="https://eitaa.com/oshagh_al_hasan" TargetMode="External"/><Relationship Id="rId1119" Type="http://schemas.openxmlformats.org/officeDocument/2006/relationships/hyperlink" Target="https://eitaa.com/mokeb_ghahderijan" TargetMode="External"/><Relationship Id="rId1110" Type="http://schemas.openxmlformats.org/officeDocument/2006/relationships/hyperlink" Target="https://eitaa.com/hoseiniye_ahmadiye" TargetMode="External"/><Relationship Id="rId1111" Type="http://schemas.openxmlformats.org/officeDocument/2006/relationships/hyperlink" Target="https://eitaa.com/meymechannel" TargetMode="External"/><Relationship Id="rId1112" Type="http://schemas.openxmlformats.org/officeDocument/2006/relationships/hyperlink" Target="https://eitaa.com/heiat1349_ir" TargetMode="External"/><Relationship Id="rId1113" Type="http://schemas.openxmlformats.org/officeDocument/2006/relationships/hyperlink" Target="https://eitaa.com/Mokeb_esf" TargetMode="External"/><Relationship Id="rId1103" Type="http://schemas.openxmlformats.org/officeDocument/2006/relationships/hyperlink" Target="https://eitaa.com/mokab_kashan" TargetMode="External"/><Relationship Id="rId1104" Type="http://schemas.openxmlformats.org/officeDocument/2006/relationships/hyperlink" Target="https://eitaa.com/hosseinynooshabad" TargetMode="External"/><Relationship Id="rId1105" Type="http://schemas.openxmlformats.org/officeDocument/2006/relationships/hyperlink" Target="https://eitaa.com/hoseinjan_128" TargetMode="External"/><Relationship Id="rId1106" Type="http://schemas.openxmlformats.org/officeDocument/2006/relationships/hyperlink" Target="https://eitaa.com/bab_al_javad" TargetMode="External"/><Relationship Id="rId1107" Type="http://schemas.openxmlformats.org/officeDocument/2006/relationships/hyperlink" Target="https://eitaa.com/fatemiyoun_esfahan" TargetMode="External"/><Relationship Id="rId1108" Type="http://schemas.openxmlformats.org/officeDocument/2006/relationships/hyperlink" Target="https://eitaa.com/javanan_khadem_almahdi" TargetMode="External"/><Relationship Id="rId1109" Type="http://schemas.openxmlformats.org/officeDocument/2006/relationships/hyperlink" Target="https://eitaa.com/hosseini_mokhtasabad" TargetMode="External"/><Relationship Id="rId1100" Type="http://schemas.openxmlformats.org/officeDocument/2006/relationships/hyperlink" Target="https://eitaa.com/ansar313ghehi" TargetMode="External"/><Relationship Id="rId1101" Type="http://schemas.openxmlformats.org/officeDocument/2006/relationships/hyperlink" Target="https://eitaa.com/razmikaraneshohada" TargetMode="External"/><Relationship Id="rId1102" Type="http://schemas.openxmlformats.org/officeDocument/2006/relationships/hyperlink" Target="https://www.instagram.com/mokab_kashan?utm_source=ig_web_button_share_sheet&amp;igsh=ZDNlZDc0MzIxNw==" TargetMode="External"/><Relationship Id="rId1136" Type="http://schemas.openxmlformats.org/officeDocument/2006/relationships/hyperlink" Target="https://eitaa.com/hosinazar" TargetMode="External"/><Relationship Id="rId1137" Type="http://schemas.openxmlformats.org/officeDocument/2006/relationships/hyperlink" Target="https://eitaa.com/mokeb_seyed_shohada128" TargetMode="External"/><Relationship Id="rId1138" Type="http://schemas.openxmlformats.org/officeDocument/2006/relationships/hyperlink" Target="https://eitaa.com/heyat_hazrat_zeynab_s" TargetMode="External"/><Relationship Id="rId1139" Type="http://schemas.openxmlformats.org/officeDocument/2006/relationships/drawing" Target="../drawings/drawing11.xml"/><Relationship Id="rId1130" Type="http://schemas.openxmlformats.org/officeDocument/2006/relationships/hyperlink" Target="https://eitaa.com/omidanhosein" TargetMode="External"/><Relationship Id="rId1131" Type="http://schemas.openxmlformats.org/officeDocument/2006/relationships/hyperlink" Target="https://eitaa.com/rhshohada" TargetMode="External"/><Relationship Id="rId1132" Type="http://schemas.openxmlformats.org/officeDocument/2006/relationships/hyperlink" Target="https://eitaa.com/hoseinieh_naeiniha" TargetMode="External"/><Relationship Id="rId1133" Type="http://schemas.openxmlformats.org/officeDocument/2006/relationships/hyperlink" Target="https://eitaa.com/heiat_banifatemeh" TargetMode="External"/><Relationship Id="rId1134" Type="http://schemas.openxmlformats.org/officeDocument/2006/relationships/hyperlink" Target="https://eitaa.com/reyhanatolhossein_channell" TargetMode="External"/><Relationship Id="rId1135" Type="http://schemas.openxmlformats.org/officeDocument/2006/relationships/hyperlink" Target="https://eitaa.com/bentolhoda_kashan" TargetMode="External"/><Relationship Id="rId1125" Type="http://schemas.openxmlformats.org/officeDocument/2006/relationships/hyperlink" Target="https://eitaa.com/ansaralmahdishahinshahr" TargetMode="External"/><Relationship Id="rId1126" Type="http://schemas.openxmlformats.org/officeDocument/2006/relationships/hyperlink" Target="https://eitaa.com/hheiatekhompich" TargetMode="External"/><Relationship Id="rId1127" Type="http://schemas.openxmlformats.org/officeDocument/2006/relationships/hyperlink" Target="https://eitaa.com/heyate_mosabnejafar" TargetMode="External"/><Relationship Id="rId1128" Type="http://schemas.openxmlformats.org/officeDocument/2006/relationships/hyperlink" Target="https://eitaa.com/JavananeGhasem" TargetMode="External"/><Relationship Id="rId1129" Type="http://schemas.openxmlformats.org/officeDocument/2006/relationships/hyperlink" Target="https://eitaa.com/mowkebbaqiyyatollah" TargetMode="External"/><Relationship Id="rId1120" Type="http://schemas.openxmlformats.org/officeDocument/2006/relationships/hyperlink" Target="https://eitaa.com/kheymehsabzhoseini" TargetMode="External"/><Relationship Id="rId1121" Type="http://schemas.openxmlformats.org/officeDocument/2006/relationships/hyperlink" Target="https://eitaa.com/tekieravand" TargetMode="External"/><Relationship Id="rId1122" Type="http://schemas.openxmlformats.org/officeDocument/2006/relationships/hyperlink" Target="https://eitaa.com/mokebzeynab" TargetMode="External"/><Relationship Id="rId1123" Type="http://schemas.openxmlformats.org/officeDocument/2006/relationships/hyperlink" Target="https://eitaa.com/heyat_14masoum_viduja" TargetMode="External"/><Relationship Id="rId1124" Type="http://schemas.openxmlformats.org/officeDocument/2006/relationships/hyperlink" Target="https://eitaa.com/shifteganvazvan" TargetMode="External"/><Relationship Id="rId190" Type="http://schemas.openxmlformats.org/officeDocument/2006/relationships/hyperlink" Target="https://www.instagram.com/nehzat_eslami_isfahan?utm_source=ig_web_button_share_sheet&amp;igsh=ZDNlZDc0MzIxNw==" TargetMode="External"/><Relationship Id="rId194" Type="http://schemas.openxmlformats.org/officeDocument/2006/relationships/hyperlink" Target="https://www.instagram.com/beytolabass133?utm_source=ig_web_button_share_sheet&amp;igsh=ZDNlZDc0MzIxNw==" TargetMode="External"/><Relationship Id="rId193" Type="http://schemas.openxmlformats.org/officeDocument/2006/relationships/hyperlink" Target="https://www.instagram.com/masjedesajad?utm_source=ig_web_button_share_sheet&amp;igsh=ZDNlZDc0MzIxNw==" TargetMode="External"/><Relationship Id="rId192" Type="http://schemas.openxmlformats.org/officeDocument/2006/relationships/hyperlink" Target="https://www.instagram.com/heyat_heydari_meydanbala?utm_source=ig_web_button_share_sheet&amp;igsh=ZDNlZDc0MzIxNw==" TargetMode="External"/><Relationship Id="rId191" Type="http://schemas.openxmlformats.org/officeDocument/2006/relationships/hyperlink" Target="https://www.instagram.com/javanan.saralah?utm_source=ig_web_button_share_sheet&amp;igsh=ZDNlZDc0MzIxNw==" TargetMode="External"/><Relationship Id="rId187" Type="http://schemas.openxmlformats.org/officeDocument/2006/relationships/hyperlink" Target="https://eitaa.com/masjed_esf" TargetMode="External"/><Relationship Id="rId186" Type="http://schemas.openxmlformats.org/officeDocument/2006/relationships/hyperlink" Target="https://eitaa.com/jameh_esf" TargetMode="External"/><Relationship Id="rId185" Type="http://schemas.openxmlformats.org/officeDocument/2006/relationships/hyperlink" Target="https://eitaa.com/ghasemebnelhasandastgerd" TargetMode="External"/><Relationship Id="rId184" Type="http://schemas.openxmlformats.org/officeDocument/2006/relationships/hyperlink" Target="https://www.instagram.com/ghasem_ebnlhasan/?utm_source=ig_web_button_share_sheet" TargetMode="External"/><Relationship Id="rId189" Type="http://schemas.openxmlformats.org/officeDocument/2006/relationships/hyperlink" Target="https://www.instagram.com/heyat__hazrat__abolfzl_yonart?utm_source=ig_web_button_share_sheet&amp;igsh=ZDNlZDc0MzIxNw==" TargetMode="External"/><Relationship Id="rId188" Type="http://schemas.openxmlformats.org/officeDocument/2006/relationships/hyperlink" Target="https://eitaa.com/beynolharameinfarvi" TargetMode="External"/><Relationship Id="rId183" Type="http://schemas.openxmlformats.org/officeDocument/2006/relationships/hyperlink" Target="https://www.instagram.com/heyat_hazrat_aboalfazl?utm_source=ig_web_button_share_sheet&amp;igsh=ZDNlZDc0MzIxNw==" TargetMode="External"/><Relationship Id="rId182" Type="http://schemas.openxmlformats.org/officeDocument/2006/relationships/hyperlink" Target="https://eitaa.com/alamdareh_hosein" TargetMode="External"/><Relationship Id="rId181" Type="http://schemas.openxmlformats.org/officeDocument/2006/relationships/hyperlink" Target="https://t.me/abolfazlnajafshahr" TargetMode="External"/><Relationship Id="rId180" Type="http://schemas.openxmlformats.org/officeDocument/2006/relationships/hyperlink" Target="https://www.instagram.com/heyat_abolfazl_najafshahr?utm_source=ig_web_button_share_sheet&amp;igsh=ZDNlZDc0MzIxNw==" TargetMode="External"/><Relationship Id="rId176" Type="http://schemas.openxmlformats.org/officeDocument/2006/relationships/hyperlink" Target="https://eitaa.com/zahraeioon" TargetMode="External"/><Relationship Id="rId175" Type="http://schemas.openxmlformats.org/officeDocument/2006/relationships/hyperlink" Target="https://www.instagram.com/husseiniyah_prophet_abolfazl_a?utm_source=ig_web_button_share_sheet&amp;igsh=ZDNlZDc0MzIxNw==" TargetMode="External"/><Relationship Id="rId174" Type="http://schemas.openxmlformats.org/officeDocument/2006/relationships/hyperlink" Target="https://www.instagram.com/moontazeran.zohour?utm_source=ig_web_button_share_sheet&amp;igsh=ZDNlZDc0MzIxNw==" TargetMode="External"/><Relationship Id="rId173" Type="http://schemas.openxmlformats.org/officeDocument/2006/relationships/hyperlink" Target="https://www.instagram.com/beyt.aljavad?utm_source=ig_web_button_share_sheet&amp;igsh=ZDNlZDc0MzIxNw==" TargetMode="External"/><Relationship Id="rId179" Type="http://schemas.openxmlformats.org/officeDocument/2006/relationships/hyperlink" Target="https://www.instagram.com/faresalhejaz.aj?utm_source=ig_web_button_share_sheet&amp;igsh=ZDNlZDc0MzIxNw==" TargetMode="External"/><Relationship Id="rId178" Type="http://schemas.openxmlformats.org/officeDocument/2006/relationships/hyperlink" Target="https://www.instagram.com/reyhaneyenabi?utm_source=ig_web_button_share_sheet&amp;igsh=ZDNlZDc0MzIxNw==" TargetMode="External"/><Relationship Id="rId177" Type="http://schemas.openxmlformats.org/officeDocument/2006/relationships/hyperlink" Target="https://www.instagram.com/reza1369d?utm_source=ig_web_button_share_sheet&amp;igsh=ZDNlZDc0MzIxNw==" TargetMode="External"/><Relationship Id="rId198" Type="http://schemas.openxmlformats.org/officeDocument/2006/relationships/hyperlink" Target="https://www.instagram.com/sarallah_njf.ir?utm_source=ig_web_button_share_sheet&amp;igsh=ZDNlZDc0MzIxNw==" TargetMode="External"/><Relationship Id="rId197" Type="http://schemas.openxmlformats.org/officeDocument/2006/relationships/hyperlink" Target="https://eitaa.com/heyat_ansarolhojah_110" TargetMode="External"/><Relationship Id="rId196" Type="http://schemas.openxmlformats.org/officeDocument/2006/relationships/hyperlink" Target="https://www.instagram.com/heyat_ansarolhojah_110?utm_source=ig_web_button_share_sheet&amp;igsh=ZDNlZDc0MzIxNw==" TargetMode="External"/><Relationship Id="rId195" Type="http://schemas.openxmlformats.org/officeDocument/2006/relationships/hyperlink" Target="https://t.me/masjedsajadnaein" TargetMode="External"/><Relationship Id="rId199" Type="http://schemas.openxmlformats.org/officeDocument/2006/relationships/hyperlink" Target="https://www.instagram.com/mjaliasghar_njf/" TargetMode="External"/><Relationship Id="rId150" Type="http://schemas.openxmlformats.org/officeDocument/2006/relationships/hyperlink" Target="https://www.instagram.com/astanshahreza?utm_source=ig_web_button_share_sheet&amp;igsh=ZDNlZDc0MzIxNw==" TargetMode="External"/><Relationship Id="rId149" Type="http://schemas.openxmlformats.org/officeDocument/2006/relationships/hyperlink" Target="https://eitaa.com/MahdeQuran_Shahreza" TargetMode="External"/><Relationship Id="rId148" Type="http://schemas.openxmlformats.org/officeDocument/2006/relationships/hyperlink" Target="https://eitaa.com/Aletaha_heyat" TargetMode="External"/><Relationship Id="rId143" Type="http://schemas.openxmlformats.org/officeDocument/2006/relationships/hyperlink" Target="https://t.me/fatemiyonmalekshahr" TargetMode="External"/><Relationship Id="rId142" Type="http://schemas.openxmlformats.org/officeDocument/2006/relationships/hyperlink" Target="https://www.instagram.com/mohebbin_info?utm_source=ig_web_button_share_sheet&amp;igsh=ZDNlZDc0MzIxNw==" TargetMode="External"/><Relationship Id="rId141" Type="http://schemas.openxmlformats.org/officeDocument/2006/relationships/hyperlink" Target="https://eitaa.com/ansarandarzgo" TargetMode="External"/><Relationship Id="rId140" Type="http://schemas.openxmlformats.org/officeDocument/2006/relationships/hyperlink" Target="https://www.instagram.com/heyathazratroghayeh84?utm_source=ig_web_button_share_sheet&amp;igsh=ZDNlZDc0MzIxNw==" TargetMode="External"/><Relationship Id="rId147" Type="http://schemas.openxmlformats.org/officeDocument/2006/relationships/hyperlink" Target="https://www.instagram.com/ansaralmahdishahinshahr?utm_source=ig_web_button_share_sheet&amp;igsh=ZDNlZDc0MzIxNw==" TargetMode="External"/><Relationship Id="rId146" Type="http://schemas.openxmlformats.org/officeDocument/2006/relationships/hyperlink" Target="https://www.instagram.com/heyat_panjtan_ale_aba?utm_source=ig_web_button_share_sheet&amp;igsh=ZDNlZDc0MzIxNw==" TargetMode="External"/><Relationship Id="rId145" Type="http://schemas.openxmlformats.org/officeDocument/2006/relationships/hyperlink" Target="https://www.instagram.com/a_sahebzaman?utm_source=ig_web_button_share_sheet&amp;igsh=ZDNlZDc0MzIxNw==" TargetMode="External"/><Relationship Id="rId144" Type="http://schemas.openxmlformats.org/officeDocument/2006/relationships/hyperlink" Target="https://www.instagram.com/mohebanaliakbar_ir?utm_source=ig_web_button_share_sheet&amp;igsh=ZDNlZDc0MzIxNw==" TargetMode="External"/><Relationship Id="rId139" Type="http://schemas.openxmlformats.org/officeDocument/2006/relationships/hyperlink" Target="https://www.instagram.com/maktab_almahdi59?utm_source=ig_web_button_share_sheet&amp;igsh=ZDNlZDc0MzIxNw==" TargetMode="External"/><Relationship Id="rId138" Type="http://schemas.openxmlformats.org/officeDocument/2006/relationships/hyperlink" Target="https://www.instagram.com/javanane_ashorayi?utm_source=ig_web_button_share_sheet&amp;igsh=ZDNlZDc0MzIxNw==" TargetMode="External"/><Relationship Id="rId137" Type="http://schemas.openxmlformats.org/officeDocument/2006/relationships/hyperlink" Target="https://t.me/Ashegan_saralah_rey" TargetMode="External"/><Relationship Id="rId132" Type="http://schemas.openxmlformats.org/officeDocument/2006/relationships/hyperlink" Target="https://www.instagram.com/seyed.all.shohada?utm_source=ig_web_button_share_sheet&amp;igsh=ZDNlZDc0MzIxNw==" TargetMode="External"/><Relationship Id="rId131" Type="http://schemas.openxmlformats.org/officeDocument/2006/relationships/hyperlink" Target="https://eitaa.com/ghamar_p" TargetMode="External"/><Relationship Id="rId130" Type="http://schemas.openxmlformats.org/officeDocument/2006/relationships/hyperlink" Target="https://www.instagram.com/heyat_ghamar315?utm_source=ig_web_button_share_sheet&amp;igsh=ZDNlZDc0MzIxNw==" TargetMode="External"/><Relationship Id="rId136" Type="http://schemas.openxmlformats.org/officeDocument/2006/relationships/hyperlink" Target="https://www.instagram.com/asheghan_saralh_rey?utm_source=ig_web_button_share_sheet&amp;igsh=ZDNlZDc0MzIxNw==" TargetMode="External"/><Relationship Id="rId135" Type="http://schemas.openxmlformats.org/officeDocument/2006/relationships/hyperlink" Target="https://www.instagram.com/rahrovane_abas?utm_source=ig_web_button_share_sheet&amp;igsh=ZDNlZDc0MzIxNw==" TargetMode="External"/><Relationship Id="rId134" Type="http://schemas.openxmlformats.org/officeDocument/2006/relationships/hyperlink" Target="https://www.instagram.com/heyat.mohebbanolhossein?utm_source=ig_web_button_share_sheet&amp;igsh=ZDNlZDc0MzIxNw==" TargetMode="External"/><Relationship Id="rId133" Type="http://schemas.openxmlformats.org/officeDocument/2006/relationships/hyperlink" Target="https://eitaa.com/HBSahebazzaman" TargetMode="External"/><Relationship Id="rId172" Type="http://schemas.openxmlformats.org/officeDocument/2006/relationships/hyperlink" Target="https://t.me/m_shohada_pakdasht" TargetMode="External"/><Relationship Id="rId171" Type="http://schemas.openxmlformats.org/officeDocument/2006/relationships/hyperlink" Target="https://www.instagram.com/m.shohada.ir?utm_source=ig_web_button_share_sheet&amp;igsh=ZDNlZDc0MzIxNw==" TargetMode="External"/><Relationship Id="rId170" Type="http://schemas.openxmlformats.org/officeDocument/2006/relationships/hyperlink" Target="https://eitaa.com/heiatoshagh" TargetMode="External"/><Relationship Id="rId165" Type="http://schemas.openxmlformats.org/officeDocument/2006/relationships/hyperlink" Target="https://eitaa.com/oshaqalvelayah_kaums" TargetMode="External"/><Relationship Id="rId164" Type="http://schemas.openxmlformats.org/officeDocument/2006/relationships/hyperlink" Target="https://t.me/oshaqalvelayah_kaums" TargetMode="External"/><Relationship Id="rId163" Type="http://schemas.openxmlformats.org/officeDocument/2006/relationships/hyperlink" Target="https://www.instagram.com/heyatkaums?utm_source=ig_web_button_share_sheet&amp;igsh=ZDNlZDc0MzIxNw==" TargetMode="External"/><Relationship Id="rId162" Type="http://schemas.openxmlformats.org/officeDocument/2006/relationships/hyperlink" Target="https://www.instagram.com/hojatol_eslam?utm_source=ig_web_button_share_sheet&amp;igsh=ZDNlZDc0MzIxNw==" TargetMode="External"/><Relationship Id="rId169" Type="http://schemas.openxmlformats.org/officeDocument/2006/relationships/hyperlink" Target="https://www.instagram.com/kheimegahe_zerenjan?utm_source=ig_web_button_share_sheet&amp;igsh=ZDNlZDc0MzIxNw==" TargetMode="External"/><Relationship Id="rId168" Type="http://schemas.openxmlformats.org/officeDocument/2006/relationships/hyperlink" Target="https://www.instagram.com/h.mosiebnjafar?utm_source=ig_web_button_share_sheet&amp;igsh=ZDNlZDc0MzIxNw==" TargetMode="External"/><Relationship Id="rId167" Type="http://schemas.openxmlformats.org/officeDocument/2006/relationships/hyperlink" Target="https://www.instagram.com/heyat_fatemiyon81?utm_source=ig_web_button_share_sheet&amp;igsh=ZDNlZDc0MzIxNw==" TargetMode="External"/><Relationship Id="rId166" Type="http://schemas.openxmlformats.org/officeDocument/2006/relationships/hyperlink" Target="https://www.instagram.com/heyat.asheghan.sarallah?utm_source=ig_web_button_share_sheet&amp;igsh=ZDNlZDc0MzIxNw==" TargetMode="External"/><Relationship Id="rId161" Type="http://schemas.openxmlformats.org/officeDocument/2006/relationships/hyperlink" Target="https://www.instagram.com/h_oshaghalzahra_kashan/" TargetMode="External"/><Relationship Id="rId160" Type="http://schemas.openxmlformats.org/officeDocument/2006/relationships/hyperlink" Target="https://l.instagram.com/?u=http%3A%2F%2Ft.me%2Fjannat_al_abbas%2F%3Ffbclid%3DPAZXh0bgNhZW0CMTEAAafiLu-Wf2W1h5vn7keEecJTbx5jM6gJoRTpK7iseNuTWBPcINlf27TZftq89A_aem_Ia10gqfgX3uLKysuJGKQ-g&amp;e=AT32xalTdegbsoJiytJsMzvFMUJxE-XWxzJCWq6oLMoc_aZ6AewmhaN2fSb8AluN355_HGn0hMpaafe6lOjeElTHvAS8Gg51vE0O1Ei5Mg" TargetMode="External"/><Relationship Id="rId159" Type="http://schemas.openxmlformats.org/officeDocument/2006/relationships/hyperlink" Target="https://www.instagram.com/janat.al.abbas/" TargetMode="External"/><Relationship Id="rId154" Type="http://schemas.openxmlformats.org/officeDocument/2006/relationships/hyperlink" Target="https://eitaa.com/kanoonghadir_tiran" TargetMode="External"/><Relationship Id="rId153" Type="http://schemas.openxmlformats.org/officeDocument/2006/relationships/hyperlink" Target="https://eitaa.com/farhangihozeh" TargetMode="External"/><Relationship Id="rId152" Type="http://schemas.openxmlformats.org/officeDocument/2006/relationships/hyperlink" Target="https://eitaa.com/heyatjavodolaeme" TargetMode="External"/><Relationship Id="rId151" Type="http://schemas.openxmlformats.org/officeDocument/2006/relationships/hyperlink" Target="https://t.me/shaahreza_ir" TargetMode="External"/><Relationship Id="rId158" Type="http://schemas.openxmlformats.org/officeDocument/2006/relationships/hyperlink" Target="https://www.instagram.com/hasanjanir/" TargetMode="External"/><Relationship Id="rId157" Type="http://schemas.openxmlformats.org/officeDocument/2006/relationships/hyperlink" Target="https://l.instagram.com/?u=http%3A%2F%2Ftlgrm.me%2Femamayn%3Ffbclid%3DPAZXh0bgNhZW0CMTEAAaf_YnGIy4IiZHBAO1y7oKzMeiT3NA8PzOb3I3rQKe7gQyHzAG0NEM1DCq_glw_aem_F5Wm536VlrgoAZSuCYFMlA&amp;e=AT0-kjHSZQhyzsV9bpavXAqyuTh02GlN_KobMr_pwY3uPtzTxS_TS5o0HU82kZoKSJtopgUAgoGh_kzr3PkBAz8KUnMAGbtsnKuDgTUeDA" TargetMode="External"/><Relationship Id="rId156" Type="http://schemas.openxmlformats.org/officeDocument/2006/relationships/hyperlink" Target="https://www.instagram.com/emamayn/" TargetMode="External"/><Relationship Id="rId155" Type="http://schemas.openxmlformats.org/officeDocument/2006/relationships/hyperlink" Target="https://www.instagram.com/h_gamarbanihashem?utm_source=ig_web_button_share_sheet&amp;igsh=ZDNlZDc0MzIxNw==" TargetMode="External"/><Relationship Id="rId107" Type="http://schemas.openxmlformats.org/officeDocument/2006/relationships/hyperlink" Target="https://t.me/montazeranemahdiaj" TargetMode="External"/><Relationship Id="rId106" Type="http://schemas.openxmlformats.org/officeDocument/2006/relationships/hyperlink" Target="https://www.instagram.com/montazeranemahdiaj?utm_source=ig_web_button_share_sheet&amp;igsh=ZDNlZDc0MzIxNw==" TargetMode="External"/><Relationship Id="rId105" Type="http://schemas.openxmlformats.org/officeDocument/2006/relationships/hyperlink" Target="https://eitaa.com/Heyat_fatemiun_esferenjan" TargetMode="External"/><Relationship Id="rId104" Type="http://schemas.openxmlformats.org/officeDocument/2006/relationships/hyperlink" Target="https://www.instagram.com/mohebban_m?utm_source=ig_web_button_share_sheet&amp;igsh=ZDNlZDc0MzIxNw==" TargetMode="External"/><Relationship Id="rId109" Type="http://schemas.openxmlformats.org/officeDocument/2006/relationships/hyperlink" Target="https://eitaa.com/salman_isf" TargetMode="External"/><Relationship Id="rId108" Type="http://schemas.openxmlformats.org/officeDocument/2006/relationships/hyperlink" Target="https://www.instagram.com/salman.isf" TargetMode="External"/><Relationship Id="rId103" Type="http://schemas.openxmlformats.org/officeDocument/2006/relationships/hyperlink" Target="https://t.me/ansaralmahdi_lapouei" TargetMode="External"/><Relationship Id="rId102" Type="http://schemas.openxmlformats.org/officeDocument/2006/relationships/hyperlink" Target="https://www.instagram.com/ansaralmahdi_lapouei?utm_source=ig_web_button_share_sheet&amp;igsh=ZDNlZDc0MzIxNw==" TargetMode="External"/><Relationship Id="rId101" Type="http://schemas.openxmlformats.org/officeDocument/2006/relationships/hyperlink" Target="https://eitaa.com/ravabetesf1" TargetMode="External"/><Relationship Id="rId100" Type="http://schemas.openxmlformats.org/officeDocument/2006/relationships/hyperlink" Target="https://t.me/heyat_abalfazliaran" TargetMode="External"/><Relationship Id="rId129" Type="http://schemas.openxmlformats.org/officeDocument/2006/relationships/hyperlink" Target="https://eitaa.com/hozehimamsadeq" TargetMode="External"/><Relationship Id="rId128" Type="http://schemas.openxmlformats.org/officeDocument/2006/relationships/hyperlink" Target="https://www.instagram.com/heiat.maktabol.abbas?utm_source=ig_web_button_share_sheet&amp;igsh=ZDNlZDc0MzIxNw==" TargetMode="External"/><Relationship Id="rId127" Type="http://schemas.openxmlformats.org/officeDocument/2006/relationships/hyperlink" Target="https://www.instagram.com/babal_havaej1?utm_source=ig_web_button_share_sheet&amp;igsh=ZDNlZDc0MzIxNw==" TargetMode="External"/><Relationship Id="rId126" Type="http://schemas.openxmlformats.org/officeDocument/2006/relationships/hyperlink" Target="https://www.instagram.com/heyat_musabnejafar?utm_source=ig_web_button_share_sheet&amp;igsh=ZDNlZDc0MzIxNw==" TargetMode="External"/><Relationship Id="rId121" Type="http://schemas.openxmlformats.org/officeDocument/2006/relationships/hyperlink" Target="https://www.instagram.com/razavi_q?utm_source=ig_web_button_share_sheet&amp;igsh=ZDNlZDc0MzIxNw==" TargetMode="External"/><Relationship Id="rId120" Type="http://schemas.openxmlformats.org/officeDocument/2006/relationships/hyperlink" Target="https://eitaa.com/nahadazadesf" TargetMode="External"/><Relationship Id="rId125" Type="http://schemas.openxmlformats.org/officeDocument/2006/relationships/hyperlink" Target="https://eitaa.com/mahfelimamreza" TargetMode="External"/><Relationship Id="rId124" Type="http://schemas.openxmlformats.org/officeDocument/2006/relationships/hyperlink" Target="https://www.instagram.com/maktabolreza184?utm_source=ig_web_button_share_sheet&amp;igsh=ZDNlZDc0MzIxNw==" TargetMode="External"/><Relationship Id="rId123" Type="http://schemas.openxmlformats.org/officeDocument/2006/relationships/hyperlink" Target="https://t.me/Alamdar_hossain473" TargetMode="External"/><Relationship Id="rId122" Type="http://schemas.openxmlformats.org/officeDocument/2006/relationships/hyperlink" Target="https://www.instagram.com/alamdarhossein473?utm_source=ig_web_button_share_sheet&amp;igsh=ZDNlZDc0MzIxNw==" TargetMode="External"/><Relationship Id="rId118" Type="http://schemas.openxmlformats.org/officeDocument/2006/relationships/hyperlink" Target="https://www.instagram.com/mokebyousofezahra?utm_source=ig_web_button_share_sheet&amp;igsh=ZDNlZDc0MzIxNw==" TargetMode="External"/><Relationship Id="rId117" Type="http://schemas.openxmlformats.org/officeDocument/2006/relationships/hyperlink" Target="https://www.instagram.com/heyat_emamhasan_askari?utm_source=ig_web_button_share_sheet&amp;igsh=ZDNlZDc0MzIxNw==" TargetMode="External"/><Relationship Id="rId116" Type="http://schemas.openxmlformats.org/officeDocument/2006/relationships/hyperlink" Target="https://www.instagram.com/board12998?utm_source=ig_web_button_share_sheet&amp;igsh=ZDNlZDc0MzIxNw==" TargetMode="External"/><Relationship Id="rId115" Type="http://schemas.openxmlformats.org/officeDocument/2006/relationships/hyperlink" Target="https://www.instagram.com/saheb_alzaman_heyat?utm_source=ig_web_button_share_sheet&amp;igsh=ZDNlZDc0MzIxNw==" TargetMode="External"/><Relationship Id="rId119" Type="http://schemas.openxmlformats.org/officeDocument/2006/relationships/hyperlink" Target="https://www.instagram.com/kheirestan?utm_source=ig_web_button_share_sheet&amp;igsh=ZDNlZDc0MzIxNw==" TargetMode="External"/><Relationship Id="rId110" Type="http://schemas.openxmlformats.org/officeDocument/2006/relationships/hyperlink" Target="https://www.instagram.com/moheban_hoseyn128?utm_source=ig_web_button_share_sheet&amp;igsh=ZDNlZDc0MzIxNw==" TargetMode="External"/><Relationship Id="rId114" Type="http://schemas.openxmlformats.org/officeDocument/2006/relationships/hyperlink" Target="https://eitaa.com/kanon_motahari_razan" TargetMode="External"/><Relationship Id="rId113" Type="http://schemas.openxmlformats.org/officeDocument/2006/relationships/hyperlink" Target="https://www.instagram.com/masjed_hazratghaem?utm_source=ig_web_button_share_sheet&amp;igsh=ZDNlZDc0MzIxNw==" TargetMode="External"/><Relationship Id="rId112" Type="http://schemas.openxmlformats.org/officeDocument/2006/relationships/hyperlink" Target="https://www.instagram.com/heyat_mohebban_almahdi?utm_source=ig_web_button_share_sheet&amp;igsh=ZDNlZDc0MzIxNw==" TargetMode="External"/><Relationship Id="rId111" Type="http://schemas.openxmlformats.org/officeDocument/2006/relationships/hyperlink" Target="https://www.instagram.com/heyyat_hazrat_abalfazl?utm_source=ig_web_button_share_sheet&amp;igsh=ZDNlZDc0MzIxNw==" TargetMode="External"/><Relationship Id="rId392" Type="http://schemas.openxmlformats.org/officeDocument/2006/relationships/hyperlink" Target="https://www.instagram.com/yaran_mehdi1400?utm_source=ig_web_button_share_sheet&amp;igsh=ZDNlZDc0MzIxNw==" TargetMode="External"/><Relationship Id="rId391" Type="http://schemas.openxmlformats.org/officeDocument/2006/relationships/hyperlink" Target="https://eitaa.com/narjes_khatoon59" TargetMode="External"/><Relationship Id="rId390" Type="http://schemas.openxmlformats.org/officeDocument/2006/relationships/hyperlink" Target="https://eitaa.com/Kousariye_channel" TargetMode="External"/><Relationship Id="rId385" Type="http://schemas.openxmlformats.org/officeDocument/2006/relationships/hyperlink" Target="https://eitaa.com/jannat_shohada" TargetMode="External"/><Relationship Id="rId384" Type="http://schemas.openxmlformats.org/officeDocument/2006/relationships/hyperlink" Target="https://www.instagram.com/zeynabioon_kashan/" TargetMode="External"/><Relationship Id="rId383" Type="http://schemas.openxmlformats.org/officeDocument/2006/relationships/hyperlink" Target="https://eitaa.com/NJF313" TargetMode="External"/><Relationship Id="rId382" Type="http://schemas.openxmlformats.org/officeDocument/2006/relationships/hyperlink" Target="https://www.instagram.com/heyat_alamdar_99?utm_source=ig_web_button_share_sheet&amp;igsh=ZDNlZDc0MzIxNw==" TargetMode="External"/><Relationship Id="rId389" Type="http://schemas.openxmlformats.org/officeDocument/2006/relationships/hyperlink" Target="https://eitaa.com/reyhanatonnabi" TargetMode="External"/><Relationship Id="rId388" Type="http://schemas.openxmlformats.org/officeDocument/2006/relationships/hyperlink" Target="https://eitaa.com/yazahra_esf" TargetMode="External"/><Relationship Id="rId387" Type="http://schemas.openxmlformats.org/officeDocument/2006/relationships/hyperlink" Target="https://www.instagram.com/yazahra_isf/?utm_source=ig_web_button_share_sheet" TargetMode="External"/><Relationship Id="rId386" Type="http://schemas.openxmlformats.org/officeDocument/2006/relationships/hyperlink" Target="https://www.instagram.com/forat.info/" TargetMode="External"/><Relationship Id="rId381" Type="http://schemas.openxmlformats.org/officeDocument/2006/relationships/hyperlink" Target="https://eitaa.com/Qasem_ibn_Hasan" TargetMode="External"/><Relationship Id="rId380" Type="http://schemas.openxmlformats.org/officeDocument/2006/relationships/hyperlink" Target="https://www.instagram.com/qasem_ibn_hasan?utm_source=ig_web_button_share_sheet&amp;igsh=ZDNlZDc0MzIxNw==" TargetMode="External"/><Relationship Id="rId379" Type="http://schemas.openxmlformats.org/officeDocument/2006/relationships/hyperlink" Target="https://eitaa.com/sahebalzaman_313" TargetMode="External"/><Relationship Id="rId374" Type="http://schemas.openxmlformats.org/officeDocument/2006/relationships/hyperlink" Target="https://www.instagram.com/rozatolzeinabb?utm_source=ig_web_button_share_sheet&amp;igsh=ZDNlZDc0MzIxNw==" TargetMode="External"/><Relationship Id="rId373" Type="http://schemas.openxmlformats.org/officeDocument/2006/relationships/hyperlink" Target="https://eitaa.com/raayatozzahra1" TargetMode="External"/><Relationship Id="rId372" Type="http://schemas.openxmlformats.org/officeDocument/2006/relationships/hyperlink" Target="https://t.me/Raayatozzahra" TargetMode="External"/><Relationship Id="rId371" Type="http://schemas.openxmlformats.org/officeDocument/2006/relationships/hyperlink" Target="https://www.instagram.com/raayatozzahra?utm_source=ig_web_button_share_sheet&amp;igsh=ZDNlZDc0MzIxNw==" TargetMode="External"/><Relationship Id="rId378" Type="http://schemas.openxmlformats.org/officeDocument/2006/relationships/hyperlink" Target="https://eitaa.com/maktabolabas_118" TargetMode="External"/><Relationship Id="rId377" Type="http://schemas.openxmlformats.org/officeDocument/2006/relationships/hyperlink" Target="https://www.instagram.com/heyat_masjed_jame?utm_source=ig_web_button_share_sheet&amp;igsh=ZDNlZDc0MzIxNw==" TargetMode="External"/><Relationship Id="rId376" Type="http://schemas.openxmlformats.org/officeDocument/2006/relationships/hyperlink" Target="https://www.instagram.com/inst_imamreza_lenjan?utm_source=ig_web_button_share_sheet&amp;igsh=ZDNlZDc0MzIxNw==" TargetMode="External"/><Relationship Id="rId375" Type="http://schemas.openxmlformats.org/officeDocument/2006/relationships/hyperlink" Target="https://t.me/rozatolzeinabb" TargetMode="External"/><Relationship Id="rId396" Type="http://schemas.openxmlformats.org/officeDocument/2006/relationships/hyperlink" Target="https://eitaa.com/Heyatsolalatonabi" TargetMode="External"/><Relationship Id="rId395" Type="http://schemas.openxmlformats.org/officeDocument/2006/relationships/hyperlink" Target="https://t.me/fatemieh1375" TargetMode="External"/><Relationship Id="rId394" Type="http://schemas.openxmlformats.org/officeDocument/2006/relationships/hyperlink" Target="https://www.instagram.com/fatemieh1375?utm_source=ig_web_button_share_sheet&amp;igsh=ZDNlZDc0MzIxNw==" TargetMode="External"/><Relationship Id="rId393" Type="http://schemas.openxmlformats.org/officeDocument/2006/relationships/hyperlink" Target="https://www.instagram.com/maktabazzahra?utm_source=ig_web_button_share_sheet&amp;igsh=ZDNlZDc0MzIxNw==" TargetMode="External"/><Relationship Id="rId399" Type="http://schemas.openxmlformats.org/officeDocument/2006/relationships/hyperlink" Target="https://www.instagram.com/aleyasin_page?utm_source=ig_web_button_share_sheet&amp;igsh=ZDNlZDc0MzIxNw==" TargetMode="External"/><Relationship Id="rId398" Type="http://schemas.openxmlformats.org/officeDocument/2006/relationships/hyperlink" Target="https://eitaa.com/hpmahdi2" TargetMode="External"/><Relationship Id="rId397" Type="http://schemas.openxmlformats.org/officeDocument/2006/relationships/hyperlink" Target="https://www.instagram.com/hpmahdi2?utm_source=ig_web_button_share_sheet&amp;igsh=ZDNlZDc0MzIxNw==" TargetMode="External"/><Relationship Id="rId40" Type="http://schemas.openxmlformats.org/officeDocument/2006/relationships/hyperlink" Target="https://www.instagram.com/bonyadbaghyatallah?utm_source=ig_web_button_share_sheet&amp;igsh=ZDNlZDc0MzIxNw==" TargetMode="External"/><Relationship Id="rId42" Type="http://schemas.openxmlformats.org/officeDocument/2006/relationships/hyperlink" Target="https://www.instagram.com/hoseinjan.182?utm_source=ig_web_button_share_sheet&amp;igsh=ZDNlZDc0MzIxNw==" TargetMode="External"/><Relationship Id="rId41" Type="http://schemas.openxmlformats.org/officeDocument/2006/relationships/hyperlink" Target="https://www.instagram.com/heiat_ghamar_banihashem_es?utm_source=ig_web_button_share_sheet&amp;igsh=ZDNlZDc0MzIxNw==" TargetMode="External"/><Relationship Id="rId44" Type="http://schemas.openxmlformats.org/officeDocument/2006/relationships/hyperlink" Target="https://eitaa.com/hoseinjan182" TargetMode="External"/><Relationship Id="rId43" Type="http://schemas.openxmlformats.org/officeDocument/2006/relationships/hyperlink" Target="https://t.me/hoseinjan182" TargetMode="External"/><Relationship Id="rId46" Type="http://schemas.openxmlformats.org/officeDocument/2006/relationships/hyperlink" Target="https://eitaa.com/ghaamabnhasn" TargetMode="External"/><Relationship Id="rId45" Type="http://schemas.openxmlformats.org/officeDocument/2006/relationships/hyperlink" Target="https://www.instagram.com/beynolharamein_esf?utm_source=ig_web_button_share_sheet&amp;igsh=ZDNlZDc0MzIxNw==" TargetMode="External"/><Relationship Id="rId48" Type="http://schemas.openxmlformats.org/officeDocument/2006/relationships/hyperlink" Target="https://www.instagram.com/maktab_almahdi.99?utm_source=ig_web_button_share_sheet&amp;igsh=ZDNlZDc0MzIxNw==" TargetMode="External"/><Relationship Id="rId47" Type="http://schemas.openxmlformats.org/officeDocument/2006/relationships/hyperlink" Target="https://www.instagram.com/heyate_aliebne_abitaleb?utm_source=ig_web_button_share_sheet&amp;igsh=ZDNlZDc0MzIxNw==" TargetMode="External"/><Relationship Id="rId49" Type="http://schemas.openxmlformats.org/officeDocument/2006/relationships/hyperlink" Target="https://www.instagram.com/h_hazratealiakbar?utm_source=ig_web_button_share_sheet&amp;igsh=ZDNlZDc0MzIxNw==" TargetMode="External"/><Relationship Id="rId31" Type="http://schemas.openxmlformats.org/officeDocument/2006/relationships/hyperlink" Target="https://www.instagram.com/asemaniha_ir?utm_source=ig_web_button_share_sheet&amp;igsh=ZDNlZDc0MzIxNw==" TargetMode="External"/><Relationship Id="rId30" Type="http://schemas.openxmlformats.org/officeDocument/2006/relationships/hyperlink" Target="https://www.instagram.com/qods_charity?utm_source=ig_web_button_share_sheet&amp;igsh=ZDNlZDc0MzIxNw==" TargetMode="External"/><Relationship Id="rId33" Type="http://schemas.openxmlformats.org/officeDocument/2006/relationships/hyperlink" Target="https://eitaa.com/abolfazl_1345" TargetMode="External"/><Relationship Id="rId32" Type="http://schemas.openxmlformats.org/officeDocument/2006/relationships/hyperlink" Target="https://www.instagram.com/heatabolfazlvazvan/?utm_source=ig_web_button_share_sheet" TargetMode="External"/><Relationship Id="rId35" Type="http://schemas.openxmlformats.org/officeDocument/2006/relationships/hyperlink" Target="https://www.instagram.com/goole_narges95?utm_source=ig_web_button_share_sheet&amp;igsh=ZDNlZDc0MzIxNw==" TargetMode="External"/><Relationship Id="rId34" Type="http://schemas.openxmlformats.org/officeDocument/2006/relationships/hyperlink" Target="https://eitaa.com/sahebalzaman_mosque" TargetMode="External"/><Relationship Id="rId37" Type="http://schemas.openxmlformats.org/officeDocument/2006/relationships/hyperlink" Target="https://www.instagram.com/darosalam_esf?utm_source=ig_web_button_share_sheet&amp;igsh=ZDNlZDc0MzIxNw==" TargetMode="External"/><Relationship Id="rId36" Type="http://schemas.openxmlformats.org/officeDocument/2006/relationships/hyperlink" Target="https://www.instagram.com/heyatehazrateghaem?utm_source=ig_web_button_share_sheet&amp;igsh=ZDNlZDc0MzIxNw==" TargetMode="External"/><Relationship Id="rId39" Type="http://schemas.openxmlformats.org/officeDocument/2006/relationships/hyperlink" Target="https://eitaa.com/Bmjar_ir" TargetMode="External"/><Relationship Id="rId38" Type="http://schemas.openxmlformats.org/officeDocument/2006/relationships/hyperlink" Target="https://www.instagram.com/yakarbala1001?utm_source=ig_web_button_share_sheet&amp;igsh=ZDNlZDc0MzIxNw==" TargetMode="External"/><Relationship Id="rId20" Type="http://schemas.openxmlformats.org/officeDocument/2006/relationships/hyperlink" Target="https://www.instagram.com/haroniieh/?hl=en" TargetMode="External"/><Relationship Id="rId22" Type="http://schemas.openxmlformats.org/officeDocument/2006/relationships/hyperlink" Target="https://www.instagram.com/mqebir?utm_source=ig_web_button_share_sheet&amp;igsh=ZDNlZDc0MzIxNw==" TargetMode="External"/><Relationship Id="rId21" Type="http://schemas.openxmlformats.org/officeDocument/2006/relationships/hyperlink" Target="https://t.me/haronieh" TargetMode="External"/><Relationship Id="rId24" Type="http://schemas.openxmlformats.org/officeDocument/2006/relationships/hyperlink" Target="https://t.me/ansaroolhosain" TargetMode="External"/><Relationship Id="rId23" Type="http://schemas.openxmlformats.org/officeDocument/2006/relationships/hyperlink" Target="https://www.instagram.com/ansarolhosain_ir/?utm_source=ig_web_button_share_sheet" TargetMode="External"/><Relationship Id="rId26" Type="http://schemas.openxmlformats.org/officeDocument/2006/relationships/hyperlink" Target="https://www.instagram.com/senjvadamam3?utm_source=ig_web_button_share_sheet&amp;igsh=ZDNlZDc0MzIxNw==" TargetMode="External"/><Relationship Id="rId25" Type="http://schemas.openxmlformats.org/officeDocument/2006/relationships/hyperlink" Target="https://eitaa.com/ansaroolhosain" TargetMode="External"/><Relationship Id="rId28" Type="http://schemas.openxmlformats.org/officeDocument/2006/relationships/hyperlink" Target="https://eitaa.com/mf_15khordad" TargetMode="External"/><Relationship Id="rId27" Type="http://schemas.openxmlformats.org/officeDocument/2006/relationships/hyperlink" Target="https://www.instagram.com/mf_15khordad/?utm_source=ig_web_button_share_sheet" TargetMode="External"/><Relationship Id="rId29" Type="http://schemas.openxmlformats.org/officeDocument/2006/relationships/hyperlink" Target="https://www.instagram.com/solale_ir?" TargetMode="External"/><Relationship Id="rId11" Type="http://schemas.openxmlformats.org/officeDocument/2006/relationships/hyperlink" Target="https://www.instagram.com/alaviyoonisf/?hl=en" TargetMode="External"/><Relationship Id="rId10" Type="http://schemas.openxmlformats.org/officeDocument/2006/relationships/hyperlink" Target="https://eitaa.com/Fanousgroup_ir" TargetMode="External"/><Relationship Id="rId13" Type="http://schemas.openxmlformats.org/officeDocument/2006/relationships/hyperlink" Target="https://www.instagram.com/fadaeianhoseinir/?hl=en" TargetMode="External"/><Relationship Id="rId12" Type="http://schemas.openxmlformats.org/officeDocument/2006/relationships/hyperlink" Target="https://t.me/Alaviyoonisf" TargetMode="External"/><Relationship Id="rId15" Type="http://schemas.openxmlformats.org/officeDocument/2006/relationships/hyperlink" Target="https://www.instagram.com/m.baraniha/" TargetMode="External"/><Relationship Id="rId14" Type="http://schemas.openxmlformats.org/officeDocument/2006/relationships/hyperlink" Target="https://eitaa.com/fadaeianhoseinir" TargetMode="External"/><Relationship Id="rId17" Type="http://schemas.openxmlformats.org/officeDocument/2006/relationships/hyperlink" Target="https://eitaa.com/razmandegantiran" TargetMode="External"/><Relationship Id="rId16" Type="http://schemas.openxmlformats.org/officeDocument/2006/relationships/hyperlink" Target="https://www.instagram.com/yarane_khorshid/" TargetMode="External"/><Relationship Id="rId19" Type="http://schemas.openxmlformats.org/officeDocument/2006/relationships/hyperlink" Target="https://t.me/Beheshtyian" TargetMode="External"/><Relationship Id="rId18" Type="http://schemas.openxmlformats.org/officeDocument/2006/relationships/hyperlink" Target="https://www.instagram.com/beheshtyian?igsh=MW5jMWZkMTludHlwbA%3D%3D" TargetMode="External"/><Relationship Id="rId84" Type="http://schemas.openxmlformats.org/officeDocument/2006/relationships/hyperlink" Target="https://eitaa.com/amirebayanesf" TargetMode="External"/><Relationship Id="rId83" Type="http://schemas.openxmlformats.org/officeDocument/2006/relationships/hyperlink" Target="https://www.instagram.com/hazratghasem_94?utm_source=ig_web_button_share_sheet&amp;igsh=ZDNlZDc0MzIxNw==" TargetMode="External"/><Relationship Id="rId86" Type="http://schemas.openxmlformats.org/officeDocument/2006/relationships/hyperlink" Target="https://eitaa.com/aheyatiha_ir" TargetMode="External"/><Relationship Id="rId85" Type="http://schemas.openxmlformats.org/officeDocument/2006/relationships/hyperlink" Target="https://www.instagram.com/mokeb_aleyasin?utm_source=ig_web_button_share_sheet&amp;igsh=ZDNlZDc0MzIxNw==" TargetMode="External"/><Relationship Id="rId88" Type="http://schemas.openxmlformats.org/officeDocument/2006/relationships/hyperlink" Target="https://www.instagram.com/heyat_rezaie_kashan?utm_source=ig_web_button_share_sheet&amp;igsh=ZDNlZDc0MzIxNw==" TargetMode="External"/><Relationship Id="rId87" Type="http://schemas.openxmlformats.org/officeDocument/2006/relationships/hyperlink" Target="https://www.instagram.com/maktabalabbas313?utm_source=ig_web_button_share_sheet&amp;igsh=ZDNlZDc0MzIxNw==" TargetMode="External"/><Relationship Id="rId89" Type="http://schemas.openxmlformats.org/officeDocument/2006/relationships/hyperlink" Target="https://t.me/heyat_rezaie_kashan" TargetMode="External"/><Relationship Id="rId80" Type="http://schemas.openxmlformats.org/officeDocument/2006/relationships/hyperlink" Target="https://eitaa.com/heiatefatematozahra" TargetMode="External"/><Relationship Id="rId82" Type="http://schemas.openxmlformats.org/officeDocument/2006/relationships/hyperlink" Target="https://www.instagram.com/saelanelhossein?utm_source=ig_web_button_share_sheet&amp;igsh=ZDNlZDc0MzIxNw==" TargetMode="External"/><Relationship Id="rId81" Type="http://schemas.openxmlformats.org/officeDocument/2006/relationships/hyperlink" Target="https://eitaa.com/pnuesf_nahad_ir" TargetMode="External"/><Relationship Id="rId73" Type="http://schemas.openxmlformats.org/officeDocument/2006/relationships/hyperlink" Target="https://www.instagram.com/majmaiha?utm_source=ig_web_button_share_sheet&amp;igsh=ZDNlZDc0MzIxNw==" TargetMode="External"/><Relationship Id="rId72" Type="http://schemas.openxmlformats.org/officeDocument/2006/relationships/hyperlink" Target="https://t.me/hiyatbachehaeenghelab" TargetMode="External"/><Relationship Id="rId75" Type="http://schemas.openxmlformats.org/officeDocument/2006/relationships/hyperlink" Target="https://eitaa.com/joinchat/2858287332Cbde5fce19c" TargetMode="External"/><Relationship Id="rId74" Type="http://schemas.openxmlformats.org/officeDocument/2006/relationships/hyperlink" Target="https://www.instagram.com/masjed.mesri?utm_source=ig_web_button_share_sheet&amp;igsh=ZDNlZDc0MzIxNw==" TargetMode="External"/><Relationship Id="rId77" Type="http://schemas.openxmlformats.org/officeDocument/2006/relationships/hyperlink" Target="https://www.instagram.com/fatemiyejoshoghaniha?utm_source=ig_web_button_share_sheet&amp;igsh=ZDNlZDc0MzIxNw==" TargetMode="External"/><Relationship Id="rId76" Type="http://schemas.openxmlformats.org/officeDocument/2006/relationships/hyperlink" Target="https://www.instagram.com/tawashih_tasnim?utm_source=ig_web_button_share_sheet&amp;igsh=ZDNlZDc0MzIxNw==" TargetMode="External"/><Relationship Id="rId79" Type="http://schemas.openxmlformats.org/officeDocument/2006/relationships/hyperlink" Target="https://www.instagram.com/banovan_fatemii?utm_source=ig_web_button_share_sheet&amp;igsh=ZDNlZDc0MzIxNw==" TargetMode="External"/><Relationship Id="rId78" Type="http://schemas.openxmlformats.org/officeDocument/2006/relationships/hyperlink" Target="https://t.me/heyatefatemieh133" TargetMode="External"/><Relationship Id="rId71" Type="http://schemas.openxmlformats.org/officeDocument/2006/relationships/hyperlink" Target="https://www.instagram.com/bachehaye.enghelab?utm_source=ig_web_button_share_sheet&amp;igsh=ZDNlZDc0MzIxNw==" TargetMode="External"/><Relationship Id="rId70" Type="http://schemas.openxmlformats.org/officeDocument/2006/relationships/hyperlink" Target="https://www.instagram.com/yasesf133?utm_source=ig_web_button_share_sheet&amp;igsh=ZDNlZDc0MzIxNw==" TargetMode="External"/><Relationship Id="rId62" Type="http://schemas.openxmlformats.org/officeDocument/2006/relationships/hyperlink" Target="https://eitaa.com/aeme_baqiii" TargetMode="External"/><Relationship Id="rId61" Type="http://schemas.openxmlformats.org/officeDocument/2006/relationships/hyperlink" Target="https://t.me/aeme_baqii" TargetMode="External"/><Relationship Id="rId64" Type="http://schemas.openxmlformats.org/officeDocument/2006/relationships/hyperlink" Target="https://www.instagram.com/moslemie_esfahan" TargetMode="External"/><Relationship Id="rId63" Type="http://schemas.openxmlformats.org/officeDocument/2006/relationships/hyperlink" Target="https://www.instagram.com/moheban.isf?utm_source=ig_web_button_share_sheet&amp;igsh=ZDNlZDc0MzIxNw==" TargetMode="External"/><Relationship Id="rId66" Type="http://schemas.openxmlformats.org/officeDocument/2006/relationships/hyperlink" Target="https://www.instagram.com/masjed_emam_channel?utm_source=ig_web_button_share_sheet&amp;igsh=ZDNlZDc0MzIxNw==" TargetMode="External"/><Relationship Id="rId65" Type="http://schemas.openxmlformats.org/officeDocument/2006/relationships/hyperlink" Target="https://t.me/yamoslemie" TargetMode="External"/><Relationship Id="rId68" Type="http://schemas.openxmlformats.org/officeDocument/2006/relationships/hyperlink" Target="https://www.instagram.com/heiatbaghbadoran?utm_source=ig_web_button_share_sheet&amp;igsh=ZDNlZDc0MzIxNw==" TargetMode="External"/><Relationship Id="rId67" Type="http://schemas.openxmlformats.org/officeDocument/2006/relationships/hyperlink" Target="https://www.instagram.com/baghshan_farhangi313?utm_source=ig_web_button_share_sheet&amp;igsh=ZDNlZDc0MzIxNw==" TargetMode="External"/><Relationship Id="rId60" Type="http://schemas.openxmlformats.org/officeDocument/2006/relationships/hyperlink" Target="https://www.instagram.com/aeme_baqi?utm_source=ig_web_button_share_sheet&amp;igsh=ZDNlZDc0MzIxNw==" TargetMode="External"/><Relationship Id="rId69" Type="http://schemas.openxmlformats.org/officeDocument/2006/relationships/hyperlink" Target="https://eitaa.com/heiatbaghbadoran" TargetMode="External"/><Relationship Id="rId51" Type="http://schemas.openxmlformats.org/officeDocument/2006/relationships/hyperlink" Target="https://t.me/moheban_emamhasan" TargetMode="External"/><Relationship Id="rId50" Type="http://schemas.openxmlformats.org/officeDocument/2006/relationships/hyperlink" Target="https://www.instagram.com/moheban_emamhasan?utm_source=ig_web_button_share_sheet&amp;igsh=ZDNlZDc0MzIxNw==" TargetMode="External"/><Relationship Id="rId53" Type="http://schemas.openxmlformats.org/officeDocument/2006/relationships/hyperlink" Target="https://www.instagram.com/oshaghol_hossein1?utm_source=ig_web_button_share_sheet&amp;igsh=ZDNlZDc0MzIxNw==" TargetMode="External"/><Relationship Id="rId52" Type="http://schemas.openxmlformats.org/officeDocument/2006/relationships/hyperlink" Target="https://www.instagram.com/heyatmahdiyounesfahan?utm_source=ig_web_button_share_sheet&amp;igsh=ZDNlZDc0MzIxNw==" TargetMode="External"/><Relationship Id="rId55" Type="http://schemas.openxmlformats.org/officeDocument/2006/relationships/hyperlink" Target="https://www.instagram.com/saghaa1387?utm_source=ig_web_button_share_sheet&amp;igsh=ZDNlZDc0MzIxNw==" TargetMode="External"/><Relationship Id="rId54" Type="http://schemas.openxmlformats.org/officeDocument/2006/relationships/hyperlink" Target="https://eitaa.com/oshaghol_hossein1" TargetMode="External"/><Relationship Id="rId57" Type="http://schemas.openxmlformats.org/officeDocument/2006/relationships/hyperlink" Target="https://www.instagram.com/ansarolhojat313?utm_source=ig_web_button_share_sheet&amp;igsh=ZDNlZDc0MzIxNw==" TargetMode="External"/><Relationship Id="rId56" Type="http://schemas.openxmlformats.org/officeDocument/2006/relationships/hyperlink" Target="https://www.instagram.com/sahebalzaman.shahinshahr?utm_source=ig_web_button_share_sheet&amp;igsh=ZDNlZDc0MzIxNw==" TargetMode="External"/><Relationship Id="rId59" Type="http://schemas.openxmlformats.org/officeDocument/2006/relationships/hyperlink" Target="https://www.instagram.com/sahebalzaman_mosque?utm_source=ig_web_button_share_sheet&amp;igsh=ZDNlZDc0MzIxNw==" TargetMode="External"/><Relationship Id="rId58" Type="http://schemas.openxmlformats.org/officeDocument/2006/relationships/hyperlink" Target="https://t.me/ansarolhojat313" TargetMode="External"/><Relationship Id="rId349" Type="http://schemas.openxmlformats.org/officeDocument/2006/relationships/hyperlink" Target="https://www.instagram.com/maktab_hosein.shahreza?utm_source=ig_web_button_share_sheet&amp;igsh=ZDNlZDc0MzIxNw==" TargetMode="External"/><Relationship Id="rId348" Type="http://schemas.openxmlformats.org/officeDocument/2006/relationships/hyperlink" Target="https://www.instagram.com/h.ghasemebnlhasan_sp?utm_source=ig_web_button_share_sheet&amp;igsh=ZDNlZDc0MzIxNw==" TargetMode="External"/><Relationship Id="rId347" Type="http://schemas.openxmlformats.org/officeDocument/2006/relationships/hyperlink" Target="https://eitaa.com/fadaian_zeynab69" TargetMode="External"/><Relationship Id="rId346" Type="http://schemas.openxmlformats.org/officeDocument/2006/relationships/hyperlink" Target="https://www.instagram.com/fatemiyoon83?utm_source=ig_web_button_share_sheet&amp;igsh=ZDNlZDc0MzIxNw==" TargetMode="External"/><Relationship Id="rId341" Type="http://schemas.openxmlformats.org/officeDocument/2006/relationships/hyperlink" Target="https://www.instagram.com/mahdehghoran_ab?utm_source=ig_web_button_share_sheet&amp;igsh=ZDNlZDc0MzIxNw==" TargetMode="External"/><Relationship Id="rId340" Type="http://schemas.openxmlformats.org/officeDocument/2006/relationships/hyperlink" Target="https://eitaa.com/alamdar_khoor" TargetMode="External"/><Relationship Id="rId345" Type="http://schemas.openxmlformats.org/officeDocument/2006/relationships/hyperlink" Target="https://www.instagram.com/heyat_emamhasanaskari?utm_source=ig_web_button_share_sheet&amp;igsh=ZDNlZDc0MzIxNw==" TargetMode="External"/><Relationship Id="rId344" Type="http://schemas.openxmlformats.org/officeDocument/2006/relationships/hyperlink" Target="https://eitaa.com/hejs_m" TargetMode="External"/><Relationship Id="rId343" Type="http://schemas.openxmlformats.org/officeDocument/2006/relationships/hyperlink" Target="https://www.instagram.com/mofattehmedia?utm_source=ig_web_button_share_sheet&amp;igsh=ZDNlZDc0MzIxNw==" TargetMode="External"/><Relationship Id="rId342" Type="http://schemas.openxmlformats.org/officeDocument/2006/relationships/hyperlink" Target="https://www.instagram.com/janat_esfahan?utm_source=ig_web_button_share_sheet&amp;igsh=ZDNlZDc0MzIxNw==" TargetMode="External"/><Relationship Id="rId338" Type="http://schemas.openxmlformats.org/officeDocument/2006/relationships/hyperlink" Target="https://t.me/moheban_aliasghar_esfahan" TargetMode="External"/><Relationship Id="rId337" Type="http://schemas.openxmlformats.org/officeDocument/2006/relationships/hyperlink" Target="https://eitaa.com/maktabolhossein313archive" TargetMode="External"/><Relationship Id="rId336" Type="http://schemas.openxmlformats.org/officeDocument/2006/relationships/hyperlink" Target="https://eitaa.com/mohebanemamreza" TargetMode="External"/><Relationship Id="rId335" Type="http://schemas.openxmlformats.org/officeDocument/2006/relationships/hyperlink" Target="https://eitaa.com/heyat_javadolaeme77" TargetMode="External"/><Relationship Id="rId339" Type="http://schemas.openxmlformats.org/officeDocument/2006/relationships/hyperlink" Target="https://eitaa.com/chahardahmasomf" TargetMode="External"/><Relationship Id="rId330" Type="http://schemas.openxmlformats.org/officeDocument/2006/relationships/hyperlink" Target="https://eitaa.com/mohebinefatemeh135" TargetMode="External"/><Relationship Id="rId334" Type="http://schemas.openxmlformats.org/officeDocument/2006/relationships/hyperlink" Target="https://www.instagram.com/ya.hassan.118/?utm_source=ig_web_button_share_sheet" TargetMode="External"/><Relationship Id="rId333" Type="http://schemas.openxmlformats.org/officeDocument/2006/relationships/hyperlink" Target="https://eitaa.com/BonyadeAlmahdi" TargetMode="External"/><Relationship Id="rId332" Type="http://schemas.openxmlformats.org/officeDocument/2006/relationships/hyperlink" Target="https://eitaa.com/abasalehalmahdidorche" TargetMode="External"/><Relationship Id="rId331" Type="http://schemas.openxmlformats.org/officeDocument/2006/relationships/hyperlink" Target="https://www.instagram.com/abasaleh47?utm_source=ig_web_button_share_sheet&amp;igsh=ZDNlZDc0MzIxNw==" TargetMode="External"/><Relationship Id="rId370" Type="http://schemas.openxmlformats.org/officeDocument/2006/relationships/hyperlink" Target="https://www.instagram.com/heyatbanifateme_foladshahr?utm_source=ig_web_button_share_sheet&amp;igsh=ZDNlZDc0MzIxNw==" TargetMode="External"/><Relationship Id="rId369" Type="http://schemas.openxmlformats.org/officeDocument/2006/relationships/hyperlink" Target="https://www.instagram.com/maktab_alzahra_daran?utm_source=ig_web_button_share_sheet&amp;igsh=ZDNlZDc0MzIxNw==" TargetMode="External"/><Relationship Id="rId368" Type="http://schemas.openxmlformats.org/officeDocument/2006/relationships/hyperlink" Target="https://eitaa.com/mohebban_naein" TargetMode="External"/><Relationship Id="rId363" Type="http://schemas.openxmlformats.org/officeDocument/2006/relationships/hyperlink" Target="https://eitaa.com/fatemioneshahreza" TargetMode="External"/><Relationship Id="rId362" Type="http://schemas.openxmlformats.org/officeDocument/2006/relationships/hyperlink" Target="https://www.instagram.com/bab_al_javad" TargetMode="External"/><Relationship Id="rId361" Type="http://schemas.openxmlformats.org/officeDocument/2006/relationships/hyperlink" Target="https://t.me/monadiyankarbala110" TargetMode="External"/><Relationship Id="rId360" Type="http://schemas.openxmlformats.org/officeDocument/2006/relationships/hyperlink" Target="https://www.instagram.com/monadiankarbala?utm_source=ig_web_button_share_sheet&amp;igsh=ZDNlZDc0MzIxNw==" TargetMode="External"/><Relationship Id="rId367" Type="http://schemas.openxmlformats.org/officeDocument/2006/relationships/hyperlink" Target="https://t.me/mohebban_naein" TargetMode="External"/><Relationship Id="rId366" Type="http://schemas.openxmlformats.org/officeDocument/2006/relationships/hyperlink" Target="https://www.instagram.com/mohebanalaeme_naein?utm_source=ig_web_button_share_sheet&amp;igsh=ZDNlZDc0MzIxNw==" TargetMode="External"/><Relationship Id="rId365" Type="http://schemas.openxmlformats.org/officeDocument/2006/relationships/hyperlink" Target="https://eitaa.com/yazeinab_golpa" TargetMode="External"/><Relationship Id="rId364" Type="http://schemas.openxmlformats.org/officeDocument/2006/relationships/hyperlink" Target="https://www.instagram.com/kanoon.emam?utm_source=ig_web_button_share_sheet&amp;igsh=ZDNlZDc0MzIxNw==" TargetMode="External"/><Relationship Id="rId95" Type="http://schemas.openxmlformats.org/officeDocument/2006/relationships/hyperlink" Target="https://www.instagram.com/mohebanalmahdi_110?utm_source=ig_web_button_share_sheet&amp;igsh=ZDNlZDc0MzIxNw==" TargetMode="External"/><Relationship Id="rId94" Type="http://schemas.openxmlformats.org/officeDocument/2006/relationships/hyperlink" Target="https://eitaa.com/MOHEBAN_AL_ZAHRA" TargetMode="External"/><Relationship Id="rId97" Type="http://schemas.openxmlformats.org/officeDocument/2006/relationships/hyperlink" Target="https://www.instagram.com/heyateansaralmahdi?utm_source=ig_web_button_share_sheet&amp;igsh=ZDNlZDc0MzIxNw==" TargetMode="External"/><Relationship Id="rId96" Type="http://schemas.openxmlformats.org/officeDocument/2006/relationships/hyperlink" Target="https://t.me/mohebanalmahdi110" TargetMode="External"/><Relationship Id="rId99" Type="http://schemas.openxmlformats.org/officeDocument/2006/relationships/hyperlink" Target="https://www.instagram.com/haramtaharam?utm_source=ig_web_button_share_sheet&amp;igsh=ZDNlZDc0MzIxNw==" TargetMode="External"/><Relationship Id="rId98" Type="http://schemas.openxmlformats.org/officeDocument/2006/relationships/hyperlink" Target="https://www.instagram.com/heyat_emam.reza?utm_source=ig_web_button_share_sheet&amp;igsh=ZDNlZDc0MzIxNw==" TargetMode="External"/><Relationship Id="rId91" Type="http://schemas.openxmlformats.org/officeDocument/2006/relationships/hyperlink" Target="https://eitaa.com/hobesf" TargetMode="External"/><Relationship Id="rId90" Type="http://schemas.openxmlformats.org/officeDocument/2006/relationships/hyperlink" Target="https://eitaa.com/heyat_rezaie_kashan" TargetMode="External"/><Relationship Id="rId93" Type="http://schemas.openxmlformats.org/officeDocument/2006/relationships/hyperlink" Target="https://www.instagram.com/mohebanalzahra.isf?utm_source=ig_web_button_share_sheet&amp;igsh=ZDNlZDc0MzIxNw==" TargetMode="External"/><Relationship Id="rId92" Type="http://schemas.openxmlformats.org/officeDocument/2006/relationships/hyperlink" Target="https://www.instagram.com/music.hazratqasem_/?utm_source=ig_web_button_share_sheet" TargetMode="External"/><Relationship Id="rId359" Type="http://schemas.openxmlformats.org/officeDocument/2006/relationships/hyperlink" Target="https://eitaa.com/bicheragh118" TargetMode="External"/><Relationship Id="rId358" Type="http://schemas.openxmlformats.org/officeDocument/2006/relationships/hyperlink" Target="https://www.instagram.com/masjedefatemieh?utm_source=ig_web_button_share_sheet&amp;igsh=ZDNlZDc0MzIxNw==" TargetMode="External"/><Relationship Id="rId357" Type="http://schemas.openxmlformats.org/officeDocument/2006/relationships/hyperlink" Target="https://eitaa.com/jannatolmava" TargetMode="External"/><Relationship Id="rId352" Type="http://schemas.openxmlformats.org/officeDocument/2006/relationships/hyperlink" Target="https://www.instagram.com/noorolhoseyn?utm_source=ig_web_button_share_sheet&amp;igsh=ZDNlZDc0MzIxNw==" TargetMode="External"/><Relationship Id="rId351" Type="http://schemas.openxmlformats.org/officeDocument/2006/relationships/hyperlink" Target="https://t.me/asheghanabalfazlll" TargetMode="External"/><Relationship Id="rId350" Type="http://schemas.openxmlformats.org/officeDocument/2006/relationships/hyperlink" Target="https://www.instagram.com/asheghan.abalfazl?utm_source=ig_web_button_share_sheet&amp;igsh=ZDNlZDc0MzIxNw==" TargetMode="External"/><Relationship Id="rId356" Type="http://schemas.openxmlformats.org/officeDocument/2006/relationships/hyperlink" Target="https://t.me/jahadefarhangi313" TargetMode="External"/><Relationship Id="rId355" Type="http://schemas.openxmlformats.org/officeDocument/2006/relationships/hyperlink" Target="https://www.instagram.com/naslenghelab?utm_source=ig_web_button_share_sheet&amp;igsh=ZDNlZDc0MzIxNw==" TargetMode="External"/><Relationship Id="rId354" Type="http://schemas.openxmlformats.org/officeDocument/2006/relationships/hyperlink" Target="https://eitaa.com/panjtanallaba" TargetMode="External"/><Relationship Id="rId353" Type="http://schemas.openxmlformats.org/officeDocument/2006/relationships/hyperlink" Target="https://www.instagram.com/ansaralmahdi_sh?utm_source=ig_web_button_share_sheet&amp;igsh=ZDNlZDc0MzIxNw==" TargetMode="External"/><Relationship Id="rId305" Type="http://schemas.openxmlformats.org/officeDocument/2006/relationships/hyperlink" Target="https://www.instagram.com/oshagh_alheidar_kashan" TargetMode="External"/><Relationship Id="rId304" Type="http://schemas.openxmlformats.org/officeDocument/2006/relationships/hyperlink" Target="https://eitaa.com/Rahpoooyan" TargetMode="External"/><Relationship Id="rId303" Type="http://schemas.openxmlformats.org/officeDocument/2006/relationships/hyperlink" Target="https://eitaa.com/gharibmadine1" TargetMode="External"/><Relationship Id="rId302" Type="http://schemas.openxmlformats.org/officeDocument/2006/relationships/hyperlink" Target="https://www.instagram.com/gharibmadine1?utm_source=ig_web_button_share_sheet&amp;igsh=ZDNlZDc0MzIxNw==" TargetMode="External"/><Relationship Id="rId309" Type="http://schemas.openxmlformats.org/officeDocument/2006/relationships/hyperlink" Target="https://www.instagram.com/din.pazhohan?utm_source=ig_web_button_share_sheet&amp;igsh=ZDNlZDc0MzIxNw==" TargetMode="External"/><Relationship Id="rId308" Type="http://schemas.openxmlformats.org/officeDocument/2006/relationships/hyperlink" Target="https://www.instagram.com/ommolhasanein?utm_source=ig_web_button_share_sheet&amp;igsh=ZDNlZDc0MzIxNw==" TargetMode="External"/><Relationship Id="rId307" Type="http://schemas.openxmlformats.org/officeDocument/2006/relationships/hyperlink" Target="https://eitaa.com/oshaghalheidarkashan" TargetMode="External"/><Relationship Id="rId306" Type="http://schemas.openxmlformats.org/officeDocument/2006/relationships/hyperlink" Target="https://l.instagram.com/?u=http%3A%2F%2Ftlgram.in%2Fheiatnama_ir%3Ffbclid%3DPAZXh0bgNhZW0CMTEAAaea1PJ_3U77Y1glrKOH928QAJ2YN3x9iH1fOOxeKy1xWrb4O6odSeYUeF_9fw_aem_4p72zThqPhxUN2ENjs97dg&amp;e=AT1B97vZauev2YbKR53iRr7o4YcibVMT7uouadNRARXMaYJZWiBHTMPSwhqTgjg27JoPao5eR_NiTA-ruhV-ybuarWGJ1_O6aNnF8zJ-zA" TargetMode="External"/><Relationship Id="rId301" Type="http://schemas.openxmlformats.org/officeDocument/2006/relationships/hyperlink" Target="https://t.me/javanan_ansarolhosein_1393" TargetMode="External"/><Relationship Id="rId300" Type="http://schemas.openxmlformats.org/officeDocument/2006/relationships/hyperlink" Target="https://eitaa.com/ayene_ir" TargetMode="External"/><Relationship Id="rId327" Type="http://schemas.openxmlformats.org/officeDocument/2006/relationships/hyperlink" Target="https://eitaa.com/yadegaranir" TargetMode="External"/><Relationship Id="rId326" Type="http://schemas.openxmlformats.org/officeDocument/2006/relationships/hyperlink" Target="https://www.instagram.com/yadegaran_ir?utm_source=ig_web_button_share_sheet&amp;igsh=ZDNlZDc0MzIxNw==" TargetMode="External"/><Relationship Id="rId325" Type="http://schemas.openxmlformats.org/officeDocument/2006/relationships/hyperlink" Target="https://eitaa.com/sayyedmahdi8" TargetMode="External"/><Relationship Id="rId324" Type="http://schemas.openxmlformats.org/officeDocument/2006/relationships/hyperlink" Target="https://www.instagram.com/heyataliebnemosareza?utm_source=ig_web_button_share_sheet&amp;igsh=ZDNlZDc0MzIxNw==" TargetMode="External"/><Relationship Id="rId329" Type="http://schemas.openxmlformats.org/officeDocument/2006/relationships/hyperlink" Target="https://www.instagram.com/mohebinefatemeh135?utm_source=ig_web_button_share_sheet&amp;igsh=ZDNlZDc0MzIxNw==" TargetMode="External"/><Relationship Id="rId328" Type="http://schemas.openxmlformats.org/officeDocument/2006/relationships/hyperlink" Target="https://eitaa.com/Rasool_Akram_Mosque" TargetMode="External"/><Relationship Id="rId323" Type="http://schemas.openxmlformats.org/officeDocument/2006/relationships/hyperlink" Target="https://eitaa.com/javananashoraiidaran" TargetMode="External"/><Relationship Id="rId322" Type="http://schemas.openxmlformats.org/officeDocument/2006/relationships/hyperlink" Target="https://t.me/oshagholzahra213" TargetMode="External"/><Relationship Id="rId321" Type="http://schemas.openxmlformats.org/officeDocument/2006/relationships/hyperlink" Target="https://www.instagram.com/oshagholzahra213?utm_source=ig_web_button_share_sheet&amp;igsh=ZDNlZDc0MzIxNw==" TargetMode="External"/><Relationship Id="rId320" Type="http://schemas.openxmlformats.org/officeDocument/2006/relationships/hyperlink" Target="https://www.instagram.com/heyat.sarallah.ab?utm_source=ig_web_button_share_sheet&amp;igsh=ZDNlZDc0MzIxNw==" TargetMode="External"/><Relationship Id="rId316" Type="http://schemas.openxmlformats.org/officeDocument/2006/relationships/hyperlink" Target="https://www.instagram.com/heyate.emamhadi?utm_source=ig_web_button_share_sheet&amp;igsh=ZDNlZDc0MzIxNw==" TargetMode="External"/><Relationship Id="rId315" Type="http://schemas.openxmlformats.org/officeDocument/2006/relationships/hyperlink" Target="https://eitaa.com/kanoon_sagha" TargetMode="External"/><Relationship Id="rId314" Type="http://schemas.openxmlformats.org/officeDocument/2006/relationships/hyperlink" Target="https://eitaa.com/mohebanolhosain1364" TargetMode="External"/><Relationship Id="rId313" Type="http://schemas.openxmlformats.org/officeDocument/2006/relationships/hyperlink" Target="https://eitaa.com/arshian133" TargetMode="External"/><Relationship Id="rId319" Type="http://schemas.openxmlformats.org/officeDocument/2006/relationships/hyperlink" Target="https://eitaa.com/mohebbin_net" TargetMode="External"/><Relationship Id="rId318" Type="http://schemas.openxmlformats.org/officeDocument/2006/relationships/hyperlink" Target="https://eitaa.com/rahrovanhossein" TargetMode="External"/><Relationship Id="rId317" Type="http://schemas.openxmlformats.org/officeDocument/2006/relationships/hyperlink" Target="https://eitaa.com/javanan_ashurai_eghlid" TargetMode="External"/><Relationship Id="rId312" Type="http://schemas.openxmlformats.org/officeDocument/2006/relationships/hyperlink" Target="https://www.instagram.com/arshian._133?utm_source=ig_web_button_share_sheet&amp;igsh=ZDNlZDc0MzIxNw==" TargetMode="External"/><Relationship Id="rId311" Type="http://schemas.openxmlformats.org/officeDocument/2006/relationships/hyperlink" Target="https://www.instagram.com/ashegan.imam_hosuen?utm_source=ig_web_button_share_sheet&amp;igsh=ZDNlZDc0MzIxNw==" TargetMode="External"/><Relationship Id="rId310" Type="http://schemas.openxmlformats.org/officeDocument/2006/relationships/hyperlink" Target="https://www.instagram.com/asheghan_sarallah_isfahan?utm_source=ig_web_button_share_sheet&amp;igsh=ZDNlZDc0MzIxNw==" TargetMode="External"/><Relationship Id="rId297" Type="http://schemas.openxmlformats.org/officeDocument/2006/relationships/hyperlink" Target="https://t.me/mohebanozahra_esf" TargetMode="External"/><Relationship Id="rId296" Type="http://schemas.openxmlformats.org/officeDocument/2006/relationships/hyperlink" Target="https://www.instagram.com/mohebanozahra_esf?utm_source=ig_web_button_share_sheet&amp;igsh=ZDNlZDc0MzIxNw==" TargetMode="External"/><Relationship Id="rId295" Type="http://schemas.openxmlformats.org/officeDocument/2006/relationships/hyperlink" Target="https://www.instagram.com/mohebanreza_ir/?utm_source=ig_web_button_share_sheet" TargetMode="External"/><Relationship Id="rId294" Type="http://schemas.openxmlformats.org/officeDocument/2006/relationships/hyperlink" Target="https://eitaa.com/fatemyoon" TargetMode="External"/><Relationship Id="rId299" Type="http://schemas.openxmlformats.org/officeDocument/2006/relationships/hyperlink" Target="https://eitaa.com/rahrovanshohadash" TargetMode="External"/><Relationship Id="rId298" Type="http://schemas.openxmlformats.org/officeDocument/2006/relationships/hyperlink" Target="https://www.instagram.com/rahrovanshohadash?utm_source=ig_web_button_share_sheet&amp;igsh=ZDNlZDc0MzIxNw==" TargetMode="External"/><Relationship Id="rId271" Type="http://schemas.openxmlformats.org/officeDocument/2006/relationships/hyperlink" Target="https://www.instagram.com/haroniieh?utm_source=ig_web_button_share_sheet&amp;igsh=ZDNlZDc0MzIxNw==" TargetMode="External"/><Relationship Id="rId270" Type="http://schemas.openxmlformats.org/officeDocument/2006/relationships/hyperlink" Target="https://eitaa.com/fatemeyunesf" TargetMode="External"/><Relationship Id="rId269" Type="http://schemas.openxmlformats.org/officeDocument/2006/relationships/hyperlink" Target="https://eitaa.com/razmandegan_bh" TargetMode="External"/><Relationship Id="rId264" Type="http://schemas.openxmlformats.org/officeDocument/2006/relationships/hyperlink" Target="https://www.instagram.com/mohebbin_ahlobeyt?utm_source=ig_web_button_share_sheet&amp;igsh=ZDNlZDc0MzIxNw==" TargetMode="External"/><Relationship Id="rId263" Type="http://schemas.openxmlformats.org/officeDocument/2006/relationships/hyperlink" Target="https://eitaa.com/shohada_gomnam78" TargetMode="External"/><Relationship Id="rId262" Type="http://schemas.openxmlformats.org/officeDocument/2006/relationships/hyperlink" Target="https://eitaa.com/emamzade_aliakbar" TargetMode="External"/><Relationship Id="rId261" Type="http://schemas.openxmlformats.org/officeDocument/2006/relationships/hyperlink" Target="https://www.instagram.com/mahdyieh.kh1?utm_source=ig_web_button_share_sheet&amp;igsh=ZDNlZDc0MzIxNw==" TargetMode="External"/><Relationship Id="rId268" Type="http://schemas.openxmlformats.org/officeDocument/2006/relationships/hyperlink" Target="https://t.me/razmandegan_bh" TargetMode="External"/><Relationship Id="rId267" Type="http://schemas.openxmlformats.org/officeDocument/2006/relationships/hyperlink" Target="https://www.instagram.com/razmandegan_bh2023?utm_source=ig_web_button_share_sheet&amp;igsh=ZDNlZDc0MzIxNw==" TargetMode="External"/><Relationship Id="rId266" Type="http://schemas.openxmlformats.org/officeDocument/2006/relationships/hyperlink" Target="https://eitaa.com/mohebbinahlobeyt" TargetMode="External"/><Relationship Id="rId265" Type="http://schemas.openxmlformats.org/officeDocument/2006/relationships/hyperlink" Target="https://t.me/mohebbinahlobeyt" TargetMode="External"/><Relationship Id="rId260" Type="http://schemas.openxmlformats.org/officeDocument/2006/relationships/hyperlink" Target="https://www.instagram.com/rozatozzahra_esf?utm_source=ig_web_button_share_sheet&amp;igsh=ZDNlZDc0MzIxNw==" TargetMode="External"/><Relationship Id="rId259" Type="http://schemas.openxmlformats.org/officeDocument/2006/relationships/hyperlink" Target="https://www.instagram.com/heiat.ghamar.bani.hashem.133?utm_source=ig_web_button_share_sheet&amp;igsh=ZDNlZDc0MzIxNw==" TargetMode="External"/><Relationship Id="rId258" Type="http://schemas.openxmlformats.org/officeDocument/2006/relationships/hyperlink" Target="https://www.instagram.com/yaroghayeh.bm?utm_source=ig_web_button_share_sheet&amp;igsh=ZDNlZDc0MzIxNw==" TargetMode="External"/><Relationship Id="rId253" Type="http://schemas.openxmlformats.org/officeDocument/2006/relationships/hyperlink" Target="https://www.instagram.com/h_baghiyatallah?utm_source=ig_web_button_share_sheet&amp;igsh=ZDNlZDc0MzIxNw==" TargetMode="External"/><Relationship Id="rId252" Type="http://schemas.openxmlformats.org/officeDocument/2006/relationships/hyperlink" Target="https://eitaa.com/asheghanemahdi_chanel" TargetMode="External"/><Relationship Id="rId251" Type="http://schemas.openxmlformats.org/officeDocument/2006/relationships/hyperlink" Target="https://www.instagram.com/asheghanemahdi_esfahan?utm_source=ig_web_button_share_sheet&amp;igsh=ZDNlZDc0MzIxNw==" TargetMode="External"/><Relationship Id="rId250" Type="http://schemas.openxmlformats.org/officeDocument/2006/relationships/hyperlink" Target="https://eitaa.com/farzandan_ashura" TargetMode="External"/><Relationship Id="rId257" Type="http://schemas.openxmlformats.org/officeDocument/2006/relationships/hyperlink" Target="https://www.instagram.com/hosseinie_ale_yasin?utm_source=ig_web_button_share_sheet&amp;igsh=ZDNlZDc0MzIxNw==" TargetMode="External"/><Relationship Id="rId256" Type="http://schemas.openxmlformats.org/officeDocument/2006/relationships/hyperlink" Target="https://www.instagram.com/moheban_emam_esf?utm_source=ig_web_button_share_sheet&amp;igsh=ZDNlZDc0MzIxNw==" TargetMode="External"/><Relationship Id="rId255" Type="http://schemas.openxmlformats.org/officeDocument/2006/relationships/hyperlink" Target="https://eitaa.com/khodamnjf_313" TargetMode="External"/><Relationship Id="rId254" Type="http://schemas.openxmlformats.org/officeDocument/2006/relationships/hyperlink" Target="https://www.instagram.com/khodamnjf_313?utm_source=ig_web_button_share_sheet&amp;igsh=ZDNlZDc0MzIxNw==" TargetMode="External"/><Relationship Id="rId293" Type="http://schemas.openxmlformats.org/officeDocument/2006/relationships/hyperlink" Target="https://www.instagram.com/fatemyoun_ir?utm_source=ig_web_button_share_sheet&amp;igsh=ZDNlZDc0MzIxNw==" TargetMode="External"/><Relationship Id="rId292" Type="http://schemas.openxmlformats.org/officeDocument/2006/relationships/hyperlink" Target="https://www.instagram.com/alamdarenajaf?utm_source=ig_web_button_share_sheet&amp;igsh=ZDNlZDc0MzIxNw==" TargetMode="External"/><Relationship Id="rId291" Type="http://schemas.openxmlformats.org/officeDocument/2006/relationships/hyperlink" Target="https://eitaa.com/emamhasan_njf" TargetMode="External"/><Relationship Id="rId290" Type="http://schemas.openxmlformats.org/officeDocument/2006/relationships/hyperlink" Target="https://eitaa.com/Rahpouyan_vesal_Isfahan" TargetMode="External"/><Relationship Id="rId286" Type="http://schemas.openxmlformats.org/officeDocument/2006/relationships/hyperlink" Target="https://www.instagram.com/heyataaliakbar?utm_source=ig_web_button_share_sheet&amp;igsh=ZDNlZDc0MzIxNw==" TargetMode="External"/><Relationship Id="rId285" Type="http://schemas.openxmlformats.org/officeDocument/2006/relationships/hyperlink" Target="https://www.instagram.com/heyat.hosseini.khansar?utm_source=ig_web_button_share_sheet&amp;igsh=ZDNlZDc0MzIxNw==" TargetMode="External"/><Relationship Id="rId284" Type="http://schemas.openxmlformats.org/officeDocument/2006/relationships/hyperlink" Target="https://eitaa.com/karbalaeiha_isf" TargetMode="External"/><Relationship Id="rId283" Type="http://schemas.openxmlformats.org/officeDocument/2006/relationships/hyperlink" Target="https://eitaa.com/hiatehazratealiakbar" TargetMode="External"/><Relationship Id="rId289" Type="http://schemas.openxmlformats.org/officeDocument/2006/relationships/hyperlink" Target="https://www.instagram.com/ali_asghar_heiat?utm_source=ig_web_button_share_sheet&amp;igsh=ZDNlZDc0MzIxNw==" TargetMode="External"/><Relationship Id="rId288" Type="http://schemas.openxmlformats.org/officeDocument/2006/relationships/hyperlink" Target="https://www.instagram.com/heyat_hazrate.abalfazl?utm_source=ig_web_button_share_sheet&amp;igsh=ZDNlZDc0MzIxNw==" TargetMode="External"/><Relationship Id="rId287" Type="http://schemas.openxmlformats.org/officeDocument/2006/relationships/hyperlink" Target="https://www.instagram.com/heiatsemirom?utm_source=ig_web_button_share_sheet&amp;igsh=ZDNlZDc0MzIxNw==" TargetMode="External"/><Relationship Id="rId282" Type="http://schemas.openxmlformats.org/officeDocument/2006/relationships/hyperlink" Target="https://eitaa.com/fatemiundastgerd" TargetMode="External"/><Relationship Id="rId281" Type="http://schemas.openxmlformats.org/officeDocument/2006/relationships/hyperlink" Target="https://www.instagram.com/fatemiundastgerd?utm_source=ig_web_button_share_sheet&amp;igsh=ZDNlZDc0MzIxNw==" TargetMode="External"/><Relationship Id="rId280" Type="http://schemas.openxmlformats.org/officeDocument/2006/relationships/hyperlink" Target="https://www.instagram.com/maktabol_abbas1?utm_source=ig_web_button_share_sheet&amp;igsh=ZDNlZDc0MzIxNw==" TargetMode="External"/><Relationship Id="rId275" Type="http://schemas.openxmlformats.org/officeDocument/2006/relationships/hyperlink" Target="https://eitaa.com/ansaralmahdi1" TargetMode="External"/><Relationship Id="rId274" Type="http://schemas.openxmlformats.org/officeDocument/2006/relationships/hyperlink" Target="https://www.instagram.com/ansar_almahdii_110/?hl=en" TargetMode="External"/><Relationship Id="rId273" Type="http://schemas.openxmlformats.org/officeDocument/2006/relationships/hyperlink" Target="https://eitaa.com/sayyedmahdi8" TargetMode="External"/><Relationship Id="rId272" Type="http://schemas.openxmlformats.org/officeDocument/2006/relationships/hyperlink" Target="https://t.me/haronieh" TargetMode="External"/><Relationship Id="rId279" Type="http://schemas.openxmlformats.org/officeDocument/2006/relationships/hyperlink" Target="https://t.me/heyat_abolfazl_khansar" TargetMode="External"/><Relationship Id="rId278" Type="http://schemas.openxmlformats.org/officeDocument/2006/relationships/hyperlink" Target="https://www.instagram.com/heyat_abolfazl_khansar?utm_source=ig_web_button_share_sheet&amp;igsh=ZDNlZDc0MzIxNw==" TargetMode="External"/><Relationship Id="rId277" Type="http://schemas.openxmlformats.org/officeDocument/2006/relationships/hyperlink" Target="https://t.me/mohebanhosein_esf" TargetMode="External"/><Relationship Id="rId276" Type="http://schemas.openxmlformats.org/officeDocument/2006/relationships/hyperlink" Target="https://www.instagram.com/moheban_al_hossein?utm_source=ig_web_button_share_sheet&amp;igsh=ZDNlZDc0MzIxNw==" TargetMode="External"/><Relationship Id="rId228" Type="http://schemas.openxmlformats.org/officeDocument/2006/relationships/hyperlink" Target="https://www.instagram.com/montazeran_mowood?utm_source=ig_web_button_share_sheet&amp;igsh=ZDNlZDc0MzIxNw==" TargetMode="External"/><Relationship Id="rId227" Type="http://schemas.openxmlformats.org/officeDocument/2006/relationships/hyperlink" Target="https://www.instagram.com/heyat_razaviyeh?utm_source=ig_web_button_share_sheet&amp;igsh=ZDNlZDc0MzIxNw==" TargetMode="External"/><Relationship Id="rId226" Type="http://schemas.openxmlformats.org/officeDocument/2006/relationships/hyperlink" Target="https://www.instagram.com/ansarolmahdikhomainishahr?utm_source=ig_web_button_share_sheet&amp;igsh=ZDNlZDc0MzIxNw==" TargetMode="External"/><Relationship Id="rId225" Type="http://schemas.openxmlformats.org/officeDocument/2006/relationships/hyperlink" Target="https://www.instagram.com/heyat_beytolabbas113?utm_source=ig_web_button_share_sheet&amp;igsh=ZDNlZDc0MzIxNw==" TargetMode="External"/><Relationship Id="rId229" Type="http://schemas.openxmlformats.org/officeDocument/2006/relationships/hyperlink" Target="https://eitaa.com/etehadie_esf" TargetMode="External"/><Relationship Id="rId220" Type="http://schemas.openxmlformats.org/officeDocument/2006/relationships/hyperlink" Target="https://eitaa.com/maktab_alreza_shahreza" TargetMode="External"/><Relationship Id="rId224" Type="http://schemas.openxmlformats.org/officeDocument/2006/relationships/hyperlink" Target="https://www.instagram.com/dar_al_quran_esfahan?utm_source=ig_web_button_share_sheet&amp;igsh=ZDNlZDc0MzIxNw==" TargetMode="External"/><Relationship Id="rId223" Type="http://schemas.openxmlformats.org/officeDocument/2006/relationships/hyperlink" Target="https://eitaa.com/h_sarallah_njf" TargetMode="External"/><Relationship Id="rId222" Type="http://schemas.openxmlformats.org/officeDocument/2006/relationships/hyperlink" Target="https://www.instagram.com/edalatkhahishahinshahr58?utm_source=ig_web_button_share_sheet&amp;igsh=ZDNlZDc0MzIxNw==" TargetMode="External"/><Relationship Id="rId221" Type="http://schemas.openxmlformats.org/officeDocument/2006/relationships/hyperlink" Target="https://www.instagram.com/qods_hoseyni?utm_source=ig_web_button_share_sheet&amp;igsh=ZDNlZDc0MzIxNw==" TargetMode="External"/><Relationship Id="rId217" Type="http://schemas.openxmlformats.org/officeDocument/2006/relationships/hyperlink" Target="https://www.instagram.com/javanan_mohebanshohada?utm_source=ig_web_button_share_sheet&amp;igsh=ZDNlZDc0MzIxNw==" TargetMode="External"/><Relationship Id="rId216" Type="http://schemas.openxmlformats.org/officeDocument/2006/relationships/hyperlink" Target="https://www.instagram.com/mohebin_aba_abdellah?utm_source=ig_web_button_share_sheet&amp;igsh=ZDNlZDc0MzIxNw==" TargetMode="External"/><Relationship Id="rId215" Type="http://schemas.openxmlformats.org/officeDocument/2006/relationships/hyperlink" Target="https://eitaa.com/sarallah_kalemasih" TargetMode="External"/><Relationship Id="rId214" Type="http://schemas.openxmlformats.org/officeDocument/2006/relationships/hyperlink" Target="https://eitaa.com/heyatmohebban110" TargetMode="External"/><Relationship Id="rId219" Type="http://schemas.openxmlformats.org/officeDocument/2006/relationships/hyperlink" Target="https://www.instagram.com/maktab_alreza_shahreza?utm_source=ig_web_button_share_sheet&amp;igsh=ZDNlZDc0MzIxNw==" TargetMode="External"/><Relationship Id="rId218" Type="http://schemas.openxmlformats.org/officeDocument/2006/relationships/hyperlink" Target="https://eitaa.com/zahraeian" TargetMode="External"/><Relationship Id="rId213" Type="http://schemas.openxmlformats.org/officeDocument/2006/relationships/hyperlink" Target="https://t.me/heyatmohebban110" TargetMode="External"/><Relationship Id="rId212" Type="http://schemas.openxmlformats.org/officeDocument/2006/relationships/hyperlink" Target="https://www.instagram.com/heyatmohebban110/" TargetMode="External"/><Relationship Id="rId211" Type="http://schemas.openxmlformats.org/officeDocument/2006/relationships/hyperlink" Target="https://t.me/darolvelayeh" TargetMode="External"/><Relationship Id="rId210" Type="http://schemas.openxmlformats.org/officeDocument/2006/relationships/hyperlink" Target="https://www.instagram.com/darolvelayeh_isf/" TargetMode="External"/><Relationship Id="rId249" Type="http://schemas.openxmlformats.org/officeDocument/2006/relationships/hyperlink" Target="https://eitaa.com/basijemamreza313" TargetMode="External"/><Relationship Id="rId248" Type="http://schemas.openxmlformats.org/officeDocument/2006/relationships/hyperlink" Target="https://www.instagram.com/ansaralmahdi1376?utm_source=ig_web_button_share_sheet&amp;igsh=ZDNlZDc0MzIxNw==" TargetMode="External"/><Relationship Id="rId247" Type="http://schemas.openxmlformats.org/officeDocument/2006/relationships/hyperlink" Target="https://www.instagram.com/heyat_ghamar_banihashm?utm_source=ig_web_button_share_sheet&amp;igsh=ZDNlZDc0MzIxNw==" TargetMode="External"/><Relationship Id="rId242" Type="http://schemas.openxmlformats.org/officeDocument/2006/relationships/hyperlink" Target="https://www.instagram.com/hadiannaghi?utm_source=ig_web_button_share_sheet&amp;igsh=ZDNlZDc0MzIxNw==" TargetMode="External"/><Relationship Id="rId241" Type="http://schemas.openxmlformats.org/officeDocument/2006/relationships/hyperlink" Target="https://eitaa.com/heiatoshagh" TargetMode="External"/><Relationship Id="rId240" Type="http://schemas.openxmlformats.org/officeDocument/2006/relationships/hyperlink" Target="https://t.me/Heyat_Quran_Ahlebeyt" TargetMode="External"/><Relationship Id="rId246" Type="http://schemas.openxmlformats.org/officeDocument/2006/relationships/hyperlink" Target="https://www.instagram.com/maktab_olhosein?utm_source=ig_web_button_share_sheet&amp;igsh=ZDNlZDc0MzIxNw==" TargetMode="External"/><Relationship Id="rId245" Type="http://schemas.openxmlformats.org/officeDocument/2006/relationships/hyperlink" Target="https://eitaa.com/heiatmohebaneahlulbeit" TargetMode="External"/><Relationship Id="rId244" Type="http://schemas.openxmlformats.org/officeDocument/2006/relationships/hyperlink" Target="https://eitaa.com/MasjedAlmahdiGolpa" TargetMode="External"/><Relationship Id="rId243" Type="http://schemas.openxmlformats.org/officeDocument/2006/relationships/hyperlink" Target="https://t.me/hadiannaghi" TargetMode="External"/><Relationship Id="rId239" Type="http://schemas.openxmlformats.org/officeDocument/2006/relationships/hyperlink" Target="https://www.instagram.com/heyat_quran_ahlebeyt?utm_source=ig_web_button_share_sheet&amp;igsh=ZDNlZDc0MzIxNw==" TargetMode="External"/><Relationship Id="rId238" Type="http://schemas.openxmlformats.org/officeDocument/2006/relationships/hyperlink" Target="https://www.instagram.com/monajat_online99?utm_source=ig_web_button_share_sheet&amp;igsh=ZDNlZDc0MzIxNw==" TargetMode="External"/><Relationship Id="rId237" Type="http://schemas.openxmlformats.org/officeDocument/2006/relationships/hyperlink" Target="https://eitaa.com/heyatoreza_isf" TargetMode="External"/><Relationship Id="rId236" Type="http://schemas.openxmlformats.org/officeDocument/2006/relationships/hyperlink" Target="https://t.me/heyatoreza_isf" TargetMode="External"/><Relationship Id="rId231" Type="http://schemas.openxmlformats.org/officeDocument/2006/relationships/hyperlink" Target="https://eitaa.com/mouood" TargetMode="External"/><Relationship Id="rId230" Type="http://schemas.openxmlformats.org/officeDocument/2006/relationships/hyperlink" Target="https://www.instagram.com/nava._.128?utm_source=ig_web_button_share_sheet&amp;igsh=ZDNlZDc0MzIxNw==" TargetMode="External"/><Relationship Id="rId235" Type="http://schemas.openxmlformats.org/officeDocument/2006/relationships/hyperlink" Target="https://www.instagram.com/heyatoreza_isf?utm_source=ig_web_button_share_sheet&amp;igsh=ZDNlZDc0MzIxNw==" TargetMode="External"/><Relationship Id="rId234" Type="http://schemas.openxmlformats.org/officeDocument/2006/relationships/hyperlink" Target="https://www.instagram.com/montazeranmouod128?utm_source=ig_web_button_share_sheet&amp;igsh=ZDNlZDc0MzIxNw==" TargetMode="External"/><Relationship Id="rId233" Type="http://schemas.openxmlformats.org/officeDocument/2006/relationships/hyperlink" Target="https://www.instagram.com/ansaar_ir?utm_source=ig_web_button_share_sheet&amp;igsh=ZDNlZDc0MzIxNw==" TargetMode="External"/><Relationship Id="rId232" Type="http://schemas.openxmlformats.org/officeDocument/2006/relationships/hyperlink" Target="https://www.instagram.com/heyat_oshohada/" TargetMode="External"/><Relationship Id="rId206" Type="http://schemas.openxmlformats.org/officeDocument/2006/relationships/hyperlink" Target="https://www.instagram.com/ghasemebnhassan201/?hl=en" TargetMode="External"/><Relationship Id="rId205" Type="http://schemas.openxmlformats.org/officeDocument/2006/relationships/hyperlink" Target="https://www.instagram.com/h_montazeranemahdi/?hl=en" TargetMode="External"/><Relationship Id="rId204" Type="http://schemas.openxmlformats.org/officeDocument/2006/relationships/hyperlink" Target="https://www.instagram.com/peyrovanemamzaman/" TargetMode="External"/><Relationship Id="rId203" Type="http://schemas.openxmlformats.org/officeDocument/2006/relationships/hyperlink" Target="https://www.instagram.com/hoseineh_hazrat_abalfazl/" TargetMode="External"/><Relationship Id="rId209" Type="http://schemas.openxmlformats.org/officeDocument/2006/relationships/hyperlink" Target="https://www.instagram.com/mohebanealiakbar_ir/?hl=en" TargetMode="External"/><Relationship Id="rId208" Type="http://schemas.openxmlformats.org/officeDocument/2006/relationships/hyperlink" Target="https://www.instagram.com/bit_aliakbar/" TargetMode="External"/><Relationship Id="rId207" Type="http://schemas.openxmlformats.org/officeDocument/2006/relationships/hyperlink" Target="https://t.me/javanan_ghasm_ebn_al_hasan" TargetMode="External"/><Relationship Id="rId202" Type="http://schemas.openxmlformats.org/officeDocument/2006/relationships/hyperlink" Target="https://www.instagram.com/asheghan.abalfazl/?hl=en" TargetMode="External"/><Relationship Id="rId201" Type="http://schemas.openxmlformats.org/officeDocument/2006/relationships/hyperlink" Target="https://www.instagram.com/mohebbanenatanz/?hl=en" TargetMode="External"/><Relationship Id="rId200" Type="http://schemas.openxmlformats.org/officeDocument/2006/relationships/hyperlink" Target="https://www.instagram.com/heyat.razmandegan_njf/" TargetMode="External"/><Relationship Id="rId509" Type="http://schemas.openxmlformats.org/officeDocument/2006/relationships/hyperlink" Target="https://www.instagram.com/nojavan_sayeban?utm_source=ig_web_button_share_sheet&amp;igsh=ZDNlZDc0MzIxNw==" TargetMode="External"/><Relationship Id="rId508" Type="http://schemas.openxmlformats.org/officeDocument/2006/relationships/hyperlink" Target="https://t.me/Abolfazl_b_bm" TargetMode="External"/><Relationship Id="rId503" Type="http://schemas.openxmlformats.org/officeDocument/2006/relationships/hyperlink" Target="https://www.instagram.com/maktabossadegh94/?utm_source=ig_web_button_share_sheet" TargetMode="External"/><Relationship Id="rId502" Type="http://schemas.openxmlformats.org/officeDocument/2006/relationships/hyperlink" Target="https://www.instagram.com/al.yasin.ir?utm_source=ig_web_button_share_sheet&amp;igsh=ZDNlZDc0MzIxNw==" TargetMode="External"/><Relationship Id="rId501" Type="http://schemas.openxmlformats.org/officeDocument/2006/relationships/hyperlink" Target="https://www.instagram.com/heyaat.ansar1375?utm_source=ig_web_button_share_sheet&amp;igsh=ZDNlZDc0MzIxNw==" TargetMode="External"/><Relationship Id="rId500" Type="http://schemas.openxmlformats.org/officeDocument/2006/relationships/hyperlink" Target="https://www.instagram.com/shohadagomnam_dehaghan?utm_source=ig_web_button_share_sheet&amp;igsh=ZDNlZDc0MzIxNw==" TargetMode="External"/><Relationship Id="rId507" Type="http://schemas.openxmlformats.org/officeDocument/2006/relationships/hyperlink" Target="https://www.instagram.com/hazrat.abolfazl_bm?utm_source=ig_web_button_share_sheet&amp;igsh=ZDNlZDc0MzIxNw==" TargetMode="External"/><Relationship Id="rId506" Type="http://schemas.openxmlformats.org/officeDocument/2006/relationships/hyperlink" Target="https://www.instagram.com/heiat_abolfazelabas?utm_source=ig_web_button_share_sheet&amp;igsh=ZDNlZDc0MzIxNw==" TargetMode="External"/><Relationship Id="rId505" Type="http://schemas.openxmlformats.org/officeDocument/2006/relationships/hyperlink" Target="https://www.instagram.com/soroud_rahrovane_velayat?utm_source=ig_web_button_share_sheet&amp;igsh=ZDNlZDc0MzIxNw==" TargetMode="External"/><Relationship Id="rId504" Type="http://schemas.openxmlformats.org/officeDocument/2006/relationships/hyperlink" Target="https://www.instagram.com/salmaghan_bidgol?utm_source=ig_web_button_share_sheet&amp;igsh=ZDNlZDc0MzIxNw==" TargetMode="External"/><Relationship Id="rId525" Type="http://schemas.openxmlformats.org/officeDocument/2006/relationships/hyperlink" Target="https://www.instagram.com/rozatolhossein_ir?utm_source=ig_web_button_share_sheet&amp;igsh=ZDNlZDc0MzIxNw==" TargetMode="External"/><Relationship Id="rId524" Type="http://schemas.openxmlformats.org/officeDocument/2006/relationships/hyperlink" Target="https://www.instagram.com/heydari_jalalabad_bidgol?utm_source=ig_web_button_share_sheet&amp;igsh=ZDNlZDc0MzIxNw==" TargetMode="External"/><Relationship Id="rId523" Type="http://schemas.openxmlformats.org/officeDocument/2006/relationships/hyperlink" Target="https://eitaa.com/aemeatthar" TargetMode="External"/><Relationship Id="rId522" Type="http://schemas.openxmlformats.org/officeDocument/2006/relationships/hyperlink" Target="https://t.me/reyhanatolhossein_channel" TargetMode="External"/><Relationship Id="rId529" Type="http://schemas.openxmlformats.org/officeDocument/2006/relationships/hyperlink" Target="https://www.instagram.com/heyat.emam.jafar_sadegh?utm_source=ig_web_button_share_sheet&amp;igsh=ZDNlZDc0MzIxNw==" TargetMode="External"/><Relationship Id="rId528" Type="http://schemas.openxmlformats.org/officeDocument/2006/relationships/hyperlink" Target="https://eitaa.com/aleyasin_channel" TargetMode="External"/><Relationship Id="rId527" Type="http://schemas.openxmlformats.org/officeDocument/2006/relationships/hyperlink" Target="https://eitaa.com/masjedalmahde" TargetMode="External"/><Relationship Id="rId526" Type="http://schemas.openxmlformats.org/officeDocument/2006/relationships/hyperlink" Target="https://t.me/rozatolhossein_ir" TargetMode="External"/><Relationship Id="rId521" Type="http://schemas.openxmlformats.org/officeDocument/2006/relationships/hyperlink" Target="https://t.me/labaykyaahossein" TargetMode="External"/><Relationship Id="rId520" Type="http://schemas.openxmlformats.org/officeDocument/2006/relationships/hyperlink" Target="https://www.instagram.com/labaykyaahossein?utm_source=ig_web_button_share_sheet&amp;igsh=ZDNlZDc0MzIxNw==" TargetMode="External"/><Relationship Id="rId519" Type="http://schemas.openxmlformats.org/officeDocument/2006/relationships/hyperlink" Target="https://www.instagram.com/alamdar_345?utm_source=ig_web_button_share_sheet&amp;igsh=ZDNlZDc0MzIxNw==" TargetMode="External"/><Relationship Id="rId514" Type="http://schemas.openxmlformats.org/officeDocument/2006/relationships/hyperlink" Target="https://www.instagram.com/sahebazaman_a?utm_source=ig_web_button_share_sheet&amp;igsh=ZDNlZDc0MzIxNw==" TargetMode="External"/><Relationship Id="rId513" Type="http://schemas.openxmlformats.org/officeDocument/2006/relationships/hyperlink" Target="https://t.me/heyatebanifatameh" TargetMode="External"/><Relationship Id="rId512" Type="http://schemas.openxmlformats.org/officeDocument/2006/relationships/hyperlink" Target="https://www.instagram.com/heyathazratzahra?utm_source=ig_web_button_share_sheet&amp;igsh=ZDNlZDc0MzIxNw==" TargetMode="External"/><Relationship Id="rId511" Type="http://schemas.openxmlformats.org/officeDocument/2006/relationships/hyperlink" Target="https://www.instagram.com/h.mohebban_ahlebayt?utm_source=ig_web_button_share_sheet&amp;igsh=ZDNlZDc0MzIxNw==" TargetMode="External"/><Relationship Id="rId518" Type="http://schemas.openxmlformats.org/officeDocument/2006/relationships/hyperlink" Target="https://eitaa.com/Ansar_al_Mahdi_72" TargetMode="External"/><Relationship Id="rId517" Type="http://schemas.openxmlformats.org/officeDocument/2006/relationships/hyperlink" Target="https://eitaa.com/fatemiyonmalekshahr" TargetMode="External"/><Relationship Id="rId516" Type="http://schemas.openxmlformats.org/officeDocument/2006/relationships/hyperlink" Target="https://www.instagram.com/fatemiyonmalekshahr?utm_source=ig_web_button_share_sheet&amp;igsh=ZDNlZDc0MzIxNw==" TargetMode="External"/><Relationship Id="rId515" Type="http://schemas.openxmlformats.org/officeDocument/2006/relationships/hyperlink" Target="https://www.instagram.com/fadaeiane_mahdi?utm_source=ig_web_button_share_sheet&amp;igsh=ZDNlZDc0MzIxNw==" TargetMode="External"/><Relationship Id="rId510" Type="http://schemas.openxmlformats.org/officeDocument/2006/relationships/hyperlink" Target="https://eitaa.com/nojavan_sayeban" TargetMode="External"/><Relationship Id="rId590" Type="http://schemas.openxmlformats.org/officeDocument/2006/relationships/hyperlink" Target="https://eitaa.com/mokbansaralmahdi" TargetMode="External"/><Relationship Id="rId589" Type="http://schemas.openxmlformats.org/officeDocument/2006/relationships/hyperlink" Target="https://eitaa.com/shabihkhaniiran" TargetMode="External"/><Relationship Id="rId588" Type="http://schemas.openxmlformats.org/officeDocument/2006/relationships/hyperlink" Target="https://www.instagram.com/shabihkhaniiran?utm_source=ig_web_button_share_sheet&amp;igsh=ZDNlZDc0MzIxNw==" TargetMode="External"/><Relationship Id="rId583" Type="http://schemas.openxmlformats.org/officeDocument/2006/relationships/hyperlink" Target="https://www.instagram.com/onsbamahdi?utm_source=ig_web_button_share_sheet&amp;igsh=ZDNlZDc0MzIxNw==" TargetMode="External"/><Relationship Id="rId582" Type="http://schemas.openxmlformats.org/officeDocument/2006/relationships/hyperlink" Target="https://www.instagram.com/zahraun.esf?utm_source=ig_web_button_share_sheet&amp;igsh=ZDNlZDc0MzIxNw==" TargetMode="External"/><Relationship Id="rId581" Type="http://schemas.openxmlformats.org/officeDocument/2006/relationships/hyperlink" Target="https://www.instagram.com/ansare_fatemeh?utm_source=ig_web_button_share_sheet&amp;igsh=ZDNlZDc0MzIxNw==" TargetMode="External"/><Relationship Id="rId580" Type="http://schemas.openxmlformats.org/officeDocument/2006/relationships/hyperlink" Target="https://eitaa.com/peyrovan_etrat" TargetMode="External"/><Relationship Id="rId587" Type="http://schemas.openxmlformats.org/officeDocument/2006/relationships/hyperlink" Target="https://eitaa.com/ansaralmahdi1" TargetMode="External"/><Relationship Id="rId586" Type="http://schemas.openxmlformats.org/officeDocument/2006/relationships/hyperlink" Target="https://www.instagram.com/kanoonmaaref?utm_source=ig_web_button_share_sheet&amp;igsh=ZDNlZDc0MzIxNw==" TargetMode="External"/><Relationship Id="rId585" Type="http://schemas.openxmlformats.org/officeDocument/2006/relationships/hyperlink" Target="https://www.instagram.com/heyatsafir110?utm_source=ig_web_button_share_sheet&amp;igsh=ZDNlZDc0MzIxNw==" TargetMode="External"/><Relationship Id="rId584" Type="http://schemas.openxmlformats.org/officeDocument/2006/relationships/hyperlink" Target="https://www.instagram.com/jvananaliakbar_1390?utm_source=ig_web_button_share_sheet&amp;igsh=ZDNlZDc0MzIxNw==" TargetMode="External"/><Relationship Id="rId579" Type="http://schemas.openxmlformats.org/officeDocument/2006/relationships/hyperlink" Target="https://eitaa.com/mokeb_sedighe_tahere" TargetMode="External"/><Relationship Id="rId578" Type="http://schemas.openxmlformats.org/officeDocument/2006/relationships/hyperlink" Target="https://www.instagram.com/mokeb_sedighe_tahere/?utm_source=ig_web_button_share_sheet" TargetMode="External"/><Relationship Id="rId577" Type="http://schemas.openxmlformats.org/officeDocument/2006/relationships/hyperlink" Target="https://eitaa.com/fatemion_com" TargetMode="External"/><Relationship Id="rId572" Type="http://schemas.openxmlformats.org/officeDocument/2006/relationships/hyperlink" Target="https://eitaa.com/BSJ_LENJAN_STUDENTS" TargetMode="External"/><Relationship Id="rId571" Type="http://schemas.openxmlformats.org/officeDocument/2006/relationships/hyperlink" Target="https://t.me/montazeraniha313" TargetMode="External"/><Relationship Id="rId570" Type="http://schemas.openxmlformats.org/officeDocument/2006/relationships/hyperlink" Target="https://www.instagram.com/montazeraniha313?utm_source=ig_web_button_share_sheet&amp;igsh=ZDNlZDc0MzIxNw==" TargetMode="External"/><Relationship Id="rId576" Type="http://schemas.openxmlformats.org/officeDocument/2006/relationships/hyperlink" Target="https://www.instagram.com/fatemion_com?utm_source=ig_web_button_share_sheet&amp;igsh=ZDNlZDc0MzIxNw==" TargetMode="External"/><Relationship Id="rId575" Type="http://schemas.openxmlformats.org/officeDocument/2006/relationships/hyperlink" Target="https://eitaa.com/sayyedmahdi8" TargetMode="External"/><Relationship Id="rId574" Type="http://schemas.openxmlformats.org/officeDocument/2006/relationships/hyperlink" Target="https://www.instagram.com/ahoahoo_nojavan/" TargetMode="External"/><Relationship Id="rId573" Type="http://schemas.openxmlformats.org/officeDocument/2006/relationships/hyperlink" Target="https://eitaa.com/muhtadoun" TargetMode="External"/><Relationship Id="rId599" Type="http://schemas.openxmlformats.org/officeDocument/2006/relationships/hyperlink" Target="https://www.instagram.com/mohebbane_hazrate_zahra?utm_source=ig_web_button_share_sheet&amp;igsh=ZDNlZDc0MzIxNw==" TargetMode="External"/><Relationship Id="rId594" Type="http://schemas.openxmlformats.org/officeDocument/2006/relationships/hyperlink" Target="https://www.instagram.com/heyat_abalfazliaran?utm_source=ig_web_button_share_sheet&amp;igsh=ZDNlZDc0MzIxNw==" TargetMode="External"/><Relationship Id="rId593" Type="http://schemas.openxmlformats.org/officeDocument/2006/relationships/hyperlink" Target="https://www.instagram.com/heyat.razmandegan_njf?utm_source=ig_web_button_share_sheet&amp;igsh=ZDNlZDc0MzIxNw==" TargetMode="External"/><Relationship Id="rId592" Type="http://schemas.openxmlformats.org/officeDocument/2006/relationships/hyperlink" Target="https://www.instagram.com/heyathazratfatemehzahra?utm_source=ig_web_button_share_sheet&amp;igsh=ZDNlZDc0MzIxNw==" TargetMode="External"/><Relationship Id="rId591" Type="http://schemas.openxmlformats.org/officeDocument/2006/relationships/hyperlink" Target="https://www.instagram.com/isfmaktabq?utm_source=ig_web_button_share_sheet&amp;igsh=ZDNlZDc0MzIxNw==" TargetMode="External"/><Relationship Id="rId598" Type="http://schemas.openxmlformats.org/officeDocument/2006/relationships/hyperlink" Target="https://eitaa.com/mohedinzahra" TargetMode="External"/><Relationship Id="rId597" Type="http://schemas.openxmlformats.org/officeDocument/2006/relationships/hyperlink" Target="https://www.instagram.com/abolfazl_finkashan?utm_source=ig_web_button_share_sheet&amp;igsh=ZDNlZDc0MzIxNw==" TargetMode="External"/><Relationship Id="rId596" Type="http://schemas.openxmlformats.org/officeDocument/2006/relationships/hyperlink" Target="https://www.instagram.com/heyat_fatemehzahra_ss?utm_source=ig_web_button_share_sheet&amp;igsh=ZDNlZDc0MzIxNw==" TargetMode="External"/><Relationship Id="rId595" Type="http://schemas.openxmlformats.org/officeDocument/2006/relationships/hyperlink" Target="https://eitaa.com/heyat_abalfazliaran" TargetMode="External"/><Relationship Id="rId547" Type="http://schemas.openxmlformats.org/officeDocument/2006/relationships/hyperlink" Target="https://www.instagram.com/javad_ol_aeme14?utm_source=ig_web_button_share_sheet&amp;igsh=ZDNlZDc0MzIxNw==" TargetMode="External"/><Relationship Id="rId546" Type="http://schemas.openxmlformats.org/officeDocument/2006/relationships/hyperlink" Target="https://t.me/Ya_Ghasem_ebnelHasan" TargetMode="External"/><Relationship Id="rId545" Type="http://schemas.openxmlformats.org/officeDocument/2006/relationships/hyperlink" Target="https://t.me/atashsagha" TargetMode="External"/><Relationship Id="rId544" Type="http://schemas.openxmlformats.org/officeDocument/2006/relationships/hyperlink" Target="https://www.instagram.com/kanoon.emamzaman?utm_source=ig_web_button_share_sheet&amp;igsh=ZDNlZDc0MzIxNw==" TargetMode="External"/><Relationship Id="rId549" Type="http://schemas.openxmlformats.org/officeDocument/2006/relationships/hyperlink" Target="https://www.instagram.com/heyat_montazeran_zohour?utm_source=ig_web_button_share_sheet&amp;igsh=ZDNlZDc0MzIxNw==" TargetMode="External"/><Relationship Id="rId548" Type="http://schemas.openxmlformats.org/officeDocument/2006/relationships/hyperlink" Target="https://eitaa.com/hyatsalmghanbidghol" TargetMode="External"/><Relationship Id="rId543" Type="http://schemas.openxmlformats.org/officeDocument/2006/relationships/hyperlink" Target="https://eitaa.com/tashkoidiniabozydabad" TargetMode="External"/><Relationship Id="rId542" Type="http://schemas.openxmlformats.org/officeDocument/2006/relationships/hyperlink" Target="https://t.me/almohammadbm" TargetMode="External"/><Relationship Id="rId541" Type="http://schemas.openxmlformats.org/officeDocument/2006/relationships/hyperlink" Target="https://www.instagram.com/almohammadbm?utm_source=ig_web_button_share_sheet&amp;igsh=ZDNlZDc0MzIxNw==" TargetMode="External"/><Relationship Id="rId540" Type="http://schemas.openxmlformats.org/officeDocument/2006/relationships/hyperlink" Target="https://eitaa.com/haramzeinabie" TargetMode="External"/><Relationship Id="rId536" Type="http://schemas.openxmlformats.org/officeDocument/2006/relationships/hyperlink" Target="https://www.instagram.com/mohebban_amiralmumenin?utm_source=ig_web_button_share_sheet&amp;igsh=ZDNlZDc0MzIxNw==" TargetMode="External"/><Relationship Id="rId535" Type="http://schemas.openxmlformats.org/officeDocument/2006/relationships/hyperlink" Target="https://www.instagram.com/masjed.alzahra.naein?utm_source=ig_web_button_share_sheet&amp;igsh=ZDNlZDc0MzIxNw==" TargetMode="External"/><Relationship Id="rId534" Type="http://schemas.openxmlformats.org/officeDocument/2006/relationships/hyperlink" Target="https://www.instagram.com/h_ansarolheydar?utm_source=ig_web_button_share_sheet&amp;igsh=ZDNlZDc0MzIxNw==" TargetMode="External"/><Relationship Id="rId533" Type="http://schemas.openxmlformats.org/officeDocument/2006/relationships/hyperlink" Target="https://eitaa.com/montazeran_isf" TargetMode="External"/><Relationship Id="rId539" Type="http://schemas.openxmlformats.org/officeDocument/2006/relationships/hyperlink" Target="https://t.me/haramzeinabie" TargetMode="External"/><Relationship Id="rId538" Type="http://schemas.openxmlformats.org/officeDocument/2006/relationships/hyperlink" Target="https://www.instagram.com/haramzeinabieh?utm_source=ig_web_button_share_sheet&amp;igsh=ZDNlZDc0MzIxNw==" TargetMode="External"/><Relationship Id="rId537" Type="http://schemas.openxmlformats.org/officeDocument/2006/relationships/hyperlink" Target="https://www.instagram.com/heyatehazrateghasem?utm_source=ig_web_button_share_sheet&amp;igsh=ZDNlZDc0MzIxNw==" TargetMode="External"/><Relationship Id="rId532" Type="http://schemas.openxmlformats.org/officeDocument/2006/relationships/hyperlink" Target="https://t.me/roghayehkhaatoon_315" TargetMode="External"/><Relationship Id="rId531" Type="http://schemas.openxmlformats.org/officeDocument/2006/relationships/hyperlink" Target="https://www.instagram.com/roghayehkhaton315?utm_source=ig_web_button_share_sheet&amp;igsh=ZDNlZDc0MzIxNw==" TargetMode="External"/><Relationship Id="rId530" Type="http://schemas.openxmlformats.org/officeDocument/2006/relationships/hyperlink" Target="https://eitaa.com/Kousariye_channel" TargetMode="External"/><Relationship Id="rId569" Type="http://schemas.openxmlformats.org/officeDocument/2006/relationships/hyperlink" Target="https://www.instagram.com/natanz.markaz.heyateabolfazl?utm_source=ig_web_button_share_sheet&amp;igsh=ZDNlZDc0MzIxNw==" TargetMode="External"/><Relationship Id="rId568" Type="http://schemas.openxmlformats.org/officeDocument/2006/relationships/hyperlink" Target="https://www.instagram.com/njfheyat?utm_source=ig_web_button_share_sheet&amp;igsh=ZDNlZDc0MzIxNw==" TargetMode="External"/><Relationship Id="rId567" Type="http://schemas.openxmlformats.org/officeDocument/2006/relationships/hyperlink" Target="https://www.instagram.com/movkebnaein?utm_source=ig_web_button_share_sheet&amp;igsh=ZDNlZDc0MzIxNw==" TargetMode="External"/><Relationship Id="rId566" Type="http://schemas.openxmlformats.org/officeDocument/2006/relationships/hyperlink" Target="https://www.instagram.com/isfahan.atabat?utm_source=ig_web_button_share_sheet&amp;igsh=ZDNlZDc0MzIxNw==" TargetMode="External"/><Relationship Id="rId561" Type="http://schemas.openxmlformats.org/officeDocument/2006/relationships/hyperlink" Target="https://www.instagram.com/hoseineh_hazrat_abalfazl?utm_source=ig_web_button_share_sheet&amp;igsh=ZDNlZDc0MzIxNw==" TargetMode="External"/><Relationship Id="rId560" Type="http://schemas.openxmlformats.org/officeDocument/2006/relationships/hyperlink" Target="https://eitaa.com/imamhoseincharity_com" TargetMode="External"/><Relationship Id="rId565" Type="http://schemas.openxmlformats.org/officeDocument/2006/relationships/hyperlink" Target="https://www.instagram.com/oshagholhossein_mobarake?utm_source=ig_web_button_share_sheet&amp;igsh=ZDNlZDc0MzIxNw==" TargetMode="External"/><Relationship Id="rId564" Type="http://schemas.openxmlformats.org/officeDocument/2006/relationships/hyperlink" Target="https://www.instagram.com/heyat_hazrataliasghar?utm_source=ig_web_button_share_sheet&amp;igsh=ZDNlZDc0MzIxNw==" TargetMode="External"/><Relationship Id="rId563" Type="http://schemas.openxmlformats.org/officeDocument/2006/relationships/hyperlink" Target="https://www.instagram.com/maktabazzahra201?utm_source=ig_web_button_share_sheet&amp;igsh=ZDNlZDc0MzIxNw==" TargetMode="External"/><Relationship Id="rId562" Type="http://schemas.openxmlformats.org/officeDocument/2006/relationships/hyperlink" Target="https://www.instagram.com/heyat.sajadiye.kashan?utm_source=ig_web_button_share_sheet&amp;igsh=ZDNlZDc0MzIxNw==" TargetMode="External"/><Relationship Id="rId558" Type="http://schemas.openxmlformats.org/officeDocument/2006/relationships/hyperlink" Target="https://www.instagram.com/imamhosein_com?utm_source=ig_web_button_share_sheet&amp;igsh=ZDNlZDc0MzIxNw==" TargetMode="External"/><Relationship Id="rId557" Type="http://schemas.openxmlformats.org/officeDocument/2006/relationships/hyperlink" Target="https://www.instagram.com/anjomankheyriyeabolfazl?utm_source=ig_web_button_share_sheet&amp;igsh=ZDNlZDc0MzIxNw==" TargetMode="External"/><Relationship Id="rId556" Type="http://schemas.openxmlformats.org/officeDocument/2006/relationships/hyperlink" Target="https://t.me/fatemiyoon1391" TargetMode="External"/><Relationship Id="rId555" Type="http://schemas.openxmlformats.org/officeDocument/2006/relationships/hyperlink" Target="https://www.instagram.com/ansarolhosein_shahreza?utm_source=ig_web_button_share_sheet&amp;igsh=ZDNlZDc0MzIxNw==" TargetMode="External"/><Relationship Id="rId559" Type="http://schemas.openxmlformats.org/officeDocument/2006/relationships/hyperlink" Target="https://t.me/imamhosein_com" TargetMode="External"/><Relationship Id="rId550" Type="http://schemas.openxmlformats.org/officeDocument/2006/relationships/hyperlink" Target="https://www.instagram.com/abaabdelah.ir?utm_source=ig_web_button_share_sheet&amp;igsh=ZDNlZDc0MzIxNw==" TargetMode="External"/><Relationship Id="rId554" Type="http://schemas.openxmlformats.org/officeDocument/2006/relationships/hyperlink" Target="https://www.instagram.com/fatemiyonesff.ir?utm_source=ig_web_button_share_sheet&amp;igsh=ZDNlZDc0MzIxNw==" TargetMode="External"/><Relationship Id="rId553" Type="http://schemas.openxmlformats.org/officeDocument/2006/relationships/hyperlink" Target="https://www.instagram.com/emamreza88888?utm_source=ig_web_button_share_sheet&amp;igsh=ZDNlZDc0MzIxNw==" TargetMode="External"/><Relationship Id="rId552" Type="http://schemas.openxmlformats.org/officeDocument/2006/relationships/hyperlink" Target="https://www.instagram.com/heyat_shohada_khajoo?utm_source=ig_web_button_share_sheet&amp;igsh=ZDNlZDc0MzIxNw==" TargetMode="External"/><Relationship Id="rId551" Type="http://schemas.openxmlformats.org/officeDocument/2006/relationships/hyperlink" Target="https://www.instagram.com/masjedjameesfahan110?utm_source=ig_web_button_share_sheet&amp;igsh=ZDNlZDc0MzIxNw==" TargetMode="External"/><Relationship Id="rId495" Type="http://schemas.openxmlformats.org/officeDocument/2006/relationships/hyperlink" Target="https://t.me/kanoonmirjalal" TargetMode="External"/><Relationship Id="rId494" Type="http://schemas.openxmlformats.org/officeDocument/2006/relationships/hyperlink" Target="https://eitaa.com/heiat1349_ir" TargetMode="External"/><Relationship Id="rId493" Type="http://schemas.openxmlformats.org/officeDocument/2006/relationships/hyperlink" Target="https://t.me/heiat1349_ir" TargetMode="External"/><Relationship Id="rId492" Type="http://schemas.openxmlformats.org/officeDocument/2006/relationships/hyperlink" Target="https://www.instagram.com/heiat1349_ir?utm_source=ig_web_button_share_sheet&amp;igsh=ZDNlZDc0MzIxNw==" TargetMode="External"/><Relationship Id="rId499" Type="http://schemas.openxmlformats.org/officeDocument/2006/relationships/hyperlink" Target="https://eitaa.com/markazmodares" TargetMode="External"/><Relationship Id="rId498" Type="http://schemas.openxmlformats.org/officeDocument/2006/relationships/hyperlink" Target="https://www.instagram.com/markazmodares?utm_source=ig_web_button_share_sheet&amp;igsh=ZDNlZDc0MzIxNw==" TargetMode="External"/><Relationship Id="rId497" Type="http://schemas.openxmlformats.org/officeDocument/2006/relationships/hyperlink" Target="https://www.instagram.com/heyet_amiralmomenin_damane?utm_source=ig_web_button_share_sheet&amp;igsh=ZDNlZDc0MzIxNw==" TargetMode="External"/><Relationship Id="rId496" Type="http://schemas.openxmlformats.org/officeDocument/2006/relationships/hyperlink" Target="https://eitaa.com/mirjalaljeshvaghan" TargetMode="External"/><Relationship Id="rId409" Type="http://schemas.openxmlformats.org/officeDocument/2006/relationships/hyperlink" Target="https://eitaa.com/Qasimson" TargetMode="External"/><Relationship Id="rId404" Type="http://schemas.openxmlformats.org/officeDocument/2006/relationships/hyperlink" Target="https://www.instagram.com/mahdienajafabad?utm_source=ig_web_button_share_sheet&amp;igsh=ZDNlZDc0MzIxNw==" TargetMode="External"/><Relationship Id="rId403" Type="http://schemas.openxmlformats.org/officeDocument/2006/relationships/hyperlink" Target="https://t.me/alnabigolmohammadi" TargetMode="External"/><Relationship Id="rId402" Type="http://schemas.openxmlformats.org/officeDocument/2006/relationships/hyperlink" Target="https://eitaa.com/mahdiehisf" TargetMode="External"/><Relationship Id="rId401" Type="http://schemas.openxmlformats.org/officeDocument/2006/relationships/hyperlink" Target="https://t.me/Nodbeh_SahebAzzaman" TargetMode="External"/><Relationship Id="rId408" Type="http://schemas.openxmlformats.org/officeDocument/2006/relationships/hyperlink" Target="https://www.instagram.com/baghiatallah.info?utm_source=ig_web_button_share_sheet&amp;igsh=ZDNlZDc0MzIxNw==" TargetMode="External"/><Relationship Id="rId407" Type="http://schemas.openxmlformats.org/officeDocument/2006/relationships/hyperlink" Target="https://www.instagram.com/ansar_housein?utm_source=ig_web_button_share_sheet&amp;igsh=ZDNlZDc0MzIxNw==" TargetMode="External"/><Relationship Id="rId406" Type="http://schemas.openxmlformats.org/officeDocument/2006/relationships/hyperlink" Target="https://eitaa.com/maktab_azahra" TargetMode="External"/><Relationship Id="rId405" Type="http://schemas.openxmlformats.org/officeDocument/2006/relationships/hyperlink" Target="https://eitaa.com/mohebban_amiralmumeninn" TargetMode="External"/><Relationship Id="rId400" Type="http://schemas.openxmlformats.org/officeDocument/2006/relationships/hyperlink" Target="https://eitaa.com/aleyasin_channel" TargetMode="External"/><Relationship Id="rId469" Type="http://schemas.openxmlformats.org/officeDocument/2006/relationships/hyperlink" Target="https://www.instagram.com/zeynabion.daran?utm_source=ig_web_button_share_sheet&amp;igsh=ZDNlZDc0MzIxNw==" TargetMode="External"/><Relationship Id="rId468" Type="http://schemas.openxmlformats.org/officeDocument/2006/relationships/hyperlink" Target="https://t.me/mohebin_karime_ahl" TargetMode="External"/><Relationship Id="rId467" Type="http://schemas.openxmlformats.org/officeDocument/2006/relationships/hyperlink" Target="https://www.instagram.com/mohebine_karime_ahlebeyt?utm_source=ig_web_button_share_sheet&amp;igsh=ZDNlZDc0MzIxNw==" TargetMode="External"/><Relationship Id="rId462" Type="http://schemas.openxmlformats.org/officeDocument/2006/relationships/hyperlink" Target="https://www.instagram.com/gol_heyaat?utm_source=ig_web_button_share_sheet&amp;igsh=ZDNlZDc0MzIxNw==" TargetMode="External"/><Relationship Id="rId461" Type="http://schemas.openxmlformats.org/officeDocument/2006/relationships/hyperlink" Target="https://www.instagram.com/ashouraiyan_313?utm_source=ig_web_button_share_sheet&amp;igsh=ZDNlZDc0MzIxNw==" TargetMode="External"/><Relationship Id="rId460" Type="http://schemas.openxmlformats.org/officeDocument/2006/relationships/hyperlink" Target="https://www.instagram.com/mahfel_ashk_213?utm_source=ig_web_button_share_sheet&amp;igsh=ZDNlZDc0MzIxNw==" TargetMode="External"/><Relationship Id="rId466" Type="http://schemas.openxmlformats.org/officeDocument/2006/relationships/hyperlink" Target="https://eitaa.com/oshagh_yazdel" TargetMode="External"/><Relationship Id="rId465" Type="http://schemas.openxmlformats.org/officeDocument/2006/relationships/hyperlink" Target="https://www.instagram.com/khademm_alzahra?utm_source=ig_web_button_share_sheet&amp;igsh=ZDNlZDc0MzIxNw==" TargetMode="External"/><Relationship Id="rId464" Type="http://schemas.openxmlformats.org/officeDocument/2006/relationships/hyperlink" Target="https://www.instagram.com/khadem.almahdi?utm_source=ig_web_button_share_sheet&amp;igsh=ZDNlZDc0MzIxNw==" TargetMode="External"/><Relationship Id="rId463" Type="http://schemas.openxmlformats.org/officeDocument/2006/relationships/hyperlink" Target="https://eitaa.com/sorood_ansaralmahdy" TargetMode="External"/><Relationship Id="rId459" Type="http://schemas.openxmlformats.org/officeDocument/2006/relationships/hyperlink" Target="https://www.instagram.com/heyat_hazrat_zahra1?utm_source=ig_web_button_share_sheet&amp;igsh=ZDNlZDc0MzIxNw==" TargetMode="External"/><Relationship Id="rId458" Type="http://schemas.openxmlformats.org/officeDocument/2006/relationships/hyperlink" Target="https://eitaa.com/Montazeran_esf" TargetMode="External"/><Relationship Id="rId457" Type="http://schemas.openxmlformats.org/officeDocument/2006/relationships/hyperlink" Target="https://www.instagram.com/montazran.esf?utm_source=ig_web_button_share_sheet&amp;igsh=ZDNlZDc0MzIxNw==" TargetMode="External"/><Relationship Id="rId456" Type="http://schemas.openxmlformats.org/officeDocument/2006/relationships/hyperlink" Target="https://www.instagram.com/h.razmandegan?utm_source=ig_web_button_share_sheet&amp;igsh=ZDNlZDc0MzIxNw==" TargetMode="External"/><Relationship Id="rId451" Type="http://schemas.openxmlformats.org/officeDocument/2006/relationships/hyperlink" Target="https://www.instagram.com/oshaghalmahdii?utm_source=ig_web_button_share_sheet&amp;igsh=ZDNlZDc0MzIxNw==" TargetMode="External"/><Relationship Id="rId450" Type="http://schemas.openxmlformats.org/officeDocument/2006/relationships/hyperlink" Target="https://www.instagram.com/hytrzmndgnslmjnwb?utm_source=ig_web_button_share_sheet&amp;igsh=ZDNlZDc0MzIxNw==" TargetMode="External"/><Relationship Id="rId455" Type="http://schemas.openxmlformats.org/officeDocument/2006/relationships/hyperlink" Target="https://eitaa.com/khadem_bahonar" TargetMode="External"/><Relationship Id="rId454" Type="http://schemas.openxmlformats.org/officeDocument/2006/relationships/hyperlink" Target="https://t.me/misaqalah" TargetMode="External"/><Relationship Id="rId453" Type="http://schemas.openxmlformats.org/officeDocument/2006/relationships/hyperlink" Target="https://www.instagram.com/misaqalah?utm_source=ig_web_button_share_sheet&amp;igsh=ZDNlZDc0MzIxNw==" TargetMode="External"/><Relationship Id="rId452" Type="http://schemas.openxmlformats.org/officeDocument/2006/relationships/hyperlink" Target="https://eitaa.com/yousefi_original" TargetMode="External"/><Relationship Id="rId491" Type="http://schemas.openxmlformats.org/officeDocument/2006/relationships/hyperlink" Target="https://eitaa.com/ghriibemadine_118" TargetMode="External"/><Relationship Id="rId490" Type="http://schemas.openxmlformats.org/officeDocument/2006/relationships/hyperlink" Target="https://t.me/ghriibemadine_118" TargetMode="External"/><Relationship Id="rId489" Type="http://schemas.openxmlformats.org/officeDocument/2006/relationships/hyperlink" Target="https://www.instagram.com/ghariibemadine.118?utm_source=ig_web_button_share_sheet&amp;igsh=ZDNlZDc0MzIxNw==" TargetMode="External"/><Relationship Id="rId484" Type="http://schemas.openxmlformats.org/officeDocument/2006/relationships/hyperlink" Target="https://www.instagram.com/hejs_m?utm_source=ig_web_button_share_sheet&amp;igsh=ZDNlZDc0MzIxNw==" TargetMode="External"/><Relationship Id="rId483" Type="http://schemas.openxmlformats.org/officeDocument/2006/relationships/hyperlink" Target="https://t.me/heiat_Asheghane_rohollah" TargetMode="External"/><Relationship Id="rId482" Type="http://schemas.openxmlformats.org/officeDocument/2006/relationships/hyperlink" Target="https://www.instagram.com/heiat_asheghane_rohollah?utm_source=ig_web_button_share_sheet&amp;igsh=ZDNlZDc0MzIxNw==" TargetMode="External"/><Relationship Id="rId481" Type="http://schemas.openxmlformats.org/officeDocument/2006/relationships/hyperlink" Target="https://eitaa.com/h_mohebbane_h_zahra135" TargetMode="External"/><Relationship Id="rId488" Type="http://schemas.openxmlformats.org/officeDocument/2006/relationships/hyperlink" Target="https://www.instagram.com/mahale_paeen_kachooeiyeh?utm_source=ig_web_button_share_sheet&amp;igsh=ZDNlZDc0MzIxNw==" TargetMode="External"/><Relationship Id="rId487" Type="http://schemas.openxmlformats.org/officeDocument/2006/relationships/hyperlink" Target="https://eitaa.com/heyatallzahra" TargetMode="External"/><Relationship Id="rId486" Type="http://schemas.openxmlformats.org/officeDocument/2006/relationships/hyperlink" Target="https://www.instagram.com/ansarolmahdi137?utm_source=ig_web_button_share_sheet&amp;igsh=ZDNlZDc0MzIxNw==" TargetMode="External"/><Relationship Id="rId485" Type="http://schemas.openxmlformats.org/officeDocument/2006/relationships/hyperlink" Target="https://t.me/hejs_m" TargetMode="External"/><Relationship Id="rId480" Type="http://schemas.openxmlformats.org/officeDocument/2006/relationships/hyperlink" Target="https://www.instagram.com/h_mohebbane_h_zahra135?utm_source=ig_web_button_share_sheet&amp;igsh=ZDNlZDc0MzIxNw==" TargetMode="External"/><Relationship Id="rId479" Type="http://schemas.openxmlformats.org/officeDocument/2006/relationships/hyperlink" Target="https://eitaa.com/sarala551" TargetMode="External"/><Relationship Id="rId478" Type="http://schemas.openxmlformats.org/officeDocument/2006/relationships/hyperlink" Target="https://eitaa.com/asheghan_velayat_ntz" TargetMode="External"/><Relationship Id="rId473" Type="http://schemas.openxmlformats.org/officeDocument/2006/relationships/hyperlink" Target="https://www.instagram.com/pgomnam/?utm_source=ig_web_button_share_sheet" TargetMode="External"/><Relationship Id="rId472" Type="http://schemas.openxmlformats.org/officeDocument/2006/relationships/hyperlink" Target="https://www.instagram.com/a_velayat_live?utm_source=ig_web_button_share_sheet&amp;igsh=ZDNlZDc0MzIxNw==" TargetMode="External"/><Relationship Id="rId471" Type="http://schemas.openxmlformats.org/officeDocument/2006/relationships/hyperlink" Target="https://www.instagram.com/ansar_alhosein_daran?utm_source=ig_web_button_share_sheet&amp;igsh=ZDNlZDc0MzIxNw==" TargetMode="External"/><Relationship Id="rId470" Type="http://schemas.openxmlformats.org/officeDocument/2006/relationships/hyperlink" Target="https://t.me/zeynabiondaran" TargetMode="External"/><Relationship Id="rId477" Type="http://schemas.openxmlformats.org/officeDocument/2006/relationships/hyperlink" Target="https://eitaa.com/misagh_shahidan" TargetMode="External"/><Relationship Id="rId476" Type="http://schemas.openxmlformats.org/officeDocument/2006/relationships/hyperlink" Target="https://www.instagram.com/misagh_shahidan?utm_source=ig_web_button_share_sheet&amp;igsh=ZDNlZDc0MzIxNw==" TargetMode="External"/><Relationship Id="rId475" Type="http://schemas.openxmlformats.org/officeDocument/2006/relationships/hyperlink" Target="https://www.instagram.com/m_ravaagh?utm_source=ig_web_button_share_sheet&amp;igsh=ZDNlZDc0MzIxNw==" TargetMode="External"/><Relationship Id="rId474" Type="http://schemas.openxmlformats.org/officeDocument/2006/relationships/hyperlink" Target="https://eitaa.com/pgomnam" TargetMode="External"/><Relationship Id="rId426" Type="http://schemas.openxmlformats.org/officeDocument/2006/relationships/hyperlink" Target="https://eitaa.com/nakhlekashan" TargetMode="External"/><Relationship Id="rId425" Type="http://schemas.openxmlformats.org/officeDocument/2006/relationships/hyperlink" Target="https://t.me/nakhlekashan" TargetMode="External"/><Relationship Id="rId424" Type="http://schemas.openxmlformats.org/officeDocument/2006/relationships/hyperlink" Target="https://www.instagram.com/nakhlekashan/" TargetMode="External"/><Relationship Id="rId423" Type="http://schemas.openxmlformats.org/officeDocument/2006/relationships/hyperlink" Target="https://eitaa.com/jannatolroghayekashan315" TargetMode="External"/><Relationship Id="rId429" Type="http://schemas.openxmlformats.org/officeDocument/2006/relationships/hyperlink" Target="https://t.me/fadaeianhoseinir" TargetMode="External"/><Relationship Id="rId428" Type="http://schemas.openxmlformats.org/officeDocument/2006/relationships/hyperlink" Target="https://eitaa.com/Najvaye_lea" TargetMode="External"/><Relationship Id="rId427" Type="http://schemas.openxmlformats.org/officeDocument/2006/relationships/hyperlink" Target="https://www.instagram.com/heyatefatemezahra/" TargetMode="External"/><Relationship Id="rId422" Type="http://schemas.openxmlformats.org/officeDocument/2006/relationships/hyperlink" Target="https://www.instagram.com/alavioonshahinshahr_noja?utm_source=ig_web_button_share_sheet&amp;igsh=ZDNlZDc0MzIxNw==" TargetMode="External"/><Relationship Id="rId421" Type="http://schemas.openxmlformats.org/officeDocument/2006/relationships/hyperlink" Target="https://t.me/heyat_Alyasin" TargetMode="External"/><Relationship Id="rId420" Type="http://schemas.openxmlformats.org/officeDocument/2006/relationships/hyperlink" Target="https://www.instagram.com/heyat_alyasin?utm_source=ig_web_button_share_sheet&amp;igsh=ZDNlZDc0MzIxNw==" TargetMode="External"/><Relationship Id="rId415" Type="http://schemas.openxmlformats.org/officeDocument/2006/relationships/hyperlink" Target="https://t.me/heiatoshagh" TargetMode="External"/><Relationship Id="rId414" Type="http://schemas.openxmlformats.org/officeDocument/2006/relationships/hyperlink" Target="https://www.instagram.com/oshagholhosain?utm_source=ig_web_button_share_sheet&amp;igsh=ZDNlZDc0MzIxNw==" TargetMode="External"/><Relationship Id="rId413" Type="http://schemas.openxmlformats.org/officeDocument/2006/relationships/hyperlink" Target="https://www.instagram.com/heyat_javanan_banihashem1385?utm_source=ig_web_button_share_sheet&amp;igsh=ZDNlZDc0MzIxNw==" TargetMode="External"/><Relationship Id="rId412" Type="http://schemas.openxmlformats.org/officeDocument/2006/relationships/hyperlink" Target="https://eitaa.com/masjedsajjad_naein" TargetMode="External"/><Relationship Id="rId419" Type="http://schemas.openxmlformats.org/officeDocument/2006/relationships/hyperlink" Target="https://www.instagram.com/14masoum_1349?utm_source=ig_web_button_share_sheet&amp;igsh=ZDNlZDc0MzIxNw==" TargetMode="External"/><Relationship Id="rId418" Type="http://schemas.openxmlformats.org/officeDocument/2006/relationships/hyperlink" Target="https://eitaa.com/aghigh_ir" TargetMode="External"/><Relationship Id="rId417" Type="http://schemas.openxmlformats.org/officeDocument/2006/relationships/hyperlink" Target="https://eitaa.com/Aletaha_heyat" TargetMode="External"/><Relationship Id="rId416" Type="http://schemas.openxmlformats.org/officeDocument/2006/relationships/hyperlink" Target="https://eitaa.com/moheban_almahdi_ag" TargetMode="External"/><Relationship Id="rId411" Type="http://schemas.openxmlformats.org/officeDocument/2006/relationships/hyperlink" Target="https://www.instagram.com/montazeran.mahdi.s313?utm_source=ig_web_button_share_sheet&amp;igsh=ZDNlZDc0MzIxNw==" TargetMode="External"/><Relationship Id="rId410" Type="http://schemas.openxmlformats.org/officeDocument/2006/relationships/hyperlink" Target="https://www.instagram.com/fatemiekhansar?utm_source=ig_web_button_share_sheet&amp;igsh=ZDNlZDc0MzIxNw==" TargetMode="External"/><Relationship Id="rId448" Type="http://schemas.openxmlformats.org/officeDocument/2006/relationships/hyperlink" Target="https://www.instagram.com/montazeranlenjan313?utm_source=ig_web_button_share_sheet&amp;igsh=ZDNlZDc0MzIxNw==" TargetMode="External"/><Relationship Id="rId447" Type="http://schemas.openxmlformats.org/officeDocument/2006/relationships/hyperlink" Target="https://eitaa.com/Heyatsolalatonabi" TargetMode="External"/><Relationship Id="rId446" Type="http://schemas.openxmlformats.org/officeDocument/2006/relationships/hyperlink" Target="https://www.instagram.com/hazratezahra_zarinshahr?utm_source=ig_web_button_share_sheet&amp;igsh=ZDNlZDc0MzIxNw==" TargetMode="External"/><Relationship Id="rId445" Type="http://schemas.openxmlformats.org/officeDocument/2006/relationships/hyperlink" Target="https://eitaa.com/Beit_ol_abas_khomeinishahr" TargetMode="External"/><Relationship Id="rId449" Type="http://schemas.openxmlformats.org/officeDocument/2006/relationships/hyperlink" Target="https://www.instagram.com/abolfazlabbas_esf?utm_source=ig_web_button_share_sheet&amp;igsh=ZDNlZDc0MzIxNw==" TargetMode="External"/><Relationship Id="rId440" Type="http://schemas.openxmlformats.org/officeDocument/2006/relationships/hyperlink" Target="https://eitaa.com/karime_al_taha" TargetMode="External"/><Relationship Id="rId444" Type="http://schemas.openxmlformats.org/officeDocument/2006/relationships/hyperlink" Target="https://www.instagram.com/heyat_ommeabiha_esf?utm_source=ig_web_button_share_sheet&amp;igsh=ZDNlZDc0MzIxNw==" TargetMode="External"/><Relationship Id="rId443" Type="http://schemas.openxmlformats.org/officeDocument/2006/relationships/hyperlink" Target="https://www.instagram.com/_heiat_hazrataliasghar?utm_source=ig_web_button_share_sheet&amp;igsh=ZDNlZDc0MzIxNw==" TargetMode="External"/><Relationship Id="rId442" Type="http://schemas.openxmlformats.org/officeDocument/2006/relationships/hyperlink" Target="https://www.instagram.com/moheban_all_mahdi" TargetMode="External"/><Relationship Id="rId441" Type="http://schemas.openxmlformats.org/officeDocument/2006/relationships/hyperlink" Target="https://eitaa.com/heyatTolou" TargetMode="External"/><Relationship Id="rId437" Type="http://schemas.openxmlformats.org/officeDocument/2006/relationships/hyperlink" Target="https://www.instagram.com/mohebanzahra110?utm_source=ig_web_button_share_sheet&amp;igsh=ZDNlZDc0MzIxNw==" TargetMode="External"/><Relationship Id="rId436" Type="http://schemas.openxmlformats.org/officeDocument/2006/relationships/hyperlink" Target="https://eitaa.com/fatemeih_adaryan_213" TargetMode="External"/><Relationship Id="rId435" Type="http://schemas.openxmlformats.org/officeDocument/2006/relationships/hyperlink" Target="https://eitaa.com/markazmodaresw" TargetMode="External"/><Relationship Id="rId434" Type="http://schemas.openxmlformats.org/officeDocument/2006/relationships/hyperlink" Target="https://www.instagram.com/markaz_modaresw?utm_source=ig_web_button_share_sheet&amp;igsh=ZDNlZDc0MzIxNw==" TargetMode="External"/><Relationship Id="rId439" Type="http://schemas.openxmlformats.org/officeDocument/2006/relationships/hyperlink" Target="https://t.me/karim_ale_tahaa" TargetMode="External"/><Relationship Id="rId438" Type="http://schemas.openxmlformats.org/officeDocument/2006/relationships/hyperlink" Target="https://www.instagram.com/karim_al_taha118?utm_source=ig_web_button_share_sheet&amp;igsh=ZDNlZDc0MzIxNw==" TargetMode="External"/><Relationship Id="rId433" Type="http://schemas.openxmlformats.org/officeDocument/2006/relationships/hyperlink" Target="https://www.instagram.com/me_heyat?utm_source=ig_web_button_share_sheet&amp;igsh=ZDNlZDc0MzIxNw==" TargetMode="External"/><Relationship Id="rId432" Type="http://schemas.openxmlformats.org/officeDocument/2006/relationships/hyperlink" Target="https://eitaa.com/SAELIN_ZAHRA" TargetMode="External"/><Relationship Id="rId431" Type="http://schemas.openxmlformats.org/officeDocument/2006/relationships/hyperlink" Target="https://eitaa.com/peyrovan_etrat" TargetMode="External"/><Relationship Id="rId430" Type="http://schemas.openxmlformats.org/officeDocument/2006/relationships/hyperlink" Target="https://eitaa.com/fadaeianhoseinir" TargetMode="External"/><Relationship Id="rId1" Type="http://schemas.openxmlformats.org/officeDocument/2006/relationships/hyperlink" Target="https://www.instagram.com/yahosein_golpayegan/?hl=en" TargetMode="External"/><Relationship Id="rId2" Type="http://schemas.openxmlformats.org/officeDocument/2006/relationships/hyperlink" Target="https://www.instagram.com/ashouraiyan_313/" TargetMode="External"/><Relationship Id="rId3" Type="http://schemas.openxmlformats.org/officeDocument/2006/relationships/hyperlink" Target="https://www.instagram.com/heyat_aliakbar_dolatabad8/?hl=en" TargetMode="External"/><Relationship Id="rId4" Type="http://schemas.openxmlformats.org/officeDocument/2006/relationships/hyperlink" Target="https://www.instagram.com/fatimieh_waliasr/" TargetMode="External"/><Relationship Id="rId9" Type="http://schemas.openxmlformats.org/officeDocument/2006/relationships/hyperlink" Target="https://www.instagram.com/fanousgroup_ir/?hl=en" TargetMode="External"/><Relationship Id="rId5" Type="http://schemas.openxmlformats.org/officeDocument/2006/relationships/hyperlink" Target="https://www.instagram.com/zakerinahlebeyt/" TargetMode="External"/><Relationship Id="rId6" Type="http://schemas.openxmlformats.org/officeDocument/2006/relationships/hyperlink" Target="https://www.instagram.com/imam_mojtaba_h/" TargetMode="External"/><Relationship Id="rId7" Type="http://schemas.openxmlformats.org/officeDocument/2006/relationships/hyperlink" Target="https://www.instagram.com/yadegaran_ir/" TargetMode="External"/><Relationship Id="rId8" Type="http://schemas.openxmlformats.org/officeDocument/2006/relationships/hyperlink" Target="https://www.instagram.com/qamarbanihashem_nasrabad/" TargetMode="External"/><Relationship Id="rId808" Type="http://schemas.openxmlformats.org/officeDocument/2006/relationships/hyperlink" Target="https://www.instagram.com/e_talkhoncheh?utm_source=ig_web_button_share_sheet&amp;igsh=ZDNlZDc0MzIxNw==" TargetMode="External"/><Relationship Id="rId807" Type="http://schemas.openxmlformats.org/officeDocument/2006/relationships/hyperlink" Target="https://eitaa.com/janatalzahra_s" TargetMode="External"/><Relationship Id="rId806" Type="http://schemas.openxmlformats.org/officeDocument/2006/relationships/hyperlink" Target="https://eitaa.com/m_ravaagh" TargetMode="External"/><Relationship Id="rId805" Type="http://schemas.openxmlformats.org/officeDocument/2006/relationships/hyperlink" Target="https://eitaa.com/madahanfalavarjan" TargetMode="External"/><Relationship Id="rId809" Type="http://schemas.openxmlformats.org/officeDocument/2006/relationships/hyperlink" Target="https://t.me/E_Talkhooncheh" TargetMode="External"/><Relationship Id="rId800" Type="http://schemas.openxmlformats.org/officeDocument/2006/relationships/hyperlink" Target="https://eitaa.com/yasinsedehlenjan" TargetMode="External"/><Relationship Id="rId804" Type="http://schemas.openxmlformats.org/officeDocument/2006/relationships/hyperlink" Target="https://eitaa.com/pm_aliasghar" TargetMode="External"/><Relationship Id="rId803" Type="http://schemas.openxmlformats.org/officeDocument/2006/relationships/hyperlink" Target="https://t.me/Alaviyoonisf" TargetMode="External"/><Relationship Id="rId802" Type="http://schemas.openxmlformats.org/officeDocument/2006/relationships/hyperlink" Target="https://www.instagram.com/alaviyoonisf?utm_source=ig_web_button_share_sheet&amp;igsh=ZDNlZDc0MzIxNw==" TargetMode="External"/><Relationship Id="rId801" Type="http://schemas.openxmlformats.org/officeDocument/2006/relationships/hyperlink" Target="https://eitaa.com/fatemiyonesff" TargetMode="External"/><Relationship Id="rId745" Type="http://schemas.openxmlformats.org/officeDocument/2006/relationships/hyperlink" Target="https://www.instagram.com/rahrovanshohada.isf?utm_source=ig_web_button_share_sheet&amp;igsh=ZDNlZDc0MzIxNw==" TargetMode="External"/><Relationship Id="rId744" Type="http://schemas.openxmlformats.org/officeDocument/2006/relationships/hyperlink" Target="https://eitaa.com/zahraeyoon_esf" TargetMode="External"/><Relationship Id="rId743" Type="http://schemas.openxmlformats.org/officeDocument/2006/relationships/hyperlink" Target="https://www.instagram.com/sadighehkobra?utm_source=ig_web_button_share_sheet&amp;igsh=ZDNlZDc0MzIxNw==" TargetMode="External"/><Relationship Id="rId742" Type="http://schemas.openxmlformats.org/officeDocument/2006/relationships/hyperlink" Target="https://eitaa.com/m_rouyesh_ir" TargetMode="External"/><Relationship Id="rId749" Type="http://schemas.openxmlformats.org/officeDocument/2006/relationships/hyperlink" Target="https://eitaa.com/heyathosseiniaran" TargetMode="External"/><Relationship Id="rId748" Type="http://schemas.openxmlformats.org/officeDocument/2006/relationships/hyperlink" Target="https://www.instagram.com/heyat.hosseini.aran?utm_source=ig_web_button_share_sheet&amp;igsh=ZDNlZDc0MzIxNw==" TargetMode="External"/><Relationship Id="rId747" Type="http://schemas.openxmlformats.org/officeDocument/2006/relationships/hyperlink" Target="https://eitaa.com/heyat_saralah_ir" TargetMode="External"/><Relationship Id="rId746" Type="http://schemas.openxmlformats.org/officeDocument/2006/relationships/hyperlink" Target="https://www.instagram.com/heiat_saralah_ir?utm_source=ig_web_button_share_sheet&amp;igsh=ZDNlZDc0MzIxNw==" TargetMode="External"/><Relationship Id="rId741" Type="http://schemas.openxmlformats.org/officeDocument/2006/relationships/hyperlink" Target="https://www.instagram.com/rouyesh_ir?utm_source=ig_web_button_share_sheet&amp;igsh=ZDNlZDc0MzIxNw==" TargetMode="External"/><Relationship Id="rId740" Type="http://schemas.openxmlformats.org/officeDocument/2006/relationships/hyperlink" Target="https://www.instagram.com/rahrovanvelayat1380?utm_source=ig_web_button_share_sheet&amp;igsh=ZDNlZDc0MzIxNw==" TargetMode="External"/><Relationship Id="rId739" Type="http://schemas.openxmlformats.org/officeDocument/2006/relationships/hyperlink" Target="https://www.instagram.com/ensiatalhaora135?utm_source=ig_web_button_share_sheet&amp;igsh=ZDNlZDc0MzIxNw==" TargetMode="External"/><Relationship Id="rId734" Type="http://schemas.openxmlformats.org/officeDocument/2006/relationships/hyperlink" Target="https://t.me/heiatfakharkhane" TargetMode="External"/><Relationship Id="rId733" Type="http://schemas.openxmlformats.org/officeDocument/2006/relationships/hyperlink" Target="https://www.instagram.com/heyat_abolfazl_fakharkhane?utm_source=ig_web_button_share_sheet&amp;igsh=ZDNlZDc0MzIxNw==" TargetMode="External"/><Relationship Id="rId732" Type="http://schemas.openxmlformats.org/officeDocument/2006/relationships/hyperlink" Target="https://eitaa.com/Gol_Nodbeh" TargetMode="External"/><Relationship Id="rId731" Type="http://schemas.openxmlformats.org/officeDocument/2006/relationships/hyperlink" Target="https://www.instagram.com/gol_nodbeh2?utm_source=ig_web_button_share_sheet&amp;igsh=ZDNlZDc0MzIxNw==" TargetMode="External"/><Relationship Id="rId738" Type="http://schemas.openxmlformats.org/officeDocument/2006/relationships/hyperlink" Target="https://www.instagram.com/valiasriya?utm_source=ig_web_button_share_sheet&amp;igsh=ZDNlZDc0MzIxNw==" TargetMode="External"/><Relationship Id="rId737" Type="http://schemas.openxmlformats.org/officeDocument/2006/relationships/hyperlink" Target="https://www.instagram.com/hosseinian_ghaletaki?utm_source=ig_web_button_share_sheet&amp;igsh=ZDNlZDc0MzIxNw==" TargetMode="External"/><Relationship Id="rId736" Type="http://schemas.openxmlformats.org/officeDocument/2006/relationships/hyperlink" Target="https://eitaa.com/ghamarbaniihashem" TargetMode="External"/><Relationship Id="rId735" Type="http://schemas.openxmlformats.org/officeDocument/2006/relationships/hyperlink" Target="https://eitaa.com/heyatrazmandeganab" TargetMode="External"/><Relationship Id="rId730" Type="http://schemas.openxmlformats.org/officeDocument/2006/relationships/hyperlink" Target="https://www.instagram.com/heiat_razmandegan_shoshtar?utm_source=ig_web_button_share_sheet&amp;igsh=ZDNlZDc0MzIxNw==" TargetMode="External"/><Relationship Id="rId767" Type="http://schemas.openxmlformats.org/officeDocument/2006/relationships/hyperlink" Target="https://t.me/mohebanhosein_esf" TargetMode="External"/><Relationship Id="rId766" Type="http://schemas.openxmlformats.org/officeDocument/2006/relationships/hyperlink" Target="https://www.instagram.com/mohebanhosein_esf/" TargetMode="External"/><Relationship Id="rId765" Type="http://schemas.openxmlformats.org/officeDocument/2006/relationships/hyperlink" Target="https://eitaa.com/kanoon_sagha" TargetMode="External"/><Relationship Id="rId764" Type="http://schemas.openxmlformats.org/officeDocument/2006/relationships/hyperlink" Target="https://eitaa.com/montazeran_zohour1393" TargetMode="External"/><Relationship Id="rId769" Type="http://schemas.openxmlformats.org/officeDocument/2006/relationships/hyperlink" Target="https://www.instagram.com/ya_abolfzl.1342/" TargetMode="External"/><Relationship Id="rId768" Type="http://schemas.openxmlformats.org/officeDocument/2006/relationships/hyperlink" Target="https://www.instagram.com/heyatejavananaliakbar/" TargetMode="External"/><Relationship Id="rId763" Type="http://schemas.openxmlformats.org/officeDocument/2006/relationships/hyperlink" Target="https://www.instagram.com/montazeran_zohour1393/" TargetMode="External"/><Relationship Id="rId762" Type="http://schemas.openxmlformats.org/officeDocument/2006/relationships/hyperlink" Target="https://www.instagram.com/heyat_ale_taha/" TargetMode="External"/><Relationship Id="rId761" Type="http://schemas.openxmlformats.org/officeDocument/2006/relationships/hyperlink" Target="https://www.instagram.com/heiataliasghar/" TargetMode="External"/><Relationship Id="rId760" Type="http://schemas.openxmlformats.org/officeDocument/2006/relationships/hyperlink" Target="https://www.instagram.com/heyat.javanane_aliakbar/" TargetMode="External"/><Relationship Id="rId756" Type="http://schemas.openxmlformats.org/officeDocument/2006/relationships/hyperlink" Target="https://eitaa.com/kottabsaghalain" TargetMode="External"/><Relationship Id="rId755" Type="http://schemas.openxmlformats.org/officeDocument/2006/relationships/hyperlink" Target="https://www.instagram.com/javanan_heyati_shahrezaa/?utm_source=ig_web_button_share_sheet" TargetMode="External"/><Relationship Id="rId754" Type="http://schemas.openxmlformats.org/officeDocument/2006/relationships/hyperlink" Target="https://www.instagram.com/yakarballa133?utm_source=ig_web_button_share_sheet&amp;igsh=ZDNlZDc0MzIxNw==" TargetMode="External"/><Relationship Id="rId753" Type="http://schemas.openxmlformats.org/officeDocument/2006/relationships/hyperlink" Target="https://www.instagram.com/khademoshohadaesf?utm_source=ig_web_button_share_sheet&amp;igsh=ZDNlZDc0MzIxNw==" TargetMode="External"/><Relationship Id="rId759" Type="http://schemas.openxmlformats.org/officeDocument/2006/relationships/hyperlink" Target="https://www.instagram.com/heyat_mesbahalhoda/?hl=en" TargetMode="External"/><Relationship Id="rId758" Type="http://schemas.openxmlformats.org/officeDocument/2006/relationships/hyperlink" Target="https://www.instagram.com/taziyeh.babalhavaej?utm_source=ig_web_button_share_sheet&amp;igsh=ZDNlZDc0MzIxNw==" TargetMode="External"/><Relationship Id="rId757" Type="http://schemas.openxmlformats.org/officeDocument/2006/relationships/hyperlink" Target="https://www.instagram.com/bytol.abas?utm_source=ig_web_button_share_sheet&amp;igsh=ZDNlZDc0MzIxNw==" TargetMode="External"/><Relationship Id="rId752" Type="http://schemas.openxmlformats.org/officeDocument/2006/relationships/hyperlink" Target="https://eitaa.com/yavaranvelayat_ir" TargetMode="External"/><Relationship Id="rId751" Type="http://schemas.openxmlformats.org/officeDocument/2006/relationships/hyperlink" Target="https://eitaa.com/montazeran_majazi" TargetMode="External"/><Relationship Id="rId750" Type="http://schemas.openxmlformats.org/officeDocument/2006/relationships/hyperlink" Target="https://t.me/Ghadiriyeh_dayani" TargetMode="External"/><Relationship Id="rId709" Type="http://schemas.openxmlformats.org/officeDocument/2006/relationships/hyperlink" Target="https://eitaa.com/maddahanesf" TargetMode="External"/><Relationship Id="rId708" Type="http://schemas.openxmlformats.org/officeDocument/2006/relationships/hyperlink" Target="https://eitaa.com/beytozahra_esfahan" TargetMode="External"/><Relationship Id="rId707" Type="http://schemas.openxmlformats.org/officeDocument/2006/relationships/hyperlink" Target="https://www.instagram.com/montazeranzohuor_313?utm_source=ig_web_button_share_sheet&amp;igsh=ZDNlZDc0MzIxNw==" TargetMode="External"/><Relationship Id="rId706" Type="http://schemas.openxmlformats.org/officeDocument/2006/relationships/hyperlink" Target="https://eitaa.com/morvaridhayeshaahr" TargetMode="External"/><Relationship Id="rId701" Type="http://schemas.openxmlformats.org/officeDocument/2006/relationships/hyperlink" Target="https://eitaa.com/heyatebanifatameh" TargetMode="External"/><Relationship Id="rId700" Type="http://schemas.openxmlformats.org/officeDocument/2006/relationships/hyperlink" Target="https://t.me/heyatebanifatameh" TargetMode="External"/><Relationship Id="rId705" Type="http://schemas.openxmlformats.org/officeDocument/2006/relationships/hyperlink" Target="https://www.instagram.com/shiftegan_128?utm_source=ig_web_button_share_sheet&amp;igsh=ZDNlZDc0MzIxNw==" TargetMode="External"/><Relationship Id="rId704" Type="http://schemas.openxmlformats.org/officeDocument/2006/relationships/hyperlink" Target="https://www.instagram.com/emamolmontazar_masjed?utm_source=ig_web_button_share_sheet&amp;igsh=ZDNlZDc0MzIxNw==" TargetMode="External"/><Relationship Id="rId703" Type="http://schemas.openxmlformats.org/officeDocument/2006/relationships/hyperlink" Target="https://eitaa.com/mahdaviye_isf" TargetMode="External"/><Relationship Id="rId702" Type="http://schemas.openxmlformats.org/officeDocument/2006/relationships/hyperlink" Target="https://www.instagram.com/heiat.aliasghar.galougah?utm_source=ig_web_button_share_sheet&amp;igsh=ZDNlZDc0MzIxNw==" TargetMode="External"/><Relationship Id="rId729" Type="http://schemas.openxmlformats.org/officeDocument/2006/relationships/hyperlink" Target="https://t.me/kheirieghasem" TargetMode="External"/><Relationship Id="rId728" Type="http://schemas.openxmlformats.org/officeDocument/2006/relationships/hyperlink" Target="https://www.instagram.com/heiat_ghasem_arisman?utm_source=ig_web_button_share_sheet&amp;igsh=ZDNlZDc0MzIxNw==" TargetMode="External"/><Relationship Id="rId723" Type="http://schemas.openxmlformats.org/officeDocument/2006/relationships/hyperlink" Target="https://www.instagram.com/h.ali.asghar.shz?utm_source=ig_web_button_share_sheet&amp;igsh=ZDNlZDc0MzIxNw==" TargetMode="External"/><Relationship Id="rId722" Type="http://schemas.openxmlformats.org/officeDocument/2006/relationships/hyperlink" Target="https://eitaa.com/hiatrihaneh" TargetMode="External"/><Relationship Id="rId721" Type="http://schemas.openxmlformats.org/officeDocument/2006/relationships/hyperlink" Target="https://www.instagram.com/heyat_hosini_qamsar?utm_source=ig_web_button_share_sheet&amp;igsh=ZDNlZDc0MzIxNw==" TargetMode="External"/><Relationship Id="rId720" Type="http://schemas.openxmlformats.org/officeDocument/2006/relationships/hyperlink" Target="https://www.instagram.com/zeynabie.kashan?utm_source=ig_web_button_share_sheet&amp;igsh=ZDNlZDc0MzIxNw==" TargetMode="External"/><Relationship Id="rId727" Type="http://schemas.openxmlformats.org/officeDocument/2006/relationships/hyperlink" Target="https://www.instagram.com/deehagh?utm_source=ig_web_button_share_sheet&amp;igsh=ZDNlZDc0MzIxNw==" TargetMode="External"/><Relationship Id="rId726" Type="http://schemas.openxmlformats.org/officeDocument/2006/relationships/hyperlink" Target="https://www.instagram.com/ghamarebanihashem133a?utm_source=ig_web_button_share_sheet&amp;igsh=ZDNlZDc0MzIxNw==" TargetMode="External"/><Relationship Id="rId725" Type="http://schemas.openxmlformats.org/officeDocument/2006/relationships/hyperlink" Target="https://www.instagram.com/emam_hasan_mojtaba_sh?utm_source=ig_web_button_share_sheet&amp;igsh=ZDNlZDc0MzIxNw==" TargetMode="External"/><Relationship Id="rId724" Type="http://schemas.openxmlformats.org/officeDocument/2006/relationships/hyperlink" Target="https://eitaa.com/setadghadirshahreza" TargetMode="External"/><Relationship Id="rId719" Type="http://schemas.openxmlformats.org/officeDocument/2006/relationships/hyperlink" Target="https://www.instagram.com/javanan_emamhasan?utm_source=ig_web_button_share_sheet&amp;igsh=ZDNlZDc0MzIxNw==" TargetMode="External"/><Relationship Id="rId718" Type="http://schemas.openxmlformats.org/officeDocument/2006/relationships/hyperlink" Target="https://eitaa.com/nakhlekashan" TargetMode="External"/><Relationship Id="rId717" Type="http://schemas.openxmlformats.org/officeDocument/2006/relationships/hyperlink" Target="https://t.me/nakhlekashan" TargetMode="External"/><Relationship Id="rId712" Type="http://schemas.openxmlformats.org/officeDocument/2006/relationships/hyperlink" Target="https://eitaa.com/h_ansaralabbas_p" TargetMode="External"/><Relationship Id="rId711" Type="http://schemas.openxmlformats.org/officeDocument/2006/relationships/hyperlink" Target="https://www.instagram.com/h_ansaralabbas_p?utm_source=ig_web_button_share_sheet&amp;igsh=ZDNlZDc0MzIxNw==" TargetMode="External"/><Relationship Id="rId710" Type="http://schemas.openxmlformats.org/officeDocument/2006/relationships/hyperlink" Target="https://eitaa.com/moheban_emamhasan" TargetMode="External"/><Relationship Id="rId716" Type="http://schemas.openxmlformats.org/officeDocument/2006/relationships/hyperlink" Target="https://www.instagram.com/nakhlekashan?utm_source=ig_web_button_share_sheet&amp;igsh=ZDNlZDc0MzIxNw==" TargetMode="External"/><Relationship Id="rId715" Type="http://schemas.openxmlformats.org/officeDocument/2006/relationships/hyperlink" Target="https://eitaa.com/asheghanemahdi_chanel" TargetMode="External"/><Relationship Id="rId714" Type="http://schemas.openxmlformats.org/officeDocument/2006/relationships/hyperlink" Target="https://eitaa.com/noralhoda_sorod" TargetMode="External"/><Relationship Id="rId713" Type="http://schemas.openxmlformats.org/officeDocument/2006/relationships/hyperlink" Target="https://www.instagram.com/noralhoda_sorod?utm_source=ig_web_button_share_sheet&amp;igsh=ZDNlZDc0MzIxNw==" TargetMode="External"/><Relationship Id="rId789" Type="http://schemas.openxmlformats.org/officeDocument/2006/relationships/hyperlink" Target="https://t.me/heyataliakbarbostan4" TargetMode="External"/><Relationship Id="rId788" Type="http://schemas.openxmlformats.org/officeDocument/2006/relationships/hyperlink" Target="https://www.instagram.com/heyyate_hazrate_aliakbar?utm_source=ig_web_button_share_sheet&amp;igsh=ZDNlZDc0MzIxNw==" TargetMode="External"/><Relationship Id="rId787" Type="http://schemas.openxmlformats.org/officeDocument/2006/relationships/hyperlink" Target="https://www.instagram.com/hoseiniyeh_seyed_shohada?utm_source=ig_web_button_share_sheet&amp;igsh=ZDNlZDc0MzIxNw==" TargetMode="External"/><Relationship Id="rId786" Type="http://schemas.openxmlformats.org/officeDocument/2006/relationships/hyperlink" Target="https://www.instagram.com/mehre_samen?utm_source=ig_web_button_share_sheet&amp;igsh=ZDNlZDc0MzIxNw==" TargetMode="External"/><Relationship Id="rId781" Type="http://schemas.openxmlformats.org/officeDocument/2006/relationships/hyperlink" Target="https://eitaa.com/leva135" TargetMode="External"/><Relationship Id="rId780" Type="http://schemas.openxmlformats.org/officeDocument/2006/relationships/hyperlink" Target="https://www.instagram.com/leva.olmahdi?utm_source=ig_web_button_share_sheet&amp;igsh=ZDNlZDc0MzIxNw==" TargetMode="External"/><Relationship Id="rId785" Type="http://schemas.openxmlformats.org/officeDocument/2006/relationships/hyperlink" Target="https://eitaa.com/heyat_saralah" TargetMode="External"/><Relationship Id="rId784" Type="http://schemas.openxmlformats.org/officeDocument/2006/relationships/hyperlink" Target="https://www.instagram.com/sarallah_isf?utm_source=ig_web_button_share_sheet&amp;igsh=ZDNlZDc0MzIxNw==" TargetMode="External"/><Relationship Id="rId783" Type="http://schemas.openxmlformats.org/officeDocument/2006/relationships/hyperlink" Target="https://www.instagram.com/sarallahesfahan?utm_source=ig_web_button_share_sheet&amp;igsh=ZDNlZDc0MzIxNw==" TargetMode="External"/><Relationship Id="rId782" Type="http://schemas.openxmlformats.org/officeDocument/2006/relationships/hyperlink" Target="https://www.instagram.com/ghamar_bani_hashem_dara?utm_source=ig_web_button_share_sheet&amp;igsh=ZDNlZDc0MzIxNw==" TargetMode="External"/><Relationship Id="rId778" Type="http://schemas.openxmlformats.org/officeDocument/2006/relationships/hyperlink" Target="https://www.instagram.com/mohammad_rasoolallah_?utm_source=ig_web_button_share_sheet&amp;igsh=ZDNlZDc0MzIxNw==" TargetMode="External"/><Relationship Id="rId777" Type="http://schemas.openxmlformats.org/officeDocument/2006/relationships/hyperlink" Target="https://www.instagram.com/alav_i313?utm_source=ig_web_button_share_sheet&amp;igsh=ZDNlZDc0MzIxNw==" TargetMode="External"/><Relationship Id="rId776" Type="http://schemas.openxmlformats.org/officeDocument/2006/relationships/hyperlink" Target="https://t.me/bashahreza" TargetMode="External"/><Relationship Id="rId775" Type="http://schemas.openxmlformats.org/officeDocument/2006/relationships/hyperlink" Target="https://www.instagram.com/heatabaalfazlshahreza?utm_source=ig_web_button_share_sheet&amp;igsh=ZDNlZDc0MzIxNw==" TargetMode="External"/><Relationship Id="rId779" Type="http://schemas.openxmlformats.org/officeDocument/2006/relationships/hyperlink" Target="https://www.instagram.com/mosque_abalfazl_dastgerd?utm_source=ig_web_button_share_sheet&amp;igsh=ZDNlZDc0MzIxNw==" TargetMode="External"/><Relationship Id="rId770" Type="http://schemas.openxmlformats.org/officeDocument/2006/relationships/hyperlink" Target="https://www.instagram.com/heyat_abaabdeallhalhossein/" TargetMode="External"/><Relationship Id="rId774" Type="http://schemas.openxmlformats.org/officeDocument/2006/relationships/hyperlink" Target="https://eitaa.com/sahebzamanesfahan" TargetMode="External"/><Relationship Id="rId773" Type="http://schemas.openxmlformats.org/officeDocument/2006/relationships/hyperlink" Target="https://eitaa.com/heyathazratabalfazl" TargetMode="External"/><Relationship Id="rId772" Type="http://schemas.openxmlformats.org/officeDocument/2006/relationships/hyperlink" Target="https://www.instagram.com/khodam_al_hossein/" TargetMode="External"/><Relationship Id="rId771" Type="http://schemas.openxmlformats.org/officeDocument/2006/relationships/hyperlink" Target="https://www.instagram.com/p/DHTowlDRE2D/" TargetMode="External"/><Relationship Id="rId799" Type="http://schemas.openxmlformats.org/officeDocument/2006/relationships/hyperlink" Target="https://t.me/Hojjat_ebn_alhasan_khansar" TargetMode="External"/><Relationship Id="rId798" Type="http://schemas.openxmlformats.org/officeDocument/2006/relationships/hyperlink" Target="https://www.instagram.com/hojjatebnalhasankhansar?utm_source=ig_web_button_share_sheet&amp;igsh=ZDNlZDc0MzIxNw==" TargetMode="External"/><Relationship Id="rId797" Type="http://schemas.openxmlformats.org/officeDocument/2006/relationships/hyperlink" Target="https://t.me/omeAbiha110" TargetMode="External"/><Relationship Id="rId792" Type="http://schemas.openxmlformats.org/officeDocument/2006/relationships/hyperlink" Target="https://www.instagram.com/fatemiyon_info?utm_source=ig_web_button_share_sheet&amp;igsh=ZDNlZDc0MzIxNw==" TargetMode="External"/><Relationship Id="rId791" Type="http://schemas.openxmlformats.org/officeDocument/2006/relationships/hyperlink" Target="https://t.me/MasjedAlrezaEsfahan" TargetMode="External"/><Relationship Id="rId790" Type="http://schemas.openxmlformats.org/officeDocument/2006/relationships/hyperlink" Target="https://www.instagram.com/masjedalrezaesfahan?utm_source=ig_web_button_share_sheet&amp;igsh=ZDNlZDc0MzIxNw==" TargetMode="External"/><Relationship Id="rId796" Type="http://schemas.openxmlformats.org/officeDocument/2006/relationships/hyperlink" Target="https://www.instagram.com/omeabiha.esf/?utm_source=ig_web_button_share_sheet" TargetMode="External"/><Relationship Id="rId795" Type="http://schemas.openxmlformats.org/officeDocument/2006/relationships/hyperlink" Target="https://eitaa.com/yaabalfazl_1325" TargetMode="External"/><Relationship Id="rId794" Type="http://schemas.openxmlformats.org/officeDocument/2006/relationships/hyperlink" Target="https://www.instagram.com/yaabalfazl.ir?utm_source=ig_web_button_share_sheet&amp;igsh=ZDNlZDc0MzIxNw==" TargetMode="External"/><Relationship Id="rId793" Type="http://schemas.openxmlformats.org/officeDocument/2006/relationships/hyperlink" Target="https://t.me/Fatemiyon_info" TargetMode="External"/><Relationship Id="rId629" Type="http://schemas.openxmlformats.org/officeDocument/2006/relationships/hyperlink" Target="https://eitaa.com/yazahra_isfahan" TargetMode="External"/><Relationship Id="rId624" Type="http://schemas.openxmlformats.org/officeDocument/2006/relationships/hyperlink" Target="https://eitaa.com/mohedinzahra" TargetMode="External"/><Relationship Id="rId623" Type="http://schemas.openxmlformats.org/officeDocument/2006/relationships/hyperlink" Target="https://www.instagram.com/fatemyoun_esfahan?utm_source=ig_web_button_share_sheet&amp;igsh=ZDNlZDc0MzIxNw==" TargetMode="External"/><Relationship Id="rId622" Type="http://schemas.openxmlformats.org/officeDocument/2006/relationships/hyperlink" Target="https://eitaa.com/mahdaviyoon_esf" TargetMode="External"/><Relationship Id="rId621" Type="http://schemas.openxmlformats.org/officeDocument/2006/relationships/hyperlink" Target="https://www.instagram.com/mahdaviyoon_esf?utm_source=ig_web_button_share_sheet&amp;igsh=ZDNlZDc0MzIxNw==" TargetMode="External"/><Relationship Id="rId628" Type="http://schemas.openxmlformats.org/officeDocument/2006/relationships/hyperlink" Target="https://t.me/abalfazle_al_abbas" TargetMode="External"/><Relationship Id="rId627" Type="http://schemas.openxmlformats.org/officeDocument/2006/relationships/hyperlink" Target="https://www.instagram.com/abalfazle_al_abbas?utm_source=ig_web_button_share_sheet&amp;igsh=ZDNlZDc0MzIxNw==" TargetMode="External"/><Relationship Id="rId626" Type="http://schemas.openxmlformats.org/officeDocument/2006/relationships/hyperlink" Target="https://www.instagram.com/heyat_fatemiye_aran?utm_source=ig_web_button_share_sheet&amp;igsh=ZDNlZDc0MzIxNw==" TargetMode="External"/><Relationship Id="rId625" Type="http://schemas.openxmlformats.org/officeDocument/2006/relationships/hyperlink" Target="https://www.instagram.com/fatemiye.isfahan?utm_source=ig_web_button_share_sheet&amp;igsh=ZDNlZDc0MzIxNw==" TargetMode="External"/><Relationship Id="rId620" Type="http://schemas.openxmlformats.org/officeDocument/2006/relationships/hyperlink" Target="https://eitaa.com/mohebinhazratzahra" TargetMode="External"/><Relationship Id="rId619" Type="http://schemas.openxmlformats.org/officeDocument/2006/relationships/hyperlink" Target="https://www.instagram.com/mohebinhazratzahra?utm_source=ig_web_button_share_sheet&amp;igsh=ZDNlZDc0MzIxNw==" TargetMode="External"/><Relationship Id="rId618" Type="http://schemas.openxmlformats.org/officeDocument/2006/relationships/hyperlink" Target="https://www.instagram.com/habib_ebneh_mazaher?utm_source=ig_web_button_share_sheet&amp;igsh=ZDNlZDc0MzIxNw==" TargetMode="External"/><Relationship Id="rId613" Type="http://schemas.openxmlformats.org/officeDocument/2006/relationships/hyperlink" Target="https://eitaa.com/bonyadmahdaviatesf" TargetMode="External"/><Relationship Id="rId612" Type="http://schemas.openxmlformats.org/officeDocument/2006/relationships/hyperlink" Target="https://www.instagram.com/mahdaviat_isf?utm_source=ig_web_button_share_sheet&amp;igsh=ZDNlZDc0MzIxNw==" TargetMode="External"/><Relationship Id="rId611" Type="http://schemas.openxmlformats.org/officeDocument/2006/relationships/hyperlink" Target="https://www.instagram.com/heyate_h_ali_akbar?utm_source=ig_web_button_share_sheet&amp;igsh=ZDNlZDc0MzIxNw==" TargetMode="External"/><Relationship Id="rId610" Type="http://schemas.openxmlformats.org/officeDocument/2006/relationships/hyperlink" Target="https://www.instagram.com/heyat_hazratsajjad.esfahan?utm_source=ig_web_button_share_sheet&amp;igsh=ZDNlZDc0MzIxNw==" TargetMode="External"/><Relationship Id="rId617" Type="http://schemas.openxmlformats.org/officeDocument/2006/relationships/hyperlink" Target="https://t.me/heyate_alavioon110" TargetMode="External"/><Relationship Id="rId616" Type="http://schemas.openxmlformats.org/officeDocument/2006/relationships/hyperlink" Target="https://www.instagram.com/heyate_alavioon110?utm_source=ig_web_button_share_sheet&amp;igsh=ZDNlZDc0MzIxNw==" TargetMode="External"/><Relationship Id="rId615" Type="http://schemas.openxmlformats.org/officeDocument/2006/relationships/hyperlink" Target="https://eitaa.com/FatemiyehESF" TargetMode="External"/><Relationship Id="rId614" Type="http://schemas.openxmlformats.org/officeDocument/2006/relationships/hyperlink" Target="https://t.me/aleyasinnj" TargetMode="External"/><Relationship Id="rId646" Type="http://schemas.openxmlformats.org/officeDocument/2006/relationships/hyperlink" Target="https://t.me/heyathonarisf" TargetMode="External"/><Relationship Id="rId645" Type="http://schemas.openxmlformats.org/officeDocument/2006/relationships/hyperlink" Target="https://www.instagram.com/heyathonarisf?utm_source=ig_web_button_share_sheet&amp;igsh=ZDNlZDc0MzIxNw==" TargetMode="External"/><Relationship Id="rId644" Type="http://schemas.openxmlformats.org/officeDocument/2006/relationships/hyperlink" Target="https://www.instagram.com/fadaeyanezahra?utm_source=ig_web_button_share_sheet&amp;igsh=ZDNlZDc0MzIxNw==" TargetMode="External"/><Relationship Id="rId643" Type="http://schemas.openxmlformats.org/officeDocument/2006/relationships/hyperlink" Target="https://www.instagram.com/heyatzeynab.ir?utm_source=ig_web_button_share_sheet&amp;igsh=ZDNlZDc0MzIxNw==" TargetMode="External"/><Relationship Id="rId649" Type="http://schemas.openxmlformats.org/officeDocument/2006/relationships/hyperlink" Target="https://t.me/gomnam_ui" TargetMode="External"/><Relationship Id="rId648" Type="http://schemas.openxmlformats.org/officeDocument/2006/relationships/hyperlink" Target="https://instagram.com/gomnam_ui" TargetMode="External"/><Relationship Id="rId647" Type="http://schemas.openxmlformats.org/officeDocument/2006/relationships/hyperlink" Target="https://eitaa.com/heyathonarisf" TargetMode="External"/><Relationship Id="rId642" Type="http://schemas.openxmlformats.org/officeDocument/2006/relationships/hyperlink" Target="https://www.instagram.com/seshanbemahdavi_ui?utm_source=ig_web_button_share_sheet&amp;igsh=ZDNlZDc0MzIxNw==" TargetMode="External"/><Relationship Id="rId641" Type="http://schemas.openxmlformats.org/officeDocument/2006/relationships/hyperlink" Target="https://www.instagram.com/montazeranzohoorgarmaseh?utm_source=ig_web_button_share_sheet&amp;igsh=ZDNlZDc0MzIxNw==" TargetMode="External"/><Relationship Id="rId640" Type="http://schemas.openxmlformats.org/officeDocument/2006/relationships/hyperlink" Target="https://www.instagram.com/maktab_al_hasan_esf?utm_source=ig_web_button_share_sheet&amp;igsh=ZDNlZDc0MzIxNw==" TargetMode="External"/><Relationship Id="rId635" Type="http://schemas.openxmlformats.org/officeDocument/2006/relationships/hyperlink" Target="https://t.me/janatalhosein" TargetMode="External"/><Relationship Id="rId634" Type="http://schemas.openxmlformats.org/officeDocument/2006/relationships/hyperlink" Target="https://www.instagram.com/janatalhosein_esf?utm_source=ig_web_button_share_sheet&amp;igsh=ZDNlZDc0MzIxNw==" TargetMode="External"/><Relationship Id="rId633" Type="http://schemas.openxmlformats.org/officeDocument/2006/relationships/hyperlink" Target="https://eitaa.com/Afagh_aci" TargetMode="External"/><Relationship Id="rId632" Type="http://schemas.openxmlformats.org/officeDocument/2006/relationships/hyperlink" Target="https://eitaa.com/Lasarat_Alhossinir" TargetMode="External"/><Relationship Id="rId639" Type="http://schemas.openxmlformats.org/officeDocument/2006/relationships/hyperlink" Target="https://www.instagram.com/heyat_hazrate_hojat_bafgh?utm_source=ig_web_button_share_sheet&amp;igsh=ZDNlZDc0MzIxNw==" TargetMode="External"/><Relationship Id="rId638" Type="http://schemas.openxmlformats.org/officeDocument/2006/relationships/hyperlink" Target="https://eitaa.com/mohebbanozzahra" TargetMode="External"/><Relationship Id="rId637" Type="http://schemas.openxmlformats.org/officeDocument/2006/relationships/hyperlink" Target="https://eitaa.com/heiataseman" TargetMode="External"/><Relationship Id="rId636" Type="http://schemas.openxmlformats.org/officeDocument/2006/relationships/hyperlink" Target="https://www.instagram.com/oshaghalmahdi_ag?utm_source=ig_web_button_share_sheet&amp;igsh=ZDNlZDc0MzIxNw==" TargetMode="External"/><Relationship Id="rId631" Type="http://schemas.openxmlformats.org/officeDocument/2006/relationships/hyperlink" Target="https://www.instagram.com/haiat_lasarat_alhossin?utm_source=ig_web_button_share_sheet&amp;igsh=ZDNlZDc0MzIxNw==" TargetMode="External"/><Relationship Id="rId630" Type="http://schemas.openxmlformats.org/officeDocument/2006/relationships/hyperlink" Target="https://www.instagram.com/moheban_alzahra135?utm_source=ig_web_button_share_sheet&amp;igsh=ZDNlZDc0MzIxNw==" TargetMode="External"/><Relationship Id="rId609" Type="http://schemas.openxmlformats.org/officeDocument/2006/relationships/hyperlink" Target="https://www.instagram.com/zokhrolhossein?utm_source=ig_web_button_share_sheet&amp;igsh=ZDNlZDc0MzIxNw==" TargetMode="External"/><Relationship Id="rId608" Type="http://schemas.openxmlformats.org/officeDocument/2006/relationships/hyperlink" Target="https://www.instagram.com/reyhaneh.esfahan?utm_source=ig_web_button_share_sheet&amp;igsh=ZDNlZDc0MzIxNw==" TargetMode="External"/><Relationship Id="rId607" Type="http://schemas.openxmlformats.org/officeDocument/2006/relationships/hyperlink" Target="https://www.instagram.com/tasnimlenjan?utm_source=ig_web_button_share_sheet&amp;igsh=ZDNlZDc0MzIxNw==" TargetMode="External"/><Relationship Id="rId602" Type="http://schemas.openxmlformats.org/officeDocument/2006/relationships/hyperlink" Target="https://www.instagram.com/heyat_abalfazly_aran?utm_source=ig_web_button_share_sheet&amp;igsh=ZDNlZDc0MzIxNw==" TargetMode="External"/><Relationship Id="rId601" Type="http://schemas.openxmlformats.org/officeDocument/2006/relationships/hyperlink" Target="https://www.instagram.com/javanan360?utm_source=ig_web_button_share_sheet&amp;igsh=ZDNlZDc0MzIxNw==" TargetMode="External"/><Relationship Id="rId600" Type="http://schemas.openxmlformats.org/officeDocument/2006/relationships/hyperlink" Target="https://t.me/ahlekasa" TargetMode="External"/><Relationship Id="rId606" Type="http://schemas.openxmlformats.org/officeDocument/2006/relationships/hyperlink" Target="https://www.instagram.com/h.razmandeganfereydunshahr/?utm_source=ig_web_button_share_sheet" TargetMode="External"/><Relationship Id="rId605" Type="http://schemas.openxmlformats.org/officeDocument/2006/relationships/hyperlink" Target="https://eitaa.com/bineshmotahar" TargetMode="External"/><Relationship Id="rId604" Type="http://schemas.openxmlformats.org/officeDocument/2006/relationships/hyperlink" Target="https://t.me/tiran_sarallah" TargetMode="External"/><Relationship Id="rId603" Type="http://schemas.openxmlformats.org/officeDocument/2006/relationships/hyperlink" Target="https://www.instagram.com/tiransarallah?utm_source=ig_web_button_share_sheet&amp;igsh=ZDNlZDc0MzIxNw==" TargetMode="External"/><Relationship Id="rId699" Type="http://schemas.openxmlformats.org/officeDocument/2006/relationships/hyperlink" Target="https://www.instagram.com/shababaljaneh?utm_source=ig_web_button_share_sheet&amp;igsh=ZDNlZDc0MzIxNw==" TargetMode="External"/><Relationship Id="rId698" Type="http://schemas.openxmlformats.org/officeDocument/2006/relationships/hyperlink" Target="https://eitaa.com/hhonar_ir" TargetMode="External"/><Relationship Id="rId693" Type="http://schemas.openxmlformats.org/officeDocument/2006/relationships/hyperlink" Target="https://www.instagram.com/mohebbanalmahdi_ir/?__d=1" TargetMode="External"/><Relationship Id="rId692" Type="http://schemas.openxmlformats.org/officeDocument/2006/relationships/hyperlink" Target="https://eitaa.com/kanon_Quran_ui" TargetMode="External"/><Relationship Id="rId691" Type="http://schemas.openxmlformats.org/officeDocument/2006/relationships/hyperlink" Target="https://eitaa.com/yazeinab1380esf" TargetMode="External"/><Relationship Id="rId690" Type="http://schemas.openxmlformats.org/officeDocument/2006/relationships/hyperlink" Target="https://eitaa.com/montazeran_majazi" TargetMode="External"/><Relationship Id="rId697" Type="http://schemas.openxmlformats.org/officeDocument/2006/relationships/hyperlink" Target="https://t.me/hhonar_org" TargetMode="External"/><Relationship Id="rId696" Type="http://schemas.openxmlformats.org/officeDocument/2006/relationships/hyperlink" Target="https://eitaa.com/ansarandarzgo" TargetMode="External"/><Relationship Id="rId695" Type="http://schemas.openxmlformats.org/officeDocument/2006/relationships/hyperlink" Target="https://www.instagram.com/heyat_panjtan_aleaba?utm_source=ig_web_button_share_sheet&amp;igsh=ZDNlZDc0MzIxNw==" TargetMode="External"/><Relationship Id="rId694" Type="http://schemas.openxmlformats.org/officeDocument/2006/relationships/hyperlink" Target="https://eitaa.com/MohebinDarosalam" TargetMode="External"/><Relationship Id="rId668" Type="http://schemas.openxmlformats.org/officeDocument/2006/relationships/hyperlink" Target="https://eitaa.com/mokeb_133" TargetMode="External"/><Relationship Id="rId667" Type="http://schemas.openxmlformats.org/officeDocument/2006/relationships/hyperlink" Target="https://www.instagram.com/javananemamreza/?hl=fa" TargetMode="External"/><Relationship Id="rId666" Type="http://schemas.openxmlformats.org/officeDocument/2006/relationships/hyperlink" Target="https://www.instagram.com/javananemamreza?utm_source=ig_web_button_share_sheet&amp;igsh=ZDNlZDc0MzIxNw==" TargetMode="External"/><Relationship Id="rId665" Type="http://schemas.openxmlformats.org/officeDocument/2006/relationships/hyperlink" Target="https://eitaa.com/heyat_razmande" TargetMode="External"/><Relationship Id="rId669" Type="http://schemas.openxmlformats.org/officeDocument/2006/relationships/hyperlink" Target="https://eitaa.com/Aseman_Najaf" TargetMode="External"/><Relationship Id="rId660" Type="http://schemas.openxmlformats.org/officeDocument/2006/relationships/hyperlink" Target="https://eitaa.com/sobhaniha" TargetMode="External"/><Relationship Id="rId664" Type="http://schemas.openxmlformats.org/officeDocument/2006/relationships/hyperlink" Target="https://www.instagram.com/razmandeganeslam/?hl=en" TargetMode="External"/><Relationship Id="rId663" Type="http://schemas.openxmlformats.org/officeDocument/2006/relationships/hyperlink" Target="http://telegram.me/jabalossabr69" TargetMode="External"/><Relationship Id="rId662" Type="http://schemas.openxmlformats.org/officeDocument/2006/relationships/hyperlink" Target="https://t.me/fadaiyanzahra" TargetMode="External"/><Relationship Id="rId661" Type="http://schemas.openxmlformats.org/officeDocument/2006/relationships/hyperlink" Target="https://www.instagram.com/fadaiyanzahra?utm_source=ig_web_button_share_sheet&amp;igsh=ZDNlZDc0MzIxNw==" TargetMode="External"/><Relationship Id="rId657" Type="http://schemas.openxmlformats.org/officeDocument/2006/relationships/hyperlink" Target="https://eitaa.com/emamjavadhasanabadiha" TargetMode="External"/><Relationship Id="rId656" Type="http://schemas.openxmlformats.org/officeDocument/2006/relationships/hyperlink" Target="https://www.instagram.com/hvamjavadolaemmeh?utm_source=ig_web_button_share_sheet&amp;igsh=ZDNlZDc0MzIxNw==" TargetMode="External"/><Relationship Id="rId655" Type="http://schemas.openxmlformats.org/officeDocument/2006/relationships/hyperlink" Target="https://eitaa.com/Rasane_Aliasghar313" TargetMode="External"/><Relationship Id="rId654" Type="http://schemas.openxmlformats.org/officeDocument/2006/relationships/hyperlink" Target="https://www.instagram.com/rasane_aliasghar1390?utm_source=ig_web_button_share_sheet&amp;igsh=ZDNlZDc0MzIxNw==" TargetMode="External"/><Relationship Id="rId659" Type="http://schemas.openxmlformats.org/officeDocument/2006/relationships/hyperlink" Target="https://eitaa.com/sobhaniha" TargetMode="External"/><Relationship Id="rId658" Type="http://schemas.openxmlformats.org/officeDocument/2006/relationships/hyperlink" Target="https://www.instagram.com/holaghghamarbanihashemheyat?utm_source=ig_web_button_share_sheet&amp;igsh=ZDNlZDc0MzIxNw==" TargetMode="External"/><Relationship Id="rId653" Type="http://schemas.openxmlformats.org/officeDocument/2006/relationships/hyperlink" Target="https://www.instagram.com/heyate_aliebn_abitaleb?utm_source=ig_web_button_share_sheet&amp;igsh=ZDNlZDc0MzIxNw==" TargetMode="External"/><Relationship Id="rId652" Type="http://schemas.openxmlformats.org/officeDocument/2006/relationships/hyperlink" Target="https://eitaa.com/Mahd_quran_Lahoor" TargetMode="External"/><Relationship Id="rId651" Type="http://schemas.openxmlformats.org/officeDocument/2006/relationships/hyperlink" Target="https://eitaa.com/markaz_ansar" TargetMode="External"/><Relationship Id="rId650" Type="http://schemas.openxmlformats.org/officeDocument/2006/relationships/hyperlink" Target="https://eitaa.com/gomnam_ui" TargetMode="External"/><Relationship Id="rId689" Type="http://schemas.openxmlformats.org/officeDocument/2006/relationships/hyperlink" Target="https://www.instagram.com/montazeran_majazi/" TargetMode="External"/><Relationship Id="rId688" Type="http://schemas.openxmlformats.org/officeDocument/2006/relationships/hyperlink" Target="https://www.instagram.com/heiat_hazratzahra_esf/?hl=en" TargetMode="External"/><Relationship Id="rId687" Type="http://schemas.openxmlformats.org/officeDocument/2006/relationships/hyperlink" Target="https://eitaa.com/banovanfadaeianhosein" TargetMode="External"/><Relationship Id="rId682" Type="http://schemas.openxmlformats.org/officeDocument/2006/relationships/hyperlink" Target="http://instagram.com/banovanfadaeianhosein" TargetMode="External"/><Relationship Id="rId681" Type="http://schemas.openxmlformats.org/officeDocument/2006/relationships/hyperlink" Target="https://eitaa.com/ayene_ir" TargetMode="External"/><Relationship Id="rId680" Type="http://schemas.openxmlformats.org/officeDocument/2006/relationships/hyperlink" Target="https://www.instagram.com/ayene.ir/" TargetMode="External"/><Relationship Id="rId686" Type="http://schemas.openxmlformats.org/officeDocument/2006/relationships/hyperlink" Target="https://t.me/banovanfadaeianhosein" TargetMode="External"/><Relationship Id="rId685" Type="http://schemas.openxmlformats.org/officeDocument/2006/relationships/hyperlink" Target="https://www.instagram.com/banovanfadaeianhosein?utm_source=ig_web_button_share_sheet&amp;igsh=ZDNlZDc0MzIxNw==" TargetMode="External"/><Relationship Id="rId684" Type="http://schemas.openxmlformats.org/officeDocument/2006/relationships/hyperlink" Target="https://eitaa.com/banovanfadaeianhosein" TargetMode="External"/><Relationship Id="rId683" Type="http://schemas.openxmlformats.org/officeDocument/2006/relationships/hyperlink" Target="https://t.me/banovanfadaeianhosein" TargetMode="External"/><Relationship Id="rId679" Type="http://schemas.openxmlformats.org/officeDocument/2006/relationships/hyperlink" Target="https://eitaa.com/ayene_ir" TargetMode="External"/><Relationship Id="rId678" Type="http://schemas.openxmlformats.org/officeDocument/2006/relationships/hyperlink" Target="https://www.instagram.com/ayene.ir?utm_source=ig_web_button_share_sheet&amp;igsh=ZDNlZDc0MzIxNw==" TargetMode="External"/><Relationship Id="rId677" Type="http://schemas.openxmlformats.org/officeDocument/2006/relationships/hyperlink" Target="https://eitaa.com/alamdar_345" TargetMode="External"/><Relationship Id="rId676" Type="http://schemas.openxmlformats.org/officeDocument/2006/relationships/hyperlink" Target="https://eitaa.com/alamdar_tiran" TargetMode="External"/><Relationship Id="rId671" Type="http://schemas.openxmlformats.org/officeDocument/2006/relationships/hyperlink" Target="https://www.instagram.com/heyat_paeindarvazeh?utm_source=ig_web_button_share_sheet&amp;igsh=ZDNlZDc0MzIxNw==" TargetMode="External"/><Relationship Id="rId670" Type="http://schemas.openxmlformats.org/officeDocument/2006/relationships/hyperlink" Target="https://eitaa.com/Aseman_Najaf" TargetMode="External"/><Relationship Id="rId675" Type="http://schemas.openxmlformats.org/officeDocument/2006/relationships/hyperlink" Target="https://www.instagram.com/alamdar_tiran/" TargetMode="External"/><Relationship Id="rId674" Type="http://schemas.openxmlformats.org/officeDocument/2006/relationships/hyperlink" Target="https://www.instagram.com/pamenar.esf/" TargetMode="External"/><Relationship Id="rId673" Type="http://schemas.openxmlformats.org/officeDocument/2006/relationships/hyperlink" Target="https://www.instagram.com/pamenar.esf?utm_source=ig_web_button_share_sheet&amp;igsh=ZDNlZDc0MzIxNw==" TargetMode="External"/><Relationship Id="rId672" Type="http://schemas.openxmlformats.org/officeDocument/2006/relationships/hyperlink" Target="https://www.instagram.com/heyat14masom.daran/" TargetMode="External"/><Relationship Id="rId987" Type="http://schemas.openxmlformats.org/officeDocument/2006/relationships/hyperlink" Target="https://www.instagram.com/Mesbah315.esf" TargetMode="External"/><Relationship Id="rId986" Type="http://schemas.openxmlformats.org/officeDocument/2006/relationships/hyperlink" Target="https://eitaa.com/heyat_kh" TargetMode="External"/><Relationship Id="rId985" Type="http://schemas.openxmlformats.org/officeDocument/2006/relationships/hyperlink" Target="https://eitaa.com/Heiat_Labbayk" TargetMode="External"/><Relationship Id="rId984" Type="http://schemas.openxmlformats.org/officeDocument/2006/relationships/hyperlink" Target="https://t.me/Heiat_Labbayk" TargetMode="External"/><Relationship Id="rId989" Type="http://schemas.openxmlformats.org/officeDocument/2006/relationships/hyperlink" Target="https://eitaa.com/heyatsf315" TargetMode="External"/><Relationship Id="rId988" Type="http://schemas.openxmlformats.org/officeDocument/2006/relationships/hyperlink" Target="https://t.me/heyatsf" TargetMode="External"/><Relationship Id="rId983" Type="http://schemas.openxmlformats.org/officeDocument/2006/relationships/hyperlink" Target="https://www.instagram.com/heiat_labbayk/" TargetMode="External"/><Relationship Id="rId982" Type="http://schemas.openxmlformats.org/officeDocument/2006/relationships/hyperlink" Target="https://eitaa.com/aqrkhomeinishahr" TargetMode="External"/><Relationship Id="rId981" Type="http://schemas.openxmlformats.org/officeDocument/2006/relationships/hyperlink" Target="https://eitaa.com/ostad_motahary" TargetMode="External"/><Relationship Id="rId980" Type="http://schemas.openxmlformats.org/officeDocument/2006/relationships/hyperlink" Target="https://www.instagram.com/ostad_motahary/" TargetMode="External"/><Relationship Id="rId976" Type="http://schemas.openxmlformats.org/officeDocument/2006/relationships/hyperlink" Target="https://eitaa.com/omolbanin_98" TargetMode="External"/><Relationship Id="rId975" Type="http://schemas.openxmlformats.org/officeDocument/2006/relationships/hyperlink" Target="https://www.instagram.com/qamare.bani.hashem/" TargetMode="External"/><Relationship Id="rId974" Type="http://schemas.openxmlformats.org/officeDocument/2006/relationships/hyperlink" Target="https://eitaa.com/heyat_Al_shahid_shahreza" TargetMode="External"/><Relationship Id="rId973" Type="http://schemas.openxmlformats.org/officeDocument/2006/relationships/hyperlink" Target="https://www.instagram.com/heyat_al_shahid/?hl=en" TargetMode="External"/><Relationship Id="rId979" Type="http://schemas.openxmlformats.org/officeDocument/2006/relationships/hyperlink" Target="https://eitaa.com/pesaranefahmide" TargetMode="External"/><Relationship Id="rId978" Type="http://schemas.openxmlformats.org/officeDocument/2006/relationships/hyperlink" Target="https://eitaa.com/khshohada_ir" TargetMode="External"/><Relationship Id="rId977" Type="http://schemas.openxmlformats.org/officeDocument/2006/relationships/hyperlink" Target="https://www.instagram.com/khshohada_ir1/?hl=en" TargetMode="External"/><Relationship Id="rId972" Type="http://schemas.openxmlformats.org/officeDocument/2006/relationships/hyperlink" Target="https://eitaa.com/maktabolhossein313" TargetMode="External"/><Relationship Id="rId971" Type="http://schemas.openxmlformats.org/officeDocument/2006/relationships/hyperlink" Target="https://www.instagram.com/maktabolhossein313/?hl=en" TargetMode="External"/><Relationship Id="rId970" Type="http://schemas.openxmlformats.org/officeDocument/2006/relationships/hyperlink" Target="https://eitaa.com/sahebazzaman313_1402" TargetMode="External"/><Relationship Id="rId998" Type="http://schemas.openxmlformats.org/officeDocument/2006/relationships/hyperlink" Target="https://www.instagram.com/gomnam_ui?utm_source=ig_web_button_share_sheet&amp;igsh=ZDNlZDc0MzIxNw==" TargetMode="External"/><Relationship Id="rId997" Type="http://schemas.openxmlformats.org/officeDocument/2006/relationships/hyperlink" Target="https://eitaa.com/patogh2khtaran" TargetMode="External"/><Relationship Id="rId996" Type="http://schemas.openxmlformats.org/officeDocument/2006/relationships/hyperlink" Target="https://www.instagram.com/patogh2khtarane/?hl=en" TargetMode="External"/><Relationship Id="rId995" Type="http://schemas.openxmlformats.org/officeDocument/2006/relationships/hyperlink" Target="https://eitaa.com/maktabo_ssadegh" TargetMode="External"/><Relationship Id="rId999" Type="http://schemas.openxmlformats.org/officeDocument/2006/relationships/hyperlink" Target="https://t.me/gomnam_uisf" TargetMode="External"/><Relationship Id="rId990" Type="http://schemas.openxmlformats.org/officeDocument/2006/relationships/hyperlink" Target="https://www.instagram.com/kanun.zekr/?hl=en" TargetMode="External"/><Relationship Id="rId994" Type="http://schemas.openxmlformats.org/officeDocument/2006/relationships/hyperlink" Target="https://www.instagram.com/maktabo_ssadegh/" TargetMode="External"/><Relationship Id="rId993" Type="http://schemas.openxmlformats.org/officeDocument/2006/relationships/hyperlink" Target="https://t.me/maktab_alreza" TargetMode="External"/><Relationship Id="rId992" Type="http://schemas.openxmlformats.org/officeDocument/2006/relationships/hyperlink" Target="https://www.instagram.com/maktab_alreza1379/" TargetMode="External"/><Relationship Id="rId991" Type="http://schemas.openxmlformats.org/officeDocument/2006/relationships/hyperlink" Target="https://eitaa.com/kanuonzekr" TargetMode="External"/><Relationship Id="rId949" Type="http://schemas.openxmlformats.org/officeDocument/2006/relationships/hyperlink" Target="https://t.me/bicheragh118" TargetMode="External"/><Relationship Id="rId948" Type="http://schemas.openxmlformats.org/officeDocument/2006/relationships/hyperlink" Target="https://www.instagram.com/bicheragh118/" TargetMode="External"/><Relationship Id="rId943" Type="http://schemas.openxmlformats.org/officeDocument/2006/relationships/hyperlink" Target="https://eitaa.com/saghalain_isf" TargetMode="External"/><Relationship Id="rId942" Type="http://schemas.openxmlformats.org/officeDocument/2006/relationships/hyperlink" Target="https://www.instagram.com/saghalain_isf/" TargetMode="External"/><Relationship Id="rId941" Type="http://schemas.openxmlformats.org/officeDocument/2006/relationships/hyperlink" Target="https://eitaa.com/javad_alaemeh_ir" TargetMode="External"/><Relationship Id="rId940" Type="http://schemas.openxmlformats.org/officeDocument/2006/relationships/hyperlink" Target="https://www.instagram.com/javad_alaemeh_ir/" TargetMode="External"/><Relationship Id="rId947" Type="http://schemas.openxmlformats.org/officeDocument/2006/relationships/hyperlink" Target="https://eitaa.com/hqasem201" TargetMode="External"/><Relationship Id="rId946" Type="http://schemas.openxmlformats.org/officeDocument/2006/relationships/hyperlink" Target="https://t.me/hghasem201" TargetMode="External"/><Relationship Id="rId945" Type="http://schemas.openxmlformats.org/officeDocument/2006/relationships/hyperlink" Target="https://www.instagram.com/heyatghasem201/?hl=en" TargetMode="External"/><Relationship Id="rId944" Type="http://schemas.openxmlformats.org/officeDocument/2006/relationships/hyperlink" Target="https://www.instagram.com/heiatkarimeh.esfahan/?hl=en" TargetMode="External"/><Relationship Id="rId939" Type="http://schemas.openxmlformats.org/officeDocument/2006/relationships/hyperlink" Target="https://www.instagram.com/14masoume_sfahan/" TargetMode="External"/><Relationship Id="rId938" Type="http://schemas.openxmlformats.org/officeDocument/2006/relationships/hyperlink" Target="https://www.instagram.com/mohebin_azahra/?hl=en" TargetMode="External"/><Relationship Id="rId937" Type="http://schemas.openxmlformats.org/officeDocument/2006/relationships/hyperlink" Target="https://eitaa.com/gharibmadine1" TargetMode="External"/><Relationship Id="rId932" Type="http://schemas.openxmlformats.org/officeDocument/2006/relationships/hyperlink" Target="https://www.instagram.com/masjedali/?utm_source=ig_web_button_share_sheet" TargetMode="External"/><Relationship Id="rId931" Type="http://schemas.openxmlformats.org/officeDocument/2006/relationships/hyperlink" Target="https://eitaa.com/masjedlemjir" TargetMode="External"/><Relationship Id="rId930" Type="http://schemas.openxmlformats.org/officeDocument/2006/relationships/hyperlink" Target="https://t.me/masjedlemjir" TargetMode="External"/><Relationship Id="rId936" Type="http://schemas.openxmlformats.org/officeDocument/2006/relationships/hyperlink" Target="https://eitaa.com/m_darosalam" TargetMode="External"/><Relationship Id="rId935" Type="http://schemas.openxmlformats.org/officeDocument/2006/relationships/hyperlink" Target="https://www.instagram.com/sayyedosajedin?utm_source=ig_web_button_share_sheet&amp;igsh=ZDNlZDc0MzIxNw==" TargetMode="External"/><Relationship Id="rId934" Type="http://schemas.openxmlformats.org/officeDocument/2006/relationships/hyperlink" Target="https://eitaa.com/mooheban_mahdi" TargetMode="External"/><Relationship Id="rId933" Type="http://schemas.openxmlformats.org/officeDocument/2006/relationships/hyperlink" Target="https://t.me/masjedamiralmomnin" TargetMode="External"/><Relationship Id="rId965" Type="http://schemas.openxmlformats.org/officeDocument/2006/relationships/hyperlink" Target="https://www.instagram.com/nahno_ansarolmahdi/" TargetMode="External"/><Relationship Id="rId964" Type="http://schemas.openxmlformats.org/officeDocument/2006/relationships/hyperlink" Target="https://eitaa.com/ashouraiyan_ir" TargetMode="External"/><Relationship Id="rId963" Type="http://schemas.openxmlformats.org/officeDocument/2006/relationships/hyperlink" Target="https://www.instagram.com/ashouraiyan/?hl=en" TargetMode="External"/><Relationship Id="rId962" Type="http://schemas.openxmlformats.org/officeDocument/2006/relationships/hyperlink" Target="https://eitaa.com/qodsian_com" TargetMode="External"/><Relationship Id="rId969" Type="http://schemas.openxmlformats.org/officeDocument/2006/relationships/hyperlink" Target="https://www.instagram.com/hmzg.ir/" TargetMode="External"/><Relationship Id="rId968" Type="http://schemas.openxmlformats.org/officeDocument/2006/relationships/hyperlink" Target="https://eitaa.com/mohebin_zahra135" TargetMode="External"/><Relationship Id="rId967" Type="http://schemas.openxmlformats.org/officeDocument/2006/relationships/hyperlink" Target="https://www.instagram.com/mohebin_zahra135/?hl=en" TargetMode="External"/><Relationship Id="rId966" Type="http://schemas.openxmlformats.org/officeDocument/2006/relationships/hyperlink" Target="https://t.me/heyateansarolmahdi313" TargetMode="External"/><Relationship Id="rId961" Type="http://schemas.openxmlformats.org/officeDocument/2006/relationships/hyperlink" Target="https://www.instagram.com/qodsian_com/" TargetMode="External"/><Relationship Id="rId960" Type="http://schemas.openxmlformats.org/officeDocument/2006/relationships/hyperlink" Target="https://www.instagram.com/heyaat_ali_akbar_alamat/?hl=en" TargetMode="External"/><Relationship Id="rId959" Type="http://schemas.openxmlformats.org/officeDocument/2006/relationships/hyperlink" Target="https://www.instagram.com/heiat_ghamare_bani_hashem/" TargetMode="External"/><Relationship Id="rId954" Type="http://schemas.openxmlformats.org/officeDocument/2006/relationships/hyperlink" Target="https://www.instagram.com/sarallahmui/" TargetMode="External"/><Relationship Id="rId953" Type="http://schemas.openxmlformats.org/officeDocument/2006/relationships/hyperlink" Target="https://eitaa.com/hazratezeinab3" TargetMode="External"/><Relationship Id="rId952" Type="http://schemas.openxmlformats.org/officeDocument/2006/relationships/hyperlink" Target="https://www.instagram.com/heat_alsiedah_zeinab/" TargetMode="External"/><Relationship Id="rId951" Type="http://schemas.openxmlformats.org/officeDocument/2006/relationships/hyperlink" Target="https://www.instagram.com/samenolhojj/reels/?hl=en" TargetMode="External"/><Relationship Id="rId958" Type="http://schemas.openxmlformats.org/officeDocument/2006/relationships/hyperlink" Target="https://t.me/h14maasom" TargetMode="External"/><Relationship Id="rId957" Type="http://schemas.openxmlformats.org/officeDocument/2006/relationships/hyperlink" Target="https://www.instagram.com/h14maasom?utm_source=ig_web_button_share_sheet&amp;igsh=ZDNlZDc0MzIxNw==" TargetMode="External"/><Relationship Id="rId956" Type="http://schemas.openxmlformats.org/officeDocument/2006/relationships/hyperlink" Target="https://www.instagram.com/k.kh.r_shahrezaa/?hl=en" TargetMode="External"/><Relationship Id="rId955" Type="http://schemas.openxmlformats.org/officeDocument/2006/relationships/hyperlink" Target="https://t.me/sarallahmui" TargetMode="External"/><Relationship Id="rId950" Type="http://schemas.openxmlformats.org/officeDocument/2006/relationships/hyperlink" Target="https://eitaa.com/mahfelaliakbar" TargetMode="External"/><Relationship Id="rId907" Type="http://schemas.openxmlformats.org/officeDocument/2006/relationships/hyperlink" Target="https://t.me/emamrauf" TargetMode="External"/><Relationship Id="rId906" Type="http://schemas.openxmlformats.org/officeDocument/2006/relationships/hyperlink" Target="https://www.instagram.com/emam.rauf?utm_source=ig_web_button_share_sheet&amp;igsh=ZDNlZDc0MzIxNw==" TargetMode="External"/><Relationship Id="rId905" Type="http://schemas.openxmlformats.org/officeDocument/2006/relationships/hyperlink" Target="https://eitaa.com/heyat_hazrat_ali_akbar" TargetMode="External"/><Relationship Id="rId904" Type="http://schemas.openxmlformats.org/officeDocument/2006/relationships/hyperlink" Target="https://www.instagram.com/hballah82?utm_source=ig_web_button_share_sheet&amp;igsh=ZDNlZDc0MzIxNw==" TargetMode="External"/><Relationship Id="rId909" Type="http://schemas.openxmlformats.org/officeDocument/2006/relationships/hyperlink" Target="https://www.instagram.com/leva_info?utm_source=ig_web_button_share_sheet&amp;igsh=ZDNlZDc0MzIxNw==" TargetMode="External"/><Relationship Id="rId908" Type="http://schemas.openxmlformats.org/officeDocument/2006/relationships/hyperlink" Target="https://eitaa.com/alhadiashagan" TargetMode="External"/><Relationship Id="rId903" Type="http://schemas.openxmlformats.org/officeDocument/2006/relationships/hyperlink" Target="https://t.me/Heiatghoran" TargetMode="External"/><Relationship Id="rId902" Type="http://schemas.openxmlformats.org/officeDocument/2006/relationships/hyperlink" Target="https://www.instagram.com/h_q_seyedalshohda?utm_source=ig_web_button_share_sheet&amp;igsh=ZDNlZDc0MzIxNw==" TargetMode="External"/><Relationship Id="rId901" Type="http://schemas.openxmlformats.org/officeDocument/2006/relationships/hyperlink" Target="https://eitaa.com/heiatoshagh" TargetMode="External"/><Relationship Id="rId900" Type="http://schemas.openxmlformats.org/officeDocument/2006/relationships/hyperlink" Target="https://t.me/MahdiyeFateme" TargetMode="External"/><Relationship Id="rId929" Type="http://schemas.openxmlformats.org/officeDocument/2006/relationships/hyperlink" Target="https://eitaa.com/shamsalshomous" TargetMode="External"/><Relationship Id="rId928" Type="http://schemas.openxmlformats.org/officeDocument/2006/relationships/hyperlink" Target="https://www.instagram.com/shamsalshomous?utm_source=ig_web_button_share_sheet&amp;igsh=ZDNlZDc0MzIxNw==" TargetMode="External"/><Relationship Id="rId927" Type="http://schemas.openxmlformats.org/officeDocument/2006/relationships/hyperlink" Target="https://eitaa.org/hoseinjan_128" TargetMode="External"/><Relationship Id="rId926" Type="http://schemas.openxmlformats.org/officeDocument/2006/relationships/hyperlink" Target="https://t.me/hoseinjan_128" TargetMode="External"/><Relationship Id="rId921" Type="http://schemas.openxmlformats.org/officeDocument/2006/relationships/hyperlink" Target="https://www.instagram.com/heyat_javadolaeme?utm_source=ig_web_button_share_sheet&amp;igsh=ZDNlZDc0MzIxNw==" TargetMode="External"/><Relationship Id="rId920" Type="http://schemas.openxmlformats.org/officeDocument/2006/relationships/hyperlink" Target="https://t.me/maajar_69" TargetMode="External"/><Relationship Id="rId925" Type="http://schemas.openxmlformats.org/officeDocument/2006/relationships/hyperlink" Target="https://www.instagram.com/hoseinjan_128?utm_source=ig_web_button_share_sheet&amp;igsh=ZDNlZDc0MzIxNw==" TargetMode="External"/><Relationship Id="rId924" Type="http://schemas.openxmlformats.org/officeDocument/2006/relationships/hyperlink" Target="https://eitaa.com/mohebanzeinab" TargetMode="External"/><Relationship Id="rId923" Type="http://schemas.openxmlformats.org/officeDocument/2006/relationships/hyperlink" Target="https://t.me/mohebanzeinab" TargetMode="External"/><Relationship Id="rId922" Type="http://schemas.openxmlformats.org/officeDocument/2006/relationships/hyperlink" Target="https://www.instagram.com/mohebanzeinab?utm_source=ig_web_button_share_sheet&amp;igsh=ZDNlZDc0MzIxNw==" TargetMode="External"/><Relationship Id="rId918" Type="http://schemas.openxmlformats.org/officeDocument/2006/relationships/hyperlink" Target="https://eitaa.com/yazahra_isfahan" TargetMode="External"/><Relationship Id="rId917" Type="http://schemas.openxmlformats.org/officeDocument/2006/relationships/hyperlink" Target="https://t.me/yazahra_isfahan" TargetMode="External"/><Relationship Id="rId916" Type="http://schemas.openxmlformats.org/officeDocument/2006/relationships/hyperlink" Target="https://www.instagram.com/yazahra_isfahan?utm_source=ig_web_button_share_sheet&amp;igsh=ZDNlZDc0MzIxNw==" TargetMode="External"/><Relationship Id="rId915" Type="http://schemas.openxmlformats.org/officeDocument/2006/relationships/hyperlink" Target="https://eitaa.com/esfheyat_ir" TargetMode="External"/><Relationship Id="rId919" Type="http://schemas.openxmlformats.org/officeDocument/2006/relationships/hyperlink" Target="https://www.instagram.com/maajar.69/?utm_source=ig_web_button_share_sheet" TargetMode="External"/><Relationship Id="rId910" Type="http://schemas.openxmlformats.org/officeDocument/2006/relationships/hyperlink" Target="https://eitaa.com/leva_info" TargetMode="External"/><Relationship Id="rId914" Type="http://schemas.openxmlformats.org/officeDocument/2006/relationships/hyperlink" Target="https://www.instagram.com/esfheyat?utm_source=ig_web_button_share_sheet&amp;igsh=ZDNlZDc0MzIxNw==" TargetMode="External"/><Relationship Id="rId913" Type="http://schemas.openxmlformats.org/officeDocument/2006/relationships/hyperlink" Target="https://eitaa.com/hqasem201" TargetMode="External"/><Relationship Id="rId912" Type="http://schemas.openxmlformats.org/officeDocument/2006/relationships/hyperlink" Target="https://t.me/hghasem201" TargetMode="External"/><Relationship Id="rId911" Type="http://schemas.openxmlformats.org/officeDocument/2006/relationships/hyperlink" Target="https://www.instagram.com/heyatghasem201?utm_source=ig_web_button_share_sheet&amp;igsh=ZDNlZDc0MzIxNw==" TargetMode="External"/><Relationship Id="rId866" Type="http://schemas.openxmlformats.org/officeDocument/2006/relationships/hyperlink" Target="https://www.instagram.com/darolkhadem.ir?utm_source=ig_web_button_share_sheet&amp;igsh=ZDNlZDc0MzIxNw==" TargetMode="External"/><Relationship Id="rId865" Type="http://schemas.openxmlformats.org/officeDocument/2006/relationships/hyperlink" Target="https://eitaa.com/ravagholhosein" TargetMode="External"/><Relationship Id="rId864" Type="http://schemas.openxmlformats.org/officeDocument/2006/relationships/hyperlink" Target="https://eitaa.com/zovaralzahraesf" TargetMode="External"/><Relationship Id="rId863" Type="http://schemas.openxmlformats.org/officeDocument/2006/relationships/hyperlink" Target="https://t.me/zovaralzahraesf" TargetMode="External"/><Relationship Id="rId869" Type="http://schemas.openxmlformats.org/officeDocument/2006/relationships/hyperlink" Target="https://www.instagram.com/heyate_hazrate_roqayeh?utm_source=ig_web_button_share_sheet&amp;igsh=ZDNlZDc0MzIxNw==" TargetMode="External"/><Relationship Id="rId868" Type="http://schemas.openxmlformats.org/officeDocument/2006/relationships/hyperlink" Target="https://www.instagram.com/yazahra_esf?utm_source=ig_web_button_share_sheet&amp;igsh=ZDNlZDc0MzIxNw==" TargetMode="External"/><Relationship Id="rId867" Type="http://schemas.openxmlformats.org/officeDocument/2006/relationships/hyperlink" Target="https://eitaa.com/mokeb_emamreza" TargetMode="External"/><Relationship Id="rId862" Type="http://schemas.openxmlformats.org/officeDocument/2006/relationships/hyperlink" Target="https://www.instagram.com/zovaralzahraesf?utm_source=ig_web_button_share_sheet&amp;igsh=ZDNlZDc0MzIxNw==" TargetMode="External"/><Relationship Id="rId861" Type="http://schemas.openxmlformats.org/officeDocument/2006/relationships/hyperlink" Target="https://www.instagram.com/razavi_esf?utm_source=ig_web_button_share_sheet&amp;igsh=ZDNlZDc0MzIxNw==" TargetMode="External"/><Relationship Id="rId860" Type="http://schemas.openxmlformats.org/officeDocument/2006/relationships/hyperlink" Target="https://www.instagram.com/helalali_holy_shrine?utm_source=ig_web_button_share_sheet&amp;igsh=ZDNlZDc0MzIxNw==" TargetMode="External"/><Relationship Id="rId855" Type="http://schemas.openxmlformats.org/officeDocument/2006/relationships/hyperlink" Target="https://t.me/hiat_sarallah" TargetMode="External"/><Relationship Id="rId854" Type="http://schemas.openxmlformats.org/officeDocument/2006/relationships/hyperlink" Target="https://www.instagram.com/hiat_sarallah?utm_source=ig_web_button_share_sheet&amp;igsh=ZDNlZDc0MzIxNw==" TargetMode="External"/><Relationship Id="rId853" Type="http://schemas.openxmlformats.org/officeDocument/2006/relationships/hyperlink" Target="https://eitaa.com/heyat_ghamarbani_hashem_ghaheh" TargetMode="External"/><Relationship Id="rId852" Type="http://schemas.openxmlformats.org/officeDocument/2006/relationships/hyperlink" Target="https://www.instagram.com/heyat_ghamarbani_hashem_ghaheh?utm_source=ig_web_button_share_sheet&amp;igsh=ZDNlZDc0MzIxNw==" TargetMode="External"/><Relationship Id="rId859" Type="http://schemas.openxmlformats.org/officeDocument/2006/relationships/hyperlink" Target="https://eitaa.com/hiat_sarallah" TargetMode="External"/><Relationship Id="rId858" Type="http://schemas.openxmlformats.org/officeDocument/2006/relationships/hyperlink" Target="https://t.me/hiat_sarallah" TargetMode="External"/><Relationship Id="rId857" Type="http://schemas.openxmlformats.org/officeDocument/2006/relationships/hyperlink" Target="https://instagram.com/hiat_sarallah" TargetMode="External"/><Relationship Id="rId856" Type="http://schemas.openxmlformats.org/officeDocument/2006/relationships/hyperlink" Target="https://eitaa.com/hiat_sarallah" TargetMode="External"/><Relationship Id="rId851" Type="http://schemas.openxmlformats.org/officeDocument/2006/relationships/hyperlink" Target="https://eitaa.com/ghatrehayebarani" TargetMode="External"/><Relationship Id="rId850" Type="http://schemas.openxmlformats.org/officeDocument/2006/relationships/hyperlink" Target="https://eitaa.com/kanonjavadalaeme" TargetMode="External"/><Relationship Id="rId888" Type="http://schemas.openxmlformats.org/officeDocument/2006/relationships/hyperlink" Target="https://www.instagram.com/heiataliasghar?utm_source=ig_web_button_share_sheet&amp;igsh=ZDNlZDc0MzIxNw==" TargetMode="External"/><Relationship Id="rId887" Type="http://schemas.openxmlformats.org/officeDocument/2006/relationships/hyperlink" Target="https://eitaa.com/Montazeran_esf" TargetMode="External"/><Relationship Id="rId886" Type="http://schemas.openxmlformats.org/officeDocument/2006/relationships/hyperlink" Target="https://t.me/mohebanhosein_esf" TargetMode="External"/><Relationship Id="rId885" Type="http://schemas.openxmlformats.org/officeDocument/2006/relationships/hyperlink" Target="https://www.instagram.com/mohebanhosein_esf?utm_source=ig_web_button_share_sheet&amp;igsh=ZDNlZDc0MzIxNw==" TargetMode="External"/><Relationship Id="rId889" Type="http://schemas.openxmlformats.org/officeDocument/2006/relationships/hyperlink" Target="https://www.instagram.com/bane_zzahra?utm_source=ig_web_button_share_sheet&amp;igsh=ZDNlZDc0MzIxNw==" TargetMode="External"/><Relationship Id="rId880" Type="http://schemas.openxmlformats.org/officeDocument/2006/relationships/hyperlink" Target="https://www.instagram.com/maktabol_heydar?utm_source=ig_web_button_share_sheet&amp;igsh=ZDNlZDc0MzIxNw==" TargetMode="External"/><Relationship Id="rId884" Type="http://schemas.openxmlformats.org/officeDocument/2006/relationships/hyperlink" Target="https://eitaa.com/mohibanaliibnabitalib110" TargetMode="External"/><Relationship Id="rId883" Type="http://schemas.openxmlformats.org/officeDocument/2006/relationships/hyperlink" Target="https://eitaa.com/reyhanatollhosseinir" TargetMode="External"/><Relationship Id="rId882" Type="http://schemas.openxmlformats.org/officeDocument/2006/relationships/hyperlink" Target="https://eitaa.com/heyat_quran_ahlebeyt" TargetMode="External"/><Relationship Id="rId881" Type="http://schemas.openxmlformats.org/officeDocument/2006/relationships/hyperlink" Target="https://www.instagram.com/hazrat_roghaeh_esfahan?utm_source=ig_web_button_share_sheet&amp;igsh=ZDNlZDc0MzIxNw==" TargetMode="External"/><Relationship Id="rId877" Type="http://schemas.openxmlformats.org/officeDocument/2006/relationships/hyperlink" Target="https://t.me/HeiatAbalfazl_esf" TargetMode="External"/><Relationship Id="rId876" Type="http://schemas.openxmlformats.org/officeDocument/2006/relationships/hyperlink" Target="https://www.instagram.com/ashouraiyanjuzdan?utm_source=ig_web_button_share_sheet&amp;igsh=ZDNlZDc0MzIxNw==" TargetMode="External"/><Relationship Id="rId875" Type="http://schemas.openxmlformats.org/officeDocument/2006/relationships/hyperlink" Target="https://eitaa.com/emamjavadhasanabadiha" TargetMode="External"/><Relationship Id="rId874" Type="http://schemas.openxmlformats.org/officeDocument/2006/relationships/hyperlink" Target="https://t.me/Ali_Asghar1396" TargetMode="External"/><Relationship Id="rId879" Type="http://schemas.openxmlformats.org/officeDocument/2006/relationships/hyperlink" Target="https://www.instagram.com/razmandeganeslam?utm_source=ig_web_button_share_sheet&amp;igsh=ZDNlZDc0MzIxNw==" TargetMode="External"/><Relationship Id="rId878" Type="http://schemas.openxmlformats.org/officeDocument/2006/relationships/hyperlink" Target="https://www.instagram.com/heyat_abaabdeallhalhossein?utm_source=ig_web_button_share_sheet&amp;igsh=ZDNlZDc0MzIxNw==" TargetMode="External"/><Relationship Id="rId873" Type="http://schemas.openxmlformats.org/officeDocument/2006/relationships/hyperlink" Target="https://www.instagram.com/ali_asghar_heit/?utm_source=ig_web_button_share_sheet" TargetMode="External"/><Relationship Id="rId872" Type="http://schemas.openxmlformats.org/officeDocument/2006/relationships/hyperlink" Target="https://t.me/ho_ya_roghayeh315" TargetMode="External"/><Relationship Id="rId871" Type="http://schemas.openxmlformats.org/officeDocument/2006/relationships/hyperlink" Target="https://www.instagram.com/ho_ya_roghayeh315?utm_source=ig_web_button_share_sheet&amp;igsh=ZDNlZDc0MzIxNw==" TargetMode="External"/><Relationship Id="rId870" Type="http://schemas.openxmlformats.org/officeDocument/2006/relationships/hyperlink" Target="https://www.instagram.com/nava.shahzadeh?utm_source=ig_web_button_share_sheet&amp;igsh=ZDNlZDc0MzIxNw==" TargetMode="External"/><Relationship Id="rId829" Type="http://schemas.openxmlformats.org/officeDocument/2006/relationships/hyperlink" Target="https://www.instagram.com/razmandeh_com?utm_source=ig_web_button_share_sheet&amp;igsh=ZDNlZDc0MzIxNw==" TargetMode="External"/><Relationship Id="rId828" Type="http://schemas.openxmlformats.org/officeDocument/2006/relationships/hyperlink" Target="https://eitaa.com/shiftegan_emam" TargetMode="External"/><Relationship Id="rId827" Type="http://schemas.openxmlformats.org/officeDocument/2006/relationships/hyperlink" Target="https://www.instagram.com/heyate_emam_hasan_mojtaba.esf?utm_source=ig_web_button_share_sheet&amp;igsh=ZDNlZDc0MzIxNw==" TargetMode="External"/><Relationship Id="rId822" Type="http://schemas.openxmlformats.org/officeDocument/2006/relationships/hyperlink" Target="https://t.me/ahbabborreza" TargetMode="External"/><Relationship Id="rId821" Type="http://schemas.openxmlformats.org/officeDocument/2006/relationships/hyperlink" Target="https://www.instagram.com/ahbabborreza/?utm_source=ig_web_button_share_sheet" TargetMode="External"/><Relationship Id="rId820" Type="http://schemas.openxmlformats.org/officeDocument/2006/relationships/hyperlink" Target="https://www.instagram.com/yavaranmahdi12?utm_source=ig_web_button_share_sheet&amp;igsh=ZDNlZDc0MzIxNw==" TargetMode="External"/><Relationship Id="rId826" Type="http://schemas.openxmlformats.org/officeDocument/2006/relationships/hyperlink" Target="https://eitaa.com/mahfelaliakbar" TargetMode="External"/><Relationship Id="rId825" Type="http://schemas.openxmlformats.org/officeDocument/2006/relationships/hyperlink" Target="https://eitaa.com/chaharsogh_aran" TargetMode="External"/><Relationship Id="rId824" Type="http://schemas.openxmlformats.org/officeDocument/2006/relationships/hyperlink" Target="https://www.instagram.com/aliasghariaran?utm_source=ig_web_button_share_sheet&amp;igsh=ZDNlZDc0MzIxNw==" TargetMode="External"/><Relationship Id="rId823" Type="http://schemas.openxmlformats.org/officeDocument/2006/relationships/hyperlink" Target="https://www.instagram.com/asheghanevelayat94?utm_source=ig_web_button_share_sheet&amp;igsh=ZDNlZDc0MzIxNw==" TargetMode="External"/><Relationship Id="rId819" Type="http://schemas.openxmlformats.org/officeDocument/2006/relationships/hyperlink" Target="https://www.instagram.com/heyateimamhasan?utm_source=ig_web_button_share_sheet&amp;igsh=ZDNlZDc0MzIxNw==" TargetMode="External"/><Relationship Id="rId818" Type="http://schemas.openxmlformats.org/officeDocument/2006/relationships/hyperlink" Target="https://eitaa.com/h_h_aliakbar_a" TargetMode="External"/><Relationship Id="rId817" Type="http://schemas.openxmlformats.org/officeDocument/2006/relationships/hyperlink" Target="https://www.instagram.com/hiataliebneabitaleb?utm_source=ig_web_button_share_sheet&amp;igsh=ZDNlZDc0MzIxNw==" TargetMode="External"/><Relationship Id="rId816" Type="http://schemas.openxmlformats.org/officeDocument/2006/relationships/hyperlink" Target="https://www.instagram.com/abaabdelah.darahbid?utm_source=ig_web_button_share_sheet&amp;igsh=ZDNlZDc0MzIxNw==" TargetMode="External"/><Relationship Id="rId811" Type="http://schemas.openxmlformats.org/officeDocument/2006/relationships/hyperlink" Target="https://www.instagram.com/ansaralmahdi313esf110?utm_source=ig_web_button_share_sheet&amp;igsh=ZDNlZDc0MzIxNw==" TargetMode="External"/><Relationship Id="rId810" Type="http://schemas.openxmlformats.org/officeDocument/2006/relationships/hyperlink" Target="https://eitaa.com/E_Talkhoncheh" TargetMode="External"/><Relationship Id="rId815" Type="http://schemas.openxmlformats.org/officeDocument/2006/relationships/hyperlink" Target="https://eitaa.com/HeyatRoghaye" TargetMode="External"/><Relationship Id="rId814" Type="http://schemas.openxmlformats.org/officeDocument/2006/relationships/hyperlink" Target="https://www.instagram.com/heyaatroghaye?utm_source=ig_web_button_share_sheet&amp;igsh=ZDNlZDc0MzIxNw==" TargetMode="External"/><Relationship Id="rId813" Type="http://schemas.openxmlformats.org/officeDocument/2006/relationships/hyperlink" Target="https://eitaa.com/sayyedmahdi8" TargetMode="External"/><Relationship Id="rId812" Type="http://schemas.openxmlformats.org/officeDocument/2006/relationships/hyperlink" Target="https://www.instagram.com/ansar_almahdi_esfahan?utm_source=ig_web_button_share_sheet&amp;igsh=ZDNlZDc0MzIxNw==" TargetMode="External"/><Relationship Id="rId849" Type="http://schemas.openxmlformats.org/officeDocument/2006/relationships/hyperlink" Target="https://eitaa.com/ansar_zahra_info" TargetMode="External"/><Relationship Id="rId844" Type="http://schemas.openxmlformats.org/officeDocument/2006/relationships/hyperlink" Target="https://www.instagram.com/mokebzahraii?utm_source=ig_web_button_share_sheet&amp;igsh=ZDNlZDc0MzIxNw==" TargetMode="External"/><Relationship Id="rId843" Type="http://schemas.openxmlformats.org/officeDocument/2006/relationships/hyperlink" Target="https://www.instagram.com/masjed_embgh?utm_source=ig_web_button_share_sheet&amp;igsh=ZDNlZDc0MzIxNw==" TargetMode="External"/><Relationship Id="rId842" Type="http://schemas.openxmlformats.org/officeDocument/2006/relationships/hyperlink" Target="https://eitaa.com/BanovaneAfifeh" TargetMode="External"/><Relationship Id="rId841" Type="http://schemas.openxmlformats.org/officeDocument/2006/relationships/hyperlink" Target="https://www.instagram.com/heyat_saheb_zaman_313?utm_source=ig_web_button_share_sheet&amp;igsh=ZDNlZDc0MzIxNw==" TargetMode="External"/><Relationship Id="rId848" Type="http://schemas.openxmlformats.org/officeDocument/2006/relationships/hyperlink" Target="https://eitaa.com/bablhavaej" TargetMode="External"/><Relationship Id="rId847" Type="http://schemas.openxmlformats.org/officeDocument/2006/relationships/hyperlink" Target="https://www.instagram.com/heiatjavadolaemme?utm_source=ig_web_button_share_sheet&amp;igsh=ZDNlZDc0MzIxNw==" TargetMode="External"/><Relationship Id="rId846" Type="http://schemas.openxmlformats.org/officeDocument/2006/relationships/hyperlink" Target="https://eitaa.com/Ali_asghar_razie" TargetMode="External"/><Relationship Id="rId845" Type="http://schemas.openxmlformats.org/officeDocument/2006/relationships/hyperlink" Target="https://www.instagram.com/motevaslinhazratabolfazl?utm_source=ig_web_button_share_sheet&amp;igsh=ZDNlZDc0MzIxNw==" TargetMode="External"/><Relationship Id="rId840" Type="http://schemas.openxmlformats.org/officeDocument/2006/relationships/hyperlink" Target="https://www.instagram.com/mahdiye_badrood/?utm_source=ig_web_button_share_sheet" TargetMode="External"/><Relationship Id="rId839" Type="http://schemas.openxmlformats.org/officeDocument/2006/relationships/hyperlink" Target="https://eitaa.com/almdar_karbala_133" TargetMode="External"/><Relationship Id="rId838" Type="http://schemas.openxmlformats.org/officeDocument/2006/relationships/hyperlink" Target="https://eitaa.com/rezvanir" TargetMode="External"/><Relationship Id="rId833" Type="http://schemas.openxmlformats.org/officeDocument/2006/relationships/hyperlink" Target="https://eitaa.com/jameezeinab" TargetMode="External"/><Relationship Id="rId832" Type="http://schemas.openxmlformats.org/officeDocument/2006/relationships/hyperlink" Target="https://eitaa.com/Mahd_quran_esfahan" TargetMode="External"/><Relationship Id="rId831" Type="http://schemas.openxmlformats.org/officeDocument/2006/relationships/hyperlink" Target="https://www.instagram.com/ghasem_ebneel_hassan?utm_source=ig_web_button_share_sheet&amp;igsh=ZDNlZDc0MzIxNw==" TargetMode="External"/><Relationship Id="rId830" Type="http://schemas.openxmlformats.org/officeDocument/2006/relationships/hyperlink" Target="https://www.instagram.com/saelin18?utm_source=ig_web_button_share_sheet&amp;igsh=ZDNlZDc0MzIxNw==" TargetMode="External"/><Relationship Id="rId837" Type="http://schemas.openxmlformats.org/officeDocument/2006/relationships/hyperlink" Target="https://t.me/rezvanir110" TargetMode="External"/><Relationship Id="rId836" Type="http://schemas.openxmlformats.org/officeDocument/2006/relationships/hyperlink" Target="https://www.instagram.com/rezvanir110?utm_source=ig_web_button_share_sheet&amp;igsh=ZDNlZDc0MzIxNw==" TargetMode="External"/><Relationship Id="rId835" Type="http://schemas.openxmlformats.org/officeDocument/2006/relationships/hyperlink" Target="https://www.instagram.com/hezeinolabedin?utm_source=ig_web_button_share_sheet&amp;igsh=ZDNlZDc0MzIxNw==" TargetMode="External"/><Relationship Id="rId834" Type="http://schemas.openxmlformats.org/officeDocument/2006/relationships/hyperlink" Target="https://eitaa.com/fatemyoon" TargetMode="External"/><Relationship Id="rId899" Type="http://schemas.openxmlformats.org/officeDocument/2006/relationships/hyperlink" Target="https://www.instagram.com/shahzadeh_aliakbar?utm_source=ig_web_button_share_sheet&amp;igsh=ZDNlZDc0MzIxNw==" TargetMode="External"/><Relationship Id="rId898" Type="http://schemas.openxmlformats.org/officeDocument/2006/relationships/hyperlink" Target="https://www.instagram.com/maktab_az_zahra?utm_source=ig_web_button_share_sheet&amp;igsh=ZDNlZDc0MzIxNw==" TargetMode="External"/><Relationship Id="rId897" Type="http://schemas.openxmlformats.org/officeDocument/2006/relationships/hyperlink" Target="https://eitaa.com/AbaalFazlalAbbas133" TargetMode="External"/><Relationship Id="rId896" Type="http://schemas.openxmlformats.org/officeDocument/2006/relationships/hyperlink" Target="https://www.instagram.com/heiat_abolfazleabas?utm_source=ig_web_button_share_sheet&amp;igsh=ZDNlZDc0MzIxNw==" TargetMode="External"/><Relationship Id="rId891" Type="http://schemas.openxmlformats.org/officeDocument/2006/relationships/hyperlink" Target="https://www.instagram.com/mohebaneahlebeyt?utm_source=ig_web_button_share_sheet&amp;igsh=ZDNlZDc0MzIxNw==" TargetMode="External"/><Relationship Id="rId890" Type="http://schemas.openxmlformats.org/officeDocument/2006/relationships/hyperlink" Target="https://www.instagram.com/heyaat_javananaliakbar?utm_source=ig_web_button_share_sheet&amp;igsh=ZDNlZDc0MzIxNw==" TargetMode="External"/><Relationship Id="rId895" Type="http://schemas.openxmlformats.org/officeDocument/2006/relationships/hyperlink" Target="https://www.instagram.com/heiatabalfazl_esf.ir?utm_source=ig_web_button_share_sheet&amp;igsh=ZDNlZDc0MzIxNw==" TargetMode="External"/><Relationship Id="rId894" Type="http://schemas.openxmlformats.org/officeDocument/2006/relationships/hyperlink" Target="https://www.instagram.com/musabnejafar.esf?utm_source=ig_web_button_share_sheet&amp;igsh=ZDNlZDc0MzIxNw==" TargetMode="External"/><Relationship Id="rId893" Type="http://schemas.openxmlformats.org/officeDocument/2006/relationships/hyperlink" Target="https://eitaa.com/raayatozzahra1" TargetMode="External"/><Relationship Id="rId892" Type="http://schemas.openxmlformats.org/officeDocument/2006/relationships/hyperlink" Target="https://eitaa.com/mohebanahlebeyt8" TargetMode="External"/></Relationships>
</file>

<file path=xl/worksheets/_rels/sheet12.xml.rels><?xml version="1.0" encoding="UTF-8" standalone="yes"?><Relationships xmlns="http://schemas.openxmlformats.org/package/2006/relationships"><Relationship Id="rId190" Type="http://schemas.openxmlformats.org/officeDocument/2006/relationships/hyperlink" Target="https://t.me/bentolheydar" TargetMode="External"/><Relationship Id="rId194" Type="http://schemas.openxmlformats.org/officeDocument/2006/relationships/hyperlink" Target="https://www.instagram.com/mahdieh_rasht/" TargetMode="External"/><Relationship Id="rId193" Type="http://schemas.openxmlformats.org/officeDocument/2006/relationships/hyperlink" Target="https://eitaa.com/mohebbinoreza" TargetMode="External"/><Relationship Id="rId192" Type="http://schemas.openxmlformats.org/officeDocument/2006/relationships/hyperlink" Target="http://t.me/mohebbinoreza" TargetMode="External"/><Relationship Id="rId191" Type="http://schemas.openxmlformats.org/officeDocument/2006/relationships/hyperlink" Target="https://www.instagram.com/mohebbinoreza/" TargetMode="External"/><Relationship Id="rId187" Type="http://schemas.openxmlformats.org/officeDocument/2006/relationships/hyperlink" Target="https://t.me/rozat_133" TargetMode="External"/><Relationship Id="rId186" Type="http://schemas.openxmlformats.org/officeDocument/2006/relationships/hyperlink" Target="https://www.instagram.com/rozat_133/" TargetMode="External"/><Relationship Id="rId185" Type="http://schemas.openxmlformats.org/officeDocument/2006/relationships/hyperlink" Target="https://www.instagram.com/heyat.razmandegan.gilan/" TargetMode="External"/><Relationship Id="rId184" Type="http://schemas.openxmlformats.org/officeDocument/2006/relationships/hyperlink" Target="https://www.instagram.com/khoddamoletra/" TargetMode="External"/><Relationship Id="rId189" Type="http://schemas.openxmlformats.org/officeDocument/2006/relationships/hyperlink" Target="https://www.instagram.com/bentolheydar_ir/" TargetMode="External"/><Relationship Id="rId188" Type="http://schemas.openxmlformats.org/officeDocument/2006/relationships/hyperlink" Target="https://www.instagram.com/moheban.al.hosein/" TargetMode="External"/><Relationship Id="rId183" Type="http://schemas.openxmlformats.org/officeDocument/2006/relationships/hyperlink" Target="https://www.instagram.com/ghamkhanehbentali/" TargetMode="External"/><Relationship Id="rId182" Type="http://schemas.openxmlformats.org/officeDocument/2006/relationships/hyperlink" Target="https://www.instagram.com/mesbaholhossein_org/" TargetMode="External"/><Relationship Id="rId181" Type="http://schemas.openxmlformats.org/officeDocument/2006/relationships/hyperlink" Target="https://www.instagram.com/sadid.heiat/" TargetMode="External"/><Relationship Id="rId180" Type="http://schemas.openxmlformats.org/officeDocument/2006/relationships/hyperlink" Target="https://www.instagram.com/oshagh_mahdi_/" TargetMode="External"/><Relationship Id="rId176" Type="http://schemas.openxmlformats.org/officeDocument/2006/relationships/hyperlink" Target="https://t.me/Mohebin_AhlalBayt" TargetMode="External"/><Relationship Id="rId175" Type="http://schemas.openxmlformats.org/officeDocument/2006/relationships/hyperlink" Target="https://www.instagram.com/mohebin_com/" TargetMode="External"/><Relationship Id="rId174" Type="http://schemas.openxmlformats.org/officeDocument/2006/relationships/hyperlink" Target="https://t.me/heyat_bahonar" TargetMode="External"/><Relationship Id="rId173" Type="http://schemas.openxmlformats.org/officeDocument/2006/relationships/hyperlink" Target="https://www.instagram.com/heyat_bahonar/" TargetMode="External"/><Relationship Id="rId179" Type="http://schemas.openxmlformats.org/officeDocument/2006/relationships/hyperlink" Target="https://www.instagram.com/ukhtalreza_101/" TargetMode="External"/><Relationship Id="rId178" Type="http://schemas.openxmlformats.org/officeDocument/2006/relationships/hyperlink" Target="https://t.me/ashk_info" TargetMode="External"/><Relationship Id="rId177" Type="http://schemas.openxmlformats.org/officeDocument/2006/relationships/hyperlink" Target="https://www.instagram.com/ashk_info/" TargetMode="External"/><Relationship Id="rId198" Type="http://schemas.openxmlformats.org/officeDocument/2006/relationships/hyperlink" Target="https://www.instagram.com/mohebban.info/" TargetMode="External"/><Relationship Id="rId197" Type="http://schemas.openxmlformats.org/officeDocument/2006/relationships/hyperlink" Target="https://eitaa.com/Emamhadirasht" TargetMode="External"/><Relationship Id="rId196" Type="http://schemas.openxmlformats.org/officeDocument/2006/relationships/hyperlink" Target="https://t.me/e_hadi_ir" TargetMode="External"/><Relationship Id="rId195" Type="http://schemas.openxmlformats.org/officeDocument/2006/relationships/hyperlink" Target="https://www.instagram.com/tekyegahemamhadi/" TargetMode="External"/><Relationship Id="rId199" Type="http://schemas.openxmlformats.org/officeDocument/2006/relationships/hyperlink" Target="https://t.me/araf313" TargetMode="External"/><Relationship Id="rId150" Type="http://schemas.openxmlformats.org/officeDocument/2006/relationships/hyperlink" Target="https://www.instagram.com/montazeransahebazaman/" TargetMode="External"/><Relationship Id="rId149" Type="http://schemas.openxmlformats.org/officeDocument/2006/relationships/hyperlink" Target="https://www.instagram.com/rozatolamirrasht_ir/" TargetMode="External"/><Relationship Id="rId148" Type="http://schemas.openxmlformats.org/officeDocument/2006/relationships/hyperlink" Target="https://www.instagram.com/roghayeeh_315/" TargetMode="External"/><Relationship Id="rId143" Type="http://schemas.openxmlformats.org/officeDocument/2006/relationships/hyperlink" Target="https://www.instagram.com/fatematazahra_ir/" TargetMode="External"/><Relationship Id="rId142" Type="http://schemas.openxmlformats.org/officeDocument/2006/relationships/hyperlink" Target="https://eitaa.com/rozatoozahra" TargetMode="External"/><Relationship Id="rId141" Type="http://schemas.openxmlformats.org/officeDocument/2006/relationships/hyperlink" Target="https://t.me/rozatazahra_ir" TargetMode="External"/><Relationship Id="rId140" Type="http://schemas.openxmlformats.org/officeDocument/2006/relationships/hyperlink" Target="https://www.instagram.com/rozatazahra/" TargetMode="External"/><Relationship Id="rId147" Type="http://schemas.openxmlformats.org/officeDocument/2006/relationships/hyperlink" Target="https://t.me/yazaahra_ir" TargetMode="External"/><Relationship Id="rId146" Type="http://schemas.openxmlformats.org/officeDocument/2006/relationships/hyperlink" Target="https://www.instagram.com/yazaahra_ir/" TargetMode="External"/><Relationship Id="rId145" Type="http://schemas.openxmlformats.org/officeDocument/2006/relationships/hyperlink" Target="https://www.instagram.com/oshagh.media/" TargetMode="External"/><Relationship Id="rId144" Type="http://schemas.openxmlformats.org/officeDocument/2006/relationships/hyperlink" Target="https://www.instagram.com/bentol_hossein1403/" TargetMode="External"/><Relationship Id="rId139" Type="http://schemas.openxmlformats.org/officeDocument/2006/relationships/hyperlink" Target="https://www.instagram.com/heyat_ghaemie_rasht/" TargetMode="External"/><Relationship Id="rId138" Type="http://schemas.openxmlformats.org/officeDocument/2006/relationships/hyperlink" Target="https://t.me/hazrat_abolfazl_info" TargetMode="External"/><Relationship Id="rId137" Type="http://schemas.openxmlformats.org/officeDocument/2006/relationships/hyperlink" Target="https://www.instagram.com/hazrat.abolfazl.live/" TargetMode="External"/><Relationship Id="rId132" Type="http://schemas.openxmlformats.org/officeDocument/2006/relationships/hyperlink" Target="https://t.me/heyat_hazrat_amir" TargetMode="External"/><Relationship Id="rId131" Type="http://schemas.openxmlformats.org/officeDocument/2006/relationships/hyperlink" Target="https://www.instagram.com/heyat_hazrat_amir/" TargetMode="External"/><Relationship Id="rId130" Type="http://schemas.openxmlformats.org/officeDocument/2006/relationships/hyperlink" Target="https://www.instagram.com/janate_zeynab/" TargetMode="External"/><Relationship Id="rId136" Type="http://schemas.openxmlformats.org/officeDocument/2006/relationships/hyperlink" Target="https://www.instagram.com/jannatal_hussain/" TargetMode="External"/><Relationship Id="rId135" Type="http://schemas.openxmlformats.org/officeDocument/2006/relationships/hyperlink" Target="https://www.instagram.com/beheshtt_info/" TargetMode="External"/><Relationship Id="rId134" Type="http://schemas.openxmlformats.org/officeDocument/2006/relationships/hyperlink" Target="https://t.me/heyat_oshagholreza" TargetMode="External"/><Relationship Id="rId133" Type="http://schemas.openxmlformats.org/officeDocument/2006/relationships/hyperlink" Target="https://www.instagram.com/heyat_oshagholreza/" TargetMode="External"/><Relationship Id="rId172" Type="http://schemas.openxmlformats.org/officeDocument/2006/relationships/hyperlink" Target="https://tlgrm.in/heyatmowlaali" TargetMode="External"/><Relationship Id="rId171" Type="http://schemas.openxmlformats.org/officeDocument/2006/relationships/hyperlink" Target="https://www.instagram.com/heyatmowlaali/" TargetMode="External"/><Relationship Id="rId170" Type="http://schemas.openxmlformats.org/officeDocument/2006/relationships/hyperlink" Target="https://www.instagram.com/khaymatolhaydar/" TargetMode="External"/><Relationship Id="rId165" Type="http://schemas.openxmlformats.org/officeDocument/2006/relationships/hyperlink" Target="https://t.me/heyatjanat" TargetMode="External"/><Relationship Id="rId164" Type="http://schemas.openxmlformats.org/officeDocument/2006/relationships/hyperlink" Target="https://www.instagram.com/janat.ir/" TargetMode="External"/><Relationship Id="rId163" Type="http://schemas.openxmlformats.org/officeDocument/2006/relationships/hyperlink" Target="https://www.instagram.com/khonemadari_135/" TargetMode="External"/><Relationship Id="rId162" Type="http://schemas.openxmlformats.org/officeDocument/2006/relationships/hyperlink" Target="https://www.instagram.com/payegahealmahdi/" TargetMode="External"/><Relationship Id="rId169" Type="http://schemas.openxmlformats.org/officeDocument/2006/relationships/hyperlink" Target="https://t.me/montazeran_rasht313" TargetMode="External"/><Relationship Id="rId168" Type="http://schemas.openxmlformats.org/officeDocument/2006/relationships/hyperlink" Target="https://www.instagram.com/montazeran_rasht313/" TargetMode="External"/><Relationship Id="rId167" Type="http://schemas.openxmlformats.org/officeDocument/2006/relationships/hyperlink" Target="https://www.instagram.com/montazeran_monji_rasht/" TargetMode="External"/><Relationship Id="rId166" Type="http://schemas.openxmlformats.org/officeDocument/2006/relationships/hyperlink" Target="https://eitaa.com/heyatjanat" TargetMode="External"/><Relationship Id="rId161" Type="http://schemas.openxmlformats.org/officeDocument/2006/relationships/hyperlink" Target="https://t.me/khademin_135" TargetMode="External"/><Relationship Id="rId160" Type="http://schemas.openxmlformats.org/officeDocument/2006/relationships/hyperlink" Target="https://www.instagram.com/khademin__info/" TargetMode="External"/><Relationship Id="rId159" Type="http://schemas.openxmlformats.org/officeDocument/2006/relationships/hyperlink" Target="https://www.instagram.com/khademin__alzahra/" TargetMode="External"/><Relationship Id="rId154" Type="http://schemas.openxmlformats.org/officeDocument/2006/relationships/hyperlink" Target="https://www.instagram.com/heyat_abolfazl.abbas/" TargetMode="External"/><Relationship Id="rId153" Type="http://schemas.openxmlformats.org/officeDocument/2006/relationships/hyperlink" Target="https://t.me/janate_zeynab" TargetMode="External"/><Relationship Id="rId152" Type="http://schemas.openxmlformats.org/officeDocument/2006/relationships/hyperlink" Target="https://www.instagram.com/janatezeynab.ir/" TargetMode="External"/><Relationship Id="rId151" Type="http://schemas.openxmlformats.org/officeDocument/2006/relationships/hyperlink" Target="https://t.me/montazeransahebazaman313" TargetMode="External"/><Relationship Id="rId158" Type="http://schemas.openxmlformats.org/officeDocument/2006/relationships/hyperlink" Target="https://eitaa.com/reihanatorasoul" TargetMode="External"/><Relationship Id="rId157" Type="http://schemas.openxmlformats.org/officeDocument/2006/relationships/hyperlink" Target="https://www.instagram.com/reyhanatorrasoul/" TargetMode="External"/><Relationship Id="rId156" Type="http://schemas.openxmlformats.org/officeDocument/2006/relationships/hyperlink" Target="https://telegram.me/masjed_jamee_tamal" TargetMode="External"/><Relationship Id="rId155" Type="http://schemas.openxmlformats.org/officeDocument/2006/relationships/hyperlink" Target="https://www.instagram.com/heiyat.hazrat.abalfazl.tamal/" TargetMode="External"/><Relationship Id="rId107" Type="http://schemas.openxmlformats.org/officeDocument/2006/relationships/hyperlink" Target="https://www.instagram.com/kheyme_8/" TargetMode="External"/><Relationship Id="rId106" Type="http://schemas.openxmlformats.org/officeDocument/2006/relationships/hyperlink" Target="https://t.me/heyataleyasin" TargetMode="External"/><Relationship Id="rId105" Type="http://schemas.openxmlformats.org/officeDocument/2006/relationships/hyperlink" Target="https://www.instagram.com/heyataleyasin.ir/" TargetMode="External"/><Relationship Id="rId104" Type="http://schemas.openxmlformats.org/officeDocument/2006/relationships/hyperlink" Target="https://eitaa.com/omeabiha_com" TargetMode="External"/><Relationship Id="rId109" Type="http://schemas.openxmlformats.org/officeDocument/2006/relationships/hyperlink" Target="https://www.instagram.com/shohadagomnam_rasht/" TargetMode="External"/><Relationship Id="rId108" Type="http://schemas.openxmlformats.org/officeDocument/2006/relationships/hyperlink" Target="https://t.me/kheyme_8" TargetMode="External"/><Relationship Id="rId103" Type="http://schemas.openxmlformats.org/officeDocument/2006/relationships/hyperlink" Target="https://t.me/omeabiha_com" TargetMode="External"/><Relationship Id="rId102" Type="http://schemas.openxmlformats.org/officeDocument/2006/relationships/hyperlink" Target="https://www.instagram.com/omeabiha_ir/" TargetMode="External"/><Relationship Id="rId101" Type="http://schemas.openxmlformats.org/officeDocument/2006/relationships/hyperlink" Target="https://t.me/yazahra135_info" TargetMode="External"/><Relationship Id="rId100" Type="http://schemas.openxmlformats.org/officeDocument/2006/relationships/hyperlink" Target="https://www.instagram.com/yazahra135_info/" TargetMode="External"/><Relationship Id="rId129" Type="http://schemas.openxmlformats.org/officeDocument/2006/relationships/hyperlink" Target="https://www.instagram.com/oshaghol_alhosein/" TargetMode="External"/><Relationship Id="rId128" Type="http://schemas.openxmlformats.org/officeDocument/2006/relationships/hyperlink" Target="https://eitaa.com/khoddam_rasht" TargetMode="External"/><Relationship Id="rId127" Type="http://schemas.openxmlformats.org/officeDocument/2006/relationships/hyperlink" Target="https://t.me/khodam_rasht" TargetMode="External"/><Relationship Id="rId126" Type="http://schemas.openxmlformats.org/officeDocument/2006/relationships/hyperlink" Target="https://www.instagram.com/khoddamolheydar.ir/" TargetMode="External"/><Relationship Id="rId121" Type="http://schemas.openxmlformats.org/officeDocument/2006/relationships/hyperlink" Target="https://www.instagram.com/heyat.beytolzahra.313/" TargetMode="External"/><Relationship Id="rId120" Type="http://schemas.openxmlformats.org/officeDocument/2006/relationships/hyperlink" Target="https://www.instagram.com/haram_info/" TargetMode="External"/><Relationship Id="rId125" Type="http://schemas.openxmlformats.org/officeDocument/2006/relationships/hyperlink" Target="https://t.me/razmandeganeslam_ir" TargetMode="External"/><Relationship Id="rId124" Type="http://schemas.openxmlformats.org/officeDocument/2006/relationships/hyperlink" Target="https://www.instagram.com/razmandeganeslam_ir/" TargetMode="External"/><Relationship Id="rId123" Type="http://schemas.openxmlformats.org/officeDocument/2006/relationships/hyperlink" Target="https://www.instagram.com/jnat___133/" TargetMode="External"/><Relationship Id="rId122" Type="http://schemas.openxmlformats.org/officeDocument/2006/relationships/hyperlink" Target="https://t.me/beytozahra_rasht" TargetMode="External"/><Relationship Id="rId118" Type="http://schemas.openxmlformats.org/officeDocument/2006/relationships/hyperlink" Target="https://t.me/MOHEBIN128" TargetMode="External"/><Relationship Id="rId117" Type="http://schemas.openxmlformats.org/officeDocument/2006/relationships/hyperlink" Target="https://www.instagram.com/mohebin128/" TargetMode="External"/><Relationship Id="rId116" Type="http://schemas.openxmlformats.org/officeDocument/2006/relationships/hyperlink" Target="https://www.instagram.com/mahfel133/" TargetMode="External"/><Relationship Id="rId115" Type="http://schemas.openxmlformats.org/officeDocument/2006/relationships/hyperlink" Target="https://eitaa.com/torbatinfo_channel" TargetMode="External"/><Relationship Id="rId119" Type="http://schemas.openxmlformats.org/officeDocument/2006/relationships/hyperlink" Target="https://www.instagram.com/alenabi.rasht/" TargetMode="External"/><Relationship Id="rId110" Type="http://schemas.openxmlformats.org/officeDocument/2006/relationships/hyperlink" Target="https://www.instagram.com/seyedeh_zeynab_rasht/" TargetMode="External"/><Relationship Id="rId114" Type="http://schemas.openxmlformats.org/officeDocument/2006/relationships/hyperlink" Target="https://t.me/torbatinfo_channel" TargetMode="External"/><Relationship Id="rId113" Type="http://schemas.openxmlformats.org/officeDocument/2006/relationships/hyperlink" Target="https://www.instagram.com/torbat_info/" TargetMode="External"/><Relationship Id="rId112" Type="http://schemas.openxmlformats.org/officeDocument/2006/relationships/hyperlink" Target="https://www.instagram.com/yazahra_rahrovan_shohada/" TargetMode="External"/><Relationship Id="rId111" Type="http://schemas.openxmlformats.org/officeDocument/2006/relationships/hyperlink" Target="https://t.me/seyedeh69" TargetMode="External"/><Relationship Id="rId40" Type="http://schemas.openxmlformats.org/officeDocument/2006/relationships/hyperlink" Target="https://www.instagram.com/rouzatolhossein.choukam/" TargetMode="External"/><Relationship Id="rId42" Type="http://schemas.openxmlformats.org/officeDocument/2006/relationships/hyperlink" Target="https://www.instagram.com/heyat_ansarallah/" TargetMode="External"/><Relationship Id="rId41" Type="http://schemas.openxmlformats.org/officeDocument/2006/relationships/hyperlink" Target="https://www.instagram.com/heyatansaralmahdi.ir/" TargetMode="External"/><Relationship Id="rId44" Type="http://schemas.openxmlformats.org/officeDocument/2006/relationships/hyperlink" Target="https://www.instagram.com/janatoreza_ir" TargetMode="External"/><Relationship Id="rId43" Type="http://schemas.openxmlformats.org/officeDocument/2006/relationships/hyperlink" Target="https://www.instagram.com/revagh8/" TargetMode="External"/><Relationship Id="rId46" Type="http://schemas.openxmlformats.org/officeDocument/2006/relationships/hyperlink" Target="https://eitaa.com/janatoreza_ir" TargetMode="External"/><Relationship Id="rId45" Type="http://schemas.openxmlformats.org/officeDocument/2006/relationships/hyperlink" Target="https://t.me/janatoreza_ir" TargetMode="External"/><Relationship Id="rId48" Type="http://schemas.openxmlformats.org/officeDocument/2006/relationships/hyperlink" Target="https://t.me/Heyat_imamreza0" TargetMode="External"/><Relationship Id="rId47" Type="http://schemas.openxmlformats.org/officeDocument/2006/relationships/hyperlink" Target="https://www.instagram.com/heyat_imamreza/" TargetMode="External"/><Relationship Id="rId49" Type="http://schemas.openxmlformats.org/officeDocument/2006/relationships/hyperlink" Target="https://eitaa.com/s/Heyat_imamreza0" TargetMode="External"/><Relationship Id="rId31" Type="http://schemas.openxmlformats.org/officeDocument/2006/relationships/hyperlink" Target="https://t.me/heyaatfatemiyoun" TargetMode="External"/><Relationship Id="rId30" Type="http://schemas.openxmlformats.org/officeDocument/2006/relationships/hyperlink" Target="https://www.instagram.com/heyat_fatemiyon_1431/" TargetMode="External"/><Relationship Id="rId33" Type="http://schemas.openxmlformats.org/officeDocument/2006/relationships/hyperlink" Target="https://t.me/heyat_aliakbar_rankoh" TargetMode="External"/><Relationship Id="rId32" Type="http://schemas.openxmlformats.org/officeDocument/2006/relationships/hyperlink" Target="https://www.instagram.com/heyat_aliakbar_rankoh/" TargetMode="External"/><Relationship Id="rId35" Type="http://schemas.openxmlformats.org/officeDocument/2006/relationships/hyperlink" Target="https://t.me/lesaratol_hosein" TargetMode="External"/><Relationship Id="rId34" Type="http://schemas.openxmlformats.org/officeDocument/2006/relationships/hyperlink" Target="https://www.instagram.com/ya_lesarat_ol_hosein/" TargetMode="External"/><Relationship Id="rId37" Type="http://schemas.openxmlformats.org/officeDocument/2006/relationships/hyperlink" Target="https://t.me/javanan_ghamar_bani_hashem1384" TargetMode="External"/><Relationship Id="rId36" Type="http://schemas.openxmlformats.org/officeDocument/2006/relationships/hyperlink" Target="https://www.instagram.com/ghaamarebanihashem1384/" TargetMode="External"/><Relationship Id="rId39" Type="http://schemas.openxmlformats.org/officeDocument/2006/relationships/hyperlink" Target="https://www.instagram.com/heiat.panjtan.aleaba/" TargetMode="External"/><Relationship Id="rId38" Type="http://schemas.openxmlformats.org/officeDocument/2006/relationships/hyperlink" Target="https://www.instagram.com/heyatasalem/" TargetMode="External"/><Relationship Id="rId20" Type="http://schemas.openxmlformats.org/officeDocument/2006/relationships/hyperlink" Target="https://www.instagram.com/heyatemamreza.astaneh/" TargetMode="External"/><Relationship Id="rId22" Type="http://schemas.openxmlformats.org/officeDocument/2006/relationships/hyperlink" Target="https://t.me/mahdavion_astaneh" TargetMode="External"/><Relationship Id="rId21" Type="http://schemas.openxmlformats.org/officeDocument/2006/relationships/hyperlink" Target="https://www.instagram.com/mahdavion_astaneh/" TargetMode="External"/><Relationship Id="rId24" Type="http://schemas.openxmlformats.org/officeDocument/2006/relationships/hyperlink" Target="https://www.instagram.com/heyate_heydar_karrar/" TargetMode="External"/><Relationship Id="rId23" Type="http://schemas.openxmlformats.org/officeDocument/2006/relationships/hyperlink" Target="https://www.instagram.com/kheymatol_abas/" TargetMode="External"/><Relationship Id="rId26" Type="http://schemas.openxmlformats.org/officeDocument/2006/relationships/hyperlink" Target="https://www.instagram.com/heyat_baghiyatallah_amlash/" TargetMode="External"/><Relationship Id="rId25" Type="http://schemas.openxmlformats.org/officeDocument/2006/relationships/hyperlink" Target="https://t.me/heydarkarrar_astaneh" TargetMode="External"/><Relationship Id="rId28" Type="http://schemas.openxmlformats.org/officeDocument/2006/relationships/hyperlink" Target="https://www.instagram.com/heiyat_ghasem_ben_hassan1390/" TargetMode="External"/><Relationship Id="rId27" Type="http://schemas.openxmlformats.org/officeDocument/2006/relationships/hyperlink" Target="https://t.me/ya_baghiyatallah_313_amlash" TargetMode="External"/><Relationship Id="rId29" Type="http://schemas.openxmlformats.org/officeDocument/2006/relationships/hyperlink" Target="https://www.instagram.com/sadatamlash" TargetMode="External"/><Relationship Id="rId11" Type="http://schemas.openxmlformats.org/officeDocument/2006/relationships/hyperlink" Target="https://www.instagram.com/heiyat_fatematozahra/" TargetMode="External"/><Relationship Id="rId10" Type="http://schemas.openxmlformats.org/officeDocument/2006/relationships/hyperlink" Target="https://www.instagram.com/hoseyniye_majazi/" TargetMode="External"/><Relationship Id="rId13" Type="http://schemas.openxmlformats.org/officeDocument/2006/relationships/hyperlink" Target="https://www.instagram.com/heyat.razmandegan/" TargetMode="External"/><Relationship Id="rId12" Type="http://schemas.openxmlformats.org/officeDocument/2006/relationships/hyperlink" Target="https://t.me/heyat_fatematolzahra" TargetMode="External"/><Relationship Id="rId15" Type="http://schemas.openxmlformats.org/officeDocument/2006/relationships/hyperlink" Target="https://www.instagram.com/heyat_abalfazl_astaneh/" TargetMode="External"/><Relationship Id="rId14" Type="http://schemas.openxmlformats.org/officeDocument/2006/relationships/hyperlink" Target="https://eitaa.com/hayat_razmandegan_astaneh" TargetMode="External"/><Relationship Id="rId17" Type="http://schemas.openxmlformats.org/officeDocument/2006/relationships/hyperlink" Target="https://www.instagram.com/mahfell_moheban_gilan" TargetMode="External"/><Relationship Id="rId16" Type="http://schemas.openxmlformats.org/officeDocument/2006/relationships/hyperlink" Target="https://t.me/heyat_abalfazl_astaneh" TargetMode="External"/><Relationship Id="rId19" Type="http://schemas.openxmlformats.org/officeDocument/2006/relationships/hyperlink" Target="https://www.instagram.com/hoseinie_sadeghalmohammad/" TargetMode="External"/><Relationship Id="rId18" Type="http://schemas.openxmlformats.org/officeDocument/2006/relationships/hyperlink" Target="https://www.instagram.com/maktabolabbas_astaneh" TargetMode="External"/><Relationship Id="rId84" Type="http://schemas.openxmlformats.org/officeDocument/2006/relationships/hyperlink" Target="https://eitaa.com/ebnozzahra_com" TargetMode="External"/><Relationship Id="rId83" Type="http://schemas.openxmlformats.org/officeDocument/2006/relationships/hyperlink" Target="https://www.instagram.com/ebnozzahra_com/" TargetMode="External"/><Relationship Id="rId86" Type="http://schemas.openxmlformats.org/officeDocument/2006/relationships/hyperlink" Target="https://www.instagram.com/beyragh_110/" TargetMode="External"/><Relationship Id="rId85" Type="http://schemas.openxmlformats.org/officeDocument/2006/relationships/hyperlink" Target="https://www.instagram.com/gomnam.vishka/" TargetMode="External"/><Relationship Id="rId88" Type="http://schemas.openxmlformats.org/officeDocument/2006/relationships/hyperlink" Target="https://eitaa.com/beyragh_110_2" TargetMode="External"/><Relationship Id="rId87" Type="http://schemas.openxmlformats.org/officeDocument/2006/relationships/hyperlink" Target="https://t.me/beyragh_110_2" TargetMode="External"/><Relationship Id="rId89" Type="http://schemas.openxmlformats.org/officeDocument/2006/relationships/hyperlink" Target="https://www.instagram.com/shams_info/" TargetMode="External"/><Relationship Id="rId80" Type="http://schemas.openxmlformats.org/officeDocument/2006/relationships/hyperlink" Target="https://www.instagram.com/motavasselin_info/" TargetMode="External"/><Relationship Id="rId82" Type="http://schemas.openxmlformats.org/officeDocument/2006/relationships/hyperlink" Target="https://eitaa.com/motavasselin_info" TargetMode="External"/><Relationship Id="rId81" Type="http://schemas.openxmlformats.org/officeDocument/2006/relationships/hyperlink" Target="https://t.me/motavasselin_info" TargetMode="External"/><Relationship Id="rId73" Type="http://schemas.openxmlformats.org/officeDocument/2006/relationships/hyperlink" Target="https://www.instagram.com/emamzadehhasaniha/" TargetMode="External"/><Relationship Id="rId72" Type="http://schemas.openxmlformats.org/officeDocument/2006/relationships/hyperlink" Target="https://eitaa.com/khademinalreza" TargetMode="External"/><Relationship Id="rId75" Type="http://schemas.openxmlformats.org/officeDocument/2006/relationships/hyperlink" Target="https://eitaa.com/hasanihakhomam" TargetMode="External"/><Relationship Id="rId74" Type="http://schemas.openxmlformats.org/officeDocument/2006/relationships/hyperlink" Target="https://t.me/emamzadehasaniha" TargetMode="External"/><Relationship Id="rId77" Type="http://schemas.openxmlformats.org/officeDocument/2006/relationships/hyperlink" Target="https://t.me/misaq_ba_shohada_rasht" TargetMode="External"/><Relationship Id="rId76" Type="http://schemas.openxmlformats.org/officeDocument/2006/relationships/hyperlink" Target="https://www.instagram.com/misaq_ba_shohada_rasht/" TargetMode="External"/><Relationship Id="rId79" Type="http://schemas.openxmlformats.org/officeDocument/2006/relationships/hyperlink" Target="https://www.instagram.com/mouod.info/" TargetMode="External"/><Relationship Id="rId78" Type="http://schemas.openxmlformats.org/officeDocument/2006/relationships/hyperlink" Target="https://eitaa.com/misaq_ba_shohada_rasht" TargetMode="External"/><Relationship Id="rId71" Type="http://schemas.openxmlformats.org/officeDocument/2006/relationships/hyperlink" Target="https://t.me/khademinalreza" TargetMode="External"/><Relationship Id="rId70" Type="http://schemas.openxmlformats.org/officeDocument/2006/relationships/hyperlink" Target="https://www.instagram.com/kesa.info/" TargetMode="External"/><Relationship Id="rId62" Type="http://schemas.openxmlformats.org/officeDocument/2006/relationships/hyperlink" Target="https://www.instagram.com/ansaralhossain_ir/" TargetMode="External"/><Relationship Id="rId61" Type="http://schemas.openxmlformats.org/officeDocument/2006/relationships/hyperlink" Target="https://www.instagram.com/h.shohada1382/" TargetMode="External"/><Relationship Id="rId64" Type="http://schemas.openxmlformats.org/officeDocument/2006/relationships/hyperlink" Target="https://eitaa.com/ansaralhossain_ir" TargetMode="External"/><Relationship Id="rId63" Type="http://schemas.openxmlformats.org/officeDocument/2006/relationships/hyperlink" Target="https://t.me/ansaralhossain_ir" TargetMode="External"/><Relationship Id="rId66" Type="http://schemas.openxmlformats.org/officeDocument/2006/relationships/hyperlink" Target="https://t.me/astanrasht" TargetMode="External"/><Relationship Id="rId65" Type="http://schemas.openxmlformats.org/officeDocument/2006/relationships/hyperlink" Target="https://www.instagram.com/astanrasht/" TargetMode="External"/><Relationship Id="rId68" Type="http://schemas.openxmlformats.org/officeDocument/2006/relationships/hyperlink" Target="https://www.instagram.com/ansaralhussein_rasht/" TargetMode="External"/><Relationship Id="rId67" Type="http://schemas.openxmlformats.org/officeDocument/2006/relationships/hyperlink" Target="https://eitaa.com/astanrasht" TargetMode="External"/><Relationship Id="rId60" Type="http://schemas.openxmlformats.org/officeDocument/2006/relationships/hyperlink" Target="https://www.instagram.com/heyat_db/" TargetMode="External"/><Relationship Id="rId69" Type="http://schemas.openxmlformats.org/officeDocument/2006/relationships/hyperlink" Target="https://www.instagram.com/ansaralhoseinrasht/" TargetMode="External"/><Relationship Id="rId51" Type="http://schemas.openxmlformats.org/officeDocument/2006/relationships/hyperlink" Target="https://t.me/rozatieh" TargetMode="External"/><Relationship Id="rId50" Type="http://schemas.openxmlformats.org/officeDocument/2006/relationships/hyperlink" Target="https://www.instagram.com/rozat_ir/" TargetMode="External"/><Relationship Id="rId53" Type="http://schemas.openxmlformats.org/officeDocument/2006/relationships/hyperlink" Target="https://www.instagram.com/sarollah_com/" TargetMode="External"/><Relationship Id="rId52" Type="http://schemas.openxmlformats.org/officeDocument/2006/relationships/hyperlink" Target="https://eitaa.com/rozatieh" TargetMode="External"/><Relationship Id="rId55" Type="http://schemas.openxmlformats.org/officeDocument/2006/relationships/hyperlink" Target="https://eitaa.com/s/Sarollah_com" TargetMode="External"/><Relationship Id="rId54" Type="http://schemas.openxmlformats.org/officeDocument/2006/relationships/hyperlink" Target="https://t.me/Sarollah_com" TargetMode="External"/><Relationship Id="rId57" Type="http://schemas.openxmlformats.org/officeDocument/2006/relationships/hyperlink" Target="https://t.me/yazahra135_info" TargetMode="External"/><Relationship Id="rId56" Type="http://schemas.openxmlformats.org/officeDocument/2006/relationships/hyperlink" Target="https://www.instagram.com/yazahra135_info/" TargetMode="External"/><Relationship Id="rId59" Type="http://schemas.openxmlformats.org/officeDocument/2006/relationships/hyperlink" Target="https://www.instagram.com/heiyat.aliasghar/" TargetMode="External"/><Relationship Id="rId58" Type="http://schemas.openxmlformats.org/officeDocument/2006/relationships/hyperlink" Target="https://www.instagram.com/emam_hazer_info/" TargetMode="External"/><Relationship Id="rId95" Type="http://schemas.openxmlformats.org/officeDocument/2006/relationships/hyperlink" Target="https://t.me/hashemion_rasht" TargetMode="External"/><Relationship Id="rId94" Type="http://schemas.openxmlformats.org/officeDocument/2006/relationships/hyperlink" Target="https://www.instagram.com/hashemion_rasht/" TargetMode="External"/><Relationship Id="rId97" Type="http://schemas.openxmlformats.org/officeDocument/2006/relationships/hyperlink" Target="https://t.me/shohadagomnamrasht" TargetMode="External"/><Relationship Id="rId96" Type="http://schemas.openxmlformats.org/officeDocument/2006/relationships/hyperlink" Target="https://www.instagram.com/gomnam_info/" TargetMode="External"/><Relationship Id="rId99" Type="http://schemas.openxmlformats.org/officeDocument/2006/relationships/hyperlink" Target="https://t.me/ALGHAMEEH_INFO" TargetMode="External"/><Relationship Id="rId98" Type="http://schemas.openxmlformats.org/officeDocument/2006/relationships/hyperlink" Target="https://www.instagram.com/alghameeh_info/" TargetMode="External"/><Relationship Id="rId91" Type="http://schemas.openxmlformats.org/officeDocument/2006/relationships/hyperlink" Target="https://t.me/serat_315" TargetMode="External"/><Relationship Id="rId90" Type="http://schemas.openxmlformats.org/officeDocument/2006/relationships/hyperlink" Target="https://www.instagram.com/serat_315/" TargetMode="External"/><Relationship Id="rId93" Type="http://schemas.openxmlformats.org/officeDocument/2006/relationships/hyperlink" Target="https://t.me/mohebban_velayat" TargetMode="External"/><Relationship Id="rId92" Type="http://schemas.openxmlformats.org/officeDocument/2006/relationships/hyperlink" Target="https://www.instagram.com/mohebban_velayat/" TargetMode="External"/><Relationship Id="rId271" Type="http://schemas.openxmlformats.org/officeDocument/2006/relationships/hyperlink" Target="https://www.instagram.com/h_sahebalzaman_lan/" TargetMode="External"/><Relationship Id="rId270" Type="http://schemas.openxmlformats.org/officeDocument/2006/relationships/hyperlink" Target="https://www.instagram.com/heyat_hobe_abas/" TargetMode="External"/><Relationship Id="rId269" Type="http://schemas.openxmlformats.org/officeDocument/2006/relationships/hyperlink" Target="https://t.me/majma_o_zakerin_daryakenar" TargetMode="External"/><Relationship Id="rId264" Type="http://schemas.openxmlformats.org/officeDocument/2006/relationships/hyperlink" Target="https://www.instagram.com/heyat_s.ir/" TargetMode="External"/><Relationship Id="rId263" Type="http://schemas.openxmlformats.org/officeDocument/2006/relationships/hyperlink" Target="https://www.instagram.com/asheghan_saralah_langarud/" TargetMode="External"/><Relationship Id="rId262" Type="http://schemas.openxmlformats.org/officeDocument/2006/relationships/hyperlink" Target="https://t.me/khazra_info" TargetMode="External"/><Relationship Id="rId261" Type="http://schemas.openxmlformats.org/officeDocument/2006/relationships/hyperlink" Target="https://www.instagram.com/khazra_info/" TargetMode="External"/><Relationship Id="rId268" Type="http://schemas.openxmlformats.org/officeDocument/2006/relationships/hyperlink" Target="https://www.instagram.com/majma_o_zakerin/" TargetMode="External"/><Relationship Id="rId267" Type="http://schemas.openxmlformats.org/officeDocument/2006/relationships/hyperlink" Target="https://eitaa.com/a_velayat" TargetMode="External"/><Relationship Id="rId266" Type="http://schemas.openxmlformats.org/officeDocument/2006/relationships/hyperlink" Target="https://www.instagram.com/a_velayat/" TargetMode="External"/><Relationship Id="rId265" Type="http://schemas.openxmlformats.org/officeDocument/2006/relationships/hyperlink" Target="https://t.me/heyat_s" TargetMode="External"/><Relationship Id="rId260" Type="http://schemas.openxmlformats.org/officeDocument/2006/relationships/hyperlink" Target="https://eitaa.com/A_velayat" TargetMode="External"/><Relationship Id="rId259" Type="http://schemas.openxmlformats.org/officeDocument/2006/relationships/hyperlink" Target="https://www.instagram.com/m_jhosein/" TargetMode="External"/><Relationship Id="rId258" Type="http://schemas.openxmlformats.org/officeDocument/2006/relationships/hyperlink" Target="https://www.instagram.com/montazeranmouod/" TargetMode="External"/><Relationship Id="rId253" Type="http://schemas.openxmlformats.org/officeDocument/2006/relationships/hyperlink" Target="https://www.instagram.com/hossein_jan_lahijan/" TargetMode="External"/><Relationship Id="rId252" Type="http://schemas.openxmlformats.org/officeDocument/2006/relationships/hyperlink" Target="https://www.instagram.com/heyatjanatolhosein/" TargetMode="External"/><Relationship Id="rId251" Type="http://schemas.openxmlformats.org/officeDocument/2006/relationships/hyperlink" Target="https://www.instagram.com/aghilatolarab.lahijan/" TargetMode="External"/><Relationship Id="rId250" Type="http://schemas.openxmlformats.org/officeDocument/2006/relationships/hyperlink" Target="https://t.me/maktaboljavadd" TargetMode="External"/><Relationship Id="rId257" Type="http://schemas.openxmlformats.org/officeDocument/2006/relationships/hyperlink" Target="https://www.instagram.com/razmandegan_eslam_lahijan/" TargetMode="External"/><Relationship Id="rId256" Type="http://schemas.openxmlformats.org/officeDocument/2006/relationships/hyperlink" Target="https://t.me/mohebbin_velayat_lahijan" TargetMode="External"/><Relationship Id="rId255" Type="http://schemas.openxmlformats.org/officeDocument/2006/relationships/hyperlink" Target="https://www.instagram.com/mohebbin_velayat_lahijan/" TargetMode="External"/><Relationship Id="rId254" Type="http://schemas.openxmlformats.org/officeDocument/2006/relationships/hyperlink" Target="https://eitaa.com/hossein_jan_lahijan" TargetMode="External"/><Relationship Id="rId286" Type="http://schemas.openxmlformats.org/officeDocument/2006/relationships/hyperlink" Target="https://eitaa.com/Saghy313" TargetMode="External"/><Relationship Id="rId285" Type="http://schemas.openxmlformats.org/officeDocument/2006/relationships/hyperlink" Target="https://www.instagram.com/saghy313" TargetMode="External"/><Relationship Id="rId284" Type="http://schemas.openxmlformats.org/officeDocument/2006/relationships/hyperlink" Target="https://www.instagram.com/masjed_jame_masal" TargetMode="External"/><Relationship Id="rId283" Type="http://schemas.openxmlformats.org/officeDocument/2006/relationships/hyperlink" Target="https://eitaa.com/mheyat" TargetMode="External"/><Relationship Id="rId288" Type="http://schemas.openxmlformats.org/officeDocument/2006/relationships/drawing" Target="../drawings/drawing12.xml"/><Relationship Id="rId287" Type="http://schemas.openxmlformats.org/officeDocument/2006/relationships/hyperlink" Target="https://eitaa.com/razmandegan_eslam_lahijan" TargetMode="External"/><Relationship Id="rId282" Type="http://schemas.openxmlformats.org/officeDocument/2006/relationships/hyperlink" Target="https://t.me/panaheharam" TargetMode="External"/><Relationship Id="rId281" Type="http://schemas.openxmlformats.org/officeDocument/2006/relationships/hyperlink" Target="https://www.instagram.com/panaheharam.masal/" TargetMode="External"/><Relationship Id="rId280" Type="http://schemas.openxmlformats.org/officeDocument/2006/relationships/hyperlink" Target="https://t.me/Hmv_ir" TargetMode="External"/><Relationship Id="rId275" Type="http://schemas.openxmlformats.org/officeDocument/2006/relationships/hyperlink" Target="https://www.instagram.com/moukeb_valiasr_langarud/" TargetMode="External"/><Relationship Id="rId274" Type="http://schemas.openxmlformats.org/officeDocument/2006/relationships/hyperlink" Target="https://eitaa.com/s/Merajalshohada313" TargetMode="External"/><Relationship Id="rId273" Type="http://schemas.openxmlformats.org/officeDocument/2006/relationships/hyperlink" Target="https://t.me/meraj_alshohada" TargetMode="External"/><Relationship Id="rId272" Type="http://schemas.openxmlformats.org/officeDocument/2006/relationships/hyperlink" Target="https://www.instagram.com/heyat_meraj/" TargetMode="External"/><Relationship Id="rId279" Type="http://schemas.openxmlformats.org/officeDocument/2006/relationships/hyperlink" Target="https://www.instagram.com/hmv_ir/" TargetMode="External"/><Relationship Id="rId278" Type="http://schemas.openxmlformats.org/officeDocument/2006/relationships/hyperlink" Target="https://www.instagram.com/ghamar_____133/" TargetMode="External"/><Relationship Id="rId277" Type="http://schemas.openxmlformats.org/officeDocument/2006/relationships/hyperlink" Target="https://t.me/heyat_s" TargetMode="External"/><Relationship Id="rId276" Type="http://schemas.openxmlformats.org/officeDocument/2006/relationships/hyperlink" Target="https://www.instagram.com/heyat_s.ir/" TargetMode="External"/><Relationship Id="rId228" Type="http://schemas.openxmlformats.org/officeDocument/2006/relationships/hyperlink" Target="https://t.me/panjtan_shaft" TargetMode="External"/><Relationship Id="rId227" Type="http://schemas.openxmlformats.org/officeDocument/2006/relationships/hyperlink" Target="https://www.instagram.com/panjtan_shaft/" TargetMode="External"/><Relationship Id="rId226" Type="http://schemas.openxmlformats.org/officeDocument/2006/relationships/hyperlink" Target="https://eitaa.com/rahrovan_shohada_shaft" TargetMode="External"/><Relationship Id="rId225" Type="http://schemas.openxmlformats.org/officeDocument/2006/relationships/hyperlink" Target="https://t.me/rahrovan_shaft" TargetMode="External"/><Relationship Id="rId229" Type="http://schemas.openxmlformats.org/officeDocument/2006/relationships/hyperlink" Target="https://www.instagram.com/shgomnam.ir/" TargetMode="External"/><Relationship Id="rId220" Type="http://schemas.openxmlformats.org/officeDocument/2006/relationships/hyperlink" Target="https://eitaa.com/khiyamkomleh" TargetMode="External"/><Relationship Id="rId224" Type="http://schemas.openxmlformats.org/officeDocument/2006/relationships/hyperlink" Target="https://www.instagram.com/heiat_rahrovan/" TargetMode="External"/><Relationship Id="rId223" Type="http://schemas.openxmlformats.org/officeDocument/2006/relationships/hyperlink" Target="https://t.me/heiat_baghiyatallah" TargetMode="External"/><Relationship Id="rId222" Type="http://schemas.openxmlformats.org/officeDocument/2006/relationships/hyperlink" Target="https://www.instagram.com/heiat_baghiyatallah/" TargetMode="External"/><Relationship Id="rId221" Type="http://schemas.openxmlformats.org/officeDocument/2006/relationships/hyperlink" Target="https://www.instagram.com/heyatolhosein_69/" TargetMode="External"/><Relationship Id="rId217" Type="http://schemas.openxmlformats.org/officeDocument/2006/relationships/hyperlink" Target="https://eitaa.com/HFatemiyoun" TargetMode="External"/><Relationship Id="rId216" Type="http://schemas.openxmlformats.org/officeDocument/2006/relationships/hyperlink" Target="https://t.me/HFatemiyoun" TargetMode="External"/><Relationship Id="rId215" Type="http://schemas.openxmlformats.org/officeDocument/2006/relationships/hyperlink" Target="https://www.instagram.com/hfatemiyoun.ir/" TargetMode="External"/><Relationship Id="rId214" Type="http://schemas.openxmlformats.org/officeDocument/2006/relationships/hyperlink" Target="https://t.me/heyat_aliasghar1401" TargetMode="External"/><Relationship Id="rId219" Type="http://schemas.openxmlformats.org/officeDocument/2006/relationships/hyperlink" Target="https://t.me/khiamkomleh" TargetMode="External"/><Relationship Id="rId218" Type="http://schemas.openxmlformats.org/officeDocument/2006/relationships/hyperlink" Target="https://www.instagram.com/heyat_khiam/" TargetMode="External"/><Relationship Id="rId213" Type="http://schemas.openxmlformats.org/officeDocument/2006/relationships/hyperlink" Target="https://www.instagram.com/heyat_aliasghar1401/" TargetMode="External"/><Relationship Id="rId212" Type="http://schemas.openxmlformats.org/officeDocument/2006/relationships/hyperlink" Target="https://eitaa.com/sarallah_kanon" TargetMode="External"/><Relationship Id="rId211" Type="http://schemas.openxmlformats.org/officeDocument/2006/relationships/hyperlink" Target="https://t.me/sarallahfouman" TargetMode="External"/><Relationship Id="rId210" Type="http://schemas.openxmlformats.org/officeDocument/2006/relationships/hyperlink" Target="https://www.instagram.com/htsarallah/" TargetMode="External"/><Relationship Id="rId249" Type="http://schemas.openxmlformats.org/officeDocument/2006/relationships/hyperlink" Target="https://www.instagram.com/maktaboljavadd/" TargetMode="External"/><Relationship Id="rId248" Type="http://schemas.openxmlformats.org/officeDocument/2006/relationships/hyperlink" Target="https://eitaa.com/montazeran_emam_zaman" TargetMode="External"/><Relationship Id="rId247" Type="http://schemas.openxmlformats.org/officeDocument/2006/relationships/hyperlink" Target="https://t.me/montazeran_emam_zaman" TargetMode="External"/><Relationship Id="rId242" Type="http://schemas.openxmlformats.org/officeDocument/2006/relationships/hyperlink" Target="https://www.instagram.com/ansar.info/" TargetMode="External"/><Relationship Id="rId241" Type="http://schemas.openxmlformats.org/officeDocument/2006/relationships/hyperlink" Target="https://www.instagram.com/alzahra.info/" TargetMode="External"/><Relationship Id="rId240" Type="http://schemas.openxmlformats.org/officeDocument/2006/relationships/hyperlink" Target="https://www.instagram.com/sarallah__info/" TargetMode="External"/><Relationship Id="rId246" Type="http://schemas.openxmlformats.org/officeDocument/2006/relationships/hyperlink" Target="https://www.instagram.com/montazeran_emam_zaman_lahijan/" TargetMode="External"/><Relationship Id="rId245" Type="http://schemas.openxmlformats.org/officeDocument/2006/relationships/hyperlink" Target="https://www.instagram.com/mahfel_fadaeiyan110/" TargetMode="External"/><Relationship Id="rId244" Type="http://schemas.openxmlformats.org/officeDocument/2006/relationships/hyperlink" Target="https://eitaa.com/ansar_info" TargetMode="External"/><Relationship Id="rId243" Type="http://schemas.openxmlformats.org/officeDocument/2006/relationships/hyperlink" Target="https://t.me/ansar_alhussain_fuman" TargetMode="External"/><Relationship Id="rId239" Type="http://schemas.openxmlformats.org/officeDocument/2006/relationships/hyperlink" Target="https://www.instagram.com/mohebbane_fatemeh/" TargetMode="External"/><Relationship Id="rId238" Type="http://schemas.openxmlformats.org/officeDocument/2006/relationships/hyperlink" Target="https://t.me/rayatalabbas_fuman" TargetMode="External"/><Relationship Id="rId237" Type="http://schemas.openxmlformats.org/officeDocument/2006/relationships/hyperlink" Target="https://www.instagram.com/rayatalabbas_fuoman/" TargetMode="External"/><Relationship Id="rId236" Type="http://schemas.openxmlformats.org/officeDocument/2006/relationships/hyperlink" Target="https://www.instagram.com/h.ansaralmahdi.s/" TargetMode="External"/><Relationship Id="rId231" Type="http://schemas.openxmlformats.org/officeDocument/2006/relationships/hyperlink" Target="https://www.instagram.com/hrsoomesara/" TargetMode="External"/><Relationship Id="rId230" Type="http://schemas.openxmlformats.org/officeDocument/2006/relationships/hyperlink" Target="https://t.me/h_shgomnam" TargetMode="External"/><Relationship Id="rId235" Type="http://schemas.openxmlformats.org/officeDocument/2006/relationships/hyperlink" Target="https://t.me/hfs135" TargetMode="External"/><Relationship Id="rId234" Type="http://schemas.openxmlformats.org/officeDocument/2006/relationships/hyperlink" Target="https://www.instagram.com/h_fatemiyon_s/" TargetMode="External"/><Relationship Id="rId233" Type="http://schemas.openxmlformats.org/officeDocument/2006/relationships/hyperlink" Target="https://t.me/roghaye_jan315" TargetMode="External"/><Relationship Id="rId232" Type="http://schemas.openxmlformats.org/officeDocument/2006/relationships/hyperlink" Target="https://www.instagram.com/h_roghayejan_315/" TargetMode="External"/><Relationship Id="rId206" Type="http://schemas.openxmlformats.org/officeDocument/2006/relationships/hyperlink" Target="https://t.me/hreyhanatonabi" TargetMode="External"/><Relationship Id="rId205" Type="http://schemas.openxmlformats.org/officeDocument/2006/relationships/hyperlink" Target="https://www.instagram.com/h.reyhanatonaby/" TargetMode="External"/><Relationship Id="rId204" Type="http://schemas.openxmlformats.org/officeDocument/2006/relationships/hyperlink" Target="https://www.instagram.com/maktab.alzahra1420/" TargetMode="External"/><Relationship Id="rId203" Type="http://schemas.openxmlformats.org/officeDocument/2006/relationships/hyperlink" Target="https://t.me/mahfelll" TargetMode="External"/><Relationship Id="rId209" Type="http://schemas.openxmlformats.org/officeDocument/2006/relationships/hyperlink" Target="https://t.me/hsaralahkelachay" TargetMode="External"/><Relationship Id="rId208" Type="http://schemas.openxmlformats.org/officeDocument/2006/relationships/hyperlink" Target="https://www.instagram.com/h.saralah_kelachay/" TargetMode="External"/><Relationship Id="rId207" Type="http://schemas.openxmlformats.org/officeDocument/2006/relationships/hyperlink" Target="https://eitaa.com/hreyhanatonabi" TargetMode="External"/><Relationship Id="rId202" Type="http://schemas.openxmlformats.org/officeDocument/2006/relationships/hyperlink" Target="https://www.instagram.com/mahfelll" TargetMode="External"/><Relationship Id="rId201" Type="http://schemas.openxmlformats.org/officeDocument/2006/relationships/hyperlink" Target="https://www.instagram.com/fatemiyon_rasht/" TargetMode="External"/><Relationship Id="rId200" Type="http://schemas.openxmlformats.org/officeDocument/2006/relationships/hyperlink" Target="https://www.instagram.com/ansar_rasht/" TargetMode="External"/><Relationship Id="rId1" Type="http://schemas.openxmlformats.org/officeDocument/2006/relationships/hyperlink" Target="https://www.instagram.com/asheghan_zeynab_astaraa/" TargetMode="External"/><Relationship Id="rId2" Type="http://schemas.openxmlformats.org/officeDocument/2006/relationships/hyperlink" Target="https://www.instagram.com/reyhanatolhoseyn_astara/" TargetMode="External"/><Relationship Id="rId3" Type="http://schemas.openxmlformats.org/officeDocument/2006/relationships/hyperlink" Target="https://www.instagram.com/heyat_sar_allah_/" TargetMode="External"/><Relationship Id="rId4" Type="http://schemas.openxmlformats.org/officeDocument/2006/relationships/hyperlink" Target="https://www.instagram.com/navayezeynabastara/" TargetMode="External"/><Relationship Id="rId9" Type="http://schemas.openxmlformats.org/officeDocument/2006/relationships/hyperlink" Target="https://www.instagram.com/parchamdaran_astanehashrafiyeh/" TargetMode="External"/><Relationship Id="rId5" Type="http://schemas.openxmlformats.org/officeDocument/2006/relationships/hyperlink" Target="https://www.instagram.com/heyate_emamhasan_mojtaba/" TargetMode="External"/><Relationship Id="rId6" Type="http://schemas.openxmlformats.org/officeDocument/2006/relationships/hyperlink" Target="https://www.instagram.com/ehmojtaba" TargetMode="External"/><Relationship Id="rId7" Type="http://schemas.openxmlformats.org/officeDocument/2006/relationships/hyperlink" Target="https://t.me/s/ehmojtaba" TargetMode="External"/><Relationship Id="rId8" Type="http://schemas.openxmlformats.org/officeDocument/2006/relationships/hyperlink" Target="https://eitaa.com/ehmojtaba" TargetMode="External"/></Relationships>
</file>

<file path=xl/worksheets/_rels/sheet13.xml.rels><?xml version="1.0" encoding="UTF-8" standalone="yes"?><Relationships xmlns="http://schemas.openxmlformats.org/package/2006/relationships"><Relationship Id="rId190" Type="http://schemas.openxmlformats.org/officeDocument/2006/relationships/hyperlink" Target="https://t.me/fotrosdelijan" TargetMode="External"/><Relationship Id="rId194" Type="http://schemas.openxmlformats.org/officeDocument/2006/relationships/hyperlink" Target="https://www.instagram.com/moheban_bani_fatemeh/" TargetMode="External"/><Relationship Id="rId193" Type="http://schemas.openxmlformats.org/officeDocument/2006/relationships/hyperlink" Target="https://www.instagram.com/hre_delijan/" TargetMode="External"/><Relationship Id="rId192" Type="http://schemas.openxmlformats.org/officeDocument/2006/relationships/hyperlink" Target="https://www.instagram.com/heyat_aliakbri_delijan/" TargetMode="External"/><Relationship Id="rId191" Type="http://schemas.openxmlformats.org/officeDocument/2006/relationships/hyperlink" Target="https://www.instagram.com/heyat_hazratabalfazl_delijan" TargetMode="External"/><Relationship Id="rId187" Type="http://schemas.openxmlformats.org/officeDocument/2006/relationships/hyperlink" Target="https://www.instagram.com/yavaran_mahdi_khondab" TargetMode="External"/><Relationship Id="rId186" Type="http://schemas.openxmlformats.org/officeDocument/2006/relationships/hyperlink" Target="https://www.instagram.com/majmae_heydarion" TargetMode="External"/><Relationship Id="rId185" Type="http://schemas.openxmlformats.org/officeDocument/2006/relationships/hyperlink" Target="https://t.me/hqemz" TargetMode="External"/><Relationship Id="rId184" Type="http://schemas.openxmlformats.org/officeDocument/2006/relationships/hyperlink" Target="https://www.instagram.com/quran_emam_zaman/" TargetMode="External"/><Relationship Id="rId189" Type="http://schemas.openxmlformats.org/officeDocument/2006/relationships/hyperlink" Target="https://www.instagram.com/fotros_delijan" TargetMode="External"/><Relationship Id="rId188" Type="http://schemas.openxmlformats.org/officeDocument/2006/relationships/hyperlink" Target="https://www.instagram.com/heiate_aliakbar_javersiyan/" TargetMode="External"/><Relationship Id="rId183" Type="http://schemas.openxmlformats.org/officeDocument/2006/relationships/hyperlink" Target="https://www.instagram.com/heyat_azam_hazrat_abalfazl/" TargetMode="External"/><Relationship Id="rId182" Type="http://schemas.openxmlformats.org/officeDocument/2006/relationships/hyperlink" Target="https://eitaa.com/yavaran_mahdi_khondab" TargetMode="External"/><Relationship Id="rId181" Type="http://schemas.openxmlformats.org/officeDocument/2006/relationships/hyperlink" Target="https://eitaa.com/mohebine_alzahra" TargetMode="External"/><Relationship Id="rId180" Type="http://schemas.openxmlformats.org/officeDocument/2006/relationships/hyperlink" Target="https://eitaa.com/heyatjanatkhomeni_110" TargetMode="External"/><Relationship Id="rId176" Type="http://schemas.openxmlformats.org/officeDocument/2006/relationships/hyperlink" Target="https://www.instagram.com/heyat_omolbaninkhomein/" TargetMode="External"/><Relationship Id="rId175" Type="http://schemas.openxmlformats.org/officeDocument/2006/relationships/hyperlink" Target="https://t.me/mohebin_khomein" TargetMode="External"/><Relationship Id="rId174" Type="http://schemas.openxmlformats.org/officeDocument/2006/relationships/hyperlink" Target="https://www.instagram.com/mohebin_khomein/" TargetMode="External"/><Relationship Id="rId173" Type="http://schemas.openxmlformats.org/officeDocument/2006/relationships/hyperlink" Target="https://www.instagram.com/beytolheydar_khomein/" TargetMode="External"/><Relationship Id="rId179" Type="http://schemas.openxmlformats.org/officeDocument/2006/relationships/hyperlink" Target="https://www.instagram.com/heyatjanatkhomeni_110/" TargetMode="External"/><Relationship Id="rId178" Type="http://schemas.openxmlformats.org/officeDocument/2006/relationships/hyperlink" Target="https://www.instagram.com/hyyat_zanjir_zani.fatemyeh/" TargetMode="External"/><Relationship Id="rId177" Type="http://schemas.openxmlformats.org/officeDocument/2006/relationships/hyperlink" Target="https://t.me/khomeyn133" TargetMode="External"/><Relationship Id="rId198" Type="http://schemas.openxmlformats.org/officeDocument/2006/relationships/hyperlink" Target="https://www.instagram.com/heyat.re.mamunieh/" TargetMode="External"/><Relationship Id="rId197" Type="http://schemas.openxmlformats.org/officeDocument/2006/relationships/hyperlink" Target="https://t.me/soltaneshghdelijan" TargetMode="External"/><Relationship Id="rId196" Type="http://schemas.openxmlformats.org/officeDocument/2006/relationships/hyperlink" Target="https://www.instagram.com/soltane_eshgh_128/" TargetMode="External"/><Relationship Id="rId195" Type="http://schemas.openxmlformats.org/officeDocument/2006/relationships/hyperlink" Target="https://www.instagram.com/oshaghalhossindelijan/" TargetMode="External"/><Relationship Id="rId199" Type="http://schemas.openxmlformats.org/officeDocument/2006/relationships/hyperlink" Target="https://t.me/razmandeganeeslammamunieh" TargetMode="External"/><Relationship Id="rId150" Type="http://schemas.openxmlformats.org/officeDocument/2006/relationships/hyperlink" Target="https://www.instagram.com/tafresh.mokeb/" TargetMode="External"/><Relationship Id="rId149" Type="http://schemas.openxmlformats.org/officeDocument/2006/relationships/hyperlink" Target="https://www.instagram.com/tafreshhb" TargetMode="External"/><Relationship Id="rId148" Type="http://schemas.openxmlformats.org/officeDocument/2006/relationships/hyperlink" Target="https://t.me/beynolharameyn_tafresh" TargetMode="External"/><Relationship Id="rId143" Type="http://schemas.openxmlformats.org/officeDocument/2006/relationships/hyperlink" Target="https://t.me/aleyasinetafresh" TargetMode="External"/><Relationship Id="rId142" Type="http://schemas.openxmlformats.org/officeDocument/2006/relationships/hyperlink" Target="https://www.instagram.com/heyat_al_yasin_tafresh/" TargetMode="External"/><Relationship Id="rId141" Type="http://schemas.openxmlformats.org/officeDocument/2006/relationships/hyperlink" Target="https://www.instagram.com/zeinabiun_tafresh_69/" TargetMode="External"/><Relationship Id="rId140" Type="http://schemas.openxmlformats.org/officeDocument/2006/relationships/hyperlink" Target="https://www.instagram.com/fatemeeee_ir" TargetMode="External"/><Relationship Id="rId147" Type="http://schemas.openxmlformats.org/officeDocument/2006/relationships/hyperlink" Target="https://www.instagram.com/beynolharameyn_tafresh" TargetMode="External"/><Relationship Id="rId146" Type="http://schemas.openxmlformats.org/officeDocument/2006/relationships/hyperlink" Target="https://t.me/heyatfatemiehsheshnav" TargetMode="External"/><Relationship Id="rId145" Type="http://schemas.openxmlformats.org/officeDocument/2006/relationships/hyperlink" Target="https://www.instagram.com/heyat_fatemiye_sheshnav" TargetMode="External"/><Relationship Id="rId144" Type="http://schemas.openxmlformats.org/officeDocument/2006/relationships/hyperlink" Target="https://www.instagram.com/mahfel.reyhanatolhosein315/" TargetMode="External"/><Relationship Id="rId139" Type="http://schemas.openxmlformats.org/officeDocument/2006/relationships/hyperlink" Target="https://www.instagram.com/mohebban.shohada" TargetMode="External"/><Relationship Id="rId138" Type="http://schemas.openxmlformats.org/officeDocument/2006/relationships/hyperlink" Target="https://t.me/harimghamar" TargetMode="External"/><Relationship Id="rId137" Type="http://schemas.openxmlformats.org/officeDocument/2006/relationships/hyperlink" Target="https://www.instagram.com/harimghamar/" TargetMode="External"/><Relationship Id="rId132" Type="http://schemas.openxmlformats.org/officeDocument/2006/relationships/hyperlink" Target="https://t.me/heyat_javanan_sarogh" TargetMode="External"/><Relationship Id="rId131" Type="http://schemas.openxmlformats.org/officeDocument/2006/relationships/hyperlink" Target="https://www.instagram.com/heyat_javanan_sarogh/" TargetMode="External"/><Relationship Id="rId130" Type="http://schemas.openxmlformats.org/officeDocument/2006/relationships/hyperlink" Target="https://www.instagram.com/heyat_javanan__davoodabad" TargetMode="External"/><Relationship Id="rId136" Type="http://schemas.openxmlformats.org/officeDocument/2006/relationships/hyperlink" Target="https://www.instagram.com/heyatemam_hasan1393/" TargetMode="External"/><Relationship Id="rId135" Type="http://schemas.openxmlformats.org/officeDocument/2006/relationships/hyperlink" Target="https://www.instagram.com/montazerane_zohor_karchan/" TargetMode="External"/><Relationship Id="rId134" Type="http://schemas.openxmlformats.org/officeDocument/2006/relationships/hyperlink" Target="https://eitaa.com/azadaran14" TargetMode="External"/><Relationship Id="rId133" Type="http://schemas.openxmlformats.org/officeDocument/2006/relationships/hyperlink" Target="https://www.instagram.com/azadaran14/" TargetMode="External"/><Relationship Id="rId172" Type="http://schemas.openxmlformats.org/officeDocument/2006/relationships/hyperlink" Target="https://eitaa.com/montazeran_khomein" TargetMode="External"/><Relationship Id="rId171" Type="http://schemas.openxmlformats.org/officeDocument/2006/relationships/hyperlink" Target="https://t.me/montazeran_khomein" TargetMode="External"/><Relationship Id="rId170" Type="http://schemas.openxmlformats.org/officeDocument/2006/relationships/hyperlink" Target="https://www.instagram.com/montazeran_khomein/" TargetMode="External"/><Relationship Id="rId165" Type="http://schemas.openxmlformats.org/officeDocument/2006/relationships/hyperlink" Target="https://www.instagram.com/heyat_hoseynjan_khomein" TargetMode="External"/><Relationship Id="rId164" Type="http://schemas.openxmlformats.org/officeDocument/2006/relationships/hyperlink" Target="https://t.me/mzkhomeyn" TargetMode="External"/><Relationship Id="rId163" Type="http://schemas.openxmlformats.org/officeDocument/2006/relationships/hyperlink" Target="https://www.instagram.com/mzkhomeyn/" TargetMode="External"/><Relationship Id="rId162" Type="http://schemas.openxmlformats.org/officeDocument/2006/relationships/hyperlink" Target="https://eitaa.com/jannesaran1" TargetMode="External"/><Relationship Id="rId169" Type="http://schemas.openxmlformats.org/officeDocument/2006/relationships/hyperlink" Target="https://www.instagram.com/h_14masum/" TargetMode="External"/><Relationship Id="rId168" Type="http://schemas.openxmlformats.org/officeDocument/2006/relationships/hyperlink" Target="https://www.instagram.com/heiat_khatam" TargetMode="External"/><Relationship Id="rId167" Type="http://schemas.openxmlformats.org/officeDocument/2006/relationships/hyperlink" Target="https://www.instagram.com/parchamdaran_1392/" TargetMode="External"/><Relationship Id="rId166" Type="http://schemas.openxmlformats.org/officeDocument/2006/relationships/hyperlink" Target="https://t.me/heyat_hoseyn_jan_khomeyn" TargetMode="External"/><Relationship Id="rId161" Type="http://schemas.openxmlformats.org/officeDocument/2006/relationships/hyperlink" Target="https://t.me/jannesaran1" TargetMode="External"/><Relationship Id="rId160" Type="http://schemas.openxmlformats.org/officeDocument/2006/relationships/hyperlink" Target="https://www.instagram.com/jannesaran1/" TargetMode="External"/><Relationship Id="rId159" Type="http://schemas.openxmlformats.org/officeDocument/2006/relationships/hyperlink" Target="https://t.me/amir_momenin110" TargetMode="External"/><Relationship Id="rId154" Type="http://schemas.openxmlformats.org/officeDocument/2006/relationships/hyperlink" Target="https://instagram.com/khomeinmookeb" TargetMode="External"/><Relationship Id="rId153" Type="http://schemas.openxmlformats.org/officeDocument/2006/relationships/hyperlink" Target="https://eitaa.com/heiat_khatam" TargetMode="External"/><Relationship Id="rId152" Type="http://schemas.openxmlformats.org/officeDocument/2006/relationships/hyperlink" Target="https://eitaa.com/heyat_tu" TargetMode="External"/><Relationship Id="rId151" Type="http://schemas.openxmlformats.org/officeDocument/2006/relationships/hyperlink" Target="https://www.instagram.com/heyat_azam_hazrat_abalfazl/" TargetMode="External"/><Relationship Id="rId158" Type="http://schemas.openxmlformats.org/officeDocument/2006/relationships/hyperlink" Target="https://www.instagram.com/amir_momenin110/" TargetMode="External"/><Relationship Id="rId157" Type="http://schemas.openxmlformats.org/officeDocument/2006/relationships/hyperlink" Target="https://eitaa.com/Quran_Etrat_ac" TargetMode="External"/><Relationship Id="rId156" Type="http://schemas.openxmlformats.org/officeDocument/2006/relationships/hyperlink" Target="https://eitaa.com/khomeinmookeb" TargetMode="External"/><Relationship Id="rId155" Type="http://schemas.openxmlformats.org/officeDocument/2006/relationships/hyperlink" Target="https://t.me/khomeinMookeb" TargetMode="External"/><Relationship Id="rId107" Type="http://schemas.openxmlformats.org/officeDocument/2006/relationships/hyperlink" Target="https://www.instagram.com/beytollahzan_arak/" TargetMode="External"/><Relationship Id="rId106" Type="http://schemas.openxmlformats.org/officeDocument/2006/relationships/hyperlink" Target="https://eitaa.com/shahid6mahe" TargetMode="External"/><Relationship Id="rId105" Type="http://schemas.openxmlformats.org/officeDocument/2006/relationships/hyperlink" Target="https://t.me/shahid6mahe1" TargetMode="External"/><Relationship Id="rId104" Type="http://schemas.openxmlformats.org/officeDocument/2006/relationships/hyperlink" Target="https://www.instagram.com/shahid6mahe" TargetMode="External"/><Relationship Id="rId109" Type="http://schemas.openxmlformats.org/officeDocument/2006/relationships/hyperlink" Target="https://www.instagram.com/sharikatolhossein_arak/" TargetMode="External"/><Relationship Id="rId108" Type="http://schemas.openxmlformats.org/officeDocument/2006/relationships/hyperlink" Target="http://tlgrm.me/beytollahzan_arak" TargetMode="External"/><Relationship Id="rId103" Type="http://schemas.openxmlformats.org/officeDocument/2006/relationships/hyperlink" Target="https://tlgrm.in/heyatzahraei" TargetMode="External"/><Relationship Id="rId102" Type="http://schemas.openxmlformats.org/officeDocument/2006/relationships/hyperlink" Target="https://www.instagram.com/heyat.zahraei.masjed.seyedha" TargetMode="External"/><Relationship Id="rId101" Type="http://schemas.openxmlformats.org/officeDocument/2006/relationships/hyperlink" Target="https://www.instagram.com/mohebolabas_arak/" TargetMode="External"/><Relationship Id="rId100" Type="http://schemas.openxmlformats.org/officeDocument/2006/relationships/hyperlink" Target="https://eitaa.com/heyatalamdaranarak" TargetMode="External"/><Relationship Id="rId129" Type="http://schemas.openxmlformats.org/officeDocument/2006/relationships/hyperlink" Target="https://www.instagram.com/shahzadeee_aliakbar/" TargetMode="External"/><Relationship Id="rId128" Type="http://schemas.openxmlformats.org/officeDocument/2006/relationships/hyperlink" Target="https://www.instagram.com/babalhavaej_feyjan/" TargetMode="External"/><Relationship Id="rId127" Type="http://schemas.openxmlformats.org/officeDocument/2006/relationships/hyperlink" Target="https://www.instagram.com/shahzade_aliasghar" TargetMode="External"/><Relationship Id="rId126" Type="http://schemas.openxmlformats.org/officeDocument/2006/relationships/hyperlink" Target="https://www.instagram.com/asheghane_saheb_zaman/" TargetMode="External"/><Relationship Id="rId121" Type="http://schemas.openxmlformats.org/officeDocument/2006/relationships/hyperlink" Target="https://t.m/emamhadiforat" TargetMode="External"/><Relationship Id="rId120" Type="http://schemas.openxmlformats.org/officeDocument/2006/relationships/hyperlink" Target="https://www.instagram.com/emamhadiforat/" TargetMode="External"/><Relationship Id="rId125" Type="http://schemas.openxmlformats.org/officeDocument/2006/relationships/hyperlink" Target="https://www.instagram.com/mohebancfu/" TargetMode="External"/><Relationship Id="rId124" Type="http://schemas.openxmlformats.org/officeDocument/2006/relationships/hyperlink" Target="https://t.me/jannesaran_arak" TargetMode="External"/><Relationship Id="rId123" Type="http://schemas.openxmlformats.org/officeDocument/2006/relationships/hyperlink" Target="https://www.instagram.com/jannesaran_arak_1357/" TargetMode="External"/><Relationship Id="rId122" Type="http://schemas.openxmlformats.org/officeDocument/2006/relationships/hyperlink" Target="https://eitaa.com/emamhadiforat" TargetMode="External"/><Relationship Id="rId118" Type="http://schemas.openxmlformats.org/officeDocument/2006/relationships/hyperlink" Target="https://www.instagram.com/moheban.ahlbeit.arak/" TargetMode="External"/><Relationship Id="rId117" Type="http://schemas.openxmlformats.org/officeDocument/2006/relationships/hyperlink" Target="https://www.instagram.com/mohebin_arak" TargetMode="External"/><Relationship Id="rId116" Type="http://schemas.openxmlformats.org/officeDocument/2006/relationships/hyperlink" Target="https://www.instagram.com/heyatmontazaranmahdi.arak/" TargetMode="External"/><Relationship Id="rId115" Type="http://schemas.openxmlformats.org/officeDocument/2006/relationships/hyperlink" Target="https://www.instagram.com/saheb_zaman_71/" TargetMode="External"/><Relationship Id="rId119" Type="http://schemas.openxmlformats.org/officeDocument/2006/relationships/hyperlink" Target="https://www.instagram.com/alamdarbeynolharameyn.arak/" TargetMode="External"/><Relationship Id="rId110" Type="http://schemas.openxmlformats.org/officeDocument/2006/relationships/hyperlink" Target="https://t.me/sharikatolhossein" TargetMode="External"/><Relationship Id="rId114" Type="http://schemas.openxmlformats.org/officeDocument/2006/relationships/hyperlink" Target="https://www.instagram.com/heyat_sajjadi_arak/" TargetMode="External"/><Relationship Id="rId113" Type="http://schemas.openxmlformats.org/officeDocument/2006/relationships/hyperlink" Target="https://www.instagram.com/heyaat_javanan_alzahra/" TargetMode="External"/><Relationship Id="rId112" Type="http://schemas.openxmlformats.org/officeDocument/2006/relationships/hyperlink" Target="https://t.m/heyat_javadi" TargetMode="External"/><Relationship Id="rId111" Type="http://schemas.openxmlformats.org/officeDocument/2006/relationships/hyperlink" Target="https://www.instagram.com/heyat_javadi" TargetMode="External"/><Relationship Id="rId381" Type="http://schemas.openxmlformats.org/officeDocument/2006/relationships/drawing" Target="../drawings/drawing13.xml"/><Relationship Id="rId380" Type="http://schemas.openxmlformats.org/officeDocument/2006/relationships/hyperlink" Target="https://eitaa.com/ansaralmahdishazand" TargetMode="External"/><Relationship Id="rId379" Type="http://schemas.openxmlformats.org/officeDocument/2006/relationships/hyperlink" Target="https://eitaa.com/hobbolhosseein" TargetMode="External"/><Relationship Id="rId374" Type="http://schemas.openxmlformats.org/officeDocument/2006/relationships/hyperlink" Target="https://eitaa.com/yalasaratnet" TargetMode="External"/><Relationship Id="rId373" Type="http://schemas.openxmlformats.org/officeDocument/2006/relationships/hyperlink" Target="https://eitaa.com/Montazeran_Arak" TargetMode="External"/><Relationship Id="rId372" Type="http://schemas.openxmlformats.org/officeDocument/2006/relationships/hyperlink" Target="https://t.me/Montazeran_arak" TargetMode="External"/><Relationship Id="rId371" Type="http://schemas.openxmlformats.org/officeDocument/2006/relationships/hyperlink" Target="https://www.instagram.com/montazeran_arak/" TargetMode="External"/><Relationship Id="rId378" Type="http://schemas.openxmlformats.org/officeDocument/2006/relationships/hyperlink" Target="https://www.instagram.com/hobbol_hosseein/?utm_source=ig_web_button_share_sheet" TargetMode="External"/><Relationship Id="rId377" Type="http://schemas.openxmlformats.org/officeDocument/2006/relationships/hyperlink" Target="https://eitaa.com/hoseiniehkafsan" TargetMode="External"/><Relationship Id="rId376" Type="http://schemas.openxmlformats.org/officeDocument/2006/relationships/hyperlink" Target="https://eitaa.com/madaresadat_ir" TargetMode="External"/><Relationship Id="rId375" Type="http://schemas.openxmlformats.org/officeDocument/2006/relationships/hyperlink" Target="https://eitaa.com/meheyat_ir" TargetMode="External"/><Relationship Id="rId40" Type="http://schemas.openxmlformats.org/officeDocument/2006/relationships/hyperlink" Target="https://www.yadegaran.info" TargetMode="External"/><Relationship Id="rId42" Type="http://schemas.openxmlformats.org/officeDocument/2006/relationships/hyperlink" Target="https://eitaa.com/gomnaminfo" TargetMode="External"/><Relationship Id="rId41" Type="http://schemas.openxmlformats.org/officeDocument/2006/relationships/hyperlink" Target="https://www.instagram.com/gomnaminfo/" TargetMode="External"/><Relationship Id="rId44" Type="http://schemas.openxmlformats.org/officeDocument/2006/relationships/hyperlink" Target="https://eitaa.com/maedeh_media" TargetMode="External"/><Relationship Id="rId43" Type="http://schemas.openxmlformats.org/officeDocument/2006/relationships/hyperlink" Target="https://www.instagram.com/yahda_ir_/" TargetMode="External"/><Relationship Id="rId46" Type="http://schemas.openxmlformats.org/officeDocument/2006/relationships/hyperlink" Target="https://www.instagram.com/shaghighatalhasan/" TargetMode="External"/><Relationship Id="rId45" Type="http://schemas.openxmlformats.org/officeDocument/2006/relationships/hyperlink" Target="https://www.instagram.com/heyatozahraarak/" TargetMode="External"/><Relationship Id="rId48" Type="http://schemas.openxmlformats.org/officeDocument/2006/relationships/hyperlink" Target="https://t.me/heyatebeyn_alharameyn" TargetMode="External"/><Relationship Id="rId47" Type="http://schemas.openxmlformats.org/officeDocument/2006/relationships/hyperlink" Target="https://www.instagram.com/heyatebeyn.alharameyn/" TargetMode="External"/><Relationship Id="rId49" Type="http://schemas.openxmlformats.org/officeDocument/2006/relationships/hyperlink" Target="https://www.instagram.com/fedak.arak/" TargetMode="External"/><Relationship Id="rId31" Type="http://schemas.openxmlformats.org/officeDocument/2006/relationships/hyperlink" Target="https://eitaa.com/amahdi_313" TargetMode="External"/><Relationship Id="rId30" Type="http://schemas.openxmlformats.org/officeDocument/2006/relationships/hyperlink" Target="https://t.me/amahdi_313" TargetMode="External"/><Relationship Id="rId33" Type="http://schemas.openxmlformats.org/officeDocument/2006/relationships/hyperlink" Target="https://eitaa.com/ansarozahraarak" TargetMode="External"/><Relationship Id="rId32" Type="http://schemas.openxmlformats.org/officeDocument/2006/relationships/hyperlink" Target="https://www.instagram.com/yalasarat__net/" TargetMode="External"/><Relationship Id="rId35" Type="http://schemas.openxmlformats.org/officeDocument/2006/relationships/hyperlink" Target="https://www.instagram.com/ghadirion_ir/" TargetMode="External"/><Relationship Id="rId34" Type="http://schemas.openxmlformats.org/officeDocument/2006/relationships/hyperlink" Target="https://www.instagram.com/fatemioon_senejan/" TargetMode="External"/><Relationship Id="rId37" Type="http://schemas.openxmlformats.org/officeDocument/2006/relationships/hyperlink" Target="https://www.instagram.com/heyat_mohibin/" TargetMode="External"/><Relationship Id="rId36" Type="http://schemas.openxmlformats.org/officeDocument/2006/relationships/hyperlink" Target="https://eitaa.com/homaarak" TargetMode="External"/><Relationship Id="rId39" Type="http://schemas.openxmlformats.org/officeDocument/2006/relationships/hyperlink" Target="https://eitaa.com/yadegaran_info" TargetMode="External"/><Relationship Id="rId38" Type="http://schemas.openxmlformats.org/officeDocument/2006/relationships/hyperlink" Target="https://www.instagram.com/maktabalzahra.arak/" TargetMode="External"/><Relationship Id="rId20" Type="http://schemas.openxmlformats.org/officeDocument/2006/relationships/hyperlink" Target="https://l.instagram.com/?u=https%3A%2F%2Ft.me%2Fmahfele_maktabalhosein%3Ffbclid%3DPAZXh0bgNhZW0CMTEAAaegU_UjJIALP3yCYTkiDLpezJ39N7iBd0vgqX3_IzV5g37smrq6vpjTVtU2HQ_aem_xtfEostx0woQccr_jpljSg&amp;e=AT1QYhChIs1QwXcqULBUYW-gYuvU2T7zYTKPHmboCFFelkiH_IdTM8sIV2kR8v1B71AoW1_GUVL-2SOAZFORS-73wuVXngp6lET_zYS7yg" TargetMode="External"/><Relationship Id="rId22" Type="http://schemas.openxmlformats.org/officeDocument/2006/relationships/hyperlink" Target="https://l.instagram.com/?u=https%3A%2F%2Feitaa.com%2Fmeheyat_ir%3Ffbclid%3DPAZXh0bgNhZW0CMTEAAacgEhsfQ2sthUa8Z_-UvY0h0xcLUqAT0h-2Gt_Z67bhwAJJsEPFpz0Z8F80dA_aem_p8pphLSB-ZxfPUOhlhm-7g&amp;e=AT2kKwVIE78NUgNESclgq7oIJfaoa262rEPpPckxk54tjOxLJCJYCF-gPeT1Hg2r6ETx30PqZoCcmB1SL_VdkXN2AL0juVWz1felBTZa_g" TargetMode="External"/><Relationship Id="rId21" Type="http://schemas.openxmlformats.org/officeDocument/2006/relationships/hyperlink" Target="https://www.instagram.com/meheyat.ir/" TargetMode="External"/><Relationship Id="rId24" Type="http://schemas.openxmlformats.org/officeDocument/2006/relationships/hyperlink" Target="https://www.instagram.com/heyat_mohebanzeynab_arak/" TargetMode="External"/><Relationship Id="rId23" Type="http://schemas.openxmlformats.org/officeDocument/2006/relationships/hyperlink" Target="https://www.instagram.com/shababozeynab_saveh/" TargetMode="External"/><Relationship Id="rId26" Type="http://schemas.openxmlformats.org/officeDocument/2006/relationships/hyperlink" Target="https://eitaa.com/hoddas_arak" TargetMode="External"/><Relationship Id="rId25" Type="http://schemas.openxmlformats.org/officeDocument/2006/relationships/hyperlink" Target="https://www.instagram.com/heyatzeynabion_arak/" TargetMode="External"/><Relationship Id="rId28" Type="http://schemas.openxmlformats.org/officeDocument/2006/relationships/hyperlink" Target="https://www.instagram.com/nodbeha/" TargetMode="External"/><Relationship Id="rId27" Type="http://schemas.openxmlformats.org/officeDocument/2006/relationships/hyperlink" Target="https://www.instagram.com/leva_ozzahra/" TargetMode="External"/><Relationship Id="rId29" Type="http://schemas.openxmlformats.org/officeDocument/2006/relationships/hyperlink" Target="https://www.instagram.com/varesorg/" TargetMode="External"/><Relationship Id="rId11" Type="http://schemas.openxmlformats.org/officeDocument/2006/relationships/hyperlink" Target="https://www.instagram.com/heyathorsaveh/" TargetMode="External"/><Relationship Id="rId10" Type="http://schemas.openxmlformats.org/officeDocument/2006/relationships/hyperlink" Target="https://eitaa.com/shahde_shohod" TargetMode="External"/><Relationship Id="rId13" Type="http://schemas.openxmlformats.org/officeDocument/2006/relationships/hyperlink" Target="https://www.instagram.com/moojab135/" TargetMode="External"/><Relationship Id="rId12" Type="http://schemas.openxmlformats.org/officeDocument/2006/relationships/hyperlink" Target="https://l.instagram.com/?u=https%3A%2F%2Feitaa.com%2Fheyathorsaveh%3Ffbclid%3DPAZXh0bgNhZW0CMTEAAaeWzdL0sw_09r76pk6oeZsqLp6elVSG_lSthpc_oAeCH5gVXKCg0yvkMZr5Kg_aem_1kJrtIRWvZk8s3dcMoAQUQ&amp;e=AT0X7yXAzD9O1InyWMYzzfSWlzAQSpvCcBeS3009RlbT4uqYy3WVUjy4JA4gPdD5F4sI4lNlKFbmfrtZsgvWq8Uuc7TQ38Y5R3XF_57zCA" TargetMode="External"/><Relationship Id="rId15" Type="http://schemas.openxmlformats.org/officeDocument/2006/relationships/hyperlink" Target="https://l.instagram.com/?u=http%3A%2F%2Ft.me%2Fbeytolhasan_arak%3Ffbclid%3DPAZXh0bgNhZW0CMTEAAaePjmItR4kZ9zplby-nR2C9k_ymMitmw9ktHWRIVdI5oS7vT1Uwsn7ml2fanQ_aem_qN9vxgy0VN9Ll_XMT3ushQ&amp;e=AT0bC4LjQ2SkRaTv2rQWvbDr5YnLRiSrUlPp5fEUMCJJsIE3lyC2eJjKKu9SUkOCIpuHzDQvBrL7ZImt02r31iErLlrvWxK_fq6csfnBiQ" TargetMode="External"/><Relationship Id="rId14" Type="http://schemas.openxmlformats.org/officeDocument/2006/relationships/hyperlink" Target="https://www.instagram.com/beitalhasan4517/" TargetMode="External"/><Relationship Id="rId17" Type="http://schemas.openxmlformats.org/officeDocument/2006/relationships/hyperlink" Target="https://www.instagram.com/hasanie_arak/" TargetMode="External"/><Relationship Id="rId16" Type="http://schemas.openxmlformats.org/officeDocument/2006/relationships/hyperlink" Target="https://www.instagram.com/samenalhojaj.arak/" TargetMode="External"/><Relationship Id="rId19" Type="http://schemas.openxmlformats.org/officeDocument/2006/relationships/hyperlink" Target="https://www.instagram.com/mahfele_maktabalhosein/" TargetMode="External"/><Relationship Id="rId18" Type="http://schemas.openxmlformats.org/officeDocument/2006/relationships/hyperlink" Target="https://t.me/Hasanie_arak" TargetMode="External"/><Relationship Id="rId84" Type="http://schemas.openxmlformats.org/officeDocument/2006/relationships/hyperlink" Target="https://instagram.com/gomnaminfo" TargetMode="External"/><Relationship Id="rId83" Type="http://schemas.openxmlformats.org/officeDocument/2006/relationships/hyperlink" Target="https://www.instagram.com/saqaye_karbala/" TargetMode="External"/><Relationship Id="rId86" Type="http://schemas.openxmlformats.org/officeDocument/2006/relationships/hyperlink" Target="https://www.instagram.com/shahdeshuhod" TargetMode="External"/><Relationship Id="rId85" Type="http://schemas.openxmlformats.org/officeDocument/2006/relationships/hyperlink" Target="https://eitaa.com/gomnaminfo" TargetMode="External"/><Relationship Id="rId88" Type="http://schemas.openxmlformats.org/officeDocument/2006/relationships/hyperlink" Target="https://www.instagram.com/mahfelenoor_ir" TargetMode="External"/><Relationship Id="rId87" Type="http://schemas.openxmlformats.org/officeDocument/2006/relationships/hyperlink" Target="https://eitaa.com/shahde_shohod" TargetMode="External"/><Relationship Id="rId89" Type="http://schemas.openxmlformats.org/officeDocument/2006/relationships/hyperlink" Target="https://t.me/mahfelenoor_ir" TargetMode="External"/><Relationship Id="rId80" Type="http://schemas.openxmlformats.org/officeDocument/2006/relationships/hyperlink" Target="https://t.me/zovariyon" TargetMode="External"/><Relationship Id="rId82" Type="http://schemas.openxmlformats.org/officeDocument/2006/relationships/hyperlink" Target="https://eitaa.com/hoddas_arak" TargetMode="External"/><Relationship Id="rId81" Type="http://schemas.openxmlformats.org/officeDocument/2006/relationships/hyperlink" Target="https://www.instagram.com/hoddasinfo/" TargetMode="External"/><Relationship Id="rId73" Type="http://schemas.openxmlformats.org/officeDocument/2006/relationships/hyperlink" Target="https://www.instagram.com/moazenmedia/" TargetMode="External"/><Relationship Id="rId72" Type="http://schemas.openxmlformats.org/officeDocument/2006/relationships/hyperlink" Target="https://t.me/asheghanebabalhavaejarak" TargetMode="External"/><Relationship Id="rId75" Type="http://schemas.openxmlformats.org/officeDocument/2006/relationships/hyperlink" Target="https://www.instagram.com/mahfele_zeinabion/" TargetMode="External"/><Relationship Id="rId74" Type="http://schemas.openxmlformats.org/officeDocument/2006/relationships/hyperlink" Target="https://t.me/moazenmedia" TargetMode="External"/><Relationship Id="rId77" Type="http://schemas.openxmlformats.org/officeDocument/2006/relationships/hyperlink" Target="https://t.me/toffahatoljannat" TargetMode="External"/><Relationship Id="rId76" Type="http://schemas.openxmlformats.org/officeDocument/2006/relationships/hyperlink" Target="https://www.instagram.com/toffahatoljannat/" TargetMode="External"/><Relationship Id="rId79" Type="http://schemas.openxmlformats.org/officeDocument/2006/relationships/hyperlink" Target="https://www.instagram.com/mahfel_zovvarolhosseinarak/" TargetMode="External"/><Relationship Id="rId78" Type="http://schemas.openxmlformats.org/officeDocument/2006/relationships/hyperlink" Target="https://eitaa.com/toffahatoljannat" TargetMode="External"/><Relationship Id="rId71" Type="http://schemas.openxmlformats.org/officeDocument/2006/relationships/hyperlink" Target="https://www.instagram.com/babalhavaej_arak/" TargetMode="External"/><Relationship Id="rId70" Type="http://schemas.openxmlformats.org/officeDocument/2006/relationships/hyperlink" Target="https://t.me/heydariyoon_arak" TargetMode="External"/><Relationship Id="rId62" Type="http://schemas.openxmlformats.org/officeDocument/2006/relationships/hyperlink" Target="https://t.me/ebnalhasan_info" TargetMode="External"/><Relationship Id="rId61" Type="http://schemas.openxmlformats.org/officeDocument/2006/relationships/hyperlink" Target="https://www.instagram.com/ebnalhasan_info/" TargetMode="External"/><Relationship Id="rId64" Type="http://schemas.openxmlformats.org/officeDocument/2006/relationships/hyperlink" Target="https://www.instagram.com/boka.info/" TargetMode="External"/><Relationship Id="rId63" Type="http://schemas.openxmlformats.org/officeDocument/2006/relationships/hyperlink" Target="https://eitaa.com/ebnalhasan_info" TargetMode="External"/><Relationship Id="rId66" Type="http://schemas.openxmlformats.org/officeDocument/2006/relationships/hyperlink" Target="https://eitaa.com/bokainfo" TargetMode="External"/><Relationship Id="rId65" Type="http://schemas.openxmlformats.org/officeDocument/2006/relationships/hyperlink" Target="https://t.me/bokainfo" TargetMode="External"/><Relationship Id="rId68" Type="http://schemas.openxmlformats.org/officeDocument/2006/relationships/hyperlink" Target="https://eitaa.com/Meshkat_bhr" TargetMode="External"/><Relationship Id="rId67" Type="http://schemas.openxmlformats.org/officeDocument/2006/relationships/hyperlink" Target="https://www.instagram.com/meshkat.arak.ir/" TargetMode="External"/><Relationship Id="rId60" Type="http://schemas.openxmlformats.org/officeDocument/2006/relationships/hyperlink" Target="https://t.me/yadegaran_info" TargetMode="External"/><Relationship Id="rId69" Type="http://schemas.openxmlformats.org/officeDocument/2006/relationships/hyperlink" Target="https://www.instagram.com/heydariyoon_arak/" TargetMode="External"/><Relationship Id="rId51" Type="http://schemas.openxmlformats.org/officeDocument/2006/relationships/hyperlink" Target="https://eitaa.com/fedak_arak" TargetMode="External"/><Relationship Id="rId50" Type="http://schemas.openxmlformats.org/officeDocument/2006/relationships/hyperlink" Target="https://t.me/fedak_arak" TargetMode="External"/><Relationship Id="rId53" Type="http://schemas.openxmlformats.org/officeDocument/2006/relationships/hyperlink" Target="https://eitaa.com/levaozzeynab_arak" TargetMode="External"/><Relationship Id="rId52" Type="http://schemas.openxmlformats.org/officeDocument/2006/relationships/hyperlink" Target="https://www.instagram.com/levaozzeynab_arak/" TargetMode="External"/><Relationship Id="rId55" Type="http://schemas.openxmlformats.org/officeDocument/2006/relationships/hyperlink" Target="https://t.me/emam_gavar" TargetMode="External"/><Relationship Id="rId54" Type="http://schemas.openxmlformats.org/officeDocument/2006/relationships/hyperlink" Target="https://www.instagram.com/emam_gavar/" TargetMode="External"/><Relationship Id="rId57" Type="http://schemas.openxmlformats.org/officeDocument/2006/relationships/hyperlink" Target="https://eitaa.com/asheqaneali" TargetMode="External"/><Relationship Id="rId56" Type="http://schemas.openxmlformats.org/officeDocument/2006/relationships/hyperlink" Target="https://www.instagram.com/asheqaneali/" TargetMode="External"/><Relationship Id="rId59" Type="http://schemas.openxmlformats.org/officeDocument/2006/relationships/hyperlink" Target="https://www.instagram.com/yadegaran_info/" TargetMode="External"/><Relationship Id="rId58" Type="http://schemas.openxmlformats.org/officeDocument/2006/relationships/hyperlink" Target="https://www.instagram.com/homa_arak/" TargetMode="External"/><Relationship Id="rId349" Type="http://schemas.openxmlformats.org/officeDocument/2006/relationships/hyperlink" Target="https://l.instagram.com/?u=http%3A%2F%2Ft.me%2Fbabol_javad%3Futm_source%3Dig%26utm_medium%3Dsocial%26utm_content%3Dlink_in_bio%26fbclid%3DPAZXh0bgNhZW0CMTEAc3J0YwZhcHBfaWQMMjU2MjgxMDQwNTU4AAGnl17ajrmr6GiuZAxfpIUbOwqL1c7ul6msF0kEJRj_-Kj2ItAcfmuitMkKO70_aem_gxc9ZwccU5-rAE0tTxswow&amp;e=AT3mi25M0pbOo_JiyYVIJm1mGnnvAGgk_IVjRegZq1SEhIhCkGh6N-e2Pnbu4RkJFMqD72SF3EZ49iEbgcVn3PyWvToY4_Qhg8k9kl9Ckg" TargetMode="External"/><Relationship Id="rId348" Type="http://schemas.openxmlformats.org/officeDocument/2006/relationships/hyperlink" Target="https://www.instagram.com/babol_javad_arak/" TargetMode="External"/><Relationship Id="rId347" Type="http://schemas.openxmlformats.org/officeDocument/2006/relationships/hyperlink" Target="https://eitaa.com/heiathazrataliasghar" TargetMode="External"/><Relationship Id="rId346" Type="http://schemas.openxmlformats.org/officeDocument/2006/relationships/hyperlink" Target="https://eitaa.com/nodbeha" TargetMode="External"/><Relationship Id="rId341" Type="http://schemas.openxmlformats.org/officeDocument/2006/relationships/hyperlink" Target="https://l.instagram.com/?u=http%3A%2F%2Ftelegram.dog%2Fheiatemotevaselinbeahlebeit%3Futm_source%3Dig%26utm_medium%3Dsocial%26utm_content%3Dlink_in_bio%26fbclid%3DPAZXh0bgNhZW0CMTEAc3J0YwZhcHBfaWQMMjU2MjgxMDQwNTU4AAGnsab-K38o9zxlJUWvWIMHUH5UaCBHwojik2laIKpMrM-SJJI4QtpF70vAOmc_aem_YV9WrDR_wrXQTQKgwseGXQ&amp;e=AT0uPoPYv27Yeemq1c-uuA0gZCVwRdfTk41c10OD2G97YLjnSGSZRzbLGm08laYGErTB_WMxVv06BH0Ox80vuN_Kw_IZN-Fq597tdO48KQ" TargetMode="External"/><Relationship Id="rId340" Type="http://schemas.openxmlformats.org/officeDocument/2006/relationships/hyperlink" Target="https://www.instagram.com/motevaselin_be_ahlebeit/" TargetMode="External"/><Relationship Id="rId345" Type="http://schemas.openxmlformats.org/officeDocument/2006/relationships/hyperlink" Target="https://t.me/divaneganheydarkarararark" TargetMode="External"/><Relationship Id="rId344" Type="http://schemas.openxmlformats.org/officeDocument/2006/relationships/hyperlink" Target="https://eitaa.com/hasanie_arak" TargetMode="External"/><Relationship Id="rId343" Type="http://schemas.openxmlformats.org/officeDocument/2006/relationships/hyperlink" Target="https://www.instagram.com/fatemiun_karbalaee/" TargetMode="External"/><Relationship Id="rId342" Type="http://schemas.openxmlformats.org/officeDocument/2006/relationships/hyperlink" Target="https://eitaa.com/heyat_saveh" TargetMode="External"/><Relationship Id="rId338" Type="http://schemas.openxmlformats.org/officeDocument/2006/relationships/hyperlink" Target="https://www.instagram.com/heyat_reihanton_nabi/" TargetMode="External"/><Relationship Id="rId337" Type="http://schemas.openxmlformats.org/officeDocument/2006/relationships/hyperlink" Target="https://www.instagram.com/ansariha_arak/" TargetMode="External"/><Relationship Id="rId336" Type="http://schemas.openxmlformats.org/officeDocument/2006/relationships/hyperlink" Target="https://www.instagram.com/ghamar_bani_hashem_robatmil/" TargetMode="External"/><Relationship Id="rId335" Type="http://schemas.openxmlformats.org/officeDocument/2006/relationships/hyperlink" Target="https://eitaa.com/kanoontafresh" TargetMode="External"/><Relationship Id="rId339" Type="http://schemas.openxmlformats.org/officeDocument/2006/relationships/hyperlink" Target="https://eitaa.com/shahide1546" TargetMode="External"/><Relationship Id="rId330" Type="http://schemas.openxmlformats.org/officeDocument/2006/relationships/hyperlink" Target="https://eitaa.com/reyhanatolhooseinsaveh" TargetMode="External"/><Relationship Id="rId334" Type="http://schemas.openxmlformats.org/officeDocument/2006/relationships/hyperlink" Target="https://www.instagram.com/masjedemamhosein/" TargetMode="External"/><Relationship Id="rId333" Type="http://schemas.openxmlformats.org/officeDocument/2006/relationships/hyperlink" Target="https://l.instagram.com/?u=https%3A%2F%2Ft.me%2Ffotros_nurolhoda%3Futm_source%3Dig%26utm_medium%3Dsocial%26utm_content%3Dlink_in_bio%26fbclid%3DPAZXh0bgNhZW0CMTEAc3J0YwZhcHBfaWQMMjU2MjgxMDQwNTU4AAGncTgKqbEM0-ho_GuTwvFf-6OzQv2mjNkXwYChK_jHbvkoS2vCu0HrRHvwwJE_aem_Kgm6fJMcV-NtBuIjmVwDiA&amp;e=AT30U9k7t-tyIUvSp6MhWtGGiUE1enMAZ_ZZJlcmxBh3DYDlEQB-3GwczWYjl4kzJU7m27D1wmZ1wsbouP0exnedEIem6EcGQMrXa9I2xQ" TargetMode="External"/><Relationship Id="rId332" Type="http://schemas.openxmlformats.org/officeDocument/2006/relationships/hyperlink" Target="https://www.instagram.com/fotros_nurolhoda/" TargetMode="External"/><Relationship Id="rId331" Type="http://schemas.openxmlformats.org/officeDocument/2006/relationships/hyperlink" Target="https://www.instagram.com/heiatfatemezahraa/" TargetMode="External"/><Relationship Id="rId370" Type="http://schemas.openxmlformats.org/officeDocument/2006/relationships/hyperlink" Target="https://t.me/maktabozahra90" TargetMode="External"/><Relationship Id="rId369" Type="http://schemas.openxmlformats.org/officeDocument/2006/relationships/hyperlink" Target="https://eitaa.com/bibiroghayeh_arak" TargetMode="External"/><Relationship Id="rId368" Type="http://schemas.openxmlformats.org/officeDocument/2006/relationships/hyperlink" Target="https://www.instagram.com/b_rogayesenjan/" TargetMode="External"/><Relationship Id="rId363" Type="http://schemas.openxmlformats.org/officeDocument/2006/relationships/hyperlink" Target="https://www.instagram.com/hyyat_masjed_valiasr/" TargetMode="External"/><Relationship Id="rId362" Type="http://schemas.openxmlformats.org/officeDocument/2006/relationships/hyperlink" Target="https://eitaa.com/yavaran_mahdi_khondab" TargetMode="External"/><Relationship Id="rId361" Type="http://schemas.openxmlformats.org/officeDocument/2006/relationships/hyperlink" Target="https://t.me/bibiroghayeh_arak" TargetMode="External"/><Relationship Id="rId360" Type="http://schemas.openxmlformats.org/officeDocument/2006/relationships/hyperlink" Target="https://l.instagram.com/?u=https%3A%2F%2Feitaa.com%2Fmotavaselein%3Futm_source%3Dig%26utm_medium%3Dsocial%26utm_content%3Dlink_in_bio%26fbclid%3DPAZXh0bgNhZW0CMTEAc3J0YwZhcHBfaWQMMjU2MjgxMDQwNTU4AAGnWD9oUxtIAYweouYRCSWvZeyoIgaAV09aOKxtu6kna4Tt2cSXI4_aCVf7i5o_aem_jsiVa09xi0QZjGSv-7bvSQ&amp;e=AT2__FLWdMoec6n-m0f3H9f7km1yAsysjwoE3jetTJo4GM7a1aGG9oUah0EbjPyQ7qDS4s5IbYJT8T5Uz8Mt2lBFZ7T2je2UFS1oujNJPw" TargetMode="External"/><Relationship Id="rId367" Type="http://schemas.openxmlformats.org/officeDocument/2006/relationships/hyperlink" Target="https://t.me/alamdarbeinoalharamein" TargetMode="External"/><Relationship Id="rId366" Type="http://schemas.openxmlformats.org/officeDocument/2006/relationships/hyperlink" Target="https://www.instagram.com/maktabosadeq_net/" TargetMode="External"/><Relationship Id="rId365" Type="http://schemas.openxmlformats.org/officeDocument/2006/relationships/hyperlink" Target="https://t.me/heyatmohammadi" TargetMode="External"/><Relationship Id="rId364" Type="http://schemas.openxmlformats.org/officeDocument/2006/relationships/hyperlink" Target="https://l.instagram.com/?u=http%3A%2F%2Ft.me%2Fhayatvaleasr1348%3Futm_source%3Dig%26utm_medium%3Dsocial%26utm_content%3Dlink_in_bio%26fbclid%3DPAZXh0bgNhZW0CMTEAc3J0YwZhcHBfaWQMMjU2MjgxMDQwNTU4AAGnYcPsWnHopm8oN49UV-IN7BoAtqWqpu5-P779kVLR5DMamqtHnEHnWWaccsE_aem_f8MRx_ie5BNVKpd8lM_CHA&amp;e=AT1n0xo4gQpBbZlyhwI067Vj_3xQOwgTjraBtW6174OHT0E8hEOTX2AszUjC6oPLoZxSlJVTKS8P3rNzUA4jdFhzvMvnKI1KvbUhhdBBVw" TargetMode="External"/><Relationship Id="rId95" Type="http://schemas.openxmlformats.org/officeDocument/2006/relationships/hyperlink" Target="https://t.me/heyatmohammadi" TargetMode="External"/><Relationship Id="rId94" Type="http://schemas.openxmlformats.org/officeDocument/2006/relationships/hyperlink" Target="https://www.instagram.com/heyatmohammadi_arak/" TargetMode="External"/><Relationship Id="rId97" Type="http://schemas.openxmlformats.org/officeDocument/2006/relationships/hyperlink" Target="https://www.instagram.com/maktabolhusein" TargetMode="External"/><Relationship Id="rId96" Type="http://schemas.openxmlformats.org/officeDocument/2006/relationships/hyperlink" Target="https://www.instagram.com/emamhassan.arak/" TargetMode="External"/><Relationship Id="rId99" Type="http://schemas.openxmlformats.org/officeDocument/2006/relationships/hyperlink" Target="https://t.me/alamdaranarak" TargetMode="External"/><Relationship Id="rId98" Type="http://schemas.openxmlformats.org/officeDocument/2006/relationships/hyperlink" Target="https://www.instagram.com/heyatalamdaranarak/" TargetMode="External"/><Relationship Id="rId91" Type="http://schemas.openxmlformats.org/officeDocument/2006/relationships/hyperlink" Target="https://www.instagram.com/oshagh_hasanarak" TargetMode="External"/><Relationship Id="rId90" Type="http://schemas.openxmlformats.org/officeDocument/2006/relationships/hyperlink" Target="https://eitaa.com/mahfelenoor_ir" TargetMode="External"/><Relationship Id="rId93" Type="http://schemas.openxmlformats.org/officeDocument/2006/relationships/hyperlink" Target="https://eitaa.com/oshagh_hasanarak" TargetMode="External"/><Relationship Id="rId92" Type="http://schemas.openxmlformats.org/officeDocument/2006/relationships/hyperlink" Target="https://t.me/oshagh_hasanarak" TargetMode="External"/><Relationship Id="rId359" Type="http://schemas.openxmlformats.org/officeDocument/2006/relationships/hyperlink" Target="https://www.instagram.com/motavaselininfo/" TargetMode="External"/><Relationship Id="rId358" Type="http://schemas.openxmlformats.org/officeDocument/2006/relationships/hyperlink" Target="https://www.instagram.com/karimaltaha__/" TargetMode="External"/><Relationship Id="rId357" Type="http://schemas.openxmlformats.org/officeDocument/2006/relationships/hyperlink" Target="https://l.instagram.com/?u=http%3A%2F%2Ft.me%2Fheyatghaemalmo%3Futm_source%3Dig%26utm_medium%3Dsocial%26utm_content%3Dlink_in_bio%26fbclid%3DPAZXh0bgNhZW0CMTEAc3J0YwZhcHBfaWQMMjU2MjgxMDQwNTU4AAGnZ38pVYrNTWErjAaI0PEJM6ddDrdAtAkeynqUzZ12bh2bvqCBtUpKv0N_JZQ_aem_MQI3zmEmcMYG6ozZk0kYDA&amp;e=AT3pG5qQc-zBZCCjmlwk70R6XD8Cz-zkHVIPzYcQlO0HN2g8vp0MS7po-K5rd1kPC5fKA7T9v2d98DzQdHN6OBhuy-Z2Wt9m6qoogL3LXw" TargetMode="External"/><Relationship Id="rId352" Type="http://schemas.openxmlformats.org/officeDocument/2006/relationships/hyperlink" Target="https://eitaa.com/maktabzeynab_03" TargetMode="External"/><Relationship Id="rId351" Type="http://schemas.openxmlformats.org/officeDocument/2006/relationships/hyperlink" Target="https://eitaa.com/oshagholhoseiyn" TargetMode="External"/><Relationship Id="rId350" Type="http://schemas.openxmlformats.org/officeDocument/2006/relationships/hyperlink" Target="https://eitaa.com/babol_javad" TargetMode="External"/><Relationship Id="rId356" Type="http://schemas.openxmlformats.org/officeDocument/2006/relationships/hyperlink" Target="https://www.instagram.com/ghaem_almohammad/" TargetMode="External"/><Relationship Id="rId355" Type="http://schemas.openxmlformats.org/officeDocument/2006/relationships/hyperlink" Target="https://t.me/mohebbin_araku" TargetMode="External"/><Relationship Id="rId354" Type="http://schemas.openxmlformats.org/officeDocument/2006/relationships/hyperlink" Target="https://t.me/heyat_sadat_nimvar" TargetMode="External"/><Relationship Id="rId353" Type="http://schemas.openxmlformats.org/officeDocument/2006/relationships/hyperlink" Target="https://www.instagram.com/heyate_sadate_shahre_nimvar/" TargetMode="External"/><Relationship Id="rId305" Type="http://schemas.openxmlformats.org/officeDocument/2006/relationships/hyperlink" Target="https://www.instagram.com/emamzadeh.seyedaboreza/" TargetMode="External"/><Relationship Id="rId304" Type="http://schemas.openxmlformats.org/officeDocument/2006/relationships/hyperlink" Target="https://www.instagram.com/mokebejamandegan/" TargetMode="External"/><Relationship Id="rId303" Type="http://schemas.openxmlformats.org/officeDocument/2006/relationships/hyperlink" Target="https://www.instagram.com/havayehosein.heyat/" TargetMode="External"/><Relationship Id="rId302" Type="http://schemas.openxmlformats.org/officeDocument/2006/relationships/hyperlink" Target="https://www.instagram.com/mokeb.alamdar.karbala_saveh/" TargetMode="External"/><Relationship Id="rId309" Type="http://schemas.openxmlformats.org/officeDocument/2006/relationships/hyperlink" Target="https://t.me/heyatalreza2020" TargetMode="External"/><Relationship Id="rId308" Type="http://schemas.openxmlformats.org/officeDocument/2006/relationships/hyperlink" Target="https://www.instagram.com/heyatalreza2020" TargetMode="External"/><Relationship Id="rId307" Type="http://schemas.openxmlformats.org/officeDocument/2006/relationships/hyperlink" Target="https://t.me/heyat_moheban_ahlebeit_shazand" TargetMode="External"/><Relationship Id="rId306" Type="http://schemas.openxmlformats.org/officeDocument/2006/relationships/hyperlink" Target="https://www.instagram.com/heyat_mohebanahlebeit_shazand/" TargetMode="External"/><Relationship Id="rId301" Type="http://schemas.openxmlformats.org/officeDocument/2006/relationships/hyperlink" Target="https://www.instagram.com/alamdaran_alamkeshan_saveh/" TargetMode="External"/><Relationship Id="rId300" Type="http://schemas.openxmlformats.org/officeDocument/2006/relationships/hyperlink" Target="https://t.me/maktab_alhosein_saveh" TargetMode="External"/><Relationship Id="rId327" Type="http://schemas.openxmlformats.org/officeDocument/2006/relationships/hyperlink" Target="https://eitaa.com/ansar_zahra_info" TargetMode="External"/><Relationship Id="rId326" Type="http://schemas.openxmlformats.org/officeDocument/2006/relationships/hyperlink" Target="https://www.instagram.com/sarollah_khoshkroud/" TargetMode="External"/><Relationship Id="rId325" Type="http://schemas.openxmlformats.org/officeDocument/2006/relationships/hyperlink" Target="https://www.instagram.com/shohada_khoshkrood/" TargetMode="External"/><Relationship Id="rId324" Type="http://schemas.openxmlformats.org/officeDocument/2006/relationships/hyperlink" Target="https://www.instagram.com/moukeb_1173/" TargetMode="External"/><Relationship Id="rId329" Type="http://schemas.openxmlformats.org/officeDocument/2006/relationships/hyperlink" Target="https://t.me/reyhanatolhooseinsaveh" TargetMode="External"/><Relationship Id="rId328" Type="http://schemas.openxmlformats.org/officeDocument/2006/relationships/hyperlink" Target="https://www.instagram.com/reyhanatolhooseinsaveh.live/" TargetMode="External"/><Relationship Id="rId323" Type="http://schemas.openxmlformats.org/officeDocument/2006/relationships/hyperlink" Target="https://www.instagram.com/heyat_hoseni_delijan" TargetMode="External"/><Relationship Id="rId322" Type="http://schemas.openxmlformats.org/officeDocument/2006/relationships/hyperlink" Target="https://t.me/rahiyan96yadeyaran" TargetMode="External"/><Relationship Id="rId321" Type="http://schemas.openxmlformats.org/officeDocument/2006/relationships/hyperlink" Target="https://www.instagram.com/heiate.yade.yaran" TargetMode="External"/><Relationship Id="rId320" Type="http://schemas.openxmlformats.org/officeDocument/2006/relationships/hyperlink" Target="https://www.instagram.com/shahidmahallati_hoseiniyeh" TargetMode="External"/><Relationship Id="rId316" Type="http://schemas.openxmlformats.org/officeDocument/2006/relationships/hyperlink" Target="https://www.instagram.com/heyat_moheban_mahalat/" TargetMode="External"/><Relationship Id="rId315" Type="http://schemas.openxmlformats.org/officeDocument/2006/relationships/hyperlink" Target="https://www.instagram.com/heyat_ghamarbanihashem_mahalla" TargetMode="External"/><Relationship Id="rId314" Type="http://schemas.openxmlformats.org/officeDocument/2006/relationships/hyperlink" Target="https://eitaa.com/rowzaat" TargetMode="External"/><Relationship Id="rId313" Type="http://schemas.openxmlformats.org/officeDocument/2006/relationships/hyperlink" Target="https://www.instagram.com/rowzaat/" TargetMode="External"/><Relationship Id="rId319" Type="http://schemas.openxmlformats.org/officeDocument/2006/relationships/hyperlink" Target="https://t.me/heyat_heydari_mahallat" TargetMode="External"/><Relationship Id="rId318" Type="http://schemas.openxmlformats.org/officeDocument/2006/relationships/hyperlink" Target="https://www.instagram.com/heyat_heydari_mahallat" TargetMode="External"/><Relationship Id="rId317" Type="http://schemas.openxmlformats.org/officeDocument/2006/relationships/hyperlink" Target="https://www.instagram.com/heyat.agha/" TargetMode="External"/><Relationship Id="rId312" Type="http://schemas.openxmlformats.org/officeDocument/2006/relationships/hyperlink" Target="https://www.instagram.com/taziahfarahan/" TargetMode="External"/><Relationship Id="rId311" Type="http://schemas.openxmlformats.org/officeDocument/2006/relationships/hyperlink" Target="https://www.instagram.com/ansarolmahdi_farahan/" TargetMode="External"/><Relationship Id="rId310" Type="http://schemas.openxmlformats.org/officeDocument/2006/relationships/hyperlink" Target="https://www.instagram.com/byt_al_abass/" TargetMode="External"/><Relationship Id="rId297" Type="http://schemas.openxmlformats.org/officeDocument/2006/relationships/hyperlink" Target="https://t.me/resaneh_ahrar" TargetMode="External"/><Relationship Id="rId296" Type="http://schemas.openxmlformats.org/officeDocument/2006/relationships/hyperlink" Target="https://www.instagram.com/resaneh_ahrar/" TargetMode="External"/><Relationship Id="rId295" Type="http://schemas.openxmlformats.org/officeDocument/2006/relationships/hyperlink" Target="https://www.instagram.com/emam.hasan.save/" TargetMode="External"/><Relationship Id="rId294" Type="http://schemas.openxmlformats.org/officeDocument/2006/relationships/hyperlink" Target="https://www.instagram.com/ghasemiyeh_saveh/" TargetMode="External"/><Relationship Id="rId299" Type="http://schemas.openxmlformats.org/officeDocument/2006/relationships/hyperlink" Target="https://www.instagram.com/maktab_alhosein_saveh/" TargetMode="External"/><Relationship Id="rId298" Type="http://schemas.openxmlformats.org/officeDocument/2006/relationships/hyperlink" Target="https://eitaa.com/resaneh_ahrar" TargetMode="External"/><Relationship Id="rId271" Type="http://schemas.openxmlformats.org/officeDocument/2006/relationships/hyperlink" Target="https://t.me/HoseinKhanehSaveh" TargetMode="External"/><Relationship Id="rId270" Type="http://schemas.openxmlformats.org/officeDocument/2006/relationships/hyperlink" Target="https://www.instagram.com/hosseinkhaaneh" TargetMode="External"/><Relationship Id="rId269" Type="http://schemas.openxmlformats.org/officeDocument/2006/relationships/hyperlink" Target="https://t.me/h_shohada133" TargetMode="External"/><Relationship Id="rId264" Type="http://schemas.openxmlformats.org/officeDocument/2006/relationships/hyperlink" Target="https://t.me/hazrat_roghayye_saveh" TargetMode="External"/><Relationship Id="rId263" Type="http://schemas.openxmlformats.org/officeDocument/2006/relationships/hyperlink" Target="https://www.instagram.com/hazrat_roghayye_saveh" TargetMode="External"/><Relationship Id="rId262" Type="http://schemas.openxmlformats.org/officeDocument/2006/relationships/hyperlink" Target="https://eitaa.com/merajoshohada_saveh_ir" TargetMode="External"/><Relationship Id="rId261" Type="http://schemas.openxmlformats.org/officeDocument/2006/relationships/hyperlink" Target="https://www.instagram.com/merajoshohada_saveh.ir/" TargetMode="External"/><Relationship Id="rId268" Type="http://schemas.openxmlformats.org/officeDocument/2006/relationships/hyperlink" Target="https://www.instagram.com/h_shohada133" TargetMode="External"/><Relationship Id="rId267" Type="http://schemas.openxmlformats.org/officeDocument/2006/relationships/hyperlink" Target="https://t.me/oshaghozzahra" TargetMode="External"/><Relationship Id="rId266" Type="http://schemas.openxmlformats.org/officeDocument/2006/relationships/hyperlink" Target="https://www.instagram.com/oshaghozzahra/" TargetMode="External"/><Relationship Id="rId265" Type="http://schemas.openxmlformats.org/officeDocument/2006/relationships/hyperlink" Target="https://www.instagram.com/khademoshohada_saveh/" TargetMode="External"/><Relationship Id="rId260" Type="http://schemas.openxmlformats.org/officeDocument/2006/relationships/hyperlink" Target="http://t.me/AB72ir" TargetMode="External"/><Relationship Id="rId259" Type="http://schemas.openxmlformats.org/officeDocument/2006/relationships/hyperlink" Target="https://www.instagram.com/ab72ir" TargetMode="External"/><Relationship Id="rId258" Type="http://schemas.openxmlformats.org/officeDocument/2006/relationships/hyperlink" Target="https://www.instagram.com/heyat.hazrat.6.mahe.saveh/" TargetMode="External"/><Relationship Id="rId253" Type="http://schemas.openxmlformats.org/officeDocument/2006/relationships/hyperlink" Target="https://t.me/Mohebban_Zeynabb" TargetMode="External"/><Relationship Id="rId252" Type="http://schemas.openxmlformats.org/officeDocument/2006/relationships/hyperlink" Target="https://www.instagram.com/mohebbanzeynab_ir/" TargetMode="External"/><Relationship Id="rId251" Type="http://schemas.openxmlformats.org/officeDocument/2006/relationships/hyperlink" Target="https://t.me/BeitalShahda" TargetMode="External"/><Relationship Id="rId250" Type="http://schemas.openxmlformats.org/officeDocument/2006/relationships/hyperlink" Target="https://www.instagram.com/beitalshahda/" TargetMode="External"/><Relationship Id="rId257" Type="http://schemas.openxmlformats.org/officeDocument/2006/relationships/hyperlink" Target="https://www.instagram.com/mohebban_saveh/" TargetMode="External"/><Relationship Id="rId256" Type="http://schemas.openxmlformats.org/officeDocument/2006/relationships/hyperlink" Target="https://www.instagram.com/mokeb.amiralmomenin/" TargetMode="External"/><Relationship Id="rId255" Type="http://schemas.openxmlformats.org/officeDocument/2006/relationships/hyperlink" Target="https://t.me/hasanjan_channel" TargetMode="External"/><Relationship Id="rId254" Type="http://schemas.openxmlformats.org/officeDocument/2006/relationships/hyperlink" Target="https://www.instagram.com/hasanjaan_/" TargetMode="External"/><Relationship Id="rId293" Type="http://schemas.openxmlformats.org/officeDocument/2006/relationships/hyperlink" Target="https://www.instagram.com/mokeb_emamhasan_saveh/" TargetMode="External"/><Relationship Id="rId292" Type="http://schemas.openxmlformats.org/officeDocument/2006/relationships/hyperlink" Target="https://www.instagram.com/heyat_eiliya/" TargetMode="External"/><Relationship Id="rId291" Type="http://schemas.openxmlformats.org/officeDocument/2006/relationships/hyperlink" Target="https://eitaa.com/Heyat_Eiliya" TargetMode="External"/><Relationship Id="rId290" Type="http://schemas.openxmlformats.org/officeDocument/2006/relationships/hyperlink" Target="https://t.me/beytozahraSave" TargetMode="External"/><Relationship Id="rId286" Type="http://schemas.openxmlformats.org/officeDocument/2006/relationships/hyperlink" Target="https://www.instagram.com/heyat.ome.abiha/" TargetMode="External"/><Relationship Id="rId285" Type="http://schemas.openxmlformats.org/officeDocument/2006/relationships/hyperlink" Target="https://www.instagram.com/beyt_ol_roghayyeh/" TargetMode="External"/><Relationship Id="rId284" Type="http://schemas.openxmlformats.org/officeDocument/2006/relationships/hyperlink" Target="https://t.me/h_khademalhosein" TargetMode="External"/><Relationship Id="rId283" Type="http://schemas.openxmlformats.org/officeDocument/2006/relationships/hyperlink" Target="https://www.instagram.com/khademalhosein__info/" TargetMode="External"/><Relationship Id="rId289" Type="http://schemas.openxmlformats.org/officeDocument/2006/relationships/hyperlink" Target="https://www.instagram.com/beytolzahrasaveh/" TargetMode="External"/><Relationship Id="rId288" Type="http://schemas.openxmlformats.org/officeDocument/2006/relationships/hyperlink" Target="https://eitaa.com/khademineemamzaman" TargetMode="External"/><Relationship Id="rId287" Type="http://schemas.openxmlformats.org/officeDocument/2006/relationships/hyperlink" Target="https://www.instagram.com/khademin_emam_zaman/" TargetMode="External"/><Relationship Id="rId282" Type="http://schemas.openxmlformats.org/officeDocument/2006/relationships/hyperlink" Target="https://eitaa.com/AmirAlmoemenin_Saveh" TargetMode="External"/><Relationship Id="rId281" Type="http://schemas.openxmlformats.org/officeDocument/2006/relationships/hyperlink" Target="https://www.instagram.com/amiralmoemenin_saveh/" TargetMode="External"/><Relationship Id="rId280" Type="http://schemas.openxmlformats.org/officeDocument/2006/relationships/hyperlink" Target="https://www.instagram.com/beytol_roghaye_/" TargetMode="External"/><Relationship Id="rId275" Type="http://schemas.openxmlformats.org/officeDocument/2006/relationships/hyperlink" Target="https://eitaa.com/reyhanatolhooseinsaveh" TargetMode="External"/><Relationship Id="rId274" Type="http://schemas.openxmlformats.org/officeDocument/2006/relationships/hyperlink" Target="https://t.me/reyhanatolhooseinsaveh" TargetMode="External"/><Relationship Id="rId273" Type="http://schemas.openxmlformats.org/officeDocument/2006/relationships/hyperlink" Target="https://www.instagram.com/reyhanatolhooseinsaveh.ir/" TargetMode="External"/><Relationship Id="rId272" Type="http://schemas.openxmlformats.org/officeDocument/2006/relationships/hyperlink" Target="https://www.instagram.com/heyat.abbasieh" TargetMode="External"/><Relationship Id="rId279" Type="http://schemas.openxmlformats.org/officeDocument/2006/relationships/hyperlink" Target="https://www.instagram.com/divanegan.aliakbar.333/" TargetMode="External"/><Relationship Id="rId278" Type="http://schemas.openxmlformats.org/officeDocument/2006/relationships/hyperlink" Target="https://t.me/shahidghaffari" TargetMode="External"/><Relationship Id="rId277" Type="http://schemas.openxmlformats.org/officeDocument/2006/relationships/hyperlink" Target="https://www.instagram.com/fatemionsaveh/" TargetMode="External"/><Relationship Id="rId276" Type="http://schemas.openxmlformats.org/officeDocument/2006/relationships/hyperlink" Target="https://www.instagram.com/heyat_rozatolzahra/" TargetMode="External"/><Relationship Id="rId228" Type="http://schemas.openxmlformats.org/officeDocument/2006/relationships/hyperlink" Target="https://eitaa.com/mokeb_fadaeian" TargetMode="External"/><Relationship Id="rId227" Type="http://schemas.openxmlformats.org/officeDocument/2006/relationships/hyperlink" Target="https://t.me/mokeb_fadaeian" TargetMode="External"/><Relationship Id="rId226" Type="http://schemas.openxmlformats.org/officeDocument/2006/relationships/hyperlink" Target="https://www.instagram.com/mokeb_fadaeian/" TargetMode="External"/><Relationship Id="rId225" Type="http://schemas.openxmlformats.org/officeDocument/2006/relationships/hyperlink" Target="https://t.me/hassaniyon_channel" TargetMode="External"/><Relationship Id="rId229" Type="http://schemas.openxmlformats.org/officeDocument/2006/relationships/hyperlink" Target="https://www.instagram.com/beytolhasaan/" TargetMode="External"/><Relationship Id="rId220" Type="http://schemas.openxmlformats.org/officeDocument/2006/relationships/hyperlink" Target="https://t.me/javadalaemeh_saveh" TargetMode="External"/><Relationship Id="rId224" Type="http://schemas.openxmlformats.org/officeDocument/2006/relationships/hyperlink" Target="https://www.instagram.com/hassaniyon/" TargetMode="External"/><Relationship Id="rId223" Type="http://schemas.openxmlformats.org/officeDocument/2006/relationships/hyperlink" Target="https://t.me/reyhanatolhooseinsaveh" TargetMode="External"/><Relationship Id="rId222" Type="http://schemas.openxmlformats.org/officeDocument/2006/relationships/hyperlink" Target="https://www.instagram.com/reyhanelive.saveh/" TargetMode="External"/><Relationship Id="rId221" Type="http://schemas.openxmlformats.org/officeDocument/2006/relationships/hyperlink" Target="https://www.instagram.com/masjedmehvar_saveh/" TargetMode="External"/><Relationship Id="rId217" Type="http://schemas.openxmlformats.org/officeDocument/2006/relationships/hyperlink" Target="https://www.instagram.com/heyati_77/" TargetMode="External"/><Relationship Id="rId216" Type="http://schemas.openxmlformats.org/officeDocument/2006/relationships/hyperlink" Target="https://t.me/h_khademalhosein" TargetMode="External"/><Relationship Id="rId215" Type="http://schemas.openxmlformats.org/officeDocument/2006/relationships/hyperlink" Target="https://www.instagram.com/khademalhosein_saveh/" TargetMode="External"/><Relationship Id="rId214" Type="http://schemas.openxmlformats.org/officeDocument/2006/relationships/hyperlink" Target="https://www.instagram.com/seyedoshohada_saveh/" TargetMode="External"/><Relationship Id="rId219" Type="http://schemas.openxmlformats.org/officeDocument/2006/relationships/hyperlink" Target="https://www.instagram.com/javadalaemeh_saveh/" TargetMode="External"/><Relationship Id="rId218" Type="http://schemas.openxmlformats.org/officeDocument/2006/relationships/hyperlink" Target="https://www.instagram.com/alamdar__saveh/" TargetMode="External"/><Relationship Id="rId213" Type="http://schemas.openxmlformats.org/officeDocument/2006/relationships/hyperlink" Target="https://t.me/zovaroalzahra_saveh" TargetMode="External"/><Relationship Id="rId212" Type="http://schemas.openxmlformats.org/officeDocument/2006/relationships/hyperlink" Target="https://www.instagram.com/zovaroalzahra_saveh/" TargetMode="External"/><Relationship Id="rId211" Type="http://schemas.openxmlformats.org/officeDocument/2006/relationships/hyperlink" Target="https://www.instagram.com/heyat_emamreza_saveh/" TargetMode="External"/><Relationship Id="rId210" Type="http://schemas.openxmlformats.org/officeDocument/2006/relationships/hyperlink" Target="https://www.instagram.com/azizamhussein/" TargetMode="External"/><Relationship Id="rId249" Type="http://schemas.openxmlformats.org/officeDocument/2006/relationships/hyperlink" Target="https://www.instagram.com/ansarlhasan_saveh/" TargetMode="External"/><Relationship Id="rId248" Type="http://schemas.openxmlformats.org/officeDocument/2006/relationships/hyperlink" Target="https://t.me/enghelab14" TargetMode="External"/><Relationship Id="rId247" Type="http://schemas.openxmlformats.org/officeDocument/2006/relationships/hyperlink" Target="https://www.instagram.com/shahzadeh_aliasghar_saveh/" TargetMode="External"/><Relationship Id="rId242" Type="http://schemas.openxmlformats.org/officeDocument/2006/relationships/hyperlink" Target="https://t.me/rozatolghasem_saveh" TargetMode="External"/><Relationship Id="rId241" Type="http://schemas.openxmlformats.org/officeDocument/2006/relationships/hyperlink" Target="https://www.instagram.com/rozatolghasem_saveh/" TargetMode="External"/><Relationship Id="rId240" Type="http://schemas.openxmlformats.org/officeDocument/2006/relationships/hyperlink" Target="https://www.instagram.com/heyat_sarallah_saveh/" TargetMode="External"/><Relationship Id="rId246" Type="http://schemas.openxmlformats.org/officeDocument/2006/relationships/hyperlink" Target="https://eitaa.com/abnaalzahra_saveh" TargetMode="External"/><Relationship Id="rId245" Type="http://schemas.openxmlformats.org/officeDocument/2006/relationships/hyperlink" Target="https://www.instagram.com/abnaalzahra_saveh/" TargetMode="External"/><Relationship Id="rId244" Type="http://schemas.openxmlformats.org/officeDocument/2006/relationships/hyperlink" Target="https://www.instagram.com/heyat_maktab_ghoraan/" TargetMode="External"/><Relationship Id="rId243" Type="http://schemas.openxmlformats.org/officeDocument/2006/relationships/hyperlink" Target="https://www.instagram.com/mokeb_saheb_alzaman_saveh/" TargetMode="External"/><Relationship Id="rId239" Type="http://schemas.openxmlformats.org/officeDocument/2006/relationships/hyperlink" Target="https://www.instagram.com/mokeb.saveh/" TargetMode="External"/><Relationship Id="rId238" Type="http://schemas.openxmlformats.org/officeDocument/2006/relationships/hyperlink" Target="https://www.instagram.com/razmandegane_saveh/" TargetMode="External"/><Relationship Id="rId237" Type="http://schemas.openxmlformats.org/officeDocument/2006/relationships/hyperlink" Target="http://instagram.com/alyasinsaveh/" TargetMode="External"/><Relationship Id="rId236" Type="http://schemas.openxmlformats.org/officeDocument/2006/relationships/hyperlink" Target="https://t.me/samenolaemehsaveh" TargetMode="External"/><Relationship Id="rId231" Type="http://schemas.openxmlformats.org/officeDocument/2006/relationships/hyperlink" Target="https://www.instagram.com/heyat_fastaghem/" TargetMode="External"/><Relationship Id="rId230" Type="http://schemas.openxmlformats.org/officeDocument/2006/relationships/hyperlink" Target="https://t.me/beytolhasaan" TargetMode="External"/><Relationship Id="rId235" Type="http://schemas.openxmlformats.org/officeDocument/2006/relationships/hyperlink" Target="https://www.instagram.com/samenolaemehsaveh/" TargetMode="External"/><Relationship Id="rId234" Type="http://schemas.openxmlformats.org/officeDocument/2006/relationships/hyperlink" Target="https://www.instagram.com/mahfel_ammarion/" TargetMode="External"/><Relationship Id="rId233" Type="http://schemas.openxmlformats.org/officeDocument/2006/relationships/hyperlink" Target="https://www.instagram.com/yahossein__ir/" TargetMode="External"/><Relationship Id="rId232" Type="http://schemas.openxmlformats.org/officeDocument/2006/relationships/hyperlink" Target="https://eitaa.com/fastaghem_saveh" TargetMode="External"/><Relationship Id="rId206" Type="http://schemas.openxmlformats.org/officeDocument/2006/relationships/hyperlink" Target="https://l.instagram.com/?u=https%3A%2F%2Ft.me%2Fkarbalaei_saveh8%3Ffbclid%3DPAZXh0bgNhZW0CMTEAAae4NidpnzHvh36PffYnVqNVUy38-k09t0YftQMv2YZO8GOmCNGX1S80qrIlwA_aem_f3dwUWLTqFGIofBLxH4Rqg&amp;e=AT3fpQLqL8xzq0sAW478pgoYxQBczgaTUcUvRuLSnlltzhx2JprFgmBjyzvOvqcZ-5ude3m1WZIxYpNW4yWkrETjqlVgaERAj5w0mO8lXA" TargetMode="External"/><Relationship Id="rId205" Type="http://schemas.openxmlformats.org/officeDocument/2006/relationships/hyperlink" Target="https://www.instagram.com/karbalaei_saveh/" TargetMode="External"/><Relationship Id="rId204" Type="http://schemas.openxmlformats.org/officeDocument/2006/relationships/hyperlink" Target="https://www.instagram.com/seyed_alshohada.zavieh" TargetMode="External"/><Relationship Id="rId203" Type="http://schemas.openxmlformats.org/officeDocument/2006/relationships/hyperlink" Target="https://www.instagram.com/oshagholabasiha/" TargetMode="External"/><Relationship Id="rId209" Type="http://schemas.openxmlformats.org/officeDocument/2006/relationships/hyperlink" Target="https://eitaa.com/hadisneynava" TargetMode="External"/><Relationship Id="rId208" Type="http://schemas.openxmlformats.org/officeDocument/2006/relationships/hyperlink" Target="https://l.instagram.com/?u=http%3A%2F%2Ft.me%2Fahrar_saveh%3Ffbclid%3DPAZXh0bgNhZW0CMTEAAaeEPp5KMdxqAlPjZirzyNMxoGpn2xxpWL81SuSJtYglkxm1jSb4o4I6cU5iMw_aem_y9lLrWsPqzPImp9MKHEn4Q&amp;e=AT3L0emXwMW_VLefX51c6At4Dh4m1KxgHmEbxY0KlkP0PF3xWJ4p66cXmuOXC-zSYyiszLYum3Ngu6ncad8Rd7CU3ZFvHq2KYjhnZOzrnQ" TargetMode="External"/><Relationship Id="rId207" Type="http://schemas.openxmlformats.org/officeDocument/2006/relationships/hyperlink" Target="https://www.instagram.com/ahrar_ir/" TargetMode="External"/><Relationship Id="rId202" Type="http://schemas.openxmlformats.org/officeDocument/2006/relationships/hyperlink" Target="https://www.instagram.com/heyate_ghamare.banihashem/" TargetMode="External"/><Relationship Id="rId201" Type="http://schemas.openxmlformats.org/officeDocument/2006/relationships/hyperlink" Target="https://eitaa.com/Heyatozzahra128" TargetMode="External"/><Relationship Id="rId200" Type="http://schemas.openxmlformats.org/officeDocument/2006/relationships/hyperlink" Target="https://www.instagram.com/heyatozzahra128" TargetMode="External"/><Relationship Id="rId1" Type="http://schemas.openxmlformats.org/officeDocument/2006/relationships/hyperlink" Target="https://www.instagram.com/heyat.sarallah.ashtian/" TargetMode="External"/><Relationship Id="rId2" Type="http://schemas.openxmlformats.org/officeDocument/2006/relationships/hyperlink" Target="https://www.instagram.com/heyathasani.ir/" TargetMode="External"/><Relationship Id="rId3" Type="http://schemas.openxmlformats.org/officeDocument/2006/relationships/hyperlink" Target="https://www.instagram.com/husseinieh_sadeghbik" TargetMode="External"/><Relationship Id="rId4" Type="http://schemas.openxmlformats.org/officeDocument/2006/relationships/hyperlink" Target="https://www.instagram.com/heyat_hazrat_zenab/" TargetMode="External"/><Relationship Id="rId9" Type="http://schemas.openxmlformats.org/officeDocument/2006/relationships/hyperlink" Target="https://eitaa.com/heiatezahray" TargetMode="External"/><Relationship Id="rId5" Type="http://schemas.openxmlformats.org/officeDocument/2006/relationships/hyperlink" Target="https://www.instagram.com/oshagh_abas/" TargetMode="External"/><Relationship Id="rId6" Type="http://schemas.openxmlformats.org/officeDocument/2006/relationships/hyperlink" Target="https://t.me/uuuuoshaghabas" TargetMode="External"/><Relationship Id="rId7" Type="http://schemas.openxmlformats.org/officeDocument/2006/relationships/hyperlink" Target="https://www.instagram.com/heyatroghayeh.ir" TargetMode="External"/><Relationship Id="rId8" Type="http://schemas.openxmlformats.org/officeDocument/2006/relationships/hyperlink" Target="https://www.instagram.com/maktabolhusein/" TargetMode="External"/></Relationships>
</file>

<file path=xl/worksheets/_rels/sheet14.xml.rels><?xml version="1.0" encoding="UTF-8" standalone="yes"?><Relationships xmlns="http://schemas.openxmlformats.org/package/2006/relationships"><Relationship Id="rId190" Type="http://schemas.openxmlformats.org/officeDocument/2006/relationships/hyperlink" Target="https://t.me/gholaman_kerman" TargetMode="External"/><Relationship Id="rId194" Type="http://schemas.openxmlformats.org/officeDocument/2006/relationships/hyperlink" Target="https://t.me/navaye_heydariyon" TargetMode="External"/><Relationship Id="rId193" Type="http://schemas.openxmlformats.org/officeDocument/2006/relationships/hyperlink" Target="https://www.instagram.com/navaye_heydariyon?utm_source=ig_web_button_share_sheet&amp;igsh=ZDNlZDc0MzIxNw==" TargetMode="External"/><Relationship Id="rId192" Type="http://schemas.openxmlformats.org/officeDocument/2006/relationships/hyperlink" Target="https://www.instagram.com/heyat_babalhavaej?utm_source=ig_web_button_share_sheet&amp;igsh=ZDNlZDc0MzIxNw==" TargetMode="External"/><Relationship Id="rId191" Type="http://schemas.openxmlformats.org/officeDocument/2006/relationships/hyperlink" Target="https://eitaa.com/mosque_Vali_Asr_town_Elahiye" TargetMode="External"/><Relationship Id="rId187" Type="http://schemas.openxmlformats.org/officeDocument/2006/relationships/hyperlink" Target="https://t.me/Mohebanzahraykerman" TargetMode="External"/><Relationship Id="rId186" Type="http://schemas.openxmlformats.org/officeDocument/2006/relationships/hyperlink" Target="https://www.instagram.com/_moheban.alzahra.kerman?utm_source=ig_web_button_share_sheet&amp;igsh=ZDNlZDc0MzIxNw==" TargetMode="External"/><Relationship Id="rId185" Type="http://schemas.openxmlformats.org/officeDocument/2006/relationships/hyperlink" Target="https://eitaa.com/azadaranaliakbar" TargetMode="External"/><Relationship Id="rId184" Type="http://schemas.openxmlformats.org/officeDocument/2006/relationships/hyperlink" Target="https://www.instagram.com/mamh__valiasr?utm_source=ig_web_button_share_sheet&amp;igsh=ZDNlZDc0MzIxNw==" TargetMode="External"/><Relationship Id="rId189" Type="http://schemas.openxmlformats.org/officeDocument/2006/relationships/hyperlink" Target="https://www.instagram.com/heyat.gholaman.kerman?utm_source=ig_web_button_share_sheet&amp;igsh=ZDNlZDc0MzIxNw==" TargetMode="External"/><Relationship Id="rId188" Type="http://schemas.openxmlformats.org/officeDocument/2006/relationships/hyperlink" Target="https://www.instagram.com/tekye_roghaye?utm_source=ig_web_button_share_sheet&amp;igsh=ZDNlZDc0MzIxNw==" TargetMode="External"/><Relationship Id="rId183" Type="http://schemas.openxmlformats.org/officeDocument/2006/relationships/hyperlink" Target="https://t.me/QasimibnlHasanbaghin" TargetMode="External"/><Relationship Id="rId182" Type="http://schemas.openxmlformats.org/officeDocument/2006/relationships/hyperlink" Target="https://www.instagram.com/qasamibnlhasan?utm_source=ig_web_button_share_sheet&amp;igsh=ZDNlZDc0MzIxNw==" TargetMode="External"/><Relationship Id="rId181" Type="http://schemas.openxmlformats.org/officeDocument/2006/relationships/hyperlink" Target="https://www.instagram.com/heyate.abolfazlbaft?utm_source=ig_web_button_share_sheet&amp;igsh=ZDNlZDc0MzIxNw==" TargetMode="External"/><Relationship Id="rId180" Type="http://schemas.openxmlformats.org/officeDocument/2006/relationships/hyperlink" Target="https://www.instagram.com/heiat_sahebazaman?utm_source=ig_web_button_share_sheet&amp;igsh=ZDNlZDc0MzIxNw==" TargetMode="External"/><Relationship Id="rId176" Type="http://schemas.openxmlformats.org/officeDocument/2006/relationships/hyperlink" Target="https://www.instagram.com/teshnegan_live?utm_source=ig_web_button_share_sheet&amp;igsh=ZDNlZDc0MzIxNw==" TargetMode="External"/><Relationship Id="rId175" Type="http://schemas.openxmlformats.org/officeDocument/2006/relationships/hyperlink" Target="https://eitaa.com/heyatrahrovan" TargetMode="External"/><Relationship Id="rId174" Type="http://schemas.openxmlformats.org/officeDocument/2006/relationships/hyperlink" Target="https://www.instagram.com/aeeneh_khaneh?utm_source=ig_web_button_share_sheet&amp;igsh=ZDNlZDc0MzIxNw==" TargetMode="External"/><Relationship Id="rId173" Type="http://schemas.openxmlformats.org/officeDocument/2006/relationships/hyperlink" Target="https://www.instagram.com/banooyebineshanemadineh?utm_source=ig_web_button_share_sheet&amp;igsh=ZDNlZDc0MzIxNw==" TargetMode="External"/><Relationship Id="rId179" Type="http://schemas.openxmlformats.org/officeDocument/2006/relationships/hyperlink" Target="https://www.instagram.com/hazrataliakbar1377?utm_source=ig_web_button_share_sheet&amp;igsh=ZDNlZDc0MzIxNw==" TargetMode="External"/><Relationship Id="rId178" Type="http://schemas.openxmlformats.org/officeDocument/2006/relationships/hyperlink" Target="https://www.instagram.com/heyat.saralah.kouhbanan?utm_source=ig_web_button_share_sheet&amp;igsh=ZDNlZDc0MzIxNw==" TargetMode="External"/><Relationship Id="rId177" Type="http://schemas.openxmlformats.org/officeDocument/2006/relationships/hyperlink" Target="https://eitaa.com/yaranebiriyaa" TargetMode="External"/><Relationship Id="rId198" Type="http://schemas.openxmlformats.org/officeDocument/2006/relationships/hyperlink" Target="https://eitaa.com/gholaman_aliakbar" TargetMode="External"/><Relationship Id="rId197" Type="http://schemas.openxmlformats.org/officeDocument/2006/relationships/hyperlink" Target="https://www.instagram.com/gholaman_ali_akbar?utm_source=ig_web_button_share_sheet&amp;igsh=ZDNlZDc0MzIxNw==" TargetMode="External"/><Relationship Id="rId196" Type="http://schemas.openxmlformats.org/officeDocument/2006/relationships/hyperlink" Target="https://www.instagram.com/jahadi_shahid_bakerii?utm_source=ig_web_button_share_sheet&amp;igsh=ZDNlZDc0MzIxNw==" TargetMode="External"/><Relationship Id="rId195" Type="http://schemas.openxmlformats.org/officeDocument/2006/relationships/hyperlink" Target="https://www.instagram.com/ansarmahdi_galeganji?utm_source=ig_web_button_share_sheet&amp;igsh=ZDNlZDc0MzIxNw==" TargetMode="External"/><Relationship Id="rId199" Type="http://schemas.openxmlformats.org/officeDocument/2006/relationships/hyperlink" Target="https://www.instagram.com/rozatoroghayeh?utm_source=ig_web_button_share_sheet&amp;igsh=ZDNlZDc0MzIxNw==" TargetMode="External"/><Relationship Id="rId150" Type="http://schemas.openxmlformats.org/officeDocument/2006/relationships/hyperlink" Target="https://www.instagram.com/tazieh.saraye.fatemehzahra?utm_source=ig_web_button_share_sheet&amp;igsh=ZDNlZDc0MzIxNw==" TargetMode="External"/><Relationship Id="rId149" Type="http://schemas.openxmlformats.org/officeDocument/2006/relationships/hyperlink" Target="https://www.instagram.com/anbarabad_city_council313?utm_source=ig_web_button_share_sheet&amp;igsh=ZDNlZDc0MzIxNw==" TargetMode="External"/><Relationship Id="rId148" Type="http://schemas.openxmlformats.org/officeDocument/2006/relationships/hyperlink" Target="https://eitaa.com/ansarolmahdi_kerman" TargetMode="External"/><Relationship Id="rId143" Type="http://schemas.openxmlformats.org/officeDocument/2006/relationships/hyperlink" Target="https://www.instagram.com/heyat_razmandegan_kerman?utm_source=ig_web_button_share_sheet&amp;igsh=ZDNlZDc0MzIxNw==" TargetMode="External"/><Relationship Id="rId142" Type="http://schemas.openxmlformats.org/officeDocument/2006/relationships/hyperlink" Target="https://t.me/Behaaldin_golzar" TargetMode="External"/><Relationship Id="rId141" Type="http://schemas.openxmlformats.org/officeDocument/2006/relationships/hyperlink" Target="https://www.instagram.com/behaaldin_golzar?utm_source=ig_web_button_share_sheet&amp;igsh=ZDNlZDc0MzIxNw==" TargetMode="External"/><Relationship Id="rId140" Type="http://schemas.openxmlformats.org/officeDocument/2006/relationships/hyperlink" Target="https://eitaa.com/darolsaghalein" TargetMode="External"/><Relationship Id="rId147" Type="http://schemas.openxmlformats.org/officeDocument/2006/relationships/hyperlink" Target="https://www.instagram.com/ansarolmahdi_kerman?utm_source=ig_web_button_share_sheet&amp;igsh=ZDNlZDc0MzIxNw==" TargetMode="External"/><Relationship Id="rId146" Type="http://schemas.openxmlformats.org/officeDocument/2006/relationships/hyperlink" Target="https://www.instagram.com/sahebolamr_ir?utm_source=ig_web_button_share_sheet&amp;igsh=ZDNlZDc0MzIxNw==" TargetMode="External"/><Relationship Id="rId145" Type="http://schemas.openxmlformats.org/officeDocument/2006/relationships/hyperlink" Target="https://eitaa.com/kanoonemb" TargetMode="External"/><Relationship Id="rId144" Type="http://schemas.openxmlformats.org/officeDocument/2006/relationships/hyperlink" Target="https://t.me/razmandegan_eslam_kerman" TargetMode="External"/><Relationship Id="rId139" Type="http://schemas.openxmlformats.org/officeDocument/2006/relationships/hyperlink" Target="https://t.me/darolsaghalein_tm" TargetMode="External"/><Relationship Id="rId138" Type="http://schemas.openxmlformats.org/officeDocument/2006/relationships/hyperlink" Target="https://www.instagram.com/darolsaghalein_sbu?utm_source=ig_web_button_share_sheet&amp;igsh=ZDNlZDc0MzIxNw==" TargetMode="External"/><Relationship Id="rId137" Type="http://schemas.openxmlformats.org/officeDocument/2006/relationships/hyperlink" Target="https://eitaa.com/h_sarallah" TargetMode="External"/><Relationship Id="rId132" Type="http://schemas.openxmlformats.org/officeDocument/2006/relationships/hyperlink" Target="https://eitaa.com/maktabzahracfu" TargetMode="External"/><Relationship Id="rId131" Type="http://schemas.openxmlformats.org/officeDocument/2006/relationships/hyperlink" Target="https://t.me/maktabolzahra_kerman" TargetMode="External"/><Relationship Id="rId130" Type="http://schemas.openxmlformats.org/officeDocument/2006/relationships/hyperlink" Target="https://www.instagram.com/maktabolzahraa?utm_source=ig_web_button_share_sheet&amp;igsh=ZDNlZDc0MzIxNw==" TargetMode="External"/><Relationship Id="rId136" Type="http://schemas.openxmlformats.org/officeDocument/2006/relationships/hyperlink" Target="https://www.instagram.com/h_sarallah?utm_source=ig_web_button_share_sheet&amp;igsh=ZDNlZDc0MzIxNw==" TargetMode="External"/><Relationship Id="rId135" Type="http://schemas.openxmlformats.org/officeDocument/2006/relationships/hyperlink" Target="https://eitaa.com/mehr_hosein" TargetMode="External"/><Relationship Id="rId134" Type="http://schemas.openxmlformats.org/officeDocument/2006/relationships/hyperlink" Target="https://eitaa.com/mohebanalhasan" TargetMode="External"/><Relationship Id="rId133" Type="http://schemas.openxmlformats.org/officeDocument/2006/relationships/hyperlink" Target="https://www.instagram.com/mohebbanheiat?utm_source=ig_web_button_share_sheet&amp;igsh=ZDNlZDc0MzIxNw==" TargetMode="External"/><Relationship Id="rId172" Type="http://schemas.openxmlformats.org/officeDocument/2006/relationships/hyperlink" Target="https://eitaa.com/meshkatalrasool" TargetMode="External"/><Relationship Id="rId171" Type="http://schemas.openxmlformats.org/officeDocument/2006/relationships/hyperlink" Target="https://www.instagram.com/masjed.meshkatalrasol?utm_source=ig_web_button_share_sheet&amp;igsh=ZDNlZDc0MzIxNw==" TargetMode="External"/><Relationship Id="rId170" Type="http://schemas.openxmlformats.org/officeDocument/2006/relationships/hyperlink" Target="https://www.instagram.com/heyaatozahra1383?utm_source=ig_web_button_share_sheet&amp;igsh=ZDNlZDc0MzIxNw==" TargetMode="External"/><Relationship Id="rId165" Type="http://schemas.openxmlformats.org/officeDocument/2006/relationships/hyperlink" Target="https://t.me/hmse1" TargetMode="External"/><Relationship Id="rId164" Type="http://schemas.openxmlformats.org/officeDocument/2006/relationships/hyperlink" Target="https://www.instagram.com/hoseiniehseyedebrahimi?utm_source=ig_web_button_share_sheet&amp;igsh=ZDNlZDc0MzIxNw==" TargetMode="External"/><Relationship Id="rId163" Type="http://schemas.openxmlformats.org/officeDocument/2006/relationships/hyperlink" Target="https://www.instagram.com/emam_reza_baft?utm_source=ig_web_button_share_sheet&amp;igsh=ZDNlZDc0MzIxNw==" TargetMode="External"/><Relationship Id="rId162" Type="http://schemas.openxmlformats.org/officeDocument/2006/relationships/hyperlink" Target="https://eitaa.com/Najvaye_lea" TargetMode="External"/><Relationship Id="rId169" Type="http://schemas.openxmlformats.org/officeDocument/2006/relationships/hyperlink" Target="https://www.instagram.com/heiat.abaabdelah?utm_source=ig_web_button_share_sheet&amp;igsh=ZDNlZDc0MzIxNw==" TargetMode="External"/><Relationship Id="rId168" Type="http://schemas.openxmlformats.org/officeDocument/2006/relationships/hyperlink" Target="https://www.instagram.com/heyat.abalfazl_?utm_source=ig_web_button_share_sheet&amp;igsh=ZDNlZDc0MzIxNw==" TargetMode="External"/><Relationship Id="rId167" Type="http://schemas.openxmlformats.org/officeDocument/2006/relationships/hyperlink" Target="https://www.instagram.com/heiat_abolfazl_kerman?utm_source=ig_web_button_share_sheet&amp;igsh=ZDNlZDc0MzIxNw==" TargetMode="External"/><Relationship Id="rId166" Type="http://schemas.openxmlformats.org/officeDocument/2006/relationships/hyperlink" Target="https://www.instagram.com/heyathazratabolfazlbardsir?utm_source=ig_web_button_share_sheet&amp;igsh=ZDNlZDc0MzIxNw==" TargetMode="External"/><Relationship Id="rId161" Type="http://schemas.openxmlformats.org/officeDocument/2006/relationships/hyperlink" Target="https://www.instagram.com/heyat.ashghanaliasghar?utm_source=ig_web_button_share_sheet&amp;igsh=ZDNlZDc0MzIxNw==" TargetMode="External"/><Relationship Id="rId160" Type="http://schemas.openxmlformats.org/officeDocument/2006/relationships/hyperlink" Target="https://www.instagram.com/mahdieh_rafsanjan?utm_source=ig_web_button_share_sheet&amp;igsh=ZDNlZDc0MzIxNw==" TargetMode="External"/><Relationship Id="rId159" Type="http://schemas.openxmlformats.org/officeDocument/2006/relationships/hyperlink" Target="https://t.me/ghamarbanihashembaghin" TargetMode="External"/><Relationship Id="rId154" Type="http://schemas.openxmlformats.org/officeDocument/2006/relationships/hyperlink" Target="https://www.instagram.com/heyat_aliakbaar?utm_source=ig_web_button_share_sheet&amp;igsh=ZDNlZDc0MzIxNw==" TargetMode="External"/><Relationship Id="rId153" Type="http://schemas.openxmlformats.org/officeDocument/2006/relationships/hyperlink" Target="https://www.instagram.com/shohada_gomnam_rabor?utm_source=ig_web_button_share_sheet&amp;igsh=ZDNlZDc0MzIxNw==" TargetMode="External"/><Relationship Id="rId152" Type="http://schemas.openxmlformats.org/officeDocument/2006/relationships/hyperlink" Target="https://eitaa.com/Sagha_Khaneh_Aballfazl" TargetMode="External"/><Relationship Id="rId151" Type="http://schemas.openxmlformats.org/officeDocument/2006/relationships/hyperlink" Target="https://www.instagram.com/saghakhane_abalfazl_zarand?utm_source=ig_web_button_share_sheet&amp;igsh=ZDNlZDc0MzIxNw==" TargetMode="External"/><Relationship Id="rId158" Type="http://schemas.openxmlformats.org/officeDocument/2006/relationships/hyperlink" Target="https://www.instagram.com/heiatghamarbanihashem?utm_source=ig_web_button_share_sheet&amp;igsh=ZDNlZDc0MzIxNw==" TargetMode="External"/><Relationship Id="rId157" Type="http://schemas.openxmlformats.org/officeDocument/2006/relationships/hyperlink" Target="https://t.me/heiatasheghanheydarkararrafsanjn" TargetMode="External"/><Relationship Id="rId156" Type="http://schemas.openxmlformats.org/officeDocument/2006/relationships/hyperlink" Target="https://www.instagram.com/asheghan_heydarkarar?utm_source=ig_web_button_share_sheet&amp;igsh=ZDNlZDc0MzIxNw==" TargetMode="External"/><Relationship Id="rId155" Type="http://schemas.openxmlformats.org/officeDocument/2006/relationships/hyperlink" Target="https://www.instagram.com/heyat.karimahlebeyt?utm_source=ig_web_button_share_sheet&amp;igsh=ZDNlZDc0MzIxNw==" TargetMode="External"/><Relationship Id="rId107" Type="http://schemas.openxmlformats.org/officeDocument/2006/relationships/hyperlink" Target="https://www.instagram.com/sarallah_bardsir/" TargetMode="External"/><Relationship Id="rId106" Type="http://schemas.openxmlformats.org/officeDocument/2006/relationships/hyperlink" Target="https://l.instagram.com/?u=https%3A%2F%2Ft.me%2Fmaktabollzahra%3Ffbclid%3DPAZXh0bgNhZW0CMTEAAaen7-wjnOHVCcRYNUBXdvNZyGiSeIsccobTnEdhrx4zwRasNKV0ywz9YXFjpg_aem_Y1B7PJkht8f7KmXbN-fz9w&amp;e=AT1mZzZzAGTTLYAGCqZWxXfP6yx_NY7s-T13e1QCWj6hwUxXLJi9l2zBZIRAvGgM4j7k9PvtHyCY2FaZKsssZyEFbPF-C8lw1-E-OENv1Q" TargetMode="External"/><Relationship Id="rId105" Type="http://schemas.openxmlformats.org/officeDocument/2006/relationships/hyperlink" Target="https://www.instagram.com/maktabol_zahra/" TargetMode="External"/><Relationship Id="rId104" Type="http://schemas.openxmlformats.org/officeDocument/2006/relationships/hyperlink" Target="https://www.instagram.com/meraj_hosein_kerman/" TargetMode="External"/><Relationship Id="rId109" Type="http://schemas.openxmlformats.org/officeDocument/2006/relationships/hyperlink" Target="https://www.instagram.com/h_beytolahzan_kerman/" TargetMode="External"/><Relationship Id="rId108" Type="http://schemas.openxmlformats.org/officeDocument/2006/relationships/hyperlink" Target="https://www.instagram.com/varesinfadak/" TargetMode="External"/><Relationship Id="rId103" Type="http://schemas.openxmlformats.org/officeDocument/2006/relationships/hyperlink" Target="https://eitaa.com/h_sarallah" TargetMode="External"/><Relationship Id="rId102" Type="http://schemas.openxmlformats.org/officeDocument/2006/relationships/hyperlink" Target="https://eitaa.com/mohebbanqaem1347" TargetMode="External"/><Relationship Id="rId101" Type="http://schemas.openxmlformats.org/officeDocument/2006/relationships/hyperlink" Target="https://www.instagram.com/fatemiyoon__/" TargetMode="External"/><Relationship Id="rId100" Type="http://schemas.openxmlformats.org/officeDocument/2006/relationships/hyperlink" Target="https://l.instagram.com/?u=https%3A%2F%2Ft.me%2FTeshnegan_ir%3Ffbclid%3DPAZXh0bgNhZW0CMTEAAadXNvX3gWaxviLoyuFxUGDSMsbdDTpMH1CcrgXDhf0srB9swonAZiGl9-TdqA_aem_AVA2Qal21h9fROKX4z2NRQ&amp;e=AT18YA0JiyWOw-E4XLuz8OFT2FICHrbPCOOlU5TynuN3_PKmmmCyTeHzAiKK0vTbp2pIy107KzPqq2vqo_b0lpm5tOWePRMqfFPr-aweEw" TargetMode="External"/><Relationship Id="rId129" Type="http://schemas.openxmlformats.org/officeDocument/2006/relationships/hyperlink" Target="https://www.instagram.com/heyaat_s_sajedin/?utm_source=ig_web_button_share_sheet" TargetMode="External"/><Relationship Id="rId128" Type="http://schemas.openxmlformats.org/officeDocument/2006/relationships/hyperlink" Target="https://t.me/Behaaldin_golzar" TargetMode="External"/><Relationship Id="rId127" Type="http://schemas.openxmlformats.org/officeDocument/2006/relationships/hyperlink" Target="https://www.instagram.com/behaaldin_golzar?utm_source=ig_web_button_share_sheet&amp;igsh=ZDNlZDc0MzIxNw==" TargetMode="External"/><Relationship Id="rId126" Type="http://schemas.openxmlformats.org/officeDocument/2006/relationships/hyperlink" Target="https://t.me/khademolhasan_kerman" TargetMode="External"/><Relationship Id="rId121" Type="http://schemas.openxmlformats.org/officeDocument/2006/relationships/hyperlink" Target="https://www.instagram.com/eyvannajaf_kerman?utm_source=ig_web_button_share_sheet&amp;igsh=ZDNlZDc0MzIxNw==" TargetMode="External"/><Relationship Id="rId120" Type="http://schemas.openxmlformats.org/officeDocument/2006/relationships/hyperlink" Target="https://eitaa.com/HomemadeRoza" TargetMode="External"/><Relationship Id="rId125" Type="http://schemas.openxmlformats.org/officeDocument/2006/relationships/hyperlink" Target="https://www.instagram.com/khademolhasan_kerman?utm_source=ig_web_button_share_sheet&amp;igsh=ZDNlZDc0MzIxNw==" TargetMode="External"/><Relationship Id="rId124" Type="http://schemas.openxmlformats.org/officeDocument/2006/relationships/hyperlink" Target="https://www.instagram.com/emaam_sajaad?utm_source=ig_web_button_share_sheet&amp;igsh=ZDNlZDc0MzIxNw==" TargetMode="External"/><Relationship Id="rId123" Type="http://schemas.openxmlformats.org/officeDocument/2006/relationships/hyperlink" Target="https://www.instagram.com/ravianneynava313?utm_source=ig_web_button_share_sheet&amp;igsh=ZDNlZDc0MzIxNw==" TargetMode="External"/><Relationship Id="rId122" Type="http://schemas.openxmlformats.org/officeDocument/2006/relationships/hyperlink" Target="https://www.instagram.com/hoseiniehazam.kerman?utm_source=ig_web_button_share_sheet&amp;igsh=ZDNlZDc0MzIxNw==" TargetMode="External"/><Relationship Id="rId118" Type="http://schemas.openxmlformats.org/officeDocument/2006/relationships/hyperlink" Target="https://eitaa.com/maktab_alsadegh_kerman" TargetMode="External"/><Relationship Id="rId117" Type="http://schemas.openxmlformats.org/officeDocument/2006/relationships/hyperlink" Target="https://www.instagram.com/maktab_alsadegh_kerman/" TargetMode="External"/><Relationship Id="rId116" Type="http://schemas.openxmlformats.org/officeDocument/2006/relationships/hyperlink" Target="https://eitaa.com/maktabzahracfu" TargetMode="External"/><Relationship Id="rId115" Type="http://schemas.openxmlformats.org/officeDocument/2006/relationships/hyperlink" Target="https://www.instagram.com/maktabzahracfu/" TargetMode="External"/><Relationship Id="rId119" Type="http://schemas.openxmlformats.org/officeDocument/2006/relationships/hyperlink" Target="https://www.instagram.com/heyat_hazratkhadijeh/" TargetMode="External"/><Relationship Id="rId110" Type="http://schemas.openxmlformats.org/officeDocument/2006/relationships/hyperlink" Target="https://www.instagram.com/imam_hussain_valfajr/" TargetMode="External"/><Relationship Id="rId114" Type="http://schemas.openxmlformats.org/officeDocument/2006/relationships/hyperlink" Target="https://www.instagram.com/maktabalsadegh195/" TargetMode="External"/><Relationship Id="rId113" Type="http://schemas.openxmlformats.org/officeDocument/2006/relationships/hyperlink" Target="https://l.instagram.com/?u=https%3A%2F%2Ft.me%2Fd_beynolharameyn%3Ffbclid%3DPAZXh0bgNhZW0CMTEAAadnVHM7herMviwvl68R7u7nlvVtXC2UbSRGrZ52g2P77vHaFITjJNE3JfMXAQ_aem_WWhuLbp5fN5y2AWgfa--EQ&amp;e=AT1CsnlZHIoN3koB6EupBhczwe7m6fJglu8N_c4snrxe4I5WjndOIuixP9pqQ8pZizVRW4eSX5y86NpvS7TxuOtWuPQ-JvLFv0gvKqSkiw" TargetMode="External"/><Relationship Id="rId112" Type="http://schemas.openxmlformats.org/officeDocument/2006/relationships/hyperlink" Target="https://www.instagram.com/d.beynolharameyn/" TargetMode="External"/><Relationship Id="rId111" Type="http://schemas.openxmlformats.org/officeDocument/2006/relationships/hyperlink" Target="https://eitaa.com/h_janatoreza" TargetMode="External"/><Relationship Id="rId392" Type="http://schemas.openxmlformats.org/officeDocument/2006/relationships/hyperlink" Target="https://t.me/iaukahnouj" TargetMode="External"/><Relationship Id="rId391" Type="http://schemas.openxmlformats.org/officeDocument/2006/relationships/hyperlink" Target="https://www.instagram.com/iau.kahnouj?utm_source=ig_web_button_share_sheet&amp;igsh=ZDNlZDc0MzIxNw==" TargetMode="External"/><Relationship Id="rId390" Type="http://schemas.openxmlformats.org/officeDocument/2006/relationships/hyperlink" Target="https://www.instagram.com/heyate.aliasghar/?utm_source=ig_web_button_share_sheet" TargetMode="External"/><Relationship Id="rId385" Type="http://schemas.openxmlformats.org/officeDocument/2006/relationships/hyperlink" Target="https://www.instagram.com/heiat_mohebbin_ahlebait?utm_source=ig_web_button_share_sheet&amp;igsh=ZDNlZDc0MzIxNw==" TargetMode="External"/><Relationship Id="rId384" Type="http://schemas.openxmlformats.org/officeDocument/2006/relationships/hyperlink" Target="https://t.me/heydariyon_sirjan" TargetMode="External"/><Relationship Id="rId383" Type="http://schemas.openxmlformats.org/officeDocument/2006/relationships/hyperlink" Target="https://www.instagram.com/heydariyon_sirjan?utm_source=ig_web_button_share_sheet&amp;igsh=ZDNlZDc0MzIxNw==" TargetMode="External"/><Relationship Id="rId382" Type="http://schemas.openxmlformats.org/officeDocument/2006/relationships/hyperlink" Target="https://www.instagram.com/heyat.banizahra?utm_source=ig_web_button_share_sheet&amp;igsh=ZDNlZDc0MzIxNw==" TargetMode="External"/><Relationship Id="rId389" Type="http://schemas.openxmlformats.org/officeDocument/2006/relationships/hyperlink" Target="https://www.instagram.com/heyat.mohebin.ahlebeyt?utm_source=ig_web_button_share_sheet&amp;igsh=ZDNlZDc0MzIxNw==" TargetMode="External"/><Relationship Id="rId388" Type="http://schemas.openxmlformats.org/officeDocument/2006/relationships/hyperlink" Target="https://eitaa.com/alam_133" TargetMode="External"/><Relationship Id="rId387" Type="http://schemas.openxmlformats.org/officeDocument/2006/relationships/hyperlink" Target="https://www.instagram.com/heyatalamdar_?utm_source=ig_web_button_share_sheet&amp;igsh=ZDNlZDc0MzIxNw==" TargetMode="External"/><Relationship Id="rId386" Type="http://schemas.openxmlformats.org/officeDocument/2006/relationships/hyperlink" Target="https://eitaa.org/mohebbin_net" TargetMode="External"/><Relationship Id="rId381" Type="http://schemas.openxmlformats.org/officeDocument/2006/relationships/hyperlink" Target="https://www.instagram.com/rahrovanshohada_ravar?utm_source=ig_web_button_share_sheet&amp;igsh=ZDNlZDc0MzIxNw==" TargetMode="External"/><Relationship Id="rId380" Type="http://schemas.openxmlformats.org/officeDocument/2006/relationships/hyperlink" Target="https://t.me/fatemeun_rafsanjan" TargetMode="External"/><Relationship Id="rId379" Type="http://schemas.openxmlformats.org/officeDocument/2006/relationships/hyperlink" Target="https://www.instagram.com/fatemeun_rafsanjan?utm_source=ig_web_button_share_sheet&amp;igsh=ZDNlZDc0MzIxNw==" TargetMode="External"/><Relationship Id="rId374" Type="http://schemas.openxmlformats.org/officeDocument/2006/relationships/hyperlink" Target="https://eitaa.com/Mahmoudiyah" TargetMode="External"/><Relationship Id="rId373" Type="http://schemas.openxmlformats.org/officeDocument/2006/relationships/hyperlink" Target="https://t.me/ih_118" TargetMode="External"/><Relationship Id="rId372" Type="http://schemas.openxmlformats.org/officeDocument/2006/relationships/hyperlink" Target="https://www.instagram.com/ih118?utm_source=ig_web_button_share_sheet&amp;igsh=ZDNlZDc0MzIxNw==" TargetMode="External"/><Relationship Id="rId371" Type="http://schemas.openxmlformats.org/officeDocument/2006/relationships/hyperlink" Target="https://eitaa.com/kanoonemb" TargetMode="External"/><Relationship Id="rId378" Type="http://schemas.openxmlformats.org/officeDocument/2006/relationships/hyperlink" Target="https://www.instagram.com/mehdi_as_waiting_board_313?utm_source=ig_web_button_share_sheet&amp;igsh=ZDNlZDc0MzIxNw==" TargetMode="External"/><Relationship Id="rId377" Type="http://schemas.openxmlformats.org/officeDocument/2006/relationships/hyperlink" Target="https://www.instagram.com/javadolaeeme?utm_source=ig_web_button_share_sheet&amp;igsh=ZDNlZDc0MzIxNw==" TargetMode="External"/><Relationship Id="rId376" Type="http://schemas.openxmlformats.org/officeDocument/2006/relationships/hyperlink" Target="https://www.instagram.com/heyate_musa_ebne_jafar_kerman?utm_source=ig_web_button_share_sheet&amp;igsh=ZDNlZDc0MzIxNw==" TargetMode="External"/><Relationship Id="rId375" Type="http://schemas.openxmlformats.org/officeDocument/2006/relationships/hyperlink" Target="https://eitaa.com/masjedemb" TargetMode="External"/><Relationship Id="rId396" Type="http://schemas.openxmlformats.org/officeDocument/2006/relationships/hyperlink" Target="https://www.instagram.com/heyat_shohada_khanook?utm_source=ig_web_button_share_sheet&amp;igsh=ZDNlZDc0MzIxNw==" TargetMode="External"/><Relationship Id="rId395" Type="http://schemas.openxmlformats.org/officeDocument/2006/relationships/hyperlink" Target="https://www.instagram.com/mahdie_baft?utm_source=ig_web_button_share_sheet&amp;igsh=ZDNlZDc0MzIxNw==" TargetMode="External"/><Relationship Id="rId394" Type="http://schemas.openxmlformats.org/officeDocument/2006/relationships/hyperlink" Target="https://www.instagram.com/lesaratal.hossain?utm_source=ig_web_button_share_sheet&amp;igsh=ZDNlZDc0MzIxNw==" TargetMode="External"/><Relationship Id="rId393" Type="http://schemas.openxmlformats.org/officeDocument/2006/relationships/hyperlink" Target="https://eitaa.com/iaukahnouj" TargetMode="External"/><Relationship Id="rId399" Type="http://schemas.openxmlformats.org/officeDocument/2006/relationships/hyperlink" Target="https://eitaa.com/tazieh_kerman_dehziyar" TargetMode="External"/><Relationship Id="rId398" Type="http://schemas.openxmlformats.org/officeDocument/2006/relationships/hyperlink" Target="https://www.instagram.com/namazjome.zarand?utm_source=ig_web_button_share_sheet&amp;igsh=ZDNlZDc0MzIxNw==" TargetMode="External"/><Relationship Id="rId397" Type="http://schemas.openxmlformats.org/officeDocument/2006/relationships/hyperlink" Target="https://www.instagram.com/bitolabas?utm_source=ig_web_button_share_sheet&amp;igsh=ZDNlZDc0MzIxNw==" TargetMode="External"/><Relationship Id="rId40" Type="http://schemas.openxmlformats.org/officeDocument/2006/relationships/hyperlink" Target="https://eitaa.com/HeyateHazrateOmmulMasaeb" TargetMode="External"/><Relationship Id="rId42" Type="http://schemas.openxmlformats.org/officeDocument/2006/relationships/hyperlink" Target="https://www.instagram.com/heiat_abolfazl_kerman/" TargetMode="External"/><Relationship Id="rId41" Type="http://schemas.openxmlformats.org/officeDocument/2006/relationships/hyperlink" Target="https://www.instagram.com/heiate.al_yassin/" TargetMode="External"/><Relationship Id="rId44" Type="http://schemas.openxmlformats.org/officeDocument/2006/relationships/hyperlink" Target="https://www.instagram.com/heiat.abaabdelah/" TargetMode="External"/><Relationship Id="rId43" Type="http://schemas.openxmlformats.org/officeDocument/2006/relationships/hyperlink" Target="https://www.instagram.com/khademreza_resane/" TargetMode="External"/><Relationship Id="rId46" Type="http://schemas.openxmlformats.org/officeDocument/2006/relationships/hyperlink" Target="https://l.instagram.com/?u=http%3A%2F%2Ft.me%2Fzabihkerman%3Ffbclid%3DPAZXh0bgNhZW0CMTEAAaeZlwwzB0fyfyZ_wC8NMkmguEafs8JO6xV6lx9hxP-YELL9HBs_mtFTOADWGA_aem_-Ps4ogbmJsYqMdjFpSk9hw&amp;e=AT32sqfz6bC7C80BXXQDP8okCrlOSb3SIbheNJ6vrG3KIgleuVGvm-lDv5Uw1PB7MFPH_IjJwpJPG1s08uzUCj9F8H3yPtKSyGW6xzGrIg" TargetMode="External"/><Relationship Id="rId45" Type="http://schemas.openxmlformats.org/officeDocument/2006/relationships/hyperlink" Target="https://www.instagram.com/zabihkerman/" TargetMode="External"/><Relationship Id="rId48" Type="http://schemas.openxmlformats.org/officeDocument/2006/relationships/hyperlink" Target="https://eitaa.com/Mahfelalghamerafsanjan" TargetMode="External"/><Relationship Id="rId47" Type="http://schemas.openxmlformats.org/officeDocument/2006/relationships/hyperlink" Target="https://www.instagram.com/baghiyatallah_59/" TargetMode="External"/><Relationship Id="rId49" Type="http://schemas.openxmlformats.org/officeDocument/2006/relationships/hyperlink" Target="https://eitaa.com/yalesaratalhoseinanar" TargetMode="External"/><Relationship Id="rId31" Type="http://schemas.openxmlformats.org/officeDocument/2006/relationships/hyperlink" Target="https://www.instagram.com/montazeran88/" TargetMode="External"/><Relationship Id="rId30" Type="http://schemas.openxmlformats.org/officeDocument/2006/relationships/hyperlink" Target="https://www.instagram.com/modafein__harimvelayat/" TargetMode="External"/><Relationship Id="rId33" Type="http://schemas.openxmlformats.org/officeDocument/2006/relationships/hyperlink" Target="https://www.instagram.com/shohadaygomnam.ghaleganj/" TargetMode="External"/><Relationship Id="rId32" Type="http://schemas.openxmlformats.org/officeDocument/2006/relationships/hyperlink" Target="https://www.instagram.com/oshaghorasool_cyb2/" TargetMode="External"/><Relationship Id="rId35" Type="http://schemas.openxmlformats.org/officeDocument/2006/relationships/hyperlink" Target="https://www.instagram.com/heyat_fatemiyeh_kerman/" TargetMode="External"/><Relationship Id="rId34" Type="http://schemas.openxmlformats.org/officeDocument/2006/relationships/hyperlink" Target="https://www.instagram.com/aliasghar_soleymanieh/" TargetMode="External"/><Relationship Id="rId37" Type="http://schemas.openxmlformats.org/officeDocument/2006/relationships/hyperlink" Target="https://eitaa.com/heatbagheralolomkerman" TargetMode="External"/><Relationship Id="rId36" Type="http://schemas.openxmlformats.org/officeDocument/2006/relationships/hyperlink" Target="https://www.instagram.com/masjedjamekouhbanan/" TargetMode="External"/><Relationship Id="rId39" Type="http://schemas.openxmlformats.org/officeDocument/2006/relationships/hyperlink" Target="https://www.instagram.com/heiat_hazrat_roghaye_/" TargetMode="External"/><Relationship Id="rId38" Type="http://schemas.openxmlformats.org/officeDocument/2006/relationships/hyperlink" Target="https://www.instagram.com/heyatozahrakerman.ir/" TargetMode="External"/><Relationship Id="rId20" Type="http://schemas.openxmlformats.org/officeDocument/2006/relationships/hyperlink" Target="https://www.instagram.com/heyatseyedoshohada_kerman/" TargetMode="External"/><Relationship Id="rId22" Type="http://schemas.openxmlformats.org/officeDocument/2006/relationships/hyperlink" Target="https://www.instagram.com/zovar_olhossein/" TargetMode="External"/><Relationship Id="rId21" Type="http://schemas.openxmlformats.org/officeDocument/2006/relationships/hyperlink" Target="https://l.instagram.com/?u=http%3A%2F%2Ft.me%2Fheyatseyedoshohada_kerman%3Ffbclid%3DPAZXh0bgNhZW0CMTEAAaepDN2UQLHYUecDuqSW6jcFkHOqcNDUPZPbQ3Fekx7uyDxAdUFlUQpQ-3ysgg_aem_q1jgDyNW0FUdEhfEQ7IJzw&amp;e=AT14z5_9mosMOnShRQHW7q3yIzN2cFunXHUZFJ3uxr4l9YDTftuycpHiqYsFiSl3whKP6nGErv1mcKTkzQ5lxGkWRrCb2f_rhwlqzzIrCQ" TargetMode="External"/><Relationship Id="rId24" Type="http://schemas.openxmlformats.org/officeDocument/2006/relationships/hyperlink" Target="https://www.instagram.com/baziran.shahrbabak" TargetMode="External"/><Relationship Id="rId23" Type="http://schemas.openxmlformats.org/officeDocument/2006/relationships/hyperlink" Target="https://www.instagram.com/meraj_hosein_kerman/" TargetMode="External"/><Relationship Id="rId26" Type="http://schemas.openxmlformats.org/officeDocument/2006/relationships/hyperlink" Target="https://www.instagram.com/rozatolrogheyeh_315/" TargetMode="External"/><Relationship Id="rId25" Type="http://schemas.openxmlformats.org/officeDocument/2006/relationships/hyperlink" Target="https://www.instagram.com/golkhane_koodak/" TargetMode="External"/><Relationship Id="rId28" Type="http://schemas.openxmlformats.org/officeDocument/2006/relationships/hyperlink" Target="https://eitaa.com/Heiat_Shahid_Mohsen_Hojaji" TargetMode="External"/><Relationship Id="rId27" Type="http://schemas.openxmlformats.org/officeDocument/2006/relationships/hyperlink" Target="https://www.instagram.com/rahrovanshohadarobat_315/" TargetMode="External"/><Relationship Id="rId29" Type="http://schemas.openxmlformats.org/officeDocument/2006/relationships/hyperlink" Target="https://www.instagram.com/heyat.12emam/" TargetMode="External"/><Relationship Id="rId11" Type="http://schemas.openxmlformats.org/officeDocument/2006/relationships/hyperlink" Target="https://www.instagram.com/pesaraneomolbanin/" TargetMode="External"/><Relationship Id="rId10" Type="http://schemas.openxmlformats.org/officeDocument/2006/relationships/hyperlink" Target="https://l.instagram.com/?u=http%3A%2F%2Ft.me%2FJanatol_Hasan_118%3Ffbclid%3DPAZXh0bgNhZW0CMTEAAae0BQN4hfyrD18cTevIrPl07jAx2DJ8lt7kmrOHbsfzahdLlOP-12eN-sBEUw_aem_lazbFY-MPgVA73e5XLRJcg&amp;e=AT2uY3Euc31yC2BZFcPxPDtwRwJlHR4JzVy0LWRJMSEJtZafbmURtn3Wbj6OVDkkLdY6bjpa0smIEcEju5soKGj6Q-jL89vGbYbMDqT5fg" TargetMode="External"/><Relationship Id="rId13" Type="http://schemas.openxmlformats.org/officeDocument/2006/relationships/hyperlink" Target="https://www.instagram.com/roze_zahra_kerman/" TargetMode="External"/><Relationship Id="rId12" Type="http://schemas.openxmlformats.org/officeDocument/2006/relationships/hyperlink" Target="https://eitaa.com/pesaraneomolbanin" TargetMode="External"/><Relationship Id="rId15" Type="http://schemas.openxmlformats.org/officeDocument/2006/relationships/hyperlink" Target="https://t.me/gholaman_abolfazl" TargetMode="External"/><Relationship Id="rId14" Type="http://schemas.openxmlformats.org/officeDocument/2006/relationships/hyperlink" Target="https://www.instagram.com/gholaman_abolfazl/" TargetMode="External"/><Relationship Id="rId17" Type="http://schemas.openxmlformats.org/officeDocument/2006/relationships/hyperlink" Target="https://www.instagram.com/fatemeyoon_andohjerd/" TargetMode="External"/><Relationship Id="rId16" Type="http://schemas.openxmlformats.org/officeDocument/2006/relationships/hyperlink" Target="https://www.instagram.com/beytolhassan_ker/" TargetMode="External"/><Relationship Id="rId19" Type="http://schemas.openxmlformats.org/officeDocument/2006/relationships/hyperlink" Target="https://www.instagram.com/khadem_roghayye/" TargetMode="External"/><Relationship Id="rId18" Type="http://schemas.openxmlformats.org/officeDocument/2006/relationships/hyperlink" Target="https://www.instagram.com/heiat.beitoalzahra.kerman/" TargetMode="External"/><Relationship Id="rId84" Type="http://schemas.openxmlformats.org/officeDocument/2006/relationships/hyperlink" Target="https://www.instagram.com/ommolmasaeb_kerman/" TargetMode="External"/><Relationship Id="rId83" Type="http://schemas.openxmlformats.org/officeDocument/2006/relationships/hyperlink" Target="https://www.instagram.com/delbakhtegan_ker/" TargetMode="External"/><Relationship Id="rId86" Type="http://schemas.openxmlformats.org/officeDocument/2006/relationships/hyperlink" Target="https://eitaa.com/rahrovane_shohadaa" TargetMode="External"/><Relationship Id="rId85" Type="http://schemas.openxmlformats.org/officeDocument/2006/relationships/hyperlink" Target="https://www.instagram.com/h.r.shohada/" TargetMode="External"/><Relationship Id="rId88" Type="http://schemas.openxmlformats.org/officeDocument/2006/relationships/hyperlink" Target="https://www.instagram.com/shahzadeh_aliasghar_sirch/" TargetMode="External"/><Relationship Id="rId87" Type="http://schemas.openxmlformats.org/officeDocument/2006/relationships/hyperlink" Target="https://www.instagram.com/emamhasan_kerman/" TargetMode="External"/><Relationship Id="rId89" Type="http://schemas.openxmlformats.org/officeDocument/2006/relationships/hyperlink" Target="https://www.instagram.com/ommolaemmeh1387/" TargetMode="External"/><Relationship Id="rId80" Type="http://schemas.openxmlformats.org/officeDocument/2006/relationships/hyperlink" Target="https://www.instagram.com/mohebbinemojtaba_kerman/" TargetMode="External"/><Relationship Id="rId82" Type="http://schemas.openxmlformats.org/officeDocument/2006/relationships/hyperlink" Target="https://l.instagram.com/?u=https%3A%2F%2Ft.me%2Fkhadem_alreza_kerman%3Ffbclid%3DPAZXh0bgNhZW0CMTEAAadkO6aeybtyRF__wxhV4IBp_4Fvo8am-zEyW1denYeStUUbd3N_fkrxVM6zRw_aem_C9w-Sbmq6uz81Olvdxl2Mg&amp;e=AT2r6D5skPjt5y9FmbGvcVqlq4XSbwNjGGzWamMj2Qegzm0S0POeXVw_Z9TLFUx1FXRRm3k2S3MJNZGsbPsRox8ZF_6B8GKrJdvxV35hNg" TargetMode="External"/><Relationship Id="rId81" Type="http://schemas.openxmlformats.org/officeDocument/2006/relationships/hyperlink" Target="https://www.instagram.com/khadem_alreza_kerman/" TargetMode="External"/><Relationship Id="rId73" Type="http://schemas.openxmlformats.org/officeDocument/2006/relationships/hyperlink" Target="https://www.instagram.com/shg_bam/" TargetMode="External"/><Relationship Id="rId72" Type="http://schemas.openxmlformats.org/officeDocument/2006/relationships/hyperlink" Target="https://www.instagram.com/sofre_omalbanin_zarand/" TargetMode="External"/><Relationship Id="rId75" Type="http://schemas.openxmlformats.org/officeDocument/2006/relationships/hyperlink" Target="https://www.instagram.com/alamdar_bam/" TargetMode="External"/><Relationship Id="rId74" Type="http://schemas.openxmlformats.org/officeDocument/2006/relationships/hyperlink" Target="https://t.me/shg_bam" TargetMode="External"/><Relationship Id="rId77" Type="http://schemas.openxmlformats.org/officeDocument/2006/relationships/hyperlink" Target="https://www.instagram.com/heyat.bardsir/" TargetMode="External"/><Relationship Id="rId76" Type="http://schemas.openxmlformats.org/officeDocument/2006/relationships/hyperlink" Target="https://www.instagram.com/heyat_azadaran_fatemeh_zahra/" TargetMode="External"/><Relationship Id="rId79" Type="http://schemas.openxmlformats.org/officeDocument/2006/relationships/hyperlink" Target="https://eitaa.com/ansarolmahdi_kerman" TargetMode="External"/><Relationship Id="rId78" Type="http://schemas.openxmlformats.org/officeDocument/2006/relationships/hyperlink" Target="https://eitaa.com/fatemiyoonhanza" TargetMode="External"/><Relationship Id="rId71" Type="http://schemas.openxmlformats.org/officeDocument/2006/relationships/hyperlink" Target="https://www.instagram.com/mahfele__zeynabiyon/" TargetMode="External"/><Relationship Id="rId70" Type="http://schemas.openxmlformats.org/officeDocument/2006/relationships/hyperlink" Target="https://l.instagram.com/?u=https%3A%2F%2Feitaa.com%2Fheyatemamhasan_sh%3Ffbclid%3DPAZXh0bgNhZW0CMTEAAadYfhn3mbmbZxB27QBer0FA80uj0--LNeDhrafuAPuxGaB3JsUcGcjofCq29g_aem_lIkE7C2mURqLrp1L4JHiNA&amp;e=AT2HIAhYo8JS8kFoYa-sgnFDB78j96Jj7IVjA4zaqEtkD0wC-OCYtMyqpyKlGMN7LIbwU2E1JuJmFqxxaUIBiqcTykVDtclXvUTa_A0pTA" TargetMode="External"/><Relationship Id="rId62" Type="http://schemas.openxmlformats.org/officeDocument/2006/relationships/hyperlink" Target="https://eitaa.com/mohebin18" TargetMode="External"/><Relationship Id="rId61" Type="http://schemas.openxmlformats.org/officeDocument/2006/relationships/hyperlink" Target="https://l.instagram.com/?u=https%3A%2F%2Ft.me%2Fheyat_tafahos%3Ffbclid%3DPAZXh0bgNhZW0CMTEAAac67jUArQqxzsq2dZ-VOGhrxNj6kwSLkzylf7PFjufUUm5JN5qe4u9-vVv_IQ_aem_qTxMNBjrmjdc8RNVAzlTmA&amp;e=AT3UWrDYemAOoIGrO5eqaTNPWohWZw6kjakdjmy-KpK5DX88GNPRB-T478O-qCL01cHKQzSBN1cfg6Fu9EIfAj2r0UD5SSsE88ePmZrjqA" TargetMode="External"/><Relationship Id="rId64" Type="http://schemas.openxmlformats.org/officeDocument/2006/relationships/hyperlink" Target="https://eitaa.com/javananmahdaviravar" TargetMode="External"/><Relationship Id="rId63" Type="http://schemas.openxmlformats.org/officeDocument/2006/relationships/hyperlink" Target="https://www.instagram.com/ansarolmahdi_bam/" TargetMode="External"/><Relationship Id="rId66" Type="http://schemas.openxmlformats.org/officeDocument/2006/relationships/hyperlink" Target="https://www.instagram.com/dfueijwjk/" TargetMode="External"/><Relationship Id="rId65" Type="http://schemas.openxmlformats.org/officeDocument/2006/relationships/hyperlink" Target="https://eitaa.com/masjedorezakoohbanan" TargetMode="External"/><Relationship Id="rId68" Type="http://schemas.openxmlformats.org/officeDocument/2006/relationships/hyperlink" Target="https://www.instagram.com/oshagholhosein_rayen/" TargetMode="External"/><Relationship Id="rId67" Type="http://schemas.openxmlformats.org/officeDocument/2006/relationships/hyperlink" Target="https://www.instagram.com/sarallah_sirjan/" TargetMode="External"/><Relationship Id="rId60" Type="http://schemas.openxmlformats.org/officeDocument/2006/relationships/hyperlink" Target="https://www.instagram.com/heyat_tafahos/" TargetMode="External"/><Relationship Id="rId69" Type="http://schemas.openxmlformats.org/officeDocument/2006/relationships/hyperlink" Target="https://www.instagram.com/heyatemamhasan_/" TargetMode="External"/><Relationship Id="rId51" Type="http://schemas.openxmlformats.org/officeDocument/2006/relationships/hyperlink" Target="https://www.instagram.com/beyragholhosain/" TargetMode="External"/><Relationship Id="rId50" Type="http://schemas.openxmlformats.org/officeDocument/2006/relationships/hyperlink" Target="https://www.instagram.com/reyhanatoanabiroodbar/" TargetMode="External"/><Relationship Id="rId53" Type="http://schemas.openxmlformats.org/officeDocument/2006/relationships/hyperlink" Target="https://www.instagram.com/mohebolreza__bam/" TargetMode="External"/><Relationship Id="rId52" Type="http://schemas.openxmlformats.org/officeDocument/2006/relationships/hyperlink" Target="https://eitaa.com/valaeiyan" TargetMode="External"/><Relationship Id="rId55" Type="http://schemas.openxmlformats.org/officeDocument/2006/relationships/hyperlink" Target="https://l.instagram.com/?u=https%3A%2F%2Ft.me%2Fmajma_mahdiyeh_sirjan%3Ffbclid%3DPAZXh0bgNhZW0CMTEAAafuxCqiZ3Y25whyt9Qi2zAlGny5T4x6cUxQcEKc1S5XwTjz_ggaCNA1COM6Mg_aem_jANZPl0a_7W4OlKGc0R4cA&amp;e=AT1gaQazQK36rXE3GxoYROEnxjUExPniZkbGiSnyC1jivKGQB8NxmRbf2b9bUtQdNQX3so-D2QUWejM0Vx47jYgVVvOcvxmP5HY9Jd0cxg" TargetMode="External"/><Relationship Id="rId54" Type="http://schemas.openxmlformats.org/officeDocument/2006/relationships/hyperlink" Target="https://www.instagram.com/majma_mahdiyeh_sirjan/" TargetMode="External"/><Relationship Id="rId57" Type="http://schemas.openxmlformats.org/officeDocument/2006/relationships/hyperlink" Target="https://www.instagram.com/yavaran_kerman/" TargetMode="External"/><Relationship Id="rId56" Type="http://schemas.openxmlformats.org/officeDocument/2006/relationships/hyperlink" Target="https://www.instagram.com/ansar_srj/" TargetMode="External"/><Relationship Id="rId59" Type="http://schemas.openxmlformats.org/officeDocument/2006/relationships/hyperlink" Target="https://l.instagram.com/?u=https%3A%2F%2Ft.me%2Fheyatrezaa%3Ffbclid%3DPAZXh0bgNhZW0CMTEAAafh771P5oKlfcooVORrNQpSh8qRjBwK9v0h9rButCLZfCvtg5xTa6ON91lwSg_aem_BI63lmY6TSBQyZA5xPkeVQ&amp;e=AT3SVOMjfKerCcPslH6wzOQ_MTkH-_Mcidk9PBc-V1NhU1j4B81YGx78YCnHl901RycYiDbrbea9J_RUJUcejoKtwcPFiGfQ1Gr0ZZqiFQ" TargetMode="External"/><Relationship Id="rId58" Type="http://schemas.openxmlformats.org/officeDocument/2006/relationships/hyperlink" Target="https://www.instagram.com/heyatreza/" TargetMode="External"/><Relationship Id="rId349" Type="http://schemas.openxmlformats.org/officeDocument/2006/relationships/hyperlink" Target="https://eitaa.com/Masjed_Abalfazl_ZangiAbad" TargetMode="External"/><Relationship Id="rId348" Type="http://schemas.openxmlformats.org/officeDocument/2006/relationships/hyperlink" Target="https://www.instagram.com/heyatabalfazl1?utm_source=ig_web_button_share_sheet&amp;igsh=ZDNlZDc0MzIxNw==" TargetMode="External"/><Relationship Id="rId347" Type="http://schemas.openxmlformats.org/officeDocument/2006/relationships/hyperlink" Target="https://t.me/bynoulharamaynsirjan" TargetMode="External"/><Relationship Id="rId346" Type="http://schemas.openxmlformats.org/officeDocument/2006/relationships/hyperlink" Target="https://www.instagram.com/hsynyhbynlhrmyn?utm_source=ig_web_button_share_sheet&amp;igsh=ZDNlZDc0MzIxNw==" TargetMode="External"/><Relationship Id="rId341" Type="http://schemas.openxmlformats.org/officeDocument/2006/relationships/hyperlink" Target="https://t.me/shahidalavian" TargetMode="External"/><Relationship Id="rId340" Type="http://schemas.openxmlformats.org/officeDocument/2006/relationships/hyperlink" Target="https://eitaa.com/imamjomekerman" TargetMode="External"/><Relationship Id="rId345" Type="http://schemas.openxmlformats.org/officeDocument/2006/relationships/hyperlink" Target="https://www.instagram.com/gharib_madineh_sirjan118?utm_source=ig_web_button_share_sheet&amp;igsh=ZDNlZDc0MzIxNw==" TargetMode="External"/><Relationship Id="rId344" Type="http://schemas.openxmlformats.org/officeDocument/2006/relationships/hyperlink" Target="https://t.me/gholaman_kerman" TargetMode="External"/><Relationship Id="rId343" Type="http://schemas.openxmlformats.org/officeDocument/2006/relationships/hyperlink" Target="https://www.instagram.com/heyat.gholaman.kerman?utm_source=ig_web_button_share_sheet&amp;igsh=ZDNlZDc0MzIxNw==" TargetMode="External"/><Relationship Id="rId342" Type="http://schemas.openxmlformats.org/officeDocument/2006/relationships/hyperlink" Target="https://www.instagram.com/heyaat_shahzadeh_aliakbar?utm_source=ig_web_button_share_sheet&amp;igsh=ZDNlZDc0MzIxNw==" TargetMode="External"/><Relationship Id="rId338" Type="http://schemas.openxmlformats.org/officeDocument/2006/relationships/hyperlink" Target="https://www.instagram.com/imam_hussain_valfajr?utm_source=ig_web_button_share_sheet&amp;igsh=ZDNlZDc0MzIxNw==" TargetMode="External"/><Relationship Id="rId337" Type="http://schemas.openxmlformats.org/officeDocument/2006/relationships/hyperlink" Target="https://www.instagram.com/heyat_mohebban_lmam_hossein?utm_source=ig_web_button_share_sheet&amp;igsh=ZDNlZDc0MzIxNw==" TargetMode="External"/><Relationship Id="rId336" Type="http://schemas.openxmlformats.org/officeDocument/2006/relationships/hyperlink" Target="https://www.instagram.com/heyatozahrakerman.ir?utm_source=ig_web_button_share_sheet&amp;igsh=ZDNlZDc0MzIxNw==" TargetMode="External"/><Relationship Id="rId335" Type="http://schemas.openxmlformats.org/officeDocument/2006/relationships/hyperlink" Target="https://t.me/rozatolabbaskerman" TargetMode="External"/><Relationship Id="rId339" Type="http://schemas.openxmlformats.org/officeDocument/2006/relationships/hyperlink" Target="https://eitaa.com/E_hosein_kerman" TargetMode="External"/><Relationship Id="rId330" Type="http://schemas.openxmlformats.org/officeDocument/2006/relationships/hyperlink" Target="https://www.instagram.com/heiatseyedolsajedin?utm_source=ig_web_button_share_sheet&amp;igsh=ZDNlZDc0MzIxNw==" TargetMode="External"/><Relationship Id="rId334" Type="http://schemas.openxmlformats.org/officeDocument/2006/relationships/hyperlink" Target="https://www.instagram.com/yasekabood99?utm_source=ig_web_button_share_sheet&amp;igsh=ZDNlZDc0MzIxNw==" TargetMode="External"/><Relationship Id="rId333" Type="http://schemas.openxmlformats.org/officeDocument/2006/relationships/hyperlink" Target="https://www.instagram.com/mokebmeraj.ir?utm_source=ig_web_button_share_sheet&amp;igsh=ZDNlZDc0MzIxNw==" TargetMode="External"/><Relationship Id="rId332" Type="http://schemas.openxmlformats.org/officeDocument/2006/relationships/hyperlink" Target="https://eitaa.com/Shahideyn" TargetMode="External"/><Relationship Id="rId331" Type="http://schemas.openxmlformats.org/officeDocument/2006/relationships/hyperlink" Target="https://www.instagram.com/heyat_moheban_kmu?utm_source=ig_web_button_share_sheet&amp;igsh=ZDNlZDc0MzIxNw==" TargetMode="External"/><Relationship Id="rId370" Type="http://schemas.openxmlformats.org/officeDocument/2006/relationships/hyperlink" Target="https://eitaa.com/asheghankarbalaanar" TargetMode="External"/><Relationship Id="rId369" Type="http://schemas.openxmlformats.org/officeDocument/2006/relationships/hyperlink" Target="https://www.instagram.com/asheghankarbala.ir?utm_source=ig_web_button_share_sheet&amp;igsh=ZDNlZDc0MzIxNw==" TargetMode="External"/><Relationship Id="rId368" Type="http://schemas.openxmlformats.org/officeDocument/2006/relationships/hyperlink" Target="https://t.me/shohadayegomnam89" TargetMode="External"/><Relationship Id="rId363" Type="http://schemas.openxmlformats.org/officeDocument/2006/relationships/hyperlink" Target="https://www.instagram.com/maktabolabas_133?utm_source=ig_web_button_share_sheet&amp;igsh=ZDNlZDc0MzIxNw==" TargetMode="External"/><Relationship Id="rId362" Type="http://schemas.openxmlformats.org/officeDocument/2006/relationships/hyperlink" Target="https://t.me/maktabol_aemeh_kerman" TargetMode="External"/><Relationship Id="rId361" Type="http://schemas.openxmlformats.org/officeDocument/2006/relationships/hyperlink" Target="https://www.instagram.com/maktabol_aemeh_kerman?utm_source=ig_web_button_share_sheet&amp;igsh=ZDNlZDc0MzIxNw==" TargetMode="External"/><Relationship Id="rId360" Type="http://schemas.openxmlformats.org/officeDocument/2006/relationships/hyperlink" Target="https://www.instagram.com/heiate_sahebalzaman?utm_source=ig_web_button_share_sheet&amp;igsh=ZDNlZDc0MzIxNw==" TargetMode="External"/><Relationship Id="rId367" Type="http://schemas.openxmlformats.org/officeDocument/2006/relationships/hyperlink" Target="https://www.instagram.com/shohadayegomnam.1389?utm_source=ig_web_button_share_sheet&amp;igsh=ZDNlZDc0MzIxNw==" TargetMode="External"/><Relationship Id="rId366" Type="http://schemas.openxmlformats.org/officeDocument/2006/relationships/hyperlink" Target="https://www.instagram.com/fc.omidmahdi.shahrbabak?utm_source=ig_web_button_share_sheet&amp;igsh=ZDNlZDc0MzIxNw==" TargetMode="External"/><Relationship Id="rId365" Type="http://schemas.openxmlformats.org/officeDocument/2006/relationships/hyperlink" Target="https://www.instagram.com/ansaralzahra_ir?utm_source=ig_web_button_share_sheet&amp;igsh=ZDNlZDc0MzIxNw==" TargetMode="External"/><Relationship Id="rId364" Type="http://schemas.openxmlformats.org/officeDocument/2006/relationships/hyperlink" Target="https://www.instagram.com/heyat__abalfazalabas__bam/?utm_source=ig_web_button_share_sheet" TargetMode="External"/><Relationship Id="rId95" Type="http://schemas.openxmlformats.org/officeDocument/2006/relationships/hyperlink" Target="https://l.instagram.com/?u=https%3A%2F%2Feitaa.com%2Fmoheban315%3Ffbclid%3DPAZXh0bgNhZW0CMTEAAaeGqNZJNjDlt1eEvbLE6cPFNXx2SkEsZgsjVh2f1HCBamHrBewGuVKCA3nxHg_aem_gLvK1FTykVZypc7gCyaIGQ&amp;e=AT2Alx-RXvF5cak3s6BYTH7KhAEUMspJn4CQXVaxaYSkQsqAMTjQ7qCyFbEeVkyt_3Y_9n1OP_MJC2_pYHHcS8ASTFo_kNR-mdQYI7UtaA" TargetMode="External"/><Relationship Id="rId94" Type="http://schemas.openxmlformats.org/officeDocument/2006/relationships/hyperlink" Target="https://www.instagram.com/moheban.315/" TargetMode="External"/><Relationship Id="rId97" Type="http://schemas.openxmlformats.org/officeDocument/2006/relationships/hyperlink" Target="https://l.instagram.com/?u=https%3A%2F%2Ft.me%2Flevaalzeynab_kerman%3Ffbclid%3DPAZXh0bgNhZW0CMTEAAafmuFfm-MlMeCspLv-zXTgmB4weLnY7ibn4Qm2MyoWyhQHA57t1E8VHoI3hkw_aem_d_ZD9i9gxeexFMGR8iwBEw&amp;e=AT0V0LGP6Kyw71zzIyoG-06fSir0VGhg5wxgfj9OyFcNzQWPt2-NyIFJWAsnxvZ28-ZD8ImHRqFgttAtXTfCGjApzlYDwnfjrRMw9UpzdQ" TargetMode="External"/><Relationship Id="rId96" Type="http://schemas.openxmlformats.org/officeDocument/2006/relationships/hyperlink" Target="https://www.instagram.com/levaalzeynab_kerman/" TargetMode="External"/><Relationship Id="rId99" Type="http://schemas.openxmlformats.org/officeDocument/2006/relationships/hyperlink" Target="https://www.instagram.com/teshnegan_ir/" TargetMode="External"/><Relationship Id="rId98" Type="http://schemas.openxmlformats.org/officeDocument/2006/relationships/hyperlink" Target="https://www.instagram.com/mohebinahlebeit.mahan/" TargetMode="External"/><Relationship Id="rId91" Type="http://schemas.openxmlformats.org/officeDocument/2006/relationships/hyperlink" Target="https://eitaa.com/beitollah" TargetMode="External"/><Relationship Id="rId90" Type="http://schemas.openxmlformats.org/officeDocument/2006/relationships/hyperlink" Target="https://t.me/chmaktab" TargetMode="External"/><Relationship Id="rId93" Type="http://schemas.openxmlformats.org/officeDocument/2006/relationships/hyperlink" Target="https://www.instagram.com/fatemion_rafsanjan/" TargetMode="External"/><Relationship Id="rId92" Type="http://schemas.openxmlformats.org/officeDocument/2006/relationships/hyperlink" Target="https://www.instagram.com/oshagh.alroghayeh.kerman/" TargetMode="External"/><Relationship Id="rId359" Type="http://schemas.openxmlformats.org/officeDocument/2006/relationships/hyperlink" Target="https://www.instagram.com/masjed.aliakbar.ravar?utm_source=ig_web_button_share_sheet&amp;igsh=ZDNlZDc0MzIxNw==" TargetMode="External"/><Relationship Id="rId358" Type="http://schemas.openxmlformats.org/officeDocument/2006/relationships/hyperlink" Target="https://eitaa.com/shohada_rafsanjan" TargetMode="External"/><Relationship Id="rId357" Type="http://schemas.openxmlformats.org/officeDocument/2006/relationships/hyperlink" Target="https://www.instagram.com/beitoolabbas.rafsanjan?utm_source=ig_web_button_share_sheet&amp;igsh=ZDNlZDc0MzIxNw==" TargetMode="External"/><Relationship Id="rId352" Type="http://schemas.openxmlformats.org/officeDocument/2006/relationships/hyperlink" Target="https://www.instagram.com/heyatmohebanorezaa?utm_source=ig_web_button_share_sheet&amp;igsh=ZDNlZDc0MzIxNw==" TargetMode="External"/><Relationship Id="rId351" Type="http://schemas.openxmlformats.org/officeDocument/2006/relationships/hyperlink" Target="https://t.me/AhmadAbadDeilamghani" TargetMode="External"/><Relationship Id="rId350" Type="http://schemas.openxmlformats.org/officeDocument/2006/relationships/hyperlink" Target="https://www.instagram.com/ahmadabad_deilamghani?utm_source=ig_web_button_share_sheet&amp;igsh=ZDNlZDc0MzIxNw==" TargetMode="External"/><Relationship Id="rId356" Type="http://schemas.openxmlformats.org/officeDocument/2006/relationships/hyperlink" Target="https://www.instagram.com/ansaralmahdi_raf?utm_source=ig_web_button_share_sheet&amp;igsh=ZDNlZDc0MzIxNw==" TargetMode="External"/><Relationship Id="rId355" Type="http://schemas.openxmlformats.org/officeDocument/2006/relationships/hyperlink" Target="https://t.me/asheghanabolfazlrafsnjan" TargetMode="External"/><Relationship Id="rId354" Type="http://schemas.openxmlformats.org/officeDocument/2006/relationships/hyperlink" Target="https://www.instagram.com/asheghanabolfazl?utm_source=ig_web_button_share_sheet&amp;igsh=ZDNlZDc0MzIxNw==" TargetMode="External"/><Relationship Id="rId353" Type="http://schemas.openxmlformats.org/officeDocument/2006/relationships/hyperlink" Target="https://t.me/heyatmohebanorezaa" TargetMode="External"/><Relationship Id="rId305" Type="http://schemas.openxmlformats.org/officeDocument/2006/relationships/hyperlink" Target="https://t.me/emam_mohamad_bagher_baft" TargetMode="External"/><Relationship Id="rId304" Type="http://schemas.openxmlformats.org/officeDocument/2006/relationships/hyperlink" Target="https://www.instagram.com/heyate_imam_mohammad_bagher_b?utm_source=ig_web_button_share_sheet&amp;igsh=ZDNlZDc0MzIxNw==" TargetMode="External"/><Relationship Id="rId303" Type="http://schemas.openxmlformats.org/officeDocument/2006/relationships/hyperlink" Target="https://www.instagram.com/moheban.alhusseinbam?utm_source=ig_web_button_share_sheet&amp;igsh=ZDNlZDc0MzIxNw==" TargetMode="External"/><Relationship Id="rId302" Type="http://schemas.openxmlformats.org/officeDocument/2006/relationships/hyperlink" Target="https://www.instagram.com/heiat.rahruvan.shohada?utm_source=ig_web_button_share_sheet&amp;igsh=ZDNlZDc0MzIxNw==" TargetMode="External"/><Relationship Id="rId309" Type="http://schemas.openxmlformats.org/officeDocument/2006/relationships/hyperlink" Target="https://www.instagram.com/m.emamreza_zarand1?utm_source=ig_web_button_share_sheet&amp;igsh=ZDNlZDc0MzIxNw==" TargetMode="External"/><Relationship Id="rId308" Type="http://schemas.openxmlformats.org/officeDocument/2006/relationships/hyperlink" Target="https://www.instagram.com/beytolahzanzarand?utm_source=ig_web_button_share_sheet&amp;igsh=ZDNlZDc0MzIxNw==" TargetMode="External"/><Relationship Id="rId307" Type="http://schemas.openxmlformats.org/officeDocument/2006/relationships/hyperlink" Target="https://www.instagram.com/hasanioun_ravari?utm_source=ig_web_button_share_sheet&amp;igsh=ZDNlZDc0MzIxNw==" TargetMode="External"/><Relationship Id="rId306" Type="http://schemas.openxmlformats.org/officeDocument/2006/relationships/hyperlink" Target="https://www.instagram.com/asheghan_baqhi_kerman?utm_source=ig_web_button_share_sheet&amp;igsh=ZDNlZDc0MzIxNw==" TargetMode="External"/><Relationship Id="rId301" Type="http://schemas.openxmlformats.org/officeDocument/2006/relationships/hyperlink" Target="https://www.instagram.com/jannesaran.kerman?utm_source=ig_web_button_share_sheet&amp;igsh=ZDNlZDc0MzIxNw==" TargetMode="External"/><Relationship Id="rId300" Type="http://schemas.openxmlformats.org/officeDocument/2006/relationships/hyperlink" Target="https://www.instagram.com/beytolmahdi?utm_source=ig_web_button_share_sheet&amp;igsh=ZDNlZDc0MzIxNw==" TargetMode="External"/><Relationship Id="rId327" Type="http://schemas.openxmlformats.org/officeDocument/2006/relationships/hyperlink" Target="https://www.instagram.com/hyate_javanan_aliakbar_joshan?utm_source=ig_web_button_share_sheet&amp;igsh=ZDNlZDc0MzIxNw==" TargetMode="External"/><Relationship Id="rId326" Type="http://schemas.openxmlformats.org/officeDocument/2006/relationships/hyperlink" Target="https://www.instagram.com/oshagholmahdi.313.kerman?utm_source=ig_web_button_share_sheet&amp;igsh=ZDNlZDc0MzIxNw==" TargetMode="External"/><Relationship Id="rId325" Type="http://schemas.openxmlformats.org/officeDocument/2006/relationships/hyperlink" Target="https://eitaa.com/asheghaneharameEMAMREZA" TargetMode="External"/><Relationship Id="rId324" Type="http://schemas.openxmlformats.org/officeDocument/2006/relationships/hyperlink" Target="https://eitaa.com/beytolahzanbam" TargetMode="External"/><Relationship Id="rId329" Type="http://schemas.openxmlformats.org/officeDocument/2006/relationships/hyperlink" Target="https://eitaa.com/kanoonsirjan" TargetMode="External"/><Relationship Id="rId328" Type="http://schemas.openxmlformats.org/officeDocument/2006/relationships/hyperlink" Target="https://www.instagram.com/mahfele110?utm_source=ig_web_button_share_sheet&amp;igsh=ZDNlZDc0MzIxNw==" TargetMode="External"/><Relationship Id="rId323" Type="http://schemas.openxmlformats.org/officeDocument/2006/relationships/hyperlink" Target="https://www.instagram.com/javadolaemeh_kerman.ir?utm_source=ig_web_button_share_sheet&amp;igsh=ZDNlZDc0MzIxNw==" TargetMode="External"/><Relationship Id="rId322" Type="http://schemas.openxmlformats.org/officeDocument/2006/relationships/hyperlink" Target="https://eitaa.com/moheban_bam" TargetMode="External"/><Relationship Id="rId321" Type="http://schemas.openxmlformats.org/officeDocument/2006/relationships/hyperlink" Target="https://t.me/ansarorasool" TargetMode="External"/><Relationship Id="rId320" Type="http://schemas.openxmlformats.org/officeDocument/2006/relationships/hyperlink" Target="https://www.instagram.com/ansarorasool/?utm_source=ig_web_button_share_sheet" TargetMode="External"/><Relationship Id="rId316" Type="http://schemas.openxmlformats.org/officeDocument/2006/relationships/hyperlink" Target="https://eitaa.com/ansaralmahdiii1404" TargetMode="External"/><Relationship Id="rId315" Type="http://schemas.openxmlformats.org/officeDocument/2006/relationships/hyperlink" Target="https://www.instagram.com/ansaralmahdi_shahrebabak?utm_source=ig_web_button_share_sheet&amp;igsh=ZDNlZDc0MzIxNw==" TargetMode="External"/><Relationship Id="rId314" Type="http://schemas.openxmlformats.org/officeDocument/2006/relationships/hyperlink" Target="https://t.me/heyat_sarallah_masjednabi" TargetMode="External"/><Relationship Id="rId313" Type="http://schemas.openxmlformats.org/officeDocument/2006/relationships/hyperlink" Target="https://www.instagram.com/heyat_sarallah_masjednabi?utm_source=ig_web_button_share_sheet&amp;igsh=ZDNlZDc0MzIxNw==" TargetMode="External"/><Relationship Id="rId319" Type="http://schemas.openxmlformats.org/officeDocument/2006/relationships/hyperlink" Target="https://www.instagram.com/bh_bam1365?utm_source=ig_web_button_share_sheet&amp;igsh=ZDNlZDc0MzIxNw==" TargetMode="External"/><Relationship Id="rId318" Type="http://schemas.openxmlformats.org/officeDocument/2006/relationships/hyperlink" Target="https://www.instagram.com/heiat.rahrovan.shohada.bam?utm_source=ig_web_button_share_sheet&amp;igsh=ZDNlZDc0MzIxNw==" TargetMode="External"/><Relationship Id="rId317" Type="http://schemas.openxmlformats.org/officeDocument/2006/relationships/hyperlink" Target="https://www.instagram.com/mahdiehbam?utm_source=ig_web_button_share_sheet&amp;igsh=ZDNlZDc0MzIxNw==" TargetMode="External"/><Relationship Id="rId312" Type="http://schemas.openxmlformats.org/officeDocument/2006/relationships/hyperlink" Target="https://eitaa.com/mohebin18" TargetMode="External"/><Relationship Id="rId311" Type="http://schemas.openxmlformats.org/officeDocument/2006/relationships/hyperlink" Target="https://www.instagram.com/mohebin18?utm_source=ig_web_button_share_sheet&amp;igsh=ZDNlZDc0MzIxNw==" TargetMode="External"/><Relationship Id="rId310" Type="http://schemas.openxmlformats.org/officeDocument/2006/relationships/hyperlink" Target="https://www.instagram.com/jannat.alhossein?utm_source=ig_web_button_share_sheet&amp;igsh=ZDNlZDc0MzIxNw==" TargetMode="External"/><Relationship Id="rId297" Type="http://schemas.openxmlformats.org/officeDocument/2006/relationships/hyperlink" Target="https://t.me/kowsar_chatrod" TargetMode="External"/><Relationship Id="rId296" Type="http://schemas.openxmlformats.org/officeDocument/2006/relationships/hyperlink" Target="https://www.instagram.com/heyat_fatemiyoon_chatrood?utm_source=ig_web_button_share_sheet&amp;igsh=ZDNlZDc0MzIxNw==" TargetMode="External"/><Relationship Id="rId295" Type="http://schemas.openxmlformats.org/officeDocument/2006/relationships/hyperlink" Target="https://www.instagram.com/heyat.karimahlebeyt?utm_source=ig_web_button_share_sheet&amp;igsh=ZDNlZDc0MzIxNw==" TargetMode="External"/><Relationship Id="rId294" Type="http://schemas.openxmlformats.org/officeDocument/2006/relationships/hyperlink" Target="https://www.instagram.com/heat.abolfazlelabbas?utm_source=ig_web_button_share_sheet&amp;igsh=ZDNlZDc0MzIxNw==" TargetMode="External"/><Relationship Id="rId299" Type="http://schemas.openxmlformats.org/officeDocument/2006/relationships/hyperlink" Target="https://eitaa.com/heyat_shohada_khanook" TargetMode="External"/><Relationship Id="rId298" Type="http://schemas.openxmlformats.org/officeDocument/2006/relationships/hyperlink" Target="https://www.instagram.com/teflan.moslem.rafsanjan?utm_source=ig_web_button_share_sheet&amp;igsh=ZDNlZDc0MzIxNw==" TargetMode="External"/><Relationship Id="rId271" Type="http://schemas.openxmlformats.org/officeDocument/2006/relationships/hyperlink" Target="https://t.me/jiroft_heat_fatemeh_masomeh" TargetMode="External"/><Relationship Id="rId270" Type="http://schemas.openxmlformats.org/officeDocument/2006/relationships/hyperlink" Target="https://www.instagram.com/heiat_fatemeh_masomeh?utm_source=ig_web_button_share_sheet&amp;igsh=ZDNlZDc0MzIxNw==" TargetMode="External"/><Relationship Id="rId269" Type="http://schemas.openxmlformats.org/officeDocument/2006/relationships/hyperlink" Target="https://www.instagram.com/seyede_shohada_rodbar?utm_source=ig_web_button_share_sheet&amp;igsh=ZDNlZDc0MzIxNw==" TargetMode="External"/><Relationship Id="rId264" Type="http://schemas.openxmlformats.org/officeDocument/2006/relationships/hyperlink" Target="https://www.instagram.com/oghaf.kr?utm_source=ig_web_button_share_sheet&amp;igsh=ZDNlZDc0MzIxNw==" TargetMode="External"/><Relationship Id="rId263" Type="http://schemas.openxmlformats.org/officeDocument/2006/relationships/hyperlink" Target="https://www.instagram.com/javanan_khadem_reza?utm_source=ig_web_button_share_sheet&amp;igsh=ZDNlZDc0MzIxNw==" TargetMode="External"/><Relationship Id="rId262" Type="http://schemas.openxmlformats.org/officeDocument/2006/relationships/hyperlink" Target="https://www.instagram.com/heyat_azam?utm_source=ig_web_button_share_sheet&amp;igsh=ZDNlZDc0MzIxNw==" TargetMode="External"/><Relationship Id="rId261" Type="http://schemas.openxmlformats.org/officeDocument/2006/relationships/hyperlink" Target="https://www.instagram.com/heyat_mohebban_mahdi?utm_source=ig_web_button_share_sheet&amp;igsh=ZDNlZDc0MzIxNw==" TargetMode="External"/><Relationship Id="rId268" Type="http://schemas.openxmlformats.org/officeDocument/2006/relationships/hyperlink" Target="https://www.instagram.com/reza.vala.1365/?utm_source=ig_web_button_share_sheet" TargetMode="External"/><Relationship Id="rId267" Type="http://schemas.openxmlformats.org/officeDocument/2006/relationships/hyperlink" Target="https://www.instagram.com/r.razmandegan.ir/?utm_source=ig_web_button_share_sheet" TargetMode="External"/><Relationship Id="rId266" Type="http://schemas.openxmlformats.org/officeDocument/2006/relationships/hyperlink" Target="https://www.instagram.com/maktabolmahdi1392?utm_source=ig_web_button_share_sheet&amp;igsh=ZDNlZDc0MzIxNw==" TargetMode="External"/><Relationship Id="rId265" Type="http://schemas.openxmlformats.org/officeDocument/2006/relationships/hyperlink" Target="https://www.instagram.com/shohadayegomnam.zangiabad?utm_source=ig_web_button_share_sheet&amp;igsh=ZDNlZDc0MzIxNw==" TargetMode="External"/><Relationship Id="rId260" Type="http://schemas.openxmlformats.org/officeDocument/2006/relationships/hyperlink" Target="https://t.me/levaalzeynab_kerman" TargetMode="External"/><Relationship Id="rId259" Type="http://schemas.openxmlformats.org/officeDocument/2006/relationships/hyperlink" Target="https://www.instagram.com/levaalzeynab_kerman?utm_source=ig_web_button_share_sheet&amp;igsh=ZDNlZDc0MzIxNw==" TargetMode="External"/><Relationship Id="rId258" Type="http://schemas.openxmlformats.org/officeDocument/2006/relationships/hyperlink" Target="https://t.me/javanaan_kerman" TargetMode="External"/><Relationship Id="rId253" Type="http://schemas.openxmlformats.org/officeDocument/2006/relationships/hyperlink" Target="https://www.instagram.com/mokebmeraj.ir?utm_source=ig_web_button_share_sheet&amp;igsh=ZDNlZDc0MzIxNw==" TargetMode="External"/><Relationship Id="rId252" Type="http://schemas.openxmlformats.org/officeDocument/2006/relationships/hyperlink" Target="https://www.instagram.com/mubamheyat?utm_source=ig_web_button_share_sheet&amp;igsh=ZDNlZDc0MzIxNw==" TargetMode="External"/><Relationship Id="rId251" Type="http://schemas.openxmlformats.org/officeDocument/2006/relationships/hyperlink" Target="https://t.me/mukebekhatamolanbia" TargetMode="External"/><Relationship Id="rId250" Type="http://schemas.openxmlformats.org/officeDocument/2006/relationships/hyperlink" Target="https://www.instagram.com/mokeb.khatamolanbia?utm_source=ig_web_button_share_sheet&amp;igsh=ZDNlZDc0MzIxNw==" TargetMode="External"/><Relationship Id="rId257" Type="http://schemas.openxmlformats.org/officeDocument/2006/relationships/hyperlink" Target="https://www.instagram.com/javanan_kerman?utm_source=ig_web_button_share_sheet&amp;igsh=ZDNlZDc0MzIxNw==" TargetMode="External"/><Relationship Id="rId256" Type="http://schemas.openxmlformats.org/officeDocument/2006/relationships/hyperlink" Target="https://www.instagram.com/zaynabion.fahraj?utm_source=ig_web_button_share_sheet&amp;igsh=ZDNlZDc0MzIxNw==" TargetMode="External"/><Relationship Id="rId255" Type="http://schemas.openxmlformats.org/officeDocument/2006/relationships/hyperlink" Target="https://www.eitaa.com/merajshohadaa" TargetMode="External"/><Relationship Id="rId254" Type="http://schemas.openxmlformats.org/officeDocument/2006/relationships/hyperlink" Target="https://t.me/tafahoseshohada" TargetMode="External"/><Relationship Id="rId293" Type="http://schemas.openxmlformats.org/officeDocument/2006/relationships/hyperlink" Target="https://t.me/heatansaralmahdik" TargetMode="External"/><Relationship Id="rId292" Type="http://schemas.openxmlformats.org/officeDocument/2006/relationships/hyperlink" Target="https://www.instagram.com/ansar_almahdi_343?utm_source=ig_web_button_share_sheet&amp;igsh=ZDNlZDc0MzIxNw==" TargetMode="External"/><Relationship Id="rId291" Type="http://schemas.openxmlformats.org/officeDocument/2006/relationships/hyperlink" Target="https://www.instagram.com/h.shohada.sh?utm_source=ig_web_button_share_sheet&amp;igsh=ZDNlZDc0MzIxNw==" TargetMode="External"/><Relationship Id="rId290" Type="http://schemas.openxmlformats.org/officeDocument/2006/relationships/hyperlink" Target="https://www.instagram.com/kaffolabas133?utm_source=ig_web_button_share_sheet&amp;igsh=ZDNlZDc0MzIxNw==" TargetMode="External"/><Relationship Id="rId286" Type="http://schemas.openxmlformats.org/officeDocument/2006/relationships/hyperlink" Target="https://www.instagram.com/h.montazeran.bam?utm_source=ig_web_button_share_sheet&amp;igsh=ZDNlZDc0MzIxNw==" TargetMode="External"/><Relationship Id="rId285" Type="http://schemas.openxmlformats.org/officeDocument/2006/relationships/hyperlink" Target="https://eitaa.com/heyat_shahzadealiasghar" TargetMode="External"/><Relationship Id="rId284" Type="http://schemas.openxmlformats.org/officeDocument/2006/relationships/hyperlink" Target="https://www.instagram.com/heyat_shahzadealiasghar?utm_source=ig_web_button_share_sheet&amp;igsh=ZDNlZDc0MzIxNw==" TargetMode="External"/><Relationship Id="rId283" Type="http://schemas.openxmlformats.org/officeDocument/2006/relationships/hyperlink" Target="https://www.instagram.com/heiatoshaghalhosein1443?utm_source=ig_web_button_share_sheet&amp;igsh=ZDNlZDc0MzIxNw==" TargetMode="External"/><Relationship Id="rId289" Type="http://schemas.openxmlformats.org/officeDocument/2006/relationships/hyperlink" Target="https://www.instagram.com/khademolmahdi_kerman" TargetMode="External"/><Relationship Id="rId288" Type="http://schemas.openxmlformats.org/officeDocument/2006/relationships/hyperlink" Target="https://eitaa.com/beitollah" TargetMode="External"/><Relationship Id="rId287" Type="http://schemas.openxmlformats.org/officeDocument/2006/relationships/hyperlink" Target="https://www.instagram.com/beitollah.media?utm_source=ig_web_button_share_sheet&amp;igsh=ZDNlZDc0MzIxNw==" TargetMode="External"/><Relationship Id="rId282" Type="http://schemas.openxmlformats.org/officeDocument/2006/relationships/hyperlink" Target="https://www.instagram.com/sarallah_sirjan?utm_source=ig_web_button_share_sheet&amp;igsh=ZDNlZDc0MzIxNw==" TargetMode="External"/><Relationship Id="rId281" Type="http://schemas.openxmlformats.org/officeDocument/2006/relationships/hyperlink" Target="https://youtube.com/channel/UCkmrEeosFO1hSppRUJtOlfQ?si=lKUO8N8FKPmgIzFX" TargetMode="External"/><Relationship Id="rId280" Type="http://schemas.openxmlformats.org/officeDocument/2006/relationships/hyperlink" Target="https://eitaa.com/javananmahdaviravar" TargetMode="External"/><Relationship Id="rId275" Type="http://schemas.openxmlformats.org/officeDocument/2006/relationships/hyperlink" Target="https://www.instagram.com/alghame.133/?utm_source=ig_web_button_share_sheet" TargetMode="External"/><Relationship Id="rId274" Type="http://schemas.openxmlformats.org/officeDocument/2006/relationships/hyperlink" Target="https://www.instagram.com/taziye_alamdar_ravar?utm_source=ig_web_button_share_sheet&amp;igsh=ZDNlZDc0MzIxNw==" TargetMode="External"/><Relationship Id="rId273" Type="http://schemas.openxmlformats.org/officeDocument/2006/relationships/hyperlink" Target="https://eitaa.com/razmandegan_eslam_kerman" TargetMode="External"/><Relationship Id="rId272" Type="http://schemas.openxmlformats.org/officeDocument/2006/relationships/hyperlink" Target="https://t.me/razmandegan_eslam_kerman" TargetMode="External"/><Relationship Id="rId279" Type="http://schemas.openxmlformats.org/officeDocument/2006/relationships/hyperlink" Target="https://www.instagram.com/javanan_mahdavi_ravar?utm_source=ig_web_button_share_sheet&amp;igsh=ZDNlZDc0MzIxNw==" TargetMode="External"/><Relationship Id="rId278" Type="http://schemas.openxmlformats.org/officeDocument/2006/relationships/hyperlink" Target="https://t.me/wwwyalesaratalhosseinir" TargetMode="External"/><Relationship Id="rId277" Type="http://schemas.openxmlformats.org/officeDocument/2006/relationships/hyperlink" Target="https://www.instagram.com/heyat.yalesaratalhossein.anar?utm_source=ig_web_button_share_sheet&amp;igsh=ZDNlZDc0MzIxNw==" TargetMode="External"/><Relationship Id="rId276" Type="http://schemas.openxmlformats.org/officeDocument/2006/relationships/hyperlink" Target="https://t.me/alghame0133" TargetMode="External"/><Relationship Id="rId228" Type="http://schemas.openxmlformats.org/officeDocument/2006/relationships/hyperlink" Target="https://www.instagram.com/heyat_alhoosinkerman?utm_source=ig_web_button_share_sheet&amp;igsh=ZDNlZDc0MzIxNw==" TargetMode="External"/><Relationship Id="rId227" Type="http://schemas.openxmlformats.org/officeDocument/2006/relationships/hyperlink" Target="https://www.instagram.com/heyat_mohebban_abolfazl_jiroft?utm_source=ig_web_button_share_sheet&amp;igsh=ZDNlZDc0MzIxNw==" TargetMode="External"/><Relationship Id="rId226" Type="http://schemas.openxmlformats.org/officeDocument/2006/relationships/hyperlink" Target="https://www.instagram.com/moheban.mahdii?utm_source=ig_web_button_share_sheet&amp;igsh=ZDNlZDc0MzIxNw==" TargetMode="External"/><Relationship Id="rId225" Type="http://schemas.openxmlformats.org/officeDocument/2006/relationships/hyperlink" Target="https://www.instagram.com/emamhasankerman?utm_source=ig_web_button_share_sheet&amp;igsh=ZDNlZDc0MzIxNw==" TargetMode="External"/><Relationship Id="rId229" Type="http://schemas.openxmlformats.org/officeDocument/2006/relationships/hyperlink" Target="https://www.instagram.com/heyat_gamarbanihashemkuyraberi?utm_source=ig_web_button_share_sheet&amp;igsh=ZDNlZDc0MzIxNw==" TargetMode="External"/><Relationship Id="rId220" Type="http://schemas.openxmlformats.org/officeDocument/2006/relationships/hyperlink" Target="https://www.instagram.com/heyatrayatolmahdi313?utm_source=ig_web_button_share_sheet&amp;igsh=ZDNlZDc0MzIxNw==" TargetMode="External"/><Relationship Id="rId224" Type="http://schemas.openxmlformats.org/officeDocument/2006/relationships/hyperlink" Target="https://www.instagram.com/ghiaskerman?utm_source=ig_web_button_share_sheet&amp;igsh=ZDNlZDc0MzIxNw==" TargetMode="External"/><Relationship Id="rId223" Type="http://schemas.openxmlformats.org/officeDocument/2006/relationships/hyperlink" Target="https://eitaa.com/etelaeresanikerman" TargetMode="External"/><Relationship Id="rId222" Type="http://schemas.openxmlformats.org/officeDocument/2006/relationships/hyperlink" Target="https://www.instagram.com/varesan.ghadir?utm_source=ig_web_button_share_sheet&amp;igsh=ZDNlZDc0MzIxNw==" TargetMode="External"/><Relationship Id="rId221" Type="http://schemas.openxmlformats.org/officeDocument/2006/relationships/hyperlink" Target="https://eitaa.com/heyatrayatolmahdi313" TargetMode="External"/><Relationship Id="rId217" Type="http://schemas.openxmlformats.org/officeDocument/2006/relationships/hyperlink" Target="https://www.instagram.com/masjedjamekouhbanan?utm_source=ig_web_button_share_sheet&amp;igsh=ZDNlZDc0MzIxNw==" TargetMode="External"/><Relationship Id="rId216" Type="http://schemas.openxmlformats.org/officeDocument/2006/relationships/hyperlink" Target="https://www.instagram.com/nasime_mehrabani.anbarabad?utm_source=ig_web_button_share_sheet&amp;igsh=ZDNlZDc0MzIxNw==" TargetMode="External"/><Relationship Id="rId215" Type="http://schemas.openxmlformats.org/officeDocument/2006/relationships/hyperlink" Target="https://www.eitaa.com/khademin_anbarabad_kerman" TargetMode="External"/><Relationship Id="rId214" Type="http://schemas.openxmlformats.org/officeDocument/2006/relationships/hyperlink" Target="https://www.instagram.com/taziye1368?utm_source=ig_web_button_share_sheet&amp;igsh=ZDNlZDc0MzIxNw==" TargetMode="External"/><Relationship Id="rId219" Type="http://schemas.openxmlformats.org/officeDocument/2006/relationships/hyperlink" Target="https://www.instagram.com/mookeb_zaer_alqame?utm_source=ig_web_button_share_sheet&amp;igsh=ZDNlZDc0MzIxNw==" TargetMode="External"/><Relationship Id="rId218" Type="http://schemas.openxmlformats.org/officeDocument/2006/relationships/hyperlink" Target="https://eitaa.com/bagheralulum" TargetMode="External"/><Relationship Id="rId213" Type="http://schemas.openxmlformats.org/officeDocument/2006/relationships/hyperlink" Target="https://www.instagram.com/tekie_fatemie_kerman_?utm_source=ig_web_button_share_sheet&amp;igsh=ZDNlZDc0MzIxNw==" TargetMode="External"/><Relationship Id="rId212" Type="http://schemas.openxmlformats.org/officeDocument/2006/relationships/hyperlink" Target="https://www.instagram.com/aliasghar_soleymanieh?utm_source=ig_web_button_share_sheet&amp;igsh=ZDNlZDc0MzIxNw==" TargetMode="External"/><Relationship Id="rId211" Type="http://schemas.openxmlformats.org/officeDocument/2006/relationships/hyperlink" Target="https://www.instagram.com/sarallah.vaziriha.kahnooj?utm_source=ig_web_button_share_sheet&amp;igsh=ZDNlZDc0MzIxNw==" TargetMode="External"/><Relationship Id="rId210" Type="http://schemas.openxmlformats.org/officeDocument/2006/relationships/hyperlink" Target="https://eitaa.com/montazerankerman" TargetMode="External"/><Relationship Id="rId249" Type="http://schemas.openxmlformats.org/officeDocument/2006/relationships/hyperlink" Target="https://t.me/heyat_tafahos" TargetMode="External"/><Relationship Id="rId248" Type="http://schemas.openxmlformats.org/officeDocument/2006/relationships/hyperlink" Target="https://www.instagram.com/heyat_tafahos?utm_source=ig_web_button_share_sheet&amp;igsh=ZDNlZDc0MzIxNw==" TargetMode="External"/><Relationship Id="rId247" Type="http://schemas.openxmlformats.org/officeDocument/2006/relationships/hyperlink" Target="https://www.instagram.com/h.m.sahebazaman.kerman?utm_source=ig_web_button_share_sheet&amp;igsh=ZDNlZDc0MzIxNw==" TargetMode="External"/><Relationship Id="rId242" Type="http://schemas.openxmlformats.org/officeDocument/2006/relationships/hyperlink" Target="https://eitaa.com/Beynolharameynrafsanjan" TargetMode="External"/><Relationship Id="rId241" Type="http://schemas.openxmlformats.org/officeDocument/2006/relationships/hyperlink" Target="https://www.instagram.com/beinolharamein.r?utm_source=ig_web_button_share_sheet&amp;igsh=ZDNlZDc0MzIxNw==" TargetMode="External"/><Relationship Id="rId240" Type="http://schemas.openxmlformats.org/officeDocument/2006/relationships/hyperlink" Target="https://www.instagram.com/tazieh.reyhanatolhossein?utm_source=ig_web_button_share_sheet&amp;igsh=ZDNlZDc0MzIxNw==" TargetMode="External"/><Relationship Id="rId246" Type="http://schemas.openxmlformats.org/officeDocument/2006/relationships/hyperlink" Target="https://www.instagram.com/hosseinie.abalfazl.nakhlestan?utm_source=ig_web_button_share_sheet&amp;igsh=ZDNlZDc0MzIxNw==" TargetMode="External"/><Relationship Id="rId245" Type="http://schemas.openxmlformats.org/officeDocument/2006/relationships/hyperlink" Target="https://eitaa.com/alyasin_anar" TargetMode="External"/><Relationship Id="rId244" Type="http://schemas.openxmlformats.org/officeDocument/2006/relationships/hyperlink" Target="https://www.instagram.com/masjedazahra?utm_source=ig_web_button_share_sheet&amp;igsh=ZDNlZDc0MzIxNw==" TargetMode="External"/><Relationship Id="rId243" Type="http://schemas.openxmlformats.org/officeDocument/2006/relationships/hyperlink" Target="https://www.instagram.com/rayatalmahdi_ir?utm_source=ig_web_button_share_sheet&amp;igsh=ZDNlZDc0MzIxNw==" TargetMode="External"/><Relationship Id="rId239" Type="http://schemas.openxmlformats.org/officeDocument/2006/relationships/hyperlink" Target="https://www.instagram.com/gholaman_hasani_bam?utm_source=ig_web_button_share_sheet&amp;igsh=ZDNlZDc0MzIxNw==" TargetMode="External"/><Relationship Id="rId238" Type="http://schemas.openxmlformats.org/officeDocument/2006/relationships/hyperlink" Target="https://www.instagram.com/hoseinyun313?utm_source=ig_web_button_share_sheet&amp;igsh=ZDNlZDc0MzIxNw==" TargetMode="External"/><Relationship Id="rId237" Type="http://schemas.openxmlformats.org/officeDocument/2006/relationships/hyperlink" Target="https://www.instagram.com/mohebanaliasghar1141?utm_source=ig_web_button_share_sheet&amp;igsh=ZDNlZDc0MzIxNw==" TargetMode="External"/><Relationship Id="rId236" Type="http://schemas.openxmlformats.org/officeDocument/2006/relationships/hyperlink" Target="https://t.me/sahebazaman88" TargetMode="External"/><Relationship Id="rId231" Type="http://schemas.openxmlformats.org/officeDocument/2006/relationships/hyperlink" Target="https://www.instagram.com/tv_alamdarkerman?utm_source=ig_web_button_share_sheet&amp;igsh=ZDNlZDc0MzIxNw==" TargetMode="External"/><Relationship Id="rId230" Type="http://schemas.openxmlformats.org/officeDocument/2006/relationships/hyperlink" Target="https://www.instagram.com/hosseinie.abalfazl.nakhlestan?utm_source=ig_web_button_share_sheet&amp;igsh=ZDNlZDc0MzIxNw==" TargetMode="External"/><Relationship Id="rId235" Type="http://schemas.openxmlformats.org/officeDocument/2006/relationships/hyperlink" Target="https://www.instagram.com/heyathazratabolfazlbardsir?utm_source=ig_web_button_share_sheet&amp;igsh=ZDNlZDc0MzIxNw==" TargetMode="External"/><Relationship Id="rId234" Type="http://schemas.openxmlformats.org/officeDocument/2006/relationships/hyperlink" Target="https://www.instagram.com/masjjed_almahdi?utm_source=ig_web_button_share_sheet&amp;igsh=ZDNlZDc0MzIxNw==" TargetMode="External"/><Relationship Id="rId233" Type="http://schemas.openxmlformats.org/officeDocument/2006/relationships/hyperlink" Target="https://www.instagram.com/heyat_ansaralhossein?utm_source=ig_web_button_share_sheet&amp;igsh=ZDNlZDc0MzIxNw==" TargetMode="External"/><Relationship Id="rId232" Type="http://schemas.openxmlformats.org/officeDocument/2006/relationships/hyperlink" Target="https://t.me/alamdarkerman" TargetMode="External"/><Relationship Id="rId206" Type="http://schemas.openxmlformats.org/officeDocument/2006/relationships/hyperlink" Target="https://t.me/alamdar_davaran" TargetMode="External"/><Relationship Id="rId205" Type="http://schemas.openxmlformats.org/officeDocument/2006/relationships/hyperlink" Target="https://www.instagram.com/alamdar_davaran/?utm_source=ig_web_button_share_sheet" TargetMode="External"/><Relationship Id="rId204" Type="http://schemas.openxmlformats.org/officeDocument/2006/relationships/hyperlink" Target="https://www.instagram.com/heyate_omolbanin_saqakhane?utm_source=ig_web_button_share_sheet&amp;igsh=ZDNlZDc0MzIxNw==" TargetMode="External"/><Relationship Id="rId203" Type="http://schemas.openxmlformats.org/officeDocument/2006/relationships/hyperlink" Target="https://www.instagram.com/heiatjavananabaolfazl.z?utm_source=ig_web_button_share_sheet&amp;igsh=ZDNlZDc0MzIxNw==" TargetMode="External"/><Relationship Id="rId209" Type="http://schemas.openxmlformats.org/officeDocument/2006/relationships/hyperlink" Target="https://eitaa.com/heiatkarbala" TargetMode="External"/><Relationship Id="rId208" Type="http://schemas.openxmlformats.org/officeDocument/2006/relationships/hyperlink" Target="https://www.instagram.com/heiatkarbala?utm_source=ig_web_button_share_sheet&amp;igsh=ZDNlZDc0MzIxNw==" TargetMode="External"/><Relationship Id="rId207" Type="http://schemas.openxmlformats.org/officeDocument/2006/relationships/hyperlink" Target="https://eitaa.com/alamdar_davaran" TargetMode="External"/><Relationship Id="rId202" Type="http://schemas.openxmlformats.org/officeDocument/2006/relationships/hyperlink" Target="https://www.instagram.com/maktab_al_zahra118?utm_source=ig_web_button_share_sheet&amp;igsh=ZDNlZDc0MzIxNw==" TargetMode="External"/><Relationship Id="rId201" Type="http://schemas.openxmlformats.org/officeDocument/2006/relationships/hyperlink" Target="https://www.instagram.com/sadra__live/?utm_source=ig_web_button_share_sheet" TargetMode="External"/><Relationship Id="rId200" Type="http://schemas.openxmlformats.org/officeDocument/2006/relationships/hyperlink" Target="https://eitaa.com/rozatorroghaye" TargetMode="External"/><Relationship Id="rId409" Type="http://schemas.openxmlformats.org/officeDocument/2006/relationships/hyperlink" Target="https://eitaa.com/bdbahonar" TargetMode="External"/><Relationship Id="rId404" Type="http://schemas.openxmlformats.org/officeDocument/2006/relationships/hyperlink" Target="https://eitaa.com/heyatequranifatemiyon" TargetMode="External"/><Relationship Id="rId403" Type="http://schemas.openxmlformats.org/officeDocument/2006/relationships/hyperlink" Target="https://www.instagram.com/shohadaaye.gomnam?utm_source=ig_web_button_share_sheet&amp;igsh=ZDNlZDc0MzIxNw==" TargetMode="External"/><Relationship Id="rId402" Type="http://schemas.openxmlformats.org/officeDocument/2006/relationships/hyperlink" Target="https://www.instagram.com/heiate_sahebalzaman?utm_source=ig_web_button_share_sheet&amp;igsh=ZDNlZDc0MzIxNw==" TargetMode="External"/><Relationship Id="rId401" Type="http://schemas.openxmlformats.org/officeDocument/2006/relationships/hyperlink" Target="https://www.instagram.com/qamar_.bani_heshm.lr?utm_source=ig_web_button_share_sheet&amp;igsh=ZDNlZDc0MzIxNw==" TargetMode="External"/><Relationship Id="rId408" Type="http://schemas.openxmlformats.org/officeDocument/2006/relationships/hyperlink" Target="https://t.me/bdbahonar" TargetMode="External"/><Relationship Id="rId407" Type="http://schemas.openxmlformats.org/officeDocument/2006/relationships/hyperlink" Target="https://www.instagram.com/sarv.bahonar?utm_source=ig_web_button_share_sheet&amp;igsh=ZDNlZDc0MzIxNw==" TargetMode="External"/><Relationship Id="rId406" Type="http://schemas.openxmlformats.org/officeDocument/2006/relationships/hyperlink" Target="https://www.instagram.com/heyat_asheqan_reza?utm_source=ig_web_button_share_sheet&amp;igsh=ZDNlZDc0MzIxNw==" TargetMode="External"/><Relationship Id="rId405" Type="http://schemas.openxmlformats.org/officeDocument/2006/relationships/hyperlink" Target="https://www.instagram.com/oliya_mokhadre/?utm_source=ig_web_button_share_sheet" TargetMode="External"/><Relationship Id="rId400" Type="http://schemas.openxmlformats.org/officeDocument/2006/relationships/hyperlink" Target="https://www.instagram.com/shahzade.ali_asghar?utm_source=ig_web_button_share_sheet&amp;igsh=ZDNlZDc0MzIxNw==" TargetMode="External"/><Relationship Id="rId426" Type="http://schemas.openxmlformats.org/officeDocument/2006/relationships/hyperlink" Target="https://www.instagram.com/beytolahzan_213/?utm_source=ig_web_button_share_sheet" TargetMode="External"/><Relationship Id="rId425" Type="http://schemas.openxmlformats.org/officeDocument/2006/relationships/hyperlink" Target="https://www.instagram.com/deldadegan.abbas?utm_source=ig_web_button_share_sheet&amp;igsh=ZDNlZDc0MzIxNw==" TargetMode="External"/><Relationship Id="rId424" Type="http://schemas.openxmlformats.org/officeDocument/2006/relationships/hyperlink" Target="https://www.instagram.com/maktabol_zahra_bravat_bam?utm_source=ig_web_button_share_sheet&amp;igsh=ZDNlZDc0MzIxNw==" TargetMode="External"/><Relationship Id="rId423" Type="http://schemas.openxmlformats.org/officeDocument/2006/relationships/hyperlink" Target="https://www.instagram.com/beytoalroghaye_bam?utm_source=ig_web_button_share_sheet&amp;igsh=ZDNlZDc0MzIxNw==" TargetMode="External"/><Relationship Id="rId429" Type="http://schemas.openxmlformats.org/officeDocument/2006/relationships/hyperlink" Target="https://www.instagram.com/jannat_alreza?utm_source=ig_web_button_share_sheet&amp;igsh=ZDNlZDc0MzIxNw==" TargetMode="External"/><Relationship Id="rId428" Type="http://schemas.openxmlformats.org/officeDocument/2006/relationships/hyperlink" Target="https://eitaa.com/mahdeyesahebazaman" TargetMode="External"/><Relationship Id="rId427" Type="http://schemas.openxmlformats.org/officeDocument/2006/relationships/hyperlink" Target="https://www.instagram.com/varesinfadak?utm_source=ig_web_button_share_sheet&amp;igsh=ZDNlZDc0MzIxNw==" TargetMode="External"/><Relationship Id="rId422" Type="http://schemas.openxmlformats.org/officeDocument/2006/relationships/hyperlink" Target="https://www.instagram.com/heyat.abalfazlabbas.shorabad?utm_source=ig_web_button_share_sheet&amp;igsh=ZDNlZDc0MzIxNw==" TargetMode="External"/><Relationship Id="rId421" Type="http://schemas.openxmlformats.org/officeDocument/2006/relationships/hyperlink" Target="https://eitaa.com/heyatsadatTaherabad" TargetMode="External"/><Relationship Id="rId420" Type="http://schemas.openxmlformats.org/officeDocument/2006/relationships/hyperlink" Target="https://www.instagram.com/meraj_hosein_kerman?utm_source=ig_web_button_share_sheet&amp;igsh=ZDNlZDc0MzIxNw==" TargetMode="External"/><Relationship Id="rId415" Type="http://schemas.openxmlformats.org/officeDocument/2006/relationships/hyperlink" Target="https://eitaa.com/heyatalnabi" TargetMode="External"/><Relationship Id="rId414" Type="http://schemas.openxmlformats.org/officeDocument/2006/relationships/hyperlink" Target="https://www.instagram.com/heyatalnabi?utm_source=ig_web_button_share_sheet&amp;igsh=ZDNlZDc0MzIxNw==" TargetMode="External"/><Relationship Id="rId413" Type="http://schemas.openxmlformats.org/officeDocument/2006/relationships/hyperlink" Target="https://eitaa.com/mohebbanqaem1347" TargetMode="External"/><Relationship Id="rId412" Type="http://schemas.openxmlformats.org/officeDocument/2006/relationships/hyperlink" Target="https://www.instagram.com/moheban_ghaem?utm_source=ig_web_button_share_sheet&amp;igsh=ZDNlZDc0MzIxNw==" TargetMode="External"/><Relationship Id="rId419" Type="http://schemas.openxmlformats.org/officeDocument/2006/relationships/hyperlink" Target="https://www.instagram.com/mahfell?utm_source=ig_web_button_share_sheet&amp;igsh=ZDNlZDc0MzIxNw==" TargetMode="External"/><Relationship Id="rId418" Type="http://schemas.openxmlformats.org/officeDocument/2006/relationships/hyperlink" Target="https://eitaa.com/h_sarallah" TargetMode="External"/><Relationship Id="rId417" Type="http://schemas.openxmlformats.org/officeDocument/2006/relationships/hyperlink" Target="https://t.me/h_sarallah" TargetMode="External"/><Relationship Id="rId416" Type="http://schemas.openxmlformats.org/officeDocument/2006/relationships/hyperlink" Target="https://www.instagram.com/rahrovaneshohada.info?utm_source=ig_web_button_share_sheet&amp;igsh=ZDNlZDc0MzIxNw==" TargetMode="External"/><Relationship Id="rId411" Type="http://schemas.openxmlformats.org/officeDocument/2006/relationships/hyperlink" Target="https://eitaa.com/Khademin_shohada_kerman" TargetMode="External"/><Relationship Id="rId410" Type="http://schemas.openxmlformats.org/officeDocument/2006/relationships/hyperlink" Target="https://www.instagram.com/khademin_shohada_kerman?utm_source=ig_web_button_share_sheet&amp;igsh=ZDNlZDc0MzIxNw==" TargetMode="External"/><Relationship Id="rId448" Type="http://schemas.openxmlformats.org/officeDocument/2006/relationships/hyperlink" Target="https://eitaa.com/heyatezangiabad" TargetMode="External"/><Relationship Id="rId447" Type="http://schemas.openxmlformats.org/officeDocument/2006/relationships/hyperlink" Target="https://eitaa.com/banihashemii1355" TargetMode="External"/><Relationship Id="rId446" Type="http://schemas.openxmlformats.org/officeDocument/2006/relationships/hyperlink" Target="https://eitaa.com/BaytalAhzan" TargetMode="External"/><Relationship Id="rId445" Type="http://schemas.openxmlformats.org/officeDocument/2006/relationships/hyperlink" Target="https://eitaa.com/hajmashallah" TargetMode="External"/><Relationship Id="rId449" Type="http://schemas.openxmlformats.org/officeDocument/2006/relationships/drawing" Target="../drawings/drawing14.xml"/><Relationship Id="rId440" Type="http://schemas.openxmlformats.org/officeDocument/2006/relationships/hyperlink" Target="https://t.me/ansarorasool" TargetMode="External"/><Relationship Id="rId444" Type="http://schemas.openxmlformats.org/officeDocument/2006/relationships/hyperlink" Target="https://eitaa.com/Mokebnoogh" TargetMode="External"/><Relationship Id="rId443" Type="http://schemas.openxmlformats.org/officeDocument/2006/relationships/hyperlink" Target="https://eitaa.com/hoseyniye_roh_alah" TargetMode="External"/><Relationship Id="rId442" Type="http://schemas.openxmlformats.org/officeDocument/2006/relationships/hyperlink" Target="https://www.instagram.com/imamjavad_kerman14?utm_source=ig_web_button_share_sheet&amp;igsh=ZDNlZDc0MzIxNw==" TargetMode="External"/><Relationship Id="rId441" Type="http://schemas.openxmlformats.org/officeDocument/2006/relationships/hyperlink" Target="http://eitaa.com/Ansarorasool" TargetMode="External"/><Relationship Id="rId437" Type="http://schemas.openxmlformats.org/officeDocument/2006/relationships/hyperlink" Target="https://www.instagram.com/alghameh_kerman/?utm_source=ig_web_button_share_sheet" TargetMode="External"/><Relationship Id="rId436" Type="http://schemas.openxmlformats.org/officeDocument/2006/relationships/hyperlink" Target="https://eitaa.com/heatmontazeranzohorkerman" TargetMode="External"/><Relationship Id="rId435" Type="http://schemas.openxmlformats.org/officeDocument/2006/relationships/hyperlink" Target="https://t.me/montazerankerman" TargetMode="External"/><Relationship Id="rId434" Type="http://schemas.openxmlformats.org/officeDocument/2006/relationships/hyperlink" Target="https://www.instagram.com/heiat_kaffolabbas/?utm_source=ig_web_button_share_sheet" TargetMode="External"/><Relationship Id="rId439" Type="http://schemas.openxmlformats.org/officeDocument/2006/relationships/hyperlink" Target="https://eitaa.com/majmamohebin" TargetMode="External"/><Relationship Id="rId438" Type="http://schemas.openxmlformats.org/officeDocument/2006/relationships/hyperlink" Target="https://www.instagram.com/majma_313/?utm_source=ig_web_button_share_sheet" TargetMode="External"/><Relationship Id="rId433" Type="http://schemas.openxmlformats.org/officeDocument/2006/relationships/hyperlink" Target="https://www.instagram.com/h.m.sahebazaman.kerman42?utm_source=ig_web_button_share_sheet&amp;igsh=ZDNlZDc0MzIxNw==" TargetMode="External"/><Relationship Id="rId432" Type="http://schemas.openxmlformats.org/officeDocument/2006/relationships/hyperlink" Target="https://www.instagram.com/mahdijankerman?utm_source=ig_web_button_share_sheet&amp;igsh=ZDNlZDc0MzIxNw==" TargetMode="External"/><Relationship Id="rId431" Type="http://schemas.openxmlformats.org/officeDocument/2006/relationships/hyperlink" Target="https://eitaa.com/aliakbar_rahrovan" TargetMode="External"/><Relationship Id="rId430" Type="http://schemas.openxmlformats.org/officeDocument/2006/relationships/hyperlink" Target="https://www.instagram.com/masjed_abolfazlll?utm_source=ig_web_button_share_sheet&amp;igsh=ZDNlZDc0MzIxNw==" TargetMode="External"/><Relationship Id="rId1" Type="http://schemas.openxmlformats.org/officeDocument/2006/relationships/hyperlink" Target="https://www.instagram.com/alamdar.ra/" TargetMode="External"/><Relationship Id="rId2" Type="http://schemas.openxmlformats.org/officeDocument/2006/relationships/hyperlink" Target="https://l.instagram.com/?u=http%3A%2F%2Ft.me%2Fheiat_asheghan_alamdar%3Ffbclid%3DPAZXh0bgNhZW0CMTEAAaeHP2tSAyJq2QVvza3JN_NJV1KnLPLpS0vYV9Me8xocAWrSlbkFC6e_tjgqrw_aem_sDZ3YwzUBZan6jZnHisdrA&amp;e=AT19XV7km8C9NQ16tvSQ186wOYzr8Old--UPZjb1Z0i-QiNVX6EizPDApP2mXdAzeUFyVnur7kvzNLNcfBTJeJNMKDTJQQDlmkRaz8WQzw" TargetMode="External"/><Relationship Id="rId3" Type="http://schemas.openxmlformats.org/officeDocument/2006/relationships/hyperlink" Target="https://www.instagram.com/heyaat_s_sajedin/" TargetMode="External"/><Relationship Id="rId4" Type="http://schemas.openxmlformats.org/officeDocument/2006/relationships/hyperlink" Target="https://www.instagram.com/heyat_maktabol_zahra/" TargetMode="External"/><Relationship Id="rId9" Type="http://schemas.openxmlformats.org/officeDocument/2006/relationships/hyperlink" Target="https://www.instagram.com/janatol_hasan_118/" TargetMode="External"/><Relationship Id="rId5" Type="http://schemas.openxmlformats.org/officeDocument/2006/relationships/hyperlink" Target="https://www.instagram.com/fatemiyeh_khanook/" TargetMode="External"/><Relationship Id="rId6" Type="http://schemas.openxmlformats.org/officeDocument/2006/relationships/hyperlink" Target="https://www.instagram.com/fatemiyoon__/" TargetMode="External"/><Relationship Id="rId7" Type="http://schemas.openxmlformats.org/officeDocument/2006/relationships/hyperlink" Target="https://www.instagram.com/heyatrayatolmahdi313/" TargetMode="External"/><Relationship Id="rId8" Type="http://schemas.openxmlformats.org/officeDocument/2006/relationships/hyperlink" Target="https://eitaa.com/heyatrayatolmahdi313" TargetMode="External"/></Relationships>
</file>

<file path=xl/worksheets/_rels/sheet15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ansarolmahdi_sh" TargetMode="External"/><Relationship Id="rId194" Type="http://schemas.openxmlformats.org/officeDocument/2006/relationships/hyperlink" Target="https://eitaa.com/heyatmontazeranevalyaser_shirvan" TargetMode="External"/><Relationship Id="rId193" Type="http://schemas.openxmlformats.org/officeDocument/2006/relationships/hyperlink" Target="https://www.instagram.com/heatmontazeranvaliasershirvan/" TargetMode="External"/><Relationship Id="rId192" Type="http://schemas.openxmlformats.org/officeDocument/2006/relationships/hyperlink" Target="https://www.instagram.com/montazeran_sq/" TargetMode="External"/><Relationship Id="rId191" Type="http://schemas.openxmlformats.org/officeDocument/2006/relationships/hyperlink" Target="https://www.instagram.com/hoseiniehazam.shirvan" TargetMode="External"/><Relationship Id="rId187" Type="http://schemas.openxmlformats.org/officeDocument/2006/relationships/hyperlink" Target="https://eitaa.com/javanan_banihashem_Shirvan?" TargetMode="External"/><Relationship Id="rId186" Type="http://schemas.openxmlformats.org/officeDocument/2006/relationships/hyperlink" Target="https://www.instagram.com/javanan_banihashem_shirvan/" TargetMode="External"/><Relationship Id="rId185" Type="http://schemas.openxmlformats.org/officeDocument/2006/relationships/hyperlink" Target="https://www.instagram.com/ansariha.shirvan/" TargetMode="External"/><Relationship Id="rId184" Type="http://schemas.openxmlformats.org/officeDocument/2006/relationships/hyperlink" Target="https://www.instagram.com/alaviyoon.shirvan/" TargetMode="External"/><Relationship Id="rId189" Type="http://schemas.openxmlformats.org/officeDocument/2006/relationships/hyperlink" Target="https://t.me/s/alaviyoon_shirvan" TargetMode="External"/><Relationship Id="rId188" Type="http://schemas.openxmlformats.org/officeDocument/2006/relationships/hyperlink" Target="https://www.instagram.com/ansarolhossein_com/" TargetMode="External"/><Relationship Id="rId183" Type="http://schemas.openxmlformats.org/officeDocument/2006/relationships/hyperlink" Target="https://www.instagram.com/heyate.baghiatallah/" TargetMode="External"/><Relationship Id="rId182" Type="http://schemas.openxmlformats.org/officeDocument/2006/relationships/hyperlink" Target="https://www.instagram.com/hiatejavanan_banihashem_/" TargetMode="External"/><Relationship Id="rId181" Type="http://schemas.openxmlformats.org/officeDocument/2006/relationships/hyperlink" Target="https://www.instagram.com/babolhavaej.shirvan/" TargetMode="External"/><Relationship Id="rId180" Type="http://schemas.openxmlformats.org/officeDocument/2006/relationships/hyperlink" Target="https://www.instagram.com/javanan_banihashem_shirvan/" TargetMode="External"/><Relationship Id="rId176" Type="http://schemas.openxmlformats.org/officeDocument/2006/relationships/hyperlink" Target="https://t.me/azadaran_sh" TargetMode="External"/><Relationship Id="rId175" Type="http://schemas.openxmlformats.org/officeDocument/2006/relationships/hyperlink" Target="https://www.instagram.com/azadaran_sh/" TargetMode="External"/><Relationship Id="rId174" Type="http://schemas.openxmlformats.org/officeDocument/2006/relationships/hyperlink" Target="https://www.instagram.com/masjed_tork/" TargetMode="External"/><Relationship Id="rId173" Type="http://schemas.openxmlformats.org/officeDocument/2006/relationships/hyperlink" Target="https://www.instagram.com/saheb_alzaman7" TargetMode="External"/><Relationship Id="rId179" Type="http://schemas.openxmlformats.org/officeDocument/2006/relationships/hyperlink" Target="https://www.instagram.com/ansarolmahdi_sh/" TargetMode="External"/><Relationship Id="rId178" Type="http://schemas.openxmlformats.org/officeDocument/2006/relationships/hyperlink" Target="https://www.instagram.com/hasan_jan_118_shirvan/" TargetMode="External"/><Relationship Id="rId177" Type="http://schemas.openxmlformats.org/officeDocument/2006/relationships/hyperlink" Target="https://eitaa.com/azadaran_sh" TargetMode="External"/><Relationship Id="rId198" Type="http://schemas.openxmlformats.org/officeDocument/2006/relationships/hyperlink" Target="https://www.instagram.com/norolmahdi313?utm_source=ig_web_button_share_sheet&amp;igsh=ZDNlZDc0MzIxNw==" TargetMode="External"/><Relationship Id="rId197" Type="http://schemas.openxmlformats.org/officeDocument/2006/relationships/hyperlink" Target="https://www.instagram.com/hiatejavanan_banihashem_" TargetMode="External"/><Relationship Id="rId196" Type="http://schemas.openxmlformats.org/officeDocument/2006/relationships/hyperlink" Target="https://www.instagram.com/javanan_banihashem_shirvan?utm_source=ig_web_button_share_sheet&amp;igsh=ZDNlZDc0MzIxNw==" TargetMode="External"/><Relationship Id="rId195" Type="http://schemas.openxmlformats.org/officeDocument/2006/relationships/hyperlink" Target="https://www.instagram.com/ansarolmahdi_sh" TargetMode="External"/><Relationship Id="rId199" Type="http://schemas.openxmlformats.org/officeDocument/2006/relationships/hyperlink" Target="https://www.instagram.com/montazeranheyat" TargetMode="External"/><Relationship Id="rId150" Type="http://schemas.openxmlformats.org/officeDocument/2006/relationships/hyperlink" Target="https://www.instagram.com/heyat.almahdi_ub" TargetMode="External"/><Relationship Id="rId149" Type="http://schemas.openxmlformats.org/officeDocument/2006/relationships/hyperlink" Target="https://www.instagram.com/mohebbane_ahlebeyt_boj" TargetMode="External"/><Relationship Id="rId148" Type="http://schemas.openxmlformats.org/officeDocument/2006/relationships/hyperlink" Target="https://www.instagram.com/heyat_alhadi" TargetMode="External"/><Relationship Id="rId143" Type="http://schemas.openxmlformats.org/officeDocument/2006/relationships/hyperlink" Target="https://www.instagram.com/heyat_safine_nejat/" TargetMode="External"/><Relationship Id="rId142" Type="http://schemas.openxmlformats.org/officeDocument/2006/relationships/hyperlink" Target="https://www.instagram.com/tekieeh.sajadieh_bojnord" TargetMode="External"/><Relationship Id="rId141" Type="http://schemas.openxmlformats.org/officeDocument/2006/relationships/hyperlink" Target="https://www.instagram.com/heyat_saheb_azaman" TargetMode="External"/><Relationship Id="rId140" Type="http://schemas.openxmlformats.org/officeDocument/2006/relationships/hyperlink" Target="https://www.instagram.com/shahzadealiasghar_bojnord" TargetMode="External"/><Relationship Id="rId147" Type="http://schemas.openxmlformats.org/officeDocument/2006/relationships/hyperlink" Target="https://www.instagram.com/heyatmodafeanbojnord/" TargetMode="External"/><Relationship Id="rId146" Type="http://schemas.openxmlformats.org/officeDocument/2006/relationships/hyperlink" Target="https://www.instagram.com/azamchhardhemasom" TargetMode="External"/><Relationship Id="rId145" Type="http://schemas.openxmlformats.org/officeDocument/2006/relationships/hyperlink" Target="https://www.instagram.com/javadolaemh" TargetMode="External"/><Relationship Id="rId144" Type="http://schemas.openxmlformats.org/officeDocument/2006/relationships/hyperlink" Target="https://t.me/heyat_safine_nejat" TargetMode="External"/><Relationship Id="rId139" Type="http://schemas.openxmlformats.org/officeDocument/2006/relationships/hyperlink" Target="https://eitaa.com/aliakbar_bojnord" TargetMode="External"/><Relationship Id="rId138" Type="http://schemas.openxmlformats.org/officeDocument/2006/relationships/hyperlink" Target="https://www.instagram.com/aliakbar_bojnord/" TargetMode="External"/><Relationship Id="rId137" Type="http://schemas.openxmlformats.org/officeDocument/2006/relationships/hyperlink" Target="https://eitaa.com/masjedbaghyatallah" TargetMode="External"/><Relationship Id="rId132" Type="http://schemas.openxmlformats.org/officeDocument/2006/relationships/hyperlink" Target="https://t.me/nkums_heiat" TargetMode="External"/><Relationship Id="rId131" Type="http://schemas.openxmlformats.org/officeDocument/2006/relationships/hyperlink" Target="https://www.instagram.com/nkums_heiat" TargetMode="External"/><Relationship Id="rId130" Type="http://schemas.openxmlformats.org/officeDocument/2006/relationships/hyperlink" Target="https://www.instagram.com/mesbaholhoda_bojnourd" TargetMode="External"/><Relationship Id="rId136" Type="http://schemas.openxmlformats.org/officeDocument/2006/relationships/hyperlink" Target="https://www.instagram.com/heyatbaghyatallah/" TargetMode="External"/><Relationship Id="rId135" Type="http://schemas.openxmlformats.org/officeDocument/2006/relationships/hyperlink" Target="https://www.instagram.com/janbazan_boj" TargetMode="External"/><Relationship Id="rId134" Type="http://schemas.openxmlformats.org/officeDocument/2006/relationships/hyperlink" Target="https://www.instagram.com/ansaralmahdi_bojnord?utm_source=ig_web_button_share_sheet&amp;igsh=ZDNlZDc0MzIxNw==" TargetMode="External"/><Relationship Id="rId133" Type="http://schemas.openxmlformats.org/officeDocument/2006/relationships/hyperlink" Target="https://www.instagram.com/seyedushohada1" TargetMode="External"/><Relationship Id="rId172" Type="http://schemas.openxmlformats.org/officeDocument/2006/relationships/hyperlink" Target="https://www.instagram.com/heyatreza.raz/" TargetMode="External"/><Relationship Id="rId171" Type="http://schemas.openxmlformats.org/officeDocument/2006/relationships/hyperlink" Target="https://eitaa.com/MAFMA_DARGH" TargetMode="External"/><Relationship Id="rId170" Type="http://schemas.openxmlformats.org/officeDocument/2006/relationships/hyperlink" Target="https://t.me/tarigh_Shohada57" TargetMode="External"/><Relationship Id="rId165" Type="http://schemas.openxmlformats.org/officeDocument/2006/relationships/hyperlink" Target="https://eitaa.com/ansarjajarm" TargetMode="External"/><Relationship Id="rId164" Type="http://schemas.openxmlformats.org/officeDocument/2006/relationships/hyperlink" Target="https://www.instagram.com/ansar.jajarm/" TargetMode="External"/><Relationship Id="rId163" Type="http://schemas.openxmlformats.org/officeDocument/2006/relationships/hyperlink" Target="https://t.me/mohebban_jajarm" TargetMode="External"/><Relationship Id="rId162" Type="http://schemas.openxmlformats.org/officeDocument/2006/relationships/hyperlink" Target="https://www.instagram.com/mohebban_jajarm" TargetMode="External"/><Relationship Id="rId169" Type="http://schemas.openxmlformats.org/officeDocument/2006/relationships/hyperlink" Target="https://www.instagram.com/tarigh_shohada57" TargetMode="External"/><Relationship Id="rId168" Type="http://schemas.openxmlformats.org/officeDocument/2006/relationships/hyperlink" Target="https://www.instagram.com/yazeinab.bojnord" TargetMode="External"/><Relationship Id="rId167" Type="http://schemas.openxmlformats.org/officeDocument/2006/relationships/hyperlink" Target="https://t.me/mohebbanalhossein_jajarm" TargetMode="External"/><Relationship Id="rId166" Type="http://schemas.openxmlformats.org/officeDocument/2006/relationships/hyperlink" Target="https://www.instagram.com/mohebbanalhosein_jajarm/" TargetMode="External"/><Relationship Id="rId161" Type="http://schemas.openxmlformats.org/officeDocument/2006/relationships/hyperlink" Target="https://www.instagram.com/razmandegan_jajarm/" TargetMode="External"/><Relationship Id="rId160" Type="http://schemas.openxmlformats.org/officeDocument/2006/relationships/hyperlink" Target="https://www.instagram.com/saheb_alzaman7/" TargetMode="External"/><Relationship Id="rId159" Type="http://schemas.openxmlformats.org/officeDocument/2006/relationships/hyperlink" Target="https://www.instagram.com/javanan_bani_hashem_jajarm/" TargetMode="External"/><Relationship Id="rId154" Type="http://schemas.openxmlformats.org/officeDocument/2006/relationships/hyperlink" Target="https://www.instagram.com/nkums_heiat" TargetMode="External"/><Relationship Id="rId153" Type="http://schemas.openxmlformats.org/officeDocument/2006/relationships/hyperlink" Target="https://www.instagram.com/heiatroghayejan" TargetMode="External"/><Relationship Id="rId152" Type="http://schemas.openxmlformats.org/officeDocument/2006/relationships/hyperlink" Target="https://www.instagram.com/kahfe_shohada?utm_source=ig_web_button_share_sheet&amp;igsh=ZDNlZDc0MzIxNw==" TargetMode="External"/><Relationship Id="rId151" Type="http://schemas.openxmlformats.org/officeDocument/2006/relationships/hyperlink" Target="https://www.instagram.com/heyat_sajadieh_bojnurd/" TargetMode="External"/><Relationship Id="rId158" Type="http://schemas.openxmlformats.org/officeDocument/2006/relationships/hyperlink" Target="https://t.me/mohebban_jajarm" TargetMode="External"/><Relationship Id="rId157" Type="http://schemas.openxmlformats.org/officeDocument/2006/relationships/hyperlink" Target="https://www.instagram.com/mohebban_jajarm/" TargetMode="External"/><Relationship Id="rId156" Type="http://schemas.openxmlformats.org/officeDocument/2006/relationships/hyperlink" Target="https://www.instagram.com/heyatbaghyatallah" TargetMode="External"/><Relationship Id="rId155" Type="http://schemas.openxmlformats.org/officeDocument/2006/relationships/hyperlink" Target="https://www.instagram.com/oshaghalmahdi313?utm_source=ig_web_button_share_sheet&amp;igsh=ZDNlZDc0MzIxNw==" TargetMode="External"/><Relationship Id="rId107" Type="http://schemas.openxmlformats.org/officeDocument/2006/relationships/hyperlink" Target="https://eitaa.com/emam_sadegh_bojnord" TargetMode="External"/><Relationship Id="rId106" Type="http://schemas.openxmlformats.org/officeDocument/2006/relationships/hyperlink" Target="https://t.me/BeytolAhzan_HazratZahra" TargetMode="External"/><Relationship Id="rId105" Type="http://schemas.openxmlformats.org/officeDocument/2006/relationships/hyperlink" Target="https://www.instagram.com/beytolahzan__hazratzahra/" TargetMode="External"/><Relationship Id="rId104" Type="http://schemas.openxmlformats.org/officeDocument/2006/relationships/hyperlink" Target="https://www.instagram.com/azamchhardhemasom/" TargetMode="External"/><Relationship Id="rId109" Type="http://schemas.openxmlformats.org/officeDocument/2006/relationships/hyperlink" Target="https://eitaa.com/javadolaemhe" TargetMode="External"/><Relationship Id="rId108" Type="http://schemas.openxmlformats.org/officeDocument/2006/relationships/hyperlink" Target="https://www.instagram.com/javadolaemh/" TargetMode="External"/><Relationship Id="rId103" Type="http://schemas.openxmlformats.org/officeDocument/2006/relationships/hyperlink" Target="https://www.instagram.com/abolfazlirazavi_bojnourd/" TargetMode="External"/><Relationship Id="rId102" Type="http://schemas.openxmlformats.org/officeDocument/2006/relationships/hyperlink" Target="https://www.instagram.com/hoseinjan_bojnord" TargetMode="External"/><Relationship Id="rId101" Type="http://schemas.openxmlformats.org/officeDocument/2006/relationships/hyperlink" Target="https://www.instagram.com/shaykh_teiymoor/" TargetMode="External"/><Relationship Id="rId100" Type="http://schemas.openxmlformats.org/officeDocument/2006/relationships/hyperlink" Target="https://t.me/h_oshaghalmahdi" TargetMode="External"/><Relationship Id="rId129" Type="http://schemas.openxmlformats.org/officeDocument/2006/relationships/hyperlink" Target="https://t.me/zavarolzahra" TargetMode="External"/><Relationship Id="rId128" Type="http://schemas.openxmlformats.org/officeDocument/2006/relationships/hyperlink" Target="https://www.instagram.com/zavarolzahra/" TargetMode="External"/><Relationship Id="rId127" Type="http://schemas.openxmlformats.org/officeDocument/2006/relationships/hyperlink" Target="https://www.instagram.com/heyat_saheb_azaman/" TargetMode="External"/><Relationship Id="rId126" Type="http://schemas.openxmlformats.org/officeDocument/2006/relationships/hyperlink" Target="https://www.instagram.com/heyat_asheghan_binolharamein/" TargetMode="External"/><Relationship Id="rId121" Type="http://schemas.openxmlformats.org/officeDocument/2006/relationships/hyperlink" Target="https://www.instagram.com/heyat_sajadieh_bojnurd" TargetMode="External"/><Relationship Id="rId120" Type="http://schemas.openxmlformats.org/officeDocument/2006/relationships/hyperlink" Target="https://www.instagram.com/heiate5tanealeaba/" TargetMode="External"/><Relationship Id="rId125" Type="http://schemas.openxmlformats.org/officeDocument/2006/relationships/hyperlink" Target="https://www.instagram.com/seyyedoshohada_boj" TargetMode="External"/><Relationship Id="rId124" Type="http://schemas.openxmlformats.org/officeDocument/2006/relationships/hyperlink" Target="https://www.instagram.com/ya.fatematazahra135?utm_source=ig_web_button_share_sheet&amp;igsh=ZDNlZDc0MzIxNw==" TargetMode="External"/><Relationship Id="rId123" Type="http://schemas.openxmlformats.org/officeDocument/2006/relationships/hyperlink" Target="https://www.instagram.com/h_beytoolreza" TargetMode="External"/><Relationship Id="rId122" Type="http://schemas.openxmlformats.org/officeDocument/2006/relationships/hyperlink" Target="https://www.instagram.com/hoseinjan_bojnord?utm_source=ig_web_button_share_sheet&amp;igsh=ZDNlZDc0MzIxNw==" TargetMode="External"/><Relationship Id="rId118" Type="http://schemas.openxmlformats.org/officeDocument/2006/relationships/hyperlink" Target="https://t.me/janbazan_boj" TargetMode="External"/><Relationship Id="rId117" Type="http://schemas.openxmlformats.org/officeDocument/2006/relationships/hyperlink" Target="https://www.instagram.com/janbazan_boj/" TargetMode="External"/><Relationship Id="rId116" Type="http://schemas.openxmlformats.org/officeDocument/2006/relationships/hyperlink" Target="https://www.instagram.com/mesbaholhoda_bojnourd/" TargetMode="External"/><Relationship Id="rId115" Type="http://schemas.openxmlformats.org/officeDocument/2006/relationships/hyperlink" Target="https://www.instagram.com/mohebbane_ahlebeyt_boj/" TargetMode="External"/><Relationship Id="rId119" Type="http://schemas.openxmlformats.org/officeDocument/2006/relationships/hyperlink" Target="https://www.instagram.com/seyyedoshohada_boj/" TargetMode="External"/><Relationship Id="rId110" Type="http://schemas.openxmlformats.org/officeDocument/2006/relationships/hyperlink" Target="https://www.instagram.com/yazeinab.bojnord/" TargetMode="External"/><Relationship Id="rId114" Type="http://schemas.openxmlformats.org/officeDocument/2006/relationships/hyperlink" Target="https://www.instagram.com/masjedemamreza_bojnourd/" TargetMode="External"/><Relationship Id="rId113" Type="http://schemas.openxmlformats.org/officeDocument/2006/relationships/hyperlink" Target="https://eitaa.com/joinchat/1696465154C418c2e0693" TargetMode="External"/><Relationship Id="rId112" Type="http://schemas.openxmlformats.org/officeDocument/2006/relationships/hyperlink" Target="https://www.instagram.com/ya.fatematazahra135" TargetMode="External"/><Relationship Id="rId111" Type="http://schemas.openxmlformats.org/officeDocument/2006/relationships/hyperlink" Target="https://www.instagram.com/heyatmontazeranmahdibojnurd/" TargetMode="External"/><Relationship Id="rId40" Type="http://schemas.openxmlformats.org/officeDocument/2006/relationships/hyperlink" Target="https://www.instagram.com/heyatmodafeanbojnord" TargetMode="External"/><Relationship Id="rId42" Type="http://schemas.openxmlformats.org/officeDocument/2006/relationships/hyperlink" Target="https://www.instagram.com/shahzadealiasghar_bojnord/" TargetMode="External"/><Relationship Id="rId41" Type="http://schemas.openxmlformats.org/officeDocument/2006/relationships/hyperlink" Target="https://t.me/modafeanharambojnord" TargetMode="External"/><Relationship Id="rId44" Type="http://schemas.openxmlformats.org/officeDocument/2006/relationships/hyperlink" Target="https://eitaa.com/javadolaemhe" TargetMode="External"/><Relationship Id="rId43" Type="http://schemas.openxmlformats.org/officeDocument/2006/relationships/hyperlink" Target="https://www.instagram.com/javadolaemh/" TargetMode="External"/><Relationship Id="rId46" Type="http://schemas.openxmlformats.org/officeDocument/2006/relationships/hyperlink" Target="https://t.me/zavarolzahra" TargetMode="External"/><Relationship Id="rId45" Type="http://schemas.openxmlformats.org/officeDocument/2006/relationships/hyperlink" Target="https://www.instagram.com/zavarolzahra/" TargetMode="External"/><Relationship Id="rId48" Type="http://schemas.openxmlformats.org/officeDocument/2006/relationships/hyperlink" Target="https://www.instagram.com/h_beytoolreza/" TargetMode="External"/><Relationship Id="rId47" Type="http://schemas.openxmlformats.org/officeDocument/2006/relationships/hyperlink" Target="https://www.instagram.com/aliakbar_bojnord/" TargetMode="External"/><Relationship Id="rId49" Type="http://schemas.openxmlformats.org/officeDocument/2006/relationships/hyperlink" Target="https://eitaa.com/H_beytolreza" TargetMode="External"/><Relationship Id="rId31" Type="http://schemas.openxmlformats.org/officeDocument/2006/relationships/hyperlink" Target="https://eitaa.com/hoseinjan_bojnord" TargetMode="External"/><Relationship Id="rId30" Type="http://schemas.openxmlformats.org/officeDocument/2006/relationships/hyperlink" Target="https://www.instagram.com/hoseinjan_bojnord" TargetMode="External"/><Relationship Id="rId33" Type="http://schemas.openxmlformats.org/officeDocument/2006/relationships/hyperlink" Target="https://tel.me/mohebbane_ahlebeyt_boj" TargetMode="External"/><Relationship Id="rId32" Type="http://schemas.openxmlformats.org/officeDocument/2006/relationships/hyperlink" Target="https://www.instagram.com/mohebbane_ahlebeyt_boj/" TargetMode="External"/><Relationship Id="rId35" Type="http://schemas.openxmlformats.org/officeDocument/2006/relationships/hyperlink" Target="https://www.instagram.com/yazeinab.bojnord/" TargetMode="External"/><Relationship Id="rId34" Type="http://schemas.openxmlformats.org/officeDocument/2006/relationships/hyperlink" Target="https://www.instagram.com/heyat.javadolaemh/" TargetMode="External"/><Relationship Id="rId37" Type="http://schemas.openxmlformats.org/officeDocument/2006/relationships/hyperlink" Target="https://t.me/heiatroghayejan" TargetMode="External"/><Relationship Id="rId36" Type="http://schemas.openxmlformats.org/officeDocument/2006/relationships/hyperlink" Target="https://www.instagram.com/heiatroghayejan/" TargetMode="External"/><Relationship Id="rId39" Type="http://schemas.openxmlformats.org/officeDocument/2006/relationships/hyperlink" Target="https://eitaa.com/yafatematazahrainfo" TargetMode="External"/><Relationship Id="rId38" Type="http://schemas.openxmlformats.org/officeDocument/2006/relationships/hyperlink" Target="https://www.instagram.com/ya.fatematazahra135" TargetMode="External"/><Relationship Id="rId20" Type="http://schemas.openxmlformats.org/officeDocument/2006/relationships/hyperlink" Target="https://www.instagram.com/aliasgharjavan_esf" TargetMode="External"/><Relationship Id="rId22" Type="http://schemas.openxmlformats.org/officeDocument/2006/relationships/hyperlink" Target="https://www.instagram.com/norolmahdi313/" TargetMode="External"/><Relationship Id="rId21" Type="http://schemas.openxmlformats.org/officeDocument/2006/relationships/hyperlink" Target="https://t.me/aliasgharjavan" TargetMode="External"/><Relationship Id="rId24" Type="http://schemas.openxmlformats.org/officeDocument/2006/relationships/hyperlink" Target="https://www.instagram.com/najm_oficial/" TargetMode="External"/><Relationship Id="rId23" Type="http://schemas.openxmlformats.org/officeDocument/2006/relationships/hyperlink" Target="https://t.me/norolmahdi313" TargetMode="External"/><Relationship Id="rId26" Type="http://schemas.openxmlformats.org/officeDocument/2006/relationships/hyperlink" Target="https://www.instagram.com/mahdie_emam_hasan_mojtaba/" TargetMode="External"/><Relationship Id="rId25" Type="http://schemas.openxmlformats.org/officeDocument/2006/relationships/hyperlink" Target="https://www.instagram.com/masjedbaghyatallah/" TargetMode="External"/><Relationship Id="rId28" Type="http://schemas.openxmlformats.org/officeDocument/2006/relationships/hyperlink" Target="https://t.me/razmandeganbojnurd" TargetMode="External"/><Relationship Id="rId27" Type="http://schemas.openxmlformats.org/officeDocument/2006/relationships/hyperlink" Target="https://www.instagram.com/razmandeganbojnurd/" TargetMode="External"/><Relationship Id="rId29" Type="http://schemas.openxmlformats.org/officeDocument/2006/relationships/hyperlink" Target="https://eitaa.com/razmndgan_jame" TargetMode="External"/><Relationship Id="rId11" Type="http://schemas.openxmlformats.org/officeDocument/2006/relationships/hyperlink" Target="https://www.instagram.com/mshohada_ir/" TargetMode="External"/><Relationship Id="rId10" Type="http://schemas.openxmlformats.org/officeDocument/2006/relationships/hyperlink" Target="https://www.instagram.com/emamhasanaskari_esf99/" TargetMode="External"/><Relationship Id="rId13" Type="http://schemas.openxmlformats.org/officeDocument/2006/relationships/hyperlink" Target="https://t.me/tofighian_133" TargetMode="External"/><Relationship Id="rId12" Type="http://schemas.openxmlformats.org/officeDocument/2006/relationships/hyperlink" Target="https://www.instagram.com/tofighian_133/" TargetMode="External"/><Relationship Id="rId15" Type="http://schemas.openxmlformats.org/officeDocument/2006/relationships/hyperlink" Target="https://t.me/emamhasanaskari_esf" TargetMode="External"/><Relationship Id="rId14" Type="http://schemas.openxmlformats.org/officeDocument/2006/relationships/hyperlink" Target="https://www.instagram.com/emamhasanaskari_esf/" TargetMode="External"/><Relationship Id="rId17" Type="http://schemas.openxmlformats.org/officeDocument/2006/relationships/hyperlink" Target="https://eitaa.com/mahdiye_heyat" TargetMode="External"/><Relationship Id="rId16" Type="http://schemas.openxmlformats.org/officeDocument/2006/relationships/hyperlink" Target="https://www.instagram.com/hoseinjan_bojnord" TargetMode="External"/><Relationship Id="rId19" Type="http://schemas.openxmlformats.org/officeDocument/2006/relationships/hyperlink" Target="https://www.instagram.com/sarallah.esf/" TargetMode="External"/><Relationship Id="rId18" Type="http://schemas.openxmlformats.org/officeDocument/2006/relationships/hyperlink" Target="https://eitaa.com/razmande" TargetMode="External"/><Relationship Id="rId84" Type="http://schemas.openxmlformats.org/officeDocument/2006/relationships/hyperlink" Target="https://eitaa.com/mesbaholhoda_bojnourd" TargetMode="External"/><Relationship Id="rId83" Type="http://schemas.openxmlformats.org/officeDocument/2006/relationships/hyperlink" Target="https://t.me/mesbaholhoda_bojnourd" TargetMode="External"/><Relationship Id="rId86" Type="http://schemas.openxmlformats.org/officeDocument/2006/relationships/hyperlink" Target="https://www.instagram.com/rozatolshohada_boj/" TargetMode="External"/><Relationship Id="rId85" Type="http://schemas.openxmlformats.org/officeDocument/2006/relationships/hyperlink" Target="https://www.instagram.com/asheghan.haramein/" TargetMode="External"/><Relationship Id="rId88" Type="http://schemas.openxmlformats.org/officeDocument/2006/relationships/hyperlink" Target="https://www.instagram.com/mahdaviyoon_bojnurd/" TargetMode="External"/><Relationship Id="rId87" Type="http://schemas.openxmlformats.org/officeDocument/2006/relationships/hyperlink" Target="https://www.instagram.com/masjedenqelab/" TargetMode="External"/><Relationship Id="rId89" Type="http://schemas.openxmlformats.org/officeDocument/2006/relationships/hyperlink" Target="https://www.instagram.com/heyatmontazeranmahdibojnurd/" TargetMode="External"/><Relationship Id="rId80" Type="http://schemas.openxmlformats.org/officeDocument/2006/relationships/hyperlink" Target="https://www.instagram.com/heyat_divaneganhoseini/" TargetMode="External"/><Relationship Id="rId82" Type="http://schemas.openxmlformats.org/officeDocument/2006/relationships/hyperlink" Target="https://www.instagram.com/mesbaholhoda_bojnourd/" TargetMode="External"/><Relationship Id="rId81" Type="http://schemas.openxmlformats.org/officeDocument/2006/relationships/hyperlink" Target="https://www.instagram.com/heyat_hazratghasem_boj/" TargetMode="External"/><Relationship Id="rId73" Type="http://schemas.openxmlformats.org/officeDocument/2006/relationships/hyperlink" Target="https://www.instagram.com/shahzade_alieakbar/" TargetMode="External"/><Relationship Id="rId72" Type="http://schemas.openxmlformats.org/officeDocument/2006/relationships/hyperlink" Target="https://www.instagram.com/heyat.abolfazlihaa/" TargetMode="External"/><Relationship Id="rId75" Type="http://schemas.openxmlformats.org/officeDocument/2006/relationships/hyperlink" Target="https://www.instagram.com/ashab.alhosein/" TargetMode="External"/><Relationship Id="rId74" Type="http://schemas.openxmlformats.org/officeDocument/2006/relationships/hyperlink" Target="https://www.instagram.com/abolfazlirazavi_bojnourd/" TargetMode="External"/><Relationship Id="rId77" Type="http://schemas.openxmlformats.org/officeDocument/2006/relationships/hyperlink" Target="https://t.me/RozatolHossein128" TargetMode="External"/><Relationship Id="rId76" Type="http://schemas.openxmlformats.org/officeDocument/2006/relationships/hyperlink" Target="https://www.instagram.com/rozatolhossein.boj/" TargetMode="External"/><Relationship Id="rId79" Type="http://schemas.openxmlformats.org/officeDocument/2006/relationships/hyperlink" Target="http://t.me/javananbaqiatolah" TargetMode="External"/><Relationship Id="rId78" Type="http://schemas.openxmlformats.org/officeDocument/2006/relationships/hyperlink" Target="https://www.instagram.com/hy_javanan.baghyatallah/" TargetMode="External"/><Relationship Id="rId71" Type="http://schemas.openxmlformats.org/officeDocument/2006/relationships/hyperlink" Target="https://www.instagram.com/hyatjavanansahebalzaman1401/" TargetMode="External"/><Relationship Id="rId70" Type="http://schemas.openxmlformats.org/officeDocument/2006/relationships/hyperlink" Target="https://t.me/heatjavanansahebalzman" TargetMode="External"/><Relationship Id="rId62" Type="http://schemas.openxmlformats.org/officeDocument/2006/relationships/hyperlink" Target="https://eitaa.com/banovanyafatemezahr" TargetMode="External"/><Relationship Id="rId61" Type="http://schemas.openxmlformats.org/officeDocument/2006/relationships/hyperlink" Target="https://www.instagram.com/ya.fatemezahra.banovan/" TargetMode="External"/><Relationship Id="rId64" Type="http://schemas.openxmlformats.org/officeDocument/2006/relationships/hyperlink" Target="https://t.me/heyatbaghyatallah" TargetMode="External"/><Relationship Id="rId63" Type="http://schemas.openxmlformats.org/officeDocument/2006/relationships/hyperlink" Target="https://www.instagram.com/heyatbaghyatallah/" TargetMode="External"/><Relationship Id="rId66" Type="http://schemas.openxmlformats.org/officeDocument/2006/relationships/hyperlink" Target="https://t.me/h_oshaghalmahdi" TargetMode="External"/><Relationship Id="rId65" Type="http://schemas.openxmlformats.org/officeDocument/2006/relationships/hyperlink" Target="https://www.instagram.com/oshaghalmahdi313/" TargetMode="External"/><Relationship Id="rId68" Type="http://schemas.openxmlformats.org/officeDocument/2006/relationships/hyperlink" Target="https://www.instagram.com/baitul_hassan_mojtaba/" TargetMode="External"/><Relationship Id="rId67" Type="http://schemas.openxmlformats.org/officeDocument/2006/relationships/hyperlink" Target="https://www.instagram.com/heiathobbolhosin_313/" TargetMode="External"/><Relationship Id="rId60" Type="http://schemas.openxmlformats.org/officeDocument/2006/relationships/hyperlink" Target="https://www.instagram.com/doteflanmoslem_bojnourd/" TargetMode="External"/><Relationship Id="rId69" Type="http://schemas.openxmlformats.org/officeDocument/2006/relationships/hyperlink" Target="https://www.instagram.com/hyatjavanansahebalzman/" TargetMode="External"/><Relationship Id="rId51" Type="http://schemas.openxmlformats.org/officeDocument/2006/relationships/hyperlink" Target="https://www.instagram.com/heyat_saheb_azaman/" TargetMode="External"/><Relationship Id="rId50" Type="http://schemas.openxmlformats.org/officeDocument/2006/relationships/hyperlink" Target="https://www.instagram.com/azamchhardhemasom" TargetMode="External"/><Relationship Id="rId53" Type="http://schemas.openxmlformats.org/officeDocument/2006/relationships/hyperlink" Target="https://eitaa.com/HEYAT_ALHADI" TargetMode="External"/><Relationship Id="rId52" Type="http://schemas.openxmlformats.org/officeDocument/2006/relationships/hyperlink" Target="https://www.instagram.com/heyat_alhadi" TargetMode="External"/><Relationship Id="rId55" Type="http://schemas.openxmlformats.org/officeDocument/2006/relationships/hyperlink" Target="https://t.me/Seyedushohada1" TargetMode="External"/><Relationship Id="rId54" Type="http://schemas.openxmlformats.org/officeDocument/2006/relationships/hyperlink" Target="https://www.instagram.com/seyedushohada21/" TargetMode="External"/><Relationship Id="rId57" Type="http://schemas.openxmlformats.org/officeDocument/2006/relationships/hyperlink" Target="https://www.instagram.com/nkums_heiat/" TargetMode="External"/><Relationship Id="rId56" Type="http://schemas.openxmlformats.org/officeDocument/2006/relationships/hyperlink" Target="https://eitaa.com/seyedushohada1" TargetMode="External"/><Relationship Id="rId59" Type="http://schemas.openxmlformats.org/officeDocument/2006/relationships/hyperlink" Target="https://www.instagram.com/heyat_asheghan_binolharamein/" TargetMode="External"/><Relationship Id="rId58" Type="http://schemas.openxmlformats.org/officeDocument/2006/relationships/hyperlink" Target="https://t.me/nkums_heiat" TargetMode="External"/><Relationship Id="rId95" Type="http://schemas.openxmlformats.org/officeDocument/2006/relationships/hyperlink" Target="https://www.instagram.com/seyyedoshohada_boj/" TargetMode="External"/><Relationship Id="rId94" Type="http://schemas.openxmlformats.org/officeDocument/2006/relationships/hyperlink" Target="https://www.instagram.com/heyat.almahdi_ub/" TargetMode="External"/><Relationship Id="rId97" Type="http://schemas.openxmlformats.org/officeDocument/2006/relationships/hyperlink" Target="https://t.me/mohebbanolreza" TargetMode="External"/><Relationship Id="rId96" Type="http://schemas.openxmlformats.org/officeDocument/2006/relationships/hyperlink" Target="https://www.instagram.com/mohebbanolreza?utm_source=ig_web_button_share_sheet&amp;igsh=ZDNlZDc0MzIxNw==" TargetMode="External"/><Relationship Id="rId99" Type="http://schemas.openxmlformats.org/officeDocument/2006/relationships/hyperlink" Target="https://www.instagram.com/oshaghalmahdi313/" TargetMode="External"/><Relationship Id="rId98" Type="http://schemas.openxmlformats.org/officeDocument/2006/relationships/hyperlink" Target="https://www.instagram.com/shahzadealiasghar_bojnord" TargetMode="External"/><Relationship Id="rId91" Type="http://schemas.openxmlformats.org/officeDocument/2006/relationships/hyperlink" Target="https://www.instagram.com/heyat_sajadieh_bojnurd/" TargetMode="External"/><Relationship Id="rId90" Type="http://schemas.openxmlformats.org/officeDocument/2006/relationships/hyperlink" Target="https://t.me/montazeranmahdibojnurd" TargetMode="External"/><Relationship Id="rId93" Type="http://schemas.openxmlformats.org/officeDocument/2006/relationships/hyperlink" Target="https://www.instagram.com/ansaralmahdi_bojnord/" TargetMode="External"/><Relationship Id="rId92" Type="http://schemas.openxmlformats.org/officeDocument/2006/relationships/hyperlink" Target="https://www.instagram.com/maktabolhosain/" TargetMode="External"/><Relationship Id="rId217" Type="http://schemas.openxmlformats.org/officeDocument/2006/relationships/hyperlink" Target="https://eitaa.com/hosseineyehkhaledabad" TargetMode="External"/><Relationship Id="rId216" Type="http://schemas.openxmlformats.org/officeDocument/2006/relationships/hyperlink" Target="https://eitaa.com/ansaralmahdi_bojnord" TargetMode="External"/><Relationship Id="rId215" Type="http://schemas.openxmlformats.org/officeDocument/2006/relationships/hyperlink" Target="https://www.instagram.com/mesbaah_art/" TargetMode="External"/><Relationship Id="rId214" Type="http://schemas.openxmlformats.org/officeDocument/2006/relationships/hyperlink" Target="https://www.instagram.com/maktab_abbas_garmeh" TargetMode="External"/><Relationship Id="rId219" Type="http://schemas.openxmlformats.org/officeDocument/2006/relationships/drawing" Target="../drawings/drawing15.xml"/><Relationship Id="rId218" Type="http://schemas.openxmlformats.org/officeDocument/2006/relationships/hyperlink" Target="https://eitaa.com/yafatematazahrainfo" TargetMode="External"/><Relationship Id="rId213" Type="http://schemas.openxmlformats.org/officeDocument/2006/relationships/hyperlink" Target="https://t.me/heyatolreza1001" TargetMode="External"/><Relationship Id="rId212" Type="http://schemas.openxmlformats.org/officeDocument/2006/relationships/hyperlink" Target="https://www.instagram.com/heyatolreza1001/" TargetMode="External"/><Relationship Id="rId211" Type="http://schemas.openxmlformats.org/officeDocument/2006/relationships/hyperlink" Target="https://t.me/Khademinn_213" TargetMode="External"/><Relationship Id="rId210" Type="http://schemas.openxmlformats.org/officeDocument/2006/relationships/hyperlink" Target="https://www.instagram.com/khademin__213/" TargetMode="External"/><Relationship Id="rId206" Type="http://schemas.openxmlformats.org/officeDocument/2006/relationships/hyperlink" Target="https://t.me/heyatolreza1001" TargetMode="External"/><Relationship Id="rId205" Type="http://schemas.openxmlformats.org/officeDocument/2006/relationships/hyperlink" Target="https://www.instagram.com/heyatolreza1001/" TargetMode="External"/><Relationship Id="rId204" Type="http://schemas.openxmlformats.org/officeDocument/2006/relationships/hyperlink" Target="https://www.instagram.com/h_fatemiyon_daragh/" TargetMode="External"/><Relationship Id="rId203" Type="http://schemas.openxmlformats.org/officeDocument/2006/relationships/hyperlink" Target="https://www.instagram.com/teflorrazie110/" TargetMode="External"/><Relationship Id="rId209" Type="http://schemas.openxmlformats.org/officeDocument/2006/relationships/hyperlink" Target="https://www.instagram.com/hasan.jaan118/" TargetMode="External"/><Relationship Id="rId208" Type="http://schemas.openxmlformats.org/officeDocument/2006/relationships/hyperlink" Target="https://t.me/tarigh_Shohada57" TargetMode="External"/><Relationship Id="rId207" Type="http://schemas.openxmlformats.org/officeDocument/2006/relationships/hyperlink" Target="https://www.instagram.com/tarigh_shohada57/" TargetMode="External"/><Relationship Id="rId202" Type="http://schemas.openxmlformats.org/officeDocument/2006/relationships/hyperlink" Target="https://www.instagram.com/helma.art.media/" TargetMode="External"/><Relationship Id="rId201" Type="http://schemas.openxmlformats.org/officeDocument/2006/relationships/hyperlink" Target="https://t.me/heiat_motevaseliiin" TargetMode="External"/><Relationship Id="rId200" Type="http://schemas.openxmlformats.org/officeDocument/2006/relationships/hyperlink" Target="https://www.instagram.com/heiat_motevaseliiin" TargetMode="External"/><Relationship Id="rId1" Type="http://schemas.openxmlformats.org/officeDocument/2006/relationships/hyperlink" Target="https://www.instagram.com/heyat_qamarbanihashem_ash.ir?utm_source=ig_web_button_share_sheet&amp;igsh=ZDNlZDc0MzIxNw==" TargetMode="External"/><Relationship Id="rId2" Type="http://schemas.openxmlformats.org/officeDocument/2006/relationships/hyperlink" Target="https://t.me/ASHKHANEH133" TargetMode="External"/><Relationship Id="rId3" Type="http://schemas.openxmlformats.org/officeDocument/2006/relationships/hyperlink" Target="https://www.instagram.com/alamdar_esf133/" TargetMode="External"/><Relationship Id="rId4" Type="http://schemas.openxmlformats.org/officeDocument/2006/relationships/hyperlink" Target="https://eitaa.com/alamdar_esf133" TargetMode="External"/><Relationship Id="rId9" Type="http://schemas.openxmlformats.org/officeDocument/2006/relationships/hyperlink" Target="https://eitaa.com/zovarzahra_esf" TargetMode="External"/><Relationship Id="rId5" Type="http://schemas.openxmlformats.org/officeDocument/2006/relationships/hyperlink" Target="https://www.instagram.com/rayat_esf/" TargetMode="External"/><Relationship Id="rId6" Type="http://schemas.openxmlformats.org/officeDocument/2006/relationships/hyperlink" Target="https://eitaa.com/rayat_esf" TargetMode="External"/><Relationship Id="rId7" Type="http://schemas.openxmlformats.org/officeDocument/2006/relationships/hyperlink" Target="https://www.instagram.com/zovarozahra_esf/" TargetMode="External"/><Relationship Id="rId8" Type="http://schemas.openxmlformats.org/officeDocument/2006/relationships/hyperlink" Target="https://t.me/zovarozahra_esf" TargetMode="External"/></Relationships>
</file>

<file path=xl/worksheets/_rels/sheet16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saheb_alzaman_shiraz" TargetMode="External"/><Relationship Id="rId194" Type="http://schemas.openxmlformats.org/officeDocument/2006/relationships/hyperlink" Target="https://www.instagram.com/shohada313gomnam" TargetMode="External"/><Relationship Id="rId193" Type="http://schemas.openxmlformats.org/officeDocument/2006/relationships/hyperlink" Target="https://www.instagram.com/teshnegan_e_shahadat/" TargetMode="External"/><Relationship Id="rId192" Type="http://schemas.openxmlformats.org/officeDocument/2006/relationships/hyperlink" Target="https://www.instagram.com/heiat_rayatolhoda_fasa/" TargetMode="External"/><Relationship Id="rId191" Type="http://schemas.openxmlformats.org/officeDocument/2006/relationships/hyperlink" Target="https://www.instagram.com/heyat_maktababbas/" TargetMode="External"/><Relationship Id="rId187" Type="http://schemas.openxmlformats.org/officeDocument/2006/relationships/hyperlink" Target="https://www.instagram.com/ravayat.gomnami/" TargetMode="External"/><Relationship Id="rId186" Type="http://schemas.openxmlformats.org/officeDocument/2006/relationships/hyperlink" Target="https://www.instagram.com/javadiun_ir/" TargetMode="External"/><Relationship Id="rId185" Type="http://schemas.openxmlformats.org/officeDocument/2006/relationships/hyperlink" Target="https://www.instagram.com/jehsh.ir" TargetMode="External"/><Relationship Id="rId184" Type="http://schemas.openxmlformats.org/officeDocument/2006/relationships/hyperlink" Target="https://www.instagram.com/seyyedanmokeb/" TargetMode="External"/><Relationship Id="rId189" Type="http://schemas.openxmlformats.org/officeDocument/2006/relationships/hyperlink" Target="https://www.instagram.com/heiat_hobolhossein_shiraz" TargetMode="External"/><Relationship Id="rId188" Type="http://schemas.openxmlformats.org/officeDocument/2006/relationships/hyperlink" Target="https://www.instagram.com/mohebban_ahlebeit_shiraz/" TargetMode="External"/><Relationship Id="rId183" Type="http://schemas.openxmlformats.org/officeDocument/2006/relationships/hyperlink" Target="https://www.instagram.com/chahardahmasom_org/" TargetMode="External"/><Relationship Id="rId182" Type="http://schemas.openxmlformats.org/officeDocument/2006/relationships/hyperlink" Target="https://www.instagram.com/hiaat_abalfazl_abas" TargetMode="External"/><Relationship Id="rId181" Type="http://schemas.openxmlformats.org/officeDocument/2006/relationships/hyperlink" Target="https://eitaa.com/mokebAnsaralHussein1212" TargetMode="External"/><Relationship Id="rId180" Type="http://schemas.openxmlformats.org/officeDocument/2006/relationships/hyperlink" Target="https://www.instagram.com/fatemiyon_drb/" TargetMode="External"/><Relationship Id="rId176" Type="http://schemas.openxmlformats.org/officeDocument/2006/relationships/hyperlink" Target="https://www.instagram.com/mohebbaneshohada/" TargetMode="External"/><Relationship Id="rId175" Type="http://schemas.openxmlformats.org/officeDocument/2006/relationships/hyperlink" Target="https://www.instagram.com/fatemiyoun_firoozabad/" TargetMode="External"/><Relationship Id="rId174" Type="http://schemas.openxmlformats.org/officeDocument/2006/relationships/hyperlink" Target="https://www.instagram.com/_m_h1394/" TargetMode="External"/><Relationship Id="rId173" Type="http://schemas.openxmlformats.org/officeDocument/2006/relationships/hyperlink" Target="https://www.instagram.com/kanonnfarhangi_cilip" TargetMode="External"/><Relationship Id="rId179" Type="http://schemas.openxmlformats.org/officeDocument/2006/relationships/hyperlink" Target="https://www.instagram.com/fatemiyounlamerd/" TargetMode="External"/><Relationship Id="rId178" Type="http://schemas.openxmlformats.org/officeDocument/2006/relationships/hyperlink" Target="https://www.instagram.com/moheban_mahdi_darab" TargetMode="External"/><Relationship Id="rId177" Type="http://schemas.openxmlformats.org/officeDocument/2006/relationships/hyperlink" Target="https://www.instagram.com/razmandegandarab.ir" TargetMode="External"/><Relationship Id="rId198" Type="http://schemas.openxmlformats.org/officeDocument/2006/relationships/hyperlink" Target="https://www.instagram.com/fater_ir/reels/" TargetMode="External"/><Relationship Id="rId197" Type="http://schemas.openxmlformats.org/officeDocument/2006/relationships/hyperlink" Target="https://www.instagram.com/heiatefadaeeaneabalfazl/" TargetMode="External"/><Relationship Id="rId196" Type="http://schemas.openxmlformats.org/officeDocument/2006/relationships/hyperlink" Target="https://www.instagram.com/belal.enghlab" TargetMode="External"/><Relationship Id="rId195" Type="http://schemas.openxmlformats.org/officeDocument/2006/relationships/hyperlink" Target="https://www.instagram.com/fadaeeyane_abalfazl/" TargetMode="External"/><Relationship Id="rId199" Type="http://schemas.openxmlformats.org/officeDocument/2006/relationships/hyperlink" Target="https://www.instagram.com/masjed_abolfazl_ghir/" TargetMode="External"/><Relationship Id="rId150" Type="http://schemas.openxmlformats.org/officeDocument/2006/relationships/hyperlink" Target="https://www.instagram.com/mohebin_azahra" TargetMode="External"/><Relationship Id="rId149" Type="http://schemas.openxmlformats.org/officeDocument/2006/relationships/hyperlink" Target="https://www.instagram.com/heyat.hazrat.ali.akbar" TargetMode="External"/><Relationship Id="rId148" Type="http://schemas.openxmlformats.org/officeDocument/2006/relationships/hyperlink" Target="https://www.instagram.com/jannesaran_133/" TargetMode="External"/><Relationship Id="rId143" Type="http://schemas.openxmlformats.org/officeDocument/2006/relationships/hyperlink" Target="https://www.instagram.com/Heyat_EmamHasan1/" TargetMode="External"/><Relationship Id="rId142" Type="http://schemas.openxmlformats.org/officeDocument/2006/relationships/hyperlink" Target="https://www.instagram.com/almahdi_shiraz/" TargetMode="External"/><Relationship Id="rId141" Type="http://schemas.openxmlformats.org/officeDocument/2006/relationships/hyperlink" Target="https://www.instagram.com/kaffolabbas1/" TargetMode="External"/><Relationship Id="rId140" Type="http://schemas.openxmlformats.org/officeDocument/2006/relationships/hyperlink" Target="https://www.instagram.com/madinealnabi_ir" TargetMode="External"/><Relationship Id="rId147" Type="http://schemas.openxmlformats.org/officeDocument/2006/relationships/hyperlink" Target="https://www.instagram.com/oshagh_revagh313/" TargetMode="External"/><Relationship Id="rId146" Type="http://schemas.openxmlformats.org/officeDocument/2006/relationships/hyperlink" Target="https://www.instagram.com/mohebbine_ale_taha_shiraz" TargetMode="External"/><Relationship Id="rId145" Type="http://schemas.openxmlformats.org/officeDocument/2006/relationships/hyperlink" Target="https://www.instagram.com/maktabshiraz1388/" TargetMode="External"/><Relationship Id="rId144" Type="http://schemas.openxmlformats.org/officeDocument/2006/relationships/hyperlink" Target="https://www.instagram.com/aliasgharshiraz.h" TargetMode="External"/><Relationship Id="rId139" Type="http://schemas.openxmlformats.org/officeDocument/2006/relationships/hyperlink" Target="https://www.instagram.com/fadaeeyane_abalfazl/" TargetMode="External"/><Relationship Id="rId138" Type="http://schemas.openxmlformats.org/officeDocument/2006/relationships/hyperlink" Target="https://www.instagram.com/hiaat_abalfazl_abas" TargetMode="External"/><Relationship Id="rId137" Type="http://schemas.openxmlformats.org/officeDocument/2006/relationships/hyperlink" Target="https://www.instagram.com/masjed_sadegh/" TargetMode="External"/><Relationship Id="rId132" Type="http://schemas.openxmlformats.org/officeDocument/2006/relationships/hyperlink" Target="https://www.instagram.com/masjed_hazratzinab.s" TargetMode="External"/><Relationship Id="rId131" Type="http://schemas.openxmlformats.org/officeDocument/2006/relationships/hyperlink" Target="https://www.instagram.com/khodam_al_hossein/" TargetMode="External"/><Relationship Id="rId130" Type="http://schemas.openxmlformats.org/officeDocument/2006/relationships/hyperlink" Target="https://www.instagram.com/beyt_alzahra_shiraz/" TargetMode="External"/><Relationship Id="rId136" Type="http://schemas.openxmlformats.org/officeDocument/2006/relationships/hyperlink" Target="https://www.instagram.com/ghamar.bani.hashem_" TargetMode="External"/><Relationship Id="rId135" Type="http://schemas.openxmlformats.org/officeDocument/2006/relationships/hyperlink" Target="https://www.instagram.com/alamdarkarbala43390" TargetMode="External"/><Relationship Id="rId134" Type="http://schemas.openxmlformats.org/officeDocument/2006/relationships/hyperlink" Target="https://www.instagram.com/ghasemibnalhasan1388" TargetMode="External"/><Relationship Id="rId133" Type="http://schemas.openxmlformats.org/officeDocument/2006/relationships/hyperlink" Target="https://www.instagram.com/heyat_aghilatolarab1" TargetMode="External"/><Relationship Id="rId172" Type="http://schemas.openxmlformats.org/officeDocument/2006/relationships/hyperlink" Target="https://www.instagram.com/bokaalhosein/" TargetMode="External"/><Relationship Id="rId171" Type="http://schemas.openxmlformats.org/officeDocument/2006/relationships/hyperlink" Target="https://www.instagram.com/heyat_rahrovan_shohada" TargetMode="External"/><Relationship Id="rId170" Type="http://schemas.openxmlformats.org/officeDocument/2006/relationships/hyperlink" Target="https://www.instagram.com/mohebin_315" TargetMode="External"/><Relationship Id="rId165" Type="http://schemas.openxmlformats.org/officeDocument/2006/relationships/hyperlink" Target="https://www.instagram.com/heyat_fatemion_mozafari/" TargetMode="External"/><Relationship Id="rId164" Type="http://schemas.openxmlformats.org/officeDocument/2006/relationships/hyperlink" Target="https://www.instagram.com/mzohoor.ir/" TargetMode="External"/><Relationship Id="rId163" Type="http://schemas.openxmlformats.org/officeDocument/2006/relationships/hyperlink" Target="https://www.instagram.com/h_r_z_fa/" TargetMode="External"/><Relationship Id="rId162" Type="http://schemas.openxmlformats.org/officeDocument/2006/relationships/hyperlink" Target="https://www.instagram.com/haram_shahzadeghasem" TargetMode="External"/><Relationship Id="rId169" Type="http://schemas.openxmlformats.org/officeDocument/2006/relationships/hyperlink" Target="https://www.instagram.com/m_z_shiraz/" TargetMode="External"/><Relationship Id="rId168" Type="http://schemas.openxmlformats.org/officeDocument/2006/relationships/hyperlink" Target="https://www.instagram.com/cafe.shohada" TargetMode="External"/><Relationship Id="rId167" Type="http://schemas.openxmlformats.org/officeDocument/2006/relationships/hyperlink" Target="https://www.instagram.com/sarallah_shiraz" TargetMode="External"/><Relationship Id="rId166" Type="http://schemas.openxmlformats.org/officeDocument/2006/relationships/hyperlink" Target="https://www.instagram.com/razmandegan_ars" TargetMode="External"/><Relationship Id="rId161" Type="http://schemas.openxmlformats.org/officeDocument/2006/relationships/hyperlink" Target="https://www.instagram.com/rezwan_ir" TargetMode="External"/><Relationship Id="rId160" Type="http://schemas.openxmlformats.org/officeDocument/2006/relationships/hyperlink" Target="https://www.instagram.com/masjed.abolfazl.kolbeh/?hl=en" TargetMode="External"/><Relationship Id="rId159" Type="http://schemas.openxmlformats.org/officeDocument/2006/relationships/hyperlink" Target="https://www.instagram.com/ravayat.gomnami/" TargetMode="External"/><Relationship Id="rId154" Type="http://schemas.openxmlformats.org/officeDocument/2006/relationships/hyperlink" Target="https://www.instagram.com/rayatolmahdi" TargetMode="External"/><Relationship Id="rId153" Type="http://schemas.openxmlformats.org/officeDocument/2006/relationships/hyperlink" Target="https://www.instagram.com/torbat_page/" TargetMode="External"/><Relationship Id="rId152" Type="http://schemas.openxmlformats.org/officeDocument/2006/relationships/hyperlink" Target="https://www.instagram.com/kanoon_fadaeian" TargetMode="External"/><Relationship Id="rId151" Type="http://schemas.openxmlformats.org/officeDocument/2006/relationships/hyperlink" Target="https://www.instagram.com/yasininfo/" TargetMode="External"/><Relationship Id="rId158" Type="http://schemas.openxmlformats.org/officeDocument/2006/relationships/hyperlink" Target="https://www.instagram.com/helma_group_/" TargetMode="External"/><Relationship Id="rId157" Type="http://schemas.openxmlformats.org/officeDocument/2006/relationships/hyperlink" Target="https://www.instagram.com/heate_zenabeyon_lamerd/" TargetMode="External"/><Relationship Id="rId156" Type="http://schemas.openxmlformats.org/officeDocument/2006/relationships/hyperlink" Target="https://www.instagram.com/ansarevelayat.safashahr/" TargetMode="External"/><Relationship Id="rId155" Type="http://schemas.openxmlformats.org/officeDocument/2006/relationships/hyperlink" Target="https://www.instagram.com/vasl313_/" TargetMode="External"/><Relationship Id="rId107" Type="http://schemas.openxmlformats.org/officeDocument/2006/relationships/hyperlink" Target="https://www.instagram.com/moheban.hazrat.zeynab?utm_source=ig_web_button_share_sheet&amp;igsh=ZDNlZDc0MzIxNw==" TargetMode="External"/><Relationship Id="rId106" Type="http://schemas.openxmlformats.org/officeDocument/2006/relationships/hyperlink" Target="https://www.instagram.com/shohada313gomnam" TargetMode="External"/><Relationship Id="rId105" Type="http://schemas.openxmlformats.org/officeDocument/2006/relationships/hyperlink" Target="https://eitaa.com/fatemiyounlamerd" TargetMode="External"/><Relationship Id="rId104" Type="http://schemas.openxmlformats.org/officeDocument/2006/relationships/hyperlink" Target="https://www.instagram.com/safiran_zeynab95" TargetMode="External"/><Relationship Id="rId109" Type="http://schemas.openxmlformats.org/officeDocument/2006/relationships/hyperlink" Target="https://www.instagram.com/tazieh.qaderabad" TargetMode="External"/><Relationship Id="rId108" Type="http://schemas.openxmlformats.org/officeDocument/2006/relationships/hyperlink" Target="https://www.instagram.com/tazieh.qaderabad" TargetMode="External"/><Relationship Id="rId103" Type="http://schemas.openxmlformats.org/officeDocument/2006/relationships/hyperlink" Target="https://www.instagram.com/moheban_hosein_shz" TargetMode="External"/><Relationship Id="rId102" Type="http://schemas.openxmlformats.org/officeDocument/2006/relationships/hyperlink" Target="https://www.instagram.com/heyatorezaneyriz/" TargetMode="External"/><Relationship Id="rId101" Type="http://schemas.openxmlformats.org/officeDocument/2006/relationships/hyperlink" Target="https://www.instagram.com/saheb_alzaman_shiraz?utm_source=ig_web_button_share_sheet&amp;igsh=ZDNlZDc0MzIxNw==" TargetMode="External"/><Relationship Id="rId100" Type="http://schemas.openxmlformats.org/officeDocument/2006/relationships/hyperlink" Target="https://www.instagram.com/heiatolabbas_firoozabbad" TargetMode="External"/><Relationship Id="rId129" Type="http://schemas.openxmlformats.org/officeDocument/2006/relationships/hyperlink" Target="https://www.instagram.com/heiat_janat_alhossein/" TargetMode="External"/><Relationship Id="rId128" Type="http://schemas.openxmlformats.org/officeDocument/2006/relationships/hyperlink" Target="https://www.instagram.com/heiatorezashiraz" TargetMode="External"/><Relationship Id="rId127" Type="http://schemas.openxmlformats.org/officeDocument/2006/relationships/hyperlink" Target="https://eitaa.com/majmashiraz313/?" TargetMode="External"/><Relationship Id="rId126" Type="http://schemas.openxmlformats.org/officeDocument/2006/relationships/hyperlink" Target="https://www.instagram.com/heiatsu_ir" TargetMode="External"/><Relationship Id="rId121" Type="http://schemas.openxmlformats.org/officeDocument/2006/relationships/hyperlink" Target="https://www.instagram.com/_rozeh_shohada/" TargetMode="External"/><Relationship Id="rId120" Type="http://schemas.openxmlformats.org/officeDocument/2006/relationships/hyperlink" Target="https://www.instagram.com/khademo_reza9/" TargetMode="External"/><Relationship Id="rId125" Type="http://schemas.openxmlformats.org/officeDocument/2006/relationships/hyperlink" Target="https://www.instagram.com/_oshagh_alhosein/" TargetMode="External"/><Relationship Id="rId124" Type="http://schemas.openxmlformats.org/officeDocument/2006/relationships/hyperlink" Target="https://www.instagram.com/tekye.f.zahra/" TargetMode="External"/><Relationship Id="rId123" Type="http://schemas.openxmlformats.org/officeDocument/2006/relationships/hyperlink" Target="https://www.instagram.com/heyatalhossein" TargetMode="External"/><Relationship Id="rId122" Type="http://schemas.openxmlformats.org/officeDocument/2006/relationships/hyperlink" Target="https://www.instagram.com/fatemyion" TargetMode="External"/><Relationship Id="rId118" Type="http://schemas.openxmlformats.org/officeDocument/2006/relationships/hyperlink" Target="https://www.instagram.com/m_z_shiraz" TargetMode="External"/><Relationship Id="rId117" Type="http://schemas.openxmlformats.org/officeDocument/2006/relationships/hyperlink" Target="https://www.instagram.com/maktab_a_zahra/" TargetMode="External"/><Relationship Id="rId116" Type="http://schemas.openxmlformats.org/officeDocument/2006/relationships/hyperlink" Target="https://www.instagram.com/h.fatemiyon" TargetMode="External"/><Relationship Id="rId115" Type="http://schemas.openxmlformats.org/officeDocument/2006/relationships/hyperlink" Target="https://www.instagram.com/sayedalshohadaa128/" TargetMode="External"/><Relationship Id="rId119" Type="http://schemas.openxmlformats.org/officeDocument/2006/relationships/hyperlink" Target="https://www.instagram.com/lesaratshiraz/" TargetMode="External"/><Relationship Id="rId110" Type="http://schemas.openxmlformats.org/officeDocument/2006/relationships/hyperlink" Target="https://www.instagram.com/bab.alhavaej.marvdasht?utm_source=ig_web_button_share_sheet&amp;igsh=ZDNlZDc0MzIxNw==" TargetMode="External"/><Relationship Id="rId114" Type="http://schemas.openxmlformats.org/officeDocument/2006/relationships/hyperlink" Target="https://www.instagram.com/masjedemamali_ashkanan" TargetMode="External"/><Relationship Id="rId113" Type="http://schemas.openxmlformats.org/officeDocument/2006/relationships/hyperlink" Target="https://www.instagram.com/khademin133/" TargetMode="External"/><Relationship Id="rId112" Type="http://schemas.openxmlformats.org/officeDocument/2006/relationships/hyperlink" Target="https://www.instagram.com/heiatomolbanin_faz2/" TargetMode="External"/><Relationship Id="rId111" Type="http://schemas.openxmlformats.org/officeDocument/2006/relationships/hyperlink" Target="https://www.instagram.com/fatemiyeh_com/" TargetMode="External"/><Relationship Id="rId40" Type="http://schemas.openxmlformats.org/officeDocument/2006/relationships/hyperlink" Target="https://www.instagram.com/maktabozahra.jahrom" TargetMode="External"/><Relationship Id="rId42" Type="http://schemas.openxmlformats.org/officeDocument/2006/relationships/hyperlink" Target="https://www.instagram.com/solale.info" TargetMode="External"/><Relationship Id="rId41" Type="http://schemas.openxmlformats.org/officeDocument/2006/relationships/hyperlink" Target="https://www.instagram.com/pahlooshekaste?utm_source=ig_web_button_share_sheet&amp;igsh=ZDNlZDc0MzIxNw==" TargetMode="External"/><Relationship Id="rId44" Type="http://schemas.openxmlformats.org/officeDocument/2006/relationships/hyperlink" Target="https://www.instagram.com/ansaralhosein.jahrom" TargetMode="External"/><Relationship Id="rId43" Type="http://schemas.openxmlformats.org/officeDocument/2006/relationships/hyperlink" Target="https://www.instagram.com/alamdarkarbala133?utm_source=ig_web_button_share_sheet&amp;igsh=ZDNlZDc0MzIxNw==" TargetMode="External"/><Relationship Id="rId46" Type="http://schemas.openxmlformats.org/officeDocument/2006/relationships/hyperlink" Target="https://www.instagram.com/jums_fatemion" TargetMode="External"/><Relationship Id="rId45" Type="http://schemas.openxmlformats.org/officeDocument/2006/relationships/hyperlink" Target="https://www.instagram.com/majar_media/" TargetMode="External"/><Relationship Id="rId48" Type="http://schemas.openxmlformats.org/officeDocument/2006/relationships/hyperlink" Target="https://www.instagram.com/montazeran11.11" TargetMode="External"/><Relationship Id="rId47" Type="http://schemas.openxmlformats.org/officeDocument/2006/relationships/hyperlink" Target="https://www.instagram.com/fadaeeianzeynab?utm_source=ig_web_button_share_sheet&amp;igsh=ZDNlZDc0MzIxNw==" TargetMode="External"/><Relationship Id="rId49" Type="http://schemas.openxmlformats.org/officeDocument/2006/relationships/hyperlink" Target="https://www.instagram.com/razmandegandarab.ir?utm_source=ig_web_button_share_sheet&amp;igsh=ZDNlZDc0MzIxNw==" TargetMode="External"/><Relationship Id="rId31" Type="http://schemas.openxmlformats.org/officeDocument/2006/relationships/hyperlink" Target="https://www.instagram.com/mohebanabolfazl.1" TargetMode="External"/><Relationship Id="rId30" Type="http://schemas.openxmlformats.org/officeDocument/2006/relationships/hyperlink" Target="https://www.instagram.com/heyate_shohadaye_gomnam" TargetMode="External"/><Relationship Id="rId33" Type="http://schemas.openxmlformats.org/officeDocument/2006/relationships/hyperlink" Target="https://www.instagram.com/rahpouyan_vesal?utm_source=ig_web_button_share_sheet&amp;igsh=ZDNlZDc0MzIxNw==" TargetMode="External"/><Relationship Id="rId32" Type="http://schemas.openxmlformats.org/officeDocument/2006/relationships/hyperlink" Target="https://www.instagram.com/heiatsu_ir?utm_source=ig_web_button_share_sheet&amp;igsh=ZDNlZDc0MzIxNw==" TargetMode="External"/><Relationship Id="rId35" Type="http://schemas.openxmlformats.org/officeDocument/2006/relationships/hyperlink" Target="https://www.instagram.com/eshlow.ir" TargetMode="External"/><Relationship Id="rId34" Type="http://schemas.openxmlformats.org/officeDocument/2006/relationships/hyperlink" Target="https://www.instagram.com/hosseinieh_hazrat_abolfazl" TargetMode="External"/><Relationship Id="rId37" Type="http://schemas.openxmlformats.org/officeDocument/2006/relationships/hyperlink" Target="https://www.instagram.com/oshagh_alroghayeh_shiraz" TargetMode="External"/><Relationship Id="rId36" Type="http://schemas.openxmlformats.org/officeDocument/2006/relationships/hyperlink" Target="https://www.instagram.com/asheghane_velayat_es/" TargetMode="External"/><Relationship Id="rId39" Type="http://schemas.openxmlformats.org/officeDocument/2006/relationships/hyperlink" Target="https://www.instagram.com/h.abasaleh.almahdi?utm_source=ig_web_button_share_sheet&amp;igsh=ZDNlZDc0MzIxNw==" TargetMode="External"/><Relationship Id="rId38" Type="http://schemas.openxmlformats.org/officeDocument/2006/relationships/hyperlink" Target="https://www.instagram.com/maktabolhossein" TargetMode="External"/><Relationship Id="rId20" Type="http://schemas.openxmlformats.org/officeDocument/2006/relationships/hyperlink" Target="https://www.instagram.com/jannesaranhossein" TargetMode="External"/><Relationship Id="rId22" Type="http://schemas.openxmlformats.org/officeDocument/2006/relationships/hyperlink" Target="https://www.instagram.com/fatemiyon_drb?utm_source=ig_web_button_share_sheet&amp;igsh=ZDNlZDc0MzIxNw==" TargetMode="External"/><Relationship Id="rId21" Type="http://schemas.openxmlformats.org/officeDocument/2006/relationships/hyperlink" Target="https://www.instagram.com/h.panar.ir" TargetMode="External"/><Relationship Id="rId24" Type="http://schemas.openxmlformats.org/officeDocument/2006/relationships/hyperlink" Target="https://www.instagram.com/moheban_al_mahdi_shiraz_313?utm_source=ig_web_button_share_sheet&amp;igsh=ZDNlZDc0MzIxNw==" TargetMode="External"/><Relationship Id="rId23" Type="http://schemas.openxmlformats.org/officeDocument/2006/relationships/hyperlink" Target="https://www.instagram.com/zainabiun.lar?utm_source=ig_web_button_share_sheet&amp;igsh=ZDNlZDc0MzIxNw==" TargetMode="External"/><Relationship Id="rId26" Type="http://schemas.openxmlformats.org/officeDocument/2006/relationships/hyperlink" Target="https://www.instagram.com/lesaratshiraz" TargetMode="External"/><Relationship Id="rId25" Type="http://schemas.openxmlformats.org/officeDocument/2006/relationships/hyperlink" Target="https://www.instagram.com/sarallahshiraz" TargetMode="External"/><Relationship Id="rId28" Type="http://schemas.openxmlformats.org/officeDocument/2006/relationships/hyperlink" Target="https://www.instagram.com/mohebane_shohada_ir" TargetMode="External"/><Relationship Id="rId27" Type="http://schemas.openxmlformats.org/officeDocument/2006/relationships/hyperlink" Target="https://www.instagram.com/mesbaholhoda_shiraz." TargetMode="External"/><Relationship Id="rId29" Type="http://schemas.openxmlformats.org/officeDocument/2006/relationships/hyperlink" Target="https://www.instagram.com/oshagh.olheydar" TargetMode="External"/><Relationship Id="rId11" Type="http://schemas.openxmlformats.org/officeDocument/2006/relationships/hyperlink" Target="https://eitaa.com/rowzatoshohada" TargetMode="External"/><Relationship Id="rId10" Type="http://schemas.openxmlformats.org/officeDocument/2006/relationships/hyperlink" Target="https://www.instagram.com/rowzatoshohada/" TargetMode="External"/><Relationship Id="rId13" Type="http://schemas.openxmlformats.org/officeDocument/2006/relationships/hyperlink" Target="https://eitaa.com/razmandeganboard" TargetMode="External"/><Relationship Id="rId12" Type="http://schemas.openxmlformats.org/officeDocument/2006/relationships/hyperlink" Target="https://www.instagram.com/razmandegan313/" TargetMode="External"/><Relationship Id="rId15" Type="http://schemas.openxmlformats.org/officeDocument/2006/relationships/hyperlink" Target="https://www.instagram.com/_oshagh_alhosein" TargetMode="External"/><Relationship Id="rId14" Type="http://schemas.openxmlformats.org/officeDocument/2006/relationships/hyperlink" Target="https://www.instagram.com/khademin14.ir" TargetMode="External"/><Relationship Id="rId17" Type="http://schemas.openxmlformats.org/officeDocument/2006/relationships/hyperlink" Target="https://www.instagram.com/hpaa.ir" TargetMode="External"/><Relationship Id="rId16" Type="http://schemas.openxmlformats.org/officeDocument/2006/relationships/hyperlink" Target="https://www.instagram.com/salarshahidan8" TargetMode="External"/><Relationship Id="rId19" Type="http://schemas.openxmlformats.org/officeDocument/2006/relationships/hyperlink" Target="https://www.instagram.com/karbalaeeha_shiraz?utm_source=ig_web_button_share_sheet&amp;igsh=ZDNlZDc0MzIxNw==" TargetMode="External"/><Relationship Id="rId18" Type="http://schemas.openxmlformats.org/officeDocument/2006/relationships/hyperlink" Target="https://www.instagram.com/madinealnabi_ir" TargetMode="External"/><Relationship Id="rId84" Type="http://schemas.openxmlformats.org/officeDocument/2006/relationships/hyperlink" Target="https://www.instagram.com/heiat_alreza" TargetMode="External"/><Relationship Id="rId83" Type="http://schemas.openxmlformats.org/officeDocument/2006/relationships/hyperlink" Target="https://www.instagram.com/koodakane.fatah" TargetMode="External"/><Relationship Id="rId86" Type="http://schemas.openxmlformats.org/officeDocument/2006/relationships/hyperlink" Target="https://www.instagram.com/chahardahmasom_org" TargetMode="External"/><Relationship Id="rId85" Type="http://schemas.openxmlformats.org/officeDocument/2006/relationships/hyperlink" Target="https://www.instagram.com/heyat.alabbasieh?utm_source=ig_web_button_share_sheet&amp;igsh=ZDNlZDc0MzIxNw==" TargetMode="External"/><Relationship Id="rId88" Type="http://schemas.openxmlformats.org/officeDocument/2006/relationships/hyperlink" Target="https://www.instagram.com/khademin133?utm_source=ig_web_button_share_sheet&amp;igsh=ZDNlZDc0MzIxNw==" TargetMode="External"/><Relationship Id="rId87" Type="http://schemas.openxmlformats.org/officeDocument/2006/relationships/hyperlink" Target="https://www.instagram.com/mohebbinlar" TargetMode="External"/><Relationship Id="rId89" Type="http://schemas.openxmlformats.org/officeDocument/2006/relationships/hyperlink" Target="https://eitaa.com/heyat_razmandegan_lamerd" TargetMode="External"/><Relationship Id="rId80" Type="http://schemas.openxmlformats.org/officeDocument/2006/relationships/hyperlink" Target="https://www.instagram.com/beinolharamein_gerash1393/" TargetMode="External"/><Relationship Id="rId82" Type="http://schemas.openxmlformats.org/officeDocument/2006/relationships/hyperlink" Target="https://www.instagram.com/heiatozzahra.shiraz" TargetMode="External"/><Relationship Id="rId81" Type="http://schemas.openxmlformats.org/officeDocument/2006/relationships/hyperlink" Target="https://www.instagram.com/aleyasinz?utm_source=ig_web_button_share_sheet&amp;igsh=ZDNlZDc0MzIxNw==" TargetMode="External"/><Relationship Id="rId73" Type="http://schemas.openxmlformats.org/officeDocument/2006/relationships/hyperlink" Target="https://www.instagram.com/masjede.ali/" TargetMode="External"/><Relationship Id="rId72" Type="http://schemas.openxmlformats.org/officeDocument/2006/relationships/hyperlink" Target="https://www.instagram.com/zovarolabbas_shiraz" TargetMode="External"/><Relationship Id="rId75" Type="http://schemas.openxmlformats.org/officeDocument/2006/relationships/hyperlink" Target="https://www.instagram.com/mahfeleshohada/" TargetMode="External"/><Relationship Id="rId74" Type="http://schemas.openxmlformats.org/officeDocument/2006/relationships/hyperlink" Target="https://www.instagram.com/heiatmontazer/" TargetMode="External"/><Relationship Id="rId77" Type="http://schemas.openxmlformats.org/officeDocument/2006/relationships/hyperlink" Target="https://www.instagram.com/asheghan.saarallah/" TargetMode="External"/><Relationship Id="rId76" Type="http://schemas.openxmlformats.org/officeDocument/2006/relationships/hyperlink" Target="https://www.instagram.com/heyat_asheghan_ahlebeyt/" TargetMode="External"/><Relationship Id="rId79" Type="http://schemas.openxmlformats.org/officeDocument/2006/relationships/hyperlink" Target="https://www.instagram.com/khorshide.hashtom/" TargetMode="External"/><Relationship Id="rId78" Type="http://schemas.openxmlformats.org/officeDocument/2006/relationships/hyperlink" Target="https://www.instagram.com/fatemioon_kazeroon/" TargetMode="External"/><Relationship Id="rId71" Type="http://schemas.openxmlformats.org/officeDocument/2006/relationships/hyperlink" Target="https://www.instagram.com/moeez_info" TargetMode="External"/><Relationship Id="rId70" Type="http://schemas.openxmlformats.org/officeDocument/2006/relationships/hyperlink" Target="https://www.instagram.com/hagh_mola" TargetMode="External"/><Relationship Id="rId62" Type="http://schemas.openxmlformats.org/officeDocument/2006/relationships/hyperlink" Target="https://www.instagram.com/dokhtarane_haye_pak" TargetMode="External"/><Relationship Id="rId61" Type="http://schemas.openxmlformats.org/officeDocument/2006/relationships/hyperlink" Target="https://www.instagram.com/rahpouyan_vesal" TargetMode="External"/><Relationship Id="rId64" Type="http://schemas.openxmlformats.org/officeDocument/2006/relationships/hyperlink" Target="https://www.instagram.com/aliebnmousalrezashiraz" TargetMode="External"/><Relationship Id="rId63" Type="http://schemas.openxmlformats.org/officeDocument/2006/relationships/hyperlink" Target="https://www.instagram.com/asheghanebainolharamainshiraaz/" TargetMode="External"/><Relationship Id="rId66" Type="http://schemas.openxmlformats.org/officeDocument/2006/relationships/hyperlink" Target="https://www.instagram.com/masjed__khatamolanbyia/" TargetMode="External"/><Relationship Id="rId65" Type="http://schemas.openxmlformats.org/officeDocument/2006/relationships/hyperlink" Target="https://www.instagram.com/heyat_emamreza_shiraz" TargetMode="External"/><Relationship Id="rId68" Type="http://schemas.openxmlformats.org/officeDocument/2006/relationships/hyperlink" Target="https://www.instagram.com/eyvanekarbala" TargetMode="External"/><Relationship Id="rId67" Type="http://schemas.openxmlformats.org/officeDocument/2006/relationships/hyperlink" Target="https://www.instagram.com/holyaliakbar/" TargetMode="External"/><Relationship Id="rId60" Type="http://schemas.openxmlformats.org/officeDocument/2006/relationships/hyperlink" Target="https://www.instagram.com/Heyat_EmamHasan1/" TargetMode="External"/><Relationship Id="rId69" Type="http://schemas.openxmlformats.org/officeDocument/2006/relationships/hyperlink" Target="https://www.instagram.com/motevaselin_hazratabbas" TargetMode="External"/><Relationship Id="rId51" Type="http://schemas.openxmlformats.org/officeDocument/2006/relationships/hyperlink" Target="https://www.instagram.com/shakerin.ir" TargetMode="External"/><Relationship Id="rId50" Type="http://schemas.openxmlformats.org/officeDocument/2006/relationships/hyperlink" Target="https://www.instagram.com/zarghan_almahdi" TargetMode="External"/><Relationship Id="rId53" Type="http://schemas.openxmlformats.org/officeDocument/2006/relationships/hyperlink" Target="https://www.instagram.com/oshagh_zahra_shiraz1" TargetMode="External"/><Relationship Id="rId52" Type="http://schemas.openxmlformats.org/officeDocument/2006/relationships/hyperlink" Target="https://www.instagram.com/heyateansar_shiraz/" TargetMode="External"/><Relationship Id="rId55" Type="http://schemas.openxmlformats.org/officeDocument/2006/relationships/hyperlink" Target="https://www.instagram.com/heiat_asheghan_karbala_gouyom/" TargetMode="External"/><Relationship Id="rId54" Type="http://schemas.openxmlformats.org/officeDocument/2006/relationships/hyperlink" Target="https://www.instagram.com/heyat_ansaral_mahdi" TargetMode="External"/><Relationship Id="rId57" Type="http://schemas.openxmlformats.org/officeDocument/2006/relationships/hyperlink" Target="https://www.instagram.com/heyat_rahrovan_shohada" TargetMode="External"/><Relationship Id="rId56" Type="http://schemas.openxmlformats.org/officeDocument/2006/relationships/hyperlink" Target="https://www.instagram.com/payamedu" TargetMode="External"/><Relationship Id="rId59" Type="http://schemas.openxmlformats.org/officeDocument/2006/relationships/hyperlink" Target="https://www.instagram.com/mohebin_aliasghar_shiraz/" TargetMode="External"/><Relationship Id="rId58" Type="http://schemas.openxmlformats.org/officeDocument/2006/relationships/hyperlink" Target="https://www.instagram.com/javanan_komeyl_shiraz" TargetMode="External"/><Relationship Id="rId95" Type="http://schemas.openxmlformats.org/officeDocument/2006/relationships/hyperlink" Target="https://www.instagram.com/oshaghorezashiraz" TargetMode="External"/><Relationship Id="rId94" Type="http://schemas.openxmlformats.org/officeDocument/2006/relationships/hyperlink" Target="https://www.instagram.com/mohebbin_javad_ol_aemeh" TargetMode="External"/><Relationship Id="rId97" Type="http://schemas.openxmlformats.org/officeDocument/2006/relationships/hyperlink" Target="https://www.instagram.com/heyat_musabnejafar_fatehabad?utm_source=ig_web_button_share_sheet&amp;igsh=ZDNlZDc0MzIxNw==" TargetMode="External"/><Relationship Id="rId96" Type="http://schemas.openxmlformats.org/officeDocument/2006/relationships/hyperlink" Target="https://www.instagram.com/chaykhaneh_omalbanin" TargetMode="External"/><Relationship Id="rId99" Type="http://schemas.openxmlformats.org/officeDocument/2006/relationships/hyperlink" Target="https://www.instagram.com/h.r.eslam_neyriz/" TargetMode="External"/><Relationship Id="rId98" Type="http://schemas.openxmlformats.org/officeDocument/2006/relationships/hyperlink" Target="https://www.instagram.com/sajedin.neyriz" TargetMode="External"/><Relationship Id="rId91" Type="http://schemas.openxmlformats.org/officeDocument/2006/relationships/hyperlink" Target="https://www.instagram.com/aleyasinz/" TargetMode="External"/><Relationship Id="rId90" Type="http://schemas.openxmlformats.org/officeDocument/2006/relationships/hyperlink" Target="https://www.instagram.com/hoseinieh_beitolabbas_lamerd" TargetMode="External"/><Relationship Id="rId93" Type="http://schemas.openxmlformats.org/officeDocument/2006/relationships/hyperlink" Target="https://www.instagram.com/mesbaholhoda_shiraz" TargetMode="External"/><Relationship Id="rId92" Type="http://schemas.openxmlformats.org/officeDocument/2006/relationships/hyperlink" Target="https://www.instagram.com/gbh313/" TargetMode="External"/><Relationship Id="rId226" Type="http://schemas.openxmlformats.org/officeDocument/2006/relationships/drawing" Target="../drawings/drawing16.xml"/><Relationship Id="rId225" Type="http://schemas.openxmlformats.org/officeDocument/2006/relationships/hyperlink" Target="https://eitaa.com/moukebghadir_neyriz" TargetMode="External"/><Relationship Id="rId220" Type="http://schemas.openxmlformats.org/officeDocument/2006/relationships/hyperlink" Target="https://eitaa.com/heiatsuir" TargetMode="External"/><Relationship Id="rId224" Type="http://schemas.openxmlformats.org/officeDocument/2006/relationships/hyperlink" Target="https://eitaa.com/hosseiniehorjaman" TargetMode="External"/><Relationship Id="rId223" Type="http://schemas.openxmlformats.org/officeDocument/2006/relationships/hyperlink" Target="https://eitaa.com/madinealnabi_ir" TargetMode="External"/><Relationship Id="rId222" Type="http://schemas.openxmlformats.org/officeDocument/2006/relationships/hyperlink" Target="https://eitaa.com/khoddamrezaabadeh" TargetMode="External"/><Relationship Id="rId221" Type="http://schemas.openxmlformats.org/officeDocument/2006/relationships/hyperlink" Target="https://eitaa.com/mokeb_yaranmahdi" TargetMode="External"/><Relationship Id="rId217" Type="http://schemas.openxmlformats.org/officeDocument/2006/relationships/hyperlink" Target="https://eitaa.com/mesbaholhodashiraz" TargetMode="External"/><Relationship Id="rId216" Type="http://schemas.openxmlformats.org/officeDocument/2006/relationships/hyperlink" Target="https://eitaa.com/rouzeh133" TargetMode="External"/><Relationship Id="rId215" Type="http://schemas.openxmlformats.org/officeDocument/2006/relationships/hyperlink" Target="https://eitaa.com/dokhtaranehayepak" TargetMode="External"/><Relationship Id="rId214" Type="http://schemas.openxmlformats.org/officeDocument/2006/relationships/hyperlink" Target="https://eitaa.com/mokeb_khadem" TargetMode="External"/><Relationship Id="rId219" Type="http://schemas.openxmlformats.org/officeDocument/2006/relationships/hyperlink" Target="https://t.me/heiatsu_ir" TargetMode="External"/><Relationship Id="rId218" Type="http://schemas.openxmlformats.org/officeDocument/2006/relationships/hyperlink" Target="https://www.instagram.com/heiatsu_ir?utm_source=ig_web_button_share_sheet&amp;igsh=ZDNlZDc0MzIxNw==" TargetMode="External"/><Relationship Id="rId213" Type="http://schemas.openxmlformats.org/officeDocument/2006/relationships/hyperlink" Target="https://eitaa.com/koodakanefatah" TargetMode="External"/><Relationship Id="rId212" Type="http://schemas.openxmlformats.org/officeDocument/2006/relationships/hyperlink" Target="https://eitaa.com/heyatkoodak" TargetMode="External"/><Relationship Id="rId211" Type="http://schemas.openxmlformats.org/officeDocument/2006/relationships/hyperlink" Target="https://www.instagram.com/p_hazrat_roghayeh_ashkanan1/" TargetMode="External"/><Relationship Id="rId210" Type="http://schemas.openxmlformats.org/officeDocument/2006/relationships/hyperlink" Target="https://www.instagram.com/asheghan.ahlebayt/" TargetMode="External"/><Relationship Id="rId206" Type="http://schemas.openxmlformats.org/officeDocument/2006/relationships/hyperlink" Target="https://www.instagram.com/alamdaran_zohor" TargetMode="External"/><Relationship Id="rId205" Type="http://schemas.openxmlformats.org/officeDocument/2006/relationships/hyperlink" Target="https://www.instagram.com/rozatolshohada.ir/" TargetMode="External"/><Relationship Id="rId204" Type="http://schemas.openxmlformats.org/officeDocument/2006/relationships/hyperlink" Target="https://www.instagram.com/miadimamreza" TargetMode="External"/><Relationship Id="rId203" Type="http://schemas.openxmlformats.org/officeDocument/2006/relationships/hyperlink" Target="https://www.instagram.com/heyat__fatemioon/" TargetMode="External"/><Relationship Id="rId209" Type="http://schemas.openxmlformats.org/officeDocument/2006/relationships/hyperlink" Target="https://www.instagram.com/Kanoon_meyar/" TargetMode="External"/><Relationship Id="rId208" Type="http://schemas.openxmlformats.org/officeDocument/2006/relationships/hyperlink" Target="https://www.instagram.com/khodam_alzahra_shiraz/" TargetMode="External"/><Relationship Id="rId207" Type="http://schemas.openxmlformats.org/officeDocument/2006/relationships/hyperlink" Target="https://www.instagram.com/khakriz_shiraz" TargetMode="External"/><Relationship Id="rId202" Type="http://schemas.openxmlformats.org/officeDocument/2006/relationships/hyperlink" Target="https://www.instagram.com/heatabolfazl" TargetMode="External"/><Relationship Id="rId201" Type="http://schemas.openxmlformats.org/officeDocument/2006/relationships/hyperlink" Target="https://www.instagram.com/masjed_emamzaman_abadeh" TargetMode="External"/><Relationship Id="rId200" Type="http://schemas.openxmlformats.org/officeDocument/2006/relationships/hyperlink" Target="https://www.instagram.com/azimimosque/" TargetMode="External"/><Relationship Id="rId1" Type="http://schemas.openxmlformats.org/officeDocument/2006/relationships/hyperlink" Target="https://www.instagram.com/madinealnabi__vkh/" TargetMode="External"/><Relationship Id="rId2" Type="http://schemas.openxmlformats.org/officeDocument/2006/relationships/hyperlink" Target="https://eitaa.com/madinealnabi_vkh" TargetMode="External"/><Relationship Id="rId3" Type="http://schemas.openxmlformats.org/officeDocument/2006/relationships/hyperlink" Target="https://eitaa.com/beytozzahra77" TargetMode="External"/><Relationship Id="rId4" Type="http://schemas.openxmlformats.org/officeDocument/2006/relationships/hyperlink" Target="https://eitaa.com/montazaran_313m" TargetMode="External"/><Relationship Id="rId9" Type="http://schemas.openxmlformats.org/officeDocument/2006/relationships/hyperlink" Target="https://eitaa.com/misaq_ba_shohada" TargetMode="External"/><Relationship Id="rId5" Type="http://schemas.openxmlformats.org/officeDocument/2006/relationships/hyperlink" Target="https://eitaa.com/shohaday_gomnam_kavar" TargetMode="External"/><Relationship Id="rId6" Type="http://schemas.openxmlformats.org/officeDocument/2006/relationships/hyperlink" Target="https://www.instagram.com/heyat_nogolan_hosseini/" TargetMode="External"/><Relationship Id="rId7" Type="http://schemas.openxmlformats.org/officeDocument/2006/relationships/hyperlink" Target="https://www.instagram.com/heiat_mohammad_rasoul_allah/" TargetMode="External"/><Relationship Id="rId8" Type="http://schemas.openxmlformats.org/officeDocument/2006/relationships/hyperlink" Target="http://instagram.com/misaq_ba_shohada" TargetMode="External"/></Relationships>
</file>

<file path=xl/worksheets/_rels/sheet17.xml.rels><?xml version="1.0" encoding="UTF-8" standalone="yes"?><Relationships xmlns="http://schemas.openxmlformats.org/package/2006/relationships"><Relationship Id="rId148" Type="http://schemas.openxmlformats.org/officeDocument/2006/relationships/drawing" Target="../drawings/drawing17.xml"/><Relationship Id="rId143" Type="http://schemas.openxmlformats.org/officeDocument/2006/relationships/hyperlink" Target="https://www.instagram.com/asheghan_roghayeh/" TargetMode="External"/><Relationship Id="rId142" Type="http://schemas.openxmlformats.org/officeDocument/2006/relationships/hyperlink" Target="https://t.me/shifteghan_ali_znj" TargetMode="External"/><Relationship Id="rId141" Type="http://schemas.openxmlformats.org/officeDocument/2006/relationships/hyperlink" Target="https://www.instagram.com/rahrovanemam1374/" TargetMode="External"/><Relationship Id="rId140" Type="http://schemas.openxmlformats.org/officeDocument/2006/relationships/hyperlink" Target="https://l.instagram.com/?u=http%3A%2F%2Ftlgrm.me%2Fmosabnejafarzanjan%3Futm_source%3Dig%26utm_medium%3Dsocial%26utm_content%3Dlink_in_bio%26fbclid%3DPAZXh0bgNhZW0CMTEAc3J0YwZhcHBfaWQMMjU2MjgxMDQwNTU4AAGnwRUosQIawNWZwrOO5itru2cosh9-eF29wjg9o5XxF7Z5Qa8at5D1h96IPEQ_aem_EBLhxNTXOWIwswHwfB2Jog&amp;e=AT2ikrUbpwDc31TzZe9V_PvQuMUwXkXKXvauPh9hycZkajnNdhzkFT0pzv9tLD8oUzWN8D0rEphVT_BWk_lruJiIXONEzSWnhtEhxQMExQ" TargetMode="External"/><Relationship Id="rId147" Type="http://schemas.openxmlformats.org/officeDocument/2006/relationships/hyperlink" Target="https://eitaa.com/hoseiniehmaaref" TargetMode="External"/><Relationship Id="rId146" Type="http://schemas.openxmlformats.org/officeDocument/2006/relationships/hyperlink" Target="https://eitaa.com/mahdirasuli_ir" TargetMode="External"/><Relationship Id="rId145" Type="http://schemas.openxmlformats.org/officeDocument/2006/relationships/hyperlink" Target="https://t.me/mahdirasuli_ir" TargetMode="External"/><Relationship Id="rId144" Type="http://schemas.openxmlformats.org/officeDocument/2006/relationships/hyperlink" Target="https://www.instagram.com/mahdirasuli_ir?utm_source=ig_web_button_share_sheet&amp;igsh=ZDNlZDc0MzIxNw==" TargetMode="External"/><Relationship Id="rId139" Type="http://schemas.openxmlformats.org/officeDocument/2006/relationships/hyperlink" Target="https://www.instagram.com/mosabnejafarzanjan/" TargetMode="External"/><Relationship Id="rId138" Type="http://schemas.openxmlformats.org/officeDocument/2006/relationships/hyperlink" Target="https://t.me/zoohoor_zn" TargetMode="External"/><Relationship Id="rId137" Type="http://schemas.openxmlformats.org/officeDocument/2006/relationships/hyperlink" Target="https://www.instagram.com/zohoor_znj/" TargetMode="External"/><Relationship Id="rId132" Type="http://schemas.openxmlformats.org/officeDocument/2006/relationships/hyperlink" Target="https://l.instagram.com/?u=http%3A%2F%2Ft.me%2FAlzanjani%3Futm_source%3Dig%26utm_medium%3Dsocial%26utm_content%3Dlink_in_bio%26fbclid%3DPAZXh0bgNhZW0CMTEAc3J0YwZhcHBfaWQMMjU2MjgxMDQwNTU4AAGn2lHXQI2gYd7eUSPlja0tvK6wGjoa-AB09jA6VICJMV-Bq7MMB14nU7R_UVw_aem_Q2vqiJcKUVRquff6cMV16g&amp;e=AT2znZJmgyiQ49WXn6hqJtsQp_WsJrGZRVVpc_6BCZxiKofCZd4hAB7_TjkbAcYWlIy1LtqAEVFBv3F0PKe0eHkgmgrr5cWMrfvhlD0pzQ" TargetMode="External"/><Relationship Id="rId131" Type="http://schemas.openxmlformats.org/officeDocument/2006/relationships/hyperlink" Target="https://www.instagram.com/ayatollahzanjani/" TargetMode="External"/><Relationship Id="rId130" Type="http://schemas.openxmlformats.org/officeDocument/2006/relationships/hyperlink" Target="https://t.me/mahazanjan1360" TargetMode="External"/><Relationship Id="rId136" Type="http://schemas.openxmlformats.org/officeDocument/2006/relationships/hyperlink" Target="https://l.instagram.com/?u=http%3A%2F%2Ft.me%2Fzooljanah%3Futm_source%3Dig%26utm_medium%3Dsocial%26utm_content%3Dlink_in_bio%26fbclid%3DPAZXh0bgNhZW0CMTEAc3J0YwZhcHBfaWQMMjU2MjgxMDQwNTU4AAGnQy2QzpyidJFVt8_QgGLBxVC9JOjGbJAq8w2ezuODOlTOEBzkppi88ORAYOM_aem_H9sQyGGWZdsFU1Ubkw6DSg&amp;e=AT3m_i4mSTgTpj-19VDurL7uW34LR9bQ7CiVEi6DhhdEmMJtVqRm16MIFEYebwYLCXekZTh5NH70yOazq5BFOe7Zfd1MndR-y_jGCcHrlA" TargetMode="External"/><Relationship Id="rId135" Type="http://schemas.openxmlformats.org/officeDocument/2006/relationships/hyperlink" Target="https://www.instagram.com/fadaeyan_hazrat_roghaye_znj/" TargetMode="External"/><Relationship Id="rId134" Type="http://schemas.openxmlformats.org/officeDocument/2006/relationships/hyperlink" Target="https://eitaa.com/isaar_zanjan" TargetMode="External"/><Relationship Id="rId133" Type="http://schemas.openxmlformats.org/officeDocument/2006/relationships/hyperlink" Target="https://www.instagram.com/molaghatekhoda/" TargetMode="External"/><Relationship Id="rId107" Type="http://schemas.openxmlformats.org/officeDocument/2006/relationships/hyperlink" Target="https://www.instagram.com/montazeranmonji_zanjan/" TargetMode="External"/><Relationship Id="rId106" Type="http://schemas.openxmlformats.org/officeDocument/2006/relationships/hyperlink" Target="https://www.instagram.com/heyat_maktabozeynabdandi1/" TargetMode="External"/><Relationship Id="rId105" Type="http://schemas.openxmlformats.org/officeDocument/2006/relationships/hyperlink" Target="https://www.instagram.com/official.haz.ir/" TargetMode="External"/><Relationship Id="rId104" Type="http://schemas.openxmlformats.org/officeDocument/2006/relationships/hyperlink" Target="https://www.instagram.com/_ommolaeme_zanjan_/" TargetMode="External"/><Relationship Id="rId109" Type="http://schemas.openxmlformats.org/officeDocument/2006/relationships/hyperlink" Target="https://www.instagram.com/maktabolzahra_ir/" TargetMode="External"/><Relationship Id="rId108" Type="http://schemas.openxmlformats.org/officeDocument/2006/relationships/hyperlink" Target="https://www.instagram.com/heiathazratabolfazl1446/" TargetMode="External"/><Relationship Id="rId103" Type="http://schemas.openxmlformats.org/officeDocument/2006/relationships/hyperlink" Target="https://www.instagram.com/jameatolghoraan.zanjan/" TargetMode="External"/><Relationship Id="rId102" Type="http://schemas.openxmlformats.org/officeDocument/2006/relationships/hyperlink" Target="https://www.instagram.com/kanone.golhaye.beheshti/" TargetMode="External"/><Relationship Id="rId101" Type="http://schemas.openxmlformats.org/officeDocument/2006/relationships/hyperlink" Target="https://l.instagram.com/?u=https%3A%2F%2Frubika.ir%2Fashegan_abasaleh_almahdi%3Futm_source%3Dig%26utm_medium%3Dsocial%26utm_content%3Dlink_in_bio%26fbclid%3DPAZXh0bgNhZW0CMTEAc3J0YwZhcHBfaWQMMjU2MjgxMDQwNTU4AAGnHwSAiiDJo8cmogjTHeGLAW5uDw2H2LxNySOm6qXQpqlClOiawPfMwTUliRw_aem_vzfsXqz6CAsJ38hv1avMDg&amp;e=AT069_zYrtqNsdaDYrp14B6NkFiyszMKEqyGfFAs6Bfa7d_SjXbefCwxU4NinVJi3wW39S54SRx3vcRcDyH0TSZc9EcsmjTc5d4EsuQxRA" TargetMode="External"/><Relationship Id="rId100" Type="http://schemas.openxmlformats.org/officeDocument/2006/relationships/hyperlink" Target="https://www.instagram.com/ashegan_abasaleh_almahdi/" TargetMode="External"/><Relationship Id="rId129" Type="http://schemas.openxmlformats.org/officeDocument/2006/relationships/hyperlink" Target="https://www.instagram.com/maha_zn.ir/" TargetMode="External"/><Relationship Id="rId128" Type="http://schemas.openxmlformats.org/officeDocument/2006/relationships/hyperlink" Target="https://l.instagram.com/?u=http%3A%2F%2Ft.me%2Fmaktab_alhosein_zanjan%3Futm_source%3Dig%26utm_medium%3Dsocial%26utm_content%3Dlink_in_bio%26fbclid%3DPAZXh0bgNhZW0CMTEAc3J0YwZhcHBfaWQMMjU2MjgxMDQwNTU4AAGnEqjNSiB7_XF_NeOJ0KNT_mHdSIm9YM9yi3_fYTgF-QO6GlcIq4luPxUexuE_aem_kPbcGrQV7uvlJ6IbP6DQKw&amp;e=AT0eMInt4cLf3oOvDA6r_wpU1ZIGkmOgyy-5-DosgyJV3aOYAkx_xVSnPnpRmiOvNxQVDZERANtAyS0fDB9YPlIaqKpIkj6MqPYS-vZupA" TargetMode="External"/><Relationship Id="rId127" Type="http://schemas.openxmlformats.org/officeDocument/2006/relationships/hyperlink" Target="https://www.instagram.com/maktabolhosein_zanjan/" TargetMode="External"/><Relationship Id="rId126" Type="http://schemas.openxmlformats.org/officeDocument/2006/relationships/hyperlink" Target="https://eitaa.com/seshanbemahdavitarom" TargetMode="External"/><Relationship Id="rId121" Type="http://schemas.openxmlformats.org/officeDocument/2006/relationships/hyperlink" Target="https://eitaa.com/hosiniyehbisim" TargetMode="External"/><Relationship Id="rId120" Type="http://schemas.openxmlformats.org/officeDocument/2006/relationships/hyperlink" Target="https://www.instagram.com/fatemiye.zanjan/" TargetMode="External"/><Relationship Id="rId125" Type="http://schemas.openxmlformats.org/officeDocument/2006/relationships/hyperlink" Target="https://l.instagram.com/?u=http%3A%2F%2Ft.me%2Fm_khatam_alanbiyaa%3Futm_source%3Dig%26utm_medium%3Dsocial%26utm_content%3Dlink_in_bio%26fbclid%3DPAZXh0bgNhZW0CMTEAc3J0YwZhcHBfaWQMMjU2MjgxMDQwNTU4AAGnU9Rvm-EkVXOttfFd26BLPET98K-Y_nOjH2c1DwK7_jlzObFRzE400HJ7oM0_aem_D1oxats1k8YzHesU9YKouQ&amp;e=AT1IjO-g-nuyxwABW9kCplsu6kWyEZbC3b3JfUx7fsIR7WjTpQydrg7IlIgDatny75Oqv5hLTOnuQbVfbWC77pAfJ40juM8cDCsQW436ug" TargetMode="External"/><Relationship Id="rId124" Type="http://schemas.openxmlformats.org/officeDocument/2006/relationships/hyperlink" Target="https://www.instagram.com/m_khatam_alanbiyaa/" TargetMode="External"/><Relationship Id="rId123" Type="http://schemas.openxmlformats.org/officeDocument/2006/relationships/hyperlink" Target="https://t.me/fatemiyonzums" TargetMode="External"/><Relationship Id="rId122" Type="http://schemas.openxmlformats.org/officeDocument/2006/relationships/hyperlink" Target="https://www.instagram.com/abaabdelah.zanjan/" TargetMode="External"/><Relationship Id="rId118" Type="http://schemas.openxmlformats.org/officeDocument/2006/relationships/hyperlink" Target="https://eitaa.com/heiat_ghorani_velayat" TargetMode="External"/><Relationship Id="rId117" Type="http://schemas.openxmlformats.org/officeDocument/2006/relationships/hyperlink" Target="https://eitaa.com/zaz_ir" TargetMode="External"/><Relationship Id="rId116" Type="http://schemas.openxmlformats.org/officeDocument/2006/relationships/hyperlink" Target="https://l.instagram.com/?u=https%3A%2F%2Ft.me%2FZAZ_ir%3Futm_source%3Dig%26utm_medium%3Dsocial%26utm_content%3Dlink_in_bio%26fbclid%3DPAZXh0bgNhZW0CMTEAc3J0YwZhcHBfaWQMMjU2MjgxMDQwNTU4AAGnaJSfUuhao-t1_zfS-YZYONk10Z_yFE9oA7gyBVSCMo6mI5QDWIOwUDOwzGU_aem_YY1iHcyh_PZbYk2T3dGvhw&amp;e=AT2cpTagKIOJ1xuDNl1n354XToFlTW7_FIr4B6fzy72T1SfdD3HYgNuXIVytTnZ9vYLxSv8LyTmTLUeztZyBJVrbXpR_ecAn0DmR26teog" TargetMode="External"/><Relationship Id="rId115" Type="http://schemas.openxmlformats.org/officeDocument/2006/relationships/hyperlink" Target="https://www.instagram.com/zaz_ir" TargetMode="External"/><Relationship Id="rId119" Type="http://schemas.openxmlformats.org/officeDocument/2006/relationships/hyperlink" Target="https://www.instagram.com/g_alabarat/" TargetMode="External"/><Relationship Id="rId110" Type="http://schemas.openxmlformats.org/officeDocument/2006/relationships/hyperlink" Target="https://l.instagram.com/?u=http%3A%2F%2Ft.me%2Fmaktabolzahra_ir%3Futm_source%3Dig%26utm_medium%3Dsocial%26utm_content%3Dlink_in_bio%26fbclid%3DPAZXh0bgNhZW0CMTEAc3J0YwZhcHBfaWQMMjU2MjgxMDQwNTU4AAGng1T-wrEIvPRGH3cJvSmu1kE4CTWnYUhQBiNt6-NzUo36i8-4zAAs9FjwN0w_aem_cc72nKMuCyd6_4la7K4qwQ&amp;e=AT01FTT4AYOCn79OUrZyR1rFkAD6kjdyxfUsKK4cZMeRnygJerSRquTIEQ1Q_dwRuZwnKp5cs607Uj16nS3Xc8Rv1Gg_2iNw32CsW8sa1g" TargetMode="External"/><Relationship Id="rId114" Type="http://schemas.openxmlformats.org/officeDocument/2006/relationships/hyperlink" Target="https://eitaa.com/Kheimesarayezanjan" TargetMode="External"/><Relationship Id="rId113" Type="http://schemas.openxmlformats.org/officeDocument/2006/relationships/hyperlink" Target="https://t.me/alamdare82" TargetMode="External"/><Relationship Id="rId112" Type="http://schemas.openxmlformats.org/officeDocument/2006/relationships/hyperlink" Target="https://l.instagram.com/?u=https%3A%2F%2Feitaa.com%2FZnu_farhangi%3Futm_source%3Dig%26utm_medium%3Dsocial%26utm_content%3Dlink_in_bio%26fbclid%3DPAZXh0bgNhZW0CMTEAc3J0YwZhcHBfaWQMMjU2MjgxMDQwNTU4AAGn-lgkw_QZNbjFeZgDf0m9RbTOJEAWqBzGWNaSYre9FAtb290NJNqP9EuEOSE_aem_IsEuJu1C1WKLG_GAVJ2JFg&amp;e=AT0hntjXuVXnYSW9tWk70czQPSEvkvZzTiLYb7vnhy5zH-ETNM6iz5CjhkOlSGB8GohmpMIlEJmB35A61fIWYk4FU6jhWSgkUIBrkU9Ixw" TargetMode="External"/><Relationship Id="rId111" Type="http://schemas.openxmlformats.org/officeDocument/2006/relationships/hyperlink" Target="https://www.instagram.com/znu.farhangi/" TargetMode="External"/><Relationship Id="rId40" Type="http://schemas.openxmlformats.org/officeDocument/2006/relationships/hyperlink" Target="https://www.instagram.com/reyhane_zn_ir/" TargetMode="External"/><Relationship Id="rId42" Type="http://schemas.openxmlformats.org/officeDocument/2006/relationships/hyperlink" Target="https://eitaa.com/reyhane_zn_ir" TargetMode="External"/><Relationship Id="rId41" Type="http://schemas.openxmlformats.org/officeDocument/2006/relationships/hyperlink" Target="https://t.me/reyhane_zn_ir" TargetMode="External"/><Relationship Id="rId44" Type="http://schemas.openxmlformats.org/officeDocument/2006/relationships/hyperlink" Target="https://www.instagram.com/fatemiun.zanjan/" TargetMode="External"/><Relationship Id="rId43" Type="http://schemas.openxmlformats.org/officeDocument/2006/relationships/hyperlink" Target="https://eitaa.com/Fadaeian_Zeynab_Gheydar" TargetMode="External"/><Relationship Id="rId46" Type="http://schemas.openxmlformats.org/officeDocument/2006/relationships/hyperlink" Target="https://www.instagram.com/kahfalhasan_zn.ir/" TargetMode="External"/><Relationship Id="rId45" Type="http://schemas.openxmlformats.org/officeDocument/2006/relationships/hyperlink" Target="https://eitaa.com/fatemiunzanjan" TargetMode="External"/><Relationship Id="rId48" Type="http://schemas.openxmlformats.org/officeDocument/2006/relationships/hyperlink" Target="https://eitaa.com/heyat_zn" TargetMode="External"/><Relationship Id="rId47" Type="http://schemas.openxmlformats.org/officeDocument/2006/relationships/hyperlink" Target="https://l.instagram.com/?u=https%3A%2F%2Ft.me%2Fkahfalhasan%3Ffbclid%3DPAZXh0bgNhZW0CMTEAAacTyMgfLJENmk93WDKxM0atzOj1g9YoRnhucVYXHW6ecY0UfSRtb7IqifsEpg_aem_YEaXF-flZm8fpB0uH2g7ew&amp;e=AT3Ky4Tbp2c5XpE-F-kkY67rmr_Hu6WfyDnAs1E8tiqNJEHhhsabMrqUp2aKdEPegBKTn9QYTNThmz85BJ1grHQWO4seEmWwPIp07BLmCA" TargetMode="External"/><Relationship Id="rId49" Type="http://schemas.openxmlformats.org/officeDocument/2006/relationships/hyperlink" Target="https://www.instagram.com/noorolzahra_zn/" TargetMode="External"/><Relationship Id="rId31" Type="http://schemas.openxmlformats.org/officeDocument/2006/relationships/hyperlink" Target="https://www.instagram.com/maktabolzahra_zn/" TargetMode="External"/><Relationship Id="rId30" Type="http://schemas.openxmlformats.org/officeDocument/2006/relationships/hyperlink" Target="https://eitaa.com/heyat_montazeran_m" TargetMode="External"/><Relationship Id="rId33" Type="http://schemas.openxmlformats.org/officeDocument/2006/relationships/hyperlink" Target="https://eitaa.com/haz_ir" TargetMode="External"/><Relationship Id="rId32" Type="http://schemas.openxmlformats.org/officeDocument/2006/relationships/hyperlink" Target="https://eitaa.com/maktabolzahra_zn" TargetMode="External"/><Relationship Id="rId35" Type="http://schemas.openxmlformats.org/officeDocument/2006/relationships/hyperlink" Target="https://www.instagram.com/abbasih.zn/" TargetMode="External"/><Relationship Id="rId34" Type="http://schemas.openxmlformats.org/officeDocument/2006/relationships/hyperlink" Target="https://www.instagram.com/montazeran.zn/" TargetMode="External"/><Relationship Id="rId37" Type="http://schemas.openxmlformats.org/officeDocument/2006/relationships/hyperlink" Target="https://www.instagram.com/noorozahra_info" TargetMode="External"/><Relationship Id="rId36" Type="http://schemas.openxmlformats.org/officeDocument/2006/relationships/hyperlink" Target="https://eitaa.com/g_alabarat" TargetMode="External"/><Relationship Id="rId39" Type="http://schemas.openxmlformats.org/officeDocument/2006/relationships/hyperlink" Target="https://eitaa.com/noorozahra_info/" TargetMode="External"/><Relationship Id="rId38" Type="http://schemas.openxmlformats.org/officeDocument/2006/relationships/hyperlink" Target="https://t.me/noorozahra_info" TargetMode="External"/><Relationship Id="rId20" Type="http://schemas.openxmlformats.org/officeDocument/2006/relationships/hyperlink" Target="https://www.instagram.com/heyat_aliasghar_zanjan/" TargetMode="External"/><Relationship Id="rId22" Type="http://schemas.openxmlformats.org/officeDocument/2006/relationships/hyperlink" Target="https://eitaa.com/znu_maktab" TargetMode="External"/><Relationship Id="rId21" Type="http://schemas.openxmlformats.org/officeDocument/2006/relationships/hyperlink" Target="https://l.instagram.com/?u=https%3A%2F%2Ft.me%2Fheyat_aliasghar_zanjan%3Ffbclid%3DPAZXh0bgNhZW0CMTEAAacu4o-kUAMp0srS0eqBrlpfsUdnBSOQMI5Niu8t9GTgMdsbQEf-uudFcZdvRw_aem_PQR7OWZthCGWueqJnUDWbA&amp;e=AT1kFniuRyI7QOqfAKEsSV2K1DXsQ48h-blm6kC4NRoD0KOHz87cl2CokjYvKX89GQBR2ppt-msVWBaSckh7s5QpsPmlvF_Go7uEg8SJAQ" TargetMode="External"/><Relationship Id="rId24" Type="http://schemas.openxmlformats.org/officeDocument/2006/relationships/hyperlink" Target="https://www.instagram.com/ashoraeian_ir/" TargetMode="External"/><Relationship Id="rId23" Type="http://schemas.openxmlformats.org/officeDocument/2006/relationships/hyperlink" Target="https://eitaa.com/mosabnejafarzanjan" TargetMode="External"/><Relationship Id="rId26" Type="http://schemas.openxmlformats.org/officeDocument/2006/relationships/hyperlink" Target="https://www.instagram.com/jannesaran.znj/" TargetMode="External"/><Relationship Id="rId25" Type="http://schemas.openxmlformats.org/officeDocument/2006/relationships/hyperlink" Target="http://t.me/zooljanah" TargetMode="External"/><Relationship Id="rId28" Type="http://schemas.openxmlformats.org/officeDocument/2006/relationships/hyperlink" Target="https://eitaa.com/daeyan_komeil" TargetMode="External"/><Relationship Id="rId27" Type="http://schemas.openxmlformats.org/officeDocument/2006/relationships/hyperlink" Target="https://www.instagram.com/daeyan.komeil/" TargetMode="External"/><Relationship Id="rId29" Type="http://schemas.openxmlformats.org/officeDocument/2006/relationships/hyperlink" Target="http://instagram.com/heyat_montazeran_m" TargetMode="External"/><Relationship Id="rId11" Type="http://schemas.openxmlformats.org/officeDocument/2006/relationships/hyperlink" Target="https://www.instagram.com/masjed_rasulullah/" TargetMode="External"/><Relationship Id="rId10" Type="http://schemas.openxmlformats.org/officeDocument/2006/relationships/hyperlink" Target="https://www.instagram.com/abasiyehabhar/" TargetMode="External"/><Relationship Id="rId13" Type="http://schemas.openxmlformats.org/officeDocument/2006/relationships/hyperlink" Target="https://t.me/maktabosadq" TargetMode="External"/><Relationship Id="rId12" Type="http://schemas.openxmlformats.org/officeDocument/2006/relationships/hyperlink" Target="https://www.instagram.com/maktabosadq/" TargetMode="External"/><Relationship Id="rId15" Type="http://schemas.openxmlformats.org/officeDocument/2006/relationships/hyperlink" Target="https://www.instagram.com/shifteghan_ali_znj/" TargetMode="External"/><Relationship Id="rId14" Type="http://schemas.openxmlformats.org/officeDocument/2006/relationships/hyperlink" Target="https://eitaa.com/maktabosadq" TargetMode="External"/><Relationship Id="rId17" Type="http://schemas.openxmlformats.org/officeDocument/2006/relationships/hyperlink" Target="https://www.instagram.com/sarallahzanjan" TargetMode="External"/><Relationship Id="rId16" Type="http://schemas.openxmlformats.org/officeDocument/2006/relationships/hyperlink" Target="https://www.instagram.com/heyat_ashegan_hazrate_aliakbar/" TargetMode="External"/><Relationship Id="rId19" Type="http://schemas.openxmlformats.org/officeDocument/2006/relationships/hyperlink" Target="https://eitaa.com/sarallah_zanjan" TargetMode="External"/><Relationship Id="rId18" Type="http://schemas.openxmlformats.org/officeDocument/2006/relationships/hyperlink" Target="https://t.me/sarallah_zanjan" TargetMode="External"/><Relationship Id="rId84" Type="http://schemas.openxmlformats.org/officeDocument/2006/relationships/hyperlink" Target="https://www.instagram.com/masjedamiralmomenin313/" TargetMode="External"/><Relationship Id="rId83" Type="http://schemas.openxmlformats.org/officeDocument/2006/relationships/hyperlink" Target="https://www.instagram.com/masjed_hazrat_rogaye_zn/" TargetMode="External"/><Relationship Id="rId86" Type="http://schemas.openxmlformats.org/officeDocument/2006/relationships/hyperlink" Target="https://l.instagram.com/?u=https%3A%2F%2Ft.me%2Fheyate_fatemiyoun%3Futm_source%3Dig%26utm_medium%3Dsocial%26utm_content%3Dlink_in_bio%26fbclid%3DPAZXh0bgNhZW0CMTEAc3J0YwZhcHBfaWQMMjU2MjgxMDQwNTU4AAGn3SajH3NLFnSy4fCzxzu5XRsyuJANmZzv294nGWa-KkA6qfa6oNKS4PctAMw_aem_jfjIGSbZARnno79W2KuHAQ&amp;e=AT0cQ6k48Rsb7p8GAJpBqslhsBdlZ-eTHOSYL85AD-nVgFI_laZlJ0v4KXIeR1m9FZ8cIqiDK8OiFBN1MMwfLKI4yiEFHdmU5vu8MOsTkg" TargetMode="External"/><Relationship Id="rId85" Type="http://schemas.openxmlformats.org/officeDocument/2006/relationships/hyperlink" Target="https://www.instagram.com/heyatfatemiyoun/" TargetMode="External"/><Relationship Id="rId88" Type="http://schemas.openxmlformats.org/officeDocument/2006/relationships/hyperlink" Target="https://www.instagram.com/delbakhtegane_hosein_zanjan/" TargetMode="External"/><Relationship Id="rId87" Type="http://schemas.openxmlformats.org/officeDocument/2006/relationships/hyperlink" Target="https://t.me/heyaateashegan" TargetMode="External"/><Relationship Id="rId89" Type="http://schemas.openxmlformats.org/officeDocument/2006/relationships/hyperlink" Target="https://l.instagram.com/?u=http%3A%2F%2Ft.me%2Fmohsendadashi%3Futm_source%3Dig%26utm_medium%3Dsocial%26utm_content%3Dlink_in_bio%26fbclid%3DPAZXh0bgNhZW0CMTEAc3J0YwZhcHBfaWQMMjU2MjgxMDQwNTU4AAGntnI6FmXZ2rnYKrZg28KqlEYlQyqvlJOVBMWzJZ7yCQv6AkWj5T9l0NVxpA8_aem_0ELKNe2teurikw5Uo83aiw&amp;e=AT2MrufpbxpLSq1HOY2kbF86tZgSvWPwCrpcCOWAO-tQ2XCm25tF82cIMJl6p8cOBF2g-YD-3ixwNpJGPmoOlyZdSik9okFUnOwossz1Ow" TargetMode="External"/><Relationship Id="rId80" Type="http://schemas.openxmlformats.org/officeDocument/2006/relationships/hyperlink" Target="https://www.instagram.com/maktabolreza_znj/" TargetMode="External"/><Relationship Id="rId82" Type="http://schemas.openxmlformats.org/officeDocument/2006/relationships/hyperlink" Target="https://www.instagram.com/aliakbarsharifabad/" TargetMode="External"/><Relationship Id="rId81" Type="http://schemas.openxmlformats.org/officeDocument/2006/relationships/hyperlink" Target="https://www.instagram.com/aliasgharznj1378/" TargetMode="External"/><Relationship Id="rId73" Type="http://schemas.openxmlformats.org/officeDocument/2006/relationships/hyperlink" Target="https://www.instagram.com/saheb.azzman/" TargetMode="External"/><Relationship Id="rId72" Type="http://schemas.openxmlformats.org/officeDocument/2006/relationships/hyperlink" Target="http://t.me/heydarioon_zanjan" TargetMode="External"/><Relationship Id="rId75" Type="http://schemas.openxmlformats.org/officeDocument/2006/relationships/hyperlink" Target="https://eitaa.com/ImamHadiZn" TargetMode="External"/><Relationship Id="rId74" Type="http://schemas.openxmlformats.org/officeDocument/2006/relationships/hyperlink" Target="https://l.instagram.com/?u=http%3A%2F%2Ft.me%2FRahpoyaneVesal313%3Ffbclid%3DPAZXh0bgNhZW0CMTEAAafoVqiBUibTofgpzm3G7ddzJevBd85zon9uFAE-7QPJEXVX4_X58IQ1aBBJUA_aem_23lf8_T_PeqicXViRv-Y1A&amp;e=AT0OC3rjOy6r09gaPMJgqtfdyDHgBQLEVUoKZ4IhMVWa35EKkxBrmQXU8e2UiS-iEtKpbdp9qW5dtvFazBk40LFu9jw1JVDE4SFyGsU6Eg" TargetMode="External"/><Relationship Id="rId77" Type="http://schemas.openxmlformats.org/officeDocument/2006/relationships/hyperlink" Target="https://www.instagram.com/ansaralhosein_hidaj/" TargetMode="External"/><Relationship Id="rId76" Type="http://schemas.openxmlformats.org/officeDocument/2006/relationships/hyperlink" Target="https://www.instagram.com/h.n.roghayeh/" TargetMode="External"/><Relationship Id="rId79" Type="http://schemas.openxmlformats.org/officeDocument/2006/relationships/hyperlink" Target="https://eitaa.com/heyat_zn" TargetMode="External"/><Relationship Id="rId78" Type="http://schemas.openxmlformats.org/officeDocument/2006/relationships/hyperlink" Target="https://eitaa.com/mosabnejafarzanjan" TargetMode="External"/><Relationship Id="rId71" Type="http://schemas.openxmlformats.org/officeDocument/2006/relationships/hyperlink" Target="https://www.instagram.com/heydarioonzanjan/" TargetMode="External"/><Relationship Id="rId70" Type="http://schemas.openxmlformats.org/officeDocument/2006/relationships/hyperlink" Target="https://www.instagram.com/mokeb_alzahra_znj/" TargetMode="External"/><Relationship Id="rId62" Type="http://schemas.openxmlformats.org/officeDocument/2006/relationships/hyperlink" Target="https://eitaa.com/JavananHoseini_ir" TargetMode="External"/><Relationship Id="rId61" Type="http://schemas.openxmlformats.org/officeDocument/2006/relationships/hyperlink" Target="https://l.instagram.com/?u=https%3A%2F%2Ft.me%2FJavananHoseini_ir%3Ffbclid%3DPAZXh0bgNhZW0CMTEAAaeVf5JAdgWCk4zo1xpoifEnitsZ0TEYgKD-sN_CmoGOugp-j3I84_s5DmWH3g_aem_5d9G6a4uA3Vwuw1RlA3TUw&amp;e=AT1Y_9KNrPheiAoyXVbf5fkkFR-iUIiF0XtBUV5NETxbpLjPZ1InoOgErBuLEnlERnH-vvQxZHDvqdMOW1rIdomXMTRWI5s8FtyVz0mPHA" TargetMode="External"/><Relationship Id="rId64" Type="http://schemas.openxmlformats.org/officeDocument/2006/relationships/hyperlink" Target="https://www.instagram.com/alamdarsaggakhanezanjan/" TargetMode="External"/><Relationship Id="rId63" Type="http://schemas.openxmlformats.org/officeDocument/2006/relationships/hyperlink" Target="https://www.instagram.com/montazeran_zohur_zanjan/" TargetMode="External"/><Relationship Id="rId66" Type="http://schemas.openxmlformats.org/officeDocument/2006/relationships/hyperlink" Target="https://eitaa.com/alamdarsaggakhanezanjan" TargetMode="External"/><Relationship Id="rId65" Type="http://schemas.openxmlformats.org/officeDocument/2006/relationships/hyperlink" Target="https://t.me/alamdarsaggakhanezanjan" TargetMode="External"/><Relationship Id="rId68" Type="http://schemas.openxmlformats.org/officeDocument/2006/relationships/hyperlink" Target="https://www.instagram.com/heyatoljavad.zanjan/" TargetMode="External"/><Relationship Id="rId67" Type="http://schemas.openxmlformats.org/officeDocument/2006/relationships/hyperlink" Target="https://www.instagram.com/beyto_zahra_zanjan_1359/" TargetMode="External"/><Relationship Id="rId60" Type="http://schemas.openxmlformats.org/officeDocument/2006/relationships/hyperlink" Target="http://instagram.com/javananhoseini_ir" TargetMode="External"/><Relationship Id="rId69" Type="http://schemas.openxmlformats.org/officeDocument/2006/relationships/hyperlink" Target="https://l.instagram.com/?u=https%3A%2F%2Ft.me%2FHeyatoljavad_Zanjan%3Ffbclid%3DPAZXh0bgNhZW0CMTEAAaf4tXBy2Z1hNwc1KvwpNbaQUnRdZR68KnbzikSKrDk7EX7QEaIoD-Em7bbA6A_aem_Ij0nk0eVElmEx2ICmzXopw&amp;e=AT3-4M0vnAPIl_rVJl7wrlQdR3pkL3Ah83AuhS4i6hGgGbkRRpDhhq8iTYXxQoan6Iqn-n5L3Kgra4w4-bK_EvzQtNCqX6Kvu4YbEmFxvw" TargetMode="External"/><Relationship Id="rId51" Type="http://schemas.openxmlformats.org/officeDocument/2006/relationships/hyperlink" Target="https://www.instagram.com/rahrovanvelaiat/" TargetMode="External"/><Relationship Id="rId50" Type="http://schemas.openxmlformats.org/officeDocument/2006/relationships/hyperlink" Target="https://l.instagram.com/?u=https%3A%2F%2Ft.me%2Fnoorolzahra_zn%3Ffbclid%3DPAZXh0bgNhZW0CMTEAAacGqajBRYOzh7f9NCp8p4jaa1n-wbQu77bGhb3YtEF_o4yi6aY62JRkd-Fv2A_aem_2L5E89SW3T7kM6iG0qi-6Q&amp;e=AT35431oISJXXNHhSky0rf0me0liQJ60G_Af2vUwXLZSJoSWa_Av7yDGQzuvvNqjyZL5rAiDhFaCsWjAV5WYMDNuanzECSKnJOjeiSAlrQ" TargetMode="External"/><Relationship Id="rId53" Type="http://schemas.openxmlformats.org/officeDocument/2006/relationships/hyperlink" Target="https://www.instagram.com/heyat_azadaran_hazrat_aliakbar/" TargetMode="External"/><Relationship Id="rId52" Type="http://schemas.openxmlformats.org/officeDocument/2006/relationships/hyperlink" Target="https://l.instagram.com/?u=http%3A%2F%2Ftlgrm.me%2Frahrovanvelaiat_ir%3Ffbclid%3DPAZXh0bgNhZW0CMTEAAae7fAkQY50xxAIJYae7kOI8kxcqUZSsyRDJX0hOFJR6KTS_Dv2PyCRhrDvMww_aem_enXr9-NPtmsd8AZ5Mp_4nQ&amp;e=AT1JBtWjptG1RGpkLrM2Wbk2BcnblqZZtQJNMK0sqrkxtOW3bWUMUmLY5XcOhhrHdB_Kq9lA-3bD72ZSSL71HHvSjbeUxIGF9O0vJXpTyg" TargetMode="External"/><Relationship Id="rId55" Type="http://schemas.openxmlformats.org/officeDocument/2006/relationships/hyperlink" Target="https://www.instagram.com/h.yalasaratzanjan" TargetMode="External"/><Relationship Id="rId54" Type="http://schemas.openxmlformats.org/officeDocument/2006/relationships/hyperlink" Target="https://eitaa.com/heyate_khademoshohada" TargetMode="External"/><Relationship Id="rId57" Type="http://schemas.openxmlformats.org/officeDocument/2006/relationships/hyperlink" Target="https://eitaa.com/jannatolbaqi_azu" TargetMode="External"/><Relationship Id="rId56" Type="http://schemas.openxmlformats.org/officeDocument/2006/relationships/hyperlink" Target="https://eitaa.com/h_yalasaratzanjan" TargetMode="External"/><Relationship Id="rId59" Type="http://schemas.openxmlformats.org/officeDocument/2006/relationships/hyperlink" Target="https://eitaa.com/razmandegan_zanjan" TargetMode="External"/><Relationship Id="rId58" Type="http://schemas.openxmlformats.org/officeDocument/2006/relationships/hyperlink" Target="https://eitaa.com/ashurae" TargetMode="External"/><Relationship Id="rId95" Type="http://schemas.openxmlformats.org/officeDocument/2006/relationships/hyperlink" Target="https://t.me/kafanpooshaneabolfazlezanjan" TargetMode="External"/><Relationship Id="rId94" Type="http://schemas.openxmlformats.org/officeDocument/2006/relationships/hyperlink" Target="https://www.instagram.com/heyat.hoseini_zanjan/" TargetMode="External"/><Relationship Id="rId97" Type="http://schemas.openxmlformats.org/officeDocument/2006/relationships/hyperlink" Target="https://eitaa.com/bentolhoda_znj" TargetMode="External"/><Relationship Id="rId96" Type="http://schemas.openxmlformats.org/officeDocument/2006/relationships/hyperlink" Target="https://www.instagram.com/h_emamjavad.zn/" TargetMode="External"/><Relationship Id="rId99" Type="http://schemas.openxmlformats.org/officeDocument/2006/relationships/hyperlink" Target="https://www.instagram.com/mohebanroghayeh/" TargetMode="External"/><Relationship Id="rId98" Type="http://schemas.openxmlformats.org/officeDocument/2006/relationships/hyperlink" Target="https://www.instagram.com/reyhane_nabi98/" TargetMode="External"/><Relationship Id="rId91" Type="http://schemas.openxmlformats.org/officeDocument/2006/relationships/hyperlink" Target="https://eitaa.com/heyateemamhasaneabhar" TargetMode="External"/><Relationship Id="rId90" Type="http://schemas.openxmlformats.org/officeDocument/2006/relationships/hyperlink" Target="https://www.instagram.com/heyat._emam_hasan_abhar/" TargetMode="External"/><Relationship Id="rId93" Type="http://schemas.openxmlformats.org/officeDocument/2006/relationships/hyperlink" Target="https://www.instagram.com/asghariyoon.znjan/" TargetMode="External"/><Relationship Id="rId92" Type="http://schemas.openxmlformats.org/officeDocument/2006/relationships/hyperlink" Target="https://t.me/yavaranevelayat_qom" TargetMode="External"/><Relationship Id="rId1" Type="http://schemas.openxmlformats.org/officeDocument/2006/relationships/hyperlink" Target="https://www.instagram.com/heiaat_mohebbin_shenat/" TargetMode="External"/><Relationship Id="rId2" Type="http://schemas.openxmlformats.org/officeDocument/2006/relationships/hyperlink" Target="https://t.me/heiaat_mohebbin_shenat/" TargetMode="External"/><Relationship Id="rId3" Type="http://schemas.openxmlformats.org/officeDocument/2006/relationships/hyperlink" Target="https://eitaa.com/heiaat_mohebbin" TargetMode="External"/><Relationship Id="rId4" Type="http://schemas.openxmlformats.org/officeDocument/2006/relationships/hyperlink" Target="https://eitaa.com/saelinalzahra_abhar" TargetMode="External"/><Relationship Id="rId9" Type="http://schemas.openxmlformats.org/officeDocument/2006/relationships/hyperlink" Target="https://l.instagram.com/?u=https%3A%2F%2Ft.me%2Fmohebinfatemeabhar%3Futm_source%3Dig%26utm_medium%3Dsocial%26utm_content%3Dlink_in_bio%26fbclid%3DPAZXh0bgNhZW0CMTEAc3J0YwZhcHBfaWQMMjU2MjgxMDQwNTU4AAGnUG8D2PwsuSrOTavrFXS8TvweflxDjjfvngXJ9mrmzMQ4nhU-Iu9kTAs9-ik_aem_3-3PNHw5DNA0tWdffx3rOw&amp;e=AT3bxiTXgiw17kJIwqOB6xy5WHUeqduPIx5FY4OyrP69L0yJ2YT8KlgrKhTue_vVUkNdvzq48Rqr_Qmtocc5yCM0B_wWhB5qgat-H_L4ug" TargetMode="External"/><Relationship Id="rId5" Type="http://schemas.openxmlformats.org/officeDocument/2006/relationships/hyperlink" Target="https://eitaa.com/fadaeiyan_abhar" TargetMode="External"/><Relationship Id="rId6" Type="http://schemas.openxmlformats.org/officeDocument/2006/relationships/hyperlink" Target="https://eitaa.com/hsg_abhar" TargetMode="External"/><Relationship Id="rId7" Type="http://schemas.openxmlformats.org/officeDocument/2006/relationships/hyperlink" Target="https://www.instagram.com/zanjir_zanan_hoseini/" TargetMode="External"/><Relationship Id="rId8" Type="http://schemas.openxmlformats.org/officeDocument/2006/relationships/hyperlink" Target="https://www.instagram.com/mohebin.fatemezahra.abhar/" TargetMode="External"/></Relationships>
</file>

<file path=xl/worksheets/_rels/sheet18.xml.rels><?xml version="1.0" encoding="UTF-8" standalone="yes"?><Relationships xmlns="http://schemas.openxmlformats.org/package/2006/relationships"><Relationship Id="rId150" Type="http://schemas.openxmlformats.org/officeDocument/2006/relationships/hyperlink" Target="https://www.instagram.com/roqayeh_bent_hosein_/" TargetMode="External"/><Relationship Id="rId149" Type="http://schemas.openxmlformats.org/officeDocument/2006/relationships/hyperlink" Target="https://eitaa.com/b_zahra_ir" TargetMode="External"/><Relationship Id="rId148" Type="http://schemas.openxmlformats.org/officeDocument/2006/relationships/hyperlink" Target="https://www.instagram.com/h_ghosalfoghara/" TargetMode="External"/><Relationship Id="rId143" Type="http://schemas.openxmlformats.org/officeDocument/2006/relationships/hyperlink" Target="https://www.instagram.com/heyat_motavaslin_m_belal/" TargetMode="External"/><Relationship Id="rId142" Type="http://schemas.openxmlformats.org/officeDocument/2006/relationships/hyperlink" Target="https://www.instagram.com/heyat_lu/" TargetMode="External"/><Relationship Id="rId141" Type="http://schemas.openxmlformats.org/officeDocument/2006/relationships/hyperlink" Target="https://www.instagram.com/janathoosin1381/" TargetMode="External"/><Relationship Id="rId140" Type="http://schemas.openxmlformats.org/officeDocument/2006/relationships/hyperlink" Target="https://l.instagram.com/?u=http%3A%2F%2Ftelegram.me%2Fheyatalamdar%3Futm_source%3Dig%26utm_medium%3Dsocial%26utm_content%3Dlink_in_bio%26fbclid%3DPAZXh0bgNhZW0CMTEAc3J0YwZhcHBfaWQMMjU2MjgxMDQwNTU4AAGn70sASvsdbERqdjXKSvrd6npLMJ47LxQML8wRnpF1lbRKp43XG2hJEHRVWx0_aem_ux4jNU9fMcA7XtT_a61y5w&amp;e=AT2YyExH0Iv_1SV2DAJErZzIN_psOFASJ2wTmAcp08n9Ampj91AYhc4qWbD9BOQ4RJdDzwavemZdFME52RTNVcGsAbXtLRTlSAUMZRh1_w" TargetMode="External"/><Relationship Id="rId147" Type="http://schemas.openxmlformats.org/officeDocument/2006/relationships/hyperlink" Target="https://l.instagram.com/?u=https%3A%2F%2Feitaa.com%2Fnoooralzahra%3Futm_source%3Dig%26utm_medium%3Dsocial%26utm_content%3Dlink_in_bio%26fbclid%3DPAZXh0bgNhZW0CMTEAc3J0YwZhcHBfaWQMMjU2MjgxMDQwNTU4AAGnFd4QdCU_F41qHguiRRO8FFkGZvRQUUYEgwIItHwEoKD0pQhoAi9FMZkTlmk_aem_qbg3jIk1rUIwI-ZfEk1jtQ&amp;e=AT213Y6ph0dz6t8Qg_qqtLqcaOFCS0nrmL81SiWCsoJsl7qisdxVVSU4TQLN4GjwR5wImobZHyBr8kC8N2impVMOMUvo08btZmXtFW6BJA" TargetMode="External"/><Relationship Id="rId146" Type="http://schemas.openxmlformats.org/officeDocument/2006/relationships/hyperlink" Target="https://www.instagram.com/nooor.alzahra/" TargetMode="External"/><Relationship Id="rId145" Type="http://schemas.openxmlformats.org/officeDocument/2006/relationships/hyperlink" Target="https://www.instagram.com/abalfazl.mamasani/" TargetMode="External"/><Relationship Id="rId144" Type="http://schemas.openxmlformats.org/officeDocument/2006/relationships/hyperlink" Target="https://l.instagram.com/?u=http%3A%2F%2Ft.me%2Fheyat_motavaslin_m_belal%3Futm_source%3Dig%26utm_medium%3Dsocial%26utm_content%3Dlink_in_bio%26fbclid%3DPAZXh0bgNhZW0CMTEAc3J0YwZhcHBfaWQMMjU2MjgxMDQwNTU4AAGnnZv8XwWWHglyEewgMUcrqotKe2-I6HcBW03R-i5byFsU61aNswVcBEHwEPE_aem_OGhiD2gakMIJ3CpXmqxD-Q&amp;e=AT1rXjdSUMi0_MI3ghRaolZS55fJjty3B5Ye25O-gsTlcRTf67MQC5T1Fbx9mBw9dDGIjzrCo_9l4PnKpM907zTbRQVhxfCSanPAtL0kfQ" TargetMode="External"/><Relationship Id="rId139" Type="http://schemas.openxmlformats.org/officeDocument/2006/relationships/hyperlink" Target="https://www.instagram.com/heyaat_alamdar/" TargetMode="External"/><Relationship Id="rId138" Type="http://schemas.openxmlformats.org/officeDocument/2006/relationships/hyperlink" Target="https://www.instagram.com/eheyat_azna/" TargetMode="External"/><Relationship Id="rId137" Type="http://schemas.openxmlformats.org/officeDocument/2006/relationships/hyperlink" Target="https://www.instagram.com/heiat.zeinabeun.mamasani/" TargetMode="External"/><Relationship Id="rId132" Type="http://schemas.openxmlformats.org/officeDocument/2006/relationships/hyperlink" Target="https://www.instagram.com/heyat_raitolabbas_azna/" TargetMode="External"/><Relationship Id="rId131" Type="http://schemas.openxmlformats.org/officeDocument/2006/relationships/hyperlink" Target="https://www.instagram.com/majanin_al_abas133/" TargetMode="External"/><Relationship Id="rId130" Type="http://schemas.openxmlformats.org/officeDocument/2006/relationships/hyperlink" Target="https://www.instagram.com/omolaemeh_ir/" TargetMode="External"/><Relationship Id="rId136" Type="http://schemas.openxmlformats.org/officeDocument/2006/relationships/hyperlink" Target="https://eitaa.com/mohebanazna14" TargetMode="External"/><Relationship Id="rId135" Type="http://schemas.openxmlformats.org/officeDocument/2006/relationships/hyperlink" Target="https://www.instagram.com/heyat_khademolabbas_azna/" TargetMode="External"/><Relationship Id="rId134" Type="http://schemas.openxmlformats.org/officeDocument/2006/relationships/hyperlink" Target="https://eitaa.com/heyat_razmandegan_lorestan" TargetMode="External"/><Relationship Id="rId133" Type="http://schemas.openxmlformats.org/officeDocument/2006/relationships/hyperlink" Target="https://www.instagram.com/mahfel_e_alamdar/" TargetMode="External"/><Relationship Id="rId172" Type="http://schemas.openxmlformats.org/officeDocument/2006/relationships/drawing" Target="../drawings/drawing18.xml"/><Relationship Id="rId171" Type="http://schemas.openxmlformats.org/officeDocument/2006/relationships/hyperlink" Target="https://eitaa.com/heyat_bani_fatemeh_delfan" TargetMode="External"/><Relationship Id="rId170" Type="http://schemas.openxmlformats.org/officeDocument/2006/relationships/hyperlink" Target="https://eitaa.com/Heyat_Mohebban_Azna" TargetMode="External"/><Relationship Id="rId165" Type="http://schemas.openxmlformats.org/officeDocument/2006/relationships/hyperlink" Target="https://www.instagram.com/nabi.brj/" TargetMode="External"/><Relationship Id="rId164" Type="http://schemas.openxmlformats.org/officeDocument/2006/relationships/hyperlink" Target="https://www.instagram.com/h_shohada_g/" TargetMode="External"/><Relationship Id="rId163" Type="http://schemas.openxmlformats.org/officeDocument/2006/relationships/hyperlink" Target="https://eitaa.com/mohebinroghayeh" TargetMode="External"/><Relationship Id="rId162" Type="http://schemas.openxmlformats.org/officeDocument/2006/relationships/hyperlink" Target="https://www.instagram.com/javananbnihashm/" TargetMode="External"/><Relationship Id="rId169" Type="http://schemas.openxmlformats.org/officeDocument/2006/relationships/hyperlink" Target="https://www.instagram.com/fater.313/" TargetMode="External"/><Relationship Id="rId168" Type="http://schemas.openxmlformats.org/officeDocument/2006/relationships/hyperlink" Target="https://www.instagram.com/ashegan.ahlebeit.aleshtar/" TargetMode="External"/><Relationship Id="rId167" Type="http://schemas.openxmlformats.org/officeDocument/2006/relationships/hyperlink" Target="https://www.instagram.com/heiatseyyedoshohada/" TargetMode="External"/><Relationship Id="rId166" Type="http://schemas.openxmlformats.org/officeDocument/2006/relationships/hyperlink" Target="https://www.instagram.com/asheghaneashora_1374/" TargetMode="External"/><Relationship Id="rId161" Type="http://schemas.openxmlformats.org/officeDocument/2006/relationships/hyperlink" Target="https://www.instagram.com/heiiat_shohaday_gomnam/" TargetMode="External"/><Relationship Id="rId160" Type="http://schemas.openxmlformats.org/officeDocument/2006/relationships/hyperlink" Target="https://eitaa.com/Masjednakhi" TargetMode="External"/><Relationship Id="rId159" Type="http://schemas.openxmlformats.org/officeDocument/2006/relationships/hyperlink" Target="https://www.instagram.com/mohebingoleyas/" TargetMode="External"/><Relationship Id="rId154" Type="http://schemas.openxmlformats.org/officeDocument/2006/relationships/hyperlink" Target="https://www.instagram.com/maktabool_zeinab_69/" TargetMode="External"/><Relationship Id="rId153" Type="http://schemas.openxmlformats.org/officeDocument/2006/relationships/hyperlink" Target="https://www.instagram.com/roghayeh_bentolhossein/" TargetMode="External"/><Relationship Id="rId152" Type="http://schemas.openxmlformats.org/officeDocument/2006/relationships/hyperlink" Target="https://www.instagram.com/heyateshahemardan/" TargetMode="External"/><Relationship Id="rId151" Type="http://schemas.openxmlformats.org/officeDocument/2006/relationships/hyperlink" Target="https://www.instagram.com/nooralshohada_31/" TargetMode="External"/><Relationship Id="rId158" Type="http://schemas.openxmlformats.org/officeDocument/2006/relationships/hyperlink" Target="https://www.instagram.com/mohebin_ale_yassin/" TargetMode="External"/><Relationship Id="rId157" Type="http://schemas.openxmlformats.org/officeDocument/2006/relationships/hyperlink" Target="https://l.instagram.com/?u=http%3A%2F%2Ftlgrm.me%2Faleya30n%3Futm_source%3Dig%26utm_medium%3Dsocial%26utm_content%3Dlink_in_bio%26fbclid%3DPAZXh0bgNhZW0CMTEAc3J0YwZhcHBfaWQMMjU2MjgxMDQwNTU4AAGnAcekF61HVVHLnvBpH1zg2_f6r5Gl1i_E-aR5Rp3bDFEYoAuU08sfDN3w3e4_aem_YKu8zxN-kSWjVq32bk9L3Q&amp;e=AT1pbkI_hJUNRUQmPws5gICSe8MbeJCNIZjc--oRGjT-QawtXUvfdBQsHuAXU8DDBPD0Y4QqNPUVb_mPpBzMObtRUhp2AL0gagsFg_xP8A" TargetMode="External"/><Relationship Id="rId156" Type="http://schemas.openxmlformats.org/officeDocument/2006/relationships/hyperlink" Target="https://www.instagram.com/Aleya30n/" TargetMode="External"/><Relationship Id="rId155" Type="http://schemas.openxmlformats.org/officeDocument/2006/relationships/hyperlink" Target="https://www.instagram.com/heiat_amir/" TargetMode="External"/><Relationship Id="rId107" Type="http://schemas.openxmlformats.org/officeDocument/2006/relationships/hyperlink" Target="https://www.instagram.com/seyedoshohadaaa/" TargetMode="External"/><Relationship Id="rId106" Type="http://schemas.openxmlformats.org/officeDocument/2006/relationships/hyperlink" Target="https://eitaa.com/maktab_al_hosein" TargetMode="External"/><Relationship Id="rId105" Type="http://schemas.openxmlformats.org/officeDocument/2006/relationships/hyperlink" Target="https://t.me/maktab_all_hosein_khoramabad" TargetMode="External"/><Relationship Id="rId104" Type="http://schemas.openxmlformats.org/officeDocument/2006/relationships/hyperlink" Target="https://www.instagram.com/maktabalhosein.128/" TargetMode="External"/><Relationship Id="rId109" Type="http://schemas.openxmlformats.org/officeDocument/2006/relationships/hyperlink" Target="https://www.instagram.com/sahebzolfaghar/" TargetMode="External"/><Relationship Id="rId108" Type="http://schemas.openxmlformats.org/officeDocument/2006/relationships/hyperlink" Target="https://www.instagram.com/mooheban/" TargetMode="External"/><Relationship Id="rId103" Type="http://schemas.openxmlformats.org/officeDocument/2006/relationships/hyperlink" Target="https://eitaa.com/MahfeleQorani14" TargetMode="External"/><Relationship Id="rId102" Type="http://schemas.openxmlformats.org/officeDocument/2006/relationships/hyperlink" Target="https://t.me/heyaatnaserinhosseinbroujerd" TargetMode="External"/><Relationship Id="rId101" Type="http://schemas.openxmlformats.org/officeDocument/2006/relationships/hyperlink" Target="https://www.instagram.com/heyat.mohebban.azna/" TargetMode="External"/><Relationship Id="rId100" Type="http://schemas.openxmlformats.org/officeDocument/2006/relationships/hyperlink" Target="https://l.instagram.com/?u=http%3A%2F%2Ft.me%2Fsaelin_h_zeinab%3Futm_source%3Dig%26utm_medium%3Dsocial%26utm_content%3Dlink_in_bio%26fbclid%3DPAZXh0bgNhZW0CMTEAc3J0YwZhcHBfaWQMMjU2MjgxMDQwNTU4AAGnSb3hU4xZCinRGL-8xUveoSW1OK9j4FT89deGyYqYS0yGYzW4LvoruMrPC8o_aem_T_fn1lqjwoE4L9FeDm6heQ&amp;e=AT3B6szpy68pxmJCVJz0rt_1RzJZZdOH-RmIXvr_08oniujv0AhctaLVyCStQ1qiJkEhvLLX4_8haH2c_e35nHhPyL2c1y02Kyu8zkpyCw" TargetMode="External"/><Relationship Id="rId129" Type="http://schemas.openxmlformats.org/officeDocument/2006/relationships/hyperlink" Target="https://l.instagram.com/?u=http%3A%2F%2Ft.me%2Fheyatzanjirzani%3Futm_source%3Dig%26utm_medium%3Dsocial%26utm_content%3Dlink_in_bio%26fbclid%3DPAZXh0bgNhZW0CMTEAc3J0YwZhcHBfaWQMMjU2MjgxMDQwNTU4AAGnDDttOKgF9g6v0vGr-bjKVep2xSKaZ8MHJ0FBo2HHsQstw6ZCi5iRYxcyyXY_aem_QgCWfdwEG2nUQUUa0lkiZg&amp;e=AT3RMGPEIWBIjfnQ353_hIE_I5tFiP7gPH7g2-yxy4YqeML4FLMLt_uINqHeJQvugVCPfmVNg_juugMW6DFMVPN6kdMnykVIkBa261-baw" TargetMode="External"/><Relationship Id="rId128" Type="http://schemas.openxmlformats.org/officeDocument/2006/relationships/hyperlink" Target="https://www.instagram.com/heyatzanjirzani/" TargetMode="External"/><Relationship Id="rId127" Type="http://schemas.openxmlformats.org/officeDocument/2006/relationships/hyperlink" Target="https://www.instagram.com/kazemiuon313/" TargetMode="External"/><Relationship Id="rId126" Type="http://schemas.openxmlformats.org/officeDocument/2006/relationships/hyperlink" Target="https://www.instagram.com/oshagmahdi/" TargetMode="External"/><Relationship Id="rId121" Type="http://schemas.openxmlformats.org/officeDocument/2006/relationships/hyperlink" Target="https://www.instagram.com/oshaghozahra_aligoodarz/" TargetMode="External"/><Relationship Id="rId120" Type="http://schemas.openxmlformats.org/officeDocument/2006/relationships/hyperlink" Target="https://www.instagram.com/info_rnd/" TargetMode="External"/><Relationship Id="rId125" Type="http://schemas.openxmlformats.org/officeDocument/2006/relationships/hyperlink" Target="https://eitaa.com/mohebanali1" TargetMode="External"/><Relationship Id="rId124" Type="http://schemas.openxmlformats.org/officeDocument/2006/relationships/hyperlink" Target="https://l.instagram.com/?u=http%3A%2F%2Fheyathami.ir%2F%3Futm_source%3Dig%26utm_medium%3Dsocial%26utm_content%3Dlink_in_bio%26fbclid%3DPAZXh0bgNhZW0CMTEAc3J0YwZhcHBfaWQMMjU2MjgxMDQwNTU4AAGncbyS-Yghha8pJ5r6fY_LNMlQcE_G5X4FWewknAf6HX5_pFFOMPqzjZa2akw_aem_oh61d7GiD4GLSijLPEWuCA&amp;e=AT0UMHwV394G1nkEpI7PoyzvhY2JbBXpx2LotQtdlUTSs2WZBcJYYH-xQUL0t-dtfS3TTPVx_eCGcz5zk_myITVJNpT5yBNddpTacgeaNQ" TargetMode="External"/><Relationship Id="rId123" Type="http://schemas.openxmlformats.org/officeDocument/2006/relationships/hyperlink" Target="https://www.instagram.com/jehadi_group/" TargetMode="External"/><Relationship Id="rId122" Type="http://schemas.openxmlformats.org/officeDocument/2006/relationships/hyperlink" Target="https://l.instagram.com/?u=https%3A%2F%2Ft.me%2Foshaq_zahra_alg%3Futm_source%3Dig%26utm_medium%3Dsocial%26utm_content%3Dlink_in_bio%26fbclid%3DPAZXh0bgNhZW0CMTEAc3J0YwZhcHBfaWQMMjU2MjgxMDQwNTU4AAGn_4r-wOTLUJDd0DQpUEMEqASfi4EB6RX0tfC1ghfGvsgzEWpZlOXyh1Ky_LI_aem_ELaxnE50puZhSLbSJrC5lw&amp;e=AT0I_MwD_6-RHa1xB8_rf0DKicJCf5ogBmrMdSFu8xIPVbWBxDa2i0q0LCgraTD1bI-yvjHBTh-ef-S2ki1Due8wGzLfcXtBJFe9NzH4xQ" TargetMode="External"/><Relationship Id="rId118" Type="http://schemas.openxmlformats.org/officeDocument/2006/relationships/hyperlink" Target="https://www.instagram.com/javadalaemeh/" TargetMode="External"/><Relationship Id="rId117" Type="http://schemas.openxmlformats.org/officeDocument/2006/relationships/hyperlink" Target="https://eitaa.com/mohebin1373" TargetMode="External"/><Relationship Id="rId116" Type="http://schemas.openxmlformats.org/officeDocument/2006/relationships/hyperlink" Target="https://www.instagram.com/majmae_heydrioon/" TargetMode="External"/><Relationship Id="rId115" Type="http://schemas.openxmlformats.org/officeDocument/2006/relationships/hyperlink" Target="https://www.instagram.com/ansarhussainie.brj/" TargetMode="External"/><Relationship Id="rId119" Type="http://schemas.openxmlformats.org/officeDocument/2006/relationships/hyperlink" Target="https://l.instagram.com/?u=https%3A%2F%2Ft.me%2Fjavadalaemeh95%3Futm_source%3Dig%26utm_medium%3Dsocial%26utm_content%3Dlink_in_bio%26fbclid%3DPAZXh0bgNhZW0CMTEAc3J0YwZhcHBfaWQMMjU2MjgxMDQwNTU4AAGnWGnb8OgypPJdl6p2e5VZKNh6FkCv5kc-_sV1qRql4epUCLYxL2_GYnYbjpA_aem_HZ2ybTMIyDFGwa6X-BBITQ&amp;e=AT1B7Hr-I8zVzYmWzaOfsdgeGqwUvlMpYSXnZpyviWmL5gJZNTv3il0xhz7CfraIT5MXCEqo0mr6NAjgiXz784-3iHpI26leza6zacfnAA" TargetMode="External"/><Relationship Id="rId110" Type="http://schemas.openxmlformats.org/officeDocument/2006/relationships/hyperlink" Target="https://eitaa.com/masjed_ghods1402" TargetMode="External"/><Relationship Id="rId114" Type="http://schemas.openxmlformats.org/officeDocument/2006/relationships/hyperlink" Target="https://www.instagram.com/h_ansarolabbas_brj/" TargetMode="External"/><Relationship Id="rId113" Type="http://schemas.openxmlformats.org/officeDocument/2006/relationships/hyperlink" Target="https://l.instagram.com/?u=http%3A%2F%2Ft.me%2Fansar_khorramabad%3Futm_source%3Dig%26utm_medium%3Dsocial%26utm_content%3Dlink_in_bio%26fbclid%3DPAZXh0bgNhZW0CMTEAc3J0YwZhcHBfaWQMMjU2MjgxMDQwNTU4AAGnT2jV4qDORPI4a5d89Z1QEly7Q0GYidQMlUg2rWBlGrlIGdHxXZpvyJwggV8_aem_bm2MwJQhjv4kEMthIZI5bg&amp;e=AT0M-sFbh2W6m7CQ-Hl2gBCN9Vxix4Oskg5-ny19PY_mCnwa0PXOyvNh_nMM1_2_3Djj_aLPB4YF1COLvkYN1dPuojwQfaFks42ZEhrtUQ" TargetMode="External"/><Relationship Id="rId112" Type="http://schemas.openxmlformats.org/officeDocument/2006/relationships/hyperlink" Target="https://www.instagram.com/ansar_khorramabad/" TargetMode="External"/><Relationship Id="rId111" Type="http://schemas.openxmlformats.org/officeDocument/2006/relationships/hyperlink" Target="https://eitaa.com/beytalhasan_com" TargetMode="External"/><Relationship Id="rId40" Type="http://schemas.openxmlformats.org/officeDocument/2006/relationships/hyperlink" Target="https://www.instagram.com/mohebin.emamhasan/" TargetMode="External"/><Relationship Id="rId42" Type="http://schemas.openxmlformats.org/officeDocument/2006/relationships/hyperlink" Target="https://www.instagram.com/nooralshohada_31/" TargetMode="External"/><Relationship Id="rId41" Type="http://schemas.openxmlformats.org/officeDocument/2006/relationships/hyperlink" Target="https://eitaa.com/ansarolhosein5711" TargetMode="External"/><Relationship Id="rId44" Type="http://schemas.openxmlformats.org/officeDocument/2006/relationships/hyperlink" Target="https://www.instagram.com/Aleya30n/" TargetMode="External"/><Relationship Id="rId43" Type="http://schemas.openxmlformats.org/officeDocument/2006/relationships/hyperlink" Target="https://www.instagram.com/heiat_amir/" TargetMode="External"/><Relationship Id="rId46" Type="http://schemas.openxmlformats.org/officeDocument/2006/relationships/hyperlink" Target="https://eitaa.com/mohebin_ale_yassin" TargetMode="External"/><Relationship Id="rId45" Type="http://schemas.openxmlformats.org/officeDocument/2006/relationships/hyperlink" Target="https://l.instagram.com/?u=http%3A%2F%2Ftlgrm.me%2Faleya30n%3Ffbclid%3DPAZXh0bgNhZW0CMTEAAaelk-W4IOWIBXh-2RKd38HC4tNDOI-qskYsuhbj_ZrV_reE_qQ7NtVuH7d2ag_aem_pVN5IycoXcuoAD-ixaB_4A&amp;e=AT3cXKzAoeDw7aySYP-UgWEG_3P-QC0rXoDFGhkPe3z_jjRSFVz6nENBzcSakNDbG4QgUbZNAx01IDITkGrkKOLnRFFd34Dbr3bTZppcDw" TargetMode="External"/><Relationship Id="rId48" Type="http://schemas.openxmlformats.org/officeDocument/2006/relationships/hyperlink" Target="https://www.instagram.com/kheimeh_fatemiyon/" TargetMode="External"/><Relationship Id="rId47" Type="http://schemas.openxmlformats.org/officeDocument/2006/relationships/hyperlink" Target="https://www.instagram.com/asheghaneashora_1374/" TargetMode="External"/><Relationship Id="rId49" Type="http://schemas.openxmlformats.org/officeDocument/2006/relationships/hyperlink" Target="https://eitaa.com/heyatmohebindelfan" TargetMode="External"/><Relationship Id="rId31" Type="http://schemas.openxmlformats.org/officeDocument/2006/relationships/hyperlink" Target="https://www.instagram.com/heiatefatemehzahraa/" TargetMode="External"/><Relationship Id="rId30" Type="http://schemas.openxmlformats.org/officeDocument/2006/relationships/hyperlink" Target="https://www.instagram.com/heyat_khademolabbas_azna/" TargetMode="External"/><Relationship Id="rId33" Type="http://schemas.openxmlformats.org/officeDocument/2006/relationships/hyperlink" Target="https://www.instagram.com/yaletharat_dorod/" TargetMode="External"/><Relationship Id="rId32" Type="http://schemas.openxmlformats.org/officeDocument/2006/relationships/hyperlink" Target="https://www.instagram.com/asheghane_sarallah_boroujerd/" TargetMode="External"/><Relationship Id="rId35" Type="http://schemas.openxmlformats.org/officeDocument/2006/relationships/hyperlink" Target="https://l.instagram.com/?u=http%3A%2F%2Ftelegram.me%2Fheyatalamdar%3Ffbclid%3DPAZXh0bgNhZW0CMTEAAae-mvfAB8nOfV66c2L-4O3-oPi4tH7HhI9IZXmozL2L2388LHjCTGa9rupYiw_aem_6NqZh0EPVvtjmB81z1BKAw&amp;e=AT2Inr7xTW2c3nL-tOWLtpYUipconyutXggKKX9W46ARJfXDo6DdVuDNO7eYqQ0lDd8yRdmKI_4VPzeQ7ajvTmAtjCphViCcKmhJEeoVOg" TargetMode="External"/><Relationship Id="rId34" Type="http://schemas.openxmlformats.org/officeDocument/2006/relationships/hyperlink" Target="https://www.instagram.com/heyaat_alamdar/" TargetMode="External"/><Relationship Id="rId37" Type="http://schemas.openxmlformats.org/officeDocument/2006/relationships/hyperlink" Target="https://www.instagram.com/yavaranmahdi59/" TargetMode="External"/><Relationship Id="rId36" Type="http://schemas.openxmlformats.org/officeDocument/2006/relationships/hyperlink" Target="https://eitaa.com/yousofezahra_ir" TargetMode="External"/><Relationship Id="rId39" Type="http://schemas.openxmlformats.org/officeDocument/2006/relationships/hyperlink" Target="https://www.instagram.com/karimeahlebet86/" TargetMode="External"/><Relationship Id="rId38" Type="http://schemas.openxmlformats.org/officeDocument/2006/relationships/hyperlink" Target="https://eitaa.com/masakin_alzahra" TargetMode="External"/><Relationship Id="rId20" Type="http://schemas.openxmlformats.org/officeDocument/2006/relationships/hyperlink" Target="https://www.instagram.com/info_rnd/" TargetMode="External"/><Relationship Id="rId22" Type="http://schemas.openxmlformats.org/officeDocument/2006/relationships/hyperlink" Target="https://www.instagram.com/bentolrasool/" TargetMode="External"/><Relationship Id="rId21" Type="http://schemas.openxmlformats.org/officeDocument/2006/relationships/hyperlink" Target="https://instagram.com/rayat_alabas_pol/" TargetMode="External"/><Relationship Id="rId24" Type="http://schemas.openxmlformats.org/officeDocument/2006/relationships/hyperlink" Target="https://www.instagram.com/oshaghozahra_aligoodarz/" TargetMode="External"/><Relationship Id="rId23" Type="http://schemas.openxmlformats.org/officeDocument/2006/relationships/hyperlink" Target="https://www.instagram.com/seyedoshohadaaa/" TargetMode="External"/><Relationship Id="rId26" Type="http://schemas.openxmlformats.org/officeDocument/2006/relationships/hyperlink" Target="https://eitaa.com/ansarolmahdiazna" TargetMode="External"/><Relationship Id="rId25" Type="http://schemas.openxmlformats.org/officeDocument/2006/relationships/hyperlink" Target="https://www.instagram.com/hoseiniehsaralah/" TargetMode="External"/><Relationship Id="rId28" Type="http://schemas.openxmlformats.org/officeDocument/2006/relationships/hyperlink" Target="https://www.instagram.com/zoovarolhosein128/" TargetMode="External"/><Relationship Id="rId27" Type="http://schemas.openxmlformats.org/officeDocument/2006/relationships/hyperlink" Target="https://www.instagram.com/eheyat.mamasani.ir/" TargetMode="External"/><Relationship Id="rId29" Type="http://schemas.openxmlformats.org/officeDocument/2006/relationships/hyperlink" Target="https://eitaa.com/shamezeinab" TargetMode="External"/><Relationship Id="rId11" Type="http://schemas.openxmlformats.org/officeDocument/2006/relationships/hyperlink" Target="https://www.instagram.com/heyat_montazeran313/" TargetMode="External"/><Relationship Id="rId10" Type="http://schemas.openxmlformats.org/officeDocument/2006/relationships/hyperlink" Target="https://eitaa.com/aman59brj" TargetMode="External"/><Relationship Id="rId13" Type="http://schemas.openxmlformats.org/officeDocument/2006/relationships/hyperlink" Target="https://eitaa.com/majmaeheydarioon" TargetMode="External"/><Relationship Id="rId12" Type="http://schemas.openxmlformats.org/officeDocument/2006/relationships/hyperlink" Target="https://l.instagram.com/?u=https%3A%2F%2Ft.me%2Fheyat_montazeran_alg%3Ffbclid%3DPAZXh0bgNhZW0CMTEAAaeoD2N3be6_S91u4O_96BIdZeqCaPJSxnEoMZwOOIJPHbtZshU4UqnEyRLWWg_aem_MU_YfhtgbKLB94aiiJMKtQ&amp;e=AT0peQi08LUUMtIjjLSMT5dJT2-cgxveBVYdAkDl5CwSEkyThxT4FfQYX7jeBkCtb9l-FahrKXLBLBrvSU8lFx20xY5tllMOfXCsKM6fXQ" TargetMode="External"/><Relationship Id="rId15" Type="http://schemas.openxmlformats.org/officeDocument/2006/relationships/hyperlink" Target="https://l.instagram.com/?u=https%3A%2F%2Ft.me%2Ffatemiyun_khorramabad%3Ffbclid%3DPAZXh0bgNhZW0CMTEAAac1Vh-48eR01Ty9cSAvFB7a5EvWkObnbt_PbI6rpCtLGrXceYUnceaMPiC9qQ_aem_3oLfc5xkUJaAhpQxPEG6pg&amp;e=AT0cYShYvOQhjEGscypvKJ3JPFqNH-9r4OFLSgKIG8Y0Zv8ylCYu_cHdi7s_ywP-uhMeVFaQoW-YGdQzwtl8GzPFIzJzjG74eeR8A0-jGg" TargetMode="External"/><Relationship Id="rId14" Type="http://schemas.openxmlformats.org/officeDocument/2006/relationships/hyperlink" Target="https://www.instagram.com/fatemiyon_khoramabad/" TargetMode="External"/><Relationship Id="rId17" Type="http://schemas.openxmlformats.org/officeDocument/2006/relationships/hyperlink" Target="https://eitaa.com/heiat_emamhasan_askari" TargetMode="External"/><Relationship Id="rId16" Type="http://schemas.openxmlformats.org/officeDocument/2006/relationships/hyperlink" Target="https://eitaa.com/shohadagomnam_1398" TargetMode="External"/><Relationship Id="rId19" Type="http://schemas.openxmlformats.org/officeDocument/2006/relationships/hyperlink" Target="https://ble.ir/h_karim_ahlebeit" TargetMode="External"/><Relationship Id="rId18" Type="http://schemas.openxmlformats.org/officeDocument/2006/relationships/hyperlink" Target="https://eitaa.com/beyt_al_zahra_s" TargetMode="External"/><Relationship Id="rId84" Type="http://schemas.openxmlformats.org/officeDocument/2006/relationships/hyperlink" Target="https://www.instagram.com/delsookhtegan.h.zahra135/" TargetMode="External"/><Relationship Id="rId83" Type="http://schemas.openxmlformats.org/officeDocument/2006/relationships/hyperlink" Target="https://t.me/heyatmohebindelfan" TargetMode="External"/><Relationship Id="rId86" Type="http://schemas.openxmlformats.org/officeDocument/2006/relationships/hyperlink" Target="https://www.instagram.com/masakin_ir/" TargetMode="External"/><Relationship Id="rId85" Type="http://schemas.openxmlformats.org/officeDocument/2006/relationships/hyperlink" Target="https://t.me/delsookhtegan135" TargetMode="External"/><Relationship Id="rId88" Type="http://schemas.openxmlformats.org/officeDocument/2006/relationships/hyperlink" Target="https://eitaa.com/masakin_alzahra" TargetMode="External"/><Relationship Id="rId87" Type="http://schemas.openxmlformats.org/officeDocument/2006/relationships/hyperlink" Target="https://t.me/heyatmasakin_ir" TargetMode="External"/><Relationship Id="rId89" Type="http://schemas.openxmlformats.org/officeDocument/2006/relationships/hyperlink" Target="https://www.instagram.com/heyat_rayatollhossein/" TargetMode="External"/><Relationship Id="rId80" Type="http://schemas.openxmlformats.org/officeDocument/2006/relationships/hyperlink" Target="https://eitaa.com/ashab_ir" TargetMode="External"/><Relationship Id="rId82" Type="http://schemas.openxmlformats.org/officeDocument/2006/relationships/hyperlink" Target="https://www.instagram.com/heyatmohebindelfan/" TargetMode="External"/><Relationship Id="rId81" Type="http://schemas.openxmlformats.org/officeDocument/2006/relationships/hyperlink" Target="https://eitaa.com/hoseiniehsaralah" TargetMode="External"/><Relationship Id="rId73" Type="http://schemas.openxmlformats.org/officeDocument/2006/relationships/hyperlink" Target="https://l.instagram.com/?u=https%3A%2F%2Ftlgrm.me%2Fbotorab94%3Futm_source%3Dig%26utm_medium%3Dsocial%26utm_content%3Dlink_in_bio%26fbclid%3DPAZXh0bgNhZW0CMTEAc3J0YwZhcHBfaWQMMjU2MjgxMDQwNTU4AAGnysGEX_tScVJK6rp1c-rSamP-FSRqi7Bw3c0sWAut-_PvTBoiKzLv901rImY_aem_h1dFgW3oL_WcRURoPcTwag&amp;e=AT1Qv19AZHZjdmBHRgeEzO65XAPhI18_h-9YNJob2KVileB8NFROJpdCl6a2JejgI8DlZoL9HXPZ5H82Uj9wEOBZQmwUStR67D3XLE1FEQ" TargetMode="External"/><Relationship Id="rId72" Type="http://schemas.openxmlformats.org/officeDocument/2006/relationships/hyperlink" Target="https://www.instagram.com/botorab.94/" TargetMode="External"/><Relationship Id="rId75" Type="http://schemas.openxmlformats.org/officeDocument/2006/relationships/hyperlink" Target="https://www.instagram.com/shohadaye_delfan" TargetMode="External"/><Relationship Id="rId74" Type="http://schemas.openxmlformats.org/officeDocument/2006/relationships/hyperlink" Target="https://eitaa.com/moazna" TargetMode="External"/><Relationship Id="rId77" Type="http://schemas.openxmlformats.org/officeDocument/2006/relationships/hyperlink" Target="https://l.instagram.com/?u=http%3A%2F%2Feitaa.com%2Fshohadaye_delfan%3Futm_source%3Dig%26utm_medium%3Dsocial%26utm_content%3Dlink_in_bio%26fbclid%3DPAZXh0bgNhZW0CMTEAc3J0YwZhcHBfaWQMMjU2MjgxMDQwNTU4AAGnR6MqdusTTbz8rjSKVkHoSIQIi2GkWRKfzmVyZ1ra1aeUJDbyDIqiVzIcuq8_aem_4k9wuZKd8yUmhGv89o9P5g&amp;e=AT36VMKfcfJeXAnvBpb5mGMD-PCEnXsp7UCKXzJd6Bs97ticIfldJJFv-byqyLKjKLQdpFntFjVwNRJlr9FNpzzX32Qhd_Ho8CR3dV9WUQ" TargetMode="External"/><Relationship Id="rId76" Type="http://schemas.openxmlformats.org/officeDocument/2006/relationships/hyperlink" Target="https://t.me/shohadaye_delfan" TargetMode="External"/><Relationship Id="rId79" Type="http://schemas.openxmlformats.org/officeDocument/2006/relationships/hyperlink" Target="https://www.instagram.com/heyat_montazeranmahdi313/" TargetMode="External"/><Relationship Id="rId78" Type="http://schemas.openxmlformats.org/officeDocument/2006/relationships/hyperlink" Target="https://eitaa.com/mukeb313" TargetMode="External"/><Relationship Id="rId71" Type="http://schemas.openxmlformats.org/officeDocument/2006/relationships/hyperlink" Target="https://eitaa.com/rahrovanmahdaviyat" TargetMode="External"/><Relationship Id="rId70" Type="http://schemas.openxmlformats.org/officeDocument/2006/relationships/hyperlink" Target="https://l.instagram.com/?u=https%3A%2F%2Feitaa.com%2Fkarimeahlebet%3Futm_source%3Dig%26utm_medium%3Dsocial%26utm_content%3Dlink_in_bio%26fbclid%3DPAZXh0bgNhZW0CMTEAc3J0YwZhcHBfaWQMMjU2MjgxMDQwNTU4AAGnq7SYRH8_w_zxd0qkRY_799_gWglyMFu4N9QXFmDU34rouvIZq7wDPKQLWN0_aem_eMbLcnivzNRh8MVDH5joUA&amp;e=AT0cLLq5k5e8GE8sv3bxFwUnFT1sZd2s-zOQGXdcSLN0wira8mJwsUBlcPBcxnqjW5NWVciDlkf9gOQWzMi3Wjz04iW9CsPXoVvWalKDhQ" TargetMode="External"/><Relationship Id="rId62" Type="http://schemas.openxmlformats.org/officeDocument/2006/relationships/hyperlink" Target="https://t.me/zeinabioun_69" TargetMode="External"/><Relationship Id="rId61" Type="http://schemas.openxmlformats.org/officeDocument/2006/relationships/hyperlink" Target="https://www.instagram.com/zainabiun_69/" TargetMode="External"/><Relationship Id="rId64" Type="http://schemas.openxmlformats.org/officeDocument/2006/relationships/hyperlink" Target="https://l.instagram.com/?u=http%3A%2F%2Fhohkhoramabad.blogfa.com%2F%3Futm_source%3Dig%26utm_medium%3Dsocial%26utm_content%3Dlink_in_bio%26fbclid%3DPAZXh0bgNhZW0CMTEAc3J0YwZhcHBfaWQMMjU2MjgxMDQwNTU4AAGnwQKrzxvQi6EoPI8lVYn_8pI5juluP_TsvuqHlJkn9y7E_kRmzETrAaKYcrQ_aem_su9xRD_5mW0iuAFH5veJsw&amp;e=AT2QNqxXHHrXHO1uz6AeQBE_9cEmX9mS2s2vTn_94Rh1PmqLfHnWcToEV56cpiePi2glnB52ELoT2jMKBb1MFDlsXrFF6YCSIU-UGJZz0A" TargetMode="External"/><Relationship Id="rId63" Type="http://schemas.openxmlformats.org/officeDocument/2006/relationships/hyperlink" Target="https://www.instagram.com/oshagholhosein_khorramabad/" TargetMode="External"/><Relationship Id="rId66" Type="http://schemas.openxmlformats.org/officeDocument/2006/relationships/hyperlink" Target="https://l.instagram.com/?u=http%3A%2F%2Ft.me%2Fheiate_moheban_ahlebiyt%3Futm_source%3Dig%26utm_medium%3Dsocial%26utm_content%3Dlink_in_bio%26fbclid%3DPAZXh0bgNhZW0CMTEAc3J0YwZhcHBfaWQMMjU2MjgxMDQwNTU4AAGnpMU0FtDG30Ows--LuTTPz3yWPdj5zyekAXlEA7f7tDAaxuMPhMKnsEEEbeU_aem_dpSAzNMpRqoZJmPHHKEPzw&amp;e=AT1WXvw7hupDN1_h3IjKKg0TlBv3kta53MD3ip24A85yIoR3H8ZIYxv0sV5mKi1NTkBEhd8bpzegZWGay5JTbR03AS1aFJrM0rS-d4YQjA" TargetMode="External"/><Relationship Id="rId65" Type="http://schemas.openxmlformats.org/officeDocument/2006/relationships/hyperlink" Target="https://www.instagram.com/moheban_ahlebeiyt/" TargetMode="External"/><Relationship Id="rId68" Type="http://schemas.openxmlformats.org/officeDocument/2006/relationships/hyperlink" Target="https://www.instagram.com/hyat_alamdaramohamad_rasolalah/" TargetMode="External"/><Relationship Id="rId67" Type="http://schemas.openxmlformats.org/officeDocument/2006/relationships/hyperlink" Target="https://t.me/yalasarat_alhossein_ir" TargetMode="External"/><Relationship Id="rId60" Type="http://schemas.openxmlformats.org/officeDocument/2006/relationships/hyperlink" Target="https://www.instagram.com/masjed_al_rasool/" TargetMode="External"/><Relationship Id="rId69" Type="http://schemas.openxmlformats.org/officeDocument/2006/relationships/hyperlink" Target="https://www.instagram.com/karimeahlebet86/" TargetMode="External"/><Relationship Id="rId51" Type="http://schemas.openxmlformats.org/officeDocument/2006/relationships/hyperlink" Target="https://www.instagram.com/kheymeh_brj/" TargetMode="External"/><Relationship Id="rId50" Type="http://schemas.openxmlformats.org/officeDocument/2006/relationships/hyperlink" Target="https://www.instagram.com/oshaghabbas_brj/" TargetMode="External"/><Relationship Id="rId53" Type="http://schemas.openxmlformats.org/officeDocument/2006/relationships/hyperlink" Target="https://l.instagram.com/?u=http%3A%2F%2Feitaa.com%2FHeyatAlzahra_Borujerd%3Futm_source%3Dig%26utm_medium%3Dsocial%26utm_content%3Dlink_in_bio%26fbclid%3DPAZXh0bgNhZW0CMTEAc3J0YwZhcHBfaWQMMjU2MjgxMDQwNTU4AAGnEhrOg26xcpTeFda0iHfNFEKhYfFyyQmtp9OBvZNt_ZhY2ChaXhiRa9Jqp6Q_aem_-nnk1F1YIjf_DM9liI_nlw&amp;e=AT2CsKInQR0MZpWeFnGq_Kzx1PLrFXv9RJoasrMPCjUt3byAgwpRHu0GLZWCc27DP7BS4UMm4KLXmqGaaGftvL7QmIlmm2rkeqENu1jc9w" TargetMode="External"/><Relationship Id="rId52" Type="http://schemas.openxmlformats.org/officeDocument/2006/relationships/hyperlink" Target="https://www.instagram.com/heyatalzahra_borujerd/" TargetMode="External"/><Relationship Id="rId55" Type="http://schemas.openxmlformats.org/officeDocument/2006/relationships/hyperlink" Target="https://www.instagram.com/ashab_delfan_ir/" TargetMode="External"/><Relationship Id="rId54" Type="http://schemas.openxmlformats.org/officeDocument/2006/relationships/hyperlink" Target="https://www.instagram.com/h_daneshjoei/" TargetMode="External"/><Relationship Id="rId57" Type="http://schemas.openxmlformats.org/officeDocument/2006/relationships/hyperlink" Target="https://www.instagram.com/heiatefatemehzahraa" TargetMode="External"/><Relationship Id="rId56" Type="http://schemas.openxmlformats.org/officeDocument/2006/relationships/hyperlink" Target="https://l.instagram.com/?u=https%3A%2F%2Ft.me%2Fashab_delfan_ir%3Futm_source%3Dig%26utm_medium%3Dsocial%26utm_content%3Dlink_in_bio%26fbclid%3DPAZXh0bgNhZW0CMTEAc3J0YwZhcHBfaWQMMjU2MjgxMDQwNTU4AAGnd9f6rMDYU_6uE-cciLPbF7WjfWeZlopJnNfrhfNH1NNZuq45VNAyt6TljJM_aem_jydI1w7RCr9rzmJ-1RHGhw&amp;e=AT2QSLeevknthcGvv0tSDk5KmTnXx0oqI9b-I21yrhh8TGrLDV3XyWdmOrrDTUek71ehiHw9VhozaczNlH3EJOYJbbnyBCpLoE40mlgMtw" TargetMode="External"/><Relationship Id="rId59" Type="http://schemas.openxmlformats.org/officeDocument/2006/relationships/hyperlink" Target="https://t.me/Emamasgari_ir" TargetMode="External"/><Relationship Id="rId58" Type="http://schemas.openxmlformats.org/officeDocument/2006/relationships/hyperlink" Target="https://l.instagram.com/?u=https%3A%2F%2Ft.me%2Fheiatefatemehzahra%3Futm_source%3Dig%26utm_medium%3Dsocial%26utm_content%3Dlink_in_bio%26fbclid%3DPAZXh0bgNhZW0CMTEAc3J0YwZhcHBfaWQMMjU2MjgxMDQwNTU4AAGn3AbML_UBDr64FDC7hNnuoPAkHbnegnE72nZvqH_hjiJuQOBC-krsCgSsM7M_aem_BaH1Wr_bonoInZIEFOcmDA&amp;e=AT3jLE_I_NBXU18xBfm6YMxKTLTmhbQS7jcuJyPzVv_H7m-Luaz8nC3G-NtZ66OC9n3GT0r9_W06HzOcYm1LhCOiotOkP5ElgV66lRUyAg" TargetMode="External"/><Relationship Id="rId95" Type="http://schemas.openxmlformats.org/officeDocument/2006/relationships/hyperlink" Target="https://eitaa.com/rezajankhorramabad" TargetMode="External"/><Relationship Id="rId94" Type="http://schemas.openxmlformats.org/officeDocument/2006/relationships/hyperlink" Target="https://www.instagram.com/rezajan_khorramabad/" TargetMode="External"/><Relationship Id="rId97" Type="http://schemas.openxmlformats.org/officeDocument/2006/relationships/hyperlink" Target="https://www.instagram.com/aleyasin1khorram/" TargetMode="External"/><Relationship Id="rId96" Type="http://schemas.openxmlformats.org/officeDocument/2006/relationships/hyperlink" Target="https://www.instagram.com/ghosalfoghara/" TargetMode="External"/><Relationship Id="rId99" Type="http://schemas.openxmlformats.org/officeDocument/2006/relationships/hyperlink" Target="https://www.instagram.com/saelin_h_zeinab/" TargetMode="External"/><Relationship Id="rId98" Type="http://schemas.openxmlformats.org/officeDocument/2006/relationships/hyperlink" Target="https://l.instagram.com/?u=https%3A%2F%2Ft.me%2Faleyasin1khorram%3Futm_source%3Dig%26utm_medium%3Dsocial%26utm_content%3Dlink_in_bio%26fbclid%3DPAZXh0bgNhZW0CMTEAc3J0YwZhcHBfaWQMMjU2MjgxMDQwNTU4AAGnMIjzMFctEGLfXZzn_0i0XFB0_GaNrfXoo9bZ3bTdSRAMHXED3WNAbig5bFc_aem_iA1WeSP-KASklwiVL99oIw&amp;e=AT3AQDiCbBMSSmzUggfYA6IU9xKFErf2A497BfGK0vicR01TkW36xsaD7PVIdrShP3K4sBGNUfKIgsDk93Z8LsyNWgmkKrejQX5uIsbLhw" TargetMode="External"/><Relationship Id="rId91" Type="http://schemas.openxmlformats.org/officeDocument/2006/relationships/hyperlink" Target="https://www.instagram.com/heyate_ansar_delfan/" TargetMode="External"/><Relationship Id="rId90" Type="http://schemas.openxmlformats.org/officeDocument/2006/relationships/hyperlink" Target="https://t.me/rayatollhossein99" TargetMode="External"/><Relationship Id="rId93" Type="http://schemas.openxmlformats.org/officeDocument/2006/relationships/hyperlink" Target="https://l.instagram.com/?u=https%3A%2F%2Ft.me%2Fansarpol%3Futm_source%3Dig%26utm_medium%3Dsocial%26utm_content%3Dlink_in_bio%26fbclid%3DPAZXh0bgNhZW0CMTEAc3J0YwZhcHBfaWQMMjU2MjgxMDQwNTU4AAGnrmuACMad45M_5QEWtjwgyv4SS2qHwEkvjRoVeWbuHnLX6kEHEY_TpCV4f-w_aem_dhGEcYYsLcRgzobj1fIFLA&amp;e=AT3M5qd_PDMtTVmp5ZnrxnNPgtiZqQVqOjUKrk80ijBKGHfT54LXxKyxAA23fTF7J0gOVKPvaaoZyO3xcHr_4R0k4caqCJ3ZexySa688QA" TargetMode="External"/><Relationship Id="rId92" Type="http://schemas.openxmlformats.org/officeDocument/2006/relationships/hyperlink" Target="http://instagram.com/ansaralmahdi1384/" TargetMode="External"/><Relationship Id="rId1" Type="http://schemas.openxmlformats.org/officeDocument/2006/relationships/hyperlink" Target="https://www.instagram.com/alaviyon110/" TargetMode="External"/><Relationship Id="rId2" Type="http://schemas.openxmlformats.org/officeDocument/2006/relationships/hyperlink" Target="https://eitaa.com/s/mahfeleshohada61/" TargetMode="External"/><Relationship Id="rId3" Type="http://schemas.openxmlformats.org/officeDocument/2006/relationships/hyperlink" Target="https://eitaa.com/motevaselein" TargetMode="External"/><Relationship Id="rId4" Type="http://schemas.openxmlformats.org/officeDocument/2006/relationships/hyperlink" Target="https://eitaa.com/heiat_h_aliakbar" TargetMode="External"/><Relationship Id="rId9" Type="http://schemas.openxmlformats.org/officeDocument/2006/relationships/hyperlink" Target="https://www.instagram.com/aman59.brj/" TargetMode="External"/><Relationship Id="rId5" Type="http://schemas.openxmlformats.org/officeDocument/2006/relationships/hyperlink" Target="https://www.instagram.com/montazeran_mahdi_khoramabad/" TargetMode="External"/><Relationship Id="rId6" Type="http://schemas.openxmlformats.org/officeDocument/2006/relationships/hyperlink" Target="https://eitaa.com/heyatzeynabion" TargetMode="External"/><Relationship Id="rId7" Type="http://schemas.openxmlformats.org/officeDocument/2006/relationships/hyperlink" Target="https://www.instagram.com/b_harameyn_ir" TargetMode="External"/><Relationship Id="rId8" Type="http://schemas.openxmlformats.org/officeDocument/2006/relationships/hyperlink" Target="https://eitaa.com/b_harameyn_ir" TargetMode="External"/></Relationships>
</file>

<file path=xl/worksheets/_rels/sheet19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majma.fatemiyoun/" TargetMode="External"/><Relationship Id="rId194" Type="http://schemas.openxmlformats.org/officeDocument/2006/relationships/hyperlink" Target="https://www.instagram.com/maktabsadegh_karaj/" TargetMode="External"/><Relationship Id="rId193" Type="http://schemas.openxmlformats.org/officeDocument/2006/relationships/hyperlink" Target="https://www.instagram.com/maktabol_zahra_karaj/" TargetMode="External"/><Relationship Id="rId192" Type="http://schemas.openxmlformats.org/officeDocument/2006/relationships/hyperlink" Target="https://www.instagram.com/maktab.zahra.fardis.fan/" TargetMode="External"/><Relationship Id="rId191" Type="http://schemas.openxmlformats.org/officeDocument/2006/relationships/hyperlink" Target="https://www.instagram.com/majmae_montazeran313/" TargetMode="External"/><Relationship Id="rId187" Type="http://schemas.openxmlformats.org/officeDocument/2006/relationships/hyperlink" Target="https://www.instagram.com/mahdiyeinfo/" TargetMode="External"/><Relationship Id="rId186" Type="http://schemas.openxmlformats.org/officeDocument/2006/relationships/hyperlink" Target="https://www.instagram.com/mahdiiieh313/" TargetMode="External"/><Relationship Id="rId185" Type="http://schemas.openxmlformats.org/officeDocument/2006/relationships/hyperlink" Target="https://www.instagram.com/mahdiekaraj.ir/" TargetMode="External"/><Relationship Id="rId184" Type="http://schemas.openxmlformats.org/officeDocument/2006/relationships/hyperlink" Target="https://eitaa.com/beheshtesamen" TargetMode="External"/><Relationship Id="rId189" Type="http://schemas.openxmlformats.org/officeDocument/2006/relationships/hyperlink" Target="https://www.instagram.com/mahfel7/" TargetMode="External"/><Relationship Id="rId188" Type="http://schemas.openxmlformats.org/officeDocument/2006/relationships/hyperlink" Target="https://eitaa.com/mahdiyeinfo" TargetMode="External"/><Relationship Id="rId183" Type="http://schemas.openxmlformats.org/officeDocument/2006/relationships/hyperlink" Target="https://www.instagram.com/m.beheshtesamen" TargetMode="External"/><Relationship Id="rId182" Type="http://schemas.openxmlformats.org/officeDocument/2006/relationships/hyperlink" Target="https://l.instagram.com/?u=http%3A%2F%2Ft.me%2Fleva_media_karaj%3Futm_source%3Dig%26utm_medium%3Dsocial%26utm_content%3Dlink_in_bio%26fbclid%3DPAZXh0bgNhZW0CMTEAc3J0YwZhcHBfaWQMMjU2MjgxMDQwNTU4AAGni9ivmU2E3JqtoCcLexXcdqTyercGkNtfkDYFL7ntkhQic7tTVjeNwcxoACg_aem_KO45FUFw-rHh08qoYMUPnw&amp;e=AT3xBZRAzk6IKYl26VH0K3dEtsrq3BazvEV3cA18I1Q1Tj-ja8FJCGAJ7CvyK8o0YnMmIohetkf6AB0aY-qlyF4VMUQfI7Uguy9F-ax9YQ" TargetMode="External"/><Relationship Id="rId181" Type="http://schemas.openxmlformats.org/officeDocument/2006/relationships/hyperlink" Target="https://www.instagram.com/levazahra_karaj/?hl=en" TargetMode="External"/><Relationship Id="rId180" Type="http://schemas.openxmlformats.org/officeDocument/2006/relationships/hyperlink" Target="https://l.instagram.com/?u=https%3A%2F%2Ft.me%2Fleva_heidar_karar%3Futm_source%3Dig%26utm_medium%3Dsocial%26utm_content%3Dlink_in_bio%26fbclid%3DPAZXh0bgNhZW0CMTEAc3J0YwZhcHBfaWQMMjU2MjgxMDQwNTU4AAGnLuZ9knG_xFnyMgBMmMqZ7FBYbRgeyaPnZAH0ZTjWyJhmULnFenIHEtUPOmU_aem_NFSaqOkT4ss5d-3i4bbYIA&amp;e=AT0NXn3zkjLZMU6z3Hlsjc3kMt6eAZDCXaWcxiKytnfVKOqu2wtQS3bhJIrOzMPppl67KQ6e5_Un8F8uHgCiSgz3gR8oxrC4baD2Od4zIA" TargetMode="External"/><Relationship Id="rId176" Type="http://schemas.openxmlformats.org/officeDocument/2006/relationships/hyperlink" Target="https://l.instagram.com/?u=http%3A%2F%2Ft.me%2Fkhoddamekarimeahlebeyt%3Futm_source%3Dig%26utm_medium%3Dsocial%26utm_content%3Dlink_in_bio%26fbclid%3DPAZXh0bgNhZW0CMTEAc3J0YwZhcHBfaWQMMjU2MjgxMDQwNTU4AAGnSDlpkZWQlXkPX_fufx84cFcpj7ZLvcBKlrd-CjzLfxgioXpFD93B5LyBX9U_aem_gAv0VCFckxmdgYiwHPQkQQ&amp;e=AT12rdI51bwBrLbThg1qbY25Uqaz3l74fJrJHVHta9Xnxum6HzpFFT-4ta65K_U9AHBVxufRYq__U3as6F2LoyEuvhEQK0LAhHlntle_Sw" TargetMode="External"/><Relationship Id="rId175" Type="http://schemas.openxmlformats.org/officeDocument/2006/relationships/hyperlink" Target="https://www.instagram.com/karimeahlebeyt128/" TargetMode="External"/><Relationship Id="rId174" Type="http://schemas.openxmlformats.org/officeDocument/2006/relationships/hyperlink" Target="https://www.instagram.com/karbala8.ir/" TargetMode="External"/><Relationship Id="rId173" Type="http://schemas.openxmlformats.org/officeDocument/2006/relationships/hyperlink" Target="https://t.me/kanoongoharshad" TargetMode="External"/><Relationship Id="rId179" Type="http://schemas.openxmlformats.org/officeDocument/2006/relationships/hyperlink" Target="https://www.instagram.com/leva_heidar_karar/?hl=en" TargetMode="External"/><Relationship Id="rId178" Type="http://schemas.openxmlformats.org/officeDocument/2006/relationships/hyperlink" Target="https://www.instagram.com/kn_serat/?hl=en" TargetMode="External"/><Relationship Id="rId177" Type="http://schemas.openxmlformats.org/officeDocument/2006/relationships/hyperlink" Target="https://www.instagram.com/kh_beytozahraa/" TargetMode="External"/><Relationship Id="rId198" Type="http://schemas.openxmlformats.org/officeDocument/2006/relationships/hyperlink" Target="https://eitaa.com/masjed_jameraja" TargetMode="External"/><Relationship Id="rId197" Type="http://schemas.openxmlformats.org/officeDocument/2006/relationships/hyperlink" Target="https://www.instagram.com/masjed_jameraja/?hl=en" TargetMode="External"/><Relationship Id="rId196" Type="http://schemas.openxmlformats.org/officeDocument/2006/relationships/hyperlink" Target="https://www.instagram.com/masjed_imamjafarsadegh/?hl=en" TargetMode="External"/><Relationship Id="rId195" Type="http://schemas.openxmlformats.org/officeDocument/2006/relationships/hyperlink" Target="https://www.instagram.com/masjed__aliebnabitaleb?utm_source=ig_web_button_share_sheet&amp;igsh=ZDNlZDc0MzIxNw==" TargetMode="External"/><Relationship Id="rId199" Type="http://schemas.openxmlformats.org/officeDocument/2006/relationships/hyperlink" Target="https://www.instagram.com/masjed_mousabne_jafar?utm_source=ig_web_button_share_sheet&amp;igsh=ZDNlZDc0MzIxNw==" TargetMode="External"/><Relationship Id="rId150" Type="http://schemas.openxmlformats.org/officeDocument/2006/relationships/hyperlink" Target="https://www.instagram.com/heyatoshohada_karaj313/" TargetMode="External"/><Relationship Id="rId149" Type="http://schemas.openxmlformats.org/officeDocument/2006/relationships/hyperlink" Target="https://www.instagram.com/heyatolroghaye_fardis/" TargetMode="External"/><Relationship Id="rId148" Type="http://schemas.openxmlformats.org/officeDocument/2006/relationships/hyperlink" Target="https://t.me/Mahdioun" TargetMode="External"/><Relationship Id="rId143" Type="http://schemas.openxmlformats.org/officeDocument/2006/relationships/hyperlink" Target="https://www.instagram.com/heyatemohebbanesarallah/" TargetMode="External"/><Relationship Id="rId142" Type="http://schemas.openxmlformats.org/officeDocument/2006/relationships/hyperlink" Target="https://www.instagram.com/heyate.aemebaghi.karj/?hl=en" TargetMode="External"/><Relationship Id="rId141" Type="http://schemas.openxmlformats.org/officeDocument/2006/relationships/hyperlink" Target="https://l.instagram.com/?u=http%3A%2F%2Ft.me%2Fheyate_zeynabiyoun%3Futm_source%3Dig%26utm_medium%3Dsocial%26utm_content%3Dlink_in_bio%26fbclid%3DPAZXh0bgNhZW0CMTEAc3J0YwZhcHBfaWQMMjU2MjgxMDQwNTU4AAGnW4VKtwMI0nnGJlb7P2nfQHJB1CcASrqy4pCUIr11PrtjZhNf6TQqMgCekGU_aem_D6cQUEDlGN1G-ntr3USEcA&amp;e=AT07Q277d5HO4n_c6rZzTbX9g9PjXst5rMpl42WK50n53SGvSzl7W2z0J-Rdzxw9AJRDO0dqk-9VeFwcyaqvIH4AruYxfHLwlZMXquU53A" TargetMode="External"/><Relationship Id="rId140" Type="http://schemas.openxmlformats.org/officeDocument/2006/relationships/hyperlink" Target="https://www.instagram.com/heyate_zeynabiyoun/" TargetMode="External"/><Relationship Id="rId147" Type="http://schemas.openxmlformats.org/officeDocument/2006/relationships/hyperlink" Target="https://www.instagram.com/heyatmahdioun/" TargetMode="External"/><Relationship Id="rId146" Type="http://schemas.openxmlformats.org/officeDocument/2006/relationships/hyperlink" Target="https://www.instagram.com/heyatkhu/" TargetMode="External"/><Relationship Id="rId145" Type="http://schemas.openxmlformats.org/officeDocument/2006/relationships/hyperlink" Target="https://www.instagram.com/heyatjavananhoseini/?hl=en" TargetMode="External"/><Relationship Id="rId144" Type="http://schemas.openxmlformats.org/officeDocument/2006/relationships/hyperlink" Target="https://www.instagram.com/heyatenorolhoda/" TargetMode="External"/><Relationship Id="rId139" Type="http://schemas.openxmlformats.org/officeDocument/2006/relationships/hyperlink" Target="https://t.me/heyateshahzadehaliakbar" TargetMode="External"/><Relationship Id="rId138" Type="http://schemas.openxmlformats.org/officeDocument/2006/relationships/hyperlink" Target="https://www.instagram.com/heyate_shahzade_ali_akbar?utm_source=ig_web_button_share_sheet&amp;igsh=ZDNlZDc0MzIxNw==" TargetMode="External"/><Relationship Id="rId137" Type="http://schemas.openxmlformats.org/officeDocument/2006/relationships/hyperlink" Target="https://l.instagram.com/?u=https%3A%2F%2Feitaa.com%2Fheyatemohebeen%3Futm_source%3Dig%26utm_medium%3Dsocial%26utm_content%3Dlink_in_bio%26fbclid%3DPAZXh0bgNhZW0CMTEAc3J0YwZhcHBfaWQMMjU2MjgxMDQwNTU4AAGnJmp72f-3BEJp_TfKCjC-tV0pQjHo1CdedvWcZT5_YGY1hcY2qG7G0ovTfYk_aem_ykwDuxRoFvmMbShdgu9HYw&amp;e=AT27f-anThbwXK9MSTlYp6GDT5rtIHOSiWUTjfDUE4KrLPeXRiN9lTunGzhu9glU4KXkNTZ-XG84JbKn2muSq_19ReMyayxZu2v5OFozzg" TargetMode="External"/><Relationship Id="rId132" Type="http://schemas.openxmlformats.org/officeDocument/2006/relationships/hyperlink" Target="https://www.instagram.com/heyate_asheghane_hossein?utm_source=ig_web_button_share_sheet&amp;igsh=ZDNlZDc0MzIxNw==" TargetMode="External"/><Relationship Id="rId131" Type="http://schemas.openxmlformats.org/officeDocument/2006/relationships/hyperlink" Target="https://www.instagram.com/heyatamamhasan.1389/" TargetMode="External"/><Relationship Id="rId130" Type="http://schemas.openxmlformats.org/officeDocument/2006/relationships/hyperlink" Target="https://www.instagram.com/heyat.heydarion.karaj/?hl=fa" TargetMode="External"/><Relationship Id="rId136" Type="http://schemas.openxmlformats.org/officeDocument/2006/relationships/hyperlink" Target="https://l.instagram.com/?u=https%3A%2F%2Ft.me%2Fheyatemohebeen%3Futm_source%3Dig%26utm_medium%3Dsocial%26utm_content%3Dlink_in_bio%26fbclid%3DPAZXh0bgNhZW0CMTEAc3J0YwZhcHBfaWQMMjU2MjgxMDQwNTU4AAGn9-9n5ZA7Q9QLMhFDBW8IAi2S0V3CEAk8JXBrQQPNxDGwkBpG2nmoHAttwNw_aem_as4lNfHRa27fIgO8ceirKA&amp;e=AT0NddbP_br_nTI9fNxK98KKsNjTkh0dCaQ2LtYf_uodPmHoQwDjWMGA21NAjqd2bT3WfrMxEv9VjvQw-lKkVd7U_RXZiLgQd5lDPL3y9g" TargetMode="External"/><Relationship Id="rId135" Type="http://schemas.openxmlformats.org/officeDocument/2006/relationships/hyperlink" Target="https://www.instagram.com/heyate_mohebeen/" TargetMode="External"/><Relationship Id="rId134" Type="http://schemas.openxmlformats.org/officeDocument/2006/relationships/hyperlink" Target="https://www.instagram.com/heyate_khademine_hosein_karaj/" TargetMode="External"/><Relationship Id="rId133" Type="http://schemas.openxmlformats.org/officeDocument/2006/relationships/hyperlink" Target="https://www.instagram.com/heyate_hazratabolfazl/" TargetMode="External"/><Relationship Id="rId172" Type="http://schemas.openxmlformats.org/officeDocument/2006/relationships/hyperlink" Target="https://www.instagram.com/kanoon.goharshad/?hl=en" TargetMode="External"/><Relationship Id="rId171" Type="http://schemas.openxmlformats.org/officeDocument/2006/relationships/hyperlink" Target="https://www.instagram.com/kanonghadir/" TargetMode="External"/><Relationship Id="rId170" Type="http://schemas.openxmlformats.org/officeDocument/2006/relationships/hyperlink" Target="https://l.instagram.com/?u=http%3A%2F%2Ft.me%2Fjgamarbanihashem%3Futm_source%3Dig%26utm_medium%3Dsocial%26utm_content%3Dlink_in_bio%26fbclid%3DPAZXh0bgNhZW0CMTEAc3J0YwZhcHBfaWQMMjU2MjgxMDQwNTU4AAGnFm8tXNfynTz-CFWHt_SG7K3LNtuylSnLPnnTQJ5gKV6UfwhkrHio3eG-vhA_aem_P7IkIndMEN5PevC-ZP-FhA&amp;e=AT2Yi9ExyYH4pjwUuuPsxfIDld9lASABLRUac4U2gQEa-ote-A8crsSc34pR4708ydF7laJ3VWnto6nuRHBNKoM3cEDsQUOynNW0m2CMuw" TargetMode="External"/><Relationship Id="rId165" Type="http://schemas.openxmlformats.org/officeDocument/2006/relationships/hyperlink" Target="https://www.instagram.com/javad_ol_aemea?utm_source=ig_web_button_share_sheet&amp;igsh=ZDNlZDc0MzIxNw==" TargetMode="External"/><Relationship Id="rId164" Type="http://schemas.openxmlformats.org/officeDocument/2006/relationships/hyperlink" Target="https://www.instagram.com/hyat_javadalaemeh/" TargetMode="External"/><Relationship Id="rId163" Type="http://schemas.openxmlformats.org/officeDocument/2006/relationships/hyperlink" Target="https://www.instagram.com/hoseyniyonkaraj/" TargetMode="External"/><Relationship Id="rId162" Type="http://schemas.openxmlformats.org/officeDocument/2006/relationships/hyperlink" Target="https://l.instagram.com/?u=https%3A%2F%2Feitaa.com%2FjavadolAeme_heyAt%3Futm_source%3Dig%26utm_medium%3Dsocial%26utm_content%3Dlink_in_bio%26fbclid%3DPAZXh0bgNhZW0CMTEAc3J0YwZhcHBfaWQMMjU2MjgxMDQwNTU4AAGnsNkVQaYxOLOk9ZvV7h8rpE_2vThzvCQI5d9sP8sd_Nae_G1AOsnXGDecwCs_aem_SM9Ov7JKytctYgeRSWD1qQ&amp;e=AT0DF8lnsXcnSoxGdMxlsSKcxxyPR54Bca79ZJeFmI78K_v7BwWotJm6yX_hI3L6UQTfnP8h1mEiuBPgFRa2nhNjJPLFxHp7H2LEkf66QA" TargetMode="External"/><Relationship Id="rId169" Type="http://schemas.openxmlformats.org/officeDocument/2006/relationships/hyperlink" Target="https://www.instagram.com/jghamarbanihashem/" TargetMode="External"/><Relationship Id="rId168" Type="http://schemas.openxmlformats.org/officeDocument/2006/relationships/hyperlink" Target="https://www.instagram.com/javadolaemeh313.ir/" TargetMode="External"/><Relationship Id="rId167" Type="http://schemas.openxmlformats.org/officeDocument/2006/relationships/hyperlink" Target="https://l.instagram.com/?u=http%3A%2F%2Ft.me%2Fjavadolaemehh_karaj%3Futm_source%3Dig%26utm_medium%3Dsocial%26utm_content%3Dlink_in_bio%26fbclid%3DPAZXh0bgNhZW0CMTEAc3J0YwZhcHBfaWQMMjU2MjgxMDQwNTU4AAGnB1up1CAUrlV9zD_wLnx2ruieCUPW6K_P-l2dX3itQmzIqyY0aPSogSG0ZGM_aem_eJVi1LakPUUb1qyR5er8RA&amp;e=AT2a78FcAuI22BQDaRD4VPaCtzZ8LaxKXe4K-MxTfY68onX5dFGYpQZ_U_2uY3IzBztq-gWvAMIRM61yDrWhcHx6QdRGjioXQl_hzD3LPA" TargetMode="External"/><Relationship Id="rId166" Type="http://schemas.openxmlformats.org/officeDocument/2006/relationships/hyperlink" Target="https://www.instagram.com/javadolaemeh_info/?hl=en" TargetMode="External"/><Relationship Id="rId161" Type="http://schemas.openxmlformats.org/officeDocument/2006/relationships/hyperlink" Target="https://www.instagram.com/hoseyniyeh_javadolaeme/" TargetMode="External"/><Relationship Id="rId160" Type="http://schemas.openxmlformats.org/officeDocument/2006/relationships/hyperlink" Target="https://www.instagram.com/hoseinjan.krj/" TargetMode="External"/><Relationship Id="rId159" Type="http://schemas.openxmlformats.org/officeDocument/2006/relationships/hyperlink" Target="https://t.me/hoseinieh_14maesum" TargetMode="External"/><Relationship Id="rId154" Type="http://schemas.openxmlformats.org/officeDocument/2006/relationships/hyperlink" Target="https://www.instagram.com/hmodafean.haram?utm_source=ig_web_button_share_sheet&amp;igsh=ZDNlZDc0MzIxNw==" TargetMode="External"/><Relationship Id="rId153" Type="http://schemas.openxmlformats.org/officeDocument/2006/relationships/hyperlink" Target="https://www.instagram.com/heyethussein2025/" TargetMode="External"/><Relationship Id="rId152" Type="http://schemas.openxmlformats.org/officeDocument/2006/relationships/hyperlink" Target="https://www.instagram.com/heyatozahra.ir/?hl=en" TargetMode="External"/><Relationship Id="rId151" Type="http://schemas.openxmlformats.org/officeDocument/2006/relationships/hyperlink" Target="https://l.instagram.com/?u=http%3A%2F%2Ft.me%2Fheyatoshohada_karaj313%3Futm_source%3Dig%26utm_medium%3Dsocial%26utm_content%3Dlink_in_bio%26fbclid%3DPAZXh0bgNhZW0CMTEAc3J0YwZhcHBfaWQMMjU2MjgxMDQwNTU4AAGnEoJpCNvTfGGH7P6Po_TPwtDSyJt3_fajxY4rzssnkcWLy8h9-dAhIOvp3e0_aem_f8MKMRukXtqcitnUJn7NdA&amp;e=AT1JtLVk2iWmQjW0zkb4Cx-MHMNF5i62EZjEnowHiuWHZ093F_TbWYLaVO5rC-JxFmija1FOsoYztvpwzfysSOC0IWnznLbKLU9RJwh5LQ" TargetMode="External"/><Relationship Id="rId158" Type="http://schemas.openxmlformats.org/officeDocument/2006/relationships/hyperlink" Target="https://www.instagram.com/hoseinieh_14maesum/" TargetMode="External"/><Relationship Id="rId157" Type="http://schemas.openxmlformats.org/officeDocument/2006/relationships/hyperlink" Target="https://www.instagram.com/hoseinieabolfazl?utm_source=ig_web_button_share_sheet&amp;igsh=ZDNlZDc0MzIxNw==" TargetMode="External"/><Relationship Id="rId156" Type="http://schemas.openxmlformats.org/officeDocument/2006/relationships/hyperlink" Target="https://t.me/hoseinieazahra" TargetMode="External"/><Relationship Id="rId155" Type="http://schemas.openxmlformats.org/officeDocument/2006/relationships/hyperlink" Target="https://www.instagram.com/hoseinie.azahra?utm_source=ig_web_button_share_sheet&amp;igsh=ZDNlZDc0MzIxNw==" TargetMode="External"/><Relationship Id="rId107" Type="http://schemas.openxmlformats.org/officeDocument/2006/relationships/hyperlink" Target="https://www.instagram.com/heyat_abalfazllabas133/" TargetMode="External"/><Relationship Id="rId106" Type="http://schemas.openxmlformats.org/officeDocument/2006/relationships/hyperlink" Target="https://eitaa.com/Heyat_fatemiyon" TargetMode="External"/><Relationship Id="rId105" Type="http://schemas.openxmlformats.org/officeDocument/2006/relationships/hyperlink" Target="https://www.instagram.com/heyat__fatemiyon/" TargetMode="External"/><Relationship Id="rId104" Type="http://schemas.openxmlformats.org/officeDocument/2006/relationships/hyperlink" Target="https://www.instagram.com/heyaat_karim_ahlebeyt?utm_source=ig_web_button_share_sheet&amp;igsh=ZDNlZDc0MzIxNw==" TargetMode="External"/><Relationship Id="rId109" Type="http://schemas.openxmlformats.org/officeDocument/2006/relationships/hyperlink" Target="https://www.instagram.com/heyat_bentolhossein/" TargetMode="External"/><Relationship Id="rId108" Type="http://schemas.openxmlformats.org/officeDocument/2006/relationships/hyperlink" Target="https://www.instagram.com/heyat_asheghan_hazrat_abulfazl/" TargetMode="External"/><Relationship Id="rId103" Type="http://schemas.openxmlformats.org/officeDocument/2006/relationships/hyperlink" Target="https://www.instagram.com/hey_at_honarmandan_alborz/" TargetMode="External"/><Relationship Id="rId102" Type="http://schemas.openxmlformats.org/officeDocument/2006/relationships/hyperlink" Target="https://t.me/samen_channel" TargetMode="External"/><Relationship Id="rId101" Type="http://schemas.openxmlformats.org/officeDocument/2006/relationships/hyperlink" Target="https://www.instagram.com/heiatsamen.info?utm_source=ig_web_button_share_sheet&amp;igsh=ZDNlZDc0MzIxNw==" TargetMode="External"/><Relationship Id="rId100" Type="http://schemas.openxmlformats.org/officeDocument/2006/relationships/hyperlink" Target="https://eitaa.com/heiateshabab" TargetMode="External"/><Relationship Id="rId129" Type="http://schemas.openxmlformats.org/officeDocument/2006/relationships/hyperlink" Target="https://t.me/heyat_hasan_jan" TargetMode="External"/><Relationship Id="rId128" Type="http://schemas.openxmlformats.org/officeDocument/2006/relationships/hyperlink" Target="https://www.instagram.com/heyat.hasanjan/?hl=en" TargetMode="External"/><Relationship Id="rId127" Type="http://schemas.openxmlformats.org/officeDocument/2006/relationships/hyperlink" Target="https://www.instagram.com/heyat.abalfazll/" TargetMode="External"/><Relationship Id="rId126" Type="http://schemas.openxmlformats.org/officeDocument/2006/relationships/hyperlink" Target="https://www.instagram.com/heyat._sarallah/" TargetMode="External"/><Relationship Id="rId121" Type="http://schemas.openxmlformats.org/officeDocument/2006/relationships/hyperlink" Target="https://t.me/mohebban_alabbas133" TargetMode="External"/><Relationship Id="rId120" Type="http://schemas.openxmlformats.org/officeDocument/2006/relationships/hyperlink" Target="https://www.instagram.com/heyat_mohebban_alabbas/" TargetMode="External"/><Relationship Id="rId125" Type="http://schemas.openxmlformats.org/officeDocument/2006/relationships/hyperlink" Target="https://www.instagram.com/heyat_sahebazzaman?utm_source=ig_web_button_share_sheet&amp;igsh=ZDNlZDc0MzIxNw==" TargetMode="External"/><Relationship Id="rId124" Type="http://schemas.openxmlformats.org/officeDocument/2006/relationships/hyperlink" Target="https://www.instagram.com/heyat_razmandegan_ostan_alborz?utm_source=ig_web_button_share_sheet&amp;igsh=ZDNlZDc0MzIxNw==" TargetMode="External"/><Relationship Id="rId123" Type="http://schemas.openxmlformats.org/officeDocument/2006/relationships/hyperlink" Target="https://t.me/Heyat_RaayatolAbbas" TargetMode="External"/><Relationship Id="rId122" Type="http://schemas.openxmlformats.org/officeDocument/2006/relationships/hyperlink" Target="https://www.instagram.com/heyat_raayatolabbass/" TargetMode="External"/><Relationship Id="rId118" Type="http://schemas.openxmlformats.org/officeDocument/2006/relationships/hyperlink" Target="https://t.me/Mahdioun" TargetMode="External"/><Relationship Id="rId117" Type="http://schemas.openxmlformats.org/officeDocument/2006/relationships/hyperlink" Target="https://www.instagram.com/heyat_mahdion/?hl=en" TargetMode="External"/><Relationship Id="rId116" Type="http://schemas.openxmlformats.org/officeDocument/2006/relationships/hyperlink" Target="https://www.instagram.com/heyat_javanan_ansaralmahdi/?hl=en" TargetMode="External"/><Relationship Id="rId115" Type="http://schemas.openxmlformats.org/officeDocument/2006/relationships/hyperlink" Target="https://www.instagram.com/heyat_janatolhassan_karj/?hl=en" TargetMode="External"/><Relationship Id="rId119" Type="http://schemas.openxmlformats.org/officeDocument/2006/relationships/hyperlink" Target="https://www.instagram.com/heyat_maktabol_abas?utm_source=ig_web_button_share_sheet&amp;igsh=ZDNlZDc0MzIxNw==" TargetMode="External"/><Relationship Id="rId110" Type="http://schemas.openxmlformats.org/officeDocument/2006/relationships/hyperlink" Target="https://l.instagram.com/?u=https%3A%2F%2Ft.me%2Fbentolhossein_heyat%3Futm_source%3Dig%26utm_medium%3Dsocial%26utm_content%3Dlink_in_bio%26fbclid%3DPAZXh0bgNhZW0CMTEAc3J0YwZhcHBfaWQMMjU2MjgxMDQwNTU4AAGnevvroI3q5SBay0a7vowgqw1XK_VTY90GhZAU7X_sYTb_EcG4KmFNLvWWa1I_aem__ILHuhRwBCSqAf1BRuSy0Q&amp;e=AT0hatMbPNdn0wqPFqCaaROBf-OOQ47MYAbZ9kQ3M3hrZ-XzrQpWkKS4HJogSPRfP42dPjOzgpYsmJ8EA2rNPLHpeNe3e_PqYx4GbHzWfQ" TargetMode="External"/><Relationship Id="rId114" Type="http://schemas.openxmlformats.org/officeDocument/2006/relationships/hyperlink" Target="https://www.instagram.com/heyat_hazratabalfazll68?utm_source=ig_web_button_share_sheet&amp;igsh=ZDNlZDc0MzIxNw==" TargetMode="External"/><Relationship Id="rId113" Type="http://schemas.openxmlformats.org/officeDocument/2006/relationships/hyperlink" Target="https://www.instagram.com/heyat_hazrat_valiasr/" TargetMode="External"/><Relationship Id="rId112" Type="http://schemas.openxmlformats.org/officeDocument/2006/relationships/hyperlink" Target="https://www.instagram.com/heyat_ghamarebanihashem_1374/?hl=en" TargetMode="External"/><Relationship Id="rId111" Type="http://schemas.openxmlformats.org/officeDocument/2006/relationships/hyperlink" Target="https://www.instagram.com/heyat_emamhassan/" TargetMode="External"/><Relationship Id="rId40" Type="http://schemas.openxmlformats.org/officeDocument/2006/relationships/hyperlink" Target="https://www.instagram.com/bargah.ir?utm_source=ig_web_button_share_sheet&amp;igsh=ZDNlZDc0MzIxNw==" TargetMode="External"/><Relationship Id="rId42" Type="http://schemas.openxmlformats.org/officeDocument/2006/relationships/hyperlink" Target="https://eitaa.com/baregah" TargetMode="External"/><Relationship Id="rId41" Type="http://schemas.openxmlformats.org/officeDocument/2006/relationships/hyperlink" Target="https://t.me/rahmannavazani" TargetMode="External"/><Relationship Id="rId44" Type="http://schemas.openxmlformats.org/officeDocument/2006/relationships/hyperlink" Target="https://www.instagram.com/beitonoor.alborz?utm_source=ig_web_button_share_sheet&amp;igsh=ZDNlZDc0MzIxNw==" TargetMode="External"/><Relationship Id="rId43" Type="http://schemas.openxmlformats.org/officeDocument/2006/relationships/hyperlink" Target="https://www.instagram.com/beheshttv/?hl=en" TargetMode="External"/><Relationship Id="rId46" Type="http://schemas.openxmlformats.org/officeDocument/2006/relationships/hyperlink" Target="https://www.instagram.com/beitoreza_ir?utm_source=ig_web_button_share_sheet&amp;igsh=ZDNlZDc0MzIxNw==" TargetMode="External"/><Relationship Id="rId45" Type="http://schemas.openxmlformats.org/officeDocument/2006/relationships/hyperlink" Target="https://www.instagram.com/beitoolmahdi/" TargetMode="External"/><Relationship Id="rId48" Type="http://schemas.openxmlformats.org/officeDocument/2006/relationships/hyperlink" Target="https://www.instagram.com/bentolhoda81?utm_source=ig_web_button_share_sheet&amp;igsh=ZDNlZDc0MzIxNw==" TargetMode="External"/><Relationship Id="rId47" Type="http://schemas.openxmlformats.org/officeDocument/2006/relationships/hyperlink" Target="https://eitaa.com/beitoreza_ir" TargetMode="External"/><Relationship Id="rId49" Type="http://schemas.openxmlformats.org/officeDocument/2006/relationships/hyperlink" Target="https://eitaa.com/bentolhoda_81" TargetMode="External"/><Relationship Id="rId31" Type="http://schemas.openxmlformats.org/officeDocument/2006/relationships/hyperlink" Target="https://www.instagram.com/ansarolmahdi.pnu.ir?utm_source=ig_web_button_share_sheet&amp;igsh=ZDNlZDc0MzIxNw==" TargetMode="External"/><Relationship Id="rId30" Type="http://schemas.openxmlformats.org/officeDocument/2006/relationships/hyperlink" Target="https://l.instagram.com/?u=http%3A%2F%2Ft.me%2F%40ansarolmahdinazarabad%3Ffbclid%3DPAZXh0bgNhZW0CMTEAAacD5BGsJnwmBMTKJf5vUrResjZqygez7pXM8X16chgqFdTjxtZHpi61d5P3gQ_aem_kliAwKdp5RC8oFBRCqZzeg&amp;e=AT2cjtzU3iPIaNFiGlLdObrpVFN3H9GACwnkH6YD9_LAhMtr2NOVq1ZJbvHdxILxGKPm7k3GBcgxKEUUtGgxHfisAGdl43suFddMCboAkQ" TargetMode="External"/><Relationship Id="rId33" Type="http://schemas.openxmlformats.org/officeDocument/2006/relationships/hyperlink" Target="https://www.instagram.com/ansarozahra_rozeh/" TargetMode="External"/><Relationship Id="rId32" Type="http://schemas.openxmlformats.org/officeDocument/2006/relationships/hyperlink" Target="https://t.me/ansarolmahdipnuir" TargetMode="External"/><Relationship Id="rId35" Type="http://schemas.openxmlformats.org/officeDocument/2006/relationships/hyperlink" Target="https://www.instagram.com/asheghane_shahadat110/?hl=en" TargetMode="External"/><Relationship Id="rId34" Type="http://schemas.openxmlformats.org/officeDocument/2006/relationships/hyperlink" Target="https://www.instagram.com/ashaab_almahdi/?hl=en" TargetMode="External"/><Relationship Id="rId37" Type="http://schemas.openxmlformats.org/officeDocument/2006/relationships/hyperlink" Target="https://l.instagram.com/?u=https%3A%2F%2Ft.me%2Favval_mazlom%3Futm_source%3Dig%26utm_medium%3Dsocial%26utm_content%3Dlink_in_bio%26fbclid%3DPAZXh0bgNhZW0CMTEAc3J0YwZhcHBfaWQMMjU2MjgxMDQwNTU4AAGnNBsINHoJwpn-BVKRbsuYyn8gq1bOSR4xJ0Tax6H1OTiIV8OI7Y3vQ8zmViA_aem_zWdQGRLmGvVtTpCqTikMrw&amp;e=AT2mgfSG0o6MD0KIkBG-MTzcrvNSALR6ivfPQrFsaw6JEFrZ9chiJJXQQO46ZppG61f5wmh0WcfG8bFGVCB6ODqtizDZQHaVJVMfip8PcQ" TargetMode="External"/><Relationship Id="rId36" Type="http://schemas.openxmlformats.org/officeDocument/2006/relationships/hyperlink" Target="https://www.instagram.com/avval_mazlom/" TargetMode="External"/><Relationship Id="rId39" Type="http://schemas.openxmlformats.org/officeDocument/2006/relationships/hyperlink" Target="https://eitaa.com/banatolheydar" TargetMode="External"/><Relationship Id="rId38" Type="http://schemas.openxmlformats.org/officeDocument/2006/relationships/hyperlink" Target="https://www.instagram.com/banatolheydar/?hl=en" TargetMode="External"/><Relationship Id="rId20" Type="http://schemas.openxmlformats.org/officeDocument/2006/relationships/hyperlink" Target="https://t.me/Sajjadieh_1380" TargetMode="External"/><Relationship Id="rId22" Type="http://schemas.openxmlformats.org/officeDocument/2006/relationships/hyperlink" Target="https://www.instagram.com/ansaremam.ir/" TargetMode="External"/><Relationship Id="rId21" Type="http://schemas.openxmlformats.org/officeDocument/2006/relationships/hyperlink" Target="https://www.instagram.com/ansar_jahadi?utm_source=ig_web_button_share_sheet&amp;igsh=ZDNlZDc0MzIxNw==" TargetMode="External"/><Relationship Id="rId24" Type="http://schemas.openxmlformats.org/officeDocument/2006/relationships/hyperlink" Target="https://eitaa.com/ansaremamir" TargetMode="External"/><Relationship Id="rId23" Type="http://schemas.openxmlformats.org/officeDocument/2006/relationships/hyperlink" Target="https://t.me/ansaremam_ir" TargetMode="External"/><Relationship Id="rId26" Type="http://schemas.openxmlformats.org/officeDocument/2006/relationships/hyperlink" Target="https://www.instagram.com/ansarolmahdi_karaj/?hl=en" TargetMode="External"/><Relationship Id="rId25" Type="http://schemas.openxmlformats.org/officeDocument/2006/relationships/hyperlink" Target="https://www.instagram.com/ansaremam/?utm_source=ig_web_button_share_sheet" TargetMode="External"/><Relationship Id="rId28" Type="http://schemas.openxmlformats.org/officeDocument/2006/relationships/hyperlink" Target="https://l.instagram.com/?u=https%3A%2F%2Feitaa.com%2Fjoinchat%2F3946578260C24fe94a0ac%3Futm_source%3Dig%26utm_medium%3Dsocial%26utm_content%3Dlink_in_bio%26fbclid%3DPAZXh0bgNhZW0CMTEAc3J0YwZhcHBfaWQMMjU2MjgxMDQwNTU4AAGnC9BNTRe2XXheGHJQVe7Ol8GQB1NE3IlU7pyFna2MEA4VAotCoRgmS7p19zI_aem_sMqTBjJEpi1ePtdmY8J9KQ&amp;e=AT11gQIUK1vDnrmbGWx7bHmzl9Aqj53CtE6wfdHjU5akSM1Yucv5Wbayvm5TNHs1dvS3bItYogUeoelu9swN3G-7dg55Jdorrza7kCWr0Q" TargetMode="External"/><Relationship Id="rId27" Type="http://schemas.openxmlformats.org/officeDocument/2006/relationships/hyperlink" Target="https://t.me/Ansarolmahdi_Karaj" TargetMode="External"/><Relationship Id="rId29" Type="http://schemas.openxmlformats.org/officeDocument/2006/relationships/hyperlink" Target="https://www.instagram.com/ansarolmahdi.nazarabad/" TargetMode="External"/><Relationship Id="rId11" Type="http://schemas.openxmlformats.org/officeDocument/2006/relationships/hyperlink" Target="https://www.instagram.com/ali_akbar_javanan?utm_source=ig_web_button_share_sheet&amp;igsh=ZDNlZDc0MzIxNw==" TargetMode="External"/><Relationship Id="rId10" Type="http://schemas.openxmlformats.org/officeDocument/2006/relationships/hyperlink" Target="https://www.instagram.com/alghame_karaj/?hl=en" TargetMode="External"/><Relationship Id="rId13" Type="http://schemas.openxmlformats.org/officeDocument/2006/relationships/hyperlink" Target="https://www.instagram.com/aliasqar_313?utm_source=ig_web_button_share_sheet&amp;igsh=ZDNlZDc0MzIxNw==" TargetMode="External"/><Relationship Id="rId12" Type="http://schemas.openxmlformats.org/officeDocument/2006/relationships/hyperlink" Target="https://eitaa.com/ali_akbar_javanan" TargetMode="External"/><Relationship Id="rId15" Type="http://schemas.openxmlformats.org/officeDocument/2006/relationships/hyperlink" Target="https://www.instagram.com/ansaar_ir" TargetMode="External"/><Relationship Id="rId14" Type="http://schemas.openxmlformats.org/officeDocument/2006/relationships/hyperlink" Target="https://www.instagram.com/ansa.rolhosein/" TargetMode="External"/><Relationship Id="rId17" Type="http://schemas.openxmlformats.org/officeDocument/2006/relationships/hyperlink" Target="https://www.instagram.com/ansar_alabas/" TargetMode="External"/><Relationship Id="rId16" Type="http://schemas.openxmlformats.org/officeDocument/2006/relationships/hyperlink" Target="https://eitaa.com/ansaar_ir" TargetMode="External"/><Relationship Id="rId19" Type="http://schemas.openxmlformats.org/officeDocument/2006/relationships/hyperlink" Target="https://www.instagram.com/ansar_alreza1380?utm_source=ig_web_button_share_sheet&amp;igsh=ZDNlZDc0MzIxNw==" TargetMode="External"/><Relationship Id="rId18" Type="http://schemas.openxmlformats.org/officeDocument/2006/relationships/hyperlink" Target="https://l.instagram.com/?u=http%3A%2F%2Ft.me%2Fansarabass%3Futm_source%3Dig%26utm_medium%3Dsocial%26utm_content%3Dlink_in_bio%26fbclid%3DPAZXh0bgNhZW0CMTEAc3J0YwZhcHBfaWQMMjU2MjgxMDQwNTU4AAGn1kYlkO-UKtJ2zVonw_VHZIhvIhfbXG_raKPTITQfX5Aex3wPYHO0G6sgcD4_aem_4IJhbXfZVGmLWbspvJtKZw&amp;e=AT0Bp3k0QgebOvfYkyfGOaL2j5TwAWZydIdgQCaFtzA0IpluG2h0Jd6b3XZLMHQg2rbGyfb2n9JGORuDeq0SpIONveq6xrTwkeQRRafzSg" TargetMode="External"/><Relationship Id="rId84" Type="http://schemas.openxmlformats.org/officeDocument/2006/relationships/hyperlink" Target="https://l.instagram.com/?u=http%3A%2F%2Ft.me%2Fh_yazahra_fardis%3Ffbclid%3DPAZXh0bgNhZW0CMTEAAafIfGis5RNv8NZEaVx6wU35We8Dx4Q02JJso-hZhJ50HblXfT_CjS64FCVCqA_aem_78A5KIywzBPUw1qrZ_C2vg&amp;e=AT0x5Ed97sBxnStZ_VlflCEMKe5nbhyuynb0eQa2KaENqw0qIk0C2TIgsnK2_wKxrfBK7jzdOLRKIM-yCvFg4h7LquTDLEp4WtyoYQPuTA" TargetMode="External"/><Relationship Id="rId83" Type="http://schemas.openxmlformats.org/officeDocument/2006/relationships/hyperlink" Target="https://www.instagram.com/h_yazahra_fardis/" TargetMode="External"/><Relationship Id="rId86" Type="http://schemas.openxmlformats.org/officeDocument/2006/relationships/hyperlink" Target="https://www.instagram.com/hayat.divanegane_hossain/" TargetMode="External"/><Relationship Id="rId85" Type="http://schemas.openxmlformats.org/officeDocument/2006/relationships/hyperlink" Target="https://www.instagram.com/hasanieh_oshagholmahdi/" TargetMode="External"/><Relationship Id="rId88" Type="http://schemas.openxmlformats.org/officeDocument/2006/relationships/hyperlink" Target="https://t.me/hazratzahrayihaa" TargetMode="External"/><Relationship Id="rId87" Type="http://schemas.openxmlformats.org/officeDocument/2006/relationships/hyperlink" Target="https://www.instagram.com/hazrat_zahrayiha/" TargetMode="External"/><Relationship Id="rId89" Type="http://schemas.openxmlformats.org/officeDocument/2006/relationships/hyperlink" Target="https://www.instagram.com/heat_asheghan_roghaye/" TargetMode="External"/><Relationship Id="rId80" Type="http://schemas.openxmlformats.org/officeDocument/2006/relationships/hyperlink" Target="https://www.instagram.com/h_mohebanolreza" TargetMode="External"/><Relationship Id="rId82" Type="http://schemas.openxmlformats.org/officeDocument/2006/relationships/hyperlink" Target="https://eitaa.com/h_m_reza11" TargetMode="External"/><Relationship Id="rId81" Type="http://schemas.openxmlformats.org/officeDocument/2006/relationships/hyperlink" Target="https://t.me/h_m_Reza" TargetMode="External"/><Relationship Id="rId73" Type="http://schemas.openxmlformats.org/officeDocument/2006/relationships/hyperlink" Target="https://t.me/fatemion_hashtgerd" TargetMode="External"/><Relationship Id="rId72" Type="http://schemas.openxmlformats.org/officeDocument/2006/relationships/hyperlink" Target="https://www.instagram.com/fatemion_hashtgerd/?utm_source=ig_web_button_share_sheet" TargetMode="External"/><Relationship Id="rId75" Type="http://schemas.openxmlformats.org/officeDocument/2006/relationships/hyperlink" Target="https://l.instagram.com/?u=https%3A%2F%2Ft.me%2Fjoinchat%2FBLe4mkLCUpJ_NrDpkXq4JQ%3Futm_source%3Dig%26utm_medium%3Dsocial%26utm_content%3Dlink_in_bio%26fbclid%3DPAZXh0bgNhZW0CMTEAc3J0YwZhcHBfaWQMMjU2MjgxMDQwNTU4AAGnRDoGeAlx3BfuqJIcdTjddyG62umqlFU7UZRsEvQMmAc39wXuX2AyD7FI4I4_aem_AyD9Unx8xJntxug39DQKGQ&amp;e=AT2Dh8V58yPK0TgRPwsyM6ILVyMK5_0Cw28u-VD9tsqhy2cJDsSDNFQDGNFQyZZBOP6Mxzi_G6AZXqEiIHwiYQjnl3haewBfjDJry_zQgg" TargetMode="External"/><Relationship Id="rId74" Type="http://schemas.openxmlformats.org/officeDocument/2006/relationships/hyperlink" Target="https://www.instagram.com/ghamar_bani.hashem/" TargetMode="External"/><Relationship Id="rId77" Type="http://schemas.openxmlformats.org/officeDocument/2006/relationships/hyperlink" Target="https://www.instagram.com/h_beytozahraa?utm_source=ig_web_button_share_sheet&amp;igsh=ZDNlZDc0MzIxNw==" TargetMode="External"/><Relationship Id="rId76" Type="http://schemas.openxmlformats.org/officeDocument/2006/relationships/hyperlink" Target="https://www.instagram.com/ghasemiyounn/?hl=en" TargetMode="External"/><Relationship Id="rId79" Type="http://schemas.openxmlformats.org/officeDocument/2006/relationships/hyperlink" Target="https://l.instagram.com/?u=https%3A%2F%2Ftlgrm.me%2Fjoinchat%2FBlHfjjye2vsP7j9qx4mAaQ%3Futm_source%3Dig%26utm_medium%3Dsocial%26utm_content%3Dlink_in_bio%26fbclid%3DPAZXh0bgNhZW0CMTEAc3J0YwZhcHBfaWQMMjU2MjgxMDQwNTU4AAGnK6RTfdnR37k4_W9Ti5pgqcgKVPrmlY1shzdf8oZjhhJ0ni8LhCW9JvAAgq8_aem_x4RXqcSmK3AQ5XBVRYkt3A&amp;e=AT2mltbJvO9PJJRrN42KryVgq79pRLHngr99FZplUfJe-eHuzCetYNKseuY3rQJ_U_Fx5-qxUlPJZ5YVvo3FjIxvFOC11ordAX0_hN9qYw" TargetMode="External"/><Relationship Id="rId78" Type="http://schemas.openxmlformats.org/officeDocument/2006/relationships/hyperlink" Target="https://www.instagram.com/h_h_roghaye_karaj/" TargetMode="External"/><Relationship Id="rId71" Type="http://schemas.openxmlformats.org/officeDocument/2006/relationships/hyperlink" Target="https://eitaa.com/Ahbabolemam_fardis" TargetMode="External"/><Relationship Id="rId70" Type="http://schemas.openxmlformats.org/officeDocument/2006/relationships/hyperlink" Target="https://www.instagram.com/fadaeian_mahdi.ir?utm_source=ig_web_button_share_sheet&amp;igsh=ZDNlZDc0MzIxNw==" TargetMode="External"/><Relationship Id="rId62" Type="http://schemas.openxmlformats.org/officeDocument/2006/relationships/hyperlink" Target="https://eitaa.com/boqe_ir" TargetMode="External"/><Relationship Id="rId61" Type="http://schemas.openxmlformats.org/officeDocument/2006/relationships/hyperlink" Target="https://t.me/boqe_ir" TargetMode="External"/><Relationship Id="rId64" Type="http://schemas.openxmlformats.org/officeDocument/2006/relationships/hyperlink" Target="https://eitaa.com/asheghansarallah_karaj" TargetMode="External"/><Relationship Id="rId63" Type="http://schemas.openxmlformats.org/officeDocument/2006/relationships/hyperlink" Target="https://www.instagram.com/bouriya_video/" TargetMode="External"/><Relationship Id="rId66" Type="http://schemas.openxmlformats.org/officeDocument/2006/relationships/hyperlink" Target="https://www.instagram.com/emamzadeh_heidar_karaj?utm_source=ig_web_button_share_sheet&amp;igsh=ZDNlZDc0MzIxNw==" TargetMode="External"/><Relationship Id="rId65" Type="http://schemas.openxmlformats.org/officeDocument/2006/relationships/hyperlink" Target="https://www.instagram.com/delsookhteganhazratroghaie/" TargetMode="External"/><Relationship Id="rId68" Type="http://schemas.openxmlformats.org/officeDocument/2006/relationships/hyperlink" Target="https://eitaa.com/em_heidar" TargetMode="External"/><Relationship Id="rId67" Type="http://schemas.openxmlformats.org/officeDocument/2006/relationships/hyperlink" Target="https://t.me/emamzadehheidarkaraj" TargetMode="External"/><Relationship Id="rId60" Type="http://schemas.openxmlformats.org/officeDocument/2006/relationships/hyperlink" Target="https://www.instagram.com/boqe_ir/?hl=en" TargetMode="External"/><Relationship Id="rId69" Type="http://schemas.openxmlformats.org/officeDocument/2006/relationships/hyperlink" Target="https://www.instagram.com/etehadye_alborz/" TargetMode="External"/><Relationship Id="rId51" Type="http://schemas.openxmlformats.org/officeDocument/2006/relationships/hyperlink" Target="https://www.instagram.com/beyragh.info/" TargetMode="External"/><Relationship Id="rId50" Type="http://schemas.openxmlformats.org/officeDocument/2006/relationships/hyperlink" Target="https://www.instagram.com/beynollharamein8/" TargetMode="External"/><Relationship Id="rId53" Type="http://schemas.openxmlformats.org/officeDocument/2006/relationships/hyperlink" Target="https://www.instagram.com/beytalhzanhzratroghe/?hl=en" TargetMode="External"/><Relationship Id="rId52" Type="http://schemas.openxmlformats.org/officeDocument/2006/relationships/hyperlink" Target="https://l.instagram.com/?u=https%3A%2F%2Ft.me%2FBeyraghinfo%3Ffbclid%3DPAZXh0bgNhZW0CMTEAAaehHB9YQqBVG9IanuMm3OqG4xfZBwH7SNLzk6S0wFQU2SJUhw5M-AUTQGA5OA_aem_XQLk1_p5zit_qQAUdHW3-w&amp;e=AT1NK_p0661nLmSX_RsV96wMZ2lRjTb-EnV5W5h1p8-misexvcJRbn5EaQZSJuLWnZhmvPgPJWhbPxBzQyuxY1kckUub3AUiMSQ0BGEs_w" TargetMode="External"/><Relationship Id="rId55" Type="http://schemas.openxmlformats.org/officeDocument/2006/relationships/hyperlink" Target="https://t.me/beytol_abbas_133" TargetMode="External"/><Relationship Id="rId54" Type="http://schemas.openxmlformats.org/officeDocument/2006/relationships/hyperlink" Target="https://www.instagram.com/beytolabbas_133" TargetMode="External"/><Relationship Id="rId57" Type="http://schemas.openxmlformats.org/officeDocument/2006/relationships/hyperlink" Target="https://www.instagram.com/beytolhosseinkarajj/" TargetMode="External"/><Relationship Id="rId56" Type="http://schemas.openxmlformats.org/officeDocument/2006/relationships/hyperlink" Target="https://www.instagram.com/beytolahzan_karaj/?hl=en" TargetMode="External"/><Relationship Id="rId59" Type="http://schemas.openxmlformats.org/officeDocument/2006/relationships/hyperlink" Target="https://t.me/moheban_azahra_karaj" TargetMode="External"/><Relationship Id="rId58" Type="http://schemas.openxmlformats.org/officeDocument/2006/relationships/hyperlink" Target="https://www.instagram.com/bokae_ir/?hl=en" TargetMode="External"/><Relationship Id="rId341" Type="http://schemas.openxmlformats.org/officeDocument/2006/relationships/hyperlink" Target="https://eitaa.com/montazerane_karaj" TargetMode="External"/><Relationship Id="rId340" Type="http://schemas.openxmlformats.org/officeDocument/2006/relationships/hyperlink" Target="http://t.me/Montazerane_karaj" TargetMode="External"/><Relationship Id="rId345" Type="http://schemas.openxmlformats.org/officeDocument/2006/relationships/drawing" Target="../drawings/drawing19.xml"/><Relationship Id="rId344" Type="http://schemas.openxmlformats.org/officeDocument/2006/relationships/hyperlink" Target="https://eitaa.com/zeinabiyon_it" TargetMode="External"/><Relationship Id="rId343" Type="http://schemas.openxmlformats.org/officeDocument/2006/relationships/hyperlink" Target="https://eitaa.com/etrate_ansar" TargetMode="External"/><Relationship Id="rId342" Type="http://schemas.openxmlformats.org/officeDocument/2006/relationships/hyperlink" Target="https://eitaa.com/HEYATOZAHRA_IR" TargetMode="External"/><Relationship Id="rId338" Type="http://schemas.openxmlformats.org/officeDocument/2006/relationships/hyperlink" Target="https://eitaa.com/mokeb_khodam_alzahra" TargetMode="External"/><Relationship Id="rId337" Type="http://schemas.openxmlformats.org/officeDocument/2006/relationships/hyperlink" Target="https://eitaa.com/yafatemekhadmin" TargetMode="External"/><Relationship Id="rId336" Type="http://schemas.openxmlformats.org/officeDocument/2006/relationships/hyperlink" Target="https://eitaa.com/ansarollhosain" TargetMode="External"/><Relationship Id="rId335" Type="http://schemas.openxmlformats.org/officeDocument/2006/relationships/hyperlink" Target="https://eitaa.com/montazeranfardis" TargetMode="External"/><Relationship Id="rId339" Type="http://schemas.openxmlformats.org/officeDocument/2006/relationships/hyperlink" Target="https://www.instagram.com/montazerane_karaj?utm_source=ig_web_button_share_sheet&amp;igsh=ZDNlZDc0MzIxNw==" TargetMode="External"/><Relationship Id="rId330" Type="http://schemas.openxmlformats.org/officeDocument/2006/relationships/hyperlink" Target="https://eitaa.com/masjeed_jame" TargetMode="External"/><Relationship Id="rId334" Type="http://schemas.openxmlformats.org/officeDocument/2006/relationships/hyperlink" Target="https://eitaa.com/banatolheydar" TargetMode="External"/><Relationship Id="rId333" Type="http://schemas.openxmlformats.org/officeDocument/2006/relationships/hyperlink" Target="https://eitaa.com/meraajoshohadaa" TargetMode="External"/><Relationship Id="rId332" Type="http://schemas.openxmlformats.org/officeDocument/2006/relationships/hyperlink" Target="https://eitaa.com/masjed_hazratkhadijeh" TargetMode="External"/><Relationship Id="rId331" Type="http://schemas.openxmlformats.org/officeDocument/2006/relationships/hyperlink" Target="https://eitaa.com/masjed_hazratkhadijeh" TargetMode="External"/><Relationship Id="rId95" Type="http://schemas.openxmlformats.org/officeDocument/2006/relationships/hyperlink" Target="https://www.instagram.com/heiat_montazerane_mahdi/" TargetMode="External"/><Relationship Id="rId94" Type="http://schemas.openxmlformats.org/officeDocument/2006/relationships/hyperlink" Target="https://www.instagram.com/heiat_montazerane_mahdi/?hl=en" TargetMode="External"/><Relationship Id="rId97" Type="http://schemas.openxmlformats.org/officeDocument/2006/relationships/hyperlink" Target="https://www.instagram.com/heiatealeyasiin?utm_source=ig_web_button_share_sheet&amp;igsh=ZDNlZDc0MzIxNw==" TargetMode="External"/><Relationship Id="rId96" Type="http://schemas.openxmlformats.org/officeDocument/2006/relationships/hyperlink" Target="https://www.instagram.com/heiate_banifatemeh/" TargetMode="External"/><Relationship Id="rId99" Type="http://schemas.openxmlformats.org/officeDocument/2006/relationships/hyperlink" Target="https://www.instagram.com/heiateshabab/" TargetMode="External"/><Relationship Id="rId98" Type="http://schemas.openxmlformats.org/officeDocument/2006/relationships/hyperlink" Target="https://www.instagram.com/heiatemamhasanmojtaba6?utm_source=ig_web_button_share_sheet&amp;igsh=ZDNlZDc0MzIxNw==" TargetMode="External"/><Relationship Id="rId91" Type="http://schemas.openxmlformats.org/officeDocument/2006/relationships/hyperlink" Target="https://l.instagram.com/?u=http%3A%2F%2Fte.me%2Fheiatansaralmahdi313%3Futm_source%3Dig%26utm_medium%3Dsocial%26utm_content%3Dlink_in_bio%26fbclid%3DPAZXh0bgNhZW0CMTEAc3J0YwZhcHBfaWQMMjU2MjgxMDQwNTU4AAGnuSOmnL0b9aRtK6S8DdbpMrZkMVcD_SPeqr6IdfUVpMztm7Ink2POb4lz9SM_aem_TDHKIEm-lPFR-gR0gyifsg&amp;e=AT19VihR2bHQuSdGIpFmYYwpaZbhtq-0yasgu8hW-_0UR_KHO39VX8N4dgDULY2dvgHF0rv1VAD4Z2XItt1WsZajaE93nGehynYSZMeiWg" TargetMode="External"/><Relationship Id="rId90" Type="http://schemas.openxmlformats.org/officeDocument/2006/relationships/hyperlink" Target="https://www.instagram.com/heiat_ansaralmahdi/" TargetMode="External"/><Relationship Id="rId93" Type="http://schemas.openxmlformats.org/officeDocument/2006/relationships/hyperlink" Target="https://www.instagram.com/heiat_jvanan_aliasghar?utm_source=ig_web_button_share_sheet&amp;igsh=ZDNlZDc0MzIxNw==" TargetMode="External"/><Relationship Id="rId92" Type="http://schemas.openxmlformats.org/officeDocument/2006/relationships/hyperlink" Target="https://www.instagram.com/heiat_hazrat_roghaye_?utm_source=ig_web_button_share_sheet&amp;igsh=ZDNlZDc0MzIxNw==" TargetMode="External"/><Relationship Id="rId305" Type="http://schemas.openxmlformats.org/officeDocument/2006/relationships/hyperlink" Target="https://eitaa.com/zeynabie8gerd" TargetMode="External"/><Relationship Id="rId304" Type="http://schemas.openxmlformats.org/officeDocument/2006/relationships/hyperlink" Target="https://eitaa.com/reihane_al_nabi" TargetMode="External"/><Relationship Id="rId303" Type="http://schemas.openxmlformats.org/officeDocument/2006/relationships/hyperlink" Target="https://eitaa.com/rozehinfo" TargetMode="External"/><Relationship Id="rId302" Type="http://schemas.openxmlformats.org/officeDocument/2006/relationships/hyperlink" Target="https://eitaa.com/rhvkrj" TargetMode="External"/><Relationship Id="rId309" Type="http://schemas.openxmlformats.org/officeDocument/2006/relationships/hyperlink" Target="https://eitaa.com/bouriyainfo" TargetMode="External"/><Relationship Id="rId308" Type="http://schemas.openxmlformats.org/officeDocument/2006/relationships/hyperlink" Target="https://eitaa.com/hiatshohada" TargetMode="External"/><Relationship Id="rId307" Type="http://schemas.openxmlformats.org/officeDocument/2006/relationships/hyperlink" Target="https://eitaa.com/seyede_zeinab" TargetMode="External"/><Relationship Id="rId306" Type="http://schemas.openxmlformats.org/officeDocument/2006/relationships/hyperlink" Target="https://t.me/seyedezeinab" TargetMode="External"/><Relationship Id="rId301" Type="http://schemas.openxmlformats.org/officeDocument/2006/relationships/hyperlink" Target="https://eitaa.com/Heyat_fatemiyon" TargetMode="External"/><Relationship Id="rId300" Type="http://schemas.openxmlformats.org/officeDocument/2006/relationships/hyperlink" Target="https://eitaa.com/nouroshohada" TargetMode="External"/><Relationship Id="rId327" Type="http://schemas.openxmlformats.org/officeDocument/2006/relationships/hyperlink" Target="https://eitaa.com/masjedalmahdi_karaj" TargetMode="External"/><Relationship Id="rId326" Type="http://schemas.openxmlformats.org/officeDocument/2006/relationships/hyperlink" Target="https://eitaa.com/mohebbin_net" TargetMode="External"/><Relationship Id="rId325" Type="http://schemas.openxmlformats.org/officeDocument/2006/relationships/hyperlink" Target="https://eitaa.com/mohbanalmahdii" TargetMode="External"/><Relationship Id="rId324" Type="http://schemas.openxmlformats.org/officeDocument/2006/relationships/hyperlink" Target="https://eitaa.com/mohebbinolaemmeh79" TargetMode="External"/><Relationship Id="rId329" Type="http://schemas.openxmlformats.org/officeDocument/2006/relationships/hyperlink" Target="https://eitaa.com/almahdifardis" TargetMode="External"/><Relationship Id="rId328" Type="http://schemas.openxmlformats.org/officeDocument/2006/relationships/hyperlink" Target="https://eitaa.com/masjedalmahdi_karaj" TargetMode="External"/><Relationship Id="rId323" Type="http://schemas.openxmlformats.org/officeDocument/2006/relationships/hyperlink" Target="https://t.me/mohebbinolaeemekhor" TargetMode="External"/><Relationship Id="rId322" Type="http://schemas.openxmlformats.org/officeDocument/2006/relationships/hyperlink" Target="https://eitaa.com/LoversofHassan" TargetMode="External"/><Relationship Id="rId321" Type="http://schemas.openxmlformats.org/officeDocument/2006/relationships/hyperlink" Target="https://eitaa.com/mohebban_mahdi1" TargetMode="External"/><Relationship Id="rId320" Type="http://schemas.openxmlformats.org/officeDocument/2006/relationships/hyperlink" Target="https://eitaa.com/mohebban_almahdii" TargetMode="External"/><Relationship Id="rId316" Type="http://schemas.openxmlformats.org/officeDocument/2006/relationships/hyperlink" Target="https://eitaa.com/kanoon_ghaadir" TargetMode="External"/><Relationship Id="rId315" Type="http://schemas.openxmlformats.org/officeDocument/2006/relationships/hyperlink" Target="https://eitaa.com/hosseinieh313" TargetMode="External"/><Relationship Id="rId314" Type="http://schemas.openxmlformats.org/officeDocument/2006/relationships/hyperlink" Target="https://eitaa.com/ammar_enghlab" TargetMode="External"/><Relationship Id="rId313" Type="http://schemas.openxmlformats.org/officeDocument/2006/relationships/hyperlink" Target="https://t.me/mokb_madine" TargetMode="External"/><Relationship Id="rId319" Type="http://schemas.openxmlformats.org/officeDocument/2006/relationships/hyperlink" Target="https://eitaa.com/mohebbanallemmehfardis" TargetMode="External"/><Relationship Id="rId318" Type="http://schemas.openxmlformats.org/officeDocument/2006/relationships/hyperlink" Target="https://eitaa.com/mohebbanallemmehfardis" TargetMode="External"/><Relationship Id="rId317" Type="http://schemas.openxmlformats.org/officeDocument/2006/relationships/hyperlink" Target="https://eitaa.com/haj_moslem_hadian" TargetMode="External"/><Relationship Id="rId312" Type="http://schemas.openxmlformats.org/officeDocument/2006/relationships/hyperlink" Target="https://t.me/n_ansaremam" TargetMode="External"/><Relationship Id="rId311" Type="http://schemas.openxmlformats.org/officeDocument/2006/relationships/hyperlink" Target="https://eitaa.com/asheghansarallah_karaj" TargetMode="External"/><Relationship Id="rId310" Type="http://schemas.openxmlformats.org/officeDocument/2006/relationships/hyperlink" Target="https://t.me/asheghansarallah_karaj" TargetMode="External"/><Relationship Id="rId297" Type="http://schemas.openxmlformats.org/officeDocument/2006/relationships/hyperlink" Target="https://eitaa.com/aliakbarkaraj" TargetMode="External"/><Relationship Id="rId296" Type="http://schemas.openxmlformats.org/officeDocument/2006/relationships/hyperlink" Target="https://t.me/hazratrogayye" TargetMode="External"/><Relationship Id="rId295" Type="http://schemas.openxmlformats.org/officeDocument/2006/relationships/hyperlink" Target="https://t.me/hazratrogayye" TargetMode="External"/><Relationship Id="rId294" Type="http://schemas.openxmlformats.org/officeDocument/2006/relationships/hyperlink" Target="https://t.me/senflebasforoshan" TargetMode="External"/><Relationship Id="rId299" Type="http://schemas.openxmlformats.org/officeDocument/2006/relationships/hyperlink" Target="https://eitaa.com/razmandeganeshtehard" TargetMode="External"/><Relationship Id="rId298" Type="http://schemas.openxmlformats.org/officeDocument/2006/relationships/hyperlink" Target="https://eitaa.com/daroshohada" TargetMode="External"/><Relationship Id="rId271" Type="http://schemas.openxmlformats.org/officeDocument/2006/relationships/hyperlink" Target="https://www.instagram.com/zovaralreza_8/" TargetMode="External"/><Relationship Id="rId270" Type="http://schemas.openxmlformats.org/officeDocument/2006/relationships/hyperlink" Target="https://eitaa.com/ZeynabiyehGolshahrKaraj" TargetMode="External"/><Relationship Id="rId269" Type="http://schemas.openxmlformats.org/officeDocument/2006/relationships/hyperlink" Target="https://www.instagram.com/zeynabiyeh_golshahr_karaj/?hl=en" TargetMode="External"/><Relationship Id="rId264" Type="http://schemas.openxmlformats.org/officeDocument/2006/relationships/hyperlink" Target="https://www.instagram.com/sahebzaman_karaj?utm_source=ig_web_button_share_sheet&amp;igsh=ZDNlZDc0MzIxNw==" TargetMode="External"/><Relationship Id="rId263" Type="http://schemas.openxmlformats.org/officeDocument/2006/relationships/hyperlink" Target="https://l.instagram.com/?u=https%3A%2F%2Ft.me%2Frozatolhosein_krj%3Futm_source%3Dig%26utm_medium%3Dsocial%26utm_content%3Dlink_in_bio%26fbclid%3DPAZXh0bgNhZW0CMTEAc3J0YwZhcHBfaWQMMjU2MjgxMDQwNTU4AAGnfleIUdbEqsMuuyv03BS-SqPZrPs-wzPQ8EYtlGQEmj5EZEp7eZRcZkxghu0_aem_k67u_KZ-WzGv8-ZoTXWqUA&amp;e=AT0jKTT_oH90Off0bMa-VwG_P9DHB13xHvqCjCHKeHUIoclMEaDSoQ9seLwN5mxq1vYIhiaA-eVx4HxockHW_4bS2teCP8r9_JYBhVb8uQ" TargetMode="External"/><Relationship Id="rId262" Type="http://schemas.openxmlformats.org/officeDocument/2006/relationships/hyperlink" Target="https://www.instagram.com/rozatolhosein_karaj/?hl=en" TargetMode="External"/><Relationship Id="rId261" Type="http://schemas.openxmlformats.org/officeDocument/2006/relationships/hyperlink" Target="https://t.me/rozatolarbab_karaj" TargetMode="External"/><Relationship Id="rId268" Type="http://schemas.openxmlformats.org/officeDocument/2006/relationships/hyperlink" Target="https://www.instagram.com/zeynabieh_karaj?utm_source=ig_web_button_share_sheet&amp;igsh=ZDNlZDc0MzIxNw==" TargetMode="External"/><Relationship Id="rId267" Type="http://schemas.openxmlformats.org/officeDocument/2006/relationships/hyperlink" Target="https://www.instagram.com/zeinabiyon_alborz?utm_source=ig_web_button_share_sheet&amp;igsh=ZDNlZDc0MzIxNw==" TargetMode="External"/><Relationship Id="rId266" Type="http://schemas.openxmlformats.org/officeDocument/2006/relationships/hyperlink" Target="https://www.instagram.com/ya.zeynab.karaj/" TargetMode="External"/><Relationship Id="rId265" Type="http://schemas.openxmlformats.org/officeDocument/2006/relationships/hyperlink" Target="https://www.instagram.com/tasnimqoran/?hl=en" TargetMode="External"/><Relationship Id="rId260" Type="http://schemas.openxmlformats.org/officeDocument/2006/relationships/hyperlink" Target="https://www.instagram.com/rozatolarbab110/?utm_source=ig_web_button_share_sheet" TargetMode="External"/><Relationship Id="rId259" Type="http://schemas.openxmlformats.org/officeDocument/2006/relationships/hyperlink" Target="https://www.instagram.com/reyhanenabi.ir1/?hl=en" TargetMode="External"/><Relationship Id="rId258" Type="http://schemas.openxmlformats.org/officeDocument/2006/relationships/hyperlink" Target="https://www.instagram.com/reyhanehat_alnabi_karaj/" TargetMode="External"/><Relationship Id="rId253" Type="http://schemas.openxmlformats.org/officeDocument/2006/relationships/hyperlink" Target="https://www.instagram.com/razmandeganefardis/" TargetMode="External"/><Relationship Id="rId252" Type="http://schemas.openxmlformats.org/officeDocument/2006/relationships/hyperlink" Target="https://eitaa.com/Rahrovaneshohada_karaj" TargetMode="External"/><Relationship Id="rId251" Type="http://schemas.openxmlformats.org/officeDocument/2006/relationships/hyperlink" Target="https://www.instagram.com/rahrovaneshohada_karaj/" TargetMode="External"/><Relationship Id="rId250" Type="http://schemas.openxmlformats.org/officeDocument/2006/relationships/hyperlink" Target="https://t.me/heyat_oshagh" TargetMode="External"/><Relationship Id="rId257" Type="http://schemas.openxmlformats.org/officeDocument/2006/relationships/hyperlink" Target="https://t.me/reyhanatolhossein_esh" TargetMode="External"/><Relationship Id="rId256" Type="http://schemas.openxmlformats.org/officeDocument/2006/relationships/hyperlink" Target="https://www.instagram.com/reyhanatolhossein_es/?hl=en" TargetMode="External"/><Relationship Id="rId255" Type="http://schemas.openxmlformats.org/officeDocument/2006/relationships/hyperlink" Target="https://www.instagram.com/reihane_kheybar/" TargetMode="External"/><Relationship Id="rId254" Type="http://schemas.openxmlformats.org/officeDocument/2006/relationships/hyperlink" Target="https://l.instagram.com/?u=http%3A%2F%2Ft.me%2FRazmandeganFardis%3Ffbclid%3DPAZXh0bgNhZW0CMTEAAadD3lzX7Tjic8tFAxpln5i-u8eer-sPsBuX2jfgmZKqyICflgDEiH_d8AQvDA_aem_RH2-RqkiSwcczKxZMg7JlA&amp;e=AT2Nbqwu_EuIGyVEIZxaRKy9FPVAEgbJd7zgYHqMjak3RzlNWEU5BVQpWDRdApYmVWEXOXEd632qLjngRNX_ZvvGMXShLPMDoiZVI56QcA" TargetMode="External"/><Relationship Id="rId293" Type="http://schemas.openxmlformats.org/officeDocument/2006/relationships/hyperlink" Target="https://eitaa.com/alghame133" TargetMode="External"/><Relationship Id="rId292" Type="http://schemas.openxmlformats.org/officeDocument/2006/relationships/hyperlink" Target="https://t.me/Alghame133" TargetMode="External"/><Relationship Id="rId291" Type="http://schemas.openxmlformats.org/officeDocument/2006/relationships/hyperlink" Target="https://eitaa.com/SarallahKaraj" TargetMode="External"/><Relationship Id="rId290" Type="http://schemas.openxmlformats.org/officeDocument/2006/relationships/hyperlink" Target="https://eitaa.com/shahidan_torkian" TargetMode="External"/><Relationship Id="rId286" Type="http://schemas.openxmlformats.org/officeDocument/2006/relationships/hyperlink" Target="https://eitaa.com/H_banatozahra" TargetMode="External"/><Relationship Id="rId285" Type="http://schemas.openxmlformats.org/officeDocument/2006/relationships/hyperlink" Target="https://eitaa.com/Salam_bar_mahdi_fatemehh" TargetMode="External"/><Relationship Id="rId284" Type="http://schemas.openxmlformats.org/officeDocument/2006/relationships/hyperlink" Target="https://eitaa.com/heyyat_ansaralmhd" TargetMode="External"/><Relationship Id="rId283" Type="http://schemas.openxmlformats.org/officeDocument/2006/relationships/hyperlink" Target="https://eitaa.com/heyyat_ansaralmhd" TargetMode="External"/><Relationship Id="rId289" Type="http://schemas.openxmlformats.org/officeDocument/2006/relationships/hyperlink" Target="https://t.me/shahidan_torkian" TargetMode="External"/><Relationship Id="rId288" Type="http://schemas.openxmlformats.org/officeDocument/2006/relationships/hyperlink" Target="https://eitaa.com/shahidan_torkian" TargetMode="External"/><Relationship Id="rId287" Type="http://schemas.openxmlformats.org/officeDocument/2006/relationships/hyperlink" Target="https://t.me/shahidan_torkian" TargetMode="External"/><Relationship Id="rId282" Type="http://schemas.openxmlformats.org/officeDocument/2006/relationships/hyperlink" Target="https://eitaa.com/ansaralmahdi_krj" TargetMode="External"/><Relationship Id="rId281" Type="http://schemas.openxmlformats.org/officeDocument/2006/relationships/hyperlink" Target="https://eitaa.com/heyyat_ansaralmhd" TargetMode="External"/><Relationship Id="rId280" Type="http://schemas.openxmlformats.org/officeDocument/2006/relationships/hyperlink" Target="https://eitaa.com/heyyat_ansaralmhd" TargetMode="External"/><Relationship Id="rId275" Type="http://schemas.openxmlformats.org/officeDocument/2006/relationships/hyperlink" Target="https://eitaa.com/ashabolhousein" TargetMode="External"/><Relationship Id="rId274" Type="http://schemas.openxmlformats.org/officeDocument/2006/relationships/hyperlink" Target="https://eitaa.com/abna_lzahra" TargetMode="External"/><Relationship Id="rId273" Type="http://schemas.openxmlformats.org/officeDocument/2006/relationships/hyperlink" Target="https://eitaa.com/aemeatthar" TargetMode="External"/><Relationship Id="rId272" Type="http://schemas.openxmlformats.org/officeDocument/2006/relationships/hyperlink" Target="https://eitaa.com/zovaralreza8" TargetMode="External"/><Relationship Id="rId279" Type="http://schemas.openxmlformats.org/officeDocument/2006/relationships/hyperlink" Target="https://eitaa.com/ansarozzahra_mehestan1" TargetMode="External"/><Relationship Id="rId278" Type="http://schemas.openxmlformats.org/officeDocument/2006/relationships/hyperlink" Target="https://eitaa.com/ansaaar" TargetMode="External"/><Relationship Id="rId277" Type="http://schemas.openxmlformats.org/officeDocument/2006/relationships/hyperlink" Target="https://eitaa.com/heyatshohadapishahangi" TargetMode="External"/><Relationship Id="rId276" Type="http://schemas.openxmlformats.org/officeDocument/2006/relationships/hyperlink" Target="https://eitaa.com/AlborzHussainiyah" TargetMode="External"/><Relationship Id="rId228" Type="http://schemas.openxmlformats.org/officeDocument/2006/relationships/hyperlink" Target="https://l.instagram.com/?u=http%3A%2F%2Ft.me%2Fmontazeranfaraj110%3Futm_source%3Dig%26utm_medium%3Dsocial%26utm_content%3Dlink_in_bio%26fbclid%3DPAZXh0bgNhZW0CMTEAc3J0YwZhcHBfaWQMMjU2MjgxMDQwNTU4AAGnaCcsfAo5lrg23xomRjkL1AeOSxq-R7uPqQ4Bzm1XItTsfnqbbCYzFMyvii0_aem_KjU4MszVSb12TJF9jHqnOA&amp;e=AT20lYT6TxiyFZeAMej8Cfa7M6eb8YeavZ8ROovjQKCR9Sh2pbG3Pc_rEPOlSSJulAoFM7xNkxYAZ5ll3xKnaEX5HGmEGjq5rXeaAQHYpg" TargetMode="External"/><Relationship Id="rId227" Type="http://schemas.openxmlformats.org/officeDocument/2006/relationships/hyperlink" Target="https://www.instagram.com/montazeran_faraj110/" TargetMode="External"/><Relationship Id="rId226" Type="http://schemas.openxmlformats.org/officeDocument/2006/relationships/hyperlink" Target="https://t.me/Montaghem135" TargetMode="External"/><Relationship Id="rId225" Type="http://schemas.openxmlformats.org/officeDocument/2006/relationships/hyperlink" Target="https://www.instagram.com/montaghemozahra313/" TargetMode="External"/><Relationship Id="rId229" Type="http://schemas.openxmlformats.org/officeDocument/2006/relationships/hyperlink" Target="https://www.instagram.com/montazeran_maahdi313?utm_source=ig_web_button_share_sheet&amp;igsh=ZDNlZDc0MzIxNw==" TargetMode="External"/><Relationship Id="rId220" Type="http://schemas.openxmlformats.org/officeDocument/2006/relationships/hyperlink" Target="https://www.instagram.com/mohebin_ahle_beyt_?utm_source=ig_web_button_share_sheet&amp;igsh=ZDNlZDc0MzIxNw==" TargetMode="External"/><Relationship Id="rId224" Type="http://schemas.openxmlformats.org/officeDocument/2006/relationships/hyperlink" Target="https://l.instagram.com/?u=https%3A%2F%2Ft.me%2FMohsenieKaraj%3Ffbclid%3DPAZXh0bgNhZW0CMTEAAafJLX304GKO01tWuSLCMLN3VhKH7Z1kaoJ3-MsnMahsiOyZGRFKRkkNMu22nQ_aem_LMJ8aAVu-eFFAOK0sAyRqA&amp;e=AT2S3ZMzaEFL2K48prrxDyg9YDfSUdRt0cPKIBpMoNlVBr38M8sYjbDDuIKcrcUNI4splH13e8znrFIGM9-iRZP1d2ZkqwKkwW42icYtYQ" TargetMode="External"/><Relationship Id="rId223" Type="http://schemas.openxmlformats.org/officeDocument/2006/relationships/hyperlink" Target="https://www.instagram.com/mohseniekaraj/" TargetMode="External"/><Relationship Id="rId222" Type="http://schemas.openxmlformats.org/officeDocument/2006/relationships/hyperlink" Target="https://l.instagram.com/?u=https%3A%2F%2Ft.me%2Fheiatmohebinolhasanein201%3Futm_source%3Dig%26utm_medium%3Dsocial%26utm_content%3Dlink_in_bio%26fbclid%3DPAZXh0bgNhZW0CMTEAc3J0YwZhcHBfaWQMMjU2MjgxMDQwNTU4AAGn6poYE-ohjeRJbIbI58aJ6OJAHon3imfhjOX2j5eOzHT3xwvmy5ibNpXVCv8_aem_KlOanQCCU_jkBJn5fi_qKQ&amp;e=AT1JPmMGJlheVyakkql6AJi1vIdwRdBA4HbssDIBnRVvVFUU8QlkPnYdYMbPeVhGMvwO5oMCprSa7C-otsMTkv-DmEWURYgcAkj-oymNGQ" TargetMode="External"/><Relationship Id="rId221" Type="http://schemas.openxmlformats.org/officeDocument/2006/relationships/hyperlink" Target="https://www.instagram.com/mohebinolhasanein_karaj/" TargetMode="External"/><Relationship Id="rId217" Type="http://schemas.openxmlformats.org/officeDocument/2006/relationships/hyperlink" Target="https://eitaa.com/mohbanalmahdii" TargetMode="External"/><Relationship Id="rId216" Type="http://schemas.openxmlformats.org/officeDocument/2006/relationships/hyperlink" Target="http://t.me/mohbanalmahdi" TargetMode="External"/><Relationship Id="rId215" Type="http://schemas.openxmlformats.org/officeDocument/2006/relationships/hyperlink" Target="https://www.instagram.com/mohebanalmahdii" TargetMode="External"/><Relationship Id="rId214" Type="http://schemas.openxmlformats.org/officeDocument/2006/relationships/hyperlink" Target="https://t.me/Mohebaneabalfazl133" TargetMode="External"/><Relationship Id="rId219" Type="http://schemas.openxmlformats.org/officeDocument/2006/relationships/hyperlink" Target="https://www.instagram.com/mohebbanolaemmeh_313?utm_source=ig_web_button_share_sheet&amp;igsh=ZDNlZDc0MzIxNw==" TargetMode="External"/><Relationship Id="rId218" Type="http://schemas.openxmlformats.org/officeDocument/2006/relationships/hyperlink" Target="https://www.instagram.com/mohebanolhossein.ir?utm_source=ig_web_button_share_sheet&amp;igsh=ZDNlZDc0MzIxNw==" TargetMode="External"/><Relationship Id="rId213" Type="http://schemas.openxmlformats.org/officeDocument/2006/relationships/hyperlink" Target="https://www.instagram.com/mohebanabalfazl/" TargetMode="External"/><Relationship Id="rId212" Type="http://schemas.openxmlformats.org/officeDocument/2006/relationships/hyperlink" Target="https://www.instagram.com/mohebanabalfazl_video?utm_source=ig_web_button_share_sheet&amp;igsh=ZDNlZDc0MzIxNw==" TargetMode="External"/><Relationship Id="rId211" Type="http://schemas.openxmlformats.org/officeDocument/2006/relationships/hyperlink" Target="https://eitaa.com/heyat_moheban_mahdi" TargetMode="External"/><Relationship Id="rId210" Type="http://schemas.openxmlformats.org/officeDocument/2006/relationships/hyperlink" Target="https://www.instagram.com/moheban.mahdi.heyat?utm_source=ig_web_button_share_sheet&amp;igsh=ZDNlZDc0MzIxNw==" TargetMode="External"/><Relationship Id="rId249" Type="http://schemas.openxmlformats.org/officeDocument/2006/relationships/hyperlink" Target="https://www.instagram.com/oshagholhosayn/" TargetMode="External"/><Relationship Id="rId248" Type="http://schemas.openxmlformats.org/officeDocument/2006/relationships/hyperlink" Target="https://www.instagram.com/oshagh.reza88/" TargetMode="External"/><Relationship Id="rId247" Type="http://schemas.openxmlformats.org/officeDocument/2006/relationships/hyperlink" Target="https://eitaa.com/nouroshohada" TargetMode="External"/><Relationship Id="rId242" Type="http://schemas.openxmlformats.org/officeDocument/2006/relationships/hyperlink" Target="https://www.instagram.com/navayekabootar/?utm_source=ig_web_button_share_sheet" TargetMode="External"/><Relationship Id="rId241" Type="http://schemas.openxmlformats.org/officeDocument/2006/relationships/hyperlink" Target="https://www.instagram.com/music_shahzade_aliasqar/?utm_source=ig_web_button_share_sheet" TargetMode="External"/><Relationship Id="rId240" Type="http://schemas.openxmlformats.org/officeDocument/2006/relationships/hyperlink" Target="https://www.instagram.com/motevaselin213/" TargetMode="External"/><Relationship Id="rId246" Type="http://schemas.openxmlformats.org/officeDocument/2006/relationships/hyperlink" Target="https://www.instagram.com/noroshohada?utm_source=ig_web_button_share_sheet&amp;igsh=ZDNlZDc0MzIxNw==" TargetMode="External"/><Relationship Id="rId245" Type="http://schemas.openxmlformats.org/officeDocument/2006/relationships/hyperlink" Target="https://l.instagram.com/?u=http%3A%2F%2Ft.me%2Fnoorvamarefat%3Futm_source%3Dig%26utm_medium%3Dsocial%26utm_content%3Dlink_in_bio%26fbclid%3DPAZXh0bgNhZW0CMTEAc3J0YwZhcHBfaWQMMjU2MjgxMDQwNTU4AAGn8fLCflIeXUsLC9wJfMPMCiljio1WzF-KfKb6_PBVH4jJ2zlQcdGwAoprRqg_aem_udnET4o8DsB8u-M8nhQ8gg&amp;e=AT1xKYOkGh5XNbZ7yARokKsBtFC0X0GcN1hvM2TATYnX1mTooi9-cXsdHlciDZvDcv1B-iJN6IsZJ8d5Dkwl8juYFo_GS-qTHdWNgtt5tw" TargetMode="External"/><Relationship Id="rId244" Type="http://schemas.openxmlformats.org/officeDocument/2006/relationships/hyperlink" Target="https://www.instagram.com/noorvamarefat/" TargetMode="External"/><Relationship Id="rId243" Type="http://schemas.openxmlformats.org/officeDocument/2006/relationships/hyperlink" Target="https://www.instagram.com/nooralhoda_8/" TargetMode="External"/><Relationship Id="rId239" Type="http://schemas.openxmlformats.org/officeDocument/2006/relationships/hyperlink" Target="https://t.me/mosque_imam_hossein" TargetMode="External"/><Relationship Id="rId238" Type="http://schemas.openxmlformats.org/officeDocument/2006/relationships/hyperlink" Target="https://www.instagram.com/mosque_imam_hossein/" TargetMode="External"/><Relationship Id="rId237" Type="http://schemas.openxmlformats.org/officeDocument/2006/relationships/hyperlink" Target="https://www.instagram.com/mosalla.karaj/" TargetMode="External"/><Relationship Id="rId236" Type="http://schemas.openxmlformats.org/officeDocument/2006/relationships/hyperlink" Target="https://www.instagram.com/moraghebine2/" TargetMode="External"/><Relationship Id="rId231" Type="http://schemas.openxmlformats.org/officeDocument/2006/relationships/hyperlink" Target="https://www.instagram.com/montazeran.87/" TargetMode="External"/><Relationship Id="rId230" Type="http://schemas.openxmlformats.org/officeDocument/2006/relationships/hyperlink" Target="https://t.me/montazeranmaahdii313" TargetMode="External"/><Relationship Id="rId235" Type="http://schemas.openxmlformats.org/officeDocument/2006/relationships/hyperlink" Target="https://www.instagram.com/montazeranmouod128/" TargetMode="External"/><Relationship Id="rId234" Type="http://schemas.openxmlformats.org/officeDocument/2006/relationships/hyperlink" Target="https://eitaa.com/montazerane_karaj" TargetMode="External"/><Relationship Id="rId233" Type="http://schemas.openxmlformats.org/officeDocument/2006/relationships/hyperlink" Target="https://l.instagram.com/?u=https%3A%2F%2Ft.me%2Fmontazerane_karaj%3Ffbclid%3DPAZXh0bgNhZW0CMTEAAaeBinOvwJe6K9vCe0GsrZR2QnAoR-4p8y5xSWV0q0PmJRNGG2R8YJPGVU1jRg_aem_alrEDpEAWESV6SxXYATjKw&amp;e=AT3LduDKS49OfeZLOh2aWMuKo3r97m3bASQuyBvXs7lXxMMDCCl8pXCdAxyaRhRqwgIIhVjP6PgaEx5Tp9o31mQgv1IBLYpBgul2EyLPQQ" TargetMode="External"/><Relationship Id="rId232" Type="http://schemas.openxmlformats.org/officeDocument/2006/relationships/hyperlink" Target="https://www.instagram.com/Montazerane_karaj" TargetMode="External"/><Relationship Id="rId206" Type="http://schemas.openxmlformats.org/officeDocument/2006/relationships/hyperlink" Target="https://www.instagram.com/moheban_javadolaeme/" TargetMode="External"/><Relationship Id="rId205" Type="http://schemas.openxmlformats.org/officeDocument/2006/relationships/hyperlink" Target="https://l.instagram.com/?u=http%3A%2F%2Ft.me%2Fsajjadieh_1380%3Ffbclid%3DPAZXh0bgNhZW0CMTEAAacSrUZomAaVrdgOAndHbZLb-1mp9XH61wyaT30nsxqoaNMvx42qlFcLPge_Uw_aem_QwM1iZvOZaR6PCdOCZHp6g&amp;e=AT2Ww02ELBqcIyn-fQLH5Sg4xE_HkvPez_uvfwdFmJI-xbfdzvBwUfeC95Yh-IphJ2Mwu6bNSllf7bBX8up5mCwYCF2rYNZszjMBfwxAHA" TargetMode="External"/><Relationship Id="rId204" Type="http://schemas.openxmlformats.org/officeDocument/2006/relationships/hyperlink" Target="https://www.instagram.com/mohammad_mahdi_malakzadeh/" TargetMode="External"/><Relationship Id="rId203" Type="http://schemas.openxmlformats.org/officeDocument/2006/relationships/hyperlink" Target="https://www.instagram.com/menhajalmahdi/" TargetMode="External"/><Relationship Id="rId209" Type="http://schemas.openxmlformats.org/officeDocument/2006/relationships/hyperlink" Target="https://t.me/moheban_shohada2" TargetMode="External"/><Relationship Id="rId208" Type="http://schemas.openxmlformats.org/officeDocument/2006/relationships/hyperlink" Target="https://www.instagram.com/moheban_shohada2?utm_source=ig_web_button_share_sheet&amp;igsh=ZDNlZDc0MzIxNw==" TargetMode="External"/><Relationship Id="rId207" Type="http://schemas.openxmlformats.org/officeDocument/2006/relationships/hyperlink" Target="https://www.instagram.com/moheban_javadolaeme/" TargetMode="External"/><Relationship Id="rId202" Type="http://schemas.openxmlformats.org/officeDocument/2006/relationships/hyperlink" Target="https://www.instagram.com/masjedezeynabiyeh/?hl=en" TargetMode="External"/><Relationship Id="rId201" Type="http://schemas.openxmlformats.org/officeDocument/2006/relationships/hyperlink" Target="https://www.instagram.com/masjedepayambar?utm_source=ig_web_button_share_sheet&amp;igsh=ZDNlZDc0MzIxNw==" TargetMode="External"/><Relationship Id="rId200" Type="http://schemas.openxmlformats.org/officeDocument/2006/relationships/hyperlink" Target="https://www.instagram.com/masjed.abolfazl.karaj/" TargetMode="External"/><Relationship Id="rId1" Type="http://schemas.openxmlformats.org/officeDocument/2006/relationships/hyperlink" Target="https://www.instagram.com/raayat_alhoda.ir/?hl=en" TargetMode="External"/><Relationship Id="rId2" Type="http://schemas.openxmlformats.org/officeDocument/2006/relationships/hyperlink" Target="https://www.instagram.com/1382seyedolshohada/" TargetMode="External"/><Relationship Id="rId3" Type="http://schemas.openxmlformats.org/officeDocument/2006/relationships/hyperlink" Target="https://www.instagram.com/abasebneali_karaj/" TargetMode="External"/><Relationship Id="rId4" Type="http://schemas.openxmlformats.org/officeDocument/2006/relationships/hyperlink" Target="https://t.me/abasebneali_karaj" TargetMode="External"/><Relationship Id="rId9" Type="http://schemas.openxmlformats.org/officeDocument/2006/relationships/hyperlink" Target="https://www.instagram.com/alamdare_basirat/" TargetMode="External"/><Relationship Id="rId5" Type="http://schemas.openxmlformats.org/officeDocument/2006/relationships/hyperlink" Target="https://www.instagram.com/abnaalreza/" TargetMode="External"/><Relationship Id="rId6" Type="http://schemas.openxmlformats.org/officeDocument/2006/relationships/hyperlink" Target="https://www.instagram.com/alamdar_karaj/" TargetMode="External"/><Relationship Id="rId7" Type="http://schemas.openxmlformats.org/officeDocument/2006/relationships/hyperlink" Target="https://eitaa.com/Heyate_Alamdar" TargetMode="External"/><Relationship Id="rId8" Type="http://schemas.openxmlformats.org/officeDocument/2006/relationships/hyperlink" Target="https://www.instagram.com/alamdaranefardis/" TargetMode="External"/></Relationships>
</file>

<file path=xl/worksheets/_rels/sheet20.xml.rels><?xml version="1.0" encoding="UTF-8" standalone="yes"?><Relationships xmlns="http://schemas.openxmlformats.org/package/2006/relationships"><Relationship Id="rId190" Type="http://schemas.openxmlformats.org/officeDocument/2006/relationships/hyperlink" Target="https://eitaa.com/maktab_du" TargetMode="External"/><Relationship Id="rId194" Type="http://schemas.openxmlformats.org/officeDocument/2006/relationships/hyperlink" Target="https://www.instagram.com/moheban.damghan?utm_source=ig_web_button_share_sheet&amp;igsh=ZDNlZDc0MzIxNw==" TargetMode="External"/><Relationship Id="rId193" Type="http://schemas.openxmlformats.org/officeDocument/2006/relationships/hyperlink" Target="https://eitaa.com/asheghan_abolfazl_1396" TargetMode="External"/><Relationship Id="rId192" Type="http://schemas.openxmlformats.org/officeDocument/2006/relationships/hyperlink" Target="https://www.instagram.com/asheghan_abolfazl_1396?utm_source=ig_web_button_share_sheet&amp;igsh=ZDNlZDc0MzIxNw==" TargetMode="External"/><Relationship Id="rId191" Type="http://schemas.openxmlformats.org/officeDocument/2006/relationships/hyperlink" Target="https://eitaa.com/media_mesbah_damghan" TargetMode="External"/><Relationship Id="rId187" Type="http://schemas.openxmlformats.org/officeDocument/2006/relationships/hyperlink" Target="https://www.instagram.com/heyat.hazrat_aliakbar?utm_source=ig_web_button_share_sheet&amp;igsh=ZDNlZDc0MzIxNw==" TargetMode="External"/><Relationship Id="rId186" Type="http://schemas.openxmlformats.org/officeDocument/2006/relationships/hyperlink" Target="https://www.instagram.com/ansaralmahdi_semnan?utm_source=ig_web_button_share_sheet&amp;igsh=ZDNlZDc0MzIxNw==" TargetMode="External"/><Relationship Id="rId185" Type="http://schemas.openxmlformats.org/officeDocument/2006/relationships/hyperlink" Target="https://eitaa.com/alzahrasem" TargetMode="External"/><Relationship Id="rId184" Type="http://schemas.openxmlformats.org/officeDocument/2006/relationships/hyperlink" Target="https://www.instagram.com/alzahrasem?utm_source=ig_web_button_share_sheet&amp;igsh=ZDNlZDc0MzIxNw==" TargetMode="External"/><Relationship Id="rId189" Type="http://schemas.openxmlformats.org/officeDocument/2006/relationships/hyperlink" Target="https://www.instagram.com/maktab_du?utm_source=ig_web_button_share_sheet&amp;igsh=ZDNlZDc0MzIxNw==" TargetMode="External"/><Relationship Id="rId188" Type="http://schemas.openxmlformats.org/officeDocument/2006/relationships/hyperlink" Target="https://eitaa.com/heyataliakbarsemnan" TargetMode="External"/><Relationship Id="rId183" Type="http://schemas.openxmlformats.org/officeDocument/2006/relationships/hyperlink" Target="https://eitaa.com/m_haw_baradar_semnan" TargetMode="External"/><Relationship Id="rId182" Type="http://schemas.openxmlformats.org/officeDocument/2006/relationships/hyperlink" Target="https://www.instagram.com/sadeghie_hozeh?utm_source=ig_web_button_share_sheet&amp;igsh=ZDNlZDc0MzIxNw==" TargetMode="External"/><Relationship Id="rId181" Type="http://schemas.openxmlformats.org/officeDocument/2006/relationships/hyperlink" Target="https://eitaa.com/namazjome_semnan" TargetMode="External"/><Relationship Id="rId180" Type="http://schemas.openxmlformats.org/officeDocument/2006/relationships/hyperlink" Target="https://eitaa.com/heyat_yasekabood" TargetMode="External"/><Relationship Id="rId176" Type="http://schemas.openxmlformats.org/officeDocument/2006/relationships/hyperlink" Target="https://www.instagram.com/zavar_al_hosein_semnan/" TargetMode="External"/><Relationship Id="rId175" Type="http://schemas.openxmlformats.org/officeDocument/2006/relationships/hyperlink" Target="https://t.me/tkyeh_posht_khandagh" TargetMode="External"/><Relationship Id="rId174" Type="http://schemas.openxmlformats.org/officeDocument/2006/relationships/hyperlink" Target="https://www.instagram.com/tekyeh_posht_khandagh_sorkheh/" TargetMode="External"/><Relationship Id="rId173" Type="http://schemas.openxmlformats.org/officeDocument/2006/relationships/hyperlink" Target="https://www.instagram.com/seyedoshohada_semnan/" TargetMode="External"/><Relationship Id="rId179" Type="http://schemas.openxmlformats.org/officeDocument/2006/relationships/hyperlink" Target="https://www.instagram.com/heyat_imam.reza1365?utm_source=ig_web_button_share_sheet&amp;igsh=ZDNlZDc0MzIxNw==" TargetMode="External"/><Relationship Id="rId178" Type="http://schemas.openxmlformats.org/officeDocument/2006/relationships/hyperlink" Target="https://t.me/shahidegomnam133" TargetMode="External"/><Relationship Id="rId177" Type="http://schemas.openxmlformats.org/officeDocument/2006/relationships/hyperlink" Target="https://www.instagram.com/zovaarolzahra.ir/" TargetMode="External"/><Relationship Id="rId198" Type="http://schemas.openxmlformats.org/officeDocument/2006/relationships/hyperlink" Target="https://www.instagram.com/banifatemehdamghan?utm_source=ig_web_button_share_sheet&amp;igsh=ZDNlZDc0MzIxNw==" TargetMode="External"/><Relationship Id="rId197" Type="http://schemas.openxmlformats.org/officeDocument/2006/relationships/hyperlink" Target="https://eitaa.com/tekiye_133" TargetMode="External"/><Relationship Id="rId196" Type="http://schemas.openxmlformats.org/officeDocument/2006/relationships/hyperlink" Target="https://www.instagram.com/tekiye133?utm_source=ig_web_button_share_sheet&amp;igsh=ZDNlZDc0MzIxNw==" TargetMode="External"/><Relationship Id="rId195" Type="http://schemas.openxmlformats.org/officeDocument/2006/relationships/hyperlink" Target="https://eitaa.com/hosseiniesajjad" TargetMode="External"/><Relationship Id="rId199" Type="http://schemas.openxmlformats.org/officeDocument/2006/relationships/hyperlink" Target="https://www.instagram.com/mukeb14?utm_source=ig_web_button_share_sheet&amp;igsh=ZDNlZDc0MzIxNw==" TargetMode="External"/><Relationship Id="rId150" Type="http://schemas.openxmlformats.org/officeDocument/2006/relationships/hyperlink" Target="https://l.instagram.com/?u=http%3A%2F%2Ft.me%2Fmohebane_rouhollah%E2%80%8C%3Ffbclid%3DPAZXh0bgNhZW0CMTEAc3J0YwZhcHBfaWQMMjU2MjgxMDQwNTU4AAGnRgrGhzrrEYMBLzdTdlysvgpk_MJIib7CSTrZ0qHJfGeCdDqUwkQBKPJW2-4_aem_DyiwKHdxTbJkXn82TS-cuA&amp;e=AT0OgxC6rMql1ZcOVSU35dYdqfp71Am5-j0oytfCkTIxRdqV7tnaywyq7JN9ySTp1b4MiwpodY_C2HiHj1k-xy7KTyKBvClEb6Lhsm6UlQ" TargetMode="External"/><Relationship Id="rId149" Type="http://schemas.openxmlformats.org/officeDocument/2006/relationships/hyperlink" Target="https://www.instagram.com/mohebane_rouhollah/" TargetMode="External"/><Relationship Id="rId148" Type="http://schemas.openxmlformats.org/officeDocument/2006/relationships/hyperlink" Target="https://t.me/Moheban_Hossein7" TargetMode="External"/><Relationship Id="rId143" Type="http://schemas.openxmlformats.org/officeDocument/2006/relationships/hyperlink" Target="https://t.me/maktab_sem" TargetMode="External"/><Relationship Id="rId142" Type="http://schemas.openxmlformats.org/officeDocument/2006/relationships/hyperlink" Target="https://www.instagram.com/maktab_sem/" TargetMode="External"/><Relationship Id="rId141" Type="http://schemas.openxmlformats.org/officeDocument/2006/relationships/hyperlink" Target="https://www.instagram.com/mahfelrozatolhosain/" TargetMode="External"/><Relationship Id="rId140" Type="http://schemas.openxmlformats.org/officeDocument/2006/relationships/hyperlink" Target="https://www.instagram.com/mahfelashk69/" TargetMode="External"/><Relationship Id="rId147" Type="http://schemas.openxmlformats.org/officeDocument/2006/relationships/hyperlink" Target="https://www.instagram.com/moheban_hossein7/" TargetMode="External"/><Relationship Id="rId146" Type="http://schemas.openxmlformats.org/officeDocument/2006/relationships/hyperlink" Target="https://www.instagram.com/maktabolabas.semnan/" TargetMode="External"/><Relationship Id="rId145" Type="http://schemas.openxmlformats.org/officeDocument/2006/relationships/hyperlink" Target="https://l.instagram.com/?u=https%3A%2F%2Ft.me%2Fmaktabazzahra_ir%3Ffbclid%3DPAZXh0bgNhZW0CMTEAc3J0YwZhcHBfaWQMMjU2MjgxMDQwNTU4AAGn2uNManwphhZrwKFKJcqV2gwRXPYQTSu_K9OeyYyNrZQ5-LLsAVsr1eN8D0c_aem_d4SoJAzzI31zsIgGWBxcGg&amp;e=AT3BsU0qE22stm8hRkvtT96B4T0ycOtntqMMmn6Xj8zl_-bFrXEgoytmwwdpZJDu_uMTNhTYQTptMOslQXZhF-BKLgyCHed3H0kAJzxHDA" TargetMode="External"/><Relationship Id="rId144" Type="http://schemas.openxmlformats.org/officeDocument/2006/relationships/hyperlink" Target="https://www.instagram.com/maktabazzahra_ir/" TargetMode="External"/><Relationship Id="rId139" Type="http://schemas.openxmlformats.org/officeDocument/2006/relationships/hyperlink" Target="https://www.instagram.com/mahdiehsemnan/" TargetMode="External"/><Relationship Id="rId138" Type="http://schemas.openxmlformats.org/officeDocument/2006/relationships/hyperlink" Target="https://t.me/levaozeynab_semnan1387" TargetMode="External"/><Relationship Id="rId137" Type="http://schemas.openxmlformats.org/officeDocument/2006/relationships/hyperlink" Target="https://www.instagram.com/levaozeynab_semnan/" TargetMode="External"/><Relationship Id="rId132" Type="http://schemas.openxmlformats.org/officeDocument/2006/relationships/hyperlink" Target="https://t.me/Hoseyniyeh_Azam_Semnan" TargetMode="External"/><Relationship Id="rId131" Type="http://schemas.openxmlformats.org/officeDocument/2006/relationships/hyperlink" Target="https://www.instagram.com/hoseyniyeh_azam.semnan/" TargetMode="External"/><Relationship Id="rId130" Type="http://schemas.openxmlformats.org/officeDocument/2006/relationships/hyperlink" Target="https://www.instagram.com/hmvd1378/" TargetMode="External"/><Relationship Id="rId136" Type="http://schemas.openxmlformats.org/officeDocument/2006/relationships/hyperlink" Target="https://www.instagram.com/kheymatolhosein128/" TargetMode="External"/><Relationship Id="rId135" Type="http://schemas.openxmlformats.org/officeDocument/2006/relationships/hyperlink" Target="https://www.instagram.com/kahfol_abbas_133/" TargetMode="External"/><Relationship Id="rId134" Type="http://schemas.openxmlformats.org/officeDocument/2006/relationships/hyperlink" Target="https://eitaa.com/jannatolhossein_semnan" TargetMode="External"/><Relationship Id="rId133" Type="http://schemas.openxmlformats.org/officeDocument/2006/relationships/hyperlink" Target="https://www.instagram.com/jannatolhossein_semnan/" TargetMode="External"/><Relationship Id="rId172" Type="http://schemas.openxmlformats.org/officeDocument/2006/relationships/hyperlink" Target="https://www.instagram.com/semnan.mohebban/" TargetMode="External"/><Relationship Id="rId171" Type="http://schemas.openxmlformats.org/officeDocument/2006/relationships/hyperlink" Target="https://www.instagram.com/sayyed_ashohada/" TargetMode="External"/><Relationship Id="rId170" Type="http://schemas.openxmlformats.org/officeDocument/2006/relationships/hyperlink" Target="https://t.me/sarallah_garmsar" TargetMode="External"/><Relationship Id="rId165" Type="http://schemas.openxmlformats.org/officeDocument/2006/relationships/hyperlink" Target="https://t.me/rozatolmokhadarat" TargetMode="External"/><Relationship Id="rId164" Type="http://schemas.openxmlformats.org/officeDocument/2006/relationships/hyperlink" Target="https://www.instagram.com/rozatolmokhadarat/" TargetMode="External"/><Relationship Id="rId163" Type="http://schemas.openxmlformats.org/officeDocument/2006/relationships/hyperlink" Target="https://www.instagram.com/reyhaneh_al.hossein.board/" TargetMode="External"/><Relationship Id="rId162" Type="http://schemas.openxmlformats.org/officeDocument/2006/relationships/hyperlink" Target="https://www.instagram.com/resaneh_kosar315?utm_source=ig_web_button_share_sheet&amp;igsh=ZDNlZDc0MzIxNw==" TargetMode="External"/><Relationship Id="rId169" Type="http://schemas.openxmlformats.org/officeDocument/2006/relationships/hyperlink" Target="https://www.instagram.com/sarallah__garmsar/?utm_source=ig_web_button_share_sheet" TargetMode="External"/><Relationship Id="rId168" Type="http://schemas.openxmlformats.org/officeDocument/2006/relationships/hyperlink" Target="https://t.me/samen_heiat" TargetMode="External"/><Relationship Id="rId167" Type="http://schemas.openxmlformats.org/officeDocument/2006/relationships/hyperlink" Target="https://www.instagram.com/samen_heiat/" TargetMode="External"/><Relationship Id="rId166" Type="http://schemas.openxmlformats.org/officeDocument/2006/relationships/hyperlink" Target="https://www.instagram.com/rozatoshohada_garmsar/" TargetMode="External"/><Relationship Id="rId161" Type="http://schemas.openxmlformats.org/officeDocument/2006/relationships/hyperlink" Target="https://www.instagram.com/gharargahe_mersad" TargetMode="External"/><Relationship Id="rId160" Type="http://schemas.openxmlformats.org/officeDocument/2006/relationships/hyperlink" Target="https://www.instagram.com/oshagholhosaingarman/" TargetMode="External"/><Relationship Id="rId159" Type="http://schemas.openxmlformats.org/officeDocument/2006/relationships/hyperlink" Target="https://www.instagram.com/oshagh.almahdi.semnan/" TargetMode="External"/><Relationship Id="rId154" Type="http://schemas.openxmlformats.org/officeDocument/2006/relationships/hyperlink" Target="https://www.instagram.com/mokeb_oshagh_abas_semnan/" TargetMode="External"/><Relationship Id="rId153" Type="http://schemas.openxmlformats.org/officeDocument/2006/relationships/hyperlink" Target="https://www.instagram.com/mohebinoozahra/" TargetMode="External"/><Relationship Id="rId152" Type="http://schemas.openxmlformats.org/officeDocument/2006/relationships/hyperlink" Target="https://www.instagram.com/mohebinalrasolall/" TargetMode="External"/><Relationship Id="rId151" Type="http://schemas.openxmlformats.org/officeDocument/2006/relationships/hyperlink" Target="https://www.instagram.com/mohebbin_/" TargetMode="External"/><Relationship Id="rId158" Type="http://schemas.openxmlformats.org/officeDocument/2006/relationships/hyperlink" Target="https://www.instagram.com/oshagh_alroghayeh_semnan/" TargetMode="External"/><Relationship Id="rId157" Type="http://schemas.openxmlformats.org/officeDocument/2006/relationships/hyperlink" Target="https://www.instagram.com/om_almasaeb_/" TargetMode="External"/><Relationship Id="rId156" Type="http://schemas.openxmlformats.org/officeDocument/2006/relationships/hyperlink" Target="https://www.instagram.com/noralzahra135/" TargetMode="External"/><Relationship Id="rId155" Type="http://schemas.openxmlformats.org/officeDocument/2006/relationships/hyperlink" Target="https://www.instagram.com/nojaba_net/" TargetMode="External"/><Relationship Id="rId107" Type="http://schemas.openxmlformats.org/officeDocument/2006/relationships/hyperlink" Target="https://l.instagram.com/?u=https%3A%2F%2Ft.me%2Fheiatolzahra_ir%3Ffbclid%3DPAZXh0bgNhZW0CMTEAc3J0YwZhcHBfaWQMMjU2MjgxMDQwNTU4AAGn47q5pcI5rJuQ0KtjlEZBfSn2tySqhfC8aDQdMbwvPfAHMCMZkh5HnmuY7Ok_aem_i4VRFULioDtJoI3l1NfJEw&amp;e=AT3xD-xrbfZ53kVAX0x1CJTt2d6EbKBUdYd7OgAj31OxYl9NdNz81NPIp0pUXKe2qYUxW2gM3EU75_uUn6c_ZXengcvwTjDtWVbTZP0QiA" TargetMode="External"/><Relationship Id="rId106" Type="http://schemas.openxmlformats.org/officeDocument/2006/relationships/hyperlink" Target="https://www.instagram.com/heiatozahra.ir/" TargetMode="External"/><Relationship Id="rId105" Type="http://schemas.openxmlformats.org/officeDocument/2006/relationships/hyperlink" Target="https://www.instagram.com/hazratghasem_/" TargetMode="External"/><Relationship Id="rId104" Type="http://schemas.openxmlformats.org/officeDocument/2006/relationships/hyperlink" Target="https://www.instagram.com/h_razmandegan_semnan/" TargetMode="External"/><Relationship Id="rId109" Type="http://schemas.openxmlformats.org/officeDocument/2006/relationships/hyperlink" Target="https://www.instagram.com/heyat_ansarshohada/" TargetMode="External"/><Relationship Id="rId108" Type="http://schemas.openxmlformats.org/officeDocument/2006/relationships/hyperlink" Target="https://www.instagram.com/heyat_aliakbar_garmsar/" TargetMode="External"/><Relationship Id="rId103" Type="http://schemas.openxmlformats.org/officeDocument/2006/relationships/hyperlink" Target="https://t.me/ghatlegah_semnan" TargetMode="External"/><Relationship Id="rId102" Type="http://schemas.openxmlformats.org/officeDocument/2006/relationships/hyperlink" Target="https://www.instagram.com/ghatlegah_semnan/" TargetMode="External"/><Relationship Id="rId101" Type="http://schemas.openxmlformats.org/officeDocument/2006/relationships/hyperlink" Target="https://t.me/fatemiunsemnan" TargetMode="External"/><Relationship Id="rId100" Type="http://schemas.openxmlformats.org/officeDocument/2006/relationships/hyperlink" Target="https://www.instagram.com/fatemiunsemnan/" TargetMode="External"/><Relationship Id="rId129" Type="http://schemas.openxmlformats.org/officeDocument/2006/relationships/hyperlink" Target="https://l.instagram.com/?u=http%3A%2F%2Ft.me%2Fheyatshohadashahrood%E2%80%8C%3Ffbclid%3DPAZXh0bgNhZW0CMTEAc3J0YwZhcHBfaWQMMjU2MjgxMDQwNTU4AAGnNbSgPmRBXg2FPL9Nj9OxbJWbZ8Wmi28FW4xu2gcFrIGB9x-McNStMfGj4rI_aem_WTOYzTwQuvPb2O6-dUZHsg&amp;e=AT3J46G-Drgt71-hW9MFB5AoItcIiH2hxrc91AlBq03rfsNI-LccUYYwVa5lbB_ulmNPFQDTpjzfcs8WZfp43P9dtbvZAKWaUtsX0Vskng" TargetMode="External"/><Relationship Id="rId128" Type="http://schemas.openxmlformats.org/officeDocument/2006/relationships/hyperlink" Target="https://www.instagram.com/heyatshohadashahrood/" TargetMode="External"/><Relationship Id="rId127" Type="http://schemas.openxmlformats.org/officeDocument/2006/relationships/hyperlink" Target="https://www.instagram.com/heyathonar_semnan/" TargetMode="External"/><Relationship Id="rId126" Type="http://schemas.openxmlformats.org/officeDocument/2006/relationships/hyperlink" Target="https://www.instagram.com/heyate_emam_jafare_sadegh/" TargetMode="External"/><Relationship Id="rId121" Type="http://schemas.openxmlformats.org/officeDocument/2006/relationships/hyperlink" Target="https://www.instagram.com/heyatasheghansarallahdarjezin/" TargetMode="External"/><Relationship Id="rId120" Type="http://schemas.openxmlformats.org/officeDocument/2006/relationships/hyperlink" Target="https://www.instagram.com/heyatalamdaran_sangesar/" TargetMode="External"/><Relationship Id="rId125" Type="http://schemas.openxmlformats.org/officeDocument/2006/relationships/hyperlink" Target="https://t.me/asheghanvelayat_sem" TargetMode="External"/><Relationship Id="rId124" Type="http://schemas.openxmlformats.org/officeDocument/2006/relationships/hyperlink" Target="https://www.instagram.com/heyatasheghanvelayat.semnan/" TargetMode="External"/><Relationship Id="rId123" Type="http://schemas.openxmlformats.org/officeDocument/2006/relationships/hyperlink" Target="https://t.me/asheghanvelayat_sem" TargetMode="External"/><Relationship Id="rId122" Type="http://schemas.openxmlformats.org/officeDocument/2006/relationships/hyperlink" Target="https://www.instagram.com/heyatasheghanvelayat_semnan/" TargetMode="External"/><Relationship Id="rId118" Type="http://schemas.openxmlformats.org/officeDocument/2006/relationships/hyperlink" Target="https://t.me/beytoalahzan110" TargetMode="External"/><Relationship Id="rId117" Type="http://schemas.openxmlformats.org/officeDocument/2006/relationships/hyperlink" Target="https://www.instagram.com/heyat.beytolahzan/" TargetMode="External"/><Relationship Id="rId116" Type="http://schemas.openxmlformats.org/officeDocument/2006/relationships/hyperlink" Target="https://t.me/zeynabiyoon69semnan" TargetMode="External"/><Relationship Id="rId115" Type="http://schemas.openxmlformats.org/officeDocument/2006/relationships/hyperlink" Target="https://www.instagram.com/heyat_zeynabiyoon_semnan/" TargetMode="External"/><Relationship Id="rId119" Type="http://schemas.openxmlformats.org/officeDocument/2006/relationships/hyperlink" Target="https://www.instagram.com/heyat.javadolaeme?utm_source=ig_web_button_share_sheet&amp;igsh=ZDNlZDc0MzIxNw==" TargetMode="External"/><Relationship Id="rId110" Type="http://schemas.openxmlformats.org/officeDocument/2006/relationships/hyperlink" Target="https://www.instagram.com/heyat_asheghan_saheb_alzaman/" TargetMode="External"/><Relationship Id="rId114" Type="http://schemas.openxmlformats.org/officeDocument/2006/relationships/hyperlink" Target="https://l.instagram.com/?u=https%3A%2F%2Ft.me%2Fheyat_yasekabood%3Ffbclid%3DPAZXh0bgNhZW0CMTEAc3J0YwZhcHBfaWQMMjU2MjgxMDQwNTU4AAGn6C7ieuEx6mehfjVdjXBpayrmJTTYHU7MmifWE-fw5PH03ZhlCzhvhdwpoC8_aem_77dvj_K9ESBM4lOVQA0b5g&amp;e=AT3nY528iYeWcFRCwmvWxJTsj5zNfOL79RtZthbLcLNy1zUlri0HsmTwqGXsH6ez3yaVDkP_hYcyLbqFBhWQLQhWoXq49dVF331GJvQu1w" TargetMode="External"/><Relationship Id="rId113" Type="http://schemas.openxmlformats.org/officeDocument/2006/relationships/hyperlink" Target="https://www.instagram.com/heyat_yasekabood/" TargetMode="External"/><Relationship Id="rId112" Type="http://schemas.openxmlformats.org/officeDocument/2006/relationships/hyperlink" Target="https://www.instagram.com/heyat_qamar/" TargetMode="External"/><Relationship Id="rId111" Type="http://schemas.openxmlformats.org/officeDocument/2006/relationships/hyperlink" Target="https://www.instagram.com/heyat_jahadie/" TargetMode="External"/><Relationship Id="rId40" Type="http://schemas.openxmlformats.org/officeDocument/2006/relationships/hyperlink" Target="https://eitaa.com/maktab_semnan" TargetMode="External"/><Relationship Id="rId42" Type="http://schemas.openxmlformats.org/officeDocument/2006/relationships/hyperlink" Target="https://eitaa.com/miandaranekhedmat" TargetMode="External"/><Relationship Id="rId41" Type="http://schemas.openxmlformats.org/officeDocument/2006/relationships/hyperlink" Target="https://eitaa.com/media_mesbah_damghan" TargetMode="External"/><Relationship Id="rId44" Type="http://schemas.openxmlformats.org/officeDocument/2006/relationships/hyperlink" Target="https://t.me/mohebiin" TargetMode="External"/><Relationship Id="rId43" Type="http://schemas.openxmlformats.org/officeDocument/2006/relationships/hyperlink" Target="https://www.instagram.com/mohebin135/" TargetMode="External"/><Relationship Id="rId46" Type="http://schemas.openxmlformats.org/officeDocument/2006/relationships/hyperlink" Target="https://www.instagram.com/mokeb_damghan?utm_source=ig_web_button_share_sheet&amp;igsh=ZDNlZDc0MzIxNw==" TargetMode="External"/><Relationship Id="rId45" Type="http://schemas.openxmlformats.org/officeDocument/2006/relationships/hyperlink" Target="https://eitaa.com/mohebiin135" TargetMode="External"/><Relationship Id="rId48" Type="http://schemas.openxmlformats.org/officeDocument/2006/relationships/hyperlink" Target="https://eitaa.com/mokeb_damghan" TargetMode="External"/><Relationship Id="rId47" Type="http://schemas.openxmlformats.org/officeDocument/2006/relationships/hyperlink" Target="https://t.me/mokeb_damghan" TargetMode="External"/><Relationship Id="rId49" Type="http://schemas.openxmlformats.org/officeDocument/2006/relationships/hyperlink" Target="https://www.instagram.com/motavaselin.mosabnejafar/" TargetMode="External"/><Relationship Id="rId31" Type="http://schemas.openxmlformats.org/officeDocument/2006/relationships/hyperlink" Target="https://t.me/levaozeynab_semnan1387" TargetMode="External"/><Relationship Id="rId30" Type="http://schemas.openxmlformats.org/officeDocument/2006/relationships/hyperlink" Target="https://www.instagram.com/levaozeynab_semnan?utm_source=ig_web_button_share_sheet&amp;igsh=ZDNlZDc0MzIxNw==" TargetMode="External"/><Relationship Id="rId33" Type="http://schemas.openxmlformats.org/officeDocument/2006/relationships/hyperlink" Target="https://www.instagram.com/mahfel.moheban.hosein/" TargetMode="External"/><Relationship Id="rId32" Type="http://schemas.openxmlformats.org/officeDocument/2006/relationships/hyperlink" Target="https://eitaa.com/levaozeynab_semnan1387" TargetMode="External"/><Relationship Id="rId35" Type="http://schemas.openxmlformats.org/officeDocument/2006/relationships/hyperlink" Target="https://eitaa.com/mahfel_moheban_hosein" TargetMode="External"/><Relationship Id="rId34" Type="http://schemas.openxmlformats.org/officeDocument/2006/relationships/hyperlink" Target="https://t.me/mahfelmohebanhosein" TargetMode="External"/><Relationship Id="rId37" Type="http://schemas.openxmlformats.org/officeDocument/2006/relationships/hyperlink" Target="http://t.me/majma_abolfazl_sorkheh" TargetMode="External"/><Relationship Id="rId36" Type="http://schemas.openxmlformats.org/officeDocument/2006/relationships/hyperlink" Target="https://www.instagram.com/majma_abolfazl_sorkheh" TargetMode="External"/><Relationship Id="rId39" Type="http://schemas.openxmlformats.org/officeDocument/2006/relationships/hyperlink" Target="https://www.instagram.com/maktab.semnan/" TargetMode="External"/><Relationship Id="rId38" Type="http://schemas.openxmlformats.org/officeDocument/2006/relationships/hyperlink" Target="https://eitaa.com/majma_abolfazl_sorkheh" TargetMode="External"/><Relationship Id="rId20" Type="http://schemas.openxmlformats.org/officeDocument/2006/relationships/hyperlink" Target="https://eitaa.com/heiatorreza_sem" TargetMode="External"/><Relationship Id="rId22" Type="http://schemas.openxmlformats.org/officeDocument/2006/relationships/hyperlink" Target="https://eitaa.com/heyataliakbarsemnan" TargetMode="External"/><Relationship Id="rId21" Type="http://schemas.openxmlformats.org/officeDocument/2006/relationships/hyperlink" Target="https://www.instagram.com/heyat.hazrat_aliakbar/" TargetMode="External"/><Relationship Id="rId24" Type="http://schemas.openxmlformats.org/officeDocument/2006/relationships/hyperlink" Target="https://eitaa.com/hfatemieh_eyvaneky" TargetMode="External"/><Relationship Id="rId23" Type="http://schemas.openxmlformats.org/officeDocument/2006/relationships/hyperlink" Target="https://eitaa.com/heyatshohadashahrood" TargetMode="External"/><Relationship Id="rId26" Type="http://schemas.openxmlformats.org/officeDocument/2006/relationships/hyperlink" Target="https://eitaa.com/janatolroghaye" TargetMode="External"/><Relationship Id="rId25" Type="http://schemas.openxmlformats.org/officeDocument/2006/relationships/hyperlink" Target="https://www.instagram.com/janatolroghayeh_semnan/" TargetMode="External"/><Relationship Id="rId28" Type="http://schemas.openxmlformats.org/officeDocument/2006/relationships/hyperlink" Target="https://t.me/com_khademinabbas" TargetMode="External"/><Relationship Id="rId27" Type="http://schemas.openxmlformats.org/officeDocument/2006/relationships/hyperlink" Target="https://www.instagram.com/h_khademolabbas/" TargetMode="External"/><Relationship Id="rId29" Type="http://schemas.openxmlformats.org/officeDocument/2006/relationships/hyperlink" Target="https://eitaa.com/khademinabbas" TargetMode="External"/><Relationship Id="rId11" Type="http://schemas.openxmlformats.org/officeDocument/2006/relationships/hyperlink" Target="https://eitaa.com/beitolzahra_kohanabad" TargetMode="External"/><Relationship Id="rId10" Type="http://schemas.openxmlformats.org/officeDocument/2006/relationships/hyperlink" Target="https://eitaa.com/asheghansarallah1" TargetMode="External"/><Relationship Id="rId13" Type="http://schemas.openxmlformats.org/officeDocument/2006/relationships/hyperlink" Target="https://eitaa.com/Ehasanir" TargetMode="External"/><Relationship Id="rId12" Type="http://schemas.openxmlformats.org/officeDocument/2006/relationships/hyperlink" Target="https://eitaa.com/beytozzahra_mahdishahr" TargetMode="External"/><Relationship Id="rId15" Type="http://schemas.openxmlformats.org/officeDocument/2006/relationships/hyperlink" Target="https://eitaa.com/fadaeian_shahid_alghame" TargetMode="External"/><Relationship Id="rId14" Type="http://schemas.openxmlformats.org/officeDocument/2006/relationships/hyperlink" Target="https://www.instagram.com/fadaeian_shahid_alghame/" TargetMode="External"/><Relationship Id="rId17" Type="http://schemas.openxmlformats.org/officeDocument/2006/relationships/hyperlink" Target="https://www.instagram.com/fatemiyondizej?utm_source=ig_web_button_share_sheet&amp;igsh=ZDNlZDc0MzIxNw==" TargetMode="External"/><Relationship Id="rId16" Type="http://schemas.openxmlformats.org/officeDocument/2006/relationships/hyperlink" Target="https://eitaa.com/fatemiunsemnan" TargetMode="External"/><Relationship Id="rId19" Type="http://schemas.openxmlformats.org/officeDocument/2006/relationships/hyperlink" Target="https://www.instagram.com/heiatorreza_sem/" TargetMode="External"/><Relationship Id="rId18" Type="http://schemas.openxmlformats.org/officeDocument/2006/relationships/hyperlink" Target="https://eitaa.com/fatemiyondizej" TargetMode="External"/><Relationship Id="rId84" Type="http://schemas.openxmlformats.org/officeDocument/2006/relationships/hyperlink" Target="https://www.instagram.com/ansarolreza_semnan/" TargetMode="External"/><Relationship Id="rId83" Type="http://schemas.openxmlformats.org/officeDocument/2006/relationships/hyperlink" Target="https://l.instagram.com/?u=https%3A%2F%2Ft.me%2Fammehsadat69%3Ffbclid%3DPAZXh0bgNhZW0CMTEAc3J0YwZhcHBfaWQMMjU2MjgxMDQwNTU4AAGn0b3e0KkON_EDH8xgww2BT50Nx1j_t6Tx5DvCaYWTWeCg0LLeVWh7nNE3wc4_aem_Y0Y2gdP-FnSbTLfuOlJJDw&amp;e=AT1sXuKjc_B_hntkAyNYlyfmfGdimxNQtIwRqkbbhBW7s1rLk0QIKpy5yVzMb3ah-igDLHiONCNETwMbD2lqDQZvTa3Wn2pTnHARG-asvQ" TargetMode="External"/><Relationship Id="rId86" Type="http://schemas.openxmlformats.org/officeDocument/2006/relationships/hyperlink" Target="https://www.instagram.com/ansaroreza_damghan/" TargetMode="External"/><Relationship Id="rId85" Type="http://schemas.openxmlformats.org/officeDocument/2006/relationships/hyperlink" Target="https://t.me/a_ro_reza" TargetMode="External"/><Relationship Id="rId88" Type="http://schemas.openxmlformats.org/officeDocument/2006/relationships/hyperlink" Target="https://l.instagram.com/?u=http%3A%2F%2Ft.me%2Fasheghan_abolfazl_1396%3Ffbclid%3DPAZXh0bgNhZW0CMTEAc3J0YwZhcHBfaWQMMjU2MjgxMDQwNTU4AAGnac8mI65KKnZ0gJYL3rZmg3mNuLhIL96l-TepJg0G3s_wYagrZpsslfo8N2w_aem_6HQkJAg5mzAFbNdxWcug2g&amp;e=AT3APRn-WniRJNbdnck0RuYV0iKdd8u6zl12uUFc2RgVOQ8em8LGmi4nZ81Kp0d5hPJDBsAfoTUKaR6_eHiosn9DLEGDJSQ4BU1bqOj0OQ" TargetMode="External"/><Relationship Id="rId87" Type="http://schemas.openxmlformats.org/officeDocument/2006/relationships/hyperlink" Target="https://www.instagram.com/asheghan_abolfazl_1396/" TargetMode="External"/><Relationship Id="rId89" Type="http://schemas.openxmlformats.org/officeDocument/2006/relationships/hyperlink" Target="https://www.instagram.com/ashooraeishahmirzad/" TargetMode="External"/><Relationship Id="rId80" Type="http://schemas.openxmlformats.org/officeDocument/2006/relationships/hyperlink" Target="https://t.me/alamdar_shahrood" TargetMode="External"/><Relationship Id="rId82" Type="http://schemas.openxmlformats.org/officeDocument/2006/relationships/hyperlink" Target="https://www.instagram.com/ammeyesadatdamghan/" TargetMode="External"/><Relationship Id="rId81" Type="http://schemas.openxmlformats.org/officeDocument/2006/relationships/hyperlink" Target="https://www.instagram.com/aliasghar.1380.ir/" TargetMode="External"/><Relationship Id="rId73" Type="http://schemas.openxmlformats.org/officeDocument/2006/relationships/hyperlink" Target="https://t.me/ahlbayt_ir" TargetMode="External"/><Relationship Id="rId72" Type="http://schemas.openxmlformats.org/officeDocument/2006/relationships/hyperlink" Target="https://www.instagram.com/ahlbayt_ir/" TargetMode="External"/><Relationship Id="rId75" Type="http://schemas.openxmlformats.org/officeDocument/2006/relationships/hyperlink" Target="https://l.instagram.com/?u=http%3A%2F%2Ft.me%2Fzarih.net%3Ffbclid%3DPAZXh0bgNhZW0CMTEAc3J0YwZhcHBfaWQMMjU2MjgxMDQwNTU4AAGnm2wR5lvUUdw7a-OMPeovda6i7wUn3FkGi02wwLMtP3uc_477dU_TkTPmDVE_aem_Zp6GayrSb87UCTzeGwnRTQ&amp;e=AT1BDN0jAamlAWuyxy-TV7CXUp8-lrffMCyvaFobns104GLMw4Bb4FWs46lh1NIiTPP6TkFKBNLzU1habWh1EgUNWdJHsJivKhXDDc4ENg" TargetMode="External"/><Relationship Id="rId74" Type="http://schemas.openxmlformats.org/officeDocument/2006/relationships/hyperlink" Target="https://www.instagram.com/ahrar_alhasan118/" TargetMode="External"/><Relationship Id="rId77" Type="http://schemas.openxmlformats.org/officeDocument/2006/relationships/hyperlink" Target="https://www.instagram.com/alamdar_damghan/" TargetMode="External"/><Relationship Id="rId76" Type="http://schemas.openxmlformats.org/officeDocument/2006/relationships/hyperlink" Target="https://www.instagram.com/ahrarhoseyndamghan/" TargetMode="External"/><Relationship Id="rId79" Type="http://schemas.openxmlformats.org/officeDocument/2006/relationships/hyperlink" Target="https://www.instagram.com/alamdar_shahrood/" TargetMode="External"/><Relationship Id="rId78" Type="http://schemas.openxmlformats.org/officeDocument/2006/relationships/hyperlink" Target="https://l.instagram.com/?u=http%3A%2F%2Ftlgrm.me%2Fmahfeleashck133%3Ffbclid%3DPAZXh0bgNhZW0CMTEAc3J0YwZhcHBfaWQMMjU2MjgxMDQwNTU4AAGn8yjhs1WM4cUsgbeq-c0uwRBPQZBd0kNj3bC-AChOQiame1kbYQKY6kBGw9M_aem_7YWKA3LXumA-8JqrE_Xbeg&amp;e=AT2kfQy8dm6Mi9NoHr5D4faRKCthUdSt_rCkk9aIB7XS3h2Z_z6kRp9Rl_HY7LA-BEnGQhvG5erAWIroAjUKf63-VApE6id0JA3wSwtokA" TargetMode="External"/><Relationship Id="rId71" Type="http://schemas.openxmlformats.org/officeDocument/2006/relationships/hyperlink" Target="https://www.instagram.com/_beytol_abbas_/" TargetMode="External"/><Relationship Id="rId70" Type="http://schemas.openxmlformats.org/officeDocument/2006/relationships/hyperlink" Target="https://www.eitaa.com/hoseyniyeh_azam_semnan" TargetMode="External"/><Relationship Id="rId62" Type="http://schemas.openxmlformats.org/officeDocument/2006/relationships/hyperlink" Target="https://eitaa.com/s/Javadein14" TargetMode="External"/><Relationship Id="rId61" Type="http://schemas.openxmlformats.org/officeDocument/2006/relationships/hyperlink" Target="https://t.me/javadein14" TargetMode="External"/><Relationship Id="rId64" Type="http://schemas.openxmlformats.org/officeDocument/2006/relationships/hyperlink" Target="https://eitaa.com/yazahra_semnan" TargetMode="External"/><Relationship Id="rId63" Type="http://schemas.openxmlformats.org/officeDocument/2006/relationships/hyperlink" Target="https://eitaa.com/shohadayegomnaam" TargetMode="External"/><Relationship Id="rId66" Type="http://schemas.openxmlformats.org/officeDocument/2006/relationships/hyperlink" Target="https://www.instagram.com/asheghansarallah/?utm_source=ig_web_button_share_sheet" TargetMode="External"/><Relationship Id="rId65" Type="http://schemas.openxmlformats.org/officeDocument/2006/relationships/hyperlink" Target="https://t.me/ansaralhossinsorkheh" TargetMode="External"/><Relationship Id="rId68" Type="http://schemas.openxmlformats.org/officeDocument/2006/relationships/hyperlink" Target="https://www.instagram.com/hoseinie_azam_semnan/" TargetMode="External"/><Relationship Id="rId67" Type="http://schemas.openxmlformats.org/officeDocument/2006/relationships/hyperlink" Target="https://www.eitaa.com/asheghansarallah1" TargetMode="External"/><Relationship Id="rId60" Type="http://schemas.openxmlformats.org/officeDocument/2006/relationships/hyperlink" Target="https://www.instagram.com/javadein14/" TargetMode="External"/><Relationship Id="rId69" Type="http://schemas.openxmlformats.org/officeDocument/2006/relationships/hyperlink" Target="https://t.me/Hoseyniyeh_Azam_Semnan" TargetMode="External"/><Relationship Id="rId51" Type="http://schemas.openxmlformats.org/officeDocument/2006/relationships/hyperlink" Target="https://eitaa.com/noora_ir1" TargetMode="External"/><Relationship Id="rId50" Type="http://schemas.openxmlformats.org/officeDocument/2006/relationships/hyperlink" Target="https://eitaa.com/motavaselinmosabengafarsemnan" TargetMode="External"/><Relationship Id="rId53" Type="http://schemas.openxmlformats.org/officeDocument/2006/relationships/hyperlink" Target="https://eitaa.com/oshagholhosaingarman" TargetMode="External"/><Relationship Id="rId52" Type="http://schemas.openxmlformats.org/officeDocument/2006/relationships/hyperlink" Target="https://eitaa.com/oshagh92" TargetMode="External"/><Relationship Id="rId55" Type="http://schemas.openxmlformats.org/officeDocument/2006/relationships/hyperlink" Target="https://t.me/rayatoolabas" TargetMode="External"/><Relationship Id="rId54" Type="http://schemas.openxmlformats.org/officeDocument/2006/relationships/hyperlink" Target="https://www.instagram.com/alkafiiil/" TargetMode="External"/><Relationship Id="rId57" Type="http://schemas.openxmlformats.org/officeDocument/2006/relationships/hyperlink" Target="https://www.instagram.com/reyhanatolhossein315" TargetMode="External"/><Relationship Id="rId56" Type="http://schemas.openxmlformats.org/officeDocument/2006/relationships/hyperlink" Target="https://eitaa.com/rayatoolabas" TargetMode="External"/><Relationship Id="rId59" Type="http://schemas.openxmlformats.org/officeDocument/2006/relationships/hyperlink" Target="https://eitaa.com/reyhanatolhoseinaradan" TargetMode="External"/><Relationship Id="rId58" Type="http://schemas.openxmlformats.org/officeDocument/2006/relationships/hyperlink" Target="https://l.instagram.com/?u=https%3A%2F%2Ft.me%2FReyhana_hosein%3Ffbclid%3DPAZXh0bgNhZW0CMTEAc3J0YwZhcHBfaWQMMjU2MjgxMDQwNTU4AAGn4enB6r0uXu5cxqkfUMTxk9TH73wE12IGDogjVbLC-RfWfcLeQe4r9Y4_7Lg_aem_869vvYiTkn7j-dKeDpQGyg&amp;e=AT3ealkv_M-MWSI3_rSPe8RyKvDu8mje9MdPAPFgUfLOVINDJi2d30FHwIxhPtotvpAlHbdmrf0eIaiQ4qjcyGYQWCb2zEUDCD5P3HHL3Q" TargetMode="External"/><Relationship Id="rId330" Type="http://schemas.openxmlformats.org/officeDocument/2006/relationships/hyperlink" Target="https://eitaa.com/setadnamazjomemahdishahr" TargetMode="External"/><Relationship Id="rId334" Type="http://schemas.openxmlformats.org/officeDocument/2006/relationships/drawing" Target="../drawings/drawing20.xml"/><Relationship Id="rId333" Type="http://schemas.openxmlformats.org/officeDocument/2006/relationships/hyperlink" Target="https://eitaa.com/konje_haram313" TargetMode="External"/><Relationship Id="rId332" Type="http://schemas.openxmlformats.org/officeDocument/2006/relationships/hyperlink" Target="https://eitaa.com/heyatjavananmayamey" TargetMode="External"/><Relationship Id="rId331" Type="http://schemas.openxmlformats.org/officeDocument/2006/relationships/hyperlink" Target="https://www.instagram.com/heyat___abalfazl?utm_source=ig_web_button_share_sheet&amp;igsh=ZDNlZDc0MzIxNw==" TargetMode="External"/><Relationship Id="rId95" Type="http://schemas.openxmlformats.org/officeDocument/2006/relationships/hyperlink" Target="https://www.instagram.com/bi_haram118/" TargetMode="External"/><Relationship Id="rId94" Type="http://schemas.openxmlformats.org/officeDocument/2006/relationships/hyperlink" Target="https://l.instagram.com/?u=http%3A%2F%2Ft.me%2Fbeytozahrasemnan%3Ffbclid%3DPAZXh0bgNhZW0CMTEAc3J0YwZhcHBfaWQMMjU2MjgxMDQwNTU4AAGnh9Lzh40aZJLkkfeylXcZmSf1kZ7eyCGpB-PH79qTd2l3IDvxpwvH5H3Rjy8_aem_jITIYlrp63To4I8mPo6JGA&amp;e=AT3REmqDDGBEqEwZM97HVcgRmaISkmA7al-23G7o7yMZuAJsPDI5f8S6R-xLMBLKUfRRA0_97ekSeqQW_ZtD-QQhzQe6BW6uQB-tOjl-SQ" TargetMode="External"/><Relationship Id="rId97" Type="http://schemas.openxmlformats.org/officeDocument/2006/relationships/hyperlink" Target="https://www.instagram.com/darolboka_128/" TargetMode="External"/><Relationship Id="rId96" Type="http://schemas.openxmlformats.org/officeDocument/2006/relationships/hyperlink" Target="https://www.instagram.com/dabaghan_dm?utm_source=ig_web_button_share_sheet&amp;igsh=ZDNlZDc0MzIxNw==" TargetMode="External"/><Relationship Id="rId99" Type="http://schemas.openxmlformats.org/officeDocument/2006/relationships/hyperlink" Target="https://l.instagram.com/?u=https%3A%2F%2Ft.me%2Fheyat_emamhossein_semnan%3Ffbclid%3DPAZXh0bgNhZW0CMTEAc3J0YwZhcHBfaWQMMjU2MjgxMDQwNTU4AAGnhcVKAuxxSahtLReNox0mVQ8gdt5e0dTGM7cGP8riNFMw7YjVJMXFA5bXRFM_aem_vLWHwBeHXpjH8qFdr3e6zg&amp;e=AT3oZQ07m9qgM8y1vivOX3SmTxOAI0xvr_K0CKUp7phNesZeWi_kEPvtfZdCl_unuxFXLJ4NKp7GwKCl62jfUn8OMpoITXeXUC_VrFRZIg" TargetMode="External"/><Relationship Id="rId98" Type="http://schemas.openxmlformats.org/officeDocument/2006/relationships/hyperlink" Target="https://www.instagram.com/emam.hossein.semnan/" TargetMode="External"/><Relationship Id="rId91" Type="http://schemas.openxmlformats.org/officeDocument/2006/relationships/hyperlink" Target="https://www.instagram.com/beytolabbas_semnan/" TargetMode="External"/><Relationship Id="rId90" Type="http://schemas.openxmlformats.org/officeDocument/2006/relationships/hyperlink" Target="https://www.instagram.com/bano_madene/" TargetMode="External"/><Relationship Id="rId93" Type="http://schemas.openxmlformats.org/officeDocument/2006/relationships/hyperlink" Target="https://www.instagram.com/beytozahra_semnan/" TargetMode="External"/><Relationship Id="rId92" Type="http://schemas.openxmlformats.org/officeDocument/2006/relationships/hyperlink" Target="https://t.me/beyt133" TargetMode="External"/><Relationship Id="rId305" Type="http://schemas.openxmlformats.org/officeDocument/2006/relationships/hyperlink" Target="https://eitaa.com/jannesarane_abalfazl" TargetMode="External"/><Relationship Id="rId304" Type="http://schemas.openxmlformats.org/officeDocument/2006/relationships/hyperlink" Target="https://t.me/jannesarane_abalfazl" TargetMode="External"/><Relationship Id="rId303" Type="http://schemas.openxmlformats.org/officeDocument/2006/relationships/hyperlink" Target="https://www.instagram.com/jannesarane_abalfazl?utm_source=ig_web_button_share_sheet&amp;igsh=ZDNlZDc0MzIxNw==" TargetMode="External"/><Relationship Id="rId302" Type="http://schemas.openxmlformats.org/officeDocument/2006/relationships/hyperlink" Target="https://www.instagram.com/bi_haram118?utm_source=ig_web_button_share_sheet&amp;igsh=ZDNlZDc0MzIxNw==" TargetMode="External"/><Relationship Id="rId309" Type="http://schemas.openxmlformats.org/officeDocument/2006/relationships/hyperlink" Target="https://www.instagram.com/heyat_hazrat_aliasghar1375?utm_source=ig_web_button_share_sheet&amp;igsh=ZDNlZDc0MzIxNw==" TargetMode="External"/><Relationship Id="rId308" Type="http://schemas.openxmlformats.org/officeDocument/2006/relationships/hyperlink" Target="https://eitaa.com/javananaliakbar" TargetMode="External"/><Relationship Id="rId307" Type="http://schemas.openxmlformats.org/officeDocument/2006/relationships/hyperlink" Target="https://eitaa.com/emamzademohamddizj" TargetMode="External"/><Relationship Id="rId306" Type="http://schemas.openxmlformats.org/officeDocument/2006/relationships/hyperlink" Target="https://t.me/emamzadedizej" TargetMode="External"/><Relationship Id="rId301" Type="http://schemas.openxmlformats.org/officeDocument/2006/relationships/hyperlink" Target="https://eitaa.com/sout_janat" TargetMode="External"/><Relationship Id="rId300" Type="http://schemas.openxmlformats.org/officeDocument/2006/relationships/hyperlink" Target="https://www.instagram.com/sout_janat?utm_source=ig_web_button_share_sheet&amp;igsh=ZDNlZDc0MzIxNw==" TargetMode="External"/><Relationship Id="rId327" Type="http://schemas.openxmlformats.org/officeDocument/2006/relationships/hyperlink" Target="https://eitaa.com/oshagh92" TargetMode="External"/><Relationship Id="rId326" Type="http://schemas.openxmlformats.org/officeDocument/2006/relationships/hyperlink" Target="https://eitaa.com/beytozzahra_mahdishahr" TargetMode="External"/><Relationship Id="rId325" Type="http://schemas.openxmlformats.org/officeDocument/2006/relationships/hyperlink" Target="https://eitaa.com/imamalimosque313" TargetMode="External"/><Relationship Id="rId324" Type="http://schemas.openxmlformats.org/officeDocument/2006/relationships/hyperlink" Target="https://www.instagram.com/heyat_ablfazle_garmsar?utm_source=ig_web_button_share_sheet&amp;igsh=ZDNlZDc0MzIxNw==" TargetMode="External"/><Relationship Id="rId329" Type="http://schemas.openxmlformats.org/officeDocument/2006/relationships/hyperlink" Target="https://eitaa.com/khademinabbas" TargetMode="External"/><Relationship Id="rId328" Type="http://schemas.openxmlformats.org/officeDocument/2006/relationships/hyperlink" Target="https://www.instagram.com/h_khademolabbas?utm_source=ig_web_button_share_sheet&amp;igsh=ZDNlZDc0MzIxNw==" TargetMode="External"/><Relationship Id="rId323" Type="http://schemas.openxmlformats.org/officeDocument/2006/relationships/hyperlink" Target="https://www.instagram.com/heyatghaleno?utm_source=ig_web_button_share_sheet&amp;igsh=ZDNlZDc0MzIxNw==" TargetMode="External"/><Relationship Id="rId322" Type="http://schemas.openxmlformats.org/officeDocument/2006/relationships/hyperlink" Target="https://www.instagram.com/rozatoshohada_garmsar/?utm_source=ig_web_button_share_sheet" TargetMode="External"/><Relationship Id="rId321" Type="http://schemas.openxmlformats.org/officeDocument/2006/relationships/hyperlink" Target="https://www.instagram.com/heyat_saheb_al_zaman_garmsar?utm_source=ig_web_button_share_sheet&amp;igsh=ZDNlZDc0MzIxNw==" TargetMode="External"/><Relationship Id="rId320" Type="http://schemas.openxmlformats.org/officeDocument/2006/relationships/hyperlink" Target="https://www.instagram.com/heyat.jannesaran.ghiyasabad/?utm_source=ig_web_button_share_sheet" TargetMode="External"/><Relationship Id="rId316" Type="http://schemas.openxmlformats.org/officeDocument/2006/relationships/hyperlink" Target="https://www.instagram.com/heyate_qasem_fanpage/?utm_source=ig_web_button_share_sheet" TargetMode="External"/><Relationship Id="rId315" Type="http://schemas.openxmlformats.org/officeDocument/2006/relationships/hyperlink" Target="https://eitaa.com/sarallah_garmsar" TargetMode="External"/><Relationship Id="rId314" Type="http://schemas.openxmlformats.org/officeDocument/2006/relationships/hyperlink" Target="https://www.instagram.com/sarallah.garmsar?utm_source=ig_web_button_share_sheet&amp;igsh=ZDNlZDc0MzIxNw==" TargetMode="External"/><Relationship Id="rId313" Type="http://schemas.openxmlformats.org/officeDocument/2006/relationships/hyperlink" Target="https://www.instagram.com/heiat.azadaran.e.hosein?utm_source=ig_web_button_share_sheet&amp;igsh=ZDNlZDc0MzIxNw==" TargetMode="External"/><Relationship Id="rId319" Type="http://schemas.openxmlformats.org/officeDocument/2006/relationships/hyperlink" Target="https://www.instagram.com/heyate_abaabdellahalhosein?utm_source=ig_web_button_share_sheet&amp;igsh=ZDNlZDc0MzIxNw==" TargetMode="External"/><Relationship Id="rId318" Type="http://schemas.openxmlformats.org/officeDocument/2006/relationships/hyperlink" Target="https://www.instagram.com/heyat.javadolaeme?utm_source=ig_web_button_share_sheet&amp;igsh=ZDNlZDc0MzIxNw==" TargetMode="External"/><Relationship Id="rId317" Type="http://schemas.openxmlformats.org/officeDocument/2006/relationships/hyperlink" Target="https://www.instagram.com/janatolhosein_garmsar?utm_source=ig_web_button_share_sheet&amp;igsh=ZDNlZDc0MzIxNw==" TargetMode="External"/><Relationship Id="rId312" Type="http://schemas.openxmlformats.org/officeDocument/2006/relationships/hyperlink" Target="https://www.instagram.com/heyat_saheb_al_zaman_garmsar?utm_source=ig_web_button_share_sheet&amp;igsh=ZDNlZDc0MzIxNw==" TargetMode="External"/><Relationship Id="rId311" Type="http://schemas.openxmlformats.org/officeDocument/2006/relationships/hyperlink" Target="https://www.instagram.com/heiatozahra2.ir?utm_source=ig_web_button_share_sheet&amp;igsh=ZDNlZDc0MzIxNw==" TargetMode="External"/><Relationship Id="rId310" Type="http://schemas.openxmlformats.org/officeDocument/2006/relationships/hyperlink" Target="https://eitaa.com/HeyatAli_asghar" TargetMode="External"/><Relationship Id="rId297" Type="http://schemas.openxmlformats.org/officeDocument/2006/relationships/hyperlink" Target="https://www.instagram.com/heyate_ammaryioun?utm_source=ig_web_button_share_sheet&amp;igsh=ZDNlZDc0MzIxNw==" TargetMode="External"/><Relationship Id="rId296" Type="http://schemas.openxmlformats.org/officeDocument/2006/relationships/hyperlink" Target="https://eitaa.com/zeinabiehshahrood" TargetMode="External"/><Relationship Id="rId295" Type="http://schemas.openxmlformats.org/officeDocument/2006/relationships/hyperlink" Target="https://www.instagram.com/rahrovane_velayate_shahrood?utm_source=ig_web_button_share_sheet&amp;igsh=ZDNlZDc0MzIxNw==" TargetMode="External"/><Relationship Id="rId294" Type="http://schemas.openxmlformats.org/officeDocument/2006/relationships/hyperlink" Target="https://eitaa.com/kanoonrasool" TargetMode="External"/><Relationship Id="rId299" Type="http://schemas.openxmlformats.org/officeDocument/2006/relationships/hyperlink" Target="https://eitaa.com/Inavab" TargetMode="External"/><Relationship Id="rId298" Type="http://schemas.openxmlformats.org/officeDocument/2006/relationships/hyperlink" Target="https://eitaa.com/heyate_ammariyon" TargetMode="External"/><Relationship Id="rId271" Type="http://schemas.openxmlformats.org/officeDocument/2006/relationships/hyperlink" Target="https://www.instagram.com/heyatbentolhoseyn_sardrod?utm_source=ig_web_button_share_sheet&amp;igsh=ZDNlZDc0MzIxNw==" TargetMode="External"/><Relationship Id="rId270" Type="http://schemas.openxmlformats.org/officeDocument/2006/relationships/hyperlink" Target="https://eitaa.com/sayyed_ashohada" TargetMode="External"/><Relationship Id="rId269" Type="http://schemas.openxmlformats.org/officeDocument/2006/relationships/hyperlink" Target="https://www.instagram.com/sayyed_ashohada?utm_source=ig_web_button_share_sheet&amp;igsh=ZDNlZDc0MzIxNw==" TargetMode="External"/><Relationship Id="rId264" Type="http://schemas.openxmlformats.org/officeDocument/2006/relationships/hyperlink" Target="https://www.instagram.com/masjed_imamreza_3" TargetMode="External"/><Relationship Id="rId263" Type="http://schemas.openxmlformats.org/officeDocument/2006/relationships/hyperlink" Target="https://www.instagram.com/omeabiha.59?utm_source=ig_web_button_share_sheet&amp;igsh=ZDNlZDc0MzIxNw==" TargetMode="External"/><Relationship Id="rId262" Type="http://schemas.openxmlformats.org/officeDocument/2006/relationships/hyperlink" Target="https://eitaa.com/HeyatAli_asghar" TargetMode="External"/><Relationship Id="rId261" Type="http://schemas.openxmlformats.org/officeDocument/2006/relationships/hyperlink" Target="https://www.instagram.com/heyat_hazrat_aliasghar1375?utm_source=ig_web_button_share_sheet&amp;igsh=ZDNlZDc0MzIxNw==" TargetMode="External"/><Relationship Id="rId268" Type="http://schemas.openxmlformats.org/officeDocument/2006/relationships/hyperlink" Target="https://www.eitaa.com/masjed_ghoraba" TargetMode="External"/><Relationship Id="rId267" Type="http://schemas.openxmlformats.org/officeDocument/2006/relationships/hyperlink" Target="https://www.instagram.com/masjed_ghoraba?utm_source=ig_web_button_share_sheet&amp;igsh=ZDNlZDc0MzIxNw==" TargetMode="External"/><Relationship Id="rId266" Type="http://schemas.openxmlformats.org/officeDocument/2006/relationships/hyperlink" Target="https://eitaa.com/Ghasemebenalhasan1440" TargetMode="External"/><Relationship Id="rId265" Type="http://schemas.openxmlformats.org/officeDocument/2006/relationships/hyperlink" Target="https://eitaa.com/masjed_imamreza" TargetMode="External"/><Relationship Id="rId260" Type="http://schemas.openxmlformats.org/officeDocument/2006/relationships/hyperlink" Target="https://eitaa.com/yamahdi_shahrood" TargetMode="External"/><Relationship Id="rId259" Type="http://schemas.openxmlformats.org/officeDocument/2006/relationships/hyperlink" Target="https://www.instagram.com/yamahdi_shahrood?utm_source=ig_web_button_share_sheet&amp;igsh=ZDNlZDc0MzIxNw==" TargetMode="External"/><Relationship Id="rId258" Type="http://schemas.openxmlformats.org/officeDocument/2006/relationships/hyperlink" Target="https://www.instagram.com/heyatasheghanvelayat?utm_source=ig_web_button_share_sheet&amp;igsh=ZDNlZDc0MzIxNw==" TargetMode="External"/><Relationship Id="rId253" Type="http://schemas.openxmlformats.org/officeDocument/2006/relationships/hyperlink" Target="https://t.me/muosabne_jafar" TargetMode="External"/><Relationship Id="rId252" Type="http://schemas.openxmlformats.org/officeDocument/2006/relationships/hyperlink" Target="https://www.instagram.com/masjed_musabnjafar_bastam4373/?utm_source=ig_web_button_share_sheet" TargetMode="External"/><Relationship Id="rId251" Type="http://schemas.openxmlformats.org/officeDocument/2006/relationships/hyperlink" Target="https://www.instagram.com/navayekarbala__shahrood?utm_source=ig_web_button_share_sheet&amp;igsh=ZDNlZDc0MzIxNw==" TargetMode="External"/><Relationship Id="rId250" Type="http://schemas.openxmlformats.org/officeDocument/2006/relationships/hyperlink" Target="https://eitaa.com/REYHANATONNABYY1437" TargetMode="External"/><Relationship Id="rId257" Type="http://schemas.openxmlformats.org/officeDocument/2006/relationships/hyperlink" Target="https://eitaa.com/resaneh_kosar" TargetMode="External"/><Relationship Id="rId256" Type="http://schemas.openxmlformats.org/officeDocument/2006/relationships/hyperlink" Target="https://eitaa.com/alzahrashahrood" TargetMode="External"/><Relationship Id="rId255" Type="http://schemas.openxmlformats.org/officeDocument/2006/relationships/hyperlink" Target="https://t.me/hyattoreza" TargetMode="External"/><Relationship Id="rId254" Type="http://schemas.openxmlformats.org/officeDocument/2006/relationships/hyperlink" Target="https://www.instagram.com/hyat_oreza_shahrood_?utm_source=ig_web_button_share_sheet&amp;igsh=ZDNlZDc0MzIxNw==" TargetMode="External"/><Relationship Id="rId293" Type="http://schemas.openxmlformats.org/officeDocument/2006/relationships/hyperlink" Target="https://www.instagram.com/aghilatolarab.shahroud?utm_source=ig_web_button_share_sheet&amp;igsh=ZDNlZDc0MzIxNw==" TargetMode="External"/><Relationship Id="rId292" Type="http://schemas.openxmlformats.org/officeDocument/2006/relationships/hyperlink" Target="https://www.instagram.com/h_babalhavaej?utm_source=ig_web_button_share_sheet&amp;igsh=ZDNlZDc0MzIxNw==" TargetMode="External"/><Relationship Id="rId291" Type="http://schemas.openxmlformats.org/officeDocument/2006/relationships/hyperlink" Target="https://www.instagram.com/khozestanihaye_moghim_shahrood?utm_source=ig_web_button_share_sheet&amp;igsh=ZDNlZDc0MzIxNw==" TargetMode="External"/><Relationship Id="rId290" Type="http://schemas.openxmlformats.org/officeDocument/2006/relationships/hyperlink" Target="https://eitaa.com/heyatrazmandeganshahrud" TargetMode="External"/><Relationship Id="rId286" Type="http://schemas.openxmlformats.org/officeDocument/2006/relationships/hyperlink" Target="https://www.instagram.com/mahdeyeh.shahrood?utm_source=ig_web_button_share_sheet&amp;igsh=ZDNlZDc0MzIxNw==" TargetMode="External"/><Relationship Id="rId285" Type="http://schemas.openxmlformats.org/officeDocument/2006/relationships/hyperlink" Target="https://www.instagram.com/h_fatemion?utm_source=ig_web_button_share_sheet&amp;igsh=ZDNlZDc0MzIxNw==" TargetMode="External"/><Relationship Id="rId284" Type="http://schemas.openxmlformats.org/officeDocument/2006/relationships/hyperlink" Target="https://www.instagram.com/ya_zahra_11_213?utm_source=ig_web_button_share_sheet&amp;igsh=ZDNlZDc0MzIxNw==" TargetMode="External"/><Relationship Id="rId283" Type="http://schemas.openxmlformats.org/officeDocument/2006/relationships/hyperlink" Target="https://www.instagram.com/masjed_media?utm_source=ig_web_button_share_sheet&amp;igsh=ZDNlZDc0MzIxNw==" TargetMode="External"/><Relationship Id="rId289" Type="http://schemas.openxmlformats.org/officeDocument/2006/relationships/hyperlink" Target="https://www.instagram.com/heatmontazeranezohr?utm_source=ig_web_button_share_sheet&amp;igsh=ZDNlZDc0MzIxNw==" TargetMode="External"/><Relationship Id="rId288" Type="http://schemas.openxmlformats.org/officeDocument/2006/relationships/hyperlink" Target="https://www.instagram.com/ashoorayanshahrood?utm_source=ig_web_button_share_sheet&amp;igsh=ZDNlZDc0MzIxNw==" TargetMode="External"/><Relationship Id="rId287" Type="http://schemas.openxmlformats.org/officeDocument/2006/relationships/hyperlink" Target="https://t.me/mahdeyehshahrood" TargetMode="External"/><Relationship Id="rId282" Type="http://schemas.openxmlformats.org/officeDocument/2006/relationships/hyperlink" Target="https://eitaa.com/gomnamshahrood" TargetMode="External"/><Relationship Id="rId281" Type="http://schemas.openxmlformats.org/officeDocument/2006/relationships/hyperlink" Target="https://www.instagram.com/gomnamshahroud?utm_source=ig_web_button_share_sheet&amp;igsh=ZDNlZDc0MzIxNw==" TargetMode="External"/><Relationship Id="rId280" Type="http://schemas.openxmlformats.org/officeDocument/2006/relationships/hyperlink" Target="https://eitaa.com/hfatemiyoun_sut" TargetMode="External"/><Relationship Id="rId275" Type="http://schemas.openxmlformats.org/officeDocument/2006/relationships/hyperlink" Target="https://www.instagram.com/heyatshohadashahrood?utm_source=ig_web_button_share_sheet&amp;igsh=ZDNlZDc0MzIxNw==" TargetMode="External"/><Relationship Id="rId274" Type="http://schemas.openxmlformats.org/officeDocument/2006/relationships/hyperlink" Target="https://www.instagram.com/reihanatolhossein_shahroud?utm_source=ig_web_button_share_sheet&amp;igsh=ZDNlZDc0MzIxNw==" TargetMode="External"/><Relationship Id="rId273" Type="http://schemas.openxmlformats.org/officeDocument/2006/relationships/hyperlink" Target="https://www.eitaa.com/masjed_ghoraba" TargetMode="External"/><Relationship Id="rId272" Type="http://schemas.openxmlformats.org/officeDocument/2006/relationships/hyperlink" Target="https://www.instagram.com/heyat_moheban_ahlebeyt?utm_source=ig_web_button_share_sheet&amp;igsh=ZDNlZDc0MzIxNw==" TargetMode="External"/><Relationship Id="rId279" Type="http://schemas.openxmlformats.org/officeDocument/2006/relationships/hyperlink" Target="https://t.me/hfatemiyoun_sut" TargetMode="External"/><Relationship Id="rId278" Type="http://schemas.openxmlformats.org/officeDocument/2006/relationships/hyperlink" Target="https://www.instagram.com/hfatemiyoun_sut?utm_source=ig_web_button_share_sheet&amp;igsh=ZDNlZDc0MzIxNw==" TargetMode="External"/><Relationship Id="rId277" Type="http://schemas.openxmlformats.org/officeDocument/2006/relationships/hyperlink" Target="https://eitaa.com/maddahanshahrood" TargetMode="External"/><Relationship Id="rId276" Type="http://schemas.openxmlformats.org/officeDocument/2006/relationships/hyperlink" Target="https://eitaa.com/heyatshohadashahrood" TargetMode="External"/><Relationship Id="rId228" Type="http://schemas.openxmlformats.org/officeDocument/2006/relationships/hyperlink" Target="https://t.me/khadememahdi1" TargetMode="External"/><Relationship Id="rId227" Type="http://schemas.openxmlformats.org/officeDocument/2006/relationships/hyperlink" Target="https://www.instagram.com/mft.mahya?utm_source=ig_web_button_share_sheet&amp;igsh=ZDNlZDc0MzIxNw==" TargetMode="External"/><Relationship Id="rId226" Type="http://schemas.openxmlformats.org/officeDocument/2006/relationships/hyperlink" Target="https://eitaa.com/ansarihair" TargetMode="External"/><Relationship Id="rId225" Type="http://schemas.openxmlformats.org/officeDocument/2006/relationships/hyperlink" Target="https://t.me/Ansarol_mahdi_semnan" TargetMode="External"/><Relationship Id="rId229" Type="http://schemas.openxmlformats.org/officeDocument/2006/relationships/hyperlink" Target="https://eitaa.com/paygah_javad_al_aemme_semnan" TargetMode="External"/><Relationship Id="rId220" Type="http://schemas.openxmlformats.org/officeDocument/2006/relationships/hyperlink" Target="https://t.me/seyyedalshohadasorkheh" TargetMode="External"/><Relationship Id="rId224" Type="http://schemas.openxmlformats.org/officeDocument/2006/relationships/hyperlink" Target="https://eitaa.com/zovaralhoseinsemnan" TargetMode="External"/><Relationship Id="rId223" Type="http://schemas.openxmlformats.org/officeDocument/2006/relationships/hyperlink" Target="https://www.instagram.com/zavar_al_hosein_semnan?utm_source=ig_web_button_share_sheet&amp;igsh=ZDNlZDc0MzIxNw==" TargetMode="External"/><Relationship Id="rId222" Type="http://schemas.openxmlformats.org/officeDocument/2006/relationships/hyperlink" Target="https://www.instagram.com/emam.hossein.semnan?utm_source=ig_web_button_share_sheet&amp;igsh=ZDNlZDc0MzIxNw==" TargetMode="External"/><Relationship Id="rId221" Type="http://schemas.openxmlformats.org/officeDocument/2006/relationships/hyperlink" Target="https://www.eitaa.com/seyyedalshohadasorkheh" TargetMode="External"/><Relationship Id="rId217" Type="http://schemas.openxmlformats.org/officeDocument/2006/relationships/hyperlink" Target="https://t.me/oshshagholhosein" TargetMode="External"/><Relationship Id="rId216" Type="http://schemas.openxmlformats.org/officeDocument/2006/relationships/hyperlink" Target="https://www.instagram.com/oshshagholhosein?utm_source=ig_web_button_share_sheet&amp;igsh=ZDNlZDc0MzIxNw==" TargetMode="External"/><Relationship Id="rId215" Type="http://schemas.openxmlformats.org/officeDocument/2006/relationships/hyperlink" Target="https://t.me/ansaralhossinsorkheh" TargetMode="External"/><Relationship Id="rId214" Type="http://schemas.openxmlformats.org/officeDocument/2006/relationships/hyperlink" Target="https://www.instagram.com/masjed_valiasr_sorkheh?utm_source=ig_web_button_share_sheet&amp;igsh=ZDNlZDc0MzIxNw==" TargetMode="External"/><Relationship Id="rId219" Type="http://schemas.openxmlformats.org/officeDocument/2006/relationships/hyperlink" Target="https://www.instagram.com/seyyedalshohadasorkheh?utm_source=ig_web_button_share_sheet&amp;igsh=ZDNlZDc0MzIxNw==" TargetMode="External"/><Relationship Id="rId218" Type="http://schemas.openxmlformats.org/officeDocument/2006/relationships/hyperlink" Target="https://eitaa.com/oshshagholhosein" TargetMode="External"/><Relationship Id="rId213" Type="http://schemas.openxmlformats.org/officeDocument/2006/relationships/hyperlink" Target="https://eitaa.com/mahdiyesorkheh" TargetMode="External"/><Relationship Id="rId212" Type="http://schemas.openxmlformats.org/officeDocument/2006/relationships/hyperlink" Target="https://www.instagram.com/mahdeieh.sorkhe?utm_source=ig_web_button_share_sheet&amp;igsh=ZDNlZDc0MzIxNw==" TargetMode="External"/><Relationship Id="rId211" Type="http://schemas.openxmlformats.org/officeDocument/2006/relationships/hyperlink" Target="https://www.instagram.com/nojaba_net?utm_source=ig_web_button_share_sheet&amp;igsh=ZDNlZDc0MzIxNw==" TargetMode="External"/><Relationship Id="rId210" Type="http://schemas.openxmlformats.org/officeDocument/2006/relationships/hyperlink" Target="https://t.me/ghasemabnelhasan88" TargetMode="External"/><Relationship Id="rId249" Type="http://schemas.openxmlformats.org/officeDocument/2006/relationships/hyperlink" Target="https://www.instagram.com/reyhanatonnabyy1437?utm_source=ig_web_button_share_sheet&amp;igsh=ZDNlZDc0MzIxNw==" TargetMode="External"/><Relationship Id="rId248" Type="http://schemas.openxmlformats.org/officeDocument/2006/relationships/hyperlink" Target="https://www.instagram.com/tekiye.abbasiyeh?utm_source=ig_web_button_share_sheet&amp;igsh=ZDNlZDc0MzIxNw==" TargetMode="External"/><Relationship Id="rId247" Type="http://schemas.openxmlformats.org/officeDocument/2006/relationships/hyperlink" Target="https://t.me/mtvslynmusabnjafar" TargetMode="External"/><Relationship Id="rId242" Type="http://schemas.openxmlformats.org/officeDocument/2006/relationships/hyperlink" Target="https://www.instagram.com/heyatoshohada_semnan?utm_source=ig_web_button_share_sheet&amp;igsh=ZDNlZDc0MzIxNw==" TargetMode="External"/><Relationship Id="rId241" Type="http://schemas.openxmlformats.org/officeDocument/2006/relationships/hyperlink" Target="https://www.instagram.com/_montazeran.mhdi_?utm_source=ig_web_button_share_sheet&amp;igsh=ZDNlZDc0MzIxNw==" TargetMode="External"/><Relationship Id="rId240" Type="http://schemas.openxmlformats.org/officeDocument/2006/relationships/hyperlink" Target="https://eitaa.com/rahrovan_semnan" TargetMode="External"/><Relationship Id="rId246" Type="http://schemas.openxmlformats.org/officeDocument/2006/relationships/hyperlink" Target="https://eitaa.com/deabel_ir" TargetMode="External"/><Relationship Id="rId245" Type="http://schemas.openxmlformats.org/officeDocument/2006/relationships/hyperlink" Target="https://t.me/deabel_ir" TargetMode="External"/><Relationship Id="rId244" Type="http://schemas.openxmlformats.org/officeDocument/2006/relationships/hyperlink" Target="https://www.instagram.com/andishe_noe?utm_source=ig_web_button_share_sheet&amp;igsh=ZDNlZDc0MzIxNw==" TargetMode="External"/><Relationship Id="rId243" Type="http://schemas.openxmlformats.org/officeDocument/2006/relationships/hyperlink" Target="https://t.me/heyatalshohada" TargetMode="External"/><Relationship Id="rId239" Type="http://schemas.openxmlformats.org/officeDocument/2006/relationships/hyperlink" Target="https://t.me/rahrovan_semnan" TargetMode="External"/><Relationship Id="rId238" Type="http://schemas.openxmlformats.org/officeDocument/2006/relationships/hyperlink" Target="https://eitaa.com/rayatoolabas" TargetMode="External"/><Relationship Id="rId237" Type="http://schemas.openxmlformats.org/officeDocument/2006/relationships/hyperlink" Target="https://t.me/rayatoolabas" TargetMode="External"/><Relationship Id="rId236" Type="http://schemas.openxmlformats.org/officeDocument/2006/relationships/hyperlink" Target="https://www.instagram.com/alkafiiil?utm_source=ig_web_button_share_sheet&amp;igsh=ZDNlZDc0MzIxNw==" TargetMode="External"/><Relationship Id="rId231" Type="http://schemas.openxmlformats.org/officeDocument/2006/relationships/hyperlink" Target="https://eitaa.com/semnan_hamdeli" TargetMode="External"/><Relationship Id="rId230" Type="http://schemas.openxmlformats.org/officeDocument/2006/relationships/hyperlink" Target="https://www.instagram.com/semnan__hamdeli?utm_source=ig_web_button_share_sheet&amp;igsh=ZDNlZDc0MzIxNw==" TargetMode="External"/><Relationship Id="rId235" Type="http://schemas.openxmlformats.org/officeDocument/2006/relationships/hyperlink" Target="https://eitaa.com/ya_khadije_kobra" TargetMode="External"/><Relationship Id="rId234" Type="http://schemas.openxmlformats.org/officeDocument/2006/relationships/hyperlink" Target="https://eitaa.com/alzahrasem" TargetMode="External"/><Relationship Id="rId233" Type="http://schemas.openxmlformats.org/officeDocument/2006/relationships/hyperlink" Target="https://www.instagram.com/roze213_?utm_source=ig_web_button_share_sheet&amp;igsh=ZDNlZDc0MzIxNw==" TargetMode="External"/><Relationship Id="rId232" Type="http://schemas.openxmlformats.org/officeDocument/2006/relationships/hyperlink" Target="https://www.instagram.com/heyatasheghanvelayat_live?utm_source=ig_web_button_share_sheet&amp;igsh=ZDNlZDc0MzIxNw==" TargetMode="External"/><Relationship Id="rId206" Type="http://schemas.openxmlformats.org/officeDocument/2006/relationships/hyperlink" Target="https://t.me/dokohe313" TargetMode="External"/><Relationship Id="rId205" Type="http://schemas.openxmlformats.org/officeDocument/2006/relationships/hyperlink" Target="https://eitaa.com/tekiye_133" TargetMode="External"/><Relationship Id="rId204" Type="http://schemas.openxmlformats.org/officeDocument/2006/relationships/hyperlink" Target="https://www.instagram.com/tekiye133?utm_source=ig_web_button_share_sheet&amp;igsh=ZDNlZDc0MzIxNw==" TargetMode="External"/><Relationship Id="rId203" Type="http://schemas.openxmlformats.org/officeDocument/2006/relationships/hyperlink" Target="https://www.instagram.com/2rahi.eshgh?utm_source=ig_web_button_share_sheet&amp;igsh=ZDNlZDc0MzIxNw==" TargetMode="External"/><Relationship Id="rId209" Type="http://schemas.openxmlformats.org/officeDocument/2006/relationships/hyperlink" Target="https://www.instagram.com/ghasemebnelhasan88?utm_source=ig_web_button_share_sheet&amp;igsh=ZDNlZDc0MzIxNw==" TargetMode="External"/><Relationship Id="rId208" Type="http://schemas.openxmlformats.org/officeDocument/2006/relationships/hyperlink" Target="https://eitaa.com/razmandganz" TargetMode="External"/><Relationship Id="rId207" Type="http://schemas.openxmlformats.org/officeDocument/2006/relationships/hyperlink" Target="https://eitaa.com/dokohe313" TargetMode="External"/><Relationship Id="rId202" Type="http://schemas.openxmlformats.org/officeDocument/2006/relationships/hyperlink" Target="https://www.instagram.com/heyate_beynolharamein?utm_source=ig_web_button_share_sheet&amp;igsh=ZDNlZDc0MzIxNw==" TargetMode="External"/><Relationship Id="rId201" Type="http://schemas.openxmlformats.org/officeDocument/2006/relationships/hyperlink" Target="https://eitaa.com/masjed_313" TargetMode="External"/><Relationship Id="rId200" Type="http://schemas.openxmlformats.org/officeDocument/2006/relationships/hyperlink" Target="https://t.me/asheghanhosyini" TargetMode="External"/><Relationship Id="rId1" Type="http://schemas.openxmlformats.org/officeDocument/2006/relationships/hyperlink" Target="https://www.instagram.com/abna_heyat/" TargetMode="External"/><Relationship Id="rId2" Type="http://schemas.openxmlformats.org/officeDocument/2006/relationships/hyperlink" Target="https://eitaa.com/abna_heyat" TargetMode="External"/><Relationship Id="rId3" Type="http://schemas.openxmlformats.org/officeDocument/2006/relationships/hyperlink" Target="https://eitaa.com/abna_heyat" TargetMode="External"/><Relationship Id="rId4" Type="http://schemas.openxmlformats.org/officeDocument/2006/relationships/hyperlink" Target="https://www.instagram.com/ahrarolhoseinn/" TargetMode="External"/><Relationship Id="rId9" Type="http://schemas.openxmlformats.org/officeDocument/2006/relationships/hyperlink" Target="https://eitaa.com/asheghanmahdi_ir" TargetMode="External"/><Relationship Id="rId5" Type="http://schemas.openxmlformats.org/officeDocument/2006/relationships/hyperlink" Target="https://t.me/ahrarolhosseinn/" TargetMode="External"/><Relationship Id="rId6" Type="http://schemas.openxmlformats.org/officeDocument/2006/relationships/hyperlink" Target="https://eitaa.com/ahrarolhosseinn" TargetMode="External"/><Relationship Id="rId7" Type="http://schemas.openxmlformats.org/officeDocument/2006/relationships/hyperlink" Target="https://eitaa.com/alzahrashahrood" TargetMode="External"/><Relationship Id="rId8" Type="http://schemas.openxmlformats.org/officeDocument/2006/relationships/hyperlink" Target="https://www.instagram.com/asheghanmahdi_ir/" TargetMode="External"/></Relationships>
</file>

<file path=xl/worksheets/_rels/sheet21.xml.rels><?xml version="1.0" encoding="UTF-8" standalone="yes"?><Relationships xmlns="http://schemas.openxmlformats.org/package/2006/relationships"><Relationship Id="rId150" Type="http://schemas.openxmlformats.org/officeDocument/2006/relationships/hyperlink" Target="https://www.instagram.com/masjedhajiabad?utm_source=ig_web_button_share_sheet&amp;igsh=ZDNlZDc0MzIxNw==" TargetMode="External"/><Relationship Id="rId149" Type="http://schemas.openxmlformats.org/officeDocument/2006/relationships/hyperlink" Target="https://www.instagram.com/masjedabalfazl_bandarabbas?utm_source=ig_web_button_share_sheet&amp;igsh=ZDNlZDc0MzIxNw==" TargetMode="External"/><Relationship Id="rId148" Type="http://schemas.openxmlformats.org/officeDocument/2006/relationships/hyperlink" Target="https://t.me/masjedneynava_ir" TargetMode="External"/><Relationship Id="rId143" Type="http://schemas.openxmlformats.org/officeDocument/2006/relationships/hyperlink" Target="https://www.instagram.com/masjed_sahebalzamann?utm_source=ig_web_button_share_sheet&amp;igsh=ZDNlZDc0MzIxNw==" TargetMode="External"/><Relationship Id="rId142" Type="http://schemas.openxmlformats.org/officeDocument/2006/relationships/hyperlink" Target="https://www.instagram.com/masjed14maesom_roudan?utm_source=ig_web_button_share_sheet&amp;igsh=ZDNlZDc0MzIxNw==" TargetMode="External"/><Relationship Id="rId141" Type="http://schemas.openxmlformats.org/officeDocument/2006/relationships/hyperlink" Target="https://eitaa.com/bagheriyun_heiat" TargetMode="External"/><Relationship Id="rId140" Type="http://schemas.openxmlformats.org/officeDocument/2006/relationships/hyperlink" Target="https://t.me/bagheriyunheiat" TargetMode="External"/><Relationship Id="rId147" Type="http://schemas.openxmlformats.org/officeDocument/2006/relationships/hyperlink" Target="https://www.instagram.com/masjedvaliasr_8bandi2/?utm_source=ig_web_button_share_sheet" TargetMode="External"/><Relationship Id="rId146" Type="http://schemas.openxmlformats.org/officeDocument/2006/relationships/hyperlink" Target="https://www.instagram.com/masjed_lmam_jafar_sadegh?utm_source=ig_web_button_share_sheet&amp;igsh=ZDNlZDc0MzIxNw==" TargetMode="External"/><Relationship Id="rId145" Type="http://schemas.openxmlformats.org/officeDocument/2006/relationships/hyperlink" Target="https://www.instagram.com/seyyedmozafar_qeshm?utm_source=ig_web_button_share_sheet&amp;igsh=ZDNlZDc0MzIxNw==" TargetMode="External"/><Relationship Id="rId144" Type="http://schemas.openxmlformats.org/officeDocument/2006/relationships/hyperlink" Target="https://www.instagram.com/masjed_jame_qeshm?utm_source=ig_web_button_share_sheet&amp;igsh=ZDNlZDc0MzIxNw==" TargetMode="External"/><Relationship Id="rId139" Type="http://schemas.openxmlformats.org/officeDocument/2006/relationships/hyperlink" Target="https://www.instagram.com/bagheriyun_heiat?utm_source=ig_web_button_share_sheet&amp;igsh=ZDNlZDc0MzIxNw==" TargetMode="External"/><Relationship Id="rId138" Type="http://schemas.openxmlformats.org/officeDocument/2006/relationships/hyperlink" Target="https://www.instagram.com/shohadaye_shalamche/?utm_source=ig_web_button_share_sheet" TargetMode="External"/><Relationship Id="rId137" Type="http://schemas.openxmlformats.org/officeDocument/2006/relationships/hyperlink" Target="https://www.instagram.com/rovtan.sirik?utm_source=ig_web_button_share_sheet&amp;igsh=ZDNlZDc0MzIxNw==" TargetMode="External"/><Relationship Id="rId132" Type="http://schemas.openxmlformats.org/officeDocument/2006/relationships/hyperlink" Target="https://www.instagram.com/honarhaye_namayeshi_hormozgan?utm_source=ig_web_button_share_sheet&amp;igsh=ZDNlZDc0MzIxNw==" TargetMode="External"/><Relationship Id="rId131" Type="http://schemas.openxmlformats.org/officeDocument/2006/relationships/hyperlink" Target="https://www.instagram.com/maktab_al.shuhada/?utm_source=ig_web_button_share_sheet" TargetMode="External"/><Relationship Id="rId130" Type="http://schemas.openxmlformats.org/officeDocument/2006/relationships/hyperlink" Target="https://eitaa.com/montazeranzohoorbnd" TargetMode="External"/><Relationship Id="rId136" Type="http://schemas.openxmlformats.org/officeDocument/2006/relationships/hyperlink" Target="https://www.instagram.com/hoseiniyeh_saheb_alzaman?utm_source=ig_web_button_share_sheet&amp;igsh=ZDNlZDc0MzIxNw==" TargetMode="External"/><Relationship Id="rId135" Type="http://schemas.openxmlformats.org/officeDocument/2006/relationships/hyperlink" Target="https://www.instagram.com/maktabalbagher?utm_source=ig_web_button_share_sheet&amp;igsh=ZDNlZDc0MzIxNw==" TargetMode="External"/><Relationship Id="rId134" Type="http://schemas.openxmlformats.org/officeDocument/2006/relationships/hyperlink" Target="https://www.instagram.com/gharargah.azadshahr/?utm_source=ig_web_button_share_sheet" TargetMode="External"/><Relationship Id="rId133" Type="http://schemas.openxmlformats.org/officeDocument/2006/relationships/hyperlink" Target="https://www.instagram.com/arthormozgan/?utm_source=ig_web_button_share_sheet" TargetMode="External"/><Relationship Id="rId153" Type="http://schemas.openxmlformats.org/officeDocument/2006/relationships/drawing" Target="../drawings/drawing21.xml"/><Relationship Id="rId152" Type="http://schemas.openxmlformats.org/officeDocument/2006/relationships/hyperlink" Target="https://eitaa.com/Board_ansaralmahdi" TargetMode="External"/><Relationship Id="rId151" Type="http://schemas.openxmlformats.org/officeDocument/2006/relationships/hyperlink" Target="https://www.instagram.com/heyat_rostay_hajiabad?utm_source=ig_web_button_share_sheet&amp;igsh=ZDNlZDc0MzIxNw==" TargetMode="External"/><Relationship Id="rId107" Type="http://schemas.openxmlformats.org/officeDocument/2006/relationships/hyperlink" Target="https://www.instagram.com/hayat_kosar?utm_source=ig_web_button_share_sheet&amp;igsh=ZDNlZDc0MzIxNw==" TargetMode="External"/><Relationship Id="rId106" Type="http://schemas.openxmlformats.org/officeDocument/2006/relationships/hyperlink" Target="https://www.instagram.com/heyat_imam_sajad_qeshm?utm_source=ig_web_button_share_sheet&amp;igsh=ZDNlZDc0MzIxNw==" TargetMode="External"/><Relationship Id="rId105" Type="http://schemas.openxmlformats.org/officeDocument/2006/relationships/hyperlink" Target="https://www.instagram.com/alzoha313?utm_source=ig_web_button_share_sheet&amp;igsh=ZDNlZDc0MzIxNw==" TargetMode="External"/><Relationship Id="rId104" Type="http://schemas.openxmlformats.org/officeDocument/2006/relationships/hyperlink" Target="https://www.instagram.com/aliakbarfin?utm_source=ig_web_button_share_sheet&amp;igsh=ZDNlZDc0MzIxNw==" TargetMode="External"/><Relationship Id="rId109" Type="http://schemas.openxmlformats.org/officeDocument/2006/relationships/hyperlink" Target="https://www.instagram.com/heyat_seyed_al_shohada_?utm_source=ig_web_button_share_sheet&amp;igsh=ZDNlZDc0MzIxNw==" TargetMode="External"/><Relationship Id="rId108" Type="http://schemas.openxmlformats.org/officeDocument/2006/relationships/hyperlink" Target="https://www.instagram.com/kanoon.alaviyun?utm_source=ig_web_button_share_sheet&amp;igsh=ZDNlZDc0MzIxNw==" TargetMode="External"/><Relationship Id="rId103" Type="http://schemas.openxmlformats.org/officeDocument/2006/relationships/hyperlink" Target="https://www.instagram.com/karvaneshq313?utm_source=ig_web_button_share_sheet&amp;igsh=ZDNlZDc0MzIxNw==" TargetMode="External"/><Relationship Id="rId102" Type="http://schemas.openxmlformats.org/officeDocument/2006/relationships/hyperlink" Target="https://eitaa.com/khadem_al_velayah_bnd" TargetMode="External"/><Relationship Id="rId101" Type="http://schemas.openxmlformats.org/officeDocument/2006/relationships/hyperlink" Target="https://eitaa.com/shahriyarzakeri" TargetMode="External"/><Relationship Id="rId100" Type="http://schemas.openxmlformats.org/officeDocument/2006/relationships/hyperlink" Target="https://www.instagram.com/heyat_moheban_minab?utm_source=ig_web_button_share_sheet&amp;igsh=ZDNlZDc0MzIxNw==" TargetMode="External"/><Relationship Id="rId129" Type="http://schemas.openxmlformats.org/officeDocument/2006/relationships/hyperlink" Target="https://www.instagram.com/montazeranzohoorbnd/?utm_source=ig_web_button_share_sheet" TargetMode="External"/><Relationship Id="rId128" Type="http://schemas.openxmlformats.org/officeDocument/2006/relationships/hyperlink" Target="https://www.instagram.com/kanoonomrani_minab?utm_source=ig_web_button_share_sheet&amp;igsh=ZDNlZDc0MzIxNw==" TargetMode="External"/><Relationship Id="rId127" Type="http://schemas.openxmlformats.org/officeDocument/2006/relationships/hyperlink" Target="https://eitaa.com/hormozgan_razavi" TargetMode="External"/><Relationship Id="rId126" Type="http://schemas.openxmlformats.org/officeDocument/2006/relationships/hyperlink" Target="https://t.me/Aletaha" TargetMode="External"/><Relationship Id="rId121" Type="http://schemas.openxmlformats.org/officeDocument/2006/relationships/hyperlink" Target="https://eitaa.com/intezar_ir" TargetMode="External"/><Relationship Id="rId120" Type="http://schemas.openxmlformats.org/officeDocument/2006/relationships/hyperlink" Target="https://www.instagram.com/montazeranmahdi_fin?utm_source=ig_web_button_share_sheet&amp;igsh=ZDNlZDc0MzIxNw==" TargetMode="External"/><Relationship Id="rId125" Type="http://schemas.openxmlformats.org/officeDocument/2006/relationships/hyperlink" Target="https://www.instagram.com/kanonfarhangi_aletaha?utm_source=ig_web_button_share_sheet&amp;igsh=ZDNlZDc0MzIxNw==" TargetMode="External"/><Relationship Id="rId124" Type="http://schemas.openxmlformats.org/officeDocument/2006/relationships/hyperlink" Target="https://www.instagram.com/hytpnjtnal?utm_source=ig_web_button_share_sheet&amp;igsh=ZDNlZDc0MzIxNw==" TargetMode="External"/><Relationship Id="rId123" Type="http://schemas.openxmlformats.org/officeDocument/2006/relationships/hyperlink" Target="https://www.instagram.com/heyeat_javanan_sarallah?utm_source=ig_web_button_share_sheet&amp;igsh=ZDNlZDc0MzIxNw==" TargetMode="External"/><Relationship Id="rId122" Type="http://schemas.openxmlformats.org/officeDocument/2006/relationships/hyperlink" Target="https://www.instagram.com/motevaselein?utm_source=ig_web_button_share_sheet&amp;igsh=ZDNlZDc0MzIxNw==" TargetMode="External"/><Relationship Id="rId118" Type="http://schemas.openxmlformats.org/officeDocument/2006/relationships/hyperlink" Target="https://eitaa.com/masjed_lmam_hussain" TargetMode="External"/><Relationship Id="rId117" Type="http://schemas.openxmlformats.org/officeDocument/2006/relationships/hyperlink" Target="https://www.instagram.com/masjed.imam.hussain?utm_source=ig_web_button_share_sheet&amp;igsh=ZDNlZDc0MzIxNw==" TargetMode="External"/><Relationship Id="rId116" Type="http://schemas.openxmlformats.org/officeDocument/2006/relationships/hyperlink" Target="https://eitaa.com/howzehmalek" TargetMode="External"/><Relationship Id="rId115" Type="http://schemas.openxmlformats.org/officeDocument/2006/relationships/hyperlink" Target="https://www.instagram.com/howzeh.malekashtar_?utm_source=ig_web_button_share_sheet&amp;igsh=ZDNlZDc0MzIxNw==" TargetMode="External"/><Relationship Id="rId119" Type="http://schemas.openxmlformats.org/officeDocument/2006/relationships/hyperlink" Target="https://www.instagram.com/masjed_bnd1402?utm_source=ig_web_button_share_sheet&amp;igsh=ZDNlZDc0MzIxNw==" TargetMode="External"/><Relationship Id="rId110" Type="http://schemas.openxmlformats.org/officeDocument/2006/relationships/hyperlink" Target="https://eitaa.com/heyat_seyedoshohada_bnd1" TargetMode="External"/><Relationship Id="rId114" Type="http://schemas.openxmlformats.org/officeDocument/2006/relationships/hyperlink" Target="https://www.instagram.com/msjed_saeed_m_a_kong?utm_source=ig_web_button_share_sheet&amp;igsh=ZDNlZDc0MzIxNw==" TargetMode="External"/><Relationship Id="rId113" Type="http://schemas.openxmlformats.org/officeDocument/2006/relationships/hyperlink" Target="https://www.instagram.com/hoseyniye.hazrat.abalfazl/?utm_source=ig_web_button_share_sheet" TargetMode="External"/><Relationship Id="rId112" Type="http://schemas.openxmlformats.org/officeDocument/2006/relationships/hyperlink" Target="https://www.instagram.com/mohebaneahlebeyt.hajeabad?utm_source=ig_web_button_share_sheet&amp;igsh=ZDNlZDc0MzIxNw==" TargetMode="External"/><Relationship Id="rId111" Type="http://schemas.openxmlformats.org/officeDocument/2006/relationships/hyperlink" Target="https://www.instagram.com/heyat_samenalhojaj?utm_source=ig_web_button_share_sheet&amp;igsh=ZDNlZDc0MzIxNw==" TargetMode="External"/><Relationship Id="rId40" Type="http://schemas.openxmlformats.org/officeDocument/2006/relationships/hyperlink" Target="https://www.instagram.com/jonoubiha0136?utm_source=ig_web_button_share_sheet&amp;igsh=ZDNlZDc0MzIxNw==" TargetMode="External"/><Relationship Id="rId42" Type="http://schemas.openxmlformats.org/officeDocument/2006/relationships/hyperlink" Target="https://www.instagram.com/hoseyniyeh_abolfazl?utm_source=ig_web_button_share_sheet&amp;igsh=ZDNlZDc0MzIxNw==" TargetMode="External"/><Relationship Id="rId41" Type="http://schemas.openxmlformats.org/officeDocument/2006/relationships/hyperlink" Target="https://www.instagram.com/heyat_taziyehkhani_hajikhademi?utm_source=ig_web_button_share_sheet&amp;igsh=ZDNlZDc0MzIxNw==" TargetMode="External"/><Relationship Id="rId44" Type="http://schemas.openxmlformats.org/officeDocument/2006/relationships/hyperlink" Target="https://eitaa.com/heyat_hu" TargetMode="External"/><Relationship Id="rId43" Type="http://schemas.openxmlformats.org/officeDocument/2006/relationships/hyperlink" Target="https://eitaa.com/hoseyniyeh_abolfazl" TargetMode="External"/><Relationship Id="rId46" Type="http://schemas.openxmlformats.org/officeDocument/2006/relationships/hyperlink" Target="https://www.instagram.com/heyat.beytalshohada?utm_source=ig_web_button_share_sheet&amp;igsh=ZDNlZDc0MzIxNw==" TargetMode="External"/><Relationship Id="rId45" Type="http://schemas.openxmlformats.org/officeDocument/2006/relationships/hyperlink" Target="https://www.instagram.com/heiat_ansar_mehdi?utm_source=ig_web_button_share_sheet&amp;igsh=ZDNlZDc0MzIxNw==" TargetMode="External"/><Relationship Id="rId48" Type="http://schemas.openxmlformats.org/officeDocument/2006/relationships/hyperlink" Target="https://t.me/chadorkhakibnd" TargetMode="External"/><Relationship Id="rId47" Type="http://schemas.openxmlformats.org/officeDocument/2006/relationships/hyperlink" Target="https://www.instagram.com/chadorkhakibnd?utm_source=ig_web_button_share_sheet&amp;igsh=ZDNlZDc0MzIxNw==" TargetMode="External"/><Relationship Id="rId49" Type="http://schemas.openxmlformats.org/officeDocument/2006/relationships/hyperlink" Target="https://www.instagram.com/howzeh_bandrlengeh?utm_source=ig_web_button_share_sheet&amp;igsh=ZDNlZDc0MzIxNw==" TargetMode="External"/><Relationship Id="rId31" Type="http://schemas.openxmlformats.org/officeDocument/2006/relationships/hyperlink" Target="https://www.instagram.com/maktab_net/" TargetMode="External"/><Relationship Id="rId30" Type="http://schemas.openxmlformats.org/officeDocument/2006/relationships/hyperlink" Target="https://www.instagram.com/hmaktababbas_ir/" TargetMode="External"/><Relationship Id="rId33" Type="http://schemas.openxmlformats.org/officeDocument/2006/relationships/hyperlink" Target="https://www.instagram.com/heyat_beyt_roghayeh/" TargetMode="External"/><Relationship Id="rId32" Type="http://schemas.openxmlformats.org/officeDocument/2006/relationships/hyperlink" Target="https://www.instagram.com/bagheriyun_heiat/" TargetMode="External"/><Relationship Id="rId35" Type="http://schemas.openxmlformats.org/officeDocument/2006/relationships/hyperlink" Target="https://eitaa.com/reyhane_com" TargetMode="External"/><Relationship Id="rId34" Type="http://schemas.openxmlformats.org/officeDocument/2006/relationships/hyperlink" Target="https://www.instagram.com/reyhane_com/" TargetMode="External"/><Relationship Id="rId37" Type="http://schemas.openxmlformats.org/officeDocument/2006/relationships/hyperlink" Target="https://t.me/heyateoshaqolhosein" TargetMode="External"/><Relationship Id="rId36" Type="http://schemas.openxmlformats.org/officeDocument/2006/relationships/hyperlink" Target="https://www.instagram.com/oshaqolhosein?utm_source=ig_web_button_share_sheet&amp;igsh=ZDNlZDc0MzIxNw==" TargetMode="External"/><Relationship Id="rId39" Type="http://schemas.openxmlformats.org/officeDocument/2006/relationships/hyperlink" Target="https://www.instagram.com/maktabozahra.minab?utm_source=ig_web_button_share_sheet&amp;igsh=ZDNlZDc0MzIxNw==" TargetMode="External"/><Relationship Id="rId38" Type="http://schemas.openxmlformats.org/officeDocument/2006/relationships/hyperlink" Target="https://www.instagram.com/h.aliasghar.nakhlmina?utm_source=ig_web_button_share_sheet&amp;igsh=ZDNlZDc0MzIxNw==" TargetMode="External"/><Relationship Id="rId20" Type="http://schemas.openxmlformats.org/officeDocument/2006/relationships/hyperlink" Target="https://www.instagram.com/rovtan.sirik/" TargetMode="External"/><Relationship Id="rId22" Type="http://schemas.openxmlformats.org/officeDocument/2006/relationships/hyperlink" Target="https://www.instagram.com/maktab_zahra_1399/" TargetMode="External"/><Relationship Id="rId21" Type="http://schemas.openxmlformats.org/officeDocument/2006/relationships/hyperlink" Target="https://www.instagram.com/fatemiyoun_com/" TargetMode="External"/><Relationship Id="rId24" Type="http://schemas.openxmlformats.org/officeDocument/2006/relationships/hyperlink" Target="https://eitaa.com/beytolahzanebandarabbas" TargetMode="External"/><Relationship Id="rId23" Type="http://schemas.openxmlformats.org/officeDocument/2006/relationships/hyperlink" Target="https://eitaa.com/muhiban1396" TargetMode="External"/><Relationship Id="rId26" Type="http://schemas.openxmlformats.org/officeDocument/2006/relationships/hyperlink" Target="https://www.instagram.com/imam_sajad_qeshm/" TargetMode="External"/><Relationship Id="rId25" Type="http://schemas.openxmlformats.org/officeDocument/2006/relationships/hyperlink" Target="https://eitaa.com/shahriyarzakeri" TargetMode="External"/><Relationship Id="rId28" Type="http://schemas.openxmlformats.org/officeDocument/2006/relationships/hyperlink" Target="https://www.instagram.com/mahalleh_hedayati/" TargetMode="External"/><Relationship Id="rId27" Type="http://schemas.openxmlformats.org/officeDocument/2006/relationships/hyperlink" Target="https://eitaa.com/imam_sajad_qeshm" TargetMode="External"/><Relationship Id="rId29" Type="http://schemas.openxmlformats.org/officeDocument/2006/relationships/hyperlink" Target="https://www.instagram.com/hoseinieh.sahebalzaman.zibashr/" TargetMode="External"/><Relationship Id="rId11" Type="http://schemas.openxmlformats.org/officeDocument/2006/relationships/hyperlink" Target="https://www.instagram.com/maktabolhosein1/" TargetMode="External"/><Relationship Id="rId10" Type="http://schemas.openxmlformats.org/officeDocument/2006/relationships/hyperlink" Target="https://eitaa.com/asghariyoon" TargetMode="External"/><Relationship Id="rId13" Type="http://schemas.openxmlformats.org/officeDocument/2006/relationships/hyperlink" Target="https://www.instagram.com/moheban_mahdi_118/" TargetMode="External"/><Relationship Id="rId12" Type="http://schemas.openxmlformats.org/officeDocument/2006/relationships/hyperlink" Target="https://l.instagram.com/?u=http%3A%2F%2Ft.me%2Fmaktabolhosein1%3Ffbclid%3DPAZXh0bgNhZW0CMTEAAafcrutJ4n2-Q_49E5goKPQyFt2cxOmqFYyFi51HNFFF6PJETcnuEFUQS_MmUg_aem_QVgcO7-ReQKwHEeVBukmmg&amp;e=AT2GOHJf0ISvOZWinuqrDuq9ltv7-BlDw6x9E4GSJL_3CUFLUqp8Q9f_2MM6m5AMe4yyZ5Ir4_Jnyn8JizmGeu-cwkMueVVkPhxv4sFNTw" TargetMode="External"/><Relationship Id="rId15" Type="http://schemas.openxmlformats.org/officeDocument/2006/relationships/hyperlink" Target="https://www.instagram.com/razmandegan_qeshm/" TargetMode="External"/><Relationship Id="rId14" Type="http://schemas.openxmlformats.org/officeDocument/2006/relationships/hyperlink" Target="https://eitaa.com/Khademin_parsian" TargetMode="External"/><Relationship Id="rId17" Type="http://schemas.openxmlformats.org/officeDocument/2006/relationships/hyperlink" Target="https://www.instagram.com/heyatmasjedemamzeynolabedin/" TargetMode="External"/><Relationship Id="rId16" Type="http://schemas.openxmlformats.org/officeDocument/2006/relationships/hyperlink" Target="https://l.instagram.com/?u=https%3A%2F%2Feitaa.com%2FRazmandegan_Qeshm%3Ffbclid%3DPAZXh0bgNhZW0CMTEAAacnk5w-t7GD5tmJuZ0lxRX4B_EOmNpchvicPCkoVFcHkKmkksC2hKTxhlP7cA_aem_UGuy8r5__VseDU88kXfHyw&amp;e=AT0gd2wr21z26sZv2fsyqaVFJzc_Ity-rarkl6GCL0G1NhQsDlZZPqWGAreSmwjdhayec1yIQr01LeJtp0CKhOR_emHXjL2Regcdu5G9Pg" TargetMode="External"/><Relationship Id="rId19" Type="http://schemas.openxmlformats.org/officeDocument/2006/relationships/hyperlink" Target="https://www.instagram.com/hiatmontazranzohoorminab/" TargetMode="External"/><Relationship Id="rId18" Type="http://schemas.openxmlformats.org/officeDocument/2006/relationships/hyperlink" Target="https://www.instagram.com/aliebnabitaleb_m/" TargetMode="External"/><Relationship Id="rId84" Type="http://schemas.openxmlformats.org/officeDocument/2006/relationships/hyperlink" Target="https://www.instagram.com/heyathormozgan?utm_source=ig_web_button_share_sheet&amp;igsh=ZDNlZDc0MzIxNw==" TargetMode="External"/><Relationship Id="rId83" Type="http://schemas.openxmlformats.org/officeDocument/2006/relationships/hyperlink" Target="https://www.instagram.com/masjedaboalfazl?utm_source=ig_web_button_share_sheet&amp;igsh=ZDNlZDc0MzIxNw==" TargetMode="External"/><Relationship Id="rId86" Type="http://schemas.openxmlformats.org/officeDocument/2006/relationships/hyperlink" Target="https://eitaa.com/dokhtarane_fatemi_bandare_lengeh" TargetMode="External"/><Relationship Id="rId85" Type="http://schemas.openxmlformats.org/officeDocument/2006/relationships/hyperlink" Target="https://eitaa.com/heyat_bnd" TargetMode="External"/><Relationship Id="rId88" Type="http://schemas.openxmlformats.org/officeDocument/2006/relationships/hyperlink" Target="https://www.instagram.com/heyat_seyedoshohada_kahnuj?utm_source=ig_web_button_share_sheet&amp;igsh=ZDNlZDc0MzIxNw==" TargetMode="External"/><Relationship Id="rId87" Type="http://schemas.openxmlformats.org/officeDocument/2006/relationships/hyperlink" Target="https://www.instagram.com/masjed_emam_hosain_qeshm?utm_source=ig_web_button_share_sheet&amp;igsh=ZDNlZDc0MzIxNw==" TargetMode="External"/><Relationship Id="rId89" Type="http://schemas.openxmlformats.org/officeDocument/2006/relationships/hyperlink" Target="https://eitaa.com/ebadizadeh" TargetMode="External"/><Relationship Id="rId80" Type="http://schemas.openxmlformats.org/officeDocument/2006/relationships/hyperlink" Target="https://www.instagram.com/kazemioun7?utm_source=ig_web_button_share_sheet&amp;igsh=ZDNlZDc0MzIxNw==" TargetMode="External"/><Relationship Id="rId82" Type="http://schemas.openxmlformats.org/officeDocument/2006/relationships/hyperlink" Target="https://eitaa.com/noorolhoda_bandr" TargetMode="External"/><Relationship Id="rId81" Type="http://schemas.openxmlformats.org/officeDocument/2006/relationships/hyperlink" Target="https://www.instagram.com/nabiakram2?utm_source=ig_web_button_share_sheet&amp;igsh=ZDNlZDc0MzIxNw==" TargetMode="External"/><Relationship Id="rId73" Type="http://schemas.openxmlformats.org/officeDocument/2006/relationships/hyperlink" Target="https://eitaa.com/Khademin_parsian" TargetMode="External"/><Relationship Id="rId72" Type="http://schemas.openxmlformats.org/officeDocument/2006/relationships/hyperlink" Target="https://www.instagram.com/khademin_parsian?utm_source=ig_web_button_share_sheet&amp;igsh=ZDNlZDc0MzIxNw==" TargetMode="External"/><Relationship Id="rId75" Type="http://schemas.openxmlformats.org/officeDocument/2006/relationships/hyperlink" Target="https://t.me/hasaniyoon_bnd118" TargetMode="External"/><Relationship Id="rId74" Type="http://schemas.openxmlformats.org/officeDocument/2006/relationships/hyperlink" Target="https://www.instagram.com/hasaniyoon118_bnd_live?utm_source=ig_web_button_share_sheet&amp;igsh=ZDNlZDc0MzIxNw==" TargetMode="External"/><Relationship Id="rId77" Type="http://schemas.openxmlformats.org/officeDocument/2006/relationships/hyperlink" Target="https://www.instagram.com/razmandegan_qeshm?utm_source=ig_web_button_share_sheet&amp;igsh=ZDNlZDc0MzIxNw==" TargetMode="External"/><Relationship Id="rId76" Type="http://schemas.openxmlformats.org/officeDocument/2006/relationships/hyperlink" Target="https://eitaa.com/hasaniyoon_bnd" TargetMode="External"/><Relationship Id="rId79" Type="http://schemas.openxmlformats.org/officeDocument/2006/relationships/hyperlink" Target="https://www.instagram.com/minab.2020?utm_source=ig_web_button_share_sheet&amp;igsh=ZDNlZDc0MzIxNw==" TargetMode="External"/><Relationship Id="rId78" Type="http://schemas.openxmlformats.org/officeDocument/2006/relationships/hyperlink" Target="https://eitaa.com/Razmandegan_Qeshm" TargetMode="External"/><Relationship Id="rId71" Type="http://schemas.openxmlformats.org/officeDocument/2006/relationships/hyperlink" Target="https://eitaa.com/heyate_ghamarebanihashem" TargetMode="External"/><Relationship Id="rId70" Type="http://schemas.openxmlformats.org/officeDocument/2006/relationships/hyperlink" Target="https://www.instagram.com/minab_arbain?utm_source=ig_web_button_share_sheet&amp;igsh=ZDNlZDc0MzIxNw==" TargetMode="External"/><Relationship Id="rId62" Type="http://schemas.openxmlformats.org/officeDocument/2006/relationships/hyperlink" Target="https://eitaa.com/asghariyoon" TargetMode="External"/><Relationship Id="rId61" Type="http://schemas.openxmlformats.org/officeDocument/2006/relationships/hyperlink" Target="https://www.instagram.com/heyat.ansaralhosien?utm_source=ig_web_button_share_sheet&amp;igsh=ZDNlZDc0MzIxNw==" TargetMode="External"/><Relationship Id="rId64" Type="http://schemas.openxmlformats.org/officeDocument/2006/relationships/hyperlink" Target="https://www.instagram.com/masjedenghelab400?utm_source=ig_web_button_share_sheet&amp;igsh=ZDNlZDc0MzIxNw==" TargetMode="External"/><Relationship Id="rId63" Type="http://schemas.openxmlformats.org/officeDocument/2006/relationships/hyperlink" Target="https://www.instagram.com/irani699m?utm_source=ig_web_button_share_sheet&amp;igsh=ZDNlZDc0MzIxNw==" TargetMode="External"/><Relationship Id="rId66" Type="http://schemas.openxmlformats.org/officeDocument/2006/relationships/hyperlink" Target="https://eitaa.com/heyatalmahdiminab" TargetMode="External"/><Relationship Id="rId65" Type="http://schemas.openxmlformats.org/officeDocument/2006/relationships/hyperlink" Target="https://www.instagram.com/heyat.almahdi?utm_source=ig_web_button_share_sheet&amp;igsh=ZDNlZDc0MzIxNw==" TargetMode="External"/><Relationship Id="rId68" Type="http://schemas.openxmlformats.org/officeDocument/2006/relationships/hyperlink" Target="https://www.instagram.com/heyat_moheban.mahdi?utm_source=ig_web_button_share_sheet&amp;igsh=ZDNlZDc0MzIxNw==" TargetMode="External"/><Relationship Id="rId67" Type="http://schemas.openxmlformats.org/officeDocument/2006/relationships/hyperlink" Target="https://www.instagram.com/gomnam_tarin7899?utm_source=ig_web_button_share_sheet&amp;igsh=ZDNlZDc0MzIxNw==" TargetMode="External"/><Relationship Id="rId60" Type="http://schemas.openxmlformats.org/officeDocument/2006/relationships/hyperlink" Target="https://www.instagram.com/kazemioun7?utm_source=ig_web_button_share_sheet&amp;igsh=ZDNlZDc0MzIxNw==" TargetMode="External"/><Relationship Id="rId69" Type="http://schemas.openxmlformats.org/officeDocument/2006/relationships/hyperlink" Target="https://t.me/heyat_mohebnmahdi" TargetMode="External"/><Relationship Id="rId51" Type="http://schemas.openxmlformats.org/officeDocument/2006/relationships/hyperlink" Target="https://www.instagram.com/moheban_alhoseiin?utm_source=ig_web_button_share_sheet&amp;igsh=ZDNlZDc0MzIxNw==" TargetMode="External"/><Relationship Id="rId50" Type="http://schemas.openxmlformats.org/officeDocument/2006/relationships/hyperlink" Target="https://eitaa.com/howzeh_bandrlengeh" TargetMode="External"/><Relationship Id="rId53" Type="http://schemas.openxmlformats.org/officeDocument/2006/relationships/hyperlink" Target="https://www.instagram.com/mahdavion12?utm_source=ig_web_button_share_sheet&amp;igsh=ZDNlZDc0MzIxNw==" TargetMode="External"/><Relationship Id="rId52" Type="http://schemas.openxmlformats.org/officeDocument/2006/relationships/hyperlink" Target="https://www.instagram.com/masjed5886?utm_source=ig_web_button_share_sheet&amp;igsh=ZDNlZDc0MzIxNw==" TargetMode="External"/><Relationship Id="rId55" Type="http://schemas.openxmlformats.org/officeDocument/2006/relationships/hyperlink" Target="https://www.instagram.com/mohebban_alabbas_bnd?utm_source=ig_web_button_share_sheet&amp;igsh=ZDNlZDc0MzIxNw==" TargetMode="External"/><Relationship Id="rId54" Type="http://schemas.openxmlformats.org/officeDocument/2006/relationships/hyperlink" Target="https://www.instagram.com/hoseinieh.sahebalzaman.zibashr?utm_source=ig_web_button_share_sheet&amp;igsh=ZDNlZDc0MzIxNw==" TargetMode="External"/><Relationship Id="rId57" Type="http://schemas.openxmlformats.org/officeDocument/2006/relationships/hyperlink" Target="https://www.instagram.com/heyat_moheban.mahdi?utm_source=ig_web_button_share_sheet&amp;igsh=ZDNlZDc0MzIxNw==" TargetMode="External"/><Relationship Id="rId56" Type="http://schemas.openxmlformats.org/officeDocument/2006/relationships/hyperlink" Target="https://eitaa.com/ya_saqqa" TargetMode="External"/><Relationship Id="rId59" Type="http://schemas.openxmlformats.org/officeDocument/2006/relationships/hyperlink" Target="https://www.instagram.com/baytonnoor?utm_source=ig_web_button_share_sheet&amp;igsh=ZDNlZDc0MzIxNw==" TargetMode="External"/><Relationship Id="rId58" Type="http://schemas.openxmlformats.org/officeDocument/2006/relationships/hyperlink" Target="https://t.me/heyat_mohebnmahdi" TargetMode="External"/><Relationship Id="rId95" Type="http://schemas.openxmlformats.org/officeDocument/2006/relationships/hyperlink" Target="https://www.instagram.com/heyat_abolfazlabbas?utm_source=ig_web_button_share_sheet&amp;igsh=ZDNlZDc0MzIxNw==" TargetMode="External"/><Relationship Id="rId94" Type="http://schemas.openxmlformats.org/officeDocument/2006/relationships/hyperlink" Target="https://eitaa.com/fatemiyoun_com" TargetMode="External"/><Relationship Id="rId97" Type="http://schemas.openxmlformats.org/officeDocument/2006/relationships/hyperlink" Target="https://eitaa.com/beytolahzanebandarabbas" TargetMode="External"/><Relationship Id="rId96" Type="http://schemas.openxmlformats.org/officeDocument/2006/relationships/hyperlink" Target="https://www.instagram.com/hoseyniyeh.sarrig.bnd?utm_source=ig_web_button_share_sheet&amp;igsh=ZDNlZDc0MzIxNw==" TargetMode="External"/><Relationship Id="rId99" Type="http://schemas.openxmlformats.org/officeDocument/2006/relationships/hyperlink" Target="https://eitaa.com/zenabeeon" TargetMode="External"/><Relationship Id="rId98" Type="http://schemas.openxmlformats.org/officeDocument/2006/relationships/hyperlink" Target="https://www.instagram.com/heiat_zeinabioon?utm_source=ig_web_button_share_sheet&amp;igsh=ZDNlZDc0MzIxNw==" TargetMode="External"/><Relationship Id="rId91" Type="http://schemas.openxmlformats.org/officeDocument/2006/relationships/hyperlink" Target="https://t.me/heiat_khademin_golzareshohada" TargetMode="External"/><Relationship Id="rId90" Type="http://schemas.openxmlformats.org/officeDocument/2006/relationships/hyperlink" Target="https://www.instagram.com/khademin_hrm?utm_source=ig_web_button_share_sheet&amp;igsh=ZDNlZDc0MzIxNw==" TargetMode="External"/><Relationship Id="rId93" Type="http://schemas.openxmlformats.org/officeDocument/2006/relationships/hyperlink" Target="https://www.instagram.com/oshaghe_alhossein?utm_source=ig_web_button_share_sheet&amp;igsh=ZDNlZDc0MzIxNw==" TargetMode="External"/><Relationship Id="rId92" Type="http://schemas.openxmlformats.org/officeDocument/2006/relationships/hyperlink" Target="https://www.instagram.com/kahfelvara_313?utm_source=ig_web_button_share_sheet&amp;igsh=ZDNlZDc0MzIxNw==" TargetMode="External"/><Relationship Id="rId1" Type="http://schemas.openxmlformats.org/officeDocument/2006/relationships/hyperlink" Target="https://www.instagram.com/heiat_oshaghzahra_s/" TargetMode="External"/><Relationship Id="rId2" Type="http://schemas.openxmlformats.org/officeDocument/2006/relationships/hyperlink" Target="https://l.instagram.com/?u=https%3A%2F%2Ft.me%2Foshaghzahra%3Ffbclid%3DPAZXh0bgNhZW0CMTEAAacw9LZmnvp9uJ9KSkdMJPuOKtxfMMH6__tHywfM3Jnd5p65dGDWHKVJOuS1Lg_aem_ZOeg_bszYt__eFrwsCpbwA&amp;e=AT3zEhxmDaXa2u9bFr7ZMXa6Q5v--hMpIC9s1sCgPvhyVgcPVs2rHQdUjcFSJHLE99NKWhOSz186H1Ua8EfR1gxoTwe1lQYnH42F3nz5kw" TargetMode="External"/><Relationship Id="rId3" Type="http://schemas.openxmlformats.org/officeDocument/2006/relationships/hyperlink" Target="https://www.instagram.com/mahdavion12/" TargetMode="External"/><Relationship Id="rId4" Type="http://schemas.openxmlformats.org/officeDocument/2006/relationships/hyperlink" Target="https://www.instagram.com/maktabolhosein1/" TargetMode="External"/><Relationship Id="rId9" Type="http://schemas.openxmlformats.org/officeDocument/2006/relationships/hyperlink" Target="https://www.instagram.com/mohebban_alabbas_bnd/" TargetMode="External"/><Relationship Id="rId5" Type="http://schemas.openxmlformats.org/officeDocument/2006/relationships/hyperlink" Target="https://l.instagram.com/?u=http%3A%2F%2Ft.me%2Fmaktabolhosein1%3Ffbclid%3DPAZXh0bgNhZW0CMTEAAaeNEk4i_zCq1ECVoM1zsoNw6oPbdTHazibF89Ozq4oHczuFenq53m1U4KVWgw_aem__kPeJR8T3OfWZE0pBa-RWA&amp;e=AT0hOZTuUMde9dMnTN85PXDWw4BZumAEzKElKnSnt3GNx4YlXF1TEva6AbJPM9lBiPxEaqxK6HKJTMY1VBYOBgk166OwqwAzOMlrLx-_Pw" TargetMode="External"/><Relationship Id="rId6" Type="http://schemas.openxmlformats.org/officeDocument/2006/relationships/hyperlink" Target="https://www.instagram.com/intezar.ir/" TargetMode="External"/><Relationship Id="rId7" Type="http://schemas.openxmlformats.org/officeDocument/2006/relationships/hyperlink" Target="https://www.instagram.com/beytozahra.135/" TargetMode="External"/><Relationship Id="rId8" Type="http://schemas.openxmlformats.org/officeDocument/2006/relationships/hyperlink" Target="https://t.me/beytalzahra_135" TargetMode="External"/></Relationships>
</file>

<file path=xl/worksheets/_rels/sheet22.xml.rels><?xml version="1.0" encoding="UTF-8" standalone="yes"?><Relationships xmlns="http://schemas.openxmlformats.org/package/2006/relationships"><Relationship Id="rId190" Type="http://schemas.openxmlformats.org/officeDocument/2006/relationships/hyperlink" Target="https://eitaa.com/jameatolhosayn" TargetMode="External"/><Relationship Id="rId194" Type="http://schemas.openxmlformats.org/officeDocument/2006/relationships/hyperlink" Target="https://www.instagram.com/jameatol_mahdi59?igsh=czlpajRkN3czOXo1" TargetMode="External"/><Relationship Id="rId193" Type="http://schemas.openxmlformats.org/officeDocument/2006/relationships/hyperlink" Target="https://eitaa.com/jameato_shohada" TargetMode="External"/><Relationship Id="rId192" Type="http://schemas.openxmlformats.org/officeDocument/2006/relationships/hyperlink" Target="https://t.me/Jameato_shohada" TargetMode="External"/><Relationship Id="rId191" Type="http://schemas.openxmlformats.org/officeDocument/2006/relationships/hyperlink" Target="https://www.instagram.com/jameato_shohada?igsh=aDczbHJyaTY2bWwz" TargetMode="External"/><Relationship Id="rId187" Type="http://schemas.openxmlformats.org/officeDocument/2006/relationships/hyperlink" Target="https://www.instagram.com/heyat_samen1379?igsh=eGk2c202cDVobWU2" TargetMode="External"/><Relationship Id="rId186" Type="http://schemas.openxmlformats.org/officeDocument/2006/relationships/hyperlink" Target="https://sarallah1.blog.ir/" TargetMode="External"/><Relationship Id="rId185" Type="http://schemas.openxmlformats.org/officeDocument/2006/relationships/hyperlink" Target="https://t.me/teshnegane_alghame" TargetMode="External"/><Relationship Id="rId184" Type="http://schemas.openxmlformats.org/officeDocument/2006/relationships/hyperlink" Target="https://www.aparat.com/v/ighr5vj" TargetMode="External"/><Relationship Id="rId189" Type="http://schemas.openxmlformats.org/officeDocument/2006/relationships/hyperlink" Target="https://www.instagram.com/ahraar_ir?igsh=MWlheDNtYjVxc284Yw==" TargetMode="External"/><Relationship Id="rId188" Type="http://schemas.openxmlformats.org/officeDocument/2006/relationships/hyperlink" Target="https://www.instagram.com/samen_alhojaj1376?igsh=b2w1dHBpbWlhbGNp" TargetMode="External"/><Relationship Id="rId183" Type="http://schemas.openxmlformats.org/officeDocument/2006/relationships/hyperlink" Target="https://eitaa.com/heydarieh_ir" TargetMode="External"/><Relationship Id="rId182" Type="http://schemas.openxmlformats.org/officeDocument/2006/relationships/hyperlink" Target="https://www.instagram.com/moheban_75?igsh=cHByN2k5bmNuanN4" TargetMode="External"/><Relationship Id="rId181" Type="http://schemas.openxmlformats.org/officeDocument/2006/relationships/hyperlink" Target="https://t.me/fanos1357" TargetMode="External"/><Relationship Id="rId180" Type="http://schemas.openxmlformats.org/officeDocument/2006/relationships/hyperlink" Target="https://www.instagram.com/r_shohada313?igsh=OTFxYmQ0ZGYxeGVo" TargetMode="External"/><Relationship Id="rId176" Type="http://schemas.openxmlformats.org/officeDocument/2006/relationships/hyperlink" Target="https://www.instagram.com/beytoshohada110?igsh=bG9icXhzaW9oMWRy" TargetMode="External"/><Relationship Id="rId175" Type="http://schemas.openxmlformats.org/officeDocument/2006/relationships/hyperlink" Target="https://www.instagram.com/beytolahzan_video?igsh=MWlqNjZ6Y3A1dWpndw==" TargetMode="External"/><Relationship Id="rId174" Type="http://schemas.openxmlformats.org/officeDocument/2006/relationships/hyperlink" Target="https://www.instagram.com/beytolahzan.official/" TargetMode="External"/><Relationship Id="rId173" Type="http://schemas.openxmlformats.org/officeDocument/2006/relationships/hyperlink" Target="https://eitaa.com/beytozahrasalamollahalayha" TargetMode="External"/><Relationship Id="rId179" Type="http://schemas.openxmlformats.org/officeDocument/2006/relationships/hyperlink" Target="https://www.instagram.com/montazeranzohour__313?igsh=cThoMml4NGZ1dndq" TargetMode="External"/><Relationship Id="rId178" Type="http://schemas.openxmlformats.org/officeDocument/2006/relationships/hyperlink" Target="https://t.me/haram1" TargetMode="External"/><Relationship Id="rId177" Type="http://schemas.openxmlformats.org/officeDocument/2006/relationships/hyperlink" Target="https://www.instagram.com/beytolabbass_haram1?igsh=MTRubmppN3pieHVh" TargetMode="External"/><Relationship Id="rId198" Type="http://schemas.openxmlformats.org/officeDocument/2006/relationships/hyperlink" Target="https://t.me/heyatejannatolhossein" TargetMode="External"/><Relationship Id="rId197" Type="http://schemas.openxmlformats.org/officeDocument/2006/relationships/hyperlink" Target="https://www.instagram.com/heyatejannatolhossein?igsh=Z2xjeXQwZnVuZnBy" TargetMode="External"/><Relationship Id="rId196" Type="http://schemas.openxmlformats.org/officeDocument/2006/relationships/hyperlink" Target="https://www.instagram.com/jannesaran_59?igsh=MTNiMXNpdDQ1NWJveQ==" TargetMode="External"/><Relationship Id="rId195" Type="http://schemas.openxmlformats.org/officeDocument/2006/relationships/hyperlink" Target="https://t.me/jameatol_mahdi59" TargetMode="External"/><Relationship Id="rId199" Type="http://schemas.openxmlformats.org/officeDocument/2006/relationships/hyperlink" Target="https://eitaa.com/jannat_al_hosseinn" TargetMode="External"/><Relationship Id="rId150" Type="http://schemas.openxmlformats.org/officeDocument/2006/relationships/hyperlink" Target="https://www.instagram.com/mesbaholhoda8" TargetMode="External"/><Relationship Id="rId149" Type="http://schemas.openxmlformats.org/officeDocument/2006/relationships/hyperlink" Target="https://eitaa.com/heiat_bab_alhosein" TargetMode="External"/><Relationship Id="rId148" Type="http://schemas.openxmlformats.org/officeDocument/2006/relationships/hyperlink" Target="https://t.me/heiat_bab_alhosein" TargetMode="External"/><Relationship Id="rId143" Type="http://schemas.openxmlformats.org/officeDocument/2006/relationships/hyperlink" Target="https://www.instagram.com/hosein.mazloom/" TargetMode="External"/><Relationship Id="rId142" Type="http://schemas.openxmlformats.org/officeDocument/2006/relationships/hyperlink" Target="https://t.me/rozatolroghaye1" TargetMode="External"/><Relationship Id="rId141" Type="http://schemas.openxmlformats.org/officeDocument/2006/relationships/hyperlink" Target="https://www.instagram.com/rozatolroghaye_mashhad/" TargetMode="External"/><Relationship Id="rId140" Type="http://schemas.openxmlformats.org/officeDocument/2006/relationships/hyperlink" Target="https://ble.ir/saralahnet" TargetMode="External"/><Relationship Id="rId147" Type="http://schemas.openxmlformats.org/officeDocument/2006/relationships/hyperlink" Target="https://www.instagram.com/heiat_bab_alhosein" TargetMode="External"/><Relationship Id="rId146" Type="http://schemas.openxmlformats.org/officeDocument/2006/relationships/hyperlink" Target="https://t.me/mohebbanaliakbar" TargetMode="External"/><Relationship Id="rId145" Type="http://schemas.openxmlformats.org/officeDocument/2006/relationships/hyperlink" Target="https://www.instagram.com/heyat_aliakbariha/" TargetMode="External"/><Relationship Id="rId144" Type="http://schemas.openxmlformats.org/officeDocument/2006/relationships/hyperlink" Target="https://t.me/hoseinmazloom" TargetMode="External"/><Relationship Id="rId139" Type="http://schemas.openxmlformats.org/officeDocument/2006/relationships/hyperlink" Target="https://t.me/h_shahroudi" TargetMode="External"/><Relationship Id="rId138" Type="http://schemas.openxmlformats.org/officeDocument/2006/relationships/hyperlink" Target="https://www.instagram.com/h_shahroudi" TargetMode="External"/><Relationship Id="rId137" Type="http://schemas.openxmlformats.org/officeDocument/2006/relationships/hyperlink" Target="https://tlgrm.in/Maktabolhoseinmashhad" TargetMode="External"/><Relationship Id="rId132" Type="http://schemas.openxmlformats.org/officeDocument/2006/relationships/hyperlink" Target="https://www.instagram.com/zabih_alatshan/" TargetMode="External"/><Relationship Id="rId131" Type="http://schemas.openxmlformats.org/officeDocument/2006/relationships/hyperlink" Target="https://eitaa.com/rowzatolmahdi1" TargetMode="External"/><Relationship Id="rId130" Type="http://schemas.openxmlformats.org/officeDocument/2006/relationships/hyperlink" Target="https://t.me/rowzatolmahdi" TargetMode="External"/><Relationship Id="rId136" Type="http://schemas.openxmlformats.org/officeDocument/2006/relationships/hyperlink" Target="https://www.instagram.com/maktabolhoseinmashhad/" TargetMode="External"/><Relationship Id="rId135" Type="http://schemas.openxmlformats.org/officeDocument/2006/relationships/hyperlink" Target="https://eitaa.com/s/lesaratelhossain" TargetMode="External"/><Relationship Id="rId134" Type="http://schemas.openxmlformats.org/officeDocument/2006/relationships/hyperlink" Target="https://t.me/lesaratelhossain" TargetMode="External"/><Relationship Id="rId133" Type="http://schemas.openxmlformats.org/officeDocument/2006/relationships/hyperlink" Target="https://www.instagram.com/lesaratelhossain/" TargetMode="External"/><Relationship Id="rId172" Type="http://schemas.openxmlformats.org/officeDocument/2006/relationships/hyperlink" Target="https://www.instagram.com/beyto_zahra68?igsh=dXk0ODVucHJ6OGli" TargetMode="External"/><Relationship Id="rId171" Type="http://schemas.openxmlformats.org/officeDocument/2006/relationships/hyperlink" Target="https://t.me/beytolreza1001" TargetMode="External"/><Relationship Id="rId170" Type="http://schemas.openxmlformats.org/officeDocument/2006/relationships/hyperlink" Target="https://www.instagram.com/beytolreza.info?igsh=ZnV4ZzJicGhkaHNl" TargetMode="External"/><Relationship Id="rId165" Type="http://schemas.openxmlformats.org/officeDocument/2006/relationships/hyperlink" Target="https://t.me/seyedhojjat128" TargetMode="External"/><Relationship Id="rId164" Type="http://schemas.openxmlformats.org/officeDocument/2006/relationships/hyperlink" Target="https://www.instagram.com/rozato.zahra" TargetMode="External"/><Relationship Id="rId163" Type="http://schemas.openxmlformats.org/officeDocument/2006/relationships/hyperlink" Target="https://www.instagram.com/_heyatolhasan_" TargetMode="External"/><Relationship Id="rId162" Type="http://schemas.openxmlformats.org/officeDocument/2006/relationships/hyperlink" Target="https://t.me/mahfelreyhana315" TargetMode="External"/><Relationship Id="rId169" Type="http://schemas.openxmlformats.org/officeDocument/2006/relationships/hyperlink" Target="https://www.instagram.com/beit_133?igsh=MWQwbXRjMGN6OTFicw==" TargetMode="External"/><Relationship Id="rId168" Type="http://schemas.openxmlformats.org/officeDocument/2006/relationships/hyperlink" Target="https://www.instagram.com/beytalsaghalein?igsh=eXZrMnNmeHJxM2M2" TargetMode="External"/><Relationship Id="rId167" Type="http://schemas.openxmlformats.org/officeDocument/2006/relationships/hyperlink" Target="https://www.instagram.com/beitolahzan315?igsh=MTd3eWZwc21sazBoYg==" TargetMode="External"/><Relationship Id="rId166" Type="http://schemas.openxmlformats.org/officeDocument/2006/relationships/hyperlink" Target="https://www.instagram.com/bentolhosein_ir?igsh=bGF5a2Fma21icnps" TargetMode="External"/><Relationship Id="rId161" Type="http://schemas.openxmlformats.org/officeDocument/2006/relationships/hyperlink" Target="https://www.instagram.com/mahfelreyhana315" TargetMode="External"/><Relationship Id="rId160" Type="http://schemas.openxmlformats.org/officeDocument/2006/relationships/hyperlink" Target="https://t.me/oshagh_alabas_mashhad110" TargetMode="External"/><Relationship Id="rId159" Type="http://schemas.openxmlformats.org/officeDocument/2006/relationships/hyperlink" Target="https://www.instagram.com/oshagh_alabbas_mashhad" TargetMode="External"/><Relationship Id="rId154" Type="http://schemas.openxmlformats.org/officeDocument/2006/relationships/hyperlink" Target="https://t.me/heiateALAMDAR" TargetMode="External"/><Relationship Id="rId153" Type="http://schemas.openxmlformats.org/officeDocument/2006/relationships/hyperlink" Target="https://www.instagram.com/alam_dar.ir" TargetMode="External"/><Relationship Id="rId152" Type="http://schemas.openxmlformats.org/officeDocument/2006/relationships/hyperlink" Target="https://t.me/heiateALAMDAR" TargetMode="External"/><Relationship Id="rId151" Type="http://schemas.openxmlformats.org/officeDocument/2006/relationships/hyperlink" Target="https://www.instagram.com/alemeh.ir/" TargetMode="External"/><Relationship Id="rId158" Type="http://schemas.openxmlformats.org/officeDocument/2006/relationships/hyperlink" Target="https://www.instagram.com/ansar73" TargetMode="External"/><Relationship Id="rId157" Type="http://schemas.openxmlformats.org/officeDocument/2006/relationships/hyperlink" Target="https://www.instagram.com/alsebt_com" TargetMode="External"/><Relationship Id="rId156" Type="http://schemas.openxmlformats.org/officeDocument/2006/relationships/hyperlink" Target="https://www.youtube.com/@heiatealamdar" TargetMode="External"/><Relationship Id="rId155" Type="http://schemas.openxmlformats.org/officeDocument/2006/relationships/hyperlink" Target="https://eitaa.com/heiatealamdar" TargetMode="External"/><Relationship Id="rId107" Type="http://schemas.openxmlformats.org/officeDocument/2006/relationships/hyperlink" Target="https://t.me/bab_sedre_mashhad" TargetMode="External"/><Relationship Id="rId106" Type="http://schemas.openxmlformats.org/officeDocument/2006/relationships/hyperlink" Target="https://www.instagram.com/bab_sedre/" TargetMode="External"/><Relationship Id="rId105" Type="http://schemas.openxmlformats.org/officeDocument/2006/relationships/hyperlink" Target="https://www.instagram.com/heydrion_ravar/" TargetMode="External"/><Relationship Id="rId104" Type="http://schemas.openxmlformats.org/officeDocument/2006/relationships/hyperlink" Target="https://l.instagram.com/?u=https%3A%2F%2Feitaa.com%2Fmisagh_bavelayat%3Ffbclid%3DPAZXh0bgNhZW0CMTEAAafPe15pA-0n_mDAurlwABPRd4Csij9ix51A8X525eKs3KlyB6w_vO-FA5lEqA_aem_fUdEr_uw9td-KSmv1DNFNA&amp;e=AT3CGIaAGCLad-YktoL4yAfW3Yt_xfXelz4m4kzL-jRgEJ4Z1FLgbEF1rZ8Add76n1VLuOFwC-sh8-yzZYBRbjtEw-7iufFly1g3sWFQbQ" TargetMode="External"/><Relationship Id="rId109" Type="http://schemas.openxmlformats.org/officeDocument/2006/relationships/hyperlink" Target="https://t.me/emamhasan118_ir" TargetMode="External"/><Relationship Id="rId108" Type="http://schemas.openxmlformats.org/officeDocument/2006/relationships/hyperlink" Target="https://www.instagram.com/emamhasan118_ir/" TargetMode="External"/><Relationship Id="rId103" Type="http://schemas.openxmlformats.org/officeDocument/2006/relationships/hyperlink" Target="https://www.instagram.com/misaq_razavi/" TargetMode="External"/><Relationship Id="rId102" Type="http://schemas.openxmlformats.org/officeDocument/2006/relationships/hyperlink" Target="https://t.me/seyyedalshohada_ir" TargetMode="External"/><Relationship Id="rId101" Type="http://schemas.openxmlformats.org/officeDocument/2006/relationships/hyperlink" Target="https://www.instagram.com/seyyedalshohada_ir/" TargetMode="External"/><Relationship Id="rId100" Type="http://schemas.openxmlformats.org/officeDocument/2006/relationships/hyperlink" Target="https://eitaa.com/hbeynolharameyn" TargetMode="External"/><Relationship Id="rId129" Type="http://schemas.openxmlformats.org/officeDocument/2006/relationships/hyperlink" Target="https://www.instagram.com/rowzatolmahdi/" TargetMode="External"/><Relationship Id="rId128" Type="http://schemas.openxmlformats.org/officeDocument/2006/relationships/hyperlink" Target="https://eitaa.com/s/Omolayama" TargetMode="External"/><Relationship Id="rId127" Type="http://schemas.openxmlformats.org/officeDocument/2006/relationships/hyperlink" Target="https://www.instagram.com/omolayama/" TargetMode="External"/><Relationship Id="rId126" Type="http://schemas.openxmlformats.org/officeDocument/2006/relationships/hyperlink" Target="https://www.instagram.com/mohebanalzahra5998/" TargetMode="External"/><Relationship Id="rId121" Type="http://schemas.openxmlformats.org/officeDocument/2006/relationships/hyperlink" Target="https://t.me/moheban_hasan" TargetMode="External"/><Relationship Id="rId120" Type="http://schemas.openxmlformats.org/officeDocument/2006/relationships/hyperlink" Target="https://www.instagram.com/moheban_hasan118/" TargetMode="External"/><Relationship Id="rId125" Type="http://schemas.openxmlformats.org/officeDocument/2006/relationships/hyperlink" Target="https://t.me/kheimatoalhossein110" TargetMode="External"/><Relationship Id="rId124" Type="http://schemas.openxmlformats.org/officeDocument/2006/relationships/hyperlink" Target="https://www.instagram.com/kheimatoalhossein110/" TargetMode="External"/><Relationship Id="rId123" Type="http://schemas.openxmlformats.org/officeDocument/2006/relationships/hyperlink" Target="https://t.me/mohebbinalhoseinmashhad" TargetMode="External"/><Relationship Id="rId122" Type="http://schemas.openxmlformats.org/officeDocument/2006/relationships/hyperlink" Target="https://www.instagram.com/mohebinalhosein/" TargetMode="External"/><Relationship Id="rId118" Type="http://schemas.openxmlformats.org/officeDocument/2006/relationships/hyperlink" Target="https://t.me/motevasselin133" TargetMode="External"/><Relationship Id="rId117" Type="http://schemas.openxmlformats.org/officeDocument/2006/relationships/hyperlink" Target="https://www.instagram.com/motevasselin133/" TargetMode="External"/><Relationship Id="rId116" Type="http://schemas.openxmlformats.org/officeDocument/2006/relationships/hyperlink" Target="https://www.instagram.com/beytoljavad_80_mashhad/" TargetMode="External"/><Relationship Id="rId115" Type="http://schemas.openxmlformats.org/officeDocument/2006/relationships/hyperlink" Target="https://eitaa.com/s/n_seyedoshohada" TargetMode="External"/><Relationship Id="rId119" Type="http://schemas.openxmlformats.org/officeDocument/2006/relationships/hyperlink" Target="https://eitaa.com/motevasselin133" TargetMode="External"/><Relationship Id="rId110" Type="http://schemas.openxmlformats.org/officeDocument/2006/relationships/hyperlink" Target="https://eitaa.com/emamhasan118_ir" TargetMode="External"/><Relationship Id="rId114" Type="http://schemas.openxmlformats.org/officeDocument/2006/relationships/hyperlink" Target="https://t.me/m_seyedoshohadaa" TargetMode="External"/><Relationship Id="rId113" Type="http://schemas.openxmlformats.org/officeDocument/2006/relationships/hyperlink" Target="https://www.instagram.com/m_seyedoshohadaa/" TargetMode="External"/><Relationship Id="rId112" Type="http://schemas.openxmlformats.org/officeDocument/2006/relationships/hyperlink" Target="https://t.me/heatfadavian" TargetMode="External"/><Relationship Id="rId111" Type="http://schemas.openxmlformats.org/officeDocument/2006/relationships/hyperlink" Target="https://www.instagram.com/heatfadavian/" TargetMode="External"/><Relationship Id="rId392" Type="http://schemas.openxmlformats.org/officeDocument/2006/relationships/hyperlink" Target="https://www.instagram.com/fatemiun_mashhad313/" TargetMode="External"/><Relationship Id="rId391" Type="http://schemas.openxmlformats.org/officeDocument/2006/relationships/hyperlink" Target="https://l.instagram.com/?u=http%3A%2F%2Ft.me%2Fchardahmassom%3Futm_source%3Dig%26utm_medium%3Dsocial%26utm_content%3Dlink_in_bio%26fbclid%3DPAZXh0bgNhZW0CMTEAc3J0YwZhcHBfaWQMMjU2MjgxMDQwNTU4AAGnTUPiZi6oomhgN2bv604_z_XZt5xGmUDEFKwDNeOKeH-1btRzSf8h6CrRnX8_aem_l95QE7JkbZ5K9Ufdu0cKnA&amp;e=AT7X-Cpga1MphHAiWRovwWWJw6vbPTAzONdAG8cKkC-kYLKEd99TYY5vdmUFZ2JdWCc_pxOYC97KPyLXtXfCwzZ9ub4bQbxMlQbYIqxxPg" TargetMode="External"/><Relationship Id="rId390" Type="http://schemas.openxmlformats.org/officeDocument/2006/relationships/hyperlink" Target="https://www.instagram.com/chardahmassom/" TargetMode="External"/><Relationship Id="rId385" Type="http://schemas.openxmlformats.org/officeDocument/2006/relationships/hyperlink" Target="https://l.instagram.com/?u=https%3A%2F%2Ft.me%2FM_khademin%3Futm_source%3Dig%26utm_medium%3Dsocial%26utm_content%3Dlink_in_bio%26fbclid%3DPAZXh0bgNhZW0CMTEAc3J0YwZhcHBfaWQMMjU2MjgxMDQwNTU4AAGnXQy7pagwhRZZQgwyZSLgbChGMDKTDzddhKSI3iF699hNDdvR95hRP21xjWI_aem_gf4zfdclz7ZNmK_Kqb048w&amp;e=AT64teEQVhHMNjZ915AI8KOCofMT3RZv6vIY0AU9MJZN8NXurijpzZQI4HLChoKKokLjvi_qmdpYuiAx_BrviiFiTRj9p_HUQhnaGnvCFQ" TargetMode="External"/><Relationship Id="rId384" Type="http://schemas.openxmlformats.org/officeDocument/2006/relationships/hyperlink" Target="https://www.instagram.com/m_khademin/" TargetMode="External"/><Relationship Id="rId383" Type="http://schemas.openxmlformats.org/officeDocument/2006/relationships/hyperlink" Target="https://l.instagram.com/?u=https%3A%2F%2Ft.me%2Fansargonabad%3Futm_source%3Dig%26utm_medium%3Dsocial%26utm_content%3Dlink_in_bio%26fbclid%3DPAZXh0bgNhZW0CMTEAc3J0YwZhcHBfaWQMMjU2MjgxMDQwNTU4AAGn8S3pp8P5WrBeITXKakRH3zDtu1HUCBCac3DBBFSgyAA7JUfWzdyGfca3Z3c_aem_DlGkO_W34azPhw6NY91frw&amp;e=AT46-LomJzACeXRhdQvzUptKKTH53fZBNiprM_cIN4jY8Is4LQXEM8OWPvvtW2wOvExK0f9IUJ9jmsBd1mMTcKe6zNzOGhVYy847423RHg" TargetMode="External"/><Relationship Id="rId382" Type="http://schemas.openxmlformats.org/officeDocument/2006/relationships/hyperlink" Target="https://www.instagram.com/ansargonabad/" TargetMode="External"/><Relationship Id="rId389" Type="http://schemas.openxmlformats.org/officeDocument/2006/relationships/hyperlink" Target="https://l.instagram.com/?u=https%3A%2F%2Ft.me%2Fa_abaabdellah%3Futm_source%3Dig%26utm_medium%3Dsocial%26utm_content%3Dlink_in_bio%26fbclid%3DPAZXh0bgNhZW0CMTEAc3J0YwZhcHBfaWQMMjU2MjgxMDQwNTU4AAGnW4MrceV5r6x2A7ecrWmYmGfXB9IkMDJqIpCt58PwINUiwsbhLSNkz5yvtzs_aem_mxtrzYatQZvzrHHYG_8bFQ&amp;e=AT5gm9Ix9ldpH7KcMLg9Hh3W7KxnnmCQKRhXh24_wzUKwBloi7WAmuzM7MvNuvBSRCa2RvdiO4ejNOvP_70L967Aa1f8qbgFl2PXT929ZA" TargetMode="External"/><Relationship Id="rId388" Type="http://schemas.openxmlformats.org/officeDocument/2006/relationships/hyperlink" Target="https://www.instagram.com/a_abaabdellah/" TargetMode="External"/><Relationship Id="rId387" Type="http://schemas.openxmlformats.org/officeDocument/2006/relationships/hyperlink" Target="https://www.instagram.com/ansarolmahdi_quchan/" TargetMode="External"/><Relationship Id="rId386" Type="http://schemas.openxmlformats.org/officeDocument/2006/relationships/hyperlink" Target="https://www.instagram.com/kafol.abbas.sabzevar/" TargetMode="External"/><Relationship Id="rId381" Type="http://schemas.openxmlformats.org/officeDocument/2006/relationships/hyperlink" Target="https://l.instagram.com/?u=https%3A%2F%2Ft.me%2Fmoheban_abalfazll%3Futm_source%3Dig%26utm_medium%3Dsocial%26utm_content%3Dlink_in_bio%26fbclid%3DPAZXh0bgNhZW0CMTEAc3J0YwZhcHBfaWQMMjU2MjgxMDQwNTU4AAGnSciyP-oe24-md9dWrN4mbg_pqrbOvy98vnkBxVWyYiIZ7_oxPA5qNI6lNBI_aem_fpy7HexdOm5SZyhUS8sjuA&amp;e=AT6KqxFPshtUmNwvQeMt7OQ6EOufzipcZZDenW6nVkzMXgtIPDWkktVq9LszZ2x2yxGCe-TWSBIo75RHjMiSsXCiIabKRtI6jtbSjto9mQ" TargetMode="External"/><Relationship Id="rId380" Type="http://schemas.openxmlformats.org/officeDocument/2006/relationships/hyperlink" Target="https://www.instagram.com/moheban_abalfazll/" TargetMode="External"/><Relationship Id="rId379" Type="http://schemas.openxmlformats.org/officeDocument/2006/relationships/hyperlink" Target="https://l.instagram.com/?u=https%3A%2F%2Ft.me%2Fheyate_shohadaye_gomnam_kh%3Futm_source%3Dig%26utm_medium%3Dsocial%26utm_content%3Dlink_in_bio%26fbclid%3DPAZXh0bgNhZW0CMTEAc3J0YwZhcHBfaWQMMjU2MjgxMDQwNTU4AAGnSC6i_ZE5TsFSdp-HTjcF8gAvqaM2BfeFOOlfg6UIer-HgKsJlMhrIMKL2GM_aem_pvYR3eukwx9J5qvQs3o0sQ&amp;e=AT54JQLZGFsVRKf68q9jBj5PgtTM3UBgwKNFmUB23nsDrMib6noJdh2n-EWRMsqkADYUlgsUFNPytyC3vWfysH1auDRH5iTrMBILmH4agg" TargetMode="External"/><Relationship Id="rId374" Type="http://schemas.openxmlformats.org/officeDocument/2006/relationships/hyperlink" Target="https://www.instagram.com/maktab_nabi/" TargetMode="External"/><Relationship Id="rId373" Type="http://schemas.openxmlformats.org/officeDocument/2006/relationships/hyperlink" Target="https://l.instagram.com/?u=https%3A%2F%2Ft.me%2Frayatolabbas_gh%3Futm_source%3Dig%26utm_medium%3Dsocial%26utm_content%3Dlink_in_bio%26fbclid%3DPAZXh0bgNhZW0CMTEAc3J0YwZhcHBfaWQMMjU2MjgxMDQwNTU4AAGnp0uld7vP2EL9JCfTuq6ZHVpDlLVmmBA_cBjzOZUdnZbC3sZshXLpZ4gH3m8_aem_loEMkRC81pzhdzB6hMrlSw&amp;e=AT4vYmUHiFCKoMZ8KT7WXsJf8i4muLgY7KAMEfVnCQaU_x0_DrDReOIfrxfxcF16xCPSq-n8gG_oFIh4HPCjUAGM_A4ZfvjWzyOAf2E5ZA" TargetMode="External"/><Relationship Id="rId372" Type="http://schemas.openxmlformats.org/officeDocument/2006/relationships/hyperlink" Target="https://www.instagram.com/rayatolabbas_gh/" TargetMode="External"/><Relationship Id="rId371" Type="http://schemas.openxmlformats.org/officeDocument/2006/relationships/hyperlink" Target="https://t.me/Motahari1400" TargetMode="External"/><Relationship Id="rId378" Type="http://schemas.openxmlformats.org/officeDocument/2006/relationships/hyperlink" Target="https://www.instagram.com/heyate_shohadaye_gomnam_kh/" TargetMode="External"/><Relationship Id="rId377" Type="http://schemas.openxmlformats.org/officeDocument/2006/relationships/hyperlink" Target="https://www.instagram.com/m_ahlebeit/" TargetMode="External"/><Relationship Id="rId376" Type="http://schemas.openxmlformats.org/officeDocument/2006/relationships/hyperlink" Target="https://l.instagram.com/?u=https%3A%2F%2Ft.me%2Fmohebbanalhosin%3Futm_source%3Dig%26utm_medium%3Dsocial%26utm_content%3Dlink_in_bio%26fbclid%3DPAZXh0bgNhZW0CMTEAc3J0YwZhcHBfaWQMMjU2MjgxMDQwNTU4AAGntMeRmxMqU--CuSltL2uypsIr3rl7RHr_bEjKyh2xbh-WR2lG_3UCz_lwWy4_aem_qw8m3WTJ52o_taVNuLhL3Q&amp;e=AT7yOUjSaH0-hFDraATfYORYiwYXEF2YBm41M4Bj_6XScc1WFMC67MHCyHN4uhju3WujakFDikN0Qq1scr2bnwWFdnD3nTspA--H0YeSRw" TargetMode="External"/><Relationship Id="rId375" Type="http://schemas.openxmlformats.org/officeDocument/2006/relationships/hyperlink" Target="https://www.instagram.com/mohebbanolhosseinn/" TargetMode="External"/><Relationship Id="rId396" Type="http://schemas.openxmlformats.org/officeDocument/2006/relationships/hyperlink" Target="https://www.instagram.com/moslemebneaghil_sabzevar/" TargetMode="External"/><Relationship Id="rId395" Type="http://schemas.openxmlformats.org/officeDocument/2006/relationships/hyperlink" Target="https://l.instagram.com/?u=http%3A%2F%2Feitaa.com%2Fpooyeshparcham8%3Futm_source%3Dig%26utm_medium%3Dsocial%26utm_content%3Dlink_in_bio%26fbclid%3DPAZXh0bgNhZW0CMTEAc3J0YwZhcHBfaWQMMjU2MjgxMDQwNTU4AAGnHJijW3qgPCx5FSe_LOzZk6vTCDfpq6wUoqb0h3-GIezE1BOLNpax-aLgrYY_aem_oKSM3MMF9YQFTDaxn5jGaw&amp;e=AT57g9lA577CWM_dVexkR5udMZEXWPhiN0oF9KVK-0oQbyB64IhX038BsGUQ3kE74k6hElPd-cPSQBBLqyXGS4a6MvA4L9JO_2neIaA_VA" TargetMode="External"/><Relationship Id="rId394" Type="http://schemas.openxmlformats.org/officeDocument/2006/relationships/hyperlink" Target="https://www.instagram.com/pooyeshparcham8/" TargetMode="External"/><Relationship Id="rId393" Type="http://schemas.openxmlformats.org/officeDocument/2006/relationships/hyperlink" Target="https://www.instagram.com/mohebaneali/" TargetMode="External"/><Relationship Id="rId399" Type="http://schemas.openxmlformats.org/officeDocument/2006/relationships/hyperlink" Target="https://www.instagram.com/mohebban_27/" TargetMode="External"/><Relationship Id="rId398" Type="http://schemas.openxmlformats.org/officeDocument/2006/relationships/hyperlink" Target="https://t.me/alamdarbrd98" TargetMode="External"/><Relationship Id="rId397" Type="http://schemas.openxmlformats.org/officeDocument/2006/relationships/hyperlink" Target="https://www.instagram.com/alamdar_brd/" TargetMode="External"/><Relationship Id="rId40" Type="http://schemas.openxmlformats.org/officeDocument/2006/relationships/hyperlink" Target="https://www.instagram.com/oshagh_alzahra_s/" TargetMode="External"/><Relationship Id="rId42" Type="http://schemas.openxmlformats.org/officeDocument/2006/relationships/hyperlink" Target="https://www.instagram.com/r_alatash/" TargetMode="External"/><Relationship Id="rId41" Type="http://schemas.openxmlformats.org/officeDocument/2006/relationships/hyperlink" Target="https://t.me/oshaghzahras" TargetMode="External"/><Relationship Id="rId44" Type="http://schemas.openxmlformats.org/officeDocument/2006/relationships/hyperlink" Target="https://www.instagram.com/aemme.athar86" TargetMode="External"/><Relationship Id="rId43" Type="http://schemas.openxmlformats.org/officeDocument/2006/relationships/hyperlink" Target="https://t.me/rozatolatash" TargetMode="External"/><Relationship Id="rId46" Type="http://schemas.openxmlformats.org/officeDocument/2006/relationships/hyperlink" Target="https://www.instagram.com/gharibsameraa?igsh=MWt6aDBvaG9remRwOA==" TargetMode="External"/><Relationship Id="rId45" Type="http://schemas.openxmlformats.org/officeDocument/2006/relationships/hyperlink" Target="https://www.instagram.com/heyatbaghiatallah?igsh=MTBrYWQxcHpldmp0Zg==" TargetMode="External"/><Relationship Id="rId48" Type="http://schemas.openxmlformats.org/officeDocument/2006/relationships/hyperlink" Target="https://t.me/oshagh_al_hosein315" TargetMode="External"/><Relationship Id="rId47" Type="http://schemas.openxmlformats.org/officeDocument/2006/relationships/hyperlink" Target="https://www.instagram.com/oshagh.al.hosein?igsh=anRidGVhNzNtZmFj" TargetMode="External"/><Relationship Id="rId49" Type="http://schemas.openxmlformats.org/officeDocument/2006/relationships/hyperlink" Target="https://www.instagram.com/beynolharamayn133_128?igsh=MXcyNWpqZ2JjMW16ZQ==" TargetMode="External"/><Relationship Id="rId31" Type="http://schemas.openxmlformats.org/officeDocument/2006/relationships/hyperlink" Target="https://www.instagram.com/maktabalzahra313/" TargetMode="External"/><Relationship Id="rId30" Type="http://schemas.openxmlformats.org/officeDocument/2006/relationships/hyperlink" Target="https://t.me/heiaterozatolhossein" TargetMode="External"/><Relationship Id="rId33" Type="http://schemas.openxmlformats.org/officeDocument/2006/relationships/hyperlink" Target="https://www.instagram.com/baqiatollah_ir/" TargetMode="External"/><Relationship Id="rId32" Type="http://schemas.openxmlformats.org/officeDocument/2006/relationships/hyperlink" Target="https://t.me/maktabalzahra39" TargetMode="External"/><Relationship Id="rId35" Type="http://schemas.openxmlformats.org/officeDocument/2006/relationships/hyperlink" Target="https://www.instagram.com/hosseinie_alzahra/" TargetMode="External"/><Relationship Id="rId34" Type="http://schemas.openxmlformats.org/officeDocument/2006/relationships/hyperlink" Target="https://t.me/baqiatollah_ir" TargetMode="External"/><Relationship Id="rId37" Type="http://schemas.openxmlformats.org/officeDocument/2006/relationships/hyperlink" Target="https://www.instagram.com/kheyme_69/" TargetMode="External"/><Relationship Id="rId36" Type="http://schemas.openxmlformats.org/officeDocument/2006/relationships/hyperlink" Target="https://t.me/hosseinie_mohebiolzahra" TargetMode="External"/><Relationship Id="rId39" Type="http://schemas.openxmlformats.org/officeDocument/2006/relationships/hyperlink" Target="https://eitaa.com/kheyme69" TargetMode="External"/><Relationship Id="rId38" Type="http://schemas.openxmlformats.org/officeDocument/2006/relationships/hyperlink" Target="https://t.me/kheyme69" TargetMode="External"/><Relationship Id="rId20" Type="http://schemas.openxmlformats.org/officeDocument/2006/relationships/hyperlink" Target="https://heyatekarbala.ir/" TargetMode="External"/><Relationship Id="rId22" Type="http://schemas.openxmlformats.org/officeDocument/2006/relationships/hyperlink" Target="https://t.me/aleyasinhusainie" TargetMode="External"/><Relationship Id="rId21" Type="http://schemas.openxmlformats.org/officeDocument/2006/relationships/hyperlink" Target="https://www.instagram.com/aleyasinhusainie/" TargetMode="External"/><Relationship Id="rId24" Type="http://schemas.openxmlformats.org/officeDocument/2006/relationships/hyperlink" Target="https://www.instagram.com/moheban_zeinab1376/" TargetMode="External"/><Relationship Id="rId23" Type="http://schemas.openxmlformats.org/officeDocument/2006/relationships/hyperlink" Target="https://eitaa.com/aleyasinhusainie" TargetMode="External"/><Relationship Id="rId26" Type="http://schemas.openxmlformats.org/officeDocument/2006/relationships/hyperlink" Target="https://eitaa.com/moheban_zeinab1376" TargetMode="External"/><Relationship Id="rId25" Type="http://schemas.openxmlformats.org/officeDocument/2006/relationships/hyperlink" Target="https://t.me/moheban_zeinab1376" TargetMode="External"/><Relationship Id="rId28" Type="http://schemas.openxmlformats.org/officeDocument/2006/relationships/hyperlink" Target="https://t.me/moheban_zeinab1376" TargetMode="External"/><Relationship Id="rId27" Type="http://schemas.openxmlformats.org/officeDocument/2006/relationships/hyperlink" Target="https://www.instagram.com/jannesaran_59/" TargetMode="External"/><Relationship Id="rId29" Type="http://schemas.openxmlformats.org/officeDocument/2006/relationships/hyperlink" Target="https://www.instagram.com/rozatolhosein.ir/" TargetMode="External"/><Relationship Id="rId11" Type="http://schemas.openxmlformats.org/officeDocument/2006/relationships/hyperlink" Target="https://www.instagram.com/heyat_danesh?igsh=MXE0ZzAxYTNlcHdmOA==" TargetMode="External"/><Relationship Id="rId10" Type="http://schemas.openxmlformats.org/officeDocument/2006/relationships/hyperlink" Target="https://eitaa.com/heiat_imamAli" TargetMode="External"/><Relationship Id="rId13" Type="http://schemas.openxmlformats.org/officeDocument/2006/relationships/hyperlink" Target="https://t.me/ansar_al_zynaab" TargetMode="External"/><Relationship Id="rId12" Type="http://schemas.openxmlformats.org/officeDocument/2006/relationships/hyperlink" Target="https://www.instagram.com/ansar_al_zynaab" TargetMode="External"/><Relationship Id="rId15" Type="http://schemas.openxmlformats.org/officeDocument/2006/relationships/hyperlink" Target="https://t.me/shifteganahlebeyt" TargetMode="External"/><Relationship Id="rId14" Type="http://schemas.openxmlformats.org/officeDocument/2006/relationships/hyperlink" Target="https://www.instagram.com/shifteganahlebeyt" TargetMode="External"/><Relationship Id="rId17" Type="http://schemas.openxmlformats.org/officeDocument/2006/relationships/hyperlink" Target="https://www.instagram.com/heyatekarbala128/" TargetMode="External"/><Relationship Id="rId16" Type="http://schemas.openxmlformats.org/officeDocument/2006/relationships/hyperlink" Target="https://www.instagram.com/ansarolhojah" TargetMode="External"/><Relationship Id="rId19" Type="http://schemas.openxmlformats.org/officeDocument/2006/relationships/hyperlink" Target="https://eitaa.com/heyatekarbala128" TargetMode="External"/><Relationship Id="rId18" Type="http://schemas.openxmlformats.org/officeDocument/2006/relationships/hyperlink" Target="https://t.me/heyatekarbala128" TargetMode="External"/><Relationship Id="rId84" Type="http://schemas.openxmlformats.org/officeDocument/2006/relationships/hyperlink" Target="https://www.instagram.com/ansaralhosein1382" TargetMode="External"/><Relationship Id="rId83" Type="http://schemas.openxmlformats.org/officeDocument/2006/relationships/hyperlink" Target="https://eitaa.com/imamsajjad1391" TargetMode="External"/><Relationship Id="rId86" Type="http://schemas.openxmlformats.org/officeDocument/2006/relationships/hyperlink" Target="https://eitaa.com/ansarheyat313" TargetMode="External"/><Relationship Id="rId85" Type="http://schemas.openxmlformats.org/officeDocument/2006/relationships/hyperlink" Target="https://eitaa.com/ansar313ir" TargetMode="External"/><Relationship Id="rId88" Type="http://schemas.openxmlformats.org/officeDocument/2006/relationships/hyperlink" Target="https://eitaa.com/ansaralhaydar" TargetMode="External"/><Relationship Id="rId87" Type="http://schemas.openxmlformats.org/officeDocument/2006/relationships/hyperlink" Target="https://eitaa.com/ansaroljavad" TargetMode="External"/><Relationship Id="rId89" Type="http://schemas.openxmlformats.org/officeDocument/2006/relationships/hyperlink" Target="https://www.instagram.com/ansar_alroqaye" TargetMode="External"/><Relationship Id="rId80" Type="http://schemas.openxmlformats.org/officeDocument/2006/relationships/hyperlink" Target="https://www.instagram.com/_beyt_ol_sadegha" TargetMode="External"/><Relationship Id="rId82" Type="http://schemas.openxmlformats.org/officeDocument/2006/relationships/hyperlink" Target="https://t.me/heiatemamreza" TargetMode="External"/><Relationship Id="rId81" Type="http://schemas.openxmlformats.org/officeDocument/2006/relationships/hyperlink" Target="https://t.me/beyt_sadegh_mashhad" TargetMode="External"/><Relationship Id="rId73" Type="http://schemas.openxmlformats.org/officeDocument/2006/relationships/hyperlink" Target="https://eitaa.com/ahbab_alrezaa" TargetMode="External"/><Relationship Id="rId72" Type="http://schemas.openxmlformats.org/officeDocument/2006/relationships/hyperlink" Target="https://www.instagram.com/heyatalrasool" TargetMode="External"/><Relationship Id="rId75" Type="http://schemas.openxmlformats.org/officeDocument/2006/relationships/hyperlink" Target="https://www.instagram.com/eradatmandan_135" TargetMode="External"/><Relationship Id="rId74" Type="http://schemas.openxmlformats.org/officeDocument/2006/relationships/hyperlink" Target="https://zil.ink/ahbab_alrezaa" TargetMode="External"/><Relationship Id="rId77" Type="http://schemas.openxmlformats.org/officeDocument/2006/relationships/hyperlink" Target="https://www.instagram.com/ome_abiha213" TargetMode="External"/><Relationship Id="rId76" Type="http://schemas.openxmlformats.org/officeDocument/2006/relationships/hyperlink" Target="https://t.me/alirezajafari_chanel" TargetMode="External"/><Relationship Id="rId79" Type="http://schemas.openxmlformats.org/officeDocument/2006/relationships/hyperlink" Target="https://eitaa.com/ome_abiha213" TargetMode="External"/><Relationship Id="rId78" Type="http://schemas.openxmlformats.org/officeDocument/2006/relationships/hyperlink" Target="https://t.me/Ome_Abiha213" TargetMode="External"/><Relationship Id="rId71" Type="http://schemas.openxmlformats.org/officeDocument/2006/relationships/hyperlink" Target="https://eitaa.com/heyatabna" TargetMode="External"/><Relationship Id="rId70" Type="http://schemas.openxmlformats.org/officeDocument/2006/relationships/hyperlink" Target="https://t.me/heyatabna" TargetMode="External"/><Relationship Id="rId62" Type="http://schemas.openxmlformats.org/officeDocument/2006/relationships/hyperlink" Target="https://www.instagram.com/alemehinfo?igsh=MXY1ZDU3bzR4OGZ3cw==" TargetMode="External"/><Relationship Id="rId61" Type="http://schemas.openxmlformats.org/officeDocument/2006/relationships/hyperlink" Target="https://eitaa.com/nojavananalhosein" TargetMode="External"/><Relationship Id="rId64" Type="http://schemas.openxmlformats.org/officeDocument/2006/relationships/hyperlink" Target="https://t.me/h_asheqan" TargetMode="External"/><Relationship Id="rId63" Type="http://schemas.openxmlformats.org/officeDocument/2006/relationships/hyperlink" Target="https://t.me/alemehinfo" TargetMode="External"/><Relationship Id="rId66" Type="http://schemas.openxmlformats.org/officeDocument/2006/relationships/hyperlink" Target="https://www.instagram.com/hoseiniyemashhad" TargetMode="External"/><Relationship Id="rId65" Type="http://schemas.openxmlformats.org/officeDocument/2006/relationships/hyperlink" Target="https://eitaa.com/ashegan313" TargetMode="External"/><Relationship Id="rId68" Type="http://schemas.openxmlformats.org/officeDocument/2006/relationships/hyperlink" Target="https://eitaa.com/hoseiniyemashhad1" TargetMode="External"/><Relationship Id="rId67" Type="http://schemas.openxmlformats.org/officeDocument/2006/relationships/hyperlink" Target="https://t.me/hoseiniyemashhad" TargetMode="External"/><Relationship Id="rId60" Type="http://schemas.openxmlformats.org/officeDocument/2006/relationships/hyperlink" Target="https://t.me/nojavananalhosein" TargetMode="External"/><Relationship Id="rId69" Type="http://schemas.openxmlformats.org/officeDocument/2006/relationships/hyperlink" Target="http://instagram.com/heyatabna" TargetMode="External"/><Relationship Id="rId51" Type="http://schemas.openxmlformats.org/officeDocument/2006/relationships/hyperlink" Target="https://eitaa.com/javanan_ansarol_hosein" TargetMode="External"/><Relationship Id="rId50" Type="http://schemas.openxmlformats.org/officeDocument/2006/relationships/hyperlink" Target="https://www.instagram.com/javanan_moharam?igsh=OWR4ZTJ6cmhtdm9j" TargetMode="External"/><Relationship Id="rId53" Type="http://schemas.openxmlformats.org/officeDocument/2006/relationships/hyperlink" Target="https://t.me/MohebanAlroghay" TargetMode="External"/><Relationship Id="rId52" Type="http://schemas.openxmlformats.org/officeDocument/2006/relationships/hyperlink" Target="https://www.instagram.com/moheban_al_roghaye" TargetMode="External"/><Relationship Id="rId55" Type="http://schemas.openxmlformats.org/officeDocument/2006/relationships/hyperlink" Target="https://www.instagram.com/fatemiuonmashhad_313" TargetMode="External"/><Relationship Id="rId54" Type="http://schemas.openxmlformats.org/officeDocument/2006/relationships/hyperlink" Target="https://www.instagram.com/javananaleyasin" TargetMode="External"/><Relationship Id="rId57" Type="http://schemas.openxmlformats.org/officeDocument/2006/relationships/hyperlink" Target="https://www.instagram.com/motie_amr?igsh=eWF5ajRkY2VmNDh1" TargetMode="External"/><Relationship Id="rId56" Type="http://schemas.openxmlformats.org/officeDocument/2006/relationships/hyperlink" Target="https://t.me/Fatemiuon_mashhad" TargetMode="External"/><Relationship Id="rId59" Type="http://schemas.openxmlformats.org/officeDocument/2006/relationships/hyperlink" Target="https://www.instagram.com/nojavanansratalhossein_ir?igsh=NGMxcmhxbXd1dTV2" TargetMode="External"/><Relationship Id="rId58" Type="http://schemas.openxmlformats.org/officeDocument/2006/relationships/hyperlink" Target="https://t.me/motie_amr" TargetMode="External"/><Relationship Id="rId349" Type="http://schemas.openxmlformats.org/officeDocument/2006/relationships/hyperlink" Target="https://l.instagram.com/?u=http%3A%2F%2Ftlgrm.me%2Fresane3mahfel%3Futm_source%3Dig%26utm_medium%3Dsocial%26utm_content%3Dlink_in_bio%26fbclid%3DPAZXh0bgNhZW0CMTEAc3J0YwZhcHBfaWQMMjU2MjgxMDQwNTU4AAGnQ8Y1GFwL0FI5bVhucQ5Q_mszcfNnAArzkstql9zcRYn1jCWT0qBBZGlUAJw_aem_68BGkKJV-vgNy4HvuMya3w&amp;e=AT6hoxhx8A3lukHBJg0YSNQlhibPMFx5tzprv_cP2epnNpvOfp73qMrjg9NPKIpoT1Kn3J9P0kdJ4Go1sO0Yi-y5bTJkcflP0Ef7p2u5Qg" TargetMode="External"/><Relationship Id="rId348" Type="http://schemas.openxmlformats.org/officeDocument/2006/relationships/hyperlink" Target="https://www.instagram.com/resane_mahfel/" TargetMode="External"/><Relationship Id="rId347" Type="http://schemas.openxmlformats.org/officeDocument/2006/relationships/hyperlink" Target="https://l.instagram.com/?u=http%3A%2F%2Ft.me%2Fjanesaran59%3Futm_source%3Dig%26utm_medium%3Dsocial%26utm_content%3Dlink_in_bio%26fbclid%3DPAZXh0bgNhZW0CMTEAc3J0YwZhcHBfaWQMMjU2MjgxMDQwNTU4AAGnr-QvWPHIpbKwUJsCTZGXRzYVGBuFNM2WHMr_ko_Zd6ghmUSRBGOGUBn37-8_aem_ezD95OLBKUdc1wmdbvX0Lg&amp;e=AT4L__V-yeQyELsuO5abP8yc4NQsmo9LIyRD46IZhjodzclbMQgHT8_kAmxDfhusGS-7y0tEvcRfODvw2w-suVZYqPq5roa3xQR327orUg" TargetMode="External"/><Relationship Id="rId346" Type="http://schemas.openxmlformats.org/officeDocument/2006/relationships/hyperlink" Target="https://www.instagram.com/jannesaran.59.ir/" TargetMode="External"/><Relationship Id="rId341" Type="http://schemas.openxmlformats.org/officeDocument/2006/relationships/hyperlink" Target="https://www.instagram.com/mohebanazzahra_mashhad/" TargetMode="External"/><Relationship Id="rId340" Type="http://schemas.openxmlformats.org/officeDocument/2006/relationships/hyperlink" Target="https://l.instagram.com/?u=http%3A%2F%2Ft.me%2Fdelsukhtegan_th%3Futm_source%3Dig%26utm_medium%3Dsocial%26utm_content%3Dlink_in_bio%26fbclid%3DPAZXh0bgNhZW0CMTEAc3J0YwZhcHBfaWQMMjU2MjgxMDQwNTU4AAGneG2hmBOhrLKT718NQyKUeSE9KldCXpryY_ajaImeFPTVSRphJUawHImPutg_aem__qqGtNxp_I7stohWd2MOfw&amp;e=AT69Mr8ZbUHMbz3-5AcQpUuFkDI9xPU-tN9JgT4TAf5q0qCxpfJJXiCRLMEajbxAISZORJV156ntoxP_v_L37PDLa76DJhRLQSdaM17BnA" TargetMode="External"/><Relationship Id="rId345" Type="http://schemas.openxmlformats.org/officeDocument/2006/relationships/hyperlink" Target="https://l.instagram.com/?u=http%3A%2F%2Ft.me%2Fn_montazeran%3Futm_source%3Dig%26utm_medium%3Dsocial%26utm_content%3Dlink_in_bio%26fbclid%3DPAZXh0bgNhZW0CMTEAc3J0YwZhcHBfaWQMMjU2MjgxMDQwNTU4AAGnpGR99x1aMLf05DLQ0PTpq_9IiT8T30odb-VeUZ_u6cMwQZRDvhSOo41sRTs_aem_gqQpWfaNH717LlSOHeZbCQ&amp;e=AT5uZ6std5bp3dM5DEZYFc1nj24TrEx4gfyA4HOe1ZOSP15doQXT2kTVkY8tRucX7iqp-QUcFDerMh2zR1Oake2ZyAvlSBpKRegfpSK-vw" TargetMode="External"/><Relationship Id="rId344" Type="http://schemas.openxmlformats.org/officeDocument/2006/relationships/hyperlink" Target="https://www.instagram.com/heyat_montazeran_zohur/" TargetMode="External"/><Relationship Id="rId343" Type="http://schemas.openxmlformats.org/officeDocument/2006/relationships/hyperlink" Target="https://eitaa.com/alamdardaregaz" TargetMode="External"/><Relationship Id="rId342" Type="http://schemas.openxmlformats.org/officeDocument/2006/relationships/hyperlink" Target="https://l.instagram.com/?u=https%3A%2F%2Ft.me%2Fmohebanazzahra%3Futm_source%3Dig%26utm_medium%3Dsocial%26utm_content%3Dlink_in_bio%26fbclid%3DPAZXh0bgNhZW0CMTEAc3J0YwZhcHBfaWQMMjU2MjgxMDQwNTU4AAGns3iXqJlPW1pBF3ZuiYSlmF5fzICef0k_Ahd37tIrOVgUq6MgyqXBCOiQxSQ_aem_PhtpAsCxjAqupbzomcWHhQ&amp;e=AT4mDHeBeckP9TIucRba2M6JqouAI9Vd0oaYyKGI0omcJNWdkAWPeeCPBKdramKAA1yOAlj9yvG-pPfpv6IZc70D5hbJOPmce44XEkCXag" TargetMode="External"/><Relationship Id="rId338" Type="http://schemas.openxmlformats.org/officeDocument/2006/relationships/hyperlink" Target="https://www.instagram.com/nodbe_chenaran/" TargetMode="External"/><Relationship Id="rId337" Type="http://schemas.openxmlformats.org/officeDocument/2006/relationships/hyperlink" Target="https://www.instagram.com/misagh_bavelayat/" TargetMode="External"/><Relationship Id="rId336" Type="http://schemas.openxmlformats.org/officeDocument/2006/relationships/hyperlink" Target="https://eitaa.com/mohebanrezab" TargetMode="External"/><Relationship Id="rId335" Type="http://schemas.openxmlformats.org/officeDocument/2006/relationships/hyperlink" Target="https://www.instagram.com/oshagholabbass_133/" TargetMode="External"/><Relationship Id="rId339" Type="http://schemas.openxmlformats.org/officeDocument/2006/relationships/hyperlink" Target="https://www.instagram.com/delsukhtegan_th/" TargetMode="External"/><Relationship Id="rId330" Type="http://schemas.openxmlformats.org/officeDocument/2006/relationships/hyperlink" Target="https://l.instagram.com/?u=https%3A%2F%2Ft.me%2Falamdaransaralahtaybad%3Futm_source%3Dig%26utm_medium%3Dsocial%26utm_content%3Dlink_in_bio%26fbclid%3DPAZXh0bgNhZW0CMTEAc3J0YwZhcHBfaWQMMjU2MjgxMDQwNTU4AAGnD5md6OJijjd89TQvwrY7ucjQ4cYgOcucaZJ5mYiWrrqtPycBNvP6jfbRumU_aem_TWTOf0sPLet55Qo8EcrFdg&amp;e=AT6ur35NRANBossHmHaoip-ikXEZaIiCFnSI58qbbW1MEOCFgxftCFpFHwjG8WiEWIAY5-uH1Y4e4-hJGxxapI1tm-C4gNu5aw-wtSwRwg" TargetMode="External"/><Relationship Id="rId334" Type="http://schemas.openxmlformats.org/officeDocument/2006/relationships/hyperlink" Target="https://www.instagram.com/shiftegan_ghasem_ebne_hasan/" TargetMode="External"/><Relationship Id="rId333" Type="http://schemas.openxmlformats.org/officeDocument/2006/relationships/hyperlink" Target="https://www.instagram.com/ghamar_banihashem_1383/" TargetMode="External"/><Relationship Id="rId332" Type="http://schemas.openxmlformats.org/officeDocument/2006/relationships/hyperlink" Target="https://www.instagram.com/beittollhossein/" TargetMode="External"/><Relationship Id="rId331" Type="http://schemas.openxmlformats.org/officeDocument/2006/relationships/hyperlink" Target="https://www.instagram.com/meimam_hassan_mojtaba/" TargetMode="External"/><Relationship Id="rId370" Type="http://schemas.openxmlformats.org/officeDocument/2006/relationships/hyperlink" Target="https://www.instagram.com/heyat_azizo_zahra/" TargetMode="External"/><Relationship Id="rId369" Type="http://schemas.openxmlformats.org/officeDocument/2006/relationships/hyperlink" Target="https://t.me/sarall36" TargetMode="External"/><Relationship Id="rId368" Type="http://schemas.openxmlformats.org/officeDocument/2006/relationships/hyperlink" Target="https://www.instagram.com/heyat.yosef.zahra/" TargetMode="External"/><Relationship Id="rId363" Type="http://schemas.openxmlformats.org/officeDocument/2006/relationships/hyperlink" Target="https://www.instagram.com/zarih_8/" TargetMode="External"/><Relationship Id="rId362" Type="http://schemas.openxmlformats.org/officeDocument/2006/relationships/hyperlink" Target="https://www.instagram.com/nokarha_315/" TargetMode="External"/><Relationship Id="rId361" Type="http://schemas.openxmlformats.org/officeDocument/2006/relationships/hyperlink" Target="https://www.instagram.com/joghatay_heyat/" TargetMode="External"/><Relationship Id="rId360" Type="http://schemas.openxmlformats.org/officeDocument/2006/relationships/hyperlink" Target="https://www.instagram.com/heyate_javanan_salami/" TargetMode="External"/><Relationship Id="rId367" Type="http://schemas.openxmlformats.org/officeDocument/2006/relationships/hyperlink" Target="https://l.instagram.com/?u=https%3A%2F%2Ft.me%2Fhyate_javadallaemeh_hesark%3Futm_source%3Dig%26utm_medium%3Dsocial%26utm_content%3Dlink_in_bio%26fbclid%3DPAZXh0bgNhZW0CMTEAc3J0YwZhcHBfaWQMMjU2MjgxMDQwNTU4AAGnDDUNupfu206Cx5z6C5W77XYKj2WBXr6KrCXvuknF0UYEItJUsSuV5OiLQcg_aem_O8Ju6qtCEwFX3NXHp2K4yw&amp;e=AT7QqifWPdIUzm25OohEJyx5a6z7G-2hX9_vR_YGFVw864rSutFxtpaSuES6cyyntoFE3MIqjNTGzVr5RmIfgvANy_HBnxAKyNf0QcB4Cw" TargetMode="External"/><Relationship Id="rId366" Type="http://schemas.openxmlformats.org/officeDocument/2006/relationships/hyperlink" Target="https://www.instagram.com/heyat_javadallaemeh_hesar/" TargetMode="External"/><Relationship Id="rId365" Type="http://schemas.openxmlformats.org/officeDocument/2006/relationships/hyperlink" Target="https://www.instagram.com/abolfazli.kashmar/" TargetMode="External"/><Relationship Id="rId364" Type="http://schemas.openxmlformats.org/officeDocument/2006/relationships/hyperlink" Target="https://eitaa.com/aghilatolarabgonabad" TargetMode="External"/><Relationship Id="rId95" Type="http://schemas.openxmlformats.org/officeDocument/2006/relationships/hyperlink" Target="https://www.instagram.com/majnonalhosein/" TargetMode="External"/><Relationship Id="rId94" Type="http://schemas.openxmlformats.org/officeDocument/2006/relationships/hyperlink" Target="https://eitaa.com/M_Enghelabion" TargetMode="External"/><Relationship Id="rId97" Type="http://schemas.openxmlformats.org/officeDocument/2006/relationships/hyperlink" Target="https://www.youtube.com/c/majnonalhosein" TargetMode="External"/><Relationship Id="rId96" Type="http://schemas.openxmlformats.org/officeDocument/2006/relationships/hyperlink" Target="https://t.me/majnonalhosein" TargetMode="External"/><Relationship Id="rId99" Type="http://schemas.openxmlformats.org/officeDocument/2006/relationships/hyperlink" Target="https://t.me/h_beynolharameyn" TargetMode="External"/><Relationship Id="rId98" Type="http://schemas.openxmlformats.org/officeDocument/2006/relationships/hyperlink" Target="https://www.youtube.com/c/majnonalhosein" TargetMode="External"/><Relationship Id="rId91" Type="http://schemas.openxmlformats.org/officeDocument/2006/relationships/hyperlink" Target="https://www.instagram.com/ansaralmahdi_mashhad" TargetMode="External"/><Relationship Id="rId90" Type="http://schemas.openxmlformats.org/officeDocument/2006/relationships/hyperlink" Target="https://t.me/ansaralroqaye" TargetMode="External"/><Relationship Id="rId93" Type="http://schemas.openxmlformats.org/officeDocument/2006/relationships/hyperlink" Target="https://www.instagram.com/ansarolhadi_mashhad_315" TargetMode="External"/><Relationship Id="rId92" Type="http://schemas.openxmlformats.org/officeDocument/2006/relationships/hyperlink" Target="https://t.me/ansaralmahdi_mashhad" TargetMode="External"/><Relationship Id="rId359" Type="http://schemas.openxmlformats.org/officeDocument/2006/relationships/hyperlink" Target="https://www.instagram.com/rahrovan_ghasem_f/" TargetMode="External"/><Relationship Id="rId358" Type="http://schemas.openxmlformats.org/officeDocument/2006/relationships/hyperlink" Target="https://l.instagram.com/?u=https%3A%2F%2Feitaa.com%2Fansarhosseinim%3Futm_source%3Dig%26utm_medium%3Dsocial%26utm_content%3Dlink_in_bio%26fbclid%3DPAZXh0bgNhZW0CMTEAc3J0YwZhcHBfaWQMMjU2MjgxMDQwNTU4AAGn7QUMZ7tcs_H2jeFXjhuz5SWlOD74sXz3OM2d_oWSe2896CiX2W5HGgiJ4a0_aem_o-zLAQ509r4bQ4twtCSmrA&amp;e=AT6yCZusrvdtlRK3wPYNs9Y8MIs4wwgzbdvz17EOYdssdpPg_jZZ_RGPI6cFAXgBJRdVyA8UFu7e7O99_5qAV0lboZcm6a3C7GQhoG8SFg" TargetMode="External"/><Relationship Id="rId357" Type="http://schemas.openxmlformats.org/officeDocument/2006/relationships/hyperlink" Target="https://www.instagram.com/ansar_hosein_sbz/" TargetMode="External"/><Relationship Id="rId352" Type="http://schemas.openxmlformats.org/officeDocument/2006/relationships/hyperlink" Target="https://www.instagram.com/aliakbari_k/" TargetMode="External"/><Relationship Id="rId351" Type="http://schemas.openxmlformats.org/officeDocument/2006/relationships/hyperlink" Target="https://www.instagram.com/khatekhoon/" TargetMode="External"/><Relationship Id="rId350" Type="http://schemas.openxmlformats.org/officeDocument/2006/relationships/hyperlink" Target="https://eitaa.com/sayedsajedin" TargetMode="External"/><Relationship Id="rId356" Type="http://schemas.openxmlformats.org/officeDocument/2006/relationships/hyperlink" Target="https://eitaa.com/Astane_shahidane_sabzevar" TargetMode="External"/><Relationship Id="rId355" Type="http://schemas.openxmlformats.org/officeDocument/2006/relationships/hyperlink" Target="https://www.instagram.com/khademine_14/" TargetMode="External"/><Relationship Id="rId354" Type="http://schemas.openxmlformats.org/officeDocument/2006/relationships/hyperlink" Target="https://l.instagram.com/?u=https%3A%2F%2Ft.me%2Fansaralmahdi82gonabad%3Futm_source%3Dig%26utm_medium%3Dsocial%26utm_content%3Dlink_in_bio%26fbclid%3DPAZXh0bgNhZW0CMTEAc3J0YwZhcHBfaWQMMjU2MjgxMDQwNTU4AAGnUmwq1mGry6cr-9A93cxikWEp5cJrpSP7JD583UzsaM2fRYoLQAPy8ZALQO4_aem_5hteudUizO4EyCZutnqC7Q&amp;e=AT6ugCGpLugpMu0D_5CHzR4jKufmMrvZybuPfNZvUebPCA9VrvdoYOQL-B_cuYtHfgzYmYzmqPmjnNXA83EvoY_xPlxIKfl4ErpsnyjZYw" TargetMode="External"/><Relationship Id="rId353" Type="http://schemas.openxmlformats.org/officeDocument/2006/relationships/hyperlink" Target="https://www.instagram.com/ansarmahdi.gonabad" TargetMode="External"/><Relationship Id="rId305" Type="http://schemas.openxmlformats.org/officeDocument/2006/relationships/hyperlink" Target="https://www.instagram.com/razmandegan.mahvelat/" TargetMode="External"/><Relationship Id="rId304" Type="http://schemas.openxmlformats.org/officeDocument/2006/relationships/hyperlink" Target="https://www.instagram.com/bey.tozahra/" TargetMode="External"/><Relationship Id="rId303" Type="http://schemas.openxmlformats.org/officeDocument/2006/relationships/hyperlink" Target="https://l.instagram.com/?u=https%3A%2F%2Ft.me%2FHarimEshgh%3Futm_source%3Dig%26utm_medium%3Dsocial%26utm_content%3Dlink_in_bio%26fbclid%3DPAZXh0bgNhZW0CMTEAc3J0YwZhcHBfaWQMMjU2MjgxMDQwNTU4AAGn7onVT5UvZTdOXBPJsB9Klux1dIPDIeLEyenBcmc8_Hc5CwCZno3hBrV4W4s_aem_vgukQvscFy_fGeEK8hTkXw&amp;e=AT4AwN1Z-dVf5SlEUKitHcFdlYYUMQo4o6NQz3q-7tJ92eHdgUlne9ww2DGqcRIXDi30cDoQnjqeF4K796YkTTMb5dfy6pgN2SdFBmQ7Uw" TargetMode="External"/><Relationship Id="rId302" Type="http://schemas.openxmlformats.org/officeDocument/2006/relationships/hyperlink" Target="https://www.instagram.com/rozatolroghaye/" TargetMode="External"/><Relationship Id="rId309" Type="http://schemas.openxmlformats.org/officeDocument/2006/relationships/hyperlink" Target="https://www.instagram.com/heydarion_mashhad/" TargetMode="External"/><Relationship Id="rId308" Type="http://schemas.openxmlformats.org/officeDocument/2006/relationships/hyperlink" Target="https://www.instagram.com/beynalharamein_ney/" TargetMode="External"/><Relationship Id="rId307" Type="http://schemas.openxmlformats.org/officeDocument/2006/relationships/hyperlink" Target="https://l.instagram.com/?u=https%3A%2F%2Frubika.ir%2Fmusavi_quchani%3Futm_source%3Dig%26utm_medium%3Dsocial%26utm_content%3Dlink_in_bio%26fbclid%3DPAZXh0bgNhZW0CMTEAc3J0YwZhcHBfaWQMMjU2MjgxMDQwNTU4AAGnjZp8eBoMz843VqbVgmmX0R0AADViA3cUBUhPKM5HrdSxwZmWiaEhmaFPtIM_aem_b-0Kgp3hGgV2ijcTBeHxvw&amp;e=AT78Mt-InbrSfZ7LSIpTw6GNQIndWz6adJK9RP2-vk3dmLpCZRf-sPWoeAT9PM75UU_9cyDeARy-e3zjZFlr_lAPqxVDOS7SWYf3f7ZOxA" TargetMode="External"/><Relationship Id="rId306" Type="http://schemas.openxmlformats.org/officeDocument/2006/relationships/hyperlink" Target="https://www.instagram.com/musavi_quchani/" TargetMode="External"/><Relationship Id="rId301" Type="http://schemas.openxmlformats.org/officeDocument/2006/relationships/hyperlink" Target="https://www.instagram.com/khedmatgozaran__shop/" TargetMode="External"/><Relationship Id="rId300" Type="http://schemas.openxmlformats.org/officeDocument/2006/relationships/hyperlink" Target="https://www.instagram.com/abolfazli_bardaskan.1370/" TargetMode="External"/><Relationship Id="rId327" Type="http://schemas.openxmlformats.org/officeDocument/2006/relationships/hyperlink" Target="https://l.instagram.com/?u=https%3A%2F%2Feitaa.com%2Fshohada_amniyat_mashhad%3Futm_source%3Dig%26utm_medium%3Dsocial%26utm_content%3Dlink_in_bio%26fbclid%3DPAZXh0bgNhZW0CMTEAc3J0YwZhcHBfaWQMMjU2MjgxMDQwNTU4AAGn2Ps5kAWqGY9rgcXDuF8_1EAl7d3DUMfq-XQ_1x0nqnqJYoHtwNGBMqfyXSE_aem_Pf545wfBlNS5xBDSSr7hQQ&amp;e=AT5I7wKCe7nOu8yXNl48zCWEqHsqXaHCyx5pxyhnPRyazrrxhYufPvEnet96JqczNpGIQpNcOGgkkBLEpKG1uH6VoqkKo38FodSJmi4hbA" TargetMode="External"/><Relationship Id="rId326" Type="http://schemas.openxmlformats.org/officeDocument/2006/relationships/hyperlink" Target="https://www.instagram.com/shohada_amniyat_mashhad/" TargetMode="External"/><Relationship Id="rId325" Type="http://schemas.openxmlformats.org/officeDocument/2006/relationships/hyperlink" Target="https://eitaa.com/zarih_8" TargetMode="External"/><Relationship Id="rId324" Type="http://schemas.openxmlformats.org/officeDocument/2006/relationships/hyperlink" Target="https://eitaa.com/binolharamingonabad" TargetMode="External"/><Relationship Id="rId329" Type="http://schemas.openxmlformats.org/officeDocument/2006/relationships/hyperlink" Target="https://www.instagram.com/alamdaran_taybad/" TargetMode="External"/><Relationship Id="rId328" Type="http://schemas.openxmlformats.org/officeDocument/2006/relationships/hyperlink" Target="https://www.instagram.com/heyateabalfazl_joghatay/" TargetMode="External"/><Relationship Id="rId323" Type="http://schemas.openxmlformats.org/officeDocument/2006/relationships/hyperlink" Target="https://www.instagram.com/beito_labbas/" TargetMode="External"/><Relationship Id="rId322" Type="http://schemas.openxmlformats.org/officeDocument/2006/relationships/hyperlink" Target="https://l.instagram.com/?u=https%3A%2F%2Ft.me%2Fheiat_karime_ahlebeit_joghatay%3Futm_source%3Dig%26utm_medium%3Dsocial%26utm_content%3Dlink_in_bio%26fbclid%3DPAZXh0bgNhZW0CMTEAc3J0YwZhcHBfaWQMMjU2MjgxMDQwNTU4AAGnz_WMmuCt8mdQRHf3R-FnQnCoP7wzP-j961-b3L-GAh1q2lMdOoi9Ay_DGbQ_aem_eSRHGDHPgv8ER_U_BBA-aw&amp;e=AT4xRkOCqsv7mY15ozV8g-qIW05J-zWbluWzOlUPpLtOvqRNZyqxb6w9pLifFc75NgNsp-q-WmoIhxLyHNSCR8ON-tol84R1D1jwU2p51A" TargetMode="External"/><Relationship Id="rId321" Type="http://schemas.openxmlformats.org/officeDocument/2006/relationships/hyperlink" Target="https://www.instagram.com/heiat_karime_ahlebeit/" TargetMode="External"/><Relationship Id="rId320" Type="http://schemas.openxmlformats.org/officeDocument/2006/relationships/hyperlink" Target="https://l.instagram.com/?u=https%3A%2F%2Ft.me%2Ffatemye_gonabad%3Futm_source%3Dig%26utm_medium%3Dsocial%26utm_content%3Dlink_in_bio%26fbclid%3DPAZXh0bgNhZW0CMTEAc3J0YwZhcHBfaWQMMjU2MjgxMDQwNTU4AAGnsR_WCfrzyxRCXUcs0AwsFVtkEKHQ3KV4AbQby7uf8-qW-_eN8ybuYrJ9thU_aem_s56fu1winqTmXeMZrzpoQg&amp;e=AT4dsvPj6sHH0pZx5ie-0x_BbmuhwtwQX5W3RdfviDMUTfocCMhD12wCDNuV1YhSjLF6t99af48QrON6sHe_epAB-J5WbnHNe-0L9eAP5g" TargetMode="External"/><Relationship Id="rId316" Type="http://schemas.openxmlformats.org/officeDocument/2006/relationships/hyperlink" Target="https://www.instagram.com/hadavion_sbz/" TargetMode="External"/><Relationship Id="rId315" Type="http://schemas.openxmlformats.org/officeDocument/2006/relationships/hyperlink" Target="https://l.instagram.com/?u=http%3A%2F%2Ft.me%2Fkarim_al_allah_jovein%3Futm_source%3Dig%26utm_medium%3Dsocial%26utm_content%3Dlink_in_bio%26fbclid%3DPAZXh0bgNhZW0CMTEAc3J0YwZhcHBfaWQMMjU2MjgxMDQwNTU4AAGnx4jVTvWkDBaYqJ1Mf_j6-2wljkFYT09YBki-tsJrP1ON-0Pk2LEnIZo3558_aem_IW-Exg4wQ6qUiAiHBaDyXA&amp;e=AT4vXp_cRCCt1My_t4wWUHe0Cc3BYjQ7o3peHsR1onvDjCWLTTtlDcTbG3_F7aYgI9--Xn3DeV7hfwRL8UdYuLqTp5VXsbjke1CtAZFcuA" TargetMode="External"/><Relationship Id="rId314" Type="http://schemas.openxmlformats.org/officeDocument/2006/relationships/hyperlink" Target="https://www.instagram.com/karim.al.allah/" TargetMode="External"/><Relationship Id="rId313" Type="http://schemas.openxmlformats.org/officeDocument/2006/relationships/hyperlink" Target="https://eitaa.com/javananvaliasr74/" TargetMode="External"/><Relationship Id="rId319" Type="http://schemas.openxmlformats.org/officeDocument/2006/relationships/hyperlink" Target="https://www.instagram.com/fatemye_gonabad/" TargetMode="External"/><Relationship Id="rId318" Type="http://schemas.openxmlformats.org/officeDocument/2006/relationships/hyperlink" Target="https://www.instagram.com/h_ghamarbanihashem/" TargetMode="External"/><Relationship Id="rId317" Type="http://schemas.openxmlformats.org/officeDocument/2006/relationships/hyperlink" Target="https://www.instagram.com/hmz_joghatay/" TargetMode="External"/><Relationship Id="rId312" Type="http://schemas.openxmlformats.org/officeDocument/2006/relationships/hyperlink" Target="https://www.instagram.com/javanan_valiasr74" TargetMode="External"/><Relationship Id="rId311" Type="http://schemas.openxmlformats.org/officeDocument/2006/relationships/hyperlink" Target="https://www.instagram.com/mohebozahra.info/" TargetMode="External"/><Relationship Id="rId310" Type="http://schemas.openxmlformats.org/officeDocument/2006/relationships/hyperlink" Target="https://www.instagram.com/noorosaghaleinn/" TargetMode="External"/><Relationship Id="rId297" Type="http://schemas.openxmlformats.org/officeDocument/2006/relationships/hyperlink" Target="https://eitaa.com/Hosseinie_forushaniha_Mashhad" TargetMode="External"/><Relationship Id="rId296" Type="http://schemas.openxmlformats.org/officeDocument/2006/relationships/hyperlink" Target="https://eitaa.com/karimahlebeet" TargetMode="External"/><Relationship Id="rId295" Type="http://schemas.openxmlformats.org/officeDocument/2006/relationships/hyperlink" Target="https://eitaa.com/montazeranzohor_n" TargetMode="External"/><Relationship Id="rId294" Type="http://schemas.openxmlformats.org/officeDocument/2006/relationships/hyperlink" Target="https://eitaa.com/heyat_abalfazl_dehsorkh" TargetMode="External"/><Relationship Id="rId299" Type="http://schemas.openxmlformats.org/officeDocument/2006/relationships/hyperlink" Target="https://eitaa.com/ansaralhoseinney" TargetMode="External"/><Relationship Id="rId298" Type="http://schemas.openxmlformats.org/officeDocument/2006/relationships/hyperlink" Target="https://eitaa.com/ansarhoseindavarzan" TargetMode="External"/><Relationship Id="rId271" Type="http://schemas.openxmlformats.org/officeDocument/2006/relationships/hyperlink" Target="https://eitaa.com/aqrj_heyat" TargetMode="External"/><Relationship Id="rId270" Type="http://schemas.openxmlformats.org/officeDocument/2006/relationships/hyperlink" Target="https://www.instagram.com/heyat_rozatlhosin.ney/" TargetMode="External"/><Relationship Id="rId269" Type="http://schemas.openxmlformats.org/officeDocument/2006/relationships/hyperlink" Target="https://www.instagram.com/masjed_emam_hassan/" TargetMode="External"/><Relationship Id="rId264" Type="http://schemas.openxmlformats.org/officeDocument/2006/relationships/hyperlink" Target="https://l.instagram.com/?u=https%3A%2F%2Ft.me%2Fasheghanmedia%3Futm_source%3Dig%26utm_medium%3Dsocial%26utm_content%3Dlink_in_bio%26fbclid%3DPAZXh0bgNhZW0CMTEAc3J0YwZhcHBfaWQMMjU2MjgxMDQwNTU4AAGn5_-HZYpxXuFoCL56s2IgPM_0bvP8x_WTS8edNuiGxbRNhw1hFw0M91l8iA0_aem_O6t78E5Ztny-t7lfOCDhjg&amp;e=AT3g5LbOx6fYbC53F7R0IrlKxFN0SdcVaT0hV3WXuYxQdGP9ObTj5uQ2Tn-n0mAkjStw8P-lneM2RWMWEt_R1yghshkui1KZt50sGt80aA" TargetMode="External"/><Relationship Id="rId263" Type="http://schemas.openxmlformats.org/officeDocument/2006/relationships/hyperlink" Target="https://www.instagram.com/asheghanmedia313/" TargetMode="External"/><Relationship Id="rId262" Type="http://schemas.openxmlformats.org/officeDocument/2006/relationships/hyperlink" Target="https://www.instagram.com/fatemiyon_sbz/" TargetMode="External"/><Relationship Id="rId261" Type="http://schemas.openxmlformats.org/officeDocument/2006/relationships/hyperlink" Target="https://l.instagram.com/?u=http%3A%2F%2Ft.me%2Frayatallabbas%3Futm_source%3Dig%26utm_medium%3Dsocial%26utm_content%3Dlink_in_bio%26fbclid%3DPAZXh0bgNhZW0CMTEAc3J0YwZhcHBfaWQMMjU2MjgxMDQwNTU4AAGnSM3DbRtJP-7bAXwFXanEJ-umgivhM5ZX0PnLxccK7WlIb-XuZtsj2v9rfv0_aem_-9pONQ-H_yi-i8S5Zbr_HQ&amp;e=AT0INBA7bRUBxg1FMKHFkBcOqJrD82tbs9W3ZwzDWz2XiBeA_ll98gMGAvNgxm1ErFI1r8Gs039299xqZjonte-Msq5nh4wp4zF1UedbXg" TargetMode="External"/><Relationship Id="rId268" Type="http://schemas.openxmlformats.org/officeDocument/2006/relationships/hyperlink" Target="https://eitaa.com/keramat_mashhad" TargetMode="External"/><Relationship Id="rId267" Type="http://schemas.openxmlformats.org/officeDocument/2006/relationships/hyperlink" Target="https://eitaa.com/heyat_kh_talabe_mashhad" TargetMode="External"/><Relationship Id="rId266" Type="http://schemas.openxmlformats.org/officeDocument/2006/relationships/hyperlink" Target="https://t.me/mohebanaljavad" TargetMode="External"/><Relationship Id="rId265" Type="http://schemas.openxmlformats.org/officeDocument/2006/relationships/hyperlink" Target="https://www.instagram.com/mohebanaljavad/" TargetMode="External"/><Relationship Id="rId260" Type="http://schemas.openxmlformats.org/officeDocument/2006/relationships/hyperlink" Target="https://www.instagram.com/rayatallabbas/" TargetMode="External"/><Relationship Id="rId259" Type="http://schemas.openxmlformats.org/officeDocument/2006/relationships/hyperlink" Target="https://eitaa.com/Karimahlebeyt_118" TargetMode="External"/><Relationship Id="rId258" Type="http://schemas.openxmlformats.org/officeDocument/2006/relationships/hyperlink" Target="https://www.instagram.com/davamsamen/" TargetMode="External"/><Relationship Id="rId253" Type="http://schemas.openxmlformats.org/officeDocument/2006/relationships/hyperlink" Target="https://www.instagram.com/heyat_shohada_mashhad/" TargetMode="External"/><Relationship Id="rId252" Type="http://schemas.openxmlformats.org/officeDocument/2006/relationships/hyperlink" Target="https://www.instagram.com/www_3raj_ir/" TargetMode="External"/><Relationship Id="rId251" Type="http://schemas.openxmlformats.org/officeDocument/2006/relationships/hyperlink" Target="https://t.me/heatabolfazl" TargetMode="External"/><Relationship Id="rId250" Type="http://schemas.openxmlformats.org/officeDocument/2006/relationships/hyperlink" Target="https://www.instagram.com/rayat_alhoda_313/" TargetMode="External"/><Relationship Id="rId257" Type="http://schemas.openxmlformats.org/officeDocument/2006/relationships/hyperlink" Target="https://l.instagram.com/?u=https%3A%2F%2Ft.me%2Fheiatabalfazli92%3Futm_source%3Dig%26utm_medium%3Dsocial%26utm_content%3Dlink_in_bio%26fbclid%3DPAZXh0bgNhZW0CMTEAc3J0YwZhcHBfaWQMMjU2MjgxMDQwNTU4AAGn4krOI-w9fH0XZOsTa9BNbwVd7suaFbKQ0lJiEjNcP7NsxzotfKkA4yPlE5E_aem_VtEZgP-mqeW-z0mbCh7pcA&amp;e=AT37dEgKOCEtb0M15mch91s6JBVDuWxqqKrcob6WUmvohenzhMO1Md7lm4WAeCSLzWbMHmytE-wLUHvSneW3sHUHBwhJ4frepGNQDKVF9w" TargetMode="External"/><Relationship Id="rId256" Type="http://schemas.openxmlformats.org/officeDocument/2006/relationships/hyperlink" Target="https://www.instagram.com/heiatabalfazli92/" TargetMode="External"/><Relationship Id="rId255" Type="http://schemas.openxmlformats.org/officeDocument/2006/relationships/hyperlink" Target="https://l.instagram.com/?u=https%3A%2F%2Ft.me%2Fmohebanmahdi_aj313%3Futm_source%3Dig%26utm_medium%3Dsocial%26utm_content%3Dlink_in_bio%26fbclid%3DPAZXh0bgNhZW0CMTEAc3J0YwZhcHBfaWQMMjU2MjgxMDQwNTU4AAGnnFysWzeYhClU0TpFVSqpkRWTU3FdxKT8WjYy0V8uI3GHMKcste1hmV2bYvA_aem_pMypw-XYol7QM4-yBJbZVQ&amp;e=AT0SO_5EFJKcb-4gGiOq4N5sp6JawQ3meRYAnhNiOoUH6VyRsmIKuMRTXJzb8zqxhrKBW8N2xhTAaBLceLklbY2TgykVa6q5MQcxchb-_g" TargetMode="External"/><Relationship Id="rId254" Type="http://schemas.openxmlformats.org/officeDocument/2006/relationships/hyperlink" Target="https://www.instagram.com/moheban_mahdi_aj77/" TargetMode="External"/><Relationship Id="rId293" Type="http://schemas.openxmlformats.org/officeDocument/2006/relationships/hyperlink" Target="https://eitaa.com/rozatolhosein_mashhad" TargetMode="External"/><Relationship Id="rId292" Type="http://schemas.openxmlformats.org/officeDocument/2006/relationships/hyperlink" Target="https://eitaa.com/Mohebbanalmahdi73" TargetMode="External"/><Relationship Id="rId291" Type="http://schemas.openxmlformats.org/officeDocument/2006/relationships/hyperlink" Target="https://eitaa.com/mokeb_imamareza" TargetMode="External"/><Relationship Id="rId290" Type="http://schemas.openxmlformats.org/officeDocument/2006/relationships/hyperlink" Target="https://eitaa.com/motvaslin" TargetMode="External"/><Relationship Id="rId286" Type="http://schemas.openxmlformats.org/officeDocument/2006/relationships/hyperlink" Target="https://www.instagram.com/montazeran_mahdi_org/" TargetMode="External"/><Relationship Id="rId285" Type="http://schemas.openxmlformats.org/officeDocument/2006/relationships/hyperlink" Target="https://www.instagram.com/jamatoalshohada/" TargetMode="External"/><Relationship Id="rId284" Type="http://schemas.openxmlformats.org/officeDocument/2006/relationships/hyperlink" Target="https://www.instagram.com/fatemiyon_bist_litriha/" TargetMode="External"/><Relationship Id="rId283" Type="http://schemas.openxmlformats.org/officeDocument/2006/relationships/hyperlink" Target="https://l.instagram.com/?u=https%3A%2F%2Ft.me%2Fheyateamiralmomnin%3Futm_source%3Dig%26utm_medium%3Dsocial%26utm_content%3Dlink_in_bio%26fbclid%3DPAZXh0bgNhZW0CMTEAc3J0YwZhcHBfaWQMMjU2MjgxMDQwNTU4AAGnfTPdE79bnzwARd3KFhvZ55ucVUWt8iK58eNxyvHyXk5c6naP_U7Nf0UFbE4_aem_pgXshHTLeJaIIVFWNPYSlQ&amp;e=AT0ruCo1ku6_iSQI2Gj1lh7z0456XCjB7z6e8JkIZN0WccUN2c2b6hVFJy7qHOGneOe61J1HKrTg6IJCB7_THHSfMIWtH5eONkosta-A1A" TargetMode="External"/><Relationship Id="rId289" Type="http://schemas.openxmlformats.org/officeDocument/2006/relationships/hyperlink" Target="https://www.instagram.com/motvaslin1379?utm_source=ig_web_button_share_sheet&amp;igsh=ZDNlZDc0MzIxNw==" TargetMode="External"/><Relationship Id="rId288" Type="http://schemas.openxmlformats.org/officeDocument/2006/relationships/hyperlink" Target="https://eitaa.com/mohebinsadegh" TargetMode="External"/><Relationship Id="rId287" Type="http://schemas.openxmlformats.org/officeDocument/2006/relationships/hyperlink" Target="https://l.instagram.com/?u=https%3A%2F%2Ft.me%2FMotazeranmahdi_31%3Futm_source%3Dig%26utm_medium%3Dsocial%26utm_content%3Dlink_in_bio%26fbclid%3DPAZXh0bgNhZW0CMTEAc3J0YwZhcHBfaWQMMjU2MjgxMDQwNTU4AAGneLdcaXYA-aduDW3_MP6EqAgEqS74CCyUfWAkYCnpblFazg1XOD2LtGduIO0_aem_qcwbKzd0dJEohcowKjpNXQ&amp;e=AT0L8wU9FY_K5HstZw2RgXSCeho47D23v4Y_K-HyAFpdQIm4A3eLsX37pcdxTA9OKPhIwefkSSTaFyoOfDDM4o5omlLm89O2jncYCstgzA" TargetMode="External"/><Relationship Id="rId282" Type="http://schemas.openxmlformats.org/officeDocument/2006/relationships/hyperlink" Target="https://www.instagram.com/heyateamiralmomenin110/" TargetMode="External"/><Relationship Id="rId281" Type="http://schemas.openxmlformats.org/officeDocument/2006/relationships/hyperlink" Target="https://www.instagram.com/shiftegan.ir/" TargetMode="External"/><Relationship Id="rId280" Type="http://schemas.openxmlformats.org/officeDocument/2006/relationships/hyperlink" Target="https://l.instagram.com/?u=https%3A%2F%2Ft.me%2Fsarallahkosar%3Futm_source%3Dig%26utm_medium%3Dsocial%26utm_content%3Dlink_in_bio%26fbclid%3DPAZXh0bgNhZW0CMTEAc3J0YwZhcHBfaWQMMjU2MjgxMDQwNTU4AAGntkh8a6dVzW2RR5eYTmdD8ldrfjC2yVA2u7RWFoVE7Iu5I6dHDewFPDGyg1g_aem_Eao7mskvVevxXxY8KDQlpQ&amp;e=AT0_Lab1Uh6aXyOnzbu2i4Xi21VmM_KJMjk_bFPKW3EhyZXEFgLRS0AhnBbfQlRG4L2AlkVqg0fR2xu3Wy11OsGBmOvzJjyyjgxfIRBnqg" TargetMode="External"/><Relationship Id="rId275" Type="http://schemas.openxmlformats.org/officeDocument/2006/relationships/hyperlink" Target="https://www.instagram.com/khademinarbaien/" TargetMode="External"/><Relationship Id="rId274" Type="http://schemas.openxmlformats.org/officeDocument/2006/relationships/hyperlink" Target="https://l.instagram.com/?u=https%3A%2F%2Ft.me%2Fheyatsajedeen%3Futm_source%3Dig%26utm_medium%3Dsocial%26utm_content%3Dlink_in_bio%26fbclid%3DPAZXh0bgNhZW0CMTEAc3J0YwZhcHBfaWQMMjU2MjgxMDQwNTU4AAGnciTWEgy5EFX9qlUC5n1p3peUZHkBrpRVq8LmDZkBgFOCk_a1WSpHw5oLPBE_aem_2E-8VDxZx70ncQ1kJ7DghQ&amp;e=AT0tFbaqNo2Hs9WhZf_0DlbbcoNcSn9gufUVbiH2qZXDzA_ytLTPC3-atOUoh7gKD3vq4YoySr_txhc6fT95mAO_YUvNCKlSwLzSdfApiw" TargetMode="External"/><Relationship Id="rId273" Type="http://schemas.openxmlformats.org/officeDocument/2006/relationships/hyperlink" Target="https://www.instagram.com/heyatsajedeen/" TargetMode="External"/><Relationship Id="rId272" Type="http://schemas.openxmlformats.org/officeDocument/2006/relationships/hyperlink" Target="https://eitaa.com/heyatolmahdi313" TargetMode="External"/><Relationship Id="rId279" Type="http://schemas.openxmlformats.org/officeDocument/2006/relationships/hyperlink" Target="https://www.instagram.com/sarallahkosar/" TargetMode="External"/><Relationship Id="rId278" Type="http://schemas.openxmlformats.org/officeDocument/2006/relationships/hyperlink" Target="https://www.instagram.com/qaeem_al_mohammad_135/" TargetMode="External"/><Relationship Id="rId277" Type="http://schemas.openxmlformats.org/officeDocument/2006/relationships/hyperlink" Target="https://www.instagram.com/hosseinieh_fatemieh1393/" TargetMode="External"/><Relationship Id="rId276" Type="http://schemas.openxmlformats.org/officeDocument/2006/relationships/hyperlink" Target="https://l.instagram.com/?u=https%3A%2F%2Ft.me%2Fkhademinarbaien%3Futm_source%3Dig%26utm_medium%3Dsocial%26utm_content%3Dlink_in_bio%26fbclid%3DPAZXh0bgNhZW0CMTEAc3J0YwZhcHBfaWQMMjU2MjgxMDQwNTU4AAGnseyz9yiZuxx1YQKPL34r3QQXJFAvuqHcDanACT-UlN3HbUBJFJ4JNfx8Z5s_aem_3wXcZayA1wRRECp2Cq_hnw&amp;e=AT3USPIKjeRFC6ena5YlRcsWHl7o9alNaawJHRtttJxWyudeNlc1F9j2tD4mw_IerUU8zZe3fWw6dioNXa5XQ7I8jHfj21Ig1muuk1z58maWF5vE_hx2mR_IYw" TargetMode="External"/><Relationship Id="rId228" Type="http://schemas.openxmlformats.org/officeDocument/2006/relationships/hyperlink" Target="https://www.instagram.com/seyedezeynab.th/" TargetMode="External"/><Relationship Id="rId227" Type="http://schemas.openxmlformats.org/officeDocument/2006/relationships/hyperlink" Target="https://www.instagram.com/heyatmohebanolhossein.quchan/" TargetMode="External"/><Relationship Id="rId226" Type="http://schemas.openxmlformats.org/officeDocument/2006/relationships/hyperlink" Target="https://l.instagram.com/?u=https%3A%2F%2Feitaa.com%2Fheyatbaboraja%3Futm_source%3Dig%26utm_medium%3Dsocial%26utm_content%3Dlink_in_bio%26fbclid%3DPAZXh0bgNhZW0CMTEAc3J0YwZhcHBfaWQMMjU2MjgxMDQwNTU4AAGnTKGO7QDPlO3NnsXBv-dXY48NsNBq8lB9onamMP2Ac-OMATkwFRPpMJ4zDdQ_aem_8EnTKNKydvpOo6qLLsBPsg&amp;e=AT3ta_TCjAORChbwnbifrinZmAoWG3ee20kJcW5oGWu0KudptYia7xAjPvY5ytU1ZRDa--nhE4-YMl6U-hHi9nL_uM230LbbnFJzrtXmnZqChsmuJtSonQ_gbg" TargetMode="External"/><Relationship Id="rId225" Type="http://schemas.openxmlformats.org/officeDocument/2006/relationships/hyperlink" Target="https://www.instagram.com/heyatbaboraja/" TargetMode="External"/><Relationship Id="rId229" Type="http://schemas.openxmlformats.org/officeDocument/2006/relationships/hyperlink" Target="https://l.instagram.com/?u=https%3A%2F%2Ft.me%2Fseyedezeynab_th%3Futm_source%3Dig%26utm_medium%3Dsocial%26utm_content%3Dlink_in_bio%26fbclid%3DPAZXh0bgNhZW0CMTEAc3J0YwZhcHBfaWQMMjU2MjgxMDQwNTU4AAGnIPLy1u575zvv-f85UxqXauxWn0mtzOoh66WP7fVRu0MTzZWTsk92ChYEyAA_aem_7VwYpHJoBqtKxqMZyfUVbw&amp;e=AT22JiFz_EwC2ucGNQDc40wkfdb9tWBBi2oVbX-E-dk216doeGYUXDbTdTsszcy6nY6mdVaOdfbApdBGr8c9nP9t_P4AXaqNYJrsW7zjixqRfaD_eLMmgCGCAQ" TargetMode="External"/><Relationship Id="rId220" Type="http://schemas.openxmlformats.org/officeDocument/2006/relationships/hyperlink" Target="https://l.instagram.com/?u=https%3A%2F%2Ftelegram.me%2Fmohebozahra1%3Futm_source%3Dig%26utm_medium%3Dsocial%26utm_content%3Dlink_in_bio%26fbclid%3DPAZXh0bgNhZW0CMTEAc3J0YwZhcHBfaWQMMjU2MjgxMDQwNTU4AAGnN3UYw8tmSVK7sssLWIZcVsDqJfR2nUipUncgg4HhyD7yg_fcVu5wdUIeJb8_aem_ZB8QMZzviH7a871XiwnOFg&amp;e=AT3kLPuVQJibaRscOdWWhcwuHNvYKBxbuzu0x6t__E4lsIkEos_pBYvw_DbsRIKcs-TL1YLUEOkvQHcix4Qy4bY7Qq9UnvzOetMdoSlxoagwY1EvTIlB9lOj1g" TargetMode="External"/><Relationship Id="rId224" Type="http://schemas.openxmlformats.org/officeDocument/2006/relationships/hyperlink" Target="https://eitaa.com/Heiat_Labbayk" TargetMode="External"/><Relationship Id="rId223" Type="http://schemas.openxmlformats.org/officeDocument/2006/relationships/hyperlink" Target="https://eitaa.com/mahfelreyhana315" TargetMode="External"/><Relationship Id="rId222" Type="http://schemas.openxmlformats.org/officeDocument/2006/relationships/hyperlink" Target="https://www.instagram.com/heyat_asheghan_mahdi313/" TargetMode="External"/><Relationship Id="rId221" Type="http://schemas.openxmlformats.org/officeDocument/2006/relationships/hyperlink" Target="https://www.instagram.com/rayat_shohada_g/" TargetMode="External"/><Relationship Id="rId217" Type="http://schemas.openxmlformats.org/officeDocument/2006/relationships/hyperlink" Target="https://www.instagram.com/shohadaygomnam_ir/" TargetMode="External"/><Relationship Id="rId216" Type="http://schemas.openxmlformats.org/officeDocument/2006/relationships/hyperlink" Target="https://www.instagram.com/alast_media/" TargetMode="External"/><Relationship Id="rId215" Type="http://schemas.openxmlformats.org/officeDocument/2006/relationships/hyperlink" Target="https://eitaa.com/maktabreza" TargetMode="External"/><Relationship Id="rId214" Type="http://schemas.openxmlformats.org/officeDocument/2006/relationships/hyperlink" Target="https://www.instagram.com/maktabrezaa?igsh=anZ5eGNwbjJjODF1" TargetMode="External"/><Relationship Id="rId219" Type="http://schemas.openxmlformats.org/officeDocument/2006/relationships/hyperlink" Target="https://www.instagram.com/mohebozahra.torbate.heydariyeh/" TargetMode="External"/><Relationship Id="rId218" Type="http://schemas.openxmlformats.org/officeDocument/2006/relationships/hyperlink" Target="https://www.instagram.com/seshanbeh_mahdavi_sbz/" TargetMode="External"/><Relationship Id="rId213" Type="http://schemas.openxmlformats.org/officeDocument/2006/relationships/hyperlink" Target="https://eitaa.com/ghasem_ebn_alhasan_110" TargetMode="External"/><Relationship Id="rId212" Type="http://schemas.openxmlformats.org/officeDocument/2006/relationships/hyperlink" Target="https://rohoreihan.com/" TargetMode="External"/><Relationship Id="rId211" Type="http://schemas.openxmlformats.org/officeDocument/2006/relationships/hyperlink" Target="https://eitaa.com/heiaaterohoreihan" TargetMode="External"/><Relationship Id="rId210" Type="http://schemas.openxmlformats.org/officeDocument/2006/relationships/hyperlink" Target="https://www.instagram.com/heiaaterohoreihan?igsh=MXV5Y21vamZrb3FiNQ==" TargetMode="External"/><Relationship Id="rId249" Type="http://schemas.openxmlformats.org/officeDocument/2006/relationships/hyperlink" Target="http://eitaa.com/alzahramasjed_ir" TargetMode="External"/><Relationship Id="rId248" Type="http://schemas.openxmlformats.org/officeDocument/2006/relationships/hyperlink" Target="https://www.instagram.com/alzahramasjed_ir/" TargetMode="External"/><Relationship Id="rId247" Type="http://schemas.openxmlformats.org/officeDocument/2006/relationships/hyperlink" Target="https://l.instagram.com/?u=http%3A%2F%2Ft.me%2Fheyatshandiz%3Futm_source%3Dig%26utm_medium%3Dsocial%26utm_content%3Dlink_in_bio%26fbclid%3DPAZXh0bgNhZW0CMTEAc3J0YwZhcHBfaWQMMjU2MjgxMDQwNTU4AAGnprVYWq6PzdDOiPLi7goh5TCBtsmiw0BIGKk42Dj4-X2_KUs2ZSUPubkDPfA_aem_3KvH-3LIgAnSCyx_TbK0vQ&amp;e=AT0ZdX90ke3aoy9GPyw1CXONe-9Lc92WWiLlU2FTWxABu79NIXVj3zcqg0prp36F5Uvkp4r9hvxn72i8NQN4N61ZpaMX3Z23yNuXIbafVg" TargetMode="External"/><Relationship Id="rId242" Type="http://schemas.openxmlformats.org/officeDocument/2006/relationships/hyperlink" Target="https://www.instagram.com/aliakbari_ney/" TargetMode="External"/><Relationship Id="rId241" Type="http://schemas.openxmlformats.org/officeDocument/2006/relationships/hyperlink" Target="https://l.instagram.com/?u=https%3A%2F%2Ft.me%2Fmasjede_ghods%3Futm_source%3Dig%26utm_medium%3Dsocial%26utm_content%3Dlink_in_bio%26fbclid%3DPAZXh0bgNhZW0CMTEAc3J0YwZhcHBfaWQMMjU2MjgxMDQwNTU4AAGnrRww-6K7WrQCguslE3QCzhMgkaKOp5FdA2l3yY0AMLmE-Y7yItvQaj5B5xk_aem_cQNkw9eB9wgm7Aq3ZKNG7g&amp;e=AT0rKqlLymi2zAk9MhI05oS99v5_uxGi7UkMURHk5FPGrzwqOsOR2gXkS-fGNMv1OjOpnNZ9kxEVsZG69HRjUZig1o7AldG8SMASTrl2kQ" TargetMode="External"/><Relationship Id="rId240" Type="http://schemas.openxmlformats.org/officeDocument/2006/relationships/hyperlink" Target="https://www.instagram.com/masjede_ghods/" TargetMode="External"/><Relationship Id="rId246" Type="http://schemas.openxmlformats.org/officeDocument/2006/relationships/hyperlink" Target="https://www.instagram.com/heyatshandiz/" TargetMode="External"/><Relationship Id="rId245" Type="http://schemas.openxmlformats.org/officeDocument/2006/relationships/hyperlink" Target="https://www.instagram.com/heyatrazmandegan_kashmar/" TargetMode="External"/><Relationship Id="rId244" Type="http://schemas.openxmlformats.org/officeDocument/2006/relationships/hyperlink" Target="https://www.instagram.com/khoddam_ir/" TargetMode="External"/><Relationship Id="rId243" Type="http://schemas.openxmlformats.org/officeDocument/2006/relationships/hyperlink" Target="https://l.instagram.com/?u=http%3A%2F%2Ft.me%2Faliakbari_ney%3Futm_source%3Dig%26utm_medium%3Dsocial%26utm_content%3Dlink_in_bio%26fbclid%3DPAZXh0bgNhZW0CMTEAc3J0YwZhcHBfaWQMMjU2MjgxMDQwNTU4AAGnCFn-edti-hp1NTRyXIhx_pVPs5_IE4aWoTQJXrVN33tHpQpgxMOpvLCX6QA_aem_1TJJ1rlMojPy-ySWtQWP5A&amp;e=AT05ZUp1667LfXaQQC5cgmjybHOsSa9JjtOIjJ3TGd8WB-b4Y6yifzGmhH4Z0zZhkJZy9r5z0Qe4w60Y2kalKRk4iHyM-BsvthkZynRn5g" TargetMode="External"/><Relationship Id="rId239" Type="http://schemas.openxmlformats.org/officeDocument/2006/relationships/hyperlink" Target="https://l.instagram.com/?u=https%3A%2F%2Ft.me%2Frayatalabbasmashhad%3Futm_source%3Dig%26utm_medium%3Dsocial%26utm_content%3Dlink_in_bio%26fbclid%3DPAZXh0bgNhZW0CMTEAc3J0YwZhcHBfaWQMMjU2MjgxMDQwNTU4AAGn1ruCoRimsryuOBPo3wu4Ps-s7-rbnH6FKc5HuiNxzZh8eYd5SSjAXgLX0v0_aem_QTyIWqrbuoSYtIhyQmrYIQ&amp;e=AT3iWF0G13vLfcKQz8JL3l16451Osbe1Z981U_rVn2Q9wPm8KYLIgY4OFQxlWfUHkT0ZjnCNZy3HxCQHGxjLxxezhs1YlSJrF6N1dxPV7g" TargetMode="External"/><Relationship Id="rId238" Type="http://schemas.openxmlformats.org/officeDocument/2006/relationships/hyperlink" Target="https://www.instagram.com/rayat_113/" TargetMode="External"/><Relationship Id="rId237" Type="http://schemas.openxmlformats.org/officeDocument/2006/relationships/hyperlink" Target="https://eitaa.com/MASJED_ALLAHAKBAR" TargetMode="External"/><Relationship Id="rId236" Type="http://schemas.openxmlformats.org/officeDocument/2006/relationships/hyperlink" Target="https://eitaa.com/majnonalhosein" TargetMode="External"/><Relationship Id="rId231" Type="http://schemas.openxmlformats.org/officeDocument/2006/relationships/hyperlink" Target="https://www.instagram.com/astane_shahidane_sabzevar_/" TargetMode="External"/><Relationship Id="rId230" Type="http://schemas.openxmlformats.org/officeDocument/2006/relationships/hyperlink" Target="https://t.me/heyat_kaffolabbas" TargetMode="External"/><Relationship Id="rId235" Type="http://schemas.openxmlformats.org/officeDocument/2006/relationships/hyperlink" Target="https://eitaa.com/shababolreza" TargetMode="External"/><Relationship Id="rId234" Type="http://schemas.openxmlformats.org/officeDocument/2006/relationships/hyperlink" Target="https://www.instagram.com/shababolreza?utm_source=ig_web_button_share_sheet&amp;igsh=ZDNlZDc0MzIxNw==" TargetMode="External"/><Relationship Id="rId233" Type="http://schemas.openxmlformats.org/officeDocument/2006/relationships/hyperlink" Target="https://www.instagram.com/beynolharameyn.live/" TargetMode="External"/><Relationship Id="rId232" Type="http://schemas.openxmlformats.org/officeDocument/2006/relationships/hyperlink" Target="https://www.instagram.com/heyat_motevaselin_b/" TargetMode="External"/><Relationship Id="rId206" Type="http://schemas.openxmlformats.org/officeDocument/2006/relationships/hyperlink" Target="https://eitaa.com/heyatjavananbanihahem" TargetMode="External"/><Relationship Id="rId205" Type="http://schemas.openxmlformats.org/officeDocument/2006/relationships/hyperlink" Target="https://t.me/javanan_110" TargetMode="External"/><Relationship Id="rId204" Type="http://schemas.openxmlformats.org/officeDocument/2006/relationships/hyperlink" Target="https://www.instagram.com/javanan_110?igsh=ODkzN2llejhxYWVm" TargetMode="External"/><Relationship Id="rId203" Type="http://schemas.openxmlformats.org/officeDocument/2006/relationships/hyperlink" Target="https://eitaa.com/mokebehazratejavadolaememashhad" TargetMode="External"/><Relationship Id="rId209" Type="http://schemas.openxmlformats.org/officeDocument/2006/relationships/hyperlink" Target="https://www.mqkhatam.ir/?fbclid=PAb21jcAN5eRFleHRuA2FlbQIxMQBzcnRjBmFwcF9pZA81NjcwNjczNDMzNTI0MjcAAafJ11Y9Sp_1SGMSPRT1G4-5d4h5SxtiBbaNSWXeqVKYP4uE-buS9djBiJfCcg_aem_w1ECBilSa6f_oGnZNRGUfw" TargetMode="External"/><Relationship Id="rId208" Type="http://schemas.openxmlformats.org/officeDocument/2006/relationships/hyperlink" Target="https://www.instagram.com/mqkhatam.ir?igsh=ZWZlZWl1NDRlc2M5" TargetMode="External"/><Relationship Id="rId207" Type="http://schemas.openxmlformats.org/officeDocument/2006/relationships/hyperlink" Target="https://www.instagram.com/mavali_ir?igsh=MW1sNmZrZW0wODJiaw==" TargetMode="External"/><Relationship Id="rId202" Type="http://schemas.openxmlformats.org/officeDocument/2006/relationships/hyperlink" Target="https://t.me/EMAMJAVAD_MASHHAD" TargetMode="External"/><Relationship Id="rId201" Type="http://schemas.openxmlformats.org/officeDocument/2006/relationships/hyperlink" Target="https://www.instagram.com/emamjavad_mashhad?igsh=MW5rbHVnMnZtdHVraw==" TargetMode="External"/><Relationship Id="rId200" Type="http://schemas.openxmlformats.org/officeDocument/2006/relationships/hyperlink" Target="https://www.instagram.com/jannatolzahra?igsh=am4ycm9saDRjbnBh" TargetMode="External"/><Relationship Id="rId409" Type="http://schemas.openxmlformats.org/officeDocument/2006/relationships/hyperlink" Target="https://www.instagram.com/beyat_gonabad/" TargetMode="External"/><Relationship Id="rId404" Type="http://schemas.openxmlformats.org/officeDocument/2006/relationships/hyperlink" Target="https://l.instagram.com/?u=https%3A%2F%2Ft.me%2Fziyarat69%3Futm_source%3Dig%26utm_medium%3Dsocial%26utm_content%3Dlink_in_bio%26fbclid%3DPAZXh0bgNhZW0CMTEAc3J0YwZhcHBfaWQMMjU2MjgxMDQwNTU4AAGnfVAZcANH0HGEtZUNEi9Jpiy7czBsaLMJC_o2SCjkZj_LLOmlA-Jsmh6FeHQ_aem_olUV4XFCvPH-IvEgi14ctg&amp;e=AT7dV4j88n4XYDxjgzImim8Z4xCMlt7QJ6nSBcW0J8zaO5VUioPw1QrZV8d8CZDcU53yfZo0-TDD204LUEO5NOBaG-R5zXh_-HKNeQPMeQ" TargetMode="External"/><Relationship Id="rId403" Type="http://schemas.openxmlformats.org/officeDocument/2006/relationships/hyperlink" Target="https://www.instagram.com/ziarat_ashora/" TargetMode="External"/><Relationship Id="rId402" Type="http://schemas.openxmlformats.org/officeDocument/2006/relationships/hyperlink" Target="https://l.instagram.com/?u=http%3A%2F%2Ftlgrm.me%2Fsaelanheydar%3Futm_source%3Dig%26utm_medium%3Dsocial%26utm_content%3Dlink_in_bio%26fbclid%3DPAZXh0bgNhZW0CMTEAc3J0YwZhcHBfaWQMMjU2MjgxMDQwNTU4AAGnnFhshzrhVULdMKpd7qKkUq848lFRL5jBAl70cufr5hskffMo3noXaxHbZus_aem_qYHy5XYEO8JpQLscAcHW8A&amp;e=AT4DqGv7JthOfzo6tdgp-T2tS1vX4X_fVY_aIHz8_9xmXSIIU_X3NOhuJtlRrtK4CHTg8ByGlmToJ19j6TQt3egs4BBK0zjw6FEzWuvsQg" TargetMode="External"/><Relationship Id="rId401" Type="http://schemas.openxmlformats.org/officeDocument/2006/relationships/hyperlink" Target="https://www.instagram.com/saelanheydar/" TargetMode="External"/><Relationship Id="rId408" Type="http://schemas.openxmlformats.org/officeDocument/2006/relationships/hyperlink" Target="https://eitaa.com/ansarolmahdi1431" TargetMode="External"/><Relationship Id="rId407" Type="http://schemas.openxmlformats.org/officeDocument/2006/relationships/hyperlink" Target="https://www.instagram.com/mokebabalfazl/" TargetMode="External"/><Relationship Id="rId406" Type="http://schemas.openxmlformats.org/officeDocument/2006/relationships/hyperlink" Target="https://www.instagram.com/ale_taha_yasin/" TargetMode="External"/><Relationship Id="rId405" Type="http://schemas.openxmlformats.org/officeDocument/2006/relationships/hyperlink" Target="https://www.instagram.com/heyate_ale_taha/" TargetMode="External"/><Relationship Id="rId400" Type="http://schemas.openxmlformats.org/officeDocument/2006/relationships/hyperlink" Target="https://www.instagram.com/oshaghalhossayn/" TargetMode="External"/><Relationship Id="rId426" Type="http://schemas.openxmlformats.org/officeDocument/2006/relationships/hyperlink" Target="https://eitaa.com/hayaat_mohajerin" TargetMode="External"/><Relationship Id="rId425" Type="http://schemas.openxmlformats.org/officeDocument/2006/relationships/hyperlink" Target="https://eitaa.com/mohebbanaeme" TargetMode="External"/><Relationship Id="rId424" Type="http://schemas.openxmlformats.org/officeDocument/2006/relationships/hyperlink" Target="https://eitaa.com/aliasghar535" TargetMode="External"/><Relationship Id="rId423" Type="http://schemas.openxmlformats.org/officeDocument/2006/relationships/hyperlink" Target="https://eitaa.com/mohebbinahlobeyt" TargetMode="External"/><Relationship Id="rId429" Type="http://schemas.openxmlformats.org/officeDocument/2006/relationships/hyperlink" Target="https://eitaa.com/khatekhoon" TargetMode="External"/><Relationship Id="rId428" Type="http://schemas.openxmlformats.org/officeDocument/2006/relationships/hyperlink" Target="https://eitaa.com/raytalabbasmashhad" TargetMode="External"/><Relationship Id="rId427" Type="http://schemas.openxmlformats.org/officeDocument/2006/relationships/hyperlink" Target="https://eitaa.com/maktabalzahra_brd" TargetMode="External"/><Relationship Id="rId422" Type="http://schemas.openxmlformats.org/officeDocument/2006/relationships/hyperlink" Target="https://www.instagram.com/ahbab_m/" TargetMode="External"/><Relationship Id="rId421" Type="http://schemas.openxmlformats.org/officeDocument/2006/relationships/hyperlink" Target="https://www.instagram.com/peshmerg313/" TargetMode="External"/><Relationship Id="rId420" Type="http://schemas.openxmlformats.org/officeDocument/2006/relationships/hyperlink" Target="https://l.instagram.com/?u=http%3A%2F%2Ft.me%2Fgharibemadine113%3Futm_source%3Dig%26utm_medium%3Dsocial%26utm_content%3Dlink_in_bio%26fbclid%3DPAZXh0bgNhZW0CMTEAc3J0YwZhcHBfaWQMMjU2MjgxMDQwNTU4AAGn2O5eCvbYqRdXFzNJ9tKcjlBn7b5okaQyyKjP1GWzqXE7gRdU_A3egED928o_aem_86TnoKw3V1X5P8fBGxmPpw&amp;e=AT70NJhr4dGaS8O-sw0lTim8Y3Gurv0W47WRFVLAdFbrPLxYuw5rBHcTzXv6yFbJ4koUBhwbA764lUgpaFmX5NK_ICnyMbrMahmRrpz5PQ" TargetMode="External"/><Relationship Id="rId415" Type="http://schemas.openxmlformats.org/officeDocument/2006/relationships/hyperlink" Target="https://www.instagram.com/mahdiehthr/" TargetMode="External"/><Relationship Id="rId414" Type="http://schemas.openxmlformats.org/officeDocument/2006/relationships/hyperlink" Target="https://www.instagram.com/moheban_alhasan" TargetMode="External"/><Relationship Id="rId413" Type="http://schemas.openxmlformats.org/officeDocument/2006/relationships/hyperlink" Target="https://eitaa.com/hayyat_ahbab_alreza_susra" TargetMode="External"/><Relationship Id="rId412" Type="http://schemas.openxmlformats.org/officeDocument/2006/relationships/hyperlink" Target="https://l.instagram.com/?u=https%3A%2F%2Ft.me%2Fsayedshohada_128%3Futm_source%3Dig%26utm_medium%3Dsocial%26utm_content%3Dlink_in_bio%26fbclid%3DPAZXh0bgNhZW0CMTEAc3J0YwZhcHBfaWQMMjU2MjgxMDQwNTU4AAGn1jP5mQtiMHmD4wzMY-SsNpsnqt3LQLlCYj_mp_jGmFHORLszDiilHEFnmCo_aem_OFp9F0GeOKNO4EL5DU2Uqg&amp;e=AT7MTMTdLxKU8ufdhGVCoi5TvMrRMFduwVDjMTRjnNxIzOqHoUL7bltDHZfYTObv0E1qXNbUjV1jx0rfXa6L0d069oUibJBigKodP-3TJg" TargetMode="External"/><Relationship Id="rId419" Type="http://schemas.openxmlformats.org/officeDocument/2006/relationships/hyperlink" Target="https://www.instagram.com/gharibemadine_mashhad/" TargetMode="External"/><Relationship Id="rId418" Type="http://schemas.openxmlformats.org/officeDocument/2006/relationships/hyperlink" Target="https://www.instagram.com/fatemionshahed_ney/" TargetMode="External"/><Relationship Id="rId417" Type="http://schemas.openxmlformats.org/officeDocument/2006/relationships/hyperlink" Target="https://l.instagram.com/?u=https%3A%2F%2Ft.me%2Fzeynabiuun69%3Futm_source%3Dig%26utm_medium%3Dsocial%26utm_content%3Dlink_in_bio%26fbclid%3DPAZXh0bgNhZW0CMTEAc3J0YwZhcHBfaWQMMjU2MjgxMDQwNTU4AAGn81SoQ1Rsnct8X8FFR08c-KViwyJgSw523I47KqB01hg25dxwJHoID24r30M_aem_0eIFdo8x_VFlUM7mvl6Qaw&amp;e=AT5zRkFex-nE76oq79vPeVy1AdTkxSf-TNByxLVS8L6Ky63PnjqAZOQYmrvPLRKAw1Aa_W3QRWpkufKK7jNQ5w4CWHT3tPXAgER8zkIp-g" TargetMode="External"/><Relationship Id="rId416" Type="http://schemas.openxmlformats.org/officeDocument/2006/relationships/hyperlink" Target="https://www.instagram.com/zeynabiun1382/" TargetMode="External"/><Relationship Id="rId411" Type="http://schemas.openxmlformats.org/officeDocument/2006/relationships/hyperlink" Target="https://www.instagram.com/sayedshohada128/" TargetMode="External"/><Relationship Id="rId410" Type="http://schemas.openxmlformats.org/officeDocument/2006/relationships/hyperlink" Target="https://l.instagram.com/?u=http%3A%2F%2Ft.me%2FBeyat_Gonabad%3Futm_source%3Dig%26utm_medium%3Dsocial%26utm_content%3Dlink_in_bio%26fbclid%3DPAZXh0bgNhZW0CMTEAc3J0YwZhcHBfaWQMMjU2MjgxMDQwNTU4AAGnn0znw0JT2NuLuUJCF2j1586ys3sXG_kJM-JF9CPbpcua-j5nE1hbm3-Osd8_aem_HHsJJnycJfkjiGtWclujQQ&amp;e=AT7n3OX7XdsaLqJOvpYnBnH8LIO2O8Hk6maGPxMH5P2N4M40j9-h3eEZmeR8YK1GOLfMoBOQUfqa8EFnsVYd-Xxr00PNIP0KqEZT4iQL1w" TargetMode="External"/><Relationship Id="rId434" Type="http://schemas.openxmlformats.org/officeDocument/2006/relationships/drawing" Target="../drawings/drawing22.xml"/><Relationship Id="rId433" Type="http://schemas.openxmlformats.org/officeDocument/2006/relationships/hyperlink" Target="https://eitaa.com/heiateharam" TargetMode="External"/><Relationship Id="rId432" Type="http://schemas.openxmlformats.org/officeDocument/2006/relationships/hyperlink" Target="https://eitaa.com/masjedekadkaniha" TargetMode="External"/><Relationship Id="rId431" Type="http://schemas.openxmlformats.org/officeDocument/2006/relationships/hyperlink" Target="https://eitaa.com/mukebemamhasan" TargetMode="External"/><Relationship Id="rId430" Type="http://schemas.openxmlformats.org/officeDocument/2006/relationships/hyperlink" Target="https://eitaa.com/vadieh_org" TargetMode="External"/><Relationship Id="rId1" Type="http://schemas.openxmlformats.org/officeDocument/2006/relationships/hyperlink" Target="https://www.instagram.com/hyatt_khoddamoalhasan?igsh=NzR2YWJjZ3Y3ZDVj" TargetMode="External"/><Relationship Id="rId2" Type="http://schemas.openxmlformats.org/officeDocument/2006/relationships/hyperlink" Target="https://t.me/sadeghsabbagh110" TargetMode="External"/><Relationship Id="rId3" Type="http://schemas.openxmlformats.org/officeDocument/2006/relationships/hyperlink" Target="https://www.instagram.com/heyat.roghayehjan?igsh=cDhpOGg0ZGp4NjR6" TargetMode="External"/><Relationship Id="rId4" Type="http://schemas.openxmlformats.org/officeDocument/2006/relationships/hyperlink" Target="https://www.instagram.com/asheeghan313?igsh=cDFzYm1yNmE5aDVs" TargetMode="External"/><Relationship Id="rId9" Type="http://schemas.openxmlformats.org/officeDocument/2006/relationships/hyperlink" Target="https://t.me/heiat_emamAli" TargetMode="External"/><Relationship Id="rId5" Type="http://schemas.openxmlformats.org/officeDocument/2006/relationships/hyperlink" Target="https://www.instagram.com/heyat.noroshohada" TargetMode="External"/><Relationship Id="rId6" Type="http://schemas.openxmlformats.org/officeDocument/2006/relationships/hyperlink" Target="https://www.instagram.com/heyat.ashoraiyan" TargetMode="External"/><Relationship Id="rId7" Type="http://schemas.openxmlformats.org/officeDocument/2006/relationships/hyperlink" Target="https://www.instagram.com/heiat_aletahayasin?igsh=MWc1dXVscm12NjhreA==" TargetMode="External"/><Relationship Id="rId8" Type="http://schemas.openxmlformats.org/officeDocument/2006/relationships/hyperlink" Target="https://www.instagram.com/imamali86?igsh=MXJ1NWt3Y290ajk3Ng==" TargetMode="External"/></Relationships>
</file>

<file path=xl/worksheets/_rels/sheet23.xml.rels><?xml version="1.0" encoding="UTF-8" standalone="yes"?><Relationships xmlns="http://schemas.openxmlformats.org/package/2006/relationships"><Relationship Id="rId190" Type="http://schemas.openxmlformats.org/officeDocument/2006/relationships/hyperlink" Target="https://eitaa.com/ansar_alreza8" TargetMode="External"/><Relationship Id="rId194" Type="http://schemas.openxmlformats.org/officeDocument/2006/relationships/hyperlink" Target="https://www.instagram.com/baghiyatallah.tabriz?utm_source=ig_web_button_share_sheet&amp;igsh=ZDNlZDc0MzIxNw==" TargetMode="External"/><Relationship Id="rId193" Type="http://schemas.openxmlformats.org/officeDocument/2006/relationships/hyperlink" Target="https://www.instagram.com/sagaye.karbala.sardrud?utm_source=ig_web_button_share_sheet&amp;igsh=ZDNlZDc0MzIxNw==" TargetMode="External"/><Relationship Id="rId192" Type="http://schemas.openxmlformats.org/officeDocument/2006/relationships/hyperlink" Target="https://www.instagram.com/rowzeyetooba?utm_source=ig_web_button_share_sheet&amp;igsh=ZDNlZDc0MzIxNw==" TargetMode="External"/><Relationship Id="rId191" Type="http://schemas.openxmlformats.org/officeDocument/2006/relationships/hyperlink" Target="https://www.instagram.com/bonyadtooba?utm_source=ig_web_button_share_sheet&amp;igsh=ZDNlZDc0MzIxNw==" TargetMode="External"/><Relationship Id="rId187" Type="http://schemas.openxmlformats.org/officeDocument/2006/relationships/hyperlink" Target="https://www.instagram.com/rayatolmahdi313_tab?utm_source=ig_web_button_share_sheet&amp;igsh=ZDNlZDc0MzIxNw==" TargetMode="External"/><Relationship Id="rId186" Type="http://schemas.openxmlformats.org/officeDocument/2006/relationships/hyperlink" Target="https://eitaa.com/ansarolhojjat_org" TargetMode="External"/><Relationship Id="rId185" Type="http://schemas.openxmlformats.org/officeDocument/2006/relationships/hyperlink" Target="https://t.me/ansarolhojjat_org" TargetMode="External"/><Relationship Id="rId184" Type="http://schemas.openxmlformats.org/officeDocument/2006/relationships/hyperlink" Target="https://www.instagram.com/ansarolhojjat_org?utm_source=ig_web_button_share_sheet&amp;igsh=ZDNlZDc0MzIxNw==" TargetMode="External"/><Relationship Id="rId189" Type="http://schemas.openxmlformats.org/officeDocument/2006/relationships/hyperlink" Target="https://eitaa.com/rayatolmahdi_tabriz" TargetMode="External"/><Relationship Id="rId188" Type="http://schemas.openxmlformats.org/officeDocument/2006/relationships/hyperlink" Target="https://www.instagram.com/rayatolmahdi_tabriz?utm_source=ig_web_button_share_sheet&amp;igsh=ZDNlZDc0MzIxNw==" TargetMode="External"/><Relationship Id="rId183" Type="http://schemas.openxmlformats.org/officeDocument/2006/relationships/hyperlink" Target="https://www.instagram.com/ashegane_yazahra?utm_source=ig_web_button_share_sheet&amp;igsh=ZDNlZDc0MzIxNw==" TargetMode="External"/><Relationship Id="rId182" Type="http://schemas.openxmlformats.org/officeDocument/2006/relationships/hyperlink" Target="https://t.me/Khoddamozzahra_Tabriz" TargetMode="External"/><Relationship Id="rId181" Type="http://schemas.openxmlformats.org/officeDocument/2006/relationships/hyperlink" Target="https://www.instagram.com/khoddamozzahra_tabriz?utm_source=ig_web_button_share_sheet&amp;igsh=ZDNlZDc0MzIxNw==" TargetMode="External"/><Relationship Id="rId180" Type="http://schemas.openxmlformats.org/officeDocument/2006/relationships/hyperlink" Target="https://www.instagram.com/montazerane_.mahdi_sorkhab?utm_source=ig_web_button_share_sheet&amp;igsh=ZDNlZDc0MzIxNw==" TargetMode="External"/><Relationship Id="rId176" Type="http://schemas.openxmlformats.org/officeDocument/2006/relationships/hyperlink" Target="https://www.instagram.com/maktabolmahdiei?utm_source=ig_web_button_share_sheet&amp;igsh=ZDNlZDc0MzIxNw==" TargetMode="External"/><Relationship Id="rId175" Type="http://schemas.openxmlformats.org/officeDocument/2006/relationships/hyperlink" Target="https://eitaa.com/noorolhoseintabriz" TargetMode="External"/><Relationship Id="rId174" Type="http://schemas.openxmlformats.org/officeDocument/2006/relationships/hyperlink" Target="https://www.instagram.com/noorolhossein_ir?utm_source=ig_web_button_share_sheet&amp;igsh=ZDNlZDc0MzIxNw==" TargetMode="External"/><Relationship Id="rId173" Type="http://schemas.openxmlformats.org/officeDocument/2006/relationships/hyperlink" Target="https://eitaa.com/sabzesorkhh" TargetMode="External"/><Relationship Id="rId179" Type="http://schemas.openxmlformats.org/officeDocument/2006/relationships/hyperlink" Target="https://t.me/heyatvaliamr" TargetMode="External"/><Relationship Id="rId178" Type="http://schemas.openxmlformats.org/officeDocument/2006/relationships/hyperlink" Target="https://www.instagram.com/heyatvaliamr?utm_source=ig_web_button_share_sheet&amp;igsh=ZDNlZDc0MzIxNw==" TargetMode="External"/><Relationship Id="rId177" Type="http://schemas.openxmlformats.org/officeDocument/2006/relationships/hyperlink" Target="https://t.me/rayatolhossein_tabriz" TargetMode="External"/><Relationship Id="rId198" Type="http://schemas.openxmlformats.org/officeDocument/2006/relationships/hyperlink" Target="https://www.instagram.com/reyhanezahratabriz213?utm_source=ig_web_button_share_sheet&amp;igsh=ZDNlZDc0MzIxNw==" TargetMode="External"/><Relationship Id="rId197" Type="http://schemas.openxmlformats.org/officeDocument/2006/relationships/hyperlink" Target="https://www.instagram.com/kanoun.jahadi.fetrat?utm_source=ig_web_button_share_sheet&amp;igsh=ZDNlZDc0MzIxNw==" TargetMode="External"/><Relationship Id="rId196" Type="http://schemas.openxmlformats.org/officeDocument/2006/relationships/hyperlink" Target="https://eitaa.com/heiatolreza_ir" TargetMode="External"/><Relationship Id="rId195" Type="http://schemas.openxmlformats.org/officeDocument/2006/relationships/hyperlink" Target="https://www.instagram.com/heyatolreza_?utm_source=ig_web_button_share_sheet&amp;igsh=ZDNlZDc0MzIxNw==" TargetMode="External"/><Relationship Id="rId199" Type="http://schemas.openxmlformats.org/officeDocument/2006/relationships/hyperlink" Target="https://eitaa.com/reyhanezahratabriz95" TargetMode="External"/><Relationship Id="rId150" Type="http://schemas.openxmlformats.org/officeDocument/2006/relationships/hyperlink" Target="https://eitaa.com/maktabezahra1401" TargetMode="External"/><Relationship Id="rId149" Type="http://schemas.openxmlformats.org/officeDocument/2006/relationships/hyperlink" Target="https://www.instagram.com/maktab_azahra?utm_source=ig_web_button_share_sheet&amp;igsh=ZDNlZDc0MzIxNw==" TargetMode="External"/><Relationship Id="rId148" Type="http://schemas.openxmlformats.org/officeDocument/2006/relationships/hyperlink" Target="https://t.me/bouria" TargetMode="External"/><Relationship Id="rId143" Type="http://schemas.openxmlformats.org/officeDocument/2006/relationships/hyperlink" Target="https://www.instagram.com/masjed_jame_bostanabad?utm_source=ig_web_button_share_sheet&amp;igsh=ZDNlZDc0MzIxNw==" TargetMode="External"/><Relationship Id="rId142" Type="http://schemas.openxmlformats.org/officeDocument/2006/relationships/hyperlink" Target="https://t.me/teflane_muslem_tbz1" TargetMode="External"/><Relationship Id="rId141" Type="http://schemas.openxmlformats.org/officeDocument/2006/relationships/hyperlink" Target="https://www.instagram.com/teflane_muslem" TargetMode="External"/><Relationship Id="rId140" Type="http://schemas.openxmlformats.org/officeDocument/2006/relationships/hyperlink" Target="https://t.me/sarbaze6mahe?" TargetMode="External"/><Relationship Id="rId147" Type="http://schemas.openxmlformats.org/officeDocument/2006/relationships/hyperlink" Target="https://www.instagram.com/bouria_ir?utm_source=ig_web_button_share_sheet&amp;igsh=ZDNlZDc0MzIxNw==" TargetMode="External"/><Relationship Id="rId146" Type="http://schemas.openxmlformats.org/officeDocument/2006/relationships/hyperlink" Target="https://www.instagram.com/heyat.14.masoom?utm_source=ig_web_button_share_sheet&amp;igsh=ZDNlZDc0MzIxNw==" TargetMode="External"/><Relationship Id="rId145" Type="http://schemas.openxmlformats.org/officeDocument/2006/relationships/hyperlink" Target="https://www.instagram.com/h.javanan.hazrat.abolfazl/" TargetMode="External"/><Relationship Id="rId144" Type="http://schemas.openxmlformats.org/officeDocument/2006/relationships/hyperlink" Target="https://www.instagram.com/masjed_hazrat_abolfazl_1354/" TargetMode="External"/><Relationship Id="rId139" Type="http://schemas.openxmlformats.org/officeDocument/2006/relationships/hyperlink" Target="https://www.instagram.com/sarbaz_sheshmahe/" TargetMode="External"/><Relationship Id="rId138" Type="http://schemas.openxmlformats.org/officeDocument/2006/relationships/hyperlink" Target="https://eitaa.com/rahrovaneshohada79" TargetMode="External"/><Relationship Id="rId137" Type="http://schemas.openxmlformats.org/officeDocument/2006/relationships/hyperlink" Target="https://www.instagram.com/rahrovan_shohada79" TargetMode="External"/><Relationship Id="rId132" Type="http://schemas.openxmlformats.org/officeDocument/2006/relationships/hyperlink" Target="https://www.instagram.com/heyatereyhanatolrasuletabriz/" TargetMode="External"/><Relationship Id="rId131" Type="http://schemas.openxmlformats.org/officeDocument/2006/relationships/hyperlink" Target="https://t.me/levaolmahdi_1" TargetMode="External"/><Relationship Id="rId130" Type="http://schemas.openxmlformats.org/officeDocument/2006/relationships/hyperlink" Target="https://www.instagram.com/levaolmahdi_1/" TargetMode="External"/><Relationship Id="rId136" Type="http://schemas.openxmlformats.org/officeDocument/2006/relationships/hyperlink" Target="https://www.instagram.com/sarallah_fajr?utm_source=ig_web_button_share_sheet&amp;igsh=ZDNlZDc0MzIxNw==" TargetMode="External"/><Relationship Id="rId135" Type="http://schemas.openxmlformats.org/officeDocument/2006/relationships/hyperlink" Target="https://www.instagram.com/eheyat_azsh/" TargetMode="External"/><Relationship Id="rId134" Type="http://schemas.openxmlformats.org/officeDocument/2006/relationships/hyperlink" Target="https://www.instagram.com/imamalimosque?utm_source=ig_web_button_share_sheet&amp;igsh=ZDNlZDc0MzIxNw==" TargetMode="External"/><Relationship Id="rId133" Type="http://schemas.openxmlformats.org/officeDocument/2006/relationships/hyperlink" Target="https://www.instagram.com/heyat.seyyed.shouri?utm_source=ig_web_button_share_sheet&amp;igsh=ZDNlZDc0MzIxNw==" TargetMode="External"/><Relationship Id="rId172" Type="http://schemas.openxmlformats.org/officeDocument/2006/relationships/hyperlink" Target="https://www.instagram.com/sabz.sorkh.313?utm_source=ig_web_button_share_sheet&amp;igsh=ZDNlZDc0MzIxNw==" TargetMode="External"/><Relationship Id="rId171" Type="http://schemas.openxmlformats.org/officeDocument/2006/relationships/hyperlink" Target="https://www.instagram.com/mohammad.sheikhzadeh_?utm_source=ig_web_button_share_sheet&amp;igsh=ZDNlZDc0MzIxNw==" TargetMode="External"/><Relationship Id="rId170" Type="http://schemas.openxmlformats.org/officeDocument/2006/relationships/hyperlink" Target="https://eitaa.com/heyat_madar1379" TargetMode="External"/><Relationship Id="rId165" Type="http://schemas.openxmlformats.org/officeDocument/2006/relationships/hyperlink" Target="https://www.instagram.com/shohadayekarbala1330?utm_source=ig_web_button_share_sheet&amp;igsh=ZDNlZDc0MzIxNw==" TargetMode="External"/><Relationship Id="rId164" Type="http://schemas.openxmlformats.org/officeDocument/2006/relationships/hyperlink" Target="https://t.me/Nooralzahra_tbz" TargetMode="External"/><Relationship Id="rId163" Type="http://schemas.openxmlformats.org/officeDocument/2006/relationships/hyperlink" Target="https://www.instagram.com/norzahra_tabriz?utm_source=ig_web_button_share_sheet&amp;igsh=ZDNlZDc0MzIxNw==" TargetMode="External"/><Relationship Id="rId162" Type="http://schemas.openxmlformats.org/officeDocument/2006/relationships/hyperlink" Target="https://t.me/seyedolshohada_golgashttabriz" TargetMode="External"/><Relationship Id="rId169" Type="http://schemas.openxmlformats.org/officeDocument/2006/relationships/hyperlink" Target="https://www.instagram.com/motavaselin_ommolaeme/?utm_source=ig_web_button_share_sheet" TargetMode="External"/><Relationship Id="rId168" Type="http://schemas.openxmlformats.org/officeDocument/2006/relationships/hyperlink" Target="https://t.me/maktab_tashayo" TargetMode="External"/><Relationship Id="rId167" Type="http://schemas.openxmlformats.org/officeDocument/2006/relationships/hyperlink" Target="https://www.instagram.com/maktab_tashayo_tabriz?utm_source=ig_web_button_share_sheet&amp;igsh=ZDNlZDc0MzIxNw==" TargetMode="External"/><Relationship Id="rId166" Type="http://schemas.openxmlformats.org/officeDocument/2006/relationships/hyperlink" Target="https://t.me/negar_shohadayekarbala1330" TargetMode="External"/><Relationship Id="rId161" Type="http://schemas.openxmlformats.org/officeDocument/2006/relationships/hyperlink" Target="https://www.instagram.com/seyedolshohada_gholghasht?utm_source=ig_web_button_share_sheet&amp;igsh=ZDNlZDc0MzIxNw==" TargetMode="External"/><Relationship Id="rId160" Type="http://schemas.openxmlformats.org/officeDocument/2006/relationships/hyperlink" Target="https://www.instagram.com/hazraterogayeh?utm_source=ig_web_button_share_sheet&amp;igsh=ZDNlZDc0MzIxNw==" TargetMode="External"/><Relationship Id="rId159" Type="http://schemas.openxmlformats.org/officeDocument/2006/relationships/hyperlink" Target="https://www.instagram.com/ajam_baghmisheh?utm_source=ig_web_button_share_sheet&amp;igsh=ZDNlZDc0MzIxNw==" TargetMode="External"/><Relationship Id="rId154" Type="http://schemas.openxmlformats.org/officeDocument/2006/relationships/hyperlink" Target="https://eitaa.com/javadol_aemah" TargetMode="External"/><Relationship Id="rId153" Type="http://schemas.openxmlformats.org/officeDocument/2006/relationships/hyperlink" Target="https://www.instagram.com/javadolaemah?utm_source=ig_web_button_share_sheet&amp;igsh=ZDNlZDc0MzIxNw==" TargetMode="External"/><Relationship Id="rId152" Type="http://schemas.openxmlformats.org/officeDocument/2006/relationships/hyperlink" Target="https://www.instagram.com/heyat_rozatol_hosein?utm_source=ig_web_button_share_sheet&amp;igsh=ZDNlZDc0MzIxNw==" TargetMode="External"/><Relationship Id="rId151" Type="http://schemas.openxmlformats.org/officeDocument/2006/relationships/hyperlink" Target="https://t.me/mannokarehoseinam" TargetMode="External"/><Relationship Id="rId158" Type="http://schemas.openxmlformats.org/officeDocument/2006/relationships/hyperlink" Target="https://www.instagram.com/levaorroghayye?utm_source=ig_web_button_share_sheet&amp;igsh=ZDNlZDc0MzIxNw==" TargetMode="External"/><Relationship Id="rId157" Type="http://schemas.openxmlformats.org/officeDocument/2006/relationships/hyperlink" Target="https://www.instagram.com/heyat.reyhane.alnabi?utm_source=ig_web_button_share_sheet&amp;igsh=ZDNlZDc0MzIxNw==" TargetMode="External"/><Relationship Id="rId156" Type="http://schemas.openxmlformats.org/officeDocument/2006/relationships/hyperlink" Target="https://www.instagram.com/kanon_emam_hosein/" TargetMode="External"/><Relationship Id="rId155" Type="http://schemas.openxmlformats.org/officeDocument/2006/relationships/hyperlink" Target="https://www.instagram.com/jahadigrop_howzeh?utm_source=ig_web_button_share_sheet&amp;igsh=ZDNlZDc0MzIxNw==" TargetMode="External"/><Relationship Id="rId107" Type="http://schemas.openxmlformats.org/officeDocument/2006/relationships/hyperlink" Target="https://www.instagram.com/levazeynab_ahar?utm_source=ig_web_button_share_sheet&amp;igsh=ZDNlZDc0MzIxNw==" TargetMode="External"/><Relationship Id="rId106" Type="http://schemas.openxmlformats.org/officeDocument/2006/relationships/hyperlink" Target="https://www.instagram.com/hoseyniye_ansar.ahar?utm_source=ig_web_button_share_sheet&amp;igsh=ZDNlZDc0MzIxNw==" TargetMode="External"/><Relationship Id="rId105" Type="http://schemas.openxmlformats.org/officeDocument/2006/relationships/hyperlink" Target="https://t.me/maktabolzahra_ahar" TargetMode="External"/><Relationship Id="rId104" Type="http://schemas.openxmlformats.org/officeDocument/2006/relationships/hyperlink" Target="https://www.instagram.com/maktab.zahra.ahar?utm_source=ig_web_button_share_sheet&amp;igsh=ZDNlZDc0MzIxNw==" TargetMode="External"/><Relationship Id="rId109" Type="http://schemas.openxmlformats.org/officeDocument/2006/relationships/hyperlink" Target="https://www.instagram.com/sabzposhanealavi.ahar?utm_source=ig_web_button_share_sheet&amp;igsh=ZDNlZDc0MzIxNw==" TargetMode="External"/><Relationship Id="rId108" Type="http://schemas.openxmlformats.org/officeDocument/2006/relationships/hyperlink" Target="https://www.instagram.com/jannatolhosein_ahar?utm_source=ig_web_button_share_sheet&amp;igsh=ZDNlZDc0MzIxNw==" TargetMode="External"/><Relationship Id="rId103" Type="http://schemas.openxmlformats.org/officeDocument/2006/relationships/hyperlink" Target="https://www.instagram.com/matamkade_hazrat_zienab_ahar?utm_source=ig_web_button_share_sheet&amp;igsh=ZDNlZDc0MzIxNw==" TargetMode="External"/><Relationship Id="rId102" Type="http://schemas.openxmlformats.org/officeDocument/2006/relationships/hyperlink" Target="https://www.instagram.com/emame_mosabne_jafar?utm_source=ig_web_button_share_sheet&amp;igsh=ZDNlZDc0MzIxNw==" TargetMode="External"/><Relationship Id="rId101" Type="http://schemas.openxmlformats.org/officeDocument/2006/relationships/hyperlink" Target="https://t.me/teshnganekosar" TargetMode="External"/><Relationship Id="rId100" Type="http://schemas.openxmlformats.org/officeDocument/2006/relationships/hyperlink" Target="https://www.instagram.com/tashnaganakosar.ahar?utm_source=ig_web_button_share_sheet&amp;igsh=ZDNlZDc0MzIxNw==" TargetMode="External"/><Relationship Id="rId129" Type="http://schemas.openxmlformats.org/officeDocument/2006/relationships/hyperlink" Target="https://www.youtube.com/@heyat_abbasion" TargetMode="External"/><Relationship Id="rId128" Type="http://schemas.openxmlformats.org/officeDocument/2006/relationships/hyperlink" Target="https://eitaa.com/abbasion_heyat" TargetMode="External"/><Relationship Id="rId127" Type="http://schemas.openxmlformats.org/officeDocument/2006/relationships/hyperlink" Target="https://t.me/Abbasion_heyat" TargetMode="External"/><Relationship Id="rId126" Type="http://schemas.openxmlformats.org/officeDocument/2006/relationships/hyperlink" Target="https://www.instagram.com/abbasion_heyat?utm_source=ig_web_button_share_sheet&amp;igsh=ZDNlZDc0MzIxNw==" TargetMode="External"/><Relationship Id="rId121" Type="http://schemas.openxmlformats.org/officeDocument/2006/relationships/hyperlink" Target="https://www.instagram.com/mashar_110?utm_source=ig_web_button_share_sheet&amp;igsh=ZDNlZDc0MzIxNw==" TargetMode="External"/><Relationship Id="rId120" Type="http://schemas.openxmlformats.org/officeDocument/2006/relationships/hyperlink" Target="https://www.instagram.com/razavi.ahar?utm_source=ig_web_button_share_sheet&amp;igsh=ZDNlZDc0MzIxNw==" TargetMode="External"/><Relationship Id="rId125" Type="http://schemas.openxmlformats.org/officeDocument/2006/relationships/hyperlink" Target="https://www.instagram.com/hayet_baytolahzan_azarhsahr?utm_source=ig_web_button_share_sheet&amp;igsh=ZDNlZDc0MzIxNw==" TargetMode="External"/><Relationship Id="rId124" Type="http://schemas.openxmlformats.org/officeDocument/2006/relationships/hyperlink" Target="https://www.instagram.com/heyat_akbarye_gogan?utm_source=ig_web_button_share_sheet&amp;igsh=ZDNlZDc0MzIxNw==" TargetMode="External"/><Relationship Id="rId123" Type="http://schemas.openxmlformats.org/officeDocument/2006/relationships/hyperlink" Target="https://t.me/maktabzahra" TargetMode="External"/><Relationship Id="rId122" Type="http://schemas.openxmlformats.org/officeDocument/2006/relationships/hyperlink" Target="https://www.instagram.com/heyat_maktabzahra_azarshahr?utm_source=ig_web_button_share_sheet&amp;igsh=ZDNlZDc0MzIxNw==" TargetMode="External"/><Relationship Id="rId118" Type="http://schemas.openxmlformats.org/officeDocument/2006/relationships/hyperlink" Target="https://t.me/fatemealzahra97" TargetMode="External"/><Relationship Id="rId117" Type="http://schemas.openxmlformats.org/officeDocument/2006/relationships/hyperlink" Target="https://www.instagram.com/heiat_fatemealzahra_ahar?utm_source=ig_web_button_share_sheet&amp;igsh=ZDNlZDc0MzIxNw==" TargetMode="External"/><Relationship Id="rId116" Type="http://schemas.openxmlformats.org/officeDocument/2006/relationships/hyperlink" Target="https://www.instagram.com/heyatasheghankarbla_ahar1376?utm_source=ig_web_button_share_sheet&amp;igsh=ZDNlZDc0MzIxNw==" TargetMode="External"/><Relationship Id="rId115" Type="http://schemas.openxmlformats.org/officeDocument/2006/relationships/hyperlink" Target="https://www.instagram.com/teshneghan_kosar_ahar?utm_source=ig_web_button_share_sheet&amp;igsh=ZDNlZDc0MzIxNw==" TargetMode="External"/><Relationship Id="rId119" Type="http://schemas.openxmlformats.org/officeDocument/2006/relationships/hyperlink" Target="https://www.instagram.com/maktabolabas.ahar" TargetMode="External"/><Relationship Id="rId110" Type="http://schemas.openxmlformats.org/officeDocument/2006/relationships/hyperlink" Target="https://t.me/sabzposhanalavi1385" TargetMode="External"/><Relationship Id="rId114" Type="http://schemas.openxmlformats.org/officeDocument/2006/relationships/hyperlink" Target="https://www.instagram.com/asghariyehahar_ir?utm_source=ig_web_button_share_sheet&amp;igsh=ZDNlZDc0MzIxNw==" TargetMode="External"/><Relationship Id="rId113" Type="http://schemas.openxmlformats.org/officeDocument/2006/relationships/hyperlink" Target="https://www.instagram.com/heyat.sahebalzaman.ahar?utm_source=ig_web_button_share_sheet&amp;igsh=ZDNlZDc0MzIxNw==" TargetMode="External"/><Relationship Id="rId112" Type="http://schemas.openxmlformats.org/officeDocument/2006/relationships/hyperlink" Target="https://www.instagram.com/heyyateemamsajjad?utm_source=ig_web_button_share_sheet&amp;igsh=ZDNlZDc0MzIxNw==" TargetMode="External"/><Relationship Id="rId111" Type="http://schemas.openxmlformats.org/officeDocument/2006/relationships/hyperlink" Target="https://www.instagram.com/jan_nsaran.ahr/?utm_source=ig_web_button_share_sheet" TargetMode="External"/><Relationship Id="rId392" Type="http://schemas.openxmlformats.org/officeDocument/2006/relationships/hyperlink" Target="https://eitaa.com/m_fatemiyon_maragheh" TargetMode="External"/><Relationship Id="rId391" Type="http://schemas.openxmlformats.org/officeDocument/2006/relationships/hyperlink" Target="https://www.instagram.com/m.fatemiyon?utm_source=ig_web_button_share_sheet&amp;igsh=ZDNlZDc0MzIxNw==" TargetMode="External"/><Relationship Id="rId390" Type="http://schemas.openxmlformats.org/officeDocument/2006/relationships/hyperlink" Target="https://t.me/wwwfatemehsoghra" TargetMode="External"/><Relationship Id="rId385" Type="http://schemas.openxmlformats.org/officeDocument/2006/relationships/hyperlink" Target="https://t.me/teshneekosar" TargetMode="External"/><Relationship Id="rId384" Type="http://schemas.openxmlformats.org/officeDocument/2006/relationships/hyperlink" Target="https://www.instagram.com/teshneekosar?utm_source=ig_web_button_share_sheet&amp;igsh=ZDNlZDc0MzIxNw==" TargetMode="External"/><Relationship Id="rId383" Type="http://schemas.openxmlformats.org/officeDocument/2006/relationships/hyperlink" Target="https://t.me/salarshahidan" TargetMode="External"/><Relationship Id="rId382" Type="http://schemas.openxmlformats.org/officeDocument/2006/relationships/hyperlink" Target="https://www.instagram.com/salarshahidan_ir?utm_source=ig_web_button_share_sheet&amp;igsh=ZDNlZDc0MzIxNw==" TargetMode="External"/><Relationship Id="rId389" Type="http://schemas.openxmlformats.org/officeDocument/2006/relationships/hyperlink" Target="https://www.instagram.com/fateme.hsoghra1370?utm_source=ig_web_button_share_sheet&amp;igsh=ZDNlZDc0MzIxNw==" TargetMode="External"/><Relationship Id="rId388" Type="http://schemas.openxmlformats.org/officeDocument/2006/relationships/hyperlink" Target="https://www.instagram.com/shoara_nohekhanan_maragheh?utm_source=ig_web_button_share_sheet&amp;igsh=ZDNlZDc0MzIxNw==" TargetMode="External"/><Relationship Id="rId387" Type="http://schemas.openxmlformats.org/officeDocument/2006/relationships/hyperlink" Target="https://t.me/jannatolhossein_com" TargetMode="External"/><Relationship Id="rId386" Type="http://schemas.openxmlformats.org/officeDocument/2006/relationships/hyperlink" Target="https://www.instagram.com/jannatolhossein_com?utm_source=ig_web_button_share_sheet&amp;igsh=ZDNlZDc0MzIxNw==" TargetMode="External"/><Relationship Id="rId381" Type="http://schemas.openxmlformats.org/officeDocument/2006/relationships/hyperlink" Target="https://www.instagram.com/ashaganrogaya?utm_source=ig_web_button_share_sheet&amp;igsh=ZDNlZDc0MzIxNw==" TargetMode="External"/><Relationship Id="rId380" Type="http://schemas.openxmlformats.org/officeDocument/2006/relationships/hyperlink" Target="https://www.instagram.com/ansaralhosein_maragheh?utm_source=ig_web_button_share_sheet&amp;igsh=ZDNlZDc0MzIxNw==" TargetMode="External"/><Relationship Id="rId379" Type="http://schemas.openxmlformats.org/officeDocument/2006/relationships/hyperlink" Target="https://www.instagram.com/heiatolzahramr?utm_source=ig_web_button_share_sheet&amp;igsh=ZDNlZDc0MzIxNw==" TargetMode="External"/><Relationship Id="rId374" Type="http://schemas.openxmlformats.org/officeDocument/2006/relationships/hyperlink" Target="https://www.instagram.com/m_valiasr_kaleibar?utm_source=ig_web_button_share_sheet&amp;igsh=ZDNlZDc0MzIxNw==" TargetMode="External"/><Relationship Id="rId373" Type="http://schemas.openxmlformats.org/officeDocument/2006/relationships/hyperlink" Target="https://t.me/imamzadekaleibar" TargetMode="External"/><Relationship Id="rId372" Type="http://schemas.openxmlformats.org/officeDocument/2006/relationships/hyperlink" Target="https://www.instagram.com/emamzadeh_kaleybar?utm_source=ig_web_button_share_sheet&amp;igsh=ZDNlZDc0MzIxNw==" TargetMode="External"/><Relationship Id="rId371" Type="http://schemas.openxmlformats.org/officeDocument/2006/relationships/hyperlink" Target="https://t.me/heyaterogaye" TargetMode="External"/><Relationship Id="rId378" Type="http://schemas.openxmlformats.org/officeDocument/2006/relationships/hyperlink" Target="https://www.instagram.com/heyategasemebnelhasan?utm_source=ig_web_button_share_sheet&amp;igsh=ZDNlZDc0MzIxNw==" TargetMode="External"/><Relationship Id="rId377" Type="http://schemas.openxmlformats.org/officeDocument/2006/relationships/hyperlink" Target="https://eitaa.com/abasaleh_m1" TargetMode="External"/><Relationship Id="rId376" Type="http://schemas.openxmlformats.org/officeDocument/2006/relationships/hyperlink" Target="https://t.me/abasaleh_m1" TargetMode="External"/><Relationship Id="rId375" Type="http://schemas.openxmlformats.org/officeDocument/2006/relationships/hyperlink" Target="https://t.me/m_valiasr_kaleibar" TargetMode="External"/><Relationship Id="rId396" Type="http://schemas.openxmlformats.org/officeDocument/2006/relationships/hyperlink" Target="https://t.me/shohadayegomnam133" TargetMode="External"/><Relationship Id="rId395" Type="http://schemas.openxmlformats.org/officeDocument/2006/relationships/hyperlink" Target="https://www.instagram.com/shohadayegomnam110?utm_source=ig_web_button_share_sheet&amp;igsh=ZDNlZDc0MzIxNw==" TargetMode="External"/><Relationship Id="rId394" Type="http://schemas.openxmlformats.org/officeDocument/2006/relationships/hyperlink" Target="https://t.me/mosabnjafar_maraghe" TargetMode="External"/><Relationship Id="rId393" Type="http://schemas.openxmlformats.org/officeDocument/2006/relationships/hyperlink" Target="https://www.instagram.com/mosabnjafar_maraghe?utm_source=ig_web_button_share_sheet&amp;igsh=ZDNlZDc0MzIxNw==" TargetMode="External"/><Relationship Id="rId399" Type="http://schemas.openxmlformats.org/officeDocument/2006/relationships/hyperlink" Target="https://eitaa.com/maraghehac" TargetMode="External"/><Relationship Id="rId398" Type="http://schemas.openxmlformats.org/officeDocument/2006/relationships/hyperlink" Target="https://www.instagram.com/javanane.montazer?utm_source=ig_web_button_share_sheet&amp;igsh=ZDNlZDc0MzIxNw==" TargetMode="External"/><Relationship Id="rId397" Type="http://schemas.openxmlformats.org/officeDocument/2006/relationships/hyperlink" Target="https://eitaa.com/shohadayegomnammaraghe" TargetMode="External"/><Relationship Id="rId40" Type="http://schemas.openxmlformats.org/officeDocument/2006/relationships/hyperlink" Target="http://t.me/ansarolhadi_tabriz" TargetMode="External"/><Relationship Id="rId42" Type="http://schemas.openxmlformats.org/officeDocument/2006/relationships/hyperlink" Target="https://www.instagram.com/ansarolfateme/" TargetMode="External"/><Relationship Id="rId41" Type="http://schemas.openxmlformats.org/officeDocument/2006/relationships/hyperlink" Target="https://www.instagram.com/maktab_seyedolshohada/" TargetMode="External"/><Relationship Id="rId44" Type="http://schemas.openxmlformats.org/officeDocument/2006/relationships/hyperlink" Target="https://www.instagram.com/modafana_haram_hzrata_zaynab/" TargetMode="External"/><Relationship Id="rId43" Type="http://schemas.openxmlformats.org/officeDocument/2006/relationships/hyperlink" Target="https://www.instagram.com/ziarat_ashura_tabriz/" TargetMode="External"/><Relationship Id="rId46" Type="http://schemas.openxmlformats.org/officeDocument/2006/relationships/hyperlink" Target="https://www.instagram.com/gabas313/" TargetMode="External"/><Relationship Id="rId45" Type="http://schemas.openxmlformats.org/officeDocument/2006/relationships/hyperlink" Target="https://www.instagram.com/noorolhossein_ir/" TargetMode="External"/><Relationship Id="rId48" Type="http://schemas.openxmlformats.org/officeDocument/2006/relationships/hyperlink" Target="https://www.instagram.com/faezoun_tabriz/" TargetMode="External"/><Relationship Id="rId47" Type="http://schemas.openxmlformats.org/officeDocument/2006/relationships/hyperlink" Target="https://l.instagram.com/?u=https%3A%2F%2Ft.me%2Fgabas313%3Ffbclid%3DPAZXh0bgNhZW0CMTEAAacCDaRwIDAilyHgAJz5afeW1gXCoUk8Cp5bbMKmM4RhozyhJb7I0GzLmJTqaQ_aem_kiSb_xHfOZ5ITxreh3QIoQ&amp;e=AT1xpoff1hYS0Ku4fYPLfafnTPbfdyp0OWye4JoETZtEGvk0pkIoxPuugmESsEmXe0R0M4VPpaEm478Qwe4-YHSgZuNMcA2Q_iPPx-M26g" TargetMode="External"/><Relationship Id="rId49" Type="http://schemas.openxmlformats.org/officeDocument/2006/relationships/hyperlink" Target="https://www.instagram.com/bageriyetabriz/channel/" TargetMode="External"/><Relationship Id="rId31" Type="http://schemas.openxmlformats.org/officeDocument/2006/relationships/hyperlink" Target="https://l.instagram.com/?u=https%3A%2F%2Ft.me%2Fheyathonartabriz%3Ffbclid%3DPAZXh0bgNhZW0CMTEAAadFJ3aopsm-UPup_GwmJTR6WiwQFLDZBPH6XCjnvwn5uox4cU1tHmHx6n0HYg_aem_5asfFky6LDMesbctg4a58A&amp;e=AT0JOGjyoIfEYruR1cIgEhKL3cq6AdEPQiXzqPRh7869al6_fUxPETNF8714BRMnpHBArPa1zlMOBa_bGtYX7Rr2CfGgP8A5ICo3f0afhQ" TargetMode="External"/><Relationship Id="rId30" Type="http://schemas.openxmlformats.org/officeDocument/2006/relationships/hyperlink" Target="https://www.instagram.com/heyat.honar/" TargetMode="External"/><Relationship Id="rId33" Type="http://schemas.openxmlformats.org/officeDocument/2006/relationships/hyperlink" Target="https://www.instagram.com/montazerane_moud/" TargetMode="External"/><Relationship Id="rId32" Type="http://schemas.openxmlformats.org/officeDocument/2006/relationships/hyperlink" Target="https://www.instagram.com/ghasemiye_live/" TargetMode="External"/><Relationship Id="rId35" Type="http://schemas.openxmlformats.org/officeDocument/2006/relationships/hyperlink" Target="https://www.instagram.com/heyat.ashabalhosein.tabriz/" TargetMode="External"/><Relationship Id="rId34" Type="http://schemas.openxmlformats.org/officeDocument/2006/relationships/hyperlink" Target="https://l.instagram.com/?u=https%3A%2F%2Feitaa.com%2Fmontazerane_moud%3Ffbclid%3DPAZXh0bgNhZW0CMTEAAafcvSMLLqFC4bPj15xw11Cj-7cBlaFuFIfg55aC9zdOpDBLKm9NHT4PAi_Nbg_aem_mnjxSovYVmZ_hK94DezNdw&amp;e=AT1h8H1_Hag5-hcUWyVbtHLdQ1tgYdnw4K_LQVFOMnIqHsqWd1EocFzvPUOYqr9_JyZkI0upPYgm_Yq_hmJz0n1t9yP57regfHPZD7MIog" TargetMode="External"/><Relationship Id="rId37" Type="http://schemas.openxmlformats.org/officeDocument/2006/relationships/hyperlink" Target="https://www.instagram.com/heyatolrogaye/" TargetMode="External"/><Relationship Id="rId36" Type="http://schemas.openxmlformats.org/officeDocument/2006/relationships/hyperlink" Target="https://l.instagram.com/?u=https%3A%2F%2Ft.me%2Fashabalhoseintabriz%3Ffbclid%3DPAZXh0bgNhZW0CMTEAAaeRyksZn5CKRoz89lkZVBtnbvg2fSwNVYU_i9Y4bkEmuuIpprbBX9EsbF1pmA_aem_hyX65h6qcxAzovsoQGtp_w&amp;e=AT2S1SVpofKtCOlcD7mah9P0IgFPYtMFf2hC1lpqC6T4Ym7qIlvu76T3jY2lve4pOPvwZtCqxfrVnA2V8UTMLTLHzMPe4EVwI5BsPYnVUg" TargetMode="External"/><Relationship Id="rId39" Type="http://schemas.openxmlformats.org/officeDocument/2006/relationships/hyperlink" Target="https://www.instagram.com/ansarolhadi_tabriz/" TargetMode="External"/><Relationship Id="rId38" Type="http://schemas.openxmlformats.org/officeDocument/2006/relationships/hyperlink" Target="https://l.instagram.com/?u=http%3A%2F%2Ft.me%2Fheyatolrogaye%3Ffbclid%3DPAZXh0bgNhZW0CMTEAAaeEZz5DswkzQHopsC_5dBWwOCgZ7KCLCBBcL7hrhU0t8Pun3HJX45axa7trWQ_aem_Jz-XrGXqjzQ-JYTOPHWG1A&amp;e=AT1_qdN38SQaf12kO1nLccOvHOPwdSn1DzoJwiA9n4wL_fhDAREGn8Z86O8Ov5moV4KzQ6qwtTtakzDVq7JS-oHEbE0B3WdYTgVDNwCYYA" TargetMode="External"/><Relationship Id="rId20" Type="http://schemas.openxmlformats.org/officeDocument/2006/relationships/hyperlink" Target="https://www.instagram.com/mokabaliakbar/" TargetMode="External"/><Relationship Id="rId22" Type="http://schemas.openxmlformats.org/officeDocument/2006/relationships/hyperlink" Target="https://www.instagram.com/rayatolhossein_tabriz/" TargetMode="External"/><Relationship Id="rId21" Type="http://schemas.openxmlformats.org/officeDocument/2006/relationships/hyperlink" Target="https://t.me/s/aliakbartabriz1" TargetMode="External"/><Relationship Id="rId24" Type="http://schemas.openxmlformats.org/officeDocument/2006/relationships/hyperlink" Target="https://www.instagram.com/heyaat.mirchoopan/" TargetMode="External"/><Relationship Id="rId23" Type="http://schemas.openxmlformats.org/officeDocument/2006/relationships/hyperlink" Target="https://l.instagram.com/?u=https%3A%2F%2Ft.me%2Frayatolhossein_tabriz%3Ffbclid%3DPAZXh0bgNhZW0CMTEAAacoVp_7ctgtwYsyQlI9Uu3OcMdbU8s8fRzlIfFIOS5sbBS_rJtQxsF35XOQFg_aem_a478SeGWZT_HZgdDeI25Pg&amp;e=AT01icaFN7otfmyEAFYpGLCP9I-EAoCLnS_QdtaUEPD86j4bOMN8IhUVyxQzx-lioewMZ9WkfUiBCRCIm5ugdi7Tg1M75dRsSaDhg_icCg" TargetMode="External"/><Relationship Id="rId26" Type="http://schemas.openxmlformats.org/officeDocument/2006/relationships/hyperlink" Target="https://www.instagram.com/tasnimsarallahh/" TargetMode="External"/><Relationship Id="rId25" Type="http://schemas.openxmlformats.org/officeDocument/2006/relationships/hyperlink" Target="https://www.instagram.com/babolhosseintabriz/" TargetMode="External"/><Relationship Id="rId28" Type="http://schemas.openxmlformats.org/officeDocument/2006/relationships/hyperlink" Target="https://www.instagram.com/heyatolreza_/" TargetMode="External"/><Relationship Id="rId27" Type="http://schemas.openxmlformats.org/officeDocument/2006/relationships/hyperlink" Target="https://eitaa.com/tasnimsarallahh" TargetMode="External"/><Relationship Id="rId29" Type="http://schemas.openxmlformats.org/officeDocument/2006/relationships/hyperlink" Target="https://www.instagram.com/mokeb.beytolheydar/" TargetMode="External"/><Relationship Id="rId11" Type="http://schemas.openxmlformats.org/officeDocument/2006/relationships/hyperlink" Target="https://l.instagram.com/?u=https%3A%2F%2Frubika.ir%2Fmesbaholshia%3Ffbclid%3DPAZXh0bgNhZW0CMTEAAacVrcTYjRgZ7W57-bw0tdJJhCs196sLGgUKsOnEzWTdLwEi-mYZ72FslJi5HQ_aem_i-MXtIAGRPcqNPIHgXW1sg&amp;e=AT2-TQOfURxCPnMpMAv1YnuzFDpWeD7ymx9ioeOsHxH_ATYilnQ4pz0mPK9FhbJlGe6mVHEKTEnUMf7wn0IPYoWNccyvAKQNn9Dd2XzLUw" TargetMode="External"/><Relationship Id="rId10" Type="http://schemas.openxmlformats.org/officeDocument/2006/relationships/hyperlink" Target="https://www.instagram.com/h_mesbaholshia/" TargetMode="External"/><Relationship Id="rId13" Type="http://schemas.openxmlformats.org/officeDocument/2006/relationships/hyperlink" Target="https://www.instagram.com/sinezanan_ir/" TargetMode="External"/><Relationship Id="rId12" Type="http://schemas.openxmlformats.org/officeDocument/2006/relationships/hyperlink" Target="https://www.instagram.com/mokabearabebanihashem/" TargetMode="External"/><Relationship Id="rId15" Type="http://schemas.openxmlformats.org/officeDocument/2006/relationships/hyperlink" Target="https://www.instagram.com/abna.alhasan.tabriz/" TargetMode="External"/><Relationship Id="rId14" Type="http://schemas.openxmlformats.org/officeDocument/2006/relationships/hyperlink" Target="https://www.instagram.com/kheyme_roghayeh/" TargetMode="External"/><Relationship Id="rId17" Type="http://schemas.openxmlformats.org/officeDocument/2006/relationships/hyperlink" Target="https://l.instagram.com/?u=https%3A%2F%2Feitaa.com%2Fhamze_seyedalshohada%3Ffbclid%3DPAZXh0bgNhZW0CMTEAAadR--pQ0hip8OgOmsVV3QGIbVNH9j-wxhTnFZ3G-ZA-QBZDD6E98jSZOrOrVQ_aem_sBCmYgvHMOPOTJkmyZvEkw&amp;e=AT3s2TFfOvtvVXexPNiKmHKaFXQkDiCzcCrC_BkQ8G5aQI9-DT13oI74GuQmHbNwDATGgiFrjmArgGxugQ9xPfbHCW6dudSJ1gixpC6d5A" TargetMode="External"/><Relationship Id="rId16" Type="http://schemas.openxmlformats.org/officeDocument/2006/relationships/hyperlink" Target="https://www.instagram.com/hamze_seyad_alshohada/" TargetMode="External"/><Relationship Id="rId19" Type="http://schemas.openxmlformats.org/officeDocument/2006/relationships/hyperlink" Target="https://t.me/s/Shohadayekarbala_Ht" TargetMode="External"/><Relationship Id="rId18" Type="http://schemas.openxmlformats.org/officeDocument/2006/relationships/hyperlink" Target="https://www.instagram.com/heat_shohadaye_karbala_nobar/" TargetMode="External"/><Relationship Id="rId84" Type="http://schemas.openxmlformats.org/officeDocument/2006/relationships/hyperlink" Target="https://www.instagram.com/heyat_fatemeh_alzahra/" TargetMode="External"/><Relationship Id="rId83" Type="http://schemas.openxmlformats.org/officeDocument/2006/relationships/hyperlink" Target="https://www.instagram.com/akbarieh_khosrowshah/" TargetMode="External"/><Relationship Id="rId86" Type="http://schemas.openxmlformats.org/officeDocument/2006/relationships/hyperlink" Target="https://www.instagram.com/ashuraeyan_maragheh2/" TargetMode="External"/><Relationship Id="rId85" Type="http://schemas.openxmlformats.org/officeDocument/2006/relationships/hyperlink" Target="https://l.instagram.com/?u=https%3A%2F%2Ft.me%2Fheyat_gallery%3Ffbclid%3DPAZXh0bgNhZW0CMTEAAac85S6L4kN08is4IdBHnQvJU3Mvj88u0POwivtuJeHhGr-DVeyOly0obuAv6A_aem_hrpxp6TqXmYA_ddbXEha5A&amp;e=AT06cttE__ZMpjXmiQpcQVoxMI7RQSsPSvG_7dW2IqaKikBlHCcMSjA5ZpaKw3B8kcfc6jSJYk-a9ieH0HBvGog2h2HvImvjL8bXiqrlNA" TargetMode="External"/><Relationship Id="rId88" Type="http://schemas.openxmlformats.org/officeDocument/2006/relationships/hyperlink" Target="https://eitaa.com/heyat_razmandegan_osku1" TargetMode="External"/><Relationship Id="rId87" Type="http://schemas.openxmlformats.org/officeDocument/2006/relationships/hyperlink" Target="https://www.instagram.com/rayatolrezakondroud/" TargetMode="External"/><Relationship Id="rId89" Type="http://schemas.openxmlformats.org/officeDocument/2006/relationships/hyperlink" Target="https://www.instagram.com/mokebfatemiunosku?utm_source=ig_web_button_share_sheet&amp;igsh=ZDNlZDc0MzIxNw==" TargetMode="External"/><Relationship Id="rId80" Type="http://schemas.openxmlformats.org/officeDocument/2006/relationships/hyperlink" Target="https://www.instagram.com/maktabalshohada_tb/" TargetMode="External"/><Relationship Id="rId82" Type="http://schemas.openxmlformats.org/officeDocument/2006/relationships/hyperlink" Target="https://www.instagram.com/azakhane_akbariye/" TargetMode="External"/><Relationship Id="rId81" Type="http://schemas.openxmlformats.org/officeDocument/2006/relationships/hyperlink" Target="https://eitaa.com/s/maktab_alshouhada" TargetMode="External"/><Relationship Id="rId73" Type="http://schemas.openxmlformats.org/officeDocument/2006/relationships/hyperlink" Target="https://www.instagram.com/ansaralhusseintabriz/" TargetMode="External"/><Relationship Id="rId72" Type="http://schemas.openxmlformats.org/officeDocument/2006/relationships/hyperlink" Target="https://www.instagram.com/heyatemohammadrasolallah/" TargetMode="External"/><Relationship Id="rId75" Type="http://schemas.openxmlformats.org/officeDocument/2006/relationships/hyperlink" Target="https://www.instagram.com/heyate_almahdi/" TargetMode="External"/><Relationship Id="rId74" Type="http://schemas.openxmlformats.org/officeDocument/2006/relationships/hyperlink" Target="https://l.instagram.com/?u=https%3A%2F%2Ft.me%2Fansaralhussaintabriz%3Ffbclid%3DPAZXh0bgNhZW0CMTEAAadgNSLH7GunUD5iG4vjBlSSpeC9AJT4gvYOY0ZloK4NFeYbkrkmBY7qhtv6dg_aem_RC7Iyl12DEEQBKXN38Xlhw&amp;e=AT26C82KIlu_pTNUW3E_OBZGm1lg6a77wUnzJC5H2-e_JS_p-MguiRMej9IxYahec2UIVS8-9SqELJ6ymBeBngafZg3dW9h7L6LPuyYkoA" TargetMode="External"/><Relationship Id="rId77" Type="http://schemas.openxmlformats.org/officeDocument/2006/relationships/hyperlink" Target="http://eitaa.com/heyatealmahdi" TargetMode="External"/><Relationship Id="rId76" Type="http://schemas.openxmlformats.org/officeDocument/2006/relationships/hyperlink" Target="http://t.me/heyateealmahdi" TargetMode="External"/><Relationship Id="rId79" Type="http://schemas.openxmlformats.org/officeDocument/2006/relationships/hyperlink" Target="https://l.instagram.com/?u=https%3A%2F%2Feitaa.com%2Fvaresansarallah%3Ffbclid%3DPAZXh0bgNhZW0CMTEAAaeGIGyera98HCdARWUedsLXsUQY8CvtYiCwjnKJfHint79Abv0ly_yy-LSEKg_aem_ugkAMs7sxT379ydpgouadQ&amp;e=AT0NwFZMyheBXzY2IOM3LJXa2zScG2mMszUXxycZRuRXJgstZ75EnoSnJPl5AmhglTdkxod0YekJoyP7xM0FMIk79uE86b7sPhicTnqyfg" TargetMode="External"/><Relationship Id="rId78" Type="http://schemas.openxmlformats.org/officeDocument/2006/relationships/hyperlink" Target="https://www.instagram.com/varesan_sarallah/" TargetMode="External"/><Relationship Id="rId71" Type="http://schemas.openxmlformats.org/officeDocument/2006/relationships/hyperlink" Target="https://eitaa.com/shohadayeghomnamT" TargetMode="External"/><Relationship Id="rId70" Type="http://schemas.openxmlformats.org/officeDocument/2006/relationships/hyperlink" Target="https://www.instagram.com/shohadayegomnam.tabriz/" TargetMode="External"/><Relationship Id="rId62" Type="http://schemas.openxmlformats.org/officeDocument/2006/relationships/hyperlink" Target="https://www.instagram.com/rauofealetaha_ir/" TargetMode="External"/><Relationship Id="rId61" Type="http://schemas.openxmlformats.org/officeDocument/2006/relationships/hyperlink" Target="https://l.instagram.com/?u=https%3A%2F%2Ft.me%2Fsarallahm%3Ffbclid%3DPAZXh0bgNhZW0CMTEAAae-JxLPR77H02UftlqOLgZtE0lTxxATDVZtnaXqkj5_rXfGYCALywF8BvsLOA_aem_mJgDVaW90hGHuh0RvS6p-Q&amp;e=AT0UI7tDCI2chlSjgGlZj8rtUV640WWoREr14pLh9w5cDF6STHaqXvF2uYEFf5jvMCamPG3nB_R7P9Mn0s4MYjR0FEnsfN2v6vq5_3Hh1w" TargetMode="External"/><Relationship Id="rId64" Type="http://schemas.openxmlformats.org/officeDocument/2006/relationships/hyperlink" Target="https://www.instagram.com/bentolhossein_tb/" TargetMode="External"/><Relationship Id="rId63" Type="http://schemas.openxmlformats.org/officeDocument/2006/relationships/hyperlink" Target="https://www.instagram.com/ashegane_velayat_tabriz/" TargetMode="External"/><Relationship Id="rId66" Type="http://schemas.openxmlformats.org/officeDocument/2006/relationships/hyperlink" Target="https://www.instagram.com/eheyat_azsh/" TargetMode="External"/><Relationship Id="rId65" Type="http://schemas.openxmlformats.org/officeDocument/2006/relationships/hyperlink" Target="https://www.instagram.com/montazeranemahdi.tb/" TargetMode="External"/><Relationship Id="rId68" Type="http://schemas.openxmlformats.org/officeDocument/2006/relationships/hyperlink" Target="https://www.instagram.com/asheganeseidalshohada/" TargetMode="External"/><Relationship Id="rId67" Type="http://schemas.openxmlformats.org/officeDocument/2006/relationships/hyperlink" Target="https://www.instagram.com/heyat_ghamarbani_hashem_tabriz/" TargetMode="External"/><Relationship Id="rId60" Type="http://schemas.openxmlformats.org/officeDocument/2006/relationships/hyperlink" Target="https://www.instagram.com/sarallahm/" TargetMode="External"/><Relationship Id="rId69" Type="http://schemas.openxmlformats.org/officeDocument/2006/relationships/hyperlink" Target="https://l.instagram.com/?u=https%3A%2F%2Ftelegram.me%2FAsheganeSeidAlshohada%3Ffbclid%3DPAZXh0bgNhZW0CMTEAAacC2bpapGIqauE8l6qsegXAJYjMKB4XF-Z5-lUdjTVnhUNVPZ8tXB9B8Jtvrg_aem_y89ENa4rur_65JNaJMvFuw&amp;e=AT3ZVc2ADYvcnYssgifVGu74sKORM59yaCGvJFD4btbL21eIrNewd6g5b_K4okHo9N7IzChVC2b_wxJk7PWV5vcHEBe5Hi1Nka9xFLPfyQ" TargetMode="External"/><Relationship Id="rId51" Type="http://schemas.openxmlformats.org/officeDocument/2006/relationships/hyperlink" Target="https://l.instagram.com/?u=https%3A%2F%2Ft.me%2Fshahzadealiasgar%3Ffbclid%3DPAZXh0bgNhZW0CMTEAAafraeXJjMHSEPr_TdImkH4YcYJDl5qN1w90lRzUb2Nf-ioFgVKjevF2dum3yw_aem_60vAc8Y04Wfghsy9RabP1w&amp;e=AT2k_wT62ZFcBBPA4YAjwbohRZi7qLkLb2PxJ3X6xRJX9c2BMzkJnU12nrItOAt9tUhNDy72h9rxFu_AiCYG_myMXaGkXqgQiPHj42yYaQ" TargetMode="External"/><Relationship Id="rId50" Type="http://schemas.openxmlformats.org/officeDocument/2006/relationships/hyperlink" Target="https://www.instagram.com/shahzade.aliasghar.tabriz/" TargetMode="External"/><Relationship Id="rId53" Type="http://schemas.openxmlformats.org/officeDocument/2006/relationships/hyperlink" Target="https://www.instagram.com/heiaat_gaem/" TargetMode="External"/><Relationship Id="rId52" Type="http://schemas.openxmlformats.org/officeDocument/2006/relationships/hyperlink" Target="https://www.instagram.com/aghilatalarab_tb/" TargetMode="External"/><Relationship Id="rId55" Type="http://schemas.openxmlformats.org/officeDocument/2006/relationships/hyperlink" Target="https://www.instagram.com/zeinabietabriz/" TargetMode="External"/><Relationship Id="rId54" Type="http://schemas.openxmlformats.org/officeDocument/2006/relationships/hyperlink" Target="https://www.instagram.com/asheganealiakbar79/" TargetMode="External"/><Relationship Id="rId57" Type="http://schemas.openxmlformats.org/officeDocument/2006/relationships/hyperlink" Target="https://www.instagram.com/samenolaemeh1/" TargetMode="External"/><Relationship Id="rId56" Type="http://schemas.openxmlformats.org/officeDocument/2006/relationships/hyperlink" Target="https://www.instagram.com/hosseinebnali.ir/" TargetMode="External"/><Relationship Id="rId59" Type="http://schemas.openxmlformats.org/officeDocument/2006/relationships/hyperlink" Target="https://www.instagram.com/sobhevesal_ir/" TargetMode="External"/><Relationship Id="rId58" Type="http://schemas.openxmlformats.org/officeDocument/2006/relationships/hyperlink" Target="https://www.instagram.com/heyat_ansarolmahditabriz/" TargetMode="External"/><Relationship Id="rId349" Type="http://schemas.openxmlformats.org/officeDocument/2006/relationships/hyperlink" Target="https://www.instagram.com/kanunevaliasr_tabriz/" TargetMode="External"/><Relationship Id="rId348" Type="http://schemas.openxmlformats.org/officeDocument/2006/relationships/hyperlink" Target="https://eitaa.com/bsd_tabriz" TargetMode="External"/><Relationship Id="rId347" Type="http://schemas.openxmlformats.org/officeDocument/2006/relationships/hyperlink" Target="https://www.instagram.com/rahavard.tbz?utm_source=ig_web_button_share_sheet&amp;igsh=ZDNlZDc0MzIxNw==" TargetMode="External"/><Relationship Id="rId346" Type="http://schemas.openxmlformats.org/officeDocument/2006/relationships/hyperlink" Target="https://www.instagram.com/ghamar_monire_banihashem" TargetMode="External"/><Relationship Id="rId341" Type="http://schemas.openxmlformats.org/officeDocument/2006/relationships/hyperlink" Target="https://www.instagram.com/tabriz.nahad.ir?utm_source=ig_web_button_share_sheet&amp;igsh=ZDNlZDc0MzIxNw==" TargetMode="External"/><Relationship Id="rId340" Type="http://schemas.openxmlformats.org/officeDocument/2006/relationships/hyperlink" Target="https://www.instagram.com/koyfathemi_tabriz/?utm_source=ig_web_button_share_sheet" TargetMode="External"/><Relationship Id="rId345" Type="http://schemas.openxmlformats.org/officeDocument/2006/relationships/hyperlink" Target="https://t.me/imam_sajjad" TargetMode="External"/><Relationship Id="rId344" Type="http://schemas.openxmlformats.org/officeDocument/2006/relationships/hyperlink" Target="https://www.instagram.com/imam_sajjad_tabriz?utm_source=ig_web_button_share_sheet&amp;igsh=ZDNlZDc0MzIxNw==" TargetMode="External"/><Relationship Id="rId343" Type="http://schemas.openxmlformats.org/officeDocument/2006/relationships/hyperlink" Target="https://www.instagram.com/heyaate_azadaran_alaliatabriz/" TargetMode="External"/><Relationship Id="rId342" Type="http://schemas.openxmlformats.org/officeDocument/2006/relationships/hyperlink" Target="https://eitaa.com/nahad_tabriz" TargetMode="External"/><Relationship Id="rId338" Type="http://schemas.openxmlformats.org/officeDocument/2006/relationships/hyperlink" Target="https://www.instagram.com/heyat_hazrat_abolfazl_tabriz" TargetMode="External"/><Relationship Id="rId337" Type="http://schemas.openxmlformats.org/officeDocument/2006/relationships/hyperlink" Target="https://www.instagram.com/heiat_gamar_bani_hashem?utm_source=ig_web_button_share_sheet&amp;igsh=ZDNlZDc0MzIxNw==" TargetMode="External"/><Relationship Id="rId336" Type="http://schemas.openxmlformats.org/officeDocument/2006/relationships/hyperlink" Target="https://www.instagram.com/noorquran_ir" TargetMode="External"/><Relationship Id="rId335" Type="http://schemas.openxmlformats.org/officeDocument/2006/relationships/hyperlink" Target="https://www.instagram.com/sarallah_fajr" TargetMode="External"/><Relationship Id="rId339" Type="http://schemas.openxmlformats.org/officeDocument/2006/relationships/hyperlink" Target="https://www.instagram.com/mahdieh_taabriz/" TargetMode="External"/><Relationship Id="rId330" Type="http://schemas.openxmlformats.org/officeDocument/2006/relationships/hyperlink" Target="https://t.me/asgharieazametabriz" TargetMode="External"/><Relationship Id="rId334" Type="http://schemas.openxmlformats.org/officeDocument/2006/relationships/hyperlink" Target="https://www.instagram.com/mohebbane_baghei" TargetMode="External"/><Relationship Id="rId333" Type="http://schemas.openxmlformats.org/officeDocument/2006/relationships/hyperlink" Target="https://www.instagram.com/javanan_banihashm.tb?utm_source=ig_web_button_share_sheet&amp;igsh=ZDNlZDc0MzIxNw==" TargetMode="External"/><Relationship Id="rId332" Type="http://schemas.openxmlformats.org/officeDocument/2006/relationships/hyperlink" Target="https://www.instagram.com/javanan_banihashem_tabriz?utm_source=ig_web_button_share_sheet&amp;igsh=ZDNlZDc0MzIxNw==" TargetMode="External"/><Relationship Id="rId331" Type="http://schemas.openxmlformats.org/officeDocument/2006/relationships/hyperlink" Target="https://www.instagram.com/peyrovane.alehashem?utm_source=ig_web_button_share_sheet&amp;igsh=ZDNlZDc0MzIxNw==" TargetMode="External"/><Relationship Id="rId370" Type="http://schemas.openxmlformats.org/officeDocument/2006/relationships/hyperlink" Target="https://www.instagram.com/heyaterogaye?utm_source=ig_web_button_share_sheet&amp;igsh=ZDNlZDc0MzIxNw==" TargetMode="External"/><Relationship Id="rId369" Type="http://schemas.openxmlformats.org/officeDocument/2006/relationships/hyperlink" Target="https://www.instagram.com/heyat_sarallh_shabestar?utm_source=ig_web_button_share_sheet&amp;igsh=ZDNlZDc0MzIxNw==" TargetMode="External"/><Relationship Id="rId368" Type="http://schemas.openxmlformats.org/officeDocument/2006/relationships/hyperlink" Target="https://www.instagram.com/_shahhosein_goyandaryan1400?utm_source=ig_web_button_share_sheet&amp;igsh=ZDNlZDc0MzIxNw==" TargetMode="External"/><Relationship Id="rId363" Type="http://schemas.openxmlformats.org/officeDocument/2006/relationships/hyperlink" Target="https://eitaa.com/Rahpoyankosarfatemeye" TargetMode="External"/><Relationship Id="rId362" Type="http://schemas.openxmlformats.org/officeDocument/2006/relationships/hyperlink" Target="https://www.instagram.com/rahpuyanekosar?utm_source=ig_web_button_share_sheet&amp;igsh=ZDNlZDc0MzIxNw==" TargetMode="External"/><Relationship Id="rId361" Type="http://schemas.openxmlformats.org/officeDocument/2006/relationships/hyperlink" Target="https://www.instagram.com/heyat_rahrovan_hazrate_zeynab/" TargetMode="External"/><Relationship Id="rId360" Type="http://schemas.openxmlformats.org/officeDocument/2006/relationships/hyperlink" Target="https://www.instagram.com/pabusanemamreza.tabriz/" TargetMode="External"/><Relationship Id="rId367" Type="http://schemas.openxmlformats.org/officeDocument/2006/relationships/hyperlink" Target="https://eitaa.com/hayat_aliasgar_sarab" TargetMode="External"/><Relationship Id="rId366" Type="http://schemas.openxmlformats.org/officeDocument/2006/relationships/hyperlink" Target="https://t.me/hoseynie_aharloo" TargetMode="External"/><Relationship Id="rId365" Type="http://schemas.openxmlformats.org/officeDocument/2006/relationships/hyperlink" Target="https://www.instagram.com/aharloo.sarab?utm_source=ig_web_button_share_sheet&amp;igsh=ZDNlZDc0MzIxNw==" TargetMode="External"/><Relationship Id="rId364" Type="http://schemas.openxmlformats.org/officeDocument/2006/relationships/hyperlink" Target="https://www.instagram.com/h.a.alamdar?utm_source=ig_web_button_share_sheet&amp;igsh=ZDNlZDc0MzIxNw==" TargetMode="External"/><Relationship Id="rId95" Type="http://schemas.openxmlformats.org/officeDocument/2006/relationships/hyperlink" Target="https://t.me/mohebban213_ir" TargetMode="External"/><Relationship Id="rId94" Type="http://schemas.openxmlformats.org/officeDocument/2006/relationships/hyperlink" Target="https://www.instagram.com/mohebban213_ir?utm_source=ig_web_button_share_sheet&amp;igsh=ZDNlZDc0MzIxNw==" TargetMode="External"/><Relationship Id="rId97" Type="http://schemas.openxmlformats.org/officeDocument/2006/relationships/hyperlink" Target="https://www.instagram.com/heyat_mohebin_sahand" TargetMode="External"/><Relationship Id="rId96" Type="http://schemas.openxmlformats.org/officeDocument/2006/relationships/hyperlink" Target="https://www.instagram.com/heyat.abolfazl.bayram/" TargetMode="External"/><Relationship Id="rId99" Type="http://schemas.openxmlformats.org/officeDocument/2006/relationships/hyperlink" Target="https://www.instagram.com/montazeran.zohur.ahar?utm_source=ig_web_button_share_sheet&amp;igsh=ZDNlZDc0MzIxNw==" TargetMode="External"/><Relationship Id="rId98" Type="http://schemas.openxmlformats.org/officeDocument/2006/relationships/hyperlink" Target="https://www.instagram.com/saralahahar?utm_source=ig_web_button_share_sheet&amp;igsh=ZDNlZDc0MzIxNw==" TargetMode="External"/><Relationship Id="rId91" Type="http://schemas.openxmlformats.org/officeDocument/2006/relationships/hyperlink" Target="https://www.instagram.com/heiatesamen?utm_source=ig_web_button_share_sheet&amp;igsh=ZDNlZDc0MzIxNw==" TargetMode="External"/><Relationship Id="rId90" Type="http://schemas.openxmlformats.org/officeDocument/2006/relationships/hyperlink" Target="https://t.me/arbaeinosku" TargetMode="External"/><Relationship Id="rId93" Type="http://schemas.openxmlformats.org/officeDocument/2006/relationships/hyperlink" Target="https://t.me/bdsut_ir" TargetMode="External"/><Relationship Id="rId92" Type="http://schemas.openxmlformats.org/officeDocument/2006/relationships/hyperlink" Target="https://www.instagram.com/heyat_yahosein_oskou?utm_source=ig_web_button_share_sheet&amp;igsh=ZDNlZDc0MzIxNw==" TargetMode="External"/><Relationship Id="rId359" Type="http://schemas.openxmlformats.org/officeDocument/2006/relationships/hyperlink" Target="https://www.instagram.com/ya_hoseine_mazloum_tabriz" TargetMode="External"/><Relationship Id="rId358" Type="http://schemas.openxmlformats.org/officeDocument/2006/relationships/hyperlink" Target="https://www.instagram.com/asheghanebagitabriz?utm_source=ig_web_button_share_sheet&amp;igsh=ZDNlZDc0MzIxNw==" TargetMode="External"/><Relationship Id="rId357" Type="http://schemas.openxmlformats.org/officeDocument/2006/relationships/hyperlink" Target="https://www.instagram.com/javanan_banihashm.tb/" TargetMode="External"/><Relationship Id="rId352" Type="http://schemas.openxmlformats.org/officeDocument/2006/relationships/hyperlink" Target="https://t.me/heyatemohammadrasolallah" TargetMode="External"/><Relationship Id="rId351" Type="http://schemas.openxmlformats.org/officeDocument/2006/relationships/hyperlink" Target="https://www.instagram.com/mohammadrasolallahtabriz110?utm_source=ig_web_button_share_sheet&amp;igsh=ZDNlZDc0MzIxNw==" TargetMode="External"/><Relationship Id="rId350" Type="http://schemas.openxmlformats.org/officeDocument/2006/relationships/hyperlink" Target="https://t.me/negar_shohadayekarbala1330" TargetMode="External"/><Relationship Id="rId356" Type="http://schemas.openxmlformats.org/officeDocument/2006/relationships/hyperlink" Target="https://www.instagram.com/hazratezahra_ir/" TargetMode="External"/><Relationship Id="rId355" Type="http://schemas.openxmlformats.org/officeDocument/2006/relationships/hyperlink" Target="https://www.instagram.com/tbzmed" TargetMode="External"/><Relationship Id="rId354" Type="http://schemas.openxmlformats.org/officeDocument/2006/relationships/hyperlink" Target="https://t.me/negar_shohadayekarbala1330" TargetMode="External"/><Relationship Id="rId353" Type="http://schemas.openxmlformats.org/officeDocument/2006/relationships/hyperlink" Target="https://www.instagram.com/shohadayekarbala1330/" TargetMode="External"/><Relationship Id="rId305" Type="http://schemas.openxmlformats.org/officeDocument/2006/relationships/hyperlink" Target="https://www.instagram.com/heyat_ansarolmahditabriz?utm_source=ig_web_button_share_sheet&amp;igsh=ZDNlZDc0MzIxNw==" TargetMode="External"/><Relationship Id="rId304" Type="http://schemas.openxmlformats.org/officeDocument/2006/relationships/hyperlink" Target="https://www.instagram.com/heyat_alzahra.ir?utm_source=ig_web_button_share_sheet&amp;igsh=ZDNlZDc0MzIxNw==" TargetMode="External"/><Relationship Id="rId303" Type="http://schemas.openxmlformats.org/officeDocument/2006/relationships/hyperlink" Target="https://www.instagram.com/abbasie_charandab?utm_source=ig_web_button_share_sheet&amp;igsh=ZDNlZDc0MzIxNw==" TargetMode="External"/><Relationship Id="rId302" Type="http://schemas.openxmlformats.org/officeDocument/2006/relationships/hyperlink" Target="https://www.instagram.com/fatematol_zahra?utm_source=ig_web_button_share_sheet&amp;igsh=ZDNlZDc0MzIxNw==" TargetMode="External"/><Relationship Id="rId309" Type="http://schemas.openxmlformats.org/officeDocument/2006/relationships/hyperlink" Target="https://t.me/VaresanSarallahTabriz1" TargetMode="External"/><Relationship Id="rId308" Type="http://schemas.openxmlformats.org/officeDocument/2006/relationships/hyperlink" Target="https://www.instagram.com/varesansarallah?utm_source=ig_web_button_share_sheet&amp;igsh=ZDNlZDc0MzIxNw==" TargetMode="External"/><Relationship Id="rId307" Type="http://schemas.openxmlformats.org/officeDocument/2006/relationships/hyperlink" Target="https://eitaa.com/ansarolmahditabriz" TargetMode="External"/><Relationship Id="rId306" Type="http://schemas.openxmlformats.org/officeDocument/2006/relationships/hyperlink" Target="https://t.me/heyatansarolmahditabriz" TargetMode="External"/><Relationship Id="rId301" Type="http://schemas.openxmlformats.org/officeDocument/2006/relationships/hyperlink" Target="https://www.instagram.com/ansar_bagher_al_ouloum?utm_source=ig_web_button_share_sheet&amp;igsh=ZDNlZDc0MzIxNw==" TargetMode="External"/><Relationship Id="rId300" Type="http://schemas.openxmlformats.org/officeDocument/2006/relationships/hyperlink" Target="https://www.instagram.com/heyat_samenalaemeh?utm_source=ig_web_button_share_sheet&amp;igsh=ZDNlZDc0MzIxNw==" TargetMode="External"/><Relationship Id="rId327" Type="http://schemas.openxmlformats.org/officeDocument/2006/relationships/hyperlink" Target="https://www.instagram.com/mokab.babalhavaej.tabriz?utm_source=ig_web_button_share_sheet&amp;igsh=ZDNlZDc0MzIxNw==" TargetMode="External"/><Relationship Id="rId326" Type="http://schemas.openxmlformats.org/officeDocument/2006/relationships/hyperlink" Target="https://t.me/kheimealiasghar" TargetMode="External"/><Relationship Id="rId325" Type="http://schemas.openxmlformats.org/officeDocument/2006/relationships/hyperlink" Target="https://www.instagram.com/kheimealiasghar?utm_source=ig_web_button_share_sheet&amp;igsh=ZDNlZDc0MzIxNw==" TargetMode="External"/><Relationship Id="rId324" Type="http://schemas.openxmlformats.org/officeDocument/2006/relationships/hyperlink" Target="https://www.instagram.com/heyat_sajjadiyetabriz?utm_source=ig_web_button_share_sheet&amp;igsh=ZDNlZDc0MzIxNw==" TargetMode="External"/><Relationship Id="rId329" Type="http://schemas.openxmlformats.org/officeDocument/2006/relationships/hyperlink" Target="https://www.instagram.com/asgharieazametabriz?utm_source=ig_web_button_share_sheet&amp;igsh=ZDNlZDc0MzIxNw==" TargetMode="External"/><Relationship Id="rId328" Type="http://schemas.openxmlformats.org/officeDocument/2006/relationships/hyperlink" Target="https://www.instagram.com/aba_taleb_ir?utm_source=ig_web_button_share_sheet&amp;igsh=ZDNlZDc0MzIxNw==" TargetMode="External"/><Relationship Id="rId323" Type="http://schemas.openxmlformats.org/officeDocument/2006/relationships/hyperlink" Target="https://eitaa.com/heiatalemohammad" TargetMode="External"/><Relationship Id="rId322" Type="http://schemas.openxmlformats.org/officeDocument/2006/relationships/hyperlink" Target="https://t.me/cfu_fatemiyon" TargetMode="External"/><Relationship Id="rId321" Type="http://schemas.openxmlformats.org/officeDocument/2006/relationships/hyperlink" Target="https://www.instagram.com/cfu.fatemiyon?utm_source=ig_web_button_share_sheet&amp;igsh=ZDNlZDc0MzIxNw==" TargetMode="External"/><Relationship Id="rId320" Type="http://schemas.openxmlformats.org/officeDocument/2006/relationships/hyperlink" Target="https://eitaa.com/serattb" TargetMode="External"/><Relationship Id="rId316" Type="http://schemas.openxmlformats.org/officeDocument/2006/relationships/hyperlink" Target="https://t.me/azzahraetabriz" TargetMode="External"/><Relationship Id="rId315" Type="http://schemas.openxmlformats.org/officeDocument/2006/relationships/hyperlink" Target="https://www.instagram.com/azzahraetabriz?utm_source=ig_web_button_share_sheet&amp;igsh=ZDNlZDc0MzIxNw==" TargetMode="External"/><Relationship Id="rId314" Type="http://schemas.openxmlformats.org/officeDocument/2006/relationships/hyperlink" Target="https://www.instagram.com/heiate_baghmishe?utm_source=ig_web_button_share_sheet&amp;igsh=ZDNlZDc0MzIxNw==" TargetMode="External"/><Relationship Id="rId313" Type="http://schemas.openxmlformats.org/officeDocument/2006/relationships/hyperlink" Target="https://t.me/AKBARIYEHshotorban" TargetMode="External"/><Relationship Id="rId319" Type="http://schemas.openxmlformats.org/officeDocument/2006/relationships/hyperlink" Target="https://www.instagram.com/serat.tb?utm_source=ig_web_button_share_sheet&amp;igsh=ZDNlZDc0MzIxNw==" TargetMode="External"/><Relationship Id="rId318" Type="http://schemas.openxmlformats.org/officeDocument/2006/relationships/hyperlink" Target="https://www.instagram.com/shamsevelayat?utm_source=ig_web_button_share_sheet&amp;igsh=ZDNlZDc0MzIxNw==" TargetMode="External"/><Relationship Id="rId317" Type="http://schemas.openxmlformats.org/officeDocument/2006/relationships/hyperlink" Target="https://eitaa.com/azzahraetabriz" TargetMode="External"/><Relationship Id="rId312" Type="http://schemas.openxmlformats.org/officeDocument/2006/relationships/hyperlink" Target="https://www.instagram.com/akbariyeh_shotorban_ir?utm_source=ig_web_button_share_sheet&amp;igsh=ZDNlZDc0MzIxNw==" TargetMode="External"/><Relationship Id="rId311" Type="http://schemas.openxmlformats.org/officeDocument/2006/relationships/hyperlink" Target="https://eitaa.com/heyat_chahardah_masom" TargetMode="External"/><Relationship Id="rId310" Type="http://schemas.openxmlformats.org/officeDocument/2006/relationships/hyperlink" Target="https://www.instagram.com/maktabol_abbas_tabriz?utm_source=ig_web_button_share_sheet&amp;igsh=ZDNlZDc0MzIxNw==" TargetMode="External"/><Relationship Id="rId297" Type="http://schemas.openxmlformats.org/officeDocument/2006/relationships/hyperlink" Target="https://www.instagram.com/mesbah_olhoda_tb?utm_source=ig_web_button_share_sheet&amp;igsh=ZDNlZDc0MzIxNw==" TargetMode="External"/><Relationship Id="rId296" Type="http://schemas.openxmlformats.org/officeDocument/2006/relationships/hyperlink" Target="https://www.instagram.com/pabusan.ir?utm_source=ig_web_button_share_sheet&amp;igsh=ZDNlZDc0MzIxNw==" TargetMode="External"/><Relationship Id="rId295" Type="http://schemas.openxmlformats.org/officeDocument/2006/relationships/hyperlink" Target="https://www.instagram.com/emam_javadolaeme?utm_source=ig_web_button_share_sheet&amp;igsh=ZDNlZDc0MzIxNw==" TargetMode="External"/><Relationship Id="rId294" Type="http://schemas.openxmlformats.org/officeDocument/2006/relationships/hyperlink" Target="https://eitaa.com/fatemiyyontabriz" TargetMode="External"/><Relationship Id="rId299" Type="http://schemas.openxmlformats.org/officeDocument/2006/relationships/hyperlink" Target="https://www.instagram.com/hazrate.rogeye?utm_source=ig_web_button_share_sheet&amp;igsh=ZDNlZDc0MzIxNw==" TargetMode="External"/><Relationship Id="rId298" Type="http://schemas.openxmlformats.org/officeDocument/2006/relationships/hyperlink" Target="https://t.me/mesbaholhodatabriz" TargetMode="External"/><Relationship Id="rId271" Type="http://schemas.openxmlformats.org/officeDocument/2006/relationships/hyperlink" Target="https://www.instagram.com/elalhabib_1401?utm_source=ig_web_button_share_sheet&amp;igsh=ZDNlZDc0MzIxNw==" TargetMode="External"/><Relationship Id="rId270" Type="http://schemas.openxmlformats.org/officeDocument/2006/relationships/hyperlink" Target="https://www.instagram.com/yahosseinefatehetabriz?utm_source=ig_web_button_share_sheet&amp;igsh=ZDNlZDc0MzIxNw==" TargetMode="External"/><Relationship Id="rId269" Type="http://schemas.openxmlformats.org/officeDocument/2006/relationships/hyperlink" Target="https://t.me/YAHOSEINEMAZLOMETABRIZ" TargetMode="External"/><Relationship Id="rId264" Type="http://schemas.openxmlformats.org/officeDocument/2006/relationships/hyperlink" Target="https://www.instagram.com/sirat.media?utm_source=ig_web_button_share_sheet&amp;igsh=ZDNlZDc0MzIxNw==" TargetMode="External"/><Relationship Id="rId263" Type="http://schemas.openxmlformats.org/officeDocument/2006/relationships/hyperlink" Target="https://eitaa.com/heyatshohadayeghomnam" TargetMode="External"/><Relationship Id="rId262" Type="http://schemas.openxmlformats.org/officeDocument/2006/relationships/hyperlink" Target="https://t.me/publictabrizuniversity" TargetMode="External"/><Relationship Id="rId261" Type="http://schemas.openxmlformats.org/officeDocument/2006/relationships/hyperlink" Target="https://www.instagram.com/safineh_nejaat?utm_source=ig_web_button_share_sheet&amp;igsh=ZDNlZDc0MzIxNw==" TargetMode="External"/><Relationship Id="rId268" Type="http://schemas.openxmlformats.org/officeDocument/2006/relationships/hyperlink" Target="https://www.instagram.com/heyat_yahosein.shahid_tabriz?utm_source=ig_web_button_share_sheet&amp;igsh=ZDNlZDc0MzIxNw==" TargetMode="External"/><Relationship Id="rId267" Type="http://schemas.openxmlformats.org/officeDocument/2006/relationships/hyperlink" Target="https://t.me/hyhsh" TargetMode="External"/><Relationship Id="rId266" Type="http://schemas.openxmlformats.org/officeDocument/2006/relationships/hyperlink" Target="https://www.instagram.com/y.hossein.shahid?utm_source=ig_web_button_share_sheet&amp;igsh=ZDNlZDc0MzIxNw==" TargetMode="External"/><Relationship Id="rId265" Type="http://schemas.openxmlformats.org/officeDocument/2006/relationships/hyperlink" Target="https://www.instagram.com/jalaseh_zeyarat_ashora?utm_source=ig_web_button_share_sheet&amp;igsh=ZDNlZDc0MzIxNw==" TargetMode="External"/><Relationship Id="rId260" Type="http://schemas.openxmlformats.org/officeDocument/2006/relationships/hyperlink" Target="https://eitaa.com/shorayeheyatmazhabitabriz" TargetMode="External"/><Relationship Id="rId259" Type="http://schemas.openxmlformats.org/officeDocument/2006/relationships/hyperlink" Target="https://www.instagram.com/heiat.moslemie?utm_source=ig_web_button_share_sheet&amp;igsh=ZDNlZDc0MzIxNw==" TargetMode="External"/><Relationship Id="rId258" Type="http://schemas.openxmlformats.org/officeDocument/2006/relationships/hyperlink" Target="https://www.instagram.com/mokabaliakbar?utm_source=ig_web_button_share_sheet&amp;igsh=ZDNlZDc0MzIxNw==" TargetMode="External"/><Relationship Id="rId253" Type="http://schemas.openxmlformats.org/officeDocument/2006/relationships/hyperlink" Target="https://www.instagram.com/mokabolabas_tabriz?utm_source=ig_web_button_share_sheet&amp;igsh=ZDNlZDc0MzIxNw==" TargetMode="External"/><Relationship Id="rId252" Type="http://schemas.openxmlformats.org/officeDocument/2006/relationships/hyperlink" Target="https://eitaa.com/heyat_maktabolzahra_tbz" TargetMode="External"/><Relationship Id="rId251" Type="http://schemas.openxmlformats.org/officeDocument/2006/relationships/hyperlink" Target="https://www.instagram.com/maktabzahra97?utm_source=ig_web_button_share_sheet&amp;igsh=ZDNlZDc0MzIxNw==" TargetMode="External"/><Relationship Id="rId250" Type="http://schemas.openxmlformats.org/officeDocument/2006/relationships/hyperlink" Target="https://t.me/hyt_asheghan_hzrt_abolfazl90" TargetMode="External"/><Relationship Id="rId257" Type="http://schemas.openxmlformats.org/officeDocument/2006/relationships/hyperlink" Target="https://t.me/HEYATMSETABRIZ" TargetMode="External"/><Relationship Id="rId256" Type="http://schemas.openxmlformats.org/officeDocument/2006/relationships/hyperlink" Target="https://www.instagram.com/heyatmsetabriz.info?utm_source=ig_web_button_share_sheet&amp;igsh=ZDNlZDc0MzIxNw==" TargetMode="External"/><Relationship Id="rId255" Type="http://schemas.openxmlformats.org/officeDocument/2006/relationships/hyperlink" Target="https://eitaa.com/basijnews_tabriz" TargetMode="External"/><Relationship Id="rId254" Type="http://schemas.openxmlformats.org/officeDocument/2006/relationships/hyperlink" Target="https://t.me/MAHABOLFAZL" TargetMode="External"/><Relationship Id="rId293" Type="http://schemas.openxmlformats.org/officeDocument/2006/relationships/hyperlink" Target="https://www.instagram.com/fatemiyyontabriz?utm_source=ig_web_button_share_sheet&amp;igsh=ZDNlZDc0MzIxNw==" TargetMode="External"/><Relationship Id="rId292" Type="http://schemas.openxmlformats.org/officeDocument/2006/relationships/hyperlink" Target="https://www.instagram.com/fatemiyune.tabriz?utm_source=ig_web_button_share_sheet&amp;igsh=ZDNlZDc0MzIxNw==" TargetMode="External"/><Relationship Id="rId291" Type="http://schemas.openxmlformats.org/officeDocument/2006/relationships/hyperlink" Target="https://eitaa.com/maktabegoorantabriz" TargetMode="External"/><Relationship Id="rId290" Type="http://schemas.openxmlformats.org/officeDocument/2006/relationships/hyperlink" Target="https://www.instagram.com/chahardahmasom.charandab?utm_source=ig_web_button_share_sheet&amp;igsh=ZDNlZDc0MzIxNw==" TargetMode="External"/><Relationship Id="rId286" Type="http://schemas.openxmlformats.org/officeDocument/2006/relationships/hyperlink" Target="https://www.instagram.com/heyate_maktabe_hossein_1387?utm_source=ig_web_button_share_sheet&amp;igsh=ZDNlZDc0MzIxNw==" TargetMode="External"/><Relationship Id="rId285" Type="http://schemas.openxmlformats.org/officeDocument/2006/relationships/hyperlink" Target="https://t.me/maktabonnabitabriz" TargetMode="External"/><Relationship Id="rId284" Type="http://schemas.openxmlformats.org/officeDocument/2006/relationships/hyperlink" Target="https://www.instagram.com/maktabonabitabriz?utm_source=ig_web_button_share_sheet&amp;igsh=ZDNlZDc0MzIxNw==" TargetMode="External"/><Relationship Id="rId283" Type="http://schemas.openxmlformats.org/officeDocument/2006/relationships/hyperlink" Target="https://www.instagram.com/samenolaemeh1?utm_source=ig_web_button_share_sheet&amp;igsh=ZDNlZDc0MzIxNw==" TargetMode="External"/><Relationship Id="rId289" Type="http://schemas.openxmlformats.org/officeDocument/2006/relationships/hyperlink" Target="https://www.instagram.com/zanjir_charandab?utm_source=ig_web_button_share_sheet&amp;igsh=ZDNlZDc0MzIxNw==" TargetMode="External"/><Relationship Id="rId288" Type="http://schemas.openxmlformats.org/officeDocument/2006/relationships/hyperlink" Target="https://eitaa.com/sinezanan_shotorban_tabriz" TargetMode="External"/><Relationship Id="rId287" Type="http://schemas.openxmlformats.org/officeDocument/2006/relationships/hyperlink" Target="https://t.me/maktabalhoseiyn" TargetMode="External"/><Relationship Id="rId282" Type="http://schemas.openxmlformats.org/officeDocument/2006/relationships/hyperlink" Target="https://www.instagram.com/dastajat_maralan?utm_source=ig_web_button_share_sheet&amp;igsh=ZDNlZDc0MzIxNw==" TargetMode="External"/><Relationship Id="rId281" Type="http://schemas.openxmlformats.org/officeDocument/2006/relationships/hyperlink" Target="https://eitaa.com/howzehtabriz313" TargetMode="External"/><Relationship Id="rId280" Type="http://schemas.openxmlformats.org/officeDocument/2006/relationships/hyperlink" Target="https://www.instagram.com/hoze_valeasr_tabriz?utm_source=ig_web_button_share_sheet&amp;igsh=ZDNlZDc0MzIxNw==" TargetMode="External"/><Relationship Id="rId275" Type="http://schemas.openxmlformats.org/officeDocument/2006/relationships/hyperlink" Target="https://www.instagram.com/noorquran_ir?utm_source=ig_web_button_share_sheet&amp;igsh=ZDNlZDc0MzIxNw==" TargetMode="External"/><Relationship Id="rId274" Type="http://schemas.openxmlformats.org/officeDocument/2006/relationships/hyperlink" Target="https://t.me/janesarantabriz69" TargetMode="External"/><Relationship Id="rId273" Type="http://schemas.openxmlformats.org/officeDocument/2006/relationships/hyperlink" Target="https://www.instagram.com/jannesarane_tabriz?utm_source=ig_web_button_share_sheet&amp;igsh=ZDNlZDc0MzIxNw==" TargetMode="External"/><Relationship Id="rId272" Type="http://schemas.openxmlformats.org/officeDocument/2006/relationships/hyperlink" Target="https://eitaa.com/elalhabibk" TargetMode="External"/><Relationship Id="rId279" Type="http://schemas.openxmlformats.org/officeDocument/2006/relationships/hyperlink" Target="https://t.me/babalhavaejan" TargetMode="External"/><Relationship Id="rId278" Type="http://schemas.openxmlformats.org/officeDocument/2006/relationships/hyperlink" Target="https://www.instagram.com/heyat_babal_havaej_1401?utm_source=ig_web_button_share_sheet&amp;igsh=ZDNlZDc0MzIxNw==" TargetMode="External"/><Relationship Id="rId277" Type="http://schemas.openxmlformats.org/officeDocument/2006/relationships/hyperlink" Target="https://www.instagram.com/majmaol_zakerin_tabriz?utm_source=ig_web_button_share_sheet&amp;igsh=ZDNlZDc0MzIxNw==" TargetMode="External"/><Relationship Id="rId276" Type="http://schemas.openxmlformats.org/officeDocument/2006/relationships/hyperlink" Target="https://eitaa.com/noorquran_ir" TargetMode="External"/><Relationship Id="rId228" Type="http://schemas.openxmlformats.org/officeDocument/2006/relationships/hyperlink" Target="https://www.instagram.com/zanjir.maralan?utm_source=ig_web_button_share_sheet&amp;igsh=ZDNlZDc0MzIxNw==" TargetMode="External"/><Relationship Id="rId227" Type="http://schemas.openxmlformats.org/officeDocument/2006/relationships/hyperlink" Target="https://www.instagram.com/deldadegan_zahra?utm_source=ig_web_button_share_sheet&amp;igsh=ZDNlZDc0MzIxNw==" TargetMode="External"/><Relationship Id="rId226" Type="http://schemas.openxmlformats.org/officeDocument/2006/relationships/hyperlink" Target="https://www.instagram.com/moshtagan_tabriz?utm_source=ig_web_button_share_sheet&amp;igsh=ZDNlZDc0MzIxNw==" TargetMode="External"/><Relationship Id="rId225" Type="http://schemas.openxmlformats.org/officeDocument/2006/relationships/hyperlink" Target="https://t.me/panjtane_aleaba_tabriz" TargetMode="External"/><Relationship Id="rId229" Type="http://schemas.openxmlformats.org/officeDocument/2006/relationships/hyperlink" Target="https://t.me/zanjir_maralan" TargetMode="External"/><Relationship Id="rId220" Type="http://schemas.openxmlformats.org/officeDocument/2006/relationships/hyperlink" Target="https://www.instagram.com/jannatol_hossein_tabriz?utm_source=ig_web_button_share_sheet&amp;igsh=ZDNlZDc0MzIxNw==" TargetMode="External"/><Relationship Id="rId224" Type="http://schemas.openxmlformats.org/officeDocument/2006/relationships/hyperlink" Target="https://www.instagram.com/heyatazadarana_panjtan?utm_source=ig_web_button_share_sheet&amp;igsh=ZDNlZDc0MzIxNw==" TargetMode="External"/><Relationship Id="rId223" Type="http://schemas.openxmlformats.org/officeDocument/2006/relationships/hyperlink" Target="https://eitaa.com/ashgkarbala" TargetMode="External"/><Relationship Id="rId222" Type="http://schemas.openxmlformats.org/officeDocument/2006/relationships/hyperlink" Target="https://www.instagram.com/heyateasheganekarbala?utm_source=ig_web_button_share_sheet&amp;igsh=ZDNlZDc0MzIxNw==" TargetMode="External"/><Relationship Id="rId221" Type="http://schemas.openxmlformats.org/officeDocument/2006/relationships/hyperlink" Target="https://t.me/ajammohebbanemamrezatabriz" TargetMode="External"/><Relationship Id="rId217" Type="http://schemas.openxmlformats.org/officeDocument/2006/relationships/hyperlink" Target="https://eitaa.com/Bentolhose" TargetMode="External"/><Relationship Id="rId216" Type="http://schemas.openxmlformats.org/officeDocument/2006/relationships/hyperlink" Target="https://t.me/madahi_imani" TargetMode="External"/><Relationship Id="rId215" Type="http://schemas.openxmlformats.org/officeDocument/2006/relationships/hyperlink" Target="https://www.instagram.com/bentolhossein_tb?utm_source=ig_web_button_share_sheet&amp;igsh=ZDNlZDc0MzIxNw==" TargetMode="External"/><Relationship Id="rId214" Type="http://schemas.openxmlformats.org/officeDocument/2006/relationships/hyperlink" Target="https://t.me/seyedezeynabtabriz" TargetMode="External"/><Relationship Id="rId219" Type="http://schemas.openxmlformats.org/officeDocument/2006/relationships/hyperlink" Target="https://www.instagram.com/kanunvaliasr_tabriz?utm_source=ig_web_button_share_sheet&amp;igsh=ZDNlZDc0MzIxNw==" TargetMode="External"/><Relationship Id="rId218" Type="http://schemas.openxmlformats.org/officeDocument/2006/relationships/hyperlink" Target="https://www.instagram.com/kanunevaliasr_tabriz?utm_source=ig_web_button_share_sheet&amp;igsh=ZDNlZDc0MzIxNw==" TargetMode="External"/><Relationship Id="rId213" Type="http://schemas.openxmlformats.org/officeDocument/2006/relationships/hyperlink" Target="https://www.instagram.com/seyedezeynabtabriz?utm_source=ig_web_button_share_sheet&amp;igsh=ZDNlZDc0MzIxNw==" TargetMode="External"/><Relationship Id="rId212" Type="http://schemas.openxmlformats.org/officeDocument/2006/relationships/hyperlink" Target="https://eitaa.com/heyat_alzahra" TargetMode="External"/><Relationship Id="rId211" Type="http://schemas.openxmlformats.org/officeDocument/2006/relationships/hyperlink" Target="https://www.instagram.com/rozat.alabas.shotorban_tabriz?utm_source=ig_web_button_share_sheet&amp;igsh=ZDNlZDc0MzIxNw==" TargetMode="External"/><Relationship Id="rId210" Type="http://schemas.openxmlformats.org/officeDocument/2006/relationships/hyperlink" Target="https://t.me/Rozatolabbas_Tabriz" TargetMode="External"/><Relationship Id="rId249" Type="http://schemas.openxmlformats.org/officeDocument/2006/relationships/hyperlink" Target="https://www.instagram.com/hyt_asheghan_hazratabolfazl?utm_source=ig_web_button_share_sheet&amp;igsh=ZDNlZDc0MzIxNw==" TargetMode="External"/><Relationship Id="rId248" Type="http://schemas.openxmlformats.org/officeDocument/2006/relationships/hyperlink" Target="https://t.me/mokabe_valiyatollah" TargetMode="External"/><Relationship Id="rId247" Type="http://schemas.openxmlformats.org/officeDocument/2006/relationships/hyperlink" Target="https://www.instagram.com/mokabe_valiyatollah?utm_source=ig_web_button_share_sheet&amp;igsh=ZDNlZDc0MzIxNw==" TargetMode="External"/><Relationship Id="rId242" Type="http://schemas.openxmlformats.org/officeDocument/2006/relationships/hyperlink" Target="https://eitaa.com/heiatghasemiehtabriz" TargetMode="External"/><Relationship Id="rId241" Type="http://schemas.openxmlformats.org/officeDocument/2006/relationships/hyperlink" Target="https://t.me/AsheganeSeidAlshohada" TargetMode="External"/><Relationship Id="rId240" Type="http://schemas.openxmlformats.org/officeDocument/2006/relationships/hyperlink" Target="https://www.instagram.com/asheganseiedalshohada_tabriz?utm_source=ig_web_button_share_sheet&amp;igsh=ZDNlZDc0MzIxNw==" TargetMode="External"/><Relationship Id="rId246" Type="http://schemas.openxmlformats.org/officeDocument/2006/relationships/hyperlink" Target="https://t.me/gordaneemamhossin" TargetMode="External"/><Relationship Id="rId245" Type="http://schemas.openxmlformats.org/officeDocument/2006/relationships/hyperlink" Target="https://www.instagram.com/gordaneemamhossin?utm_source=ig_web_button_share_sheet&amp;igsh=ZDNlZDc0MzIxNw==" TargetMode="External"/><Relationship Id="rId244" Type="http://schemas.openxmlformats.org/officeDocument/2006/relationships/hyperlink" Target="https://t.me/zanjirzanHokmabad" TargetMode="External"/><Relationship Id="rId243" Type="http://schemas.openxmlformats.org/officeDocument/2006/relationships/hyperlink" Target="https://www.instagram.com/zanjirzananhokmabad?utm_source=ig_web_button_share_sheet&amp;igsh=ZDNlZDc0MzIxNw==" TargetMode="External"/><Relationship Id="rId239" Type="http://schemas.openxmlformats.org/officeDocument/2006/relationships/hyperlink" Target="https://www.instagram.com/levaolzeynabtabriz?utm_source=ig_web_button_share_sheet&amp;igsh=ZDNlZDc0MzIxNw==" TargetMode="External"/><Relationship Id="rId238" Type="http://schemas.openxmlformats.org/officeDocument/2006/relationships/hyperlink" Target="https://www.instagram.com/14maasom_axmagye?utm_source=ig_web_button_share_sheet&amp;igsh=ZDNlZDc0MzIxNw==" TargetMode="External"/><Relationship Id="rId237" Type="http://schemas.openxmlformats.org/officeDocument/2006/relationships/hyperlink" Target="https://www.instagram.com/mahdquran.ir?utm_source=ig_web_button_share_sheet&amp;igsh=ZDNlZDc0MzIxNw==" TargetMode="External"/><Relationship Id="rId236" Type="http://schemas.openxmlformats.org/officeDocument/2006/relationships/hyperlink" Target="https://eitaa.com/joinchat/1490289242C66a8d75d9c" TargetMode="External"/><Relationship Id="rId231" Type="http://schemas.openxmlformats.org/officeDocument/2006/relationships/hyperlink" Target="https://t.me/teshneekosar" TargetMode="External"/><Relationship Id="rId230" Type="http://schemas.openxmlformats.org/officeDocument/2006/relationships/hyperlink" Target="https://www.instagram.com/teshneekosar?utm_source=ig_web_button_share_sheet&amp;igsh=ZDNlZDc0MzIxNw==" TargetMode="External"/><Relationship Id="rId235" Type="http://schemas.openxmlformats.org/officeDocument/2006/relationships/hyperlink" Target="https://t.me/HeyateGamar" TargetMode="External"/><Relationship Id="rId234" Type="http://schemas.openxmlformats.org/officeDocument/2006/relationships/hyperlink" Target="https://www.instagram.com/heyate_gamar?utm_source=ig_web_button_share_sheet&amp;igsh=ZDNlZDc0MzIxNw==" TargetMode="External"/><Relationship Id="rId233" Type="http://schemas.openxmlformats.org/officeDocument/2006/relationships/hyperlink" Target="https://www.instagram.com/reihaneh_tabriz?utm_source=ig_web_button_share_sheet&amp;igsh=ZDNlZDc0MzIxNw==" TargetMode="External"/><Relationship Id="rId232" Type="http://schemas.openxmlformats.org/officeDocument/2006/relationships/hyperlink" Target="https://www.instagram.com/rayehatolhosein_tabriz?utm_source=ig_web_button_share_sheet&amp;igsh=ZDNlZDc0MzIxNw==" TargetMode="External"/><Relationship Id="rId206" Type="http://schemas.openxmlformats.org/officeDocument/2006/relationships/hyperlink" Target="https://eitaa.com/RauofeAleTaha" TargetMode="External"/><Relationship Id="rId205" Type="http://schemas.openxmlformats.org/officeDocument/2006/relationships/hyperlink" Target="https://t.me/aletahasorkhab" TargetMode="External"/><Relationship Id="rId204" Type="http://schemas.openxmlformats.org/officeDocument/2006/relationships/hyperlink" Target="https://www.instagram.com/aletahatabriz?utm_source=ig_web_button_share_sheet&amp;igsh=ZDNlZDc0MzIxNw==" TargetMode="External"/><Relationship Id="rId203" Type="http://schemas.openxmlformats.org/officeDocument/2006/relationships/hyperlink" Target="https://t.me/KosarTabriz" TargetMode="External"/><Relationship Id="rId209" Type="http://schemas.openxmlformats.org/officeDocument/2006/relationships/hyperlink" Target="https://www.instagram.com/rozatolabbas_tabriz?utm_source=ig_web_button_share_sheet&amp;igsh=ZDNlZDc0MzIxNw==" TargetMode="External"/><Relationship Id="rId208" Type="http://schemas.openxmlformats.org/officeDocument/2006/relationships/hyperlink" Target="https://eitaa.com/Javanane_AlieAkbar" TargetMode="External"/><Relationship Id="rId207" Type="http://schemas.openxmlformats.org/officeDocument/2006/relationships/hyperlink" Target="https://www.instagram.com/heyate_javananaliakbar1?utm_source=ig_web_button_share_sheet&amp;igsh=ZDNlZDc0MzIxNw==" TargetMode="External"/><Relationship Id="rId202" Type="http://schemas.openxmlformats.org/officeDocument/2006/relationships/hyperlink" Target="https://www.instagram.com/kosar_tabriz?utm_source=ig_web_button_share_sheet&amp;igsh=ZDNlZDc0MzIxNw==" TargetMode="External"/><Relationship Id="rId201" Type="http://schemas.openxmlformats.org/officeDocument/2006/relationships/hyperlink" Target="https://www.instagram.com/jannesaran_hazrat_gasem_tabriz?utm_source=ig_web_button_share_sheet&amp;igsh=ZDNlZDc0MzIxNw==" TargetMode="External"/><Relationship Id="rId200" Type="http://schemas.openxmlformats.org/officeDocument/2006/relationships/hyperlink" Target="https://www.instagram.com/maktabe_nahjolbalaghe_tabriz?utm_source=ig_web_button_share_sheet&amp;igsh=ZDNlZDc0MzIxNw==" TargetMode="External"/><Relationship Id="rId409" Type="http://schemas.openxmlformats.org/officeDocument/2006/relationships/hyperlink" Target="https://www.instagram.com/mohebbaneabolfazl?utm_source=ig_web_button_share_sheet&amp;igsh=ZDNlZDc0MzIxNw==" TargetMode="External"/><Relationship Id="rId404" Type="http://schemas.openxmlformats.org/officeDocument/2006/relationships/hyperlink" Target="https://t.me/heyat_abolfazlelabbas" TargetMode="External"/><Relationship Id="rId403" Type="http://schemas.openxmlformats.org/officeDocument/2006/relationships/hyperlink" Target="https://www.instagram.com/montazeran.h.mahdi?utm_source=ig_web_button_share_sheet&amp;igsh=ZDNlZDc0MzIxNw==" TargetMode="External"/><Relationship Id="rId402" Type="http://schemas.openxmlformats.org/officeDocument/2006/relationships/hyperlink" Target="https://www.instagram.com/mazlome_karbala/?utm_source=ig_web_button_share_sheet" TargetMode="External"/><Relationship Id="rId401" Type="http://schemas.openxmlformats.org/officeDocument/2006/relationships/hyperlink" Target="https://www.instagram.com/j.seyedeshohada/?utm_source=ig_web_button_share_sheet" TargetMode="External"/><Relationship Id="rId408" Type="http://schemas.openxmlformats.org/officeDocument/2006/relationships/hyperlink" Target="https://eitaa.com/heyat_ansar_marand" TargetMode="External"/><Relationship Id="rId407" Type="http://schemas.openxmlformats.org/officeDocument/2006/relationships/hyperlink" Target="https://t.me/heyat_ansar_marand" TargetMode="External"/><Relationship Id="rId406" Type="http://schemas.openxmlformats.org/officeDocument/2006/relationships/hyperlink" Target="https://www.instagram.com/heyat_ansar_marand?utm_source=ig_web_button_share_sheet&amp;igsh=ZDNlZDc0MzIxNw==" TargetMode="External"/><Relationship Id="rId405" Type="http://schemas.openxmlformats.org/officeDocument/2006/relationships/hyperlink" Target="https://www.instagram.com/hamase_ashura?utm_source=ig_web_button_share_sheet&amp;igsh=ZDNlZDc0MzIxNw==" TargetMode="External"/><Relationship Id="rId400" Type="http://schemas.openxmlformats.org/officeDocument/2006/relationships/hyperlink" Target="https://eitaa.com/beyt_shohadaa" TargetMode="External"/><Relationship Id="rId426" Type="http://schemas.openxmlformats.org/officeDocument/2006/relationships/hyperlink" Target="https://t.me/sarallahemiyaneh" TargetMode="External"/><Relationship Id="rId425" Type="http://schemas.openxmlformats.org/officeDocument/2006/relationships/hyperlink" Target="https://www.instagram.com/heyat_sarallah_miyaneh?utm_source=ig_web_button_share_sheet&amp;igsh=ZDNlZDc0MzIxNw==" TargetMode="External"/><Relationship Id="rId424" Type="http://schemas.openxmlformats.org/officeDocument/2006/relationships/hyperlink" Target="https://www.instagram.com/heyate_teflanemoslem1357?utm_source=ig_web_button_share_sheet&amp;igsh=ZDNlZDc0MzIxNw==" TargetMode="External"/><Relationship Id="rId423" Type="http://schemas.openxmlformats.org/officeDocument/2006/relationships/hyperlink" Target="https://t.me/maktabol_shohada_mianeh" TargetMode="External"/><Relationship Id="rId429" Type="http://schemas.openxmlformats.org/officeDocument/2006/relationships/hyperlink" Target="https://eitaa.com/ansarolfateme" TargetMode="External"/><Relationship Id="rId428" Type="http://schemas.openxmlformats.org/officeDocument/2006/relationships/hyperlink" Target="https://www.instagram.com/shabihkhanibakhshayesh?utm_source=ig_web_button_share_sheet&amp;igsh=ZDNlZDc0MzIxNw==" TargetMode="External"/><Relationship Id="rId427" Type="http://schemas.openxmlformats.org/officeDocument/2006/relationships/hyperlink" Target="https://www.instagram.com/razmandeghan_miyaneh?utm_source=ig_web_button_share_sheet&amp;igsh=ZDNlZDc0MzIxNw==" TargetMode="External"/><Relationship Id="rId422" Type="http://schemas.openxmlformats.org/officeDocument/2006/relationships/hyperlink" Target="https://www.instagram.com/maktabol_shohada_mianeh?utm_source=ig_web_button_share_sheet&amp;igsh=ZDNlZDc0MzIxNw==" TargetMode="External"/><Relationship Id="rId421" Type="http://schemas.openxmlformats.org/officeDocument/2006/relationships/hyperlink" Target="https://www.instagram.com/leva_alheidar?utm_source=ig_web_button_share_sheet&amp;igsh=ZDNlZDc0MzIxNw==" TargetMode="External"/><Relationship Id="rId420" Type="http://schemas.openxmlformats.org/officeDocument/2006/relationships/hyperlink" Target="https://www.instagram.com/salarshahidan._?utm_source=ig_web_button_share_sheet&amp;igsh=ZDNlZDc0MzIxNw==" TargetMode="External"/><Relationship Id="rId415" Type="http://schemas.openxmlformats.org/officeDocument/2006/relationships/hyperlink" Target="https://www.instagram.com/jannesaran_hazrat_valiasr?utm_source=ig_web_button_share_sheet&amp;igsh=ZDNlZDc0MzIxNw==" TargetMode="External"/><Relationship Id="rId414" Type="http://schemas.openxmlformats.org/officeDocument/2006/relationships/hyperlink" Target="https://t.me/gamarbanihashemmarand" TargetMode="External"/><Relationship Id="rId413" Type="http://schemas.openxmlformats.org/officeDocument/2006/relationships/hyperlink" Target="https://www.instagram.com/gamarbanihashem_marand?utm_source=ig_web_button_share_sheet&amp;igsh=ZDNlZDc0MzIxNw==" TargetMode="External"/><Relationship Id="rId412" Type="http://schemas.openxmlformats.org/officeDocument/2006/relationships/hyperlink" Target="https://www.instagram.com/heyat_asghriih1391?utm_source=ig_web_button_share_sheet&amp;igsh=ZDNlZDc0MzIxNw==" TargetMode="External"/><Relationship Id="rId419" Type="http://schemas.openxmlformats.org/officeDocument/2006/relationships/hyperlink" Target="https://t.me/heyat_aliebn_mosarrezaa" TargetMode="External"/><Relationship Id="rId418" Type="http://schemas.openxmlformats.org/officeDocument/2006/relationships/hyperlink" Target="https://www.instagram.com/heyat_aliebn_mosarrezaa.marand?utm_source=ig_web_button_share_sheet&amp;igsh=ZDNlZDc0MzIxNw==" TargetMode="External"/><Relationship Id="rId417" Type="http://schemas.openxmlformats.org/officeDocument/2006/relationships/hyperlink" Target="https://www.instagram.com/heyate_alghadire_marand?utm_source=ig_web_button_share_sheet&amp;igsh=ZDNlZDc0MzIxNw==" TargetMode="External"/><Relationship Id="rId416" Type="http://schemas.openxmlformats.org/officeDocument/2006/relationships/hyperlink" Target="https://t.me/jannesaran_hazrat_valiasr" TargetMode="External"/><Relationship Id="rId411" Type="http://schemas.openxmlformats.org/officeDocument/2006/relationships/hyperlink" Target="https://www.instagram.com/heyat_akbariye_rafiabad?utm_source=ig_web_button_share_sheet&amp;igsh=ZDNlZDc0MzIxNw==" TargetMode="External"/><Relationship Id="rId410" Type="http://schemas.openxmlformats.org/officeDocument/2006/relationships/hyperlink" Target="https://t.me/mohebbaneabolfazl" TargetMode="External"/><Relationship Id="rId433" Type="http://schemas.openxmlformats.org/officeDocument/2006/relationships/drawing" Target="../drawings/drawing23.xml"/><Relationship Id="rId432" Type="http://schemas.openxmlformats.org/officeDocument/2006/relationships/hyperlink" Target="https://eitaa.com/heyatolreza" TargetMode="External"/><Relationship Id="rId431" Type="http://schemas.openxmlformats.org/officeDocument/2006/relationships/hyperlink" Target="https://eitaa.com/ashuraeyan_maragheh" TargetMode="External"/><Relationship Id="rId430" Type="http://schemas.openxmlformats.org/officeDocument/2006/relationships/hyperlink" Target="https://eitaa.com/khddamreza" TargetMode="External"/><Relationship Id="rId1" Type="http://schemas.openxmlformats.org/officeDocument/2006/relationships/hyperlink" Target="https://www.instagram.com/javanan_entezaar/" TargetMode="External"/><Relationship Id="rId2" Type="http://schemas.openxmlformats.org/officeDocument/2006/relationships/hyperlink" Target="https://www.instagram.com/heyat_razmandegan_osku" TargetMode="External"/><Relationship Id="rId3" Type="http://schemas.openxmlformats.org/officeDocument/2006/relationships/hyperlink" Target="https://eitaa.com/heyat_razmandegan_osku1" TargetMode="External"/><Relationship Id="rId4" Type="http://schemas.openxmlformats.org/officeDocument/2006/relationships/hyperlink" Target="https://www.instagram.com/hazratfatemezahrabarogiyan/" TargetMode="External"/><Relationship Id="rId9" Type="http://schemas.openxmlformats.org/officeDocument/2006/relationships/hyperlink" Target="https://www.instagram.com/mosabnjafar.tbz/" TargetMode="External"/><Relationship Id="rId5" Type="http://schemas.openxmlformats.org/officeDocument/2006/relationships/hyperlink" Target="https://www.instagram.com/maktabozzahra_tabriz/" TargetMode="External"/><Relationship Id="rId6" Type="http://schemas.openxmlformats.org/officeDocument/2006/relationships/hyperlink" Target="https://www.instagram.com/heyat14masoum.tabriz/" TargetMode="External"/><Relationship Id="rId7" Type="http://schemas.openxmlformats.org/officeDocument/2006/relationships/hyperlink" Target="https://www.instagram.com/arab_kuchebag_tabriz/" TargetMode="External"/><Relationship Id="rId8" Type="http://schemas.openxmlformats.org/officeDocument/2006/relationships/hyperlink" Target="https://www.instagram.com/heyatealzahrayetabriz/" TargetMode="External"/></Relationships>
</file>

<file path=xl/worksheets/_rels/sheet24.xml.rels><?xml version="1.0" encoding="UTF-8" standalone="yes"?><Relationships xmlns="http://schemas.openxmlformats.org/package/2006/relationships"><Relationship Id="rId107" Type="http://schemas.openxmlformats.org/officeDocument/2006/relationships/hyperlink" Target="https://www.instagram.com/heyat_shiftegan_valiasr?utm_source=ig_web_button_share_sheet&amp;igsh=ZDNlZDc0MzIxNw==" TargetMode="External"/><Relationship Id="rId106" Type="http://schemas.openxmlformats.org/officeDocument/2006/relationships/hyperlink" Target="https://t.me/heiat_shiftegan_urmie" TargetMode="External"/><Relationship Id="rId105" Type="http://schemas.openxmlformats.org/officeDocument/2006/relationships/hyperlink" Target="https://www.instagram.com/shiftegan_aeme.athar?utm_source=ig_web_button_share_sheet&amp;igsh=ZDNlZDc0MzIxNw==" TargetMode="External"/><Relationship Id="rId104" Type="http://schemas.openxmlformats.org/officeDocument/2006/relationships/hyperlink" Target="https://t.me/masjedisar" TargetMode="External"/><Relationship Id="rId109" Type="http://schemas.openxmlformats.org/officeDocument/2006/relationships/hyperlink" Target="https://www.instagram.com/jmghasab?utm_source=ig_web_button_share_sheet&amp;igsh=ZDNlZDc0MzIxNw==" TargetMode="External"/><Relationship Id="rId108" Type="http://schemas.openxmlformats.org/officeDocument/2006/relationships/hyperlink" Target="https://www.instagram.com/maktabe__hossein_?utm_source=ig_web_button_share_sheet&amp;igsh=ZDNlZDc0MzIxNw==" TargetMode="External"/><Relationship Id="rId103" Type="http://schemas.openxmlformats.org/officeDocument/2006/relationships/hyperlink" Target="https://www.instagram.com/tilnews_orumieh?utm_source=ig_web_button_share_sheet&amp;igsh=ZDNlZDc0MzIxNw==" TargetMode="External"/><Relationship Id="rId102" Type="http://schemas.openxmlformats.org/officeDocument/2006/relationships/hyperlink" Target="https://www.instagram.com/ansarolhossein_ir?utm_source=ig_web_button_share_sheet&amp;igsh=ZDNlZDc0MzIxNw==" TargetMode="External"/><Relationship Id="rId101" Type="http://schemas.openxmlformats.org/officeDocument/2006/relationships/hyperlink" Target="https://www.instagram.com/heyateansarolhosyn.urmia1397?utm_source=ig_web_button_share_sheet&amp;igsh=ZDNlZDc0MzIxNw==" TargetMode="External"/><Relationship Id="rId100" Type="http://schemas.openxmlformats.org/officeDocument/2006/relationships/hyperlink" Target="https://eitaa.com/tahaurmia" TargetMode="External"/><Relationship Id="rId121" Type="http://schemas.openxmlformats.org/officeDocument/2006/relationships/drawing" Target="../drawings/drawing24.xml"/><Relationship Id="rId120" Type="http://schemas.openxmlformats.org/officeDocument/2006/relationships/hyperlink" Target="https://eitaa.com/sarallahurmia" TargetMode="External"/><Relationship Id="rId118" Type="http://schemas.openxmlformats.org/officeDocument/2006/relationships/hyperlink" Target="https://eitaa.com/martyrscomp" TargetMode="External"/><Relationship Id="rId117" Type="http://schemas.openxmlformats.org/officeDocument/2006/relationships/hyperlink" Target="https://www.instagram.com/gharargah.shohada?utm_source=ig_web_button_share_sheet&amp;igsh=ZDNlZDc0MzIxNw==" TargetMode="External"/><Relationship Id="rId116" Type="http://schemas.openxmlformats.org/officeDocument/2006/relationships/hyperlink" Target="https://t.me/basijtakarbala" TargetMode="External"/><Relationship Id="rId115" Type="http://schemas.openxmlformats.org/officeDocument/2006/relationships/hyperlink" Target="https://www.instagram.com/heyat.javanan.karbala?utm_source=ig_web_button_share_sheet&amp;igsh=ZDNlZDc0MzIxNw==" TargetMode="External"/><Relationship Id="rId119" Type="http://schemas.openxmlformats.org/officeDocument/2006/relationships/hyperlink" Target="https://eitaa.com/mjem2u" TargetMode="External"/><Relationship Id="rId110" Type="http://schemas.openxmlformats.org/officeDocument/2006/relationships/hyperlink" Target="https://t.me/jmghasab" TargetMode="External"/><Relationship Id="rId114" Type="http://schemas.openxmlformats.org/officeDocument/2006/relationships/hyperlink" Target="https://www.instagram.com/shabih_khani_mokbasgharie?utm_source=ig_web_button_share_sheet&amp;igsh=ZDNlZDc0MzIxNw==" TargetMode="External"/><Relationship Id="rId113" Type="http://schemas.openxmlformats.org/officeDocument/2006/relationships/hyperlink" Target="https://www.instagram.com/heyyat_alzahra_urumiya?utm_source=ig_web_button_share_sheet&amp;igsh=ZDNlZDc0MzIxNw==" TargetMode="External"/><Relationship Id="rId112" Type="http://schemas.openxmlformats.org/officeDocument/2006/relationships/hyperlink" Target="https://www.instagram.com/yalesarat_urmia?utm_source=ig_web_button_share_sheet&amp;igsh=ZDNlZDc0MzIxNw==" TargetMode="External"/><Relationship Id="rId111" Type="http://schemas.openxmlformats.org/officeDocument/2006/relationships/hyperlink" Target="https://eitaa.com/jmghasab" TargetMode="External"/><Relationship Id="rId40" Type="http://schemas.openxmlformats.org/officeDocument/2006/relationships/hyperlink" Target="https://t.me/s/ashegan_velayat_orumiyeh" TargetMode="External"/><Relationship Id="rId42" Type="http://schemas.openxmlformats.org/officeDocument/2006/relationships/hyperlink" Target="https://www.instagram.com/tarigh_vesal.2/" TargetMode="External"/><Relationship Id="rId41" Type="http://schemas.openxmlformats.org/officeDocument/2006/relationships/hyperlink" Target="https://www.instagram.com/moheban_urmia/" TargetMode="External"/><Relationship Id="rId44" Type="http://schemas.openxmlformats.org/officeDocument/2006/relationships/hyperlink" Target="https://www.instagram.com/giam.69/" TargetMode="External"/><Relationship Id="rId43" Type="http://schemas.openxmlformats.org/officeDocument/2006/relationships/hyperlink" Target="https://www.instagram.com/abaalhasanir/" TargetMode="External"/><Relationship Id="rId46" Type="http://schemas.openxmlformats.org/officeDocument/2006/relationships/hyperlink" Target="https://l.instagram.com/?u=https%3A%2F%2Ft.me%2Fallaamdar%3Ffbclid%3DPAZXh0bgNhZW0CMTEAAadGFTCnPxf_mAQYjOSeUVWPT0nsdxDNCy5v4EVjKedbE3SBqzelbjCgY7Dpfw_aem_cNDHryU5CbKrceK1GWYBbw&amp;e=AT3dksALVxdrrs67PSgXp9LAvMB8AbErnTsi8s8XjdgvAaPtJPPAH7st5EZ5Oixuht4UmHlYDwgHo8XJSGd-jtvmWDcRkLFninjIumnnEg" TargetMode="External"/><Relationship Id="rId45" Type="http://schemas.openxmlformats.org/officeDocument/2006/relationships/hyperlink" Target="https://www.instagram.com/alamdar.khoy/" TargetMode="External"/><Relationship Id="rId48" Type="http://schemas.openxmlformats.org/officeDocument/2006/relationships/hyperlink" Target="https://l.instagram.com/?u=https%3A%2F%2Ft.me%2FDivanegann%3Ffbclid%3DPAZXh0bgNhZW0CMTEAAadpl6efT6NE22B4VeK8sX04THm_TDLF_jr-9cep45lYkw3I2Sa-tQ18QONC6Q_aem_64x2YCs6j3Tujwjk_bljDg&amp;e=AT2oNiWtIPyvOoKpBe47DrEjc6UcD-V9LyK7keS0HR187g1iwQ9Ro5hlZ2qsveY78m_wkRW2fk9Swd9jwKteFzdwFHM-BQpP6BU00m0IVg" TargetMode="External"/><Relationship Id="rId47" Type="http://schemas.openxmlformats.org/officeDocument/2006/relationships/hyperlink" Target="https://www.instagram.com/divanegankarbala.khoy/" TargetMode="External"/><Relationship Id="rId49" Type="http://schemas.openxmlformats.org/officeDocument/2006/relationships/hyperlink" Target="https://www.instagram.com/fatemezahra_khoy/" TargetMode="External"/><Relationship Id="rId31" Type="http://schemas.openxmlformats.org/officeDocument/2006/relationships/hyperlink" Target="https://www.instagram.com/fatemiyoun_urmia/" TargetMode="External"/><Relationship Id="rId30" Type="http://schemas.openxmlformats.org/officeDocument/2006/relationships/hyperlink" Target="https://www.instagram.com/shiftgane.emamhosein/" TargetMode="External"/><Relationship Id="rId33" Type="http://schemas.openxmlformats.org/officeDocument/2006/relationships/hyperlink" Target="https://www.instagram.com/ashegane_karbala9/" TargetMode="External"/><Relationship Id="rId32" Type="http://schemas.openxmlformats.org/officeDocument/2006/relationships/hyperlink" Target="https://l.instagram.com/?u=https%3A%2F%2Feitaa.com%2Ffatemiyoun_urmia%3Ffbclid%3DPAZXh0bgNhZW0CMTEAAacAGC0UYptHKozP_a_DXlgr9o-EbFZGjDC-xztG4ofFMRQbG-OUrEAOCT5N3Q_aem_PBeAIAMTVyGPrGZL1Q9soA&amp;e=AT0c13WIB6SBAirNtn9jw-F78XOXioBnwy6NzqHyUbR1vHV02TIf6K6XDX6ZO9WP5yBobWGRrR9lY4M_vKbEU33fHcuudDEGFwhylvRaaw" TargetMode="External"/><Relationship Id="rId35" Type="http://schemas.openxmlformats.org/officeDocument/2006/relationships/hyperlink" Target="https://www.instagram.com/maktabosadeg_urmia/" TargetMode="External"/><Relationship Id="rId34" Type="http://schemas.openxmlformats.org/officeDocument/2006/relationships/hyperlink" Target="https://www.instagram.com/shiftegan_orumia/" TargetMode="External"/><Relationship Id="rId37" Type="http://schemas.openxmlformats.org/officeDocument/2006/relationships/hyperlink" Target="https://www.instagram.com/heyat_ashegan/" TargetMode="External"/><Relationship Id="rId36" Type="http://schemas.openxmlformats.org/officeDocument/2006/relationships/hyperlink" Target="https://l.instagram.com/?u=https%3A%2F%2Feitaa.com%2Farshivemaktab%2F334%3Ffbclid%3DPAZXh0bgNhZW0CMTEAAafFDcHlmCKThk3KdZoGoTnb67XUg29jjumk8mUqSkBoW-URUCnO_14EUymZkg_aem_jbSv5D3NAyQeY9bGph5SZA&amp;e=AT1gDASJDKMRXhWuHtwLBfPnr3j29TDWiMxplcvk4nPtK97s33szMHhikw0bKWAvTnTtAezZlcmeHMiSKMX29ITNToHcw61RnjuTn6AYTA" TargetMode="External"/><Relationship Id="rId39" Type="http://schemas.openxmlformats.org/officeDocument/2006/relationships/hyperlink" Target="https://www.instagram.com/kochehaye_banihashem/" TargetMode="External"/><Relationship Id="rId38" Type="http://schemas.openxmlformats.org/officeDocument/2006/relationships/hyperlink" Target="https://l.instagram.com/?u=https%3A%2F%2Ft.me%2Fheyat_ashegan%3Ffbclid%3DPAZXh0bgNhZW0CMTEAAafPrapYIy_L_YwNGK3IHSzwcOwo-WSuvn2M5rmjK4fWsz8SCKT7xuU1EL9xnQ_aem_H0XaFjzt95s4zYp2880q9Q&amp;e=AT04zuviMMaHtrf_4Ol1F8RYSFR9HkMKl8SpvGeLUOBQ_HNafrOWVATfwyQ4tK6onvl7xT6Kbyp6nPDvUNaEwzS1wJN1VnOQwX2FOu0AZQ" TargetMode="External"/><Relationship Id="rId20" Type="http://schemas.openxmlformats.org/officeDocument/2006/relationships/hyperlink" Target="https://www.instagram.com/sarallahurmia/" TargetMode="External"/><Relationship Id="rId22" Type="http://schemas.openxmlformats.org/officeDocument/2006/relationships/hyperlink" Target="https://www.instagram.com/razmandeganurmia/" TargetMode="External"/><Relationship Id="rId21" Type="http://schemas.openxmlformats.org/officeDocument/2006/relationships/hyperlink" Target="https://www.instagram.com/hnhgasem1395/" TargetMode="External"/><Relationship Id="rId24" Type="http://schemas.openxmlformats.org/officeDocument/2006/relationships/hyperlink" Target="https://www.instagram.com/mokaberazavi/" TargetMode="External"/><Relationship Id="rId23" Type="http://schemas.openxmlformats.org/officeDocument/2006/relationships/hyperlink" Target="https://l.instagram.com/?u=http%3A%2F%2Ft.me%2Frazmandeganurmia%3Ffbclid%3DPAZXh0bgNhZW0CMTEAAafLPRUxwrBIDUnu692D_96ZQtn_RSFLIM7cRjeqv1TkCBRBsy6VJreoDzMELg_aem_K3rHbvT7aOWlxSlC0uWmRw&amp;e=AT3cFbEoPZ3yfoHhic7RkKIA95SnBv9X_Nwc9pcdBeugcx2af16HWoXRkNx9O5wYFjs8ae3Jf1uJUOMyS0UvSsHpKIGt_0uq_ZPxWotvLw" TargetMode="External"/><Relationship Id="rId26" Type="http://schemas.openxmlformats.org/officeDocument/2006/relationships/hyperlink" Target="https://www.instagram.com/heyat_hosseinyan/" TargetMode="External"/><Relationship Id="rId25" Type="http://schemas.openxmlformats.org/officeDocument/2006/relationships/hyperlink" Target="https://l.instagram.com/?u=https%3A%2F%2Ft.me%2Fmokabrazviurmia%3Ffbclid%3DPAZXh0bgNhZW0CMTEAAaefoLdZZ1__tRUMDBeHs0FM2injqLlD7PjdXoAn1VQczJaXww12mnzed2I20A_aem_HJ5HdSsXyJVOUh_TrlES7w&amp;e=AT1m0GZHfcVjJ0RqegwObrIzJG0oePpKKJUBBlm7bStFDVrdoRWzwRWSgdncBCTsBwlrrq5hfkVmOwkonmito8gJZyKjI8XPvDsMo7IeSQ" TargetMode="External"/><Relationship Id="rId28" Type="http://schemas.openxmlformats.org/officeDocument/2006/relationships/hyperlink" Target="https://www.instagram.com/modafeane_haram_urmia/" TargetMode="External"/><Relationship Id="rId27" Type="http://schemas.openxmlformats.org/officeDocument/2006/relationships/hyperlink" Target="https://www.instagram.com/asheghaneh_hazrateh_abolfazl/" TargetMode="External"/><Relationship Id="rId29" Type="http://schemas.openxmlformats.org/officeDocument/2006/relationships/hyperlink" Target="http://t.me/heiat_modafean_haram_urmia" TargetMode="External"/><Relationship Id="rId11" Type="http://schemas.openxmlformats.org/officeDocument/2006/relationships/hyperlink" Target="https://www.instagram.com/heyat_yarali_hoseyn/" TargetMode="External"/><Relationship Id="rId10" Type="http://schemas.openxmlformats.org/officeDocument/2006/relationships/hyperlink" Target="https://www.instagram.com/baghiyat__allah/" TargetMode="External"/><Relationship Id="rId13" Type="http://schemas.openxmlformats.org/officeDocument/2006/relationships/hyperlink" Target="https://www.instagram.com/heyyat_alzahra_urumiya/" TargetMode="External"/><Relationship Id="rId12" Type="http://schemas.openxmlformats.org/officeDocument/2006/relationships/hyperlink" Target="http://t.me/s/heyate_fatemiye" TargetMode="External"/><Relationship Id="rId15" Type="http://schemas.openxmlformats.org/officeDocument/2006/relationships/hyperlink" Target="https://www.instagram.com/payamashura/" TargetMode="External"/><Relationship Id="rId14" Type="http://schemas.openxmlformats.org/officeDocument/2006/relationships/hyperlink" Target="https://www.instagram.com/maktabolabas.urmia313/" TargetMode="External"/><Relationship Id="rId17" Type="http://schemas.openxmlformats.org/officeDocument/2006/relationships/hyperlink" Target="https://www.instagram.com/heyat_ashegan/" TargetMode="External"/><Relationship Id="rId16" Type="http://schemas.openxmlformats.org/officeDocument/2006/relationships/hyperlink" Target="https://eitaa.com/majmae_sydlashohada" TargetMode="External"/><Relationship Id="rId19" Type="http://schemas.openxmlformats.org/officeDocument/2006/relationships/hyperlink" Target="https://www.instagram.com/shirkhar_aliasghar/" TargetMode="External"/><Relationship Id="rId18" Type="http://schemas.openxmlformats.org/officeDocument/2006/relationships/hyperlink" Target="https://www.instagram.com/masjed.khatamolanbia/" TargetMode="External"/><Relationship Id="rId84" Type="http://schemas.openxmlformats.org/officeDocument/2006/relationships/hyperlink" Target="https://www.instagram.com/hafte.majales_urmia?utm_source=ig_web_button_share_sheet&amp;igsh=ZDNlZDc0MzIxNw==" TargetMode="External"/><Relationship Id="rId83" Type="http://schemas.openxmlformats.org/officeDocument/2006/relationships/hyperlink" Target="https://eitaa.com/Razmandegan_ag" TargetMode="External"/><Relationship Id="rId86" Type="http://schemas.openxmlformats.org/officeDocument/2006/relationships/hyperlink" Target="https://www.instagram.com/alamdarurmia?utm_source=ig_web_button_share_sheet&amp;igsh=ZDNlZDc0MzIxNw==" TargetMode="External"/><Relationship Id="rId85" Type="http://schemas.openxmlformats.org/officeDocument/2006/relationships/hyperlink" Target="https://eitaa.com/haftemajalesurmia" TargetMode="External"/><Relationship Id="rId88" Type="http://schemas.openxmlformats.org/officeDocument/2006/relationships/hyperlink" Target="https://www.instagram.com/heiat_montazeran_mahdi?utm_source=ig_web_button_share_sheet&amp;igsh=ZDNlZDc0MzIxNw==" TargetMode="External"/><Relationship Id="rId87" Type="http://schemas.openxmlformats.org/officeDocument/2006/relationships/hyperlink" Target="https://eitaa.com/alamdarurmia" TargetMode="External"/><Relationship Id="rId89" Type="http://schemas.openxmlformats.org/officeDocument/2006/relationships/hyperlink" Target="https://www.instagram.com/heyatshiftegane.hazratabolfazl?utm_source=ig_web_button_share_sheet&amp;igsh=ZDNlZDc0MzIxNw==" TargetMode="External"/><Relationship Id="rId80" Type="http://schemas.openxmlformats.org/officeDocument/2006/relationships/hyperlink" Target="https://eitaa.com/majmae_sydlashohada" TargetMode="External"/><Relationship Id="rId82" Type="http://schemas.openxmlformats.org/officeDocument/2006/relationships/hyperlink" Target="https://eitaa.com/alamdarane_urmiaa" TargetMode="External"/><Relationship Id="rId81" Type="http://schemas.openxmlformats.org/officeDocument/2006/relationships/hyperlink" Target="https://www.instagram.com/alamdarane_urmia?utm_source=ig_web_button_share_sheet&amp;igsh=ZDNlZDc0MzIxNw==" TargetMode="External"/><Relationship Id="rId73" Type="http://schemas.openxmlformats.org/officeDocument/2006/relationships/hyperlink" Target="https://www.instagram.com/heyatazadaraneashegansaheblava?utm_source=ig_web_button_share_sheet&amp;igsh=ZDNlZDc0MzIxNw==" TargetMode="External"/><Relationship Id="rId72" Type="http://schemas.openxmlformats.org/officeDocument/2006/relationships/hyperlink" Target="https://eitaa.com/hajmehdiebakeri" TargetMode="External"/><Relationship Id="rId75" Type="http://schemas.openxmlformats.org/officeDocument/2006/relationships/hyperlink" Target="https://eitaa.com/hussainjanurmia" TargetMode="External"/><Relationship Id="rId74" Type="http://schemas.openxmlformats.org/officeDocument/2006/relationships/hyperlink" Target="https://t.me/Hussainjanurmia" TargetMode="External"/><Relationship Id="rId77" Type="http://schemas.openxmlformats.org/officeDocument/2006/relationships/hyperlink" Target="https://www.instagram.com/sobhanmosque?utm_source=ig_web_button_share_sheet&amp;igsh=ZDNlZDc0MzIxNw==" TargetMode="External"/><Relationship Id="rId76" Type="http://schemas.openxmlformats.org/officeDocument/2006/relationships/hyperlink" Target="https://www.instagram.com/amir_almomeninn?utm_source=ig_web_button_share_sheet&amp;igsh=ZDNlZDc0MzIxNw==" TargetMode="External"/><Relationship Id="rId79" Type="http://schemas.openxmlformats.org/officeDocument/2006/relationships/hyperlink" Target="https://eitaa.com/tashakkol_Azarbayjan" TargetMode="External"/><Relationship Id="rId78" Type="http://schemas.openxmlformats.org/officeDocument/2006/relationships/hyperlink" Target="https://www.instagram.com/heyat_bagiatolahazam?utm_source=ig_web_button_share_sheet&amp;igsh=ZDNlZDc0MzIxNw==" TargetMode="External"/><Relationship Id="rId71" Type="http://schemas.openxmlformats.org/officeDocument/2006/relationships/hyperlink" Target="https://www.instagram.com/javanaeneynavaa?utm_source=ig_web_button_share_sheet&amp;igsh=ZDNlZDc0MzIxNw==" TargetMode="External"/><Relationship Id="rId70" Type="http://schemas.openxmlformats.org/officeDocument/2006/relationships/hyperlink" Target="https://www.instagram.com/heyat_javanane_neynava.urmia?utm_source=ig_web_button_share_sheet&amp;igsh=ZDNlZDc0MzIxNw==" TargetMode="External"/><Relationship Id="rId62" Type="http://schemas.openxmlformats.org/officeDocument/2006/relationships/hyperlink" Target="https://www.instagram.com/heyat_horshahid_maku/" TargetMode="External"/><Relationship Id="rId61" Type="http://schemas.openxmlformats.org/officeDocument/2006/relationships/hyperlink" Target="https://www.instagram.com/modafanharam_maku/" TargetMode="External"/><Relationship Id="rId64" Type="http://schemas.openxmlformats.org/officeDocument/2006/relationships/hyperlink" Target="https://eitaa.com/azkarbalatazuhur" TargetMode="External"/><Relationship Id="rId63" Type="http://schemas.openxmlformats.org/officeDocument/2006/relationships/hyperlink" Target="https://www.instagram.com/heyat_panjtan.aleaba/" TargetMode="External"/><Relationship Id="rId66" Type="http://schemas.openxmlformats.org/officeDocument/2006/relationships/hyperlink" Target="https://www.instagram.com/heyat_basaer_hoseini/" TargetMode="External"/><Relationship Id="rId65" Type="http://schemas.openxmlformats.org/officeDocument/2006/relationships/hyperlink" Target="https://www.instagram.com/maktaboll_hossein_ir/" TargetMode="External"/><Relationship Id="rId68" Type="http://schemas.openxmlformats.org/officeDocument/2006/relationships/hyperlink" Target="https://www.instagram.com/heiat_mohaban_mahdi/" TargetMode="External"/><Relationship Id="rId67" Type="http://schemas.openxmlformats.org/officeDocument/2006/relationships/hyperlink" Target="https://l.instagram.com/?u=http%3A%2F%2Feitaa.com%2Fmoasese_basaer%3Ffbclid%3DPAZXh0bgNhZW0CMTEAAadho2rbo3QV1eqJnzKc2n_q4iX1ztHvkLRhNDxlnKVe-tl1O8qg6jESATCaog_aem_DsSwMJffTAFkN9YGhClP-Q&amp;e=AT36Qax_BtV9rJpPwF8SG4dWFyXX_MU18ZLSDB_rlGMzBxGn7xRo8tq8HDKnG8KT-yYfejjpvTrEicUKVhJiTvJy5-yAKWAUrpwjLxWYCw" TargetMode="External"/><Relationship Id="rId60" Type="http://schemas.openxmlformats.org/officeDocument/2006/relationships/hyperlink" Target="https://www.instagram.com/heyat_javadolaeme_maku/" TargetMode="External"/><Relationship Id="rId69" Type="http://schemas.openxmlformats.org/officeDocument/2006/relationships/hyperlink" Target="https://www.instagram.com/mohebin1390/" TargetMode="External"/><Relationship Id="rId51" Type="http://schemas.openxmlformats.org/officeDocument/2006/relationships/hyperlink" Target="https://www.instagram.com/yalasarat__alhosein/" TargetMode="External"/><Relationship Id="rId50" Type="http://schemas.openxmlformats.org/officeDocument/2006/relationships/hyperlink" Target="https://www.instagram.com/maktabkhoy/" TargetMode="External"/><Relationship Id="rId53" Type="http://schemas.openxmlformats.org/officeDocument/2006/relationships/hyperlink" Target="https://www.instagram.com/khademin__ahlebeyt/" TargetMode="External"/><Relationship Id="rId52" Type="http://schemas.openxmlformats.org/officeDocument/2006/relationships/hyperlink" Target="https://www.instagram.com/heiatyarejamkarani_salmas/" TargetMode="External"/><Relationship Id="rId55" Type="http://schemas.openxmlformats.org/officeDocument/2006/relationships/hyperlink" Target="https://t.me/heydariye96" TargetMode="External"/><Relationship Id="rId54" Type="http://schemas.openxmlformats.org/officeDocument/2006/relationships/hyperlink" Target="https://l.instagram.com/?u=https%3A%2F%2Ft.me%2Fkhadminsalmass%3Ffbclid%3DPAZXh0bgNhZW0CMTEAAad1Zt4bH0IGxYrN8SHytGiDX5ao3aVzbNscL1QfoeUl4ZqVU10TESZa94jNCA_aem_owYKvidj2iE-eaSVkeHIkA&amp;e=AT2BzFnQRxV-7pDQ3WjmC_pEccCnWQ5hZv7XhOTyauG07SVhrohbJOM8BoGQyT9kqz883IE54e7QyaIH0UO4-dZXLTsAOOfGbzG9kDKwWw" TargetMode="External"/><Relationship Id="rId57" Type="http://schemas.openxmlformats.org/officeDocument/2006/relationships/hyperlink" Target="https://www.instagram.com/heyat.azadarane.garatape/" TargetMode="External"/><Relationship Id="rId56" Type="http://schemas.openxmlformats.org/officeDocument/2006/relationships/hyperlink" Target="https://www.instagram.com/ashegan_313/" TargetMode="External"/><Relationship Id="rId59" Type="http://schemas.openxmlformats.org/officeDocument/2006/relationships/hyperlink" Target="https://www.instagram.com/heyate.rahrovane.aliakbar/" TargetMode="External"/><Relationship Id="rId58" Type="http://schemas.openxmlformats.org/officeDocument/2006/relationships/hyperlink" Target="https://l.instagram.com/?u=https%3A%2F%2Ft.me%2Fheyatazadarane_garatape%3Ffbclid%3DPAZXh0bgNhZW0CMTEAAaecKhl9djE5QryFfqlr82YB4qlPzNOz6vHDORuPLRMeJ6Y01aEJ8fY_tfSTTg_aem_Yx4g3O5lY-KzTtSFYsXeqg&amp;e=AT2mumI56_BPrMM25VCoE1MfNlQ7azLHIXztQRsOBglH0xh6vsyfrXwJAvMoPkH3rH9qkQfH6tlPwP-hejPUxyGFp0RRkicOz5PLO89b8g" TargetMode="External"/><Relationship Id="rId95" Type="http://schemas.openxmlformats.org/officeDocument/2006/relationships/hyperlink" Target="https://www.instagram.com/ansarol_mahdiii?utm_source=ig_web_button_share_sheet&amp;igsh=ZDNlZDc0MzIxNw==" TargetMode="External"/><Relationship Id="rId94" Type="http://schemas.openxmlformats.org/officeDocument/2006/relationships/hyperlink" Target="https://www.instagram.com/moassese_yasin_urmia?utm_source=ig_web_button_share_sheet&amp;igsh=ZDNlZDc0MzIxNw==" TargetMode="External"/><Relationship Id="rId97" Type="http://schemas.openxmlformats.org/officeDocument/2006/relationships/hyperlink" Target="https://www.instagram.com/modafeane_haram_urmia?utm_source=ig_web_button_share_sheet&amp;igsh=ZDNlZDc0MzIxNw==" TargetMode="External"/><Relationship Id="rId96" Type="http://schemas.openxmlformats.org/officeDocument/2006/relationships/hyperlink" Target="https://www.instagram.com/emameraouf.ir?utm_source=ig_web_button_share_sheet&amp;igsh=ZDNlZDc0MzIxNw==" TargetMode="External"/><Relationship Id="rId99" Type="http://schemas.openxmlformats.org/officeDocument/2006/relationships/hyperlink" Target="https://t.me/tahaurmia" TargetMode="External"/><Relationship Id="rId98" Type="http://schemas.openxmlformats.org/officeDocument/2006/relationships/hyperlink" Target="https://eitaa.com/modafeane_haram_urmia" TargetMode="External"/><Relationship Id="rId91" Type="http://schemas.openxmlformats.org/officeDocument/2006/relationships/hyperlink" Target="https://t.me/dellsokhtegan" TargetMode="External"/><Relationship Id="rId90" Type="http://schemas.openxmlformats.org/officeDocument/2006/relationships/hyperlink" Target="https://www.instagram.com/delsokhtegan_hazrat_zahra?utm_source=ig_web_button_share_sheet&amp;igsh=ZDNlZDc0MzIxNw==" TargetMode="External"/><Relationship Id="rId93" Type="http://schemas.openxmlformats.org/officeDocument/2006/relationships/hyperlink" Target="https://eitaa.com/hozeh_zeynabkobra" TargetMode="External"/><Relationship Id="rId92" Type="http://schemas.openxmlformats.org/officeDocument/2006/relationships/hyperlink" Target="https://eitaa.com/delsokhtegan_hz_ir" TargetMode="External"/><Relationship Id="rId1" Type="http://schemas.openxmlformats.org/officeDocument/2006/relationships/hyperlink" Target="https://www.instagram.com/_maktabalhossein_/" TargetMode="External"/><Relationship Id="rId2" Type="http://schemas.openxmlformats.org/officeDocument/2006/relationships/hyperlink" Target="https://l.instagram.com/?u=https%3A%2F%2Ft.me%2Furmiaazadheiaat&amp;e=AT3vV2a1vu5rU95Lsx-aRkqE93wziWfRVtg--2SqZIRflC_3S0EIjUtMO_q5TQySIfiEJZdsHaL9_oAAQxkhd_iMxZHPzE0_" TargetMode="External"/><Relationship Id="rId3" Type="http://schemas.openxmlformats.org/officeDocument/2006/relationships/hyperlink" Target="https://www.instagram.com/hussainjan.urmia/" TargetMode="External"/><Relationship Id="rId4" Type="http://schemas.openxmlformats.org/officeDocument/2006/relationships/hyperlink" Target="https://l.instagram.com/?u=https%3A%2F%2Ft.me%2FHussainjanurmia&amp;e=AT0UPBoSyFpz1ZUNtAfj8BbSg858rccZw_4MUiMFAELfZSCzt7POOhtIyqqIh2ujujMgTtGGMl8lVkUGJuBKhH86Y42VRz4e" TargetMode="External"/><Relationship Id="rId9" Type="http://schemas.openxmlformats.org/officeDocument/2006/relationships/hyperlink" Target="https://www.instagram.com/maktab.sarallahh/" TargetMode="External"/><Relationship Id="rId5" Type="http://schemas.openxmlformats.org/officeDocument/2006/relationships/hyperlink" Target="https://www.instagram.com/mokabe.pabusan.urmia/" TargetMode="External"/><Relationship Id="rId6" Type="http://schemas.openxmlformats.org/officeDocument/2006/relationships/hyperlink" Target="https://www.instagram.com/heyat_bagiatolahazam/" TargetMode="External"/><Relationship Id="rId7" Type="http://schemas.openxmlformats.org/officeDocument/2006/relationships/hyperlink" Target="https://www.instagram.com/asheghaneh_hazrateh_abolfazl/" TargetMode="External"/><Relationship Id="rId8" Type="http://schemas.openxmlformats.org/officeDocument/2006/relationships/hyperlink" Target="https://www.instagram.com/maktabshirzankarbala/" TargetMode="External"/></Relationships>
</file>

<file path=xl/worksheets/_rels/sheet25.xml.rels><?xml version="1.0" encoding="UTF-8" standalone="yes"?><Relationships xmlns="http://schemas.openxmlformats.org/package/2006/relationships"><Relationship Id="rId150" Type="http://schemas.openxmlformats.org/officeDocument/2006/relationships/hyperlink" Target="https://www.instagram.com/hayat_ansarolmahdi/" TargetMode="External"/><Relationship Id="rId149" Type="http://schemas.openxmlformats.org/officeDocument/2006/relationships/hyperlink" Target="https://www.instagram.com/teshnegane_ashura/" TargetMode="External"/><Relationship Id="rId148" Type="http://schemas.openxmlformats.org/officeDocument/2006/relationships/hyperlink" Target="https://www.instagram.com/heyate_ashegane_abolfazl/" TargetMode="External"/><Relationship Id="rId143" Type="http://schemas.openxmlformats.org/officeDocument/2006/relationships/hyperlink" Target="https://www.instagram.com/heyatshababalmahdi/" TargetMode="External"/><Relationship Id="rId142" Type="http://schemas.openxmlformats.org/officeDocument/2006/relationships/hyperlink" Target="https://www.instagram.com/asheghan.zohurardabil" TargetMode="External"/><Relationship Id="rId141" Type="http://schemas.openxmlformats.org/officeDocument/2006/relationships/hyperlink" Target="https://www.instagram.com/hoseiniye_babalhavaej" TargetMode="External"/><Relationship Id="rId140" Type="http://schemas.openxmlformats.org/officeDocument/2006/relationships/hyperlink" Target="https://t.me/oshaqalmahdi_khalkhal" TargetMode="External"/><Relationship Id="rId147" Type="http://schemas.openxmlformats.org/officeDocument/2006/relationships/hyperlink" Target="https://www.instagram.com/tasht_gozari_heyat_alamdar" TargetMode="External"/><Relationship Id="rId146" Type="http://schemas.openxmlformats.org/officeDocument/2006/relationships/hyperlink" Target="https://t.me/gasemalni?" TargetMode="External"/><Relationship Id="rId145" Type="http://schemas.openxmlformats.org/officeDocument/2006/relationships/hyperlink" Target="https://www.instagram.com/heyat.gasem/" TargetMode="External"/><Relationship Id="rId144" Type="http://schemas.openxmlformats.org/officeDocument/2006/relationships/hyperlink" Target="https://www.instagram.com/labatshan/" TargetMode="External"/><Relationship Id="rId139" Type="http://schemas.openxmlformats.org/officeDocument/2006/relationships/hyperlink" Target="https://www.instagram.com/oshaqalmahdi_khalkhal/" TargetMode="External"/><Relationship Id="rId138" Type="http://schemas.openxmlformats.org/officeDocument/2006/relationships/hyperlink" Target="https://www.instagram.com/haj_as_amini2219/" TargetMode="External"/><Relationship Id="rId137" Type="http://schemas.openxmlformats.org/officeDocument/2006/relationships/hyperlink" Target="https://www.instagram.com/ahlekaassa/" TargetMode="External"/><Relationship Id="rId132" Type="http://schemas.openxmlformats.org/officeDocument/2006/relationships/hyperlink" Target="https://eitaa.com/alamdar_ardabil" TargetMode="External"/><Relationship Id="rId131" Type="http://schemas.openxmlformats.org/officeDocument/2006/relationships/hyperlink" Target="https://www.instagram.com/alam_dar_ir/" TargetMode="External"/><Relationship Id="rId130" Type="http://schemas.openxmlformats.org/officeDocument/2006/relationships/hyperlink" Target="https://www.instagram.com/beyt_ol_ali/" TargetMode="External"/><Relationship Id="rId136" Type="http://schemas.openxmlformats.org/officeDocument/2006/relationships/hyperlink" Target="https://www.instagram.com/heyateandabil/" TargetMode="External"/><Relationship Id="rId135" Type="http://schemas.openxmlformats.org/officeDocument/2006/relationships/hyperlink" Target="https://www.instagram.com/rayatolmahdi_ardebil/?hl=en" TargetMode="External"/><Relationship Id="rId134" Type="http://schemas.openxmlformats.org/officeDocument/2006/relationships/hyperlink" Target="https://www.instagram.com/heyat_aliakbar_ardebil/" TargetMode="External"/><Relationship Id="rId133" Type="http://schemas.openxmlformats.org/officeDocument/2006/relationships/hyperlink" Target="https://www.instagram.com/yavaran.mahdi.ardebil/" TargetMode="External"/><Relationship Id="rId171" Type="http://schemas.openxmlformats.org/officeDocument/2006/relationships/drawing" Target="../drawings/drawing25.xml"/><Relationship Id="rId170" Type="http://schemas.openxmlformats.org/officeDocument/2006/relationships/hyperlink" Target="https://www.instagram.com/heyat63_aliasgar_ardebil/" TargetMode="External"/><Relationship Id="rId165" Type="http://schemas.openxmlformats.org/officeDocument/2006/relationships/hyperlink" Target="https://eitaa.com/fatematazzahra1" TargetMode="External"/><Relationship Id="rId164" Type="http://schemas.openxmlformats.org/officeDocument/2006/relationships/hyperlink" Target="https://www.instagram.com/heyat_baghiatallah95/" TargetMode="External"/><Relationship Id="rId163" Type="http://schemas.openxmlformats.org/officeDocument/2006/relationships/hyperlink" Target="https://www.instagram.com/heyat_valiasr_parsabad" TargetMode="External"/><Relationship Id="rId162" Type="http://schemas.openxmlformats.org/officeDocument/2006/relationships/hyperlink" Target="https://www.instagram.com/jannesaran_hazrate_abolfazl/" TargetMode="External"/><Relationship Id="rId169" Type="http://schemas.openxmlformats.org/officeDocument/2006/relationships/hyperlink" Target="https://www.instagram.com/jabi_dastasy/?hl=en" TargetMode="External"/><Relationship Id="rId168" Type="http://schemas.openxmlformats.org/officeDocument/2006/relationships/hyperlink" Target="https://www.instagram.com/heyat63_aliasgar_ardebil/" TargetMode="External"/><Relationship Id="rId167" Type="http://schemas.openxmlformats.org/officeDocument/2006/relationships/hyperlink" Target="https://www.instagram.com/beytozahra_meshkinshahr/" TargetMode="External"/><Relationship Id="rId166" Type="http://schemas.openxmlformats.org/officeDocument/2006/relationships/hyperlink" Target="https://www.instagram.com/heyate_hobbol_abbas/" TargetMode="External"/><Relationship Id="rId161" Type="http://schemas.openxmlformats.org/officeDocument/2006/relationships/hyperlink" Target="https://www.instagram.com/masjed_14masoum/" TargetMode="External"/><Relationship Id="rId160" Type="http://schemas.openxmlformats.org/officeDocument/2006/relationships/hyperlink" Target="https://www.instagram.com/heyatasheganeabolfazl/" TargetMode="External"/><Relationship Id="rId159" Type="http://schemas.openxmlformats.org/officeDocument/2006/relationships/hyperlink" Target="https://www.instagram.com/heyat.hazrat.masomeh/?hl=en" TargetMode="External"/><Relationship Id="rId154" Type="http://schemas.openxmlformats.org/officeDocument/2006/relationships/hyperlink" Target="https://www.instagram.com/heyat_zeynabiyun_montazer/?hl=en" TargetMode="External"/><Relationship Id="rId153" Type="http://schemas.openxmlformats.org/officeDocument/2006/relationships/hyperlink" Target="https://www.instagram.com/heyatasheganeabolfazl/reels/" TargetMode="External"/><Relationship Id="rId152" Type="http://schemas.openxmlformats.org/officeDocument/2006/relationships/hyperlink" Target="https://www.instagram.com/hoseinieh_razavi/" TargetMode="External"/><Relationship Id="rId151" Type="http://schemas.openxmlformats.org/officeDocument/2006/relationships/hyperlink" Target="https://www.instagram.com/ravag.ir/?hl=en" TargetMode="External"/><Relationship Id="rId158" Type="http://schemas.openxmlformats.org/officeDocument/2006/relationships/hyperlink" Target="https://www.instagram.com/heyat_gorani_aletaha/" TargetMode="External"/><Relationship Id="rId157" Type="http://schemas.openxmlformats.org/officeDocument/2006/relationships/hyperlink" Target="https://www.instagram.com/babalhavaej.1/reels/" TargetMode="External"/><Relationship Id="rId156" Type="http://schemas.openxmlformats.org/officeDocument/2006/relationships/hyperlink" Target="https://www.instagram.com/heyaat.14masuom/" TargetMode="External"/><Relationship Id="rId155" Type="http://schemas.openxmlformats.org/officeDocument/2006/relationships/hyperlink" Target="https://www.instagram.com/hazratabolfazll/" TargetMode="External"/><Relationship Id="rId107" Type="http://schemas.openxmlformats.org/officeDocument/2006/relationships/hyperlink" Target="https://www.instagram.com/heyate_asheganeh_velayat/" TargetMode="External"/><Relationship Id="rId106" Type="http://schemas.openxmlformats.org/officeDocument/2006/relationships/hyperlink" Target="https://www.instagram.com/rozatollhoosein_ard/" TargetMode="External"/><Relationship Id="rId105" Type="http://schemas.openxmlformats.org/officeDocument/2006/relationships/hyperlink" Target="https://www.instagram.com/heydarion_ardebil/" TargetMode="External"/><Relationship Id="rId104" Type="http://schemas.openxmlformats.org/officeDocument/2006/relationships/hyperlink" Target="https://www.instagram.com/hoze_honari_ardabil/" TargetMode="External"/><Relationship Id="rId109" Type="http://schemas.openxmlformats.org/officeDocument/2006/relationships/hyperlink" Target="https://www.instagram.com/heyat_zeynabiyun_montazer" TargetMode="External"/><Relationship Id="rId108" Type="http://schemas.openxmlformats.org/officeDocument/2006/relationships/hyperlink" Target="https://www.instagram.com/g_emamreza.ardabil/" TargetMode="External"/><Relationship Id="rId103" Type="http://schemas.openxmlformats.org/officeDocument/2006/relationships/hyperlink" Target="https://t.me/ali_akbar_mosque_8jin" TargetMode="External"/><Relationship Id="rId102" Type="http://schemas.openxmlformats.org/officeDocument/2006/relationships/hyperlink" Target="https://www.instagram.com/ali_akbar_mosque" TargetMode="External"/><Relationship Id="rId101" Type="http://schemas.openxmlformats.org/officeDocument/2006/relationships/hyperlink" Target="https://t.me/asheghanzeynnab" TargetMode="External"/><Relationship Id="rId100" Type="http://schemas.openxmlformats.org/officeDocument/2006/relationships/hyperlink" Target="https://www.instagram.com/asheghanezeinab/" TargetMode="External"/><Relationship Id="rId129" Type="http://schemas.openxmlformats.org/officeDocument/2006/relationships/hyperlink" Target="https://www.instagram.com/gamarebanyhashem/" TargetMode="External"/><Relationship Id="rId128" Type="http://schemas.openxmlformats.org/officeDocument/2006/relationships/hyperlink" Target="https://www.instagram.com/jannesaran_almahdi" TargetMode="External"/><Relationship Id="rId127" Type="http://schemas.openxmlformats.org/officeDocument/2006/relationships/hyperlink" Target="https://www.instagram.com/maktabe_heydarun_ardabil/" TargetMode="External"/><Relationship Id="rId126" Type="http://schemas.openxmlformats.org/officeDocument/2006/relationships/hyperlink" Target="https://www.instagram.com/mokebeparsabad_fatematozzahra/" TargetMode="External"/><Relationship Id="rId121" Type="http://schemas.openxmlformats.org/officeDocument/2006/relationships/hyperlink" Target="https://www.instagram.com/heyyat_aliasghar/" TargetMode="External"/><Relationship Id="rId120" Type="http://schemas.openxmlformats.org/officeDocument/2006/relationships/hyperlink" Target="https://www.instagram.com/heyaate_montazerane_mahdi/" TargetMode="External"/><Relationship Id="rId125" Type="http://schemas.openxmlformats.org/officeDocument/2006/relationships/hyperlink" Target="https://www.instagram.com/heyat_beit_alahzan_parsabad/" TargetMode="External"/><Relationship Id="rId124" Type="http://schemas.openxmlformats.org/officeDocument/2006/relationships/hyperlink" Target="https://www.instagram.com/heyat_ghamar_banyhashem/" TargetMode="External"/><Relationship Id="rId123" Type="http://schemas.openxmlformats.org/officeDocument/2006/relationships/hyperlink" Target="https://www.instagram.com/aliebnabitaleb_2001" TargetMode="External"/><Relationship Id="rId122" Type="http://schemas.openxmlformats.org/officeDocument/2006/relationships/hyperlink" Target="https://www.instagram.com/nehzat_namin/" TargetMode="External"/><Relationship Id="rId118" Type="http://schemas.openxmlformats.org/officeDocument/2006/relationships/hyperlink" Target="https://www.instagram.com/kotahgamatan/" TargetMode="External"/><Relationship Id="rId117" Type="http://schemas.openxmlformats.org/officeDocument/2006/relationships/hyperlink" Target="https://www.instagram.com/maktabol_hosein.ard/" TargetMode="External"/><Relationship Id="rId116" Type="http://schemas.openxmlformats.org/officeDocument/2006/relationships/hyperlink" Target="https://www.instagram.com/rayatolmahdi_ardebil" TargetMode="External"/><Relationship Id="rId115" Type="http://schemas.openxmlformats.org/officeDocument/2006/relationships/hyperlink" Target="https://www.instagram.com/yaran.mohsenin.ardabil" TargetMode="External"/><Relationship Id="rId119" Type="http://schemas.openxmlformats.org/officeDocument/2006/relationships/hyperlink" Target="https://www.instagram.com/nehzat_eslami_ard/" TargetMode="External"/><Relationship Id="rId110" Type="http://schemas.openxmlformats.org/officeDocument/2006/relationships/hyperlink" Target="https://www.instagram.com/heyat__babalhavaejagaabalfazl/" TargetMode="External"/><Relationship Id="rId114" Type="http://schemas.openxmlformats.org/officeDocument/2006/relationships/hyperlink" Target="https://www.instagram.com/heyat_saheb_zeman_ej/" TargetMode="External"/><Relationship Id="rId113" Type="http://schemas.openxmlformats.org/officeDocument/2006/relationships/hyperlink" Target="https://www.instagram.com/heyat_hazrat_zaynab_barog/" TargetMode="External"/><Relationship Id="rId112" Type="http://schemas.openxmlformats.org/officeDocument/2006/relationships/hyperlink" Target="https://www.instagram.com/ziarat_ashoora_ardabil" TargetMode="External"/><Relationship Id="rId111" Type="http://schemas.openxmlformats.org/officeDocument/2006/relationships/hyperlink" Target="https://www.instagram.com/masjed_hoseinie" TargetMode="External"/><Relationship Id="rId40" Type="http://schemas.openxmlformats.org/officeDocument/2006/relationships/hyperlink" Target="https://t.me/maktab_alzeinab" TargetMode="External"/><Relationship Id="rId42" Type="http://schemas.openxmlformats.org/officeDocument/2006/relationships/hyperlink" Target="https://l.instagram.com/?u=https%3A%2F%2Ft.me%2Fgomnam1391%3Ffbclid%3DPAZXh0bgNhZW0CMTEAAafRGhLwP5OPovmu88x2NvuX7Sbgy1Y3FQSma0UmwoqaIkkaD1PrplmkA2D3aQ_aem_2u3KU3NhYcRMPV1aGvNEhw&amp;e=AT0tL-b0-STAnDkFUIHYjCzA_QW1_ZmpCUVzh1cC71iGk_jkFZsrj1UOYn5TRKsUHPZixGGt15JKlrcLUdKf-D3F8pVWOxNDE6jmJ5VvYA" TargetMode="External"/><Relationship Id="rId41" Type="http://schemas.openxmlformats.org/officeDocument/2006/relationships/hyperlink" Target="https://www.instagram.com/gomnam.1391/" TargetMode="External"/><Relationship Id="rId44" Type="http://schemas.openxmlformats.org/officeDocument/2006/relationships/hyperlink" Target="https://www.instagram.com/heyata.babalhavaaj.abolfazl/" TargetMode="External"/><Relationship Id="rId43" Type="http://schemas.openxmlformats.org/officeDocument/2006/relationships/hyperlink" Target="https://www.instagram.com/ansarolmahdiardabil" TargetMode="External"/><Relationship Id="rId46" Type="http://schemas.openxmlformats.org/officeDocument/2006/relationships/hyperlink" Target="https://www.instagram.com/heat_maktab_zahra_ardbil_/" TargetMode="External"/><Relationship Id="rId45" Type="http://schemas.openxmlformats.org/officeDocument/2006/relationships/hyperlink" Target="https://www.instagram.com/ziyarat_ashoora_ard" TargetMode="External"/><Relationship Id="rId48" Type="http://schemas.openxmlformats.org/officeDocument/2006/relationships/hyperlink" Target="https://www.instagram.com/heyat_moslem_ebn_aqil/" TargetMode="External"/><Relationship Id="rId47" Type="http://schemas.openxmlformats.org/officeDocument/2006/relationships/hyperlink" Target="https://www.instagram.com/doaye.komeil.ard/" TargetMode="External"/><Relationship Id="rId49" Type="http://schemas.openxmlformats.org/officeDocument/2006/relationships/hyperlink" Target="https://t.me/s/beit_al_ahzan?before" TargetMode="External"/><Relationship Id="rId31" Type="http://schemas.openxmlformats.org/officeDocument/2006/relationships/hyperlink" Target="https://www.instagram.com/heyat_alnoor_ardebil/" TargetMode="External"/><Relationship Id="rId30" Type="http://schemas.openxmlformats.org/officeDocument/2006/relationships/hyperlink" Target="https://www.instagram.com/heyat_alzahraardabil/" TargetMode="External"/><Relationship Id="rId33" Type="http://schemas.openxmlformats.org/officeDocument/2006/relationships/hyperlink" Target="https://www.instagram.com/javananeashoraee/" TargetMode="External"/><Relationship Id="rId32" Type="http://schemas.openxmlformats.org/officeDocument/2006/relationships/hyperlink" Target="https://www.instagram.com/heyat_mohebbinalmahdi83/" TargetMode="External"/><Relationship Id="rId35" Type="http://schemas.openxmlformats.org/officeDocument/2006/relationships/hyperlink" Target="https://www.instagram.com/heat_maktab_zahra_ardbil_/" TargetMode="External"/><Relationship Id="rId34" Type="http://schemas.openxmlformats.org/officeDocument/2006/relationships/hyperlink" Target="https://l.instagram.com/?u=https%3A%2F%2Feitaa.com%2Fjavananeashoraee%3Ffbclid%3DPAZXh0bgNhZW0CMTEAAacK1WJj-cJKUH1zusB1yagZt_kaGqNQ-PFN3UIIpadLKOzNDyIxTuqzqQ4LHQ_aem_cP-qnFLY1Og4JzaGyfZJuA&amp;e=AT3WeCSoeXnFJC2lQlpGGt0brPnXFk_2WvCeYbCpnYJLsmOwyTlvni7JdWQFwX52MHrhHU_Urh6bGKdpLfdkhy6jx2Hth1Xai0WFXH4TZg" TargetMode="External"/><Relationship Id="rId37" Type="http://schemas.openxmlformats.org/officeDocument/2006/relationships/hyperlink" Target="https://www.instagram.com/ansarolmahdiardabil/" TargetMode="External"/><Relationship Id="rId36" Type="http://schemas.openxmlformats.org/officeDocument/2006/relationships/hyperlink" Target="https://l.instagram.com/?u=https%3A%2F%2Ft.me%2Fheat_maktab_zahra%3Ffbclid%3DPAZXh0bgNhZW0CMTEAAadIrZScNt8IOLavxSBzxBeFXNwshGSwuwqQCFkwpauutuXdE1g43xNJw1BOmQ_aem_xoseAjwBZbIZX1c5Ma-Vow&amp;e=AT2HHYmSTBJAjRxTgZFSMvNUHO5sZLlKAxRS3YJBqAPHBVy5akqHZR1VsnuF4F2bJ0Ee4lHa7MEUOkzbtIoD3ROqbUYg9UbZNPFpuJ_54w" TargetMode="External"/><Relationship Id="rId39" Type="http://schemas.openxmlformats.org/officeDocument/2006/relationships/hyperlink" Target="https://eitaa.com/emamesadeg" TargetMode="External"/><Relationship Id="rId38" Type="http://schemas.openxmlformats.org/officeDocument/2006/relationships/hyperlink" Target="https://eitaa.com/ansarolmahdiardabil" TargetMode="External"/><Relationship Id="rId20" Type="http://schemas.openxmlformats.org/officeDocument/2006/relationships/hyperlink" Target="https://www.instagram.com/heyat_hazrat_zaynab_barog/" TargetMode="External"/><Relationship Id="rId22" Type="http://schemas.openxmlformats.org/officeDocument/2006/relationships/hyperlink" Target="https://www.instagram.com/ziarat_ashoora_ardabil/" TargetMode="External"/><Relationship Id="rId21" Type="http://schemas.openxmlformats.org/officeDocument/2006/relationships/hyperlink" Target="https://www.instagram.com/heyat_omoolbanin/" TargetMode="External"/><Relationship Id="rId24" Type="http://schemas.openxmlformats.org/officeDocument/2006/relationships/hyperlink" Target="https://www.instagram.com/heyate_omeabiha_ardabil/" TargetMode="External"/><Relationship Id="rId23" Type="http://schemas.openxmlformats.org/officeDocument/2006/relationships/hyperlink" Target="https://ble.ir/ziarat_ashoora_ardabil" TargetMode="External"/><Relationship Id="rId26" Type="http://schemas.openxmlformats.org/officeDocument/2006/relationships/hyperlink" Target="https://www.instagram.com/heyate_asheganeh_velayat/" TargetMode="External"/><Relationship Id="rId25" Type="http://schemas.openxmlformats.org/officeDocument/2006/relationships/hyperlink" Target="http://t.me/omeabiha01" TargetMode="External"/><Relationship Id="rId28" Type="http://schemas.openxmlformats.org/officeDocument/2006/relationships/hyperlink" Target="https://www.instagram.com/gamarebanyhashem/" TargetMode="External"/><Relationship Id="rId27" Type="http://schemas.openxmlformats.org/officeDocument/2006/relationships/hyperlink" Target="https://eitaa.com/heyate_asheganeh_velayat" TargetMode="External"/><Relationship Id="rId29" Type="http://schemas.openxmlformats.org/officeDocument/2006/relationships/hyperlink" Target="https://l.instagram.com/?u=https%3A%2F%2Ftlgrm.in%2Fgamarbanyhashm%3Ffbclid%3DPAZXh0bgNhZW0CMTEAAafkpNzq5W1weffPDUWNM8hOGYDvKDkF9xAAPC45tblu3J5rfhbY4HutvpVfJA_aem_LfHTRKkfZwhBx79_ct3xqw&amp;e=AT02sPTdllijEJXRUKftWxuQKqLLaWTyMckuB9B8JcoAPEvsap0l5-p04u2VgQke1M-KAYSOVbLzLPXeKAhBxyQitXAZIa8RFRCmqkJt9Q" TargetMode="External"/><Relationship Id="rId11" Type="http://schemas.openxmlformats.org/officeDocument/2006/relationships/hyperlink" Target="https://www.instagram.com/alam_dar_ir" TargetMode="External"/><Relationship Id="rId10" Type="http://schemas.openxmlformats.org/officeDocument/2006/relationships/hyperlink" Target="https://eitaa.com/hoseinieh_razavi" TargetMode="External"/><Relationship Id="rId13" Type="http://schemas.openxmlformats.org/officeDocument/2006/relationships/hyperlink" Target="https://www.instagram.com/yavaran.mahdi.ardebil/" TargetMode="External"/><Relationship Id="rId12" Type="http://schemas.openxmlformats.org/officeDocument/2006/relationships/hyperlink" Target="https://eitaa.com/alamdar_ardabil" TargetMode="External"/><Relationship Id="rId15" Type="http://schemas.openxmlformats.org/officeDocument/2006/relationships/hyperlink" Target="https://l.instagram.com/?u=https%3A%2F%2Ftlgrm.in%2Fgamarbanyhashm%3Ffbclid%3DPAZXh0bgNhZW0CMTEAAac7ijEtdrhHNOMBq8XNGnNwNvT3Q3aOFPx11L344pwE3LHc6E3QVneE0rjxMw_aem_gdrOTA3nizwhShUmeFjQ4A&amp;e=AT2VXstnQmpW_zVffH5Gb7V6j1hVdxHJu0efxbyNDIXe_bmWw_M6z8Qbzvf0PSZKQmgST8WS1e_EGzugvtiP7F58Y_nb9ZLzCTqBTmF9gA" TargetMode="External"/><Relationship Id="rId14" Type="http://schemas.openxmlformats.org/officeDocument/2006/relationships/hyperlink" Target="https://www.instagram.com/gamarebanyhashem/" TargetMode="External"/><Relationship Id="rId17" Type="http://schemas.openxmlformats.org/officeDocument/2006/relationships/hyperlink" Target="https://www.instagram.com/seyedalshohada1321/" TargetMode="External"/><Relationship Id="rId16" Type="http://schemas.openxmlformats.org/officeDocument/2006/relationships/hyperlink" Target="https://www.instagram.com/rayatolmahdi_ardebil/" TargetMode="External"/><Relationship Id="rId19" Type="http://schemas.openxmlformats.org/officeDocument/2006/relationships/hyperlink" Target="http://t.me/s/zenabyoonardebil" TargetMode="External"/><Relationship Id="rId18" Type="http://schemas.openxmlformats.org/officeDocument/2006/relationships/hyperlink" Target="https://l.instagram.com/?u=http%3A%2F%2Ft.me%2Fseyedalshohada1321%3Ffbclid%3DPAZXh0bgNhZW0CMTEAAaetJLia0KxyFoRCvlMKbolOJ9KLR55boRYKGYdVaqr4e1XsqgTPaPTT8qs_2g_aem_1D7HIeZuAlEZXztLDx6YBA&amp;e=AT0scoJuJtV3zNqg5I360zU623xzzjyhZTn_MzzzxllIA68iwX6IflNNfch5YpnKddZ7NKpbZt8CGNWdTxRoWkAmUJsTDmXeyjL2t9TcCg" TargetMode="External"/><Relationship Id="rId84" Type="http://schemas.openxmlformats.org/officeDocument/2006/relationships/hyperlink" Target="https://www.instagram.com/gomnam.1391/" TargetMode="External"/><Relationship Id="rId83" Type="http://schemas.openxmlformats.org/officeDocument/2006/relationships/hyperlink" Target="https://www.instagram.com/masjed_ghasemiah" TargetMode="External"/><Relationship Id="rId86" Type="http://schemas.openxmlformats.org/officeDocument/2006/relationships/hyperlink" Target="https://www.instagram.com/h.r.eslam_neyriz/" TargetMode="External"/><Relationship Id="rId85" Type="http://schemas.openxmlformats.org/officeDocument/2006/relationships/hyperlink" Target="https://t.me/gomnam1391" TargetMode="External"/><Relationship Id="rId88" Type="http://schemas.openxmlformats.org/officeDocument/2006/relationships/hyperlink" Target="https://www.instagram.com/masjed_sadat.ard/" TargetMode="External"/><Relationship Id="rId87" Type="http://schemas.openxmlformats.org/officeDocument/2006/relationships/hyperlink" Target="https://t.me/gomnam1391" TargetMode="External"/><Relationship Id="rId89" Type="http://schemas.openxmlformats.org/officeDocument/2006/relationships/hyperlink" Target="https://www.instagram.com/javanan_aliackbar_90" TargetMode="External"/><Relationship Id="rId80" Type="http://schemas.openxmlformats.org/officeDocument/2006/relationships/hyperlink" Target="https://www.instagram.com/heyat.seyedoshohadaa" TargetMode="External"/><Relationship Id="rId82" Type="http://schemas.openxmlformats.org/officeDocument/2006/relationships/hyperlink" Target="https://www.instagram.com/masjede_emamhussain_chaypara/" TargetMode="External"/><Relationship Id="rId81" Type="http://schemas.openxmlformats.org/officeDocument/2006/relationships/hyperlink" Target="https://www.instagram.com/adineh_meshkin" TargetMode="External"/><Relationship Id="rId73" Type="http://schemas.openxmlformats.org/officeDocument/2006/relationships/hyperlink" Target="https://www.instagram.com/heyat_alzahraardabil/" TargetMode="External"/><Relationship Id="rId72" Type="http://schemas.openxmlformats.org/officeDocument/2006/relationships/hyperlink" Target="https://www.instagram.com/heyate_shohada_gomnam_ardabil/" TargetMode="External"/><Relationship Id="rId75" Type="http://schemas.openxmlformats.org/officeDocument/2006/relationships/hyperlink" Target="https://t.me/hoseiniyaneardebil?" TargetMode="External"/><Relationship Id="rId74" Type="http://schemas.openxmlformats.org/officeDocument/2006/relationships/hyperlink" Target="https://www.instagram.com/hoseiniyane.ardebil/" TargetMode="External"/><Relationship Id="rId77" Type="http://schemas.openxmlformats.org/officeDocument/2006/relationships/hyperlink" Target="https://t.me/khalkhalheya" TargetMode="External"/><Relationship Id="rId76" Type="http://schemas.openxmlformats.org/officeDocument/2006/relationships/hyperlink" Target="https://www.instagram.com/heyate.sepahsalar.khalkhal/" TargetMode="External"/><Relationship Id="rId79" Type="http://schemas.openxmlformats.org/officeDocument/2006/relationships/hyperlink" Target="https://t.me/h14masoumekhalkhal" TargetMode="External"/><Relationship Id="rId78" Type="http://schemas.openxmlformats.org/officeDocument/2006/relationships/hyperlink" Target="https://www.instagram.com/hyat_chahardah_masom" TargetMode="External"/><Relationship Id="rId71" Type="http://schemas.openxmlformats.org/officeDocument/2006/relationships/hyperlink" Target="https://www.instagram.com/sarallah_ard/" TargetMode="External"/><Relationship Id="rId70" Type="http://schemas.openxmlformats.org/officeDocument/2006/relationships/hyperlink" Target="https://www.instagram.com/heyat_emamhadi/" TargetMode="External"/><Relationship Id="rId62" Type="http://schemas.openxmlformats.org/officeDocument/2006/relationships/hyperlink" Target="https://www.instagram.com/alam_dar_ir/" TargetMode="External"/><Relationship Id="rId61" Type="http://schemas.openxmlformats.org/officeDocument/2006/relationships/hyperlink" Target="https://www.instagram.com/ali_ebne_abitaleb1372/" TargetMode="External"/><Relationship Id="rId64" Type="http://schemas.openxmlformats.org/officeDocument/2006/relationships/hyperlink" Target="https://t.me/Heyatalnoor" TargetMode="External"/><Relationship Id="rId63" Type="http://schemas.openxmlformats.org/officeDocument/2006/relationships/hyperlink" Target="https://www.instagram.com/heyat_alnoor_ardebil" TargetMode="External"/><Relationship Id="rId66" Type="http://schemas.openxmlformats.org/officeDocument/2006/relationships/hyperlink" Target="https://www.instagram.com/maktab_ir" TargetMode="External"/><Relationship Id="rId65" Type="http://schemas.openxmlformats.org/officeDocument/2006/relationships/hyperlink" Target="https://eitaa.com/heyatnoorardabil" TargetMode="External"/><Relationship Id="rId68" Type="http://schemas.openxmlformats.org/officeDocument/2006/relationships/hyperlink" Target="https://www.instagram.com/heyateabasii" TargetMode="External"/><Relationship Id="rId67" Type="http://schemas.openxmlformats.org/officeDocument/2006/relationships/hyperlink" Target="https://eitaa.com/maktab_ir" TargetMode="External"/><Relationship Id="rId60" Type="http://schemas.openxmlformats.org/officeDocument/2006/relationships/hyperlink" Target="https://www.instagram.com/heyat_aliakbar_ardebil/" TargetMode="External"/><Relationship Id="rId69" Type="http://schemas.openxmlformats.org/officeDocument/2006/relationships/hyperlink" Target="https://www.instagram.com/heyat_hobbol_hosseyn_ardabil" TargetMode="External"/><Relationship Id="rId51" Type="http://schemas.openxmlformats.org/officeDocument/2006/relationships/hyperlink" Target="https://www.instagram.com/miqat_info/" TargetMode="External"/><Relationship Id="rId50" Type="http://schemas.openxmlformats.org/officeDocument/2006/relationships/hyperlink" Target="https://www.instagram.com/bmh_ir" TargetMode="External"/><Relationship Id="rId53" Type="http://schemas.openxmlformats.org/officeDocument/2006/relationships/hyperlink" Target="https://www.instagram.com/javananeashoraee/" TargetMode="External"/><Relationship Id="rId52" Type="http://schemas.openxmlformats.org/officeDocument/2006/relationships/hyperlink" Target="https://eitaa.com/razmandegan_ardabil" TargetMode="External"/><Relationship Id="rId55" Type="http://schemas.openxmlformats.org/officeDocument/2006/relationships/hyperlink" Target="https://www.instagram.com/seyedalshohada1321/" TargetMode="External"/><Relationship Id="rId54" Type="http://schemas.openxmlformats.org/officeDocument/2006/relationships/hyperlink" Target="https://eitaa.com/javananeashoraee" TargetMode="External"/><Relationship Id="rId57" Type="http://schemas.openxmlformats.org/officeDocument/2006/relationships/hyperlink" Target="https://www.instagram.com/heyat_mohebbinalmahdi83" TargetMode="External"/><Relationship Id="rId56" Type="http://schemas.openxmlformats.org/officeDocument/2006/relationships/hyperlink" Target="https://t.me/seyedalshohada1321" TargetMode="External"/><Relationship Id="rId59" Type="http://schemas.openxmlformats.org/officeDocument/2006/relationships/hyperlink" Target="https://www.instagram.com/montazeran_zohour_ardabil/" TargetMode="External"/><Relationship Id="rId58" Type="http://schemas.openxmlformats.org/officeDocument/2006/relationships/hyperlink" Target="https://www.instagram.com/heyat.hazrat.masomeh/" TargetMode="External"/><Relationship Id="rId95" Type="http://schemas.openxmlformats.org/officeDocument/2006/relationships/hyperlink" Target="https://eitaa.com/@ravag_ir" TargetMode="External"/><Relationship Id="rId94" Type="http://schemas.openxmlformats.org/officeDocument/2006/relationships/hyperlink" Target="https://t.me/Ravag_ir" TargetMode="External"/><Relationship Id="rId97" Type="http://schemas.openxmlformats.org/officeDocument/2006/relationships/hyperlink" Target="https://www.instagram.com/h_safiralhosseinardabil.ir/" TargetMode="External"/><Relationship Id="rId96" Type="http://schemas.openxmlformats.org/officeDocument/2006/relationships/hyperlink" Target="https://www.instagram.com/ya_aliasghar_" TargetMode="External"/><Relationship Id="rId99" Type="http://schemas.openxmlformats.org/officeDocument/2006/relationships/hyperlink" Target="https://t.me/roghayekhaton1395" TargetMode="External"/><Relationship Id="rId98" Type="http://schemas.openxmlformats.org/officeDocument/2006/relationships/hyperlink" Target="https://www.instagram.com/asheghan_roghaye_ardabiliha" TargetMode="External"/><Relationship Id="rId91" Type="http://schemas.openxmlformats.org/officeDocument/2006/relationships/hyperlink" Target="https://www.instagram.com/janesarane_almahdi12/" TargetMode="External"/><Relationship Id="rId90" Type="http://schemas.openxmlformats.org/officeDocument/2006/relationships/hyperlink" Target="https://t.me/javanan_aliackbar_90" TargetMode="External"/><Relationship Id="rId93" Type="http://schemas.openxmlformats.org/officeDocument/2006/relationships/hyperlink" Target="https://www.instagram.com/ravag.ir" TargetMode="External"/><Relationship Id="rId92" Type="http://schemas.openxmlformats.org/officeDocument/2006/relationships/hyperlink" Target="https://t.me/janesarane_almahdi12" TargetMode="External"/><Relationship Id="rId1" Type="http://schemas.openxmlformats.org/officeDocument/2006/relationships/hyperlink" Target="https://www.instagram.com/maktab_ir/" TargetMode="External"/><Relationship Id="rId2" Type="http://schemas.openxmlformats.org/officeDocument/2006/relationships/hyperlink" Target="https://eitaa.com/s/maktab_ir" TargetMode="External"/><Relationship Id="rId3" Type="http://schemas.openxmlformats.org/officeDocument/2006/relationships/hyperlink" Target="https://www.instagram.com/rayatolmahdi_ardebil/" TargetMode="External"/><Relationship Id="rId4" Type="http://schemas.openxmlformats.org/officeDocument/2006/relationships/hyperlink" Target="https://www.instagram.com/ravag.ir/" TargetMode="External"/><Relationship Id="rId9" Type="http://schemas.openxmlformats.org/officeDocument/2006/relationships/hyperlink" Target="https://www.instagram.com/hoseinieh_razavi/" TargetMode="External"/><Relationship Id="rId5" Type="http://schemas.openxmlformats.org/officeDocument/2006/relationships/hyperlink" Target="http://t.me/Ravag_ir" TargetMode="External"/><Relationship Id="rId6" Type="http://schemas.openxmlformats.org/officeDocument/2006/relationships/hyperlink" Target="https://eitaa.com/s/ravag_ir/" TargetMode="External"/><Relationship Id="rId7" Type="http://schemas.openxmlformats.org/officeDocument/2006/relationships/hyperlink" Target="https://www.instagram.com/miqat_info/" TargetMode="External"/><Relationship Id="rId8" Type="http://schemas.openxmlformats.org/officeDocument/2006/relationships/hyperlink" Target="https://l.instagram.com/?u=http%3A%2F%2Feitaa.com%2Frazmandegan_ardabil%3Ffbclid%3DPAZXh0bgNhZW0CMTEAAad6kAho7WwrS53X2oKWeukPM8X6Qnmzdo2FUtm6SBP6S69m5ovBuBXN4cRnlg_aem_rFHvpwtViy6s5IjitUqYJw&amp;e=AT0Q9D9jkNk3s8Te8vPsVB9_aPQYEMlUqamYwH9pOMGHia1GqXJKmnUDn8U2lXMuwMSJDYJ3NOthnmYtRdYvThgvo5HmZ15Zz6vSmbkcDQ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mohebin_qamar_bani_hashem/" TargetMode="External"/><Relationship Id="rId42" Type="http://schemas.openxmlformats.org/officeDocument/2006/relationships/hyperlink" Target="https://www.instagram.com/kazemiun/" TargetMode="External"/><Relationship Id="rId41" Type="http://schemas.openxmlformats.org/officeDocument/2006/relationships/hyperlink" Target="https://www.instagram.com/kafil_o_zeynab128/" TargetMode="External"/><Relationship Id="rId44" Type="http://schemas.openxmlformats.org/officeDocument/2006/relationships/hyperlink" Target="https://www.instagram.com/heiatoreza.khormuj/" TargetMode="External"/><Relationship Id="rId43" Type="http://schemas.openxmlformats.org/officeDocument/2006/relationships/hyperlink" Target="https://t.me/kazemiun" TargetMode="External"/><Relationship Id="rId46" Type="http://schemas.openxmlformats.org/officeDocument/2006/relationships/hyperlink" Target="https://www.instagram.com/fatemiyoon_com/" TargetMode="External"/><Relationship Id="rId45" Type="http://schemas.openxmlformats.org/officeDocument/2006/relationships/hyperlink" Target="https://www.instagram.com/aleyasin313.ir/" TargetMode="External"/><Relationship Id="rId48" Type="http://schemas.openxmlformats.org/officeDocument/2006/relationships/hyperlink" Target="https://eitaa.com/asheghan133" TargetMode="External"/><Relationship Id="rId47" Type="http://schemas.openxmlformats.org/officeDocument/2006/relationships/hyperlink" Target="https://www.instagram.com/asheghan133.ir/" TargetMode="External"/><Relationship Id="rId49" Type="http://schemas.openxmlformats.org/officeDocument/2006/relationships/hyperlink" Target="https://eitaa.com/panjshanbeshohadaei_bu" TargetMode="External"/><Relationship Id="rId31" Type="http://schemas.openxmlformats.org/officeDocument/2006/relationships/hyperlink" Target="https://eitaa.com/heyatoreza_alsr" TargetMode="External"/><Relationship Id="rId30" Type="http://schemas.openxmlformats.org/officeDocument/2006/relationships/hyperlink" Target="https://t.me/heyatoreza_alsr" TargetMode="External"/><Relationship Id="rId33" Type="http://schemas.openxmlformats.org/officeDocument/2006/relationships/hyperlink" Target="https://www.instagram.com/bachehaye_reyhane/" TargetMode="External"/><Relationship Id="rId32" Type="http://schemas.openxmlformats.org/officeDocument/2006/relationships/hyperlink" Target="https://www.instagram.com/heyatfatematazzahra/" TargetMode="External"/><Relationship Id="rId35" Type="http://schemas.openxmlformats.org/officeDocument/2006/relationships/hyperlink" Target="https://www.instagram.com/oshagh.alabbas/" TargetMode="External"/><Relationship Id="rId34" Type="http://schemas.openxmlformats.org/officeDocument/2006/relationships/hyperlink" Target="https://www.instagram.com/heiat_motevasllin/" TargetMode="External"/><Relationship Id="rId37" Type="http://schemas.openxmlformats.org/officeDocument/2006/relationships/hyperlink" Target="http://eitaa.com/oshagh_88" TargetMode="External"/><Relationship Id="rId36" Type="http://schemas.openxmlformats.org/officeDocument/2006/relationships/hyperlink" Target="http://t.me/oshagh1388" TargetMode="External"/><Relationship Id="rId39" Type="http://schemas.openxmlformats.org/officeDocument/2006/relationships/hyperlink" Target="https://eitaa.com/montazeranBg" TargetMode="External"/><Relationship Id="rId38" Type="http://schemas.openxmlformats.org/officeDocument/2006/relationships/hyperlink" Target="https://www.instagram.com/heyat.montazeran.bg/" TargetMode="External"/><Relationship Id="rId20" Type="http://schemas.openxmlformats.org/officeDocument/2006/relationships/hyperlink" Target="https://eitaa.com/rayatolabbas128" TargetMode="External"/><Relationship Id="rId22" Type="http://schemas.openxmlformats.org/officeDocument/2006/relationships/hyperlink" Target="https://www.instagram.com/janatolabbass_69/" TargetMode="External"/><Relationship Id="rId21" Type="http://schemas.openxmlformats.org/officeDocument/2006/relationships/hyperlink" Target="https://www.instagram.com/montazeranmahdi_bushehr/" TargetMode="External"/><Relationship Id="rId24" Type="http://schemas.openxmlformats.org/officeDocument/2006/relationships/hyperlink" Target="https://www.instagram.com/maktabalhasan118/" TargetMode="External"/><Relationship Id="rId23" Type="http://schemas.openxmlformats.org/officeDocument/2006/relationships/hyperlink" Target="https://eitaa.com/levaolzahra" TargetMode="External"/><Relationship Id="rId26" Type="http://schemas.openxmlformats.org/officeDocument/2006/relationships/hyperlink" Target="https://eitaa.com/s/maktabalhasn118" TargetMode="External"/><Relationship Id="rId25" Type="http://schemas.openxmlformats.org/officeDocument/2006/relationships/hyperlink" Target="https://t.me/maktabalhasan118" TargetMode="External"/><Relationship Id="rId28" Type="http://schemas.openxmlformats.org/officeDocument/2006/relationships/hyperlink" Target="https://www.aparat.com/Mohebbinalyasin162" TargetMode="External"/><Relationship Id="rId27" Type="http://schemas.openxmlformats.org/officeDocument/2006/relationships/hyperlink" Target="https://www.instagram.com/mohebbinalyasin162/" TargetMode="External"/><Relationship Id="rId29" Type="http://schemas.openxmlformats.org/officeDocument/2006/relationships/hyperlink" Target="https://www.instagram.com/heyatoreza_alsr/" TargetMode="External"/><Relationship Id="rId11" Type="http://schemas.openxmlformats.org/officeDocument/2006/relationships/hyperlink" Target="https://www.aparat.com/ansar_almahdi_g" TargetMode="External"/><Relationship Id="rId10" Type="http://schemas.openxmlformats.org/officeDocument/2006/relationships/hyperlink" Target="https://www.instagram.com/ansaralhosaine/" TargetMode="External"/><Relationship Id="rId13" Type="http://schemas.openxmlformats.org/officeDocument/2006/relationships/hyperlink" Target="https://www.instagram.com/heiatalzahra.bu/" TargetMode="External"/><Relationship Id="rId12" Type="http://schemas.openxmlformats.org/officeDocument/2006/relationships/hyperlink" Target="https://www.instagram.com/mohebban_mahdi_313/" TargetMode="External"/><Relationship Id="rId15" Type="http://schemas.openxmlformats.org/officeDocument/2006/relationships/hyperlink" Target="https://t.me/heyatshohadayegomnam" TargetMode="External"/><Relationship Id="rId14" Type="http://schemas.openxmlformats.org/officeDocument/2006/relationships/hyperlink" Target="https://www.instagram.com/heyat.shohadayegomnam/" TargetMode="External"/><Relationship Id="rId17" Type="http://schemas.openxmlformats.org/officeDocument/2006/relationships/hyperlink" Target="https://www.instagram.com/saelinolzeynab69" TargetMode="External"/><Relationship Id="rId16" Type="http://schemas.openxmlformats.org/officeDocument/2006/relationships/hyperlink" Target="https://eitaa.com/heyatshohadayegomnam" TargetMode="External"/><Relationship Id="rId19" Type="http://schemas.openxmlformats.org/officeDocument/2006/relationships/hyperlink" Target="https://t.me/rayatolabbas128" TargetMode="External"/><Relationship Id="rId18" Type="http://schemas.openxmlformats.org/officeDocument/2006/relationships/hyperlink" Target="https://www.instagram.com/rayatolabbas128" TargetMode="External"/><Relationship Id="rId50" Type="http://schemas.openxmlformats.org/officeDocument/2006/relationships/drawing" Target="../drawings/drawing26.xml"/><Relationship Id="rId1" Type="http://schemas.openxmlformats.org/officeDocument/2006/relationships/hyperlink" Target="https://eitaa.com/razmandegan_bushehr" TargetMode="External"/><Relationship Id="rId2" Type="http://schemas.openxmlformats.org/officeDocument/2006/relationships/hyperlink" Target="https://www.instagram.com/heiatoreza.khormuj/" TargetMode="External"/><Relationship Id="rId3" Type="http://schemas.openxmlformats.org/officeDocument/2006/relationships/hyperlink" Target="https://www.instagram.com/Masjed_Emam_Hossein_Deylam1400" TargetMode="External"/><Relationship Id="rId4" Type="http://schemas.openxmlformats.org/officeDocument/2006/relationships/hyperlink" Target="https://t.me/joinchat/AAAAAD_F9WJKDeOtbYkhbg" TargetMode="External"/><Relationship Id="rId9" Type="http://schemas.openxmlformats.org/officeDocument/2006/relationships/hyperlink" Target="https://www.aparat.com/heyatozzahraa" TargetMode="External"/><Relationship Id="rId5" Type="http://schemas.openxmlformats.org/officeDocument/2006/relationships/hyperlink" Target="https://eitaa.com/joinchat/2436170036C43cebb0be0" TargetMode="External"/><Relationship Id="rId6" Type="http://schemas.openxmlformats.org/officeDocument/2006/relationships/hyperlink" Target="https://www.instagram.com/seyyedoshohada_riz" TargetMode="External"/><Relationship Id="rId7" Type="http://schemas.openxmlformats.org/officeDocument/2006/relationships/hyperlink" Target="https://eitaa.com/seyyedoshohada_riz" TargetMode="External"/><Relationship Id="rId8" Type="http://schemas.openxmlformats.org/officeDocument/2006/relationships/hyperlink" Target="https://www.instagram.com/heyatozzahra313/" TargetMode="Externa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27.xml"/><Relationship Id="rId31" Type="http://schemas.openxmlformats.org/officeDocument/2006/relationships/hyperlink" Target="https://www.instagram.com/alamdarvelayat_313/" TargetMode="External"/><Relationship Id="rId30" Type="http://schemas.openxmlformats.org/officeDocument/2006/relationships/hyperlink" Target="https://l.instagram.com/?u=http%3A%2F%2Ft.me%2Fbeynolharameyn_gachsaran%3Futm_source%3Dig%26utm_medium%3Dsocial%26utm_content%3Dlink_in_bio%26fbclid%3DPAZXh0bgNhZW0CMTEAc3J0YwZhcHBfaWQMMjU2MjgxMDQwNTU4AAGnwOH6iBMhZRwh-knK_tKKiDGN6Gj8mlbZjRMdX14IMPp19NaI1IoaM9ZQnVk_aem_GLWJWWL0HK4SpugYrEswRQ&amp;e=AT7h0-sqsZMdRU5HKiKNvi_Or017UBemvHYw65nnRsbi9h42zmW-2x2Jan1wG8xHSLRi6XndVJRcp-ATg7e7ZWh-BXmeEtdqB0m7ro1pyQ" TargetMode="External"/><Relationship Id="rId33" Type="http://schemas.openxmlformats.org/officeDocument/2006/relationships/hyperlink" Target="https://eitaa.com/eita_alamdarvelayat_313" TargetMode="External"/><Relationship Id="rId32" Type="http://schemas.openxmlformats.org/officeDocument/2006/relationships/hyperlink" Target="https://t.me/alamdarvelayat313" TargetMode="External"/><Relationship Id="rId35" Type="http://schemas.openxmlformats.org/officeDocument/2006/relationships/hyperlink" Target="https://www.instagram.com/heyyat_hazrat_rooghayeh/" TargetMode="External"/><Relationship Id="rId34" Type="http://schemas.openxmlformats.org/officeDocument/2006/relationships/hyperlink" Target="https://www.instagram.com/misaagh_ir/" TargetMode="External"/><Relationship Id="rId37" Type="http://schemas.openxmlformats.org/officeDocument/2006/relationships/hyperlink" Target="https://www.instagram.com/khademoshohada.choram/" TargetMode="External"/><Relationship Id="rId36" Type="http://schemas.openxmlformats.org/officeDocument/2006/relationships/hyperlink" Target="https://www.instagram.com/shahid_araste_yasuj/" TargetMode="External"/><Relationship Id="rId39" Type="http://schemas.openxmlformats.org/officeDocument/2006/relationships/hyperlink" Target="https://www.instagram.com/javananehoseini/" TargetMode="External"/><Relationship Id="rId38" Type="http://schemas.openxmlformats.org/officeDocument/2006/relationships/hyperlink" Target="https://l.instagram.com/?u=https%3A%2F%2Feitaa.com%2Fchoram7%3Futm_source%3Dig%26utm_medium%3Dsocial%26utm_content%3Dlink_in_bio%26fbclid%3DPAZXh0bgNhZW0CMTEAc3J0YwZhcHBfaWQMMjU2MjgxMDQwNTU4AAGnInz87g_29sPJ6E0kA9sN03wsSlYkF48kY8kxa9ElIjr_YAJwNpCRk0VRtrg_aem_wM5gAAkQpiesPCBjtLcP3w&amp;e=AT4EicWwRlIS1gWydbln1KJFIWEidG9_5i2an41mJDcSdaXH7J3_FEMZ9HClJQ2DjH3Ld6t13Wr_chtGdmmMnEMT-lma2bDUM6ghQn1l4Q" TargetMode="External"/><Relationship Id="rId20" Type="http://schemas.openxmlformats.org/officeDocument/2006/relationships/hyperlink" Target="https://eitaa.com/mokeb_313" TargetMode="External"/><Relationship Id="rId22" Type="http://schemas.openxmlformats.org/officeDocument/2006/relationships/hyperlink" Target="https://www.instagram.com/aletaha_yasuj/" TargetMode="External"/><Relationship Id="rId21" Type="http://schemas.openxmlformats.org/officeDocument/2006/relationships/hyperlink" Target="https://www.instagram.com/shifteganemahdiiii/" TargetMode="External"/><Relationship Id="rId24" Type="http://schemas.openxmlformats.org/officeDocument/2006/relationships/hyperlink" Target="https://www.instagram.com/heyyat_hazrat_rooghayeh/" TargetMode="External"/><Relationship Id="rId23" Type="http://schemas.openxmlformats.org/officeDocument/2006/relationships/hyperlink" Target="https://l.instagram.com/?u=https%3A%2F%2Feitaa.com%2Faletaha_yasuj%3Futm_source%3Dig%26utm_medium%3Dsocial%26utm_content%3Dlink_in_bio%26fbclid%3DPAZXh0bgNhZW0CMTEAc3J0YwZhcHBfaWQMMjU2MjgxMDQwNTU4AAGnaFKy7gJKKTORT6JGChBN4cTnpVNidxgwyhCtKE2SHDgIpdJPQSRVCN67qf8_aem_sYbAE8SYsL5Hn_3uAr3zmQ&amp;e=AT7WvGHhItH1SymLwW0wQotqQ2fjC1_FF-IgkYtXMxm2l8L8_yNsSEYuv54oz-W8vkYcCMBcFhGWVCvUIolMbH8QHdJ8JG4yP6pJwSVlhQ" TargetMode="External"/><Relationship Id="rId26" Type="http://schemas.openxmlformats.org/officeDocument/2006/relationships/hyperlink" Target="https://www.instagram.com/heyat.salar.shahidan/" TargetMode="External"/><Relationship Id="rId25" Type="http://schemas.openxmlformats.org/officeDocument/2006/relationships/hyperlink" Target="https://www.instagram.com/khademalreza.1/" TargetMode="External"/><Relationship Id="rId28" Type="http://schemas.openxmlformats.org/officeDocument/2006/relationships/hyperlink" Target="https://www.instagram.com/zeynabion_ysj/" TargetMode="External"/><Relationship Id="rId27" Type="http://schemas.openxmlformats.org/officeDocument/2006/relationships/hyperlink" Target="https://www.instagram.com/qamarbanihashem_/" TargetMode="External"/><Relationship Id="rId29" Type="http://schemas.openxmlformats.org/officeDocument/2006/relationships/hyperlink" Target="https://www.instagram.com/beynolharameyn_gachsaran/" TargetMode="External"/><Relationship Id="rId11" Type="http://schemas.openxmlformats.org/officeDocument/2006/relationships/hyperlink" Target="https://eitaa.com/zeynabiyoun_ysj" TargetMode="External"/><Relationship Id="rId10" Type="http://schemas.openxmlformats.org/officeDocument/2006/relationships/hyperlink" Target="https://eitaa.com/aletaha_yasuj" TargetMode="External"/><Relationship Id="rId13" Type="http://schemas.openxmlformats.org/officeDocument/2006/relationships/hyperlink" Target="https://eitaa.com/razmandegankb" TargetMode="External"/><Relationship Id="rId12" Type="http://schemas.openxmlformats.org/officeDocument/2006/relationships/hyperlink" Target="https://eitaa.com/misaq_yasouj" TargetMode="External"/><Relationship Id="rId15" Type="http://schemas.openxmlformats.org/officeDocument/2006/relationships/hyperlink" Target="https://www.instagram.com/heyat_hazratezeynab/" TargetMode="External"/><Relationship Id="rId14" Type="http://schemas.openxmlformats.org/officeDocument/2006/relationships/hyperlink" Target="https://eitaa.com/misaagh_ir" TargetMode="External"/><Relationship Id="rId17" Type="http://schemas.openxmlformats.org/officeDocument/2006/relationships/hyperlink" Target="https://www.instagram.com/ansar1372.ir/" TargetMode="External"/><Relationship Id="rId16" Type="http://schemas.openxmlformats.org/officeDocument/2006/relationships/hyperlink" Target="https://www.instagram.com/maktab_alroghayeh_basht/" TargetMode="External"/><Relationship Id="rId19" Type="http://schemas.openxmlformats.org/officeDocument/2006/relationships/hyperlink" Target="https://eitaa.com/masjd_sayedalshohada" TargetMode="External"/><Relationship Id="rId18" Type="http://schemas.openxmlformats.org/officeDocument/2006/relationships/hyperlink" Target="https://eitaa.com/ansarir" TargetMode="External"/><Relationship Id="rId1" Type="http://schemas.openxmlformats.org/officeDocument/2006/relationships/hyperlink" Target="https://www.instagram.com/ansarsuq.ir/" TargetMode="External"/><Relationship Id="rId2" Type="http://schemas.openxmlformats.org/officeDocument/2006/relationships/hyperlink" Target="https://www.instagram.com/javananhosseyniyasuj/" TargetMode="External"/><Relationship Id="rId3" Type="http://schemas.openxmlformats.org/officeDocument/2006/relationships/hyperlink" Target="https://eitaa.com/jhyasuj" TargetMode="External"/><Relationship Id="rId4" Type="http://schemas.openxmlformats.org/officeDocument/2006/relationships/hyperlink" Target="https://t.me/oshaghalmahdi3135" TargetMode="External"/><Relationship Id="rId9" Type="http://schemas.openxmlformats.org/officeDocument/2006/relationships/hyperlink" Target="https://www.instagram.com/aletaha_yasuj" TargetMode="External"/><Relationship Id="rId5" Type="http://schemas.openxmlformats.org/officeDocument/2006/relationships/hyperlink" Target="https://www.instagram.com/beytozahraa1400/" TargetMode="External"/><Relationship Id="rId6" Type="http://schemas.openxmlformats.org/officeDocument/2006/relationships/hyperlink" Target="https://eitaa.com/eita_alamdarvelayat_313" TargetMode="External"/><Relationship Id="rId7" Type="http://schemas.openxmlformats.org/officeDocument/2006/relationships/hyperlink" Target="https://eitaa.com/heyate_javanan_hoseyni" TargetMode="External"/><Relationship Id="rId8" Type="http://schemas.openxmlformats.org/officeDocument/2006/relationships/hyperlink" Target="https://www.instagram.com/ansar_al_hasan/" TargetMode="Externa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s://eitaa.com/aleyasingasr" TargetMode="External"/><Relationship Id="rId42" Type="http://schemas.openxmlformats.org/officeDocument/2006/relationships/hyperlink" Target="https://l.instagram.com/?u=http%3A%2F%2Ftlgrm.me%2Fmoslemebnaghilkermanshah%3Ffbclid%3DPAZXh0bgNhZW0CMTEAAac3U74xUlaYFI_Sk5MTnDKA918mnEXw-O7FAK9VZ82uzKkrwcyAEXc-prufqw_aem_piJJfEO4TqL7zjIQB9o3Kw&amp;e=AT04r-RkNtwLoRhWPGOsr6t4cMtYKJRKwe2OU9xdSInxhiaZHAYcR7mDT5I5K9n2Kx-IsoUxyJW60eF_NFIvTEtpdzEeLcZ68Ahh3DDPpw" TargetMode="External"/><Relationship Id="rId41" Type="http://schemas.openxmlformats.org/officeDocument/2006/relationships/hyperlink" Target="https://www.instagram.com/moslem_ebn_aghil_kermanshah/" TargetMode="External"/><Relationship Id="rId44" Type="http://schemas.openxmlformats.org/officeDocument/2006/relationships/hyperlink" Target="https://eitaa.com/Hmontazeran" TargetMode="External"/><Relationship Id="rId43" Type="http://schemas.openxmlformats.org/officeDocument/2006/relationships/hyperlink" Target="https://www.instagram.com/heatmontazeranbagheatalah/" TargetMode="External"/><Relationship Id="rId46" Type="http://schemas.openxmlformats.org/officeDocument/2006/relationships/hyperlink" Target="https://www.instagram.com/heiat_reza_kermanshah/" TargetMode="External"/><Relationship Id="rId45" Type="http://schemas.openxmlformats.org/officeDocument/2006/relationships/hyperlink" Target="https://www.instagram.com/heyat_ome_abiha_kr/" TargetMode="External"/><Relationship Id="rId48" Type="http://schemas.openxmlformats.org/officeDocument/2006/relationships/hyperlink" Target="https://www.instagram.com/saelinzahra/" TargetMode="External"/><Relationship Id="rId47" Type="http://schemas.openxmlformats.org/officeDocument/2006/relationships/hyperlink" Target="https://eitaa.com/Rayat_Al_Abbas" TargetMode="External"/><Relationship Id="rId49" Type="http://schemas.openxmlformats.org/officeDocument/2006/relationships/hyperlink" Target="https://www.instagram.com/heiatalzahra_kermanshah/" TargetMode="External"/><Relationship Id="rId31" Type="http://schemas.openxmlformats.org/officeDocument/2006/relationships/hyperlink" Target="https://www.instagram.com/norolhussain/" TargetMode="External"/><Relationship Id="rId30" Type="http://schemas.openxmlformats.org/officeDocument/2006/relationships/hyperlink" Target="https://www.instagram.com/hkhademoshohada/" TargetMode="External"/><Relationship Id="rId33" Type="http://schemas.openxmlformats.org/officeDocument/2006/relationships/hyperlink" Target="https://www.instagram.com/beytolhassan_118/" TargetMode="External"/><Relationship Id="rId32" Type="http://schemas.openxmlformats.org/officeDocument/2006/relationships/hyperlink" Target="https://l.instagram.com/?u=http%3A%2F%2Ft.me%2Fnorolhussain%3Ffbclid%3DPAZXh0bgNhZW0CMTEAAadtEPJgGzPUhy4BKl-csA1V9kIKU4DKs3GeeD3qvQpC2SRzbwVG_8Q1SJm64w_aem_A9-hVD-9fPGBuAkwLaASGw&amp;e=AT1vCbBq5w6TP89Stb_ov58mCj20OP8kUWnV269rmeyzrl9sHirwBxJKPf21c3ETy7eHfUOjj6E4RJRSEg-7OCsXmK0gsmJ19bN-tL2f6w" TargetMode="External"/><Relationship Id="rId35" Type="http://schemas.openxmlformats.org/officeDocument/2006/relationships/hyperlink" Target="https://www.instagram.com/oshagholzaiinab/" TargetMode="External"/><Relationship Id="rId34" Type="http://schemas.openxmlformats.org/officeDocument/2006/relationships/hyperlink" Target="https://eitaa.com/heiat_alnabi" TargetMode="External"/><Relationship Id="rId37" Type="http://schemas.openxmlformats.org/officeDocument/2006/relationships/hyperlink" Target="https://l.instagram.com/?u=http%3A%2F%2Ft.me%2Fhadiskasaa%3Ffbclid%3DPAZXh0bgNhZW0CMTEAAacEbG9KDbRs5lNZszWQSkEi13exbF3G8e-RULFHBwxL7B85cnVe-c8hb9acpA_aem_kRvelwGeY1P3AQvfrD_iIA&amp;e=AT3Ljgg__Vg4ZjPro2MRbqi7O5MxBo75PhP5cwEbcBRLMHnPW3NnVltAbPGbO0m-vu17vxOMi1Iduvo8iCRuqth6BhH2OT9td_EAONBDsA" TargetMode="External"/><Relationship Id="rId36" Type="http://schemas.openxmlformats.org/officeDocument/2006/relationships/hyperlink" Target="https://www.instagram.com/hadis_kasa/" TargetMode="External"/><Relationship Id="rId39" Type="http://schemas.openxmlformats.org/officeDocument/2006/relationships/hyperlink" Target="https://www.instagram.com/moghadasi.info/" TargetMode="External"/><Relationship Id="rId38" Type="http://schemas.openxmlformats.org/officeDocument/2006/relationships/hyperlink" Target="https://eitaa.com/M_hazrat_saheb_alzaman" TargetMode="External"/><Relationship Id="rId20" Type="http://schemas.openxmlformats.org/officeDocument/2006/relationships/hyperlink" Target="https://t.me/HeiatesarallaH" TargetMode="External"/><Relationship Id="rId22" Type="http://schemas.openxmlformats.org/officeDocument/2006/relationships/hyperlink" Target="https://www.instagram.com/fatemion135/" TargetMode="External"/><Relationship Id="rId21" Type="http://schemas.openxmlformats.org/officeDocument/2006/relationships/hyperlink" Target="https://eitaa.com/HeiatesarallaH" TargetMode="External"/><Relationship Id="rId24" Type="http://schemas.openxmlformats.org/officeDocument/2006/relationships/hyperlink" Target="https://www.instagram.com/reyhane_krsh/" TargetMode="External"/><Relationship Id="rId23" Type="http://schemas.openxmlformats.org/officeDocument/2006/relationships/hyperlink" Target="https://www.instagram.com/leva_zeynab_harsin/" TargetMode="External"/><Relationship Id="rId26" Type="http://schemas.openxmlformats.org/officeDocument/2006/relationships/hyperlink" Target="https://www.instagram.com/alamdar_kermanshah/" TargetMode="External"/><Relationship Id="rId25" Type="http://schemas.openxmlformats.org/officeDocument/2006/relationships/hyperlink" Target="https://eitaa.com/reyhane_krsh" TargetMode="External"/><Relationship Id="rId28" Type="http://schemas.openxmlformats.org/officeDocument/2006/relationships/hyperlink" Target="https://www.instagram.com/fatemiuoon/" TargetMode="External"/><Relationship Id="rId27" Type="http://schemas.openxmlformats.org/officeDocument/2006/relationships/hyperlink" Target="https://www.instagram.com/ali.asghar.kermanshah/" TargetMode="External"/><Relationship Id="rId29" Type="http://schemas.openxmlformats.org/officeDocument/2006/relationships/hyperlink" Target="https://l.instagram.com/?u=http%3A%2F%2Ft.me%2Ffatemiuoonsonghor%3Ffbclid%3DPAZXh0bgNhZW0CMTEAAacexqMiqvdR8JdPJtmIEw8hbirUkzAleFlNZPV-qeoiXCSao71ngu1M9WGUPA_aem_UE8l18dhYBsT-T_7Ey9v3Q&amp;e=AT0x-Uyn7oIEigMG9qqQMoH3uQcS--8fXPpzijb_5TXiApXc70GnbgO_qDNxzOu04saSiVOLhYZGKzLptf9MuN-0gw3STLBwYxoAztrumw" TargetMode="External"/><Relationship Id="rId11" Type="http://schemas.openxmlformats.org/officeDocument/2006/relationships/hyperlink" Target="https://eitaa.com/abalfazlia" TargetMode="External"/><Relationship Id="rId10" Type="http://schemas.openxmlformats.org/officeDocument/2006/relationships/hyperlink" Target="https://eitaa.com/RozeRezvanKsh" TargetMode="External"/><Relationship Id="rId13" Type="http://schemas.openxmlformats.org/officeDocument/2006/relationships/hyperlink" Target="https://www.instagram.com/heyat_yazahra.s/" TargetMode="External"/><Relationship Id="rId12" Type="http://schemas.openxmlformats.org/officeDocument/2006/relationships/hyperlink" Target="https://www.instagram.com/heyat_emamreza_kermanshah/" TargetMode="External"/><Relationship Id="rId15" Type="http://schemas.openxmlformats.org/officeDocument/2006/relationships/hyperlink" Target="https://www.instagram.com/69aghilatolarab/" TargetMode="External"/><Relationship Id="rId14" Type="http://schemas.openxmlformats.org/officeDocument/2006/relationships/hyperlink" Target="https://www.instagram.com/hosseiniyeh_alamdar_karbala/" TargetMode="External"/><Relationship Id="rId17" Type="http://schemas.openxmlformats.org/officeDocument/2006/relationships/hyperlink" Target="https://eitaa.com/razmandganz" TargetMode="External"/><Relationship Id="rId16" Type="http://schemas.openxmlformats.org/officeDocument/2006/relationships/hyperlink" Target="https://eitaa.com/badralhavashem" TargetMode="External"/><Relationship Id="rId19" Type="http://schemas.openxmlformats.org/officeDocument/2006/relationships/hyperlink" Target="https://www.instagram.com/heiatesarallah" TargetMode="External"/><Relationship Id="rId18" Type="http://schemas.openxmlformats.org/officeDocument/2006/relationships/hyperlink" Target="https://eitaa.com/mosqueimamaliwestlslamabad" TargetMode="External"/><Relationship Id="rId51" Type="http://schemas.openxmlformats.org/officeDocument/2006/relationships/hyperlink" Target="https://eitaa.com/hemamzaman" TargetMode="External"/><Relationship Id="rId50" Type="http://schemas.openxmlformats.org/officeDocument/2006/relationships/hyperlink" Target="https://www.instagram.com/maktab_zahra_31/" TargetMode="External"/><Relationship Id="rId53" Type="http://schemas.openxmlformats.org/officeDocument/2006/relationships/hyperlink" Target="https://eitaa.com/heyat_saheb_alzaman_deaf" TargetMode="External"/><Relationship Id="rId52" Type="http://schemas.openxmlformats.org/officeDocument/2006/relationships/hyperlink" Target="https://eitaa.com/alamdar_kermanshah" TargetMode="External"/><Relationship Id="rId54" Type="http://schemas.openxmlformats.org/officeDocument/2006/relationships/drawing" Target="../drawings/drawing28.xml"/><Relationship Id="rId1" Type="http://schemas.openxmlformats.org/officeDocument/2006/relationships/hyperlink" Target="https://www.instagram.com/abasie_kermanshah/" TargetMode="External"/><Relationship Id="rId2" Type="http://schemas.openxmlformats.org/officeDocument/2006/relationships/hyperlink" Target="https://www.instagram.com/seyedal_shahada/" TargetMode="External"/><Relationship Id="rId3" Type="http://schemas.openxmlformats.org/officeDocument/2006/relationships/hyperlink" Target="https://eitaa.com/asheghanabasaleh_ir" TargetMode="External"/><Relationship Id="rId4" Type="http://schemas.openxmlformats.org/officeDocument/2006/relationships/hyperlink" Target="https://www.instagram.com/mohebaneemamhadi/" TargetMode="External"/><Relationship Id="rId9" Type="http://schemas.openxmlformats.org/officeDocument/2006/relationships/hyperlink" Target="https://www.instagram.com/roze_rezvan_info" TargetMode="External"/><Relationship Id="rId5" Type="http://schemas.openxmlformats.org/officeDocument/2006/relationships/hyperlink" Target="https://l.instagram.com/?u=https%3A%2F%2Feitaa.com%2Fmohebaneemamhadi%3Ffbclid%3DPAZXh0bgNhZW0CMTEAAactQlv4CF3Jl56h1zd5ML0B7FkHi8IYlmg1mtdobrGl3RKAEHwEY8o80vAW2w_aem_e7d4CgGwFA_53OEncUmw2Q&amp;e=AT1MxeYqX_PWnA2jYI_tCrzz24GjkMtsaK6WLfCAtOhWHe4Ow46roqSLKlE6rOW9Yw1lEFBR6X4BakNZuGOaAdbUGUCBVbwuJ4a02CLCvg" TargetMode="External"/><Relationship Id="rId6" Type="http://schemas.openxmlformats.org/officeDocument/2006/relationships/hyperlink" Target="https://www.instagram.com/heyat_razi" TargetMode="External"/><Relationship Id="rId7" Type="http://schemas.openxmlformats.org/officeDocument/2006/relationships/hyperlink" Target="https://eitaa.com/heyat_razi" TargetMode="External"/><Relationship Id="rId8" Type="http://schemas.openxmlformats.org/officeDocument/2006/relationships/hyperlink" Target="https://eitaa.com/heiat_ansarolmahdi_ksh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https://eitaa.com/Emamhasane_mojtaba" TargetMode="External"/><Relationship Id="rId42" Type="http://schemas.openxmlformats.org/officeDocument/2006/relationships/hyperlink" Target="https://www.instagram.com/ilamuni_heyat/" TargetMode="External"/><Relationship Id="rId41" Type="http://schemas.openxmlformats.org/officeDocument/2006/relationships/hyperlink" Target="https://eitaa.com/abaabdellahabdanan" TargetMode="External"/><Relationship Id="rId44" Type="http://schemas.openxmlformats.org/officeDocument/2006/relationships/hyperlink" Target="https://eitaa.com/mokebadarian" TargetMode="External"/><Relationship Id="rId43" Type="http://schemas.openxmlformats.org/officeDocument/2006/relationships/hyperlink" Target="https://l.instagram.com/?u=https%3A%2F%2Ft.me%2Fheyat_ali_akbar_uni_ilam%3Futm_source%3Dig%26utm_medium%3Dsocial%26utm_content%3Dlink_in_bio%26fbclid%3DPAZXh0bgNhZW0CMTEAc3J0YwZhcHBfaWQMMjU2MjgxMDQwNTU4AAGntzEVvPC4e5Dvm3O1WzYl5cMIM7aWw2MMRZcaTEO2TMJ_hsiVdfccmFvZvV0_aem_9pCCmxLg-SJwnxCoakJ7NQ&amp;e=AT14-M1_MKwNOBdaF7I7VainMwa4grC-lW9vvjodsGJ3DDIGjFypVh2MuLrmfe27H1v9WfupIlwKw2qDIZWn9EW8uRmYa6SYiIp2D17pnw" TargetMode="External"/><Relationship Id="rId46" Type="http://schemas.openxmlformats.org/officeDocument/2006/relationships/hyperlink" Target="https://www.aparat.com/rayat_susa" TargetMode="External"/><Relationship Id="rId45" Type="http://schemas.openxmlformats.org/officeDocument/2006/relationships/hyperlink" Target="https://eitaa.com/hoseynieh_ilam" TargetMode="External"/><Relationship Id="rId48" Type="http://schemas.openxmlformats.org/officeDocument/2006/relationships/hyperlink" Target="https://l.instagram.com/?u=http%3A%2F%2Fwww.yalesaratdez.ir%2F%3Ffbclid%3DPAZXh0bgNhZW0CMTEAAafeSF74GVVfA6lg7WEv2GRzSoSAJ7cBRsnKsdtdDTZ6qK7VF7BIVZ1rK1tr9Q_aem_JLBtH4ZWiOmSBqA9jCNAdA&amp;e=AT0wRMaoPCvOxPczftax35Pz57D1pIME-c1mdCJddmUkuW3_HDPlzrjgrdXJjzvxoIXPNmy_CYWrGJlZiAYHRwZ0qp-c1gDbmIRAf30" TargetMode="External"/><Relationship Id="rId47" Type="http://schemas.openxmlformats.org/officeDocument/2006/relationships/hyperlink" Target="http://aparat.com/sakha313" TargetMode="External"/><Relationship Id="rId49" Type="http://schemas.openxmlformats.org/officeDocument/2006/relationships/drawing" Target="../drawings/drawing29.xml"/><Relationship Id="rId31" Type="http://schemas.openxmlformats.org/officeDocument/2006/relationships/hyperlink" Target="https://l.instagram.com/?u=https%3A%2F%2Feitaa.com%2Fhata_ilam%3Futm_source%3Dig%26utm_medium%3Dsocial%26utm_content%3Dlink_in_bio%26fbclid%3DPAZXh0bgNhZW0CMTEAc3J0YwZhcHBfaWQMMjU2MjgxMDQwNTU4AAGnVF7v7mPW8EhDfVbheLS9zqunJafRZTQWt5DCovToMluO7UBN57xyY8JDIl8_aem_J8QiXB7KwWr8U0yG9m2ADQ&amp;e=AT3JUbJirXketJGO-z0-0nvgA4tDdrRAJZrrI8x_VhL1_9Uiur88o6OfEQB6d5Y1tZuZacvij4T4b0IEJrFHteMnpSdxn26o7CHe7tMm2Q" TargetMode="External"/><Relationship Id="rId30" Type="http://schemas.openxmlformats.org/officeDocument/2006/relationships/hyperlink" Target="https://www.instagram.com/hata_ilam/" TargetMode="External"/><Relationship Id="rId33" Type="http://schemas.openxmlformats.org/officeDocument/2006/relationships/hyperlink" Target="https://www.instagram.com/sahebolamr.ilam110/" TargetMode="External"/><Relationship Id="rId32" Type="http://schemas.openxmlformats.org/officeDocument/2006/relationships/hyperlink" Target="https://eitaa.com/alamdarkarbalaa3_13" TargetMode="External"/><Relationship Id="rId35" Type="http://schemas.openxmlformats.org/officeDocument/2006/relationships/hyperlink" Target="https://www.instagram.com/asrehozur/" TargetMode="External"/><Relationship Id="rId34" Type="http://schemas.openxmlformats.org/officeDocument/2006/relationships/hyperlink" Target="https://eitaa.com/heyat_hazrat_aliakbar_ilamuni" TargetMode="External"/><Relationship Id="rId37" Type="http://schemas.openxmlformats.org/officeDocument/2006/relationships/hyperlink" Target="https://www.instagram.com/ansaralmahdi_dehloran/" TargetMode="External"/><Relationship Id="rId36" Type="http://schemas.openxmlformats.org/officeDocument/2006/relationships/hyperlink" Target="https://eitaa.com/jameatol_hosein" TargetMode="External"/><Relationship Id="rId39" Type="http://schemas.openxmlformats.org/officeDocument/2006/relationships/hyperlink" Target="https://eitaa.com/jahadekabiredehloran" TargetMode="External"/><Relationship Id="rId38" Type="http://schemas.openxmlformats.org/officeDocument/2006/relationships/hyperlink" Target="https://l.instagram.com/?u=https%3A%2F%2Feitaa.com%2Fansaralmahdi_dehloran%3Futm_source%3Dig%26utm_medium%3Dsocial%26utm_content%3Dlink_in_bio%26fbclid%3DPAZXh0bgNhZW0CMTEAc3J0YwZhcHBfaWQMMjU2MjgxMDQwNTU4AAGnPVxo1I0EK7UjvkspNhVF2l8gazUQoPXne9ASb25l3iwMmsvzzRug_zo6dUs_aem_U0QUV2fI0FAeYE3_7ByUMQ&amp;e=AT0sMLo8tWwzgCG6X4S_9xAOIr16P8V-RFIeoo2U1f4sKd_7PPDVJU7tnM9BYXUKg2-hrOLB1YscIaYb_UccvXiPlv6mAGroPa0URtcH5Q" TargetMode="External"/><Relationship Id="rId20" Type="http://schemas.openxmlformats.org/officeDocument/2006/relationships/hyperlink" Target="http://instagram.com/heyat.jameatalmahdi/" TargetMode="External"/><Relationship Id="rId22" Type="http://schemas.openxmlformats.org/officeDocument/2006/relationships/hyperlink" Target="http://instagram.com/mohebanilam" TargetMode="External"/><Relationship Id="rId21" Type="http://schemas.openxmlformats.org/officeDocument/2006/relationships/hyperlink" Target="https://l.instagram.com/?u=https%3A%2F%2Feitaa.com%2Fjamatolmahdi_ilam%3Futm_source%3Dig%26utm_medium%3Dsocial%26utm_content%3Dlink_in_bio%26fbclid%3DPAZXh0bgNhZW0CMTEAc3J0YwZhcHBfaWQMMjU2MjgxMDQwNTU4AAGnliRXo0dFHMUos00TNksMzkaYaWlhN0_rQ_uESOhhjzVEieR375cQ5gObTcs_aem_gJmejGZbcGWm8JBbu2Y4_A&amp;e=AT3IV-VaHpIDe3jCMVXXzLzklEoINyIcW1Qnxj9nUmSE0582iHj9IuPobyUESmo4eIEr3LxJWF5ss28el3XmWU59V1mvSzKzdgvakxofTg" TargetMode="External"/><Relationship Id="rId24" Type="http://schemas.openxmlformats.org/officeDocument/2006/relationships/hyperlink" Target="https://eitaa.com/mohebanilam" TargetMode="External"/><Relationship Id="rId23" Type="http://schemas.openxmlformats.org/officeDocument/2006/relationships/hyperlink" Target="https://l.instagram.com/?u=https%3A%2F%2Ft.me%2Fmohebanilam%3Futm_source%3Dig%26utm_medium%3Dsocial%26utm_content%3Dlink_in_bio%26fbclid%3DPAZXh0bgNhZW0CMTEAc3J0YwZhcHBfaWQMMjU2MjgxMDQwNTU4AAGnRQMN9IPwZWCdo2CAU7Mnfd-9IimUxuVfUN22FMSl_KHlTxBnsE9DMrKAy0I_aem_76jj52AOzuATxZiydycTvQ&amp;e=AT1vfF4bYm69KjqIZxck-N8gylHu5Fz-tC-inCIP0HPFKjtbvuEhdWjqkRM9ZL7j2gOm2n9SfGidtQDq1beNbHwJFJn0t9BAxQTAcoVTCA" TargetMode="External"/><Relationship Id="rId26" Type="http://schemas.openxmlformats.org/officeDocument/2006/relationships/hyperlink" Target="https://l.instagram.com/?u=http%3A%2F%2Ft.me%2FAletaha_ilam%3Futm_source%3Dig%26utm_medium%3Dsocial%26utm_content%3Dlink_in_bio%26fbclid%3DPAZXh0bgNhZW0CMTEAc3J0YwZhcHBfaWQMMjU2MjgxMDQwNTU4AAGnkQfVrf0OOaasPHMqKraGKXfVljfgoc3HtIPmrgOaci8d0Whs7JhNVpNwKpk_aem_u8LgvTRNIJZgOR1VTC9MxA&amp;e=AT3mURI_I-HlntaWMFil_c2HwCGydj5cBJAkNA9tUIf-zkX5VvwdUDU_NdG_7aoyVQFjrVLKMYcYy3Gc8AG4GZkOASjoBlUzBVne50erDA" TargetMode="External"/><Relationship Id="rId25" Type="http://schemas.openxmlformats.org/officeDocument/2006/relationships/hyperlink" Target="https://www.instagram.com/aletaha_ilam/" TargetMode="External"/><Relationship Id="rId28" Type="http://schemas.openxmlformats.org/officeDocument/2006/relationships/hyperlink" Target="https://eitaa.com/ofough" TargetMode="External"/><Relationship Id="rId27" Type="http://schemas.openxmlformats.org/officeDocument/2006/relationships/hyperlink" Target="https://www.instagram.com/h_seyedmousavi.ilam/" TargetMode="External"/><Relationship Id="rId29" Type="http://schemas.openxmlformats.org/officeDocument/2006/relationships/hyperlink" Target="https://www.instagram.com/fadia.heyat_ilam/" TargetMode="External"/><Relationship Id="rId11" Type="http://schemas.openxmlformats.org/officeDocument/2006/relationships/hyperlink" Target="https://www.instagram.com/rahekarbala.dehloran" TargetMode="External"/><Relationship Id="rId10" Type="http://schemas.openxmlformats.org/officeDocument/2006/relationships/hyperlink" Target="https://eitaa.com/ansaralmahdi_dehloran" TargetMode="External"/><Relationship Id="rId13" Type="http://schemas.openxmlformats.org/officeDocument/2006/relationships/hyperlink" Target="https://eitaa.com/Emamhasane_mojtaba" TargetMode="External"/><Relationship Id="rId12" Type="http://schemas.openxmlformats.org/officeDocument/2006/relationships/hyperlink" Target="http://eitaa.com/Amir_alMominin313" TargetMode="External"/><Relationship Id="rId15" Type="http://schemas.openxmlformats.org/officeDocument/2006/relationships/hyperlink" Target="https://www.instagram.com/h_seyedmousavi.ilam/" TargetMode="External"/><Relationship Id="rId14" Type="http://schemas.openxmlformats.org/officeDocument/2006/relationships/hyperlink" Target="https://www.instagram.com/khatamolanbia.ilam/" TargetMode="External"/><Relationship Id="rId17" Type="http://schemas.openxmlformats.org/officeDocument/2006/relationships/hyperlink" Target="https://www.instagram.com/mohebanealeabailam/" TargetMode="External"/><Relationship Id="rId16" Type="http://schemas.openxmlformats.org/officeDocument/2006/relationships/hyperlink" Target="https://eitaa.com/emamsadeghilam" TargetMode="External"/><Relationship Id="rId19" Type="http://schemas.openxmlformats.org/officeDocument/2006/relationships/hyperlink" Target="https://eitaa.com/mohebanilam" TargetMode="External"/><Relationship Id="rId18" Type="http://schemas.openxmlformats.org/officeDocument/2006/relationships/hyperlink" Target="https://eitaa.com/mhbn_ir" TargetMode="External"/><Relationship Id="rId1" Type="http://schemas.openxmlformats.org/officeDocument/2006/relationships/hyperlink" Target="https://eitaa.com/ansaralmahdi1" TargetMode="External"/><Relationship Id="rId2" Type="http://schemas.openxmlformats.org/officeDocument/2006/relationships/hyperlink" Target="https://www.instagram.com/majma_javanan_malekshahi/" TargetMode="External"/><Relationship Id="rId3" Type="http://schemas.openxmlformats.org/officeDocument/2006/relationships/hyperlink" Target="https://eitaa.com/jamatolmahdi_ilam" TargetMode="External"/><Relationship Id="rId4" Type="http://schemas.openxmlformats.org/officeDocument/2006/relationships/hyperlink" Target="https://eitaa.com/delsookhtgan" TargetMode="External"/><Relationship Id="rId9" Type="http://schemas.openxmlformats.org/officeDocument/2006/relationships/hyperlink" Target="https://instagram.com/Ansaralmahdi_dehloran" TargetMode="External"/><Relationship Id="rId5" Type="http://schemas.openxmlformats.org/officeDocument/2006/relationships/hyperlink" Target="https://www.instagram.com/mohebanalabbas313/" TargetMode="External"/><Relationship Id="rId6" Type="http://schemas.openxmlformats.org/officeDocument/2006/relationships/hyperlink" Target="https://eitaa.com/mohebanalabbas313" TargetMode="External"/><Relationship Id="rId7" Type="http://schemas.openxmlformats.org/officeDocument/2006/relationships/hyperlink" Target="https://www.instagram.com/masjed_hazeratamir/?hl=ar" TargetMode="External"/><Relationship Id="rId8" Type="http://schemas.openxmlformats.org/officeDocument/2006/relationships/hyperlink" Target="https://www.eitaa.com/s/jameatol_hosein/" TargetMode="External"/></Relationships>
</file>

<file path=xl/worksheets/_rels/sheet30.xml.rels><?xml version="1.0" encoding="UTF-8" standalone="yes"?><Relationships xmlns="http://schemas.openxmlformats.org/package/2006/relationships"><Relationship Id="rId31" Type="http://schemas.openxmlformats.org/officeDocument/2006/relationships/hyperlink" Target="https://l.instagram.com/?u=http%3A%2F%2Ft.me%2FMohebin_zahra%3Futm_source%3Dig%26utm_medium%3Dsocial%26utm_content%3Dlink_in_bio%26fbclid%3DPAZXh0bgNhZW0CMTEAc3J0YwZhcHBfaWQMMjU2MjgxMDQwNTU4AAGnIZwLX170DnSLfc1LJA0N4XUDgZ8lh1GVj8Bnw27ngV6e_zzj-Navlbo_1RI_aem_cm8l_L41CNVd1gxAO-wASw&amp;e=AT6Ji91PC9ljtriegVBFHbo5ppxLUtE6OrXCzf0ZsUWwV2XKHklGR1Bq0KGdkckOq3JpBRvXryiJS-ZgjYz-XmjprO35CT6Wbfzu07TPFjOx-LosN7WIh9tQfw" TargetMode="External"/><Relationship Id="rId30" Type="http://schemas.openxmlformats.org/officeDocument/2006/relationships/hyperlink" Target="https://www.instagram.com/heiat.mohebin_zahra/" TargetMode="External"/><Relationship Id="rId33" Type="http://schemas.openxmlformats.org/officeDocument/2006/relationships/hyperlink" Target="https://t.me/mohebbinqorveh" TargetMode="External"/><Relationship Id="rId32" Type="http://schemas.openxmlformats.org/officeDocument/2006/relationships/hyperlink" Target="https://eitaa.com/fatemiunqorveh" TargetMode="External"/><Relationship Id="rId35" Type="http://schemas.openxmlformats.org/officeDocument/2006/relationships/hyperlink" Target="https://www.instagram.com/hoseinieh_sanandaj/" TargetMode="External"/><Relationship Id="rId34" Type="http://schemas.openxmlformats.org/officeDocument/2006/relationships/hyperlink" Target="https://www.instagram.com/alamdar_alkafil/" TargetMode="External"/><Relationship Id="rId37" Type="http://schemas.openxmlformats.org/officeDocument/2006/relationships/hyperlink" Target="https://www.instagram.com/ghaem_bijar_mosque/" TargetMode="External"/><Relationship Id="rId36" Type="http://schemas.openxmlformats.org/officeDocument/2006/relationships/hyperlink" Target="https://www.instagram.com/ghamar_banihashem_/" TargetMode="External"/><Relationship Id="rId39" Type="http://schemas.openxmlformats.org/officeDocument/2006/relationships/drawing" Target="../drawings/drawing30.xml"/><Relationship Id="rId38" Type="http://schemas.openxmlformats.org/officeDocument/2006/relationships/hyperlink" Target="https://eitaa.com/haeiat_razmandegan_51" TargetMode="External"/><Relationship Id="rId20" Type="http://schemas.openxmlformats.org/officeDocument/2006/relationships/hyperlink" Target="https://eitaa.com/gharibmadineh118" TargetMode="External"/><Relationship Id="rId22" Type="http://schemas.openxmlformats.org/officeDocument/2006/relationships/hyperlink" Target="https://www.instagram.com/alamdar_alkafil_qurve/" TargetMode="External"/><Relationship Id="rId21" Type="http://schemas.openxmlformats.org/officeDocument/2006/relationships/hyperlink" Target="https://eitaa.com/alamdar_alkafill" TargetMode="External"/><Relationship Id="rId24" Type="http://schemas.openxmlformats.org/officeDocument/2006/relationships/hyperlink" Target="https://www.instagram.com/fatemeyooon/" TargetMode="External"/><Relationship Id="rId23" Type="http://schemas.openxmlformats.org/officeDocument/2006/relationships/hyperlink" Target="https://l.instagram.com/?u=http%3A%2F%2Ft.me%2FalamdarAlkafil%3Ffbclid%3DPAZXh0bgNhZW0CMTEAAaewxxpqj-WK7-UXqF4ip47NkIMEnliqnHqNWekRy9NNwcn4YJ-0vzhZVMz4nw_aem_wMl4m1C7bx4JE1qnzkf_Vg&amp;e=AT3sjgtG0b8AmcTe4qRwNNx5FHVD0PDXRgbmbt2vwRAbhZ9Ga6Ytgtjs1qyV6P98rNgLgxIxnZfBZRbh1Hu-jyfDhgAA8dWPvltXeKfmrA" TargetMode="External"/><Relationship Id="rId26" Type="http://schemas.openxmlformats.org/officeDocument/2006/relationships/hyperlink" Target="https://www.instagram.com/banihashem_bijar/" TargetMode="External"/><Relationship Id="rId25" Type="http://schemas.openxmlformats.org/officeDocument/2006/relationships/hyperlink" Target="https://www.instagram.com/fatemiun.ghorveh/" TargetMode="External"/><Relationship Id="rId28" Type="http://schemas.openxmlformats.org/officeDocument/2006/relationships/hyperlink" Target="https://eitaa.com/sarallahkamyaran" TargetMode="External"/><Relationship Id="rId27" Type="http://schemas.openxmlformats.org/officeDocument/2006/relationships/hyperlink" Target="https://l.instagram.com/?u=http%3A%2F%2Ft.me%2Fghamarebanyhashem%3Ffbclid%3DPAZXh0bgNhZW0CMTEAAaeNB0xXSFVj9fc6j9vQ2Bqp62W9AsKxcapQZWV1brARaCgjynN9s3oaMHjIBg_aem__34f6nqiGH3zJlJw8NZBXw&amp;e=AT3aZ4uDhYT930L93-8aWpBoQmSIGelbYoTHV3CZBxrnd8BBh6vjS-8j2_WydHoquYMWStubJgrCMnc1uxJRE4yKi2glJ9FSLrWWp5cIrQ" TargetMode="External"/><Relationship Id="rId29" Type="http://schemas.openxmlformats.org/officeDocument/2006/relationships/hyperlink" Target="https://eitaa.com/hoseinieh_sanandaj" TargetMode="External"/><Relationship Id="rId11" Type="http://schemas.openxmlformats.org/officeDocument/2006/relationships/hyperlink" Target="https://eitaa.com/bayraghalzahra313" TargetMode="External"/><Relationship Id="rId10" Type="http://schemas.openxmlformats.org/officeDocument/2006/relationships/hyperlink" Target="https://www.instagram.com/beyragh.alzahra/" TargetMode="External"/><Relationship Id="rId13" Type="http://schemas.openxmlformats.org/officeDocument/2006/relationships/hyperlink" Target="https://eitaa.com/haeiat_razmandegan_51" TargetMode="External"/><Relationship Id="rId12" Type="http://schemas.openxmlformats.org/officeDocument/2006/relationships/hyperlink" Target="http://instagram.com/maktab_ol_hosein_korani/" TargetMode="External"/><Relationship Id="rId15" Type="http://schemas.openxmlformats.org/officeDocument/2006/relationships/hyperlink" Target="https://eitaa.com/Beitolabbas1378" TargetMode="External"/><Relationship Id="rId14" Type="http://schemas.openxmlformats.org/officeDocument/2006/relationships/hyperlink" Target="https://eitaa.com/ansar_al_Haider_bijar" TargetMode="External"/><Relationship Id="rId17" Type="http://schemas.openxmlformats.org/officeDocument/2006/relationships/hyperlink" Target="https://eitaa.com/khatamol_anbia_65" TargetMode="External"/><Relationship Id="rId16" Type="http://schemas.openxmlformats.org/officeDocument/2006/relationships/hyperlink" Target="https://www.instagram.com/khatamol_anbia_65/" TargetMode="External"/><Relationship Id="rId19" Type="http://schemas.openxmlformats.org/officeDocument/2006/relationships/hyperlink" Target="https://www.instagram.com/gharibmadineh118/" TargetMode="External"/><Relationship Id="rId18" Type="http://schemas.openxmlformats.org/officeDocument/2006/relationships/hyperlink" Target="https://eitaa.com/mohebbinqorveh" TargetMode="External"/><Relationship Id="rId1" Type="http://schemas.openxmlformats.org/officeDocument/2006/relationships/hyperlink" Target="https://www.instagram.com/rozatoshohada_bijar/" TargetMode="External"/><Relationship Id="rId2" Type="http://schemas.openxmlformats.org/officeDocument/2006/relationships/hyperlink" Target="https://l.instagram.com/?u=http%3A%2F%2Ft.me%2Frozatoshohada_bijar%3Ffbclid%3DPAZXh0bgNhZW0CMTEAAaeYZuYCA1vrmnFN82gxY0JOWAAW-ibOPhU3DSdZUqb_kuoXdsvx_FNnZ9l0ZA_aem_535kLXnW5Uo3uFtioudM-A&amp;e=AT3JquXzB7zeiQi0ijS44esGCnIDc_IiIbsol9IGhrTZKlIiSXqHQRZn8K9zHE8TCpDZluqPHBwg_zGeV5kZxeW5BgHmzqyW75t3lpB9UA" TargetMode="External"/><Relationship Id="rId3" Type="http://schemas.openxmlformats.org/officeDocument/2006/relationships/hyperlink" Target="https://www.instagram.com/heyate_motevaselin_be_abalfazl/" TargetMode="External"/><Relationship Id="rId4" Type="http://schemas.openxmlformats.org/officeDocument/2006/relationships/hyperlink" Target="https://l.instagram.com/?u=https%3A%2F%2Ft.me%2Fheyate_motevaselin_be_abalfazl%3Ffbclid%3DPAZXh0bgNhZW0CMTEAAacH7ypa5VF2XKjMIZZxdny3jgSrr2b1UnYqqFSM6FqSdrHzb17XjnWIz2yXlQ_aem_PsuOjasXtHtTPrOt5Suo0w&amp;e=AT0Xy9jpdBzV9BuXTK54_RcuOyTKsWUuJEQxdomK7u5c1_rPBfI4zH9sNY2-k5nHXvYB70oc_GUcsdg3hdmjKMp74S16JTFqb1A1sUSxBA" TargetMode="External"/><Relationship Id="rId9" Type="http://schemas.openxmlformats.org/officeDocument/2006/relationships/hyperlink" Target="https://eitaa.com/ahbabolhasan_ir" TargetMode="External"/><Relationship Id="rId5" Type="http://schemas.openxmlformats.org/officeDocument/2006/relationships/hyperlink" Target="https://www.instagram.com/beytolroghayeh_bijar_315/" TargetMode="External"/><Relationship Id="rId6" Type="http://schemas.openxmlformats.org/officeDocument/2006/relationships/hyperlink" Target="https://l.instagram.com/?u=http%3A%2F%2Ft.me%2Fbeytolroghayeh_bijar_315%3Ffbclid%3DPAZXh0bgNhZW0CMTEAAafI4dFXGZ-G5OvaU4dAqR7jg5glvg2OoTwcRN1um5qh80PEXj4_r7a3QkR5_w_aem_u_0ZInJuv3yVN4wGLbY32Q&amp;e=AT1wG31BBrKjEOOgSnDC6LrQpRPyDjAgK0Ryt3zLz4EP7n-gvhbN-i2-949gQ-DR4lVXK7vrh_ViQQ_xDycenf896T4FkcXb9UWiSqN6ZQ" TargetMode="External"/><Relationship Id="rId7" Type="http://schemas.openxmlformats.org/officeDocument/2006/relationships/hyperlink" Target="https://www.instagram.com/javananhoseini_ir" TargetMode="External"/><Relationship Id="rId8" Type="http://schemas.openxmlformats.org/officeDocument/2006/relationships/hyperlink" Target="https://eitaa.com/JavananHoseini_ir" TargetMode="Externa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s://eitaa.com/ansariha_ir" TargetMode="External"/><Relationship Id="rId2" Type="http://schemas.openxmlformats.org/officeDocument/2006/relationships/hyperlink" Target="https://eitaa.com/h_r_shohada" TargetMode="External"/><Relationship Id="rId3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1" Type="http://schemas.openxmlformats.org/officeDocument/2006/relationships/hyperlink" Target="https://eitaa.com/hhajaliashraf" TargetMode="External"/><Relationship Id="rId10" Type="http://schemas.openxmlformats.org/officeDocument/2006/relationships/hyperlink" Target="https://eitaa.com/hmotavaselin" TargetMode="External"/><Relationship Id="rId13" Type="http://schemas.openxmlformats.org/officeDocument/2006/relationships/hyperlink" Target="https://eitaa.com/reyhanato_alnabi_Qayen" TargetMode="External"/><Relationship Id="rId12" Type="http://schemas.openxmlformats.org/officeDocument/2006/relationships/hyperlink" Target="https://eitaa.com/mohebanolzahra" TargetMode="External"/><Relationship Id="rId15" Type="http://schemas.openxmlformats.org/officeDocument/2006/relationships/hyperlink" Target="https://www.instagram.com/sahebzamani_birjand/" TargetMode="External"/><Relationship Id="rId14" Type="http://schemas.openxmlformats.org/officeDocument/2006/relationships/hyperlink" Target="https://www.instagram.com/tarighshohada_ir/" TargetMode="External"/><Relationship Id="rId17" Type="http://schemas.openxmlformats.org/officeDocument/2006/relationships/drawing" Target="../drawings/drawing32.xml"/><Relationship Id="rId16" Type="http://schemas.openxmlformats.org/officeDocument/2006/relationships/hyperlink" Target="https://l.instagram.com/?u=http%3A%2F%2Ft.me%2F%40sahebzamanibirjand%3Futm_source%3Dig%26utm_medium%3Dsocial%26utm_content%3Dlink_in_bio%26fbclid%3DPAZXh0bgNhZW0CMTEAc3J0YwZhcHBfaWQMMjU2MjgxMDQwNTU4AAGnUkvbVyyulFQbmC3Ylo0z_24M7AnP4f-MQR60RSSKkapHs3UvdiMW5yEU5zI_aem_BP2jbL0rkWNTc2HZWSCCew&amp;e=AT4X_6B-2Iq98iFTlVCvV-Zzlq06n27JW1xTHEQlwVn-IvoSXVjxf6BbZ0ppIOk01gfX3slAZTvDNt2WHsL8hcmk2y180nBwcW30OSPHZA" TargetMode="External"/><Relationship Id="rId1" Type="http://schemas.openxmlformats.org/officeDocument/2006/relationships/hyperlink" Target="https://eitaa.com/kahf_shohada" TargetMode="External"/><Relationship Id="rId2" Type="http://schemas.openxmlformats.org/officeDocument/2006/relationships/hyperlink" Target="https://eitaa.com/asiaban_heyat" TargetMode="External"/><Relationship Id="rId3" Type="http://schemas.openxmlformats.org/officeDocument/2006/relationships/hyperlink" Target="https://www.instagram.com/alatash_info?utm_source=ig_web_button_share_sheet&amp;igsh=ZDNlZDc0MzIxNw==" TargetMode="External"/><Relationship Id="rId4" Type="http://schemas.openxmlformats.org/officeDocument/2006/relationships/hyperlink" Target="https://t.me/Alatash_Info" TargetMode="External"/><Relationship Id="rId9" Type="http://schemas.openxmlformats.org/officeDocument/2006/relationships/hyperlink" Target="https://eitaa.com/oshagh135313" TargetMode="External"/><Relationship Id="rId5" Type="http://schemas.openxmlformats.org/officeDocument/2006/relationships/hyperlink" Target="https://eitaa.com/Alatash_Info" TargetMode="External"/><Relationship Id="rId6" Type="http://schemas.openxmlformats.org/officeDocument/2006/relationships/hyperlink" Target="https://eitaa.com/hajiabad_heyat" TargetMode="External"/><Relationship Id="rId7" Type="http://schemas.openxmlformats.org/officeDocument/2006/relationships/hyperlink" Target="https://eitaa.com/hossainiyeh_shohada_ayask" TargetMode="External"/><Relationship Id="rId8" Type="http://schemas.openxmlformats.org/officeDocument/2006/relationships/hyperlink" Target="https://eitaa.com/abolfazli_birjand" TargetMode="Externa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boghe_seyedbagher/" TargetMode="External"/><Relationship Id="rId42" Type="http://schemas.openxmlformats.org/officeDocument/2006/relationships/hyperlink" Target="https://www.instagram.com/ashooraeyan_sistan/" TargetMode="External"/><Relationship Id="rId41" Type="http://schemas.openxmlformats.org/officeDocument/2006/relationships/hyperlink" Target="https://www.instagram.com/yava.ranmonjmoud313/" TargetMode="External"/><Relationship Id="rId44" Type="http://schemas.openxmlformats.org/officeDocument/2006/relationships/hyperlink" Target="https://www.instagram.com/shifteganekosarsistan/" TargetMode="External"/><Relationship Id="rId43" Type="http://schemas.openxmlformats.org/officeDocument/2006/relationships/hyperlink" Target="https://www.instagram.com/aqilatol_arab/" TargetMode="External"/><Relationship Id="rId46" Type="http://schemas.openxmlformats.org/officeDocument/2006/relationships/hyperlink" Target="https://www.instagram.com/masjedemamhasanmojtabazahedan/" TargetMode="External"/><Relationship Id="rId45" Type="http://schemas.openxmlformats.org/officeDocument/2006/relationships/hyperlink" Target="https://www.instagram.com/beitolhossein_sb/" TargetMode="External"/><Relationship Id="rId48" Type="http://schemas.openxmlformats.org/officeDocument/2006/relationships/hyperlink" Target="https://l.instagram.com/?u=https%3A%2F%2Ft.me%2Fmasjad_abozar%3Futm_source%3Dig%26utm_medium%3Dsocial%26utm_content%3Dlink_in_bio%26fbclid%3DPAZXh0bgNhZW0CMTEAc3J0YwZhcHBfaWQMMjU2MjgxMDQwNTU4AAGnkW4aVGxl9wAlNLRa9BzzGL-OdxVuqeT074kcfzS-a9JuBaNlE0hZ4-eZjSQ_aem_JkKH8inpeL272dVQOHGL8A&amp;e=AT4qwqgjULFHimO49StTBk4JV9CIqq9-Xuf3uIiCIGGb3LOyJ6MuykuvvTKwyPfQ-gyr-RkBCCOC-W_q2wbOUMfyXu6MGh3heWPoNdgsAA" TargetMode="External"/><Relationship Id="rId47" Type="http://schemas.openxmlformats.org/officeDocument/2006/relationships/hyperlink" Target="https://www.instagram.com/masjad_abozar/" TargetMode="External"/><Relationship Id="rId49" Type="http://schemas.openxmlformats.org/officeDocument/2006/relationships/hyperlink" Target="https://www.instagram.com/shiftegan_ahlebeit_zahedan72/" TargetMode="External"/><Relationship Id="rId31" Type="http://schemas.openxmlformats.org/officeDocument/2006/relationships/hyperlink" Target="https://www.instagram.com/heyaat.14masoum/" TargetMode="External"/><Relationship Id="rId30" Type="http://schemas.openxmlformats.org/officeDocument/2006/relationships/hyperlink" Target="https://www.instagram.com/moheban_panjtan/" TargetMode="External"/><Relationship Id="rId33" Type="http://schemas.openxmlformats.org/officeDocument/2006/relationships/hyperlink" Target="http://t.me/ashaboshohada_sb" TargetMode="External"/><Relationship Id="rId32" Type="http://schemas.openxmlformats.org/officeDocument/2006/relationships/hyperlink" Target="https://www.instagram.com/ashaboshohada_sb" TargetMode="External"/><Relationship Id="rId35" Type="http://schemas.openxmlformats.org/officeDocument/2006/relationships/hyperlink" Target="https://www.instagram.com/masjed_emamhosein_zahedan/" TargetMode="External"/><Relationship Id="rId34" Type="http://schemas.openxmlformats.org/officeDocument/2006/relationships/hyperlink" Target="https://eitaa.com/ashaboshohada_sb" TargetMode="External"/><Relationship Id="rId37" Type="http://schemas.openxmlformats.org/officeDocument/2006/relationships/hyperlink" Target="https://www.instagram.com/beit_zeinab_zahedan/" TargetMode="External"/><Relationship Id="rId36" Type="http://schemas.openxmlformats.org/officeDocument/2006/relationships/hyperlink" Target="https://l.instagram.com/?u=https%3A%2F%2Feitaa.com%2Fmasjed_emamhosein_zahedan%3Futm_source%3Dig%26utm_medium%3Dsocial%26utm_content%3Dlink_in_bio%26fbclid%3DPAZXh0bgNhZW0CMTEAc3J0YwZhcHBfaWQMMjU2MjgxMDQwNTU4AAGnJ5KnHzezACaV5msMiwscLiVzLCGeb8YobxtryzpVTuzcOoG4g_Hsx2Yi5yw_aem_EP29Im84JlUoiPgfFVRKbQ&amp;e=AT5IyLHEdtpoqO4n190lq6met9i63H5ZKmecCQ9mwVNU5Asp2yoVum_Bi74r9Xa3LikwB8RFEyKEoycQb-szisCsKkMW09pt905qwDfqHQ" TargetMode="External"/><Relationship Id="rId39" Type="http://schemas.openxmlformats.org/officeDocument/2006/relationships/hyperlink" Target="https://www.instagram.com/heiat_yazahra_zahedan/" TargetMode="External"/><Relationship Id="rId38" Type="http://schemas.openxmlformats.org/officeDocument/2006/relationships/hyperlink" Target="https://l.instagram.com/?u=https%3A%2F%2Ft.me%2FBeit_Zeinab_Zahedan%3Futm_source%3Dig%26utm_medium%3Dsocial%26utm_content%3Dlink_in_bio%26fbclid%3DPAZXh0bgNhZW0CMTEAc3J0YwZhcHBfaWQMMjU2MjgxMDQwNTU4AAGnfA4hqtHoC2xs20XRIsvtj38bnhGGuId9KxFb8qID3dKUe9EEFCNP2ZKAfoE_aem_makylNn7pF_7R5Pae47dlw&amp;e=AT4t9sxDyTRx0XBEhNVNn-xVWIronoPw0EzHqKZvYJLDrKpnsQgJlt1oiwqLUaowOMITTmN3DOWVRIDbWBhNv74wqDuQijenh4hc2QXGRg" TargetMode="External"/><Relationship Id="rId20" Type="http://schemas.openxmlformats.org/officeDocument/2006/relationships/hyperlink" Target="https://eitaa.com/ansarreza_zahedan" TargetMode="External"/><Relationship Id="rId22" Type="http://schemas.openxmlformats.org/officeDocument/2006/relationships/hyperlink" Target="https://www.instagram.com/beytolheydar_zahedan" TargetMode="External"/><Relationship Id="rId21" Type="http://schemas.openxmlformats.org/officeDocument/2006/relationships/hyperlink" Target="https://www.instagram.com/beytolabbas_zahedan/" TargetMode="External"/><Relationship Id="rId24" Type="http://schemas.openxmlformats.org/officeDocument/2006/relationships/hyperlink" Target="https://eitaa.com/ashaboshohada_sb" TargetMode="External"/><Relationship Id="rId23" Type="http://schemas.openxmlformats.org/officeDocument/2006/relationships/hyperlink" Target="https://eitaa.com/beytolheydar_zahedan" TargetMode="External"/><Relationship Id="rId26" Type="http://schemas.openxmlformats.org/officeDocument/2006/relationships/hyperlink" Target="https://www.instagram.com/hheydarkarar/" TargetMode="External"/><Relationship Id="rId25" Type="http://schemas.openxmlformats.org/officeDocument/2006/relationships/hyperlink" Target="https://splus.ir/heyat_zahak" TargetMode="External"/><Relationship Id="rId28" Type="http://schemas.openxmlformats.org/officeDocument/2006/relationships/hyperlink" Target="https://www.instagram.com/bytolmahdi/" TargetMode="External"/><Relationship Id="rId27" Type="http://schemas.openxmlformats.org/officeDocument/2006/relationships/hyperlink" Target="https://www.instagram.com/h_mohbin_ahle_beyt/" TargetMode="External"/><Relationship Id="rId29" Type="http://schemas.openxmlformats.org/officeDocument/2006/relationships/hyperlink" Target="https://www.instagram.com/heiat_moslem_zahedan/" TargetMode="External"/><Relationship Id="rId11" Type="http://schemas.openxmlformats.org/officeDocument/2006/relationships/hyperlink" Target="https://www.instagram.com/khane_ali.fatemeh_zahedan/" TargetMode="External"/><Relationship Id="rId10" Type="http://schemas.openxmlformats.org/officeDocument/2006/relationships/hyperlink" Target="https://www.instagram.com/seyedoshohada_sb/" TargetMode="External"/><Relationship Id="rId13" Type="http://schemas.openxmlformats.org/officeDocument/2006/relationships/hyperlink" Target="https://eitaa.com/hoseiniealiasgharzahedan" TargetMode="External"/><Relationship Id="rId12" Type="http://schemas.openxmlformats.org/officeDocument/2006/relationships/hyperlink" Target="https://www.instagram.com/levau.zeynab.zahedan/" TargetMode="External"/><Relationship Id="rId15" Type="http://schemas.openxmlformats.org/officeDocument/2006/relationships/hyperlink" Target="https://eitaa.com/misaq_ba_shohada" TargetMode="External"/><Relationship Id="rId14" Type="http://schemas.openxmlformats.org/officeDocument/2006/relationships/hyperlink" Target="https://www.instagram.com/khadem_alroqayeh/" TargetMode="External"/><Relationship Id="rId17" Type="http://schemas.openxmlformats.org/officeDocument/2006/relationships/hyperlink" Target="https://www.instagram.com/bakin_ir/" TargetMode="External"/><Relationship Id="rId16" Type="http://schemas.openxmlformats.org/officeDocument/2006/relationships/hyperlink" Target="https://www.instagram.com/reyhaneh_al_hossein_315/" TargetMode="External"/><Relationship Id="rId19" Type="http://schemas.openxmlformats.org/officeDocument/2006/relationships/hyperlink" Target="https://www.instagram.com/beytolroghaye.zahedan/" TargetMode="External"/><Relationship Id="rId18" Type="http://schemas.openxmlformats.org/officeDocument/2006/relationships/hyperlink" Target="https://www.instagram.com/h_ansar_zahedan/" TargetMode="External"/><Relationship Id="rId51" Type="http://schemas.openxmlformats.org/officeDocument/2006/relationships/hyperlink" Target="https://l.instagram.com/?u=http%3A%2F%2Ft.me%2Fansarolabbas_zahedan%3Futm_source%3Dig%26utm_medium%3Dsocial%26utm_content%3Dlink_in_bio%26fbclid%3DPAZXh0bgNhZW0CMTEAc3J0YwZhcHBfaWQMMjU2MjgxMDQwNTU4AAGnhn3QE5Xw2u_5pBYBXcCrL63DKZoFdawEsgdEYAmylKIvjCZ-4JtyELJgld0_aem_YFnT-rjqgi42KbolPk-U1Q&amp;e=AT7lDgLi9wL3RLNY-jyupLAKk1zH1gBxWfOmahjMm1BQZc0dg9H5kj2oYXHI4Pj1cdOba-TuDK5Iz9la98TTW9pGcEPE0FzTh9aUf2yDkg" TargetMode="External"/><Relationship Id="rId50" Type="http://schemas.openxmlformats.org/officeDocument/2006/relationships/hyperlink" Target="https://www.instagram.com/ansarolabbas_zahedan/" TargetMode="External"/><Relationship Id="rId53" Type="http://schemas.openxmlformats.org/officeDocument/2006/relationships/hyperlink" Target="https://www.instagram.com/heyatmohebbanali/" TargetMode="External"/><Relationship Id="rId52" Type="http://schemas.openxmlformats.org/officeDocument/2006/relationships/hyperlink" Target="https://www.instagram.com/roghayekhaton.0313/" TargetMode="External"/><Relationship Id="rId55" Type="http://schemas.openxmlformats.org/officeDocument/2006/relationships/hyperlink" Target="https://www.instagram.com/masjed_mohammadie1360/" TargetMode="External"/><Relationship Id="rId54" Type="http://schemas.openxmlformats.org/officeDocument/2006/relationships/hyperlink" Target="https://www.instagram.com/masjed_besat_zahedan/" TargetMode="External"/><Relationship Id="rId56" Type="http://schemas.openxmlformats.org/officeDocument/2006/relationships/drawing" Target="../drawings/drawing33.xml"/><Relationship Id="rId1" Type="http://schemas.openxmlformats.org/officeDocument/2006/relationships/hyperlink" Target="https://www.instagram.com/rozatol_hoseyn_313/" TargetMode="External"/><Relationship Id="rId2" Type="http://schemas.openxmlformats.org/officeDocument/2006/relationships/hyperlink" Target="https://www.instagram.com/alamdar.sistan/" TargetMode="External"/><Relationship Id="rId3" Type="http://schemas.openxmlformats.org/officeDocument/2006/relationships/hyperlink" Target="https://l.instagram.com/?u=https%3A%2F%2Ft.me%2Falamdarsistan%3Ffbclid%3DPAZXh0bgNhZW0CMTEAAadCBq4Bwz3N3mqUhknAl9RLo69LiGg8W0dizdez3z31JC_J3L0aUf9DXeYAtA_aem_Px4odZ0O1PvaAuSRS0yi0A&amp;e=AT3X7fJ1noPS0G9VkW25iNZLCeOfT_Iew_q0juf7ir6zzGORax6AuN-sUIlWOUWhlYz54-DCu3TofPIcTdAB1z9Z9hqCgDa0sozVP9iMPw" TargetMode="External"/><Relationship Id="rId4" Type="http://schemas.openxmlformats.org/officeDocument/2006/relationships/hyperlink" Target="https://www.instagram.com/aleyaseen.ir/" TargetMode="External"/><Relationship Id="rId9" Type="http://schemas.openxmlformats.org/officeDocument/2006/relationships/hyperlink" Target="https://www.instagram.com/osh.aghreza/" TargetMode="External"/><Relationship Id="rId5" Type="http://schemas.openxmlformats.org/officeDocument/2006/relationships/hyperlink" Target="https://www.instagram.com/hoseinieh.babol.havayej/" TargetMode="External"/><Relationship Id="rId6" Type="http://schemas.openxmlformats.org/officeDocument/2006/relationships/hyperlink" Target="https://www.instagram.com/m_asheghaneabalfazl/" TargetMode="External"/><Relationship Id="rId7" Type="http://schemas.openxmlformats.org/officeDocument/2006/relationships/hyperlink" Target="https://www.instagram.com/q_banihashem_sistan/" TargetMode="External"/><Relationship Id="rId8" Type="http://schemas.openxmlformats.org/officeDocument/2006/relationships/hyperlink" Target="https://www.instagram.com/bakin_ir/" TargetMode="External"/></Relationships>
</file>

<file path=xl/worksheets/_rels/sheet3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matam_alabass_sohar/" TargetMode="External"/><Relationship Id="rId10" Type="http://schemas.openxmlformats.org/officeDocument/2006/relationships/hyperlink" Target="https://www.instagram.com/ali_alasghar" TargetMode="External"/><Relationship Id="rId13" Type="http://schemas.openxmlformats.org/officeDocument/2006/relationships/hyperlink" Target="https://www.instagram.com/dar_alzahraa1444/" TargetMode="External"/><Relationship Id="rId12" Type="http://schemas.openxmlformats.org/officeDocument/2006/relationships/hyperlink" Target="https://www.youtube.com/@matam-alabass-sohar" TargetMode="External"/><Relationship Id="rId15" Type="http://schemas.openxmlformats.org/officeDocument/2006/relationships/hyperlink" Target="https://www.youtube.com/@dar.al.zahraa" TargetMode="External"/><Relationship Id="rId14" Type="http://schemas.openxmlformats.org/officeDocument/2006/relationships/hyperlink" Target="https://t.me/daralzahraalb" TargetMode="External"/><Relationship Id="rId17" Type="http://schemas.openxmlformats.org/officeDocument/2006/relationships/hyperlink" Target="https://eitaa.com/seyedatonnesaa" TargetMode="External"/><Relationship Id="rId16" Type="http://schemas.openxmlformats.org/officeDocument/2006/relationships/hyperlink" Target="https://www.instagram.com/seyedatonnesa?utm_source=ig_web_button_share_sheet&amp;igsh=ZDNlZDc0MzIxNw==" TargetMode="External"/><Relationship Id="rId18" Type="http://schemas.openxmlformats.org/officeDocument/2006/relationships/drawing" Target="../drawings/drawing34.xml"/><Relationship Id="rId1" Type="http://schemas.openxmlformats.org/officeDocument/2006/relationships/hyperlink" Target="https://www.instagram.com/heyatulzahra/" TargetMode="External"/><Relationship Id="rId2" Type="http://schemas.openxmlformats.org/officeDocument/2006/relationships/hyperlink" Target="https://t.me/heyatulzahra" TargetMode="External"/><Relationship Id="rId3" Type="http://schemas.openxmlformats.org/officeDocument/2006/relationships/hyperlink" Target="https://www.instagram.com/karbala.ca/" TargetMode="External"/><Relationship Id="rId4" Type="http://schemas.openxmlformats.org/officeDocument/2006/relationships/hyperlink" Target="https://t.me/karbalaca" TargetMode="External"/><Relationship Id="rId9" Type="http://schemas.openxmlformats.org/officeDocument/2006/relationships/hyperlink" Target="https://www.instagram.com/ansaralzahraa" TargetMode="External"/><Relationship Id="rId5" Type="http://schemas.openxmlformats.org/officeDocument/2006/relationships/hyperlink" Target="https://karbalacenter.ca/" TargetMode="External"/><Relationship Id="rId6" Type="http://schemas.openxmlformats.org/officeDocument/2006/relationships/hyperlink" Target="https://www.instagram.com/hayaatrayat.alabbas/" TargetMode="External"/><Relationship Id="rId7" Type="http://schemas.openxmlformats.org/officeDocument/2006/relationships/hyperlink" Target="https://t.me/Hayaat_Rayat_Al_Abbas" TargetMode="External"/><Relationship Id="rId8" Type="http://schemas.openxmlformats.org/officeDocument/2006/relationships/hyperlink" Target="https://www.instagram.com/am_albninh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9.75"/>
    <col customWidth="1" min="5" max="5" width="8.38"/>
    <col customWidth="1" min="6" max="6" width="11.75"/>
    <col customWidth="1" min="7" max="7" width="4.25"/>
    <col customWidth="1" min="8" max="8" width="42.13"/>
    <col customWidth="1" min="9" max="9" width="17.0"/>
    <col customWidth="1" min="10" max="10" width="27.88"/>
    <col customWidth="1" min="11" max="11" width="9.38"/>
    <col customWidth="1" min="13" max="13" width="6.5"/>
    <col customWidth="1" min="14" max="14" width="6.75"/>
  </cols>
  <sheetData>
    <row r="1" ht="17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>
      <c r="A2" s="5">
        <f>IFERROR(__xludf.DUMMYFUNCTION("QUERY({'مازندران'!A2:S1000; 'تهران'!A2:S996; 'گیلان'!A2:S1000; 'خراسان رضوی'!A2:S994; 'آذربایجان شرقی'!A2:S666; 'آذربایجان غربی'!A2:S883; 'اردبیل'!A2:S973; 'همدان'!A2:S198; 'زنجان'!A2:S1000; 'خوزستان'!A2:S945; 'بوشهر'!A2:S1000; 'گلستان'!A2:S812; 'کهگیلویه"&amp;" و بویراحمد'!A2:S1000; 'کرمانشاه'!A2:S1000; 'کرمان'!A2:S347; 'ایلام'!A2:S1000; 'قزوین'!A3:S987; 'خراسان شمالی'!A2:S992; 'سمنان'!A2:S605; 'بین الملل'!A2:S1000; 'سیستان و بلوچستان'!A2:S1000; 'البرز'!A2:S964; 'هرمزگان'!A2:S613; 'مرکزی'!A2:S990; 'لرستان'!A2:S"&amp;"999; 'اصفهان'!A3:S985; 'قم'!A2:S953; 'یزد'!A2:S647}, ""SELECT * WHERE Col3 IS NOT NULL"")"),14540.0)</f>
        <v>14540</v>
      </c>
      <c r="B2" s="5" t="str">
        <f>IFERROR(__xludf.DUMMYFUNCTION("""COMPUTED_VALUE"""),"هیأت")</f>
        <v>هیأت</v>
      </c>
      <c r="C2" s="5" t="str">
        <f>IFERROR(__xludf.DUMMYFUNCTION("""COMPUTED_VALUE"""),"سیدالشهداء")</f>
        <v>سیدالشهداء</v>
      </c>
      <c r="D2" s="5" t="str">
        <f>IFERROR(__xludf.DUMMYFUNCTION("""COMPUTED_VALUE"""),"مازندران")</f>
        <v>مازندران</v>
      </c>
      <c r="E2" s="5" t="str">
        <f>IFERROR(__xludf.DUMMYFUNCTION("""COMPUTED_VALUE"""),"آمل")</f>
        <v>آمل</v>
      </c>
      <c r="F2" s="5" t="str">
        <f>IFERROR(__xludf.DUMMYFUNCTION("""COMPUTED_VALUE"""),"خیابان نور انتهای فجر24 حسینیه سیدالشهداء(ع)")</f>
        <v>خیابان نور انتهای فجر24 حسینیه سیدالشهداء(ع)</v>
      </c>
      <c r="G2" s="5"/>
      <c r="H2" s="6" t="str">
        <f>IFERROR(__xludf.DUMMYFUNCTION("""COMPUTED_VALUE"""),"https://www.instagram.com/hsaf24/")</f>
        <v>https://www.instagram.com/hsaf24/</v>
      </c>
      <c r="I2" s="6" t="str">
        <f>IFERROR(__xludf.DUMMYFUNCTION("""COMPUTED_VALUE"""),"https://t.me/hsaf24/")</f>
        <v>https://t.me/hsaf24/</v>
      </c>
      <c r="J2" s="6" t="str">
        <f>IFERROR(__xludf.DUMMYFUNCTION("""COMPUTED_VALUE"""),"https://eitaa.com/hsaf24")</f>
        <v>https://eitaa.com/hsaf24</v>
      </c>
      <c r="K2" s="5"/>
      <c r="L2" s="5"/>
      <c r="M2" s="5"/>
      <c r="N2" s="5"/>
      <c r="O2" s="5"/>
      <c r="P2" s="5"/>
      <c r="Q2" s="5"/>
      <c r="R2" s="5"/>
      <c r="S2" s="5"/>
    </row>
    <row r="3">
      <c r="A3" s="5">
        <f>IFERROR(__xludf.DUMMYFUNCTION("""COMPUTED_VALUE"""),14589.0)</f>
        <v>14589</v>
      </c>
      <c r="B3" s="5" t="str">
        <f>IFERROR(__xludf.DUMMYFUNCTION("""COMPUTED_VALUE"""),"هیأت")</f>
        <v>هیأت</v>
      </c>
      <c r="C3" s="5" t="str">
        <f>IFERROR(__xludf.DUMMYFUNCTION("""COMPUTED_VALUE"""),"رهروان شهدا")</f>
        <v>رهروان شهدا</v>
      </c>
      <c r="D3" s="5" t="str">
        <f>IFERROR(__xludf.DUMMYFUNCTION("""COMPUTED_VALUE"""),"مازندران")</f>
        <v>مازندران</v>
      </c>
      <c r="E3" s="5" t="str">
        <f>IFERROR(__xludf.DUMMYFUNCTION("""COMPUTED_VALUE"""),"آمل")</f>
        <v>آمل</v>
      </c>
      <c r="F3" s="5"/>
      <c r="G3" s="5"/>
      <c r="H3" s="6" t="str">
        <f>IFERROR(__xludf.DUMMYFUNCTION("""COMPUTED_VALUE"""),"https://www.instagram.com/rahrovanshohada.ir/")</f>
        <v>https://www.instagram.com/rahrovanshohada.ir/</v>
      </c>
      <c r="I3" s="6" t="str">
        <f>IFERROR(__xludf.DUMMYFUNCTION("""COMPUTED_VALUE"""),"https://t.me/rsa1370")</f>
        <v>https://t.me/rsa1370</v>
      </c>
      <c r="J3" s="6" t="str">
        <f>IFERROR(__xludf.DUMMYFUNCTION("""COMPUTED_VALUE"""),"https://eitaa.com/rahrovan_shohada1370")</f>
        <v>https://eitaa.com/rahrovan_shohada1370</v>
      </c>
      <c r="K3" s="5"/>
      <c r="L3" s="5"/>
      <c r="M3" s="5"/>
      <c r="N3" s="5"/>
      <c r="O3" s="5"/>
      <c r="P3" s="5"/>
      <c r="Q3" s="5"/>
      <c r="R3" s="5"/>
      <c r="S3" s="5"/>
    </row>
    <row r="4">
      <c r="A4" s="5">
        <f>IFERROR(__xludf.DUMMYFUNCTION("""COMPUTED_VALUE"""),14626.0)</f>
        <v>14626</v>
      </c>
      <c r="B4" s="5" t="str">
        <f>IFERROR(__xludf.DUMMYFUNCTION("""COMPUTED_VALUE"""),"هیأت")</f>
        <v>هیأت</v>
      </c>
      <c r="C4" s="5" t="str">
        <f>IFERROR(__xludf.DUMMYFUNCTION("""COMPUTED_VALUE"""),"کریم اهل بیت")</f>
        <v>کریم اهل بیت</v>
      </c>
      <c r="D4" s="5" t="str">
        <f>IFERROR(__xludf.DUMMYFUNCTION("""COMPUTED_VALUE"""),"مازندران")</f>
        <v>مازندران</v>
      </c>
      <c r="E4" s="5" t="str">
        <f>IFERROR(__xludf.DUMMYFUNCTION("""COMPUTED_VALUE"""),"آمل")</f>
        <v>آمل</v>
      </c>
      <c r="F4" s="5"/>
      <c r="G4" s="5"/>
      <c r="H4" s="6" t="str">
        <f>IFERROR(__xludf.DUMMYFUNCTION("""COMPUTED_VALUE"""),"https://www.instagram.com/hasanioun.info/")</f>
        <v>https://www.instagram.com/hasanioun.info/</v>
      </c>
      <c r="I4" s="5"/>
      <c r="J4" s="6" t="str">
        <f>IFERROR(__xludf.DUMMYFUNCTION("""COMPUTED_VALUE"""),"https://eitaa.com/EmamHasanMojtabba")</f>
        <v>https://eitaa.com/EmamHasanMojtabba</v>
      </c>
      <c r="K4" s="5"/>
      <c r="L4" s="5"/>
      <c r="M4" s="5"/>
      <c r="N4" s="5"/>
      <c r="O4" s="5"/>
      <c r="P4" s="5"/>
      <c r="Q4" s="5"/>
      <c r="R4" s="5"/>
      <c r="S4" s="5"/>
    </row>
    <row r="5">
      <c r="A5" s="5">
        <f>IFERROR(__xludf.DUMMYFUNCTION("""COMPUTED_VALUE"""),14627.0)</f>
        <v>14627</v>
      </c>
      <c r="B5" s="5" t="str">
        <f>IFERROR(__xludf.DUMMYFUNCTION("""COMPUTED_VALUE"""),"هیأت")</f>
        <v>هیأت</v>
      </c>
      <c r="C5" s="5" t="str">
        <f>IFERROR(__xludf.DUMMYFUNCTION("""COMPUTED_VALUE"""),"یا لثارات الحسین")</f>
        <v>یا لثارات الحسین</v>
      </c>
      <c r="D5" s="5" t="str">
        <f>IFERROR(__xludf.DUMMYFUNCTION("""COMPUTED_VALUE"""),"مازندران")</f>
        <v>مازندران</v>
      </c>
      <c r="E5" s="5" t="str">
        <f>IFERROR(__xludf.DUMMYFUNCTION("""COMPUTED_VALUE"""),"آمل")</f>
        <v>آمل</v>
      </c>
      <c r="F5" s="5"/>
      <c r="G5" s="5"/>
      <c r="H5" s="6" t="str">
        <f>IFERROR(__xludf.DUMMYFUNCTION("""COMPUTED_VALUE"""),"https://www.instagram.com/yalesarat.amol")</f>
        <v>https://www.instagram.com/yalesarat.amol</v>
      </c>
      <c r="I5" s="5"/>
      <c r="J5" s="6" t="str">
        <f>IFERROR(__xludf.DUMMYFUNCTION("""COMPUTED_VALUE"""),"https://eitaa.com/yalesaratamol")</f>
        <v>https://eitaa.com/yalesaratamol</v>
      </c>
      <c r="K5" s="5"/>
      <c r="L5" s="5"/>
      <c r="M5" s="5"/>
      <c r="N5" s="5"/>
      <c r="O5" s="5"/>
      <c r="P5" s="5"/>
      <c r="Q5" s="5"/>
      <c r="R5" s="5"/>
      <c r="S5" s="5" t="str">
        <f>IFERROR(__xludf.DUMMYFUNCTION("""COMPUTED_VALUE"""),"DDDDDDD")</f>
        <v>DDDDDDD</v>
      </c>
    </row>
    <row r="6">
      <c r="A6" s="5">
        <f>IFERROR(__xludf.DUMMYFUNCTION("""COMPUTED_VALUE"""),14842.0)</f>
        <v>14842</v>
      </c>
      <c r="B6" s="5" t="str">
        <f>IFERROR(__xludf.DUMMYFUNCTION("""COMPUTED_VALUE"""),"هیأت")</f>
        <v>هیأت</v>
      </c>
      <c r="C6" s="5" t="str">
        <f>IFERROR(__xludf.DUMMYFUNCTION("""COMPUTED_VALUE"""),"محبین الرضا")</f>
        <v>محبین الرضا</v>
      </c>
      <c r="D6" s="5" t="str">
        <f>IFERROR(__xludf.DUMMYFUNCTION("""COMPUTED_VALUE"""),"مازندران")</f>
        <v>مازندران</v>
      </c>
      <c r="E6" s="5" t="str">
        <f>IFERROR(__xludf.DUMMYFUNCTION("""COMPUTED_VALUE"""),"آمل")</f>
        <v>آمل</v>
      </c>
      <c r="F6" s="5"/>
      <c r="G6" s="5"/>
      <c r="H6" s="6" t="str">
        <f>IFERROR(__xludf.DUMMYFUNCTION("""COMPUTED_VALUE"""),"https://www.instagram.com/mohebinrezaa/")</f>
        <v>https://www.instagram.com/mohebinrezaa/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>
      <c r="A7" s="5">
        <f>IFERROR(__xludf.DUMMYFUNCTION("""COMPUTED_VALUE"""),14989.0)</f>
        <v>14989</v>
      </c>
      <c r="B7" s="5" t="str">
        <f>IFERROR(__xludf.DUMMYFUNCTION("""COMPUTED_VALUE"""),"هیأت")</f>
        <v>هیأت</v>
      </c>
      <c r="C7" s="5" t="str">
        <f>IFERROR(__xludf.DUMMYFUNCTION("""COMPUTED_VALUE"""),"جوادالائمه")</f>
        <v>جوادالائمه</v>
      </c>
      <c r="D7" s="5" t="str">
        <f>IFERROR(__xludf.DUMMYFUNCTION("""COMPUTED_VALUE"""),"مازندران")</f>
        <v>مازندران</v>
      </c>
      <c r="E7" s="5" t="str">
        <f>IFERROR(__xludf.DUMMYFUNCTION("""COMPUTED_VALUE"""),"آمل")</f>
        <v>آمل</v>
      </c>
      <c r="F7" s="5"/>
      <c r="G7" s="5"/>
      <c r="H7" s="6" t="str">
        <f>IFERROR(__xludf.DUMMYFUNCTION("""COMPUTED_VALUE"""),"https://www.instagram.com/jood.ir/")</f>
        <v>https://www.instagram.com/jood.ir/</v>
      </c>
      <c r="I7" s="5"/>
      <c r="J7" s="6" t="str">
        <f>IFERROR(__xludf.DUMMYFUNCTION("""COMPUTED_VALUE"""),"https://eitaa.com/joodir")</f>
        <v>https://eitaa.com/joodir</v>
      </c>
      <c r="K7" s="5"/>
      <c r="L7" s="5"/>
      <c r="M7" s="5"/>
      <c r="N7" s="5"/>
      <c r="O7" s="5"/>
      <c r="P7" s="5"/>
      <c r="Q7" s="5"/>
      <c r="R7" s="5"/>
      <c r="S7" s="5"/>
    </row>
    <row r="8">
      <c r="A8" s="5">
        <f>IFERROR(__xludf.DUMMYFUNCTION("""COMPUTED_VALUE"""),14990.0)</f>
        <v>14990</v>
      </c>
      <c r="B8" s="5" t="str">
        <f>IFERROR(__xludf.DUMMYFUNCTION("""COMPUTED_VALUE"""),"هیأت")</f>
        <v>هیأت</v>
      </c>
      <c r="C8" s="5" t="str">
        <f>IFERROR(__xludf.DUMMYFUNCTION("""COMPUTED_VALUE"""),"سائلین الحسین")</f>
        <v>سائلین الحسین</v>
      </c>
      <c r="D8" s="5" t="str">
        <f>IFERROR(__xludf.DUMMYFUNCTION("""COMPUTED_VALUE"""),"مازندران")</f>
        <v>مازندران</v>
      </c>
      <c r="E8" s="5" t="str">
        <f>IFERROR(__xludf.DUMMYFUNCTION("""COMPUTED_VALUE"""),"آمل")</f>
        <v>آمل</v>
      </c>
      <c r="F8" s="5"/>
      <c r="G8" s="5"/>
      <c r="H8" s="6" t="str">
        <f>IFERROR(__xludf.DUMMYFUNCTION("""COMPUTED_VALUE"""),"https://www.instagram.com/saelin.irr/")</f>
        <v>https://www.instagram.com/saelin.irr/</v>
      </c>
      <c r="I8" s="6" t="str">
        <f>IFERROR(__xludf.DUMMYFUNCTION("""COMPUTED_VALUE"""),"https://t.me/ashkenab_ir")</f>
        <v>https://t.me/ashkenab_ir</v>
      </c>
      <c r="J8" s="6" t="str">
        <f>IFERROR(__xludf.DUMMYFUNCTION("""COMPUTED_VALUE"""),"https://eitaa.com/saelin_ir")</f>
        <v>https://eitaa.com/saelin_ir</v>
      </c>
      <c r="K8" s="5"/>
      <c r="L8" s="5"/>
      <c r="M8" s="5"/>
      <c r="N8" s="5"/>
      <c r="O8" s="5"/>
      <c r="P8" s="5"/>
      <c r="Q8" s="5"/>
      <c r="R8" s="5"/>
      <c r="S8" s="5"/>
    </row>
    <row r="9">
      <c r="A9" s="5">
        <f>IFERROR(__xludf.DUMMYFUNCTION("""COMPUTED_VALUE"""),14999.0)</f>
        <v>14999</v>
      </c>
      <c r="B9" s="5" t="str">
        <f>IFERROR(__xludf.DUMMYFUNCTION("""COMPUTED_VALUE"""),"هیأت")</f>
        <v>هیأت</v>
      </c>
      <c r="C9" s="5" t="str">
        <f>IFERROR(__xludf.DUMMYFUNCTION("""COMPUTED_VALUE"""),"محبین آل طه")</f>
        <v>محبین آل طه</v>
      </c>
      <c r="D9" s="5" t="str">
        <f>IFERROR(__xludf.DUMMYFUNCTION("""COMPUTED_VALUE"""),"مازندران")</f>
        <v>مازندران</v>
      </c>
      <c r="E9" s="5" t="str">
        <f>IFERROR(__xludf.DUMMYFUNCTION("""COMPUTED_VALUE"""),"آمل")</f>
        <v>آمل</v>
      </c>
      <c r="F9" s="5"/>
      <c r="G9" s="5"/>
      <c r="H9" s="6" t="str">
        <f>IFERROR(__xludf.DUMMYFUNCTION("""COMPUTED_VALUE"""),"https://www.instagram.com/aletaha_org/")</f>
        <v>https://www.instagram.com/aletaha_org/</v>
      </c>
      <c r="I9" s="5"/>
      <c r="J9" s="6" t="str">
        <f>IFERROR(__xludf.DUMMYFUNCTION("""COMPUTED_VALUE"""),"https://eitaa.com/aletaha_org")</f>
        <v>https://eitaa.com/aletaha_org</v>
      </c>
      <c r="K9" s="5"/>
      <c r="L9" s="5"/>
      <c r="M9" s="5"/>
      <c r="N9" s="5"/>
      <c r="O9" s="5"/>
      <c r="P9" s="5"/>
      <c r="Q9" s="5"/>
      <c r="R9" s="5"/>
      <c r="S9" s="5"/>
    </row>
    <row r="10">
      <c r="A10" s="5">
        <f>IFERROR(__xludf.DUMMYFUNCTION("""COMPUTED_VALUE"""),19939.0)</f>
        <v>19939</v>
      </c>
      <c r="B10" s="5" t="str">
        <f>IFERROR(__xludf.DUMMYFUNCTION("""COMPUTED_VALUE"""),"هیأت")</f>
        <v>هیأت</v>
      </c>
      <c r="C10" s="5" t="str">
        <f>IFERROR(__xludf.DUMMYFUNCTION("""COMPUTED_VALUE"""),"صاحب الامر")</f>
        <v>صاحب الامر</v>
      </c>
      <c r="D10" s="5" t="str">
        <f>IFERROR(__xludf.DUMMYFUNCTION("""COMPUTED_VALUE"""),"مازندران")</f>
        <v>مازندران</v>
      </c>
      <c r="E10" s="5" t="str">
        <f>IFERROR(__xludf.DUMMYFUNCTION("""COMPUTED_VALUE"""),"آمل")</f>
        <v>آمل</v>
      </c>
      <c r="F10" s="5"/>
      <c r="G10" s="5"/>
      <c r="H10" s="6" t="str">
        <f>IFERROR(__xludf.DUMMYFUNCTION("""COMPUTED_VALUE"""),"https://www.instagram.com/sahebolamr.amol/")</f>
        <v>https://www.instagram.com/sahebolamr.amol/</v>
      </c>
      <c r="I10" s="6" t="str">
        <f>IFERROR(__xludf.DUMMYFUNCTION("""COMPUTED_VALUE"""),"https://t.me/sahebollamr")</f>
        <v>https://t.me/sahebollamr</v>
      </c>
      <c r="J10" s="5"/>
      <c r="K10" s="5"/>
      <c r="L10" s="5"/>
      <c r="M10" s="5"/>
      <c r="N10" s="5"/>
      <c r="O10" s="5"/>
      <c r="P10" s="5"/>
      <c r="Q10" s="5"/>
      <c r="R10" s="5"/>
      <c r="S10" s="5"/>
    </row>
    <row r="11">
      <c r="A11" s="5">
        <f>IFERROR(__xludf.DUMMYFUNCTION("""COMPUTED_VALUE"""),25083.0)</f>
        <v>25083</v>
      </c>
      <c r="B11" s="5" t="str">
        <f>IFERROR(__xludf.DUMMYFUNCTION("""COMPUTED_VALUE"""),"هیأت")</f>
        <v>هیأت</v>
      </c>
      <c r="C11" s="5" t="str">
        <f>IFERROR(__xludf.DUMMYFUNCTION("""COMPUTED_VALUE"""),"یازهرا")</f>
        <v>یازهرا</v>
      </c>
      <c r="D11" s="5" t="str">
        <f>IFERROR(__xludf.DUMMYFUNCTION("""COMPUTED_VALUE"""),"مازندران")</f>
        <v>مازندران</v>
      </c>
      <c r="E11" s="5" t="str">
        <f>IFERROR(__xludf.DUMMYFUNCTION("""COMPUTED_VALUE"""),"آمل")</f>
        <v>آمل</v>
      </c>
      <c r="F11" s="5"/>
      <c r="G11" s="5"/>
      <c r="H11" s="6" t="str">
        <f>IFERROR(__xludf.DUMMYFUNCTION("""COMPUTED_VALUE"""),"https://www.instagram.com/ya.zahrainfo/")</f>
        <v>https://www.instagram.com/ya.zahrainfo/</v>
      </c>
      <c r="I11" s="6" t="str">
        <f>IFERROR(__xludf.DUMMYFUNCTION("""COMPUTED_VALUE"""),"https://t.me/yazahraamol")</f>
        <v>https://t.me/yazahraamol</v>
      </c>
      <c r="J11" s="5"/>
      <c r="K11" s="5"/>
      <c r="L11" s="5"/>
      <c r="M11" s="5"/>
      <c r="N11" s="5"/>
      <c r="O11" s="5"/>
      <c r="P11" s="5"/>
      <c r="Q11" s="5"/>
      <c r="R11" s="5"/>
      <c r="S11" s="5"/>
    </row>
    <row r="12">
      <c r="A12" s="5">
        <f>IFERROR(__xludf.DUMMYFUNCTION("""COMPUTED_VALUE"""),25084.0)</f>
        <v>25084</v>
      </c>
      <c r="B12" s="5" t="str">
        <f>IFERROR(__xludf.DUMMYFUNCTION("""COMPUTED_VALUE"""),"هیأت")</f>
        <v>هیأت</v>
      </c>
      <c r="C12" s="5" t="str">
        <f>IFERROR(__xludf.DUMMYFUNCTION("""COMPUTED_VALUE"""),"ولیعصر")</f>
        <v>ولیعصر</v>
      </c>
      <c r="D12" s="5" t="str">
        <f>IFERROR(__xludf.DUMMYFUNCTION("""COMPUTED_VALUE"""),"مازندران")</f>
        <v>مازندران</v>
      </c>
      <c r="E12" s="5" t="str">
        <f>IFERROR(__xludf.DUMMYFUNCTION("""COMPUTED_VALUE"""),"آمل")</f>
        <v>آمل</v>
      </c>
      <c r="F12" s="5"/>
      <c r="G12" s="5"/>
      <c r="H12" s="6" t="str">
        <f>IFERROR(__xludf.DUMMYFUNCTION("""COMPUTED_VALUE"""),"https://www.instagram.com/ValliAsr_Amol")</f>
        <v>https://www.instagram.com/ValliAsr_Amol</v>
      </c>
      <c r="I12" s="6" t="str">
        <f>IFERROR(__xludf.DUMMYFUNCTION("""COMPUTED_VALUE"""),"https://t.me/ValliAsr_Amol")</f>
        <v>https://t.me/ValliAsr_Amol</v>
      </c>
      <c r="J12" s="6" t="str">
        <f>IFERROR(__xludf.DUMMYFUNCTION("""COMPUTED_VALUE"""),"https://eitaa.com/ValliAsr_Amol")</f>
        <v>https://eitaa.com/ValliAsr_Amol</v>
      </c>
      <c r="K12" s="5"/>
      <c r="L12" s="6" t="str">
        <f>IFERROR(__xludf.DUMMYFUNCTION("""COMPUTED_VALUE"""),"https://valiasramol.ir/")</f>
        <v>https://valiasramol.ir/</v>
      </c>
      <c r="M12" s="5"/>
      <c r="N12" s="5"/>
      <c r="O12" s="5"/>
      <c r="P12" s="5"/>
      <c r="Q12" s="5"/>
      <c r="R12" s="5"/>
      <c r="S12" s="5"/>
    </row>
    <row r="13">
      <c r="A13" s="5"/>
      <c r="B13" s="5" t="str">
        <f>IFERROR(__xludf.DUMMYFUNCTION("""COMPUTED_VALUE"""),"حسینیه")</f>
        <v>حسینیه</v>
      </c>
      <c r="C13" s="5" t="str">
        <f>IFERROR(__xludf.DUMMYFUNCTION("""COMPUTED_VALUE"""),"باب الحوائج")</f>
        <v>باب الحوائج</v>
      </c>
      <c r="D13" s="5" t="str">
        <f>IFERROR(__xludf.DUMMYFUNCTION("""COMPUTED_VALUE"""),"مازندران")</f>
        <v>مازندران</v>
      </c>
      <c r="E13" s="5" t="str">
        <f>IFERROR(__xludf.DUMMYFUNCTION("""COMPUTED_VALUE"""),"آمل")</f>
        <v>آمل</v>
      </c>
      <c r="F13" s="5"/>
      <c r="G13" s="5"/>
      <c r="H13" s="6" t="str">
        <f>IFERROR(__xludf.DUMMYFUNCTION("""COMPUTED_VALUE"""),"https://www.instagram.com/tekie.barbarkheyl/")</f>
        <v>https://www.instagram.com/tekie.barbarkheyl/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>
      <c r="A14" s="5"/>
      <c r="B14" s="5" t="str">
        <f>IFERROR(__xludf.DUMMYFUNCTION("""COMPUTED_VALUE"""),"هیأت")</f>
        <v>هیأت</v>
      </c>
      <c r="C14" s="5" t="str">
        <f>IFERROR(__xludf.DUMMYFUNCTION("""COMPUTED_VALUE"""),"دارالبکاء")</f>
        <v>دارالبکاء</v>
      </c>
      <c r="D14" s="5" t="str">
        <f>IFERROR(__xludf.DUMMYFUNCTION("""COMPUTED_VALUE"""),"مازندران")</f>
        <v>مازندران</v>
      </c>
      <c r="E14" s="5" t="str">
        <f>IFERROR(__xludf.DUMMYFUNCTION("""COMPUTED_VALUE"""),"آمل")</f>
        <v>آمل</v>
      </c>
      <c r="F14" s="5"/>
      <c r="G14" s="5"/>
      <c r="H14" s="6" t="str">
        <f>IFERROR(__xludf.DUMMYFUNCTION("""COMPUTED_VALUE"""),"https://www.instagram.com/darolboka_amol/")</f>
        <v>https://www.instagram.com/darolboka_amol/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>
      <c r="A15" s="5"/>
      <c r="B15" s="5" t="str">
        <f>IFERROR(__xludf.DUMMYFUNCTION("""COMPUTED_VALUE"""),"هیأت")</f>
        <v>هیأت</v>
      </c>
      <c r="C15" s="5" t="str">
        <f>IFERROR(__xludf.DUMMYFUNCTION("""COMPUTED_VALUE"""),"علی اکبر")</f>
        <v>علی اکبر</v>
      </c>
      <c r="D15" s="5" t="str">
        <f>IFERROR(__xludf.DUMMYFUNCTION("""COMPUTED_VALUE"""),"مازندران")</f>
        <v>مازندران</v>
      </c>
      <c r="E15" s="5" t="str">
        <f>IFERROR(__xludf.DUMMYFUNCTION("""COMPUTED_VALUE"""),"آمل")</f>
        <v>آمل</v>
      </c>
      <c r="F15" s="5"/>
      <c r="G15" s="5"/>
      <c r="H15" s="6" t="str">
        <f>IFERROR(__xludf.DUMMYFUNCTION("""COMPUTED_VALUE"""),"https://www.instagram.com/aliakbar_amol")</f>
        <v>https://www.instagram.com/aliakbar_amol</v>
      </c>
      <c r="I15" s="6" t="str">
        <f>IFERROR(__xludf.DUMMYFUNCTION("""COMPUTED_VALUE"""),"https://t.me/aliakbar_amol")</f>
        <v>https://t.me/aliakbar_amol</v>
      </c>
      <c r="J15" s="6" t="str">
        <f>IFERROR(__xludf.DUMMYFUNCTION("""COMPUTED_VALUE"""),"https://eitaa.com/aliakbar_amol")</f>
        <v>https://eitaa.com/aliakbar_amol</v>
      </c>
      <c r="K15" s="5"/>
      <c r="L15" s="5"/>
      <c r="M15" s="5"/>
      <c r="N15" s="5"/>
      <c r="O15" s="5"/>
      <c r="P15" s="5"/>
      <c r="Q15" s="5"/>
      <c r="R15" s="5"/>
      <c r="S15" s="5"/>
    </row>
    <row r="16">
      <c r="A16" s="5"/>
      <c r="B16" s="5" t="str">
        <f>IFERROR(__xludf.DUMMYFUNCTION("""COMPUTED_VALUE"""),"هیأت")</f>
        <v>هیأت</v>
      </c>
      <c r="C16" s="5" t="str">
        <f>IFERROR(__xludf.DUMMYFUNCTION("""COMPUTED_VALUE"""),"سران به نی")</f>
        <v>سران به نی</v>
      </c>
      <c r="D16" s="5" t="str">
        <f>IFERROR(__xludf.DUMMYFUNCTION("""COMPUTED_VALUE"""),"مازندران")</f>
        <v>مازندران</v>
      </c>
      <c r="E16" s="5" t="str">
        <f>IFERROR(__xludf.DUMMYFUNCTION("""COMPUTED_VALUE"""),"آمل")</f>
        <v>آمل</v>
      </c>
      <c r="F16" s="5"/>
      <c r="G16" s="5"/>
      <c r="H16" s="6" t="str">
        <f>IFERROR(__xludf.DUMMYFUNCTION("""COMPUTED_VALUE"""),"https://www.instagram.com/saran_be_ney59/")</f>
        <v>https://www.instagram.com/saran_be_ney59/</v>
      </c>
      <c r="I16" s="6" t="str">
        <f>IFERROR(__xludf.DUMMYFUNCTION("""COMPUTED_VALUE"""),"https://t.me/saranbeneyamool")</f>
        <v>https://t.me/saranbeneyamool</v>
      </c>
      <c r="J16" s="5"/>
      <c r="K16" s="5"/>
      <c r="L16" s="5"/>
      <c r="M16" s="5"/>
      <c r="N16" s="5"/>
      <c r="O16" s="5"/>
      <c r="P16" s="5"/>
      <c r="Q16" s="5"/>
      <c r="R16" s="5"/>
      <c r="S16" s="5"/>
    </row>
    <row r="17">
      <c r="A17" s="5"/>
      <c r="B17" s="5" t="str">
        <f>IFERROR(__xludf.DUMMYFUNCTION("""COMPUTED_VALUE"""),"هیأت")</f>
        <v>هیأت</v>
      </c>
      <c r="C17" s="5" t="str">
        <f>IFERROR(__xludf.DUMMYFUNCTION("""COMPUTED_VALUE"""),"مجنون العباس")</f>
        <v>مجنون العباس</v>
      </c>
      <c r="D17" s="5" t="str">
        <f>IFERROR(__xludf.DUMMYFUNCTION("""COMPUTED_VALUE"""),"مازندران")</f>
        <v>مازندران</v>
      </c>
      <c r="E17" s="5" t="str">
        <f>IFERROR(__xludf.DUMMYFUNCTION("""COMPUTED_VALUE"""),"آمل")</f>
        <v>آمل</v>
      </c>
      <c r="F17" s="5"/>
      <c r="G17" s="5"/>
      <c r="H17" s="6" t="str">
        <f>IFERROR(__xludf.DUMMYFUNCTION("""COMPUTED_VALUE"""),"https://www.instagram.com/majnoonolabbas/")</f>
        <v>https://www.instagram.com/majnoonolabbas/</v>
      </c>
      <c r="I17" s="6" t="str">
        <f>IFERROR(__xludf.DUMMYFUNCTION("""COMPUTED_VALUE"""),"https://t.me/Mjnoonolabbas")</f>
        <v>https://t.me/Mjnoonolabbas</v>
      </c>
      <c r="J17" s="5"/>
      <c r="K17" s="5"/>
      <c r="L17" s="5"/>
      <c r="M17" s="5"/>
      <c r="N17" s="5"/>
      <c r="O17" s="5"/>
      <c r="P17" s="5"/>
      <c r="Q17" s="5"/>
      <c r="R17" s="5"/>
      <c r="S17" s="5"/>
    </row>
    <row r="18">
      <c r="A18" s="5"/>
      <c r="B18" s="5" t="str">
        <f>IFERROR(__xludf.DUMMYFUNCTION("""COMPUTED_VALUE"""),"هیأت")</f>
        <v>هیأت</v>
      </c>
      <c r="C18" s="5" t="str">
        <f>IFERROR(__xludf.DUMMYFUNCTION("""COMPUTED_VALUE"""),"خادم الحسن")</f>
        <v>خادم الحسن</v>
      </c>
      <c r="D18" s="5" t="str">
        <f>IFERROR(__xludf.DUMMYFUNCTION("""COMPUTED_VALUE"""),"مازندران")</f>
        <v>مازندران</v>
      </c>
      <c r="E18" s="5" t="str">
        <f>IFERROR(__xludf.DUMMYFUNCTION("""COMPUTED_VALUE"""),"آمل")</f>
        <v>آمل</v>
      </c>
      <c r="F18" s="5"/>
      <c r="G18" s="5"/>
      <c r="H18" s="6" t="str">
        <f>IFERROR(__xludf.DUMMYFUNCTION("""COMPUTED_VALUE"""),"https://www.instagram.com/emamhasan.amoll/")</f>
        <v>https://www.instagram.com/emamhasan.amoll/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>
      <c r="A19" s="5"/>
      <c r="B19" s="5" t="str">
        <f>IFERROR(__xludf.DUMMYFUNCTION("""COMPUTED_VALUE"""),"هیأت")</f>
        <v>هیأت</v>
      </c>
      <c r="C19" s="5" t="str">
        <f>IFERROR(__xludf.DUMMYFUNCTION("""COMPUTED_VALUE"""),"فاطمیون")</f>
        <v>فاطمیون</v>
      </c>
      <c r="D19" s="5" t="str">
        <f>IFERROR(__xludf.DUMMYFUNCTION("""COMPUTED_VALUE"""),"مازندران")</f>
        <v>مازندران</v>
      </c>
      <c r="E19" s="5" t="str">
        <f>IFERROR(__xludf.DUMMYFUNCTION("""COMPUTED_VALUE"""),"آمل")</f>
        <v>آمل</v>
      </c>
      <c r="F19" s="5"/>
      <c r="G19" s="5"/>
      <c r="H19" s="6" t="str">
        <f>IFERROR(__xludf.DUMMYFUNCTION("""COMPUTED_VALUE"""),"https://www.instagram.com/fatemioon.ir/")</f>
        <v>https://www.instagram.com/fatemioon.ir/</v>
      </c>
      <c r="I19" s="6" t="str">
        <f>IFERROR(__xludf.DUMMYFUNCTION("""COMPUTED_VALUE"""),"https://t.me/fatemioon_amol")</f>
        <v>https://t.me/fatemioon_amol</v>
      </c>
      <c r="J19" s="6" t="str">
        <f>IFERROR(__xludf.DUMMYFUNCTION("""COMPUTED_VALUE"""),"https://eitaa.com/fatemioon_amol")</f>
        <v>https://eitaa.com/fatemioon_amol</v>
      </c>
      <c r="K19" s="5"/>
      <c r="L19" s="5"/>
      <c r="M19" s="5"/>
      <c r="N19" s="5"/>
      <c r="O19" s="5"/>
      <c r="P19" s="5"/>
      <c r="Q19" s="5"/>
      <c r="R19" s="5"/>
      <c r="S19" s="5" t="str">
        <f>IFERROR(__xludf.DUMMYFUNCTION("""COMPUTED_VALUE"""),"DDDDDDD")</f>
        <v>DDDDDDD</v>
      </c>
    </row>
    <row r="20">
      <c r="A20" s="5"/>
      <c r="B20" s="5" t="str">
        <f>IFERROR(__xludf.DUMMYFUNCTION("""COMPUTED_VALUE"""),"هیأت")</f>
        <v>هیأت</v>
      </c>
      <c r="C20" s="5" t="str">
        <f>IFERROR(__xludf.DUMMYFUNCTION("""COMPUTED_VALUE"""),"محبان المهدی")</f>
        <v>محبان المهدی</v>
      </c>
      <c r="D20" s="5" t="str">
        <f>IFERROR(__xludf.DUMMYFUNCTION("""COMPUTED_VALUE"""),"مازندران")</f>
        <v>مازندران</v>
      </c>
      <c r="E20" s="5" t="str">
        <f>IFERROR(__xludf.DUMMYFUNCTION("""COMPUTED_VALUE"""),"آمل")</f>
        <v>آمل</v>
      </c>
      <c r="F20" s="5"/>
      <c r="G20" s="5"/>
      <c r="H20" s="6" t="str">
        <f>IFERROR(__xludf.DUMMYFUNCTION("""COMPUTED_VALUE"""),"https://www.instagram.com/mohebanalmahdi.ir/")</f>
        <v>https://www.instagram.com/mohebanalmahdi.ir/</v>
      </c>
      <c r="I20" s="6" t="str">
        <f>IFERROR(__xludf.DUMMYFUNCTION("""COMPUTED_VALUE"""),"https://t.me/Heyate_Moheban_ALmahdi")</f>
        <v>https://t.me/Heyate_Moheban_ALmahdi</v>
      </c>
      <c r="J20" s="6" t="str">
        <f>IFERROR(__xludf.DUMMYFUNCTION("""COMPUTED_VALUE"""),"https://eitaa.com/Heyate_Moheban_ALmahdi")</f>
        <v>https://eitaa.com/Heyate_Moheban_ALmahdi</v>
      </c>
      <c r="K20" s="5"/>
      <c r="L20" s="5"/>
      <c r="M20" s="5"/>
      <c r="N20" s="5"/>
      <c r="O20" s="5"/>
      <c r="P20" s="5"/>
      <c r="Q20" s="5"/>
      <c r="R20" s="5"/>
      <c r="S20" s="5"/>
    </row>
    <row r="21">
      <c r="A21" s="5"/>
      <c r="B21" s="5" t="str">
        <f>IFERROR(__xludf.DUMMYFUNCTION("""COMPUTED_VALUE"""),"هیأت")</f>
        <v>هیأت</v>
      </c>
      <c r="C21" s="5" t="str">
        <f>IFERROR(__xludf.DUMMYFUNCTION("""COMPUTED_VALUE"""),"شهزاده علی اصغر")</f>
        <v>شهزاده علی اصغر</v>
      </c>
      <c r="D21" s="5" t="str">
        <f>IFERROR(__xludf.DUMMYFUNCTION("""COMPUTED_VALUE"""),"مازندران")</f>
        <v>مازندران</v>
      </c>
      <c r="E21" s="5" t="str">
        <f>IFERROR(__xludf.DUMMYFUNCTION("""COMPUTED_VALUE"""),"آمل")</f>
        <v>آمل</v>
      </c>
      <c r="F21" s="5"/>
      <c r="G21" s="5"/>
      <c r="H21" s="6" t="str">
        <f>IFERROR(__xludf.DUMMYFUNCTION("""COMPUTED_VALUE"""),"https://www.instagram.com/aliasgharioon_amol/")</f>
        <v>https://www.instagram.com/aliasgharioon_amol/</v>
      </c>
      <c r="I21" s="6" t="str">
        <f>IFERROR(__xludf.DUMMYFUNCTION("""COMPUTED_VALUE"""),"https://t.me/Shahzadeh_AliAsghar_amol")</f>
        <v>https://t.me/Shahzadeh_AliAsghar_amol</v>
      </c>
      <c r="J21" s="5"/>
      <c r="K21" s="5"/>
      <c r="L21" s="5"/>
      <c r="M21" s="5"/>
      <c r="N21" s="5"/>
      <c r="O21" s="5"/>
      <c r="P21" s="5"/>
      <c r="Q21" s="5"/>
      <c r="R21" s="5"/>
      <c r="S21" s="5"/>
    </row>
    <row r="22">
      <c r="A22" s="5"/>
      <c r="B22" s="5" t="str">
        <f>IFERROR(__xludf.DUMMYFUNCTION("""COMPUTED_VALUE"""),"هیأت")</f>
        <v>هیأت</v>
      </c>
      <c r="C22" s="5" t="str">
        <f>IFERROR(__xludf.DUMMYFUNCTION("""COMPUTED_VALUE"""),"محب العباس")</f>
        <v>محب العباس</v>
      </c>
      <c r="D22" s="5" t="str">
        <f>IFERROR(__xludf.DUMMYFUNCTION("""COMPUTED_VALUE"""),"مازندران")</f>
        <v>مازندران</v>
      </c>
      <c r="E22" s="5" t="str">
        <f>IFERROR(__xludf.DUMMYFUNCTION("""COMPUTED_VALUE"""),"آمل")</f>
        <v>آمل</v>
      </c>
      <c r="F22" s="5"/>
      <c r="G22" s="5"/>
      <c r="H22" s="6" t="str">
        <f>IFERROR(__xludf.DUMMYFUNCTION("""COMPUTED_VALUE"""),"https://www.instagram.com/mohebolabbas/")</f>
        <v>https://www.instagram.com/mohebolabbas/</v>
      </c>
      <c r="I22" s="6" t="str">
        <f>IFERROR(__xludf.DUMMYFUNCTION("""COMPUTED_VALUE"""),"https://t.me/mohebolabbas_amol")</f>
        <v>https://t.me/mohebolabbas_amol</v>
      </c>
      <c r="J22" s="5"/>
      <c r="K22" s="5"/>
      <c r="L22" s="5"/>
      <c r="M22" s="5"/>
      <c r="N22" s="5"/>
      <c r="O22" s="5"/>
      <c r="P22" s="5"/>
      <c r="Q22" s="5"/>
      <c r="R22" s="5"/>
      <c r="S22" s="5"/>
    </row>
    <row r="23">
      <c r="A23" s="5"/>
      <c r="B23" s="5" t="str">
        <f>IFERROR(__xludf.DUMMYFUNCTION("""COMPUTED_VALUE"""),"هیأت")</f>
        <v>هیأت</v>
      </c>
      <c r="C23" s="5" t="str">
        <f>IFERROR(__xludf.DUMMYFUNCTION("""COMPUTED_VALUE"""),"پیروان امیرالمومنین")</f>
        <v>پیروان امیرالمومنین</v>
      </c>
      <c r="D23" s="5" t="str">
        <f>IFERROR(__xludf.DUMMYFUNCTION("""COMPUTED_VALUE"""),"مازندران")</f>
        <v>مازندران</v>
      </c>
      <c r="E23" s="5" t="str">
        <f>IFERROR(__xludf.DUMMYFUNCTION("""COMPUTED_VALUE"""),"آمل")</f>
        <v>آمل</v>
      </c>
      <c r="F23" s="5"/>
      <c r="G23" s="5"/>
      <c r="H23" s="6" t="str">
        <f>IFERROR(__xludf.DUMMYFUNCTION("""COMPUTED_VALUE"""),"https://www.instagram.com/peyrovan.amiralmomenin")</f>
        <v>https://www.instagram.com/peyrovan.amiralmomenin</v>
      </c>
      <c r="I23" s="6" t="str">
        <f>IFERROR(__xludf.DUMMYFUNCTION("""COMPUTED_VALUE"""),"https://t.me/peyrovanamiralmomenin")</f>
        <v>https://t.me/peyrovanamiralmomenin</v>
      </c>
      <c r="J23" s="5"/>
      <c r="K23" s="5"/>
      <c r="L23" s="5"/>
      <c r="M23" s="5"/>
      <c r="N23" s="5"/>
      <c r="O23" s="5"/>
      <c r="P23" s="5"/>
      <c r="Q23" s="5"/>
      <c r="R23" s="5"/>
      <c r="S23" s="5"/>
    </row>
    <row r="24">
      <c r="A24" s="5"/>
      <c r="B24" s="5" t="str">
        <f>IFERROR(__xludf.DUMMYFUNCTION("""COMPUTED_VALUE"""),"هیأت")</f>
        <v>هیأت</v>
      </c>
      <c r="C24" s="5" t="str">
        <f>IFERROR(__xludf.DUMMYFUNCTION("""COMPUTED_VALUE"""),"اصحاب الحسین")</f>
        <v>اصحاب الحسین</v>
      </c>
      <c r="D24" s="5" t="str">
        <f>IFERROR(__xludf.DUMMYFUNCTION("""COMPUTED_VALUE"""),"مازندران")</f>
        <v>مازندران</v>
      </c>
      <c r="E24" s="5" t="str">
        <f>IFERROR(__xludf.DUMMYFUNCTION("""COMPUTED_VALUE"""),"آمل")</f>
        <v>آمل</v>
      </c>
      <c r="F24" s="5"/>
      <c r="G24" s="5"/>
      <c r="H24" s="6" t="str">
        <f>IFERROR(__xludf.DUMMYFUNCTION("""COMPUTED_VALUE"""),"https://www.instagram.com/ashabie.313.ir/")</f>
        <v>https://www.instagram.com/ashabie.313.ir/</v>
      </c>
      <c r="I24" s="6" t="str">
        <f>IFERROR(__xludf.DUMMYFUNCTION("""COMPUTED_VALUE"""),"https://t.me/ashabioon")</f>
        <v>https://t.me/ashabioon</v>
      </c>
      <c r="J24" s="5"/>
      <c r="K24" s="5"/>
      <c r="L24" s="5"/>
      <c r="M24" s="5"/>
      <c r="N24" s="5"/>
      <c r="O24" s="5"/>
      <c r="P24" s="5"/>
      <c r="Q24" s="5"/>
      <c r="R24" s="5"/>
      <c r="S24" s="5"/>
    </row>
    <row r="25">
      <c r="A25" s="5"/>
      <c r="B25" s="5" t="str">
        <f>IFERROR(__xludf.DUMMYFUNCTION("""COMPUTED_VALUE"""),"هیأت")</f>
        <v>هیأت</v>
      </c>
      <c r="C25" s="5" t="str">
        <f>IFERROR(__xludf.DUMMYFUNCTION("""COMPUTED_VALUE"""),"روضة الشهداء")</f>
        <v>روضة الشهداء</v>
      </c>
      <c r="D25" s="5" t="str">
        <f>IFERROR(__xludf.DUMMYFUNCTION("""COMPUTED_VALUE"""),"مازندران")</f>
        <v>مازندران</v>
      </c>
      <c r="E25" s="5" t="str">
        <f>IFERROR(__xludf.DUMMYFUNCTION("""COMPUTED_VALUE"""),"آمل")</f>
        <v>آمل</v>
      </c>
      <c r="F25" s="5"/>
      <c r="G25" s="5"/>
      <c r="H25" s="6" t="str">
        <f>IFERROR(__xludf.DUMMYFUNCTION("""COMPUTED_VALUE"""),"https://www.instagram.com/rozatoshohada.amol/")</f>
        <v>https://www.instagram.com/rozatoshohada.amol/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>
      <c r="A26" s="5"/>
      <c r="B26" s="5" t="str">
        <f>IFERROR(__xludf.DUMMYFUNCTION("""COMPUTED_VALUE"""),"هیأت")</f>
        <v>هیأت</v>
      </c>
      <c r="C26" s="5" t="str">
        <f>IFERROR(__xludf.DUMMYFUNCTION("""COMPUTED_VALUE"""),"سیدالشهداء")</f>
        <v>سیدالشهداء</v>
      </c>
      <c r="D26" s="5" t="str">
        <f>IFERROR(__xludf.DUMMYFUNCTION("""COMPUTED_VALUE"""),"مازندران")</f>
        <v>مازندران</v>
      </c>
      <c r="E26" s="5" t="str">
        <f>IFERROR(__xludf.DUMMYFUNCTION("""COMPUTED_VALUE"""),"آمل")</f>
        <v>آمل</v>
      </c>
      <c r="F26" s="5"/>
      <c r="G26" s="5"/>
      <c r="H26" s="6" t="str">
        <f>IFERROR(__xludf.DUMMYFUNCTION("""COMPUTED_VALUE"""),"https://www.instagram.com/heyat_seyedollshohada_amol/")</f>
        <v>https://www.instagram.com/heyat_seyedollshohada_amol/</v>
      </c>
      <c r="I26" s="6" t="str">
        <f>IFERROR(__xludf.DUMMYFUNCTION("""COMPUTED_VALUE"""),"https://t.me/heyat_Amol")</f>
        <v>https://t.me/heyat_Amol</v>
      </c>
      <c r="J26" s="5"/>
      <c r="K26" s="5"/>
      <c r="L26" s="5"/>
      <c r="M26" s="5"/>
      <c r="N26" s="5"/>
      <c r="O26" s="5"/>
      <c r="P26" s="5"/>
      <c r="Q26" s="5"/>
      <c r="R26" s="5"/>
      <c r="S26" s="5"/>
    </row>
    <row r="27">
      <c r="A27" s="5"/>
      <c r="B27" s="5" t="str">
        <f>IFERROR(__xludf.DUMMYFUNCTION("""COMPUTED_VALUE"""),"هیأت")</f>
        <v>هیأت</v>
      </c>
      <c r="C27" s="5" t="str">
        <f>IFERROR(__xludf.DUMMYFUNCTION("""COMPUTED_VALUE"""),"شاهزاده علی اکبر")</f>
        <v>شاهزاده علی اکبر</v>
      </c>
      <c r="D27" s="5" t="str">
        <f>IFERROR(__xludf.DUMMYFUNCTION("""COMPUTED_VALUE"""),"مازندران")</f>
        <v>مازندران</v>
      </c>
      <c r="E27" s="5" t="str">
        <f>IFERROR(__xludf.DUMMYFUNCTION("""COMPUTED_VALUE"""),"آمل")</f>
        <v>آمل</v>
      </c>
      <c r="F27" s="5"/>
      <c r="G27" s="5"/>
      <c r="H27" s="6" t="str">
        <f>IFERROR(__xludf.DUMMYFUNCTION("""COMPUTED_VALUE"""),"https://www.instagram.com/heiat.shahzade.aliakbar/")</f>
        <v>https://www.instagram.com/heiat.shahzade.aliakbar/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>
      <c r="A28" s="5"/>
      <c r="B28" s="5" t="str">
        <f>IFERROR(__xludf.DUMMYFUNCTION("""COMPUTED_VALUE"""),"هیأت")</f>
        <v>هیأت</v>
      </c>
      <c r="C28" s="5" t="str">
        <f>IFERROR(__xludf.DUMMYFUNCTION("""COMPUTED_VALUE"""),"کریم اهل بیت")</f>
        <v>کریم اهل بیت</v>
      </c>
      <c r="D28" s="5" t="str">
        <f>IFERROR(__xludf.DUMMYFUNCTION("""COMPUTED_VALUE"""),"مازندران")</f>
        <v>مازندران</v>
      </c>
      <c r="E28" s="5" t="str">
        <f>IFERROR(__xludf.DUMMYFUNCTION("""COMPUTED_VALUE"""),"آمل")</f>
        <v>آمل</v>
      </c>
      <c r="F28" s="5"/>
      <c r="G28" s="5"/>
      <c r="H28" s="6" t="str">
        <f>IFERROR(__xludf.DUMMYFUNCTION("""COMPUTED_VALUE"""),"https://www.instagram.com/hasanioun.info/")</f>
        <v>https://www.instagram.com/hasanioun.info/</v>
      </c>
      <c r="I28" s="6" t="str">
        <f>IFERROR(__xludf.DUMMYFUNCTION("""COMPUTED_VALUE"""),"https://t.me/hasaniha")</f>
        <v>https://t.me/hasaniha</v>
      </c>
      <c r="J28" s="5"/>
      <c r="K28" s="5"/>
      <c r="L28" s="5"/>
      <c r="M28" s="5"/>
      <c r="N28" s="5"/>
      <c r="O28" s="5"/>
      <c r="P28" s="5"/>
      <c r="Q28" s="5"/>
      <c r="R28" s="5"/>
      <c r="S28" s="5"/>
    </row>
    <row r="29">
      <c r="A29" s="5"/>
      <c r="B29" s="5" t="str">
        <f>IFERROR(__xludf.DUMMYFUNCTION("""COMPUTED_VALUE"""),"هیأت")</f>
        <v>هیأت</v>
      </c>
      <c r="C29" s="5" t="str">
        <f>IFERROR(__xludf.DUMMYFUNCTION("""COMPUTED_VALUE"""),"پیروان امام سجاد")</f>
        <v>پیروان امام سجاد</v>
      </c>
      <c r="D29" s="5" t="str">
        <f>IFERROR(__xludf.DUMMYFUNCTION("""COMPUTED_VALUE"""),"مازندران")</f>
        <v>مازندران</v>
      </c>
      <c r="E29" s="5" t="str">
        <f>IFERROR(__xludf.DUMMYFUNCTION("""COMPUTED_VALUE"""),"آمل")</f>
        <v>آمل</v>
      </c>
      <c r="F29" s="5" t="str">
        <f>IFERROR(__xludf.DUMMYFUNCTION("""COMPUTED_VALUE"""),"خیابان طالقانی ، اباذر ۷ ، مهدیه و فاطمیه آمل")</f>
        <v>خیابان طالقانی ، اباذر ۷ ، مهدیه و فاطمیه آمل</v>
      </c>
      <c r="G29" s="5"/>
      <c r="H29" s="6" t="str">
        <f>IFERROR(__xludf.DUMMYFUNCTION("""COMPUTED_VALUE"""),"https://www.instagram.com/peyrovan.amol/")</f>
        <v>https://www.instagram.com/peyrovan.amol/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>
      <c r="A30" s="5"/>
      <c r="B30" s="5" t="str">
        <f>IFERROR(__xludf.DUMMYFUNCTION("""COMPUTED_VALUE"""),"هیأت بانوان")</f>
        <v>هیأت بانوان</v>
      </c>
      <c r="C30" s="5" t="str">
        <f>IFERROR(__xludf.DUMMYFUNCTION("""COMPUTED_VALUE"""),"صاحب الزمان")</f>
        <v>صاحب الزمان</v>
      </c>
      <c r="D30" s="5" t="str">
        <f>IFERROR(__xludf.DUMMYFUNCTION("""COMPUTED_VALUE"""),"مازندران")</f>
        <v>مازندران</v>
      </c>
      <c r="E30" s="5" t="str">
        <f>IFERROR(__xludf.DUMMYFUNCTION("""COMPUTED_VALUE"""),"آمل")</f>
        <v>آمل</v>
      </c>
      <c r="F30" s="5"/>
      <c r="G30" s="5"/>
      <c r="H30" s="6" t="str">
        <f>IFERROR(__xludf.DUMMYFUNCTION("""COMPUTED_VALUE"""),"https://www.instagram.com/sahebalzamanir/")</f>
        <v>https://www.instagram.com/sahebalzamanir/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>
      <c r="A31" s="5">
        <f>IFERROR(__xludf.DUMMYFUNCTION("""COMPUTED_VALUE"""),14488.0)</f>
        <v>14488</v>
      </c>
      <c r="B31" s="5" t="str">
        <f>IFERROR(__xludf.DUMMYFUNCTION("""COMPUTED_VALUE"""),"هیأت")</f>
        <v>هیأت</v>
      </c>
      <c r="C31" s="5" t="str">
        <f>IFERROR(__xludf.DUMMYFUNCTION("""COMPUTED_VALUE"""),"محبان العباس")</f>
        <v>محبان العباس</v>
      </c>
      <c r="D31" s="5" t="str">
        <f>IFERROR(__xludf.DUMMYFUNCTION("""COMPUTED_VALUE"""),"مازندران")</f>
        <v>مازندران</v>
      </c>
      <c r="E31" s="5" t="str">
        <f>IFERROR(__xludf.DUMMYFUNCTION("""COMPUTED_VALUE"""),"بابل")</f>
        <v>بابل</v>
      </c>
      <c r="F31" s="5" t="str">
        <f>IFERROR(__xludf.DUMMYFUNCTION("""COMPUTED_VALUE"""),"امیرکلا")</f>
        <v>امیرکلا</v>
      </c>
      <c r="G31" s="5"/>
      <c r="H31" s="6" t="str">
        <f>IFERROR(__xludf.DUMMYFUNCTION("""COMPUTED_VALUE"""),"https://www.instagram.com/mohebbanolabas/")</f>
        <v>https://www.instagram.com/mohebbanolabas/</v>
      </c>
      <c r="I31" s="6" t="str">
        <f>IFERROR(__xludf.DUMMYFUNCTION("""COMPUTED_VALUE"""),"https://t.me/beyraq_info")</f>
        <v>https://t.me/beyraq_info</v>
      </c>
      <c r="J31" s="6" t="str">
        <f>IFERROR(__xludf.DUMMYFUNCTION("""COMPUTED_VALUE"""),"https://eitaa.com/beyraq_info")</f>
        <v>https://eitaa.com/beyraq_info</v>
      </c>
      <c r="K31" s="5"/>
      <c r="L31" s="5"/>
      <c r="M31" s="5"/>
      <c r="N31" s="5" t="str">
        <f>IFERROR(__xludf.DUMMYFUNCTION("""COMPUTED_VALUE"""),"پنجشنبه ها")</f>
        <v>پنجشنبه ها</v>
      </c>
      <c r="O31" s="5"/>
      <c r="P31" s="5"/>
      <c r="Q31" s="5"/>
      <c r="R31" s="5"/>
      <c r="S31" s="5"/>
    </row>
    <row r="32">
      <c r="A32" s="5">
        <f>IFERROR(__xludf.DUMMYFUNCTION("""COMPUTED_VALUE"""),14548.0)</f>
        <v>14548</v>
      </c>
      <c r="B32" s="5" t="str">
        <f>IFERROR(__xludf.DUMMYFUNCTION("""COMPUTED_VALUE"""),"هیأت")</f>
        <v>هیأت</v>
      </c>
      <c r="C32" s="5" t="str">
        <f>IFERROR(__xludf.DUMMYFUNCTION("""COMPUTED_VALUE"""),"محبان المعصومین")</f>
        <v>محبان المعصومین</v>
      </c>
      <c r="D32" s="5" t="str">
        <f>IFERROR(__xludf.DUMMYFUNCTION("""COMPUTED_VALUE"""),"مازندران")</f>
        <v>مازندران</v>
      </c>
      <c r="E32" s="5" t="str">
        <f>IFERROR(__xludf.DUMMYFUNCTION("""COMPUTED_VALUE"""),"بابل")</f>
        <v>بابل</v>
      </c>
      <c r="F32" s="5"/>
      <c r="G32" s="5"/>
      <c r="H32" s="6" t="str">
        <f>IFERROR(__xludf.DUMMYFUNCTION("""COMPUTED_VALUE"""),"https://www.instagram.com/mohebanalmasomin/")</f>
        <v>https://www.instagram.com/mohebanalmasomin/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>
      <c r="A33" s="5">
        <f>IFERROR(__xludf.DUMMYFUNCTION("""COMPUTED_VALUE"""),14550.0)</f>
        <v>14550</v>
      </c>
      <c r="B33" s="5" t="str">
        <f>IFERROR(__xludf.DUMMYFUNCTION("""COMPUTED_VALUE"""),"هیأت")</f>
        <v>هیأت</v>
      </c>
      <c r="C33" s="5" t="str">
        <f>IFERROR(__xludf.DUMMYFUNCTION("""COMPUTED_VALUE"""),"ام البکاء")</f>
        <v>ام البکاء</v>
      </c>
      <c r="D33" s="5" t="str">
        <f>IFERROR(__xludf.DUMMYFUNCTION("""COMPUTED_VALUE"""),"مازندران")</f>
        <v>مازندران</v>
      </c>
      <c r="E33" s="5" t="str">
        <f>IFERROR(__xludf.DUMMYFUNCTION("""COMPUTED_VALUE"""),"بابل")</f>
        <v>بابل</v>
      </c>
      <c r="F33" s="5"/>
      <c r="G33" s="5"/>
      <c r="H33" s="6" t="str">
        <f>IFERROR(__xludf.DUMMYFUNCTION("""COMPUTED_VALUE"""),"https://www.instagram.com/ommolboka_babol/")</f>
        <v>https://www.instagram.com/ommolboka_babol/</v>
      </c>
      <c r="I33" s="6" t="str">
        <f>IFERROR(__xludf.DUMMYFUNCTION("""COMPUTED_VALUE"""),"https://t.me/ommolboka_babol")</f>
        <v>https://t.me/ommolboka_babol</v>
      </c>
      <c r="J33" s="6" t="str">
        <f>IFERROR(__xludf.DUMMYFUNCTION("""COMPUTED_VALUE"""),"https://eitaa.com/ommolboka_babol")</f>
        <v>https://eitaa.com/ommolboka_babol</v>
      </c>
      <c r="K33" s="5"/>
      <c r="L33" s="5"/>
      <c r="M33" s="5"/>
      <c r="N33" s="5"/>
      <c r="O33" s="5"/>
      <c r="P33" s="5"/>
      <c r="Q33" s="5"/>
      <c r="R33" s="5"/>
      <c r="S33" s="5"/>
    </row>
    <row r="34">
      <c r="A34" s="5">
        <f>IFERROR(__xludf.DUMMYFUNCTION("""COMPUTED_VALUE"""),14578.0)</f>
        <v>14578</v>
      </c>
      <c r="B34" s="5" t="str">
        <f>IFERROR(__xludf.DUMMYFUNCTION("""COMPUTED_VALUE"""),"هیأت")</f>
        <v>هیأت</v>
      </c>
      <c r="C34" s="5" t="str">
        <f>IFERROR(__xludf.DUMMYFUNCTION("""COMPUTED_VALUE"""),"یا فاطمه الزهرا")</f>
        <v>یا فاطمه الزهرا</v>
      </c>
      <c r="D34" s="5" t="str">
        <f>IFERROR(__xludf.DUMMYFUNCTION("""COMPUTED_VALUE"""),"مازندران")</f>
        <v>مازندران</v>
      </c>
      <c r="E34" s="5" t="str">
        <f>IFERROR(__xludf.DUMMYFUNCTION("""COMPUTED_VALUE"""),"بابل")</f>
        <v>بابل</v>
      </c>
      <c r="F34" s="5"/>
      <c r="G34" s="5"/>
      <c r="H34" s="6" t="str">
        <f>IFERROR(__xludf.DUMMYFUNCTION("""COMPUTED_VALUE"""),"https://www.instagram.com/beytozahra.info/")</f>
        <v>https://www.instagram.com/beytozahra.info/</v>
      </c>
      <c r="I34" s="6" t="str">
        <f>IFERROR(__xludf.DUMMYFUNCTION("""COMPUTED_VALUE"""),"https://t.me/beytozahra_ir")</f>
        <v>https://t.me/beytozahra_ir</v>
      </c>
      <c r="J34" s="6" t="str">
        <f>IFERROR(__xludf.DUMMYFUNCTION("""COMPUTED_VALUE"""),"https://eitaa.com/beytozahra_ir")</f>
        <v>https://eitaa.com/beytozahra_ir</v>
      </c>
      <c r="K34" s="6" t="str">
        <f>IFERROR(__xludf.DUMMYFUNCTION("""COMPUTED_VALUE"""),"https://www.youtube.com/@beytozahra4337/")</f>
        <v>https://www.youtube.com/@beytozahra4337/</v>
      </c>
      <c r="L34" s="6" t="str">
        <f>IFERROR(__xludf.DUMMYFUNCTION("""COMPUTED_VALUE"""),"http://www.beytozahra.com/")</f>
        <v>http://www.beytozahra.com/</v>
      </c>
      <c r="M34" s="5"/>
      <c r="N34" s="5"/>
      <c r="O34" s="5"/>
      <c r="P34" s="5"/>
      <c r="Q34" s="5"/>
      <c r="R34" s="6" t="str">
        <f>IFERROR(__xludf.DUMMYFUNCTION("""COMPUTED_VALUE"""),"https://www.instagram.com/mookeb.info/")</f>
        <v>https://www.instagram.com/mookeb.info/</v>
      </c>
      <c r="S34" s="5" t="str">
        <f>IFERROR(__xludf.DUMMYFUNCTION("""COMPUTED_VALUE"""),"DDDDDDD")</f>
        <v>DDDDDDD</v>
      </c>
    </row>
    <row r="35">
      <c r="A35" s="5">
        <f>IFERROR(__xludf.DUMMYFUNCTION("""COMPUTED_VALUE"""),14668.0)</f>
        <v>14668</v>
      </c>
      <c r="B35" s="5" t="str">
        <f>IFERROR(__xludf.DUMMYFUNCTION("""COMPUTED_VALUE"""),"هیأت")</f>
        <v>هیأت</v>
      </c>
      <c r="C35" s="5" t="str">
        <f>IFERROR(__xludf.DUMMYFUNCTION("""COMPUTED_VALUE"""),"بین الحرمین")</f>
        <v>بین الحرمین</v>
      </c>
      <c r="D35" s="5" t="str">
        <f>IFERROR(__xludf.DUMMYFUNCTION("""COMPUTED_VALUE"""),"مازندران")</f>
        <v>مازندران</v>
      </c>
      <c r="E35" s="5" t="str">
        <f>IFERROR(__xludf.DUMMYFUNCTION("""COMPUTED_VALUE"""),"بابل")</f>
        <v>بابل</v>
      </c>
      <c r="F35" s="5" t="str">
        <f>IFERROR(__xludf.DUMMYFUNCTION("""COMPUTED_VALUE"""),"امیرکلا")</f>
        <v>امیرکلا</v>
      </c>
      <c r="G35" s="5"/>
      <c r="H35" s="6" t="str">
        <f>IFERROR(__xludf.DUMMYFUNCTION("""COMPUTED_VALUE"""),"https://www.instagram.com/buria.ir/")</f>
        <v>https://www.instagram.com/buria.ir/</v>
      </c>
      <c r="I35" s="6" t="str">
        <f>IFERROR(__xludf.DUMMYFUNCTION("""COMPUTED_VALUE"""),"http://t.me/buria_ir")</f>
        <v>http://t.me/buria_ir</v>
      </c>
      <c r="J35" s="6" t="str">
        <f>IFERROR(__xludf.DUMMYFUNCTION("""COMPUTED_VALUE"""),"https://eitaa.com/buriaaa")</f>
        <v>https://eitaa.com/buriaaa</v>
      </c>
      <c r="K35" s="5"/>
      <c r="L35" s="5"/>
      <c r="M35" s="5"/>
      <c r="N35" s="5"/>
      <c r="O35" s="5"/>
      <c r="P35" s="5"/>
      <c r="Q35" s="5"/>
      <c r="R35" s="5"/>
      <c r="S35" s="5" t="str">
        <f>IFERROR(__xludf.DUMMYFUNCTION("""COMPUTED_VALUE"""),"DDDDDDD")</f>
        <v>DDDDDDD</v>
      </c>
    </row>
    <row r="36">
      <c r="A36" s="5">
        <f>IFERROR(__xludf.DUMMYFUNCTION("""COMPUTED_VALUE"""),14973.0)</f>
        <v>14973</v>
      </c>
      <c r="B36" s="5" t="str">
        <f>IFERROR(__xludf.DUMMYFUNCTION("""COMPUTED_VALUE"""),"هیأت")</f>
        <v>هیأت</v>
      </c>
      <c r="C36" s="5" t="str">
        <f>IFERROR(__xludf.DUMMYFUNCTION("""COMPUTED_VALUE"""),"سجادیه")</f>
        <v>سجادیه</v>
      </c>
      <c r="D36" s="5" t="str">
        <f>IFERROR(__xludf.DUMMYFUNCTION("""COMPUTED_VALUE"""),"مازندران")</f>
        <v>مازندران</v>
      </c>
      <c r="E36" s="5" t="str">
        <f>IFERROR(__xludf.DUMMYFUNCTION("""COMPUTED_VALUE"""),"بابل")</f>
        <v>بابل</v>
      </c>
      <c r="F36" s="5"/>
      <c r="G36" s="5"/>
      <c r="H36" s="6" t="str">
        <f>IFERROR(__xludf.DUMMYFUNCTION("""COMPUTED_VALUE"""),"https://www.instagram.com/esajadieh_ir/")</f>
        <v>https://www.instagram.com/esajadieh_ir/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>
      <c r="A37" s="5">
        <f>IFERROR(__xludf.DUMMYFUNCTION("""COMPUTED_VALUE"""),15116.0)</f>
        <v>15116</v>
      </c>
      <c r="B37" s="5" t="str">
        <f>IFERROR(__xludf.DUMMYFUNCTION("""COMPUTED_VALUE"""),"هیأت")</f>
        <v>هیأت</v>
      </c>
      <c r="C37" s="5" t="str">
        <f>IFERROR(__xludf.DUMMYFUNCTION("""COMPUTED_VALUE"""),"بیت العباس")</f>
        <v>بیت العباس</v>
      </c>
      <c r="D37" s="5" t="str">
        <f>IFERROR(__xludf.DUMMYFUNCTION("""COMPUTED_VALUE"""),"مازندران")</f>
        <v>مازندران</v>
      </c>
      <c r="E37" s="5" t="str">
        <f>IFERROR(__xludf.DUMMYFUNCTION("""COMPUTED_VALUE"""),"بابل")</f>
        <v>بابل</v>
      </c>
      <c r="F37" s="5"/>
      <c r="G37" s="5"/>
      <c r="H37" s="6" t="str">
        <f>IFERROR(__xludf.DUMMYFUNCTION("""COMPUTED_VALUE"""),"https://www.instagram.com/beytolabbas.info/")</f>
        <v>https://www.instagram.com/beytolabbas.info/</v>
      </c>
      <c r="I37" s="6" t="str">
        <f>IFERROR(__xludf.DUMMYFUNCTION("""COMPUTED_VALUE"""),"https://t.me/beytolabbas_babol")</f>
        <v>https://t.me/beytolabbas_babol</v>
      </c>
      <c r="J37" s="6" t="str">
        <f>IFERROR(__xludf.DUMMYFUNCTION("""COMPUTED_VALUE"""),"https://eitaa.com/beytolabbas_babol")</f>
        <v>https://eitaa.com/beytolabbas_babol</v>
      </c>
      <c r="K37" s="5"/>
      <c r="L37" s="5"/>
      <c r="M37" s="5"/>
      <c r="N37" s="5"/>
      <c r="O37" s="5"/>
      <c r="P37" s="5"/>
      <c r="Q37" s="5"/>
      <c r="R37" s="5"/>
      <c r="S37" s="5"/>
    </row>
    <row r="38">
      <c r="A38" s="5">
        <f>IFERROR(__xludf.DUMMYFUNCTION("""COMPUTED_VALUE"""),18301.0)</f>
        <v>18301</v>
      </c>
      <c r="B38" s="5" t="str">
        <f>IFERROR(__xludf.DUMMYFUNCTION("""COMPUTED_VALUE"""),"هیأت")</f>
        <v>هیأت</v>
      </c>
      <c r="C38" s="5" t="str">
        <f>IFERROR(__xludf.DUMMYFUNCTION("""COMPUTED_VALUE"""),"ام المصائب")</f>
        <v>ام المصائب</v>
      </c>
      <c r="D38" s="5" t="str">
        <f>IFERROR(__xludf.DUMMYFUNCTION("""COMPUTED_VALUE"""),"مازندران")</f>
        <v>مازندران</v>
      </c>
      <c r="E38" s="5" t="str">
        <f>IFERROR(__xludf.DUMMYFUNCTION("""COMPUTED_VALUE"""),"بابل")</f>
        <v>بابل</v>
      </c>
      <c r="F38" s="5"/>
      <c r="G38" s="5"/>
      <c r="H38" s="6" t="str">
        <f>IFERROR(__xludf.DUMMYFUNCTION("""COMPUTED_VALUE"""),"https://www.instagram.com/ommolmasaeb/")</f>
        <v>https://www.instagram.com/ommolmasaeb/</v>
      </c>
      <c r="I38" s="6" t="str">
        <f>IFERROR(__xludf.DUMMYFUNCTION("""COMPUTED_VALUE"""),"https://t.me/ommolmasaeb_com")</f>
        <v>https://t.me/ommolmasaeb_com</v>
      </c>
      <c r="J38" s="5"/>
      <c r="K38" s="5"/>
      <c r="L38" s="5"/>
      <c r="M38" s="5"/>
      <c r="N38" s="5"/>
      <c r="O38" s="5"/>
      <c r="P38" s="5"/>
      <c r="Q38" s="5"/>
      <c r="R38" s="5"/>
      <c r="S38" s="5"/>
    </row>
    <row r="39">
      <c r="A39" s="5">
        <f>IFERROR(__xludf.DUMMYFUNCTION("""COMPUTED_VALUE"""),23280.0)</f>
        <v>23280</v>
      </c>
      <c r="B39" s="5" t="str">
        <f>IFERROR(__xludf.DUMMYFUNCTION("""COMPUTED_VALUE"""),"هیأت")</f>
        <v>هیأت</v>
      </c>
      <c r="C39" s="5" t="str">
        <f>IFERROR(__xludf.DUMMYFUNCTION("""COMPUTED_VALUE"""),"محبان الزهرا")</f>
        <v>محبان الزهرا</v>
      </c>
      <c r="D39" s="5" t="str">
        <f>IFERROR(__xludf.DUMMYFUNCTION("""COMPUTED_VALUE"""),"مازندران")</f>
        <v>مازندران</v>
      </c>
      <c r="E39" s="5" t="str">
        <f>IFERROR(__xludf.DUMMYFUNCTION("""COMPUTED_VALUE"""),"بابل")</f>
        <v>بابل</v>
      </c>
      <c r="F39" s="5"/>
      <c r="G39" s="5"/>
      <c r="H39" s="6" t="str">
        <f>IFERROR(__xludf.DUMMYFUNCTION("""COMPUTED_VALUE"""),"https://www.instagram.com/mohebanozahra_babol/")</f>
        <v>https://www.instagram.com/mohebanozahra_babol/</v>
      </c>
      <c r="I39" s="5"/>
      <c r="J39" s="6" t="str">
        <f>IFERROR(__xludf.DUMMYFUNCTION("""COMPUTED_VALUE"""),"https://eitaa.com/tahmasbpour_ir")</f>
        <v>https://eitaa.com/tahmasbpour_ir</v>
      </c>
      <c r="K39" s="5"/>
      <c r="L39" s="6" t="str">
        <f>IFERROR(__xludf.DUMMYFUNCTION("""COMPUTED_VALUE"""),"https://tahmasbpour.ir/")</f>
        <v>https://tahmasbpour.ir/</v>
      </c>
      <c r="M39" s="5"/>
      <c r="N39" s="5" t="str">
        <f>IFERROR(__xludf.DUMMYFUNCTION("""COMPUTED_VALUE"""),"پنجشنبه ها")</f>
        <v>پنجشنبه ها</v>
      </c>
      <c r="O39" s="5"/>
      <c r="P39" s="5"/>
      <c r="Q39" s="5"/>
      <c r="R39" s="5"/>
      <c r="S39" s="5"/>
    </row>
    <row r="40">
      <c r="A40" s="5">
        <f>IFERROR(__xludf.DUMMYFUNCTION("""COMPUTED_VALUE"""),24218.0)</f>
        <v>24218</v>
      </c>
      <c r="B40" s="5" t="str">
        <f>IFERROR(__xludf.DUMMYFUNCTION("""COMPUTED_VALUE"""),"هیأت")</f>
        <v>هیأت</v>
      </c>
      <c r="C40" s="5" t="str">
        <f>IFERROR(__xludf.DUMMYFUNCTION("""COMPUTED_VALUE"""),"شهدای گمنام")</f>
        <v>شهدای گمنام</v>
      </c>
      <c r="D40" s="5" t="str">
        <f>IFERROR(__xludf.DUMMYFUNCTION("""COMPUTED_VALUE"""),"مازندران")</f>
        <v>مازندران</v>
      </c>
      <c r="E40" s="5" t="str">
        <f>IFERROR(__xludf.DUMMYFUNCTION("""COMPUTED_VALUE"""),"بابل")</f>
        <v>بابل</v>
      </c>
      <c r="F40" s="5"/>
      <c r="G40" s="5"/>
      <c r="H40" s="6" t="str">
        <f>IFERROR(__xludf.DUMMYFUNCTION("""COMPUTED_VALUE"""),"https://www.instagram.com/shohadayegomnam.babol")</f>
        <v>https://www.instagram.com/shohadayegomnam.babol</v>
      </c>
      <c r="I40" s="5"/>
      <c r="J40" s="6" t="str">
        <f>IFERROR(__xludf.DUMMYFUNCTION("""COMPUTED_VALUE"""),"https://eitaa.com/shohadayegomnam_in")</f>
        <v>https://eitaa.com/shohadayegomnam_in</v>
      </c>
      <c r="K40" s="5"/>
      <c r="L40" s="5"/>
      <c r="M40" s="5"/>
      <c r="N40" s="5"/>
      <c r="O40" s="5"/>
      <c r="P40" s="5"/>
      <c r="Q40" s="5"/>
      <c r="R40" s="5"/>
      <c r="S40" s="5"/>
    </row>
    <row r="41">
      <c r="A41" s="5">
        <f>IFERROR(__xludf.DUMMYFUNCTION("""COMPUTED_VALUE"""),32237.0)</f>
        <v>32237</v>
      </c>
      <c r="B41" s="5" t="str">
        <f>IFERROR(__xludf.DUMMYFUNCTION("""COMPUTED_VALUE"""),"هیأت")</f>
        <v>هیأت</v>
      </c>
      <c r="C41" s="5" t="str">
        <f>IFERROR(__xludf.DUMMYFUNCTION("""COMPUTED_VALUE"""),"روضه الحسین")</f>
        <v>روضه الحسین</v>
      </c>
      <c r="D41" s="5" t="str">
        <f>IFERROR(__xludf.DUMMYFUNCTION("""COMPUTED_VALUE"""),"مازندران")</f>
        <v>مازندران</v>
      </c>
      <c r="E41" s="5" t="str">
        <f>IFERROR(__xludf.DUMMYFUNCTION("""COMPUTED_VALUE"""),"بابل")</f>
        <v>بابل</v>
      </c>
      <c r="F41" s="5"/>
      <c r="G41" s="5"/>
      <c r="H41" s="6" t="str">
        <f>IFERROR(__xludf.DUMMYFUNCTION("""COMPUTED_VALUE"""),"https://www.instagram.com/rowzatolhussain/")</f>
        <v>https://www.instagram.com/rowzatolhussain/</v>
      </c>
      <c r="I41" s="6" t="str">
        <f>IFERROR(__xludf.DUMMYFUNCTION("""COMPUTED_VALUE"""),"https://t.me/Rowzatolhussain")</f>
        <v>https://t.me/Rowzatolhussain</v>
      </c>
      <c r="J41" s="6" t="str">
        <f>IFERROR(__xludf.DUMMYFUNCTION("""COMPUTED_VALUE"""),"https://eitaa.com/rowzatolhussain")</f>
        <v>https://eitaa.com/rowzatolhussain</v>
      </c>
      <c r="K41" s="5"/>
      <c r="L41" s="5"/>
      <c r="M41" s="5"/>
      <c r="N41" s="5"/>
      <c r="O41" s="5"/>
      <c r="P41" s="5"/>
      <c r="Q41" s="5"/>
      <c r="R41" s="5"/>
      <c r="S41" s="5"/>
    </row>
    <row r="42">
      <c r="A42" s="5"/>
      <c r="B42" s="5" t="str">
        <f>IFERROR(__xludf.DUMMYFUNCTION("""COMPUTED_VALUE"""),"رسانه")</f>
        <v>رسانه</v>
      </c>
      <c r="C42" s="5" t="str">
        <f>IFERROR(__xludf.DUMMYFUNCTION("""COMPUTED_VALUE"""),"ترهم")</f>
        <v>ترهم</v>
      </c>
      <c r="D42" s="5" t="str">
        <f>IFERROR(__xludf.DUMMYFUNCTION("""COMPUTED_VALUE"""),"مازندران")</f>
        <v>مازندران</v>
      </c>
      <c r="E42" s="5" t="str">
        <f>IFERROR(__xludf.DUMMYFUNCTION("""COMPUTED_VALUE"""),"بابل")</f>
        <v>بابل</v>
      </c>
      <c r="F42" s="5"/>
      <c r="G42" s="5"/>
      <c r="H42" s="6" t="str">
        <f>IFERROR(__xludf.DUMMYFUNCTION("""COMPUTED_VALUE"""),"https://www.instagram.com/tarahom.info/")</f>
        <v>https://www.instagram.com/tarahom.info/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>
      <c r="A43" s="5"/>
      <c r="B43" s="5" t="str">
        <f>IFERROR(__xludf.DUMMYFUNCTION("""COMPUTED_VALUE"""),"مداح")</f>
        <v>مداح</v>
      </c>
      <c r="C43" s="5" t="str">
        <f>IFERROR(__xludf.DUMMYFUNCTION("""COMPUTED_VALUE"""),"محمدرضا بذری")</f>
        <v>محمدرضا بذری</v>
      </c>
      <c r="D43" s="5" t="str">
        <f>IFERROR(__xludf.DUMMYFUNCTION("""COMPUTED_VALUE"""),"مازندران")</f>
        <v>مازندران</v>
      </c>
      <c r="E43" s="5" t="str">
        <f>IFERROR(__xludf.DUMMYFUNCTION("""COMPUTED_VALUE"""),"بابل")</f>
        <v>بابل</v>
      </c>
      <c r="F43" s="5"/>
      <c r="G43" s="5"/>
      <c r="H43" s="6" t="str">
        <f>IFERROR(__xludf.DUMMYFUNCTION("""COMPUTED_VALUE"""),"https://www.instagram.com/bazri.mohammadreza/")</f>
        <v>https://www.instagram.com/bazri.mohammadreza/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>
      <c r="A44" s="5"/>
      <c r="B44" s="5" t="str">
        <f>IFERROR(__xludf.DUMMYFUNCTION("""COMPUTED_VALUE"""),"مداح")</f>
        <v>مداح</v>
      </c>
      <c r="C44" s="5" t="str">
        <f>IFERROR(__xludf.DUMMYFUNCTION("""COMPUTED_VALUE"""),"مجید رضانژاد")</f>
        <v>مجید رضانژاد</v>
      </c>
      <c r="D44" s="5" t="str">
        <f>IFERROR(__xludf.DUMMYFUNCTION("""COMPUTED_VALUE"""),"مازندران")</f>
        <v>مازندران</v>
      </c>
      <c r="E44" s="5" t="str">
        <f>IFERROR(__xludf.DUMMYFUNCTION("""COMPUTED_VALUE"""),"بابل")</f>
        <v>بابل</v>
      </c>
      <c r="F44" s="5"/>
      <c r="G44" s="5"/>
      <c r="H44" s="6" t="str">
        <f>IFERROR(__xludf.DUMMYFUNCTION("""COMPUTED_VALUE"""),"https://www.instagram.com/alamdar_media.ir/")</f>
        <v>https://www.instagram.com/alamdar_media.ir/</v>
      </c>
      <c r="I44" s="6" t="str">
        <f>IFERROR(__xludf.DUMMYFUNCTION("""COMPUTED_VALUE"""),"https://t.me/Alamdarbabol")</f>
        <v>https://t.me/Alamdarbabol</v>
      </c>
      <c r="J44" s="5"/>
      <c r="K44" s="5"/>
      <c r="L44" s="5"/>
      <c r="M44" s="5"/>
      <c r="N44" s="5"/>
      <c r="O44" s="5"/>
      <c r="P44" s="5"/>
      <c r="Q44" s="5"/>
      <c r="R44" s="5"/>
      <c r="S44" s="5"/>
    </row>
    <row r="45">
      <c r="A45" s="5"/>
      <c r="B45" s="5" t="str">
        <f>IFERROR(__xludf.DUMMYFUNCTION("""COMPUTED_VALUE"""),"مداح")</f>
        <v>مداح</v>
      </c>
      <c r="C45" s="5" t="str">
        <f>IFERROR(__xludf.DUMMYFUNCTION("""COMPUTED_VALUE"""),"عباس طهماسب پور")</f>
        <v>عباس طهماسب پور</v>
      </c>
      <c r="D45" s="5" t="str">
        <f>IFERROR(__xludf.DUMMYFUNCTION("""COMPUTED_VALUE"""),"مازندران")</f>
        <v>مازندران</v>
      </c>
      <c r="E45" s="5" t="str">
        <f>IFERROR(__xludf.DUMMYFUNCTION("""COMPUTED_VALUE"""),"بابل")</f>
        <v>بابل</v>
      </c>
      <c r="F45" s="5"/>
      <c r="G45" s="5"/>
      <c r="H45" s="6" t="str">
        <f>IFERROR(__xludf.DUMMYFUNCTION("""COMPUTED_VALUE"""),"https://www.instagram.com/tahmasbpour_abbas/")</f>
        <v>https://www.instagram.com/tahmasbpour_abbas/</v>
      </c>
      <c r="I45" s="6" t="str">
        <f>IFERROR(__xludf.DUMMYFUNCTION("""COMPUTED_VALUE"""),"https://t.me/tahmasbpour_ir")</f>
        <v>https://t.me/tahmasbpour_ir</v>
      </c>
      <c r="J45" s="5"/>
      <c r="K45" s="5"/>
      <c r="L45" s="5"/>
      <c r="M45" s="5"/>
      <c r="N45" s="5"/>
      <c r="O45" s="5"/>
      <c r="P45" s="5"/>
      <c r="Q45" s="5"/>
      <c r="R45" s="5"/>
      <c r="S45" s="5"/>
    </row>
    <row r="46">
      <c r="A46" s="5"/>
      <c r="B46" s="5" t="str">
        <f>IFERROR(__xludf.DUMMYFUNCTION("""COMPUTED_VALUE"""),"مداح")</f>
        <v>مداح</v>
      </c>
      <c r="C46" s="5" t="str">
        <f>IFERROR(__xludf.DUMMYFUNCTION("""COMPUTED_VALUE"""),"محمد زمان یعقوبی")</f>
        <v>محمد زمان یعقوبی</v>
      </c>
      <c r="D46" s="5" t="str">
        <f>IFERROR(__xludf.DUMMYFUNCTION("""COMPUTED_VALUE"""),"مازندران")</f>
        <v>مازندران</v>
      </c>
      <c r="E46" s="5" t="str">
        <f>IFERROR(__xludf.DUMMYFUNCTION("""COMPUTED_VALUE"""),"بابل")</f>
        <v>بابل</v>
      </c>
      <c r="F46" s="5"/>
      <c r="G46" s="5"/>
      <c r="H46" s="6" t="str">
        <f>IFERROR(__xludf.DUMMYFUNCTION("""COMPUTED_VALUE"""),"https://www.instagram.com/zamanyaghoubi/")</f>
        <v>https://www.instagram.com/zamanyaghoubi/</v>
      </c>
      <c r="I46" s="6" t="str">
        <f>IFERROR(__xludf.DUMMYFUNCTION("""COMPUTED_VALUE"""),"https://t.me/yaghoubi_yadegaari")</f>
        <v>https://t.me/yaghoubi_yadegaari</v>
      </c>
      <c r="J46" s="5"/>
      <c r="K46" s="5"/>
      <c r="L46" s="5"/>
      <c r="M46" s="5"/>
      <c r="N46" s="5"/>
      <c r="O46" s="5"/>
      <c r="P46" s="5"/>
      <c r="Q46" s="5"/>
      <c r="R46" s="5"/>
      <c r="S46" s="5"/>
    </row>
    <row r="47">
      <c r="A47" s="5"/>
      <c r="B47" s="5" t="str">
        <f>IFERROR(__xludf.DUMMYFUNCTION("""COMPUTED_VALUE"""),"هیأت")</f>
        <v>هیأت</v>
      </c>
      <c r="C47" s="5" t="str">
        <f>IFERROR(__xludf.DUMMYFUNCTION("""COMPUTED_VALUE"""),"غریب مدینه")</f>
        <v>غریب مدینه</v>
      </c>
      <c r="D47" s="5" t="str">
        <f>IFERROR(__xludf.DUMMYFUNCTION("""COMPUTED_VALUE"""),"مازندران")</f>
        <v>مازندران</v>
      </c>
      <c r="E47" s="5" t="str">
        <f>IFERROR(__xludf.DUMMYFUNCTION("""COMPUTED_VALUE"""),"بابل")</f>
        <v>بابل</v>
      </c>
      <c r="F47" s="5" t="str">
        <f>IFERROR(__xludf.DUMMYFUNCTION("""COMPUTED_VALUE"""),"امیرکلا")</f>
        <v>امیرکلا</v>
      </c>
      <c r="G47" s="5"/>
      <c r="H47" s="6" t="str">
        <f>IFERROR(__xludf.DUMMYFUNCTION("""COMPUTED_VALUE"""),"https://www.instagram.com/gharibmadinehamirkola/")</f>
        <v>https://www.instagram.com/gharibmadinehamirkola/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 t="str">
        <f>IFERROR(__xludf.DUMMYFUNCTION("""COMPUTED_VALUE"""),"DDDDDD")</f>
        <v>DDDDDD</v>
      </c>
    </row>
    <row r="48">
      <c r="A48" s="5"/>
      <c r="B48" s="5" t="str">
        <f>IFERROR(__xludf.DUMMYFUNCTION("""COMPUTED_VALUE"""),"هیأت")</f>
        <v>هیأت</v>
      </c>
      <c r="C48" s="5" t="str">
        <f>IFERROR(__xludf.DUMMYFUNCTION("""COMPUTED_VALUE"""),"علمداران حسین")</f>
        <v>علمداران حسین</v>
      </c>
      <c r="D48" s="5" t="str">
        <f>IFERROR(__xludf.DUMMYFUNCTION("""COMPUTED_VALUE"""),"مازندران")</f>
        <v>مازندران</v>
      </c>
      <c r="E48" s="5" t="str">
        <f>IFERROR(__xludf.DUMMYFUNCTION("""COMPUTED_VALUE"""),"بابل")</f>
        <v>بابل</v>
      </c>
      <c r="F48" s="5"/>
      <c r="G48" s="5"/>
      <c r="H48" s="6" t="str">
        <f>IFERROR(__xludf.DUMMYFUNCTION("""COMPUTED_VALUE"""),"https://www.instagram.com/alamdarhussainorg/")</f>
        <v>https://www.instagram.com/alamdarhussainorg/</v>
      </c>
      <c r="I48" s="5"/>
      <c r="J48" s="5"/>
      <c r="K48" s="5"/>
      <c r="L48" s="5"/>
      <c r="M48" s="5"/>
      <c r="N48" s="5" t="str">
        <f>IFERROR(__xludf.DUMMYFUNCTION("""COMPUTED_VALUE"""),"یکشنبه ها")</f>
        <v>یکشنبه ها</v>
      </c>
      <c r="O48" s="5"/>
      <c r="P48" s="5"/>
      <c r="Q48" s="5"/>
      <c r="R48" s="5"/>
      <c r="S48" s="5" t="str">
        <f>IFERROR(__xludf.DUMMYFUNCTION("""COMPUTED_VALUE"""),"DDDDDD")</f>
        <v>DDDDDD</v>
      </c>
    </row>
    <row r="49">
      <c r="A49" s="5"/>
      <c r="B49" s="5" t="str">
        <f>IFERROR(__xludf.DUMMYFUNCTION("""COMPUTED_VALUE"""),"هیأت")</f>
        <v>هیأت</v>
      </c>
      <c r="C49" s="5" t="str">
        <f>IFERROR(__xludf.DUMMYFUNCTION("""COMPUTED_VALUE"""),"سیده زینب")</f>
        <v>سیده زینب</v>
      </c>
      <c r="D49" s="5" t="str">
        <f>IFERROR(__xludf.DUMMYFUNCTION("""COMPUTED_VALUE"""),"مازندران")</f>
        <v>مازندران</v>
      </c>
      <c r="E49" s="5" t="str">
        <f>IFERROR(__xludf.DUMMYFUNCTION("""COMPUTED_VALUE"""),"بابل")</f>
        <v>بابل</v>
      </c>
      <c r="F49" s="5" t="str">
        <f>IFERROR(__xludf.DUMMYFUNCTION("""COMPUTED_VALUE"""),"مازندران،بابل،میدان اوقاف،اندیشه۱۵حسینیه حضرت ابالفضل(ع)آهنگرڪلا")</f>
        <v>مازندران،بابل،میدان اوقاف،اندیشه۱۵حسینیه حضرت ابالفضل(ع)آهنگرڪلا</v>
      </c>
      <c r="G49" s="5"/>
      <c r="H49" s="6" t="str">
        <f>IFERROR(__xludf.DUMMYFUNCTION("""COMPUTED_VALUE"""),"https://www.instagram.com/seyyedeh_zeinab/")</f>
        <v>https://www.instagram.com/seyyedeh_zeinab/</v>
      </c>
      <c r="I49" s="6" t="str">
        <f>IFERROR(__xludf.DUMMYFUNCTION("""COMPUTED_VALUE"""),"https://t.me/seyyedeh_zeynab")</f>
        <v>https://t.me/seyyedeh_zeynab</v>
      </c>
      <c r="J49" s="5"/>
      <c r="K49" s="5"/>
      <c r="L49" s="5"/>
      <c r="M49" s="5"/>
      <c r="N49" s="5" t="str">
        <f>IFERROR(__xludf.DUMMYFUNCTION("""COMPUTED_VALUE"""),"شنبه ها")</f>
        <v>شنبه ها</v>
      </c>
      <c r="O49" s="5"/>
      <c r="P49" s="5"/>
      <c r="Q49" s="5"/>
      <c r="R49" s="5"/>
      <c r="S49" s="5"/>
    </row>
    <row r="50">
      <c r="A50" s="5"/>
      <c r="B50" s="5" t="str">
        <f>IFERROR(__xludf.DUMMYFUNCTION("""COMPUTED_VALUE"""),"هیأت")</f>
        <v>هیأت</v>
      </c>
      <c r="C50" s="5" t="str">
        <f>IFERROR(__xludf.DUMMYFUNCTION("""COMPUTED_VALUE"""),"زینبیون")</f>
        <v>زینبیون</v>
      </c>
      <c r="D50" s="5" t="str">
        <f>IFERROR(__xludf.DUMMYFUNCTION("""COMPUTED_VALUE"""),"مازندران")</f>
        <v>مازندران</v>
      </c>
      <c r="E50" s="5" t="str">
        <f>IFERROR(__xludf.DUMMYFUNCTION("""COMPUTED_VALUE"""),"بابل")</f>
        <v>بابل</v>
      </c>
      <c r="F50" s="5"/>
      <c r="G50" s="5"/>
      <c r="H50" s="6" t="str">
        <f>IFERROR(__xludf.DUMMYFUNCTION("""COMPUTED_VALUE"""),"https://www.instagram.com/aghile_media/")</f>
        <v>https://www.instagram.com/aghile_media/</v>
      </c>
      <c r="I50" s="6" t="str">
        <f>IFERROR(__xludf.DUMMYFUNCTION("""COMPUTED_VALUE"""),"https://t.me/aghile_media")</f>
        <v>https://t.me/aghile_media</v>
      </c>
      <c r="J50" s="5"/>
      <c r="K50" s="5"/>
      <c r="L50" s="5"/>
      <c r="M50" s="5"/>
      <c r="N50" s="5"/>
      <c r="O50" s="5"/>
      <c r="P50" s="5"/>
      <c r="Q50" s="5"/>
      <c r="R50" s="5"/>
      <c r="S50" s="5"/>
    </row>
    <row r="51">
      <c r="A51" s="5"/>
      <c r="B51" s="5" t="str">
        <f>IFERROR(__xludf.DUMMYFUNCTION("""COMPUTED_VALUE"""),"هیأت")</f>
        <v>هیأت</v>
      </c>
      <c r="C51" s="5" t="str">
        <f>IFERROR(__xludf.DUMMYFUNCTION("""COMPUTED_VALUE"""),"روضه القاسم")</f>
        <v>روضه القاسم</v>
      </c>
      <c r="D51" s="5" t="str">
        <f>IFERROR(__xludf.DUMMYFUNCTION("""COMPUTED_VALUE"""),"مازندران")</f>
        <v>مازندران</v>
      </c>
      <c r="E51" s="5" t="str">
        <f>IFERROR(__xludf.DUMMYFUNCTION("""COMPUTED_VALUE"""),"بابل")</f>
        <v>بابل</v>
      </c>
      <c r="F51" s="5"/>
      <c r="G51" s="5"/>
      <c r="H51" s="6" t="str">
        <f>IFERROR(__xludf.DUMMYFUNCTION("""COMPUTED_VALUE"""),"https://www.instagram.com/rozatolghasem201/")</f>
        <v>https://www.instagram.com/rozatolghasem201/</v>
      </c>
      <c r="I51" s="6" t="str">
        <f>IFERROR(__xludf.DUMMYFUNCTION("""COMPUTED_VALUE"""),"https://t.me/rozatolghasem_201")</f>
        <v>https://t.me/rozatolghasem_201</v>
      </c>
      <c r="J51" s="5"/>
      <c r="K51" s="5"/>
      <c r="L51" s="5"/>
      <c r="M51" s="5"/>
      <c r="N51" s="5"/>
      <c r="O51" s="5"/>
      <c r="P51" s="5"/>
      <c r="Q51" s="5"/>
      <c r="R51" s="5"/>
      <c r="S51" s="5"/>
    </row>
    <row r="52">
      <c r="A52" s="5"/>
      <c r="B52" s="5" t="str">
        <f>IFERROR(__xludf.DUMMYFUNCTION("""COMPUTED_VALUE"""),"هیأت")</f>
        <v>هیأت</v>
      </c>
      <c r="C52" s="5" t="str">
        <f>IFERROR(__xludf.DUMMYFUNCTION("""COMPUTED_VALUE"""),"صراط الحسین")</f>
        <v>صراط الحسین</v>
      </c>
      <c r="D52" s="5" t="str">
        <f>IFERROR(__xludf.DUMMYFUNCTION("""COMPUTED_VALUE"""),"مازندران")</f>
        <v>مازندران</v>
      </c>
      <c r="E52" s="5" t="str">
        <f>IFERROR(__xludf.DUMMYFUNCTION("""COMPUTED_VALUE"""),"بابل")</f>
        <v>بابل</v>
      </c>
      <c r="F52" s="5"/>
      <c r="G52" s="5"/>
      <c r="H52" s="6" t="str">
        <f>IFERROR(__xludf.DUMMYFUNCTION("""COMPUTED_VALUE"""),"https://www.instagram.com/seratalhosein/")</f>
        <v>https://www.instagram.com/seratalhosein/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>
      <c r="A53" s="5"/>
      <c r="B53" s="5" t="str">
        <f>IFERROR(__xludf.DUMMYFUNCTION("""COMPUTED_VALUE"""),"هیأت")</f>
        <v>هیأت</v>
      </c>
      <c r="C53" s="5" t="str">
        <f>IFERROR(__xludf.DUMMYFUNCTION("""COMPUTED_VALUE"""),"محبان الرضا")</f>
        <v>محبان الرضا</v>
      </c>
      <c r="D53" s="5" t="str">
        <f>IFERROR(__xludf.DUMMYFUNCTION("""COMPUTED_VALUE"""),"مازندران")</f>
        <v>مازندران</v>
      </c>
      <c r="E53" s="5" t="str">
        <f>IFERROR(__xludf.DUMMYFUNCTION("""COMPUTED_VALUE"""),"بابل")</f>
        <v>بابل</v>
      </c>
      <c r="F53" s="5"/>
      <c r="G53" s="5"/>
      <c r="H53" s="6" t="str">
        <f>IFERROR(__xludf.DUMMYFUNCTION("""COMPUTED_VALUE"""),"https://www.instagram.com/mohebanolreza_ir/")</f>
        <v>https://www.instagram.com/mohebanolreza_ir/</v>
      </c>
      <c r="I53" s="6" t="str">
        <f>IFERROR(__xludf.DUMMYFUNCTION("""COMPUTED_VALUE"""),"https://t.me/mohebanolreza_ir")</f>
        <v>https://t.me/mohebanolreza_ir</v>
      </c>
      <c r="J53" s="6" t="str">
        <f>IFERROR(__xludf.DUMMYFUNCTION("""COMPUTED_VALUE"""),"https://eitaa.com/mohebanolreza_ir")</f>
        <v>https://eitaa.com/mohebanolreza_ir</v>
      </c>
      <c r="K53" s="5"/>
      <c r="L53" s="5"/>
      <c r="M53" s="5"/>
      <c r="N53" s="5"/>
      <c r="O53" s="5"/>
      <c r="P53" s="5"/>
      <c r="Q53" s="5"/>
      <c r="R53" s="5"/>
      <c r="S53" s="5"/>
    </row>
    <row r="54">
      <c r="A54" s="5"/>
      <c r="B54" s="5" t="str">
        <f>IFERROR(__xludf.DUMMYFUNCTION("""COMPUTED_VALUE"""),"هیأت")</f>
        <v>هیأت</v>
      </c>
      <c r="C54" s="5" t="str">
        <f>IFERROR(__xludf.DUMMYFUNCTION("""COMPUTED_VALUE"""),"قمر بنی هاشم")</f>
        <v>قمر بنی هاشم</v>
      </c>
      <c r="D54" s="5" t="str">
        <f>IFERROR(__xludf.DUMMYFUNCTION("""COMPUTED_VALUE"""),"مازندران")</f>
        <v>مازندران</v>
      </c>
      <c r="E54" s="5" t="str">
        <f>IFERROR(__xludf.DUMMYFUNCTION("""COMPUTED_VALUE"""),"بابل")</f>
        <v>بابل</v>
      </c>
      <c r="F54" s="5"/>
      <c r="G54" s="5"/>
      <c r="H54" s="6" t="str">
        <f>IFERROR(__xludf.DUMMYFUNCTION("""COMPUTED_VALUE"""),"https://www.instagram.com/heyat_ghamarbanihashem_babol")</f>
        <v>https://www.instagram.com/heyat_ghamarbanihashem_babol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>
      <c r="A55" s="5"/>
      <c r="B55" s="5" t="str">
        <f>IFERROR(__xludf.DUMMYFUNCTION("""COMPUTED_VALUE"""),"هیأت")</f>
        <v>هیأت</v>
      </c>
      <c r="C55" s="5" t="str">
        <f>IFERROR(__xludf.DUMMYFUNCTION("""COMPUTED_VALUE"""),"رایة المهدی")</f>
        <v>رایة المهدی</v>
      </c>
      <c r="D55" s="5" t="str">
        <f>IFERROR(__xludf.DUMMYFUNCTION("""COMPUTED_VALUE"""),"مازندران")</f>
        <v>مازندران</v>
      </c>
      <c r="E55" s="5" t="str">
        <f>IFERROR(__xludf.DUMMYFUNCTION("""COMPUTED_VALUE"""),"بابل")</f>
        <v>بابل</v>
      </c>
      <c r="F55" s="5"/>
      <c r="G55" s="5"/>
      <c r="H55" s="6" t="str">
        <f>IFERROR(__xludf.DUMMYFUNCTION("""COMPUTED_VALUE"""),"https://www.instagram.com/babol_rayatolmahdi")</f>
        <v>https://www.instagram.com/babol_rayatolmahdi</v>
      </c>
      <c r="I55" s="6" t="str">
        <f>IFERROR(__xludf.DUMMYFUNCTION("""COMPUTED_VALUE"""),"https://t.me/babol_rayatolmahdi")</f>
        <v>https://t.me/babol_rayatolmahdi</v>
      </c>
      <c r="J55" s="5"/>
      <c r="K55" s="5"/>
      <c r="L55" s="5"/>
      <c r="M55" s="5"/>
      <c r="N55" s="5"/>
      <c r="O55" s="5"/>
      <c r="P55" s="5"/>
      <c r="Q55" s="5"/>
      <c r="R55" s="5"/>
      <c r="S55" s="5"/>
    </row>
    <row r="56">
      <c r="A56" s="5"/>
      <c r="B56" s="5" t="str">
        <f>IFERROR(__xludf.DUMMYFUNCTION("""COMPUTED_VALUE"""),"هیأت")</f>
        <v>هیأت</v>
      </c>
      <c r="C56" s="5" t="str">
        <f>IFERROR(__xludf.DUMMYFUNCTION("""COMPUTED_VALUE"""),"علی بن موسی الرضا ")</f>
        <v>علی بن موسی الرضا </v>
      </c>
      <c r="D56" s="5" t="str">
        <f>IFERROR(__xludf.DUMMYFUNCTION("""COMPUTED_VALUE"""),"مازندران")</f>
        <v>مازندران</v>
      </c>
      <c r="E56" s="5" t="str">
        <f>IFERROR(__xludf.DUMMYFUNCTION("""COMPUTED_VALUE"""),"بابل")</f>
        <v>بابل</v>
      </c>
      <c r="F56" s="5" t="str">
        <f>IFERROR(__xludf.DUMMYFUNCTION("""COMPUTED_VALUE"""),"بازگیرکلا")</f>
        <v>بازگیرکلا</v>
      </c>
      <c r="G56" s="5"/>
      <c r="H56" s="5"/>
      <c r="I56" s="5"/>
      <c r="J56" s="6" t="str">
        <f>IFERROR(__xludf.DUMMYFUNCTION("""COMPUTED_VALUE"""),"https://eitaa.com/AlimousaArreza")</f>
        <v>https://eitaa.com/AlimousaArreza</v>
      </c>
      <c r="K56" s="5"/>
      <c r="L56" s="5"/>
      <c r="M56" s="5"/>
      <c r="N56" s="5"/>
      <c r="O56" s="5"/>
      <c r="P56" s="5"/>
      <c r="Q56" s="5"/>
      <c r="R56" s="5"/>
      <c r="S56" s="5"/>
    </row>
    <row r="57">
      <c r="A57" s="5"/>
      <c r="B57" s="5" t="str">
        <f>IFERROR(__xludf.DUMMYFUNCTION("""COMPUTED_VALUE"""),"هیأت")</f>
        <v>هیأت</v>
      </c>
      <c r="C57" s="5" t="str">
        <f>IFERROR(__xludf.DUMMYFUNCTION("""COMPUTED_VALUE"""),"دارالحسین")</f>
        <v>دارالحسین</v>
      </c>
      <c r="D57" s="5" t="str">
        <f>IFERROR(__xludf.DUMMYFUNCTION("""COMPUTED_VALUE"""),"مازندران")</f>
        <v>مازندران</v>
      </c>
      <c r="E57" s="5" t="str">
        <f>IFERROR(__xludf.DUMMYFUNCTION("""COMPUTED_VALUE"""),"بابل")</f>
        <v>بابل</v>
      </c>
      <c r="F57" s="5"/>
      <c r="G57" s="5"/>
      <c r="H57" s="6" t="str">
        <f>IFERROR(__xludf.DUMMYFUNCTION("""COMPUTED_VALUE"""),"https://www.instagram.com/daralhosein/")</f>
        <v>https://www.instagram.com/daralhosein/</v>
      </c>
      <c r="I57" s="6" t="str">
        <f>IFERROR(__xludf.DUMMYFUNCTION("""COMPUTED_VALUE"""),"https://t.me/daralhosein")</f>
        <v>https://t.me/daralhosein</v>
      </c>
      <c r="J57" s="5"/>
      <c r="K57" s="6" t="str">
        <f>IFERROR(__xludf.DUMMYFUNCTION("""COMPUTED_VALUE"""),"https://www.youtube.com/@daralhosein")</f>
        <v>https://www.youtube.com/@daralhosein</v>
      </c>
      <c r="L57" s="5"/>
      <c r="M57" s="5"/>
      <c r="N57" s="5"/>
      <c r="O57" s="5"/>
      <c r="P57" s="5"/>
      <c r="Q57" s="5"/>
      <c r="R57" s="5"/>
      <c r="S57" s="5"/>
    </row>
    <row r="58">
      <c r="A58" s="5"/>
      <c r="B58" s="5" t="str">
        <f>IFERROR(__xludf.DUMMYFUNCTION("""COMPUTED_VALUE"""),"هیأت")</f>
        <v>هیأت</v>
      </c>
      <c r="C58" s="5" t="str">
        <f>IFERROR(__xludf.DUMMYFUNCTION("""COMPUTED_VALUE"""),"مکتب الحسین")</f>
        <v>مکتب الحسین</v>
      </c>
      <c r="D58" s="5" t="str">
        <f>IFERROR(__xludf.DUMMYFUNCTION("""COMPUTED_VALUE"""),"مازندران")</f>
        <v>مازندران</v>
      </c>
      <c r="E58" s="5" t="str">
        <f>IFERROR(__xludf.DUMMYFUNCTION("""COMPUTED_VALUE"""),"بابل")</f>
        <v>بابل</v>
      </c>
      <c r="F58" s="5"/>
      <c r="G58" s="5"/>
      <c r="H58" s="6" t="str">
        <f>IFERROR(__xludf.DUMMYFUNCTION("""COMPUTED_VALUE"""),"https://www.instagram.com/maktabhossein_babol/")</f>
        <v>https://www.instagram.com/maktabhossein_babol/</v>
      </c>
      <c r="I58" s="6" t="str">
        <f>IFERROR(__xludf.DUMMYFUNCTION("""COMPUTED_VALUE"""),"https://t.me/maktabhossein_babol")</f>
        <v>https://t.me/maktabhossein_babol</v>
      </c>
      <c r="J58" s="5"/>
      <c r="K58" s="5"/>
      <c r="L58" s="5"/>
      <c r="M58" s="5"/>
      <c r="N58" s="5"/>
      <c r="O58" s="5"/>
      <c r="P58" s="5"/>
      <c r="Q58" s="5"/>
      <c r="R58" s="5"/>
      <c r="S58" s="5"/>
    </row>
    <row r="59">
      <c r="A59" s="5"/>
      <c r="B59" s="5" t="str">
        <f>IFERROR(__xludf.DUMMYFUNCTION("""COMPUTED_VALUE"""),"هیأت")</f>
        <v>هیأت</v>
      </c>
      <c r="C59" s="5" t="str">
        <f>IFERROR(__xludf.DUMMYFUNCTION("""COMPUTED_VALUE"""),"بیت الشهداء")</f>
        <v>بیت الشهداء</v>
      </c>
      <c r="D59" s="5" t="str">
        <f>IFERROR(__xludf.DUMMYFUNCTION("""COMPUTED_VALUE"""),"مازندران")</f>
        <v>مازندران</v>
      </c>
      <c r="E59" s="5" t="str">
        <f>IFERROR(__xludf.DUMMYFUNCTION("""COMPUTED_VALUE"""),"بابل")</f>
        <v>بابل</v>
      </c>
      <c r="F59" s="5"/>
      <c r="G59" s="5"/>
      <c r="H59" s="6" t="str">
        <f>IFERROR(__xludf.DUMMYFUNCTION("""COMPUTED_VALUE"""),"https://www.instagram.com/beyt_shohada")</f>
        <v>https://www.instagram.com/beyt_shohada</v>
      </c>
      <c r="I59" s="6" t="str">
        <f>IFERROR(__xludf.DUMMYFUNCTION("""COMPUTED_VALUE"""),"https://t.me/beyt_shohada")</f>
        <v>https://t.me/beyt_shohada</v>
      </c>
      <c r="J59" s="5"/>
      <c r="K59" s="5"/>
      <c r="L59" s="5"/>
      <c r="M59" s="5"/>
      <c r="N59" s="5"/>
      <c r="O59" s="5"/>
      <c r="P59" s="5"/>
      <c r="Q59" s="5"/>
      <c r="R59" s="5"/>
      <c r="S59" s="5"/>
    </row>
    <row r="60">
      <c r="A60" s="5"/>
      <c r="B60" s="5" t="str">
        <f>IFERROR(__xludf.DUMMYFUNCTION("""COMPUTED_VALUE"""),"هیأت")</f>
        <v>هیأت</v>
      </c>
      <c r="C60" s="5" t="str">
        <f>IFERROR(__xludf.DUMMYFUNCTION("""COMPUTED_VALUE"""),"بیت العباس")</f>
        <v>بیت العباس</v>
      </c>
      <c r="D60" s="5" t="str">
        <f>IFERROR(__xludf.DUMMYFUNCTION("""COMPUTED_VALUE"""),"مازندران")</f>
        <v>مازندران</v>
      </c>
      <c r="E60" s="5" t="str">
        <f>IFERROR(__xludf.DUMMYFUNCTION("""COMPUTED_VALUE"""),"بابل")</f>
        <v>بابل</v>
      </c>
      <c r="F60" s="5"/>
      <c r="G60" s="5"/>
      <c r="H60" s="6" t="str">
        <f>IFERROR(__xludf.DUMMYFUNCTION("""COMPUTED_VALUE"""),"https://www.instagram.com/beytolabbas_/")</f>
        <v>https://www.instagram.com/beytolabbas_/</v>
      </c>
      <c r="I60" s="6" t="str">
        <f>IFERROR(__xludf.DUMMYFUNCTION("""COMPUTED_VALUE"""),"https://t.me/beytolabbas_babol")</f>
        <v>https://t.me/beytolabbas_babol</v>
      </c>
      <c r="J60" s="5"/>
      <c r="K60" s="5"/>
      <c r="L60" s="5"/>
      <c r="M60" s="5"/>
      <c r="N60" s="5"/>
      <c r="O60" s="5"/>
      <c r="P60" s="5"/>
      <c r="Q60" s="5"/>
      <c r="R60" s="5"/>
      <c r="S60" s="5"/>
    </row>
    <row r="61">
      <c r="A61" s="5"/>
      <c r="B61" s="5" t="str">
        <f>IFERROR(__xludf.DUMMYFUNCTION("""COMPUTED_VALUE"""),"هیأت")</f>
        <v>هیأت</v>
      </c>
      <c r="C61" s="5" t="str">
        <f>IFERROR(__xludf.DUMMYFUNCTION("""COMPUTED_VALUE"""),"قمربنی هاشم")</f>
        <v>قمربنی هاشم</v>
      </c>
      <c r="D61" s="5" t="str">
        <f>IFERROR(__xludf.DUMMYFUNCTION("""COMPUTED_VALUE"""),"مازندران")</f>
        <v>مازندران</v>
      </c>
      <c r="E61" s="5" t="str">
        <f>IFERROR(__xludf.DUMMYFUNCTION("""COMPUTED_VALUE"""),"بابل")</f>
        <v>بابل</v>
      </c>
      <c r="F61" s="5"/>
      <c r="G61" s="5"/>
      <c r="H61" s="6" t="str">
        <f>IFERROR(__xludf.DUMMYFUNCTION("""COMPUTED_VALUE"""),"https://www.instagram.com/ghamarolashire/")</f>
        <v>https://www.instagram.com/ghamarolashire/</v>
      </c>
      <c r="I61" s="6" t="str">
        <f>IFERROR(__xludf.DUMMYFUNCTION("""COMPUTED_VALUE"""),"https://t.me/ghamarbanihashem01")</f>
        <v>https://t.me/ghamarbanihashem01</v>
      </c>
      <c r="J61" s="5"/>
      <c r="K61" s="5"/>
      <c r="L61" s="5"/>
      <c r="M61" s="5"/>
      <c r="N61" s="5"/>
      <c r="O61" s="5"/>
      <c r="P61" s="5"/>
      <c r="Q61" s="5"/>
      <c r="R61" s="5"/>
      <c r="S61" s="5"/>
    </row>
    <row r="62">
      <c r="A62" s="5"/>
      <c r="B62" s="5" t="str">
        <f>IFERROR(__xludf.DUMMYFUNCTION("""COMPUTED_VALUE"""),"هیأت")</f>
        <v>هیأت</v>
      </c>
      <c r="C62" s="5" t="str">
        <f>IFERROR(__xludf.DUMMYFUNCTION("""COMPUTED_VALUE"""),"خیمه گاه شهدا")</f>
        <v>خیمه گاه شهدا</v>
      </c>
      <c r="D62" s="5" t="str">
        <f>IFERROR(__xludf.DUMMYFUNCTION("""COMPUTED_VALUE"""),"مازندران")</f>
        <v>مازندران</v>
      </c>
      <c r="E62" s="5" t="str">
        <f>IFERROR(__xludf.DUMMYFUNCTION("""COMPUTED_VALUE"""),"بابل")</f>
        <v>بابل</v>
      </c>
      <c r="F62" s="5"/>
      <c r="G62" s="5"/>
      <c r="H62" s="6" t="str">
        <f>IFERROR(__xludf.DUMMYFUNCTION("""COMPUTED_VALUE"""),"https://www.instagram.com/kheymegah_com/")</f>
        <v>https://www.instagram.com/kheymegah_com/</v>
      </c>
      <c r="I62" s="6" t="str">
        <f>IFERROR(__xludf.DUMMYFUNCTION("""COMPUTED_VALUE"""),"https://t.me/kheymgah_com")</f>
        <v>https://t.me/kheymgah_com</v>
      </c>
      <c r="J62" s="5"/>
      <c r="K62" s="5"/>
      <c r="L62" s="5"/>
      <c r="M62" s="5"/>
      <c r="N62" s="5"/>
      <c r="O62" s="5"/>
      <c r="P62" s="5"/>
      <c r="Q62" s="5"/>
      <c r="R62" s="5"/>
      <c r="S62" s="5"/>
    </row>
    <row r="63">
      <c r="A63" s="5"/>
      <c r="B63" s="5" t="str">
        <f>IFERROR(__xludf.DUMMYFUNCTION("""COMPUTED_VALUE"""),"هیأت")</f>
        <v>هیأت</v>
      </c>
      <c r="C63" s="5" t="str">
        <f>IFERROR(__xludf.DUMMYFUNCTION("""COMPUTED_VALUE"""),"سیدالشهداء")</f>
        <v>سیدالشهداء</v>
      </c>
      <c r="D63" s="5" t="str">
        <f>IFERROR(__xludf.DUMMYFUNCTION("""COMPUTED_VALUE"""),"مازندران")</f>
        <v>مازندران</v>
      </c>
      <c r="E63" s="5" t="str">
        <f>IFERROR(__xludf.DUMMYFUNCTION("""COMPUTED_VALUE"""),"بابل")</f>
        <v>بابل</v>
      </c>
      <c r="F63" s="5" t="str">
        <f>IFERROR(__xludf.DUMMYFUNCTION("""COMPUTED_VALUE"""),"موزیرج")</f>
        <v>موزیرج</v>
      </c>
      <c r="G63" s="5"/>
      <c r="H63" s="6" t="str">
        <f>IFERROR(__xludf.DUMMYFUNCTION("""COMPUTED_VALUE"""),"https://www.instagram.com/heyat_seydalshohada128/")</f>
        <v>https://www.instagram.com/heyat_seydalshohada128/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>
      <c r="A64" s="5"/>
      <c r="B64" s="5" t="str">
        <f>IFERROR(__xludf.DUMMYFUNCTION("""COMPUTED_VALUE"""),"هیأت")</f>
        <v>هیأت</v>
      </c>
      <c r="C64" s="5" t="str">
        <f>IFERROR(__xludf.DUMMYFUNCTION("""COMPUTED_VALUE"""),"سیداشهداء")</f>
        <v>سیداشهداء</v>
      </c>
      <c r="D64" s="5" t="str">
        <f>IFERROR(__xludf.DUMMYFUNCTION("""COMPUTED_VALUE"""),"مازندران")</f>
        <v>مازندران</v>
      </c>
      <c r="E64" s="5" t="str">
        <f>IFERROR(__xludf.DUMMYFUNCTION("""COMPUTED_VALUE"""),"بابل")</f>
        <v>بابل</v>
      </c>
      <c r="F64" s="5"/>
      <c r="G64" s="5"/>
      <c r="H64" s="6" t="str">
        <f>IFERROR(__xludf.DUMMYFUNCTION("""COMPUTED_VALUE"""),"https://www.instagram.com/sayedashohada")</f>
        <v>https://www.instagram.com/sayedashohada</v>
      </c>
      <c r="I64" s="6" t="str">
        <f>IFERROR(__xludf.DUMMYFUNCTION("""COMPUTED_VALUE"""),"https://t.me/sayedashohada")</f>
        <v>https://t.me/sayedashohada</v>
      </c>
      <c r="J64" s="6" t="str">
        <f>IFERROR(__xludf.DUMMYFUNCTION("""COMPUTED_VALUE"""),"https://eitaa.com/sayedashohada")</f>
        <v>https://eitaa.com/sayedashohada</v>
      </c>
      <c r="K64" s="5"/>
      <c r="L64" s="5"/>
      <c r="M64" s="5"/>
      <c r="N64" s="5"/>
      <c r="O64" s="5"/>
      <c r="P64" s="5"/>
      <c r="Q64" s="5"/>
      <c r="R64" s="5"/>
      <c r="S64" s="5"/>
    </row>
    <row r="65">
      <c r="A65" s="5"/>
      <c r="B65" s="5" t="str">
        <f>IFERROR(__xludf.DUMMYFUNCTION("""COMPUTED_VALUE"""),"هیأت")</f>
        <v>هیأت</v>
      </c>
      <c r="C65" s="5" t="str">
        <f>IFERROR(__xludf.DUMMYFUNCTION("""COMPUTED_VALUE"""),"شهدای گمنام مسجد آل یاسین")</f>
        <v>شهدای گمنام مسجد آل یاسین</v>
      </c>
      <c r="D65" s="5" t="str">
        <f>IFERROR(__xludf.DUMMYFUNCTION("""COMPUTED_VALUE"""),"مازندران")</f>
        <v>مازندران</v>
      </c>
      <c r="E65" s="5" t="str">
        <f>IFERROR(__xludf.DUMMYFUNCTION("""COMPUTED_VALUE"""),"بابل")</f>
        <v>بابل</v>
      </c>
      <c r="F65" s="5"/>
      <c r="G65" s="5"/>
      <c r="H65" s="6" t="str">
        <f>IFERROR(__xludf.DUMMYFUNCTION("""COMPUTED_VALUE"""),"https://www.instagram.com/daralhosein/")</f>
        <v>https://www.instagram.com/daralhosein/</v>
      </c>
      <c r="I65" s="6" t="str">
        <f>IFERROR(__xludf.DUMMYFUNCTION("""COMPUTED_VALUE"""),"https://eitaa.com/shohadayegomnam_in")</f>
        <v>https://eitaa.com/shohadayegomnam_in</v>
      </c>
      <c r="J65" s="5"/>
      <c r="K65" s="5"/>
      <c r="L65" s="5"/>
      <c r="M65" s="5"/>
      <c r="N65" s="5"/>
      <c r="O65" s="5"/>
      <c r="P65" s="5"/>
      <c r="Q65" s="5"/>
      <c r="R65" s="5"/>
      <c r="S65" s="5"/>
    </row>
    <row r="66">
      <c r="A66" s="5"/>
      <c r="B66" s="5" t="str">
        <f>IFERROR(__xludf.DUMMYFUNCTION("""COMPUTED_VALUE"""),"هیأت")</f>
        <v>هیأت</v>
      </c>
      <c r="C66" s="5" t="str">
        <f>IFERROR(__xludf.DUMMYFUNCTION("""COMPUTED_VALUE"""),"حضرت صاحب الزمان")</f>
        <v>حضرت صاحب الزمان</v>
      </c>
      <c r="D66" s="5" t="str">
        <f>IFERROR(__xludf.DUMMYFUNCTION("""COMPUTED_VALUE"""),"مازندران")</f>
        <v>مازندران</v>
      </c>
      <c r="E66" s="5" t="str">
        <f>IFERROR(__xludf.DUMMYFUNCTION("""COMPUTED_VALUE"""),"بابل")</f>
        <v>بابل</v>
      </c>
      <c r="F66" s="5"/>
      <c r="G66" s="5"/>
      <c r="H66" s="6" t="str">
        <f>IFERROR(__xludf.DUMMYFUNCTION("""COMPUTED_VALUE"""),"https://www.instagram.com/heyat_saheb_alzaman1347")</f>
        <v>https://www.instagram.com/heyat_saheb_alzaman1347</v>
      </c>
      <c r="I66" s="6" t="str">
        <f>IFERROR(__xludf.DUMMYFUNCTION("""COMPUTED_VALUE"""),"https://t.me/heyat_sahebalzaman_alamdar")</f>
        <v>https://t.me/heyat_sahebalzaman_alamdar</v>
      </c>
      <c r="J66" s="5"/>
      <c r="K66" s="5"/>
      <c r="L66" s="5"/>
      <c r="M66" s="5"/>
      <c r="N66" s="5"/>
      <c r="O66" s="5"/>
      <c r="P66" s="5"/>
      <c r="Q66" s="5"/>
      <c r="R66" s="5"/>
      <c r="S66" s="5"/>
    </row>
    <row r="67">
      <c r="A67" s="5"/>
      <c r="B67" s="5" t="str">
        <f>IFERROR(__xludf.DUMMYFUNCTION("""COMPUTED_VALUE"""),"هیأت")</f>
        <v>هیأت</v>
      </c>
      <c r="C67" s="5" t="str">
        <f>IFERROR(__xludf.DUMMYFUNCTION("""COMPUTED_VALUE"""),"عاشقان اهل بیت")</f>
        <v>عاشقان اهل بیت</v>
      </c>
      <c r="D67" s="5" t="str">
        <f>IFERROR(__xludf.DUMMYFUNCTION("""COMPUTED_VALUE"""),"مازندران")</f>
        <v>مازندران</v>
      </c>
      <c r="E67" s="5" t="str">
        <f>IFERROR(__xludf.DUMMYFUNCTION("""COMPUTED_VALUE"""),"بابل")</f>
        <v>بابل</v>
      </c>
      <c r="F67" s="5"/>
      <c r="G67" s="5"/>
      <c r="H67" s="6" t="str">
        <f>IFERROR(__xludf.DUMMYFUNCTION("""COMPUTED_VALUE"""),"https://www.instagram.com/heiatbabol/")</f>
        <v>https://www.instagram.com/heiatbabol/</v>
      </c>
      <c r="I67" s="6" t="str">
        <f>IFERROR(__xludf.DUMMYFUNCTION("""COMPUTED_VALUE"""),"https://t.me/HeiatBabol")</f>
        <v>https://t.me/HeiatBabol</v>
      </c>
      <c r="J67" s="6" t="str">
        <f>IFERROR(__xludf.DUMMYFUNCTION("""COMPUTED_VALUE"""),"https://eitaa.com/HeiatBabol")</f>
        <v>https://eitaa.com/HeiatBabol</v>
      </c>
      <c r="K67" s="5"/>
      <c r="L67" s="5"/>
      <c r="M67" s="5"/>
      <c r="N67" s="5"/>
      <c r="O67" s="5"/>
      <c r="P67" s="5"/>
      <c r="Q67" s="5"/>
      <c r="R67" s="5"/>
      <c r="S67" s="5"/>
    </row>
    <row r="68">
      <c r="A68" s="5"/>
      <c r="B68" s="5" t="str">
        <f>IFERROR(__xludf.DUMMYFUNCTION("""COMPUTED_VALUE"""),"هیأت")</f>
        <v>هیأت</v>
      </c>
      <c r="C68" s="5" t="str">
        <f>IFERROR(__xludf.DUMMYFUNCTION("""COMPUTED_VALUE"""),"عشاق المهدی")</f>
        <v>عشاق المهدی</v>
      </c>
      <c r="D68" s="5" t="str">
        <f>IFERROR(__xludf.DUMMYFUNCTION("""COMPUTED_VALUE"""),"مازندران")</f>
        <v>مازندران</v>
      </c>
      <c r="E68" s="5" t="str">
        <f>IFERROR(__xludf.DUMMYFUNCTION("""COMPUTED_VALUE"""),"بابل")</f>
        <v>بابل</v>
      </c>
      <c r="F68" s="5"/>
      <c r="G68" s="5"/>
      <c r="H68" s="6" t="str">
        <f>IFERROR(__xludf.DUMMYFUNCTION("""COMPUTED_VALUE"""),"https://www.instagram.com/oshagh_mahdi_babol")</f>
        <v>https://www.instagram.com/oshagh_mahdi_babol</v>
      </c>
      <c r="I68" s="6" t="str">
        <f>IFERROR(__xludf.DUMMYFUNCTION("""COMPUTED_VALUE"""),"https://t.me/oshagh_mahdi_babol")</f>
        <v>https://t.me/oshagh_mahdi_babol</v>
      </c>
      <c r="J68" s="6" t="str">
        <f>IFERROR(__xludf.DUMMYFUNCTION("""COMPUTED_VALUE"""),"https://eitaa.com/oshagh_mahdi_babol")</f>
        <v>https://eitaa.com/oshagh_mahdi_babol</v>
      </c>
      <c r="K68" s="5"/>
      <c r="L68" s="5"/>
      <c r="M68" s="5"/>
      <c r="N68" s="5"/>
      <c r="O68" s="5"/>
      <c r="P68" s="5"/>
      <c r="Q68" s="5"/>
      <c r="R68" s="5"/>
      <c r="S68" s="5"/>
    </row>
    <row r="69">
      <c r="A69" s="5"/>
      <c r="B69" s="5" t="str">
        <f>IFERROR(__xludf.DUMMYFUNCTION("""COMPUTED_VALUE"""),"هیأت")</f>
        <v>هیأت</v>
      </c>
      <c r="C69" s="5" t="str">
        <f>IFERROR(__xludf.DUMMYFUNCTION("""COMPUTED_VALUE"""),"فدائیان رسول (ص)")</f>
        <v>فدائیان رسول (ص)</v>
      </c>
      <c r="D69" s="5" t="str">
        <f>IFERROR(__xludf.DUMMYFUNCTION("""COMPUTED_VALUE"""),"مازندران")</f>
        <v>مازندران</v>
      </c>
      <c r="E69" s="5" t="str">
        <f>IFERROR(__xludf.DUMMYFUNCTION("""COMPUTED_VALUE"""),"بابل")</f>
        <v>بابل</v>
      </c>
      <c r="F69" s="5"/>
      <c r="G69" s="5"/>
      <c r="H69" s="6" t="str">
        <f>IFERROR(__xludf.DUMMYFUNCTION("""COMPUTED_VALUE"""),"https://www.instagram.com/rasoolmehr_ir")</f>
        <v>https://www.instagram.com/rasoolmehr_ir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>
      <c r="A70" s="5"/>
      <c r="B70" s="5" t="str">
        <f>IFERROR(__xludf.DUMMYFUNCTION("""COMPUTED_VALUE"""),"هیأت")</f>
        <v>هیأت</v>
      </c>
      <c r="C70" s="5" t="str">
        <f>IFERROR(__xludf.DUMMYFUNCTION("""COMPUTED_VALUE"""),"مکتب الحسین")</f>
        <v>مکتب الحسین</v>
      </c>
      <c r="D70" s="5" t="str">
        <f>IFERROR(__xludf.DUMMYFUNCTION("""COMPUTED_VALUE"""),"مازندران")</f>
        <v>مازندران</v>
      </c>
      <c r="E70" s="5" t="str">
        <f>IFERROR(__xludf.DUMMYFUNCTION("""COMPUTED_VALUE"""),"بابل")</f>
        <v>بابل</v>
      </c>
      <c r="F70" s="5"/>
      <c r="G70" s="5"/>
      <c r="H70" s="6" t="str">
        <f>IFERROR(__xludf.DUMMYFUNCTION("""COMPUTED_VALUE"""),"https://www.instagram.com/maktab_babol/")</f>
        <v>https://www.instagram.com/maktab_babol/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>
      <c r="A71" s="5"/>
      <c r="B71" s="5" t="str">
        <f>IFERROR(__xludf.DUMMYFUNCTION("""COMPUTED_VALUE"""),"هیأت")</f>
        <v>هیأت</v>
      </c>
      <c r="C71" s="5" t="str">
        <f>IFERROR(__xludf.DUMMYFUNCTION("""COMPUTED_VALUE"""),"حداث المهدی")</f>
        <v>حداث المهدی</v>
      </c>
      <c r="D71" s="5" t="str">
        <f>IFERROR(__xludf.DUMMYFUNCTION("""COMPUTED_VALUE"""),"مازندران")</f>
        <v>مازندران</v>
      </c>
      <c r="E71" s="5" t="str">
        <f>IFERROR(__xludf.DUMMYFUNCTION("""COMPUTED_VALUE"""),"بابل")</f>
        <v>بابل</v>
      </c>
      <c r="F71" s="5"/>
      <c r="G71" s="5"/>
      <c r="H71" s="6" t="str">
        <f>IFERROR(__xludf.DUMMYFUNCTION("""COMPUTED_VALUE"""),"https://www.instagram.com/hoddasolmahdi/")</f>
        <v>https://www.instagram.com/hoddasolmahdi/</v>
      </c>
      <c r="I71" s="5"/>
      <c r="J71" s="6" t="str">
        <f>IFERROR(__xludf.DUMMYFUNCTION("""COMPUTED_VALUE"""),"https://eitaa.com/hoddasolmahdi")</f>
        <v>https://eitaa.com/hoddasolmahdi</v>
      </c>
      <c r="K71" s="5"/>
      <c r="L71" s="5"/>
      <c r="M71" s="5"/>
      <c r="N71" s="5"/>
      <c r="O71" s="5"/>
      <c r="P71" s="5"/>
      <c r="Q71" s="5"/>
      <c r="R71" s="5"/>
      <c r="S71" s="5"/>
    </row>
    <row r="72">
      <c r="A72" s="5"/>
      <c r="B72" s="5" t="str">
        <f>IFERROR(__xludf.DUMMYFUNCTION("""COMPUTED_VALUE"""),"هیأت")</f>
        <v>هیأت</v>
      </c>
      <c r="C72" s="5" t="str">
        <f>IFERROR(__xludf.DUMMYFUNCTION("""COMPUTED_VALUE"""),"ریحانه الحسین")</f>
        <v>ریحانه الحسین</v>
      </c>
      <c r="D72" s="5" t="str">
        <f>IFERROR(__xludf.DUMMYFUNCTION("""COMPUTED_VALUE"""),"مازندران")</f>
        <v>مازندران</v>
      </c>
      <c r="E72" s="5" t="str">
        <f>IFERROR(__xludf.DUMMYFUNCTION("""COMPUTED_VALUE"""),"بابل")</f>
        <v>بابل</v>
      </c>
      <c r="F72" s="5"/>
      <c r="G72" s="5"/>
      <c r="H72" s="6" t="str">
        <f>IFERROR(__xludf.DUMMYFUNCTION("""COMPUTED_VALUE"""),"https://www.instagram.com/reyhanatolhussain_babol/")</f>
        <v>https://www.instagram.com/reyhanatolhussain_babol/</v>
      </c>
      <c r="I72" s="6" t="str">
        <f>IFERROR(__xludf.DUMMYFUNCTION("""COMPUTED_VALUE"""),"https://t.me/reyhanatolhussain_babol")</f>
        <v>https://t.me/reyhanatolhussain_babol</v>
      </c>
      <c r="J72" s="6" t="str">
        <f>IFERROR(__xludf.DUMMYFUNCTION("""COMPUTED_VALUE"""),"https://eitaa.com/reyhanatolhussain_babol")</f>
        <v>https://eitaa.com/reyhanatolhussain_babol</v>
      </c>
      <c r="K72" s="5"/>
      <c r="L72" s="5"/>
      <c r="M72" s="5"/>
      <c r="N72" s="5"/>
      <c r="O72" s="5"/>
      <c r="P72" s="5"/>
      <c r="Q72" s="5"/>
      <c r="R72" s="5"/>
      <c r="S72" s="5"/>
    </row>
    <row r="73">
      <c r="A73" s="5"/>
      <c r="B73" s="5" t="str">
        <f>IFERROR(__xludf.DUMMYFUNCTION("""COMPUTED_VALUE"""),"هیأت")</f>
        <v>هیأت</v>
      </c>
      <c r="C73" s="5" t="str">
        <f>IFERROR(__xludf.DUMMYFUNCTION("""COMPUTED_VALUE"""),"حضرت عقیله (س)")</f>
        <v>حضرت عقیله (س)</v>
      </c>
      <c r="D73" s="5" t="str">
        <f>IFERROR(__xludf.DUMMYFUNCTION("""COMPUTED_VALUE"""),"مازندران")</f>
        <v>مازندران</v>
      </c>
      <c r="E73" s="5" t="str">
        <f>IFERROR(__xludf.DUMMYFUNCTION("""COMPUTED_VALUE"""),"بابل")</f>
        <v>بابل</v>
      </c>
      <c r="F73" s="5" t="str">
        <f>IFERROR(__xludf.DUMMYFUNCTION("""COMPUTED_VALUE"""),"امیرکلا")</f>
        <v>امیرکلا</v>
      </c>
      <c r="G73" s="5"/>
      <c r="H73" s="6" t="str">
        <f>IFERROR(__xludf.DUMMYFUNCTION("""COMPUTED_VALUE"""),"https://www.instagram.com/aghille.info/")</f>
        <v>https://www.instagram.com/aghille.info/</v>
      </c>
      <c r="I73" s="6" t="str">
        <f>IFERROR(__xludf.DUMMYFUNCTION("""COMPUTED_VALUE"""),"https://t.me/tolue_org")</f>
        <v>https://t.me/tolue_org</v>
      </c>
      <c r="J73" s="6" t="str">
        <f>IFERROR(__xludf.DUMMYFUNCTION("""COMPUTED_VALUE"""),"https://eitaa.com/tolue_info")</f>
        <v>https://eitaa.com/tolue_info</v>
      </c>
      <c r="K73" s="5"/>
      <c r="L73" s="5"/>
      <c r="M73" s="5"/>
      <c r="N73" s="5"/>
      <c r="O73" s="5"/>
      <c r="P73" s="5"/>
      <c r="Q73" s="5"/>
      <c r="R73" s="5"/>
      <c r="S73" s="5"/>
    </row>
    <row r="74">
      <c r="A74" s="5"/>
      <c r="B74" s="5" t="str">
        <f>IFERROR(__xludf.DUMMYFUNCTION("""COMPUTED_VALUE"""),"هیأت")</f>
        <v>هیأت</v>
      </c>
      <c r="C74" s="5" t="str">
        <f>IFERROR(__xludf.DUMMYFUNCTION("""COMPUTED_VALUE"""),"بنت الحیدر")</f>
        <v>بنت الحیدر</v>
      </c>
      <c r="D74" s="5" t="str">
        <f>IFERROR(__xludf.DUMMYFUNCTION("""COMPUTED_VALUE"""),"مازندران")</f>
        <v>مازندران</v>
      </c>
      <c r="E74" s="5" t="str">
        <f>IFERROR(__xludf.DUMMYFUNCTION("""COMPUTED_VALUE"""),"بابل")</f>
        <v>بابل</v>
      </c>
      <c r="F74" s="5"/>
      <c r="G74" s="5"/>
      <c r="H74" s="6" t="str">
        <f>IFERROR(__xludf.DUMMYFUNCTION("""COMPUTED_VALUE"""),"https://www.instagram.com/zeynab_bentol_heydar/")</f>
        <v>https://www.instagram.com/zeynab_bentol_heydar/</v>
      </c>
      <c r="I74" s="6" t="str">
        <f>IFERROR(__xludf.DUMMYFUNCTION("""COMPUTED_VALUE"""),"https://t.me/zeynab_bentol_heydar")</f>
        <v>https://t.me/zeynab_bentol_heydar</v>
      </c>
      <c r="J74" s="5"/>
      <c r="K74" s="5"/>
      <c r="L74" s="5"/>
      <c r="M74" s="5"/>
      <c r="N74" s="5"/>
      <c r="O74" s="5"/>
      <c r="P74" s="5"/>
      <c r="Q74" s="5"/>
      <c r="R74" s="5"/>
      <c r="S74" s="5"/>
    </row>
    <row r="75">
      <c r="A75" s="5"/>
      <c r="B75" s="5" t="str">
        <f>IFERROR(__xludf.DUMMYFUNCTION("""COMPUTED_VALUE"""),"هیأت دانشجویی")</f>
        <v>هیأت دانشجویی</v>
      </c>
      <c r="C75" s="5" t="str">
        <f>IFERROR(__xludf.DUMMYFUNCTION("""COMPUTED_VALUE"""),"لبیک یامهدی")</f>
        <v>لبیک یامهدی</v>
      </c>
      <c r="D75" s="5" t="str">
        <f>IFERROR(__xludf.DUMMYFUNCTION("""COMPUTED_VALUE"""),"مازندران")</f>
        <v>مازندران</v>
      </c>
      <c r="E75" s="5" t="str">
        <f>IFERROR(__xludf.DUMMYFUNCTION("""COMPUTED_VALUE"""),"بابل")</f>
        <v>بابل</v>
      </c>
      <c r="F75" s="5"/>
      <c r="G75" s="5"/>
      <c r="H75" s="6" t="str">
        <f>IFERROR(__xludf.DUMMYFUNCTION("""COMPUTED_VALUE"""),"https://www.instagram.com/labaikyamahdi_info/")</f>
        <v>https://www.instagram.com/labaikyamahdi_info/</v>
      </c>
      <c r="I75" s="6" t="str">
        <f>IFERROR(__xludf.DUMMYFUNCTION("""COMPUTED_VALUE"""),"https://t.me/labaikyamahdi_info")</f>
        <v>https://t.me/labaikyamahdi_info</v>
      </c>
      <c r="J75" s="6" t="str">
        <f>IFERROR(__xludf.DUMMYFUNCTION("""COMPUTED_VALUE"""),"https://eitaa.com/labaikyamahdi_info")</f>
        <v>https://eitaa.com/labaikyamahdi_info</v>
      </c>
      <c r="K75" s="5"/>
      <c r="L75" s="5"/>
      <c r="M75" s="5"/>
      <c r="N75" s="5"/>
      <c r="O75" s="5"/>
      <c r="P75" s="5"/>
      <c r="Q75" s="5"/>
      <c r="R75" s="5"/>
      <c r="S75" s="5"/>
    </row>
    <row r="76">
      <c r="A76" s="5"/>
      <c r="B76" s="5" t="str">
        <f>IFERROR(__xludf.DUMMYFUNCTION("""COMPUTED_VALUE"""),"هیأت نوجوانان")</f>
        <v>هیأت نوجوانان</v>
      </c>
      <c r="C76" s="5" t="str">
        <f>IFERROR(__xludf.DUMMYFUNCTION("""COMPUTED_VALUE"""),"محبان آل رسول")</f>
        <v>محبان آل رسول</v>
      </c>
      <c r="D76" s="5" t="str">
        <f>IFERROR(__xludf.DUMMYFUNCTION("""COMPUTED_VALUE"""),"مازندران")</f>
        <v>مازندران</v>
      </c>
      <c r="E76" s="5" t="str">
        <f>IFERROR(__xludf.DUMMYFUNCTION("""COMPUTED_VALUE"""),"بابل")</f>
        <v>بابل</v>
      </c>
      <c r="F76" s="5" t="str">
        <f>IFERROR(__xludf.DUMMYFUNCTION("""COMPUTED_VALUE"""),"امیرکلا")</f>
        <v>امیرکلا</v>
      </c>
      <c r="G76" s="5"/>
      <c r="H76" s="6" t="str">
        <f>IFERROR(__xludf.DUMMYFUNCTION("""COMPUTED_VALUE"""),"https://www.instagram.com/moheban_alerasol/")</f>
        <v>https://www.instagram.com/moheban_alerasol/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>
      <c r="A77" s="5"/>
      <c r="B77" s="5" t="str">
        <f>IFERROR(__xludf.DUMMYFUNCTION("""COMPUTED_VALUE"""),"هیأت")</f>
        <v>هیأت</v>
      </c>
      <c r="C77" s="5" t="str">
        <f>IFERROR(__xludf.DUMMYFUNCTION("""COMPUTED_VALUE"""),"روضة الحسین")</f>
        <v>روضة الحسین</v>
      </c>
      <c r="D77" s="5" t="str">
        <f>IFERROR(__xludf.DUMMYFUNCTION("""COMPUTED_VALUE"""),"مازندران")</f>
        <v>مازندران</v>
      </c>
      <c r="E77" s="5" t="str">
        <f>IFERROR(__xludf.DUMMYFUNCTION("""COMPUTED_VALUE"""),"بابل")</f>
        <v>بابل</v>
      </c>
      <c r="F77" s="5"/>
      <c r="G77" s="5"/>
      <c r="H77" s="6" t="str">
        <f>IFERROR(__xludf.DUMMYFUNCTION("""COMPUTED_VALUE"""),"https://www.instagram.com/mokebrowzatolhussain/")</f>
        <v>https://www.instagram.com/mokebrowzatolhussain/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>
      <c r="A78" s="5"/>
      <c r="B78" s="5" t="str">
        <f>IFERROR(__xludf.DUMMYFUNCTION("""COMPUTED_VALUE"""),"روضه خانگی")</f>
        <v>روضه خانگی</v>
      </c>
      <c r="C78" s="5" t="str">
        <f>IFERROR(__xludf.DUMMYFUNCTION("""COMPUTED_VALUE"""),"روضه خانه اهل بیت")</f>
        <v>روضه خانه اهل بیت</v>
      </c>
      <c r="D78" s="5" t="str">
        <f>IFERROR(__xludf.DUMMYFUNCTION("""COMPUTED_VALUE"""),"مازندران")</f>
        <v>مازندران</v>
      </c>
      <c r="E78" s="5" t="str">
        <f>IFERROR(__xludf.DUMMYFUNCTION("""COMPUTED_VALUE"""),"بابلسر")</f>
        <v>بابلسر</v>
      </c>
      <c r="F78" s="5"/>
      <c r="G78" s="5"/>
      <c r="H78" s="6" t="str">
        <f>IFERROR(__xludf.DUMMYFUNCTION("""COMPUTED_VALUE"""),"https://www.instagram.com/rozeh.khaneh128/")</f>
        <v>https://www.instagram.com/rozeh.khaneh128/</v>
      </c>
      <c r="I78" s="6" t="str">
        <f>IFERROR(__xludf.DUMMYFUNCTION("""COMPUTED_VALUE"""),"https://t.me/rozeh_khaneh128")</f>
        <v>https://t.me/rozeh_khaneh128</v>
      </c>
      <c r="J78" s="5"/>
      <c r="K78" s="5"/>
      <c r="L78" s="5"/>
      <c r="M78" s="5"/>
      <c r="N78" s="5"/>
      <c r="O78" s="5"/>
      <c r="P78" s="5"/>
      <c r="Q78" s="5"/>
      <c r="R78" s="5"/>
      <c r="S78" s="5"/>
    </row>
    <row r="79">
      <c r="A79" s="5"/>
      <c r="B79" s="5" t="str">
        <f>IFERROR(__xludf.DUMMYFUNCTION("""COMPUTED_VALUE"""),"مداح")</f>
        <v>مداح</v>
      </c>
      <c r="C79" s="5" t="str">
        <f>IFERROR(__xludf.DUMMYFUNCTION("""COMPUTED_VALUE"""),"روح الله رحیمیان")</f>
        <v>روح الله رحیمیان</v>
      </c>
      <c r="D79" s="5" t="str">
        <f>IFERROR(__xludf.DUMMYFUNCTION("""COMPUTED_VALUE"""),"مازندران")</f>
        <v>مازندران</v>
      </c>
      <c r="E79" s="5" t="str">
        <f>IFERROR(__xludf.DUMMYFUNCTION("""COMPUTED_VALUE"""),"بابلسر")</f>
        <v>بابلسر</v>
      </c>
      <c r="F79" s="5"/>
      <c r="G79" s="5"/>
      <c r="H79" s="6" t="str">
        <f>IFERROR(__xludf.DUMMYFUNCTION("""COMPUTED_VALUE"""),"https://www.instagram.com/roohollah.69_110/")</f>
        <v>https://www.instagram.com/roohollah.69_110/</v>
      </c>
      <c r="I79" s="6" t="str">
        <f>IFERROR(__xludf.DUMMYFUNCTION("""COMPUTED_VALUE"""),"https://t.me/rahimian_media")</f>
        <v>https://t.me/rahimian_media</v>
      </c>
      <c r="J79" s="5"/>
      <c r="K79" s="5"/>
      <c r="L79" s="5"/>
      <c r="M79" s="5"/>
      <c r="N79" s="5"/>
      <c r="O79" s="5"/>
      <c r="P79" s="5"/>
      <c r="Q79" s="5"/>
      <c r="R79" s="5"/>
      <c r="S79" s="5"/>
    </row>
    <row r="80">
      <c r="A80" s="5"/>
      <c r="B80" s="5" t="str">
        <f>IFERROR(__xludf.DUMMYFUNCTION("""COMPUTED_VALUE"""),"هیأت")</f>
        <v>هیأت</v>
      </c>
      <c r="C80" s="5" t="str">
        <f>IFERROR(__xludf.DUMMYFUNCTION("""COMPUTED_VALUE"""),"ریحانة الحسین")</f>
        <v>ریحانة الحسین</v>
      </c>
      <c r="D80" s="5" t="str">
        <f>IFERROR(__xludf.DUMMYFUNCTION("""COMPUTED_VALUE"""),"مازندران")</f>
        <v>مازندران</v>
      </c>
      <c r="E80" s="5" t="str">
        <f>IFERROR(__xludf.DUMMYFUNCTION("""COMPUTED_VALUE"""),"بابلسر")</f>
        <v>بابلسر</v>
      </c>
      <c r="F80" s="5"/>
      <c r="G80" s="5"/>
      <c r="H80" s="6" t="str">
        <f>IFERROR(__xludf.DUMMYFUNCTION("""COMPUTED_VALUE"""),"https://www.instagram.com/reyhanatal_hosein/")</f>
        <v>https://www.instagram.com/reyhanatal_hosein/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>
      <c r="A81" s="5"/>
      <c r="B81" s="5" t="str">
        <f>IFERROR(__xludf.DUMMYFUNCTION("""COMPUTED_VALUE"""),"هیأت")</f>
        <v>هیأت</v>
      </c>
      <c r="C81" s="5" t="str">
        <f>IFERROR(__xludf.DUMMYFUNCTION("""COMPUTED_VALUE"""),"ثارالله ")</f>
        <v>ثارالله </v>
      </c>
      <c r="D81" s="5" t="str">
        <f>IFERROR(__xludf.DUMMYFUNCTION("""COMPUTED_VALUE"""),"مازندران")</f>
        <v>مازندران</v>
      </c>
      <c r="E81" s="5" t="str">
        <f>IFERROR(__xludf.DUMMYFUNCTION("""COMPUTED_VALUE"""),"بابلسر")</f>
        <v>بابلسر</v>
      </c>
      <c r="F81" s="5"/>
      <c r="G81" s="5"/>
      <c r="H81" s="6" t="str">
        <f>IFERROR(__xludf.DUMMYFUNCTION("""COMPUTED_VALUE"""),"https://www.instagram.com/sarallahbbs/")</f>
        <v>https://www.instagram.com/sarallahbbs/</v>
      </c>
      <c r="I81" s="6" t="str">
        <f>IFERROR(__xludf.DUMMYFUNCTION("""COMPUTED_VALUE"""),"t.me/SarallahBbs")</f>
        <v>t.me/SarallahBbs</v>
      </c>
      <c r="J81" s="6" t="str">
        <f>IFERROR(__xludf.DUMMYFUNCTION("""COMPUTED_VALUE"""),"https://eitaa.com/sarallahbbs")</f>
        <v>https://eitaa.com/sarallahbbs</v>
      </c>
      <c r="K81" s="6" t="str">
        <f>IFERROR(__xludf.DUMMYFUNCTION("""COMPUTED_VALUE"""),"https://www.youtube.com/@sarallahbabolsar")</f>
        <v>https://www.youtube.com/@sarallahbabolsar</v>
      </c>
      <c r="L81" s="5"/>
      <c r="M81" s="5" t="str">
        <f>IFERROR(__xludf.DUMMYFUNCTION("""COMPUTED_VALUE"""),"روح الله رحیمیان")</f>
        <v>روح الله رحیمیان</v>
      </c>
      <c r="N81" s="5"/>
      <c r="O81" s="6" t="str">
        <f>IFERROR(__xludf.DUMMYFUNCTION("""COMPUTED_VALUE"""),"https://www.instagram.com/sarallah_school/")</f>
        <v>https://www.instagram.com/sarallah_school/</v>
      </c>
      <c r="P81" s="5"/>
      <c r="Q81" s="5"/>
      <c r="R81" s="5"/>
      <c r="S81" s="5" t="str">
        <f>IFERROR(__xludf.DUMMYFUNCTION("""COMPUTED_VALUE"""),"DDDDD")</f>
        <v>DDDDD</v>
      </c>
    </row>
    <row r="82">
      <c r="A82" s="5"/>
      <c r="B82" s="5" t="str">
        <f>IFERROR(__xludf.DUMMYFUNCTION("""COMPUTED_VALUE"""),"هیأت")</f>
        <v>هیأت</v>
      </c>
      <c r="C82" s="5" t="str">
        <f>IFERROR(__xludf.DUMMYFUNCTION("""COMPUTED_VALUE"""),"محبان الجواد")</f>
        <v>محبان الجواد</v>
      </c>
      <c r="D82" s="5" t="str">
        <f>IFERROR(__xludf.DUMMYFUNCTION("""COMPUTED_VALUE"""),"مازندران")</f>
        <v>مازندران</v>
      </c>
      <c r="E82" s="5" t="str">
        <f>IFERROR(__xludf.DUMMYFUNCTION("""COMPUTED_VALUE"""),"بابلسر")</f>
        <v>بابلسر</v>
      </c>
      <c r="F82" s="5"/>
      <c r="G82" s="5"/>
      <c r="H82" s="6" t="str">
        <f>IFERROR(__xludf.DUMMYFUNCTION("""COMPUTED_VALUE"""),"https://www.instagram.com/babolljavad_bbs/")</f>
        <v>https://www.instagram.com/babolljavad_bbs/</v>
      </c>
      <c r="I82" s="6" t="str">
        <f>IFERROR(__xludf.DUMMYFUNCTION("""COMPUTED_VALUE"""),"https://t.me/BabollJavad_bbs")</f>
        <v>https://t.me/BabollJavad_bbs</v>
      </c>
      <c r="J82" s="5"/>
      <c r="K82" s="5"/>
      <c r="L82" s="5"/>
      <c r="M82" s="5"/>
      <c r="N82" s="5"/>
      <c r="O82" s="5"/>
      <c r="P82" s="5"/>
      <c r="Q82" s="5"/>
      <c r="R82" s="5"/>
      <c r="S82" s="5" t="str">
        <f>IFERROR(__xludf.DUMMYFUNCTION("""COMPUTED_VALUE"""),"DDDDD")</f>
        <v>DDDDD</v>
      </c>
    </row>
    <row r="83">
      <c r="A83" s="5"/>
      <c r="B83" s="5" t="str">
        <f>IFERROR(__xludf.DUMMYFUNCTION("""COMPUTED_VALUE"""),"هیأت")</f>
        <v>هیأت</v>
      </c>
      <c r="C83" s="5" t="str">
        <f>IFERROR(__xludf.DUMMYFUNCTION("""COMPUTED_VALUE"""),"محبان الحسین")</f>
        <v>محبان الحسین</v>
      </c>
      <c r="D83" s="5" t="str">
        <f>IFERROR(__xludf.DUMMYFUNCTION("""COMPUTED_VALUE"""),"مازندران")</f>
        <v>مازندران</v>
      </c>
      <c r="E83" s="5" t="str">
        <f>IFERROR(__xludf.DUMMYFUNCTION("""COMPUTED_VALUE"""),"بابلسر")</f>
        <v>بابلسر</v>
      </c>
      <c r="F83" s="5" t="str">
        <f>IFERROR(__xludf.DUMMYFUNCTION("""COMPUTED_VALUE"""),"بابلسر ، خیابان بهشتی ، چهارراه شهدا محله ، حسینیه محبان‌الحسین (ع)")</f>
        <v>بابلسر ، خیابان بهشتی ، چهارراه شهدا محله ، حسینیه محبان‌الحسین (ع)</v>
      </c>
      <c r="G83" s="5"/>
      <c r="H83" s="6" t="str">
        <f>IFERROR(__xludf.DUMMYFUNCTION("""COMPUTED_VALUE"""),"https://www.instagram.com/mohebbanolhossein.128/")</f>
        <v>https://www.instagram.com/mohebbanolhossein.128/</v>
      </c>
      <c r="I83" s="6" t="str">
        <f>IFERROR(__xludf.DUMMYFUNCTION("""COMPUTED_VALUE"""),"https://t.me/mohebbanolhoseinbabolsar")</f>
        <v>https://t.me/mohebbanolhoseinbabolsar</v>
      </c>
      <c r="J83" s="5"/>
      <c r="K83" s="5"/>
      <c r="L83" s="5"/>
      <c r="M83" s="5"/>
      <c r="N83" s="5"/>
      <c r="O83" s="5"/>
      <c r="P83" s="5"/>
      <c r="Q83" s="5"/>
      <c r="R83" s="5"/>
      <c r="S83" s="5"/>
    </row>
    <row r="84">
      <c r="A84" s="5"/>
      <c r="B84" s="5" t="str">
        <f>IFERROR(__xludf.DUMMYFUNCTION("""COMPUTED_VALUE"""),"هیأت")</f>
        <v>هیأت</v>
      </c>
      <c r="C84" s="5" t="str">
        <f>IFERROR(__xludf.DUMMYFUNCTION("""COMPUTED_VALUE"""),"سیدالشهداء")</f>
        <v>سیدالشهداء</v>
      </c>
      <c r="D84" s="5" t="str">
        <f>IFERROR(__xludf.DUMMYFUNCTION("""COMPUTED_VALUE"""),"مازندران")</f>
        <v>مازندران</v>
      </c>
      <c r="E84" s="5" t="str">
        <f>IFERROR(__xludf.DUMMYFUNCTION("""COMPUTED_VALUE"""),"بابلسر")</f>
        <v>بابلسر</v>
      </c>
      <c r="F84" s="5"/>
      <c r="G84" s="5"/>
      <c r="H84" s="6" t="str">
        <f>IFERROR(__xludf.DUMMYFUNCTION("""COMPUTED_VALUE"""),"https://www.instagram.com/seyyedoshohada.bbs/")</f>
        <v>https://www.instagram.com/seyyedoshohada.bbs/</v>
      </c>
      <c r="I84" s="6" t="str">
        <f>IFERROR(__xludf.DUMMYFUNCTION("""COMPUTED_VALUE"""),"https://t.me/seyyedoshohadaaa")</f>
        <v>https://t.me/seyyedoshohadaaa</v>
      </c>
      <c r="J84" s="6" t="str">
        <f>IFERROR(__xludf.DUMMYFUNCTION("""COMPUTED_VALUE"""),"https://eitaa.com/s/seyyedoshohadaaa")</f>
        <v>https://eitaa.com/s/seyyedoshohadaaa</v>
      </c>
      <c r="K84" s="6" t="str">
        <f>IFERROR(__xludf.DUMMYFUNCTION("""COMPUTED_VALUE"""),"https://www.instagram.com/seyyedoshohada/")</f>
        <v>https://www.instagram.com/seyyedoshohada/</v>
      </c>
      <c r="L84" s="5"/>
      <c r="M84" s="5"/>
      <c r="N84" s="5"/>
      <c r="O84" s="5"/>
      <c r="P84" s="5"/>
      <c r="Q84" s="5"/>
      <c r="R84" s="5"/>
      <c r="S84" s="5"/>
    </row>
    <row r="85">
      <c r="A85" s="5"/>
      <c r="B85" s="5" t="str">
        <f>IFERROR(__xludf.DUMMYFUNCTION("""COMPUTED_VALUE"""),"هیأت")</f>
        <v>هیأت</v>
      </c>
      <c r="C85" s="5" t="str">
        <f>IFERROR(__xludf.DUMMYFUNCTION("""COMPUTED_VALUE"""),"روضة الزینب")</f>
        <v>روضة الزینب</v>
      </c>
      <c r="D85" s="5" t="str">
        <f>IFERROR(__xludf.DUMMYFUNCTION("""COMPUTED_VALUE"""),"مازندران")</f>
        <v>مازندران</v>
      </c>
      <c r="E85" s="5" t="str">
        <f>IFERROR(__xludf.DUMMYFUNCTION("""COMPUTED_VALUE"""),"بابلسر")</f>
        <v>بابلسر</v>
      </c>
      <c r="F85" s="5" t="str">
        <f>IFERROR(__xludf.DUMMYFUNCTION("""COMPUTED_VALUE"""),"هادیشهر")</f>
        <v>هادیشهر</v>
      </c>
      <c r="G85" s="5"/>
      <c r="H85" s="6" t="str">
        <f>IFERROR(__xludf.DUMMYFUNCTION("""COMPUTED_VALUE"""),"https://www.instagram.com/rozatozeynab.ir/")</f>
        <v>https://www.instagram.com/rozatozeynab.ir/</v>
      </c>
      <c r="I85" s="6" t="str">
        <f>IFERROR(__xludf.DUMMYFUNCTION("""COMPUTED_VALUE"""),"https://t.me/rozatozeynab_channel")</f>
        <v>https://t.me/rozatozeynab_channel</v>
      </c>
      <c r="J85" s="5"/>
      <c r="K85" s="5"/>
      <c r="L85" s="5"/>
      <c r="M85" s="5"/>
      <c r="N85" s="5"/>
      <c r="O85" s="5"/>
      <c r="P85" s="5"/>
      <c r="Q85" s="5"/>
      <c r="R85" s="5"/>
      <c r="S85" s="5"/>
    </row>
    <row r="86">
      <c r="A86" s="5"/>
      <c r="B86" s="5" t="str">
        <f>IFERROR(__xludf.DUMMYFUNCTION("""COMPUTED_VALUE"""),"هیأت")</f>
        <v>هیأت</v>
      </c>
      <c r="C86" s="5" t="str">
        <f>IFERROR(__xludf.DUMMYFUNCTION("""COMPUTED_VALUE"""),"آل یاسین")</f>
        <v>آل یاسین</v>
      </c>
      <c r="D86" s="5" t="str">
        <f>IFERROR(__xludf.DUMMYFUNCTION("""COMPUTED_VALUE"""),"مازندران")</f>
        <v>مازندران</v>
      </c>
      <c r="E86" s="5" t="str">
        <f>IFERROR(__xludf.DUMMYFUNCTION("""COMPUTED_VALUE"""),"بابلسر")</f>
        <v>بابلسر</v>
      </c>
      <c r="F86" s="5" t="str">
        <f>IFERROR(__xludf.DUMMYFUNCTION("""COMPUTED_VALUE"""),"بهنمیر")</f>
        <v>بهنمیر</v>
      </c>
      <c r="G86" s="5"/>
      <c r="H86" s="6" t="str">
        <f>IFERROR(__xludf.DUMMYFUNCTION("""COMPUTED_VALUE"""),"https://www.instagram.com/asheghanesaralah/")</f>
        <v>https://www.instagram.com/asheghanesaralah/</v>
      </c>
      <c r="I86" s="6" t="str">
        <f>IFERROR(__xludf.DUMMYFUNCTION("""COMPUTED_VALUE"""),"https://t.me/aleyasiin_bahnamiir")</f>
        <v>https://t.me/aleyasiin_bahnamiir</v>
      </c>
      <c r="J86" s="5"/>
      <c r="K86" s="5"/>
      <c r="L86" s="5"/>
      <c r="M86" s="5"/>
      <c r="N86" s="5"/>
      <c r="O86" s="5"/>
      <c r="P86" s="5"/>
      <c r="Q86" s="5"/>
      <c r="R86" s="5"/>
      <c r="S86" s="5"/>
    </row>
    <row r="87">
      <c r="A87" s="5"/>
      <c r="B87" s="5" t="str">
        <f>IFERROR(__xludf.DUMMYFUNCTION("""COMPUTED_VALUE"""),"هیأت")</f>
        <v>هیأت</v>
      </c>
      <c r="C87" s="5" t="str">
        <f>IFERROR(__xludf.DUMMYFUNCTION("""COMPUTED_VALUE"""),"فاطمیون")</f>
        <v>فاطمیون</v>
      </c>
      <c r="D87" s="5" t="str">
        <f>IFERROR(__xludf.DUMMYFUNCTION("""COMPUTED_VALUE"""),"مازندران")</f>
        <v>مازندران</v>
      </c>
      <c r="E87" s="5" t="str">
        <f>IFERROR(__xludf.DUMMYFUNCTION("""COMPUTED_VALUE"""),"بابلسر")</f>
        <v>بابلسر</v>
      </c>
      <c r="F87" s="5" t="str">
        <f>IFERROR(__xludf.DUMMYFUNCTION("""COMPUTED_VALUE"""),"بهنمیر")</f>
        <v>بهنمیر</v>
      </c>
      <c r="G87" s="5"/>
      <c r="H87" s="6" t="str">
        <f>IFERROR(__xludf.DUMMYFUNCTION("""COMPUTED_VALUE"""),"https://www.instagram.com/fatemion_bahnemir/")</f>
        <v>https://www.instagram.com/fatemion_bahnemir/</v>
      </c>
      <c r="I87" s="6" t="str">
        <f>IFERROR(__xludf.DUMMYFUNCTION("""COMPUTED_VALUE"""),"https://t.me/fatemion_bahnemir")</f>
        <v>https://t.me/fatemion_bahnemir</v>
      </c>
      <c r="J87" s="6" t="str">
        <f>IFERROR(__xludf.DUMMYFUNCTION("""COMPUTED_VALUE"""),"https://eitaa.com/fatemion_bahnemir")</f>
        <v>https://eitaa.com/fatemion_bahnemir</v>
      </c>
      <c r="K87" s="5"/>
      <c r="L87" s="5"/>
      <c r="M87" s="5"/>
      <c r="N87" s="5"/>
      <c r="O87" s="5"/>
      <c r="P87" s="5"/>
      <c r="Q87" s="5"/>
      <c r="R87" s="5"/>
      <c r="S87" s="5" t="str">
        <f>IFERROR(__xludf.DUMMYFUNCTION("""COMPUTED_VALUE"""),"DDDDDDD")</f>
        <v>DDDDDDD</v>
      </c>
    </row>
    <row r="88">
      <c r="A88" s="5"/>
      <c r="B88" s="5" t="str">
        <f>IFERROR(__xludf.DUMMYFUNCTION("""COMPUTED_VALUE"""),"هیأت")</f>
        <v>هیأت</v>
      </c>
      <c r="C88" s="5" t="str">
        <f>IFERROR(__xludf.DUMMYFUNCTION("""COMPUTED_VALUE"""),"عاشقان ثارالله")</f>
        <v>عاشقان ثارالله</v>
      </c>
      <c r="D88" s="5" t="str">
        <f>IFERROR(__xludf.DUMMYFUNCTION("""COMPUTED_VALUE"""),"مازندران")</f>
        <v>مازندران</v>
      </c>
      <c r="E88" s="5" t="str">
        <f>IFERROR(__xludf.DUMMYFUNCTION("""COMPUTED_VALUE"""),"بابلسر")</f>
        <v>بابلسر</v>
      </c>
      <c r="F88" s="5" t="str">
        <f>IFERROR(__xludf.DUMMYFUNCTION("""COMPUTED_VALUE"""),"بهنمیر")</f>
        <v>بهنمیر</v>
      </c>
      <c r="G88" s="5"/>
      <c r="H88" s="6" t="str">
        <f>IFERROR(__xludf.DUMMYFUNCTION("""COMPUTED_VALUE"""),"https://www.instagram.com/asheghanesaralah/")</f>
        <v>https://www.instagram.com/asheghanesaralah/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>
      <c r="A89" s="5"/>
      <c r="B89" s="5" t="str">
        <f>IFERROR(__xludf.DUMMYFUNCTION("""COMPUTED_VALUE"""),"هیأت")</f>
        <v>هیأت</v>
      </c>
      <c r="C89" s="5" t="str">
        <f>IFERROR(__xludf.DUMMYFUNCTION("""COMPUTED_VALUE"""),"ابوالفضل العباس")</f>
        <v>ابوالفضل العباس</v>
      </c>
      <c r="D89" s="5" t="str">
        <f>IFERROR(__xludf.DUMMYFUNCTION("""COMPUTED_VALUE"""),"مازندران")</f>
        <v>مازندران</v>
      </c>
      <c r="E89" s="5" t="str">
        <f>IFERROR(__xludf.DUMMYFUNCTION("""COMPUTED_VALUE"""),"بابلسر")</f>
        <v>بابلسر</v>
      </c>
      <c r="F89" s="5" t="str">
        <f>IFERROR(__xludf.DUMMYFUNCTION("""COMPUTED_VALUE"""),"پازوار")</f>
        <v>پازوار</v>
      </c>
      <c r="G89" s="5"/>
      <c r="H89" s="6" t="str">
        <f>IFERROR(__xludf.DUMMYFUNCTION("""COMPUTED_VALUE"""),"https://www.instagram.com/abalfazliha89/")</f>
        <v>https://www.instagram.com/abalfazliha89/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>
      <c r="A90" s="5"/>
      <c r="B90" s="5" t="str">
        <f>IFERROR(__xludf.DUMMYFUNCTION("""COMPUTED_VALUE"""),"هیأت")</f>
        <v>هیأت</v>
      </c>
      <c r="C90" s="5" t="str">
        <f>IFERROR(__xludf.DUMMYFUNCTION("""COMPUTED_VALUE"""),"انصارالمهدی")</f>
        <v>انصارالمهدی</v>
      </c>
      <c r="D90" s="5" t="str">
        <f>IFERROR(__xludf.DUMMYFUNCTION("""COMPUTED_VALUE"""),"مازندران")</f>
        <v>مازندران</v>
      </c>
      <c r="E90" s="5" t="str">
        <f>IFERROR(__xludf.DUMMYFUNCTION("""COMPUTED_VALUE"""),"بابلسر")</f>
        <v>بابلسر</v>
      </c>
      <c r="F90" s="5"/>
      <c r="G90" s="5"/>
      <c r="H90" s="6" t="str">
        <f>IFERROR(__xludf.DUMMYFUNCTION("""COMPUTED_VALUE"""),"https://www.instagram.com/ansariyoun/")</f>
        <v>https://www.instagram.com/ansariyoun/</v>
      </c>
      <c r="I90" s="6" t="str">
        <f>IFERROR(__xludf.DUMMYFUNCTION("""COMPUTED_VALUE"""),"https://t.me/ansariyoun")</f>
        <v>https://t.me/ansariyoun</v>
      </c>
      <c r="J90" s="5"/>
      <c r="K90" s="5"/>
      <c r="L90" s="5"/>
      <c r="M90" s="5"/>
      <c r="N90" s="5"/>
      <c r="O90" s="5"/>
      <c r="P90" s="5"/>
      <c r="Q90" s="5"/>
      <c r="R90" s="5"/>
      <c r="S90" s="5"/>
    </row>
    <row r="91">
      <c r="A91" s="5"/>
      <c r="B91" s="5" t="str">
        <f>IFERROR(__xludf.DUMMYFUNCTION("""COMPUTED_VALUE"""),"هیأت")</f>
        <v>هیأت</v>
      </c>
      <c r="C91" s="5" t="str">
        <f>IFERROR(__xludf.DUMMYFUNCTION("""COMPUTED_VALUE"""),"جوانان حسنی")</f>
        <v>جوانان حسنی</v>
      </c>
      <c r="D91" s="5" t="str">
        <f>IFERROR(__xludf.DUMMYFUNCTION("""COMPUTED_VALUE"""),"مازندران")</f>
        <v>مازندران</v>
      </c>
      <c r="E91" s="5" t="str">
        <f>IFERROR(__xludf.DUMMYFUNCTION("""COMPUTED_VALUE"""),"بابلسر")</f>
        <v>بابلسر</v>
      </c>
      <c r="F91" s="5"/>
      <c r="G91" s="5"/>
      <c r="H91" s="6" t="str">
        <f>IFERROR(__xludf.DUMMYFUNCTION("""COMPUTED_VALUE"""),"https://www.instagram.com/javananhasani/")</f>
        <v>https://www.instagram.com/javananhasani/</v>
      </c>
      <c r="I91" s="6" t="str">
        <f>IFERROR(__xludf.DUMMYFUNCTION("""COMPUTED_VALUE"""),"https://t.me/javananhasani")</f>
        <v>https://t.me/javananhasani</v>
      </c>
      <c r="J91" s="5"/>
      <c r="K91" s="5"/>
      <c r="L91" s="5"/>
      <c r="M91" s="5"/>
      <c r="N91" s="5"/>
      <c r="O91" s="5"/>
      <c r="P91" s="5"/>
      <c r="Q91" s="5"/>
      <c r="R91" s="5"/>
      <c r="S91" s="5"/>
    </row>
    <row r="92">
      <c r="A92" s="5"/>
      <c r="B92" s="5" t="str">
        <f>IFERROR(__xludf.DUMMYFUNCTION("""COMPUTED_VALUE"""),"هیأت")</f>
        <v>هیأت</v>
      </c>
      <c r="C92" s="5" t="str">
        <f>IFERROR(__xludf.DUMMYFUNCTION("""COMPUTED_VALUE"""),"بیت الزهرا")</f>
        <v>بیت الزهرا</v>
      </c>
      <c r="D92" s="5" t="str">
        <f>IFERROR(__xludf.DUMMYFUNCTION("""COMPUTED_VALUE"""),"مازندران")</f>
        <v>مازندران</v>
      </c>
      <c r="E92" s="5" t="str">
        <f>IFERROR(__xludf.DUMMYFUNCTION("""COMPUTED_VALUE"""),"بابلسر")</f>
        <v>بابلسر</v>
      </c>
      <c r="F92" s="5"/>
      <c r="G92" s="5"/>
      <c r="H92" s="6" t="str">
        <f>IFERROR(__xludf.DUMMYFUNCTION("""COMPUTED_VALUE"""),"https://www.instagram.com/heiatbeitozahra")</f>
        <v>https://www.instagram.com/heiatbeitozahra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>
      <c r="A93" s="5"/>
      <c r="B93" s="5" t="str">
        <f>IFERROR(__xludf.DUMMYFUNCTION("""COMPUTED_VALUE"""),"هیأت")</f>
        <v>هیأت</v>
      </c>
      <c r="C93" s="5" t="str">
        <f>IFERROR(__xludf.DUMMYFUNCTION("""COMPUTED_VALUE"""),"حضرت رقیه")</f>
        <v>حضرت رقیه</v>
      </c>
      <c r="D93" s="5" t="str">
        <f>IFERROR(__xludf.DUMMYFUNCTION("""COMPUTED_VALUE"""),"مازندران")</f>
        <v>مازندران</v>
      </c>
      <c r="E93" s="5" t="str">
        <f>IFERROR(__xludf.DUMMYFUNCTION("""COMPUTED_VALUE"""),"بابلسر")</f>
        <v>بابلسر</v>
      </c>
      <c r="F93" s="5"/>
      <c r="G93" s="5"/>
      <c r="H93" s="6" t="str">
        <f>IFERROR(__xludf.DUMMYFUNCTION("""COMPUTED_VALUE"""),"https://www.instagram.com/heyathazrateroghayee")</f>
        <v>https://www.instagram.com/heyathazrateroghayee</v>
      </c>
      <c r="I93" s="6" t="str">
        <f>IFERROR(__xludf.DUMMYFUNCTION("""COMPUTED_VALUE"""),"https://t.me/heyathazrateroghayee")</f>
        <v>https://t.me/heyathazrateroghayee</v>
      </c>
      <c r="J93" s="5"/>
      <c r="K93" s="5"/>
      <c r="L93" s="5"/>
      <c r="M93" s="5"/>
      <c r="N93" s="5"/>
      <c r="O93" s="5"/>
      <c r="P93" s="5"/>
      <c r="Q93" s="5"/>
      <c r="R93" s="5"/>
      <c r="S93" s="5"/>
    </row>
    <row r="94">
      <c r="A94" s="5"/>
      <c r="B94" s="5" t="str">
        <f>IFERROR(__xludf.DUMMYFUNCTION("""COMPUTED_VALUE"""),"هیأت")</f>
        <v>هیأت</v>
      </c>
      <c r="C94" s="5" t="str">
        <f>IFERROR(__xludf.DUMMYFUNCTION("""COMPUTED_VALUE"""),"مکتب الحیدر")</f>
        <v>مکتب الحیدر</v>
      </c>
      <c r="D94" s="5" t="str">
        <f>IFERROR(__xludf.DUMMYFUNCTION("""COMPUTED_VALUE"""),"مازندران")</f>
        <v>مازندران</v>
      </c>
      <c r="E94" s="5" t="str">
        <f>IFERROR(__xludf.DUMMYFUNCTION("""COMPUTED_VALUE"""),"بابلسر")</f>
        <v>بابلسر</v>
      </c>
      <c r="F94" s="5"/>
      <c r="G94" s="5"/>
      <c r="H94" s="6" t="str">
        <f>IFERROR(__xludf.DUMMYFUNCTION("""COMPUTED_VALUE"""),"https://www.instagram.com/maktabool_heydar110/")</f>
        <v>https://www.instagram.com/maktabool_heydar110/</v>
      </c>
      <c r="I94" s="5"/>
      <c r="J94" s="6" t="str">
        <f>IFERROR(__xludf.DUMMYFUNCTION("""COMPUTED_VALUE"""),"https://eitaa.com/Maktabol_heydar110")</f>
        <v>https://eitaa.com/Maktabol_heydar110</v>
      </c>
      <c r="K94" s="5"/>
      <c r="L94" s="5"/>
      <c r="M94" s="5"/>
      <c r="N94" s="5"/>
      <c r="O94" s="5"/>
      <c r="P94" s="5"/>
      <c r="Q94" s="5"/>
      <c r="R94" s="5"/>
      <c r="S94" s="5"/>
    </row>
    <row r="95">
      <c r="A95" s="5"/>
      <c r="B95" s="5" t="str">
        <f>IFERROR(__xludf.DUMMYFUNCTION("""COMPUTED_VALUE"""),"هیأت")</f>
        <v>هیأت</v>
      </c>
      <c r="C95" s="5" t="str">
        <f>IFERROR(__xludf.DUMMYFUNCTION("""COMPUTED_VALUE"""),"الرضا")</f>
        <v>الرضا</v>
      </c>
      <c r="D95" s="5" t="str">
        <f>IFERROR(__xludf.DUMMYFUNCTION("""COMPUTED_VALUE"""),"مازندران")</f>
        <v>مازندران</v>
      </c>
      <c r="E95" s="5" t="str">
        <f>IFERROR(__xludf.DUMMYFUNCTION("""COMPUTED_VALUE"""),"بابلسر")</f>
        <v>بابلسر</v>
      </c>
      <c r="F95" s="5"/>
      <c r="G95" s="5"/>
      <c r="H95" s="6" t="str">
        <f>IFERROR(__xludf.DUMMYFUNCTION("""COMPUTED_VALUE"""),"https://www.instagram.com/heiatoreza_babolsar")</f>
        <v>https://www.instagram.com/heiatoreza_babolsar</v>
      </c>
      <c r="I95" s="6" t="str">
        <f>IFERROR(__xludf.DUMMYFUNCTION("""COMPUTED_VALUE"""),"https://t.me/s_mohsen_habibolahpur")</f>
        <v>https://t.me/s_mohsen_habibolahpur</v>
      </c>
      <c r="J95" s="5"/>
      <c r="K95" s="5"/>
      <c r="L95" s="5"/>
      <c r="M95" s="5"/>
      <c r="N95" s="5"/>
      <c r="O95" s="5"/>
      <c r="P95" s="5"/>
      <c r="Q95" s="5"/>
      <c r="R95" s="5"/>
      <c r="S95" s="5"/>
    </row>
    <row r="96">
      <c r="A96" s="5"/>
      <c r="B96" s="5" t="str">
        <f>IFERROR(__xludf.DUMMYFUNCTION("""COMPUTED_VALUE"""),"هیأت")</f>
        <v>هیأت</v>
      </c>
      <c r="C96" s="5" t="str">
        <f>IFERROR(__xludf.DUMMYFUNCTION("""COMPUTED_VALUE"""),"الزهرا")</f>
        <v>الزهرا</v>
      </c>
      <c r="D96" s="5" t="str">
        <f>IFERROR(__xludf.DUMMYFUNCTION("""COMPUTED_VALUE"""),"مازندران")</f>
        <v>مازندران</v>
      </c>
      <c r="E96" s="5" t="str">
        <f>IFERROR(__xludf.DUMMYFUNCTION("""COMPUTED_VALUE"""),"بابلسر")</f>
        <v>بابلسر</v>
      </c>
      <c r="F96" s="5"/>
      <c r="G96" s="5"/>
      <c r="H96" s="6" t="str">
        <f>IFERROR(__xludf.DUMMYFUNCTION("""COMPUTED_VALUE"""),"https://www.instagram.com/heiatolzahrabbs/")</f>
        <v>https://www.instagram.com/heiatolzahrabbs/</v>
      </c>
      <c r="I96" s="6" t="str">
        <f>IFERROR(__xludf.DUMMYFUNCTION("""COMPUTED_VALUE"""),"https://t.me/heyatozahra_aliabad_babolsar79")</f>
        <v>https://t.me/heyatozahra_aliabad_babolsar79</v>
      </c>
      <c r="J96" s="5"/>
      <c r="K96" s="5"/>
      <c r="L96" s="5"/>
      <c r="M96" s="5"/>
      <c r="N96" s="5"/>
      <c r="O96" s="5"/>
      <c r="P96" s="5"/>
      <c r="Q96" s="5"/>
      <c r="R96" s="5"/>
      <c r="S96" s="5"/>
    </row>
    <row r="97">
      <c r="A97" s="5"/>
      <c r="B97" s="5" t="str">
        <f>IFERROR(__xludf.DUMMYFUNCTION("""COMPUTED_VALUE"""),"هیأت")</f>
        <v>هیأت</v>
      </c>
      <c r="C97" s="5" t="str">
        <f>IFERROR(__xludf.DUMMYFUNCTION("""COMPUTED_VALUE"""),"موکب الشهدا")</f>
        <v>موکب الشهدا</v>
      </c>
      <c r="D97" s="5" t="str">
        <f>IFERROR(__xludf.DUMMYFUNCTION("""COMPUTED_VALUE"""),"مازندران")</f>
        <v>مازندران</v>
      </c>
      <c r="E97" s="5" t="str">
        <f>IFERROR(__xludf.DUMMYFUNCTION("""COMPUTED_VALUE"""),"بابلسر")</f>
        <v>بابلسر</v>
      </c>
      <c r="F97" s="5"/>
      <c r="G97" s="5"/>
      <c r="H97" s="6" t="str">
        <f>IFERROR(__xludf.DUMMYFUNCTION("""COMPUTED_VALUE"""),"https://www.instagram.com/mokebshohada_babolsar/")</f>
        <v>https://www.instagram.com/mokebshohada_babolsar/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>
      <c r="A98" s="5"/>
      <c r="B98" s="5" t="str">
        <f>IFERROR(__xludf.DUMMYFUNCTION("""COMPUTED_VALUE"""),"هیأت")</f>
        <v>هیأت</v>
      </c>
      <c r="C98" s="5" t="str">
        <f>IFERROR(__xludf.DUMMYFUNCTION("""COMPUTED_VALUE"""),"یاوران ولایت")</f>
        <v>یاوران ولایت</v>
      </c>
      <c r="D98" s="5" t="str">
        <f>IFERROR(__xludf.DUMMYFUNCTION("""COMPUTED_VALUE"""),"مازندران")</f>
        <v>مازندران</v>
      </c>
      <c r="E98" s="5" t="str">
        <f>IFERROR(__xludf.DUMMYFUNCTION("""COMPUTED_VALUE"""),"بابلسر")</f>
        <v>بابلسر</v>
      </c>
      <c r="F98" s="5"/>
      <c r="G98" s="5"/>
      <c r="H98" s="6" t="str">
        <f>IFERROR(__xludf.DUMMYFUNCTION("""COMPUTED_VALUE"""),"https://www.instagram.com/yavaranevelayat")</f>
        <v>https://www.instagram.com/yavaranevelayat</v>
      </c>
      <c r="I98" s="6" t="str">
        <f>IFERROR(__xludf.DUMMYFUNCTION("""COMPUTED_VALUE"""),"https://t.me/heyateyavaranevelayat")</f>
        <v>https://t.me/heyateyavaranevelayat</v>
      </c>
      <c r="J98" s="5"/>
      <c r="K98" s="5"/>
      <c r="L98" s="5"/>
      <c r="M98" s="5"/>
      <c r="N98" s="5"/>
      <c r="O98" s="5"/>
      <c r="P98" s="5"/>
      <c r="Q98" s="5"/>
      <c r="R98" s="5"/>
      <c r="S98" s="5"/>
    </row>
    <row r="99">
      <c r="A99" s="5"/>
      <c r="B99" s="5" t="str">
        <f>IFERROR(__xludf.DUMMYFUNCTION("""COMPUTED_VALUE"""),"هیأت خواهران")</f>
        <v>هیأت خواهران</v>
      </c>
      <c r="C99" s="5" t="str">
        <f>IFERROR(__xludf.DUMMYFUNCTION("""COMPUTED_VALUE"""),"پیروان عترت")</f>
        <v>پیروان عترت</v>
      </c>
      <c r="D99" s="5" t="str">
        <f>IFERROR(__xludf.DUMMYFUNCTION("""COMPUTED_VALUE"""),"مازندران")</f>
        <v>مازندران</v>
      </c>
      <c r="E99" s="5" t="str">
        <f>IFERROR(__xludf.DUMMYFUNCTION("""COMPUTED_VALUE"""),"بابلسر")</f>
        <v>بابلسر</v>
      </c>
      <c r="F99" s="5"/>
      <c r="G99" s="5"/>
      <c r="H99" s="6" t="str">
        <f>IFERROR(__xludf.DUMMYFUNCTION("""COMPUTED_VALUE"""),"https://www.instagram.com/heyat_peyrovane_etrat_bbs")</f>
        <v>https://www.instagram.com/heyat_peyrovane_etrat_bbs</v>
      </c>
      <c r="I99" s="6" t="str">
        <f>IFERROR(__xludf.DUMMYFUNCTION("""COMPUTED_VALUE"""),"https://t.me/peyrovaneetratebabolsar")</f>
        <v>https://t.me/peyrovaneetratebabolsar</v>
      </c>
      <c r="J99" s="5"/>
      <c r="K99" s="5"/>
      <c r="L99" s="5"/>
      <c r="M99" s="5"/>
      <c r="N99" s="5"/>
      <c r="O99" s="5"/>
      <c r="P99" s="5"/>
      <c r="Q99" s="5"/>
      <c r="R99" s="5"/>
      <c r="S99" s="5"/>
    </row>
    <row r="100">
      <c r="A100" s="5"/>
      <c r="B100" s="5" t="str">
        <f>IFERROR(__xludf.DUMMYFUNCTION("""COMPUTED_VALUE"""),"هیأت زنجیرزنی")</f>
        <v>هیأت زنجیرزنی</v>
      </c>
      <c r="C100" s="5" t="str">
        <f>IFERROR(__xludf.DUMMYFUNCTION("""COMPUTED_VALUE"""),"چهارده معصوم")</f>
        <v>چهارده معصوم</v>
      </c>
      <c r="D100" s="5" t="str">
        <f>IFERROR(__xludf.DUMMYFUNCTION("""COMPUTED_VALUE"""),"مازندران")</f>
        <v>مازندران</v>
      </c>
      <c r="E100" s="5" t="str">
        <f>IFERROR(__xludf.DUMMYFUNCTION("""COMPUTED_VALUE"""),"بابلسر")</f>
        <v>بابلسر</v>
      </c>
      <c r="F100" s="5" t="str">
        <f>IFERROR(__xludf.DUMMYFUNCTION("""COMPUTED_VALUE"""),"میاندشت")</f>
        <v>میاندشت</v>
      </c>
      <c r="G100" s="5"/>
      <c r="H100" s="6" t="str">
        <f>IFERROR(__xludf.DUMMYFUNCTION("""COMPUTED_VALUE"""),"https://www.instagram.com/zanjir_zani_chardah_masoom")</f>
        <v>https://www.instagram.com/zanjir_zani_chardah_masoom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>
      <c r="A101" s="5"/>
      <c r="B101" s="5" t="str">
        <f>IFERROR(__xludf.DUMMYFUNCTION("""COMPUTED_VALUE"""),"هیأت")</f>
        <v>هیأت</v>
      </c>
      <c r="C101" s="5" t="str">
        <f>IFERROR(__xludf.DUMMYFUNCTION("""COMPUTED_VALUE"""),"فاطمة الزهرا")</f>
        <v>فاطمة الزهرا</v>
      </c>
      <c r="D101" s="5" t="str">
        <f>IFERROR(__xludf.DUMMYFUNCTION("""COMPUTED_VALUE"""),"مازندران")</f>
        <v>مازندران</v>
      </c>
      <c r="E101" s="5" t="str">
        <f>IFERROR(__xludf.DUMMYFUNCTION("""COMPUTED_VALUE"""),"بابلسر")</f>
        <v>بابلسر</v>
      </c>
      <c r="F101" s="5"/>
      <c r="G101" s="5"/>
      <c r="H101" s="6" t="str">
        <f>IFERROR(__xludf.DUMMYFUNCTION("""COMPUTED_VALUE"""),"https://www.instagram.com/heyatefatematozahra.ir/")</f>
        <v>https://www.instagram.com/heyatefatematozahra.ir/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>
      <c r="A102" s="5">
        <f>IFERROR(__xludf.DUMMYFUNCTION("""COMPUTED_VALUE"""),14722.0)</f>
        <v>14722</v>
      </c>
      <c r="B102" s="5" t="str">
        <f>IFERROR(__xludf.DUMMYFUNCTION("""COMPUTED_VALUE"""),"هیأت")</f>
        <v>هیأت</v>
      </c>
      <c r="C102" s="5" t="str">
        <f>IFERROR(__xludf.DUMMYFUNCTION("""COMPUTED_VALUE"""),"بیت النور")</f>
        <v>بیت النور</v>
      </c>
      <c r="D102" s="5" t="str">
        <f>IFERROR(__xludf.DUMMYFUNCTION("""COMPUTED_VALUE"""),"مازندران")</f>
        <v>مازندران</v>
      </c>
      <c r="E102" s="5" t="str">
        <f>IFERROR(__xludf.DUMMYFUNCTION("""COMPUTED_VALUE"""),"بهشهر")</f>
        <v>بهشهر</v>
      </c>
      <c r="F102" s="5"/>
      <c r="G102" s="5"/>
      <c r="H102" s="6" t="str">
        <f>IFERROR(__xludf.DUMMYFUNCTION("""COMPUTED_VALUE"""),"https://www.instagram.com/h.bnoor")</f>
        <v>https://www.instagram.com/h.bnoor</v>
      </c>
      <c r="I102" s="6" t="str">
        <f>IFERROR(__xludf.DUMMYFUNCTION("""COMPUTED_VALUE"""),"https://t.me/hbnoor")</f>
        <v>https://t.me/hbnoor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>
      <c r="A103" s="5">
        <f>IFERROR(__xludf.DUMMYFUNCTION("""COMPUTED_VALUE"""),15144.0)</f>
        <v>15144</v>
      </c>
      <c r="B103" s="5" t="str">
        <f>IFERROR(__xludf.DUMMYFUNCTION("""COMPUTED_VALUE"""),"هیأت")</f>
        <v>هیأت</v>
      </c>
      <c r="C103" s="5" t="str">
        <f>IFERROR(__xludf.DUMMYFUNCTION("""COMPUTED_VALUE"""),"مکتب الحسن")</f>
        <v>مکتب الحسن</v>
      </c>
      <c r="D103" s="5" t="str">
        <f>IFERROR(__xludf.DUMMYFUNCTION("""COMPUTED_VALUE"""),"مازندران")</f>
        <v>مازندران</v>
      </c>
      <c r="E103" s="5" t="str">
        <f>IFERROR(__xludf.DUMMYFUNCTION("""COMPUTED_VALUE"""),"بهشهر")</f>
        <v>بهشهر</v>
      </c>
      <c r="F103" s="5"/>
      <c r="G103" s="5"/>
      <c r="H103" s="6" t="str">
        <f>IFERROR(__xludf.DUMMYFUNCTION("""COMPUTED_VALUE"""),"https://www.instagram.com/maktabolhasan_118/")</f>
        <v>https://www.instagram.com/maktabolhasan_118/</v>
      </c>
      <c r="I103" s="6" t="str">
        <f>IFERROR(__xludf.DUMMYFUNCTION("""COMPUTED_VALUE"""),"https://t.me/pnamjo")</f>
        <v>https://t.me/pnamjo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>
      <c r="A104" s="5">
        <f>IFERROR(__xludf.DUMMYFUNCTION("""COMPUTED_VALUE"""),19934.0)</f>
        <v>19934</v>
      </c>
      <c r="B104" s="5" t="str">
        <f>IFERROR(__xludf.DUMMYFUNCTION("""COMPUTED_VALUE"""),"هیأت")</f>
        <v>هیأت</v>
      </c>
      <c r="C104" s="5" t="str">
        <f>IFERROR(__xludf.DUMMYFUNCTION("""COMPUTED_VALUE"""),"جنت الرقیه")</f>
        <v>جنت الرقیه</v>
      </c>
      <c r="D104" s="5" t="str">
        <f>IFERROR(__xludf.DUMMYFUNCTION("""COMPUTED_VALUE"""),"مازندران")</f>
        <v>مازندران</v>
      </c>
      <c r="E104" s="5" t="str">
        <f>IFERROR(__xludf.DUMMYFUNCTION("""COMPUTED_VALUE"""),"بهشهر")</f>
        <v>بهشهر</v>
      </c>
      <c r="F104" s="5" t="str">
        <f>IFERROR(__xludf.DUMMYFUNCTION("""COMPUTED_VALUE"""),"فراش محله")</f>
        <v>فراش محله</v>
      </c>
      <c r="G104" s="5"/>
      <c r="H104" s="6" t="str">
        <f>IFERROR(__xludf.DUMMYFUNCTION("""COMPUTED_VALUE"""),"https://www.instagram.com/jannat315_behshahr/")</f>
        <v>https://www.instagram.com/jannat315_behshahr/</v>
      </c>
      <c r="I104" s="6" t="str">
        <f>IFERROR(__xludf.DUMMYFUNCTION("""COMPUTED_VALUE"""),"https://t.me/jannatolroghaye_315")</f>
        <v>https://t.me/jannatolroghaye_315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>
      <c r="A105" s="5">
        <f>IFERROR(__xludf.DUMMYFUNCTION("""COMPUTED_VALUE"""),32376.0)</f>
        <v>32376</v>
      </c>
      <c r="B105" s="5" t="str">
        <f>IFERROR(__xludf.DUMMYFUNCTION("""COMPUTED_VALUE"""),"هیأت")</f>
        <v>هیأت</v>
      </c>
      <c r="C105" s="5" t="str">
        <f>IFERROR(__xludf.DUMMYFUNCTION("""COMPUTED_VALUE"""),"حسن بن علی")</f>
        <v>حسن بن علی</v>
      </c>
      <c r="D105" s="5" t="str">
        <f>IFERROR(__xludf.DUMMYFUNCTION("""COMPUTED_VALUE"""),"مازندران")</f>
        <v>مازندران</v>
      </c>
      <c r="E105" s="5" t="str">
        <f>IFERROR(__xludf.DUMMYFUNCTION("""COMPUTED_VALUE"""),"بهشهر")</f>
        <v>بهشهر</v>
      </c>
      <c r="F105" s="5"/>
      <c r="G105" s="5"/>
      <c r="H105" s="6" t="str">
        <f>IFERROR(__xludf.DUMMYFUNCTION("""COMPUTED_VALUE"""),"https://www.instagram.com/hasanebnali_ir/")</f>
        <v>https://www.instagram.com/hasanebnali_ir/</v>
      </c>
      <c r="I105" s="6" t="str">
        <f>IFERROR(__xludf.DUMMYFUNCTION("""COMPUTED_VALUE"""),"https://t.me/hasanebnali_ir")</f>
        <v>https://t.me/hasanebnali_ir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>
      <c r="A106" s="5"/>
      <c r="B106" s="5" t="str">
        <f>IFERROR(__xludf.DUMMYFUNCTION("""COMPUTED_VALUE"""),"مداح")</f>
        <v>مداح</v>
      </c>
      <c r="C106" s="5" t="str">
        <f>IFERROR(__xludf.DUMMYFUNCTION("""COMPUTED_VALUE"""),"میثم اشرفی")</f>
        <v>میثم اشرفی</v>
      </c>
      <c r="D106" s="5" t="str">
        <f>IFERROR(__xludf.DUMMYFUNCTION("""COMPUTED_VALUE"""),"مازندران")</f>
        <v>مازندران</v>
      </c>
      <c r="E106" s="5" t="str">
        <f>IFERROR(__xludf.DUMMYFUNCTION("""COMPUTED_VALUE"""),"بهشهر")</f>
        <v>بهشهر</v>
      </c>
      <c r="F106" s="5"/>
      <c r="G106" s="5"/>
      <c r="H106" s="6" t="str">
        <f>IFERROR(__xludf.DUMMYFUNCTION("""COMPUTED_VALUE"""),"https://www.instagram.com/maisamashrafi/")</f>
        <v>https://www.instagram.com/maisamashrafi/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>
      <c r="A107" s="5"/>
      <c r="B107" s="5" t="str">
        <f>IFERROR(__xludf.DUMMYFUNCTION("""COMPUTED_VALUE"""),"هیأت")</f>
        <v>هیأت</v>
      </c>
      <c r="C107" s="5" t="str">
        <f>IFERROR(__xludf.DUMMYFUNCTION("""COMPUTED_VALUE"""),"بنی فاطمه")</f>
        <v>بنی فاطمه</v>
      </c>
      <c r="D107" s="5" t="str">
        <f>IFERROR(__xludf.DUMMYFUNCTION("""COMPUTED_VALUE"""),"مازندران")</f>
        <v>مازندران</v>
      </c>
      <c r="E107" s="5" t="str">
        <f>IFERROR(__xludf.DUMMYFUNCTION("""COMPUTED_VALUE"""),"بهشهر")</f>
        <v>بهشهر</v>
      </c>
      <c r="F107" s="5"/>
      <c r="G107" s="5"/>
      <c r="H107" s="6" t="str">
        <f>IFERROR(__xludf.DUMMYFUNCTION("""COMPUTED_VALUE"""),"https://www.instagram.com/hbanifateme/")</f>
        <v>https://www.instagram.com/hbanifateme/</v>
      </c>
      <c r="I107" s="6" t="str">
        <f>IFERROR(__xludf.DUMMYFUNCTION("""COMPUTED_VALUE"""),"https://t.me/hbanifateme")</f>
        <v>https://t.me/hbanifateme</v>
      </c>
      <c r="J107" s="6" t="str">
        <f>IFERROR(__xludf.DUMMYFUNCTION("""COMPUTED_VALUE"""),"https://eitaa.com/s/Hbanifateme")</f>
        <v>https://eitaa.com/s/Hbanifateme</v>
      </c>
      <c r="K107" s="5"/>
      <c r="L107" s="5"/>
      <c r="M107" s="5"/>
      <c r="N107" s="5"/>
      <c r="O107" s="5"/>
      <c r="P107" s="5"/>
      <c r="Q107" s="5"/>
      <c r="R107" s="5"/>
      <c r="S107" s="5"/>
    </row>
    <row r="108">
      <c r="A108" s="5"/>
      <c r="B108" s="5" t="str">
        <f>IFERROR(__xludf.DUMMYFUNCTION("""COMPUTED_VALUE"""),"هیأت")</f>
        <v>هیأت</v>
      </c>
      <c r="C108" s="5" t="str">
        <f>IFERROR(__xludf.DUMMYFUNCTION("""COMPUTED_VALUE"""),"بیت الرقیه")</f>
        <v>بیت الرقیه</v>
      </c>
      <c r="D108" s="5" t="str">
        <f>IFERROR(__xludf.DUMMYFUNCTION("""COMPUTED_VALUE"""),"مازندران")</f>
        <v>مازندران</v>
      </c>
      <c r="E108" s="5" t="str">
        <f>IFERROR(__xludf.DUMMYFUNCTION("""COMPUTED_VALUE"""),"بهشهر")</f>
        <v>بهشهر</v>
      </c>
      <c r="F108" s="5"/>
      <c r="G108" s="5"/>
      <c r="H108" s="6" t="str">
        <f>IFERROR(__xludf.DUMMYFUNCTION("""COMPUTED_VALUE"""),"https://www.instagram.com/beytoroghayeh_ir/")</f>
        <v>https://www.instagram.com/beytoroghayeh_ir/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>
      <c r="A109" s="5"/>
      <c r="B109" s="5" t="str">
        <f>IFERROR(__xludf.DUMMYFUNCTION("""COMPUTED_VALUE"""),"هیأت")</f>
        <v>هیأت</v>
      </c>
      <c r="C109" s="5" t="str">
        <f>IFERROR(__xludf.DUMMYFUNCTION("""COMPUTED_VALUE"""),"رهروان شهدا")</f>
        <v>رهروان شهدا</v>
      </c>
      <c r="D109" s="5" t="str">
        <f>IFERROR(__xludf.DUMMYFUNCTION("""COMPUTED_VALUE"""),"مازندران")</f>
        <v>مازندران</v>
      </c>
      <c r="E109" s="5" t="str">
        <f>IFERROR(__xludf.DUMMYFUNCTION("""COMPUTED_VALUE"""),"بهشهر")</f>
        <v>بهشهر</v>
      </c>
      <c r="F109" s="5"/>
      <c r="G109" s="5"/>
      <c r="H109" s="6" t="str">
        <f>IFERROR(__xludf.DUMMYFUNCTION("""COMPUTED_VALUE"""),"https://www.instagram.com/rahrovaneshohada_ir/")</f>
        <v>https://www.instagram.com/rahrovaneshohada_ir/</v>
      </c>
      <c r="I109" s="6" t="str">
        <f>IFERROR(__xludf.DUMMYFUNCTION("""COMPUTED_VALUE"""),"https://t.me/rahrovaneshohada_ir")</f>
        <v>https://t.me/rahrovaneshohada_ir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>
      <c r="A110" s="5"/>
      <c r="B110" s="5" t="str">
        <f>IFERROR(__xludf.DUMMYFUNCTION("""COMPUTED_VALUE"""),"هیأت")</f>
        <v>هیأت</v>
      </c>
      <c r="C110" s="5" t="str">
        <f>IFERROR(__xludf.DUMMYFUNCTION("""COMPUTED_VALUE"""),"پیروان اهل بیت")</f>
        <v>پیروان اهل بیت</v>
      </c>
      <c r="D110" s="5" t="str">
        <f>IFERROR(__xludf.DUMMYFUNCTION("""COMPUTED_VALUE"""),"مازندران")</f>
        <v>مازندران</v>
      </c>
      <c r="E110" s="5" t="str">
        <f>IFERROR(__xludf.DUMMYFUNCTION("""COMPUTED_VALUE"""),"بهشهر")</f>
        <v>بهشهر</v>
      </c>
      <c r="F110" s="5"/>
      <c r="G110" s="5"/>
      <c r="H110" s="6" t="str">
        <f>IFERROR(__xludf.DUMMYFUNCTION("""COMPUTED_VALUE"""),"https://www.instagram.com/heyatpeyrovan_b/")</f>
        <v>https://www.instagram.com/heyatpeyrovan_b/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>
      <c r="A111" s="5"/>
      <c r="B111" s="5" t="str">
        <f>IFERROR(__xludf.DUMMYFUNCTION("""COMPUTED_VALUE"""),"هیأت")</f>
        <v>هیأت</v>
      </c>
      <c r="C111" s="5" t="str">
        <f>IFERROR(__xludf.DUMMYFUNCTION("""COMPUTED_VALUE"""),"انصارالحسین")</f>
        <v>انصارالحسین</v>
      </c>
      <c r="D111" s="5" t="str">
        <f>IFERROR(__xludf.DUMMYFUNCTION("""COMPUTED_VALUE"""),"مازندران")</f>
        <v>مازندران</v>
      </c>
      <c r="E111" s="5" t="str">
        <f>IFERROR(__xludf.DUMMYFUNCTION("""COMPUTED_VALUE"""),"بهشهر")</f>
        <v>بهشهر</v>
      </c>
      <c r="F111" s="5"/>
      <c r="G111" s="5"/>
      <c r="H111" s="6" t="str">
        <f>IFERROR(__xludf.DUMMYFUNCTION("""COMPUTED_VALUE"""),"https://www.instagram.com/h.ansarolhosein/")</f>
        <v>https://www.instagram.com/h.ansarolhosein/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>
      <c r="A112" s="5"/>
      <c r="B112" s="5" t="str">
        <f>IFERROR(__xludf.DUMMYFUNCTION("""COMPUTED_VALUE"""),"هیأت")</f>
        <v>هیأت</v>
      </c>
      <c r="C112" s="5" t="str">
        <f>IFERROR(__xludf.DUMMYFUNCTION("""COMPUTED_VALUE"""),"عزاداران حسینی سنگ زغال")</f>
        <v>عزاداران حسینی سنگ زغال</v>
      </c>
      <c r="D112" s="5" t="str">
        <f>IFERROR(__xludf.DUMMYFUNCTION("""COMPUTED_VALUE"""),"مازندران")</f>
        <v>مازندران</v>
      </c>
      <c r="E112" s="5" t="str">
        <f>IFERROR(__xludf.DUMMYFUNCTION("""COMPUTED_VALUE"""),"بهشهر")</f>
        <v>بهشهر</v>
      </c>
      <c r="F112" s="5"/>
      <c r="G112" s="5"/>
      <c r="H112" s="6" t="str">
        <f>IFERROR(__xludf.DUMMYFUNCTION("""COMPUTED_VALUE"""),"https://www.instagram.com/azadaran.83/")</f>
        <v>https://www.instagram.com/azadaran.83/</v>
      </c>
      <c r="I112" s="6" t="str">
        <f>IFERROR(__xludf.DUMMYFUNCTION("""COMPUTED_VALUE"""),"https://t.me/azadaran83")</f>
        <v>https://t.me/azadaran83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>
      <c r="A113" s="5"/>
      <c r="B113" s="5" t="str">
        <f>IFERROR(__xludf.DUMMYFUNCTION("""COMPUTED_VALUE"""),"هیأت")</f>
        <v>هیأت</v>
      </c>
      <c r="C113" s="5" t="str">
        <f>IFERROR(__xludf.DUMMYFUNCTION("""COMPUTED_VALUE"""),"منتظران حجة")</f>
        <v>منتظران حجة</v>
      </c>
      <c r="D113" s="5" t="str">
        <f>IFERROR(__xludf.DUMMYFUNCTION("""COMPUTED_VALUE"""),"مازندران")</f>
        <v>مازندران</v>
      </c>
      <c r="E113" s="5" t="str">
        <f>IFERROR(__xludf.DUMMYFUNCTION("""COMPUTED_VALUE"""),"بهشهر")</f>
        <v>بهشهر</v>
      </c>
      <c r="F113" s="5"/>
      <c r="G113" s="5"/>
      <c r="H113" s="6" t="str">
        <f>IFERROR(__xludf.DUMMYFUNCTION("""COMPUTED_VALUE"""),"https://www.instagram.com/montazranhojjat.bh/")</f>
        <v>https://www.instagram.com/montazranhojjat.bh/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>
      <c r="A114" s="5"/>
      <c r="B114" s="5" t="str">
        <f>IFERROR(__xludf.DUMMYFUNCTION("""COMPUTED_VALUE"""),"هیأت")</f>
        <v>هیأت</v>
      </c>
      <c r="C114" s="5" t="str">
        <f>IFERROR(__xludf.DUMMYFUNCTION("""COMPUTED_VALUE"""),"هیئت سالار شهیدان رستمکلا")</f>
        <v>هیئت سالار شهیدان رستمکلا</v>
      </c>
      <c r="D114" s="5" t="str">
        <f>IFERROR(__xludf.DUMMYFUNCTION("""COMPUTED_VALUE"""),"مازندران")</f>
        <v>مازندران</v>
      </c>
      <c r="E114" s="5" t="str">
        <f>IFERROR(__xludf.DUMMYFUNCTION("""COMPUTED_VALUE"""),"بهشهر")</f>
        <v>بهشهر</v>
      </c>
      <c r="F114" s="5" t="str">
        <f>IFERROR(__xludf.DUMMYFUNCTION("""COMPUTED_VALUE"""),"رستم کلا")</f>
        <v>رستم کلا</v>
      </c>
      <c r="G114" s="5"/>
      <c r="H114" s="6" t="str">
        <f>IFERROR(__xludf.DUMMYFUNCTION("""COMPUTED_VALUE"""),"https://www.instagram.com/salar.shahidan81/")</f>
        <v>https://www.instagram.com/salar.shahidan81/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>
      <c r="A115" s="5"/>
      <c r="B115" s="5" t="str">
        <f>IFERROR(__xludf.DUMMYFUNCTION("""COMPUTED_VALUE"""),"هیأت")</f>
        <v>هیأت</v>
      </c>
      <c r="C115" s="5" t="str">
        <f>IFERROR(__xludf.DUMMYFUNCTION("""COMPUTED_VALUE"""),"بین الحرمین")</f>
        <v>بین الحرمین</v>
      </c>
      <c r="D115" s="5" t="str">
        <f>IFERROR(__xludf.DUMMYFUNCTION("""COMPUTED_VALUE"""),"مازندران")</f>
        <v>مازندران</v>
      </c>
      <c r="E115" s="5" t="str">
        <f>IFERROR(__xludf.DUMMYFUNCTION("""COMPUTED_VALUE"""),"بهشهر")</f>
        <v>بهشهر</v>
      </c>
      <c r="F115" s="5"/>
      <c r="G115" s="5"/>
      <c r="H115" s="6" t="str">
        <f>IFERROR(__xludf.DUMMYFUNCTION("""COMPUTED_VALUE"""),"https://www.instagram.com/beynolharameyne_behshar")</f>
        <v>https://www.instagram.com/beynolharameyne_behshar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>
      <c r="A116" s="5"/>
      <c r="B116" s="5" t="str">
        <f>IFERROR(__xludf.DUMMYFUNCTION("""COMPUTED_VALUE"""),"هیأت")</f>
        <v>هیأت</v>
      </c>
      <c r="C116" s="5" t="str">
        <f>IFERROR(__xludf.DUMMYFUNCTION("""COMPUTED_VALUE"""),"قمر بنی هاشم")</f>
        <v>قمر بنی هاشم</v>
      </c>
      <c r="D116" s="5" t="str">
        <f>IFERROR(__xludf.DUMMYFUNCTION("""COMPUTED_VALUE"""),"مازندران")</f>
        <v>مازندران</v>
      </c>
      <c r="E116" s="5" t="str">
        <f>IFERROR(__xludf.DUMMYFUNCTION("""COMPUTED_VALUE"""),"بهشهر")</f>
        <v>بهشهر</v>
      </c>
      <c r="F116" s="5"/>
      <c r="G116" s="5"/>
      <c r="H116" s="6" t="str">
        <f>IFERROR(__xludf.DUMMYFUNCTION("""COMPUTED_VALUE"""),"https://www.instagram.com/ghamarbanihashembehshahr/")</f>
        <v>https://www.instagram.com/ghamarbanihashembehshahr/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>
      <c r="A117" s="5"/>
      <c r="B117" s="5" t="str">
        <f>IFERROR(__xludf.DUMMYFUNCTION("""COMPUTED_VALUE"""),"هیأت")</f>
        <v>هیأت</v>
      </c>
      <c r="C117" s="5" t="str">
        <f>IFERROR(__xludf.DUMMYFUNCTION("""COMPUTED_VALUE"""),"قمر بنی هاشم")</f>
        <v>قمر بنی هاشم</v>
      </c>
      <c r="D117" s="5" t="str">
        <f>IFERROR(__xludf.DUMMYFUNCTION("""COMPUTED_VALUE"""),"مازندران")</f>
        <v>مازندران</v>
      </c>
      <c r="E117" s="5" t="str">
        <f>IFERROR(__xludf.DUMMYFUNCTION("""COMPUTED_VALUE"""),"بهشهر")</f>
        <v>بهشهر</v>
      </c>
      <c r="F117" s="5" t="str">
        <f>IFERROR(__xludf.DUMMYFUNCTION("""COMPUTED_VALUE"""),"گرائیل محله")</f>
        <v>گرائیل محله</v>
      </c>
      <c r="G117" s="5"/>
      <c r="H117" s="6" t="str">
        <f>IFERROR(__xludf.DUMMYFUNCTION("""COMPUTED_VALUE"""),"https://www.instagram.com/ghamarebanihasheme133/")</f>
        <v>https://www.instagram.com/ghamarebanihasheme133/</v>
      </c>
      <c r="I117" s="6" t="str">
        <f>IFERROR(__xludf.DUMMYFUNCTION("""COMPUTED_VALUE"""),"https://t.me/ghamare_bani_hashem_behshahr")</f>
        <v>https://t.me/ghamare_bani_hashem_behshahr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>
      <c r="A118" s="5"/>
      <c r="B118" s="5" t="str">
        <f>IFERROR(__xludf.DUMMYFUNCTION("""COMPUTED_VALUE"""),"هیأت")</f>
        <v>هیأت</v>
      </c>
      <c r="C118" s="5" t="str">
        <f>IFERROR(__xludf.DUMMYFUNCTION("""COMPUTED_VALUE"""),"ابالفضلیا امامزاده عبدالحق")</f>
        <v>ابالفضلیا امامزاده عبدالحق</v>
      </c>
      <c r="D118" s="5" t="str">
        <f>IFERROR(__xludf.DUMMYFUNCTION("""COMPUTED_VALUE"""),"مازندران")</f>
        <v>مازندران</v>
      </c>
      <c r="E118" s="5" t="str">
        <f>IFERROR(__xludf.DUMMYFUNCTION("""COMPUTED_VALUE"""),"بهشهر")</f>
        <v>بهشهر</v>
      </c>
      <c r="F118" s="5"/>
      <c r="G118" s="5"/>
      <c r="H118" s="6" t="str">
        <f>IFERROR(__xludf.DUMMYFUNCTION("""COMPUTED_VALUE"""),"https://www.instagram.com/abalfazlia.behshahr")</f>
        <v>https://www.instagram.com/abalfazlia.behshahr</v>
      </c>
      <c r="I118" s="6" t="str">
        <f>IFERROR(__xludf.DUMMYFUNCTION("""COMPUTED_VALUE"""),"https://t.me/abalfazliah")</f>
        <v>https://t.me/abalfazliah</v>
      </c>
      <c r="J118" s="6" t="str">
        <f>IFERROR(__xludf.DUMMYFUNCTION("""COMPUTED_VALUE"""),"https://eitaa.com/abaalfazlya_behshahr")</f>
        <v>https://eitaa.com/abaalfazlya_behshahr</v>
      </c>
      <c r="K118" s="5"/>
      <c r="L118" s="5"/>
      <c r="M118" s="5"/>
      <c r="N118" s="5"/>
      <c r="O118" s="5"/>
      <c r="P118" s="5"/>
      <c r="Q118" s="5"/>
      <c r="R118" s="5"/>
      <c r="S118" s="5"/>
    </row>
    <row r="119">
      <c r="A119" s="5"/>
      <c r="B119" s="5" t="str">
        <f>IFERROR(__xludf.DUMMYFUNCTION("""COMPUTED_VALUE"""),"هیأت")</f>
        <v>هیأت</v>
      </c>
      <c r="C119" s="5" t="str">
        <f>IFERROR(__xludf.DUMMYFUNCTION("""COMPUTED_VALUE"""),"گروه فرهنگی عاشورائیان مسجد گرجی پائین")</f>
        <v>گروه فرهنگی عاشورائیان مسجد گرجی پائین</v>
      </c>
      <c r="D119" s="5" t="str">
        <f>IFERROR(__xludf.DUMMYFUNCTION("""COMPUTED_VALUE"""),"مازندران")</f>
        <v>مازندران</v>
      </c>
      <c r="E119" s="5" t="str">
        <f>IFERROR(__xludf.DUMMYFUNCTION("""COMPUTED_VALUE"""),"بهشهر")</f>
        <v>بهشهر</v>
      </c>
      <c r="F119" s="5"/>
      <c r="G119" s="5"/>
      <c r="H119" s="6" t="str">
        <f>IFERROR(__xludf.DUMMYFUNCTION("""COMPUTED_VALUE"""),"https://www.instagram.com/ashouraeiyaan")</f>
        <v>https://www.instagram.com/ashouraeiyaan</v>
      </c>
      <c r="I119" s="6" t="str">
        <f>IFERROR(__xludf.DUMMYFUNCTION("""COMPUTED_VALUE"""),"https://t.me/gorjichannel")</f>
        <v>https://t.me/gorjichannel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>
      <c r="A120" s="5"/>
      <c r="B120" s="5" t="str">
        <f>IFERROR(__xludf.DUMMYFUNCTION("""COMPUTED_VALUE"""),"هیأت")</f>
        <v>هیأت</v>
      </c>
      <c r="C120" s="5" t="str">
        <f>IFERROR(__xludf.DUMMYFUNCTION("""COMPUTED_VALUE"""),"حضرت علی اکبر")</f>
        <v>حضرت علی اکبر</v>
      </c>
      <c r="D120" s="5" t="str">
        <f>IFERROR(__xludf.DUMMYFUNCTION("""COMPUTED_VALUE"""),"مازندران")</f>
        <v>مازندران</v>
      </c>
      <c r="E120" s="5" t="str">
        <f>IFERROR(__xludf.DUMMYFUNCTION("""COMPUTED_VALUE"""),"بهشهر")</f>
        <v>بهشهر</v>
      </c>
      <c r="F120" s="5"/>
      <c r="G120" s="5"/>
      <c r="H120" s="6" t="str">
        <f>IFERROR(__xludf.DUMMYFUNCTION("""COMPUTED_VALUE"""),"https://www.instagram.com/heyaat_hazrat_aliakbar1384")</f>
        <v>https://www.instagram.com/heyaat_hazrat_aliakbar1384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>
      <c r="A121" s="5"/>
      <c r="B121" s="5" t="str">
        <f>IFERROR(__xludf.DUMMYFUNCTION("""COMPUTED_VALUE"""),"هیأت")</f>
        <v>هیأت</v>
      </c>
      <c r="C121" s="5" t="str">
        <f>IFERROR(__xludf.DUMMYFUNCTION("""COMPUTED_VALUE"""),"خادم الرضا")</f>
        <v>خادم الرضا</v>
      </c>
      <c r="D121" s="5" t="str">
        <f>IFERROR(__xludf.DUMMYFUNCTION("""COMPUTED_VALUE"""),"مازندران")</f>
        <v>مازندران</v>
      </c>
      <c r="E121" s="5" t="str">
        <f>IFERROR(__xludf.DUMMYFUNCTION("""COMPUTED_VALUE"""),"بهشهر")</f>
        <v>بهشهر</v>
      </c>
      <c r="F121" s="5"/>
      <c r="G121" s="5"/>
      <c r="H121" s="6" t="str">
        <f>IFERROR(__xludf.DUMMYFUNCTION("""COMPUTED_VALUE"""),"https://www.instagram.com/khademalreza__94")</f>
        <v>https://www.instagram.com/khademalreza__94</v>
      </c>
      <c r="I121" s="6" t="str">
        <f>IFERROR(__xludf.DUMMYFUNCTION("""COMPUTED_VALUE"""),"https://t.me/khademoreza118")</f>
        <v>https://t.me/khademoreza118</v>
      </c>
      <c r="J121" s="6" t="str">
        <f>IFERROR(__xludf.DUMMYFUNCTION("""COMPUTED_VALUE"""),"https://eitaa.com/khademin_behshahr")</f>
        <v>https://eitaa.com/khademin_behshahr</v>
      </c>
      <c r="K121" s="5"/>
      <c r="L121" s="5"/>
      <c r="M121" s="5"/>
      <c r="N121" s="5"/>
      <c r="O121" s="5"/>
      <c r="P121" s="5"/>
      <c r="Q121" s="5"/>
      <c r="R121" s="5"/>
      <c r="S121" s="5"/>
    </row>
    <row r="122">
      <c r="A122" s="5"/>
      <c r="B122" s="5" t="str">
        <f>IFERROR(__xludf.DUMMYFUNCTION("""COMPUTED_VALUE"""),"هیأت")</f>
        <v>هیأت</v>
      </c>
      <c r="C122" s="5" t="str">
        <f>IFERROR(__xludf.DUMMYFUNCTION("""COMPUTED_VALUE"""),"محبین الحسین")</f>
        <v>محبین الحسین</v>
      </c>
      <c r="D122" s="5" t="str">
        <f>IFERROR(__xludf.DUMMYFUNCTION("""COMPUTED_VALUE"""),"مازندران")</f>
        <v>مازندران</v>
      </c>
      <c r="E122" s="5" t="str">
        <f>IFERROR(__xludf.DUMMYFUNCTION("""COMPUTED_VALUE"""),"بهشهر")</f>
        <v>بهشهر</v>
      </c>
      <c r="F122" s="5"/>
      <c r="G122" s="5"/>
      <c r="H122" s="6" t="str">
        <f>IFERROR(__xludf.DUMMYFUNCTION("""COMPUTED_VALUE"""),"https://www.instagram.com/heyat.mohebbinolhossein/")</f>
        <v>https://www.instagram.com/heyat.mohebbinolhossein/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>
      <c r="A123" s="5"/>
      <c r="B123" s="5" t="str">
        <f>IFERROR(__xludf.DUMMYFUNCTION("""COMPUTED_VALUE"""),"هیأت بانوان")</f>
        <v>هیأت بانوان</v>
      </c>
      <c r="C123" s="5" t="str">
        <f>IFERROR(__xludf.DUMMYFUNCTION("""COMPUTED_VALUE"""),"آل یاسین")</f>
        <v>آل یاسین</v>
      </c>
      <c r="D123" s="5" t="str">
        <f>IFERROR(__xludf.DUMMYFUNCTION("""COMPUTED_VALUE"""),"مازندران")</f>
        <v>مازندران</v>
      </c>
      <c r="E123" s="5" t="str">
        <f>IFERROR(__xludf.DUMMYFUNCTION("""COMPUTED_VALUE"""),"بهشهر")</f>
        <v>بهشهر</v>
      </c>
      <c r="F123" s="5"/>
      <c r="G123" s="5"/>
      <c r="H123" s="6" t="str">
        <f>IFERROR(__xludf.DUMMYFUNCTION("""COMPUTED_VALUE"""),"https://www.instagram.com/alyasin_behshahr/")</f>
        <v>https://www.instagram.com/alyasin_behshahr/</v>
      </c>
      <c r="I123" s="6" t="str">
        <f>IFERROR(__xludf.DUMMYFUNCTION("""COMPUTED_VALUE"""),"https://t.me/Alyasin_behshahr")</f>
        <v>https://t.me/Alyasin_behshahr</v>
      </c>
      <c r="J123" s="6" t="str">
        <f>IFERROR(__xludf.DUMMYFUNCTION("""COMPUTED_VALUE"""),"https://eitaa.com/alyasin_behshahr")</f>
        <v>https://eitaa.com/alyasin_behshahr</v>
      </c>
      <c r="K123" s="5"/>
      <c r="L123" s="5"/>
      <c r="M123" s="5"/>
      <c r="N123" s="5"/>
      <c r="O123" s="5"/>
      <c r="P123" s="5"/>
      <c r="Q123" s="5"/>
      <c r="R123" s="5"/>
      <c r="S123" s="5"/>
    </row>
    <row r="124">
      <c r="A124" s="5"/>
      <c r="B124" s="5" t="str">
        <f>IFERROR(__xludf.DUMMYFUNCTION("""COMPUTED_VALUE"""),"هیأت دخترانه")</f>
        <v>هیأت دخترانه</v>
      </c>
      <c r="C124" s="5" t="str">
        <f>IFERROR(__xludf.DUMMYFUNCTION("""COMPUTED_VALUE"""),"یمنا")</f>
        <v>یمنا</v>
      </c>
      <c r="D124" s="5" t="str">
        <f>IFERROR(__xludf.DUMMYFUNCTION("""COMPUTED_VALUE"""),"مازندران")</f>
        <v>مازندران</v>
      </c>
      <c r="E124" s="5" t="str">
        <f>IFERROR(__xludf.DUMMYFUNCTION("""COMPUTED_VALUE"""),"بهشهر")</f>
        <v>بهشهر</v>
      </c>
      <c r="F124" s="5"/>
      <c r="G124" s="5"/>
      <c r="H124" s="6" t="str">
        <f>IFERROR(__xludf.DUMMYFUNCTION("""COMPUTED_VALUE"""),"https://www.instagram.com/yomna313_98/")</f>
        <v>https://www.instagram.com/yomna313_98/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>
      <c r="A125" s="5"/>
      <c r="B125" s="5" t="str">
        <f>IFERROR(__xludf.DUMMYFUNCTION("""COMPUTED_VALUE"""),"هیأت")</f>
        <v>هیأت</v>
      </c>
      <c r="C125" s="5" t="str">
        <f>IFERROR(__xludf.DUMMYFUNCTION("""COMPUTED_VALUE"""),"زوارالعباس")</f>
        <v>زوارالعباس</v>
      </c>
      <c r="D125" s="5" t="str">
        <f>IFERROR(__xludf.DUMMYFUNCTION("""COMPUTED_VALUE"""),"مازندران")</f>
        <v>مازندران</v>
      </c>
      <c r="E125" s="5" t="str">
        <f>IFERROR(__xludf.DUMMYFUNCTION("""COMPUTED_VALUE"""),"تنکابن")</f>
        <v>تنکابن</v>
      </c>
      <c r="F125" s="5"/>
      <c r="G125" s="5"/>
      <c r="H125" s="6" t="str">
        <f>IFERROR(__xludf.DUMMYFUNCTION("""COMPUTED_VALUE"""),"https://www.instagram.com/zovarol_abbas/")</f>
        <v>https://www.instagram.com/zovarol_abbas/</v>
      </c>
      <c r="I125" s="6" t="str">
        <f>IFERROR(__xludf.DUMMYFUNCTION("""COMPUTED_VALUE"""),"https://t.me/mahfelzovarolabbas")</f>
        <v>https://t.me/mahfelzovarolabbas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>
      <c r="A126" s="5"/>
      <c r="B126" s="5" t="str">
        <f>IFERROR(__xludf.DUMMYFUNCTION("""COMPUTED_VALUE"""),"هیأت")</f>
        <v>هیأت</v>
      </c>
      <c r="C126" s="5" t="str">
        <f>IFERROR(__xludf.DUMMYFUNCTION("""COMPUTED_VALUE"""),"جنت الحسین")</f>
        <v>جنت الحسین</v>
      </c>
      <c r="D126" s="5" t="str">
        <f>IFERROR(__xludf.DUMMYFUNCTION("""COMPUTED_VALUE"""),"مازندران")</f>
        <v>مازندران</v>
      </c>
      <c r="E126" s="5" t="str">
        <f>IFERROR(__xludf.DUMMYFUNCTION("""COMPUTED_VALUE"""),"تنکابن")</f>
        <v>تنکابن</v>
      </c>
      <c r="F126" s="5"/>
      <c r="G126" s="5"/>
      <c r="H126" s="6" t="str">
        <f>IFERROR(__xludf.DUMMYFUNCTION("""COMPUTED_VALUE"""),"https://www.instagram.com/heyatejanatol_hosseins/")</f>
        <v>https://www.instagram.com/heyatejanatol_hosseins/</v>
      </c>
      <c r="I126" s="6" t="str">
        <f>IFERROR(__xludf.DUMMYFUNCTION("""COMPUTED_VALUE"""),"https://t.me/janatolhoseintonekabon")</f>
        <v>https://t.me/janatolhoseintonekabon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>
      <c r="A127" s="5"/>
      <c r="B127" s="5" t="str">
        <f>IFERROR(__xludf.DUMMYFUNCTION("""COMPUTED_VALUE"""),"هیأت")</f>
        <v>هیأت</v>
      </c>
      <c r="C127" s="5" t="str">
        <f>IFERROR(__xludf.DUMMYFUNCTION("""COMPUTED_VALUE"""),"فدائیان بی بی زینب")</f>
        <v>فدائیان بی بی زینب</v>
      </c>
      <c r="D127" s="5" t="str">
        <f>IFERROR(__xludf.DUMMYFUNCTION("""COMPUTED_VALUE"""),"مازندران")</f>
        <v>مازندران</v>
      </c>
      <c r="E127" s="5" t="str">
        <f>IFERROR(__xludf.DUMMYFUNCTION("""COMPUTED_VALUE"""),"تنکابن")</f>
        <v>تنکابن</v>
      </c>
      <c r="F127" s="5"/>
      <c r="G127" s="5"/>
      <c r="H127" s="6" t="str">
        <f>IFERROR(__xludf.DUMMYFUNCTION("""COMPUTED_VALUE"""),"https://www.instagram.com/heyat_fadaeiyan_bibi_zeynab/")</f>
        <v>https://www.instagram.com/heyat_fadaeiyan_bibi_zeynab/</v>
      </c>
      <c r="I127" s="6" t="str">
        <f>IFERROR(__xludf.DUMMYFUNCTION("""COMPUTED_VALUE"""),"https://t.me/fadaeiyanbibizeynab")</f>
        <v>https://t.me/fadaeiyanbibizeynab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>
      <c r="A128" s="5"/>
      <c r="B128" s="5" t="str">
        <f>IFERROR(__xludf.DUMMYFUNCTION("""COMPUTED_VALUE"""),"هیأت")</f>
        <v>هیأت</v>
      </c>
      <c r="C128" s="5" t="str">
        <f>IFERROR(__xludf.DUMMYFUNCTION("""COMPUTED_VALUE"""),"رزمندگان")</f>
        <v>رزمندگان</v>
      </c>
      <c r="D128" s="5" t="str">
        <f>IFERROR(__xludf.DUMMYFUNCTION("""COMPUTED_VALUE"""),"مازندران")</f>
        <v>مازندران</v>
      </c>
      <c r="E128" s="5" t="str">
        <f>IFERROR(__xludf.DUMMYFUNCTION("""COMPUTED_VALUE"""),"تنکابن")</f>
        <v>تنکابن</v>
      </c>
      <c r="F128" s="5"/>
      <c r="G128" s="5"/>
      <c r="H128" s="5"/>
      <c r="I128" s="5"/>
      <c r="J128" s="6" t="str">
        <f>IFERROR(__xludf.DUMMYFUNCTION("""COMPUTED_VALUE"""),"https://eitaa.com/razmandegantonekabon")</f>
        <v>https://eitaa.com/razmandegantonekabon</v>
      </c>
      <c r="K128" s="5"/>
      <c r="L128" s="5"/>
      <c r="M128" s="5"/>
      <c r="N128" s="5"/>
      <c r="O128" s="5"/>
      <c r="P128" s="5"/>
      <c r="Q128" s="5"/>
      <c r="R128" s="5"/>
      <c r="S128" s="5"/>
    </row>
    <row r="129">
      <c r="A129" s="5"/>
      <c r="B129" s="5" t="str">
        <f>IFERROR(__xludf.DUMMYFUNCTION("""COMPUTED_VALUE"""),"هیأت")</f>
        <v>هیأت</v>
      </c>
      <c r="C129" s="5" t="str">
        <f>IFERROR(__xludf.DUMMYFUNCTION("""COMPUTED_VALUE"""),"عاشقان ابالفضل")</f>
        <v>عاشقان ابالفضل</v>
      </c>
      <c r="D129" s="5" t="str">
        <f>IFERROR(__xludf.DUMMYFUNCTION("""COMPUTED_VALUE"""),"مازندران")</f>
        <v>مازندران</v>
      </c>
      <c r="E129" s="5" t="str">
        <f>IFERROR(__xludf.DUMMYFUNCTION("""COMPUTED_VALUE"""),"تنکابن")</f>
        <v>تنکابن</v>
      </c>
      <c r="F129" s="5"/>
      <c r="G129" s="5"/>
      <c r="H129" s="6" t="str">
        <f>IFERROR(__xludf.DUMMYFUNCTION("""COMPUTED_VALUE"""),"https://www.instagram.com/asheghanabalfazll/")</f>
        <v>https://www.instagram.com/asheghanabalfazll/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>
      <c r="A130" s="5"/>
      <c r="B130" s="5" t="str">
        <f>IFERROR(__xludf.DUMMYFUNCTION("""COMPUTED_VALUE"""),"هیأت")</f>
        <v>هیأت</v>
      </c>
      <c r="C130" s="5" t="str">
        <f>IFERROR(__xludf.DUMMYFUNCTION("""COMPUTED_VALUE"""),"شاه کربلا")</f>
        <v>شاه کربلا</v>
      </c>
      <c r="D130" s="5" t="str">
        <f>IFERROR(__xludf.DUMMYFUNCTION("""COMPUTED_VALUE"""),"مازندران")</f>
        <v>مازندران</v>
      </c>
      <c r="E130" s="5" t="str">
        <f>IFERROR(__xludf.DUMMYFUNCTION("""COMPUTED_VALUE"""),"تنکابن")</f>
        <v>تنکابن</v>
      </c>
      <c r="F130" s="5"/>
      <c r="G130" s="5"/>
      <c r="H130" s="6" t="str">
        <f>IFERROR(__xludf.DUMMYFUNCTION("""COMPUTED_VALUE"""),"https://www.instagram.com/heiat.shahekarbala")</f>
        <v>https://www.instagram.com/heiat.shahekarbala</v>
      </c>
      <c r="I130" s="6" t="str">
        <f>IFERROR(__xludf.DUMMYFUNCTION("""COMPUTED_VALUE"""),"https://t.me/heiatshahekarbala")</f>
        <v>https://t.me/heiatshahekarbala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>
      <c r="A131" s="5"/>
      <c r="B131" s="5" t="str">
        <f>IFERROR(__xludf.DUMMYFUNCTION("""COMPUTED_VALUE"""),"هیأت")</f>
        <v>هیأت</v>
      </c>
      <c r="C131" s="5" t="str">
        <f>IFERROR(__xludf.DUMMYFUNCTION("""COMPUTED_VALUE"""),"یالثارات الحسین")</f>
        <v>یالثارات الحسین</v>
      </c>
      <c r="D131" s="5" t="str">
        <f>IFERROR(__xludf.DUMMYFUNCTION("""COMPUTED_VALUE"""),"مازندران")</f>
        <v>مازندران</v>
      </c>
      <c r="E131" s="5" t="str">
        <f>IFERROR(__xludf.DUMMYFUNCTION("""COMPUTED_VALUE"""),"تنکابن")</f>
        <v>تنکابن</v>
      </c>
      <c r="F131" s="5"/>
      <c r="G131" s="5"/>
      <c r="H131" s="5"/>
      <c r="I131" s="5"/>
      <c r="J131" s="6" t="str">
        <f>IFERROR(__xludf.DUMMYFUNCTION("""COMPUTED_VALUE"""),"https://eitaa.com/yalesaratalhosyntnkabon")</f>
        <v>https://eitaa.com/yalesaratalhosyntnkabon</v>
      </c>
      <c r="K131" s="5"/>
      <c r="L131" s="5"/>
      <c r="M131" s="5"/>
      <c r="N131" s="5"/>
      <c r="O131" s="5"/>
      <c r="P131" s="5"/>
      <c r="Q131" s="5"/>
      <c r="R131" s="5"/>
      <c r="S131" s="5"/>
    </row>
    <row r="132">
      <c r="A132" s="5"/>
      <c r="B132" s="5" t="str">
        <f>IFERROR(__xludf.DUMMYFUNCTION("""COMPUTED_VALUE"""),"هیأت")</f>
        <v>هیأت</v>
      </c>
      <c r="C132" s="5" t="str">
        <f>IFERROR(__xludf.DUMMYFUNCTION("""COMPUTED_VALUE"""),"انصارالمهدی شهدا")</f>
        <v>انصارالمهدی شهدا</v>
      </c>
      <c r="D132" s="5" t="str">
        <f>IFERROR(__xludf.DUMMYFUNCTION("""COMPUTED_VALUE"""),"مازندران")</f>
        <v>مازندران</v>
      </c>
      <c r="E132" s="5" t="str">
        <f>IFERROR(__xludf.DUMMYFUNCTION("""COMPUTED_VALUE"""),"تنکابن")</f>
        <v>تنکابن</v>
      </c>
      <c r="F132" s="5"/>
      <c r="G132" s="5"/>
      <c r="H132" s="6" t="str">
        <f>IFERROR(__xludf.DUMMYFUNCTION("""COMPUTED_VALUE"""),"https://www.instagram.com/heyatansarir/")</f>
        <v>https://www.instagram.com/heyatansarir/</v>
      </c>
      <c r="I132" s="5"/>
      <c r="J132" s="6" t="str">
        <f>IFERROR(__xludf.DUMMYFUNCTION("""COMPUTED_VALUE"""),"https://eitaa.com/heyatansarir")</f>
        <v>https://eitaa.com/heyatansarir</v>
      </c>
      <c r="K132" s="5"/>
      <c r="L132" s="5"/>
      <c r="M132" s="5"/>
      <c r="N132" s="5"/>
      <c r="O132" s="5"/>
      <c r="P132" s="5"/>
      <c r="Q132" s="5"/>
      <c r="R132" s="5"/>
      <c r="S132" s="5"/>
    </row>
    <row r="133">
      <c r="A133" s="5"/>
      <c r="B133" s="5" t="str">
        <f>IFERROR(__xludf.DUMMYFUNCTION("""COMPUTED_VALUE"""),"هیأت")</f>
        <v>هیأت</v>
      </c>
      <c r="C133" s="5" t="str">
        <f>IFERROR(__xludf.DUMMYFUNCTION("""COMPUTED_VALUE"""),"علمدار مودب")</f>
        <v>علمدار مودب</v>
      </c>
      <c r="D133" s="5" t="str">
        <f>IFERROR(__xludf.DUMMYFUNCTION("""COMPUTED_VALUE"""),"مازندران")</f>
        <v>مازندران</v>
      </c>
      <c r="E133" s="5" t="str">
        <f>IFERROR(__xludf.DUMMYFUNCTION("""COMPUTED_VALUE"""),"تنکابن")</f>
        <v>تنکابن</v>
      </c>
      <c r="F133" s="5" t="str">
        <f>IFERROR(__xludf.DUMMYFUNCTION("""COMPUTED_VALUE"""),"شیرود")</f>
        <v>شیرود</v>
      </c>
      <c r="G133" s="5"/>
      <c r="H133" s="6" t="str">
        <f>IFERROR(__xludf.DUMMYFUNCTION("""COMPUTED_VALUE"""),"https://www.instagram.com/alamdar_moaddab/")</f>
        <v>https://www.instagram.com/alamdar_moaddab/</v>
      </c>
      <c r="I133" s="6" t="str">
        <f>IFERROR(__xludf.DUMMYFUNCTION("""COMPUTED_VALUE"""),"https://t.me/alamdar_moaddab")</f>
        <v>https://t.me/alamdar_moaddab</v>
      </c>
      <c r="J133" s="6" t="str">
        <f>IFERROR(__xludf.DUMMYFUNCTION("""COMPUTED_VALUE"""),"https://eitaa.com/alamdar_moaddab")</f>
        <v>https://eitaa.com/alamdar_moaddab</v>
      </c>
      <c r="K133" s="5"/>
      <c r="L133" s="5"/>
      <c r="M133" s="5"/>
      <c r="N133" s="5"/>
      <c r="O133" s="5"/>
      <c r="P133" s="5"/>
      <c r="Q133" s="5"/>
      <c r="R133" s="5"/>
      <c r="S133" s="5"/>
    </row>
    <row r="134">
      <c r="A134" s="5"/>
      <c r="B134" s="5" t="str">
        <f>IFERROR(__xludf.DUMMYFUNCTION("""COMPUTED_VALUE"""),"هیأت")</f>
        <v>هیأت</v>
      </c>
      <c r="C134" s="5" t="str">
        <f>IFERROR(__xludf.DUMMYFUNCTION("""COMPUTED_VALUE"""),"جوانان علمدار")</f>
        <v>جوانان علمدار</v>
      </c>
      <c r="D134" s="5" t="str">
        <f>IFERROR(__xludf.DUMMYFUNCTION("""COMPUTED_VALUE"""),"مازندران")</f>
        <v>مازندران</v>
      </c>
      <c r="E134" s="5" t="str">
        <f>IFERROR(__xludf.DUMMYFUNCTION("""COMPUTED_VALUE"""),"تنکابن")</f>
        <v>تنکابن</v>
      </c>
      <c r="F134" s="5" t="str">
        <f>IFERROR(__xludf.DUMMYFUNCTION("""COMPUTED_VALUE"""),"قلعه‌گردن/ بلده‌سفلی/ مسجد حضرت ابوالفضل علیه‌السلام")</f>
        <v>قلعه‌گردن/ بلده‌سفلی/ مسجد حضرت ابوالفضل علیه‌السلام</v>
      </c>
      <c r="G134" s="5"/>
      <c r="H134" s="6" t="str">
        <f>IFERROR(__xludf.DUMMYFUNCTION("""COMPUTED_VALUE"""),"https://www.instagram.com/heyat_alamdar")</f>
        <v>https://www.instagram.com/heyat_alamdar</v>
      </c>
      <c r="I134" s="6" t="str">
        <f>IFERROR(__xludf.DUMMYFUNCTION("""COMPUTED_VALUE"""),"https://t.me/heyat_alamdar313")</f>
        <v>https://t.me/heyat_alamdar313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>
      <c r="A135" s="5"/>
      <c r="B135" s="5" t="str">
        <f>IFERROR(__xludf.DUMMYFUNCTION("""COMPUTED_VALUE"""),"هیأت")</f>
        <v>هیأت</v>
      </c>
      <c r="C135" s="5" t="str">
        <f>IFERROR(__xludf.DUMMYFUNCTION("""COMPUTED_VALUE"""),"جوانان عشاق الرضا")</f>
        <v>جوانان عشاق الرضا</v>
      </c>
      <c r="D135" s="5" t="str">
        <f>IFERROR(__xludf.DUMMYFUNCTION("""COMPUTED_VALUE"""),"مازندران")</f>
        <v>مازندران</v>
      </c>
      <c r="E135" s="5" t="str">
        <f>IFERROR(__xludf.DUMMYFUNCTION("""COMPUTED_VALUE"""),"تنکابن")</f>
        <v>تنکابن</v>
      </c>
      <c r="F135" s="5"/>
      <c r="G135" s="5"/>
      <c r="H135" s="6" t="str">
        <f>IFERROR(__xludf.DUMMYFUNCTION("""COMPUTED_VALUE"""),"https://www.instagram.com/oshaghoreza_ir/")</f>
        <v>https://www.instagram.com/oshaghoreza_ir/</v>
      </c>
      <c r="I135" s="6" t="str">
        <f>IFERROR(__xludf.DUMMYFUNCTION("""COMPUTED_VALUE"""),"https://t.me/oshaghoreza_ir")</f>
        <v>https://t.me/oshaghoreza_ir</v>
      </c>
      <c r="J135" s="6" t="str">
        <f>IFERROR(__xludf.DUMMYFUNCTION("""COMPUTED_VALUE"""),"https://eitaa.com/oshaghorezair")</f>
        <v>https://eitaa.com/oshaghorezair</v>
      </c>
      <c r="K135" s="5"/>
      <c r="L135" s="5"/>
      <c r="M135" s="5"/>
      <c r="N135" s="5"/>
      <c r="O135" s="5"/>
      <c r="P135" s="5"/>
      <c r="Q135" s="5"/>
      <c r="R135" s="5"/>
      <c r="S135" s="5"/>
    </row>
    <row r="136">
      <c r="A136" s="5"/>
      <c r="B136" s="5" t="str">
        <f>IFERROR(__xludf.DUMMYFUNCTION("""COMPUTED_VALUE"""),"هیأت")</f>
        <v>هیأت</v>
      </c>
      <c r="C136" s="5" t="str">
        <f>IFERROR(__xludf.DUMMYFUNCTION("""COMPUTED_VALUE"""),"انصارالزهرا")</f>
        <v>انصارالزهرا</v>
      </c>
      <c r="D136" s="5" t="str">
        <f>IFERROR(__xludf.DUMMYFUNCTION("""COMPUTED_VALUE"""),"مازندران")</f>
        <v>مازندران</v>
      </c>
      <c r="E136" s="5" t="str">
        <f>IFERROR(__xludf.DUMMYFUNCTION("""COMPUTED_VALUE"""),"تنکابن")</f>
        <v>تنکابن</v>
      </c>
      <c r="F136" s="5"/>
      <c r="G136" s="5"/>
      <c r="H136" s="6" t="str">
        <f>IFERROR(__xludf.DUMMYFUNCTION("""COMPUTED_VALUE"""),"https://www.instagram.com/ansarozzahra_ir/")</f>
        <v>https://www.instagram.com/ansarozzahra_ir/</v>
      </c>
      <c r="I136" s="6" t="str">
        <f>IFERROR(__xludf.DUMMYFUNCTION("""COMPUTED_VALUE"""),"https://t.me/ansarozzahra_ir")</f>
        <v>https://t.me/ansarozzahra_ir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>
      <c r="A137" s="5"/>
      <c r="B137" s="5" t="str">
        <f>IFERROR(__xludf.DUMMYFUNCTION("""COMPUTED_VALUE"""),"هیأت")</f>
        <v>هیأت</v>
      </c>
      <c r="C137" s="5" t="str">
        <f>IFERROR(__xludf.DUMMYFUNCTION("""COMPUTED_VALUE"""),"سقاخونه")</f>
        <v>سقاخونه</v>
      </c>
      <c r="D137" s="5" t="str">
        <f>IFERROR(__xludf.DUMMYFUNCTION("""COMPUTED_VALUE"""),"مازندران")</f>
        <v>مازندران</v>
      </c>
      <c r="E137" s="5" t="str">
        <f>IFERROR(__xludf.DUMMYFUNCTION("""COMPUTED_VALUE"""),"تنکابن")</f>
        <v>تنکابن</v>
      </c>
      <c r="F137" s="5"/>
      <c r="G137" s="5"/>
      <c r="H137" s="6" t="str">
        <f>IFERROR(__xludf.DUMMYFUNCTION("""COMPUTED_VALUE"""),"https://www.instagram.com/saghakhuneh.ir/")</f>
        <v>https://www.instagram.com/saghakhuneh.ir/</v>
      </c>
      <c r="I137" s="6" t="str">
        <f>IFERROR(__xludf.DUMMYFUNCTION("""COMPUTED_VALUE"""),"https://t.me/saghakhuneh_ir")</f>
        <v>https://t.me/saghakhuneh_ir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>
      <c r="A138" s="5"/>
      <c r="B138" s="5" t="str">
        <f>IFERROR(__xludf.DUMMYFUNCTION("""COMPUTED_VALUE"""),"هیأت")</f>
        <v>هیأت</v>
      </c>
      <c r="C138" s="5" t="str">
        <f>IFERROR(__xludf.DUMMYFUNCTION("""COMPUTED_VALUE"""),"انصارالحسین")</f>
        <v>انصارالحسین</v>
      </c>
      <c r="D138" s="5" t="str">
        <f>IFERROR(__xludf.DUMMYFUNCTION("""COMPUTED_VALUE"""),"مازندران")</f>
        <v>مازندران</v>
      </c>
      <c r="E138" s="5" t="str">
        <f>IFERROR(__xludf.DUMMYFUNCTION("""COMPUTED_VALUE"""),"جویبار")</f>
        <v>جویبار</v>
      </c>
      <c r="F138" s="5"/>
      <c r="G138" s="5"/>
      <c r="H138" s="6" t="str">
        <f>IFERROR(__xludf.DUMMYFUNCTION("""COMPUTED_VALUE"""),"https://www.instagram.com/ansarolhosein_juybar/")</f>
        <v>https://www.instagram.com/ansarolhosein_juybar/</v>
      </c>
      <c r="I138" s="6" t="str">
        <f>IFERROR(__xludf.DUMMYFUNCTION("""COMPUTED_VALUE"""),"https://t.me/ansarolhosein_juybar")</f>
        <v>https://t.me/ansarolhosein_juybar</v>
      </c>
      <c r="J138" s="6" t="str">
        <f>IFERROR(__xludf.DUMMYFUNCTION("""COMPUTED_VALUE"""),"https://eitaa.com/ansarrol_hossein")</f>
        <v>https://eitaa.com/ansarrol_hossein</v>
      </c>
      <c r="K138" s="6" t="str">
        <f>IFERROR(__xludf.DUMMYFUNCTION("""COMPUTED_VALUE"""),"https://www.youtube.com/@resalatolhossein")</f>
        <v>https://www.youtube.com/@resalatolhossein</v>
      </c>
      <c r="L138" s="5"/>
      <c r="M138" s="5"/>
      <c r="N138" s="5"/>
      <c r="O138" s="5"/>
      <c r="P138" s="5"/>
      <c r="Q138" s="5"/>
      <c r="R138" s="5"/>
      <c r="S138" s="5" t="str">
        <f>IFERROR(__xludf.DUMMYFUNCTION("""COMPUTED_VALUE"""),"DDDDDDD")</f>
        <v>DDDDDDD</v>
      </c>
    </row>
    <row r="139">
      <c r="A139" s="5"/>
      <c r="B139" s="5" t="str">
        <f>IFERROR(__xludf.DUMMYFUNCTION("""COMPUTED_VALUE"""),"هیأت")</f>
        <v>هیأت</v>
      </c>
      <c r="C139" s="5" t="str">
        <f>IFERROR(__xludf.DUMMYFUNCTION("""COMPUTED_VALUE"""),"محبین اهل بیت")</f>
        <v>محبین اهل بیت</v>
      </c>
      <c r="D139" s="5" t="str">
        <f>IFERROR(__xludf.DUMMYFUNCTION("""COMPUTED_VALUE"""),"مازندران")</f>
        <v>مازندران</v>
      </c>
      <c r="E139" s="5" t="str">
        <f>IFERROR(__xludf.DUMMYFUNCTION("""COMPUTED_VALUE"""),"جویبار")</f>
        <v>جویبار</v>
      </c>
      <c r="F139" s="5"/>
      <c r="G139" s="5"/>
      <c r="H139" s="6" t="str">
        <f>IFERROR(__xludf.DUMMYFUNCTION("""COMPUTED_VALUE"""),"https://www.instagram.com/mohebbinahlebeitjuybar313/")</f>
        <v>https://www.instagram.com/mohebbinahlebeitjuybar313/</v>
      </c>
      <c r="I139" s="6" t="str">
        <f>IFERROR(__xludf.DUMMYFUNCTION("""COMPUTED_VALUE"""),"https://t.me/Mohebbinahlebeitjuybar")</f>
        <v>https://t.me/Mohebbinahlebeitjuybar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>
      <c r="A140" s="5"/>
      <c r="B140" s="5" t="str">
        <f>IFERROR(__xludf.DUMMYFUNCTION("""COMPUTED_VALUE"""),"هیأت")</f>
        <v>هیأت</v>
      </c>
      <c r="C140" s="5" t="str">
        <f>IFERROR(__xludf.DUMMYFUNCTION("""COMPUTED_VALUE"""),"محبان ولیعصر کوهیخیل")</f>
        <v>محبان ولیعصر کوهیخیل</v>
      </c>
      <c r="D140" s="5" t="str">
        <f>IFERROR(__xludf.DUMMYFUNCTION("""COMPUTED_VALUE"""),"مازندران")</f>
        <v>مازندران</v>
      </c>
      <c r="E140" s="5" t="str">
        <f>IFERROR(__xludf.DUMMYFUNCTION("""COMPUTED_VALUE"""),"جویبار")</f>
        <v>جویبار</v>
      </c>
      <c r="F140" s="5" t="str">
        <f>IFERROR(__xludf.DUMMYFUNCTION("""COMPUTED_VALUE"""),"کوهیخیل")</f>
        <v>کوهیخیل</v>
      </c>
      <c r="G140" s="5"/>
      <c r="H140" s="6" t="str">
        <f>IFERROR(__xludf.DUMMYFUNCTION("""COMPUTED_VALUE"""),"https://www.instagram.com/moheban_valiasr_k/")</f>
        <v>https://www.instagram.com/moheban_valiasr_k/</v>
      </c>
      <c r="I140" s="6" t="str">
        <f>IFERROR(__xludf.DUMMYFUNCTION("""COMPUTED_VALUE"""),"https://t.me/moheban_valiasr_k")</f>
        <v>https://t.me/moheban_valiasr_k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>
      <c r="A141" s="5"/>
      <c r="B141" s="5" t="str">
        <f>IFERROR(__xludf.DUMMYFUNCTION("""COMPUTED_VALUE"""),"هیأت")</f>
        <v>هیأت</v>
      </c>
      <c r="C141" s="5" t="str">
        <f>IFERROR(__xludf.DUMMYFUNCTION("""COMPUTED_VALUE"""),"انصارالمهدی")</f>
        <v>انصارالمهدی</v>
      </c>
      <c r="D141" s="5" t="str">
        <f>IFERROR(__xludf.DUMMYFUNCTION("""COMPUTED_VALUE"""),"مازندران")</f>
        <v>مازندران</v>
      </c>
      <c r="E141" s="5" t="str">
        <f>IFERROR(__xludf.DUMMYFUNCTION("""COMPUTED_VALUE"""),"جویبار")</f>
        <v>جویبار</v>
      </c>
      <c r="F141" s="5"/>
      <c r="G141" s="5"/>
      <c r="H141" s="6" t="str">
        <f>IFERROR(__xludf.DUMMYFUNCTION("""COMPUTED_VALUE"""),"https://www.instagram.com/ansaralmahdi_juybar/")</f>
        <v>https://www.instagram.com/ansaralmahdi_juybar/</v>
      </c>
      <c r="I141" s="6" t="str">
        <f>IFERROR(__xludf.DUMMYFUNCTION("""COMPUTED_VALUE"""),"https://t.me/ansarjoybar")</f>
        <v>https://t.me/ansarjoybar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>
      <c r="A142" s="5"/>
      <c r="B142" s="5" t="str">
        <f>IFERROR(__xludf.DUMMYFUNCTION("""COMPUTED_VALUE"""),"هیأت")</f>
        <v>هیأت</v>
      </c>
      <c r="C142" s="5" t="str">
        <f>IFERROR(__xludf.DUMMYFUNCTION("""COMPUTED_VALUE"""),"سیدالشهداء")</f>
        <v>سیدالشهداء</v>
      </c>
      <c r="D142" s="5" t="str">
        <f>IFERROR(__xludf.DUMMYFUNCTION("""COMPUTED_VALUE"""),"مازندران")</f>
        <v>مازندران</v>
      </c>
      <c r="E142" s="5" t="str">
        <f>IFERROR(__xludf.DUMMYFUNCTION("""COMPUTED_VALUE"""),"جویبار")</f>
        <v>جویبار</v>
      </c>
      <c r="F142" s="5"/>
      <c r="G142" s="5"/>
      <c r="H142" s="6" t="str">
        <f>IFERROR(__xludf.DUMMYFUNCTION("""COMPUTED_VALUE"""),"https://www.instagram.com/heyat_seyedoshohada_jouybar/")</f>
        <v>https://www.instagram.com/heyat_seyedoshohada_jouybar/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>
      <c r="A143" s="5"/>
      <c r="B143" s="5" t="str">
        <f>IFERROR(__xludf.DUMMYFUNCTION("""COMPUTED_VALUE"""),"هیأت")</f>
        <v>هیأت</v>
      </c>
      <c r="C143" s="5" t="str">
        <f>IFERROR(__xludf.DUMMYFUNCTION("""COMPUTED_VALUE"""),"حضرت علی اکبر")</f>
        <v>حضرت علی اکبر</v>
      </c>
      <c r="D143" s="5" t="str">
        <f>IFERROR(__xludf.DUMMYFUNCTION("""COMPUTED_VALUE"""),"مازندران")</f>
        <v>مازندران</v>
      </c>
      <c r="E143" s="5" t="str">
        <f>IFERROR(__xludf.DUMMYFUNCTION("""COMPUTED_VALUE"""),"جویبار")</f>
        <v>جویبار</v>
      </c>
      <c r="F143" s="5"/>
      <c r="G143" s="5"/>
      <c r="H143" s="6" t="str">
        <f>IFERROR(__xludf.DUMMYFUNCTION("""COMPUTED_VALUE"""),"https://www.instagram.com/hazratealiakbar")</f>
        <v>https://www.instagram.com/hazratealiakbar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>
      <c r="A144" s="5"/>
      <c r="B144" s="5" t="str">
        <f>IFERROR(__xludf.DUMMYFUNCTION("""COMPUTED_VALUE"""),"هیأت")</f>
        <v>هیأت</v>
      </c>
      <c r="C144" s="5" t="str">
        <f>IFERROR(__xludf.DUMMYFUNCTION("""COMPUTED_VALUE"""),"ثارالله ")</f>
        <v>ثارالله </v>
      </c>
      <c r="D144" s="5" t="str">
        <f>IFERROR(__xludf.DUMMYFUNCTION("""COMPUTED_VALUE"""),"مازندران")</f>
        <v>مازندران</v>
      </c>
      <c r="E144" s="5" t="str">
        <f>IFERROR(__xludf.DUMMYFUNCTION("""COMPUTED_VALUE"""),"جویبار")</f>
        <v>جویبار</v>
      </c>
      <c r="F144" s="5"/>
      <c r="G144" s="5"/>
      <c r="H144" s="5"/>
      <c r="I144" s="5"/>
      <c r="J144" s="6" t="str">
        <f>IFERROR(__xludf.DUMMYFUNCTION("""COMPUTED_VALUE"""),"https://eitaa.com/heiatsarallahjouybar")</f>
        <v>https://eitaa.com/heiatsarallahjouybar</v>
      </c>
      <c r="K144" s="5"/>
      <c r="L144" s="5"/>
      <c r="M144" s="5"/>
      <c r="N144" s="5"/>
      <c r="O144" s="5"/>
      <c r="P144" s="5"/>
      <c r="Q144" s="5"/>
      <c r="R144" s="5"/>
      <c r="S144" s="5"/>
    </row>
    <row r="145">
      <c r="A145" s="5"/>
      <c r="B145" s="5" t="str">
        <f>IFERROR(__xludf.DUMMYFUNCTION("""COMPUTED_VALUE"""),"هیأت")</f>
        <v>هیأت</v>
      </c>
      <c r="C145" s="5" t="str">
        <f>IFERROR(__xludf.DUMMYFUNCTION("""COMPUTED_VALUE"""),"پنج تن آل عبا(ع)")</f>
        <v>پنج تن آل عبا(ع)</v>
      </c>
      <c r="D145" s="5" t="str">
        <f>IFERROR(__xludf.DUMMYFUNCTION("""COMPUTED_VALUE"""),"مازندران")</f>
        <v>مازندران</v>
      </c>
      <c r="E145" s="5" t="str">
        <f>IFERROR(__xludf.DUMMYFUNCTION("""COMPUTED_VALUE"""),"جویبار")</f>
        <v>جویبار</v>
      </c>
      <c r="F145" s="5"/>
      <c r="G145" s="5"/>
      <c r="H145" s="6" t="str">
        <f>IFERROR(__xludf.DUMMYFUNCTION("""COMPUTED_VALUE"""),"https://www.instagram.com/heyatpanjtanaleaba/")</f>
        <v>https://www.instagram.com/heyatpanjtanaleaba/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>
      <c r="A146" s="5"/>
      <c r="B146" s="5" t="str">
        <f>IFERROR(__xludf.DUMMYFUNCTION("""COMPUTED_VALUE"""),"هیأت")</f>
        <v>هیأت</v>
      </c>
      <c r="C146" s="5" t="str">
        <f>IFERROR(__xludf.DUMMYFUNCTION("""COMPUTED_VALUE"""),"محفل شباب کربلاء")</f>
        <v>محفل شباب کربلاء</v>
      </c>
      <c r="D146" s="5" t="str">
        <f>IFERROR(__xludf.DUMMYFUNCTION("""COMPUTED_VALUE"""),"مازندران")</f>
        <v>مازندران</v>
      </c>
      <c r="E146" s="5" t="str">
        <f>IFERROR(__xludf.DUMMYFUNCTION("""COMPUTED_VALUE"""),"جویبار")</f>
        <v>جویبار</v>
      </c>
      <c r="F146" s="5"/>
      <c r="G146" s="5"/>
      <c r="H146" s="6" t="str">
        <f>IFERROR(__xludf.DUMMYFUNCTION("""COMPUTED_VALUE"""),"https://www.instagram.com/shababekarbala/")</f>
        <v>https://www.instagram.com/shababekarbala/</v>
      </c>
      <c r="I146" s="6" t="str">
        <f>IFERROR(__xludf.DUMMYFUNCTION("""COMPUTED_VALUE"""),"https://t.me/shababekarbala")</f>
        <v>https://t.me/shababekarbala</v>
      </c>
      <c r="J146" s="6" t="str">
        <f>IFERROR(__xludf.DUMMYFUNCTION("""COMPUTED_VALUE"""),"https://eitaa.com/shababekarbala")</f>
        <v>https://eitaa.com/shababekarbala</v>
      </c>
      <c r="K146" s="5"/>
      <c r="L146" s="5"/>
      <c r="M146" s="5"/>
      <c r="N146" s="5"/>
      <c r="O146" s="5"/>
      <c r="P146" s="5"/>
      <c r="Q146" s="5"/>
      <c r="R146" s="5"/>
      <c r="S146" s="5"/>
    </row>
    <row r="147">
      <c r="A147" s="5"/>
      <c r="B147" s="5" t="str">
        <f>IFERROR(__xludf.DUMMYFUNCTION("""COMPUTED_VALUE"""),"هیأت")</f>
        <v>هیأت</v>
      </c>
      <c r="C147" s="5" t="str">
        <f>IFERROR(__xludf.DUMMYFUNCTION("""COMPUTED_VALUE"""),"روضة الحسین")</f>
        <v>روضة الحسین</v>
      </c>
      <c r="D147" s="5" t="str">
        <f>IFERROR(__xludf.DUMMYFUNCTION("""COMPUTED_VALUE"""),"مازندران")</f>
        <v>مازندران</v>
      </c>
      <c r="E147" s="5" t="str">
        <f>IFERROR(__xludf.DUMMYFUNCTION("""COMPUTED_VALUE"""),"جویبار")</f>
        <v>جویبار</v>
      </c>
      <c r="F147" s="5"/>
      <c r="G147" s="5"/>
      <c r="H147" s="6" t="str">
        <f>IFERROR(__xludf.DUMMYFUNCTION("""COMPUTED_VALUE"""),"https://www.instagram.com/rowzatolhosein_juybar/")</f>
        <v>https://www.instagram.com/rowzatolhosein_juybar/</v>
      </c>
      <c r="I147" s="6" t="str">
        <f>IFERROR(__xludf.DUMMYFUNCTION("""COMPUTED_VALUE"""),"https://t.me/rowzatolhosein_juybar")</f>
        <v>https://t.me/rowzatolhosein_juybar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>
      <c r="A148" s="5"/>
      <c r="B148" s="5" t="str">
        <f>IFERROR(__xludf.DUMMYFUNCTION("""COMPUTED_VALUE"""),"هیأت")</f>
        <v>هیأت</v>
      </c>
      <c r="C148" s="5" t="str">
        <f>IFERROR(__xludf.DUMMYFUNCTION("""COMPUTED_VALUE"""),"متوسلین جواد الائمه")</f>
        <v>متوسلین جواد الائمه</v>
      </c>
      <c r="D148" s="5" t="str">
        <f>IFERROR(__xludf.DUMMYFUNCTION("""COMPUTED_VALUE"""),"مازندران")</f>
        <v>مازندران</v>
      </c>
      <c r="E148" s="5" t="str">
        <f>IFERROR(__xludf.DUMMYFUNCTION("""COMPUTED_VALUE"""),"جویبار")</f>
        <v>جویبار</v>
      </c>
      <c r="F148" s="5"/>
      <c r="G148" s="5"/>
      <c r="H148" s="6" t="str">
        <f>IFERROR(__xludf.DUMMYFUNCTION("""COMPUTED_VALUE"""),"https://www.instagram.com/heyate_javadolaeme_jouybar/")</f>
        <v>https://www.instagram.com/heyate_javadolaeme_jouybar/</v>
      </c>
      <c r="I148" s="6" t="str">
        <f>IFERROR(__xludf.DUMMYFUNCTION("""COMPUTED_VALUE"""),"https://t.me/heyatejavadolaeme")</f>
        <v>https://t.me/heyatejavadolaeme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>
      <c r="A149" s="5"/>
      <c r="B149" s="5" t="str">
        <f>IFERROR(__xludf.DUMMYFUNCTION("""COMPUTED_VALUE"""),"هیأت")</f>
        <v>هیأت</v>
      </c>
      <c r="C149" s="5" t="str">
        <f>IFERROR(__xludf.DUMMYFUNCTION("""COMPUTED_VALUE"""),"بسیجیان رهروان شهدا")</f>
        <v>بسیجیان رهروان شهدا</v>
      </c>
      <c r="D149" s="5" t="str">
        <f>IFERROR(__xludf.DUMMYFUNCTION("""COMPUTED_VALUE"""),"مازندران")</f>
        <v>مازندران</v>
      </c>
      <c r="E149" s="5" t="str">
        <f>IFERROR(__xludf.DUMMYFUNCTION("""COMPUTED_VALUE"""),"جویبار")</f>
        <v>جویبار</v>
      </c>
      <c r="F149" s="5" t="str">
        <f>IFERROR(__xludf.DUMMYFUNCTION("""COMPUTED_VALUE"""),"شورکا")</f>
        <v>شورکا</v>
      </c>
      <c r="G149" s="5"/>
      <c r="H149" s="6" t="str">
        <f>IFERROR(__xludf.DUMMYFUNCTION("""COMPUTED_VALUE"""),"https://www.instagram.com/rahrovan_shohada_shorka/")</f>
        <v>https://www.instagram.com/rahrovan_shohada_shorka/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>
      <c r="A150" s="5"/>
      <c r="B150" s="5" t="str">
        <f>IFERROR(__xludf.DUMMYFUNCTION("""COMPUTED_VALUE"""),"هیأت")</f>
        <v>هیأت</v>
      </c>
      <c r="C150" s="5" t="str">
        <f>IFERROR(__xludf.DUMMYFUNCTION("""COMPUTED_VALUE"""),"رهروان امام رضا")</f>
        <v>رهروان امام رضا</v>
      </c>
      <c r="D150" s="5" t="str">
        <f>IFERROR(__xludf.DUMMYFUNCTION("""COMPUTED_VALUE"""),"مازندران")</f>
        <v>مازندران</v>
      </c>
      <c r="E150" s="5" t="str">
        <f>IFERROR(__xludf.DUMMYFUNCTION("""COMPUTED_VALUE"""),"جویبار")</f>
        <v>جویبار</v>
      </c>
      <c r="F150" s="5"/>
      <c r="G150" s="5"/>
      <c r="H150" s="6" t="str">
        <f>IFERROR(__xludf.DUMMYFUNCTION("""COMPUTED_VALUE"""),"https://www.instagram.com/mojtameemamreza/")</f>
        <v>https://www.instagram.com/mojtameemamreza/</v>
      </c>
      <c r="I150" s="6" t="str">
        <f>IFERROR(__xludf.DUMMYFUNCTION("""COMPUTED_VALUE"""),"https://t.me/Mojtame_Emamreza")</f>
        <v>https://t.me/Mojtame_Emamreza</v>
      </c>
      <c r="J150" s="6" t="str">
        <f>IFERROR(__xludf.DUMMYFUNCTION("""COMPUTED_VALUE"""),"https://eitaa.com/MojtameEmamreza")</f>
        <v>https://eitaa.com/MojtameEmamreza</v>
      </c>
      <c r="K150" s="5"/>
      <c r="L150" s="5"/>
      <c r="M150" s="5"/>
      <c r="N150" s="5"/>
      <c r="O150" s="5"/>
      <c r="P150" s="5"/>
      <c r="Q150" s="5"/>
      <c r="R150" s="5"/>
      <c r="S150" s="5"/>
    </row>
    <row r="151">
      <c r="A151" s="5"/>
      <c r="B151" s="5" t="str">
        <f>IFERROR(__xludf.DUMMYFUNCTION("""COMPUTED_VALUE"""),"هیأت")</f>
        <v>هیأت</v>
      </c>
      <c r="C151" s="5" t="str">
        <f>IFERROR(__xludf.DUMMYFUNCTION("""COMPUTED_VALUE"""),"روضة العباس")</f>
        <v>روضة العباس</v>
      </c>
      <c r="D151" s="5" t="str">
        <f>IFERROR(__xludf.DUMMYFUNCTION("""COMPUTED_VALUE"""),"مازندران")</f>
        <v>مازندران</v>
      </c>
      <c r="E151" s="5" t="str">
        <f>IFERROR(__xludf.DUMMYFUNCTION("""COMPUTED_VALUE"""),"جویبار")</f>
        <v>جویبار</v>
      </c>
      <c r="F151" s="5"/>
      <c r="G151" s="5"/>
      <c r="H151" s="6" t="str">
        <f>IFERROR(__xludf.DUMMYFUNCTION("""COMPUTED_VALUE"""),"https://www.instagram.com/rowzatolabas.jouybar/")</f>
        <v>https://www.instagram.com/rowzatolabas.jouybar/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>
      <c r="A152" s="5">
        <f>IFERROR(__xludf.DUMMYFUNCTION("""COMPUTED_VALUE"""),18305.0)</f>
        <v>18305</v>
      </c>
      <c r="B152" s="5" t="str">
        <f>IFERROR(__xludf.DUMMYFUNCTION("""COMPUTED_VALUE"""),"هیأت")</f>
        <v>هیأت</v>
      </c>
      <c r="C152" s="5" t="str">
        <f>IFERROR(__xludf.DUMMYFUNCTION("""COMPUTED_VALUE"""),"الکریم")</f>
        <v>الکریم</v>
      </c>
      <c r="D152" s="5" t="str">
        <f>IFERROR(__xludf.DUMMYFUNCTION("""COMPUTED_VALUE"""),"مازندران")</f>
        <v>مازندران</v>
      </c>
      <c r="E152" s="5" t="str">
        <f>IFERROR(__xludf.DUMMYFUNCTION("""COMPUTED_VALUE"""),"چالوس")</f>
        <v>چالوس</v>
      </c>
      <c r="F152" s="5"/>
      <c r="G152" s="5"/>
      <c r="H152" s="6" t="str">
        <f>IFERROR(__xludf.DUMMYFUNCTION("""COMPUTED_VALUE"""),"https://www.instagram.com/heyatolkarimchalus/")</f>
        <v>https://www.instagram.com/heyatolkarimchalus/</v>
      </c>
      <c r="I152" s="6" t="str">
        <f>IFERROR(__xludf.DUMMYFUNCTION("""COMPUTED_VALUE"""),"https://t.me/heyatolkarimchalus")</f>
        <v>https://t.me/heyatolkarimchalus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>
      <c r="A153" s="5"/>
      <c r="B153" s="5" t="str">
        <f>IFERROR(__xludf.DUMMYFUNCTION("""COMPUTED_VALUE"""),"مداح")</f>
        <v>مداح</v>
      </c>
      <c r="C153" s="5" t="str">
        <f>IFERROR(__xludf.DUMMYFUNCTION("""COMPUTED_VALUE"""),"حسین آل حبیب")</f>
        <v>حسین آل حبیب</v>
      </c>
      <c r="D153" s="5" t="str">
        <f>IFERROR(__xludf.DUMMYFUNCTION("""COMPUTED_VALUE"""),"مازندران")</f>
        <v>مازندران</v>
      </c>
      <c r="E153" s="5" t="str">
        <f>IFERROR(__xludf.DUMMYFUNCTION("""COMPUTED_VALUE"""),"چالوس")</f>
        <v>چالوس</v>
      </c>
      <c r="F153" s="5"/>
      <c r="G153" s="5"/>
      <c r="H153" s="6" t="str">
        <f>IFERROR(__xludf.DUMMYFUNCTION("""COMPUTED_VALUE"""),"https://www.instagram.com/hossein_alehabib/")</f>
        <v>https://www.instagram.com/hossein_alehabib/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>
      <c r="A154" s="5"/>
      <c r="B154" s="5" t="str">
        <f>IFERROR(__xludf.DUMMYFUNCTION("""COMPUTED_VALUE"""),"هیأت")</f>
        <v>هیأت</v>
      </c>
      <c r="C154" s="5" t="str">
        <f>IFERROR(__xludf.DUMMYFUNCTION("""COMPUTED_VALUE"""),"محبان حضرت قاسم")</f>
        <v>محبان حضرت قاسم</v>
      </c>
      <c r="D154" s="5" t="str">
        <f>IFERROR(__xludf.DUMMYFUNCTION("""COMPUTED_VALUE"""),"مازندران")</f>
        <v>مازندران</v>
      </c>
      <c r="E154" s="5" t="str">
        <f>IFERROR(__xludf.DUMMYFUNCTION("""COMPUTED_VALUE"""),"چالوس")</f>
        <v>چالوس</v>
      </c>
      <c r="F154" s="5" t="str">
        <f>IFERROR(__xludf.DUMMYFUNCTION("""COMPUTED_VALUE"""),"عسلسر")</f>
        <v>عسلسر</v>
      </c>
      <c r="G154" s="5"/>
      <c r="H154" s="6" t="str">
        <f>IFERROR(__xludf.DUMMYFUNCTION("""COMPUTED_VALUE"""),"https://www.instagram.com/heiaate.hazrat.ghasem/")</f>
        <v>https://www.instagram.com/heiaate.hazrat.ghasem/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>
      <c r="A155" s="5"/>
      <c r="B155" s="5" t="str">
        <f>IFERROR(__xludf.DUMMYFUNCTION("""COMPUTED_VALUE"""),"هیأت")</f>
        <v>هیأت</v>
      </c>
      <c r="C155" s="5" t="str">
        <f>IFERROR(__xludf.DUMMYFUNCTION("""COMPUTED_VALUE"""),"جوانان عاشورایی")</f>
        <v>جوانان عاشورایی</v>
      </c>
      <c r="D155" s="5" t="str">
        <f>IFERROR(__xludf.DUMMYFUNCTION("""COMPUTED_VALUE"""),"مازندران")</f>
        <v>مازندران</v>
      </c>
      <c r="E155" s="5" t="str">
        <f>IFERROR(__xludf.DUMMYFUNCTION("""COMPUTED_VALUE"""),"چالوس")</f>
        <v>چالوس</v>
      </c>
      <c r="F155" s="5" t="str">
        <f>IFERROR(__xludf.DUMMYFUNCTION("""COMPUTED_VALUE"""),"هچیرود")</f>
        <v>هچیرود</v>
      </c>
      <c r="G155" s="5"/>
      <c r="H155" s="6" t="str">
        <f>IFERROR(__xludf.DUMMYFUNCTION("""COMPUTED_VALUE"""),"https://www.instagram.com/javanan.ashoraii_hachiroud.ir/")</f>
        <v>https://www.instagram.com/javanan.ashoraii_hachiroud.ir/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>
      <c r="A156" s="5"/>
      <c r="B156" s="5" t="str">
        <f>IFERROR(__xludf.DUMMYFUNCTION("""COMPUTED_VALUE"""),"هیأت")</f>
        <v>هیأت</v>
      </c>
      <c r="C156" s="5" t="str">
        <f>IFERROR(__xludf.DUMMYFUNCTION("""COMPUTED_VALUE"""),"محبین الائمه")</f>
        <v>محبین الائمه</v>
      </c>
      <c r="D156" s="5" t="str">
        <f>IFERROR(__xludf.DUMMYFUNCTION("""COMPUTED_VALUE"""),"مازندران")</f>
        <v>مازندران</v>
      </c>
      <c r="E156" s="5" t="str">
        <f>IFERROR(__xludf.DUMMYFUNCTION("""COMPUTED_VALUE"""),"چالوس")</f>
        <v>چالوس</v>
      </c>
      <c r="F156" s="5"/>
      <c r="G156" s="5"/>
      <c r="H156" s="6" t="str">
        <f>IFERROR(__xludf.DUMMYFUNCTION("""COMPUTED_VALUE"""),"https://www.instagram.com/mohebin_aemeh_chalos/")</f>
        <v>https://www.instagram.com/mohebin_aemeh_chalos/</v>
      </c>
      <c r="I156" s="6" t="str">
        <f>IFERROR(__xludf.DUMMYFUNCTION("""COMPUTED_VALUE"""),"https://t.me/mohebin_aemeh_chalus")</f>
        <v>https://t.me/mohebin_aemeh_chalus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>
      <c r="A157" s="5"/>
      <c r="B157" s="5" t="str">
        <f>IFERROR(__xludf.DUMMYFUNCTION("""COMPUTED_VALUE"""),"هیأت")</f>
        <v>هیأت</v>
      </c>
      <c r="C157" s="5" t="str">
        <f>IFERROR(__xludf.DUMMYFUNCTION("""COMPUTED_VALUE"""),"ابوالفضلی")</f>
        <v>ابوالفضلی</v>
      </c>
      <c r="D157" s="5" t="str">
        <f>IFERROR(__xludf.DUMMYFUNCTION("""COMPUTED_VALUE"""),"مازندران")</f>
        <v>مازندران</v>
      </c>
      <c r="E157" s="5" t="str">
        <f>IFERROR(__xludf.DUMMYFUNCTION("""COMPUTED_VALUE"""),"چالوس")</f>
        <v>چالوس</v>
      </c>
      <c r="F157" s="5" t="str">
        <f>IFERROR(__xludf.DUMMYFUNCTION("""COMPUTED_VALUE"""),"هلستان")</f>
        <v>هلستان</v>
      </c>
      <c r="G157" s="5"/>
      <c r="H157" s="6" t="str">
        <f>IFERROR(__xludf.DUMMYFUNCTION("""COMPUTED_VALUE"""),"https://www.instagram.com/heyat_abolfazli__halestan/")</f>
        <v>https://www.instagram.com/heyat_abolfazli__halestan/</v>
      </c>
      <c r="I157" s="6" t="str">
        <f>IFERROR(__xludf.DUMMYFUNCTION("""COMPUTED_VALUE"""),"https://t.me/heyat_abolfazli_halestan")</f>
        <v>https://t.me/heyat_abolfazli_halestan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>
      <c r="A158" s="5"/>
      <c r="B158" s="5" t="str">
        <f>IFERROR(__xludf.DUMMYFUNCTION("""COMPUTED_VALUE"""),"هیأت")</f>
        <v>هیأت</v>
      </c>
      <c r="C158" s="5" t="str">
        <f>IFERROR(__xludf.DUMMYFUNCTION("""COMPUTED_VALUE"""),"امام حسین")</f>
        <v>امام حسین</v>
      </c>
      <c r="D158" s="5" t="str">
        <f>IFERROR(__xludf.DUMMYFUNCTION("""COMPUTED_VALUE"""),"مازندران")</f>
        <v>مازندران</v>
      </c>
      <c r="E158" s="5" t="str">
        <f>IFERROR(__xludf.DUMMYFUNCTION("""COMPUTED_VALUE"""),"چالوس")</f>
        <v>چالوس</v>
      </c>
      <c r="F158" s="5"/>
      <c r="G158" s="5"/>
      <c r="H158" s="6" t="str">
        <f>IFERROR(__xludf.DUMMYFUNCTION("""COMPUTED_VALUE"""),"https://www.instagram.com/heyat_emamhosein_chalous/")</f>
        <v>https://www.instagram.com/heyat_emamhosein_chalous/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>
      <c r="A159" s="5"/>
      <c r="B159" s="5" t="str">
        <f>IFERROR(__xludf.DUMMYFUNCTION("""COMPUTED_VALUE"""),"هیأت")</f>
        <v>هیأت</v>
      </c>
      <c r="C159" s="5" t="str">
        <f>IFERROR(__xludf.DUMMYFUNCTION("""COMPUTED_VALUE"""),"انصارالحسین")</f>
        <v>انصارالحسین</v>
      </c>
      <c r="D159" s="5" t="str">
        <f>IFERROR(__xludf.DUMMYFUNCTION("""COMPUTED_VALUE"""),"مازندران")</f>
        <v>مازندران</v>
      </c>
      <c r="E159" s="5" t="str">
        <f>IFERROR(__xludf.DUMMYFUNCTION("""COMPUTED_VALUE"""),"چالوس")</f>
        <v>چالوس</v>
      </c>
      <c r="F159" s="5"/>
      <c r="G159" s="5"/>
      <c r="H159" s="6" t="str">
        <f>IFERROR(__xludf.DUMMYFUNCTION("""COMPUTED_VALUE"""),"https://www.instagram.com/ansarolhosein_chaloos72")</f>
        <v>https://www.instagram.com/ansarolhosein_chaloos72</v>
      </c>
      <c r="I159" s="6" t="str">
        <f>IFERROR(__xludf.DUMMYFUNCTION("""COMPUTED_VALUE"""),"https://t.me/ansarolhosein_72")</f>
        <v>https://t.me/ansarolhosein_72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>
      <c r="A160" s="5"/>
      <c r="B160" s="5" t="str">
        <f>IFERROR(__xludf.DUMMYFUNCTION("""COMPUTED_VALUE"""),"هیأت")</f>
        <v>هیأت</v>
      </c>
      <c r="C160" s="5" t="str">
        <f>IFERROR(__xludf.DUMMYFUNCTION("""COMPUTED_VALUE"""),"علی اصغر")</f>
        <v>علی اصغر</v>
      </c>
      <c r="D160" s="5" t="str">
        <f>IFERROR(__xludf.DUMMYFUNCTION("""COMPUTED_VALUE"""),"مازندران")</f>
        <v>مازندران</v>
      </c>
      <c r="E160" s="5" t="str">
        <f>IFERROR(__xludf.DUMMYFUNCTION("""COMPUTED_VALUE"""),"چالوس")</f>
        <v>چالوس</v>
      </c>
      <c r="F160" s="5"/>
      <c r="G160" s="5"/>
      <c r="H160" s="6" t="str">
        <f>IFERROR(__xludf.DUMMYFUNCTION("""COMPUTED_VALUE"""),"https://www.instagram.com/heyat_aliasghar_.chalus/")</f>
        <v>https://www.instagram.com/heyat_aliasghar_.chalus/</v>
      </c>
      <c r="I160" s="6" t="str">
        <f>IFERROR(__xludf.DUMMYFUNCTION("""COMPUTED_VALUE"""),"https://t.me/heyat_aliasghar_chalus")</f>
        <v>https://t.me/heyat_aliasghar_chalus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>
      <c r="A161" s="5"/>
      <c r="B161" s="5" t="str">
        <f>IFERROR(__xludf.DUMMYFUNCTION("""COMPUTED_VALUE"""),"هیأت")</f>
        <v>هیأت</v>
      </c>
      <c r="C161" s="5" t="str">
        <f>IFERROR(__xludf.DUMMYFUNCTION("""COMPUTED_VALUE"""),"محبان حضرت قاسم")</f>
        <v>محبان حضرت قاسم</v>
      </c>
      <c r="D161" s="5" t="str">
        <f>IFERROR(__xludf.DUMMYFUNCTION("""COMPUTED_VALUE"""),"مازندران")</f>
        <v>مازندران</v>
      </c>
      <c r="E161" s="5" t="str">
        <f>IFERROR(__xludf.DUMMYFUNCTION("""COMPUTED_VALUE"""),"چالوس")</f>
        <v>چالوس</v>
      </c>
      <c r="F161" s="5"/>
      <c r="G161" s="5"/>
      <c r="H161" s="6" t="str">
        <f>IFERROR(__xludf.DUMMYFUNCTION("""COMPUTED_VALUE"""),"https://www.instagram.com/heiaat_hazrat_ghasem_chalous")</f>
        <v>https://www.instagram.com/heiaat_hazrat_ghasem_chalous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>
      <c r="A162" s="5"/>
      <c r="B162" s="5" t="str">
        <f>IFERROR(__xludf.DUMMYFUNCTION("""COMPUTED_VALUE"""),"هیأت")</f>
        <v>هیأت</v>
      </c>
      <c r="C162" s="5" t="str">
        <f>IFERROR(__xludf.DUMMYFUNCTION("""COMPUTED_VALUE"""),"روح الله")</f>
        <v>روح الله</v>
      </c>
      <c r="D162" s="5" t="str">
        <f>IFERROR(__xludf.DUMMYFUNCTION("""COMPUTED_VALUE"""),"مازندران")</f>
        <v>مازندران</v>
      </c>
      <c r="E162" s="5" t="str">
        <f>IFERROR(__xludf.DUMMYFUNCTION("""COMPUTED_VALUE"""),"چالوس")</f>
        <v>چالوس</v>
      </c>
      <c r="F162" s="5"/>
      <c r="G162" s="5"/>
      <c r="H162" s="6" t="str">
        <f>IFERROR(__xludf.DUMMYFUNCTION("""COMPUTED_VALUE"""),"https://www.instagram.com/heyat_rohollah_chalus/")</f>
        <v>https://www.instagram.com/heyat_rohollah_chalus/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>
      <c r="A163" s="5"/>
      <c r="B163" s="5" t="str">
        <f>IFERROR(__xludf.DUMMYFUNCTION("""COMPUTED_VALUE"""),"هیأت")</f>
        <v>هیأت</v>
      </c>
      <c r="C163" s="5" t="str">
        <f>IFERROR(__xludf.DUMMYFUNCTION("""COMPUTED_VALUE"""),"منتظران مهدی (عج)")</f>
        <v>منتظران مهدی (عج)</v>
      </c>
      <c r="D163" s="5" t="str">
        <f>IFERROR(__xludf.DUMMYFUNCTION("""COMPUTED_VALUE"""),"مازندران")</f>
        <v>مازندران</v>
      </c>
      <c r="E163" s="5" t="str">
        <f>IFERROR(__xludf.DUMMYFUNCTION("""COMPUTED_VALUE"""),"چالوس")</f>
        <v>چالوس</v>
      </c>
      <c r="F163" s="5"/>
      <c r="G163" s="5"/>
      <c r="H163" s="6" t="str">
        <f>IFERROR(__xludf.DUMMYFUNCTION("""COMPUTED_VALUE"""),"https://www.instagram.com/heyat.montazeran")</f>
        <v>https://www.instagram.com/heyat.montazeran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>
      <c r="A164" s="5"/>
      <c r="B164" s="5" t="str">
        <f>IFERROR(__xludf.DUMMYFUNCTION("""COMPUTED_VALUE"""),"هیأت")</f>
        <v>هیأت</v>
      </c>
      <c r="C164" s="5" t="str">
        <f>IFERROR(__xludf.DUMMYFUNCTION("""COMPUTED_VALUE"""),"بیت الرقیه")</f>
        <v>بیت الرقیه</v>
      </c>
      <c r="D164" s="5" t="str">
        <f>IFERROR(__xludf.DUMMYFUNCTION("""COMPUTED_VALUE"""),"مازندران")</f>
        <v>مازندران</v>
      </c>
      <c r="E164" s="5" t="str">
        <f>IFERROR(__xludf.DUMMYFUNCTION("""COMPUTED_VALUE"""),"چالوس")</f>
        <v>چالوس</v>
      </c>
      <c r="F164" s="5"/>
      <c r="G164" s="5"/>
      <c r="H164" s="6" t="str">
        <f>IFERROR(__xludf.DUMMYFUNCTION("""COMPUTED_VALUE"""),"https://www.instagram.com/beytalroghaye_315/")</f>
        <v>https://www.instagram.com/beytalroghaye_315/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>
      <c r="A165" s="5"/>
      <c r="B165" s="5" t="str">
        <f>IFERROR(__xludf.DUMMYFUNCTION("""COMPUTED_VALUE"""),"هیأت")</f>
        <v>هیأت</v>
      </c>
      <c r="C165" s="5" t="str">
        <f>IFERROR(__xludf.DUMMYFUNCTION("""COMPUTED_VALUE"""),"الحسین")</f>
        <v>الحسین</v>
      </c>
      <c r="D165" s="5" t="str">
        <f>IFERROR(__xludf.DUMMYFUNCTION("""COMPUTED_VALUE"""),"مازندران")</f>
        <v>مازندران</v>
      </c>
      <c r="E165" s="5" t="str">
        <f>IFERROR(__xludf.DUMMYFUNCTION("""COMPUTED_VALUE"""),"چالوس")</f>
        <v>چالوس</v>
      </c>
      <c r="F165" s="5"/>
      <c r="G165" s="5"/>
      <c r="H165" s="6" t="str">
        <f>IFERROR(__xludf.DUMMYFUNCTION("""COMPUTED_VALUE"""),"https://www.instagram.com/heyat_olhossein1403/")</f>
        <v>https://www.instagram.com/heyat_olhossein1403/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>
      <c r="A166" s="5"/>
      <c r="B166" s="5" t="str">
        <f>IFERROR(__xludf.DUMMYFUNCTION("""COMPUTED_VALUE"""),"هیأت")</f>
        <v>هیأت</v>
      </c>
      <c r="C166" s="5" t="str">
        <f>IFERROR(__xludf.DUMMYFUNCTION("""COMPUTED_VALUE"""),"محبین الائمه")</f>
        <v>محبین الائمه</v>
      </c>
      <c r="D166" s="5" t="str">
        <f>IFERROR(__xludf.DUMMYFUNCTION("""COMPUTED_VALUE"""),"مازندران")</f>
        <v>مازندران</v>
      </c>
      <c r="E166" s="5" t="str">
        <f>IFERROR(__xludf.DUMMYFUNCTION("""COMPUTED_VALUE"""),"چالوس")</f>
        <v>چالوس</v>
      </c>
      <c r="F166" s="5"/>
      <c r="G166" s="5"/>
      <c r="H166" s="6" t="str">
        <f>IFERROR(__xludf.DUMMYFUNCTION("""COMPUTED_VALUE"""),"https://www.instagram.com/mohebinaemeh_chalus/")</f>
        <v>https://www.instagram.com/mohebinaemeh_chalus/</v>
      </c>
      <c r="I166" s="6" t="str">
        <f>IFERROR(__xludf.DUMMYFUNCTION("""COMPUTED_VALUE"""),"https://t.me/mohebinaemeh_chalus")</f>
        <v>https://t.me/mohebinaemeh_chalus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>
      <c r="A167" s="5"/>
      <c r="B167" s="5" t="str">
        <f>IFERROR(__xludf.DUMMYFUNCTION("""COMPUTED_VALUE"""),"هیأت")</f>
        <v>هیأت</v>
      </c>
      <c r="C167" s="5" t="str">
        <f>IFERROR(__xludf.DUMMYFUNCTION("""COMPUTED_VALUE"""),"دلسوختگان حضرت رقیه")</f>
        <v>دلسوختگان حضرت رقیه</v>
      </c>
      <c r="D167" s="5" t="str">
        <f>IFERROR(__xludf.DUMMYFUNCTION("""COMPUTED_VALUE"""),"مازندران")</f>
        <v>مازندران</v>
      </c>
      <c r="E167" s="5" t="str">
        <f>IFERROR(__xludf.DUMMYFUNCTION("""COMPUTED_VALUE"""),"چالوس")</f>
        <v>چالوس</v>
      </c>
      <c r="F167" s="5"/>
      <c r="G167" s="5"/>
      <c r="H167" s="6" t="str">
        <f>IFERROR(__xludf.DUMMYFUNCTION("""COMPUTED_VALUE"""),"https://www.instagram.com/delsoukhtegan69/")</f>
        <v>https://www.instagram.com/delsoukhtegan69/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>
      <c r="A168" s="5">
        <f>IFERROR(__xludf.DUMMYFUNCTION("""COMPUTED_VALUE"""),14762.0)</f>
        <v>14762</v>
      </c>
      <c r="B168" s="5" t="str">
        <f>IFERROR(__xludf.DUMMYFUNCTION("""COMPUTED_VALUE"""),"هیأت")</f>
        <v>هیأت</v>
      </c>
      <c r="C168" s="5" t="str">
        <f>IFERROR(__xludf.DUMMYFUNCTION("""COMPUTED_VALUE"""),"انصارالمهدی")</f>
        <v>انصارالمهدی</v>
      </c>
      <c r="D168" s="5" t="str">
        <f>IFERROR(__xludf.DUMMYFUNCTION("""COMPUTED_VALUE"""),"مازندران")</f>
        <v>مازندران</v>
      </c>
      <c r="E168" s="5" t="str">
        <f>IFERROR(__xludf.DUMMYFUNCTION("""COMPUTED_VALUE"""),"رامسر")</f>
        <v>رامسر</v>
      </c>
      <c r="F168" s="5"/>
      <c r="G168" s="5"/>
      <c r="H168" s="6" t="str">
        <f>IFERROR(__xludf.DUMMYFUNCTION("""COMPUTED_VALUE"""),"https://www.instagram.com/h_ansar_ramsar/")</f>
        <v>https://www.instagram.com/h_ansar_ramsar/</v>
      </c>
      <c r="I168" s="5"/>
      <c r="J168" s="6" t="str">
        <f>IFERROR(__xludf.DUMMYFUNCTION("""COMPUTED_VALUE"""),"https://eitaa.com/h_ansaralmahdiramsar")</f>
        <v>https://eitaa.com/h_ansaralmahdiramsar</v>
      </c>
      <c r="K168" s="5"/>
      <c r="L168" s="5"/>
      <c r="M168" s="5"/>
      <c r="N168" s="5"/>
      <c r="O168" s="5"/>
      <c r="P168" s="5"/>
      <c r="Q168" s="5"/>
      <c r="R168" s="5"/>
      <c r="S168" s="5"/>
    </row>
    <row r="169">
      <c r="A169" s="5">
        <f>IFERROR(__xludf.DUMMYFUNCTION("""COMPUTED_VALUE"""),15292.0)</f>
        <v>15292</v>
      </c>
      <c r="B169" s="5" t="str">
        <f>IFERROR(__xludf.DUMMYFUNCTION("""COMPUTED_VALUE"""),"هیأت")</f>
        <v>هیأت</v>
      </c>
      <c r="C169" s="5" t="str">
        <f>IFERROR(__xludf.DUMMYFUNCTION("""COMPUTED_VALUE"""),"حضرت حر")</f>
        <v>حضرت حر</v>
      </c>
      <c r="D169" s="5" t="str">
        <f>IFERROR(__xludf.DUMMYFUNCTION("""COMPUTED_VALUE"""),"مازندران")</f>
        <v>مازندران</v>
      </c>
      <c r="E169" s="5" t="str">
        <f>IFERROR(__xludf.DUMMYFUNCTION("""COMPUTED_VALUE"""),"رامسر")</f>
        <v>رامسر</v>
      </c>
      <c r="F169" s="5"/>
      <c r="G169" s="5"/>
      <c r="H169" s="6" t="str">
        <f>IFERROR(__xludf.DUMMYFUNCTION("""COMPUTED_VALUE"""),"https://www.instagram.com/horramsar")</f>
        <v>https://www.instagram.com/horramsar</v>
      </c>
      <c r="I169" s="6" t="str">
        <f>IFERROR(__xludf.DUMMYFUNCTION("""COMPUTED_VALUE"""),"https://t.me/h_hor_ramsar")</f>
        <v>https://t.me/h_hor_ramsar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>
      <c r="A170" s="5">
        <f>IFERROR(__xludf.DUMMYFUNCTION("""COMPUTED_VALUE"""),15310.0)</f>
        <v>15310</v>
      </c>
      <c r="B170" s="5" t="str">
        <f>IFERROR(__xludf.DUMMYFUNCTION("""COMPUTED_VALUE"""),"هیأت")</f>
        <v>هیأت</v>
      </c>
      <c r="C170" s="5" t="str">
        <f>IFERROR(__xludf.DUMMYFUNCTION("""COMPUTED_VALUE"""),"حضرت ولیعصر")</f>
        <v>حضرت ولیعصر</v>
      </c>
      <c r="D170" s="5" t="str">
        <f>IFERROR(__xludf.DUMMYFUNCTION("""COMPUTED_VALUE"""),"مازندران")</f>
        <v>مازندران</v>
      </c>
      <c r="E170" s="5" t="str">
        <f>IFERROR(__xludf.DUMMYFUNCTION("""COMPUTED_VALUE"""),"رامسر")</f>
        <v>رامسر</v>
      </c>
      <c r="F170" s="5"/>
      <c r="G170" s="5"/>
      <c r="H170" s="6" t="str">
        <f>IFERROR(__xludf.DUMMYFUNCTION("""COMPUTED_VALUE"""),"https://www.instagram.com/valiasr_heyat")</f>
        <v>https://www.instagram.com/valiasr_heyat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>
      <c r="A171" s="5">
        <f>IFERROR(__xludf.DUMMYFUNCTION("""COMPUTED_VALUE"""),29403.0)</f>
        <v>29403</v>
      </c>
      <c r="B171" s="5" t="str">
        <f>IFERROR(__xludf.DUMMYFUNCTION("""COMPUTED_VALUE"""),"هیأت")</f>
        <v>هیأت</v>
      </c>
      <c r="C171" s="5" t="str">
        <f>IFERROR(__xludf.DUMMYFUNCTION("""COMPUTED_VALUE"""),"رزمندگان اسلام")</f>
        <v>رزمندگان اسلام</v>
      </c>
      <c r="D171" s="5" t="str">
        <f>IFERROR(__xludf.DUMMYFUNCTION("""COMPUTED_VALUE"""),"مازندران")</f>
        <v>مازندران</v>
      </c>
      <c r="E171" s="5" t="str">
        <f>IFERROR(__xludf.DUMMYFUNCTION("""COMPUTED_VALUE"""),"رامسر")</f>
        <v>رامسر</v>
      </c>
      <c r="F171" s="5"/>
      <c r="G171" s="5"/>
      <c r="H171" s="6" t="str">
        <f>IFERROR(__xludf.DUMMYFUNCTION("""COMPUTED_VALUE"""),"https://www.instagram.com/heyati.ramsar")</f>
        <v>https://www.instagram.com/heyati.ramsar</v>
      </c>
      <c r="I171" s="6" t="str">
        <f>IFERROR(__xludf.DUMMYFUNCTION("""COMPUTED_VALUE"""),"https://t.me/rheyat_ir")</f>
        <v>https://t.me/rheyat_ir</v>
      </c>
      <c r="J171" s="6" t="str">
        <f>IFERROR(__xludf.DUMMYFUNCTION("""COMPUTED_VALUE"""),"https://eitaa.com/rheyat_ir")</f>
        <v>https://eitaa.com/rheyat_ir</v>
      </c>
      <c r="K171" s="5"/>
      <c r="L171" s="5"/>
      <c r="M171" s="5"/>
      <c r="N171" s="5"/>
      <c r="O171" s="5"/>
      <c r="P171" s="5"/>
      <c r="Q171" s="5"/>
      <c r="R171" s="5"/>
      <c r="S171" s="5"/>
    </row>
    <row r="172">
      <c r="A172" s="5"/>
      <c r="B172" s="5" t="str">
        <f>IFERROR(__xludf.DUMMYFUNCTION("""COMPUTED_VALUE"""),"هیأت")</f>
        <v>هیأت</v>
      </c>
      <c r="C172" s="5" t="str">
        <f>IFERROR(__xludf.DUMMYFUNCTION("""COMPUTED_VALUE"""),"فاطمیون")</f>
        <v>فاطمیون</v>
      </c>
      <c r="D172" s="5" t="str">
        <f>IFERROR(__xludf.DUMMYFUNCTION("""COMPUTED_VALUE"""),"مازندران")</f>
        <v>مازندران</v>
      </c>
      <c r="E172" s="5" t="str">
        <f>IFERROR(__xludf.DUMMYFUNCTION("""COMPUTED_VALUE"""),"رامسر")</f>
        <v>رامسر</v>
      </c>
      <c r="F172" s="5" t="str">
        <f>IFERROR(__xludf.DUMMYFUNCTION("""COMPUTED_VALUE"""),"طالش محله فتوک")</f>
        <v>طالش محله فتوک</v>
      </c>
      <c r="G172" s="5"/>
      <c r="H172" s="6" t="str">
        <f>IFERROR(__xludf.DUMMYFUNCTION("""COMPUTED_VALUE"""),"https://www.instagram.com/fatemiyoun_ramsar/")</f>
        <v>https://www.instagram.com/fatemiyoun_ramsar/</v>
      </c>
      <c r="I172" s="5"/>
      <c r="J172" s="6" t="str">
        <f>IFERROR(__xludf.DUMMYFUNCTION("""COMPUTED_VALUE"""),"https://eitaa.com/FATEMIONRAMSAR")</f>
        <v>https://eitaa.com/FATEMIONRAMSAR</v>
      </c>
      <c r="K172" s="5"/>
      <c r="L172" s="5"/>
      <c r="M172" s="5"/>
      <c r="N172" s="5"/>
      <c r="O172" s="5"/>
      <c r="P172" s="5"/>
      <c r="Q172" s="5"/>
      <c r="R172" s="5"/>
      <c r="S172" s="5"/>
    </row>
    <row r="173">
      <c r="A173" s="5"/>
      <c r="B173" s="5" t="str">
        <f>IFERROR(__xludf.DUMMYFUNCTION("""COMPUTED_VALUE"""),"هیأت")</f>
        <v>هیأت</v>
      </c>
      <c r="C173" s="5" t="str">
        <f>IFERROR(__xludf.DUMMYFUNCTION("""COMPUTED_VALUE"""),"ابالفضل العباس")</f>
        <v>ابالفضل العباس</v>
      </c>
      <c r="D173" s="5" t="str">
        <f>IFERROR(__xludf.DUMMYFUNCTION("""COMPUTED_VALUE"""),"مازندران")</f>
        <v>مازندران</v>
      </c>
      <c r="E173" s="5" t="str">
        <f>IFERROR(__xludf.DUMMYFUNCTION("""COMPUTED_VALUE"""),"رامسر")</f>
        <v>رامسر</v>
      </c>
      <c r="F173" s="5"/>
      <c r="G173" s="5"/>
      <c r="H173" s="6" t="str">
        <f>IFERROR(__xludf.DUMMYFUNCTION("""COMPUTED_VALUE"""),"https://www.instagram.com/abalfazliha_sadatshahr/")</f>
        <v>https://www.instagram.com/abalfazliha_sadatshahr/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>
      <c r="A174" s="5"/>
      <c r="B174" s="5" t="str">
        <f>IFERROR(__xludf.DUMMYFUNCTION("""COMPUTED_VALUE"""),"هیأت")</f>
        <v>هیأت</v>
      </c>
      <c r="C174" s="5" t="str">
        <f>IFERROR(__xludf.DUMMYFUNCTION("""COMPUTED_VALUE"""),"حضرت علی اکبر")</f>
        <v>حضرت علی اکبر</v>
      </c>
      <c r="D174" s="5" t="str">
        <f>IFERROR(__xludf.DUMMYFUNCTION("""COMPUTED_VALUE"""),"مازندران")</f>
        <v>مازندران</v>
      </c>
      <c r="E174" s="5" t="str">
        <f>IFERROR(__xludf.DUMMYFUNCTION("""COMPUTED_VALUE"""),"رامسر")</f>
        <v>رامسر</v>
      </c>
      <c r="F174" s="5"/>
      <c r="G174" s="5"/>
      <c r="H174" s="6" t="str">
        <f>IFERROR(__xludf.DUMMYFUNCTION("""COMPUTED_VALUE"""),"https://www.instagram.com/heyat_aliakbar_ramsar/")</f>
        <v>https://www.instagram.com/heyat_aliakbar_ramsar/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>
      <c r="A175" s="5"/>
      <c r="B175" s="5" t="str">
        <f>IFERROR(__xludf.DUMMYFUNCTION("""COMPUTED_VALUE"""),"هیأت")</f>
        <v>هیأت</v>
      </c>
      <c r="C175" s="5" t="str">
        <f>IFERROR(__xludf.DUMMYFUNCTION("""COMPUTED_VALUE"""),"باب الحسین")</f>
        <v>باب الحسین</v>
      </c>
      <c r="D175" s="5" t="str">
        <f>IFERROR(__xludf.DUMMYFUNCTION("""COMPUTED_VALUE"""),"مازندران")</f>
        <v>مازندران</v>
      </c>
      <c r="E175" s="5" t="str">
        <f>IFERROR(__xludf.DUMMYFUNCTION("""COMPUTED_VALUE"""),"رستم کلا")</f>
        <v>رستم کلا</v>
      </c>
      <c r="F175" s="5"/>
      <c r="G175" s="5"/>
      <c r="H175" s="6" t="str">
        <f>IFERROR(__xludf.DUMMYFUNCTION("""COMPUTED_VALUE"""),"https://www.instagram.com/babolhosein_rostamkola/")</f>
        <v>https://www.instagram.com/babolhosein_rostamkola/</v>
      </c>
      <c r="I175" s="6" t="str">
        <f>IFERROR(__xludf.DUMMYFUNCTION("""COMPUTED_VALUE"""),"https://t.me/babolhosein_ir")</f>
        <v>https://t.me/babolhosein_ir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>
      <c r="A176" s="5"/>
      <c r="B176" s="5" t="str">
        <f>IFERROR(__xludf.DUMMYFUNCTION("""COMPUTED_VALUE"""),"هیأت")</f>
        <v>هیأت</v>
      </c>
      <c r="C176" s="5" t="str">
        <f>IFERROR(__xludf.DUMMYFUNCTION("""COMPUTED_VALUE"""),"جوادالائمه")</f>
        <v>جوادالائمه</v>
      </c>
      <c r="D176" s="5" t="str">
        <f>IFERROR(__xludf.DUMMYFUNCTION("""COMPUTED_VALUE"""),"مازندران")</f>
        <v>مازندران</v>
      </c>
      <c r="E176" s="5" t="str">
        <f>IFERROR(__xludf.DUMMYFUNCTION("""COMPUTED_VALUE"""),"رستم کلا")</f>
        <v>رستم کلا</v>
      </c>
      <c r="F176" s="5"/>
      <c r="G176" s="5"/>
      <c r="H176" s="6" t="str">
        <f>IFERROR(__xludf.DUMMYFUNCTION("""COMPUTED_VALUE"""),"https://www.instagram.com/javadolaeme_ir/")</f>
        <v>https://www.instagram.com/javadolaeme_ir/</v>
      </c>
      <c r="I176" s="6" t="str">
        <f>IFERROR(__xludf.DUMMYFUNCTION("""COMPUTED_VALUE"""),"https://t.me/javanan_javadolaemeh_rostamkola")</f>
        <v>https://t.me/javanan_javadolaemeh_rostamkola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>
      <c r="A177" s="5"/>
      <c r="B177" s="5" t="str">
        <f>IFERROR(__xludf.DUMMYFUNCTION("""COMPUTED_VALUE"""),"هیأت")</f>
        <v>هیأت</v>
      </c>
      <c r="C177" s="5" t="str">
        <f>IFERROR(__xludf.DUMMYFUNCTION("""COMPUTED_VALUE"""),"انصارالمهدی")</f>
        <v>انصارالمهدی</v>
      </c>
      <c r="D177" s="5" t="str">
        <f>IFERROR(__xludf.DUMMYFUNCTION("""COMPUTED_VALUE"""),"مازندران")</f>
        <v>مازندران</v>
      </c>
      <c r="E177" s="5" t="str">
        <f>IFERROR(__xludf.DUMMYFUNCTION("""COMPUTED_VALUE"""),"رستمکلا")</f>
        <v>رستمکلا</v>
      </c>
      <c r="F177" s="5"/>
      <c r="G177" s="5"/>
      <c r="H177" s="6" t="str">
        <f>IFERROR(__xludf.DUMMYFUNCTION("""COMPUTED_VALUE"""),"https://www.instagram.com/ansaralmahdi.rostamkola/")</f>
        <v>https://www.instagram.com/ansaralmahdi.rostamkola/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>
      <c r="A178" s="5">
        <f>IFERROR(__xludf.DUMMYFUNCTION("""COMPUTED_VALUE"""),14559.0)</f>
        <v>14559</v>
      </c>
      <c r="B178" s="5" t="str">
        <f>IFERROR(__xludf.DUMMYFUNCTION("""COMPUTED_VALUE"""),"هیأت")</f>
        <v>هیأت</v>
      </c>
      <c r="C178" s="5" t="str">
        <f>IFERROR(__xludf.DUMMYFUNCTION("""COMPUTED_VALUE"""),"مکتب الصادق")</f>
        <v>مکتب الصادق</v>
      </c>
      <c r="D178" s="5" t="str">
        <f>IFERROR(__xludf.DUMMYFUNCTION("""COMPUTED_VALUE"""),"مازندران")</f>
        <v>مازندران</v>
      </c>
      <c r="E178" s="5" t="str">
        <f>IFERROR(__xludf.DUMMYFUNCTION("""COMPUTED_VALUE"""),"ساری")</f>
        <v>ساری</v>
      </c>
      <c r="F178" s="5"/>
      <c r="G178" s="5"/>
      <c r="H178" s="6" t="str">
        <f>IFERROR(__xludf.DUMMYFUNCTION("""COMPUTED_VALUE"""),"https://www.instagram.com/maktab.sadegh84/")</f>
        <v>https://www.instagram.com/maktab.sadegh84/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>
      <c r="A179" s="5">
        <f>IFERROR(__xludf.DUMMYFUNCTION("""COMPUTED_VALUE"""),14561.0)</f>
        <v>14561</v>
      </c>
      <c r="B179" s="5" t="str">
        <f>IFERROR(__xludf.DUMMYFUNCTION("""COMPUTED_VALUE"""),"هیأت")</f>
        <v>هیأت</v>
      </c>
      <c r="C179" s="5" t="str">
        <f>IFERROR(__xludf.DUMMYFUNCTION("""COMPUTED_VALUE"""),"غریب مدینه")</f>
        <v>غریب مدینه</v>
      </c>
      <c r="D179" s="5" t="str">
        <f>IFERROR(__xludf.DUMMYFUNCTION("""COMPUTED_VALUE"""),"مازندران")</f>
        <v>مازندران</v>
      </c>
      <c r="E179" s="5" t="str">
        <f>IFERROR(__xludf.DUMMYFUNCTION("""COMPUTED_VALUE"""),"ساری")</f>
        <v>ساری</v>
      </c>
      <c r="F179" s="5"/>
      <c r="G179" s="5"/>
      <c r="H179" s="6" t="str">
        <f>IFERROR(__xludf.DUMMYFUNCTION("""COMPUTED_VALUE"""),"https://www.instagram.com/gharibe_madine_sari")</f>
        <v>https://www.instagram.com/gharibe_madine_sari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>
      <c r="A180" s="5">
        <f>IFERROR(__xludf.DUMMYFUNCTION("""COMPUTED_VALUE"""),14566.0)</f>
        <v>14566</v>
      </c>
      <c r="B180" s="5" t="str">
        <f>IFERROR(__xludf.DUMMYFUNCTION("""COMPUTED_VALUE"""),"هیأت")</f>
        <v>هیأت</v>
      </c>
      <c r="C180" s="5" t="str">
        <f>IFERROR(__xludf.DUMMYFUNCTION("""COMPUTED_VALUE"""),"رهروان امام خمینی")</f>
        <v>رهروان امام خمینی</v>
      </c>
      <c r="D180" s="5" t="str">
        <f>IFERROR(__xludf.DUMMYFUNCTION("""COMPUTED_VALUE"""),"مازندران")</f>
        <v>مازندران</v>
      </c>
      <c r="E180" s="5" t="str">
        <f>IFERROR(__xludf.DUMMYFUNCTION("""COMPUTED_VALUE"""),"ساری")</f>
        <v>ساری</v>
      </c>
      <c r="F180" s="5"/>
      <c r="G180" s="5"/>
      <c r="H180" s="6" t="str">
        <f>IFERROR(__xludf.DUMMYFUNCTION("""COMPUTED_VALUE"""),"https://www.instagram.com/beitozzahra_ir")</f>
        <v>https://www.instagram.com/beitozzahra_ir</v>
      </c>
      <c r="I180" s="6" t="str">
        <f>IFERROR(__xludf.DUMMYFUNCTION("""COMPUTED_VALUE"""),"https://t.me/beitozzahra_ir")</f>
        <v>https://t.me/beitozzahra_ir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>
      <c r="A181" s="5">
        <f>IFERROR(__xludf.DUMMYFUNCTION("""COMPUTED_VALUE"""),14568.0)</f>
        <v>14568</v>
      </c>
      <c r="B181" s="5" t="str">
        <f>IFERROR(__xludf.DUMMYFUNCTION("""COMPUTED_VALUE"""),"هیأت")</f>
        <v>هیأت</v>
      </c>
      <c r="C181" s="5" t="str">
        <f>IFERROR(__xludf.DUMMYFUNCTION("""COMPUTED_VALUE"""),"انصارالفاطمه")</f>
        <v>انصارالفاطمه</v>
      </c>
      <c r="D181" s="5" t="str">
        <f>IFERROR(__xludf.DUMMYFUNCTION("""COMPUTED_VALUE"""),"مازندران")</f>
        <v>مازندران</v>
      </c>
      <c r="E181" s="5" t="str">
        <f>IFERROR(__xludf.DUMMYFUNCTION("""COMPUTED_VALUE"""),"ساری")</f>
        <v>ساری</v>
      </c>
      <c r="F181" s="5"/>
      <c r="G181" s="5"/>
      <c r="H181" s="6" t="str">
        <f>IFERROR(__xludf.DUMMYFUNCTION("""COMPUTED_VALUE"""),"https://www.instagram.com/ansaresarii/")</f>
        <v>https://www.instagram.com/ansaresarii/</v>
      </c>
      <c r="I181" s="6" t="str">
        <f>IFERROR(__xludf.DUMMYFUNCTION("""COMPUTED_VALUE"""),"https://t.me/ansaresarii")</f>
        <v>https://t.me/ansaresarii</v>
      </c>
      <c r="J181" s="6" t="str">
        <f>IFERROR(__xludf.DUMMYFUNCTION("""COMPUTED_VALUE"""),"https://eitaa.com/ansaresarii")</f>
        <v>https://eitaa.com/ansaresarii</v>
      </c>
      <c r="K181" s="5"/>
      <c r="L181" s="5"/>
      <c r="M181" s="5"/>
      <c r="N181" s="5"/>
      <c r="O181" s="5"/>
      <c r="P181" s="5"/>
      <c r="Q181" s="5"/>
      <c r="R181" s="5"/>
      <c r="S181" s="5"/>
    </row>
    <row r="182">
      <c r="A182" s="5">
        <f>IFERROR(__xludf.DUMMYFUNCTION("""COMPUTED_VALUE"""),14902.0)</f>
        <v>14902</v>
      </c>
      <c r="B182" s="5" t="str">
        <f>IFERROR(__xludf.DUMMYFUNCTION("""COMPUTED_VALUE"""),"هیأت")</f>
        <v>هیأت</v>
      </c>
      <c r="C182" s="5" t="str">
        <f>IFERROR(__xludf.DUMMYFUNCTION("""COMPUTED_VALUE"""),"انصارالمهدی (اتحادیه)")</f>
        <v>انصارالمهدی (اتحادیه)</v>
      </c>
      <c r="D182" s="5" t="str">
        <f>IFERROR(__xludf.DUMMYFUNCTION("""COMPUTED_VALUE"""),"مازندران")</f>
        <v>مازندران</v>
      </c>
      <c r="E182" s="5" t="str">
        <f>IFERROR(__xludf.DUMMYFUNCTION("""COMPUTED_VALUE"""),"ساری")</f>
        <v>ساری</v>
      </c>
      <c r="F182" s="5"/>
      <c r="G182" s="5"/>
      <c r="H182" s="6" t="str">
        <f>IFERROR(__xludf.DUMMYFUNCTION("""COMPUTED_VALUE"""),"https://www.instagram.com/ansariha_sari/")</f>
        <v>https://www.instagram.com/ansariha_sari/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>
      <c r="A183" s="5">
        <f>IFERROR(__xludf.DUMMYFUNCTION("""COMPUTED_VALUE"""),14979.0)</f>
        <v>14979</v>
      </c>
      <c r="B183" s="5" t="str">
        <f>IFERROR(__xludf.DUMMYFUNCTION("""COMPUTED_VALUE"""),"هیأت")</f>
        <v>هیأت</v>
      </c>
      <c r="C183" s="5" t="str">
        <f>IFERROR(__xludf.DUMMYFUNCTION("""COMPUTED_VALUE"""),"خدام الشهدا")</f>
        <v>خدام الشهدا</v>
      </c>
      <c r="D183" s="5" t="str">
        <f>IFERROR(__xludf.DUMMYFUNCTION("""COMPUTED_VALUE"""),"مازندران")</f>
        <v>مازندران</v>
      </c>
      <c r="E183" s="5" t="str">
        <f>IFERROR(__xludf.DUMMYFUNCTION("""COMPUTED_VALUE"""),"ساری")</f>
        <v>ساری</v>
      </c>
      <c r="F183" s="5"/>
      <c r="G183" s="5"/>
      <c r="H183" s="6" t="str">
        <f>IFERROR(__xludf.DUMMYFUNCTION("""COMPUTED_VALUE"""),"https://www.instagram.com/khoddam_shohada_sari")</f>
        <v>https://www.instagram.com/khoddam_shohada_sari</v>
      </c>
      <c r="I183" s="6" t="str">
        <f>IFERROR(__xludf.DUMMYFUNCTION("""COMPUTED_VALUE"""),"https://t.me/heyat_khodam")</f>
        <v>https://t.me/heyat_khodam</v>
      </c>
      <c r="J183" s="6" t="str">
        <f>IFERROR(__xludf.DUMMYFUNCTION("""COMPUTED_VALUE"""),"https://eitaa.com/khodamoshohada_sari")</f>
        <v>https://eitaa.com/khodamoshohada_sari</v>
      </c>
      <c r="K183" s="5"/>
      <c r="L183" s="5"/>
      <c r="M183" s="5"/>
      <c r="N183" s="5"/>
      <c r="O183" s="5"/>
      <c r="P183" s="5"/>
      <c r="Q183" s="5"/>
      <c r="R183" s="5"/>
      <c r="S183" s="5"/>
    </row>
    <row r="184">
      <c r="A184" s="5">
        <f>IFERROR(__xludf.DUMMYFUNCTION("""COMPUTED_VALUE"""),14983.0)</f>
        <v>14983</v>
      </c>
      <c r="B184" s="5" t="str">
        <f>IFERROR(__xludf.DUMMYFUNCTION("""COMPUTED_VALUE"""),"هیأت")</f>
        <v>هیأت</v>
      </c>
      <c r="C184" s="5" t="str">
        <f>IFERROR(__xludf.DUMMYFUNCTION("""COMPUTED_VALUE"""),"حیدریون")</f>
        <v>حیدریون</v>
      </c>
      <c r="D184" s="5" t="str">
        <f>IFERROR(__xludf.DUMMYFUNCTION("""COMPUTED_VALUE"""),"مازندران")</f>
        <v>مازندران</v>
      </c>
      <c r="E184" s="5" t="str">
        <f>IFERROR(__xludf.DUMMYFUNCTION("""COMPUTED_VALUE"""),"ساری")</f>
        <v>ساری</v>
      </c>
      <c r="F184" s="5"/>
      <c r="G184" s="5"/>
      <c r="H184" s="6" t="str">
        <f>IFERROR(__xludf.DUMMYFUNCTION("""COMPUTED_VALUE"""),"https://www.instagram.com/heydariion/")</f>
        <v>https://www.instagram.com/heydariion/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>
      <c r="A185" s="5">
        <f>IFERROR(__xludf.DUMMYFUNCTION("""COMPUTED_VALUE"""),15187.0)</f>
        <v>15187</v>
      </c>
      <c r="B185" s="5" t="str">
        <f>IFERROR(__xludf.DUMMYFUNCTION("""COMPUTED_VALUE"""),"هیأت")</f>
        <v>هیأت</v>
      </c>
      <c r="C185" s="5" t="str">
        <f>IFERROR(__xludf.DUMMYFUNCTION("""COMPUTED_VALUE"""),"رهروان ولایت")</f>
        <v>رهروان ولایت</v>
      </c>
      <c r="D185" s="5" t="str">
        <f>IFERROR(__xludf.DUMMYFUNCTION("""COMPUTED_VALUE"""),"مازندران")</f>
        <v>مازندران</v>
      </c>
      <c r="E185" s="5" t="str">
        <f>IFERROR(__xludf.DUMMYFUNCTION("""COMPUTED_VALUE"""),"ساری")</f>
        <v>ساری</v>
      </c>
      <c r="F185" s="5"/>
      <c r="G185" s="5"/>
      <c r="H185" s="6" t="str">
        <f>IFERROR(__xludf.DUMMYFUNCTION("""COMPUTED_VALUE"""),"https://www.instagram.com/rahrovan_sari/")</f>
        <v>https://www.instagram.com/rahrovan_sari/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>
      <c r="A186" s="5">
        <f>IFERROR(__xludf.DUMMYFUNCTION("""COMPUTED_VALUE"""),15207.0)</f>
        <v>15207</v>
      </c>
      <c r="B186" s="5" t="str">
        <f>IFERROR(__xludf.DUMMYFUNCTION("""COMPUTED_VALUE"""),"هیأت")</f>
        <v>هیأت</v>
      </c>
      <c r="C186" s="5" t="str">
        <f>IFERROR(__xludf.DUMMYFUNCTION("""COMPUTED_VALUE"""),"رهروان شهدا")</f>
        <v>رهروان شهدا</v>
      </c>
      <c r="D186" s="5" t="str">
        <f>IFERROR(__xludf.DUMMYFUNCTION("""COMPUTED_VALUE"""),"مازندران")</f>
        <v>مازندران</v>
      </c>
      <c r="E186" s="5" t="str">
        <f>IFERROR(__xludf.DUMMYFUNCTION("""COMPUTED_VALUE"""),"ساری")</f>
        <v>ساری</v>
      </c>
      <c r="F186" s="5"/>
      <c r="G186" s="5"/>
      <c r="H186" s="6" t="str">
        <f>IFERROR(__xludf.DUMMYFUNCTION("""COMPUTED_VALUE"""),"https://www.instagram.com/rahrovanshohadasari/")</f>
        <v>https://www.instagram.com/rahrovanshohadasari/</v>
      </c>
      <c r="I186" s="6" t="str">
        <f>IFERROR(__xludf.DUMMYFUNCTION("""COMPUTED_VALUE"""),"https://t.me/rahrovanshohadasari")</f>
        <v>https://t.me/rahrovanshohadasari</v>
      </c>
      <c r="J186" s="6" t="str">
        <f>IFERROR(__xludf.DUMMYFUNCTION("""COMPUTED_VALUE"""),"https://eitaa.com/rahrovan_shohada_sari")</f>
        <v>https://eitaa.com/rahrovan_shohada_sari</v>
      </c>
      <c r="K186" s="5"/>
      <c r="L186" s="5"/>
      <c r="M186" s="5"/>
      <c r="N186" s="5"/>
      <c r="O186" s="5"/>
      <c r="P186" s="5"/>
      <c r="Q186" s="5"/>
      <c r="R186" s="5"/>
      <c r="S186" s="5"/>
    </row>
    <row r="187">
      <c r="A187" s="5">
        <f>IFERROR(__xludf.DUMMYFUNCTION("""COMPUTED_VALUE"""),15245.0)</f>
        <v>15245</v>
      </c>
      <c r="B187" s="5" t="str">
        <f>IFERROR(__xludf.DUMMYFUNCTION("""COMPUTED_VALUE"""),"هیأت")</f>
        <v>هیأت</v>
      </c>
      <c r="C187" s="5" t="str">
        <f>IFERROR(__xludf.DUMMYFUNCTION("""COMPUTED_VALUE"""),"قمر بنی هاشم")</f>
        <v>قمر بنی هاشم</v>
      </c>
      <c r="D187" s="5" t="str">
        <f>IFERROR(__xludf.DUMMYFUNCTION("""COMPUTED_VALUE"""),"مازندران")</f>
        <v>مازندران</v>
      </c>
      <c r="E187" s="5" t="str">
        <f>IFERROR(__xludf.DUMMYFUNCTION("""COMPUTED_VALUE"""),"ساری")</f>
        <v>ساری</v>
      </c>
      <c r="F187" s="5"/>
      <c r="G187" s="5"/>
      <c r="H187" s="6" t="str">
        <f>IFERROR(__xludf.DUMMYFUNCTION("""COMPUTED_VALUE"""),"https://www.instagram.com/qamarbanihashem.info/")</f>
        <v>https://www.instagram.com/qamarbanihashem.info/</v>
      </c>
      <c r="I187" s="6" t="str">
        <f>IFERROR(__xludf.DUMMYFUNCTION("""COMPUTED_VALUE"""),"https://t.me/beiraq_ir")</f>
        <v>https://t.me/beiraq_ir</v>
      </c>
      <c r="J187" s="5"/>
      <c r="K187" s="5"/>
      <c r="L187" s="5"/>
      <c r="M187" s="5"/>
      <c r="N187" s="5"/>
      <c r="O187" s="5"/>
      <c r="P187" s="5" t="str">
        <f>IFERROR(__xludf.DUMMYFUNCTION("""COMPUTED_VALUE"""),"مرکز نیکو کاری و خیریه کریم اهل بیت (ع)")</f>
        <v>مرکز نیکو کاری و خیریه کریم اهل بیت (ع)</v>
      </c>
      <c r="Q187" s="5"/>
      <c r="R187" s="5"/>
      <c r="S187" s="5" t="str">
        <f>IFERROR(__xludf.DUMMYFUNCTION("""COMPUTED_VALUE"""),"جمعیت جهادی مردمی سلمان")</f>
        <v>جمعیت جهادی مردمی سلمان</v>
      </c>
    </row>
    <row r="188">
      <c r="A188" s="5">
        <f>IFERROR(__xludf.DUMMYFUNCTION("""COMPUTED_VALUE"""),15306.0)</f>
        <v>15306</v>
      </c>
      <c r="B188" s="5" t="str">
        <f>IFERROR(__xludf.DUMMYFUNCTION("""COMPUTED_VALUE"""),"هیأت")</f>
        <v>هیأت</v>
      </c>
      <c r="C188" s="5" t="str">
        <f>IFERROR(__xludf.DUMMYFUNCTION("""COMPUTED_VALUE"""),"عشاق الحسین")</f>
        <v>عشاق الحسین</v>
      </c>
      <c r="D188" s="5" t="str">
        <f>IFERROR(__xludf.DUMMYFUNCTION("""COMPUTED_VALUE"""),"مازندران")</f>
        <v>مازندران</v>
      </c>
      <c r="E188" s="5" t="str">
        <f>IFERROR(__xludf.DUMMYFUNCTION("""COMPUTED_VALUE"""),"ساری")</f>
        <v>ساری</v>
      </c>
      <c r="F188" s="5"/>
      <c r="G188" s="5"/>
      <c r="H188" s="6" t="str">
        <f>IFERROR(__xludf.DUMMYFUNCTION("""COMPUTED_VALUE"""),"https://www.instagram.com/oshagholhosein_sari")</f>
        <v>https://www.instagram.com/oshagholhosein_sari</v>
      </c>
      <c r="I188" s="5"/>
      <c r="J188" s="6" t="str">
        <f>IFERROR(__xludf.DUMMYFUNCTION("""COMPUTED_VALUE"""),"https://eitaa.com/oshagholhosein_sari")</f>
        <v>https://eitaa.com/oshagholhosein_sari</v>
      </c>
      <c r="K188" s="5"/>
      <c r="L188" s="5"/>
      <c r="M188" s="5"/>
      <c r="N188" s="5"/>
      <c r="O188" s="5"/>
      <c r="P188" s="5"/>
      <c r="Q188" s="5"/>
      <c r="R188" s="5"/>
      <c r="S188" s="5"/>
    </row>
    <row r="189">
      <c r="A189" s="5">
        <f>IFERROR(__xludf.DUMMYFUNCTION("""COMPUTED_VALUE"""),18307.0)</f>
        <v>18307</v>
      </c>
      <c r="B189" s="5" t="str">
        <f>IFERROR(__xludf.DUMMYFUNCTION("""COMPUTED_VALUE"""),"هیأت")</f>
        <v>هیأت</v>
      </c>
      <c r="C189" s="5" t="str">
        <f>IFERROR(__xludf.DUMMYFUNCTION("""COMPUTED_VALUE"""),"بین الحرمین")</f>
        <v>بین الحرمین</v>
      </c>
      <c r="D189" s="5" t="str">
        <f>IFERROR(__xludf.DUMMYFUNCTION("""COMPUTED_VALUE"""),"مازندران")</f>
        <v>مازندران</v>
      </c>
      <c r="E189" s="5" t="str">
        <f>IFERROR(__xludf.DUMMYFUNCTION("""COMPUTED_VALUE"""),"ساری")</f>
        <v>ساری</v>
      </c>
      <c r="F189" s="5"/>
      <c r="G189" s="5"/>
      <c r="H189" s="6" t="str">
        <f>IFERROR(__xludf.DUMMYFUNCTION("""COMPUTED_VALUE"""),"https://www.instagram.com/beynolharameynsari/")</f>
        <v>https://www.instagram.com/beynolharameynsari/</v>
      </c>
      <c r="I189" s="6" t="str">
        <f>IFERROR(__xludf.DUMMYFUNCTION("""COMPUTED_VALUE"""),"https://t.me/beynolharameynsari")</f>
        <v>https://t.me/beynolharameynsari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>
      <c r="A190" s="5">
        <f>IFERROR(__xludf.DUMMYFUNCTION("""COMPUTED_VALUE"""),18316.0)</f>
        <v>18316</v>
      </c>
      <c r="B190" s="5" t="str">
        <f>IFERROR(__xludf.DUMMYFUNCTION("""COMPUTED_VALUE"""),"هیأت")</f>
        <v>هیأت</v>
      </c>
      <c r="C190" s="5" t="str">
        <f>IFERROR(__xludf.DUMMYFUNCTION("""COMPUTED_VALUE"""),"ثارالله ")</f>
        <v>ثارالله </v>
      </c>
      <c r="D190" s="5" t="str">
        <f>IFERROR(__xludf.DUMMYFUNCTION("""COMPUTED_VALUE"""),"مازندران")</f>
        <v>مازندران</v>
      </c>
      <c r="E190" s="5" t="str">
        <f>IFERROR(__xludf.DUMMYFUNCTION("""COMPUTED_VALUE"""),"ساری")</f>
        <v>ساری</v>
      </c>
      <c r="F190" s="6" t="str">
        <f>IFERROR(__xludf.DUMMYFUNCTION("""COMPUTED_VALUE"""),"https://maps.app.goo.gl/uC2ir1cB6oEJPQKh6")</f>
        <v>https://maps.app.goo.gl/uC2ir1cB6oEJPQKh6</v>
      </c>
      <c r="G190" s="5"/>
      <c r="H190" s="6" t="str">
        <f>IFERROR(__xludf.DUMMYFUNCTION("""COMPUTED_VALUE"""),"https://www.instagram.com/sarallah_sari1/")</f>
        <v>https://www.instagram.com/sarallah_sari1/</v>
      </c>
      <c r="I190" s="6" t="str">
        <f>IFERROR(__xludf.DUMMYFUNCTION("""COMPUTED_VALUE"""),"https://t.me/sarallah_sari1")</f>
        <v>https://t.me/sarallah_sari1</v>
      </c>
      <c r="J190" s="6" t="str">
        <f>IFERROR(__xludf.DUMMYFUNCTION("""COMPUTED_VALUE"""),"https://eitaa.com/sarallah_sari1")</f>
        <v>https://eitaa.com/sarallah_sari1</v>
      </c>
      <c r="K190" s="6" t="str">
        <f>IFERROR(__xludf.DUMMYFUNCTION("""COMPUTED_VALUE"""),"https://www.youtube.com/@sarallah_sari1")</f>
        <v>https://www.youtube.com/@sarallah_sari1</v>
      </c>
      <c r="L190" s="5"/>
      <c r="M190" s="5"/>
      <c r="N190" s="5" t="str">
        <f>IFERROR(__xludf.DUMMYFUNCTION("""COMPUTED_VALUE"""),"سه شنبه ها")</f>
        <v>سه شنبه ها</v>
      </c>
      <c r="O190" s="5"/>
      <c r="P190" s="5"/>
      <c r="Q190" s="5"/>
      <c r="R190" s="5"/>
      <c r="S190" s="5"/>
    </row>
    <row r="191">
      <c r="A191" s="5">
        <f>IFERROR(__xludf.DUMMYFUNCTION("""COMPUTED_VALUE"""),20406.0)</f>
        <v>20406</v>
      </c>
      <c r="B191" s="5" t="str">
        <f>IFERROR(__xludf.DUMMYFUNCTION("""COMPUTED_VALUE"""),"هیأت")</f>
        <v>هیأت</v>
      </c>
      <c r="C191" s="5" t="str">
        <f>IFERROR(__xludf.DUMMYFUNCTION("""COMPUTED_VALUE"""),"جوادالائمه")</f>
        <v>جوادالائمه</v>
      </c>
      <c r="D191" s="5" t="str">
        <f>IFERROR(__xludf.DUMMYFUNCTION("""COMPUTED_VALUE"""),"مازندران")</f>
        <v>مازندران</v>
      </c>
      <c r="E191" s="5" t="str">
        <f>IFERROR(__xludf.DUMMYFUNCTION("""COMPUTED_VALUE"""),"ساری")</f>
        <v>ساری</v>
      </c>
      <c r="F191" s="5"/>
      <c r="G191" s="5"/>
      <c r="H191" s="6" t="str">
        <f>IFERROR(__xludf.DUMMYFUNCTION("""COMPUTED_VALUE"""),"https://www.instagram.com/javadolaemeh_sari/")</f>
        <v>https://www.instagram.com/javadolaemeh_sari/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>
      <c r="A192" s="5">
        <f>IFERROR(__xludf.DUMMYFUNCTION("""COMPUTED_VALUE"""),20832.0)</f>
        <v>20832</v>
      </c>
      <c r="B192" s="5" t="str">
        <f>IFERROR(__xludf.DUMMYFUNCTION("""COMPUTED_VALUE"""),"هیأت")</f>
        <v>هیأت</v>
      </c>
      <c r="C192" s="5" t="str">
        <f>IFERROR(__xludf.DUMMYFUNCTION("""COMPUTED_VALUE"""),"زینبیون")</f>
        <v>زینبیون</v>
      </c>
      <c r="D192" s="5" t="str">
        <f>IFERROR(__xludf.DUMMYFUNCTION("""COMPUTED_VALUE"""),"مازندران")</f>
        <v>مازندران</v>
      </c>
      <c r="E192" s="5" t="str">
        <f>IFERROR(__xludf.DUMMYFUNCTION("""COMPUTED_VALUE"""),"ساری")</f>
        <v>ساری</v>
      </c>
      <c r="F192" s="5"/>
      <c r="G192" s="5"/>
      <c r="H192" s="6" t="str">
        <f>IFERROR(__xludf.DUMMYFUNCTION("""COMPUTED_VALUE"""),"https://www.instagram.com/zeynabioun_ir")</f>
        <v>https://www.instagram.com/zeynabioun_ir</v>
      </c>
      <c r="I192" s="6" t="str">
        <f>IFERROR(__xludf.DUMMYFUNCTION("""COMPUTED_VALUE"""),"https://t.me/zeynabioun_ir")</f>
        <v>https://t.me/zeynabioun_ir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>
      <c r="A193" s="5">
        <f>IFERROR(__xludf.DUMMYFUNCTION("""COMPUTED_VALUE"""),21545.0)</f>
        <v>21545</v>
      </c>
      <c r="B193" s="5" t="str">
        <f>IFERROR(__xludf.DUMMYFUNCTION("""COMPUTED_VALUE"""),"هیأت")</f>
        <v>هیأت</v>
      </c>
      <c r="C193" s="5" t="str">
        <f>IFERROR(__xludf.DUMMYFUNCTION("""COMPUTED_VALUE"""),"تکیه شاه خراسان")</f>
        <v>تکیه شاه خراسان</v>
      </c>
      <c r="D193" s="5" t="str">
        <f>IFERROR(__xludf.DUMMYFUNCTION("""COMPUTED_VALUE"""),"مازندران")</f>
        <v>مازندران</v>
      </c>
      <c r="E193" s="5" t="str">
        <f>IFERROR(__xludf.DUMMYFUNCTION("""COMPUTED_VALUE"""),"ساری")</f>
        <v>ساری</v>
      </c>
      <c r="F193" s="5"/>
      <c r="G193" s="5"/>
      <c r="H193" s="6" t="str">
        <f>IFERROR(__xludf.DUMMYFUNCTION("""COMPUTED_VALUE"""),"https://www.instagram.com/shahe_khourasan_sari/")</f>
        <v>https://www.instagram.com/shahe_khourasan_sari/</v>
      </c>
      <c r="I193" s="6" t="str">
        <f>IFERROR(__xludf.DUMMYFUNCTION("""COMPUTED_VALUE"""),"https://t.me/shahekhorasan")</f>
        <v>https://t.me/shahekhorasan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>
      <c r="A194" s="5">
        <f>IFERROR(__xludf.DUMMYFUNCTION("""COMPUTED_VALUE"""),26634.0)</f>
        <v>26634</v>
      </c>
      <c r="B194" s="5" t="str">
        <f>IFERROR(__xludf.DUMMYFUNCTION("""COMPUTED_VALUE"""),"هیأت")</f>
        <v>هیأت</v>
      </c>
      <c r="C194" s="5" t="str">
        <f>IFERROR(__xludf.DUMMYFUNCTION("""COMPUTED_VALUE"""),"روضه عمه سادات")</f>
        <v>روضه عمه سادات</v>
      </c>
      <c r="D194" s="5" t="str">
        <f>IFERROR(__xludf.DUMMYFUNCTION("""COMPUTED_VALUE"""),"مازندران")</f>
        <v>مازندران</v>
      </c>
      <c r="E194" s="5" t="str">
        <f>IFERROR(__xludf.DUMMYFUNCTION("""COMPUTED_VALUE"""),"ساری")</f>
        <v>ساری</v>
      </c>
      <c r="F194" s="5"/>
      <c r="G194" s="5"/>
      <c r="H194" s="6" t="str">
        <f>IFERROR(__xludf.DUMMYFUNCTION("""COMPUTED_VALUE"""),"https://www.instagram.com/amesadatsari/")</f>
        <v>https://www.instagram.com/amesadatsari/</v>
      </c>
      <c r="I194" s="6" t="str">
        <f>IFERROR(__xludf.DUMMYFUNCTION("""COMPUTED_VALUE"""),"https://t.me/amesadatsari")</f>
        <v>https://t.me/amesadatsari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>
      <c r="A195" s="5">
        <f>IFERROR(__xludf.DUMMYFUNCTION("""COMPUTED_VALUE"""),28028.0)</f>
        <v>28028</v>
      </c>
      <c r="B195" s="5" t="str">
        <f>IFERROR(__xludf.DUMMYFUNCTION("""COMPUTED_VALUE"""),"هیأت")</f>
        <v>هیأت</v>
      </c>
      <c r="C195" s="5" t="str">
        <f>IFERROR(__xludf.DUMMYFUNCTION("""COMPUTED_VALUE"""),"شباب الاباالفضل")</f>
        <v>شباب الاباالفضل</v>
      </c>
      <c r="D195" s="5" t="str">
        <f>IFERROR(__xludf.DUMMYFUNCTION("""COMPUTED_VALUE"""),"مازندران")</f>
        <v>مازندران</v>
      </c>
      <c r="E195" s="5" t="str">
        <f>IFERROR(__xludf.DUMMYFUNCTION("""COMPUTED_VALUE"""),"ساری")</f>
        <v>ساری</v>
      </c>
      <c r="F195" s="5"/>
      <c r="G195" s="5"/>
      <c r="H195" s="6" t="str">
        <f>IFERROR(__xludf.DUMMYFUNCTION("""COMPUTED_VALUE"""),"https://www.instagram.com/shabab_abalfazl/")</f>
        <v>https://www.instagram.com/shabab_abalfazl/</v>
      </c>
      <c r="I195" s="5"/>
      <c r="J195" s="6" t="str">
        <f>IFERROR(__xludf.DUMMYFUNCTION("""COMPUTED_VALUE"""),"https://eitaa.com/shabab_abalfazl")</f>
        <v>https://eitaa.com/shabab_abalfazl</v>
      </c>
      <c r="K195" s="5"/>
      <c r="L195" s="5"/>
      <c r="M195" s="5"/>
      <c r="N195" s="5"/>
      <c r="O195" s="5"/>
      <c r="P195" s="5"/>
      <c r="Q195" s="5"/>
      <c r="R195" s="5"/>
      <c r="S195" s="5"/>
    </row>
    <row r="196">
      <c r="A196" s="5"/>
      <c r="B196" s="5" t="str">
        <f>IFERROR(__xludf.DUMMYFUNCTION("""COMPUTED_VALUE"""),"حسینیه")</f>
        <v>حسینیه</v>
      </c>
      <c r="C196" s="5" t="str">
        <f>IFERROR(__xludf.DUMMYFUNCTION("""COMPUTED_VALUE"""),"شاه خراسان")</f>
        <v>شاه خراسان</v>
      </c>
      <c r="D196" s="5" t="str">
        <f>IFERROR(__xludf.DUMMYFUNCTION("""COMPUTED_VALUE"""),"مازندران")</f>
        <v>مازندران</v>
      </c>
      <c r="E196" s="5" t="str">
        <f>IFERROR(__xludf.DUMMYFUNCTION("""COMPUTED_VALUE"""),"ساری")</f>
        <v>ساری</v>
      </c>
      <c r="F196" s="5"/>
      <c r="G196" s="5"/>
      <c r="H196" s="6" t="str">
        <f>IFERROR(__xludf.DUMMYFUNCTION("""COMPUTED_VALUE"""),"https://www.instagram.com/shahe_khorasan_media/")</f>
        <v>https://www.instagram.com/shahe_khorasan_media/</v>
      </c>
      <c r="I196" s="6" t="str">
        <f>IFERROR(__xludf.DUMMYFUNCTION("""COMPUTED_VALUE"""),"https://t.me/shahekhorasan")</f>
        <v>https://t.me/shahekhorasan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>
      <c r="A197" s="5"/>
      <c r="B197" s="5" t="str">
        <f>IFERROR(__xludf.DUMMYFUNCTION("""COMPUTED_VALUE"""),"رسانه")</f>
        <v>رسانه</v>
      </c>
      <c r="C197" s="5" t="str">
        <f>IFERROR(__xludf.DUMMYFUNCTION("""COMPUTED_VALUE"""),"نقاره")</f>
        <v>نقاره</v>
      </c>
      <c r="D197" s="5" t="str">
        <f>IFERROR(__xludf.DUMMYFUNCTION("""COMPUTED_VALUE"""),"مازندران")</f>
        <v>مازندران</v>
      </c>
      <c r="E197" s="5" t="str">
        <f>IFERROR(__xludf.DUMMYFUNCTION("""COMPUTED_VALUE"""),"ساری")</f>
        <v>ساری</v>
      </c>
      <c r="F197" s="5"/>
      <c r="G197" s="5"/>
      <c r="H197" s="6" t="str">
        <f>IFERROR(__xludf.DUMMYFUNCTION("""COMPUTED_VALUE"""),"https://www.instagram.com/naqqare/")</f>
        <v>https://www.instagram.com/naqqare/</v>
      </c>
      <c r="I197" s="6" t="str">
        <f>IFERROR(__xludf.DUMMYFUNCTION("""COMPUTED_VALUE"""),"https://t.me/naqqaremedia")</f>
        <v>https://t.me/naqqaremedia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>
      <c r="A198" s="5"/>
      <c r="B198" s="5" t="str">
        <f>IFERROR(__xludf.DUMMYFUNCTION("""COMPUTED_VALUE"""),"رسانه")</f>
        <v>رسانه</v>
      </c>
      <c r="C198" s="5" t="str">
        <f>IFERROR(__xludf.DUMMYFUNCTION("""COMPUTED_VALUE"""),"سدره")</f>
        <v>سدره</v>
      </c>
      <c r="D198" s="5" t="str">
        <f>IFERROR(__xludf.DUMMYFUNCTION("""COMPUTED_VALUE"""),"مازندران")</f>
        <v>مازندران</v>
      </c>
      <c r="E198" s="5" t="str">
        <f>IFERROR(__xludf.DUMMYFUNCTION("""COMPUTED_VALUE"""),"ساری")</f>
        <v>ساری</v>
      </c>
      <c r="F198" s="5"/>
      <c r="G198" s="5"/>
      <c r="H198" s="6" t="str">
        <f>IFERROR(__xludf.DUMMYFUNCTION("""COMPUTED_VALUE"""),"https://www.instagram.com/sedre.media/")</f>
        <v>https://www.instagram.com/sedre.media/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>
      <c r="A199" s="5"/>
      <c r="B199" s="5" t="str">
        <f>IFERROR(__xludf.DUMMYFUNCTION("""COMPUTED_VALUE"""),"مداح")</f>
        <v>مداح</v>
      </c>
      <c r="C199" s="5" t="str">
        <f>IFERROR(__xludf.DUMMYFUNCTION("""COMPUTED_VALUE"""),"سینا فضل الله نژاد")</f>
        <v>سینا فضل الله نژاد</v>
      </c>
      <c r="D199" s="5" t="str">
        <f>IFERROR(__xludf.DUMMYFUNCTION("""COMPUTED_VALUE"""),"مازندران")</f>
        <v>مازندران</v>
      </c>
      <c r="E199" s="5" t="str">
        <f>IFERROR(__xludf.DUMMYFUNCTION("""COMPUTED_VALUE"""),"ساری")</f>
        <v>ساری</v>
      </c>
      <c r="F199" s="5"/>
      <c r="G199" s="5"/>
      <c r="H199" s="6" t="str">
        <f>IFERROR(__xludf.DUMMYFUNCTION("""COMPUTED_VALUE"""),"https://www.instagram.com/sina_fazlollahnezhad/")</f>
        <v>https://www.instagram.com/sina_fazlollahnezhad/</v>
      </c>
      <c r="I199" s="6" t="str">
        <f>IFERROR(__xludf.DUMMYFUNCTION("""COMPUTED_VALUE"""),"https://t.me/fazlollahnezhad_ir")</f>
        <v>https://t.me/fazlollahnezhad_ir</v>
      </c>
      <c r="J199" s="6" t="str">
        <f>IFERROR(__xludf.DUMMYFUNCTION("""COMPUTED_VALUE"""),"https://eitaa.com/sina_fazlollahnezhad")</f>
        <v>https://eitaa.com/sina_fazlollahnezhad</v>
      </c>
      <c r="K199" s="5"/>
      <c r="L199" s="5"/>
      <c r="M199" s="5"/>
      <c r="N199" s="5"/>
      <c r="O199" s="5"/>
      <c r="P199" s="5"/>
      <c r="Q199" s="5"/>
      <c r="R199" s="5"/>
      <c r="S199" s="5"/>
    </row>
    <row r="200">
      <c r="A200" s="5"/>
      <c r="B200" s="5" t="str">
        <f>IFERROR(__xludf.DUMMYFUNCTION("""COMPUTED_VALUE"""),"منبری")</f>
        <v>منبری</v>
      </c>
      <c r="C200" s="5" t="str">
        <f>IFERROR(__xludf.DUMMYFUNCTION("""COMPUTED_VALUE"""),"محمدعلی رضاپور")</f>
        <v>محمدعلی رضاپور</v>
      </c>
      <c r="D200" s="5" t="str">
        <f>IFERROR(__xludf.DUMMYFUNCTION("""COMPUTED_VALUE"""),"مازندران")</f>
        <v>مازندران</v>
      </c>
      <c r="E200" s="5" t="str">
        <f>IFERROR(__xludf.DUMMYFUNCTION("""COMPUTED_VALUE"""),"ساری")</f>
        <v>ساری</v>
      </c>
      <c r="F200" s="5"/>
      <c r="G200" s="5"/>
      <c r="H200" s="6" t="str">
        <f>IFERROR(__xludf.DUMMYFUNCTION("""COMPUTED_VALUE"""),"https://www.instagram.com/rezapuor.ir/")</f>
        <v>https://www.instagram.com/rezapuor.ir/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>
      <c r="A201" s="5"/>
      <c r="B201" s="5" t="str">
        <f>IFERROR(__xludf.DUMMYFUNCTION("""COMPUTED_VALUE"""),"موکب")</f>
        <v>موکب</v>
      </c>
      <c r="C201" s="5" t="str">
        <f>IFERROR(__xludf.DUMMYFUNCTION("""COMPUTED_VALUE"""),"زوارالرضا")</f>
        <v>زوارالرضا</v>
      </c>
      <c r="D201" s="5" t="str">
        <f>IFERROR(__xludf.DUMMYFUNCTION("""COMPUTED_VALUE"""),"مازندران")</f>
        <v>مازندران</v>
      </c>
      <c r="E201" s="5" t="str">
        <f>IFERROR(__xludf.DUMMYFUNCTION("""COMPUTED_VALUE"""),"ساری")</f>
        <v>ساری</v>
      </c>
      <c r="F201" s="5"/>
      <c r="G201" s="5"/>
      <c r="H201" s="6" t="str">
        <f>IFERROR(__xludf.DUMMYFUNCTION("""COMPUTED_VALUE"""),"https://www.instagram.com/zovar_ir")</f>
        <v>https://www.instagram.com/zovar_ir</v>
      </c>
      <c r="I201" s="5"/>
      <c r="J201" s="6" t="str">
        <f>IFERROR(__xludf.DUMMYFUNCTION("""COMPUTED_VALUE"""),"https://eitaa.com/zovar_ir")</f>
        <v>https://eitaa.com/zovar_ir</v>
      </c>
      <c r="K201" s="5"/>
      <c r="L201" s="5"/>
      <c r="M201" s="5"/>
      <c r="N201" s="5"/>
      <c r="O201" s="5"/>
      <c r="P201" s="5"/>
      <c r="Q201" s="5"/>
      <c r="R201" s="5"/>
      <c r="S201" s="5"/>
    </row>
    <row r="202">
      <c r="A202" s="5"/>
      <c r="B202" s="5" t="str">
        <f>IFERROR(__xludf.DUMMYFUNCTION("""COMPUTED_VALUE"""),"هیأت")</f>
        <v>هیأت</v>
      </c>
      <c r="C202" s="5" t="str">
        <f>IFERROR(__xludf.DUMMYFUNCTION("""COMPUTED_VALUE"""),"بیرق خانم ام البنین")</f>
        <v>بیرق خانم ام البنین</v>
      </c>
      <c r="D202" s="5" t="str">
        <f>IFERROR(__xludf.DUMMYFUNCTION("""COMPUTED_VALUE"""),"مازندران")</f>
        <v>مازندران</v>
      </c>
      <c r="E202" s="5" t="str">
        <f>IFERROR(__xludf.DUMMYFUNCTION("""COMPUTED_VALUE"""),"ساری")</f>
        <v>ساری</v>
      </c>
      <c r="F202" s="5"/>
      <c r="G202" s="5"/>
      <c r="H202" s="6" t="str">
        <f>IFERROR(__xludf.DUMMYFUNCTION("""COMPUTED_VALUE"""),"https://www.instagram.com/ommolbanin_sari/")</f>
        <v>https://www.instagram.com/ommolbanin_sari/</v>
      </c>
      <c r="I202" s="6" t="str">
        <f>IFERROR(__xludf.DUMMYFUNCTION("""COMPUTED_VALUE"""),"https://t.me/ommolbanin_sari")</f>
        <v>https://t.me/ommolbanin_sari</v>
      </c>
      <c r="J202" s="5"/>
      <c r="K202" s="5"/>
      <c r="L202" s="5"/>
      <c r="M202" s="5"/>
      <c r="N202" s="5"/>
      <c r="O202" s="5"/>
      <c r="P202" s="6" t="str">
        <f>IFERROR(__xludf.DUMMYFUNCTION("""COMPUTED_VALUE"""),"https://www.instagram.com/184panah/")</f>
        <v>https://www.instagram.com/184panah/</v>
      </c>
      <c r="Q202" s="5"/>
      <c r="R202" s="5"/>
      <c r="S202" s="5"/>
    </row>
    <row r="203">
      <c r="A203" s="5"/>
      <c r="B203" s="5" t="str">
        <f>IFERROR(__xludf.DUMMYFUNCTION("""COMPUTED_VALUE"""),"هیأت")</f>
        <v>هیأت</v>
      </c>
      <c r="C203" s="5" t="str">
        <f>IFERROR(__xludf.DUMMYFUNCTION("""COMPUTED_VALUE"""),"مکتب الزهرا")</f>
        <v>مکتب الزهرا</v>
      </c>
      <c r="D203" s="5" t="str">
        <f>IFERROR(__xludf.DUMMYFUNCTION("""COMPUTED_VALUE"""),"مازندران")</f>
        <v>مازندران</v>
      </c>
      <c r="E203" s="5" t="str">
        <f>IFERROR(__xludf.DUMMYFUNCTION("""COMPUTED_VALUE"""),"ساری")</f>
        <v>ساری</v>
      </c>
      <c r="F203" s="5"/>
      <c r="G203" s="5"/>
      <c r="H203" s="6" t="str">
        <f>IFERROR(__xludf.DUMMYFUNCTION("""COMPUTED_VALUE"""),"https://www.instagram.com/maaktab/")</f>
        <v>https://www.instagram.com/maaktab/</v>
      </c>
      <c r="I203" s="6" t="str">
        <f>IFERROR(__xludf.DUMMYFUNCTION("""COMPUTED_VALUE"""),"https://t.me/maktabozahrasari")</f>
        <v>https://t.me/maktabozahrasari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>
      <c r="A204" s="5"/>
      <c r="B204" s="5" t="str">
        <f>IFERROR(__xludf.DUMMYFUNCTION("""COMPUTED_VALUE"""),"هیأت")</f>
        <v>هیأت</v>
      </c>
      <c r="C204" s="5" t="str">
        <f>IFERROR(__xludf.DUMMYFUNCTION("""COMPUTED_VALUE"""),"حضرت علی اکبر")</f>
        <v>حضرت علی اکبر</v>
      </c>
      <c r="D204" s="5" t="str">
        <f>IFERROR(__xludf.DUMMYFUNCTION("""COMPUTED_VALUE"""),"مازندران")</f>
        <v>مازندران</v>
      </c>
      <c r="E204" s="5" t="str">
        <f>IFERROR(__xludf.DUMMYFUNCTION("""COMPUTED_VALUE"""),"ساری")</f>
        <v>ساری</v>
      </c>
      <c r="F204" s="5"/>
      <c r="G204" s="5"/>
      <c r="H204" s="6" t="str">
        <f>IFERROR(__xludf.DUMMYFUNCTION("""COMPUTED_VALUE"""),"https://www.instagram.com/heyat_hazrat_aliakbar_sari/")</f>
        <v>https://www.instagram.com/heyat_hazrat_aliakbar_sari/</v>
      </c>
      <c r="I204" s="6" t="str">
        <f>IFERROR(__xludf.DUMMYFUNCTION("""COMPUTED_VALUE"""),"https://t.me/aliakbar278")</f>
        <v>https://t.me/aliakbar278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>
      <c r="A205" s="5"/>
      <c r="B205" s="5" t="str">
        <f>IFERROR(__xludf.DUMMYFUNCTION("""COMPUTED_VALUE"""),"هیأت")</f>
        <v>هیأت</v>
      </c>
      <c r="C205" s="5" t="str">
        <f>IFERROR(__xludf.DUMMYFUNCTION("""COMPUTED_VALUE"""),"دلدادگان حضرت رقیه")</f>
        <v>دلدادگان حضرت رقیه</v>
      </c>
      <c r="D205" s="5" t="str">
        <f>IFERROR(__xludf.DUMMYFUNCTION("""COMPUTED_VALUE"""),"مازندران")</f>
        <v>مازندران</v>
      </c>
      <c r="E205" s="5" t="str">
        <f>IFERROR(__xludf.DUMMYFUNCTION("""COMPUTED_VALUE"""),"ساری")</f>
        <v>ساری</v>
      </c>
      <c r="F205" s="5"/>
      <c r="G205" s="5"/>
      <c r="H205" s="6" t="str">
        <f>IFERROR(__xludf.DUMMYFUNCTION("""COMPUTED_VALUE"""),"https://www.instagram.com/heiat_deldadegan_sari/")</f>
        <v>https://www.instagram.com/heiat_deldadegan_sari/</v>
      </c>
      <c r="I205" s="6" t="str">
        <f>IFERROR(__xludf.DUMMYFUNCTION("""COMPUTED_VALUE"""),"https://t.me/heiat_deldadegan_sari")</f>
        <v>https://t.me/heiat_deldadegan_sari</v>
      </c>
      <c r="J205" s="6" t="str">
        <f>IFERROR(__xludf.DUMMYFUNCTION("""COMPUTED_VALUE"""),"https://eitaa.com/s/heiat_deldadegan_sari")</f>
        <v>https://eitaa.com/s/heiat_deldadegan_sari</v>
      </c>
      <c r="K205" s="5"/>
      <c r="L205" s="5"/>
      <c r="M205" s="5"/>
      <c r="N205" s="5" t="str">
        <f>IFERROR(__xludf.DUMMYFUNCTION("""COMPUTED_VALUE"""),"جمعه ها")</f>
        <v>جمعه ها</v>
      </c>
      <c r="O205" s="5"/>
      <c r="P205" s="5"/>
      <c r="Q205" s="5"/>
      <c r="R205" s="5"/>
      <c r="S205" s="5"/>
    </row>
    <row r="206">
      <c r="A206" s="5"/>
      <c r="B206" s="5" t="str">
        <f>IFERROR(__xludf.DUMMYFUNCTION("""COMPUTED_VALUE"""),"هیأت")</f>
        <v>هیأت</v>
      </c>
      <c r="C206" s="5" t="str">
        <f>IFERROR(__xludf.DUMMYFUNCTION("""COMPUTED_VALUE"""),"بیت العباس")</f>
        <v>بیت العباس</v>
      </c>
      <c r="D206" s="5" t="str">
        <f>IFERROR(__xludf.DUMMYFUNCTION("""COMPUTED_VALUE"""),"مازندران")</f>
        <v>مازندران</v>
      </c>
      <c r="E206" s="5" t="str">
        <f>IFERROR(__xludf.DUMMYFUNCTION("""COMPUTED_VALUE"""),"ساری")</f>
        <v>ساری</v>
      </c>
      <c r="F206" s="5"/>
      <c r="G206" s="5"/>
      <c r="H206" s="6" t="str">
        <f>IFERROR(__xludf.DUMMYFUNCTION("""COMPUTED_VALUE"""),"https://www.instagram.com/heiat_beytolabbas")</f>
        <v>https://www.instagram.com/heiat_beytolabbas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>
      <c r="A207" s="5"/>
      <c r="B207" s="5" t="str">
        <f>IFERROR(__xludf.DUMMYFUNCTION("""COMPUTED_VALUE"""),"هیأت")</f>
        <v>هیأت</v>
      </c>
      <c r="C207" s="5" t="str">
        <f>IFERROR(__xludf.DUMMYFUNCTION("""COMPUTED_VALUE"""),"محبان حضرت مهدی")</f>
        <v>محبان حضرت مهدی</v>
      </c>
      <c r="D207" s="5" t="str">
        <f>IFERROR(__xludf.DUMMYFUNCTION("""COMPUTED_VALUE"""),"مازندران")</f>
        <v>مازندران</v>
      </c>
      <c r="E207" s="5" t="str">
        <f>IFERROR(__xludf.DUMMYFUNCTION("""COMPUTED_VALUE"""),"ساری")</f>
        <v>ساری</v>
      </c>
      <c r="F207" s="5"/>
      <c r="G207" s="5"/>
      <c r="H207" s="6" t="str">
        <f>IFERROR(__xludf.DUMMYFUNCTION("""COMPUTED_VALUE"""),"https://www.instagram.com/moheban_hazratmahdi_sari/")</f>
        <v>https://www.instagram.com/moheban_hazratmahdi_sari/</v>
      </c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>
      <c r="A208" s="5"/>
      <c r="B208" s="5" t="str">
        <f>IFERROR(__xludf.DUMMYFUNCTION("""COMPUTED_VALUE"""),"هیأت")</f>
        <v>هیأت</v>
      </c>
      <c r="C208" s="5" t="str">
        <f>IFERROR(__xludf.DUMMYFUNCTION("""COMPUTED_VALUE"""),"آل الرسول")</f>
        <v>آل الرسول</v>
      </c>
      <c r="D208" s="5" t="str">
        <f>IFERROR(__xludf.DUMMYFUNCTION("""COMPUTED_VALUE"""),"مازندران")</f>
        <v>مازندران</v>
      </c>
      <c r="E208" s="5" t="str">
        <f>IFERROR(__xludf.DUMMYFUNCTION("""COMPUTED_VALUE"""),"ساری")</f>
        <v>ساری</v>
      </c>
      <c r="F208" s="5"/>
      <c r="G208" s="5"/>
      <c r="H208" s="6" t="str">
        <f>IFERROR(__xludf.DUMMYFUNCTION("""COMPUTED_VALUE"""),"https://www.instagram.com/ale.rasoul/")</f>
        <v>https://www.instagram.com/ale.rasoul/</v>
      </c>
      <c r="I208" s="6" t="str">
        <f>IFERROR(__xludf.DUMMYFUNCTION("""COMPUTED_VALUE"""),"https://t.me/alerasoul")</f>
        <v>https://t.me/alerasoul</v>
      </c>
      <c r="J208" s="6" t="str">
        <f>IFERROR(__xludf.DUMMYFUNCTION("""COMPUTED_VALUE"""),"https://eitaa.com/alerasoul")</f>
        <v>https://eitaa.com/alerasoul</v>
      </c>
      <c r="K208" s="5"/>
      <c r="L208" s="5"/>
      <c r="M208" s="5"/>
      <c r="N208" s="5"/>
      <c r="O208" s="5"/>
      <c r="P208" s="5"/>
      <c r="Q208" s="5"/>
      <c r="R208" s="5"/>
      <c r="S208" s="5"/>
    </row>
    <row r="209">
      <c r="A209" s="5"/>
      <c r="B209" s="5" t="str">
        <f>IFERROR(__xludf.DUMMYFUNCTION("""COMPUTED_VALUE"""),"هیأت")</f>
        <v>هیأت</v>
      </c>
      <c r="C209" s="5" t="str">
        <f>IFERROR(__xludf.DUMMYFUNCTION("""COMPUTED_VALUE"""),"رزمندگان اسلام")</f>
        <v>رزمندگان اسلام</v>
      </c>
      <c r="D209" s="5" t="str">
        <f>IFERROR(__xludf.DUMMYFUNCTION("""COMPUTED_VALUE"""),"مازندران")</f>
        <v>مازندران</v>
      </c>
      <c r="E209" s="5" t="str">
        <f>IFERROR(__xludf.DUMMYFUNCTION("""COMPUTED_VALUE"""),"ساری")</f>
        <v>ساری</v>
      </c>
      <c r="F209" s="5"/>
      <c r="G209" s="5"/>
      <c r="H209" s="6" t="str">
        <f>IFERROR(__xludf.DUMMYFUNCTION("""COMPUTED_VALUE"""),"https://www.instagram.com/heyat_razmandegan_sari/")</f>
        <v>https://www.instagram.com/heyat_razmandegan_sari/</v>
      </c>
      <c r="I209" s="5"/>
      <c r="J209" s="6" t="str">
        <f>IFERROR(__xludf.DUMMYFUNCTION("""COMPUTED_VALUE"""),"https://eitaa.com/razmandegane_eslam_sari")</f>
        <v>https://eitaa.com/razmandegane_eslam_sari</v>
      </c>
      <c r="K209" s="5"/>
      <c r="L209" s="5"/>
      <c r="M209" s="5"/>
      <c r="N209" s="5"/>
      <c r="O209" s="5"/>
      <c r="P209" s="5"/>
      <c r="Q209" s="5"/>
      <c r="R209" s="5"/>
      <c r="S209" s="5"/>
    </row>
    <row r="210">
      <c r="A210" s="5"/>
      <c r="B210" s="5" t="str">
        <f>IFERROR(__xludf.DUMMYFUNCTION("""COMPUTED_VALUE"""),"هیأت")</f>
        <v>هیأت</v>
      </c>
      <c r="C210" s="5" t="str">
        <f>IFERROR(__xludf.DUMMYFUNCTION("""COMPUTED_VALUE"""),"حضرت ابوالفضل")</f>
        <v>حضرت ابوالفضل</v>
      </c>
      <c r="D210" s="5" t="str">
        <f>IFERROR(__xludf.DUMMYFUNCTION("""COMPUTED_VALUE"""),"مازندران")</f>
        <v>مازندران</v>
      </c>
      <c r="E210" s="5" t="str">
        <f>IFERROR(__xludf.DUMMYFUNCTION("""COMPUTED_VALUE"""),"ساری")</f>
        <v>ساری</v>
      </c>
      <c r="F210" s="5"/>
      <c r="G210" s="5"/>
      <c r="H210" s="6" t="str">
        <f>IFERROR(__xludf.DUMMYFUNCTION("""COMPUTED_VALUE"""),"https://www.instagram.com/heiat.abolfazl_sari/")</f>
        <v>https://www.instagram.com/heiat.abolfazl_sari/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>
      <c r="A211" s="5"/>
      <c r="B211" s="5" t="str">
        <f>IFERROR(__xludf.DUMMYFUNCTION("""COMPUTED_VALUE"""),"هیأت")</f>
        <v>هیأت</v>
      </c>
      <c r="C211" s="5" t="str">
        <f>IFERROR(__xludf.DUMMYFUNCTION("""COMPUTED_VALUE"""),"عاشقان ثارالله")</f>
        <v>عاشقان ثارالله</v>
      </c>
      <c r="D211" s="5" t="str">
        <f>IFERROR(__xludf.DUMMYFUNCTION("""COMPUTED_VALUE"""),"مازندران")</f>
        <v>مازندران</v>
      </c>
      <c r="E211" s="5" t="str">
        <f>IFERROR(__xludf.DUMMYFUNCTION("""COMPUTED_VALUE"""),"ساری")</f>
        <v>ساری</v>
      </c>
      <c r="F211" s="5"/>
      <c r="G211" s="5"/>
      <c r="H211" s="6" t="str">
        <f>IFERROR(__xludf.DUMMYFUNCTION("""COMPUTED_VALUE"""),"https://www.instagram.com/asheghaneesarallah")</f>
        <v>https://www.instagram.com/asheghaneesarallah</v>
      </c>
      <c r="I211" s="6" t="str">
        <f>IFERROR(__xludf.DUMMYFUNCTION("""COMPUTED_VALUE"""),"https://t.me/asheghaneesarallah")</f>
        <v>https://t.me/asheghaneesarallah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>
      <c r="A212" s="5"/>
      <c r="B212" s="5" t="str">
        <f>IFERROR(__xludf.DUMMYFUNCTION("""COMPUTED_VALUE"""),"هیأت")</f>
        <v>هیأت</v>
      </c>
      <c r="C212" s="5" t="str">
        <f>IFERROR(__xludf.DUMMYFUNCTION("""COMPUTED_VALUE"""),"مکتب الرضا")</f>
        <v>مکتب الرضا</v>
      </c>
      <c r="D212" s="5" t="str">
        <f>IFERROR(__xludf.DUMMYFUNCTION("""COMPUTED_VALUE"""),"مازندران")</f>
        <v>مازندران</v>
      </c>
      <c r="E212" s="5" t="str">
        <f>IFERROR(__xludf.DUMMYFUNCTION("""COMPUTED_VALUE"""),"ساری")</f>
        <v>ساری</v>
      </c>
      <c r="F212" s="5"/>
      <c r="G212" s="5"/>
      <c r="H212" s="6" t="str">
        <f>IFERROR(__xludf.DUMMYFUNCTION("""COMPUTED_VALUE"""),"https://www.instagram.com/maktabolreza.sari/")</f>
        <v>https://www.instagram.com/maktabolreza.sari/</v>
      </c>
      <c r="I212" s="6" t="str">
        <f>IFERROR(__xludf.DUMMYFUNCTION("""COMPUTED_VALUE"""),"https://t.me/maktabolreza_sari")</f>
        <v>https://t.me/maktabolreza_sari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>
      <c r="A213" s="5"/>
      <c r="B213" s="5" t="str">
        <f>IFERROR(__xludf.DUMMYFUNCTION("""COMPUTED_VALUE"""),"هیأت")</f>
        <v>هیأت</v>
      </c>
      <c r="C213" s="5" t="str">
        <f>IFERROR(__xludf.DUMMYFUNCTION("""COMPUTED_VALUE"""),"لواء الزهرا")</f>
        <v>لواء الزهرا</v>
      </c>
      <c r="D213" s="5" t="str">
        <f>IFERROR(__xludf.DUMMYFUNCTION("""COMPUTED_VALUE"""),"مازندران")</f>
        <v>مازندران</v>
      </c>
      <c r="E213" s="5" t="str">
        <f>IFERROR(__xludf.DUMMYFUNCTION("""COMPUTED_VALUE"""),"ساری")</f>
        <v>ساری</v>
      </c>
      <c r="F213" s="5"/>
      <c r="G213" s="5"/>
      <c r="H213" s="6" t="str">
        <f>IFERROR(__xludf.DUMMYFUNCTION("""COMPUTED_VALUE"""),"https://www.instagram.com/levaozzahra/")</f>
        <v>https://www.instagram.com/levaozzahra/</v>
      </c>
      <c r="I213" s="6" t="str">
        <f>IFERROR(__xludf.DUMMYFUNCTION("""COMPUTED_VALUE"""),"https://t.me/lvaozzahra")</f>
        <v>https://t.me/lvaozzahra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>
      <c r="A214" s="5"/>
      <c r="B214" s="5" t="str">
        <f>IFERROR(__xludf.DUMMYFUNCTION("""COMPUTED_VALUE"""),"هیأت")</f>
        <v>هیأت</v>
      </c>
      <c r="C214" s="5" t="str">
        <f>IFERROR(__xludf.DUMMYFUNCTION("""COMPUTED_VALUE"""),"محبان حضرت علی اکبر")</f>
        <v>محبان حضرت علی اکبر</v>
      </c>
      <c r="D214" s="5" t="str">
        <f>IFERROR(__xludf.DUMMYFUNCTION("""COMPUTED_VALUE"""),"مازندران")</f>
        <v>مازندران</v>
      </c>
      <c r="E214" s="5" t="str">
        <f>IFERROR(__xludf.DUMMYFUNCTION("""COMPUTED_VALUE"""),"ساری")</f>
        <v>ساری</v>
      </c>
      <c r="F214" s="5"/>
      <c r="G214" s="5"/>
      <c r="H214" s="6" t="str">
        <f>IFERROR(__xludf.DUMMYFUNCTION("""COMPUTED_VALUE"""),"https://www.instagram.com/moheban_aliakbar_sari/")</f>
        <v>https://www.instagram.com/moheban_aliakbar_sari/</v>
      </c>
      <c r="I214" s="6" t="str">
        <f>IFERROR(__xludf.DUMMYFUNCTION("""COMPUTED_VALUE"""),"https://t.me/mohebban_aliakbar_sari")</f>
        <v>https://t.me/mohebban_aliakbar_sari</v>
      </c>
      <c r="J214" s="6" t="str">
        <f>IFERROR(__xludf.DUMMYFUNCTION("""COMPUTED_VALUE"""),"https://eitaa.com/aliakbar_sari")</f>
        <v>https://eitaa.com/aliakbar_sari</v>
      </c>
      <c r="K214" s="5"/>
      <c r="L214" s="5"/>
      <c r="M214" s="5"/>
      <c r="N214" s="5"/>
      <c r="O214" s="5"/>
      <c r="P214" s="5"/>
      <c r="Q214" s="5"/>
      <c r="R214" s="5"/>
      <c r="S214" s="5"/>
    </row>
    <row r="215">
      <c r="A215" s="5"/>
      <c r="B215" s="5" t="str">
        <f>IFERROR(__xludf.DUMMYFUNCTION("""COMPUTED_VALUE"""),"هیأت دانشجویی")</f>
        <v>هیأت دانشجویی</v>
      </c>
      <c r="C215" s="5" t="str">
        <f>IFERROR(__xludf.DUMMYFUNCTION("""COMPUTED_VALUE"""),"انصارالحسین")</f>
        <v>انصارالحسین</v>
      </c>
      <c r="D215" s="5" t="str">
        <f>IFERROR(__xludf.DUMMYFUNCTION("""COMPUTED_VALUE"""),"مازندران")</f>
        <v>مازندران</v>
      </c>
      <c r="E215" s="5" t="str">
        <f>IFERROR(__xludf.DUMMYFUNCTION("""COMPUTED_VALUE"""),"ساری")</f>
        <v>ساری</v>
      </c>
      <c r="F215" s="5" t="str">
        <f>IFERROR(__xludf.DUMMYFUNCTION("""COMPUTED_VALUE"""),"دانشگاه علوم پزشکی مازندران")</f>
        <v>دانشگاه علوم پزشکی مازندران</v>
      </c>
      <c r="G215" s="5"/>
      <c r="H215" s="6" t="str">
        <f>IFERROR(__xludf.DUMMYFUNCTION("""COMPUTED_VALUE"""),"https://www.instagram.com/heiat.mazums/")</f>
        <v>https://www.instagram.com/heiat.mazums/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>
      <c r="A216" s="5"/>
      <c r="B216" s="5" t="str">
        <f>IFERROR(__xludf.DUMMYFUNCTION("""COMPUTED_VALUE"""),"هیأت")</f>
        <v>هیأت</v>
      </c>
      <c r="C216" s="5" t="str">
        <f>IFERROR(__xludf.DUMMYFUNCTION("""COMPUTED_VALUE"""),"کربلا")</f>
        <v>کربلا</v>
      </c>
      <c r="D216" s="5"/>
      <c r="E216" s="5" t="str">
        <f>IFERROR(__xludf.DUMMYFUNCTION("""COMPUTED_VALUE"""),"ساری")</f>
        <v>ساری</v>
      </c>
      <c r="F216" s="5"/>
      <c r="G216" s="5"/>
      <c r="H216" s="6" t="str">
        <f>IFERROR(__xludf.DUMMYFUNCTION("""COMPUTED_VALUE"""),"https://www.instagram.com/heyat_karbala_sari/")</f>
        <v>https://www.instagram.com/heyat_karbala_sari/</v>
      </c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>
      <c r="A217" s="5"/>
      <c r="B217" s="5" t="str">
        <f>IFERROR(__xludf.DUMMYFUNCTION("""COMPUTED_VALUE"""),"هیأت")</f>
        <v>هیأت</v>
      </c>
      <c r="C217" s="5" t="str">
        <f>IFERROR(__xludf.DUMMYFUNCTION("""COMPUTED_VALUE"""),"خیمه گاه")</f>
        <v>خیمه گاه</v>
      </c>
      <c r="D217" s="5"/>
      <c r="E217" s="5" t="str">
        <f>IFERROR(__xludf.DUMMYFUNCTION("""COMPUTED_VALUE"""),"ساری")</f>
        <v>ساری</v>
      </c>
      <c r="F217" s="5"/>
      <c r="G217" s="5"/>
      <c r="H217" s="6" t="str">
        <f>IFERROR(__xludf.DUMMYFUNCTION("""COMPUTED_VALUE"""),"https://www.instagram.com/kheymegah_sari")</f>
        <v>https://www.instagram.com/kheymegah_sari</v>
      </c>
      <c r="I217" s="6" t="str">
        <f>IFERROR(__xludf.DUMMYFUNCTION("""COMPUTED_VALUE"""),"https://t.me/kelta_ir")</f>
        <v>https://t.me/kelta_ir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>
      <c r="A218" s="5"/>
      <c r="B218" s="5" t="str">
        <f>IFERROR(__xludf.DUMMYFUNCTION("""COMPUTED_VALUE"""),"هیأت")</f>
        <v>هیأت</v>
      </c>
      <c r="C218" s="5" t="str">
        <f>IFERROR(__xludf.DUMMYFUNCTION("""COMPUTED_VALUE"""),"جوانان عاشورایی")</f>
        <v>جوانان عاشورایی</v>
      </c>
      <c r="D218" s="5"/>
      <c r="E218" s="5" t="str">
        <f>IFERROR(__xludf.DUMMYFUNCTION("""COMPUTED_VALUE"""),"ساری")</f>
        <v>ساری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>
      <c r="A219" s="5">
        <f>IFERROR(__xludf.DUMMYFUNCTION("""COMPUTED_VALUE"""),17757.0)</f>
        <v>17757</v>
      </c>
      <c r="B219" s="5" t="str">
        <f>IFERROR(__xludf.DUMMYFUNCTION("""COMPUTED_VALUE"""),"هیأت")</f>
        <v>هیأت</v>
      </c>
      <c r="C219" s="5" t="str">
        <f>IFERROR(__xludf.DUMMYFUNCTION("""COMPUTED_VALUE"""),"جوانان حضرت علی اکبر گلزار شهدا")</f>
        <v>جوانان حضرت علی اکبر گلزار شهدا</v>
      </c>
      <c r="D219" s="5" t="str">
        <f>IFERROR(__xludf.DUMMYFUNCTION("""COMPUTED_VALUE"""),"مازندران")</f>
        <v>مازندران</v>
      </c>
      <c r="E219" s="5" t="str">
        <f>IFERROR(__xludf.DUMMYFUNCTION("""COMPUTED_VALUE"""),"سوادکوه")</f>
        <v>سوادکوه</v>
      </c>
      <c r="F219" s="5" t="str">
        <f>IFERROR(__xludf.DUMMYFUNCTION("""COMPUTED_VALUE"""),"پل سفید")</f>
        <v>پل سفید</v>
      </c>
      <c r="G219" s="5"/>
      <c r="H219" s="6" t="str">
        <f>IFERROR(__xludf.DUMMYFUNCTION("""COMPUTED_VALUE"""),"https://www.instagram.com/golzarshohada.polsefid/")</f>
        <v>https://www.instagram.com/golzarshohada.polsefid/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>
      <c r="A220" s="5"/>
      <c r="B220" s="5" t="str">
        <f>IFERROR(__xludf.DUMMYFUNCTION("""COMPUTED_VALUE"""),"هیأت")</f>
        <v>هیأت</v>
      </c>
      <c r="C220" s="5" t="str">
        <f>IFERROR(__xludf.DUMMYFUNCTION("""COMPUTED_VALUE"""),"الهادی")</f>
        <v>الهادی</v>
      </c>
      <c r="D220" s="5" t="str">
        <f>IFERROR(__xludf.DUMMYFUNCTION("""COMPUTED_VALUE"""),"مازندران")</f>
        <v>مازندران</v>
      </c>
      <c r="E220" s="5" t="str">
        <f>IFERROR(__xludf.DUMMYFUNCTION("""COMPUTED_VALUE"""),"سوادکوه")</f>
        <v>سوادکوه</v>
      </c>
      <c r="F220" s="5" t="str">
        <f>IFERROR(__xludf.DUMMYFUNCTION("""COMPUTED_VALUE"""),"زیرآب")</f>
        <v>زیرآب</v>
      </c>
      <c r="G220" s="5"/>
      <c r="H220" s="6" t="str">
        <f>IFERROR(__xludf.DUMMYFUNCTION("""COMPUTED_VALUE"""),"https://www.instagram.com/al_hadi_ir/")</f>
        <v>https://www.instagram.com/al_hadi_ir/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>
      <c r="A221" s="5"/>
      <c r="B221" s="5" t="str">
        <f>IFERROR(__xludf.DUMMYFUNCTION("""COMPUTED_VALUE"""),"هیأت")</f>
        <v>هیأت</v>
      </c>
      <c r="C221" s="5" t="str">
        <f>IFERROR(__xludf.DUMMYFUNCTION("""COMPUTED_VALUE"""),"حسینیه مرکزی قادیکلای سوادکوه")</f>
        <v>حسینیه مرکزی قادیکلای سوادکوه</v>
      </c>
      <c r="D221" s="5" t="str">
        <f>IFERROR(__xludf.DUMMYFUNCTION("""COMPUTED_VALUE"""),"مازندران")</f>
        <v>مازندران</v>
      </c>
      <c r="E221" s="5" t="str">
        <f>IFERROR(__xludf.DUMMYFUNCTION("""COMPUTED_VALUE"""),"سوادکوه")</f>
        <v>سوادکوه</v>
      </c>
      <c r="F221" s="5" t="str">
        <f>IFERROR(__xludf.DUMMYFUNCTION("""COMPUTED_VALUE"""),"قادیکلای")</f>
        <v>قادیکلای</v>
      </c>
      <c r="G221" s="5"/>
      <c r="H221" s="6" t="str">
        <f>IFERROR(__xludf.DUMMYFUNCTION("""COMPUTED_VALUE"""),"https://www.instagram.com/hoseinieemarkazi")</f>
        <v>https://www.instagram.com/hoseinieemarkazi</v>
      </c>
      <c r="I221" s="6" t="str">
        <f>IFERROR(__xludf.DUMMYFUNCTION("""COMPUTED_VALUE"""),"https://t.me/hoseinieemarkazi")</f>
        <v>https://t.me/hoseinieemarkazi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>
      <c r="A222" s="5">
        <f>IFERROR(__xludf.DUMMYFUNCTION("""COMPUTED_VALUE"""),24523.0)</f>
        <v>24523</v>
      </c>
      <c r="B222" s="5" t="str">
        <f>IFERROR(__xludf.DUMMYFUNCTION("""COMPUTED_VALUE"""),"هیأت")</f>
        <v>هیأت</v>
      </c>
      <c r="C222" s="5" t="str">
        <f>IFERROR(__xludf.DUMMYFUNCTION("""COMPUTED_VALUE"""),"منتظران مهدی (عج)")</f>
        <v>منتظران مهدی (عج)</v>
      </c>
      <c r="D222" s="5" t="str">
        <f>IFERROR(__xludf.DUMMYFUNCTION("""COMPUTED_VALUE"""),"مازندران")</f>
        <v>مازندران</v>
      </c>
      <c r="E222" s="5" t="str">
        <f>IFERROR(__xludf.DUMMYFUNCTION("""COMPUTED_VALUE"""),"سیمرغ")</f>
        <v>سیمرغ</v>
      </c>
      <c r="F222" s="5"/>
      <c r="G222" s="5"/>
      <c r="H222" s="6" t="str">
        <f>IFERROR(__xludf.DUMMYFUNCTION("""COMPUTED_VALUE"""),"https://www.instagram.com/montazeran_simorgh313/")</f>
        <v>https://www.instagram.com/montazeran_simorgh313/</v>
      </c>
      <c r="I222" s="6" t="str">
        <f>IFERROR(__xludf.DUMMYFUNCTION("""COMPUTED_VALUE"""),"https://t.me/montazeran_simorgh313")</f>
        <v>https://t.me/montazeran_simorgh313</v>
      </c>
      <c r="J222" s="6" t="str">
        <f>IFERROR(__xludf.DUMMYFUNCTION("""COMPUTED_VALUE"""),"https://eitaa.com/montazeran_simorgh")</f>
        <v>https://eitaa.com/montazeran_simorgh</v>
      </c>
      <c r="K222" s="5"/>
      <c r="L222" s="5"/>
      <c r="M222" s="5"/>
      <c r="N222" s="5"/>
      <c r="O222" s="5"/>
      <c r="P222" s="5"/>
      <c r="Q222" s="5"/>
      <c r="R222" s="5"/>
      <c r="S222" s="5"/>
    </row>
    <row r="223">
      <c r="A223" s="5">
        <f>IFERROR(__xludf.DUMMYFUNCTION("""COMPUTED_VALUE"""),20639.0)</f>
        <v>20639</v>
      </c>
      <c r="B223" s="5" t="str">
        <f>IFERROR(__xludf.DUMMYFUNCTION("""COMPUTED_VALUE"""),"هیأت")</f>
        <v>هیأت</v>
      </c>
      <c r="C223" s="5" t="str">
        <f>IFERROR(__xludf.DUMMYFUNCTION("""COMPUTED_VALUE"""),"عشاق الحسین")</f>
        <v>عشاق الحسین</v>
      </c>
      <c r="D223" s="5" t="str">
        <f>IFERROR(__xludf.DUMMYFUNCTION("""COMPUTED_VALUE"""),"مازندران")</f>
        <v>مازندران</v>
      </c>
      <c r="E223" s="5" t="str">
        <f>IFERROR(__xludf.DUMMYFUNCTION("""COMPUTED_VALUE"""),"عباس آباد")</f>
        <v>عباس آباد</v>
      </c>
      <c r="F223" s="5"/>
      <c r="G223" s="5"/>
      <c r="H223" s="6" t="str">
        <f>IFERROR(__xludf.DUMMYFUNCTION("""COMPUTED_VALUE"""),"https://www.instagram.com/oshagholhosein_ir")</f>
        <v>https://www.instagram.com/oshagholhosein_ir</v>
      </c>
      <c r="I223" s="6" t="str">
        <f>IFERROR(__xludf.DUMMYFUNCTION("""COMPUTED_VALUE"""),"https://t.me/oshagholhosein86_ir")</f>
        <v>https://t.me/oshagholhosein86_ir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>
      <c r="A224" s="5"/>
      <c r="B224" s="5" t="str">
        <f>IFERROR(__xludf.DUMMYFUNCTION("""COMPUTED_VALUE"""),"هیأت")</f>
        <v>هیأت</v>
      </c>
      <c r="C224" s="5" t="str">
        <f>IFERROR(__xludf.DUMMYFUNCTION("""COMPUTED_VALUE"""),"جنت الحسن")</f>
        <v>جنت الحسن</v>
      </c>
      <c r="D224" s="5" t="str">
        <f>IFERROR(__xludf.DUMMYFUNCTION("""COMPUTED_VALUE"""),"مازندران")</f>
        <v>مازندران</v>
      </c>
      <c r="E224" s="5" t="str">
        <f>IFERROR(__xludf.DUMMYFUNCTION("""COMPUTED_VALUE"""),"عباس آباد")</f>
        <v>عباس آباد</v>
      </c>
      <c r="F224" s="5"/>
      <c r="G224" s="5"/>
      <c r="H224" s="6" t="str">
        <f>IFERROR(__xludf.DUMMYFUNCTION("""COMPUTED_VALUE"""),"https://www.instagram.com/janatolhasan.ir/")</f>
        <v>https://www.instagram.com/janatolhasan.ir/</v>
      </c>
      <c r="I224" s="6" t="str">
        <f>IFERROR(__xludf.DUMMYFUNCTION("""COMPUTED_VALUE"""),"https://t.me/beheshtemamhasan")</f>
        <v>https://t.me/beheshtemamhasan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>
      <c r="A225" s="5">
        <f>IFERROR(__xludf.DUMMYFUNCTION("""COMPUTED_VALUE"""),15058.0)</f>
        <v>15058</v>
      </c>
      <c r="B225" s="5" t="str">
        <f>IFERROR(__xludf.DUMMYFUNCTION("""COMPUTED_VALUE"""),"هیأت")</f>
        <v>هیأت</v>
      </c>
      <c r="C225" s="5" t="str">
        <f>IFERROR(__xludf.DUMMYFUNCTION("""COMPUTED_VALUE"""),"مکتب الرضا")</f>
        <v>مکتب الرضا</v>
      </c>
      <c r="D225" s="5" t="str">
        <f>IFERROR(__xludf.DUMMYFUNCTION("""COMPUTED_VALUE"""),"مازندران")</f>
        <v>مازندران</v>
      </c>
      <c r="E225" s="5" t="str">
        <f>IFERROR(__xludf.DUMMYFUNCTION("""COMPUTED_VALUE"""),"فریدونکنار")</f>
        <v>فریدونکنار</v>
      </c>
      <c r="F225" s="5"/>
      <c r="G225" s="5"/>
      <c r="H225" s="6" t="str">
        <f>IFERROR(__xludf.DUMMYFUNCTION("""COMPUTED_VALUE"""),"https://www.instagram.com/razavioon_ir")</f>
        <v>https://www.instagram.com/razavioon_ir</v>
      </c>
      <c r="I225" s="6" t="str">
        <f>IFERROR(__xludf.DUMMYFUNCTION("""COMPUTED_VALUE"""),"https://t.me/razavioon_ir")</f>
        <v>https://t.me/razavioon_ir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>
      <c r="A226" s="5">
        <f>IFERROR(__xludf.DUMMYFUNCTION("""COMPUTED_VALUE"""),15065.0)</f>
        <v>15065</v>
      </c>
      <c r="B226" s="5" t="str">
        <f>IFERROR(__xludf.DUMMYFUNCTION("""COMPUTED_VALUE"""),"هیأت")</f>
        <v>هیأت</v>
      </c>
      <c r="C226" s="5" t="str">
        <f>IFERROR(__xludf.DUMMYFUNCTION("""COMPUTED_VALUE"""),"مخیم العباس")</f>
        <v>مخیم العباس</v>
      </c>
      <c r="D226" s="5" t="str">
        <f>IFERROR(__xludf.DUMMYFUNCTION("""COMPUTED_VALUE"""),"مازندران")</f>
        <v>مازندران</v>
      </c>
      <c r="E226" s="5" t="str">
        <f>IFERROR(__xludf.DUMMYFUNCTION("""COMPUTED_VALUE"""),"فریدونکنار")</f>
        <v>فریدونکنار</v>
      </c>
      <c r="F226" s="5"/>
      <c r="G226" s="5"/>
      <c r="H226" s="6" t="str">
        <f>IFERROR(__xludf.DUMMYFUNCTION("""COMPUTED_VALUE"""),"https://www.instagram.com/mokhayem/")</f>
        <v>https://www.instagram.com/mokhayem/</v>
      </c>
      <c r="I226" s="6" t="str">
        <f>IFERROR(__xludf.DUMMYFUNCTION("""COMPUTED_VALUE"""),"https://t.me/mokhayem_ir")</f>
        <v>https://t.me/mokhayem_ir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>
      <c r="A227" s="5">
        <f>IFERROR(__xludf.DUMMYFUNCTION("""COMPUTED_VALUE"""),15073.0)</f>
        <v>15073</v>
      </c>
      <c r="B227" s="5" t="str">
        <f>IFERROR(__xludf.DUMMYFUNCTION("""COMPUTED_VALUE"""),"هیأت")</f>
        <v>هیأت</v>
      </c>
      <c r="C227" s="5" t="str">
        <f>IFERROR(__xludf.DUMMYFUNCTION("""COMPUTED_VALUE"""),"حضرت ابوالفضل")</f>
        <v>حضرت ابوالفضل</v>
      </c>
      <c r="D227" s="5" t="str">
        <f>IFERROR(__xludf.DUMMYFUNCTION("""COMPUTED_VALUE"""),"مازندران")</f>
        <v>مازندران</v>
      </c>
      <c r="E227" s="5" t="str">
        <f>IFERROR(__xludf.DUMMYFUNCTION("""COMPUTED_VALUE"""),"فریدونکنار")</f>
        <v>فریدونکنار</v>
      </c>
      <c r="F227" s="5" t="str">
        <f>IFERROR(__xludf.DUMMYFUNCTION("""COMPUTED_VALUE"""),"کارکردمحله")</f>
        <v>کارکردمحله</v>
      </c>
      <c r="G227" s="5"/>
      <c r="H227" s="6" t="str">
        <f>IFERROR(__xludf.DUMMYFUNCTION("""COMPUTED_VALUE"""),"https://www.instagram.com/heiate_abolfazl/")</f>
        <v>https://www.instagram.com/heiate_abolfazl/</v>
      </c>
      <c r="I227" s="6" t="str">
        <f>IFERROR(__xludf.DUMMYFUNCTION("""COMPUTED_VALUE"""),"https://t.me/heiate_abolfazl")</f>
        <v>https://t.me/heiate_abolfazl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>
      <c r="A228" s="5">
        <f>IFERROR(__xludf.DUMMYFUNCTION("""COMPUTED_VALUE"""),23279.0)</f>
        <v>23279</v>
      </c>
      <c r="B228" s="5" t="str">
        <f>IFERROR(__xludf.DUMMYFUNCTION("""COMPUTED_VALUE"""),"هیأت")</f>
        <v>هیأت</v>
      </c>
      <c r="C228" s="5" t="str">
        <f>IFERROR(__xludf.DUMMYFUNCTION("""COMPUTED_VALUE"""),"کربلایی ها")</f>
        <v>کربلایی ها</v>
      </c>
      <c r="D228" s="5" t="str">
        <f>IFERROR(__xludf.DUMMYFUNCTION("""COMPUTED_VALUE"""),"مازندران")</f>
        <v>مازندران</v>
      </c>
      <c r="E228" s="5" t="str">
        <f>IFERROR(__xludf.DUMMYFUNCTION("""COMPUTED_VALUE"""),"فریدونکنار")</f>
        <v>فریدونکنار</v>
      </c>
      <c r="F228" s="5"/>
      <c r="G228" s="5"/>
      <c r="H228" s="6" t="str">
        <f>IFERROR(__xludf.DUMMYFUNCTION("""COMPUTED_VALUE"""),"https://www.instagram.com/karbalaeeha.fereidonkenar")</f>
        <v>https://www.instagram.com/karbalaeeha.fereidonkenar</v>
      </c>
      <c r="I228" s="5"/>
      <c r="J228" s="6" t="str">
        <f>IFERROR(__xludf.DUMMYFUNCTION("""COMPUTED_VALUE"""),"https://www.instagram.com/heyat.karbalaeeha/")</f>
        <v>https://www.instagram.com/heyat.karbalaeeha/</v>
      </c>
      <c r="K228" s="5"/>
      <c r="L228" s="5"/>
      <c r="M228" s="5"/>
      <c r="N228" s="5"/>
      <c r="O228" s="5"/>
      <c r="P228" s="5"/>
      <c r="Q228" s="5"/>
      <c r="R228" s="5"/>
      <c r="S228" s="5"/>
    </row>
    <row r="229">
      <c r="A229" s="5"/>
      <c r="B229" s="5" t="str">
        <f>IFERROR(__xludf.DUMMYFUNCTION("""COMPUTED_VALUE"""),"مسجد")</f>
        <v>مسجد</v>
      </c>
      <c r="C229" s="5" t="str">
        <f>IFERROR(__xludf.DUMMYFUNCTION("""COMPUTED_VALUE"""),"مهدیه")</f>
        <v>مهدیه</v>
      </c>
      <c r="D229" s="5" t="str">
        <f>IFERROR(__xludf.DUMMYFUNCTION("""COMPUTED_VALUE"""),"مازندران")</f>
        <v>مازندران</v>
      </c>
      <c r="E229" s="5" t="str">
        <f>IFERROR(__xludf.DUMMYFUNCTION("""COMPUTED_VALUE"""),"فریدونکنار")</f>
        <v>فریدونکنار</v>
      </c>
      <c r="F229" s="5"/>
      <c r="G229" s="5"/>
      <c r="H229" s="5"/>
      <c r="I229" s="5"/>
      <c r="J229" s="6" t="str">
        <f>IFERROR(__xludf.DUMMYFUNCTION("""COMPUTED_VALUE"""),"https://eitaa.com/mahdieh1fri")</f>
        <v>https://eitaa.com/mahdieh1fri</v>
      </c>
      <c r="K229" s="5"/>
      <c r="L229" s="5"/>
      <c r="M229" s="5"/>
      <c r="N229" s="5"/>
      <c r="O229" s="5"/>
      <c r="P229" s="5"/>
      <c r="Q229" s="5"/>
      <c r="R229" s="5"/>
      <c r="S229" s="5"/>
    </row>
    <row r="230">
      <c r="A230" s="5"/>
      <c r="B230" s="5" t="str">
        <f>IFERROR(__xludf.DUMMYFUNCTION("""COMPUTED_VALUE"""),"هیأت")</f>
        <v>هیأت</v>
      </c>
      <c r="C230" s="5" t="str">
        <f>IFERROR(__xludf.DUMMYFUNCTION("""COMPUTED_VALUE"""),"حسنیه کریم اهل بیت")</f>
        <v>حسنیه کریم اهل بیت</v>
      </c>
      <c r="D230" s="5" t="str">
        <f>IFERROR(__xludf.DUMMYFUNCTION("""COMPUTED_VALUE"""),"مازندران")</f>
        <v>مازندران</v>
      </c>
      <c r="E230" s="5" t="str">
        <f>IFERROR(__xludf.DUMMYFUNCTION("""COMPUTED_VALUE"""),"فریدونکنار")</f>
        <v>فریدونکنار</v>
      </c>
      <c r="F230" s="5"/>
      <c r="G230" s="5"/>
      <c r="H230" s="6" t="str">
        <f>IFERROR(__xludf.DUMMYFUNCTION("""COMPUTED_VALUE"""),"https://www.instagram.com/hasanieh_ir/")</f>
        <v>https://www.instagram.com/hasanieh_ir/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>
      <c r="A231" s="5"/>
      <c r="B231" s="5" t="str">
        <f>IFERROR(__xludf.DUMMYFUNCTION("""COMPUTED_VALUE"""),"هیأت")</f>
        <v>هیأت</v>
      </c>
      <c r="C231" s="5" t="str">
        <f>IFERROR(__xludf.DUMMYFUNCTION("""COMPUTED_VALUE"""),"بیت الحسن المجتبی")</f>
        <v>بیت الحسن المجتبی</v>
      </c>
      <c r="D231" s="5" t="str">
        <f>IFERROR(__xludf.DUMMYFUNCTION("""COMPUTED_VALUE"""),"مازندران")</f>
        <v>مازندران</v>
      </c>
      <c r="E231" s="5" t="str">
        <f>IFERROR(__xludf.DUMMYFUNCTION("""COMPUTED_VALUE"""),"فریدونکنار")</f>
        <v>فریدونکنار</v>
      </c>
      <c r="F231" s="5"/>
      <c r="G231" s="5"/>
      <c r="H231" s="6" t="str">
        <f>IFERROR(__xludf.DUMMYFUNCTION("""COMPUTED_VALUE"""),"https://www.instagram.com/beitolhasani_ir")</f>
        <v>https://www.instagram.com/beitolhasani_ir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>
      <c r="A232" s="5"/>
      <c r="B232" s="5" t="str">
        <f>IFERROR(__xludf.DUMMYFUNCTION("""COMPUTED_VALUE"""),"هیأت")</f>
        <v>هیأت</v>
      </c>
      <c r="C232" s="5" t="str">
        <f>IFERROR(__xludf.DUMMYFUNCTION("""COMPUTED_VALUE"""),"محفل بیت الرقیه")</f>
        <v>محفل بیت الرقیه</v>
      </c>
      <c r="D232" s="5" t="str">
        <f>IFERROR(__xludf.DUMMYFUNCTION("""COMPUTED_VALUE"""),"مازندران")</f>
        <v>مازندران</v>
      </c>
      <c r="E232" s="5" t="str">
        <f>IFERROR(__xludf.DUMMYFUNCTION("""COMPUTED_VALUE"""),"فریدونکنار")</f>
        <v>فریدونکنار</v>
      </c>
      <c r="F232" s="5"/>
      <c r="G232" s="5"/>
      <c r="H232" s="6" t="str">
        <f>IFERROR(__xludf.DUMMYFUNCTION("""COMPUTED_VALUE"""),"https://www.instagram.com/beit_alroghaye_315/")</f>
        <v>https://www.instagram.com/beit_alroghaye_315/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>
      <c r="A233" s="5"/>
      <c r="B233" s="5" t="str">
        <f>IFERROR(__xludf.DUMMYFUNCTION("""COMPUTED_VALUE"""),"هیأت")</f>
        <v>هیأت</v>
      </c>
      <c r="C233" s="5" t="str">
        <f>IFERROR(__xludf.DUMMYFUNCTION("""COMPUTED_VALUE"""),"جنت الحسین")</f>
        <v>جنت الحسین</v>
      </c>
      <c r="D233" s="5" t="str">
        <f>IFERROR(__xludf.DUMMYFUNCTION("""COMPUTED_VALUE"""),"مازندران")</f>
        <v>مازندران</v>
      </c>
      <c r="E233" s="5" t="str">
        <f>IFERROR(__xludf.DUMMYFUNCTION("""COMPUTED_VALUE"""),"فریدونکنار")</f>
        <v>فریدونکنار</v>
      </c>
      <c r="F233" s="5"/>
      <c r="G233" s="5"/>
      <c r="H233" s="6" t="str">
        <f>IFERROR(__xludf.DUMMYFUNCTION("""COMPUTED_VALUE"""),"https://www.instagram.com/hosseiniha.ir")</f>
        <v>https://www.instagram.com/hosseiniha.ir</v>
      </c>
      <c r="I233" s="6" t="str">
        <f>IFERROR(__xludf.DUMMYFUNCTION("""COMPUTED_VALUE"""),"https://t.me/jannatgroup")</f>
        <v>https://t.me/jannatgroup</v>
      </c>
      <c r="J233" s="6" t="str">
        <f>IFERROR(__xludf.DUMMYFUNCTION("""COMPUTED_VALUE"""),"https://eitaa.com/jannatgroup")</f>
        <v>https://eitaa.com/jannatgroup</v>
      </c>
      <c r="K233" s="5"/>
      <c r="L233" s="5"/>
      <c r="M233" s="5"/>
      <c r="N233" s="5"/>
      <c r="O233" s="5"/>
      <c r="P233" s="5"/>
      <c r="Q233" s="5"/>
      <c r="R233" s="5"/>
      <c r="S233" s="5"/>
    </row>
    <row r="234">
      <c r="A234" s="5"/>
      <c r="B234" s="5" t="str">
        <f>IFERROR(__xludf.DUMMYFUNCTION("""COMPUTED_VALUE"""),"هیأت")</f>
        <v>هیأت</v>
      </c>
      <c r="C234" s="5" t="str">
        <f>IFERROR(__xludf.DUMMYFUNCTION("""COMPUTED_VALUE"""),"انصارالحسین")</f>
        <v>انصارالحسین</v>
      </c>
      <c r="D234" s="5" t="str">
        <f>IFERROR(__xludf.DUMMYFUNCTION("""COMPUTED_VALUE"""),"مازندران")</f>
        <v>مازندران</v>
      </c>
      <c r="E234" s="5" t="str">
        <f>IFERROR(__xludf.DUMMYFUNCTION("""COMPUTED_VALUE"""),"فریدونکنار")</f>
        <v>فریدونکنار</v>
      </c>
      <c r="F234" s="5"/>
      <c r="G234" s="5"/>
      <c r="H234" s="6" t="str">
        <f>IFERROR(__xludf.DUMMYFUNCTION("""COMPUTED_VALUE"""),"https://www.instagram.com/ansarolhosein.fk/")</f>
        <v>https://www.instagram.com/ansarolhosein.fk/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>
      <c r="A235" s="5">
        <f>IFERROR(__xludf.DUMMYFUNCTION("""COMPUTED_VALUE"""),21551.0)</f>
        <v>21551</v>
      </c>
      <c r="B235" s="5" t="str">
        <f>IFERROR(__xludf.DUMMYFUNCTION("""COMPUTED_VALUE"""),"هیأت")</f>
        <v>هیأت</v>
      </c>
      <c r="C235" s="5" t="str">
        <f>IFERROR(__xludf.DUMMYFUNCTION("""COMPUTED_VALUE"""),"محبان اهل بیت")</f>
        <v>محبان اهل بیت</v>
      </c>
      <c r="D235" s="5" t="str">
        <f>IFERROR(__xludf.DUMMYFUNCTION("""COMPUTED_VALUE"""),"مازندران")</f>
        <v>مازندران</v>
      </c>
      <c r="E235" s="5" t="str">
        <f>IFERROR(__xludf.DUMMYFUNCTION("""COMPUTED_VALUE"""),"قائمشهر")</f>
        <v>قائمشهر</v>
      </c>
      <c r="F235" s="5"/>
      <c r="G235" s="5"/>
      <c r="H235" s="6" t="str">
        <f>IFERROR(__xludf.DUMMYFUNCTION("""COMPUTED_VALUE"""),"https://www.instagram.com/moheban_ahlebeyt/")</f>
        <v>https://www.instagram.com/moheban_ahlebeyt/</v>
      </c>
      <c r="I235" s="6" t="str">
        <f>IFERROR(__xludf.DUMMYFUNCTION("""COMPUTED_VALUE"""),"https://t.me/moheban_ahlebeyt")</f>
        <v>https://t.me/moheban_ahlebeyt</v>
      </c>
      <c r="J235" s="6" t="str">
        <f>IFERROR(__xludf.DUMMYFUNCTION("""COMPUTED_VALUE"""),"http://Eitaa.com/moheban_ahlebeyt")</f>
        <v>http://Eitaa.com/moheban_ahlebeyt</v>
      </c>
      <c r="K235" s="5"/>
      <c r="L235" s="5"/>
      <c r="M235" s="5"/>
      <c r="N235" s="5" t="str">
        <f>IFERROR(__xludf.DUMMYFUNCTION("""COMPUTED_VALUE"""),"جمعه ها")</f>
        <v>جمعه ها</v>
      </c>
      <c r="O235" s="5"/>
      <c r="P235" s="6" t="str">
        <f>IFERROR(__xludf.DUMMYFUNCTION("""COMPUTED_VALUE"""),"https://www.instagram.com/parvaztakhoda12/")</f>
        <v>https://www.instagram.com/parvaztakhoda12/</v>
      </c>
      <c r="Q235" s="5"/>
      <c r="R235" s="5"/>
      <c r="S235" s="5"/>
    </row>
    <row r="236">
      <c r="A236" s="5">
        <f>IFERROR(__xludf.DUMMYFUNCTION("""COMPUTED_VALUE"""),22339.0)</f>
        <v>22339</v>
      </c>
      <c r="B236" s="5" t="str">
        <f>IFERROR(__xludf.DUMMYFUNCTION("""COMPUTED_VALUE"""),"هیأت")</f>
        <v>هیأت</v>
      </c>
      <c r="C236" s="5" t="str">
        <f>IFERROR(__xludf.DUMMYFUNCTION("""COMPUTED_VALUE"""),"قرارگاه کربلا")</f>
        <v>قرارگاه کربلا</v>
      </c>
      <c r="D236" s="5" t="str">
        <f>IFERROR(__xludf.DUMMYFUNCTION("""COMPUTED_VALUE"""),"مازندران")</f>
        <v>مازندران</v>
      </c>
      <c r="E236" s="5" t="str">
        <f>IFERROR(__xludf.DUMMYFUNCTION("""COMPUTED_VALUE"""),"قائمشهر")</f>
        <v>قائمشهر</v>
      </c>
      <c r="F236" s="5"/>
      <c r="G236" s="5"/>
      <c r="H236" s="6" t="str">
        <f>IFERROR(__xludf.DUMMYFUNCTION("""COMPUTED_VALUE"""),"https://www.instagram.com/qarar_info/")</f>
        <v>https://www.instagram.com/qarar_info/</v>
      </c>
      <c r="I236" s="6" t="str">
        <f>IFERROR(__xludf.DUMMYFUNCTION("""COMPUTED_VALUE"""),"https://t.me/qarar_info")</f>
        <v>https://t.me/qarar_info</v>
      </c>
      <c r="J236" s="6" t="str">
        <f>IFERROR(__xludf.DUMMYFUNCTION("""COMPUTED_VALUE"""),"https://eitaa.com/qarar_info")</f>
        <v>https://eitaa.com/qarar_info</v>
      </c>
      <c r="K236" s="5"/>
      <c r="L236" s="5"/>
      <c r="M236" s="5"/>
      <c r="N236" s="5"/>
      <c r="O236" s="5"/>
      <c r="P236" s="5"/>
      <c r="Q236" s="5"/>
      <c r="R236" s="5"/>
      <c r="S236" s="5"/>
    </row>
    <row r="237">
      <c r="A237" s="5">
        <f>IFERROR(__xludf.DUMMYFUNCTION("""COMPUTED_VALUE"""),26609.0)</f>
        <v>26609</v>
      </c>
      <c r="B237" s="5" t="str">
        <f>IFERROR(__xludf.DUMMYFUNCTION("""COMPUTED_VALUE"""),"هیأت")</f>
        <v>هیأت</v>
      </c>
      <c r="C237" s="5" t="str">
        <f>IFERROR(__xludf.DUMMYFUNCTION("""COMPUTED_VALUE"""),"روضه الشهداء")</f>
        <v>روضه الشهداء</v>
      </c>
      <c r="D237" s="5" t="str">
        <f>IFERROR(__xludf.DUMMYFUNCTION("""COMPUTED_VALUE"""),"مازندران")</f>
        <v>مازندران</v>
      </c>
      <c r="E237" s="5" t="str">
        <f>IFERROR(__xludf.DUMMYFUNCTION("""COMPUTED_VALUE"""),"قائمشهر")</f>
        <v>قائمشهر</v>
      </c>
      <c r="F237" s="5"/>
      <c r="G237" s="5"/>
      <c r="H237" s="6" t="str">
        <f>IFERROR(__xludf.DUMMYFUNCTION("""COMPUTED_VALUE"""),"https://www.instagram.com/rozatolshohada_info")</f>
        <v>https://www.instagram.com/rozatolshohada_info</v>
      </c>
      <c r="I237" s="6" t="str">
        <f>IFERROR(__xludf.DUMMYFUNCTION("""COMPUTED_VALUE"""),"https://t.me/rozatolshohada_info")</f>
        <v>https://t.me/rozatolshohada_info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>
      <c r="A238" s="5">
        <f>IFERROR(__xludf.DUMMYFUNCTION("""COMPUTED_VALUE"""),27818.0)</f>
        <v>27818</v>
      </c>
      <c r="B238" s="5" t="str">
        <f>IFERROR(__xludf.DUMMYFUNCTION("""COMPUTED_VALUE"""),"هیأت")</f>
        <v>هیأت</v>
      </c>
      <c r="C238" s="5" t="str">
        <f>IFERROR(__xludf.DUMMYFUNCTION("""COMPUTED_VALUE"""),"عشاق الرضا")</f>
        <v>عشاق الرضا</v>
      </c>
      <c r="D238" s="5" t="str">
        <f>IFERROR(__xludf.DUMMYFUNCTION("""COMPUTED_VALUE"""),"مازندران")</f>
        <v>مازندران</v>
      </c>
      <c r="E238" s="5" t="str">
        <f>IFERROR(__xludf.DUMMYFUNCTION("""COMPUTED_VALUE"""),"قائمشهر")</f>
        <v>قائمشهر</v>
      </c>
      <c r="F238" s="5"/>
      <c r="G238" s="5"/>
      <c r="H238" s="6" t="str">
        <f>IFERROR(__xludf.DUMMYFUNCTION("""COMPUTED_VALUE"""),"https://www.instagram.com/nojavanan_oshagholreza1001/")</f>
        <v>https://www.instagram.com/nojavanan_oshagholreza1001/</v>
      </c>
      <c r="I238" s="5"/>
      <c r="J238" s="6" t="str">
        <f>IFERROR(__xludf.DUMMYFUNCTION("""COMPUTED_VALUE"""),"https://eitaa.com/nojavanan_oshagholreza1001")</f>
        <v>https://eitaa.com/nojavanan_oshagholreza1001</v>
      </c>
      <c r="K238" s="5"/>
      <c r="L238" s="5"/>
      <c r="M238" s="5"/>
      <c r="N238" s="5"/>
      <c r="O238" s="5"/>
      <c r="P238" s="5"/>
      <c r="Q238" s="5"/>
      <c r="R238" s="5"/>
      <c r="S238" s="5"/>
    </row>
    <row r="239">
      <c r="A239" s="5"/>
      <c r="B239" s="5" t="str">
        <f>IFERROR(__xludf.DUMMYFUNCTION("""COMPUTED_VALUE"""),"مداح")</f>
        <v>مداح</v>
      </c>
      <c r="C239" s="5" t="str">
        <f>IFERROR(__xludf.DUMMYFUNCTION("""COMPUTED_VALUE"""),"حسین پیروی")</f>
        <v>حسین پیروی</v>
      </c>
      <c r="D239" s="5" t="str">
        <f>IFERROR(__xludf.DUMMYFUNCTION("""COMPUTED_VALUE"""),"مازندران")</f>
        <v>مازندران</v>
      </c>
      <c r="E239" s="5" t="str">
        <f>IFERROR(__xludf.DUMMYFUNCTION("""COMPUTED_VALUE"""),"قائمشهر")</f>
        <v>قائمشهر</v>
      </c>
      <c r="F239" s="5"/>
      <c r="G239" s="5"/>
      <c r="H239" s="6" t="str">
        <f>IFERROR(__xludf.DUMMYFUNCTION("""COMPUTED_VALUE"""),"https://www.instagram.com/hoseinpeirovi118/")</f>
        <v>https://www.instagram.com/hoseinpeirovi118/</v>
      </c>
      <c r="I239" s="6" t="str">
        <f>IFERROR(__xludf.DUMMYFUNCTION("""COMPUTED_VALUE"""),"https://t.me/hoseinpeirovi118")</f>
        <v>https://t.me/hoseinpeirovi118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>
      <c r="A240" s="5"/>
      <c r="B240" s="5" t="str">
        <f>IFERROR(__xludf.DUMMYFUNCTION("""COMPUTED_VALUE"""),"مداح")</f>
        <v>مداح</v>
      </c>
      <c r="C240" s="5" t="str">
        <f>IFERROR(__xludf.DUMMYFUNCTION("""COMPUTED_VALUE"""),"رضا پیروی")</f>
        <v>رضا پیروی</v>
      </c>
      <c r="D240" s="5" t="str">
        <f>IFERROR(__xludf.DUMMYFUNCTION("""COMPUTED_VALUE"""),"مازندران")</f>
        <v>مازندران</v>
      </c>
      <c r="E240" s="5" t="str">
        <f>IFERROR(__xludf.DUMMYFUNCTION("""COMPUTED_VALUE"""),"قائمشهر")</f>
        <v>قائمشهر</v>
      </c>
      <c r="F240" s="5"/>
      <c r="G240" s="5"/>
      <c r="H240" s="6" t="str">
        <f>IFERROR(__xludf.DUMMYFUNCTION("""COMPUTED_VALUE"""),"https://www.instagram.com/rezapeirovii/")</f>
        <v>https://www.instagram.com/rezapeirovii/</v>
      </c>
      <c r="I240" s="6" t="str">
        <f>IFERROR(__xludf.DUMMYFUNCTION("""COMPUTED_VALUE"""),"https://t.me/rezapeirovi_channel")</f>
        <v>https://t.me/rezapeirovi_channel</v>
      </c>
      <c r="J240" s="5"/>
      <c r="K240" s="6" t="str">
        <f>IFERROR(__xludf.DUMMYFUNCTION("""COMPUTED_VALUE"""),"https://www.youtube.com/@rezapeirovi")</f>
        <v>https://www.youtube.com/@rezapeirovi</v>
      </c>
      <c r="L240" s="5"/>
      <c r="M240" s="5"/>
      <c r="N240" s="5"/>
      <c r="O240" s="5"/>
      <c r="P240" s="5"/>
      <c r="Q240" s="5"/>
      <c r="R240" s="5"/>
      <c r="S240" s="5"/>
    </row>
    <row r="241">
      <c r="A241" s="5"/>
      <c r="B241" s="5" t="str">
        <f>IFERROR(__xludf.DUMMYFUNCTION("""COMPUTED_VALUE"""),"هیأت")</f>
        <v>هیأت</v>
      </c>
      <c r="C241" s="5" t="str">
        <f>IFERROR(__xludf.DUMMYFUNCTION("""COMPUTED_VALUE"""),"قاسم ابن الحسن")</f>
        <v>قاسم ابن الحسن</v>
      </c>
      <c r="D241" s="5" t="str">
        <f>IFERROR(__xludf.DUMMYFUNCTION("""COMPUTED_VALUE"""),"مازندران")</f>
        <v>مازندران</v>
      </c>
      <c r="E241" s="5" t="str">
        <f>IFERROR(__xludf.DUMMYFUNCTION("""COMPUTED_VALUE"""),"قائمشهر")</f>
        <v>قائمشهر</v>
      </c>
      <c r="F241" s="5" t="str">
        <f>IFERROR(__xludf.DUMMYFUNCTION("""COMPUTED_VALUE"""),"آهنگرکلا بیشه سر")</f>
        <v>آهنگرکلا بیشه سر</v>
      </c>
      <c r="G241" s="5"/>
      <c r="H241" s="6" t="str">
        <f>IFERROR(__xludf.DUMMYFUNCTION("""COMPUTED_VALUE"""),"https://www.instagram.com/ghasembenhasan201")</f>
        <v>https://www.instagram.com/ghasembenhasan201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>
      <c r="A242" s="5"/>
      <c r="B242" s="5" t="str">
        <f>IFERROR(__xludf.DUMMYFUNCTION("""COMPUTED_VALUE"""),"هیأت")</f>
        <v>هیأت</v>
      </c>
      <c r="C242" s="5" t="str">
        <f>IFERROR(__xludf.DUMMYFUNCTION("""COMPUTED_VALUE"""),"الزهرا")</f>
        <v>الزهرا</v>
      </c>
      <c r="D242" s="5" t="str">
        <f>IFERROR(__xludf.DUMMYFUNCTION("""COMPUTED_VALUE"""),"مازندران")</f>
        <v>مازندران</v>
      </c>
      <c r="E242" s="5" t="str">
        <f>IFERROR(__xludf.DUMMYFUNCTION("""COMPUTED_VALUE"""),"قائمشهر")</f>
        <v>قائمشهر</v>
      </c>
      <c r="F242" s="5"/>
      <c r="G242" s="5"/>
      <c r="H242" s="6" t="str">
        <f>IFERROR(__xludf.DUMMYFUNCTION("""COMPUTED_VALUE"""),"https://www.instagram.com/heyatalzahra.ir/")</f>
        <v>https://www.instagram.com/heyatalzahra.ir/</v>
      </c>
      <c r="I242" s="6" t="str">
        <f>IFERROR(__xludf.DUMMYFUNCTION("""COMPUTED_VALUE"""),"https://t.me/heyatalzahra_ir")</f>
        <v>https://t.me/heyatalzahra_ir</v>
      </c>
      <c r="J242" s="6" t="str">
        <f>IFERROR(__xludf.DUMMYFUNCTION("""COMPUTED_VALUE"""),"https://eitaa.com/s/heyatalzahra_ir")</f>
        <v>https://eitaa.com/s/heyatalzahra_ir</v>
      </c>
      <c r="K242" s="5"/>
      <c r="L242" s="5"/>
      <c r="M242" s="5"/>
      <c r="N242" s="5"/>
      <c r="O242" s="5"/>
      <c r="P242" s="5"/>
      <c r="Q242" s="5"/>
      <c r="R242" s="5"/>
      <c r="S242" s="5"/>
    </row>
    <row r="243">
      <c r="A243" s="5"/>
      <c r="B243" s="5" t="str">
        <f>IFERROR(__xludf.DUMMYFUNCTION("""COMPUTED_VALUE"""),"هیأت")</f>
        <v>هیأت</v>
      </c>
      <c r="C243" s="5" t="str">
        <f>IFERROR(__xludf.DUMMYFUNCTION("""COMPUTED_VALUE"""),"مکتب الشهدا")</f>
        <v>مکتب الشهدا</v>
      </c>
      <c r="D243" s="5" t="str">
        <f>IFERROR(__xludf.DUMMYFUNCTION("""COMPUTED_VALUE"""),"مازندران")</f>
        <v>مازندران</v>
      </c>
      <c r="E243" s="5" t="str">
        <f>IFERROR(__xludf.DUMMYFUNCTION("""COMPUTED_VALUE"""),"قائمشهر")</f>
        <v>قائمشهر</v>
      </c>
      <c r="F243" s="5"/>
      <c r="G243" s="5"/>
      <c r="H243" s="6" t="str">
        <f>IFERROR(__xludf.DUMMYFUNCTION("""COMPUTED_VALUE"""),"https://www.instagram.com/heyat_maktabolshohada/")</f>
        <v>https://www.instagram.com/heyat_maktabolshohada/</v>
      </c>
      <c r="I243" s="6" t="str">
        <f>IFERROR(__xludf.DUMMYFUNCTION("""COMPUTED_VALUE"""),"https://t.me/heyat_maktabolshohada")</f>
        <v>https://t.me/heyat_maktabolshohada</v>
      </c>
      <c r="J243" s="6" t="str">
        <f>IFERROR(__xludf.DUMMYFUNCTION("""COMPUTED_VALUE"""),"https://eitaa.com/heyat_maktabolshohada")</f>
        <v>https://eitaa.com/heyat_maktabolshohada</v>
      </c>
      <c r="K243" s="5"/>
      <c r="L243" s="5"/>
      <c r="M243" s="5"/>
      <c r="N243" s="5"/>
      <c r="O243" s="5"/>
      <c r="P243" s="5"/>
      <c r="Q243" s="5"/>
      <c r="R243" s="5"/>
      <c r="S243" s="5"/>
    </row>
    <row r="244">
      <c r="A244" s="5"/>
      <c r="B244" s="5" t="str">
        <f>IFERROR(__xludf.DUMMYFUNCTION("""COMPUTED_VALUE"""),"هیأت")</f>
        <v>هیأت</v>
      </c>
      <c r="C244" s="5" t="str">
        <f>IFERROR(__xludf.DUMMYFUNCTION("""COMPUTED_VALUE"""),"جنت الحسین")</f>
        <v>جنت الحسین</v>
      </c>
      <c r="D244" s="5" t="str">
        <f>IFERROR(__xludf.DUMMYFUNCTION("""COMPUTED_VALUE"""),"مازندران")</f>
        <v>مازندران</v>
      </c>
      <c r="E244" s="5" t="str">
        <f>IFERROR(__xludf.DUMMYFUNCTION("""COMPUTED_VALUE"""),"قائمشهر")</f>
        <v>قائمشهر</v>
      </c>
      <c r="F244" s="5"/>
      <c r="G244" s="5"/>
      <c r="H244" s="6" t="str">
        <f>IFERROR(__xludf.DUMMYFUNCTION("""COMPUTED_VALUE"""),"https://www.instagram.com/jannatolhosein315/")</f>
        <v>https://www.instagram.com/jannatolhosein315/</v>
      </c>
      <c r="I244" s="6" t="str">
        <f>IFERROR(__xludf.DUMMYFUNCTION("""COMPUTED_VALUE"""),"https://t.me/jannatolhosein315")</f>
        <v>https://t.me/jannatolhosein315</v>
      </c>
      <c r="J244" s="5"/>
      <c r="K244" s="5"/>
      <c r="L244" s="5"/>
      <c r="M244" s="5"/>
      <c r="N244" s="5"/>
      <c r="O244" s="5"/>
      <c r="P244" s="6" t="str">
        <f>IFERROR(__xludf.DUMMYFUNCTION("""COMPUTED_VALUE"""),"https://www.instagram.com/emam.hasani.ha/")</f>
        <v>https://www.instagram.com/emam.hasani.ha/</v>
      </c>
      <c r="Q244" s="5"/>
      <c r="R244" s="5"/>
      <c r="S244" s="5"/>
    </row>
    <row r="245">
      <c r="A245" s="5"/>
      <c r="B245" s="5" t="str">
        <f>IFERROR(__xludf.DUMMYFUNCTION("""COMPUTED_VALUE"""),"هیأت")</f>
        <v>هیأت</v>
      </c>
      <c r="C245" s="5" t="str">
        <f>IFERROR(__xludf.DUMMYFUNCTION("""COMPUTED_VALUE"""),"مکتب الحسن")</f>
        <v>مکتب الحسن</v>
      </c>
      <c r="D245" s="5" t="str">
        <f>IFERROR(__xludf.DUMMYFUNCTION("""COMPUTED_VALUE"""),"مازندران")</f>
        <v>مازندران</v>
      </c>
      <c r="E245" s="5" t="str">
        <f>IFERROR(__xludf.DUMMYFUNCTION("""COMPUTED_VALUE"""),"قائمشهر")</f>
        <v>قائمشهر</v>
      </c>
      <c r="F245" s="5"/>
      <c r="G245" s="5"/>
      <c r="H245" s="6" t="str">
        <f>IFERROR(__xludf.DUMMYFUNCTION("""COMPUTED_VALUE"""),"https://www.instagram.com/maktabolhasan1")</f>
        <v>https://www.instagram.com/maktabolhasan1</v>
      </c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>
      <c r="A246" s="5"/>
      <c r="B246" s="5" t="str">
        <f>IFERROR(__xludf.DUMMYFUNCTION("""COMPUTED_VALUE"""),"هیأت")</f>
        <v>هیأت</v>
      </c>
      <c r="C246" s="5" t="str">
        <f>IFERROR(__xludf.DUMMYFUNCTION("""COMPUTED_VALUE"""),"روضه الزهرا")</f>
        <v>روضه الزهرا</v>
      </c>
      <c r="D246" s="5" t="str">
        <f>IFERROR(__xludf.DUMMYFUNCTION("""COMPUTED_VALUE"""),"مازندران")</f>
        <v>مازندران</v>
      </c>
      <c r="E246" s="5" t="str">
        <f>IFERROR(__xludf.DUMMYFUNCTION("""COMPUTED_VALUE"""),"قائمشهر")</f>
        <v>قائمشهر</v>
      </c>
      <c r="F246" s="5"/>
      <c r="G246" s="5"/>
      <c r="H246" s="6" t="str">
        <f>IFERROR(__xludf.DUMMYFUNCTION("""COMPUTED_VALUE"""),"https://www.instagram.com/sayedatyzahra")</f>
        <v>https://www.instagram.com/sayedatyzahra</v>
      </c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>
      <c r="A247" s="5"/>
      <c r="B247" s="5" t="str">
        <f>IFERROR(__xludf.DUMMYFUNCTION("""COMPUTED_VALUE"""),"هیأت")</f>
        <v>هیأت</v>
      </c>
      <c r="C247" s="5" t="str">
        <f>IFERROR(__xludf.DUMMYFUNCTION("""COMPUTED_VALUE"""),"منتظران مهدی (عج)")</f>
        <v>منتظران مهدی (عج)</v>
      </c>
      <c r="D247" s="5" t="str">
        <f>IFERROR(__xludf.DUMMYFUNCTION("""COMPUTED_VALUE"""),"مازندران")</f>
        <v>مازندران</v>
      </c>
      <c r="E247" s="5" t="str">
        <f>IFERROR(__xludf.DUMMYFUNCTION("""COMPUTED_VALUE"""),"قائمشهر")</f>
        <v>قائمشهر</v>
      </c>
      <c r="F247" s="5" t="str">
        <f>IFERROR(__xludf.DUMMYFUNCTION("""COMPUTED_VALUE"""),"چشمه سر")</f>
        <v>چشمه سر</v>
      </c>
      <c r="G247" s="5"/>
      <c r="H247" s="6" t="str">
        <f>IFERROR(__xludf.DUMMYFUNCTION("""COMPUTED_VALUE"""),"https://www.instagram.com/heyate_javanane_montazeran/")</f>
        <v>https://www.instagram.com/heyate_javanane_montazeran/</v>
      </c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>
      <c r="A248" s="5"/>
      <c r="B248" s="5" t="str">
        <f>IFERROR(__xludf.DUMMYFUNCTION("""COMPUTED_VALUE"""),"هیأت")</f>
        <v>هیأت</v>
      </c>
      <c r="C248" s="5" t="str">
        <f>IFERROR(__xludf.DUMMYFUNCTION("""COMPUTED_VALUE"""),"رزمندگان اسلام")</f>
        <v>رزمندگان اسلام</v>
      </c>
      <c r="D248" s="5" t="str">
        <f>IFERROR(__xludf.DUMMYFUNCTION("""COMPUTED_VALUE"""),"مازندران")</f>
        <v>مازندران</v>
      </c>
      <c r="E248" s="5" t="str">
        <f>IFERROR(__xludf.DUMMYFUNCTION("""COMPUTED_VALUE"""),"قائمشهر")</f>
        <v>قائمشهر</v>
      </c>
      <c r="F248" s="5"/>
      <c r="G248" s="5"/>
      <c r="H248" s="5"/>
      <c r="I248" s="5"/>
      <c r="J248" s="6" t="str">
        <f>IFERROR(__xludf.DUMMYFUNCTION("""COMPUTED_VALUE"""),"https://eitaa.com/razmandegan_qaem")</f>
        <v>https://eitaa.com/razmandegan_qaem</v>
      </c>
      <c r="K248" s="5"/>
      <c r="L248" s="5"/>
      <c r="M248" s="5"/>
      <c r="N248" s="5"/>
      <c r="O248" s="5"/>
      <c r="P248" s="5"/>
      <c r="Q248" s="5"/>
      <c r="R248" s="5"/>
      <c r="S248" s="5"/>
    </row>
    <row r="249">
      <c r="A249" s="5"/>
      <c r="B249" s="5" t="str">
        <f>IFERROR(__xludf.DUMMYFUNCTION("""COMPUTED_VALUE"""),"هیأت")</f>
        <v>هیأت</v>
      </c>
      <c r="C249" s="5" t="str">
        <f>IFERROR(__xludf.DUMMYFUNCTION("""COMPUTED_VALUE"""),"متوسلین به حضرت علی اصغر")</f>
        <v>متوسلین به حضرت علی اصغر</v>
      </c>
      <c r="D249" s="5" t="str">
        <f>IFERROR(__xludf.DUMMYFUNCTION("""COMPUTED_VALUE"""),"مازندران")</f>
        <v>مازندران</v>
      </c>
      <c r="E249" s="5" t="str">
        <f>IFERROR(__xludf.DUMMYFUNCTION("""COMPUTED_VALUE"""),"قائمشهر")</f>
        <v>قائمشهر</v>
      </c>
      <c r="F249" s="5"/>
      <c r="G249" s="5"/>
      <c r="H249" s="6" t="str">
        <f>IFERROR(__xludf.DUMMYFUNCTION("""COMPUTED_VALUE"""),"https://www.instagram.com/heyate.aliasghare.javanan")</f>
        <v>https://www.instagram.com/heyate.aliasghare.javanan</v>
      </c>
      <c r="I249" s="6" t="str">
        <f>IFERROR(__xludf.DUMMYFUNCTION("""COMPUTED_VALUE"""),"https://t.me/heyatjavananaliasghar")</f>
        <v>https://t.me/heyatjavananaliasghar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>
      <c r="A250" s="5"/>
      <c r="B250" s="5" t="str">
        <f>IFERROR(__xludf.DUMMYFUNCTION("""COMPUTED_VALUE"""),"هیأت")</f>
        <v>هیأت</v>
      </c>
      <c r="C250" s="5" t="str">
        <f>IFERROR(__xludf.DUMMYFUNCTION("""COMPUTED_VALUE"""),"عاشقان بین الحرمین")</f>
        <v>عاشقان بین الحرمین</v>
      </c>
      <c r="D250" s="5" t="str">
        <f>IFERROR(__xludf.DUMMYFUNCTION("""COMPUTED_VALUE"""),"مازندران")</f>
        <v>مازندران</v>
      </c>
      <c r="E250" s="5" t="str">
        <f>IFERROR(__xludf.DUMMYFUNCTION("""COMPUTED_VALUE"""),"قائمشهر")</f>
        <v>قائمشهر</v>
      </c>
      <c r="F250" s="5"/>
      <c r="G250" s="5"/>
      <c r="H250" s="6" t="str">
        <f>IFERROR(__xludf.DUMMYFUNCTION("""COMPUTED_VALUE"""),"https://www.instagram.com/beytolzahra_com")</f>
        <v>https://www.instagram.com/beytolzahra_com</v>
      </c>
      <c r="I250" s="6" t="str">
        <f>IFERROR(__xludf.DUMMYFUNCTION("""COMPUTED_VALUE"""),"https://t.me/beytolzahra_com")</f>
        <v>https://t.me/beytolzahra_com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>
      <c r="A251" s="5"/>
      <c r="B251" s="5" t="str">
        <f>IFERROR(__xludf.DUMMYFUNCTION("""COMPUTED_VALUE"""),"هیأت")</f>
        <v>هیأت</v>
      </c>
      <c r="C251" s="5" t="str">
        <f>IFERROR(__xludf.DUMMYFUNCTION("""COMPUTED_VALUE"""),"فاطمیون")</f>
        <v>فاطمیون</v>
      </c>
      <c r="D251" s="5" t="str">
        <f>IFERROR(__xludf.DUMMYFUNCTION("""COMPUTED_VALUE"""),"مازندران")</f>
        <v>مازندران</v>
      </c>
      <c r="E251" s="5" t="str">
        <f>IFERROR(__xludf.DUMMYFUNCTION("""COMPUTED_VALUE"""),"قائمشهر")</f>
        <v>قائمشهر</v>
      </c>
      <c r="F251" s="5"/>
      <c r="G251" s="5"/>
      <c r="H251" s="6" t="str">
        <f>IFERROR(__xludf.DUMMYFUNCTION("""COMPUTED_VALUE"""),"https://www.instagram.com/htfatemion313")</f>
        <v>https://www.instagram.com/htfatemion313</v>
      </c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>
      <c r="A252" s="5"/>
      <c r="B252" s="5" t="str">
        <f>IFERROR(__xludf.DUMMYFUNCTION("""COMPUTED_VALUE"""),"هیأت نوجوانان")</f>
        <v>هیأت نوجوانان</v>
      </c>
      <c r="C252" s="5" t="str">
        <f>IFERROR(__xludf.DUMMYFUNCTION("""COMPUTED_VALUE"""),"بقیة الله")</f>
        <v>بقیة الله</v>
      </c>
      <c r="D252" s="5" t="str">
        <f>IFERROR(__xludf.DUMMYFUNCTION("""COMPUTED_VALUE"""),"مازندران")</f>
        <v>مازندران</v>
      </c>
      <c r="E252" s="5" t="str">
        <f>IFERROR(__xludf.DUMMYFUNCTION("""COMPUTED_VALUE"""),"قائمشهر")</f>
        <v>قائمشهر</v>
      </c>
      <c r="F252" s="5"/>
      <c r="G252" s="5"/>
      <c r="H252" s="6" t="str">
        <f>IFERROR(__xludf.DUMMYFUNCTION("""COMPUTED_VALUE"""),"https://www.instagram.com/baghiat_allah_ir/")</f>
        <v>https://www.instagram.com/baghiat_allah_ir/</v>
      </c>
      <c r="I252" s="5"/>
      <c r="J252" s="6" t="str">
        <f>IFERROR(__xludf.DUMMYFUNCTION("""COMPUTED_VALUE"""),"https://eitaa.com/Baghiatallah_nojavan_313")</f>
        <v>https://eitaa.com/Baghiatallah_nojavan_313</v>
      </c>
      <c r="K252" s="5"/>
      <c r="L252" s="5"/>
      <c r="M252" s="5"/>
      <c r="N252" s="5"/>
      <c r="O252" s="5"/>
      <c r="P252" s="5"/>
      <c r="Q252" s="5"/>
      <c r="R252" s="5"/>
      <c r="S252" s="5"/>
    </row>
    <row r="253">
      <c r="A253" s="5">
        <f>IFERROR(__xludf.DUMMYFUNCTION("""COMPUTED_VALUE"""),30978.0)</f>
        <v>30978</v>
      </c>
      <c r="B253" s="5" t="str">
        <f>IFERROR(__xludf.DUMMYFUNCTION("""COMPUTED_VALUE"""),"هیأت")</f>
        <v>هیأت</v>
      </c>
      <c r="C253" s="5" t="str">
        <f>IFERROR(__xludf.DUMMYFUNCTION("""COMPUTED_VALUE"""),"حضرت زینب (س)")</f>
        <v>حضرت زینب (س)</v>
      </c>
      <c r="D253" s="5" t="str">
        <f>IFERROR(__xludf.DUMMYFUNCTION("""COMPUTED_VALUE"""),"مازندران")</f>
        <v>مازندران</v>
      </c>
      <c r="E253" s="5" t="str">
        <f>IFERROR(__xludf.DUMMYFUNCTION("""COMPUTED_VALUE"""),"کلاردشت")</f>
        <v>کلاردشت</v>
      </c>
      <c r="F253" s="5" t="str">
        <f>IFERROR(__xludf.DUMMYFUNCTION("""COMPUTED_VALUE"""),"روستای پیمور")</f>
        <v>روستای پیمور</v>
      </c>
      <c r="G253" s="5"/>
      <c r="H253" s="6" t="str">
        <f>IFERROR(__xludf.DUMMYFUNCTION("""COMPUTED_VALUE"""),"https://www.instagram.com/msq.zeynab/")</f>
        <v>https://www.instagram.com/msq.zeynab/</v>
      </c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>
      <c r="A254" s="5">
        <f>IFERROR(__xludf.DUMMYFUNCTION("""COMPUTED_VALUE"""),24701.0)</f>
        <v>24701</v>
      </c>
      <c r="B254" s="5" t="str">
        <f>IFERROR(__xludf.DUMMYFUNCTION("""COMPUTED_VALUE"""),"هیأت")</f>
        <v>هیأت</v>
      </c>
      <c r="C254" s="5" t="str">
        <f>IFERROR(__xludf.DUMMYFUNCTION("""COMPUTED_VALUE"""),"صاحب الزمان")</f>
        <v>صاحب الزمان</v>
      </c>
      <c r="D254" s="5" t="str">
        <f>IFERROR(__xludf.DUMMYFUNCTION("""COMPUTED_VALUE"""),"مازندران")</f>
        <v>مازندران</v>
      </c>
      <c r="E254" s="5" t="str">
        <f>IFERROR(__xludf.DUMMYFUNCTION("""COMPUTED_VALUE"""),"گلوگاه")</f>
        <v>گلوگاه</v>
      </c>
      <c r="F254" s="5"/>
      <c r="G254" s="5"/>
      <c r="H254" s="6" t="str">
        <f>IFERROR(__xludf.DUMMYFUNCTION("""COMPUTED_VALUE"""),"https://www.instagram.com/heiate_saheb_zaman_galougah/")</f>
        <v>https://www.instagram.com/heiate_saheb_zaman_galougah/</v>
      </c>
      <c r="I254" s="6" t="str">
        <f>IFERROR(__xludf.DUMMYFUNCTION("""COMPUTED_VALUE"""),"https://t.me/heyatesahebazzamangalougah")</f>
        <v>https://t.me/heyatesahebazzamangalougah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>
      <c r="A255" s="5">
        <f>IFERROR(__xludf.DUMMYFUNCTION("""COMPUTED_VALUE"""),31506.0)</f>
        <v>31506</v>
      </c>
      <c r="B255" s="5" t="str">
        <f>IFERROR(__xludf.DUMMYFUNCTION("""COMPUTED_VALUE"""),"هیأت")</f>
        <v>هیأت</v>
      </c>
      <c r="C255" s="5" t="str">
        <f>IFERROR(__xludf.DUMMYFUNCTION("""COMPUTED_VALUE"""),"فداییان حضرت زینب (س)")</f>
        <v>فداییان حضرت زینب (س)</v>
      </c>
      <c r="D255" s="5" t="str">
        <f>IFERROR(__xludf.DUMMYFUNCTION("""COMPUTED_VALUE"""),"مازندران")</f>
        <v>مازندران</v>
      </c>
      <c r="E255" s="5" t="str">
        <f>IFERROR(__xludf.DUMMYFUNCTION("""COMPUTED_VALUE"""),"گلوگاه")</f>
        <v>گلوگاه</v>
      </c>
      <c r="F255" s="5"/>
      <c r="G255" s="5"/>
      <c r="H255" s="6" t="str">
        <f>IFERROR(__xludf.DUMMYFUNCTION("""COMPUTED_VALUE"""),"https://www.instagram.com/fadaeeyanezeynab313/")</f>
        <v>https://www.instagram.com/fadaeeyanezeynab313/</v>
      </c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>
      <c r="A256" s="5">
        <f>IFERROR(__xludf.DUMMYFUNCTION("""COMPUTED_VALUE"""),14887.0)</f>
        <v>14887</v>
      </c>
      <c r="B256" s="5" t="str">
        <f>IFERROR(__xludf.DUMMYFUNCTION("""COMPUTED_VALUE"""),"هیأت")</f>
        <v>هیأت</v>
      </c>
      <c r="C256" s="5" t="str">
        <f>IFERROR(__xludf.DUMMYFUNCTION("""COMPUTED_VALUE"""),"بنت الرسول")</f>
        <v>بنت الرسول</v>
      </c>
      <c r="D256" s="5" t="str">
        <f>IFERROR(__xludf.DUMMYFUNCTION("""COMPUTED_VALUE"""),"مازندران")</f>
        <v>مازندران</v>
      </c>
      <c r="E256" s="5" t="str">
        <f>IFERROR(__xludf.DUMMYFUNCTION("""COMPUTED_VALUE"""),"محمودآباد")</f>
        <v>محمودآباد</v>
      </c>
      <c r="F256" s="5"/>
      <c r="G256" s="5"/>
      <c r="H256" s="6" t="str">
        <f>IFERROR(__xludf.DUMMYFUNCTION("""COMPUTED_VALUE"""),"https://www.instagram.com/bentalrasol/")</f>
        <v>https://www.instagram.com/bentalrasol/</v>
      </c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>
      <c r="A257" s="5"/>
      <c r="B257" s="5" t="str">
        <f>IFERROR(__xludf.DUMMYFUNCTION("""COMPUTED_VALUE"""),"حسینیه")</f>
        <v>حسینیه</v>
      </c>
      <c r="C257" s="5" t="str">
        <f>IFERROR(__xludf.DUMMYFUNCTION("""COMPUTED_VALUE"""),"حسینیه محمودآباد")</f>
        <v>حسینیه محمودآباد</v>
      </c>
      <c r="D257" s="5" t="str">
        <f>IFERROR(__xludf.DUMMYFUNCTION("""COMPUTED_VALUE"""),"مازندران")</f>
        <v>مازندران</v>
      </c>
      <c r="E257" s="5" t="str">
        <f>IFERROR(__xludf.DUMMYFUNCTION("""COMPUTED_VALUE"""),"محمودآباد")</f>
        <v>محمودآباد</v>
      </c>
      <c r="F257" s="5"/>
      <c r="G257" s="5"/>
      <c r="H257" s="6" t="str">
        <f>IFERROR(__xludf.DUMMYFUNCTION("""COMPUTED_VALUE"""),"https://www.instagram.com/hoseiniyeh_mahmodabad/")</f>
        <v>https://www.instagram.com/hoseiniyeh_mahmodabad/</v>
      </c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>
      <c r="A258" s="5"/>
      <c r="B258" s="5" t="str">
        <f>IFERROR(__xludf.DUMMYFUNCTION("""COMPUTED_VALUE"""),"هیأت")</f>
        <v>هیأت</v>
      </c>
      <c r="C258" s="5" t="str">
        <f>IFERROR(__xludf.DUMMYFUNCTION("""COMPUTED_VALUE"""),"شهدای گمنام")</f>
        <v>شهدای گمنام</v>
      </c>
      <c r="D258" s="5" t="str">
        <f>IFERROR(__xludf.DUMMYFUNCTION("""COMPUTED_VALUE"""),"مازندران")</f>
        <v>مازندران</v>
      </c>
      <c r="E258" s="5" t="str">
        <f>IFERROR(__xludf.DUMMYFUNCTION("""COMPUTED_VALUE"""),"محمودآباد")</f>
        <v>محمودآباد</v>
      </c>
      <c r="F258" s="5"/>
      <c r="G258" s="5"/>
      <c r="H258" s="6" t="str">
        <f>IFERROR(__xludf.DUMMYFUNCTION("""COMPUTED_VALUE"""),"https://www.instagram.com/heyatgomnam/")</f>
        <v>https://www.instagram.com/heyatgomnam/</v>
      </c>
      <c r="I258" s="5"/>
      <c r="J258" s="6" t="str">
        <f>IFERROR(__xludf.DUMMYFUNCTION("""COMPUTED_VALUE"""),"https://eitaa.com/HeyatGomnam")</f>
        <v>https://eitaa.com/HeyatGomnam</v>
      </c>
      <c r="K258" s="5"/>
      <c r="L258" s="5"/>
      <c r="M258" s="5"/>
      <c r="N258" s="5"/>
      <c r="O258" s="5"/>
      <c r="P258" s="5"/>
      <c r="Q258" s="5"/>
      <c r="R258" s="5"/>
      <c r="S258" s="5"/>
    </row>
    <row r="259">
      <c r="A259" s="5"/>
      <c r="B259" s="5" t="str">
        <f>IFERROR(__xludf.DUMMYFUNCTION("""COMPUTED_VALUE"""),"هیأت")</f>
        <v>هیأت</v>
      </c>
      <c r="C259" s="5" t="str">
        <f>IFERROR(__xludf.DUMMYFUNCTION("""COMPUTED_VALUE"""),"سیدالشهداء")</f>
        <v>سیدالشهداء</v>
      </c>
      <c r="D259" s="5" t="str">
        <f>IFERROR(__xludf.DUMMYFUNCTION("""COMPUTED_VALUE"""),"مازندران")</f>
        <v>مازندران</v>
      </c>
      <c r="E259" s="5" t="str">
        <f>IFERROR(__xludf.DUMMYFUNCTION("""COMPUTED_VALUE"""),"محمودآباد")</f>
        <v>محمودآباد</v>
      </c>
      <c r="F259" s="5" t="str">
        <f>IFERROR(__xludf.DUMMYFUNCTION("""COMPUTED_VALUE"""),"سرخرود")</f>
        <v>سرخرود</v>
      </c>
      <c r="G259" s="5"/>
      <c r="H259" s="6" t="str">
        <f>IFERROR(__xludf.DUMMYFUNCTION("""COMPUTED_VALUE"""),"https://www.instagram.com/seyedoshohadasorkhrood/")</f>
        <v>https://www.instagram.com/seyedoshohadasorkhrood/</v>
      </c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>
      <c r="A260" s="5"/>
      <c r="B260" s="5" t="str">
        <f>IFERROR(__xludf.DUMMYFUNCTION("""COMPUTED_VALUE"""),"هیأت")</f>
        <v>هیأت</v>
      </c>
      <c r="C260" s="5" t="str">
        <f>IFERROR(__xludf.DUMMYFUNCTION("""COMPUTED_VALUE"""),"محبین حضرت علی اصغر")</f>
        <v>محبین حضرت علی اصغر</v>
      </c>
      <c r="D260" s="5" t="str">
        <f>IFERROR(__xludf.DUMMYFUNCTION("""COMPUTED_VALUE"""),"مازندران")</f>
        <v>مازندران</v>
      </c>
      <c r="E260" s="5" t="str">
        <f>IFERROR(__xludf.DUMMYFUNCTION("""COMPUTED_VALUE"""),"محمودآباد")</f>
        <v>محمودآباد</v>
      </c>
      <c r="F260" s="5"/>
      <c r="G260" s="5"/>
      <c r="H260" s="6" t="str">
        <f>IFERROR(__xludf.DUMMYFUNCTION("""COMPUTED_VALUE"""),"https://www.instagram.com/heyataliasgharmollakola/")</f>
        <v>https://www.instagram.com/heyataliasgharmollakola/</v>
      </c>
      <c r="I260" s="6" t="str">
        <f>IFERROR(__xludf.DUMMYFUNCTION("""COMPUTED_VALUE"""),"https://t.me/mohebinaliasghar")</f>
        <v>https://t.me/mohebinaliasghar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>
      <c r="A261" s="5"/>
      <c r="B261" s="5" t="str">
        <f>IFERROR(__xludf.DUMMYFUNCTION("""COMPUTED_VALUE"""),"هیأت")</f>
        <v>هیأت</v>
      </c>
      <c r="C261" s="5" t="str">
        <f>IFERROR(__xludf.DUMMYFUNCTION("""COMPUTED_VALUE"""),"عاشقان ولایت")</f>
        <v>عاشقان ولایت</v>
      </c>
      <c r="D261" s="5" t="str">
        <f>IFERROR(__xludf.DUMMYFUNCTION("""COMPUTED_VALUE"""),"مازندران")</f>
        <v>مازندران</v>
      </c>
      <c r="E261" s="5" t="str">
        <f>IFERROR(__xludf.DUMMYFUNCTION("""COMPUTED_VALUE"""),"محمودآباد")</f>
        <v>محمودآباد</v>
      </c>
      <c r="F261" s="5" t="str">
        <f>IFERROR(__xludf.DUMMYFUNCTION("""COMPUTED_VALUE"""),"معلم کلا")</f>
        <v>معلم کلا</v>
      </c>
      <c r="G261" s="5"/>
      <c r="H261" s="6" t="str">
        <f>IFERROR(__xludf.DUMMYFUNCTION("""COMPUTED_VALUE"""),"https://www.instagram.com/asheghanevelayat94/")</f>
        <v>https://www.instagram.com/asheghanevelayat94/</v>
      </c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>
      <c r="A262" s="5"/>
      <c r="B262" s="5" t="str">
        <f>IFERROR(__xludf.DUMMYFUNCTION("""COMPUTED_VALUE"""),"هیأت")</f>
        <v>هیأت</v>
      </c>
      <c r="C262" s="5" t="str">
        <f>IFERROR(__xludf.DUMMYFUNCTION("""COMPUTED_VALUE"""),"صاحب الزمان")</f>
        <v>صاحب الزمان</v>
      </c>
      <c r="D262" s="5" t="str">
        <f>IFERROR(__xludf.DUMMYFUNCTION("""COMPUTED_VALUE"""),"مازندران")</f>
        <v>مازندران</v>
      </c>
      <c r="E262" s="5" t="str">
        <f>IFERROR(__xludf.DUMMYFUNCTION("""COMPUTED_VALUE"""),"محمودآباد")</f>
        <v>محمودآباد</v>
      </c>
      <c r="F262" s="5"/>
      <c r="G262" s="5"/>
      <c r="H262" s="6" t="str">
        <f>IFERROR(__xludf.DUMMYFUNCTION("""COMPUTED_VALUE"""),"https://www.instagram.com/heyat_sahebzaman/")</f>
        <v>https://www.instagram.com/heyat_sahebzaman/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>
      <c r="A263" s="5"/>
      <c r="B263" s="5" t="str">
        <f>IFERROR(__xludf.DUMMYFUNCTION("""COMPUTED_VALUE"""),"هیأت کودک")</f>
        <v>هیأت کودک</v>
      </c>
      <c r="C263" s="5" t="str">
        <f>IFERROR(__xludf.DUMMYFUNCTION("""COMPUTED_VALUE"""),"نسل سلیمانی")</f>
        <v>نسل سلیمانی</v>
      </c>
      <c r="D263" s="5" t="str">
        <f>IFERROR(__xludf.DUMMYFUNCTION("""COMPUTED_VALUE"""),"مازندران")</f>
        <v>مازندران</v>
      </c>
      <c r="E263" s="5" t="str">
        <f>IFERROR(__xludf.DUMMYFUNCTION("""COMPUTED_VALUE"""),"محمودآباد")</f>
        <v>محمودآباد</v>
      </c>
      <c r="F263" s="5"/>
      <c r="G263" s="5"/>
      <c r="H263" s="6" t="str">
        <f>IFERROR(__xludf.DUMMYFUNCTION("""COMPUTED_VALUE"""),"https://www.instagram.com/aghighe1/")</f>
        <v>https://www.instagram.com/aghighe1/</v>
      </c>
      <c r="I263" s="6" t="str">
        <f>IFERROR(__xludf.DUMMYFUNCTION("""COMPUTED_VALUE"""),"https://t.me/naslesoleimani_ir")</f>
        <v>https://t.me/naslesoleimani_ir</v>
      </c>
      <c r="J263" s="6" t="str">
        <f>IFERROR(__xludf.DUMMYFUNCTION("""COMPUTED_VALUE"""),"https://eitaa.com/aghighe1")</f>
        <v>https://eitaa.com/aghighe1</v>
      </c>
      <c r="K263" s="5"/>
      <c r="L263" s="5"/>
      <c r="M263" s="5"/>
      <c r="N263" s="5"/>
      <c r="O263" s="5"/>
      <c r="P263" s="5"/>
      <c r="Q263" s="5"/>
      <c r="R263" s="5"/>
      <c r="S263" s="5"/>
    </row>
    <row r="264">
      <c r="A264" s="5"/>
      <c r="B264" s="5" t="str">
        <f>IFERROR(__xludf.DUMMYFUNCTION("""COMPUTED_VALUE"""),"هیأت")</f>
        <v>هیأت</v>
      </c>
      <c r="C264" s="5" t="str">
        <f>IFERROR(__xludf.DUMMYFUNCTION("""COMPUTED_VALUE"""),"خدام الحسین")</f>
        <v>خدام الحسین</v>
      </c>
      <c r="D264" s="5" t="str">
        <f>IFERROR(__xludf.DUMMYFUNCTION("""COMPUTED_VALUE"""),"مازندران")</f>
        <v>مازندران</v>
      </c>
      <c r="E264" s="5" t="str">
        <f>IFERROR(__xludf.DUMMYFUNCTION("""COMPUTED_VALUE"""),"میاندورود")</f>
        <v>میاندورود</v>
      </c>
      <c r="F264" s="5" t="str">
        <f>IFERROR(__xludf.DUMMYFUNCTION("""COMPUTED_VALUE"""),"سورک")</f>
        <v>سورک</v>
      </c>
      <c r="G264" s="5"/>
      <c r="H264" s="6" t="str">
        <f>IFERROR(__xludf.DUMMYFUNCTION("""COMPUTED_VALUE"""),"https://www.instagram.com/khademhosein313/")</f>
        <v>https://www.instagram.com/khademhosein313/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>
      <c r="A265" s="5"/>
      <c r="B265" s="5" t="str">
        <f>IFERROR(__xludf.DUMMYFUNCTION("""COMPUTED_VALUE"""),"هیأت")</f>
        <v>هیأت</v>
      </c>
      <c r="C265" s="5" t="str">
        <f>IFERROR(__xludf.DUMMYFUNCTION("""COMPUTED_VALUE"""),"حسینیا")</f>
        <v>حسینیا</v>
      </c>
      <c r="D265" s="5" t="str">
        <f>IFERROR(__xludf.DUMMYFUNCTION("""COMPUTED_VALUE"""),"مازندران")</f>
        <v>مازندران</v>
      </c>
      <c r="E265" s="5" t="str">
        <f>IFERROR(__xludf.DUMMYFUNCTION("""COMPUTED_VALUE"""),"میاندورود")</f>
        <v>میاندورود</v>
      </c>
      <c r="F265" s="5" t="str">
        <f>IFERROR(__xludf.DUMMYFUNCTION("""COMPUTED_VALUE"""),"سورک")</f>
        <v>سورک</v>
      </c>
      <c r="G265" s="5"/>
      <c r="H265" s="6" t="str">
        <f>IFERROR(__xludf.DUMMYFUNCTION("""COMPUTED_VALUE"""),"https://www.instagram.com/heyat_hoseynia_sourak/")</f>
        <v>https://www.instagram.com/heyat_hoseynia_sourak/</v>
      </c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>
      <c r="A266" s="5">
        <f>IFERROR(__xludf.DUMMYFUNCTION("""COMPUTED_VALUE"""),14595.0)</f>
        <v>14595</v>
      </c>
      <c r="B266" s="5" t="str">
        <f>IFERROR(__xludf.DUMMYFUNCTION("""COMPUTED_VALUE"""),"هیأت")</f>
        <v>هیأت</v>
      </c>
      <c r="C266" s="5" t="str">
        <f>IFERROR(__xludf.DUMMYFUNCTION("""COMPUTED_VALUE"""),"دلسوختگان بقیع فاطمیه")</f>
        <v>دلسوختگان بقیع فاطمیه</v>
      </c>
      <c r="D266" s="5" t="str">
        <f>IFERROR(__xludf.DUMMYFUNCTION("""COMPUTED_VALUE"""),"مازندران")</f>
        <v>مازندران</v>
      </c>
      <c r="E266" s="5" t="str">
        <f>IFERROR(__xludf.DUMMYFUNCTION("""COMPUTED_VALUE"""),"نکاء")</f>
        <v>نکاء</v>
      </c>
      <c r="F266" s="5"/>
      <c r="G266" s="5"/>
      <c r="H266" s="6" t="str">
        <f>IFERROR(__xludf.DUMMYFUNCTION("""COMPUTED_VALUE"""),"https://www.instagram.com/fatemiyeh_neka")</f>
        <v>https://www.instagram.com/fatemiyeh_neka</v>
      </c>
      <c r="I266" s="6" t="str">
        <f>IFERROR(__xludf.DUMMYFUNCTION("""COMPUTED_VALUE"""),"https://t.me/fatemiyehneka")</f>
        <v>https://t.me/fatemiyehneka</v>
      </c>
      <c r="J266" s="6" t="str">
        <f>IFERROR(__xludf.DUMMYFUNCTION("""COMPUTED_VALUE"""),"https://eitaa.com/fatemiyehneka")</f>
        <v>https://eitaa.com/fatemiyehneka</v>
      </c>
      <c r="K266" s="5"/>
      <c r="L266" s="5"/>
      <c r="M266" s="5"/>
      <c r="N266" s="5"/>
      <c r="O266" s="5"/>
      <c r="P266" s="5"/>
      <c r="Q266" s="5"/>
      <c r="R266" s="5"/>
      <c r="S266" s="5"/>
    </row>
    <row r="267">
      <c r="A267" s="5">
        <f>IFERROR(__xludf.DUMMYFUNCTION("""COMPUTED_VALUE"""),23407.0)</f>
        <v>23407</v>
      </c>
      <c r="B267" s="5" t="str">
        <f>IFERROR(__xludf.DUMMYFUNCTION("""COMPUTED_VALUE"""),"هیأت")</f>
        <v>هیأت</v>
      </c>
      <c r="C267" s="5" t="str">
        <f>IFERROR(__xludf.DUMMYFUNCTION("""COMPUTED_VALUE"""),"شیفتگان آل یاسین")</f>
        <v>شیفتگان آل یاسین</v>
      </c>
      <c r="D267" s="5" t="str">
        <f>IFERROR(__xludf.DUMMYFUNCTION("""COMPUTED_VALUE"""),"مازندران")</f>
        <v>مازندران</v>
      </c>
      <c r="E267" s="5" t="str">
        <f>IFERROR(__xludf.DUMMYFUNCTION("""COMPUTED_VALUE"""),"نکاء")</f>
        <v>نکاء</v>
      </c>
      <c r="F267" s="5"/>
      <c r="G267" s="5"/>
      <c r="H267" s="6" t="str">
        <f>IFERROR(__xludf.DUMMYFUNCTION("""COMPUTED_VALUE"""),"https://www.instagram.com/aleyasin_83")</f>
        <v>https://www.instagram.com/aleyasin_83</v>
      </c>
      <c r="I267" s="6" t="str">
        <f>IFERROR(__xludf.DUMMYFUNCTION("""COMPUTED_VALUE"""),"https://t.me/aleyasin83")</f>
        <v>https://t.me/aleyasin83</v>
      </c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>
      <c r="A268" s="5">
        <f>IFERROR(__xludf.DUMMYFUNCTION("""COMPUTED_VALUE"""),24258.0)</f>
        <v>24258</v>
      </c>
      <c r="B268" s="5" t="str">
        <f>IFERROR(__xludf.DUMMYFUNCTION("""COMPUTED_VALUE"""),"هیأت")</f>
        <v>هیأت</v>
      </c>
      <c r="C268" s="5" t="str">
        <f>IFERROR(__xludf.DUMMYFUNCTION("""COMPUTED_VALUE"""),"رزمندگان اسلام")</f>
        <v>رزمندگان اسلام</v>
      </c>
      <c r="D268" s="5" t="str">
        <f>IFERROR(__xludf.DUMMYFUNCTION("""COMPUTED_VALUE"""),"مازندران")</f>
        <v>مازندران</v>
      </c>
      <c r="E268" s="5" t="str">
        <f>IFERROR(__xludf.DUMMYFUNCTION("""COMPUTED_VALUE"""),"نکاء")</f>
        <v>نکاء</v>
      </c>
      <c r="F268" s="5"/>
      <c r="G268" s="5"/>
      <c r="H268" s="6" t="str">
        <f>IFERROR(__xludf.DUMMYFUNCTION("""COMPUTED_VALUE"""),"https://www.instagram.com/heyat.razmandegan.neka/")</f>
        <v>https://www.instagram.com/heyat.razmandegan.neka/</v>
      </c>
      <c r="I268" s="5"/>
      <c r="J268" s="6" t="str">
        <f>IFERROR(__xludf.DUMMYFUNCTION("""COMPUTED_VALUE"""),"https://eitaa.com/heyatrazmandeganneka")</f>
        <v>https://eitaa.com/heyatrazmandeganneka</v>
      </c>
      <c r="K268" s="5"/>
      <c r="L268" s="5"/>
      <c r="M268" s="5"/>
      <c r="N268" s="5"/>
      <c r="O268" s="5"/>
      <c r="P268" s="5"/>
      <c r="Q268" s="5"/>
      <c r="R268" s="5"/>
      <c r="S268" s="5"/>
    </row>
    <row r="269">
      <c r="A269" s="5">
        <f>IFERROR(__xludf.DUMMYFUNCTION("""COMPUTED_VALUE"""),24790.0)</f>
        <v>24790</v>
      </c>
      <c r="B269" s="5" t="str">
        <f>IFERROR(__xludf.DUMMYFUNCTION("""COMPUTED_VALUE"""),"هیأت")</f>
        <v>هیأت</v>
      </c>
      <c r="C269" s="5" t="str">
        <f>IFERROR(__xludf.DUMMYFUNCTION("""COMPUTED_VALUE"""),"هیئت عزاداران متوسلین به امام سجاد (ع)")</f>
        <v>هیئت عزاداران متوسلین به امام سجاد (ع)</v>
      </c>
      <c r="D269" s="5" t="str">
        <f>IFERROR(__xludf.DUMMYFUNCTION("""COMPUTED_VALUE"""),"مازندران")</f>
        <v>مازندران</v>
      </c>
      <c r="E269" s="5" t="str">
        <f>IFERROR(__xludf.DUMMYFUNCTION("""COMPUTED_VALUE"""),"نکاء")</f>
        <v>نکاء</v>
      </c>
      <c r="F269" s="5"/>
      <c r="G269" s="5"/>
      <c r="H269" s="6" t="str">
        <f>IFERROR(__xludf.DUMMYFUNCTION("""COMPUTED_VALUE"""),"https://www.instagram.com/masjede_sajadie_neka")</f>
        <v>https://www.instagram.com/masjede_sajadie_neka</v>
      </c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>
      <c r="A270" s="5"/>
      <c r="B270" s="5" t="str">
        <f>IFERROR(__xludf.DUMMYFUNCTION("""COMPUTED_VALUE"""),"هیأت")</f>
        <v>هیأت</v>
      </c>
      <c r="C270" s="5" t="str">
        <f>IFERROR(__xludf.DUMMYFUNCTION("""COMPUTED_VALUE"""),"حضرت ابوالفضل اطرب")</f>
        <v>حضرت ابوالفضل اطرب</v>
      </c>
      <c r="D270" s="5" t="str">
        <f>IFERROR(__xludf.DUMMYFUNCTION("""COMPUTED_VALUE"""),"مازندران")</f>
        <v>مازندران</v>
      </c>
      <c r="E270" s="5" t="str">
        <f>IFERROR(__xludf.DUMMYFUNCTION("""COMPUTED_VALUE"""),"نکاء")</f>
        <v>نکاء</v>
      </c>
      <c r="F270" s="5" t="str">
        <f>IFERROR(__xludf.DUMMYFUNCTION("""COMPUTED_VALUE"""),"روستای اطرب")</f>
        <v>روستای اطرب</v>
      </c>
      <c r="G270" s="5"/>
      <c r="H270" s="6" t="str">
        <f>IFERROR(__xludf.DUMMYFUNCTION("""COMPUTED_VALUE"""),"https://www.instagram.com/heyat_abolfazl.atrab")</f>
        <v>https://www.instagram.com/heyat_abolfazl.atrab</v>
      </c>
      <c r="I270" s="5"/>
      <c r="J270" s="6" t="str">
        <f>IFERROR(__xludf.DUMMYFUNCTION("""COMPUTED_VALUE"""),"https://eitaa.com/heyat_abolfazl_atrab")</f>
        <v>https://eitaa.com/heyat_abolfazl_atrab</v>
      </c>
      <c r="K270" s="5"/>
      <c r="L270" s="5"/>
      <c r="M270" s="5"/>
      <c r="N270" s="5"/>
      <c r="O270" s="5"/>
      <c r="P270" s="5"/>
      <c r="Q270" s="5"/>
      <c r="R270" s="5"/>
      <c r="S270" s="5"/>
    </row>
    <row r="271">
      <c r="A271" s="5">
        <f>IFERROR(__xludf.DUMMYFUNCTION("""COMPUTED_VALUE"""),14614.0)</f>
        <v>14614</v>
      </c>
      <c r="B271" s="5" t="str">
        <f>IFERROR(__xludf.DUMMYFUNCTION("""COMPUTED_VALUE"""),"هیأت")</f>
        <v>هیأت</v>
      </c>
      <c r="C271" s="5" t="str">
        <f>IFERROR(__xludf.DUMMYFUNCTION("""COMPUTED_VALUE"""),"انصارالمحسن")</f>
        <v>انصارالمحسن</v>
      </c>
      <c r="D271" s="5" t="str">
        <f>IFERROR(__xludf.DUMMYFUNCTION("""COMPUTED_VALUE"""),"مازندران")</f>
        <v>مازندران</v>
      </c>
      <c r="E271" s="5" t="str">
        <f>IFERROR(__xludf.DUMMYFUNCTION("""COMPUTED_VALUE"""),"نور")</f>
        <v>نور</v>
      </c>
      <c r="F271" s="5"/>
      <c r="G271" s="5"/>
      <c r="H271" s="6" t="str">
        <f>IFERROR(__xludf.DUMMYFUNCTION("""COMPUTED_VALUE"""),"https://www.instagram.com/ansaralmohsennoo")</f>
        <v>https://www.instagram.com/ansaralmohsennoo</v>
      </c>
      <c r="I271" s="6" t="str">
        <f>IFERROR(__xludf.DUMMYFUNCTION("""COMPUTED_VALUE"""),"https://t.me/ansaralmohsennoor")</f>
        <v>https://t.me/ansaralmohsennoor</v>
      </c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>
      <c r="A272" s="5">
        <f>IFERROR(__xludf.DUMMYFUNCTION("""COMPUTED_VALUE"""),24199.0)</f>
        <v>24199</v>
      </c>
      <c r="B272" s="5" t="str">
        <f>IFERROR(__xludf.DUMMYFUNCTION("""COMPUTED_VALUE"""),"هیأت")</f>
        <v>هیأت</v>
      </c>
      <c r="C272" s="5" t="str">
        <f>IFERROR(__xludf.DUMMYFUNCTION("""COMPUTED_VALUE"""),"محبان اباصالح المهدی (عج)")</f>
        <v>محبان اباصالح المهدی (عج)</v>
      </c>
      <c r="D272" s="5" t="str">
        <f>IFERROR(__xludf.DUMMYFUNCTION("""COMPUTED_VALUE"""),"مازندران")</f>
        <v>مازندران</v>
      </c>
      <c r="E272" s="5" t="str">
        <f>IFERROR(__xludf.DUMMYFUNCTION("""COMPUTED_VALUE"""),"نور")</f>
        <v>نور</v>
      </c>
      <c r="F272" s="5" t="str">
        <f>IFERROR(__xludf.DUMMYFUNCTION("""COMPUTED_VALUE"""),"چمستان")</f>
        <v>چمستان</v>
      </c>
      <c r="G272" s="5"/>
      <c r="H272" s="5"/>
      <c r="I272" s="5"/>
      <c r="J272" s="6" t="str">
        <f>IFERROR(__xludf.DUMMYFUNCTION("""COMPUTED_VALUE"""),"https://eitaa.com/heyat_abasaleh_chamestan")</f>
        <v>https://eitaa.com/heyat_abasaleh_chamestan</v>
      </c>
      <c r="K272" s="5"/>
      <c r="L272" s="5"/>
      <c r="M272" s="5"/>
      <c r="N272" s="5"/>
      <c r="O272" s="5"/>
      <c r="P272" s="5"/>
      <c r="Q272" s="5"/>
      <c r="R272" s="5"/>
      <c r="S272" s="5"/>
    </row>
    <row r="273">
      <c r="A273" s="5"/>
      <c r="B273" s="5" t="str">
        <f>IFERROR(__xludf.DUMMYFUNCTION("""COMPUTED_VALUE"""),"هیأت")</f>
        <v>هیأت</v>
      </c>
      <c r="C273" s="5" t="str">
        <f>IFERROR(__xludf.DUMMYFUNCTION("""COMPUTED_VALUE"""),"مادر سادات")</f>
        <v>مادر سادات</v>
      </c>
      <c r="D273" s="5" t="str">
        <f>IFERROR(__xludf.DUMMYFUNCTION("""COMPUTED_VALUE"""),"مازندران")</f>
        <v>مازندران</v>
      </c>
      <c r="E273" s="5" t="str">
        <f>IFERROR(__xludf.DUMMYFUNCTION("""COMPUTED_VALUE"""),"نور")</f>
        <v>نور</v>
      </c>
      <c r="F273" s="5"/>
      <c r="G273" s="5"/>
      <c r="H273" s="6" t="str">
        <f>IFERROR(__xludf.DUMMYFUNCTION("""COMPUTED_VALUE"""),"https://www.instagram.com/heyat_madar_sadat_noor/")</f>
        <v>https://www.instagram.com/heyat_madar_sadat_noor/</v>
      </c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>
      <c r="A274" s="5"/>
      <c r="B274" s="5" t="str">
        <f>IFERROR(__xludf.DUMMYFUNCTION("""COMPUTED_VALUE"""),"هیأت")</f>
        <v>هیأت</v>
      </c>
      <c r="C274" s="5" t="str">
        <f>IFERROR(__xludf.DUMMYFUNCTION("""COMPUTED_VALUE"""),"علی اکبر")</f>
        <v>علی اکبر</v>
      </c>
      <c r="D274" s="5" t="str">
        <f>IFERROR(__xludf.DUMMYFUNCTION("""COMPUTED_VALUE"""),"مازندران")</f>
        <v>مازندران</v>
      </c>
      <c r="E274" s="5" t="str">
        <f>IFERROR(__xludf.DUMMYFUNCTION("""COMPUTED_VALUE"""),"نور")</f>
        <v>نور</v>
      </c>
      <c r="F274" s="5" t="str">
        <f>IFERROR(__xludf.DUMMYFUNCTION("""COMPUTED_VALUE"""),"رویان")</f>
        <v>رویان</v>
      </c>
      <c r="G274" s="5"/>
      <c r="H274" s="6" t="str">
        <f>IFERROR(__xludf.DUMMYFUNCTION("""COMPUTED_VALUE"""),"https://www.instagram.com/heiat_jenabaliakbar/")</f>
        <v>https://www.instagram.com/heiat_jenabaliakbar/</v>
      </c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>
      <c r="A275" s="5"/>
      <c r="B275" s="5" t="str">
        <f>IFERROR(__xludf.DUMMYFUNCTION("""COMPUTED_VALUE"""),"هیأت")</f>
        <v>هیأت</v>
      </c>
      <c r="C275" s="5" t="str">
        <f>IFERROR(__xludf.DUMMYFUNCTION("""COMPUTED_VALUE"""),"باب الحوائج")</f>
        <v>باب الحوائج</v>
      </c>
      <c r="D275" s="5" t="str">
        <f>IFERROR(__xludf.DUMMYFUNCTION("""COMPUTED_VALUE"""),"مازندران")</f>
        <v>مازندران</v>
      </c>
      <c r="E275" s="5" t="str">
        <f>IFERROR(__xludf.DUMMYFUNCTION("""COMPUTED_VALUE"""),"نور")</f>
        <v>نور</v>
      </c>
      <c r="F275" s="5"/>
      <c r="G275" s="5"/>
      <c r="H275" s="6" t="str">
        <f>IFERROR(__xludf.DUMMYFUNCTION("""COMPUTED_VALUE"""),"https://www.instagram.com/babalhavaejnoor")</f>
        <v>https://www.instagram.com/babalhavaejnoor</v>
      </c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>
      <c r="A276" s="5"/>
      <c r="B276" s="5" t="str">
        <f>IFERROR(__xludf.DUMMYFUNCTION("""COMPUTED_VALUE"""),"هیأت")</f>
        <v>هیأت</v>
      </c>
      <c r="C276" s="5" t="str">
        <f>IFERROR(__xludf.DUMMYFUNCTION("""COMPUTED_VALUE"""),"محبان اهل بیت (ع)")</f>
        <v>محبان اهل بیت (ع)</v>
      </c>
      <c r="D276" s="5" t="str">
        <f>IFERROR(__xludf.DUMMYFUNCTION("""COMPUTED_VALUE"""),"مازندران")</f>
        <v>مازندران</v>
      </c>
      <c r="E276" s="5" t="str">
        <f>IFERROR(__xludf.DUMMYFUNCTION("""COMPUTED_VALUE"""),"نور")</f>
        <v>نور</v>
      </c>
      <c r="F276" s="5"/>
      <c r="G276" s="5"/>
      <c r="H276" s="6" t="str">
        <f>IFERROR(__xludf.DUMMYFUNCTION("""COMPUTED_VALUE"""),"https://www.instagram.com/mohebbannoor_ir/")</f>
        <v>https://www.instagram.com/mohebbannoor_ir/</v>
      </c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>
      <c r="A277" s="5"/>
      <c r="B277" s="5" t="str">
        <f>IFERROR(__xludf.DUMMYFUNCTION("""COMPUTED_VALUE"""),"هیأت")</f>
        <v>هیأت</v>
      </c>
      <c r="C277" s="5" t="str">
        <f>IFERROR(__xludf.DUMMYFUNCTION("""COMPUTED_VALUE"""),"رزمندگان اسلام")</f>
        <v>رزمندگان اسلام</v>
      </c>
      <c r="D277" s="5" t="str">
        <f>IFERROR(__xludf.DUMMYFUNCTION("""COMPUTED_VALUE"""),"مازندران")</f>
        <v>مازندران</v>
      </c>
      <c r="E277" s="5" t="str">
        <f>IFERROR(__xludf.DUMMYFUNCTION("""COMPUTED_VALUE"""),"نور")</f>
        <v>نور</v>
      </c>
      <c r="F277" s="5"/>
      <c r="G277" s="5"/>
      <c r="H277" s="5"/>
      <c r="I277" s="5"/>
      <c r="J277" s="6" t="str">
        <f>IFERROR(__xludf.DUMMYFUNCTION("""COMPUTED_VALUE"""),"https://eitaa.com/heyatrazmandegannor")</f>
        <v>https://eitaa.com/heyatrazmandegannor</v>
      </c>
      <c r="K277" s="5"/>
      <c r="L277" s="5"/>
      <c r="M277" s="5"/>
      <c r="N277" s="5"/>
      <c r="O277" s="5"/>
      <c r="P277" s="5"/>
      <c r="Q277" s="5"/>
      <c r="R277" s="5"/>
      <c r="S277" s="5"/>
    </row>
    <row r="278">
      <c r="A278" s="5">
        <f>IFERROR(__xludf.DUMMYFUNCTION("""COMPUTED_VALUE"""),14603.0)</f>
        <v>14603</v>
      </c>
      <c r="B278" s="5" t="str">
        <f>IFERROR(__xludf.DUMMYFUNCTION("""COMPUTED_VALUE"""),"هیأت")</f>
        <v>هیأت</v>
      </c>
      <c r="C278" s="5" t="str">
        <f>IFERROR(__xludf.DUMMYFUNCTION("""COMPUTED_VALUE"""),"عاشقان ثارالله (ع)")</f>
        <v>عاشقان ثارالله (ع)</v>
      </c>
      <c r="D278" s="5" t="str">
        <f>IFERROR(__xludf.DUMMYFUNCTION("""COMPUTED_VALUE"""),"مازندران")</f>
        <v>مازندران</v>
      </c>
      <c r="E278" s="5" t="str">
        <f>IFERROR(__xludf.DUMMYFUNCTION("""COMPUTED_VALUE"""),"نوشهر")</f>
        <v>نوشهر</v>
      </c>
      <c r="F278" s="5"/>
      <c r="G278" s="5"/>
      <c r="H278" s="6" t="str">
        <f>IFERROR(__xludf.DUMMYFUNCTION("""COMPUTED_VALUE"""),"https://www.instagram.com/mojib_org/")</f>
        <v>https://www.instagram.com/mojib_org/</v>
      </c>
      <c r="I278" s="6" t="str">
        <f>IFERROR(__xludf.DUMMYFUNCTION("""COMPUTED_VALUE"""),"https://t.me/mojib_org")</f>
        <v>https://t.me/mojib_org</v>
      </c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>
      <c r="A279" s="5">
        <f>IFERROR(__xludf.DUMMYFUNCTION("""COMPUTED_VALUE"""),14926.0)</f>
        <v>14926</v>
      </c>
      <c r="B279" s="5" t="str">
        <f>IFERROR(__xludf.DUMMYFUNCTION("""COMPUTED_VALUE"""),"هیأت")</f>
        <v>هیأت</v>
      </c>
      <c r="C279" s="5" t="str">
        <f>IFERROR(__xludf.DUMMYFUNCTION("""COMPUTED_VALUE"""),"فاطمه الزهرا (س)")</f>
        <v>فاطمه الزهرا (س)</v>
      </c>
      <c r="D279" s="5" t="str">
        <f>IFERROR(__xludf.DUMMYFUNCTION("""COMPUTED_VALUE"""),"مازندران")</f>
        <v>مازندران</v>
      </c>
      <c r="E279" s="5" t="str">
        <f>IFERROR(__xludf.DUMMYFUNCTION("""COMPUTED_VALUE"""),"نوشهر")</f>
        <v>نوشهر</v>
      </c>
      <c r="F279" s="5"/>
      <c r="G279" s="5"/>
      <c r="H279" s="6" t="str">
        <f>IFERROR(__xludf.DUMMYFUNCTION("""COMPUTED_VALUE"""),"https://www.instagram.com/farzandan_madar_bineshan/")</f>
        <v>https://www.instagram.com/farzandan_madar_bineshan/</v>
      </c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>
      <c r="A280" s="5">
        <f>IFERROR(__xludf.DUMMYFUNCTION("""COMPUTED_VALUE"""),14927.0)</f>
        <v>14927</v>
      </c>
      <c r="B280" s="5" t="str">
        <f>IFERROR(__xludf.DUMMYFUNCTION("""COMPUTED_VALUE"""),"هیأت")</f>
        <v>هیأت</v>
      </c>
      <c r="C280" s="5" t="str">
        <f>IFERROR(__xludf.DUMMYFUNCTION("""COMPUTED_VALUE"""),"مکتب الشهدا")</f>
        <v>مکتب الشهدا</v>
      </c>
      <c r="D280" s="5" t="str">
        <f>IFERROR(__xludf.DUMMYFUNCTION("""COMPUTED_VALUE"""),"مازندران")</f>
        <v>مازندران</v>
      </c>
      <c r="E280" s="5" t="str">
        <f>IFERROR(__xludf.DUMMYFUNCTION("""COMPUTED_VALUE"""),"نوشهر")</f>
        <v>نوشهر</v>
      </c>
      <c r="F280" s="5"/>
      <c r="G280" s="5"/>
      <c r="H280" s="6" t="str">
        <f>IFERROR(__xludf.DUMMYFUNCTION("""COMPUTED_VALUE"""),"https://www.instagram.com/maktabshohada")</f>
        <v>https://www.instagram.com/maktabshohada</v>
      </c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>
      <c r="A281" s="5">
        <f>IFERROR(__xludf.DUMMYFUNCTION("""COMPUTED_VALUE"""),15032.0)</f>
        <v>15032</v>
      </c>
      <c r="B281" s="5" t="str">
        <f>IFERROR(__xludf.DUMMYFUNCTION("""COMPUTED_VALUE"""),"هیأت")</f>
        <v>هیأت</v>
      </c>
      <c r="C281" s="5" t="str">
        <f>IFERROR(__xludf.DUMMYFUNCTION("""COMPUTED_VALUE"""),"ابوالفضلیا")</f>
        <v>ابوالفضلیا</v>
      </c>
      <c r="D281" s="5" t="str">
        <f>IFERROR(__xludf.DUMMYFUNCTION("""COMPUTED_VALUE"""),"مازندران")</f>
        <v>مازندران</v>
      </c>
      <c r="E281" s="5" t="str">
        <f>IFERROR(__xludf.DUMMYFUNCTION("""COMPUTED_VALUE"""),"نوشهر")</f>
        <v>نوشهر</v>
      </c>
      <c r="F281" s="5"/>
      <c r="G281" s="5"/>
      <c r="H281" s="6" t="str">
        <f>IFERROR(__xludf.DUMMYFUNCTION("""COMPUTED_VALUE"""),"https://www.instagram.com/h_abalfazlia")</f>
        <v>https://www.instagram.com/h_abalfazlia</v>
      </c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>
      <c r="A282" s="5">
        <f>IFERROR(__xludf.DUMMYFUNCTION("""COMPUTED_VALUE"""),21661.0)</f>
        <v>21661</v>
      </c>
      <c r="B282" s="5" t="str">
        <f>IFERROR(__xludf.DUMMYFUNCTION("""COMPUTED_VALUE"""),"هیأت")</f>
        <v>هیأت</v>
      </c>
      <c r="C282" s="5" t="str">
        <f>IFERROR(__xludf.DUMMYFUNCTION("""COMPUTED_VALUE"""),"مجیر")</f>
        <v>مجیر</v>
      </c>
      <c r="D282" s="5" t="str">
        <f>IFERROR(__xludf.DUMMYFUNCTION("""COMPUTED_VALUE"""),"مازندران")</f>
        <v>مازندران</v>
      </c>
      <c r="E282" s="5" t="str">
        <f>IFERROR(__xludf.DUMMYFUNCTION("""COMPUTED_VALUE"""),"نوشهر")</f>
        <v>نوشهر</v>
      </c>
      <c r="F282" s="5"/>
      <c r="G282" s="5"/>
      <c r="H282" s="6" t="str">
        <f>IFERROR(__xludf.DUMMYFUNCTION("""COMPUTED_VALUE"""),"https://www.instagram.com/mojir.ir")</f>
        <v>https://www.instagram.com/mojir.ir</v>
      </c>
      <c r="I282" s="6" t="str">
        <f>IFERROR(__xludf.DUMMYFUNCTION("""COMPUTED_VALUE"""),"https://t.me/mojiir_org")</f>
        <v>https://t.me/mojiir_org</v>
      </c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>
      <c r="A283" s="5">
        <f>IFERROR(__xludf.DUMMYFUNCTION("""COMPUTED_VALUE"""),27828.0)</f>
        <v>27828</v>
      </c>
      <c r="B283" s="5" t="str">
        <f>IFERROR(__xludf.DUMMYFUNCTION("""COMPUTED_VALUE"""),"هیأت")</f>
        <v>هیأت</v>
      </c>
      <c r="C283" s="5" t="str">
        <f>IFERROR(__xludf.DUMMYFUNCTION("""COMPUTED_VALUE"""),"منتظران مهدی (عج)")</f>
        <v>منتظران مهدی (عج)</v>
      </c>
      <c r="D283" s="5" t="str">
        <f>IFERROR(__xludf.DUMMYFUNCTION("""COMPUTED_VALUE"""),"مازندران")</f>
        <v>مازندران</v>
      </c>
      <c r="E283" s="5" t="str">
        <f>IFERROR(__xludf.DUMMYFUNCTION("""COMPUTED_VALUE"""),"نوشهر")</f>
        <v>نوشهر</v>
      </c>
      <c r="F283" s="5"/>
      <c r="G283" s="5"/>
      <c r="H283" s="6" t="str">
        <f>IFERROR(__xludf.DUMMYFUNCTION("""COMPUTED_VALUE"""),"https://www.instagram.com/montazeran_noshahr")</f>
        <v>https://www.instagram.com/montazeran_noshahr</v>
      </c>
      <c r="I283" s="6" t="str">
        <f>IFERROR(__xludf.DUMMYFUNCTION("""COMPUTED_VALUE"""),"https://t.me/montazerannoshahr94")</f>
        <v>https://t.me/montazerannoshahr94</v>
      </c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>
      <c r="A284" s="5">
        <f>IFERROR(__xludf.DUMMYFUNCTION("""COMPUTED_VALUE"""),27829.0)</f>
        <v>27829</v>
      </c>
      <c r="B284" s="5" t="str">
        <f>IFERROR(__xludf.DUMMYFUNCTION("""COMPUTED_VALUE"""),"هیأت")</f>
        <v>هیأت</v>
      </c>
      <c r="C284" s="5" t="str">
        <f>IFERROR(__xludf.DUMMYFUNCTION("""COMPUTED_VALUE"""),"جوانان مسجدامام جعفرصادق ع")</f>
        <v>جوانان مسجدامام جعفرصادق ع</v>
      </c>
      <c r="D284" s="5" t="str">
        <f>IFERROR(__xludf.DUMMYFUNCTION("""COMPUTED_VALUE"""),"مازندران")</f>
        <v>مازندران</v>
      </c>
      <c r="E284" s="5" t="str">
        <f>IFERROR(__xludf.DUMMYFUNCTION("""COMPUTED_VALUE"""),"نوشهر")</f>
        <v>نوشهر</v>
      </c>
      <c r="F284" s="5"/>
      <c r="G284" s="5"/>
      <c r="H284" s="6" t="str">
        <f>IFERROR(__xludf.DUMMYFUNCTION("""COMPUTED_VALUE"""),"https://www.instagram.com/m.emam.jafar.sadegh.nowshahr/")</f>
        <v>https://www.instagram.com/m.emam.jafar.sadegh.nowshahr/</v>
      </c>
      <c r="I284" s="5"/>
      <c r="J284" s="6" t="str">
        <f>IFERROR(__xludf.DUMMYFUNCTION("""COMPUTED_VALUE"""),"https://eitaa.com/emam_jafar_sadegh_nowshahr_01")</f>
        <v>https://eitaa.com/emam_jafar_sadegh_nowshahr_01</v>
      </c>
      <c r="K284" s="5"/>
      <c r="L284" s="5"/>
      <c r="M284" s="5"/>
      <c r="N284" s="5"/>
      <c r="O284" s="5"/>
      <c r="P284" s="5"/>
      <c r="Q284" s="5"/>
      <c r="R284" s="5"/>
      <c r="S284" s="5"/>
    </row>
    <row r="285">
      <c r="A285" s="5">
        <f>IFERROR(__xludf.DUMMYFUNCTION("""COMPUTED_VALUE"""),27830.0)</f>
        <v>27830</v>
      </c>
      <c r="B285" s="5" t="str">
        <f>IFERROR(__xludf.DUMMYFUNCTION("""COMPUTED_VALUE"""),"هیأت")</f>
        <v>هیأت</v>
      </c>
      <c r="C285" s="5" t="str">
        <f>IFERROR(__xludf.DUMMYFUNCTION("""COMPUTED_VALUE"""),"کانون فرهنگی تبلیغی میثاق")</f>
        <v>کانون فرهنگی تبلیغی میثاق</v>
      </c>
      <c r="D285" s="5" t="str">
        <f>IFERROR(__xludf.DUMMYFUNCTION("""COMPUTED_VALUE"""),"مازندران")</f>
        <v>مازندران</v>
      </c>
      <c r="E285" s="5" t="str">
        <f>IFERROR(__xludf.DUMMYFUNCTION("""COMPUTED_VALUE"""),"نوشهر")</f>
        <v>نوشهر</v>
      </c>
      <c r="F285" s="5"/>
      <c r="G285" s="5"/>
      <c r="H285" s="6" t="str">
        <f>IFERROR(__xludf.DUMMYFUNCTION("""COMPUTED_VALUE"""),"https://www.instagram.com/kanoon_misagh/")</f>
        <v>https://www.instagram.com/kanoon_misagh/</v>
      </c>
      <c r="I285" s="6" t="str">
        <f>IFERROR(__xludf.DUMMYFUNCTION("""COMPUTED_VALUE"""),"https://t.me/kheyrroodmisagh")</f>
        <v>https://t.me/kheyrroodmisagh</v>
      </c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>
      <c r="A286" s="5">
        <f>IFERROR(__xludf.DUMMYFUNCTION("""COMPUTED_VALUE"""),28554.0)</f>
        <v>28554</v>
      </c>
      <c r="B286" s="5" t="str">
        <f>IFERROR(__xludf.DUMMYFUNCTION("""COMPUTED_VALUE"""),"هیأت")</f>
        <v>هیأت</v>
      </c>
      <c r="C286" s="5" t="str">
        <f>IFERROR(__xludf.DUMMYFUNCTION("""COMPUTED_VALUE"""),"پنج تن آل عبا(ع)")</f>
        <v>پنج تن آل عبا(ع)</v>
      </c>
      <c r="D286" s="5" t="str">
        <f>IFERROR(__xludf.DUMMYFUNCTION("""COMPUTED_VALUE"""),"مازندران")</f>
        <v>مازندران</v>
      </c>
      <c r="E286" s="5" t="str">
        <f>IFERROR(__xludf.DUMMYFUNCTION("""COMPUTED_VALUE"""),"نوشهر")</f>
        <v>نوشهر</v>
      </c>
      <c r="F286" s="5"/>
      <c r="G286" s="5"/>
      <c r="H286" s="6" t="str">
        <f>IFERROR(__xludf.DUMMYFUNCTION("""COMPUTED_VALUE"""),"https://www.instagram.com/heyat5tan_nowshahr/")</f>
        <v>https://www.instagram.com/heyat5tan_nowshahr/</v>
      </c>
      <c r="I286" s="6" t="str">
        <f>IFERROR(__xludf.DUMMYFUNCTION("""COMPUTED_VALUE"""),"https://t.me/heyat5tan_nowshahr")</f>
        <v>https://t.me/heyat5tan_nowshahr</v>
      </c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>
      <c r="A287" s="5">
        <f>IFERROR(__xludf.DUMMYFUNCTION("""COMPUTED_VALUE"""),29407.0)</f>
        <v>29407</v>
      </c>
      <c r="B287" s="5" t="str">
        <f>IFERROR(__xludf.DUMMYFUNCTION("""COMPUTED_VALUE"""),"هیأت")</f>
        <v>هیأت</v>
      </c>
      <c r="C287" s="5" t="str">
        <f>IFERROR(__xludf.DUMMYFUNCTION("""COMPUTED_VALUE"""),"یاوران موعود")</f>
        <v>یاوران موعود</v>
      </c>
      <c r="D287" s="5" t="str">
        <f>IFERROR(__xludf.DUMMYFUNCTION("""COMPUTED_VALUE"""),"مازندران")</f>
        <v>مازندران</v>
      </c>
      <c r="E287" s="5" t="str">
        <f>IFERROR(__xludf.DUMMYFUNCTION("""COMPUTED_VALUE"""),"نوشهر")</f>
        <v>نوشهر</v>
      </c>
      <c r="F287" s="5"/>
      <c r="G287" s="5"/>
      <c r="H287" s="6" t="str">
        <f>IFERROR(__xludf.DUMMYFUNCTION("""COMPUTED_VALUE"""),"https://www.instagram.com/kanoon_kdnn/")</f>
        <v>https://www.instagram.com/kanoon_kdnn/</v>
      </c>
      <c r="I287" s="6" t="str">
        <f>IFERROR(__xludf.DUMMYFUNCTION("""COMPUTED_VALUE"""),"https://t.me/kanoon_kdnn")</f>
        <v>https://t.me/kanoon_kdnn</v>
      </c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>
      <c r="A288" s="5">
        <f>IFERROR(__xludf.DUMMYFUNCTION("""COMPUTED_VALUE"""),31695.0)</f>
        <v>31695</v>
      </c>
      <c r="B288" s="5" t="str">
        <f>IFERROR(__xludf.DUMMYFUNCTION("""COMPUTED_VALUE"""),"هیأت")</f>
        <v>هیأت</v>
      </c>
      <c r="C288" s="5" t="str">
        <f>IFERROR(__xludf.DUMMYFUNCTION("""COMPUTED_VALUE"""),"بیت الزهرا")</f>
        <v>بیت الزهرا</v>
      </c>
      <c r="D288" s="5" t="str">
        <f>IFERROR(__xludf.DUMMYFUNCTION("""COMPUTED_VALUE"""),"مازندران")</f>
        <v>مازندران</v>
      </c>
      <c r="E288" s="5" t="str">
        <f>IFERROR(__xludf.DUMMYFUNCTION("""COMPUTED_VALUE"""),"نوشهر")</f>
        <v>نوشهر</v>
      </c>
      <c r="F288" s="5"/>
      <c r="G288" s="5"/>
      <c r="H288" s="6" t="str">
        <f>IFERROR(__xludf.DUMMYFUNCTION("""COMPUTED_VALUE"""),"https://www.instagram.com/heyat_beytozahra14/")</f>
        <v>https://www.instagram.com/heyat_beytozahra14/</v>
      </c>
      <c r="I288" s="6" t="str">
        <f>IFERROR(__xludf.DUMMYFUNCTION("""COMPUTED_VALUE"""),"https://t.me/heyAte_fatemezahra")</f>
        <v>https://t.me/heyAte_fatemezahra</v>
      </c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>
      <c r="A289" s="5"/>
      <c r="B289" s="5" t="str">
        <f>IFERROR(__xludf.DUMMYFUNCTION("""COMPUTED_VALUE"""),"هیأت")</f>
        <v>هیأت</v>
      </c>
      <c r="C289" s="5" t="str">
        <f>IFERROR(__xludf.DUMMYFUNCTION("""COMPUTED_VALUE"""),"محبان حضرت ابوالفضل")</f>
        <v>محبان حضرت ابوالفضل</v>
      </c>
      <c r="D289" s="5" t="str">
        <f>IFERROR(__xludf.DUMMYFUNCTION("""COMPUTED_VALUE"""),"مازندران")</f>
        <v>مازندران</v>
      </c>
      <c r="E289" s="5" t="str">
        <f>IFERROR(__xludf.DUMMYFUNCTION("""COMPUTED_VALUE"""),"نوشهر")</f>
        <v>نوشهر</v>
      </c>
      <c r="F289" s="5"/>
      <c r="G289" s="5"/>
      <c r="H289" s="6" t="str">
        <f>IFERROR(__xludf.DUMMYFUNCTION("""COMPUTED_VALUE"""),"https://www.instagram.com/moheban_abalfazl_nowshahr/")</f>
        <v>https://www.instagram.com/moheban_abalfazl_nowshahr/</v>
      </c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>
      <c r="A290" s="5"/>
      <c r="B290" s="5" t="str">
        <f>IFERROR(__xludf.DUMMYFUNCTION("""COMPUTED_VALUE"""),"هیأت")</f>
        <v>هیأت</v>
      </c>
      <c r="C290" s="5" t="str">
        <f>IFERROR(__xludf.DUMMYFUNCTION("""COMPUTED_VALUE"""),"جان نثاران قمربنی هاشم(ع)")</f>
        <v>جان نثاران قمربنی هاشم(ع)</v>
      </c>
      <c r="D290" s="5" t="str">
        <f>IFERROR(__xludf.DUMMYFUNCTION("""COMPUTED_VALUE"""),"مازندران")</f>
        <v>مازندران</v>
      </c>
      <c r="E290" s="5" t="str">
        <f>IFERROR(__xludf.DUMMYFUNCTION("""COMPUTED_VALUE"""),"نوشهر")</f>
        <v>نوشهر</v>
      </c>
      <c r="F290" s="5"/>
      <c r="G290" s="5"/>
      <c r="H290" s="6" t="str">
        <f>IFERROR(__xludf.DUMMYFUNCTION("""COMPUTED_VALUE"""),"https://www.instagram.com/heyat_jannesaran_nowshahr")</f>
        <v>https://www.instagram.com/heyat_jannesaran_nowshahr</v>
      </c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>
      <c r="A291" s="5"/>
      <c r="B291" s="5" t="str">
        <f>IFERROR(__xludf.DUMMYFUNCTION("""COMPUTED_VALUE"""),"هیأت")</f>
        <v>هیأت</v>
      </c>
      <c r="C291" s="5" t="str">
        <f>IFERROR(__xludf.DUMMYFUNCTION("""COMPUTED_VALUE"""),"شاهزاده علی اکبر")</f>
        <v>شاهزاده علی اکبر</v>
      </c>
      <c r="D291" s="5" t="str">
        <f>IFERROR(__xludf.DUMMYFUNCTION("""COMPUTED_VALUE"""),"مازندران")</f>
        <v>مازندران</v>
      </c>
      <c r="E291" s="5" t="str">
        <f>IFERROR(__xludf.DUMMYFUNCTION("""COMPUTED_VALUE"""),"نوشهر")</f>
        <v>نوشهر</v>
      </c>
      <c r="F291" s="5"/>
      <c r="G291" s="5"/>
      <c r="H291" s="6" t="str">
        <f>IFERROR(__xludf.DUMMYFUNCTION("""COMPUTED_VALUE"""),"https://www.instagram.com/shahzadealiakbar.ir/")</f>
        <v>https://www.instagram.com/shahzadealiakbar.ir/</v>
      </c>
      <c r="I291" s="6" t="str">
        <f>IFERROR(__xludf.DUMMYFUNCTION("""COMPUTED_VALUE"""),"https://t.me/shahzadealiakbar1349")</f>
        <v>https://t.me/shahzadealiakbar1349</v>
      </c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>
      <c r="A292" s="5"/>
      <c r="B292" s="5" t="str">
        <f>IFERROR(__xludf.DUMMYFUNCTION("""COMPUTED_VALUE"""),"هیأت")</f>
        <v>هیأت</v>
      </c>
      <c r="C292" s="5" t="str">
        <f>IFERROR(__xludf.DUMMYFUNCTION("""COMPUTED_VALUE"""),"امام حسن مجتبی")</f>
        <v>امام حسن مجتبی</v>
      </c>
      <c r="D292" s="5" t="str">
        <f>IFERROR(__xludf.DUMMYFUNCTION("""COMPUTED_VALUE"""),"مازندران")</f>
        <v>مازندران</v>
      </c>
      <c r="E292" s="5" t="str">
        <f>IFERROR(__xludf.DUMMYFUNCTION("""COMPUTED_VALUE"""),"نوشهر")</f>
        <v>نوشهر</v>
      </c>
      <c r="F292" s="5"/>
      <c r="G292" s="5"/>
      <c r="H292" s="6" t="str">
        <f>IFERROR(__xludf.DUMMYFUNCTION("""COMPUTED_VALUE"""),"https://www.instagram.com/mosleh118_info/")</f>
        <v>https://www.instagram.com/mosleh118_info/</v>
      </c>
      <c r="I292" s="6" t="str">
        <f>IFERROR(__xludf.DUMMYFUNCTION("""COMPUTED_VALUE"""),"https://t.me/mosleh118_info")</f>
        <v>https://t.me/mosleh118_info</v>
      </c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>
      <c r="A293" s="5"/>
      <c r="B293" s="5" t="str">
        <f>IFERROR(__xludf.DUMMYFUNCTION("""COMPUTED_VALUE"""),"هیأت")</f>
        <v>هیأت</v>
      </c>
      <c r="C293" s="5" t="str">
        <f>IFERROR(__xludf.DUMMYFUNCTION("""COMPUTED_VALUE"""),"بیت العباس")</f>
        <v>بیت العباس</v>
      </c>
      <c r="D293" s="5" t="str">
        <f>IFERROR(__xludf.DUMMYFUNCTION("""COMPUTED_VALUE"""),"مازندران")</f>
        <v>مازندران</v>
      </c>
      <c r="E293" s="5" t="str">
        <f>IFERROR(__xludf.DUMMYFUNCTION("""COMPUTED_VALUE"""),"نوشهر")</f>
        <v>نوشهر</v>
      </c>
      <c r="F293" s="5"/>
      <c r="G293" s="5"/>
      <c r="H293" s="6" t="str">
        <f>IFERROR(__xludf.DUMMYFUNCTION("""COMPUTED_VALUE"""),"https://www.instagram.com/beytolabas133/")</f>
        <v>https://www.instagram.com/beytolabas133/</v>
      </c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>
      <c r="A294" s="5"/>
      <c r="B294" s="5" t="str">
        <f>IFERROR(__xludf.DUMMYFUNCTION("""COMPUTED_VALUE"""),"هیأت")</f>
        <v>هیأت</v>
      </c>
      <c r="C294" s="5" t="str">
        <f>IFERROR(__xludf.DUMMYFUNCTION("""COMPUTED_VALUE"""),"بیرق نوکران مادر پهلو شکسته")</f>
        <v>بیرق نوکران مادر پهلو شکسته</v>
      </c>
      <c r="D294" s="5" t="str">
        <f>IFERROR(__xludf.DUMMYFUNCTION("""COMPUTED_VALUE"""),"مازندران")</f>
        <v>مازندران</v>
      </c>
      <c r="E294" s="5" t="str">
        <f>IFERROR(__xludf.DUMMYFUNCTION("""COMPUTED_VALUE"""),"نوشهر")</f>
        <v>نوشهر</v>
      </c>
      <c r="F294" s="5"/>
      <c r="G294" s="5"/>
      <c r="H294" s="6" t="str">
        <f>IFERROR(__xludf.DUMMYFUNCTION("""COMPUTED_VALUE"""),"https://www.instagram.com/nokaran135/")</f>
        <v>https://www.instagram.com/nokaran135/</v>
      </c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>
      <c r="A295" s="5"/>
      <c r="B295" s="5" t="str">
        <f>IFERROR(__xludf.DUMMYFUNCTION("""COMPUTED_VALUE"""),"رسانه")</f>
        <v>رسانه</v>
      </c>
      <c r="C295" s="5" t="str">
        <f>IFERROR(__xludf.DUMMYFUNCTION("""COMPUTED_VALUE"""),"خادم مدیا")</f>
        <v>خادم مدیا</v>
      </c>
      <c r="D295" s="5" t="str">
        <f>IFERROR(__xludf.DUMMYFUNCTION("""COMPUTED_VALUE"""),"مازندران")</f>
        <v>مازندران</v>
      </c>
      <c r="E295" s="5"/>
      <c r="F295" s="5"/>
      <c r="G295" s="5"/>
      <c r="H295" s="6" t="str">
        <f>IFERROR(__xludf.DUMMYFUNCTION("""COMPUTED_VALUE"""),"https://www.instagram.com/khademmedia_ir/")</f>
        <v>https://www.instagram.com/khademmedia_ir/</v>
      </c>
      <c r="I295" s="6" t="str">
        <f>IFERROR(__xludf.DUMMYFUNCTION("""COMPUTED_VALUE"""),"https://t.me/khademmedia_ir")</f>
        <v>https://t.me/khademmedia_ir</v>
      </c>
      <c r="J295" s="6" t="str">
        <f>IFERROR(__xludf.DUMMYFUNCTION("""COMPUTED_VALUE"""),"https://eitaa.com/khademmedia_ir")</f>
        <v>https://eitaa.com/khademmedia_ir</v>
      </c>
      <c r="K295" s="5"/>
      <c r="L295" s="5"/>
      <c r="M295" s="5"/>
      <c r="N295" s="5"/>
      <c r="O295" s="5"/>
      <c r="P295" s="5"/>
      <c r="Q295" s="5"/>
      <c r="R295" s="5"/>
      <c r="S295" s="5"/>
    </row>
    <row r="296">
      <c r="A296" s="5"/>
      <c r="B296" s="5" t="str">
        <f>IFERROR(__xludf.DUMMYFUNCTION("""COMPUTED_VALUE"""),"رسانه")</f>
        <v>رسانه</v>
      </c>
      <c r="C296" s="5" t="str">
        <f>IFERROR(__xludf.DUMMYFUNCTION("""COMPUTED_VALUE"""),"یوما")</f>
        <v>یوما</v>
      </c>
      <c r="D296" s="5" t="str">
        <f>IFERROR(__xludf.DUMMYFUNCTION("""COMPUTED_VALUE"""),"مازندران")</f>
        <v>مازندران</v>
      </c>
      <c r="E296" s="5"/>
      <c r="F296" s="5"/>
      <c r="G296" s="5"/>
      <c r="H296" s="6" t="str">
        <f>IFERROR(__xludf.DUMMYFUNCTION("""COMPUTED_VALUE"""),"https://www.instagram.com/yumma_org/")</f>
        <v>https://www.instagram.com/yumma_org/</v>
      </c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>
      <c r="A297" s="5"/>
      <c r="B297" s="5" t="str">
        <f>IFERROR(__xludf.DUMMYFUNCTION("""COMPUTED_VALUE"""),"رسانه")</f>
        <v>رسانه</v>
      </c>
      <c r="C297" s="5" t="str">
        <f>IFERROR(__xludf.DUMMYFUNCTION("""COMPUTED_VALUE"""),"شبیر مدیا")</f>
        <v>شبیر مدیا</v>
      </c>
      <c r="D297" s="5" t="str">
        <f>IFERROR(__xludf.DUMMYFUNCTION("""COMPUTED_VALUE"""),"مازندران")</f>
        <v>مازندران</v>
      </c>
      <c r="E297" s="5"/>
      <c r="F297" s="5"/>
      <c r="G297" s="5"/>
      <c r="H297" s="6" t="str">
        <f>IFERROR(__xludf.DUMMYFUNCTION("""COMPUTED_VALUE"""),"https://www.instagram.com/shobeyr.media/")</f>
        <v>https://www.instagram.com/shobeyr.media/</v>
      </c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>
      <c r="A298" s="5"/>
      <c r="B298" s="5" t="str">
        <f>IFERROR(__xludf.DUMMYFUNCTION("""COMPUTED_VALUE"""),"رسانه")</f>
        <v>رسانه</v>
      </c>
      <c r="C298" s="5" t="str">
        <f>IFERROR(__xludf.DUMMYFUNCTION("""COMPUTED_VALUE"""),"بوریا گراف")</f>
        <v>بوریا گراف</v>
      </c>
      <c r="D298" s="5" t="str">
        <f>IFERROR(__xludf.DUMMYFUNCTION("""COMPUTED_VALUE"""),"مازندران")</f>
        <v>مازندران</v>
      </c>
      <c r="E298" s="5"/>
      <c r="F298" s="5"/>
      <c r="G298" s="5"/>
      <c r="H298" s="6" t="str">
        <f>IFERROR(__xludf.DUMMYFUNCTION("""COMPUTED_VALUE"""),"https://www.instagram.com/booriya_graph/")</f>
        <v>https://www.instagram.com/booriya_graph/</v>
      </c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>
      <c r="A299" s="5"/>
      <c r="B299" s="5" t="str">
        <f>IFERROR(__xludf.DUMMYFUNCTION("""COMPUTED_VALUE"""),"رسانه")</f>
        <v>رسانه</v>
      </c>
      <c r="C299" s="5" t="str">
        <f>IFERROR(__xludf.DUMMYFUNCTION("""COMPUTED_VALUE"""),"گروه رسانه ای تابش")</f>
        <v>گروه رسانه ای تابش</v>
      </c>
      <c r="D299" s="5" t="str">
        <f>IFERROR(__xludf.DUMMYFUNCTION("""COMPUTED_VALUE"""),"مازندران")</f>
        <v>مازندران</v>
      </c>
      <c r="E299" s="5"/>
      <c r="F299" s="5"/>
      <c r="G299" s="5"/>
      <c r="H299" s="6" t="str">
        <f>IFERROR(__xludf.DUMMYFUNCTION("""COMPUTED_VALUE"""),"https://www.instagram.com/tabesh___group/")</f>
        <v>https://www.instagram.com/tabesh___group/</v>
      </c>
      <c r="I299" s="6" t="str">
        <f>IFERROR(__xludf.DUMMYFUNCTION("""COMPUTED_VALUE"""),"https://t.me/tabesh_telegram")</f>
        <v>https://t.me/tabesh_telegram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>
      <c r="A300" s="5"/>
      <c r="B300" s="5" t="str">
        <f>IFERROR(__xludf.DUMMYFUNCTION("""COMPUTED_VALUE"""),"رسانه")</f>
        <v>رسانه</v>
      </c>
      <c r="C300" s="5" t="str">
        <f>IFERROR(__xludf.DUMMYFUNCTION("""COMPUTED_VALUE"""),"استدیو هنری ماهورا")</f>
        <v>استدیو هنری ماهورا</v>
      </c>
      <c r="D300" s="5" t="str">
        <f>IFERROR(__xludf.DUMMYFUNCTION("""COMPUTED_VALUE"""),"مازندران")</f>
        <v>مازندران</v>
      </c>
      <c r="E300" s="5"/>
      <c r="F300" s="5"/>
      <c r="G300" s="5"/>
      <c r="H300" s="6" t="str">
        <f>IFERROR(__xludf.DUMMYFUNCTION("""COMPUTED_VALUE"""),"https://www.instagram.com/mahuramedia/")</f>
        <v>https://www.instagram.com/mahuramedia/</v>
      </c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>
      <c r="A301" s="5"/>
      <c r="B301" s="5" t="str">
        <f>IFERROR(__xludf.DUMMYFUNCTION("""COMPUTED_VALUE"""),"سانه")</f>
        <v>سانه</v>
      </c>
      <c r="C301" s="5" t="str">
        <f>IFERROR(__xludf.DUMMYFUNCTION("""COMPUTED_VALUE"""),"قمرمدیا")</f>
        <v>قمرمدیا</v>
      </c>
      <c r="D301" s="5" t="str">
        <f>IFERROR(__xludf.DUMMYFUNCTION("""COMPUTED_VALUE"""),"مازندران")</f>
        <v>مازندران</v>
      </c>
      <c r="E301" s="5"/>
      <c r="F301" s="5"/>
      <c r="G301" s="5"/>
      <c r="H301" s="6" t="str">
        <f>IFERROR(__xludf.DUMMYFUNCTION("""COMPUTED_VALUE"""),"https://www.instagram.com/qamar_media_ir/")</f>
        <v>https://www.instagram.com/qamar_media_ir/</v>
      </c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>
      <c r="A302" s="5"/>
      <c r="B302" s="5" t="str">
        <f>IFERROR(__xludf.DUMMYFUNCTION("""COMPUTED_VALUE"""),"رسانه ")</f>
        <v>رسانه </v>
      </c>
      <c r="C302" s="5" t="str">
        <f>IFERROR(__xludf.DUMMYFUNCTION("""COMPUTED_VALUE"""),"مشک")</f>
        <v>مشک</v>
      </c>
      <c r="D302" s="5" t="str">
        <f>IFERROR(__xludf.DUMMYFUNCTION("""COMPUTED_VALUE"""),"مازندران")</f>
        <v>مازندران</v>
      </c>
      <c r="E302" s="5"/>
      <c r="F302" s="5"/>
      <c r="G302" s="5"/>
      <c r="H302" s="6" t="str">
        <f>IFERROR(__xludf.DUMMYFUNCTION("""COMPUTED_VALUE"""),"https://www.instagram.com/moshk_info/")</f>
        <v>https://www.instagram.com/moshk_info/</v>
      </c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>
      <c r="A303" s="5"/>
      <c r="B303" s="5" t="str">
        <f>IFERROR(__xludf.DUMMYFUNCTION("""COMPUTED_VALUE"""),"رسانه")</f>
        <v>رسانه</v>
      </c>
      <c r="C303" s="5" t="str">
        <f>IFERROR(__xludf.DUMMYFUNCTION("""COMPUTED_VALUE"""),"رسانه هنری ریحان")</f>
        <v>رسانه هنری ریحان</v>
      </c>
      <c r="D303" s="5" t="str">
        <f>IFERROR(__xludf.DUMMYFUNCTION("""COMPUTED_VALUE"""),"مازندران")</f>
        <v>مازندران</v>
      </c>
      <c r="E303" s="5"/>
      <c r="F303" s="5"/>
      <c r="G303" s="5"/>
      <c r="H303" s="6" t="str">
        <f>IFERROR(__xludf.DUMMYFUNCTION("""COMPUTED_VALUE"""),"https://www.instagram.com/reyhan_artmedia/")</f>
        <v>https://www.instagram.com/reyhan_artmedia/</v>
      </c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>
      <c r="A304" s="5"/>
      <c r="B304" s="5" t="str">
        <f>IFERROR(__xludf.DUMMYFUNCTION("""COMPUTED_VALUE"""),"رسانه")</f>
        <v>رسانه</v>
      </c>
      <c r="C304" s="5" t="str">
        <f>IFERROR(__xludf.DUMMYFUNCTION("""COMPUTED_VALUE"""),"آوایِ شیعه")</f>
        <v>آوایِ شیعه</v>
      </c>
      <c r="D304" s="5" t="str">
        <f>IFERROR(__xludf.DUMMYFUNCTION("""COMPUTED_VALUE"""),"مازندران")</f>
        <v>مازندران</v>
      </c>
      <c r="E304" s="5"/>
      <c r="F304" s="5"/>
      <c r="G304" s="5"/>
      <c r="H304" s="6" t="str">
        <f>IFERROR(__xludf.DUMMYFUNCTION("""COMPUTED_VALUE"""),"https://www.instagram.com/avaye_shieh/")</f>
        <v>https://www.instagram.com/avaye_shieh/</v>
      </c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>
      <c r="A305" s="5"/>
      <c r="B305" s="5" t="str">
        <f>IFERROR(__xludf.DUMMYFUNCTION("""COMPUTED_VALUE"""),"رسانه")</f>
        <v>رسانه</v>
      </c>
      <c r="C305" s="5" t="str">
        <f>IFERROR(__xludf.DUMMYFUNCTION("""COMPUTED_VALUE"""),"مقیــم")</f>
        <v>مقیــم</v>
      </c>
      <c r="D305" s="5" t="str">
        <f>IFERROR(__xludf.DUMMYFUNCTION("""COMPUTED_VALUE"""),"مازندران")</f>
        <v>مازندران</v>
      </c>
      <c r="E305" s="5"/>
      <c r="F305" s="5"/>
      <c r="G305" s="5"/>
      <c r="H305" s="6" t="str">
        <f>IFERROR(__xludf.DUMMYFUNCTION("""COMPUTED_VALUE"""),"https://www.instagram.com/moghim118/")</f>
        <v>https://www.instagram.com/moghim118/</v>
      </c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>
      <c r="A306" s="5"/>
      <c r="B306" s="5" t="str">
        <f>IFERROR(__xludf.DUMMYFUNCTION("""COMPUTED_VALUE"""),"رسانه")</f>
        <v>رسانه</v>
      </c>
      <c r="C306" s="5" t="str">
        <f>IFERROR(__xludf.DUMMYFUNCTION("""COMPUTED_VALUE"""),"فراق")</f>
        <v>فراق</v>
      </c>
      <c r="D306" s="5" t="str">
        <f>IFERROR(__xludf.DUMMYFUNCTION("""COMPUTED_VALUE"""),"مازندران")</f>
        <v>مازندران</v>
      </c>
      <c r="E306" s="5"/>
      <c r="F306" s="5"/>
      <c r="G306" s="5"/>
      <c r="H306" s="6" t="str">
        <f>IFERROR(__xludf.DUMMYFUNCTION("""COMPUTED_VALUE"""),"https://www.instagram.com/feraq.media/")</f>
        <v>https://www.instagram.com/feraq.media/</v>
      </c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>
      <c r="A307" s="5"/>
      <c r="B307" s="5" t="str">
        <f>IFERROR(__xludf.DUMMYFUNCTION("""COMPUTED_VALUE"""),"رسانه")</f>
        <v>رسانه</v>
      </c>
      <c r="C307" s="5" t="str">
        <f>IFERROR(__xludf.DUMMYFUNCTION("""COMPUTED_VALUE"""),"حر مدیا")</f>
        <v>حر مدیا</v>
      </c>
      <c r="D307" s="5" t="str">
        <f>IFERROR(__xludf.DUMMYFUNCTION("""COMPUTED_VALUE"""),"مازندران")</f>
        <v>مازندران</v>
      </c>
      <c r="E307" s="5"/>
      <c r="F307" s="5"/>
      <c r="G307" s="5"/>
      <c r="H307" s="6" t="str">
        <f>IFERROR(__xludf.DUMMYFUNCTION("""COMPUTED_VALUE"""),"https://www.instagram.com/horr_media/")</f>
        <v>https://www.instagram.com/horr_media/</v>
      </c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>
      <c r="A308" s="5"/>
      <c r="B308" s="5" t="str">
        <f>IFERROR(__xludf.DUMMYFUNCTION("""COMPUTED_VALUE"""),"موکب")</f>
        <v>موکب</v>
      </c>
      <c r="C308" s="5" t="str">
        <f>IFERROR(__xludf.DUMMYFUNCTION("""COMPUTED_VALUE"""),"موکب انصار الحسین (ع) نکاء")</f>
        <v>موکب انصار الحسین (ع) نکاء</v>
      </c>
      <c r="D308" s="5" t="str">
        <f>IFERROR(__xludf.DUMMYFUNCTION("""COMPUTED_VALUE"""),"مازندران")</f>
        <v>مازندران</v>
      </c>
      <c r="E308" s="5" t="str">
        <f>IFERROR(__xludf.DUMMYFUNCTION("""COMPUTED_VALUE"""),"نکاء")</f>
        <v>نکاء</v>
      </c>
      <c r="F308" s="5"/>
      <c r="G308" s="5"/>
      <c r="H308" s="5"/>
      <c r="I308" s="5"/>
      <c r="J308" s="6" t="str">
        <f>IFERROR(__xludf.DUMMYFUNCTION("""COMPUTED_VALUE"""),"https://eitaa.com/mookeeb")</f>
        <v>https://eitaa.com/mookeeb</v>
      </c>
      <c r="K308" s="5"/>
      <c r="L308" s="5"/>
      <c r="M308" s="5"/>
      <c r="N308" s="5"/>
      <c r="O308" s="5"/>
      <c r="P308" s="5"/>
      <c r="Q308" s="5"/>
      <c r="R308" s="5"/>
      <c r="S308" s="5"/>
    </row>
    <row r="309">
      <c r="A309" s="5"/>
      <c r="B309" s="5" t="str">
        <f>IFERROR(__xludf.DUMMYFUNCTION("""COMPUTED_VALUE"""),"هیأت")</f>
        <v>هیأت</v>
      </c>
      <c r="C309" s="5" t="str">
        <f>IFERROR(__xludf.DUMMYFUNCTION("""COMPUTED_VALUE"""),"محبان اهل بیت قائمشهر")</f>
        <v>محبان اهل بیت قائمشهر</v>
      </c>
      <c r="D309" s="5" t="str">
        <f>IFERROR(__xludf.DUMMYFUNCTION("""COMPUTED_VALUE"""),"مازندران")</f>
        <v>مازندران</v>
      </c>
      <c r="E309" s="5" t="str">
        <f>IFERROR(__xludf.DUMMYFUNCTION("""COMPUTED_VALUE"""),"قائمشهر")</f>
        <v>قائمشهر</v>
      </c>
      <c r="F309" s="5"/>
      <c r="G309" s="5"/>
      <c r="H309" s="6" t="str">
        <f>IFERROR(__xludf.DUMMYFUNCTION("""COMPUTED_VALUE"""),"https://www.instagram.com/moheban_ahlebeyt")</f>
        <v>https://www.instagram.com/moheban_ahlebeyt</v>
      </c>
      <c r="I309" s="5"/>
      <c r="J309" s="6" t="str">
        <f>IFERROR(__xludf.DUMMYFUNCTION("""COMPUTED_VALUE"""),"https://eitaa.com/moheban_ahlebeyt")</f>
        <v>https://eitaa.com/moheban_ahlebeyt</v>
      </c>
      <c r="K309" s="5"/>
      <c r="L309" s="5"/>
      <c r="M309" s="5"/>
      <c r="N309" s="5"/>
      <c r="O309" s="5"/>
      <c r="P309" s="5"/>
      <c r="Q309" s="5"/>
      <c r="R309" s="5"/>
      <c r="S309" s="5"/>
    </row>
    <row r="310">
      <c r="A310" s="5"/>
      <c r="B310" s="5" t="str">
        <f>IFERROR(__xludf.DUMMYFUNCTION("""COMPUTED_VALUE"""),"موکب")</f>
        <v>موکب</v>
      </c>
      <c r="C310" s="5" t="str">
        <f>IFERROR(__xludf.DUMMYFUNCTION("""COMPUTED_VALUE"""),"فاطمه الزهرا (س)")</f>
        <v>فاطمه الزهرا (س)</v>
      </c>
      <c r="D310" s="5" t="str">
        <f>IFERROR(__xludf.DUMMYFUNCTION("""COMPUTED_VALUE"""),"مازندران")</f>
        <v>مازندران</v>
      </c>
      <c r="E310" s="5" t="str">
        <f>IFERROR(__xludf.DUMMYFUNCTION("""COMPUTED_VALUE"""),"بابل")</f>
        <v>بابل</v>
      </c>
      <c r="F310" s="5"/>
      <c r="G310" s="5"/>
      <c r="H310" s="5"/>
      <c r="I310" s="5"/>
      <c r="J310" s="6" t="str">
        <f>IFERROR(__xludf.DUMMYFUNCTION("""COMPUTED_VALUE"""),"https://eitaa.com/rahianekarbala")</f>
        <v>https://eitaa.com/rahianekarbala</v>
      </c>
      <c r="K310" s="5"/>
      <c r="L310" s="5"/>
      <c r="M310" s="5"/>
      <c r="N310" s="5"/>
      <c r="O310" s="5"/>
      <c r="P310" s="5"/>
      <c r="Q310" s="5"/>
      <c r="R310" s="5"/>
      <c r="S310" s="5"/>
    </row>
    <row r="311">
      <c r="A311" s="5"/>
      <c r="B311" s="5" t="str">
        <f>IFERROR(__xludf.DUMMYFUNCTION("""COMPUTED_VALUE"""),"موکب")</f>
        <v>موکب</v>
      </c>
      <c r="C311" s="5" t="str">
        <f>IFERROR(__xludf.DUMMYFUNCTION("""COMPUTED_VALUE"""),"شهدای شهرستان بهشهر")</f>
        <v>شهدای شهرستان بهشهر</v>
      </c>
      <c r="D311" s="5" t="str">
        <f>IFERROR(__xludf.DUMMYFUNCTION("""COMPUTED_VALUE"""),"مازندران")</f>
        <v>مازندران</v>
      </c>
      <c r="E311" s="5" t="str">
        <f>IFERROR(__xludf.DUMMYFUNCTION("""COMPUTED_VALUE"""),"بهشهر")</f>
        <v>بهشهر</v>
      </c>
      <c r="F311" s="5"/>
      <c r="G311" s="5"/>
      <c r="H311" s="5"/>
      <c r="I311" s="5"/>
      <c r="J311" s="6" t="str">
        <f>IFERROR(__xludf.DUMMYFUNCTION("""COMPUTED_VALUE"""),"https://eitaa.com/Behshahr_Arbaeen")</f>
        <v>https://eitaa.com/Behshahr_Arbaeen</v>
      </c>
      <c r="K311" s="5"/>
      <c r="L311" s="5"/>
      <c r="M311" s="5"/>
      <c r="N311" s="5"/>
      <c r="O311" s="5"/>
      <c r="P311" s="5"/>
      <c r="Q311" s="5"/>
      <c r="R311" s="5"/>
      <c r="S311" s="5"/>
    </row>
    <row r="312">
      <c r="A312" s="5"/>
      <c r="B312" s="5" t="str">
        <f>IFERROR(__xludf.DUMMYFUNCTION("""COMPUTED_VALUE"""),"هیأت")</f>
        <v>هیأت</v>
      </c>
      <c r="C312" s="5" t="str">
        <f>IFERROR(__xludf.DUMMYFUNCTION("""COMPUTED_VALUE"""),"الزهرا قائمشهر")</f>
        <v>الزهرا قائمشهر</v>
      </c>
      <c r="D312" s="5" t="str">
        <f>IFERROR(__xludf.DUMMYFUNCTION("""COMPUTED_VALUE"""),"مازندران")</f>
        <v>مازندران</v>
      </c>
      <c r="E312" s="5" t="str">
        <f>IFERROR(__xludf.DUMMYFUNCTION("""COMPUTED_VALUE"""),"قائمشهر")</f>
        <v>قائمشهر</v>
      </c>
      <c r="F312" s="5"/>
      <c r="G312" s="5"/>
      <c r="H312" s="5"/>
      <c r="I312" s="5"/>
      <c r="J312" s="6" t="str">
        <f>IFERROR(__xludf.DUMMYFUNCTION("""COMPUTED_VALUE"""),"https://eitaa.com/heyatalzahra_ir")</f>
        <v>https://eitaa.com/heyatalzahra_ir</v>
      </c>
      <c r="K312" s="5"/>
      <c r="L312" s="5"/>
      <c r="M312" s="5"/>
      <c r="N312" s="5"/>
      <c r="O312" s="5"/>
      <c r="P312" s="5"/>
      <c r="Q312" s="5"/>
      <c r="R312" s="5"/>
      <c r="S312" s="5"/>
    </row>
    <row r="313">
      <c r="A313" s="5"/>
      <c r="B313" s="5" t="str">
        <f>IFERROR(__xludf.DUMMYFUNCTION("""COMPUTED_VALUE"""),"هیأت")</f>
        <v>هیأت</v>
      </c>
      <c r="C313" s="5" t="str">
        <f>IFERROR(__xludf.DUMMYFUNCTION("""COMPUTED_VALUE"""),"بیت النور شهرستان بهشهر")</f>
        <v>بیت النور شهرستان بهشهر</v>
      </c>
      <c r="D313" s="5" t="str">
        <f>IFERROR(__xludf.DUMMYFUNCTION("""COMPUTED_VALUE"""),"مازندران")</f>
        <v>مازندران</v>
      </c>
      <c r="E313" s="5" t="str">
        <f>IFERROR(__xludf.DUMMYFUNCTION("""COMPUTED_VALUE"""),"بهشهر")</f>
        <v>بهشهر</v>
      </c>
      <c r="F313" s="5"/>
      <c r="G313" s="5"/>
      <c r="H313" s="5"/>
      <c r="I313" s="5"/>
      <c r="J313" s="6" t="str">
        <f>IFERROR(__xludf.DUMMYFUNCTION("""COMPUTED_VALUE"""),"https://eitaa.com/hbnoor")</f>
        <v>https://eitaa.com/hbnoor</v>
      </c>
      <c r="K313" s="5"/>
      <c r="L313" s="5"/>
      <c r="M313" s="5"/>
      <c r="N313" s="5"/>
      <c r="O313" s="5"/>
      <c r="P313" s="5"/>
      <c r="Q313" s="5"/>
      <c r="R313" s="5"/>
      <c r="S313" s="5"/>
    </row>
    <row r="314">
      <c r="A314" s="5"/>
      <c r="B314" s="5" t="str">
        <f>IFERROR(__xludf.DUMMYFUNCTION("""COMPUTED_VALUE"""),"هیأت")</f>
        <v>هیأت</v>
      </c>
      <c r="C314" s="5" t="str">
        <f>IFERROR(__xludf.DUMMYFUNCTION("""COMPUTED_VALUE"""),"رزمندگان اسلام")</f>
        <v>رزمندگان اسلام</v>
      </c>
      <c r="D314" s="5" t="str">
        <f>IFERROR(__xludf.DUMMYFUNCTION("""COMPUTED_VALUE"""),"مازندران")</f>
        <v>مازندران</v>
      </c>
      <c r="E314" s="5" t="str">
        <f>IFERROR(__xludf.DUMMYFUNCTION("""COMPUTED_VALUE"""),"بابل")</f>
        <v>بابل</v>
      </c>
      <c r="F314" s="5"/>
      <c r="G314" s="5"/>
      <c r="H314" s="5"/>
      <c r="I314" s="5"/>
      <c r="J314" s="6" t="str">
        <f>IFERROR(__xludf.DUMMYFUNCTION("""COMPUTED_VALUE"""),"https://eitaa.com/razmandegan_babol")</f>
        <v>https://eitaa.com/razmandegan_babol</v>
      </c>
      <c r="K314" s="5"/>
      <c r="L314" s="5"/>
      <c r="M314" s="5"/>
      <c r="N314" s="5"/>
      <c r="O314" s="5"/>
      <c r="P314" s="5"/>
      <c r="Q314" s="5"/>
      <c r="R314" s="5"/>
      <c r="S314" s="5"/>
    </row>
    <row r="315">
      <c r="A315" s="5"/>
      <c r="B315" s="5" t="str">
        <f>IFERROR(__xludf.DUMMYFUNCTION("""COMPUTED_VALUE"""),"هیأت")</f>
        <v>هیأت</v>
      </c>
      <c r="C315" s="5" t="str">
        <f>IFERROR(__xludf.DUMMYFUNCTION("""COMPUTED_VALUE"""),"مقاومت بیت العباس")</f>
        <v>مقاومت بیت العباس</v>
      </c>
      <c r="D315" s="5" t="str">
        <f>IFERROR(__xludf.DUMMYFUNCTION("""COMPUTED_VALUE"""),"مازندران")</f>
        <v>مازندران</v>
      </c>
      <c r="E315" s="5" t="str">
        <f>IFERROR(__xludf.DUMMYFUNCTION("""COMPUTED_VALUE"""),"ساری")</f>
        <v>ساری</v>
      </c>
      <c r="F315" s="5"/>
      <c r="G315" s="5"/>
      <c r="H315" s="5"/>
      <c r="I315" s="5"/>
      <c r="J315" s="6" t="str">
        <f>IFERROR(__xludf.DUMMYFUNCTION("""COMPUTED_VALUE"""),"https://eitaa.com/heiat_beytolabbas")</f>
        <v>https://eitaa.com/heiat_beytolabbas</v>
      </c>
      <c r="K315" s="5"/>
      <c r="L315" s="5"/>
      <c r="M315" s="5"/>
      <c r="N315" s="5"/>
      <c r="O315" s="5"/>
      <c r="P315" s="5"/>
      <c r="Q315" s="5"/>
      <c r="R315" s="5"/>
      <c r="S315" s="5"/>
    </row>
    <row r="316">
      <c r="A316" s="5"/>
      <c r="B316" s="5" t="str">
        <f>IFERROR(__xludf.DUMMYFUNCTION("""COMPUTED_VALUE"""),"هیأت")</f>
        <v>هیأت</v>
      </c>
      <c r="C316" s="5" t="str">
        <f>IFERROR(__xludf.DUMMYFUNCTION("""COMPUTED_VALUE"""),"انصار المهدی شهدای تنکابن")</f>
        <v>انصار المهدی شهدای تنکابن</v>
      </c>
      <c r="D316" s="5" t="str">
        <f>IFERROR(__xludf.DUMMYFUNCTION("""COMPUTED_VALUE"""),"مازندران")</f>
        <v>مازندران</v>
      </c>
      <c r="E316" s="5" t="str">
        <f>IFERROR(__xludf.DUMMYFUNCTION("""COMPUTED_VALUE"""),"تنکابن")</f>
        <v>تنکابن</v>
      </c>
      <c r="F316" s="5"/>
      <c r="G316" s="5"/>
      <c r="H316" s="5"/>
      <c r="I316" s="5"/>
      <c r="J316" s="6" t="str">
        <f>IFERROR(__xludf.DUMMYFUNCTION("""COMPUTED_VALUE"""),"https://eitaa.com/heyatansarir")</f>
        <v>https://eitaa.com/heyatansarir</v>
      </c>
      <c r="K316" s="5"/>
      <c r="L316" s="5"/>
      <c r="M316" s="5"/>
      <c r="N316" s="5"/>
      <c r="O316" s="5"/>
      <c r="P316" s="5"/>
      <c r="Q316" s="5"/>
      <c r="R316" s="5"/>
      <c r="S316" s="5"/>
    </row>
    <row r="317">
      <c r="A317" s="5"/>
      <c r="B317" s="5" t="str">
        <f>IFERROR(__xludf.DUMMYFUNCTION("""COMPUTED_VALUE"""),"هیأت")</f>
        <v>هیأت</v>
      </c>
      <c r="C317" s="5" t="str">
        <f>IFERROR(__xludf.DUMMYFUNCTION("""COMPUTED_VALUE"""),"فرهنگی تربیتی رایه المهدی")</f>
        <v>فرهنگی تربیتی رایه المهدی</v>
      </c>
      <c r="D317" s="5" t="str">
        <f>IFERROR(__xludf.DUMMYFUNCTION("""COMPUTED_VALUE"""),"مازندران")</f>
        <v>مازندران</v>
      </c>
      <c r="E317" s="5" t="str">
        <f>IFERROR(__xludf.DUMMYFUNCTION("""COMPUTED_VALUE"""),"رویان")</f>
        <v>رویان</v>
      </c>
      <c r="F317" s="5"/>
      <c r="G317" s="5"/>
      <c r="H317" s="5"/>
      <c r="I317" s="5"/>
      <c r="J317" s="6" t="str">
        <f>IFERROR(__xludf.DUMMYFUNCTION("""COMPUTED_VALUE"""),"https://eitaa.com/raayatalmahdi")</f>
        <v>https://eitaa.com/raayatalmahdi</v>
      </c>
      <c r="K317" s="5"/>
      <c r="L317" s="5"/>
      <c r="M317" s="5"/>
      <c r="N317" s="5"/>
      <c r="O317" s="5"/>
      <c r="P317" s="5"/>
      <c r="Q317" s="5"/>
      <c r="R317" s="5"/>
      <c r="S317" s="5"/>
    </row>
    <row r="318">
      <c r="A318" s="5"/>
      <c r="B318" s="5" t="str">
        <f>IFERROR(__xludf.DUMMYFUNCTION("""COMPUTED_VALUE"""),"هیأت")</f>
        <v>هیأت</v>
      </c>
      <c r="C318" s="5" t="str">
        <f>IFERROR(__xludf.DUMMYFUNCTION("""COMPUTED_VALUE"""),"جوادالائمه‌")</f>
        <v>جوادالائمه‌</v>
      </c>
      <c r="D318" s="5" t="str">
        <f>IFERROR(__xludf.DUMMYFUNCTION("""COMPUTED_VALUE"""),"تهران")</f>
        <v>تهران</v>
      </c>
      <c r="E318" s="5" t="str">
        <f>IFERROR(__xludf.DUMMYFUNCTION("""COMPUTED_VALUE"""),"اسلامشهر")</f>
        <v>اسلامشهر</v>
      </c>
      <c r="F318" s="5"/>
      <c r="G318" s="5"/>
      <c r="H318" s="6" t="str">
        <f>IFERROR(__xludf.DUMMYFUNCTION("""COMPUTED_VALUE"""),"https://www.instagram.com/javadolaemeh_ir/")</f>
        <v>https://www.instagram.com/javadolaemeh_ir/</v>
      </c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>
      <c r="A319" s="5"/>
      <c r="B319" s="5" t="str">
        <f>IFERROR(__xludf.DUMMYFUNCTION("""COMPUTED_VALUE"""),"هیأت")</f>
        <v>هیأت</v>
      </c>
      <c r="C319" s="5" t="str">
        <f>IFERROR(__xludf.DUMMYFUNCTION("""COMPUTED_VALUE"""),"سجادیه")</f>
        <v>سجادیه</v>
      </c>
      <c r="D319" s="5" t="str">
        <f>IFERROR(__xludf.DUMMYFUNCTION("""COMPUTED_VALUE"""),"تهران")</f>
        <v>تهران</v>
      </c>
      <c r="E319" s="5" t="str">
        <f>IFERROR(__xludf.DUMMYFUNCTION("""COMPUTED_VALUE"""),"اسلامشهر")</f>
        <v>اسلامشهر</v>
      </c>
      <c r="F319" s="5"/>
      <c r="G319" s="5"/>
      <c r="H319" s="6" t="str">
        <f>IFERROR(__xludf.DUMMYFUNCTION("""COMPUTED_VALUE"""),"https://www.instagram.com/sajjadiye_eslamshahr/")</f>
        <v>https://www.instagram.com/sajjadiye_eslamshahr/</v>
      </c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>
      <c r="A320" s="5"/>
      <c r="B320" s="5" t="str">
        <f>IFERROR(__xludf.DUMMYFUNCTION("""COMPUTED_VALUE"""),"هیأت")</f>
        <v>هیأت</v>
      </c>
      <c r="C320" s="5" t="str">
        <f>IFERROR(__xludf.DUMMYFUNCTION("""COMPUTED_VALUE"""),"موکب الزهرا")</f>
        <v>موکب الزهرا</v>
      </c>
      <c r="D320" s="5" t="str">
        <f>IFERROR(__xludf.DUMMYFUNCTION("""COMPUTED_VALUE"""),"تهران")</f>
        <v>تهران</v>
      </c>
      <c r="E320" s="5" t="str">
        <f>IFERROR(__xludf.DUMMYFUNCTION("""COMPUTED_VALUE"""),"اسلامشهر")</f>
        <v>اسلامشهر</v>
      </c>
      <c r="F320" s="5"/>
      <c r="G320" s="5"/>
      <c r="H320" s="6" t="str">
        <f>IFERROR(__xludf.DUMMYFUNCTION("""COMPUTED_VALUE"""),"https://www.instagram.com/mokeb_alzahra/")</f>
        <v>https://www.instagram.com/mokeb_alzahra/</v>
      </c>
      <c r="I320" s="6" t="str">
        <f>IFERROR(__xludf.DUMMYFUNCTION("""COMPUTED_VALUE"""),"t.me/mokeb_alzahra")</f>
        <v>t.me/mokeb_alzahra</v>
      </c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>
      <c r="A321" s="5"/>
      <c r="B321" s="5" t="str">
        <f>IFERROR(__xludf.DUMMYFUNCTION("""COMPUTED_VALUE"""),"هیأت")</f>
        <v>هیأت</v>
      </c>
      <c r="C321" s="5" t="str">
        <f>IFERROR(__xludf.DUMMYFUNCTION("""COMPUTED_VALUE"""),"محبان الرضا")</f>
        <v>محبان الرضا</v>
      </c>
      <c r="D321" s="5" t="str">
        <f>IFERROR(__xludf.DUMMYFUNCTION("""COMPUTED_VALUE"""),"تهران")</f>
        <v>تهران</v>
      </c>
      <c r="E321" s="5" t="str">
        <f>IFERROR(__xludf.DUMMYFUNCTION("""COMPUTED_VALUE"""),"اسلامشهر")</f>
        <v>اسلامشهر</v>
      </c>
      <c r="F321" s="5"/>
      <c r="G321" s="5"/>
      <c r="H321" s="6" t="str">
        <f>IFERROR(__xludf.DUMMYFUNCTION("""COMPUTED_VALUE"""),"https://www.instagram.com/mohebbanreza_ir/")</f>
        <v>https://www.instagram.com/mohebbanreza_ir/</v>
      </c>
      <c r="I321" s="6" t="str">
        <f>IFERROR(__xludf.DUMMYFUNCTION("""COMPUTED_VALUE"""),"t.me/@mohebbanreza_ir")</f>
        <v>t.me/@mohebbanreza_ir</v>
      </c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>
      <c r="A322" s="5"/>
      <c r="B322" s="5" t="str">
        <f>IFERROR(__xludf.DUMMYFUNCTION("""COMPUTED_VALUE"""),"هیأت")</f>
        <v>هیأت</v>
      </c>
      <c r="C322" s="5" t="str">
        <f>IFERROR(__xludf.DUMMYFUNCTION("""COMPUTED_VALUE"""),"عاشقان حضرت ابوالفضل(ع)")</f>
        <v>عاشقان حضرت ابوالفضل(ع)</v>
      </c>
      <c r="D322" s="5" t="str">
        <f>IFERROR(__xludf.DUMMYFUNCTION("""COMPUTED_VALUE"""),"تهران")</f>
        <v>تهران</v>
      </c>
      <c r="E322" s="5" t="str">
        <f>IFERROR(__xludf.DUMMYFUNCTION("""COMPUTED_VALUE"""),"اسلامشهر")</f>
        <v>اسلامشهر</v>
      </c>
      <c r="F322" s="5"/>
      <c r="G322" s="5"/>
      <c r="H322" s="6" t="str">
        <f>IFERROR(__xludf.DUMMYFUNCTION("""COMPUTED_VALUE"""),"https://www.instagram.com/asheghaneabalfazll/")</f>
        <v>https://www.instagram.com/asheghaneabalfazll/</v>
      </c>
      <c r="I322" s="6" t="str">
        <f>IFERROR(__xludf.DUMMYFUNCTION("""COMPUTED_VALUE"""),"t.me/heyatasheghanabalfazll")</f>
        <v>t.me/heyatasheghanabalfazll</v>
      </c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>
      <c r="A323" s="5"/>
      <c r="B323" s="5" t="str">
        <f>IFERROR(__xludf.DUMMYFUNCTION("""COMPUTED_VALUE"""),"هیأت")</f>
        <v>هیأت</v>
      </c>
      <c r="C323" s="5" t="str">
        <f>IFERROR(__xludf.DUMMYFUNCTION("""COMPUTED_VALUE"""),"حضرت زینب")</f>
        <v>حضرت زینب</v>
      </c>
      <c r="D323" s="5" t="str">
        <f>IFERROR(__xludf.DUMMYFUNCTION("""COMPUTED_VALUE"""),"تهران")</f>
        <v>تهران</v>
      </c>
      <c r="E323" s="5" t="str">
        <f>IFERROR(__xludf.DUMMYFUNCTION("""COMPUTED_VALUE"""),"پاکدشت")</f>
        <v>پاکدشت</v>
      </c>
      <c r="F323" s="5"/>
      <c r="G323" s="5"/>
      <c r="H323" s="6" t="str">
        <f>IFERROR(__xludf.DUMMYFUNCTION("""COMPUTED_VALUE"""),"https://www.instagram.com/zeynab_salam_olah_/")</f>
        <v>https://www.instagram.com/zeynab_salam_olah_/</v>
      </c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>
      <c r="A324" s="5"/>
      <c r="B324" s="5" t="str">
        <f>IFERROR(__xludf.DUMMYFUNCTION("""COMPUTED_VALUE"""),"هیأت")</f>
        <v>هیأت</v>
      </c>
      <c r="C324" s="5" t="str">
        <f>IFERROR(__xludf.DUMMYFUNCTION("""COMPUTED_VALUE"""),"دلسوختگان حضرت فاطمه الزهرا")</f>
        <v>دلسوختگان حضرت فاطمه الزهرا</v>
      </c>
      <c r="D324" s="5" t="str">
        <f>IFERROR(__xludf.DUMMYFUNCTION("""COMPUTED_VALUE"""),"تهران")</f>
        <v>تهران</v>
      </c>
      <c r="E324" s="5" t="str">
        <f>IFERROR(__xludf.DUMMYFUNCTION("""COMPUTED_VALUE"""),"پردیس")</f>
        <v>پردیس</v>
      </c>
      <c r="F324" s="5" t="str">
        <f>IFERROR(__xludf.DUMMYFUNCTION("""COMPUTED_VALUE"""),"پردیس")</f>
        <v>پردیس</v>
      </c>
      <c r="G324" s="5"/>
      <c r="H324" s="6" t="str">
        <f>IFERROR(__xludf.DUMMYFUNCTION("""COMPUTED_VALUE"""),"https://www.instagram.com/fatemiyeh.delsokhtegan/")</f>
        <v>https://www.instagram.com/fatemiyeh.delsokhtegan/</v>
      </c>
      <c r="I324" s="5"/>
      <c r="J324" s="5"/>
      <c r="K324" s="5"/>
      <c r="L324" s="5"/>
      <c r="M324" s="5" t="str">
        <f>IFERROR(__xludf.DUMMYFUNCTION("""COMPUTED_VALUE"""),"پردیس")</f>
        <v>پردیس</v>
      </c>
      <c r="N324" s="5"/>
      <c r="O324" s="5"/>
      <c r="P324" s="5"/>
      <c r="Q324" s="5"/>
      <c r="R324" s="5"/>
      <c r="S324" s="5"/>
    </row>
    <row r="325">
      <c r="A325" s="5"/>
      <c r="B325" s="5" t="str">
        <f>IFERROR(__xludf.DUMMYFUNCTION("""COMPUTED_VALUE"""),"هیأت")</f>
        <v>هیأت</v>
      </c>
      <c r="C325" s="5" t="str">
        <f>IFERROR(__xludf.DUMMYFUNCTION("""COMPUTED_VALUE"""),"رزمندگان اسلام پردیس")</f>
        <v>رزمندگان اسلام پردیس</v>
      </c>
      <c r="D325" s="5" t="str">
        <f>IFERROR(__xludf.DUMMYFUNCTION("""COMPUTED_VALUE"""),"تهران")</f>
        <v>تهران</v>
      </c>
      <c r="E325" s="5" t="str">
        <f>IFERROR(__xludf.DUMMYFUNCTION("""COMPUTED_VALUE"""),"پردیس")</f>
        <v>پردیس</v>
      </c>
      <c r="F325" s="5" t="str">
        <f>IFERROR(__xludf.DUMMYFUNCTION("""COMPUTED_VALUE"""),"پردیس فاز3")</f>
        <v>پردیس فاز3</v>
      </c>
      <c r="G325" s="5"/>
      <c r="H325" s="6" t="str">
        <f>IFERROR(__xludf.DUMMYFUNCTION("""COMPUTED_VALUE"""),"https://www.instagram.com/heyat.razmandegan.pardis/")</f>
        <v>https://www.instagram.com/heyat.razmandegan.pardis/</v>
      </c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>
      <c r="A326" s="5"/>
      <c r="B326" s="5" t="str">
        <f>IFERROR(__xludf.DUMMYFUNCTION("""COMPUTED_VALUE"""),"هیأت دخترانه")</f>
        <v>هیأت دخترانه</v>
      </c>
      <c r="C326" s="5" t="str">
        <f>IFERROR(__xludf.DUMMYFUNCTION("""COMPUTED_VALUE"""),"حضرت ام‌البنین")</f>
        <v>حضرت ام‌البنین</v>
      </c>
      <c r="D326" s="5" t="str">
        <f>IFERROR(__xludf.DUMMYFUNCTION("""COMPUTED_VALUE"""),"تهران")</f>
        <v>تهران</v>
      </c>
      <c r="E326" s="5" t="str">
        <f>IFERROR(__xludf.DUMMYFUNCTION("""COMPUTED_VALUE"""),"پیشوا")</f>
        <v>پیشوا</v>
      </c>
      <c r="F326" s="5"/>
      <c r="G326" s="5"/>
      <c r="H326" s="6" t="str">
        <f>IFERROR(__xludf.DUMMYFUNCTION("""COMPUTED_VALUE"""),"https://www.instagram.com/hazrat.omolbanin/")</f>
        <v>https://www.instagram.com/hazrat.omolbanin/</v>
      </c>
      <c r="I326" s="5"/>
      <c r="J326" s="6" t="str">
        <f>IFERROR(__xludf.DUMMYFUNCTION("""COMPUTED_VALUE"""),"eitaa.com/hazrat_omolbanin")</f>
        <v>eitaa.com/hazrat_omolbanin</v>
      </c>
      <c r="K326" s="5"/>
      <c r="L326" s="5"/>
      <c r="M326" s="5"/>
      <c r="N326" s="5"/>
      <c r="O326" s="5"/>
      <c r="P326" s="5"/>
      <c r="Q326" s="5"/>
      <c r="R326" s="5"/>
      <c r="S326" s="5"/>
    </row>
    <row r="327">
      <c r="A327" s="5"/>
      <c r="B327" s="5" t="str">
        <f>IFERROR(__xludf.DUMMYFUNCTION("""COMPUTED_VALUE"""),"هیأت")</f>
        <v>هیأت</v>
      </c>
      <c r="C327" s="5" t="str">
        <f>IFERROR(__xludf.DUMMYFUNCTION("""COMPUTED_VALUE"""),"محبین الائمه (ع)")</f>
        <v>محبین الائمه (ع)</v>
      </c>
      <c r="D327" s="5" t="str">
        <f>IFERROR(__xludf.DUMMYFUNCTION("""COMPUTED_VALUE"""),"تهران")</f>
        <v>تهران</v>
      </c>
      <c r="E327" s="5" t="str">
        <f>IFERROR(__xludf.DUMMYFUNCTION("""COMPUTED_VALUE"""),"تجریش")</f>
        <v>تجریش</v>
      </c>
      <c r="F327" s="5"/>
      <c r="G327" s="5"/>
      <c r="H327" s="6" t="str">
        <f>IFERROR(__xludf.DUMMYFUNCTION("""COMPUTED_VALUE"""),"https://www.instagram.com/mohebbin_ozgol/")</f>
        <v>https://www.instagram.com/mohebbin_ozgol/</v>
      </c>
      <c r="I327" s="6" t="str">
        <f>IFERROR(__xludf.DUMMYFUNCTION("""COMPUTED_VALUE"""),"t.me/mohebbin_ozgol")</f>
        <v>t.me/mohebbin_ozgol</v>
      </c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>
      <c r="A328" s="5"/>
      <c r="B328" s="5" t="str">
        <f>IFERROR(__xludf.DUMMYFUNCTION("""COMPUTED_VALUE"""),"هیأت")</f>
        <v>هیأت</v>
      </c>
      <c r="C328" s="5" t="str">
        <f>IFERROR(__xludf.DUMMYFUNCTION("""COMPUTED_VALUE"""),"روضة المهدی")</f>
        <v>روضة المهدی</v>
      </c>
      <c r="D328" s="5" t="str">
        <f>IFERROR(__xludf.DUMMYFUNCTION("""COMPUTED_VALUE"""),"تهران")</f>
        <v>تهران</v>
      </c>
      <c r="E328" s="5" t="str">
        <f>IFERROR(__xludf.DUMMYFUNCTION("""COMPUTED_VALUE"""),"تجریش")</f>
        <v>تجریش</v>
      </c>
      <c r="F328" s="5"/>
      <c r="G328" s="5"/>
      <c r="H328" s="6" t="str">
        <f>IFERROR(__xludf.DUMMYFUNCTION("""COMPUTED_VALUE"""),"https://www.instagram.com/rozatolmahdy/")</f>
        <v>https://www.instagram.com/rozatolmahdy/</v>
      </c>
      <c r="I328" s="6" t="str">
        <f>IFERROR(__xludf.DUMMYFUNCTION("""COMPUTED_VALUE"""),"t.me/rozatolmahdy")</f>
        <v>t.me/rozatolmahdy</v>
      </c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>
      <c r="A329" s="5"/>
      <c r="B329" s="5" t="str">
        <f>IFERROR(__xludf.DUMMYFUNCTION("""COMPUTED_VALUE"""),"هیأت")</f>
        <v>هیأت</v>
      </c>
      <c r="C329" s="5" t="str">
        <f>IFERROR(__xludf.DUMMYFUNCTION("""COMPUTED_VALUE"""),"انصار فاطمه")</f>
        <v>انصار فاطمه</v>
      </c>
      <c r="D329" s="5" t="str">
        <f>IFERROR(__xludf.DUMMYFUNCTION("""COMPUTED_VALUE"""),"تهران")</f>
        <v>تهران</v>
      </c>
      <c r="E329" s="5" t="str">
        <f>IFERROR(__xludf.DUMMYFUNCTION("""COMPUTED_VALUE"""),"تهران")</f>
        <v>تهران</v>
      </c>
      <c r="F329" s="5" t="str">
        <f>IFERROR(__xludf.DUMMYFUNCTION("""COMPUTED_VALUE"""),"نارمک")</f>
        <v>نارمک</v>
      </c>
      <c r="G329" s="5"/>
      <c r="H329" s="6" t="str">
        <f>IFERROR(__xludf.DUMMYFUNCTION("""COMPUTED_VALUE"""),"https://www.instagram.com/ansarolfatemeh/")</f>
        <v>https://www.instagram.com/ansarolfatemeh/</v>
      </c>
      <c r="I329" s="6" t="str">
        <f>IFERROR(__xludf.DUMMYFUNCTION("""COMPUTED_VALUE"""),"https://t.me/ansar_fatemeh")</f>
        <v>https://t.me/ansar_fatemeh</v>
      </c>
      <c r="J329" s="6" t="str">
        <f>IFERROR(__xludf.DUMMYFUNCTION("""COMPUTED_VALUE"""),"https://ble.ir/@ansar_fatemeh")</f>
        <v>https://ble.ir/@ansar_fatemeh</v>
      </c>
      <c r="K329" s="5"/>
      <c r="L329" s="5"/>
      <c r="M329" s="5"/>
      <c r="N329" s="5" t="str">
        <f>IFERROR(__xludf.DUMMYFUNCTION("""COMPUTED_VALUE"""),"*")</f>
        <v>*</v>
      </c>
      <c r="O329" s="5"/>
      <c r="P329" s="5"/>
      <c r="Q329" s="5"/>
      <c r="R329" s="5"/>
      <c r="S329" s="5"/>
    </row>
    <row r="330">
      <c r="A330" s="5"/>
      <c r="B330" s="5" t="str">
        <f>IFERROR(__xludf.DUMMYFUNCTION("""COMPUTED_VALUE"""),"هیأت")</f>
        <v>هیأت</v>
      </c>
      <c r="C330" s="5" t="str">
        <f>IFERROR(__xludf.DUMMYFUNCTION("""COMPUTED_VALUE"""),"آل کساء")</f>
        <v>آل کساء</v>
      </c>
      <c r="D330" s="5" t="str">
        <f>IFERROR(__xludf.DUMMYFUNCTION("""COMPUTED_VALUE"""),"تهران")</f>
        <v>تهران</v>
      </c>
      <c r="E330" s="5" t="str">
        <f>IFERROR(__xludf.DUMMYFUNCTION("""COMPUTED_VALUE"""),"تهران")</f>
        <v>تهران</v>
      </c>
      <c r="F330" s="5"/>
      <c r="G330" s="5"/>
      <c r="H330" s="6" t="str">
        <f>IFERROR(__xludf.DUMMYFUNCTION("""COMPUTED_VALUE"""),"https://www.instagram.com/a_alekasa/")</f>
        <v>https://www.instagram.com/a_alekasa/</v>
      </c>
      <c r="I330" s="6" t="str">
        <f>IFERROR(__xludf.DUMMYFUNCTION("""COMPUTED_VALUE"""),"t.me/aalekasa")</f>
        <v>t.me/aalekasa</v>
      </c>
      <c r="J330" s="6" t="str">
        <f>IFERROR(__xludf.DUMMYFUNCTION("""COMPUTED_VALUE"""),"https://eitaa.com/a_alekasa")</f>
        <v>https://eitaa.com/a_alekasa</v>
      </c>
      <c r="K330" s="5"/>
      <c r="L330" s="5"/>
      <c r="M330" s="5"/>
      <c r="N330" s="5" t="str">
        <f>IFERROR(__xludf.DUMMYFUNCTION("""COMPUTED_VALUE"""),"*")</f>
        <v>*</v>
      </c>
      <c r="O330" s="5"/>
      <c r="P330" s="5"/>
      <c r="Q330" s="5"/>
      <c r="R330" s="5"/>
      <c r="S330" s="5"/>
    </row>
    <row r="331">
      <c r="A331" s="5"/>
      <c r="B331" s="5" t="str">
        <f>IFERROR(__xludf.DUMMYFUNCTION("""COMPUTED_VALUE"""),"هیأت")</f>
        <v>هیأت</v>
      </c>
      <c r="C331" s="5" t="str">
        <f>IFERROR(__xludf.DUMMYFUNCTION("""COMPUTED_VALUE"""),"ائمة الهدی")</f>
        <v>ائمة الهدی</v>
      </c>
      <c r="D331" s="5" t="str">
        <f>IFERROR(__xludf.DUMMYFUNCTION("""COMPUTED_VALUE"""),"تهران")</f>
        <v>تهران</v>
      </c>
      <c r="E331" s="5" t="str">
        <f>IFERROR(__xludf.DUMMYFUNCTION("""COMPUTED_VALUE"""),"تهران")</f>
        <v>تهران</v>
      </c>
      <c r="F331" s="5" t="str">
        <f>IFERROR(__xludf.DUMMYFUNCTION("""COMPUTED_VALUE"""),"اتوبان امام علی ،خروجی خاوران غرب ، خیابان شهید عبدالحسین شیرازی ،خیابان‌شهدای ملاشریفی حسینیه ائمة الهدی (ع)")</f>
        <v>اتوبان امام علی ،خروجی خاوران غرب ، خیابان شهید عبدالحسین شیرازی ،خیابان‌شهدای ملاشریفی حسینیه ائمة الهدی (ع)</v>
      </c>
      <c r="G331" s="5"/>
      <c r="H331" s="6" t="str">
        <f>IFERROR(__xludf.DUMMYFUNCTION("""COMPUTED_VALUE"""),"https://www.instagram.com/aematolhodaa/")</f>
        <v>https://www.instagram.com/aematolhodaa/</v>
      </c>
      <c r="I331" s="5"/>
      <c r="J331" s="6" t="str">
        <f>IFERROR(__xludf.DUMMYFUNCTION("""COMPUTED_VALUE"""),"https://eitaa.com/aemehoda")</f>
        <v>https://eitaa.com/aemehoda</v>
      </c>
      <c r="K331" s="5"/>
      <c r="L331" s="5"/>
      <c r="M331" s="5"/>
      <c r="N331" s="5"/>
      <c r="O331" s="5"/>
      <c r="P331" s="5"/>
      <c r="Q331" s="5"/>
      <c r="R331" s="5"/>
      <c r="S331" s="5"/>
    </row>
    <row r="332">
      <c r="A332" s="5"/>
      <c r="B332" s="5" t="str">
        <f>IFERROR(__xludf.DUMMYFUNCTION("""COMPUTED_VALUE"""),"هیأت")</f>
        <v>هیأت</v>
      </c>
      <c r="C332" s="5" t="str">
        <f>IFERROR(__xludf.DUMMYFUNCTION("""COMPUTED_VALUE"""),"سیدالشهدا")</f>
        <v>سیدالشهدا</v>
      </c>
      <c r="D332" s="5" t="str">
        <f>IFERROR(__xludf.DUMMYFUNCTION("""COMPUTED_VALUE"""),"تهران")</f>
        <v>تهران</v>
      </c>
      <c r="E332" s="5" t="str">
        <f>IFERROR(__xludf.DUMMYFUNCTION("""COMPUTED_VALUE"""),"تهران")</f>
        <v>تهران</v>
      </c>
      <c r="F332" s="5" t="str">
        <f>IFERROR(__xludf.DUMMYFUNCTION("""COMPUTED_VALUE"""),"افسریه")</f>
        <v>افسریه</v>
      </c>
      <c r="G332" s="5"/>
      <c r="H332" s="6" t="str">
        <f>IFERROR(__xludf.DUMMYFUNCTION("""COMPUTED_VALUE"""),"https://www.instagram.com/alatash_net/")</f>
        <v>https://www.instagram.com/alatash_net/</v>
      </c>
      <c r="I332" s="6" t="str">
        <f>IFERROR(__xludf.DUMMYFUNCTION("""COMPUTED_VALUE"""),"https://t.me/alatash_net")</f>
        <v>https://t.me/alatash_net</v>
      </c>
      <c r="J332" s="6" t="str">
        <f>IFERROR(__xludf.DUMMYFUNCTION("""COMPUTED_VALUE"""),"https://eitaa.com/alatash_net")</f>
        <v>https://eitaa.com/alatash_net</v>
      </c>
      <c r="K332" s="5"/>
      <c r="L332" s="5"/>
      <c r="M332" s="5" t="str">
        <f>IFERROR(__xludf.DUMMYFUNCTION("""COMPUTED_VALUE"""),"ایتا استخراج شود")</f>
        <v>ایتا استخراج شود</v>
      </c>
      <c r="N332" s="5"/>
      <c r="O332" s="5"/>
      <c r="P332" s="5"/>
      <c r="Q332" s="5"/>
      <c r="R332" s="5"/>
      <c r="S332" s="5"/>
    </row>
    <row r="333">
      <c r="A333" s="5"/>
      <c r="B333" s="5" t="str">
        <f>IFERROR(__xludf.DUMMYFUNCTION("""COMPUTED_VALUE"""),"هیأت")</f>
        <v>هیأت</v>
      </c>
      <c r="C333" s="5" t="str">
        <f>IFERROR(__xludf.DUMMYFUNCTION("""COMPUTED_VALUE"""),"انصارالحسن")</f>
        <v>انصارالحسن</v>
      </c>
      <c r="D333" s="5" t="str">
        <f>IFERROR(__xludf.DUMMYFUNCTION("""COMPUTED_VALUE"""),"تهران")</f>
        <v>تهران</v>
      </c>
      <c r="E333" s="5" t="str">
        <f>IFERROR(__xludf.DUMMYFUNCTION("""COMPUTED_VALUE"""),"تهران")</f>
        <v>تهران</v>
      </c>
      <c r="F333" s="5" t="str">
        <f>IFERROR(__xludf.DUMMYFUNCTION("""COMPUTED_VALUE"""),"حکیمیه")</f>
        <v>حکیمیه</v>
      </c>
      <c r="G333" s="5"/>
      <c r="H333" s="6" t="str">
        <f>IFERROR(__xludf.DUMMYFUNCTION("""COMPUTED_VALUE"""),"https://www.instagram.com/ansar_alhassan/")</f>
        <v>https://www.instagram.com/ansar_alhassan/</v>
      </c>
      <c r="I333" s="5"/>
      <c r="J333" s="6" t="str">
        <f>IFERROR(__xludf.DUMMYFUNCTION("""COMPUTED_VALUE"""),"https://eitaa.com/ansar_alhassan1399")</f>
        <v>https://eitaa.com/ansar_alhassan1399</v>
      </c>
      <c r="K333" s="5"/>
      <c r="L333" s="5"/>
      <c r="M333" s="5"/>
      <c r="N333" s="5" t="str">
        <f>IFERROR(__xludf.DUMMYFUNCTION("""COMPUTED_VALUE"""),"*")</f>
        <v>*</v>
      </c>
      <c r="O333" s="5"/>
      <c r="P333" s="5"/>
      <c r="Q333" s="5"/>
      <c r="R333" s="5"/>
      <c r="S333" s="5"/>
    </row>
    <row r="334">
      <c r="A334" s="5"/>
      <c r="B334" s="5" t="str">
        <f>IFERROR(__xludf.DUMMYFUNCTION("""COMPUTED_VALUE"""),"هیأت")</f>
        <v>هیأت</v>
      </c>
      <c r="C334" s="5" t="str">
        <f>IFERROR(__xludf.DUMMYFUNCTION("""COMPUTED_VALUE"""),"عاشورائیان تهران")</f>
        <v>عاشورائیان تهران</v>
      </c>
      <c r="D334" s="5" t="str">
        <f>IFERROR(__xludf.DUMMYFUNCTION("""COMPUTED_VALUE"""),"تهران")</f>
        <v>تهران</v>
      </c>
      <c r="E334" s="5" t="str">
        <f>IFERROR(__xludf.DUMMYFUNCTION("""COMPUTED_VALUE"""),"تهران")</f>
        <v>تهران</v>
      </c>
      <c r="F334" s="5"/>
      <c r="G334" s="5"/>
      <c r="H334" s="6" t="str">
        <f>IFERROR(__xludf.DUMMYFUNCTION("""COMPUTED_VALUE"""),"https://www.instagram.com/ashuraeian_ir/")</f>
        <v>https://www.instagram.com/ashuraeian_ir/</v>
      </c>
      <c r="I334" s="6" t="str">
        <f>IFERROR(__xludf.DUMMYFUNCTION("""COMPUTED_VALUE"""),"https://t.me/ashuraeian_ir")</f>
        <v>https://t.me/ashuraeian_ir</v>
      </c>
      <c r="J334" s="6" t="str">
        <f>IFERROR(__xludf.DUMMYFUNCTION("""COMPUTED_VALUE"""),"https://eitaa.com/ashuraeian_ir")</f>
        <v>https://eitaa.com/ashuraeian_ir</v>
      </c>
      <c r="K334" s="5"/>
      <c r="L334" s="5"/>
      <c r="M334" s="5"/>
      <c r="N334" s="5"/>
      <c r="O334" s="5"/>
      <c r="P334" s="5"/>
      <c r="Q334" s="5"/>
      <c r="R334" s="5"/>
      <c r="S334" s="5"/>
    </row>
    <row r="335">
      <c r="A335" s="5"/>
      <c r="B335" s="5" t="str">
        <f>IFERROR(__xludf.DUMMYFUNCTION("""COMPUTED_VALUE"""),"هیأت دانشجویی")</f>
        <v>هیأت دانشجویی</v>
      </c>
      <c r="C335" s="5" t="str">
        <f>IFERROR(__xludf.DUMMYFUNCTION("""COMPUTED_VALUE"""),"الزهرا")</f>
        <v>الزهرا</v>
      </c>
      <c r="D335" s="5" t="str">
        <f>IFERROR(__xludf.DUMMYFUNCTION("""COMPUTED_VALUE"""),"تهران")</f>
        <v>تهران</v>
      </c>
      <c r="E335" s="5" t="str">
        <f>IFERROR(__xludf.DUMMYFUNCTION("""COMPUTED_VALUE"""),"تهران")</f>
        <v>تهران</v>
      </c>
      <c r="F335" s="5" t="str">
        <f>IFERROR(__xludf.DUMMYFUNCTION("""COMPUTED_VALUE"""),"دانشگاه صنعتی شریف")</f>
        <v>دانشگاه صنعتی شریف</v>
      </c>
      <c r="G335" s="5"/>
      <c r="H335" s="6" t="str">
        <f>IFERROR(__xludf.DUMMYFUNCTION("""COMPUTED_VALUE"""),"https://www.instagram.com/azzahraasharif1")</f>
        <v>https://www.instagram.com/azzahraasharif1</v>
      </c>
      <c r="I335" s="6" t="str">
        <f>IFERROR(__xludf.DUMMYFUNCTION("""COMPUTED_VALUE"""),"https://t.me/s/AzzahraaSharif")</f>
        <v>https://t.me/s/AzzahraaSharif</v>
      </c>
      <c r="J335" s="6" t="str">
        <f>IFERROR(__xludf.DUMMYFUNCTION("""COMPUTED_VALUE"""),"https://eitaa.com/azzahraasharif")</f>
        <v>https://eitaa.com/azzahraasharif</v>
      </c>
      <c r="K335" s="5"/>
      <c r="L335" s="6" t="str">
        <f>IFERROR(__xludf.DUMMYFUNCTION("""COMPUTED_VALUE"""),"http://azzahraa.ir/")</f>
        <v>http://azzahraa.ir/</v>
      </c>
      <c r="M335" s="5"/>
      <c r="N335" s="5" t="str">
        <f>IFERROR(__xludf.DUMMYFUNCTION("""COMPUTED_VALUE"""),"*")</f>
        <v>*</v>
      </c>
      <c r="O335" s="5"/>
      <c r="P335" s="5"/>
      <c r="Q335" s="5"/>
      <c r="R335" s="5"/>
      <c r="S335" s="5"/>
    </row>
    <row r="336">
      <c r="A336" s="5"/>
      <c r="B336" s="5" t="str">
        <f>IFERROR(__xludf.DUMMYFUNCTION("""COMPUTED_VALUE"""),"هیأت دانشجویی")</f>
        <v>هیأت دانشجویی</v>
      </c>
      <c r="C336" s="5" t="str">
        <f>IFERROR(__xludf.DUMMYFUNCTION("""COMPUTED_VALUE"""),"باب الحوائج")</f>
        <v>باب الحوائج</v>
      </c>
      <c r="D336" s="5" t="str">
        <f>IFERROR(__xludf.DUMMYFUNCTION("""COMPUTED_VALUE"""),"تهران")</f>
        <v>تهران</v>
      </c>
      <c r="E336" s="5" t="str">
        <f>IFERROR(__xludf.DUMMYFUNCTION("""COMPUTED_VALUE"""),"تهران")</f>
        <v>تهران</v>
      </c>
      <c r="F336" s="5"/>
      <c r="G336" s="5"/>
      <c r="H336" s="6" t="str">
        <f>IFERROR(__xludf.DUMMYFUNCTION("""COMPUTED_VALUE"""),"https://www.instagram.com/babalhavaej1403/")</f>
        <v>https://www.instagram.com/babalhavaej1403/</v>
      </c>
      <c r="I336" s="6" t="str">
        <f>IFERROR(__xludf.DUMMYFUNCTION("""COMPUTED_VALUE"""),"https://t.me/babalhavaej1403")</f>
        <v>https://t.me/babalhavaej1403</v>
      </c>
      <c r="J336" s="6" t="str">
        <f>IFERROR(__xludf.DUMMYFUNCTION("""COMPUTED_VALUE"""),"https://eitaa.com/babalhavaej1403")</f>
        <v>https://eitaa.com/babalhavaej1403</v>
      </c>
      <c r="K336" s="5"/>
      <c r="L336" s="5"/>
      <c r="M336" s="5"/>
      <c r="N336" s="5"/>
      <c r="O336" s="5"/>
      <c r="P336" s="5"/>
      <c r="Q336" s="5"/>
      <c r="R336" s="5"/>
      <c r="S336" s="5"/>
    </row>
    <row r="337">
      <c r="A337" s="5"/>
      <c r="B337" s="5" t="str">
        <f>IFERROR(__xludf.DUMMYFUNCTION("""COMPUTED_VALUE"""),"هیأت")</f>
        <v>هیأت</v>
      </c>
      <c r="C337" s="5" t="str">
        <f>IFERROR(__xludf.DUMMYFUNCTION("""COMPUTED_VALUE"""),"بیت الرضا")</f>
        <v>بیت الرضا</v>
      </c>
      <c r="D337" s="5" t="str">
        <f>IFERROR(__xludf.DUMMYFUNCTION("""COMPUTED_VALUE"""),"تهران")</f>
        <v>تهران</v>
      </c>
      <c r="E337" s="5" t="str">
        <f>IFERROR(__xludf.DUMMYFUNCTION("""COMPUTED_VALUE"""),"تهران")</f>
        <v>تهران</v>
      </c>
      <c r="F337" s="5" t="str">
        <f>IFERROR(__xludf.DUMMYFUNCTION("""COMPUTED_VALUE"""),"مسعودیه")</f>
        <v>مسعودیه</v>
      </c>
      <c r="G337" s="5"/>
      <c r="H337" s="6" t="str">
        <f>IFERROR(__xludf.DUMMYFUNCTION("""COMPUTED_VALUE"""),"https://www.instagram.com/beytoreza.info/")</f>
        <v>https://www.instagram.com/beytoreza.info/</v>
      </c>
      <c r="I337" s="6" t="str">
        <f>IFERROR(__xludf.DUMMYFUNCTION("""COMPUTED_VALUE"""),"https://t.me/beytoreza")</f>
        <v>https://t.me/beytoreza</v>
      </c>
      <c r="J337" s="6" t="str">
        <f>IFERROR(__xludf.DUMMYFUNCTION("""COMPUTED_VALUE"""),"https://eitaa.com/beytoreza")</f>
        <v>https://eitaa.com/beytoreza</v>
      </c>
      <c r="K337" s="5"/>
      <c r="L337" s="5"/>
      <c r="M337" s="5"/>
      <c r="N337" s="5" t="str">
        <f>IFERROR(__xludf.DUMMYFUNCTION("""COMPUTED_VALUE"""),"*")</f>
        <v>*</v>
      </c>
      <c r="O337" s="5"/>
      <c r="P337" s="5"/>
      <c r="Q337" s="5"/>
      <c r="R337" s="5"/>
      <c r="S337" s="5"/>
    </row>
    <row r="338">
      <c r="A338" s="5"/>
      <c r="B338" s="5" t="str">
        <f>IFERROR(__xludf.DUMMYFUNCTION("""COMPUTED_VALUE"""),"هیأت")</f>
        <v>هیأت</v>
      </c>
      <c r="C338" s="5" t="str">
        <f>IFERROR(__xludf.DUMMYFUNCTION("""COMPUTED_VALUE"""),"بیت الزهرا")</f>
        <v>بیت الزهرا</v>
      </c>
      <c r="D338" s="5" t="str">
        <f>IFERROR(__xludf.DUMMYFUNCTION("""COMPUTED_VALUE"""),"تهران")</f>
        <v>تهران</v>
      </c>
      <c r="E338" s="5" t="str">
        <f>IFERROR(__xludf.DUMMYFUNCTION("""COMPUTED_VALUE"""),"تهران")</f>
        <v>تهران</v>
      </c>
      <c r="F338" s="5"/>
      <c r="G338" s="5"/>
      <c r="H338" s="6" t="str">
        <f>IFERROR(__xludf.DUMMYFUNCTION("""COMPUTED_VALUE"""),"https://www.instagram.com/beytozahra_/")</f>
        <v>https://www.instagram.com/beytozahra_/</v>
      </c>
      <c r="I338" s="6" t="str">
        <f>IFERROR(__xludf.DUMMYFUNCTION("""COMPUTED_VALUE"""),"https://t.me/beytozahra_s")</f>
        <v>https://t.me/beytozahra_s</v>
      </c>
      <c r="J338" s="6" t="str">
        <f>IFERROR(__xludf.DUMMYFUNCTION("""COMPUTED_VALUE"""),"https://eitaa.com/Beytozahra_s")</f>
        <v>https://eitaa.com/Beytozahra_s</v>
      </c>
      <c r="K338" s="5"/>
      <c r="L338" s="5"/>
      <c r="M338" s="5"/>
      <c r="N338" s="5" t="str">
        <f>IFERROR(__xludf.DUMMYFUNCTION("""COMPUTED_VALUE"""),"*")</f>
        <v>*</v>
      </c>
      <c r="O338" s="5"/>
      <c r="P338" s="5"/>
      <c r="Q338" s="5"/>
      <c r="R338" s="5"/>
      <c r="S338" s="5"/>
    </row>
    <row r="339">
      <c r="A339" s="5"/>
      <c r="B339" s="5" t="str">
        <f>IFERROR(__xludf.DUMMYFUNCTION("""COMPUTED_VALUE"""),"هیأت")</f>
        <v>هیأت</v>
      </c>
      <c r="C339" s="5" t="str">
        <f>IFERROR(__xludf.DUMMYFUNCTION("""COMPUTED_VALUE"""),"چهارده معصوم سیاوشانیها")</f>
        <v>چهارده معصوم سیاوشانیها</v>
      </c>
      <c r="D339" s="5" t="str">
        <f>IFERROR(__xludf.DUMMYFUNCTION("""COMPUTED_VALUE"""),"تهران")</f>
        <v>تهران</v>
      </c>
      <c r="E339" s="5" t="str">
        <f>IFERROR(__xludf.DUMMYFUNCTION("""COMPUTED_VALUE"""),"تهران")</f>
        <v>تهران</v>
      </c>
      <c r="F339" s="5" t="str">
        <f>IFERROR(__xludf.DUMMYFUNCTION("""COMPUTED_VALUE"""),"نبرد شمالی")</f>
        <v>نبرد شمالی</v>
      </c>
      <c r="G339" s="5"/>
      <c r="H339" s="6" t="str">
        <f>IFERROR(__xludf.DUMMYFUNCTION("""COMPUTED_VALUE"""),"https://www.instagram.com/14masoum.ir/")</f>
        <v>https://www.instagram.com/14masoum.ir/</v>
      </c>
      <c r="I339" s="6" t="str">
        <f>IFERROR(__xludf.DUMMYFUNCTION("""COMPUTED_VALUE"""),"https://t.me/chahardahmasoum_14")</f>
        <v>https://t.me/chahardahmasoum_14</v>
      </c>
      <c r="J339" s="6" t="str">
        <f>IFERROR(__xludf.DUMMYFUNCTION("""COMPUTED_VALUE"""),"https://eitaa.com/chahardahmasoum_14")</f>
        <v>https://eitaa.com/chahardahmasoum_14</v>
      </c>
      <c r="K339" s="5"/>
      <c r="L339" s="5"/>
      <c r="M339" s="5"/>
      <c r="N339" s="5" t="str">
        <f>IFERROR(__xludf.DUMMYFUNCTION("""COMPUTED_VALUE"""),"*")</f>
        <v>*</v>
      </c>
      <c r="O339" s="5"/>
      <c r="P339" s="5"/>
      <c r="Q339" s="5"/>
      <c r="R339" s="5"/>
      <c r="S339" s="5"/>
    </row>
    <row r="340">
      <c r="A340" s="5"/>
      <c r="B340" s="5" t="str">
        <f>IFERROR(__xludf.DUMMYFUNCTION("""COMPUTED_VALUE"""),"هیأت")</f>
        <v>هیأت</v>
      </c>
      <c r="C340" s="5" t="str">
        <f>IFERROR(__xludf.DUMMYFUNCTION("""COMPUTED_VALUE"""),"حسینیه دلریش")</f>
        <v>حسینیه دلریش</v>
      </c>
      <c r="D340" s="5" t="str">
        <f>IFERROR(__xludf.DUMMYFUNCTION("""COMPUTED_VALUE"""),"تهران")</f>
        <v>تهران</v>
      </c>
      <c r="E340" s="5" t="str">
        <f>IFERROR(__xludf.DUMMYFUNCTION("""COMPUTED_VALUE"""),"تهران")</f>
        <v>تهران</v>
      </c>
      <c r="F340" s="5"/>
      <c r="G340" s="5"/>
      <c r="H340" s="6" t="str">
        <f>IFERROR(__xludf.DUMMYFUNCTION("""COMPUTED_VALUE"""),"https://www.instagram.com/delrish_/")</f>
        <v>https://www.instagram.com/delrish_/</v>
      </c>
      <c r="I340" s="6" t="str">
        <f>IFERROR(__xludf.DUMMYFUNCTION("""COMPUTED_VALUE"""),"https://t.me/delrish")</f>
        <v>https://t.me/delrish</v>
      </c>
      <c r="J340" s="6" t="str">
        <f>IFERROR(__xludf.DUMMYFUNCTION("""COMPUTED_VALUE"""),"https://eitaa.com/Delrish")</f>
        <v>https://eitaa.com/Delrish</v>
      </c>
      <c r="K340" s="5"/>
      <c r="L340" s="5"/>
      <c r="M340" s="5"/>
      <c r="N340" s="5" t="str">
        <f>IFERROR(__xludf.DUMMYFUNCTION("""COMPUTED_VALUE"""),"*")</f>
        <v>*</v>
      </c>
      <c r="O340" s="5"/>
      <c r="P340" s="5"/>
      <c r="Q340" s="5"/>
      <c r="R340" s="5"/>
      <c r="S340" s="5"/>
    </row>
    <row r="341">
      <c r="A341" s="5"/>
      <c r="B341" s="5" t="str">
        <f>IFERROR(__xludf.DUMMYFUNCTION("""COMPUTED_VALUE"""),"هیأت")</f>
        <v>هیأت</v>
      </c>
      <c r="C341" s="5" t="str">
        <f>IFERROR(__xludf.DUMMYFUNCTION("""COMPUTED_VALUE"""),"فدائیان حضرت زهرا")</f>
        <v>فدائیان حضرت زهرا</v>
      </c>
      <c r="D341" s="5" t="str">
        <f>IFERROR(__xludf.DUMMYFUNCTION("""COMPUTED_VALUE"""),"تهران")</f>
        <v>تهران</v>
      </c>
      <c r="E341" s="5" t="str">
        <f>IFERROR(__xludf.DUMMYFUNCTION("""COMPUTED_VALUE"""),"تهران")</f>
        <v>تهران</v>
      </c>
      <c r="F341" s="5"/>
      <c r="G341" s="5"/>
      <c r="H341" s="6" t="str">
        <f>IFERROR(__xludf.DUMMYFUNCTION("""COMPUTED_VALUE"""),"https://www.instagram.com/FADAKINFO")</f>
        <v>https://www.instagram.com/FADAKINFO</v>
      </c>
      <c r="I341" s="6" t="str">
        <f>IFERROR(__xludf.DUMMYFUNCTION("""COMPUTED_VALUE"""),"https://t.me/fadakinfo_channel")</f>
        <v>https://t.me/fadakinfo_channel</v>
      </c>
      <c r="J341" s="6" t="str">
        <f>IFERROR(__xludf.DUMMYFUNCTION("""COMPUTED_VALUE"""),"https://eitaa.com/fadakinfo_chanel")</f>
        <v>https://eitaa.com/fadakinfo_chanel</v>
      </c>
      <c r="K341" s="5"/>
      <c r="L341" s="6" t="str">
        <f>IFERROR(__xludf.DUMMYFUNCTION("""COMPUTED_VALUE"""),"https://fadak.me/")</f>
        <v>https://fadak.me/</v>
      </c>
      <c r="M341" s="5"/>
      <c r="N341" s="5" t="str">
        <f>IFERROR(__xludf.DUMMYFUNCTION("""COMPUTED_VALUE"""),"*")</f>
        <v>*</v>
      </c>
      <c r="O341" s="5"/>
      <c r="P341" s="5"/>
      <c r="Q341" s="5"/>
      <c r="R341" s="5"/>
      <c r="S341" s="5"/>
    </row>
    <row r="342">
      <c r="A342" s="5"/>
      <c r="B342" s="5" t="str">
        <f>IFERROR(__xludf.DUMMYFUNCTION("""COMPUTED_VALUE"""),"هیأت دانشجویی")</f>
        <v>هیأت دانشجویی</v>
      </c>
      <c r="C342" s="5" t="str">
        <f>IFERROR(__xludf.DUMMYFUNCTION("""COMPUTED_VALUE"""),"الهادی")</f>
        <v>الهادی</v>
      </c>
      <c r="D342" s="5" t="str">
        <f>IFERROR(__xludf.DUMMYFUNCTION("""COMPUTED_VALUE"""),"تهران")</f>
        <v>تهران</v>
      </c>
      <c r="E342" s="5" t="str">
        <f>IFERROR(__xludf.DUMMYFUNCTION("""COMPUTED_VALUE"""),"تهران")</f>
        <v>تهران</v>
      </c>
      <c r="F342" s="5" t="str">
        <f>IFERROR(__xludf.DUMMYFUNCTION("""COMPUTED_VALUE"""),"دانشگاه تهران")</f>
        <v>دانشگاه تهران</v>
      </c>
      <c r="G342" s="5"/>
      <c r="H342" s="6" t="str">
        <f>IFERROR(__xludf.DUMMYFUNCTION("""COMPUTED_VALUE"""),"https://www.instagram.com/alhadi_sbu/")</f>
        <v>https://www.instagram.com/alhadi_sbu/</v>
      </c>
      <c r="I342" s="6" t="str">
        <f>IFERROR(__xludf.DUMMYFUNCTION("""COMPUTED_VALUE"""),"https://t.me/alhadi_sbu")</f>
        <v>https://t.me/alhadi_sbu</v>
      </c>
      <c r="J342" s="6" t="str">
        <f>IFERROR(__xludf.DUMMYFUNCTION("""COMPUTED_VALUE"""),"https://eitaa.com/s/alhadi_sbu")</f>
        <v>https://eitaa.com/s/alhadi_sbu</v>
      </c>
      <c r="K342" s="5"/>
      <c r="L342" s="5"/>
      <c r="M342" s="5"/>
      <c r="N342" s="5"/>
      <c r="O342" s="5"/>
      <c r="P342" s="5"/>
      <c r="Q342" s="5"/>
      <c r="R342" s="5"/>
      <c r="S342" s="5"/>
    </row>
    <row r="343">
      <c r="A343" s="5"/>
      <c r="B343" s="5" t="str">
        <f>IFERROR(__xludf.DUMMYFUNCTION("""COMPUTED_VALUE"""),"هیأت")</f>
        <v>هیأت</v>
      </c>
      <c r="C343" s="5" t="str">
        <f>IFERROR(__xludf.DUMMYFUNCTION("""COMPUTED_VALUE"""),"عاشقان حسینی")</f>
        <v>عاشقان حسینی</v>
      </c>
      <c r="D343" s="5" t="str">
        <f>IFERROR(__xludf.DUMMYFUNCTION("""COMPUTED_VALUE"""),"تهران")</f>
        <v>تهران</v>
      </c>
      <c r="E343" s="5" t="str">
        <f>IFERROR(__xludf.DUMMYFUNCTION("""COMPUTED_VALUE"""),"تهران")</f>
        <v>تهران</v>
      </c>
      <c r="F343" s="5" t="str">
        <f>IFERROR(__xludf.DUMMYFUNCTION("""COMPUTED_VALUE"""),"میدان قیام")</f>
        <v>میدان قیام</v>
      </c>
      <c r="G343" s="5"/>
      <c r="H343" s="6" t="str">
        <f>IFERROR(__xludf.DUMMYFUNCTION("""COMPUTED_VALUE"""),"https://www.instagram.com/asheghane128/")</f>
        <v>https://www.instagram.com/asheghane128/</v>
      </c>
      <c r="I343" s="6" t="str">
        <f>IFERROR(__xludf.DUMMYFUNCTION("""COMPUTED_VALUE"""),"https://t.me/asheghane128")</f>
        <v>https://t.me/asheghane128</v>
      </c>
      <c r="J343" s="6" t="str">
        <f>IFERROR(__xludf.DUMMYFUNCTION("""COMPUTED_VALUE"""),"https://eitaa.com/s/asheghane128")</f>
        <v>https://eitaa.com/s/asheghane128</v>
      </c>
      <c r="K343" s="6" t="str">
        <f>IFERROR(__xludf.DUMMYFUNCTION("""COMPUTED_VALUE"""),"https://ble.ir/asheghane128")</f>
        <v>https://ble.ir/asheghane128</v>
      </c>
      <c r="L343" s="6" t="str">
        <f>IFERROR(__xludf.DUMMYFUNCTION("""COMPUTED_VALUE"""),"https://sharieh.com/")</f>
        <v>https://sharieh.com/</v>
      </c>
      <c r="M343" s="5"/>
      <c r="N343" s="5" t="str">
        <f>IFERROR(__xludf.DUMMYFUNCTION("""COMPUTED_VALUE"""),"*")</f>
        <v>*</v>
      </c>
      <c r="O343" s="5"/>
      <c r="P343" s="5"/>
      <c r="Q343" s="5"/>
      <c r="R343" s="5"/>
      <c r="S343" s="5"/>
    </row>
    <row r="344">
      <c r="A344" s="5"/>
      <c r="B344" s="5" t="str">
        <f>IFERROR(__xludf.DUMMYFUNCTION("""COMPUTED_VALUE"""),"هیأت")</f>
        <v>هیأت</v>
      </c>
      <c r="C344" s="5" t="str">
        <f>IFERROR(__xludf.DUMMYFUNCTION("""COMPUTED_VALUE"""),"بیت العباس")</f>
        <v>بیت العباس</v>
      </c>
      <c r="D344" s="5" t="str">
        <f>IFERROR(__xludf.DUMMYFUNCTION("""COMPUTED_VALUE"""),"تهران")</f>
        <v>تهران</v>
      </c>
      <c r="E344" s="5" t="str">
        <f>IFERROR(__xludf.DUMMYFUNCTION("""COMPUTED_VALUE"""),"تهران")</f>
        <v>تهران</v>
      </c>
      <c r="F344" s="5" t="str">
        <f>IFERROR(__xludf.DUMMYFUNCTION("""COMPUTED_VALUE"""),"مشیریه")</f>
        <v>مشیریه</v>
      </c>
      <c r="G344" s="5"/>
      <c r="H344" s="6" t="str">
        <f>IFERROR(__xludf.DUMMYFUNCTION("""COMPUTED_VALUE"""),"https://www.instagram.com/beyt_133/")</f>
        <v>https://www.instagram.com/beyt_133/</v>
      </c>
      <c r="I344" s="6" t="str">
        <f>IFERROR(__xludf.DUMMYFUNCTION("""COMPUTED_VALUE"""),"https://t.me/beyt_133")</f>
        <v>https://t.me/beyt_133</v>
      </c>
      <c r="J344" s="6" t="str">
        <f>IFERROR(__xludf.DUMMYFUNCTION("""COMPUTED_VALUE"""),"https://eitaa.com/s/beyt133")</f>
        <v>https://eitaa.com/s/beyt133</v>
      </c>
      <c r="K344" s="5"/>
      <c r="L344" s="5"/>
      <c r="M344" s="5"/>
      <c r="N344" s="5" t="str">
        <f>IFERROR(__xludf.DUMMYFUNCTION("""COMPUTED_VALUE"""),"*")</f>
        <v>*</v>
      </c>
      <c r="O344" s="5"/>
      <c r="P344" s="5"/>
      <c r="Q344" s="5"/>
      <c r="R344" s="5"/>
      <c r="S344" s="5"/>
    </row>
    <row r="345">
      <c r="A345" s="5"/>
      <c r="B345" s="5" t="str">
        <f>IFERROR(__xludf.DUMMYFUNCTION("""COMPUTED_VALUE"""),"هیأت")</f>
        <v>هیأت</v>
      </c>
      <c r="C345" s="5" t="str">
        <f>IFERROR(__xludf.DUMMYFUNCTION("""COMPUTED_VALUE"""),"عشاق لرقیه")</f>
        <v>عشاق لرقیه</v>
      </c>
      <c r="D345" s="5" t="str">
        <f>IFERROR(__xludf.DUMMYFUNCTION("""COMPUTED_VALUE"""),"تهران")</f>
        <v>تهران</v>
      </c>
      <c r="E345" s="5" t="str">
        <f>IFERROR(__xludf.DUMMYFUNCTION("""COMPUTED_VALUE"""),"تهران")</f>
        <v>تهران</v>
      </c>
      <c r="F345" s="5" t="str">
        <f>IFERROR(__xludf.DUMMYFUNCTION("""COMPUTED_VALUE"""),"خيابان آيت الله سعيدى،بعدازچهارراه عارف،كوچه فتحعلى زاده،حسينيه قاسم ابن الحسن,")</f>
        <v>خيابان آيت الله سعيدى،بعدازچهارراه عارف،كوچه فتحعلى زاده،حسينيه قاسم ابن الحسن,</v>
      </c>
      <c r="G345" s="5"/>
      <c r="H345" s="6" t="str">
        <f>IFERROR(__xludf.DUMMYFUNCTION("""COMPUTED_VALUE"""),"https://www.instagram.com/dameshghinfo/")</f>
        <v>https://www.instagram.com/dameshghinfo/</v>
      </c>
      <c r="I345" s="6" t="str">
        <f>IFERROR(__xludf.DUMMYFUNCTION("""COMPUTED_VALUE"""),"https://t.me/Dameshghinfo")</f>
        <v>https://t.me/Dameshghinfo</v>
      </c>
      <c r="J345" s="6" t="str">
        <f>IFERROR(__xludf.DUMMYFUNCTION("""COMPUTED_VALUE"""),"https://eitaa.com/s/dameshghinfo315")</f>
        <v>https://eitaa.com/s/dameshghinfo315</v>
      </c>
      <c r="K345" s="5"/>
      <c r="L345" s="5"/>
      <c r="M345" s="5"/>
      <c r="N345" s="5" t="str">
        <f>IFERROR(__xludf.DUMMYFUNCTION("""COMPUTED_VALUE"""),"*")</f>
        <v>*</v>
      </c>
      <c r="O345" s="5"/>
      <c r="P345" s="5"/>
      <c r="Q345" s="5"/>
      <c r="R345" s="5"/>
      <c r="S345" s="5"/>
    </row>
    <row r="346">
      <c r="A346" s="5"/>
      <c r="B346" s="5" t="str">
        <f>IFERROR(__xludf.DUMMYFUNCTION("""COMPUTED_VALUE"""),"هیأت دانشجویی")</f>
        <v>هیأت دانشجویی</v>
      </c>
      <c r="C346" s="5" t="str">
        <f>IFERROR(__xludf.DUMMYFUNCTION("""COMPUTED_VALUE"""),"اصحاب الحسین")</f>
        <v>اصحاب الحسین</v>
      </c>
      <c r="D346" s="5" t="str">
        <f>IFERROR(__xludf.DUMMYFUNCTION("""COMPUTED_VALUE"""),"تهران")</f>
        <v>تهران</v>
      </c>
      <c r="E346" s="5" t="str">
        <f>IFERROR(__xludf.DUMMYFUNCTION("""COMPUTED_VALUE"""),"تهران")</f>
        <v>تهران</v>
      </c>
      <c r="F346" s="5" t="str">
        <f>IFERROR(__xludf.DUMMYFUNCTION("""COMPUTED_VALUE"""),"دانشگاه تهران")</f>
        <v>دانشگاه تهران</v>
      </c>
      <c r="G346" s="5"/>
      <c r="H346" s="6" t="str">
        <f>IFERROR(__xludf.DUMMYFUNCTION("""COMPUTED_VALUE"""),"https://www.instagram.com/ashabolhossein_ir/")</f>
        <v>https://www.instagram.com/ashabolhossein_ir/</v>
      </c>
      <c r="I346" s="6" t="str">
        <f>IFERROR(__xludf.DUMMYFUNCTION("""COMPUTED_VALUE"""),"https://t.me/ashabolhossein_ir")</f>
        <v>https://t.me/ashabolhossein_ir</v>
      </c>
      <c r="J346" s="6" t="str">
        <f>IFERROR(__xludf.DUMMYFUNCTION("""COMPUTED_VALUE"""),"https://www.eitaa.com/ashabolhossein_ir")</f>
        <v>https://www.eitaa.com/ashabolhossein_ir</v>
      </c>
      <c r="K346" s="6" t="str">
        <f>IFERROR(__xludf.DUMMYFUNCTION("""COMPUTED_VALUE"""),"https://www.youtube.com/@ashabolhossein_ir")</f>
        <v>https://www.youtube.com/@ashabolhossein_ir</v>
      </c>
      <c r="L346" s="5"/>
      <c r="M346" s="5"/>
      <c r="N346" s="5" t="str">
        <f>IFERROR(__xludf.DUMMYFUNCTION("""COMPUTED_VALUE"""),"*")</f>
        <v>*</v>
      </c>
      <c r="O346" s="5"/>
      <c r="P346" s="5"/>
      <c r="Q346" s="5"/>
      <c r="R346" s="5"/>
      <c r="S346" s="5"/>
    </row>
    <row r="347">
      <c r="A347" s="5"/>
      <c r="B347" s="5" t="str">
        <f>IFERROR(__xludf.DUMMYFUNCTION("""COMPUTED_VALUE"""),"هیأت")</f>
        <v>هیأت</v>
      </c>
      <c r="C347" s="5" t="str">
        <f>IFERROR(__xludf.DUMMYFUNCTION("""COMPUTED_VALUE"""),"حسینیه بیت الکریم (هیأت یازهرا)")</f>
        <v>حسینیه بیت الکریم (هیأت یازهرا)</v>
      </c>
      <c r="D347" s="5" t="str">
        <f>IFERROR(__xludf.DUMMYFUNCTION("""COMPUTED_VALUE"""),"تهران")</f>
        <v>تهران</v>
      </c>
      <c r="E347" s="5" t="str">
        <f>IFERROR(__xludf.DUMMYFUNCTION("""COMPUTED_VALUE"""),"تهران")</f>
        <v>تهران</v>
      </c>
      <c r="F347" s="5" t="str">
        <f>IFERROR(__xludf.DUMMYFUNCTION("""COMPUTED_VALUE"""),"بریانک")</f>
        <v>بریانک</v>
      </c>
      <c r="G347" s="5"/>
      <c r="H347" s="6" t="str">
        <f>IFERROR(__xludf.DUMMYFUNCTION("""COMPUTED_VALUE"""),"https://www.instagram.com/beytolkarim_resane/")</f>
        <v>https://www.instagram.com/beytolkarim_resane/</v>
      </c>
      <c r="I347" s="6" t="str">
        <f>IFERROR(__xludf.DUMMYFUNCTION("""COMPUTED_VALUE"""),"https://t.me/beytolkarim")</f>
        <v>https://t.me/beytolkarim</v>
      </c>
      <c r="J347" s="6" t="str">
        <f>IFERROR(__xludf.DUMMYFUNCTION("""COMPUTED_VALUE"""),"https://www.instagram.com/beytolkarim1377/")</f>
        <v>https://www.instagram.com/beytolkarim1377/</v>
      </c>
      <c r="K347" s="5"/>
      <c r="L347" s="5"/>
      <c r="M347" s="5"/>
      <c r="N347" s="5" t="str">
        <f>IFERROR(__xludf.DUMMYFUNCTION("""COMPUTED_VALUE"""),"*")</f>
        <v>*</v>
      </c>
      <c r="O347" s="5"/>
      <c r="P347" s="5"/>
      <c r="Q347" s="5"/>
      <c r="R347" s="5"/>
      <c r="S347" s="5"/>
    </row>
    <row r="348">
      <c r="A348" s="5"/>
      <c r="B348" s="5" t="str">
        <f>IFERROR(__xludf.DUMMYFUNCTION("""COMPUTED_VALUE"""),"هیأت")</f>
        <v>هیأت</v>
      </c>
      <c r="C348" s="5" t="str">
        <f>IFERROR(__xludf.DUMMYFUNCTION("""COMPUTED_VALUE"""),"حسینیه فاطمه الزهرا")</f>
        <v>حسینیه فاطمه الزهرا</v>
      </c>
      <c r="D348" s="5" t="str">
        <f>IFERROR(__xludf.DUMMYFUNCTION("""COMPUTED_VALUE"""),"تهران")</f>
        <v>تهران</v>
      </c>
      <c r="E348" s="5" t="str">
        <f>IFERROR(__xludf.DUMMYFUNCTION("""COMPUTED_VALUE"""),"تهران")</f>
        <v>تهران</v>
      </c>
      <c r="F348" s="5" t="str">
        <f>IFERROR(__xludf.DUMMYFUNCTION("""COMPUTED_VALUE"""),"فخرآباد")</f>
        <v>فخرآباد</v>
      </c>
      <c r="G348" s="5"/>
      <c r="H348" s="6" t="str">
        <f>IFERROR(__xludf.DUMMYFUNCTION("""COMPUTED_VALUE"""),"https://www.instagram.com/buyesib110/")</f>
        <v>https://www.instagram.com/buyesib110/</v>
      </c>
      <c r="I348" s="6" t="str">
        <f>IFERROR(__xludf.DUMMYFUNCTION("""COMPUTED_VALUE"""),"https://t.me/buyesib_com")</f>
        <v>https://t.me/buyesib_com</v>
      </c>
      <c r="J348" s="5" t="str">
        <f>IFERROR(__xludf.DUMMYFUNCTION("""COMPUTED_VALUE"""),"هیات نیست")</f>
        <v>هیات نیست</v>
      </c>
      <c r="K348" s="5"/>
      <c r="L348" s="5"/>
      <c r="M348" s="5" t="str">
        <f>IFERROR(__xludf.DUMMYFUNCTION("""COMPUTED_VALUE"""),"محمدحسین حدادیان ")</f>
        <v>محمدحسین حدادیان </v>
      </c>
      <c r="N348" s="5"/>
      <c r="O348" s="5"/>
      <c r="P348" s="5"/>
      <c r="Q348" s="5"/>
      <c r="R348" s="5"/>
      <c r="S348" s="5"/>
    </row>
    <row r="349">
      <c r="A349" s="5"/>
      <c r="B349" s="5" t="str">
        <f>IFERROR(__xludf.DUMMYFUNCTION("""COMPUTED_VALUE"""),"هیأت")</f>
        <v>هیأت</v>
      </c>
      <c r="C349" s="5" t="str">
        <f>IFERROR(__xludf.DUMMYFUNCTION("""COMPUTED_VALUE"""),"ابناء الحیدر")</f>
        <v>ابناء الحیدر</v>
      </c>
      <c r="D349" s="5" t="str">
        <f>IFERROR(__xludf.DUMMYFUNCTION("""COMPUTED_VALUE"""),"تهران")</f>
        <v>تهران</v>
      </c>
      <c r="E349" s="5" t="str">
        <f>IFERROR(__xludf.DUMMYFUNCTION("""COMPUTED_VALUE"""),"تهران")</f>
        <v>تهران</v>
      </c>
      <c r="F349" s="5" t="str">
        <f>IFERROR(__xludf.DUMMYFUNCTION("""COMPUTED_VALUE"""),"هنگام")</f>
        <v>هنگام</v>
      </c>
      <c r="G349" s="5"/>
      <c r="H349" s="6" t="str">
        <f>IFERROR(__xludf.DUMMYFUNCTION("""COMPUTED_VALUE"""),"https://www.instagram.com/abna_alheidar/")</f>
        <v>https://www.instagram.com/abna_alheidar/</v>
      </c>
      <c r="I349" s="6" t="str">
        <f>IFERROR(__xludf.DUMMYFUNCTION("""COMPUTED_VALUE"""),"https://t.me/abna_alheidar")</f>
        <v>https://t.me/abna_alheidar</v>
      </c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>
      <c r="A350" s="5"/>
      <c r="B350" s="5" t="str">
        <f>IFERROR(__xludf.DUMMYFUNCTION("""COMPUTED_VALUE"""),"هیأت")</f>
        <v>هیأت</v>
      </c>
      <c r="C350" s="5" t="str">
        <f>IFERROR(__xludf.DUMMYFUNCTION("""COMPUTED_VALUE"""),"ابناءالزهرا")</f>
        <v>ابناءالزهرا</v>
      </c>
      <c r="D350" s="5" t="str">
        <f>IFERROR(__xludf.DUMMYFUNCTION("""COMPUTED_VALUE"""),"تهران")</f>
        <v>تهران</v>
      </c>
      <c r="E350" s="5" t="str">
        <f>IFERROR(__xludf.DUMMYFUNCTION("""COMPUTED_VALUE"""),"تهران")</f>
        <v>تهران</v>
      </c>
      <c r="F350" s="5" t="str">
        <f>IFERROR(__xludf.DUMMYFUNCTION("""COMPUTED_VALUE"""),"دریاچه چیتگر")</f>
        <v>دریاچه چیتگر</v>
      </c>
      <c r="G350" s="5"/>
      <c r="H350" s="6" t="str">
        <f>IFERROR(__xludf.DUMMYFUNCTION("""COMPUTED_VALUE"""),"https://www.instagram.com/abnaolzahra_info/")</f>
        <v>https://www.instagram.com/abnaolzahra_info/</v>
      </c>
      <c r="I350" s="6" t="str">
        <f>IFERROR(__xludf.DUMMYFUNCTION("""COMPUTED_VALUE"""),"https://t.me/abnaolzahra_info")</f>
        <v>https://t.me/abnaolzahra_info</v>
      </c>
      <c r="J350" s="5"/>
      <c r="K350" s="5"/>
      <c r="L350" s="5"/>
      <c r="M350" s="5" t="str">
        <f>IFERROR(__xludf.DUMMYFUNCTION("""COMPUTED_VALUE"""),"مهرداد ملکی")</f>
        <v>مهرداد ملکی</v>
      </c>
      <c r="N350" s="5" t="str">
        <f>IFERROR(__xludf.DUMMYFUNCTION("""COMPUTED_VALUE"""),"*")</f>
        <v>*</v>
      </c>
      <c r="O350" s="5"/>
      <c r="P350" s="5"/>
      <c r="Q350" s="5"/>
      <c r="R350" s="5"/>
      <c r="S350" s="5"/>
    </row>
    <row r="351">
      <c r="A351" s="5"/>
      <c r="B351" s="5" t="str">
        <f>IFERROR(__xludf.DUMMYFUNCTION("""COMPUTED_VALUE"""),"هیأت")</f>
        <v>هیأت</v>
      </c>
      <c r="C351" s="5" t="str">
        <f>IFERROR(__xludf.DUMMYFUNCTION("""COMPUTED_VALUE"""),"أبناءالزهرا")</f>
        <v>أبناءالزهرا</v>
      </c>
      <c r="D351" s="5" t="str">
        <f>IFERROR(__xludf.DUMMYFUNCTION("""COMPUTED_VALUE"""),"تهران")</f>
        <v>تهران</v>
      </c>
      <c r="E351" s="5" t="str">
        <f>IFERROR(__xludf.DUMMYFUNCTION("""COMPUTED_VALUE"""),"تهران")</f>
        <v>تهران</v>
      </c>
      <c r="F351" s="5" t="str">
        <f>IFERROR(__xludf.DUMMYFUNCTION("""COMPUTED_VALUE"""),"خیابان ایران")</f>
        <v>خیابان ایران</v>
      </c>
      <c r="G351" s="5"/>
      <c r="H351" s="6" t="str">
        <f>IFERROR(__xludf.DUMMYFUNCTION("""COMPUTED_VALUE"""),"https://www.instagram.com/abnaozzahra135/")</f>
        <v>https://www.instagram.com/abnaozzahra135/</v>
      </c>
      <c r="I351" s="6" t="str">
        <f>IFERROR(__xludf.DUMMYFUNCTION("""COMPUTED_VALUE"""),"https://t.me/abnaozzahra135")</f>
        <v>https://t.me/abnaozzahra135</v>
      </c>
      <c r="J351" s="5"/>
      <c r="K351" s="5"/>
      <c r="L351" s="5"/>
      <c r="M351" s="5" t="str">
        <f>IFERROR(__xludf.DUMMYFUNCTION("""COMPUTED_VALUE"""),"مسجد سادات اخوی")</f>
        <v>مسجد سادات اخوی</v>
      </c>
      <c r="N351" s="5" t="str">
        <f>IFERROR(__xludf.DUMMYFUNCTION("""COMPUTED_VALUE"""),"*")</f>
        <v>*</v>
      </c>
      <c r="O351" s="5"/>
      <c r="P351" s="5"/>
      <c r="Q351" s="5"/>
      <c r="R351" s="5"/>
      <c r="S351" s="5"/>
    </row>
    <row r="352">
      <c r="A352" s="5"/>
      <c r="B352" s="5" t="str">
        <f>IFERROR(__xludf.DUMMYFUNCTION("""COMPUTED_VALUE"""),"هیأت")</f>
        <v>هیأت</v>
      </c>
      <c r="C352" s="5" t="str">
        <f>IFERROR(__xludf.DUMMYFUNCTION("""COMPUTED_VALUE"""),"محبین ابوتراب")</f>
        <v>محبین ابوتراب</v>
      </c>
      <c r="D352" s="5" t="str">
        <f>IFERROR(__xludf.DUMMYFUNCTION("""COMPUTED_VALUE"""),"تهران")</f>
        <v>تهران</v>
      </c>
      <c r="E352" s="5" t="str">
        <f>IFERROR(__xludf.DUMMYFUNCTION("""COMPUTED_VALUE"""),"تهران")</f>
        <v>تهران</v>
      </c>
      <c r="F352" s="5"/>
      <c r="G352" s="5"/>
      <c r="H352" s="6" t="str">
        <f>IFERROR(__xludf.DUMMYFUNCTION("""COMPUTED_VALUE"""),"https://www.instagram.com/abotorab_info/")</f>
        <v>https://www.instagram.com/abotorab_info/</v>
      </c>
      <c r="I352" s="6" t="str">
        <f>IFERROR(__xludf.DUMMYFUNCTION("""COMPUTED_VALUE"""),"https://t.me/abotorab_info")</f>
        <v>https://t.me/abotorab_info</v>
      </c>
      <c r="J352" s="5"/>
      <c r="K352" s="5"/>
      <c r="L352" s="5"/>
      <c r="M352" s="5" t="str">
        <f>IFERROR(__xludf.DUMMYFUNCTION("""COMPUTED_VALUE"""),"محسن فرهنگیان")</f>
        <v>محسن فرهنگیان</v>
      </c>
      <c r="N352" s="5" t="str">
        <f>IFERROR(__xludf.DUMMYFUNCTION("""COMPUTED_VALUE"""),"*")</f>
        <v>*</v>
      </c>
      <c r="O352" s="5"/>
      <c r="P352" s="5"/>
      <c r="Q352" s="5"/>
      <c r="R352" s="5"/>
      <c r="S352" s="5"/>
    </row>
    <row r="353">
      <c r="A353" s="5"/>
      <c r="B353" s="5" t="str">
        <f>IFERROR(__xludf.DUMMYFUNCTION("""COMPUTED_VALUE"""),"هیأت")</f>
        <v>هیأت</v>
      </c>
      <c r="C353" s="5" t="str">
        <f>IFERROR(__xludf.DUMMYFUNCTION("""COMPUTED_VALUE"""),"ابوتراب")</f>
        <v>ابوتراب</v>
      </c>
      <c r="D353" s="5" t="str">
        <f>IFERROR(__xludf.DUMMYFUNCTION("""COMPUTED_VALUE"""),"تهران")</f>
        <v>تهران</v>
      </c>
      <c r="E353" s="5" t="str">
        <f>IFERROR(__xludf.DUMMYFUNCTION("""COMPUTED_VALUE"""),"تهران")</f>
        <v>تهران</v>
      </c>
      <c r="F353" s="5"/>
      <c r="G353" s="5"/>
      <c r="H353" s="6" t="str">
        <f>IFERROR(__xludf.DUMMYFUNCTION("""COMPUTED_VALUE"""),"https://www.instagram.com/abutorab.ir/")</f>
        <v>https://www.instagram.com/abutorab.ir/</v>
      </c>
      <c r="I353" s="6" t="str">
        <f>IFERROR(__xludf.DUMMYFUNCTION("""COMPUTED_VALUE"""),"https://t.me/abutoraab")</f>
        <v>https://t.me/abutoraab</v>
      </c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>
      <c r="A354" s="5"/>
      <c r="B354" s="5" t="str">
        <f>IFERROR(__xludf.DUMMYFUNCTION("""COMPUTED_VALUE"""),"هیأت")</f>
        <v>هیأت</v>
      </c>
      <c r="C354" s="5" t="str">
        <f>IFERROR(__xludf.DUMMYFUNCTION("""COMPUTED_VALUE"""),"آیین حسینی")</f>
        <v>آیین حسینی</v>
      </c>
      <c r="D354" s="5" t="str">
        <f>IFERROR(__xludf.DUMMYFUNCTION("""COMPUTED_VALUE"""),"تهران")</f>
        <v>تهران</v>
      </c>
      <c r="E354" s="5" t="str">
        <f>IFERROR(__xludf.DUMMYFUNCTION("""COMPUTED_VALUE"""),"تهران")</f>
        <v>تهران</v>
      </c>
      <c r="F354" s="5"/>
      <c r="G354" s="5"/>
      <c r="H354" s="6" t="str">
        <f>IFERROR(__xludf.DUMMYFUNCTION("""COMPUTED_VALUE"""),"https://www.instagram.com/aeenehosseini.heiat")</f>
        <v>https://www.instagram.com/aeenehosseini.heiat</v>
      </c>
      <c r="I354" s="6" t="str">
        <f>IFERROR(__xludf.DUMMYFUNCTION("""COMPUTED_VALUE"""),"https://t.me/aeenehosseini")</f>
        <v>https://t.me/aeenehosseini</v>
      </c>
      <c r="J354" s="5"/>
      <c r="K354" s="5"/>
      <c r="L354" s="5"/>
      <c r="M354" s="5" t="str">
        <f>IFERROR(__xludf.DUMMYFUNCTION("""COMPUTED_VALUE"""),"میثم مطیعی")</f>
        <v>میثم مطیعی</v>
      </c>
      <c r="N354" s="5" t="str">
        <f>IFERROR(__xludf.DUMMYFUNCTION("""COMPUTED_VALUE"""),"*")</f>
        <v>*</v>
      </c>
      <c r="O354" s="5"/>
      <c r="P354" s="5"/>
      <c r="Q354" s="5"/>
      <c r="R354" s="5"/>
      <c r="S354" s="5"/>
    </row>
    <row r="355">
      <c r="A355" s="5"/>
      <c r="B355" s="5" t="str">
        <f>IFERROR(__xludf.DUMMYFUNCTION("""COMPUTED_VALUE"""),"هیأت")</f>
        <v>هیأت</v>
      </c>
      <c r="C355" s="5" t="str">
        <f>IFERROR(__xludf.DUMMYFUNCTION("""COMPUTED_VALUE"""),"روضه منوره عقیله العرب")</f>
        <v>روضه منوره عقیله العرب</v>
      </c>
      <c r="D355" s="5" t="str">
        <f>IFERROR(__xludf.DUMMYFUNCTION("""COMPUTED_VALUE"""),"تهران")</f>
        <v>تهران</v>
      </c>
      <c r="E355" s="5" t="str">
        <f>IFERROR(__xludf.DUMMYFUNCTION("""COMPUTED_VALUE"""),"تهران")</f>
        <v>تهران</v>
      </c>
      <c r="F355" s="5" t="str">
        <f>IFERROR(__xludf.DUMMYFUNCTION("""COMPUTED_VALUE"""),"حکیمیه")</f>
        <v>حکیمیه</v>
      </c>
      <c r="G355" s="5"/>
      <c r="H355" s="6" t="str">
        <f>IFERROR(__xludf.DUMMYFUNCTION("""COMPUTED_VALUE"""),"https://www.instagram.com/aghilatolarab/")</f>
        <v>https://www.instagram.com/aghilatolarab/</v>
      </c>
      <c r="I355" s="6" t="str">
        <f>IFERROR(__xludf.DUMMYFUNCTION("""COMPUTED_VALUE"""),"https://t.me/aghilatolarab")</f>
        <v>https://t.me/aghilatolarab</v>
      </c>
      <c r="J355" s="5"/>
      <c r="K355" s="5"/>
      <c r="L355" s="5"/>
      <c r="M355" s="5"/>
      <c r="N355" s="5" t="str">
        <f>IFERROR(__xludf.DUMMYFUNCTION("""COMPUTED_VALUE"""),"*")</f>
        <v>*</v>
      </c>
      <c r="O355" s="5"/>
      <c r="P355" s="5"/>
      <c r="Q355" s="5"/>
      <c r="R355" s="5"/>
      <c r="S355" s="5"/>
    </row>
    <row r="356">
      <c r="A356" s="5"/>
      <c r="B356" s="5" t="str">
        <f>IFERROR(__xludf.DUMMYFUNCTION("""COMPUTED_VALUE"""),"هیأت")</f>
        <v>هیأت</v>
      </c>
      <c r="C356" s="5" t="str">
        <f>IFERROR(__xludf.DUMMYFUNCTION("""COMPUTED_VALUE"""),"المهدی شهران")</f>
        <v>المهدی شهران</v>
      </c>
      <c r="D356" s="5" t="str">
        <f>IFERROR(__xludf.DUMMYFUNCTION("""COMPUTED_VALUE"""),"تهران")</f>
        <v>تهران</v>
      </c>
      <c r="E356" s="5" t="str">
        <f>IFERROR(__xludf.DUMMYFUNCTION("""COMPUTED_VALUE"""),"تهران")</f>
        <v>تهران</v>
      </c>
      <c r="F356" s="5"/>
      <c r="G356" s="5"/>
      <c r="H356" s="6" t="str">
        <f>IFERROR(__xludf.DUMMYFUNCTION("""COMPUTED_VALUE"""),"https://www.instagram.com/al_mahdi89/")</f>
        <v>https://www.instagram.com/al_mahdi89/</v>
      </c>
      <c r="I356" s="6" t="str">
        <f>IFERROR(__xludf.DUMMYFUNCTION("""COMPUTED_VALUE"""),"https://t.me/al_mahdi89")</f>
        <v>https://t.me/al_mahdi89</v>
      </c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>
      <c r="A357" s="5"/>
      <c r="B357" s="5" t="str">
        <f>IFERROR(__xludf.DUMMYFUNCTION("""COMPUTED_VALUE"""),"هیأت")</f>
        <v>هیأت</v>
      </c>
      <c r="C357" s="5" t="str">
        <f>IFERROR(__xludf.DUMMYFUNCTION("""COMPUTED_VALUE"""),"روضه مقدس آل یاسین")</f>
        <v>روضه مقدس آل یاسین</v>
      </c>
      <c r="D357" s="5" t="str">
        <f>IFERROR(__xludf.DUMMYFUNCTION("""COMPUTED_VALUE"""),"تهران")</f>
        <v>تهران</v>
      </c>
      <c r="E357" s="5" t="str">
        <f>IFERROR(__xludf.DUMMYFUNCTION("""COMPUTED_VALUE"""),"تهران")</f>
        <v>تهران</v>
      </c>
      <c r="F357" s="5"/>
      <c r="G357" s="5"/>
      <c r="H357" s="6" t="str">
        <f>IFERROR(__xludf.DUMMYFUNCTION("""COMPUTED_VALUE"""),"https://www.instagram.com/aleyasin59.ir/")</f>
        <v>https://www.instagram.com/aleyasin59.ir/</v>
      </c>
      <c r="I357" s="6" t="str">
        <f>IFERROR(__xludf.DUMMYFUNCTION("""COMPUTED_VALUE"""),"https://t.me/Aleyasiin59")</f>
        <v>https://t.me/Aleyasiin59</v>
      </c>
      <c r="J357" s="5"/>
      <c r="K357" s="5"/>
      <c r="L357" s="5"/>
      <c r="M357" s="5" t="str">
        <f>IFERROR(__xludf.DUMMYFUNCTION("""COMPUTED_VALUE"""),"خمسه")</f>
        <v>خمسه</v>
      </c>
      <c r="N357" s="5" t="str">
        <f>IFERROR(__xludf.DUMMYFUNCTION("""COMPUTED_VALUE"""),"*")</f>
        <v>*</v>
      </c>
      <c r="O357" s="5"/>
      <c r="P357" s="5"/>
      <c r="Q357" s="5"/>
      <c r="R357" s="5"/>
      <c r="S357" s="5"/>
    </row>
    <row r="358">
      <c r="A358" s="5"/>
      <c r="B358" s="5" t="str">
        <f>IFERROR(__xludf.DUMMYFUNCTION("""COMPUTED_VALUE"""),"هیأت")</f>
        <v>هیأت</v>
      </c>
      <c r="C358" s="5" t="str">
        <f>IFERROR(__xludf.DUMMYFUNCTION("""COMPUTED_VALUE"""),"مکتب العباس")</f>
        <v>مکتب العباس</v>
      </c>
      <c r="D358" s="5" t="str">
        <f>IFERROR(__xludf.DUMMYFUNCTION("""COMPUTED_VALUE"""),"تهران")</f>
        <v>تهران</v>
      </c>
      <c r="E358" s="5" t="str">
        <f>IFERROR(__xludf.DUMMYFUNCTION("""COMPUTED_VALUE"""),"تهران")</f>
        <v>تهران</v>
      </c>
      <c r="F358" s="5" t="str">
        <f>IFERROR(__xludf.DUMMYFUNCTION("""COMPUTED_VALUE"""),"میدان شهدا")</f>
        <v>میدان شهدا</v>
      </c>
      <c r="G358" s="5"/>
      <c r="H358" s="6" t="str">
        <f>IFERROR(__xludf.DUMMYFUNCTION("""COMPUTED_VALUE"""),"https://www.instagram.com/alghami_media/")</f>
        <v>https://www.instagram.com/alghami_media/</v>
      </c>
      <c r="I358" s="6" t="str">
        <f>IFERROR(__xludf.DUMMYFUNCTION("""COMPUTED_VALUE"""),"https://t.me/alghami_media")</f>
        <v>https://t.me/alghami_media</v>
      </c>
      <c r="J358" s="5"/>
      <c r="K358" s="5"/>
      <c r="L358" s="5"/>
      <c r="M358" s="5" t="str">
        <f>IFERROR(__xludf.DUMMYFUNCTION("""COMPUTED_VALUE"""),"نوشه ور")</f>
        <v>نوشه ور</v>
      </c>
      <c r="N358" s="5" t="str">
        <f>IFERROR(__xludf.DUMMYFUNCTION("""COMPUTED_VALUE"""),"*")</f>
        <v>*</v>
      </c>
      <c r="O358" s="5"/>
      <c r="P358" s="5"/>
      <c r="Q358" s="5"/>
      <c r="R358" s="5"/>
      <c r="S358" s="5"/>
    </row>
    <row r="359">
      <c r="A359" s="5"/>
      <c r="B359" s="5" t="str">
        <f>IFERROR(__xludf.DUMMYFUNCTION("""COMPUTED_VALUE"""),"هیأت")</f>
        <v>هیأت</v>
      </c>
      <c r="C359" s="5" t="str">
        <f>IFERROR(__xludf.DUMMYFUNCTION("""COMPUTED_VALUE"""),"احلی من العسل")</f>
        <v>احلی من العسل</v>
      </c>
      <c r="D359" s="5" t="str">
        <f>IFERROR(__xludf.DUMMYFUNCTION("""COMPUTED_VALUE"""),"تهران")</f>
        <v>تهران</v>
      </c>
      <c r="E359" s="5" t="str">
        <f>IFERROR(__xludf.DUMMYFUNCTION("""COMPUTED_VALUE"""),"تهران")</f>
        <v>تهران</v>
      </c>
      <c r="F359" s="5"/>
      <c r="G359" s="5"/>
      <c r="H359" s="6" t="str">
        <f>IFERROR(__xludf.DUMMYFUNCTION("""COMPUTED_VALUE"""),"https://www.instagram.com/ahlaa_men_asal/")</f>
        <v>https://www.instagram.com/ahlaa_men_asal/</v>
      </c>
      <c r="I359" s="6" t="str">
        <f>IFERROR(__xludf.DUMMYFUNCTION("""COMPUTED_VALUE"""),"https://t.me/ali_porkaveh_zanjani")</f>
        <v>https://t.me/ali_porkaveh_zanjani</v>
      </c>
      <c r="J359" s="5"/>
      <c r="K359" s="5"/>
      <c r="L359" s="5"/>
      <c r="M359" s="5" t="str">
        <f>IFERROR(__xludf.DUMMYFUNCTION("""COMPUTED_VALUE"""),"علی پورکاوه")</f>
        <v>علی پورکاوه</v>
      </c>
      <c r="N359" s="5"/>
      <c r="O359" s="5"/>
      <c r="P359" s="5"/>
      <c r="Q359" s="5"/>
      <c r="R359" s="5"/>
      <c r="S359" s="5"/>
    </row>
    <row r="360">
      <c r="A360" s="5"/>
      <c r="B360" s="5" t="str">
        <f>IFERROR(__xludf.DUMMYFUNCTION("""COMPUTED_VALUE"""),"هیأت")</f>
        <v>هیأت</v>
      </c>
      <c r="C360" s="5" t="str">
        <f>IFERROR(__xludf.DUMMYFUNCTION("""COMPUTED_VALUE"""),"حسینیه حضرت علی اصغر")</f>
        <v>حسینیه حضرت علی اصغر</v>
      </c>
      <c r="D360" s="5" t="str">
        <f>IFERROR(__xludf.DUMMYFUNCTION("""COMPUTED_VALUE"""),"تهران")</f>
        <v>تهران</v>
      </c>
      <c r="E360" s="5" t="str">
        <f>IFERROR(__xludf.DUMMYFUNCTION("""COMPUTED_VALUE"""),"تهران")</f>
        <v>تهران</v>
      </c>
      <c r="F360" s="5"/>
      <c r="G360" s="5"/>
      <c r="H360" s="6" t="str">
        <f>IFERROR(__xludf.DUMMYFUNCTION("""COMPUTED_VALUE"""),"https://www.instagram.com/aliiasghar_1401/")</f>
        <v>https://www.instagram.com/aliiasghar_1401/</v>
      </c>
      <c r="I360" s="6" t="str">
        <f>IFERROR(__xludf.DUMMYFUNCTION("""COMPUTED_VALUE"""),"https://t.me/aliiasghar_1401")</f>
        <v>https://t.me/aliiasghar_1401</v>
      </c>
      <c r="J360" s="5"/>
      <c r="K360" s="5"/>
      <c r="L360" s="5"/>
      <c r="M360" s="5"/>
      <c r="N360" s="5" t="str">
        <f>IFERROR(__xludf.DUMMYFUNCTION("""COMPUTED_VALUE"""),"*")</f>
        <v>*</v>
      </c>
      <c r="O360" s="5"/>
      <c r="P360" s="5"/>
      <c r="Q360" s="5"/>
      <c r="R360" s="5"/>
      <c r="S360" s="5"/>
    </row>
    <row r="361">
      <c r="A361" s="5"/>
      <c r="B361" s="5" t="str">
        <f>IFERROR(__xludf.DUMMYFUNCTION("""COMPUTED_VALUE"""),"هیأت")</f>
        <v>هیأت</v>
      </c>
      <c r="C361" s="5" t="str">
        <f>IFERROR(__xludf.DUMMYFUNCTION("""COMPUTED_VALUE"""),"انصارالحسین")</f>
        <v>انصارالحسین</v>
      </c>
      <c r="D361" s="5" t="str">
        <f>IFERROR(__xludf.DUMMYFUNCTION("""COMPUTED_VALUE"""),"تهران")</f>
        <v>تهران</v>
      </c>
      <c r="E361" s="5" t="str">
        <f>IFERROR(__xludf.DUMMYFUNCTION("""COMPUTED_VALUE"""),"تهران")</f>
        <v>تهران</v>
      </c>
      <c r="F361" s="5" t="str">
        <f>IFERROR(__xludf.DUMMYFUNCTION("""COMPUTED_VALUE"""),"غرب تهران ،کیلومتر ۱۴ جاده مخصوص کرج،شهرک چیتگر شمالی،میدان جهاد،حسینیه سیدالشهدا (ع")</f>
        <v>غرب تهران ،کیلومتر ۱۴ جاده مخصوص کرج،شهرک چیتگر شمالی،میدان جهاد،حسینیه سیدالشهدا (ع</v>
      </c>
      <c r="G361" s="5"/>
      <c r="H361" s="6" t="str">
        <f>IFERROR(__xludf.DUMMYFUNCTION("""COMPUTED_VALUE"""),"https://www.instagram.com/ansar_.315/")</f>
        <v>https://www.instagram.com/ansar_.315/</v>
      </c>
      <c r="I361" s="6" t="str">
        <f>IFERROR(__xludf.DUMMYFUNCTION("""COMPUTED_VALUE"""),"https://t.me/ansaar_315")</f>
        <v>https://t.me/ansaar_315</v>
      </c>
      <c r="J361" s="5"/>
      <c r="K361" s="5"/>
      <c r="L361" s="5"/>
      <c r="M361" s="5"/>
      <c r="N361" s="5" t="str">
        <f>IFERROR(__xludf.DUMMYFUNCTION("""COMPUTED_VALUE"""),"*")</f>
        <v>*</v>
      </c>
      <c r="O361" s="5"/>
      <c r="P361" s="5"/>
      <c r="Q361" s="5"/>
      <c r="R361" s="5"/>
      <c r="S361" s="5"/>
    </row>
    <row r="362">
      <c r="A362" s="5"/>
      <c r="B362" s="5" t="str">
        <f>IFERROR(__xludf.DUMMYFUNCTION("""COMPUTED_VALUE"""),"هیأت")</f>
        <v>هیأت</v>
      </c>
      <c r="C362" s="5" t="str">
        <f>IFERROR(__xludf.DUMMYFUNCTION("""COMPUTED_VALUE"""),"انصارالمهدی")</f>
        <v>انصارالمهدی</v>
      </c>
      <c r="D362" s="5" t="str">
        <f>IFERROR(__xludf.DUMMYFUNCTION("""COMPUTED_VALUE"""),"تهران")</f>
        <v>تهران</v>
      </c>
      <c r="E362" s="5" t="str">
        <f>IFERROR(__xludf.DUMMYFUNCTION("""COMPUTED_VALUE"""),"تهران")</f>
        <v>تهران</v>
      </c>
      <c r="F362" s="5" t="str">
        <f>IFERROR(__xludf.DUMMYFUNCTION("""COMPUTED_VALUE"""),"میدان هفت تیر")</f>
        <v>میدان هفت تیر</v>
      </c>
      <c r="G362" s="5"/>
      <c r="H362" s="6" t="str">
        <f>IFERROR(__xludf.DUMMYFUNCTION("""COMPUTED_VALUE"""),"https://www.instagram.com/ansar_almahdi313/")</f>
        <v>https://www.instagram.com/ansar_almahdi313/</v>
      </c>
      <c r="I362" s="6" t="str">
        <f>IFERROR(__xludf.DUMMYFUNCTION("""COMPUTED_VALUE"""),"https://t.me/ansar_almahdi313")</f>
        <v>https://t.me/ansar_almahdi313</v>
      </c>
      <c r="J362" s="5"/>
      <c r="K362" s="5"/>
      <c r="L362" s="5"/>
      <c r="M362" s="5"/>
      <c r="N362" s="5" t="str">
        <f>IFERROR(__xludf.DUMMYFUNCTION("""COMPUTED_VALUE"""),"*")</f>
        <v>*</v>
      </c>
      <c r="O362" s="5"/>
      <c r="P362" s="5"/>
      <c r="Q362" s="5"/>
      <c r="R362" s="5"/>
      <c r="S362" s="5"/>
    </row>
    <row r="363">
      <c r="A363" s="5"/>
      <c r="B363" s="5" t="str">
        <f>IFERROR(__xludf.DUMMYFUNCTION("""COMPUTED_VALUE"""),"هیأت")</f>
        <v>هیأت</v>
      </c>
      <c r="C363" s="5" t="str">
        <f>IFERROR(__xludf.DUMMYFUNCTION("""COMPUTED_VALUE"""),"انصارالعباس دولاب")</f>
        <v>انصارالعباس دولاب</v>
      </c>
      <c r="D363" s="5" t="str">
        <f>IFERROR(__xludf.DUMMYFUNCTION("""COMPUTED_VALUE"""),"تهران")</f>
        <v>تهران</v>
      </c>
      <c r="E363" s="5" t="str">
        <f>IFERROR(__xludf.DUMMYFUNCTION("""COMPUTED_VALUE"""),"تهران")</f>
        <v>تهران</v>
      </c>
      <c r="F363" s="5" t="str">
        <f>IFERROR(__xludf.DUMMYFUNCTION("""COMPUTED_VALUE"""),"(خ)خاوران(خ)امیرسلیمانی(ک)،گلشناس.")</f>
        <v>(خ)خاوران(خ)امیرسلیمانی(ک)،گلشناس.</v>
      </c>
      <c r="G363" s="5"/>
      <c r="H363" s="6" t="str">
        <f>IFERROR(__xludf.DUMMYFUNCTION("""COMPUTED_VALUE"""),"https://www.instagram.com/ansarabbasdoolab/")</f>
        <v>https://www.instagram.com/ansarabbasdoolab/</v>
      </c>
      <c r="I363" s="6" t="str">
        <f>IFERROR(__xludf.DUMMYFUNCTION("""COMPUTED_VALUE"""),"https://t.me/ansarabbasdoolab1325")</f>
        <v>https://t.me/ansarabbasdoolab1325</v>
      </c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>
      <c r="A364" s="5"/>
      <c r="B364" s="5" t="str">
        <f>IFERROR(__xludf.DUMMYFUNCTION("""COMPUTED_VALUE"""),"هیأت")</f>
        <v>هیأت</v>
      </c>
      <c r="C364" s="5" t="str">
        <f>IFERROR(__xludf.DUMMYFUNCTION("""COMPUTED_VALUE"""),"حسینیه انصارالحسین")</f>
        <v>حسینیه انصارالحسین</v>
      </c>
      <c r="D364" s="5" t="str">
        <f>IFERROR(__xludf.DUMMYFUNCTION("""COMPUTED_VALUE"""),"تهران")</f>
        <v>تهران</v>
      </c>
      <c r="E364" s="5" t="str">
        <f>IFERROR(__xludf.DUMMYFUNCTION("""COMPUTED_VALUE"""),"تهران")</f>
        <v>تهران</v>
      </c>
      <c r="F364" s="5" t="str">
        <f>IFERROR(__xludf.DUMMYFUNCTION("""COMPUTED_VALUE"""),"خیابان ری")</f>
        <v>خیابان ری</v>
      </c>
      <c r="G364" s="5"/>
      <c r="H364" s="6" t="str">
        <f>IFERROR(__xludf.DUMMYFUNCTION("""COMPUTED_VALUE"""),"https://www.instagram.com/ansarhussainie/")</f>
        <v>https://www.instagram.com/ansarhussainie/</v>
      </c>
      <c r="I364" s="6" t="str">
        <f>IFERROR(__xludf.DUMMYFUNCTION("""COMPUTED_VALUE"""),"https://t.me/ansarhussainie")</f>
        <v>https://t.me/ansarhussainie</v>
      </c>
      <c r="J364" s="5"/>
      <c r="K364" s="5"/>
      <c r="L364" s="5"/>
      <c r="M364" s="5"/>
      <c r="N364" s="5" t="str">
        <f>IFERROR(__xludf.DUMMYFUNCTION("""COMPUTED_VALUE"""),"*")</f>
        <v>*</v>
      </c>
      <c r="O364" s="5"/>
      <c r="P364" s="5"/>
      <c r="Q364" s="5"/>
      <c r="R364" s="5"/>
      <c r="S364" s="5"/>
    </row>
    <row r="365">
      <c r="A365" s="5"/>
      <c r="B365" s="5" t="str">
        <f>IFERROR(__xludf.DUMMYFUNCTION("""COMPUTED_VALUE"""),"هیأت")</f>
        <v>هیأت</v>
      </c>
      <c r="C365" s="5" t="str">
        <f>IFERROR(__xludf.DUMMYFUNCTION("""COMPUTED_VALUE"""),"انصارالعباس")</f>
        <v>انصارالعباس</v>
      </c>
      <c r="D365" s="5" t="str">
        <f>IFERROR(__xludf.DUMMYFUNCTION("""COMPUTED_VALUE"""),"تهران")</f>
        <v>تهران</v>
      </c>
      <c r="E365" s="5" t="str">
        <f>IFERROR(__xludf.DUMMYFUNCTION("""COMPUTED_VALUE"""),"تهران")</f>
        <v>تهران</v>
      </c>
      <c r="F365" s="5" t="str">
        <f>IFERROR(__xludf.DUMMYFUNCTION("""COMPUTED_VALUE"""),"خیابان قزوین، خیابان شهیدان حسنی")</f>
        <v>خیابان قزوین، خیابان شهیدان حسنی</v>
      </c>
      <c r="G365" s="5"/>
      <c r="H365" s="6" t="str">
        <f>IFERROR(__xludf.DUMMYFUNCTION("""COMPUTED_VALUE"""),"https://www.instagram.com/ansarolabas/")</f>
        <v>https://www.instagram.com/ansarolabas/</v>
      </c>
      <c r="I365" s="6" t="str">
        <f>IFERROR(__xludf.DUMMYFUNCTION("""COMPUTED_VALUE"""),"https://t.me/ansarolabas1340")</f>
        <v>https://t.me/ansarolabas1340</v>
      </c>
      <c r="J365" s="5"/>
      <c r="K365" s="5"/>
      <c r="L365" s="5"/>
      <c r="M365" s="5" t="str">
        <f>IFERROR(__xludf.DUMMYFUNCTION("""COMPUTED_VALUE"""),"سید محمد جوادی")</f>
        <v>سید محمد جوادی</v>
      </c>
      <c r="N365" s="5" t="str">
        <f>IFERROR(__xludf.DUMMYFUNCTION("""COMPUTED_VALUE"""),"*")</f>
        <v>*</v>
      </c>
      <c r="O365" s="5"/>
      <c r="P365" s="5"/>
      <c r="Q365" s="5"/>
      <c r="R365" s="5"/>
      <c r="S365" s="5"/>
    </row>
    <row r="366">
      <c r="A366" s="5"/>
      <c r="B366" s="5" t="str">
        <f>IFERROR(__xludf.DUMMYFUNCTION("""COMPUTED_VALUE"""),"هیأت")</f>
        <v>هیأت</v>
      </c>
      <c r="C366" s="5" t="str">
        <f>IFERROR(__xludf.DUMMYFUNCTION("""COMPUTED_VALUE"""),"حسینیه اصحاب الحسین")</f>
        <v>حسینیه اصحاب الحسین</v>
      </c>
      <c r="D366" s="5" t="str">
        <f>IFERROR(__xludf.DUMMYFUNCTION("""COMPUTED_VALUE"""),"تهران")</f>
        <v>تهران</v>
      </c>
      <c r="E366" s="5" t="str">
        <f>IFERROR(__xludf.DUMMYFUNCTION("""COMPUTED_VALUE"""),"تهران")</f>
        <v>تهران</v>
      </c>
      <c r="F366" s="5" t="str">
        <f>IFERROR(__xludf.DUMMYFUNCTION("""COMPUTED_VALUE"""),"مولوی-بین خیابان وحدت اسلامی و ولیعصر(عج)-خ تشکری موحد")</f>
        <v>مولوی-بین خیابان وحدت اسلامی و ولیعصر(عج)-خ تشکری موحد</v>
      </c>
      <c r="G366" s="5"/>
      <c r="H366" s="6" t="str">
        <f>IFERROR(__xludf.DUMMYFUNCTION("""COMPUTED_VALUE"""),"https://www.instagram.com/ashab_hosseine/")</f>
        <v>https://www.instagram.com/ashab_hosseine/</v>
      </c>
      <c r="I366" s="6" t="str">
        <f>IFERROR(__xludf.DUMMYFUNCTION("""COMPUTED_VALUE"""),"https://t.me/ashabalhoseini")</f>
        <v>https://t.me/ashabalhoseini</v>
      </c>
      <c r="J366" s="5"/>
      <c r="K366" s="5"/>
      <c r="L366" s="5"/>
      <c r="M366" s="5" t="str">
        <f>IFERROR(__xludf.DUMMYFUNCTION("""COMPUTED_VALUE"""),"آیت الله اخوان")</f>
        <v>آیت الله اخوان</v>
      </c>
      <c r="N366" s="5" t="str">
        <f>IFERROR(__xludf.DUMMYFUNCTION("""COMPUTED_VALUE"""),"*")</f>
        <v>*</v>
      </c>
      <c r="O366" s="5"/>
      <c r="P366" s="5"/>
      <c r="Q366" s="5"/>
      <c r="R366" s="5"/>
      <c r="S366" s="5"/>
    </row>
    <row r="367">
      <c r="A367" s="5"/>
      <c r="B367" s="5" t="str">
        <f>IFERROR(__xludf.DUMMYFUNCTION("""COMPUTED_VALUE"""),"هیأت")</f>
        <v>هیأت</v>
      </c>
      <c r="C367" s="5" t="str">
        <f>IFERROR(__xludf.DUMMYFUNCTION("""COMPUTED_VALUE"""),"اصحاب القائم طهران")</f>
        <v>اصحاب القائم طهران</v>
      </c>
      <c r="D367" s="5" t="str">
        <f>IFERROR(__xludf.DUMMYFUNCTION("""COMPUTED_VALUE"""),"تهران")</f>
        <v>تهران</v>
      </c>
      <c r="E367" s="5" t="str">
        <f>IFERROR(__xludf.DUMMYFUNCTION("""COMPUTED_VALUE"""),"تهران")</f>
        <v>تهران</v>
      </c>
      <c r="F367" s="5"/>
      <c r="G367" s="5"/>
      <c r="H367" s="6" t="str">
        <f>IFERROR(__xludf.DUMMYFUNCTION("""COMPUTED_VALUE"""),"https://www.instagram.com/ashabolghaem/")</f>
        <v>https://www.instagram.com/ashabolghaem/</v>
      </c>
      <c r="I367" s="6" t="str">
        <f>IFERROR(__xludf.DUMMYFUNCTION("""COMPUTED_VALUE"""),"https://t.me/ashabeghaem")</f>
        <v>https://t.me/ashabeghaem</v>
      </c>
      <c r="J367" s="5"/>
      <c r="K367" s="5"/>
      <c r="L367" s="5"/>
      <c r="M367" s="5"/>
      <c r="N367" s="5" t="str">
        <f>IFERROR(__xludf.DUMMYFUNCTION("""COMPUTED_VALUE"""),"*")</f>
        <v>*</v>
      </c>
      <c r="O367" s="5"/>
      <c r="P367" s="5"/>
      <c r="Q367" s="5"/>
      <c r="R367" s="5"/>
      <c r="S367" s="5"/>
    </row>
    <row r="368">
      <c r="A368" s="5"/>
      <c r="B368" s="5" t="str">
        <f>IFERROR(__xludf.DUMMYFUNCTION("""COMPUTED_VALUE"""),"هیأت")</f>
        <v>هیأت</v>
      </c>
      <c r="C368" s="5" t="str">
        <f>IFERROR(__xludf.DUMMYFUNCTION("""COMPUTED_VALUE"""),"عاشقان حسینی")</f>
        <v>عاشقان حسینی</v>
      </c>
      <c r="D368" s="5" t="str">
        <f>IFERROR(__xludf.DUMMYFUNCTION("""COMPUTED_VALUE"""),"تهران")</f>
        <v>تهران</v>
      </c>
      <c r="E368" s="5" t="str">
        <f>IFERROR(__xludf.DUMMYFUNCTION("""COMPUTED_VALUE"""),"تهران")</f>
        <v>تهران</v>
      </c>
      <c r="F368" s="5" t="str">
        <f>IFERROR(__xludf.DUMMYFUNCTION("""COMPUTED_VALUE"""),"تهران، فرح آباد، اکبری، حسینیه عاشقان حسینی ثارالله")</f>
        <v>تهران، فرح آباد، اکبری، حسینیه عاشقان حسینی ثارالله</v>
      </c>
      <c r="G368" s="5"/>
      <c r="H368" s="6" t="str">
        <f>IFERROR(__xludf.DUMMYFUNCTION("""COMPUTED_VALUE"""),"https://www.instagram.com/asheghanehosseini/")</f>
        <v>https://www.instagram.com/asheghanehosseini/</v>
      </c>
      <c r="I368" s="6" t="str">
        <f>IFERROR(__xludf.DUMMYFUNCTION("""COMPUTED_VALUE"""),"https://t.me/asheghanehosseini313")</f>
        <v>https://t.me/asheghanehosseini313</v>
      </c>
      <c r="J368" s="5"/>
      <c r="K368" s="5"/>
      <c r="L368" s="5"/>
      <c r="M368" s="5" t="str">
        <f>IFERROR(__xludf.DUMMYFUNCTION("""COMPUTED_VALUE"""),"حاج محمد فراهانی")</f>
        <v>حاج محمد فراهانی</v>
      </c>
      <c r="N368" s="5" t="str">
        <f>IFERROR(__xludf.DUMMYFUNCTION("""COMPUTED_VALUE"""),"*")</f>
        <v>*</v>
      </c>
      <c r="O368" s="5"/>
      <c r="P368" s="5"/>
      <c r="Q368" s="5"/>
      <c r="R368" s="5"/>
      <c r="S368" s="5"/>
    </row>
    <row r="369">
      <c r="A369" s="5"/>
      <c r="B369" s="5" t="str">
        <f>IFERROR(__xludf.DUMMYFUNCTION("""COMPUTED_VALUE"""),"هیأت دانشجویی")</f>
        <v>هیأت دانشجویی</v>
      </c>
      <c r="C369" s="5" t="str">
        <f>IFERROR(__xludf.DUMMYFUNCTION("""COMPUTED_VALUE"""),"اصحاب عاشورایی")</f>
        <v>اصحاب عاشورایی</v>
      </c>
      <c r="D369" s="5" t="str">
        <f>IFERROR(__xludf.DUMMYFUNCTION("""COMPUTED_VALUE"""),"تهران")</f>
        <v>تهران</v>
      </c>
      <c r="E369" s="5" t="str">
        <f>IFERROR(__xludf.DUMMYFUNCTION("""COMPUTED_VALUE"""),"تهران")</f>
        <v>تهران</v>
      </c>
      <c r="F369" s="5" t="str">
        <f>IFERROR(__xludf.DUMMYFUNCTION("""COMPUTED_VALUE"""),"دانشگاه علامه طباطبایی")</f>
        <v>دانشگاه علامه طباطبایی</v>
      </c>
      <c r="G369" s="5"/>
      <c r="H369" s="6" t="str">
        <f>IFERROR(__xludf.DUMMYFUNCTION("""COMPUTED_VALUE"""),"https://www.instagram.com/atu_ashuraeei/")</f>
        <v>https://www.instagram.com/atu_ashuraeei/</v>
      </c>
      <c r="I369" s="6" t="str">
        <f>IFERROR(__xludf.DUMMYFUNCTION("""COMPUTED_VALUE"""),"https://t.me/atu_ashuraeei")</f>
        <v>https://t.me/atu_ashuraeei</v>
      </c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>
      <c r="A370" s="5"/>
      <c r="B370" s="5" t="str">
        <f>IFERROR(__xludf.DUMMYFUNCTION("""COMPUTED_VALUE"""),"هیأت")</f>
        <v>هیأت</v>
      </c>
      <c r="C370" s="5" t="str">
        <f>IFERROR(__xludf.DUMMYFUNCTION("""COMPUTED_VALUE"""),"روضه عزاداران بنی الحسن")</f>
        <v>روضه عزاداران بنی الحسن</v>
      </c>
      <c r="D370" s="5" t="str">
        <f>IFERROR(__xludf.DUMMYFUNCTION("""COMPUTED_VALUE"""),"تهران")</f>
        <v>تهران</v>
      </c>
      <c r="E370" s="5" t="str">
        <f>IFERROR(__xludf.DUMMYFUNCTION("""COMPUTED_VALUE"""),"تهران")</f>
        <v>تهران</v>
      </c>
      <c r="F370" s="5" t="str">
        <f>IFERROR(__xludf.DUMMYFUNCTION("""COMPUTED_VALUE"""),"فلاح")</f>
        <v>فلاح</v>
      </c>
      <c r="G370" s="5"/>
      <c r="H370" s="6" t="str">
        <f>IFERROR(__xludf.DUMMYFUNCTION("""COMPUTED_VALUE"""),"https://www.instagram.com/129_azadaran/")</f>
        <v>https://www.instagram.com/129_azadaran/</v>
      </c>
      <c r="I370" s="6" t="str">
        <f>IFERROR(__xludf.DUMMYFUNCTION("""COMPUTED_VALUE"""),"https://t.me/azadaran_129")</f>
        <v>https://t.me/azadaran_129</v>
      </c>
      <c r="J370" s="5"/>
      <c r="K370" s="5"/>
      <c r="L370" s="5"/>
      <c r="M370" s="5"/>
      <c r="N370" s="5" t="str">
        <f>IFERROR(__xludf.DUMMYFUNCTION("""COMPUTED_VALUE"""),"*")</f>
        <v>*</v>
      </c>
      <c r="O370" s="5"/>
      <c r="P370" s="5"/>
      <c r="Q370" s="5"/>
      <c r="R370" s="5"/>
      <c r="S370" s="5"/>
    </row>
    <row r="371">
      <c r="A371" s="5"/>
      <c r="B371" s="5" t="str">
        <f>IFERROR(__xludf.DUMMYFUNCTION("""COMPUTED_VALUE"""),"هیأت")</f>
        <v>هیأت</v>
      </c>
      <c r="C371" s="5" t="str">
        <f>IFERROR(__xludf.DUMMYFUNCTION("""COMPUTED_VALUE"""),"باب القبله")</f>
        <v>باب القبله</v>
      </c>
      <c r="D371" s="5" t="str">
        <f>IFERROR(__xludf.DUMMYFUNCTION("""COMPUTED_VALUE"""),"تهران")</f>
        <v>تهران</v>
      </c>
      <c r="E371" s="5" t="str">
        <f>IFERROR(__xludf.DUMMYFUNCTION("""COMPUTED_VALUE"""),"تهران")</f>
        <v>تهران</v>
      </c>
      <c r="F371" s="5" t="str">
        <f>IFERROR(__xludf.DUMMYFUNCTION("""COMPUTED_VALUE"""),"سعدی جنوبی.جمهوری اسلامی.کوچه درختی")</f>
        <v>سعدی جنوبی.جمهوری اسلامی.کوچه درختی</v>
      </c>
      <c r="G371" s="5"/>
      <c r="H371" s="6" t="str">
        <f>IFERROR(__xludf.DUMMYFUNCTION("""COMPUTED_VALUE"""),"https://www.instagram.com/babolghebleh_ir/")</f>
        <v>https://www.instagram.com/babolghebleh_ir/</v>
      </c>
      <c r="I371" s="6" t="str">
        <f>IFERROR(__xludf.DUMMYFUNCTION("""COMPUTED_VALUE"""),"https://t.me/babolghebleh_ir")</f>
        <v>https://t.me/babolghebleh_ir</v>
      </c>
      <c r="J371" s="5"/>
      <c r="K371" s="5"/>
      <c r="L371" s="5"/>
      <c r="M371" s="5" t="str">
        <f>IFERROR(__xludf.DUMMYFUNCTION("""COMPUTED_VALUE"""),"سید جواد پرئی")</f>
        <v>سید جواد پرئی</v>
      </c>
      <c r="N371" s="5" t="str">
        <f>IFERROR(__xludf.DUMMYFUNCTION("""COMPUTED_VALUE"""),"*")</f>
        <v>*</v>
      </c>
      <c r="O371" s="5"/>
      <c r="P371" s="5"/>
      <c r="Q371" s="5"/>
      <c r="R371" s="5"/>
      <c r="S371" s="5"/>
    </row>
    <row r="372">
      <c r="A372" s="5"/>
      <c r="B372" s="5" t="str">
        <f>IFERROR(__xludf.DUMMYFUNCTION("""COMPUTED_VALUE"""),"هیأت")</f>
        <v>هیأت</v>
      </c>
      <c r="C372" s="5" t="str">
        <f>IFERROR(__xludf.DUMMYFUNCTION("""COMPUTED_VALUE"""),"بنی الزهرا")</f>
        <v>بنی الزهرا</v>
      </c>
      <c r="D372" s="5" t="str">
        <f>IFERROR(__xludf.DUMMYFUNCTION("""COMPUTED_VALUE"""),"تهران")</f>
        <v>تهران</v>
      </c>
      <c r="E372" s="5" t="str">
        <f>IFERROR(__xludf.DUMMYFUNCTION("""COMPUTED_VALUE"""),"تهران")</f>
        <v>تهران</v>
      </c>
      <c r="F372" s="5" t="str">
        <f>IFERROR(__xludf.DUMMYFUNCTION("""COMPUTED_VALUE"""),"شمیران")</f>
        <v>شمیران</v>
      </c>
      <c r="G372" s="5"/>
      <c r="H372" s="6" t="str">
        <f>IFERROR(__xludf.DUMMYFUNCTION("""COMPUTED_VALUE"""),"https://www.instagram.com/banezahra.ir/")</f>
        <v>https://www.instagram.com/banezahra.ir/</v>
      </c>
      <c r="I372" s="6" t="str">
        <f>IFERROR(__xludf.DUMMYFUNCTION("""COMPUTED_VALUE"""),"https://t.me/banezahra_ir")</f>
        <v>https://t.me/banezahra_ir</v>
      </c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>
      <c r="A373" s="5"/>
      <c r="B373" s="5" t="str">
        <f>IFERROR(__xludf.DUMMYFUNCTION("""COMPUTED_VALUE"""),"هیأت")</f>
        <v>هیأت</v>
      </c>
      <c r="C373" s="5" t="str">
        <f>IFERROR(__xludf.DUMMYFUNCTION("""COMPUTED_VALUE"""),"بضعه الرسول")</f>
        <v>بضعه الرسول</v>
      </c>
      <c r="D373" s="5" t="str">
        <f>IFERROR(__xludf.DUMMYFUNCTION("""COMPUTED_VALUE"""),"تهران")</f>
        <v>تهران</v>
      </c>
      <c r="E373" s="5" t="str">
        <f>IFERROR(__xludf.DUMMYFUNCTION("""COMPUTED_VALUE"""),"تهران")</f>
        <v>تهران</v>
      </c>
      <c r="F373" s="5"/>
      <c r="G373" s="5"/>
      <c r="H373" s="6" t="str">
        <f>IFERROR(__xludf.DUMMYFUNCTION("""COMPUTED_VALUE"""),"https://www.instagram.com/bazatorasul/")</f>
        <v>https://www.instagram.com/bazatorasul/</v>
      </c>
      <c r="I373" s="6" t="str">
        <f>IFERROR(__xludf.DUMMYFUNCTION("""COMPUTED_VALUE"""),"https://t.me/bazatorasul")</f>
        <v>https://t.me/bazatorasul</v>
      </c>
      <c r="J373" s="5"/>
      <c r="K373" s="5"/>
      <c r="L373" s="5"/>
      <c r="M373" s="5"/>
      <c r="N373" s="5" t="str">
        <f>IFERROR(__xludf.DUMMYFUNCTION("""COMPUTED_VALUE"""),"*")</f>
        <v>*</v>
      </c>
      <c r="O373" s="5"/>
      <c r="P373" s="5"/>
      <c r="Q373" s="5"/>
      <c r="R373" s="5"/>
      <c r="S373" s="5"/>
    </row>
    <row r="374">
      <c r="A374" s="5"/>
      <c r="B374" s="5" t="str">
        <f>IFERROR(__xludf.DUMMYFUNCTION("""COMPUTED_VALUE"""),"هیأت")</f>
        <v>هیأت</v>
      </c>
      <c r="C374" s="5" t="str">
        <f>IFERROR(__xludf.DUMMYFUNCTION("""COMPUTED_VALUE"""),"امام حسن مجتبی")</f>
        <v>امام حسن مجتبی</v>
      </c>
      <c r="D374" s="5" t="str">
        <f>IFERROR(__xludf.DUMMYFUNCTION("""COMPUTED_VALUE"""),"تهران")</f>
        <v>تهران</v>
      </c>
      <c r="E374" s="5" t="str">
        <f>IFERROR(__xludf.DUMMYFUNCTION("""COMPUTED_VALUE"""),"تهران")</f>
        <v>تهران</v>
      </c>
      <c r="F374" s="5"/>
      <c r="G374" s="5"/>
      <c r="H374" s="6" t="str">
        <f>IFERROR(__xludf.DUMMYFUNCTION("""COMPUTED_VALUE"""),"https://www.instagram.com/beitolhasan_ir/")</f>
        <v>https://www.instagram.com/beitolhasan_ir/</v>
      </c>
      <c r="I374" s="6" t="str">
        <f>IFERROR(__xludf.DUMMYFUNCTION("""COMPUTED_VALUE"""),"https://t.me/beitolhasan_chavoshi")</f>
        <v>https://t.me/beitolhasan_chavoshi</v>
      </c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>
      <c r="A375" s="5"/>
      <c r="B375" s="5" t="str">
        <f>IFERROR(__xludf.DUMMYFUNCTION("""COMPUTED_VALUE"""),"هیأت")</f>
        <v>هیأت</v>
      </c>
      <c r="C375" s="5" t="str">
        <f>IFERROR(__xludf.DUMMYFUNCTION("""COMPUTED_VALUE"""),"بیت العباس")</f>
        <v>بیت العباس</v>
      </c>
      <c r="D375" s="5" t="str">
        <f>IFERROR(__xludf.DUMMYFUNCTION("""COMPUTED_VALUE"""),"تهران")</f>
        <v>تهران</v>
      </c>
      <c r="E375" s="5" t="str">
        <f>IFERROR(__xludf.DUMMYFUNCTION("""COMPUTED_VALUE"""),"تهران")</f>
        <v>تهران</v>
      </c>
      <c r="F375" s="5"/>
      <c r="G375" s="5"/>
      <c r="H375" s="6" t="str">
        <f>IFERROR(__xludf.DUMMYFUNCTION("""COMPUTED_VALUE"""),"https://www.instagram.com/beitoolabbas/")</f>
        <v>https://www.instagram.com/beitoolabbas/</v>
      </c>
      <c r="I375" s="6" t="str">
        <f>IFERROR(__xludf.DUMMYFUNCTION("""COMPUTED_VALUE"""),"https://t.me/beitoolabbas")</f>
        <v>https://t.me/beitoolabbas</v>
      </c>
      <c r="J375" s="5"/>
      <c r="K375" s="5"/>
      <c r="L375" s="5"/>
      <c r="M375" s="5" t="str">
        <f>IFERROR(__xludf.DUMMYFUNCTION("""COMPUTED_VALUE"""),"محسن عرب خالقی")</f>
        <v>محسن عرب خالقی</v>
      </c>
      <c r="N375" s="5" t="str">
        <f>IFERROR(__xludf.DUMMYFUNCTION("""COMPUTED_VALUE"""),"*")</f>
        <v>*</v>
      </c>
      <c r="O375" s="5"/>
      <c r="P375" s="5"/>
      <c r="Q375" s="5"/>
      <c r="R375" s="5"/>
      <c r="S375" s="5"/>
    </row>
    <row r="376">
      <c r="A376" s="5"/>
      <c r="B376" s="5" t="str">
        <f>IFERROR(__xludf.DUMMYFUNCTION("""COMPUTED_VALUE"""),"هیأت")</f>
        <v>هیأت</v>
      </c>
      <c r="C376" s="5" t="str">
        <f>IFERROR(__xludf.DUMMYFUNCTION("""COMPUTED_VALUE"""),"بیت الزهرا")</f>
        <v>بیت الزهرا</v>
      </c>
      <c r="D376" s="5" t="str">
        <f>IFERROR(__xludf.DUMMYFUNCTION("""COMPUTED_VALUE"""),"تهران")</f>
        <v>تهران</v>
      </c>
      <c r="E376" s="5" t="str">
        <f>IFERROR(__xludf.DUMMYFUNCTION("""COMPUTED_VALUE"""),"تهران")</f>
        <v>تهران</v>
      </c>
      <c r="F376" s="5" t="str">
        <f>IFERROR(__xludf.DUMMYFUNCTION("""COMPUTED_VALUE"""),"ولیعصر. جنب مهدیه تهران")</f>
        <v>ولیعصر. جنب مهدیه تهران</v>
      </c>
      <c r="G376" s="5"/>
      <c r="H376" s="6" t="str">
        <f>IFERROR(__xludf.DUMMYFUNCTION("""COMPUTED_VALUE"""),"https://www.instagram.com/beitozzahraa/")</f>
        <v>https://www.instagram.com/beitozzahraa/</v>
      </c>
      <c r="I376" s="6" t="str">
        <f>IFERROR(__xludf.DUMMYFUNCTION("""COMPUTED_VALUE"""),"https://t.me/beitozzahraa")</f>
        <v>https://t.me/beitozzahraa</v>
      </c>
      <c r="J376" s="5"/>
      <c r="K376" s="5"/>
      <c r="L376" s="5"/>
      <c r="M376" s="5"/>
      <c r="N376" s="5" t="str">
        <f>IFERROR(__xludf.DUMMYFUNCTION("""COMPUTED_VALUE"""),"*")</f>
        <v>*</v>
      </c>
      <c r="O376" s="5"/>
      <c r="P376" s="5"/>
      <c r="Q376" s="5"/>
      <c r="R376" s="5"/>
      <c r="S376" s="5"/>
    </row>
    <row r="377">
      <c r="A377" s="5"/>
      <c r="B377" s="5" t="str">
        <f>IFERROR(__xludf.DUMMYFUNCTION("""COMPUTED_VALUE"""),"هیأت")</f>
        <v>هیأت</v>
      </c>
      <c r="C377" s="5" t="str">
        <f>IFERROR(__xludf.DUMMYFUNCTION("""COMPUTED_VALUE"""),"بین الحرمین")</f>
        <v>بین الحرمین</v>
      </c>
      <c r="D377" s="5" t="str">
        <f>IFERROR(__xludf.DUMMYFUNCTION("""COMPUTED_VALUE"""),"تهران")</f>
        <v>تهران</v>
      </c>
      <c r="E377" s="5" t="str">
        <f>IFERROR(__xludf.DUMMYFUNCTION("""COMPUTED_VALUE"""),"تهران")</f>
        <v>تهران</v>
      </c>
      <c r="F377" s="5" t="str">
        <f>IFERROR(__xludf.DUMMYFUNCTION("""COMPUTED_VALUE"""),"مینی سیتی")</f>
        <v>مینی سیتی</v>
      </c>
      <c r="G377" s="5"/>
      <c r="H377" s="6" t="str">
        <f>IFERROR(__xludf.DUMMYFUNCTION("""COMPUTED_VALUE"""),"https://www.instagram.com/beynolharamein135/")</f>
        <v>https://www.instagram.com/beynolharamein135/</v>
      </c>
      <c r="I377" s="6" t="str">
        <f>IFERROR(__xludf.DUMMYFUNCTION("""COMPUTED_VALUE"""),"https://t.me/beynolharamein135")</f>
        <v>https://t.me/beynolharamein135</v>
      </c>
      <c r="J377" s="5"/>
      <c r="K377" s="5"/>
      <c r="L377" s="5"/>
      <c r="M377" s="5"/>
      <c r="N377" s="5" t="str">
        <f>IFERROR(__xludf.DUMMYFUNCTION("""COMPUTED_VALUE"""),"*")</f>
        <v>*</v>
      </c>
      <c r="O377" s="5"/>
      <c r="P377" s="5"/>
      <c r="Q377" s="5"/>
      <c r="R377" s="5"/>
      <c r="S377" s="5"/>
    </row>
    <row r="378">
      <c r="A378" s="5"/>
      <c r="B378" s="5" t="str">
        <f>IFERROR(__xludf.DUMMYFUNCTION("""COMPUTED_VALUE"""),"هیأت")</f>
        <v>هیأت</v>
      </c>
      <c r="C378" s="5" t="str">
        <f>IFERROR(__xludf.DUMMYFUNCTION("""COMPUTED_VALUE"""),"بین الحرمین طهران")</f>
        <v>بین الحرمین طهران</v>
      </c>
      <c r="D378" s="5" t="str">
        <f>IFERROR(__xludf.DUMMYFUNCTION("""COMPUTED_VALUE"""),"تهران")</f>
        <v>تهران</v>
      </c>
      <c r="E378" s="5" t="str">
        <f>IFERROR(__xludf.DUMMYFUNCTION("""COMPUTED_VALUE"""),"تهران")</f>
        <v>تهران</v>
      </c>
      <c r="F378" s="5"/>
      <c r="G378" s="5"/>
      <c r="H378" s="6" t="str">
        <f>IFERROR(__xludf.DUMMYFUNCTION("""COMPUTED_VALUE"""),"https://www.instagram.com/beynolharameyn.rasmi")</f>
        <v>https://www.instagram.com/beynolharameyn.rasmi</v>
      </c>
      <c r="I378" s="6" t="str">
        <f>IFERROR(__xludf.DUMMYFUNCTION("""COMPUTED_VALUE"""),"https://t.me/beynolharameyn_tehran")</f>
        <v>https://t.me/beynolharameyn_tehran</v>
      </c>
      <c r="J378" s="5"/>
      <c r="K378" s="5"/>
      <c r="L378" s="5"/>
      <c r="M378" s="5" t="str">
        <f>IFERROR(__xludf.DUMMYFUNCTION("""COMPUTED_VALUE"""),"جواد مقدم")</f>
        <v>جواد مقدم</v>
      </c>
      <c r="N378" s="5" t="str">
        <f>IFERROR(__xludf.DUMMYFUNCTION("""COMPUTED_VALUE"""),"*")</f>
        <v>*</v>
      </c>
      <c r="O378" s="5"/>
      <c r="P378" s="5"/>
      <c r="Q378" s="5"/>
      <c r="R378" s="5"/>
      <c r="S378" s="5"/>
    </row>
    <row r="379">
      <c r="A379" s="5"/>
      <c r="B379" s="5" t="str">
        <f>IFERROR(__xludf.DUMMYFUNCTION("""COMPUTED_VALUE"""),"هیأت")</f>
        <v>هیأت</v>
      </c>
      <c r="C379" s="5" t="str">
        <f>IFERROR(__xludf.DUMMYFUNCTION("""COMPUTED_VALUE"""),"بیت الجواد")</f>
        <v>بیت الجواد</v>
      </c>
      <c r="D379" s="5" t="str">
        <f>IFERROR(__xludf.DUMMYFUNCTION("""COMPUTED_VALUE"""),"تهران")</f>
        <v>تهران</v>
      </c>
      <c r="E379" s="5" t="str">
        <f>IFERROR(__xludf.DUMMYFUNCTION("""COMPUTED_VALUE"""),"تهران")</f>
        <v>تهران</v>
      </c>
      <c r="F379" s="5"/>
      <c r="G379" s="5"/>
      <c r="H379" s="6" t="str">
        <f>IFERROR(__xludf.DUMMYFUNCTION("""COMPUTED_VALUE"""),"https://www.instagram.com/beytoljavad_14/")</f>
        <v>https://www.instagram.com/beytoljavad_14/</v>
      </c>
      <c r="I379" s="6" t="str">
        <f>IFERROR(__xludf.DUMMYFUNCTION("""COMPUTED_VALUE"""),"https://t.me/beytoljavad_14")</f>
        <v>https://t.me/beytoljavad_14</v>
      </c>
      <c r="J379" s="5"/>
      <c r="K379" s="5"/>
      <c r="L379" s="5"/>
      <c r="M379" s="5"/>
      <c r="N379" s="5" t="str">
        <f>IFERROR(__xludf.DUMMYFUNCTION("""COMPUTED_VALUE"""),"*")</f>
        <v>*</v>
      </c>
      <c r="O379" s="5"/>
      <c r="P379" s="5"/>
      <c r="Q379" s="5"/>
      <c r="R379" s="5"/>
      <c r="S379" s="5"/>
    </row>
    <row r="380">
      <c r="A380" s="5"/>
      <c r="B380" s="5" t="str">
        <f>IFERROR(__xludf.DUMMYFUNCTION("""COMPUTED_VALUE"""),"هیأت")</f>
        <v>هیأت</v>
      </c>
      <c r="C380" s="5" t="str">
        <f>IFERROR(__xludf.DUMMYFUNCTION("""COMPUTED_VALUE"""),"بیت الرقیه")</f>
        <v>بیت الرقیه</v>
      </c>
      <c r="D380" s="5" t="str">
        <f>IFERROR(__xludf.DUMMYFUNCTION("""COMPUTED_VALUE"""),"تهران")</f>
        <v>تهران</v>
      </c>
      <c r="E380" s="5" t="str">
        <f>IFERROR(__xludf.DUMMYFUNCTION("""COMPUTED_VALUE"""),"تهران")</f>
        <v>تهران</v>
      </c>
      <c r="F380" s="5" t="str">
        <f>IFERROR(__xludf.DUMMYFUNCTION("""COMPUTED_VALUE"""),"شهرک شریعتی")</f>
        <v>شهرک شریعتی</v>
      </c>
      <c r="G380" s="5"/>
      <c r="H380" s="6" t="str">
        <f>IFERROR(__xludf.DUMMYFUNCTION("""COMPUTED_VALUE"""),"https://www.instagram.com/beytolroghaye_315/")</f>
        <v>https://www.instagram.com/beytolroghaye_315/</v>
      </c>
      <c r="I380" s="6" t="str">
        <f>IFERROR(__xludf.DUMMYFUNCTION("""COMPUTED_VALUE"""),"https://t.me/beytolroghayee_315")</f>
        <v>https://t.me/beytolroghayee_315</v>
      </c>
      <c r="J380" s="5"/>
      <c r="K380" s="5"/>
      <c r="L380" s="5"/>
      <c r="M380" s="5"/>
      <c r="N380" s="5" t="str">
        <f>IFERROR(__xludf.DUMMYFUNCTION("""COMPUTED_VALUE"""),"*")</f>
        <v>*</v>
      </c>
      <c r="O380" s="5"/>
      <c r="P380" s="5"/>
      <c r="Q380" s="5"/>
      <c r="R380" s="5"/>
      <c r="S380" s="5"/>
    </row>
    <row r="381">
      <c r="A381" s="5"/>
      <c r="B381" s="5" t="str">
        <f>IFERROR(__xludf.DUMMYFUNCTION("""COMPUTED_VALUE"""),"هیأت")</f>
        <v>هیأت</v>
      </c>
      <c r="C381" s="5" t="str">
        <f>IFERROR(__xludf.DUMMYFUNCTION("""COMPUTED_VALUE"""),"بیرق معظم بیت الحسن")</f>
        <v>بیرق معظم بیت الحسن</v>
      </c>
      <c r="D381" s="5" t="str">
        <f>IFERROR(__xludf.DUMMYFUNCTION("""COMPUTED_VALUE"""),"تهران")</f>
        <v>تهران</v>
      </c>
      <c r="E381" s="5" t="str">
        <f>IFERROR(__xludf.DUMMYFUNCTION("""COMPUTED_VALUE"""),"تهران")</f>
        <v>تهران</v>
      </c>
      <c r="F381" s="5"/>
      <c r="G381" s="5"/>
      <c r="H381" s="6" t="str">
        <f>IFERROR(__xludf.DUMMYFUNCTION("""COMPUTED_VALUE"""),"https://www.instagram.com/beytool_hasan/")</f>
        <v>https://www.instagram.com/beytool_hasan/</v>
      </c>
      <c r="I381" s="6" t="str">
        <f>IFERROR(__xludf.DUMMYFUNCTION("""COMPUTED_VALUE"""),"https://t.me/beytool_hasan")</f>
        <v>https://t.me/beytool_hasan</v>
      </c>
      <c r="J381" s="5"/>
      <c r="K381" s="5"/>
      <c r="L381" s="5"/>
      <c r="M381" s="5"/>
      <c r="N381" s="5" t="str">
        <f>IFERROR(__xludf.DUMMYFUNCTION("""COMPUTED_VALUE"""),"*")</f>
        <v>*</v>
      </c>
      <c r="O381" s="5"/>
      <c r="P381" s="5"/>
      <c r="Q381" s="5"/>
      <c r="R381" s="5"/>
      <c r="S381" s="5"/>
    </row>
    <row r="382">
      <c r="A382" s="5"/>
      <c r="B382" s="5" t="str">
        <f>IFERROR(__xludf.DUMMYFUNCTION("""COMPUTED_VALUE"""),"هیأت")</f>
        <v>هیأت</v>
      </c>
      <c r="C382" s="5" t="str">
        <f>IFERROR(__xludf.DUMMYFUNCTION("""COMPUTED_VALUE"""),"بیت الرقیه تهران")</f>
        <v>بیت الرقیه تهران</v>
      </c>
      <c r="D382" s="5" t="str">
        <f>IFERROR(__xludf.DUMMYFUNCTION("""COMPUTED_VALUE"""),"تهران")</f>
        <v>تهران</v>
      </c>
      <c r="E382" s="5" t="str">
        <f>IFERROR(__xludf.DUMMYFUNCTION("""COMPUTED_VALUE"""),"تهران")</f>
        <v>تهران</v>
      </c>
      <c r="F382" s="5"/>
      <c r="G382" s="5"/>
      <c r="H382" s="6" t="str">
        <f>IFERROR(__xludf.DUMMYFUNCTION("""COMPUTED_VALUE"""),"https://www.instagram.com/beytoorogaye/")</f>
        <v>https://www.instagram.com/beytoorogaye/</v>
      </c>
      <c r="I382" s="6" t="str">
        <f>IFERROR(__xludf.DUMMYFUNCTION("""COMPUTED_VALUE"""),"https://t.me/beytoorogaye")</f>
        <v>https://t.me/beytoorogaye</v>
      </c>
      <c r="J382" s="5"/>
      <c r="K382" s="5"/>
      <c r="L382" s="5"/>
      <c r="M382" s="5"/>
      <c r="N382" s="5" t="str">
        <f>IFERROR(__xludf.DUMMYFUNCTION("""COMPUTED_VALUE"""),"*")</f>
        <v>*</v>
      </c>
      <c r="O382" s="5"/>
      <c r="P382" s="5"/>
      <c r="Q382" s="5"/>
      <c r="R382" s="5"/>
      <c r="S382" s="5"/>
    </row>
    <row r="383">
      <c r="A383" s="5"/>
      <c r="B383" s="5" t="str">
        <f>IFERROR(__xludf.DUMMYFUNCTION("""COMPUTED_VALUE"""),"هیأت")</f>
        <v>هیأت</v>
      </c>
      <c r="C383" s="5" t="str">
        <f>IFERROR(__xludf.DUMMYFUNCTION("""COMPUTED_VALUE"""),"بیت الرضا")</f>
        <v>بیت الرضا</v>
      </c>
      <c r="D383" s="5" t="str">
        <f>IFERROR(__xludf.DUMMYFUNCTION("""COMPUTED_VALUE"""),"تهران")</f>
        <v>تهران</v>
      </c>
      <c r="E383" s="5" t="str">
        <f>IFERROR(__xludf.DUMMYFUNCTION("""COMPUTED_VALUE"""),"تهران")</f>
        <v>تهران</v>
      </c>
      <c r="F383" s="5"/>
      <c r="G383" s="5"/>
      <c r="H383" s="6" t="str">
        <f>IFERROR(__xludf.DUMMYFUNCTION("""COMPUTED_VALUE"""),"https://www.instagram.com/beytoreza_info/")</f>
        <v>https://www.instagram.com/beytoreza_info/</v>
      </c>
      <c r="I383" s="6" t="str">
        <f>IFERROR(__xludf.DUMMYFUNCTION("""COMPUTED_VALUE"""),"https://t.me/beytoreza_info")</f>
        <v>https://t.me/beytoreza_info</v>
      </c>
      <c r="J383" s="5"/>
      <c r="K383" s="5"/>
      <c r="L383" s="5"/>
      <c r="M383" s="5"/>
      <c r="N383" s="5" t="str">
        <f>IFERROR(__xludf.DUMMYFUNCTION("""COMPUTED_VALUE"""),"*")</f>
        <v>*</v>
      </c>
      <c r="O383" s="5"/>
      <c r="P383" s="5"/>
      <c r="Q383" s="5"/>
      <c r="R383" s="5"/>
      <c r="S383" s="5"/>
    </row>
    <row r="384">
      <c r="A384" s="5"/>
      <c r="B384" s="5" t="str">
        <f>IFERROR(__xludf.DUMMYFUNCTION("""COMPUTED_VALUE"""),"هیأت")</f>
        <v>هیأت</v>
      </c>
      <c r="C384" s="5" t="str">
        <f>IFERROR(__xludf.DUMMYFUNCTION("""COMPUTED_VALUE"""),"بیت الرضا")</f>
        <v>بیت الرضا</v>
      </c>
      <c r="D384" s="5" t="str">
        <f>IFERROR(__xludf.DUMMYFUNCTION("""COMPUTED_VALUE"""),"تهران")</f>
        <v>تهران</v>
      </c>
      <c r="E384" s="5" t="str">
        <f>IFERROR(__xludf.DUMMYFUNCTION("""COMPUTED_VALUE"""),"تهران")</f>
        <v>تهران</v>
      </c>
      <c r="F384" s="5"/>
      <c r="G384" s="5"/>
      <c r="H384" s="6" t="str">
        <f>IFERROR(__xludf.DUMMYFUNCTION("""COMPUTED_VALUE"""),"https://www.instagram.com/beytorreza/")</f>
        <v>https://www.instagram.com/beytorreza/</v>
      </c>
      <c r="I384" s="6" t="str">
        <f>IFERROR(__xludf.DUMMYFUNCTION("""COMPUTED_VALUE"""),"https://t.me/beytorreza")</f>
        <v>https://t.me/beytorreza</v>
      </c>
      <c r="J384" s="5"/>
      <c r="K384" s="5"/>
      <c r="L384" s="6" t="str">
        <f>IFERROR(__xludf.DUMMYFUNCTION("""COMPUTED_VALUE"""),"http://beytorreza.ir/")</f>
        <v>http://beytorreza.ir/</v>
      </c>
      <c r="M384" s="5" t="str">
        <f>IFERROR(__xludf.DUMMYFUNCTION("""COMPUTED_VALUE"""),"غیرفعال ")</f>
        <v>غیرفعال </v>
      </c>
      <c r="N384" s="5"/>
      <c r="O384" s="5"/>
      <c r="P384" s="5"/>
      <c r="Q384" s="5"/>
      <c r="R384" s="5"/>
      <c r="S384" s="5"/>
    </row>
    <row r="385">
      <c r="A385" s="5"/>
      <c r="B385" s="5" t="str">
        <f>IFERROR(__xludf.DUMMYFUNCTION("""COMPUTED_VALUE"""),"هیأت")</f>
        <v>هیأت</v>
      </c>
      <c r="C385" s="5" t="str">
        <f>IFERROR(__xludf.DUMMYFUNCTION("""COMPUTED_VALUE"""),"حسینیه بیت الزهرا")</f>
        <v>حسینیه بیت الزهرا</v>
      </c>
      <c r="D385" s="5" t="str">
        <f>IFERROR(__xludf.DUMMYFUNCTION("""COMPUTED_VALUE"""),"تهران")</f>
        <v>تهران</v>
      </c>
      <c r="E385" s="5" t="str">
        <f>IFERROR(__xludf.DUMMYFUNCTION("""COMPUTED_VALUE"""),"تهران")</f>
        <v>تهران</v>
      </c>
      <c r="F385" s="5"/>
      <c r="G385" s="5"/>
      <c r="H385" s="6" t="str">
        <f>IFERROR(__xludf.DUMMYFUNCTION("""COMPUTED_VALUE"""),"https://www.instagram.com/heiat_beytozzahra/")</f>
        <v>https://www.instagram.com/heiat_beytozzahra/</v>
      </c>
      <c r="I385" s="6" t="str">
        <f>IFERROR(__xludf.DUMMYFUNCTION("""COMPUTED_VALUE"""),"https://t.me/beytozzahraSal")</f>
        <v>https://t.me/beytozzahraSal</v>
      </c>
      <c r="J385" s="5"/>
      <c r="K385" s="5"/>
      <c r="L385" s="5"/>
      <c r="M385" s="5"/>
      <c r="N385" s="5" t="str">
        <f>IFERROR(__xludf.DUMMYFUNCTION("""COMPUTED_VALUE"""),"*")</f>
        <v>*</v>
      </c>
      <c r="O385" s="5"/>
      <c r="P385" s="5"/>
      <c r="Q385" s="5"/>
      <c r="R385" s="5"/>
      <c r="S385" s="5"/>
    </row>
    <row r="386">
      <c r="A386" s="5"/>
      <c r="B386" s="5" t="str">
        <f>IFERROR(__xludf.DUMMYFUNCTION("""COMPUTED_VALUE"""),"هیأت")</f>
        <v>هیأت</v>
      </c>
      <c r="C386" s="5" t="str">
        <f>IFERROR(__xludf.DUMMYFUNCTION("""COMPUTED_VALUE"""),"حسینیه بضعه الرسول")</f>
        <v>حسینیه بضعه الرسول</v>
      </c>
      <c r="D386" s="5" t="str">
        <f>IFERROR(__xludf.DUMMYFUNCTION("""COMPUTED_VALUE"""),"تهران")</f>
        <v>تهران</v>
      </c>
      <c r="E386" s="5" t="str">
        <f>IFERROR(__xludf.DUMMYFUNCTION("""COMPUTED_VALUE"""),"تهران")</f>
        <v>تهران</v>
      </c>
      <c r="F386" s="5" t="str">
        <f>IFERROR(__xludf.DUMMYFUNCTION("""COMPUTED_VALUE"""),"خیابان انقلاب | خیابان حافظ | کوچه صالح")</f>
        <v>خیابان انقلاب | خیابان حافظ | کوچه صالح</v>
      </c>
      <c r="G386" s="5"/>
      <c r="H386" s="6" t="str">
        <f>IFERROR(__xludf.DUMMYFUNCTION("""COMPUTED_VALUE"""),"https://www.instagram.com/bezatolhasan/")</f>
        <v>https://www.instagram.com/bezatolhasan/</v>
      </c>
      <c r="I386" s="6" t="str">
        <f>IFERROR(__xludf.DUMMYFUNCTION("""COMPUTED_VALUE"""),"https://t.me/bezatolhasan")</f>
        <v>https://t.me/bezatolhasan</v>
      </c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>
      <c r="A387" s="5"/>
      <c r="B387" s="5" t="str">
        <f>IFERROR(__xludf.DUMMYFUNCTION("""COMPUTED_VALUE"""),"هیأت")</f>
        <v>هیأت</v>
      </c>
      <c r="C387" s="5" t="str">
        <f>IFERROR(__xludf.DUMMYFUNCTION("""COMPUTED_VALUE"""),"بی بی فاطمه")</f>
        <v>بی بی فاطمه</v>
      </c>
      <c r="D387" s="5" t="str">
        <f>IFERROR(__xludf.DUMMYFUNCTION("""COMPUTED_VALUE"""),"تهران")</f>
        <v>تهران</v>
      </c>
      <c r="E387" s="5" t="str">
        <f>IFERROR(__xludf.DUMMYFUNCTION("""COMPUTED_VALUE"""),"تهران")</f>
        <v>تهران</v>
      </c>
      <c r="F387" s="5" t="str">
        <f>IFERROR(__xludf.DUMMYFUNCTION("""COMPUTED_VALUE"""),"قرچک")</f>
        <v>قرچک</v>
      </c>
      <c r="G387" s="5"/>
      <c r="H387" s="6" t="str">
        <f>IFERROR(__xludf.DUMMYFUNCTION("""COMPUTED_VALUE"""),"https://www.instagram.com/bibi_fatemeh_gharchak/")</f>
        <v>https://www.instagram.com/bibi_fatemeh_gharchak/</v>
      </c>
      <c r="I387" s="6" t="str">
        <f>IFERROR(__xludf.DUMMYFUNCTION("""COMPUTED_VALUE"""),"https://t.me/bibi_fatemeh_gharchak")</f>
        <v>https://t.me/bibi_fatemeh_gharchak</v>
      </c>
      <c r="J387" s="5"/>
      <c r="K387" s="5"/>
      <c r="L387" s="5"/>
      <c r="M387" s="5"/>
      <c r="N387" s="5" t="str">
        <f>IFERROR(__xludf.DUMMYFUNCTION("""COMPUTED_VALUE"""),"*")</f>
        <v>*</v>
      </c>
      <c r="O387" s="5"/>
      <c r="P387" s="5"/>
      <c r="Q387" s="5"/>
      <c r="R387" s="5"/>
      <c r="S387" s="5"/>
    </row>
    <row r="388">
      <c r="A388" s="5"/>
      <c r="B388" s="5" t="str">
        <f>IFERROR(__xludf.DUMMYFUNCTION("""COMPUTED_VALUE"""),"هیأت")</f>
        <v>هیأت</v>
      </c>
      <c r="C388" s="5" t="str">
        <f>IFERROR(__xludf.DUMMYFUNCTION("""COMPUTED_VALUE"""),"بکائیه")</f>
        <v>بکائیه</v>
      </c>
      <c r="D388" s="5" t="str">
        <f>IFERROR(__xludf.DUMMYFUNCTION("""COMPUTED_VALUE"""),"تهران")</f>
        <v>تهران</v>
      </c>
      <c r="E388" s="5" t="str">
        <f>IFERROR(__xludf.DUMMYFUNCTION("""COMPUTED_VALUE"""),"تهران")</f>
        <v>تهران</v>
      </c>
      <c r="F388" s="5"/>
      <c r="G388" s="5"/>
      <c r="H388" s="6" t="str">
        <f>IFERROR(__xludf.DUMMYFUNCTION("""COMPUTED_VALUE"""),"https://www.instagram.com/bokaeeye.135/")</f>
        <v>https://www.instagram.com/bokaeeye.135/</v>
      </c>
      <c r="I388" s="6" t="str">
        <f>IFERROR(__xludf.DUMMYFUNCTION("""COMPUTED_VALUE"""),"https://t.me/bokaeeye")</f>
        <v>https://t.me/bokaeeye</v>
      </c>
      <c r="J388" s="5"/>
      <c r="K388" s="5"/>
      <c r="L388" s="5"/>
      <c r="M388" s="5"/>
      <c r="N388" s="5" t="str">
        <f>IFERROR(__xludf.DUMMYFUNCTION("""COMPUTED_VALUE"""),"*")</f>
        <v>*</v>
      </c>
      <c r="O388" s="5"/>
      <c r="P388" s="5"/>
      <c r="Q388" s="5"/>
      <c r="R388" s="5"/>
      <c r="S388" s="5"/>
    </row>
    <row r="389">
      <c r="A389" s="5"/>
      <c r="B389" s="5" t="str">
        <f>IFERROR(__xludf.DUMMYFUNCTION("""COMPUTED_VALUE"""),"هیأت")</f>
        <v>هیأت</v>
      </c>
      <c r="C389" s="5" t="str">
        <f>IFERROR(__xludf.DUMMYFUNCTION("""COMPUTED_VALUE"""),"امام حسیین")</f>
        <v>امام حسیین</v>
      </c>
      <c r="D389" s="5" t="str">
        <f>IFERROR(__xludf.DUMMYFUNCTION("""COMPUTED_VALUE"""),"تهران")</f>
        <v>تهران</v>
      </c>
      <c r="E389" s="5" t="str">
        <f>IFERROR(__xludf.DUMMYFUNCTION("""COMPUTED_VALUE"""),"تهران")</f>
        <v>تهران</v>
      </c>
      <c r="F389" s="5" t="str">
        <f>IFERROR(__xludf.DUMMYFUNCTION("""COMPUTED_VALUE"""),"خیابان ولی‌عصر (عج) پل امیر بهادر ، ابتدای خیابان بشیری حسینیه قائم آل محمد (ده‌ملائیه")</f>
        <v>خیابان ولی‌عصر (عج) پل امیر بهادر ، ابتدای خیابان بشیری حسینیه قائم آل محمد (ده‌ملائیه</v>
      </c>
      <c r="G389" s="5"/>
      <c r="H389" s="6" t="str">
        <f>IFERROR(__xludf.DUMMYFUNCTION("""COMPUTED_VALUE"""),"https://www.instagram.com/dakhil_info/")</f>
        <v>https://www.instagram.com/dakhil_info/</v>
      </c>
      <c r="I389" s="6" t="str">
        <f>IFERROR(__xludf.DUMMYFUNCTION("""COMPUTED_VALUE"""),"https://t.me/dakhil_info")</f>
        <v>https://t.me/dakhil_info</v>
      </c>
      <c r="J389" s="5"/>
      <c r="K389" s="5"/>
      <c r="L389" s="5"/>
      <c r="M389" s="5"/>
      <c r="N389" s="5" t="str">
        <f>IFERROR(__xludf.DUMMYFUNCTION("""COMPUTED_VALUE"""),"*")</f>
        <v>*</v>
      </c>
      <c r="O389" s="5"/>
      <c r="P389" s="5"/>
      <c r="Q389" s="5"/>
      <c r="R389" s="5"/>
      <c r="S389" s="5"/>
    </row>
    <row r="390">
      <c r="A390" s="5"/>
      <c r="B390" s="5" t="str">
        <f>IFERROR(__xludf.DUMMYFUNCTION("""COMPUTED_VALUE"""),"هیأت")</f>
        <v>هیأت</v>
      </c>
      <c r="C390" s="5" t="str">
        <f>IFERROR(__xludf.DUMMYFUNCTION("""COMPUTED_VALUE"""),"دلدادگان عبدالله بن الحسن")</f>
        <v>دلدادگان عبدالله بن الحسن</v>
      </c>
      <c r="D390" s="5" t="str">
        <f>IFERROR(__xludf.DUMMYFUNCTION("""COMPUTED_VALUE"""),"تهران")</f>
        <v>تهران</v>
      </c>
      <c r="E390" s="5" t="str">
        <f>IFERROR(__xludf.DUMMYFUNCTION("""COMPUTED_VALUE"""),"تهران")</f>
        <v>تهران</v>
      </c>
      <c r="F390" s="5" t="str">
        <f>IFERROR(__xludf.DUMMYFUNCTION("""COMPUTED_VALUE"""),"وحدت اسلامی")</f>
        <v>وحدت اسلامی</v>
      </c>
      <c r="G390" s="5"/>
      <c r="H390" s="6" t="str">
        <f>IFERROR(__xludf.DUMMYFUNCTION("""COMPUTED_VALUE"""),"https://www.instagram.com/deldadegan_abdolah142/")</f>
        <v>https://www.instagram.com/deldadegan_abdolah142/</v>
      </c>
      <c r="I390" s="6" t="str">
        <f>IFERROR(__xludf.DUMMYFUNCTION("""COMPUTED_VALUE"""),"https://t.me/deldadegan_abdolah")</f>
        <v>https://t.me/deldadegan_abdolah</v>
      </c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>
      <c r="A391" s="5"/>
      <c r="B391" s="5" t="str">
        <f>IFERROR(__xludf.DUMMYFUNCTION("""COMPUTED_VALUE"""),"هیأت")</f>
        <v>هیأت</v>
      </c>
      <c r="C391" s="5" t="str">
        <f>IFERROR(__xludf.DUMMYFUNCTION("""COMPUTED_VALUE"""),"دیوانگان جنت الحسین")</f>
        <v>دیوانگان جنت الحسین</v>
      </c>
      <c r="D391" s="5" t="str">
        <f>IFERROR(__xludf.DUMMYFUNCTION("""COMPUTED_VALUE"""),"تهران")</f>
        <v>تهران</v>
      </c>
      <c r="E391" s="5" t="str">
        <f>IFERROR(__xludf.DUMMYFUNCTION("""COMPUTED_VALUE"""),"تهران")</f>
        <v>تهران</v>
      </c>
      <c r="F391" s="5"/>
      <c r="G391" s="5"/>
      <c r="H391" s="6" t="str">
        <f>IFERROR(__xludf.DUMMYFUNCTION("""COMPUTED_VALUE"""),"https://www.instagram.com/divanegan128/")</f>
        <v>https://www.instagram.com/divanegan128/</v>
      </c>
      <c r="I391" s="6" t="str">
        <f>IFERROR(__xludf.DUMMYFUNCTION("""COMPUTED_VALUE"""),"https://t.me/divanegane128")</f>
        <v>https://t.me/divanegane128</v>
      </c>
      <c r="J391" s="5"/>
      <c r="K391" s="5"/>
      <c r="L391" s="5"/>
      <c r="M391" s="5"/>
      <c r="N391" s="5" t="str">
        <f>IFERROR(__xludf.DUMMYFUNCTION("""COMPUTED_VALUE"""),"*")</f>
        <v>*</v>
      </c>
      <c r="O391" s="5"/>
      <c r="P391" s="5"/>
      <c r="Q391" s="5"/>
      <c r="R391" s="5"/>
      <c r="S391" s="5"/>
    </row>
    <row r="392">
      <c r="A392" s="5"/>
      <c r="B392" s="5" t="str">
        <f>IFERROR(__xludf.DUMMYFUNCTION("""COMPUTED_VALUE"""),"هیأت")</f>
        <v>هیأت</v>
      </c>
      <c r="C392" s="5" t="str">
        <f>IFERROR(__xludf.DUMMYFUNCTION("""COMPUTED_VALUE"""),"دیوانگان دو بانوی دمشق")</f>
        <v>دیوانگان دو بانوی دمشق</v>
      </c>
      <c r="D392" s="5" t="str">
        <f>IFERROR(__xludf.DUMMYFUNCTION("""COMPUTED_VALUE"""),"تهران")</f>
        <v>تهران</v>
      </c>
      <c r="E392" s="5" t="str">
        <f>IFERROR(__xludf.DUMMYFUNCTION("""COMPUTED_VALUE"""),"تهران")</f>
        <v>تهران</v>
      </c>
      <c r="F392" s="5"/>
      <c r="G392" s="5"/>
      <c r="H392" s="6" t="str">
        <f>IFERROR(__xludf.DUMMYFUNCTION("""COMPUTED_VALUE"""),"https://www.instagram.com/dobanoyedameshgh/")</f>
        <v>https://www.instagram.com/dobanoyedameshgh/</v>
      </c>
      <c r="I392" s="6" t="str">
        <f>IFERROR(__xludf.DUMMYFUNCTION("""COMPUTED_VALUE"""),"https://t.me/dobanoyedameshgh")</f>
        <v>https://t.me/dobanoyedameshgh</v>
      </c>
      <c r="J392" s="5"/>
      <c r="K392" s="5"/>
      <c r="L392" s="5"/>
      <c r="M392" s="5"/>
      <c r="N392" s="5" t="str">
        <f>IFERROR(__xludf.DUMMYFUNCTION("""COMPUTED_VALUE"""),"*")</f>
        <v>*</v>
      </c>
      <c r="O392" s="5"/>
      <c r="P392" s="5"/>
      <c r="Q392" s="5"/>
      <c r="R392" s="5"/>
      <c r="S392" s="5"/>
    </row>
    <row r="393">
      <c r="A393" s="5"/>
      <c r="B393" s="5" t="str">
        <f>IFERROR(__xludf.DUMMYFUNCTION("""COMPUTED_VALUE"""),"هیأت")</f>
        <v>هیأت</v>
      </c>
      <c r="C393" s="5" t="str">
        <f>IFERROR(__xludf.DUMMYFUNCTION("""COMPUTED_VALUE"""),"رایة الرقیه")</f>
        <v>رایة الرقیه</v>
      </c>
      <c r="D393" s="5" t="str">
        <f>IFERROR(__xludf.DUMMYFUNCTION("""COMPUTED_VALUE"""),"تهران")</f>
        <v>تهران</v>
      </c>
      <c r="E393" s="5" t="str">
        <f>IFERROR(__xludf.DUMMYFUNCTION("""COMPUTED_VALUE"""),"تهران")</f>
        <v>تهران</v>
      </c>
      <c r="F393" s="5" t="str">
        <f>IFERROR(__xludf.DUMMYFUNCTION("""COMPUTED_VALUE"""),"طهران ٫ میدان شهدا ٬ خیابان هفده شهریور به سمت میدان امام حسین ع ٫ حسینیه محلاتیها")</f>
        <v>طهران ٫ میدان شهدا ٬ خیابان هفده شهریور به سمت میدان امام حسین ع ٫ حسینیه محلاتیها</v>
      </c>
      <c r="G393" s="5"/>
      <c r="H393" s="6" t="str">
        <f>IFERROR(__xludf.DUMMYFUNCTION("""COMPUTED_VALUE"""),"https://www.instagram.com/dordaneh_info/")</f>
        <v>https://www.instagram.com/dordaneh_info/</v>
      </c>
      <c r="I393" s="6" t="str">
        <f>IFERROR(__xludf.DUMMYFUNCTION("""COMPUTED_VALUE"""),"https://t.me/dordaneh_info")</f>
        <v>https://t.me/dordaneh_info</v>
      </c>
      <c r="J393" s="5"/>
      <c r="K393" s="5"/>
      <c r="L393" s="5"/>
      <c r="M393" s="5"/>
      <c r="N393" s="5" t="str">
        <f>IFERROR(__xludf.DUMMYFUNCTION("""COMPUTED_VALUE"""),"*")</f>
        <v>*</v>
      </c>
      <c r="O393" s="5"/>
      <c r="P393" s="5"/>
      <c r="Q393" s="5"/>
      <c r="R393" s="5"/>
      <c r="S393" s="5"/>
    </row>
    <row r="394">
      <c r="A394" s="5"/>
      <c r="B394" s="5" t="str">
        <f>IFERROR(__xludf.DUMMYFUNCTION("""COMPUTED_VALUE"""),"هیأت")</f>
        <v>هیأت</v>
      </c>
      <c r="C394" s="5" t="str">
        <f>IFERROR(__xludf.DUMMYFUNCTION("""COMPUTED_VALUE"""),"ابن الزهرا")</f>
        <v>ابن الزهرا</v>
      </c>
      <c r="D394" s="5" t="str">
        <f>IFERROR(__xludf.DUMMYFUNCTION("""COMPUTED_VALUE"""),"تهران")</f>
        <v>تهران</v>
      </c>
      <c r="E394" s="5" t="str">
        <f>IFERROR(__xludf.DUMMYFUNCTION("""COMPUTED_VALUE"""),"تهران")</f>
        <v>تهران</v>
      </c>
      <c r="F394" s="5" t="str">
        <f>IFERROR(__xludf.DUMMYFUNCTION("""COMPUTED_VALUE"""),"خیابان ری خیابان عبدالله رضوی(آبمنگل) کوچه کردبچه بن بست سوم")</f>
        <v>خیابان ری خیابان عبدالله رضوی(آبمنگل) کوچه کردبچه بن بست سوم</v>
      </c>
      <c r="G394" s="5"/>
      <c r="H394" s="6" t="str">
        <f>IFERROR(__xludf.DUMMYFUNCTION("""COMPUTED_VALUE"""),"https://www.instagram.com/ebn_alzahra/")</f>
        <v>https://www.instagram.com/ebn_alzahra/</v>
      </c>
      <c r="I394" s="6" t="str">
        <f>IFERROR(__xludf.DUMMYFUNCTION("""COMPUTED_VALUE"""),"https://t.me/ebnalzahra")</f>
        <v>https://t.me/ebnalzahra</v>
      </c>
      <c r="J394" s="5"/>
      <c r="K394" s="5"/>
      <c r="L394" s="5"/>
      <c r="M394" s="5"/>
      <c r="N394" s="5" t="str">
        <f>IFERROR(__xludf.DUMMYFUNCTION("""COMPUTED_VALUE"""),"*")</f>
        <v>*</v>
      </c>
      <c r="O394" s="5"/>
      <c r="P394" s="5"/>
      <c r="Q394" s="5"/>
      <c r="R394" s="5"/>
      <c r="S394" s="5"/>
    </row>
    <row r="395">
      <c r="A395" s="5"/>
      <c r="B395" s="5" t="str">
        <f>IFERROR(__xludf.DUMMYFUNCTION("""COMPUTED_VALUE"""),"هیأت")</f>
        <v>هیأت</v>
      </c>
      <c r="C395" s="5" t="str">
        <f>IFERROR(__xludf.DUMMYFUNCTION("""COMPUTED_VALUE"""),"احسان الحسین")</f>
        <v>احسان الحسین</v>
      </c>
      <c r="D395" s="5" t="str">
        <f>IFERROR(__xludf.DUMMYFUNCTION("""COMPUTED_VALUE"""),"تهران")</f>
        <v>تهران</v>
      </c>
      <c r="E395" s="5" t="str">
        <f>IFERROR(__xludf.DUMMYFUNCTION("""COMPUTED_VALUE"""),"تهران")</f>
        <v>تهران</v>
      </c>
      <c r="F395" s="5" t="str">
        <f>IFERROR(__xludf.DUMMYFUNCTION("""COMPUTED_VALUE"""),"خیابان دولت - خیابان نعمتی (کیکاووس) ")</f>
        <v>خیابان دولت - خیابان نعمتی (کیکاووس) </v>
      </c>
      <c r="G395" s="5"/>
      <c r="H395" s="6" t="str">
        <f>IFERROR(__xludf.DUMMYFUNCTION("""COMPUTED_VALUE"""),"https://www.instagram.com/ehsanolhosein/")</f>
        <v>https://www.instagram.com/ehsanolhosein/</v>
      </c>
      <c r="I395" s="6" t="str">
        <f>IFERROR(__xludf.DUMMYFUNCTION("""COMPUTED_VALUE"""),"https://t.me/ehsanolhosein")</f>
        <v>https://t.me/ehsanolhosein</v>
      </c>
      <c r="J395" s="5"/>
      <c r="K395" s="5"/>
      <c r="L395" s="5"/>
      <c r="M395" s="5"/>
      <c r="N395" s="5" t="str">
        <f>IFERROR(__xludf.DUMMYFUNCTION("""COMPUTED_VALUE"""),"*")</f>
        <v>*</v>
      </c>
      <c r="O395" s="5"/>
      <c r="P395" s="5"/>
      <c r="Q395" s="5"/>
      <c r="R395" s="5"/>
      <c r="S395" s="5"/>
    </row>
    <row r="396">
      <c r="A396" s="5"/>
      <c r="B396" s="5" t="str">
        <f>IFERROR(__xludf.DUMMYFUNCTION("""COMPUTED_VALUE"""),"هیأت دانشجویی")</f>
        <v>هیأت دانشجویی</v>
      </c>
      <c r="C396" s="5" t="str">
        <f>IFERROR(__xludf.DUMMYFUNCTION("""COMPUTED_VALUE"""),"رایة الهدی")</f>
        <v>رایة الهدی</v>
      </c>
      <c r="D396" s="5" t="str">
        <f>IFERROR(__xludf.DUMMYFUNCTION("""COMPUTED_VALUE"""),"تهران")</f>
        <v>تهران</v>
      </c>
      <c r="E396" s="5" t="str">
        <f>IFERROR(__xludf.DUMMYFUNCTION("""COMPUTED_VALUE"""),"تهران")</f>
        <v>تهران</v>
      </c>
      <c r="F396" s="5" t="str">
        <f>IFERROR(__xludf.DUMMYFUNCTION("""COMPUTED_VALUE"""),"دانشکده فنی دانشگاه تهران")</f>
        <v>دانشکده فنی دانشگاه تهران</v>
      </c>
      <c r="G396" s="5"/>
      <c r="H396" s="6" t="str">
        <f>IFERROR(__xludf.DUMMYFUNCTION("""COMPUTED_VALUE"""),"https://www.instagram.com/fanni_rayatolhoda/")</f>
        <v>https://www.instagram.com/fanni_rayatolhoda/</v>
      </c>
      <c r="I396" s="6" t="str">
        <f>IFERROR(__xludf.DUMMYFUNCTION("""COMPUTED_VALUE"""),"https://t.me/fanni_rayatolhoda")</f>
        <v>https://t.me/fanni_rayatolhoda</v>
      </c>
      <c r="J396" s="5"/>
      <c r="K396" s="5"/>
      <c r="L396" s="5"/>
      <c r="M396" s="5"/>
      <c r="N396" s="5" t="str">
        <f>IFERROR(__xludf.DUMMYFUNCTION("""COMPUTED_VALUE"""),"*")</f>
        <v>*</v>
      </c>
      <c r="O396" s="5"/>
      <c r="P396" s="5"/>
      <c r="Q396" s="5"/>
      <c r="R396" s="5"/>
      <c r="S396" s="5"/>
    </row>
    <row r="397">
      <c r="A397" s="5"/>
      <c r="B397" s="5" t="str">
        <f>IFERROR(__xludf.DUMMYFUNCTION("""COMPUTED_VALUE"""),"هیأت")</f>
        <v>هیأت</v>
      </c>
      <c r="C397" s="5" t="str">
        <f>IFERROR(__xludf.DUMMYFUNCTION("""COMPUTED_VALUE"""),"فاطمیه ارشاد")</f>
        <v>فاطمیه ارشاد</v>
      </c>
      <c r="D397" s="5" t="str">
        <f>IFERROR(__xludf.DUMMYFUNCTION("""COMPUTED_VALUE"""),"تهران")</f>
        <v>تهران</v>
      </c>
      <c r="E397" s="5" t="str">
        <f>IFERROR(__xludf.DUMMYFUNCTION("""COMPUTED_VALUE"""),"تهران")</f>
        <v>تهران</v>
      </c>
      <c r="F397" s="5" t="str">
        <f>IFERROR(__xludf.DUMMYFUNCTION("""COMPUTED_VALUE"""),"نارمک")</f>
        <v>نارمک</v>
      </c>
      <c r="G397" s="5"/>
      <c r="H397" s="6" t="str">
        <f>IFERROR(__xludf.DUMMYFUNCTION("""COMPUTED_VALUE"""),"https://www.instagram.com/fatemiehershad135/")</f>
        <v>https://www.instagram.com/fatemiehershad135/</v>
      </c>
      <c r="I397" s="6" t="str">
        <f>IFERROR(__xludf.DUMMYFUNCTION("""COMPUTED_VALUE"""),"https://t.me/fatemiehershad135")</f>
        <v>https://t.me/fatemiehershad135</v>
      </c>
      <c r="J397" s="5"/>
      <c r="K397" s="5"/>
      <c r="L397" s="5"/>
      <c r="M397" s="5"/>
      <c r="N397" s="5" t="str">
        <f>IFERROR(__xludf.DUMMYFUNCTION("""COMPUTED_VALUE"""),"*")</f>
        <v>*</v>
      </c>
      <c r="O397" s="5"/>
      <c r="P397" s="5"/>
      <c r="Q397" s="5"/>
      <c r="R397" s="5"/>
      <c r="S397" s="5"/>
    </row>
    <row r="398">
      <c r="A398" s="5"/>
      <c r="B398" s="5" t="str">
        <f>IFERROR(__xludf.DUMMYFUNCTION("""COMPUTED_VALUE"""),"هیأت")</f>
        <v>هیأت</v>
      </c>
      <c r="C398" s="5" t="str">
        <f>IFERROR(__xludf.DUMMYFUNCTION("""COMPUTED_VALUE"""),"بیت العباس")</f>
        <v>بیت العباس</v>
      </c>
      <c r="D398" s="5" t="str">
        <f>IFERROR(__xludf.DUMMYFUNCTION("""COMPUTED_VALUE"""),"تهران")</f>
        <v>تهران</v>
      </c>
      <c r="E398" s="5" t="str">
        <f>IFERROR(__xludf.DUMMYFUNCTION("""COMPUTED_VALUE"""),"تهران")</f>
        <v>تهران</v>
      </c>
      <c r="F398" s="5" t="str">
        <f>IFERROR(__xludf.DUMMYFUNCTION("""COMPUTED_VALUE"""),"تهران‌ نو")</f>
        <v>تهران‌ نو</v>
      </c>
      <c r="G398" s="5"/>
      <c r="H398" s="6" t="str">
        <f>IFERROR(__xludf.DUMMYFUNCTION("""COMPUTED_VALUE"""),"https://www.instagram.com/ghamaar.133/")</f>
        <v>https://www.instagram.com/ghamaar.133/</v>
      </c>
      <c r="I398" s="6" t="str">
        <f>IFERROR(__xludf.DUMMYFUNCTION("""COMPUTED_VALUE"""),"https://t.me/ghamaar133")</f>
        <v>https://t.me/ghamaar133</v>
      </c>
      <c r="J398" s="5"/>
      <c r="K398" s="5"/>
      <c r="L398" s="5"/>
      <c r="M398" s="5"/>
      <c r="N398" s="5" t="str">
        <f>IFERROR(__xludf.DUMMYFUNCTION("""COMPUTED_VALUE"""),"*")</f>
        <v>*</v>
      </c>
      <c r="O398" s="5"/>
      <c r="P398" s="5"/>
      <c r="Q398" s="5"/>
      <c r="R398" s="5"/>
      <c r="S398" s="5"/>
    </row>
    <row r="399">
      <c r="A399" s="5"/>
      <c r="B399" s="5" t="str">
        <f>IFERROR(__xludf.DUMMYFUNCTION("""COMPUTED_VALUE"""),"هیأت")</f>
        <v>هیأت</v>
      </c>
      <c r="C399" s="5" t="str">
        <f>IFERROR(__xludf.DUMMYFUNCTION("""COMPUTED_VALUE"""),"محفل غریب سامرا")</f>
        <v>محفل غریب سامرا</v>
      </c>
      <c r="D399" s="5" t="str">
        <f>IFERROR(__xludf.DUMMYFUNCTION("""COMPUTED_VALUE"""),"تهران")</f>
        <v>تهران</v>
      </c>
      <c r="E399" s="5" t="str">
        <f>IFERROR(__xludf.DUMMYFUNCTION("""COMPUTED_VALUE"""),"تهران")</f>
        <v>تهران</v>
      </c>
      <c r="F399" s="5" t="str">
        <f>IFERROR(__xludf.DUMMYFUNCTION("""COMPUTED_VALUE"""),"افسریه")</f>
        <v>افسریه</v>
      </c>
      <c r="G399" s="5"/>
      <c r="H399" s="6" t="str">
        <f>IFERROR(__xludf.DUMMYFUNCTION("""COMPUTED_VALUE"""),"https://www.instagram.com/gharibesamera_emamhadi/")</f>
        <v>https://www.instagram.com/gharibesamera_emamhadi/</v>
      </c>
      <c r="I399" s="6" t="str">
        <f>IFERROR(__xludf.DUMMYFUNCTION("""COMPUTED_VALUE"""),"https://t.me/gharibesamera_emamhadi")</f>
        <v>https://t.me/gharibesamera_emamhadi</v>
      </c>
      <c r="J399" s="5"/>
      <c r="K399" s="5"/>
      <c r="L399" s="5"/>
      <c r="M399" s="5"/>
      <c r="N399" s="5" t="str">
        <f>IFERROR(__xludf.DUMMYFUNCTION("""COMPUTED_VALUE"""),"*")</f>
        <v>*</v>
      </c>
      <c r="O399" s="5"/>
      <c r="P399" s="5"/>
      <c r="Q399" s="5"/>
      <c r="R399" s="5"/>
      <c r="S399" s="5"/>
    </row>
    <row r="400">
      <c r="A400" s="5"/>
      <c r="B400" s="5" t="str">
        <f>IFERROR(__xludf.DUMMYFUNCTION("""COMPUTED_VALUE"""),"هیأت")</f>
        <v>هیأت</v>
      </c>
      <c r="C400" s="5" t="str">
        <f>IFERROR(__xludf.DUMMYFUNCTION("""COMPUTED_VALUE"""),"حسینیه حضرت رقیه")</f>
        <v>حسینیه حضرت رقیه</v>
      </c>
      <c r="D400" s="5" t="str">
        <f>IFERROR(__xludf.DUMMYFUNCTION("""COMPUTED_VALUE"""),"تهران")</f>
        <v>تهران</v>
      </c>
      <c r="E400" s="5" t="str">
        <f>IFERROR(__xludf.DUMMYFUNCTION("""COMPUTED_VALUE"""),"تهران")</f>
        <v>تهران</v>
      </c>
      <c r="F400" s="5" t="str">
        <f>IFERROR(__xludf.DUMMYFUNCTION("""COMPUTED_VALUE"""),"ميدان شهدا خيابان ١٧شهريور خيابان مهدوى پور پلاك ٣٠حسينيه حضرت رقيه")</f>
        <v>ميدان شهدا خيابان ١٧شهريور خيابان مهدوى پور پلاك ٣٠حسينيه حضرت رقيه</v>
      </c>
      <c r="G400" s="5"/>
      <c r="H400" s="6" t="str">
        <f>IFERROR(__xludf.DUMMYFUNCTION("""COMPUTED_VALUE"""),"https://www.instagram.com/ghatil.info/")</f>
        <v>https://www.instagram.com/ghatil.info/</v>
      </c>
      <c r="I400" s="6" t="str">
        <f>IFERROR(__xludf.DUMMYFUNCTION("""COMPUTED_VALUE"""),"https://t.me/ghatilinfo")</f>
        <v>https://t.me/ghatilinfo</v>
      </c>
      <c r="J400" s="5"/>
      <c r="K400" s="5"/>
      <c r="L400" s="5"/>
      <c r="M400" s="5"/>
      <c r="N400" s="5" t="str">
        <f>IFERROR(__xludf.DUMMYFUNCTION("""COMPUTED_VALUE"""),"*")</f>
        <v>*</v>
      </c>
      <c r="O400" s="5"/>
      <c r="P400" s="5"/>
      <c r="Q400" s="5"/>
      <c r="R400" s="5"/>
      <c r="S400" s="5"/>
    </row>
    <row r="401">
      <c r="A401" s="5"/>
      <c r="B401" s="5" t="str">
        <f>IFERROR(__xludf.DUMMYFUNCTION("""COMPUTED_VALUE"""),"هیأت")</f>
        <v>هیأت</v>
      </c>
      <c r="C401" s="5" t="str">
        <f>IFERROR(__xludf.DUMMYFUNCTION("""COMPUTED_VALUE"""),"آقا موسی بن جعفر")</f>
        <v>آقا موسی بن جعفر</v>
      </c>
      <c r="D401" s="5" t="str">
        <f>IFERROR(__xludf.DUMMYFUNCTION("""COMPUTED_VALUE"""),"تهران")</f>
        <v>تهران</v>
      </c>
      <c r="E401" s="5" t="str">
        <f>IFERROR(__xludf.DUMMYFUNCTION("""COMPUTED_VALUE"""),"تهران")</f>
        <v>تهران</v>
      </c>
      <c r="F401" s="5" t="str">
        <f>IFERROR(__xludf.DUMMYFUNCTION("""COMPUTED_VALUE"""),"مجیدیه شمالی")</f>
        <v>مجیدیه شمالی</v>
      </c>
      <c r="G401" s="5"/>
      <c r="H401" s="6" t="str">
        <f>IFERROR(__xludf.DUMMYFUNCTION("""COMPUTED_VALUE"""),"https://www.instagram.com/ghebleh.info/")</f>
        <v>https://www.instagram.com/ghebleh.info/</v>
      </c>
      <c r="I401" s="6" t="str">
        <f>IFERROR(__xludf.DUMMYFUNCTION("""COMPUTED_VALUE"""),"https://t.me/gheblehinfo")</f>
        <v>https://t.me/gheblehinfo</v>
      </c>
      <c r="J401" s="5"/>
      <c r="K401" s="5"/>
      <c r="L401" s="5"/>
      <c r="M401" s="5"/>
      <c r="N401" s="5" t="str">
        <f>IFERROR(__xludf.DUMMYFUNCTION("""COMPUTED_VALUE"""),"*")</f>
        <v>*</v>
      </c>
      <c r="O401" s="5"/>
      <c r="P401" s="5"/>
      <c r="Q401" s="5"/>
      <c r="R401" s="5"/>
      <c r="S401" s="5"/>
    </row>
    <row r="402">
      <c r="A402" s="5"/>
      <c r="B402" s="5" t="str">
        <f>IFERROR(__xludf.DUMMYFUNCTION("""COMPUTED_VALUE"""),"هیأت")</f>
        <v>هیأت</v>
      </c>
      <c r="C402" s="5" t="str">
        <f>IFERROR(__xludf.DUMMYFUNCTION("""COMPUTED_VALUE"""),"عبدالله ابن الحسن")</f>
        <v>عبدالله ابن الحسن</v>
      </c>
      <c r="D402" s="5" t="str">
        <f>IFERROR(__xludf.DUMMYFUNCTION("""COMPUTED_VALUE"""),"تهران")</f>
        <v>تهران</v>
      </c>
      <c r="E402" s="5" t="str">
        <f>IFERROR(__xludf.DUMMYFUNCTION("""COMPUTED_VALUE"""),"تهران")</f>
        <v>تهران</v>
      </c>
      <c r="F402" s="5"/>
      <c r="G402" s="5"/>
      <c r="H402" s="6" t="str">
        <f>IFERROR(__xludf.DUMMYFUNCTION("""COMPUTED_VALUE"""),"https://www.instagram.com/ghorb_ir")</f>
        <v>https://www.instagram.com/ghorb_ir</v>
      </c>
      <c r="I402" s="6" t="str">
        <f>IFERROR(__xludf.DUMMYFUNCTION("""COMPUTED_VALUE"""),"https://t.me/ghorb")</f>
        <v>https://t.me/ghorb</v>
      </c>
      <c r="J402" s="5"/>
      <c r="K402" s="5"/>
      <c r="L402" s="6" t="str">
        <f>IFERROR(__xludf.DUMMYFUNCTION("""COMPUTED_VALUE"""),"https://www.ghorb.ir/")</f>
        <v>https://www.ghorb.ir/</v>
      </c>
      <c r="M402" s="5"/>
      <c r="N402" s="5" t="str">
        <f>IFERROR(__xludf.DUMMYFUNCTION("""COMPUTED_VALUE"""),"*")</f>
        <v>*</v>
      </c>
      <c r="O402" s="5"/>
      <c r="P402" s="5"/>
      <c r="Q402" s="5"/>
      <c r="R402" s="5"/>
      <c r="S402" s="5"/>
    </row>
    <row r="403">
      <c r="A403" s="5"/>
      <c r="B403" s="5" t="str">
        <f>IFERROR(__xludf.DUMMYFUNCTION("""COMPUTED_VALUE"""),"هیأت")</f>
        <v>هیأت</v>
      </c>
      <c r="C403" s="5" t="str">
        <f>IFERROR(__xludf.DUMMYFUNCTION("""COMPUTED_VALUE"""),"گودال")</f>
        <v>گودال</v>
      </c>
      <c r="D403" s="5" t="str">
        <f>IFERROR(__xludf.DUMMYFUNCTION("""COMPUTED_VALUE"""),"تهران")</f>
        <v>تهران</v>
      </c>
      <c r="E403" s="5" t="str">
        <f>IFERROR(__xludf.DUMMYFUNCTION("""COMPUTED_VALUE"""),"تهران")</f>
        <v>تهران</v>
      </c>
      <c r="F403" s="5"/>
      <c r="G403" s="5"/>
      <c r="H403" s="6" t="str">
        <f>IFERROR(__xludf.DUMMYFUNCTION("""COMPUTED_VALUE"""),"https://www.instagram.com/godal.info/")</f>
        <v>https://www.instagram.com/godal.info/</v>
      </c>
      <c r="I403" s="6" t="str">
        <f>IFERROR(__xludf.DUMMYFUNCTION("""COMPUTED_VALUE"""),"https://t.me/godal_info")</f>
        <v>https://t.me/godal_info</v>
      </c>
      <c r="J403" s="5"/>
      <c r="K403" s="5"/>
      <c r="L403" s="5"/>
      <c r="M403" s="5"/>
      <c r="N403" s="5" t="str">
        <f>IFERROR(__xludf.DUMMYFUNCTION("""COMPUTED_VALUE"""),"*")</f>
        <v>*</v>
      </c>
      <c r="O403" s="5"/>
      <c r="P403" s="5"/>
      <c r="Q403" s="5"/>
      <c r="R403" s="5"/>
      <c r="S403" s="5"/>
    </row>
    <row r="404">
      <c r="A404" s="5"/>
      <c r="B404" s="5" t="str">
        <f>IFERROR(__xludf.DUMMYFUNCTION("""COMPUTED_VALUE"""),"هیأت")</f>
        <v>هیأت</v>
      </c>
      <c r="C404" s="5" t="str">
        <f>IFERROR(__xludf.DUMMYFUNCTION("""COMPUTED_VALUE"""),"قتلگاه امام حسین")</f>
        <v>قتلگاه امام حسین</v>
      </c>
      <c r="D404" s="5" t="str">
        <f>IFERROR(__xludf.DUMMYFUNCTION("""COMPUTED_VALUE"""),"تهران")</f>
        <v>تهران</v>
      </c>
      <c r="E404" s="5" t="str">
        <f>IFERROR(__xludf.DUMMYFUNCTION("""COMPUTED_VALUE"""),"تهران")</f>
        <v>تهران</v>
      </c>
      <c r="F404" s="5"/>
      <c r="G404" s="5"/>
      <c r="H404" s="6" t="str">
        <f>IFERROR(__xludf.DUMMYFUNCTION("""COMPUTED_VALUE"""),"https://www.instagram.com/godalghatlegah_ir/")</f>
        <v>https://www.instagram.com/godalghatlegah_ir/</v>
      </c>
      <c r="I404" s="6" t="str">
        <f>IFERROR(__xludf.DUMMYFUNCTION("""COMPUTED_VALUE"""),"https://t.me/godalghatlegah_ir")</f>
        <v>https://t.me/godalghatlegah_ir</v>
      </c>
      <c r="J404" s="5"/>
      <c r="K404" s="5"/>
      <c r="L404" s="5"/>
      <c r="M404" s="5"/>
      <c r="N404" s="5" t="str">
        <f>IFERROR(__xludf.DUMMYFUNCTION("""COMPUTED_VALUE"""),"*")</f>
        <v>*</v>
      </c>
      <c r="O404" s="5"/>
      <c r="P404" s="5"/>
      <c r="Q404" s="5"/>
      <c r="R404" s="5"/>
      <c r="S404" s="5"/>
    </row>
    <row r="405">
      <c r="A405" s="5"/>
      <c r="B405" s="5" t="str">
        <f>IFERROR(__xludf.DUMMYFUNCTION("""COMPUTED_VALUE"""),"هیأت")</f>
        <v>هیأت</v>
      </c>
      <c r="C405" s="5" t="str">
        <f>IFERROR(__xludf.DUMMYFUNCTION("""COMPUTED_VALUE"""),"حسن جانم طهران")</f>
        <v>حسن جانم طهران</v>
      </c>
      <c r="D405" s="5" t="str">
        <f>IFERROR(__xludf.DUMMYFUNCTION("""COMPUTED_VALUE"""),"تهران")</f>
        <v>تهران</v>
      </c>
      <c r="E405" s="5" t="str">
        <f>IFERROR(__xludf.DUMMYFUNCTION("""COMPUTED_VALUE"""),"تهران")</f>
        <v>تهران</v>
      </c>
      <c r="F405" s="5"/>
      <c r="G405" s="5"/>
      <c r="H405" s="6" t="str">
        <f>IFERROR(__xludf.DUMMYFUNCTION("""COMPUTED_VALUE"""),"https://www.instagram.com/hasanjaanam/")</f>
        <v>https://www.instagram.com/hasanjaanam/</v>
      </c>
      <c r="I405" s="6" t="str">
        <f>IFERROR(__xludf.DUMMYFUNCTION("""COMPUTED_VALUE"""),"https://t.me/hasaanjaanam")</f>
        <v>https://t.me/hasaanjaanam</v>
      </c>
      <c r="J405" s="5"/>
      <c r="K405" s="5"/>
      <c r="L405" s="5"/>
      <c r="M405" s="5"/>
      <c r="N405" s="5" t="str">
        <f>IFERROR(__xludf.DUMMYFUNCTION("""COMPUTED_VALUE"""),"*")</f>
        <v>*</v>
      </c>
      <c r="O405" s="5"/>
      <c r="P405" s="5"/>
      <c r="Q405" s="5"/>
      <c r="R405" s="5"/>
      <c r="S405" s="5"/>
    </row>
    <row r="406">
      <c r="A406" s="5"/>
      <c r="B406" s="5" t="str">
        <f>IFERROR(__xludf.DUMMYFUNCTION("""COMPUTED_VALUE"""),"هیأت")</f>
        <v>هیأت</v>
      </c>
      <c r="C406" s="5" t="str">
        <f>IFERROR(__xludf.DUMMYFUNCTION("""COMPUTED_VALUE"""),"امام حسن مجتبی")</f>
        <v>امام حسن مجتبی</v>
      </c>
      <c r="D406" s="5" t="str">
        <f>IFERROR(__xludf.DUMMYFUNCTION("""COMPUTED_VALUE"""),"تهران")</f>
        <v>تهران</v>
      </c>
      <c r="E406" s="5" t="str">
        <f>IFERROR(__xludf.DUMMYFUNCTION("""COMPUTED_VALUE"""),"تهران")</f>
        <v>تهران</v>
      </c>
      <c r="F406" s="5" t="str">
        <f>IFERROR(__xludf.DUMMYFUNCTION("""COMPUTED_VALUE"""),"منطقه 18 شادآباد")</f>
        <v>منطقه 18 شادآباد</v>
      </c>
      <c r="G406" s="5"/>
      <c r="H406" s="6" t="str">
        <f>IFERROR(__xludf.DUMMYFUNCTION("""COMPUTED_VALUE"""),"https://www.instagram.com/emam_hasan_mojtba118/")</f>
        <v>https://www.instagram.com/emam_hasan_mojtba118/</v>
      </c>
      <c r="I406" s="6" t="str">
        <f>IFERROR(__xludf.DUMMYFUNCTION("""COMPUTED_VALUE"""),"https://t.me/heiat_emam_hasan_118")</f>
        <v>https://t.me/heiat_emam_hasan_118</v>
      </c>
      <c r="J406" s="5"/>
      <c r="K406" s="5"/>
      <c r="L406" s="5"/>
      <c r="M406" s="5"/>
      <c r="N406" s="5" t="str">
        <f>IFERROR(__xludf.DUMMYFUNCTION("""COMPUTED_VALUE"""),"*")</f>
        <v>*</v>
      </c>
      <c r="O406" s="5"/>
      <c r="P406" s="5"/>
      <c r="Q406" s="5"/>
      <c r="R406" s="5"/>
      <c r="S406" s="5"/>
    </row>
    <row r="407">
      <c r="A407" s="5"/>
      <c r="B407" s="5" t="str">
        <f>IFERROR(__xludf.DUMMYFUNCTION("""COMPUTED_VALUE"""),"هیأت")</f>
        <v>هیأت</v>
      </c>
      <c r="C407" s="5" t="str">
        <f>IFERROR(__xludf.DUMMYFUNCTION("""COMPUTED_VALUE"""),"امیرالمومنین")</f>
        <v>امیرالمومنین</v>
      </c>
      <c r="D407" s="5" t="str">
        <f>IFERROR(__xludf.DUMMYFUNCTION("""COMPUTED_VALUE"""),"تهران")</f>
        <v>تهران</v>
      </c>
      <c r="E407" s="5" t="str">
        <f>IFERROR(__xludf.DUMMYFUNCTION("""COMPUTED_VALUE"""),"تهران")</f>
        <v>تهران</v>
      </c>
      <c r="F407" s="5" t="str">
        <f>IFERROR(__xludf.DUMMYFUNCTION("""COMPUTED_VALUE"""),"نیاوران")</f>
        <v>نیاوران</v>
      </c>
      <c r="G407" s="5"/>
      <c r="H407" s="6" t="str">
        <f>IFERROR(__xludf.DUMMYFUNCTION("""COMPUTED_VALUE"""),"https://www.instagram.com/_amiralmomenin_110/")</f>
        <v>https://www.instagram.com/_amiralmomenin_110/</v>
      </c>
      <c r="I407" s="6" t="str">
        <f>IFERROR(__xludf.DUMMYFUNCTION("""COMPUTED_VALUE"""),"https://t.me/heyat_amiralmomenin")</f>
        <v>https://t.me/heyat_amiralmomenin</v>
      </c>
      <c r="J407" s="5"/>
      <c r="K407" s="5"/>
      <c r="L407" s="5"/>
      <c r="M407" s="5"/>
      <c r="N407" s="5" t="str">
        <f>IFERROR(__xludf.DUMMYFUNCTION("""COMPUTED_VALUE"""),"*")</f>
        <v>*</v>
      </c>
      <c r="O407" s="5"/>
      <c r="P407" s="5"/>
      <c r="Q407" s="5"/>
      <c r="R407" s="5"/>
      <c r="S407" s="5"/>
    </row>
    <row r="408">
      <c r="A408" s="5"/>
      <c r="B408" s="5" t="str">
        <f>IFERROR(__xludf.DUMMYFUNCTION("""COMPUTED_VALUE"""),"هیأت")</f>
        <v>هیأت</v>
      </c>
      <c r="C408" s="5" t="str">
        <f>IFERROR(__xludf.DUMMYFUNCTION("""COMPUTED_VALUE"""),"احرارالحسین")</f>
        <v>احرارالحسین</v>
      </c>
      <c r="D408" s="5" t="str">
        <f>IFERROR(__xludf.DUMMYFUNCTION("""COMPUTED_VALUE"""),"تهران")</f>
        <v>تهران</v>
      </c>
      <c r="E408" s="5" t="str">
        <f>IFERROR(__xludf.DUMMYFUNCTION("""COMPUTED_VALUE"""),"تهران")</f>
        <v>تهران</v>
      </c>
      <c r="F408" s="5" t="str">
        <f>IFERROR(__xludf.DUMMYFUNCTION("""COMPUTED_VALUE"""),"سعدی شمالی")</f>
        <v>سعدی شمالی</v>
      </c>
      <c r="G408" s="5"/>
      <c r="H408" s="6" t="str">
        <f>IFERROR(__xludf.DUMMYFUNCTION("""COMPUTED_VALUE"""),"https://www.instagram.com/ahraralhosein128/")</f>
        <v>https://www.instagram.com/ahraralhosein128/</v>
      </c>
      <c r="I408" s="6" t="str">
        <f>IFERROR(__xludf.DUMMYFUNCTION("""COMPUTED_VALUE"""),"https://t.me/khamseh110")</f>
        <v>https://t.me/khamseh110</v>
      </c>
      <c r="J408" s="5"/>
      <c r="K408" s="5"/>
      <c r="L408" s="5"/>
      <c r="M408" s="5"/>
      <c r="N408" s="5" t="str">
        <f>IFERROR(__xludf.DUMMYFUNCTION("""COMPUTED_VALUE"""),"*")</f>
        <v>*</v>
      </c>
      <c r="O408" s="5"/>
      <c r="P408" s="5"/>
      <c r="Q408" s="5"/>
      <c r="R408" s="5"/>
      <c r="S408" s="5"/>
    </row>
    <row r="409">
      <c r="A409" s="5"/>
      <c r="B409" s="5" t="str">
        <f>IFERROR(__xludf.DUMMYFUNCTION("""COMPUTED_VALUE"""),"هیأت")</f>
        <v>هیأت</v>
      </c>
      <c r="C409" s="5" t="str">
        <f>IFERROR(__xludf.DUMMYFUNCTION("""COMPUTED_VALUE"""),"مجلس روضه")</f>
        <v>مجلس روضه</v>
      </c>
      <c r="D409" s="5" t="str">
        <f>IFERROR(__xludf.DUMMYFUNCTION("""COMPUTED_VALUE"""),"تهران")</f>
        <v>تهران</v>
      </c>
      <c r="E409" s="5" t="str">
        <f>IFERROR(__xludf.DUMMYFUNCTION("""COMPUTED_VALUE"""),"تهران")</f>
        <v>تهران</v>
      </c>
      <c r="F409" s="5" t="str">
        <f>IFERROR(__xludf.DUMMYFUNCTION("""COMPUTED_VALUE"""),"میدان اعدام")</f>
        <v>میدان اعدام</v>
      </c>
      <c r="G409" s="5"/>
      <c r="H409" s="6" t="str">
        <f>IFERROR(__xludf.DUMMYFUNCTION("""COMPUTED_VALUE"""),"http://instagram.com/majles_roze/")</f>
        <v>http://instagram.com/majles_roze/</v>
      </c>
      <c r="I409" s="6" t="str">
        <f>IFERROR(__xludf.DUMMYFUNCTION("""COMPUTED_VALUE"""),"https://t.me/majlesroze")</f>
        <v>https://t.me/majlesroze</v>
      </c>
      <c r="J409" s="5"/>
      <c r="K409" s="5"/>
      <c r="L409" s="5"/>
      <c r="M409" s="5"/>
      <c r="N409" s="5" t="str">
        <f>IFERROR(__xludf.DUMMYFUNCTION("""COMPUTED_VALUE"""),"*")</f>
        <v>*</v>
      </c>
      <c r="O409" s="5"/>
      <c r="P409" s="5"/>
      <c r="Q409" s="5"/>
      <c r="R409" s="5"/>
      <c r="S409" s="5"/>
    </row>
    <row r="410">
      <c r="A410" s="5"/>
      <c r="B410" s="5" t="str">
        <f>IFERROR(__xludf.DUMMYFUNCTION("""COMPUTED_VALUE"""),"هیأت")</f>
        <v>هیأت</v>
      </c>
      <c r="C410" s="5" t="str">
        <f>IFERROR(__xludf.DUMMYFUNCTION("""COMPUTED_VALUE"""),"روضه الزینب")</f>
        <v>روضه الزینب</v>
      </c>
      <c r="D410" s="5" t="str">
        <f>IFERROR(__xludf.DUMMYFUNCTION("""COMPUTED_VALUE"""),"تهران")</f>
        <v>تهران</v>
      </c>
      <c r="E410" s="5" t="str">
        <f>IFERROR(__xludf.DUMMYFUNCTION("""COMPUTED_VALUE"""),"تهران")</f>
        <v>تهران</v>
      </c>
      <c r="F410" s="5" t="str">
        <f>IFERROR(__xludf.DUMMYFUNCTION("""COMPUTED_VALUE"""),"شوش")</f>
        <v>شوش</v>
      </c>
      <c r="G410" s="5"/>
      <c r="H410" s="6" t="str">
        <f>IFERROR(__xludf.DUMMYFUNCTION("""COMPUTED_VALUE"""),"https://www.instagram.com/aghile.69/")</f>
        <v>https://www.instagram.com/aghile.69/</v>
      </c>
      <c r="I410" s="6" t="str">
        <f>IFERROR(__xludf.DUMMYFUNCTION("""COMPUTED_VALUE"""),"https://t.me/rozatozeynab169")</f>
        <v>https://t.me/rozatozeynab169</v>
      </c>
      <c r="J410" s="5"/>
      <c r="K410" s="5"/>
      <c r="L410" s="5"/>
      <c r="M410" s="5"/>
      <c r="N410" s="5" t="str">
        <f>IFERROR(__xludf.DUMMYFUNCTION("""COMPUTED_VALUE"""),"*")</f>
        <v>*</v>
      </c>
      <c r="O410" s="5"/>
      <c r="P410" s="5"/>
      <c r="Q410" s="5"/>
      <c r="R410" s="5"/>
      <c r="S410" s="5"/>
    </row>
    <row r="411">
      <c r="A411" s="5"/>
      <c r="B411" s="5" t="str">
        <f>IFERROR(__xludf.DUMMYFUNCTION("""COMPUTED_VALUE"""),"هیأت")</f>
        <v>هیأت</v>
      </c>
      <c r="C411" s="5" t="str">
        <f>IFERROR(__xludf.DUMMYFUNCTION("""COMPUTED_VALUE"""),"طریق الحسین")</f>
        <v>طریق الحسین</v>
      </c>
      <c r="D411" s="5" t="str">
        <f>IFERROR(__xludf.DUMMYFUNCTION("""COMPUTED_VALUE"""),"تهران")</f>
        <v>تهران</v>
      </c>
      <c r="E411" s="5" t="str">
        <f>IFERROR(__xludf.DUMMYFUNCTION("""COMPUTED_VALUE"""),"تهران")</f>
        <v>تهران</v>
      </c>
      <c r="F411" s="5" t="str">
        <f>IFERROR(__xludf.DUMMYFUNCTION("""COMPUTED_VALUE"""),"پاسداران")</f>
        <v>پاسداران</v>
      </c>
      <c r="G411" s="5"/>
      <c r="H411" s="6" t="str">
        <f>IFERROR(__xludf.DUMMYFUNCTION("""COMPUTED_VALUE"""),"https://www.instagram.com/beytosadat/")</f>
        <v>https://www.instagram.com/beytosadat/</v>
      </c>
      <c r="I411" s="6" t="str">
        <f>IFERROR(__xludf.DUMMYFUNCTION("""COMPUTED_VALUE"""),"https://t.me/Tarighhossein")</f>
        <v>https://t.me/Tarighhossein</v>
      </c>
      <c r="J411" s="5"/>
      <c r="K411" s="5"/>
      <c r="L411" s="5"/>
      <c r="M411" s="5"/>
      <c r="N411" s="5" t="str">
        <f>IFERROR(__xludf.DUMMYFUNCTION("""COMPUTED_VALUE"""),"*")</f>
        <v>*</v>
      </c>
      <c r="O411" s="5"/>
      <c r="P411" s="5"/>
      <c r="Q411" s="5"/>
      <c r="R411" s="5"/>
      <c r="S411" s="5"/>
    </row>
    <row r="412">
      <c r="A412" s="5"/>
      <c r="B412" s="5" t="str">
        <f>IFERROR(__xludf.DUMMYFUNCTION("""COMPUTED_VALUE"""),"هیأت")</f>
        <v>هیأت</v>
      </c>
      <c r="C412" s="5" t="str">
        <f>IFERROR(__xludf.DUMMYFUNCTION("""COMPUTED_VALUE"""),"قمر بنی هاشم")</f>
        <v>قمر بنی هاشم</v>
      </c>
      <c r="D412" s="5" t="str">
        <f>IFERROR(__xludf.DUMMYFUNCTION("""COMPUTED_VALUE"""),"تهران")</f>
        <v>تهران</v>
      </c>
      <c r="E412" s="5" t="str">
        <f>IFERROR(__xludf.DUMMYFUNCTION("""COMPUTED_VALUE"""),"تهران")</f>
        <v>تهران</v>
      </c>
      <c r="F412" s="5"/>
      <c r="G412" s="5"/>
      <c r="H412" s="6" t="str">
        <f>IFERROR(__xludf.DUMMYFUNCTION("""COMPUTED_VALUE"""),"https://www.instagram.com/ghamarebanihashem/")</f>
        <v>https://www.instagram.com/ghamarebanihashem/</v>
      </c>
      <c r="I412" s="6" t="str">
        <f>IFERROR(__xludf.DUMMYFUNCTION("""COMPUTED_VALUE"""),"https://t.me/tasuair")</f>
        <v>https://t.me/tasuair</v>
      </c>
      <c r="J412" s="5"/>
      <c r="K412" s="5"/>
      <c r="L412" s="5"/>
      <c r="M412" s="5"/>
      <c r="N412" s="5" t="str">
        <f>IFERROR(__xludf.DUMMYFUNCTION("""COMPUTED_VALUE"""),"*")</f>
        <v>*</v>
      </c>
      <c r="O412" s="5"/>
      <c r="P412" s="5"/>
      <c r="Q412" s="5"/>
      <c r="R412" s="5"/>
      <c r="S412" s="5"/>
    </row>
    <row r="413">
      <c r="A413" s="5"/>
      <c r="B413" s="5" t="str">
        <f>IFERROR(__xludf.DUMMYFUNCTION("""COMPUTED_VALUE"""),"هیأت")</f>
        <v>هیأت</v>
      </c>
      <c r="C413" s="5" t="str">
        <f>IFERROR(__xludf.DUMMYFUNCTION("""COMPUTED_VALUE"""),"بیت الحسن غرب تهران")</f>
        <v>بیت الحسن غرب تهران</v>
      </c>
      <c r="D413" s="5" t="str">
        <f>IFERROR(__xludf.DUMMYFUNCTION("""COMPUTED_VALUE"""),"تهران")</f>
        <v>تهران</v>
      </c>
      <c r="E413" s="5" t="str">
        <f>IFERROR(__xludf.DUMMYFUNCTION("""COMPUTED_VALUE"""),"تهران")</f>
        <v>تهران</v>
      </c>
      <c r="F413" s="5"/>
      <c r="G413" s="5"/>
      <c r="H413" s="6" t="str">
        <f>IFERROR(__xludf.DUMMYFUNCTION("""COMPUTED_VALUE"""),"https://www.instagram.com/beytolhosein_tehran/")</f>
        <v>https://www.instagram.com/beytolhosein_tehran/</v>
      </c>
      <c r="I413" s="6" t="str">
        <f>IFERROR(__xludf.DUMMYFUNCTION("""COMPUTED_VALUE"""),"t.me/AmirHosseinRajablou")</f>
        <v>t.me/AmirHosseinRajablou</v>
      </c>
      <c r="J413" s="5"/>
      <c r="K413" s="5"/>
      <c r="L413" s="5"/>
      <c r="M413" s="5"/>
      <c r="N413" s="5" t="str">
        <f>IFERROR(__xludf.DUMMYFUNCTION("""COMPUTED_VALUE"""),"*")</f>
        <v>*</v>
      </c>
      <c r="O413" s="5"/>
      <c r="P413" s="5"/>
      <c r="Q413" s="5"/>
      <c r="R413" s="5"/>
      <c r="S413" s="5"/>
    </row>
    <row r="414">
      <c r="A414" s="5"/>
      <c r="B414" s="5" t="str">
        <f>IFERROR(__xludf.DUMMYFUNCTION("""COMPUTED_VALUE"""),"هیأت")</f>
        <v>هیأت</v>
      </c>
      <c r="C414" s="5" t="str">
        <f>IFERROR(__xludf.DUMMYFUNCTION("""COMPUTED_VALUE"""),"روضه مقدسه انصار الزهرا")</f>
        <v>روضه مقدسه انصار الزهرا</v>
      </c>
      <c r="D414" s="5" t="str">
        <f>IFERROR(__xludf.DUMMYFUNCTION("""COMPUTED_VALUE"""),"تهران")</f>
        <v>تهران</v>
      </c>
      <c r="E414" s="5" t="str">
        <f>IFERROR(__xludf.DUMMYFUNCTION("""COMPUTED_VALUE"""),"تهران")</f>
        <v>تهران</v>
      </c>
      <c r="F414" s="5" t="str">
        <f>IFERROR(__xludf.DUMMYFUNCTION("""COMPUTED_VALUE"""),"تهران،نارمک،خیابان شهید گلشندوست،سه راه گلستان،کوچه شهید منصور عبادی،مسجد امام حسین‌ع،روضه مقدسه انصارالزهرا س")</f>
        <v>تهران،نارمک،خیابان شهید گلشندوست،سه راه گلستان،کوچه شهید منصور عبادی،مسجد امام حسین‌ع،روضه مقدسه انصارالزهرا س</v>
      </c>
      <c r="G414" s="5"/>
      <c r="H414" s="6" t="str">
        <f>IFERROR(__xludf.DUMMYFUNCTION("""COMPUTED_VALUE"""),"https://www.instagram.com/ansaralzahra.ir/")</f>
        <v>https://www.instagram.com/ansaralzahra.ir/</v>
      </c>
      <c r="I414" s="5"/>
      <c r="J414" s="5"/>
      <c r="K414" s="5"/>
      <c r="L414" s="5"/>
      <c r="M414" s="5"/>
      <c r="N414" s="5" t="str">
        <f>IFERROR(__xludf.DUMMYFUNCTION("""COMPUTED_VALUE"""),"*")</f>
        <v>*</v>
      </c>
      <c r="O414" s="5"/>
      <c r="P414" s="5"/>
      <c r="Q414" s="5"/>
      <c r="R414" s="5"/>
      <c r="S414" s="5"/>
    </row>
    <row r="415">
      <c r="A415" s="5"/>
      <c r="B415" s="5" t="str">
        <f>IFERROR(__xludf.DUMMYFUNCTION("""COMPUTED_VALUE"""),"هیأت")</f>
        <v>هیأت</v>
      </c>
      <c r="C415" s="5" t="str">
        <f>IFERROR(__xludf.DUMMYFUNCTION("""COMPUTED_VALUE"""),"روضه عطش الحسین")</f>
        <v>روضه عطش الحسین</v>
      </c>
      <c r="D415" s="5" t="str">
        <f>IFERROR(__xludf.DUMMYFUNCTION("""COMPUTED_VALUE"""),"تهران")</f>
        <v>تهران</v>
      </c>
      <c r="E415" s="5" t="str">
        <f>IFERROR(__xludf.DUMMYFUNCTION("""COMPUTED_VALUE"""),"تهران")</f>
        <v>تهران</v>
      </c>
      <c r="F415" s="5" t="str">
        <f>IFERROR(__xludf.DUMMYFUNCTION("""COMPUTED_VALUE"""),"میدان شهدا")</f>
        <v>میدان شهدا</v>
      </c>
      <c r="G415" s="5"/>
      <c r="H415" s="6" t="str">
        <f>IFERROR(__xludf.DUMMYFUNCTION("""COMPUTED_VALUE"""),"https://www.instagram.com/atashalhusain/")</f>
        <v>https://www.instagram.com/atashalhusain/</v>
      </c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>
      <c r="A416" s="5"/>
      <c r="B416" s="5" t="str">
        <f>IFERROR(__xludf.DUMMYFUNCTION("""COMPUTED_VALUE"""),"هیأت")</f>
        <v>هیأت</v>
      </c>
      <c r="C416" s="5" t="str">
        <f>IFERROR(__xludf.DUMMYFUNCTION("""COMPUTED_VALUE"""),"فاطمیون")</f>
        <v>فاطمیون</v>
      </c>
      <c r="D416" s="5" t="str">
        <f>IFERROR(__xludf.DUMMYFUNCTION("""COMPUTED_VALUE"""),"تهران")</f>
        <v>تهران</v>
      </c>
      <c r="E416" s="5" t="str">
        <f>IFERROR(__xludf.DUMMYFUNCTION("""COMPUTED_VALUE"""),"تهران")</f>
        <v>تهران</v>
      </c>
      <c r="F416" s="5" t="str">
        <f>IFERROR(__xludf.DUMMYFUNCTION("""COMPUTED_VALUE"""),"مجاهدین اسلام")</f>
        <v>مجاهدین اسلام</v>
      </c>
      <c r="G416" s="5"/>
      <c r="H416" s="6" t="str">
        <f>IFERROR(__xludf.DUMMYFUNCTION("""COMPUTED_VALUE"""),"https://www.instagram.com/fatemioon_official/")</f>
        <v>https://www.instagram.com/fatemioon_official/</v>
      </c>
      <c r="I416" s="5"/>
      <c r="J416" s="5"/>
      <c r="K416" s="5"/>
      <c r="L416" s="5"/>
      <c r="M416" s="5"/>
      <c r="N416" s="5" t="str">
        <f>IFERROR(__xludf.DUMMYFUNCTION("""COMPUTED_VALUE"""),"*")</f>
        <v>*</v>
      </c>
      <c r="O416" s="5"/>
      <c r="P416" s="5"/>
      <c r="Q416" s="5"/>
      <c r="R416" s="5"/>
      <c r="S416" s="5"/>
    </row>
    <row r="417">
      <c r="A417" s="5"/>
      <c r="B417" s="5" t="str">
        <f>IFERROR(__xludf.DUMMYFUNCTION("""COMPUTED_VALUE"""),"هیأت")</f>
        <v>هیأت</v>
      </c>
      <c r="C417" s="5" t="str">
        <f>IFERROR(__xludf.DUMMYFUNCTION("""COMPUTED_VALUE"""),"محبین الحسن")</f>
        <v>محبین الحسن</v>
      </c>
      <c r="D417" s="5" t="str">
        <f>IFERROR(__xludf.DUMMYFUNCTION("""COMPUTED_VALUE"""),"تهران")</f>
        <v>تهران</v>
      </c>
      <c r="E417" s="5" t="str">
        <f>IFERROR(__xludf.DUMMYFUNCTION("""COMPUTED_VALUE"""),"تهران")</f>
        <v>تهران</v>
      </c>
      <c r="F417" s="5"/>
      <c r="G417" s="5"/>
      <c r="H417" s="6" t="str">
        <f>IFERROR(__xludf.DUMMYFUNCTION("""COMPUTED_VALUE"""),"https://www.instagram.com/hasaniyon.ir/")</f>
        <v>https://www.instagram.com/hasaniyon.ir/</v>
      </c>
      <c r="I417" s="5"/>
      <c r="J417" s="5"/>
      <c r="K417" s="5"/>
      <c r="L417" s="5"/>
      <c r="M417" s="5"/>
      <c r="N417" s="5" t="str">
        <f>IFERROR(__xludf.DUMMYFUNCTION("""COMPUTED_VALUE"""),"*")</f>
        <v>*</v>
      </c>
      <c r="O417" s="5"/>
      <c r="P417" s="5"/>
      <c r="Q417" s="5"/>
      <c r="R417" s="5"/>
      <c r="S417" s="5"/>
    </row>
    <row r="418">
      <c r="A418" s="5"/>
      <c r="B418" s="5" t="str">
        <f>IFERROR(__xludf.DUMMYFUNCTION("""COMPUTED_VALUE"""),"هیأت")</f>
        <v>هیأت</v>
      </c>
      <c r="C418" s="5" t="str">
        <f>IFERROR(__xludf.DUMMYFUNCTION("""COMPUTED_VALUE"""),"الزهرا")</f>
        <v>الزهرا</v>
      </c>
      <c r="D418" s="5" t="str">
        <f>IFERROR(__xludf.DUMMYFUNCTION("""COMPUTED_VALUE"""),"تهران")</f>
        <v>تهران</v>
      </c>
      <c r="E418" s="5" t="str">
        <f>IFERROR(__xludf.DUMMYFUNCTION("""COMPUTED_VALUE"""),"تهران")</f>
        <v>تهران</v>
      </c>
      <c r="F418" s="5"/>
      <c r="G418" s="5"/>
      <c r="H418" s="6" t="str">
        <f>IFERROR(__xludf.DUMMYFUNCTION("""COMPUTED_VALUE"""),"https://www.instagram.com/heiat_azzahraa/")</f>
        <v>https://www.instagram.com/heiat_azzahraa/</v>
      </c>
      <c r="I418" s="5"/>
      <c r="J418" s="5"/>
      <c r="K418" s="5"/>
      <c r="L418" s="5"/>
      <c r="M418" s="5"/>
      <c r="N418" s="5" t="str">
        <f>IFERROR(__xludf.DUMMYFUNCTION("""COMPUTED_VALUE"""),"*")</f>
        <v>*</v>
      </c>
      <c r="O418" s="5"/>
      <c r="P418" s="5"/>
      <c r="Q418" s="5"/>
      <c r="R418" s="5"/>
      <c r="S418" s="5"/>
    </row>
    <row r="419">
      <c r="A419" s="5"/>
      <c r="B419" s="5" t="str">
        <f>IFERROR(__xludf.DUMMYFUNCTION("""COMPUTED_VALUE"""),"هیأت")</f>
        <v>هیأت</v>
      </c>
      <c r="C419" s="5" t="str">
        <f>IFERROR(__xludf.DUMMYFUNCTION("""COMPUTED_VALUE"""),"مکتب حبیب بن مظاهر الاسدی")</f>
        <v>مکتب حبیب بن مظاهر الاسدی</v>
      </c>
      <c r="D419" s="5" t="str">
        <f>IFERROR(__xludf.DUMMYFUNCTION("""COMPUTED_VALUE"""),"تهران")</f>
        <v>تهران</v>
      </c>
      <c r="E419" s="5" t="str">
        <f>IFERROR(__xludf.DUMMYFUNCTION("""COMPUTED_VALUE"""),"تهران")</f>
        <v>تهران</v>
      </c>
      <c r="F419" s="5"/>
      <c r="G419" s="5"/>
      <c r="H419" s="6" t="str">
        <f>IFERROR(__xludf.DUMMYFUNCTION("""COMPUTED_VALUE"""),"https://www.instagram.com/maktabe_habib/")</f>
        <v>https://www.instagram.com/maktabe_habib/</v>
      </c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>
      <c r="A420" s="5"/>
      <c r="B420" s="5" t="str">
        <f>IFERROR(__xludf.DUMMYFUNCTION("""COMPUTED_VALUE"""),"هیأت")</f>
        <v>هیأت</v>
      </c>
      <c r="C420" s="5" t="str">
        <f>IFERROR(__xludf.DUMMYFUNCTION("""COMPUTED_VALUE"""),"حضرت ولی امر")</f>
        <v>حضرت ولی امر</v>
      </c>
      <c r="D420" s="5" t="str">
        <f>IFERROR(__xludf.DUMMYFUNCTION("""COMPUTED_VALUE"""),"تهران")</f>
        <v>تهران</v>
      </c>
      <c r="E420" s="5" t="str">
        <f>IFERROR(__xludf.DUMMYFUNCTION("""COMPUTED_VALUE"""),"تهران")</f>
        <v>تهران</v>
      </c>
      <c r="F420" s="5" t="str">
        <f>IFERROR(__xludf.DUMMYFUNCTION("""COMPUTED_VALUE"""),"تهران پارس")</f>
        <v>تهران پارس</v>
      </c>
      <c r="G420" s="5"/>
      <c r="H420" s="6" t="str">
        <f>IFERROR(__xludf.DUMMYFUNCTION("""COMPUTED_VALUE"""),"https://www.instagram.com/heyatvaliamr_aj")</f>
        <v>https://www.instagram.com/heyatvaliamr_aj</v>
      </c>
      <c r="I420" s="6" t="str">
        <f>IFERROR(__xludf.DUMMYFUNCTION("""COMPUTED_VALUE"""),"https://t.me/heyat_valiamr_aj")</f>
        <v>https://t.me/heyat_valiamr_aj</v>
      </c>
      <c r="J420" s="6" t="str">
        <f>IFERROR(__xludf.DUMMYFUNCTION("""COMPUTED_VALUE"""),"https://eitaa.com/heyat_valiamr_aj")</f>
        <v>https://eitaa.com/heyat_valiamr_aj</v>
      </c>
      <c r="K420" s="5"/>
      <c r="L420" s="5"/>
      <c r="M420" s="5"/>
      <c r="N420" s="5"/>
      <c r="O420" s="5"/>
      <c r="P420" s="5"/>
      <c r="Q420" s="5"/>
      <c r="R420" s="5"/>
      <c r="S420" s="5"/>
    </row>
    <row r="421">
      <c r="A421" s="5"/>
      <c r="B421" s="5" t="str">
        <f>IFERROR(__xludf.DUMMYFUNCTION("""COMPUTED_VALUE"""),"هیأت")</f>
        <v>هیأت</v>
      </c>
      <c r="C421" s="5" t="str">
        <f>IFERROR(__xludf.DUMMYFUNCTION("""COMPUTED_VALUE"""),"سیدة زینب")</f>
        <v>سیدة زینب</v>
      </c>
      <c r="D421" s="5" t="str">
        <f>IFERROR(__xludf.DUMMYFUNCTION("""COMPUTED_VALUE"""),"تهران")</f>
        <v>تهران</v>
      </c>
      <c r="E421" s="5" t="str">
        <f>IFERROR(__xludf.DUMMYFUNCTION("""COMPUTED_VALUE"""),"تهران")</f>
        <v>تهران</v>
      </c>
      <c r="F421" s="5"/>
      <c r="G421" s="5"/>
      <c r="H421" s="6" t="str">
        <f>IFERROR(__xludf.DUMMYFUNCTION("""COMPUTED_VALUE"""),"https://www.instagram.com/heiat.seyyedezeinab/")</f>
        <v>https://www.instagram.com/heiat.seyyedezeinab/</v>
      </c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>
      <c r="A422" s="5"/>
      <c r="B422" s="5" t="str">
        <f>IFERROR(__xludf.DUMMYFUNCTION("""COMPUTED_VALUE"""),"هیأت دخترانه")</f>
        <v>هیأت دخترانه</v>
      </c>
      <c r="C422" s="5" t="str">
        <f>IFERROR(__xludf.DUMMYFUNCTION("""COMPUTED_VALUE"""),"بنت الهدی")</f>
        <v>بنت الهدی</v>
      </c>
      <c r="D422" s="5" t="str">
        <f>IFERROR(__xludf.DUMMYFUNCTION("""COMPUTED_VALUE"""),"تهران")</f>
        <v>تهران</v>
      </c>
      <c r="E422" s="5" t="str">
        <f>IFERROR(__xludf.DUMMYFUNCTION("""COMPUTED_VALUE"""),"تهران")</f>
        <v>تهران</v>
      </c>
      <c r="F422" s="5"/>
      <c r="G422" s="5"/>
      <c r="H422" s="6" t="str">
        <f>IFERROR(__xludf.DUMMYFUNCTION("""COMPUTED_VALUE"""),"https://www.instagram.com/noore_maaah/")</f>
        <v>https://www.instagram.com/noore_maaah/</v>
      </c>
      <c r="I422" s="6" t="str">
        <f>IFERROR(__xludf.DUMMYFUNCTION("""COMPUTED_VALUE"""),"https://t.me/noore_maaah")</f>
        <v>https://t.me/noore_maaah</v>
      </c>
      <c r="J422" s="6" t="str">
        <f>IFERROR(__xludf.DUMMYFUNCTION("""COMPUTED_VALUE"""),"https://eitaa.com/noore_maaah")</f>
        <v>https://eitaa.com/noore_maaah</v>
      </c>
      <c r="K422" s="5"/>
      <c r="L422" s="5"/>
      <c r="M422" s="5"/>
      <c r="N422" s="5"/>
      <c r="O422" s="5"/>
      <c r="P422" s="5"/>
      <c r="Q422" s="5"/>
      <c r="R422" s="5"/>
      <c r="S422" s="5"/>
    </row>
    <row r="423">
      <c r="A423" s="5"/>
      <c r="B423" s="5" t="str">
        <f>IFERROR(__xludf.DUMMYFUNCTION("""COMPUTED_VALUE"""),"هیأت دانشجویی")</f>
        <v>هیأت دانشجویی</v>
      </c>
      <c r="C423" s="5" t="str">
        <f>IFERROR(__xludf.DUMMYFUNCTION("""COMPUTED_VALUE"""),"سوره")</f>
        <v>سوره</v>
      </c>
      <c r="D423" s="5" t="str">
        <f>IFERROR(__xludf.DUMMYFUNCTION("""COMPUTED_VALUE"""),"تهران")</f>
        <v>تهران</v>
      </c>
      <c r="E423" s="5" t="str">
        <f>IFERROR(__xludf.DUMMYFUNCTION("""COMPUTED_VALUE"""),"تهران")</f>
        <v>تهران</v>
      </c>
      <c r="F423" s="5" t="str">
        <f>IFERROR(__xludf.DUMMYFUNCTION("""COMPUTED_VALUE"""),"دانشگاه سوره")</f>
        <v>دانشگاه سوره</v>
      </c>
      <c r="G423" s="5"/>
      <c r="H423" s="6" t="str">
        <f>IFERROR(__xludf.DUMMYFUNCTION("""COMPUTED_VALUE"""),"https://www.instagram.com/soore_heyaat")</f>
        <v>https://www.instagram.com/soore_heyaat</v>
      </c>
      <c r="I423" s="6" t="str">
        <f>IFERROR(__xludf.DUMMYFUNCTION("""COMPUTED_VALUE"""),"https://t.me/soore_heyaat")</f>
        <v>https://t.me/soore_heyaat</v>
      </c>
      <c r="J423" s="6" t="str">
        <f>IFERROR(__xludf.DUMMYFUNCTION("""COMPUTED_VALUE"""),"https://ble.ir/soore_heyaat")</f>
        <v>https://ble.ir/soore_heyaat</v>
      </c>
      <c r="K423" s="5"/>
      <c r="L423" s="5"/>
      <c r="M423" s="5"/>
      <c r="N423" s="5"/>
      <c r="O423" s="5"/>
      <c r="P423" s="5"/>
      <c r="Q423" s="5"/>
      <c r="R423" s="5"/>
      <c r="S423" s="5"/>
    </row>
    <row r="424">
      <c r="A424" s="5"/>
      <c r="B424" s="5" t="str">
        <f>IFERROR(__xludf.DUMMYFUNCTION("""COMPUTED_VALUE"""),"هیأت")</f>
        <v>هیأت</v>
      </c>
      <c r="C424" s="5" t="str">
        <f>IFERROR(__xludf.DUMMYFUNCTION("""COMPUTED_VALUE"""),"الزهرا")</f>
        <v>الزهرا</v>
      </c>
      <c r="D424" s="5" t="str">
        <f>IFERROR(__xludf.DUMMYFUNCTION("""COMPUTED_VALUE"""),"تهران")</f>
        <v>تهران</v>
      </c>
      <c r="E424" s="5" t="str">
        <f>IFERROR(__xludf.DUMMYFUNCTION("""COMPUTED_VALUE"""),"تهران")</f>
        <v>تهران</v>
      </c>
      <c r="F424" s="5"/>
      <c r="G424" s="5"/>
      <c r="H424" s="6" t="str">
        <f>IFERROR(__xludf.DUMMYFUNCTION("""COMPUTED_VALUE"""),"https://www.instagram.com/heiatozahra.mokhadarat/")</f>
        <v>https://www.instagram.com/heiatozahra.mokhadarat/</v>
      </c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>
      <c r="A425" s="5"/>
      <c r="B425" s="5" t="str">
        <f>IFERROR(__xludf.DUMMYFUNCTION("""COMPUTED_VALUE"""),"هیأت دانشجویی")</f>
        <v>هیأت دانشجویی</v>
      </c>
      <c r="C425" s="5" t="str">
        <f>IFERROR(__xludf.DUMMYFUNCTION("""COMPUTED_VALUE"""),"فاطمیون")</f>
        <v>فاطمیون</v>
      </c>
      <c r="D425" s="5" t="str">
        <f>IFERROR(__xludf.DUMMYFUNCTION("""COMPUTED_VALUE"""),"تهران")</f>
        <v>تهران</v>
      </c>
      <c r="E425" s="5" t="str">
        <f>IFERROR(__xludf.DUMMYFUNCTION("""COMPUTED_VALUE"""),"تهران")</f>
        <v>تهران</v>
      </c>
      <c r="F425" s="5" t="str">
        <f>IFERROR(__xludf.DUMMYFUNCTION("""COMPUTED_VALUE"""),"دانشگاه شاهد")</f>
        <v>دانشگاه شاهد</v>
      </c>
      <c r="G425" s="5"/>
      <c r="H425" s="6" t="str">
        <f>IFERROR(__xludf.DUMMYFUNCTION("""COMPUTED_VALUE"""),"https://www.instagram.com/fatemion_shahed/")</f>
        <v>https://www.instagram.com/fatemion_shahed/</v>
      </c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>
      <c r="A426" s="5"/>
      <c r="B426" s="5" t="str">
        <f>IFERROR(__xludf.DUMMYFUNCTION("""COMPUTED_VALUE"""),"هیأت")</f>
        <v>هیأت</v>
      </c>
      <c r="C426" s="5" t="str">
        <f>IFERROR(__xludf.DUMMYFUNCTION("""COMPUTED_VALUE"""),"صاحب الزمان")</f>
        <v>صاحب الزمان</v>
      </c>
      <c r="D426" s="5" t="str">
        <f>IFERROR(__xludf.DUMMYFUNCTION("""COMPUTED_VALUE"""),"تهران")</f>
        <v>تهران</v>
      </c>
      <c r="E426" s="5" t="str">
        <f>IFERROR(__xludf.DUMMYFUNCTION("""COMPUTED_VALUE"""),"تهران")</f>
        <v>تهران</v>
      </c>
      <c r="F426" s="5"/>
      <c r="G426" s="5"/>
      <c r="H426" s="6" t="str">
        <f>IFERROR(__xludf.DUMMYFUNCTION("""COMPUTED_VALUE"""),"https://www.instagram.com/saheb1377s/")</f>
        <v>https://www.instagram.com/saheb1377s/</v>
      </c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>
      <c r="A427" s="5"/>
      <c r="B427" s="5" t="str">
        <f>IFERROR(__xludf.DUMMYFUNCTION("""COMPUTED_VALUE"""),"هیأت")</f>
        <v>هیأت</v>
      </c>
      <c r="C427" s="5" t="str">
        <f>IFERROR(__xludf.DUMMYFUNCTION("""COMPUTED_VALUE"""),"جنت الرضا (ع)")</f>
        <v>جنت الرضا (ع)</v>
      </c>
      <c r="D427" s="5" t="str">
        <f>IFERROR(__xludf.DUMMYFUNCTION("""COMPUTED_VALUE"""),"تهران")</f>
        <v>تهران</v>
      </c>
      <c r="E427" s="5" t="str">
        <f>IFERROR(__xludf.DUMMYFUNCTION("""COMPUTED_VALUE"""),"تهران")</f>
        <v>تهران</v>
      </c>
      <c r="F427" s="5"/>
      <c r="G427" s="5"/>
      <c r="H427" s="6" t="str">
        <f>IFERROR(__xludf.DUMMYFUNCTION("""COMPUTED_VALUE"""),"https://www.instagram.com/h_jannatreza101/")</f>
        <v>https://www.instagram.com/h_jannatreza101/</v>
      </c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>
      <c r="A428" s="5"/>
      <c r="B428" s="5" t="str">
        <f>IFERROR(__xludf.DUMMYFUNCTION("""COMPUTED_VALUE"""),"هیأت")</f>
        <v>هیأت</v>
      </c>
      <c r="C428" s="5" t="str">
        <f>IFERROR(__xludf.DUMMYFUNCTION("""COMPUTED_VALUE"""),"صادق آل محمد (ع۹")</f>
        <v>صادق آل محمد (ع۹</v>
      </c>
      <c r="D428" s="5" t="str">
        <f>IFERROR(__xludf.DUMMYFUNCTION("""COMPUTED_VALUE"""),"تهران")</f>
        <v>تهران</v>
      </c>
      <c r="E428" s="5" t="str">
        <f>IFERROR(__xludf.DUMMYFUNCTION("""COMPUTED_VALUE"""),"تهران")</f>
        <v>تهران</v>
      </c>
      <c r="F428" s="5"/>
      <c r="G428" s="5"/>
      <c r="H428" s="6" t="str">
        <f>IFERROR(__xludf.DUMMYFUNCTION("""COMPUTED_VALUE"""),"https://www.instagram.com/heiatsadegh/")</f>
        <v>https://www.instagram.com/heiatsadegh/</v>
      </c>
      <c r="I428" s="6" t="str">
        <f>IFERROR(__xludf.DUMMYFUNCTION("""COMPUTED_VALUE"""),"t.me/Javanan_Sadegh")</f>
        <v>t.me/Javanan_Sadegh</v>
      </c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>
      <c r="A429" s="5"/>
      <c r="B429" s="5" t="str">
        <f>IFERROR(__xludf.DUMMYFUNCTION("""COMPUTED_VALUE"""),"هیأت")</f>
        <v>هیأت</v>
      </c>
      <c r="C429" s="5" t="str">
        <f>IFERROR(__xludf.DUMMYFUNCTION("""COMPUTED_VALUE"""),"عشاق المهدی (عج)")</f>
        <v>عشاق المهدی (عج)</v>
      </c>
      <c r="D429" s="5" t="str">
        <f>IFERROR(__xludf.DUMMYFUNCTION("""COMPUTED_VALUE"""),"تهران")</f>
        <v>تهران</v>
      </c>
      <c r="E429" s="5" t="str">
        <f>IFERROR(__xludf.DUMMYFUNCTION("""COMPUTED_VALUE"""),"تهران")</f>
        <v>تهران</v>
      </c>
      <c r="F429" s="5"/>
      <c r="G429" s="5"/>
      <c r="H429" s="6" t="str">
        <f>IFERROR(__xludf.DUMMYFUNCTION("""COMPUTED_VALUE"""),"https://www.instagram.com/oshaghalmahdiii/")</f>
        <v>https://www.instagram.com/oshaghalmahdiii/</v>
      </c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>
      <c r="A430" s="5"/>
      <c r="B430" s="5" t="str">
        <f>IFERROR(__xludf.DUMMYFUNCTION("""COMPUTED_VALUE"""),"هیأت ")</f>
        <v>هیأت </v>
      </c>
      <c r="C430" s="5" t="str">
        <f>IFERROR(__xludf.DUMMYFUNCTION("""COMPUTED_VALUE"""),"متوسلین به حضرت علی اکبر (ع)")</f>
        <v>متوسلین به حضرت علی اکبر (ع)</v>
      </c>
      <c r="D430" s="5" t="str">
        <f>IFERROR(__xludf.DUMMYFUNCTION("""COMPUTED_VALUE"""),"تهران")</f>
        <v>تهران</v>
      </c>
      <c r="E430" s="5" t="str">
        <f>IFERROR(__xludf.DUMMYFUNCTION("""COMPUTED_VALUE"""),"تهران")</f>
        <v>تهران</v>
      </c>
      <c r="F430" s="5"/>
      <c r="G430" s="5"/>
      <c r="H430" s="5"/>
      <c r="I430" s="5"/>
      <c r="J430" s="6" t="str">
        <f>IFERROR(__xludf.DUMMYFUNCTION("""COMPUTED_VALUE"""),"https://eitaa.com/Heyat_Aliakbar_tehran")</f>
        <v>https://eitaa.com/Heyat_Aliakbar_tehran</v>
      </c>
      <c r="K430" s="5"/>
      <c r="L430" s="5"/>
      <c r="M430" s="5"/>
      <c r="N430" s="5"/>
      <c r="O430" s="5"/>
      <c r="P430" s="5"/>
      <c r="Q430" s="5"/>
      <c r="R430" s="5"/>
      <c r="S430" s="5"/>
    </row>
    <row r="431">
      <c r="A431" s="5"/>
      <c r="B431" s="5" t="str">
        <f>IFERROR(__xludf.DUMMYFUNCTION("""COMPUTED_VALUE"""),"هیأت ")</f>
        <v>هیأت </v>
      </c>
      <c r="C431" s="5" t="str">
        <f>IFERROR(__xludf.DUMMYFUNCTION("""COMPUTED_VALUE"""),"انصار المهدی عج")</f>
        <v>انصار المهدی عج</v>
      </c>
      <c r="D431" s="5" t="str">
        <f>IFERROR(__xludf.DUMMYFUNCTION("""COMPUTED_VALUE"""),"تهران")</f>
        <v>تهران</v>
      </c>
      <c r="E431" s="5" t="str">
        <f>IFERROR(__xludf.DUMMYFUNCTION("""COMPUTED_VALUE"""),"تهران")</f>
        <v>تهران</v>
      </c>
      <c r="F431" s="5"/>
      <c r="G431" s="5"/>
      <c r="H431" s="6" t="str">
        <f>IFERROR(__xludf.DUMMYFUNCTION("""COMPUTED_VALUE"""),"https://www.instagram.com/ansarolmahdiaj313/")</f>
        <v>https://www.instagram.com/ansarolmahdiaj313/</v>
      </c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>
      <c r="A432" s="5"/>
      <c r="B432" s="5" t="str">
        <f>IFERROR(__xludf.DUMMYFUNCTION("""COMPUTED_VALUE"""),"هیأت")</f>
        <v>هیأت</v>
      </c>
      <c r="C432" s="5" t="str">
        <f>IFERROR(__xludf.DUMMYFUNCTION("""COMPUTED_VALUE"""),"انصار المهدی عج")</f>
        <v>انصار المهدی عج</v>
      </c>
      <c r="D432" s="5" t="str">
        <f>IFERROR(__xludf.DUMMYFUNCTION("""COMPUTED_VALUE"""),"تهران")</f>
        <v>تهران</v>
      </c>
      <c r="E432" s="5" t="str">
        <f>IFERROR(__xludf.DUMMYFUNCTION("""COMPUTED_VALUE"""),"تهران")</f>
        <v>تهران</v>
      </c>
      <c r="F432" s="5"/>
      <c r="G432" s="5"/>
      <c r="H432" s="6" t="str">
        <f>IFERROR(__xludf.DUMMYFUNCTION("""COMPUTED_VALUE"""),"https://www.instagram.com/ansaralmahdi_tehran/")</f>
        <v>https://www.instagram.com/ansaralmahdi_tehran/</v>
      </c>
      <c r="I432" s="6" t="str">
        <f>IFERROR(__xludf.DUMMYFUNCTION("""COMPUTED_VALUE"""),"t.me/ansarmahdi_tehran")</f>
        <v>t.me/ansarmahdi_tehran</v>
      </c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>
      <c r="A433" s="5"/>
      <c r="B433" s="5" t="str">
        <f>IFERROR(__xludf.DUMMYFUNCTION("""COMPUTED_VALUE"""),"هیأت")</f>
        <v>هیأت</v>
      </c>
      <c r="C433" s="5" t="str">
        <f>IFERROR(__xludf.DUMMYFUNCTION("""COMPUTED_VALUE"""),"ابناءالخمینی")</f>
        <v>ابناءالخمینی</v>
      </c>
      <c r="D433" s="5" t="str">
        <f>IFERROR(__xludf.DUMMYFUNCTION("""COMPUTED_VALUE"""),"تهران")</f>
        <v>تهران</v>
      </c>
      <c r="E433" s="5" t="str">
        <f>IFERROR(__xludf.DUMMYFUNCTION("""COMPUTED_VALUE"""),"تهران")</f>
        <v>تهران</v>
      </c>
      <c r="F433" s="5"/>
      <c r="G433" s="5"/>
      <c r="H433" s="6" t="str">
        <f>IFERROR(__xludf.DUMMYFUNCTION("""COMPUTED_VALUE"""),"https://www.instagram.com/abna_al_khomeini/")</f>
        <v>https://www.instagram.com/abna_al_khomeini/</v>
      </c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>
      <c r="A434" s="5"/>
      <c r="B434" s="5" t="str">
        <f>IFERROR(__xludf.DUMMYFUNCTION("""COMPUTED_VALUE"""),"هیأت")</f>
        <v>هیأت</v>
      </c>
      <c r="C434" s="5" t="str">
        <f>IFERROR(__xludf.DUMMYFUNCTION("""COMPUTED_VALUE"""),"محبان الرضا")</f>
        <v>محبان الرضا</v>
      </c>
      <c r="D434" s="5" t="str">
        <f>IFERROR(__xludf.DUMMYFUNCTION("""COMPUTED_VALUE"""),"تهران")</f>
        <v>تهران</v>
      </c>
      <c r="E434" s="5" t="str">
        <f>IFERROR(__xludf.DUMMYFUNCTION("""COMPUTED_VALUE"""),"تهران")</f>
        <v>تهران</v>
      </c>
      <c r="F434" s="5"/>
      <c r="G434" s="5"/>
      <c r="H434" s="6" t="str">
        <f>IFERROR(__xludf.DUMMYFUNCTION("""COMPUTED_VALUE"""),"https://www.instagram.com/mohebban_alreza/")</f>
        <v>https://www.instagram.com/mohebban_alreza/</v>
      </c>
      <c r="I434" s="6" t="str">
        <f>IFERROR(__xludf.DUMMYFUNCTION("""COMPUTED_VALUE"""),"t.me/mohebban_alreza")</f>
        <v>t.me/mohebban_alreza</v>
      </c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>
      <c r="A435" s="5"/>
      <c r="B435" s="5" t="str">
        <f>IFERROR(__xludf.DUMMYFUNCTION("""COMPUTED_VALUE"""),"هیأت")</f>
        <v>هیأت</v>
      </c>
      <c r="C435" s="5" t="str">
        <f>IFERROR(__xludf.DUMMYFUNCTION("""COMPUTED_VALUE"""),"رهروان شهدا")</f>
        <v>رهروان شهدا</v>
      </c>
      <c r="D435" s="5" t="str">
        <f>IFERROR(__xludf.DUMMYFUNCTION("""COMPUTED_VALUE"""),"تهران")</f>
        <v>تهران</v>
      </c>
      <c r="E435" s="5" t="str">
        <f>IFERROR(__xludf.DUMMYFUNCTION("""COMPUTED_VALUE"""),"تهران")</f>
        <v>تهران</v>
      </c>
      <c r="F435" s="5"/>
      <c r="G435" s="5"/>
      <c r="H435" s="5"/>
      <c r="I435" s="5"/>
      <c r="J435" s="6" t="str">
        <f>IFERROR(__xludf.DUMMYFUNCTION("""COMPUTED_VALUE"""),"https://eitaa.com/heiatrahrovan")</f>
        <v>https://eitaa.com/heiatrahrovan</v>
      </c>
      <c r="K435" s="5"/>
      <c r="L435" s="5"/>
      <c r="M435" s="5"/>
      <c r="N435" s="5"/>
      <c r="O435" s="5"/>
      <c r="P435" s="5"/>
      <c r="Q435" s="5"/>
      <c r="R435" s="5"/>
      <c r="S435" s="5"/>
    </row>
    <row r="436">
      <c r="A436" s="5"/>
      <c r="B436" s="5" t="str">
        <f>IFERROR(__xludf.DUMMYFUNCTION("""COMPUTED_VALUE"""),"هیأت")</f>
        <v>هیأت</v>
      </c>
      <c r="C436" s="5" t="str">
        <f>IFERROR(__xludf.DUMMYFUNCTION("""COMPUTED_VALUE"""),"حضرت قاسم ابن الحسن (ع)")</f>
        <v>حضرت قاسم ابن الحسن (ع)</v>
      </c>
      <c r="D436" s="5" t="str">
        <f>IFERROR(__xludf.DUMMYFUNCTION("""COMPUTED_VALUE"""),"تهران")</f>
        <v>تهران</v>
      </c>
      <c r="E436" s="5" t="str">
        <f>IFERROR(__xludf.DUMMYFUNCTION("""COMPUTED_VALUE"""),"تهران")</f>
        <v>تهران</v>
      </c>
      <c r="F436" s="5"/>
      <c r="G436" s="5"/>
      <c r="H436" s="6" t="str">
        <f>IFERROR(__xludf.DUMMYFUNCTION("""COMPUTED_VALUE"""),"https://www.instagram.com/h.ghasem.201/")</f>
        <v>https://www.instagram.com/h.ghasem.201/</v>
      </c>
      <c r="I436" s="6" t="str">
        <f>IFERROR(__xludf.DUMMYFUNCTION("""COMPUTED_VALUE"""),"t.me/Ghaseme_hasann")</f>
        <v>t.me/Ghaseme_hasann</v>
      </c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>
      <c r="A437" s="5"/>
      <c r="B437" s="5" t="str">
        <f>IFERROR(__xludf.DUMMYFUNCTION("""COMPUTED_VALUE"""),"هیأت")</f>
        <v>هیأت</v>
      </c>
      <c r="C437" s="5" t="str">
        <f>IFERROR(__xludf.DUMMYFUNCTION("""COMPUTED_VALUE"""),"قتیل العبرات (ع)")</f>
        <v>قتیل العبرات (ع)</v>
      </c>
      <c r="D437" s="5" t="str">
        <f>IFERROR(__xludf.DUMMYFUNCTION("""COMPUTED_VALUE"""),"تهران")</f>
        <v>تهران</v>
      </c>
      <c r="E437" s="5" t="str">
        <f>IFERROR(__xludf.DUMMYFUNCTION("""COMPUTED_VALUE"""),"تهران")</f>
        <v>تهران</v>
      </c>
      <c r="F437" s="5"/>
      <c r="G437" s="5"/>
      <c r="H437" s="6" t="str">
        <f>IFERROR(__xludf.DUMMYFUNCTION("""COMPUTED_VALUE"""),"https://www.instagram.com/qatil_info/")</f>
        <v>https://www.instagram.com/qatil_info/</v>
      </c>
      <c r="I437" s="6" t="str">
        <f>IFERROR(__xludf.DUMMYFUNCTION("""COMPUTED_VALUE"""),"t.me/saajjad_mohammadi")</f>
        <v>t.me/saajjad_mohammadi</v>
      </c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>
      <c r="A438" s="5"/>
      <c r="B438" s="5" t="str">
        <f>IFERROR(__xludf.DUMMYFUNCTION("""COMPUTED_VALUE"""),"هیأت")</f>
        <v>هیأت</v>
      </c>
      <c r="C438" s="5" t="str">
        <f>IFERROR(__xludf.DUMMYFUNCTION("""COMPUTED_VALUE"""),"امام حسن مجتبی")</f>
        <v>امام حسن مجتبی</v>
      </c>
      <c r="D438" s="5" t="str">
        <f>IFERROR(__xludf.DUMMYFUNCTION("""COMPUTED_VALUE"""),"تهران")</f>
        <v>تهران</v>
      </c>
      <c r="E438" s="5" t="str">
        <f>IFERROR(__xludf.DUMMYFUNCTION("""COMPUTED_VALUE"""),"تهران")</f>
        <v>تهران</v>
      </c>
      <c r="F438" s="5"/>
      <c r="G438" s="5"/>
      <c r="H438" s="6" t="str">
        <f>IFERROR(__xludf.DUMMYFUNCTION("""COMPUTED_VALUE"""),"https://www.instagram.com/emamhasan118ir/")</f>
        <v>https://www.instagram.com/emamhasan118ir/</v>
      </c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>
      <c r="A439" s="5"/>
      <c r="B439" s="5" t="str">
        <f>IFERROR(__xludf.DUMMYFUNCTION("""COMPUTED_VALUE"""),"هیأت ")</f>
        <v>هیأت </v>
      </c>
      <c r="C439" s="5" t="str">
        <f>IFERROR(__xludf.DUMMYFUNCTION("""COMPUTED_VALUE"""),"مکتب الشهدا")</f>
        <v>مکتب الشهدا</v>
      </c>
      <c r="D439" s="5" t="str">
        <f>IFERROR(__xludf.DUMMYFUNCTION("""COMPUTED_VALUE"""),"تهران")</f>
        <v>تهران</v>
      </c>
      <c r="E439" s="5" t="str">
        <f>IFERROR(__xludf.DUMMYFUNCTION("""COMPUTED_VALUE"""),"تهران")</f>
        <v>تهران</v>
      </c>
      <c r="F439" s="5"/>
      <c r="G439" s="5"/>
      <c r="H439" s="6" t="str">
        <f>IFERROR(__xludf.DUMMYFUNCTION("""COMPUTED_VALUE"""),"https://www.instagram.com/maktab.ashohada/")</f>
        <v>https://www.instagram.com/maktab.ashohada/</v>
      </c>
      <c r="I439" s="6" t="str">
        <f>IFERROR(__xludf.DUMMYFUNCTION("""COMPUTED_VALUE"""),"https://t.me/maktaboshohada1375")</f>
        <v>https://t.me/maktaboshohada1375</v>
      </c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>
      <c r="A440" s="5"/>
      <c r="B440" s="5" t="str">
        <f>IFERROR(__xludf.DUMMYFUNCTION("""COMPUTED_VALUE"""),"هیأت دانشجویی")</f>
        <v>هیأت دانشجویی</v>
      </c>
      <c r="C440" s="5" t="str">
        <f>IFERROR(__xludf.DUMMYFUNCTION("""COMPUTED_VALUE"""),"محبان الحسین ")</f>
        <v>محبان الحسین </v>
      </c>
      <c r="D440" s="5" t="str">
        <f>IFERROR(__xludf.DUMMYFUNCTION("""COMPUTED_VALUE"""),"تهران")</f>
        <v>تهران</v>
      </c>
      <c r="E440" s="5" t="str">
        <f>IFERROR(__xludf.DUMMYFUNCTION("""COMPUTED_VALUE"""),"تهران")</f>
        <v>تهران</v>
      </c>
      <c r="F440" s="5"/>
      <c r="G440" s="5"/>
      <c r="H440" s="6" t="str">
        <f>IFERROR(__xludf.DUMMYFUNCTION("""COMPUTED_VALUE"""),"https://www.instagram.com/heiat_mohebban_hossein/")</f>
        <v>https://www.instagram.com/heiat_mohebban_hossein/</v>
      </c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>
      <c r="A441" s="5"/>
      <c r="B441" s="5" t="str">
        <f>IFERROR(__xludf.DUMMYFUNCTION("""COMPUTED_VALUE"""),"هیأت")</f>
        <v>هیأت</v>
      </c>
      <c r="C441" s="5" t="str">
        <f>IFERROR(__xludf.DUMMYFUNCTION("""COMPUTED_VALUE"""),"جان نثاران حضرت ابوالفضل (ع)")</f>
        <v>جان نثاران حضرت ابوالفضل (ع)</v>
      </c>
      <c r="D441" s="5" t="str">
        <f>IFERROR(__xludf.DUMMYFUNCTION("""COMPUTED_VALUE"""),"تهران")</f>
        <v>تهران</v>
      </c>
      <c r="E441" s="5" t="str">
        <f>IFERROR(__xludf.DUMMYFUNCTION("""COMPUTED_VALUE"""),"تهران")</f>
        <v>تهران</v>
      </c>
      <c r="F441" s="5"/>
      <c r="G441" s="5"/>
      <c r="H441" s="6" t="str">
        <f>IFERROR(__xludf.DUMMYFUNCTION("""COMPUTED_VALUE"""),"https://www.instagram.com/heiat_jannecaran_1305/")</f>
        <v>https://www.instagram.com/heiat_jannecaran_1305/</v>
      </c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>
      <c r="A442" s="5"/>
      <c r="B442" s="5" t="str">
        <f>IFERROR(__xludf.DUMMYFUNCTION("""COMPUTED_VALUE"""),"هیأت")</f>
        <v>هیأت</v>
      </c>
      <c r="C442" s="5" t="str">
        <f>IFERROR(__xludf.DUMMYFUNCTION("""COMPUTED_VALUE"""),"سدره المنتهی")</f>
        <v>سدره المنتهی</v>
      </c>
      <c r="D442" s="5" t="str">
        <f>IFERROR(__xludf.DUMMYFUNCTION("""COMPUTED_VALUE"""),"تهران")</f>
        <v>تهران</v>
      </c>
      <c r="E442" s="5" t="str">
        <f>IFERROR(__xludf.DUMMYFUNCTION("""COMPUTED_VALUE"""),"تهران")</f>
        <v>تهران</v>
      </c>
      <c r="F442" s="5"/>
      <c r="G442" s="5"/>
      <c r="H442" s="6" t="str">
        <f>IFERROR(__xludf.DUMMYFUNCTION("""COMPUTED_VALUE"""),"https://www.instagram.com/sedreh__info/")</f>
        <v>https://www.instagram.com/sedreh__info/</v>
      </c>
      <c r="I442" s="6" t="str">
        <f>IFERROR(__xludf.DUMMYFUNCTION("""COMPUTED_VALUE"""),"t.me/sedreh_info128")</f>
        <v>t.me/sedreh_info128</v>
      </c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>
      <c r="A443" s="5"/>
      <c r="B443" s="5" t="str">
        <f>IFERROR(__xludf.DUMMYFUNCTION("""COMPUTED_VALUE"""),"هیأت")</f>
        <v>هیأت</v>
      </c>
      <c r="C443" s="5" t="str">
        <f>IFERROR(__xludf.DUMMYFUNCTION("""COMPUTED_VALUE"""),"محبان الائمه (ع)")</f>
        <v>محبان الائمه (ع)</v>
      </c>
      <c r="D443" s="5" t="str">
        <f>IFERROR(__xludf.DUMMYFUNCTION("""COMPUTED_VALUE"""),"تهران")</f>
        <v>تهران</v>
      </c>
      <c r="E443" s="5" t="str">
        <f>IFERROR(__xludf.DUMMYFUNCTION("""COMPUTED_VALUE"""),"تهران")</f>
        <v>تهران</v>
      </c>
      <c r="F443" s="5"/>
      <c r="G443" s="5"/>
      <c r="H443" s="6" t="str">
        <f>IFERROR(__xludf.DUMMYFUNCTION("""COMPUTED_VALUE"""),"https://www.instagram.com/mohebbanolaemeh/")</f>
        <v>https://www.instagram.com/mohebbanolaemeh/</v>
      </c>
      <c r="I443" s="6" t="str">
        <f>IFERROR(__xludf.DUMMYFUNCTION("""COMPUTED_VALUE"""),"t.me/mohebbanolaemeh")</f>
        <v>t.me/mohebbanolaemeh</v>
      </c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>
      <c r="A444" s="5"/>
      <c r="B444" s="5" t="str">
        <f>IFERROR(__xludf.DUMMYFUNCTION("""COMPUTED_VALUE"""),"مسجد")</f>
        <v>مسجد</v>
      </c>
      <c r="C444" s="5" t="str">
        <f>IFERROR(__xludf.DUMMYFUNCTION("""COMPUTED_VALUE"""),"احمدیه")</f>
        <v>احمدیه</v>
      </c>
      <c r="D444" s="5" t="str">
        <f>IFERROR(__xludf.DUMMYFUNCTION("""COMPUTED_VALUE"""),"تهران")</f>
        <v>تهران</v>
      </c>
      <c r="E444" s="5" t="str">
        <f>IFERROR(__xludf.DUMMYFUNCTION("""COMPUTED_VALUE"""),"تهران")</f>
        <v>تهران</v>
      </c>
      <c r="F444" s="5"/>
      <c r="G444" s="5"/>
      <c r="H444" s="6" t="str">
        <f>IFERROR(__xludf.DUMMYFUNCTION("""COMPUTED_VALUE"""),"https://www.instagram.com/mosque_ahmadiye/")</f>
        <v>https://www.instagram.com/mosque_ahmadiye/</v>
      </c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>
      <c r="A445" s="5"/>
      <c r="B445" s="5" t="str">
        <f>IFERROR(__xludf.DUMMYFUNCTION("""COMPUTED_VALUE"""),"هیأت")</f>
        <v>هیأت</v>
      </c>
      <c r="C445" s="5" t="str">
        <f>IFERROR(__xludf.DUMMYFUNCTION("""COMPUTED_VALUE"""),"صاحب الزمان")</f>
        <v>صاحب الزمان</v>
      </c>
      <c r="D445" s="5" t="str">
        <f>IFERROR(__xludf.DUMMYFUNCTION("""COMPUTED_VALUE"""),"تهران")</f>
        <v>تهران</v>
      </c>
      <c r="E445" s="5" t="str">
        <f>IFERROR(__xludf.DUMMYFUNCTION("""COMPUTED_VALUE"""),"تهران")</f>
        <v>تهران</v>
      </c>
      <c r="F445" s="5"/>
      <c r="G445" s="5"/>
      <c r="H445" s="6" t="str">
        <f>IFERROR(__xludf.DUMMYFUNCTION("""COMPUTED_VALUE"""),"https://www.instagram.com/heyatsahebalzamankahrizak/")</f>
        <v>https://www.instagram.com/heyatsahebalzamankahrizak/</v>
      </c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>
      <c r="A446" s="5"/>
      <c r="B446" s="5" t="str">
        <f>IFERROR(__xludf.DUMMYFUNCTION("""COMPUTED_VALUE"""),"هیأت")</f>
        <v>هیأت</v>
      </c>
      <c r="C446" s="5" t="str">
        <f>IFERROR(__xludf.DUMMYFUNCTION("""COMPUTED_VALUE"""),"جوادالائمه (ع)")</f>
        <v>جوادالائمه (ع)</v>
      </c>
      <c r="D446" s="5" t="str">
        <f>IFERROR(__xludf.DUMMYFUNCTION("""COMPUTED_VALUE"""),"تهران")</f>
        <v>تهران</v>
      </c>
      <c r="E446" s="5" t="str">
        <f>IFERROR(__xludf.DUMMYFUNCTION("""COMPUTED_VALUE"""),"تهران")</f>
        <v>تهران</v>
      </c>
      <c r="F446" s="5"/>
      <c r="G446" s="5"/>
      <c r="H446" s="6" t="str">
        <f>IFERROR(__xludf.DUMMYFUNCTION("""COMPUTED_VALUE"""),"https://www.instagram.com/javadolaemme1389/")</f>
        <v>https://www.instagram.com/javadolaemme1389/</v>
      </c>
      <c r="I446" s="6" t="str">
        <f>IFERROR(__xludf.DUMMYFUNCTION("""COMPUTED_VALUE"""),"t.me/emamjavad1389")</f>
        <v>t.me/emamjavad1389</v>
      </c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>
      <c r="A447" s="5"/>
      <c r="B447" s="5" t="str">
        <f>IFERROR(__xludf.DUMMYFUNCTION("""COMPUTED_VALUE"""),"هیأت")</f>
        <v>هیأت</v>
      </c>
      <c r="C447" s="5" t="str">
        <f>IFERROR(__xludf.DUMMYFUNCTION("""COMPUTED_VALUE"""),"محبان الزهرا (س)")</f>
        <v>محبان الزهرا (س)</v>
      </c>
      <c r="D447" s="5" t="str">
        <f>IFERROR(__xludf.DUMMYFUNCTION("""COMPUTED_VALUE"""),"تهران")</f>
        <v>تهران</v>
      </c>
      <c r="E447" s="5" t="str">
        <f>IFERROR(__xludf.DUMMYFUNCTION("""COMPUTED_VALUE"""),"تهران")</f>
        <v>تهران</v>
      </c>
      <c r="F447" s="5"/>
      <c r="G447" s="5"/>
      <c r="H447" s="6" t="str">
        <f>IFERROR(__xludf.DUMMYFUNCTION("""COMPUTED_VALUE"""),"https://www.instagram.com/mohebbanozahraa/")</f>
        <v>https://www.instagram.com/mohebbanozahraa/</v>
      </c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>
      <c r="A448" s="5"/>
      <c r="B448" s="5" t="str">
        <f>IFERROR(__xludf.DUMMYFUNCTION("""COMPUTED_VALUE"""),"هیأت")</f>
        <v>هیأت</v>
      </c>
      <c r="C448" s="5" t="str">
        <f>IFERROR(__xludf.DUMMYFUNCTION("""COMPUTED_VALUE"""),"جوانان صاحب الزمانی (عج)")</f>
        <v>جوانان صاحب الزمانی (عج)</v>
      </c>
      <c r="D448" s="5" t="str">
        <f>IFERROR(__xludf.DUMMYFUNCTION("""COMPUTED_VALUE"""),"تهران")</f>
        <v>تهران</v>
      </c>
      <c r="E448" s="5" t="str">
        <f>IFERROR(__xludf.DUMMYFUNCTION("""COMPUTED_VALUE"""),"تهران")</f>
        <v>تهران</v>
      </c>
      <c r="F448" s="5"/>
      <c r="G448" s="5"/>
      <c r="H448" s="6" t="str">
        <f>IFERROR(__xludf.DUMMYFUNCTION("""COMPUTED_VALUE"""),"https://www.instagram.com/j_sahebzamani/")</f>
        <v>https://www.instagram.com/j_sahebzamani/</v>
      </c>
      <c r="I448" s="6" t="str">
        <f>IFERROR(__xludf.DUMMYFUNCTION("""COMPUTED_VALUE"""),"t.me/j_sahebzamani")</f>
        <v>t.me/j_sahebzamani</v>
      </c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>
      <c r="A449" s="5"/>
      <c r="B449" s="5" t="str">
        <f>IFERROR(__xludf.DUMMYFUNCTION("""COMPUTED_VALUE"""),"هیأت")</f>
        <v>هیأت</v>
      </c>
      <c r="C449" s="5" t="str">
        <f>IFERROR(__xludf.DUMMYFUNCTION("""COMPUTED_VALUE"""),"سائلان اهل بیت (ع)")</f>
        <v>سائلان اهل بیت (ع)</v>
      </c>
      <c r="D449" s="5" t="str">
        <f>IFERROR(__xludf.DUMMYFUNCTION("""COMPUTED_VALUE"""),"تهران")</f>
        <v>تهران</v>
      </c>
      <c r="E449" s="5" t="str">
        <f>IFERROR(__xludf.DUMMYFUNCTION("""COMPUTED_VALUE"""),"تهران")</f>
        <v>تهران</v>
      </c>
      <c r="F449" s="5"/>
      <c r="G449" s="5"/>
      <c r="H449" s="6" t="str">
        <f>IFERROR(__xludf.DUMMYFUNCTION("""COMPUTED_VALUE"""),"https://www.instagram.com/saelane_ahlebeit/")</f>
        <v>https://www.instagram.com/saelane_ahlebeit/</v>
      </c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>
      <c r="A450" s="5"/>
      <c r="B450" s="5" t="str">
        <f>IFERROR(__xludf.DUMMYFUNCTION("""COMPUTED_VALUE"""),"هیأت")</f>
        <v>هیأت</v>
      </c>
      <c r="C450" s="5" t="str">
        <f>IFERROR(__xludf.DUMMYFUNCTION("""COMPUTED_VALUE"""),"ثارالله")</f>
        <v>ثارالله</v>
      </c>
      <c r="D450" s="5" t="str">
        <f>IFERROR(__xludf.DUMMYFUNCTION("""COMPUTED_VALUE"""),"تهران")</f>
        <v>تهران</v>
      </c>
      <c r="E450" s="5" t="str">
        <f>IFERROR(__xludf.DUMMYFUNCTION("""COMPUTED_VALUE"""),"تهران")</f>
        <v>تهران</v>
      </c>
      <c r="F450" s="5"/>
      <c r="G450" s="5"/>
      <c r="H450" s="6" t="str">
        <f>IFERROR(__xludf.DUMMYFUNCTION("""COMPUTED_VALUE"""),"https://www.instagram.com/heyat_saralah1/")</f>
        <v>https://www.instagram.com/heyat_saralah1/</v>
      </c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>
      <c r="A451" s="5"/>
      <c r="B451" s="5" t="str">
        <f>IFERROR(__xludf.DUMMYFUNCTION("""COMPUTED_VALUE"""),"هیأت")</f>
        <v>هیأت</v>
      </c>
      <c r="C451" s="5" t="str">
        <f>IFERROR(__xludf.DUMMYFUNCTION("""COMPUTED_VALUE"""),"رهروان ولایت")</f>
        <v>رهروان ولایت</v>
      </c>
      <c r="D451" s="5" t="str">
        <f>IFERROR(__xludf.DUMMYFUNCTION("""COMPUTED_VALUE"""),"تهران")</f>
        <v>تهران</v>
      </c>
      <c r="E451" s="5" t="str">
        <f>IFERROR(__xludf.DUMMYFUNCTION("""COMPUTED_VALUE"""),"تهران")</f>
        <v>تهران</v>
      </c>
      <c r="F451" s="5"/>
      <c r="G451" s="5"/>
      <c r="H451" s="6" t="str">
        <f>IFERROR(__xludf.DUMMYFUNCTION("""COMPUTED_VALUE"""),"https://www.instagram.com/h_rahrovan_velayat/")</f>
        <v>https://www.instagram.com/h_rahrovan_velayat/</v>
      </c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>
      <c r="A452" s="5"/>
      <c r="B452" s="5" t="str">
        <f>IFERROR(__xludf.DUMMYFUNCTION("""COMPUTED_VALUE"""),"حسینیه")</f>
        <v>حسینیه</v>
      </c>
      <c r="C452" s="5" t="str">
        <f>IFERROR(__xludf.DUMMYFUNCTION("""COMPUTED_VALUE"""),"شهید آتوت")</f>
        <v>شهید آتوت</v>
      </c>
      <c r="D452" s="5" t="str">
        <f>IFERROR(__xludf.DUMMYFUNCTION("""COMPUTED_VALUE"""),"تهران")</f>
        <v>تهران</v>
      </c>
      <c r="E452" s="5" t="str">
        <f>IFERROR(__xludf.DUMMYFUNCTION("""COMPUTED_VALUE"""),"تهران")</f>
        <v>تهران</v>
      </c>
      <c r="F452" s="5"/>
      <c r="G452" s="5"/>
      <c r="H452" s="6" t="str">
        <f>IFERROR(__xludf.DUMMYFUNCTION("""COMPUTED_VALUE"""),"https://www.instagram.com/shahidatoot/")</f>
        <v>https://www.instagram.com/shahidatoot/</v>
      </c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>
      <c r="A453" s="5"/>
      <c r="B453" s="5" t="str">
        <f>IFERROR(__xludf.DUMMYFUNCTION("""COMPUTED_VALUE"""),"هیأت")</f>
        <v>هیأت</v>
      </c>
      <c r="C453" s="5" t="str">
        <f>IFERROR(__xludf.DUMMYFUNCTION("""COMPUTED_VALUE"""),"حضرت اباالفضل العباس(ع)")</f>
        <v>حضرت اباالفضل العباس(ع)</v>
      </c>
      <c r="D453" s="5" t="str">
        <f>IFERROR(__xludf.DUMMYFUNCTION("""COMPUTED_VALUE"""),"تهران")</f>
        <v>تهران</v>
      </c>
      <c r="E453" s="5" t="str">
        <f>IFERROR(__xludf.DUMMYFUNCTION("""COMPUTED_VALUE"""),"تهران")</f>
        <v>تهران</v>
      </c>
      <c r="F453" s="5"/>
      <c r="G453" s="5"/>
      <c r="H453" s="6" t="str">
        <f>IFERROR(__xludf.DUMMYFUNCTION("""COMPUTED_VALUE"""),"https://www.instagram.com/heyate_abalfazl_sharghe_tehran/")</f>
        <v>https://www.instagram.com/heyate_abalfazl_sharghe_tehran/</v>
      </c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>
      <c r="A454" s="5"/>
      <c r="B454" s="5" t="str">
        <f>IFERROR(__xludf.DUMMYFUNCTION("""COMPUTED_VALUE"""),"هیأت")</f>
        <v>هیأت</v>
      </c>
      <c r="C454" s="5" t="str">
        <f>IFERROR(__xludf.DUMMYFUNCTION("""COMPUTED_VALUE"""),"محترم یا زینب و رهروان شهدا")</f>
        <v>محترم یا زینب و رهروان شهدا</v>
      </c>
      <c r="D454" s="5" t="str">
        <f>IFERROR(__xludf.DUMMYFUNCTION("""COMPUTED_VALUE"""),"تهران")</f>
        <v>تهران</v>
      </c>
      <c r="E454" s="5" t="str">
        <f>IFERROR(__xludf.DUMMYFUNCTION("""COMPUTED_VALUE"""),"تهران")</f>
        <v>تهران</v>
      </c>
      <c r="F454" s="5"/>
      <c r="G454" s="5"/>
      <c r="H454" s="5"/>
      <c r="I454" s="5"/>
      <c r="J454" s="6" t="str">
        <f>IFERROR(__xludf.DUMMYFUNCTION("""COMPUTED_VALUE"""),"https://eitaa.com/torbat89")</f>
        <v>https://eitaa.com/torbat89</v>
      </c>
      <c r="K454" s="5"/>
      <c r="L454" s="5"/>
      <c r="M454" s="5"/>
      <c r="N454" s="5"/>
      <c r="O454" s="5"/>
      <c r="P454" s="5"/>
      <c r="Q454" s="5"/>
      <c r="R454" s="5"/>
      <c r="S454" s="5"/>
    </row>
    <row r="455">
      <c r="A455" s="5"/>
      <c r="B455" s="5" t="str">
        <f>IFERROR(__xludf.DUMMYFUNCTION("""COMPUTED_VALUE"""),"هیأت")</f>
        <v>هیأت</v>
      </c>
      <c r="C455" s="5" t="str">
        <f>IFERROR(__xludf.DUMMYFUNCTION("""COMPUTED_VALUE"""),"ام البنین (س)")</f>
        <v>ام البنین (س)</v>
      </c>
      <c r="D455" s="5" t="str">
        <f>IFERROR(__xludf.DUMMYFUNCTION("""COMPUTED_VALUE"""),"تهران")</f>
        <v>تهران</v>
      </c>
      <c r="E455" s="5" t="str">
        <f>IFERROR(__xludf.DUMMYFUNCTION("""COMPUTED_VALUE"""),"تهران")</f>
        <v>تهران</v>
      </c>
      <c r="F455" s="5"/>
      <c r="G455" s="5"/>
      <c r="H455" s="6" t="str">
        <f>IFERROR(__xludf.DUMMYFUNCTION("""COMPUTED_VALUE"""),"https://www.instagram.com/heyaat.omolbanin.officiall/")</f>
        <v>https://www.instagram.com/heyaat.omolbanin.officiall/</v>
      </c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>
      <c r="A456" s="5"/>
      <c r="B456" s="5" t="str">
        <f>IFERROR(__xludf.DUMMYFUNCTION("""COMPUTED_VALUE"""),"هیأت")</f>
        <v>هیأت</v>
      </c>
      <c r="C456" s="5" t="str">
        <f>IFERROR(__xludf.DUMMYFUNCTION("""COMPUTED_VALUE"""),"سپه سالار کربلا")</f>
        <v>سپه سالار کربلا</v>
      </c>
      <c r="D456" s="5" t="str">
        <f>IFERROR(__xludf.DUMMYFUNCTION("""COMPUTED_VALUE"""),"تهران")</f>
        <v>تهران</v>
      </c>
      <c r="E456" s="5" t="str">
        <f>IFERROR(__xludf.DUMMYFUNCTION("""COMPUTED_VALUE"""),"تهران")</f>
        <v>تهران</v>
      </c>
      <c r="F456" s="5"/>
      <c r="G456" s="5"/>
      <c r="H456" s="6" t="str">
        <f>IFERROR(__xludf.DUMMYFUNCTION("""COMPUTED_VALUE"""),"https://www.instagram.com/sepahsalar_video/")</f>
        <v>https://www.instagram.com/sepahsalar_video/</v>
      </c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>
      <c r="A457" s="5"/>
      <c r="B457" s="5" t="str">
        <f>IFERROR(__xludf.DUMMYFUNCTION("""COMPUTED_VALUE"""),"هیأت")</f>
        <v>هیأت</v>
      </c>
      <c r="C457" s="5" t="str">
        <f>IFERROR(__xludf.DUMMYFUNCTION("""COMPUTED_VALUE"""),"ساباطیون")</f>
        <v>ساباطیون</v>
      </c>
      <c r="D457" s="5" t="str">
        <f>IFERROR(__xludf.DUMMYFUNCTION("""COMPUTED_VALUE"""),"تهران")</f>
        <v>تهران</v>
      </c>
      <c r="E457" s="5" t="str">
        <f>IFERROR(__xludf.DUMMYFUNCTION("""COMPUTED_VALUE"""),"تهران")</f>
        <v>تهران</v>
      </c>
      <c r="F457" s="5"/>
      <c r="G457" s="5"/>
      <c r="H457" s="6" t="str">
        <f>IFERROR(__xludf.DUMMYFUNCTION("""COMPUTED_VALUE"""),"https://www.instagram.com/sabatioun/")</f>
        <v>https://www.instagram.com/sabatioun/</v>
      </c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>
      <c r="A458" s="5"/>
      <c r="B458" s="5" t="str">
        <f>IFERROR(__xludf.DUMMYFUNCTION("""COMPUTED_VALUE"""),"هیأت")</f>
        <v>هیأت</v>
      </c>
      <c r="C458" s="5" t="str">
        <f>IFERROR(__xludf.DUMMYFUNCTION("""COMPUTED_VALUE"""),"شاه نجف")</f>
        <v>شاه نجف</v>
      </c>
      <c r="D458" s="5" t="str">
        <f>IFERROR(__xludf.DUMMYFUNCTION("""COMPUTED_VALUE"""),"تهران")</f>
        <v>تهران</v>
      </c>
      <c r="E458" s="5" t="str">
        <f>IFERROR(__xludf.DUMMYFUNCTION("""COMPUTED_VALUE"""),"تهران")</f>
        <v>تهران</v>
      </c>
      <c r="F458" s="5"/>
      <c r="G458" s="5"/>
      <c r="H458" s="6" t="str">
        <f>IFERROR(__xludf.DUMMYFUNCTION("""COMPUTED_VALUE"""),"https://www.instagram.com/shahnajaf110/")</f>
        <v>https://www.instagram.com/shahnajaf110/</v>
      </c>
      <c r="I458" s="6" t="str">
        <f>IFERROR(__xludf.DUMMYFUNCTION("""COMPUTED_VALUE"""),"tlgrm.me/shahenajf110")</f>
        <v>tlgrm.me/shahenajf110</v>
      </c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>
      <c r="A459" s="5"/>
      <c r="B459" s="5" t="str">
        <f>IFERROR(__xludf.DUMMYFUNCTION("""COMPUTED_VALUE"""),"حسینیه")</f>
        <v>حسینیه</v>
      </c>
      <c r="C459" s="5" t="str">
        <f>IFERROR(__xludf.DUMMYFUNCTION("""COMPUTED_VALUE"""),"بیت الرقیه")</f>
        <v>بیت الرقیه</v>
      </c>
      <c r="D459" s="5" t="str">
        <f>IFERROR(__xludf.DUMMYFUNCTION("""COMPUTED_VALUE"""),"تهران")</f>
        <v>تهران</v>
      </c>
      <c r="E459" s="5" t="str">
        <f>IFERROR(__xludf.DUMMYFUNCTION("""COMPUTED_VALUE"""),"تهران")</f>
        <v>تهران</v>
      </c>
      <c r="F459" s="5" t="str">
        <f>IFERROR(__xludf.DUMMYFUNCTION("""COMPUTED_VALUE"""),"تهران پارس")</f>
        <v>تهران پارس</v>
      </c>
      <c r="G459" s="5"/>
      <c r="H459" s="6" t="str">
        <f>IFERROR(__xludf.DUMMYFUNCTION("""COMPUTED_VALUE"""),"https://www.instagram.com/beytoroghayeh_315/")</f>
        <v>https://www.instagram.com/beytoroghayeh_315/</v>
      </c>
      <c r="I459" s="6" t="str">
        <f>IFERROR(__xludf.DUMMYFUNCTION("""COMPUTED_VALUE"""),"t.me/beytoroghayeh_315")</f>
        <v>t.me/beytoroghayeh_315</v>
      </c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>
      <c r="A460" s="5"/>
      <c r="B460" s="5" t="str">
        <f>IFERROR(__xludf.DUMMYFUNCTION("""COMPUTED_VALUE"""),"هیأت")</f>
        <v>هیأت</v>
      </c>
      <c r="C460" s="5" t="str">
        <f>IFERROR(__xludf.DUMMYFUNCTION("""COMPUTED_VALUE"""),"محبین الائمه (ع)")</f>
        <v>محبین الائمه (ع)</v>
      </c>
      <c r="D460" s="5" t="str">
        <f>IFERROR(__xludf.DUMMYFUNCTION("""COMPUTED_VALUE"""),"تهران")</f>
        <v>تهران</v>
      </c>
      <c r="E460" s="5" t="str">
        <f>IFERROR(__xludf.DUMMYFUNCTION("""COMPUTED_VALUE"""),"تهران")</f>
        <v>تهران</v>
      </c>
      <c r="F460" s="5"/>
      <c r="G460" s="5"/>
      <c r="H460" s="6" t="str">
        <f>IFERROR(__xludf.DUMMYFUNCTION("""COMPUTED_VALUE"""),"https://www.instagram.com/mohebin31/")</f>
        <v>https://www.instagram.com/mohebin31/</v>
      </c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>
      <c r="A461" s="5"/>
      <c r="B461" s="5" t="str">
        <f>IFERROR(__xludf.DUMMYFUNCTION("""COMPUTED_VALUE"""),"هیأت")</f>
        <v>هیأت</v>
      </c>
      <c r="C461" s="5" t="str">
        <f>IFERROR(__xludf.DUMMYFUNCTION("""COMPUTED_VALUE"""),"کریم اهل بیت")</f>
        <v>کریم اهل بیت</v>
      </c>
      <c r="D461" s="5" t="str">
        <f>IFERROR(__xludf.DUMMYFUNCTION("""COMPUTED_VALUE"""),"تهران")</f>
        <v>تهران</v>
      </c>
      <c r="E461" s="5" t="str">
        <f>IFERROR(__xludf.DUMMYFUNCTION("""COMPUTED_VALUE"""),"تهران")</f>
        <v>تهران</v>
      </c>
      <c r="F461" s="5"/>
      <c r="G461" s="5"/>
      <c r="H461" s="6" t="str">
        <f>IFERROR(__xludf.DUMMYFUNCTION("""COMPUTED_VALUE"""),"https://www.instagram.com/h.karimeahlebeyt.h/")</f>
        <v>https://www.instagram.com/h.karimeahlebeyt.h/</v>
      </c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>
      <c r="A462" s="5"/>
      <c r="B462" s="5" t="str">
        <f>IFERROR(__xludf.DUMMYFUNCTION("""COMPUTED_VALUE"""),"هیأت")</f>
        <v>هیأت</v>
      </c>
      <c r="C462" s="5" t="str">
        <f>IFERROR(__xludf.DUMMYFUNCTION("""COMPUTED_VALUE"""),"انصارالعباس (ع)")</f>
        <v>انصارالعباس (ع)</v>
      </c>
      <c r="D462" s="5" t="str">
        <f>IFERROR(__xludf.DUMMYFUNCTION("""COMPUTED_VALUE"""),"تهران")</f>
        <v>تهران</v>
      </c>
      <c r="E462" s="5" t="str">
        <f>IFERROR(__xludf.DUMMYFUNCTION("""COMPUTED_VALUE"""),"تهران")</f>
        <v>تهران</v>
      </c>
      <c r="F462" s="5"/>
      <c r="G462" s="5"/>
      <c r="H462" s="6" t="str">
        <f>IFERROR(__xludf.DUMMYFUNCTION("""COMPUTED_VALUE"""),"https://www.instagram.com/heyatansarolabbas.tehran/")</f>
        <v>https://www.instagram.com/heyatansarolabbas.tehran/</v>
      </c>
      <c r="I462" s="6" t="str">
        <f>IFERROR(__xludf.DUMMYFUNCTION("""COMPUTED_VALUE"""),"t.me/heyatansaralabastehran")</f>
        <v>t.me/heyatansaralabastehran</v>
      </c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>
      <c r="A463" s="5"/>
      <c r="B463" s="5" t="str">
        <f>IFERROR(__xludf.DUMMYFUNCTION("""COMPUTED_VALUE"""),"هیأت")</f>
        <v>هیأت</v>
      </c>
      <c r="C463" s="5" t="str">
        <f>IFERROR(__xludf.DUMMYFUNCTION("""COMPUTED_VALUE"""),"قمربنی هاشم (ع)")</f>
        <v>قمربنی هاشم (ع)</v>
      </c>
      <c r="D463" s="5" t="str">
        <f>IFERROR(__xludf.DUMMYFUNCTION("""COMPUTED_VALUE"""),"تهران")</f>
        <v>تهران</v>
      </c>
      <c r="E463" s="5" t="str">
        <f>IFERROR(__xludf.DUMMYFUNCTION("""COMPUTED_VALUE"""),"تهران")</f>
        <v>تهران</v>
      </c>
      <c r="F463" s="5"/>
      <c r="G463" s="5"/>
      <c r="H463" s="6" t="str">
        <f>IFERROR(__xludf.DUMMYFUNCTION("""COMPUTED_VALUE"""),"https://www.instagram.com/heyate_harandiha1342/")</f>
        <v>https://www.instagram.com/heyate_harandiha1342/</v>
      </c>
      <c r="I463" s="6" t="str">
        <f>IFERROR(__xludf.DUMMYFUNCTION("""COMPUTED_VALUE"""),"t.me/harandiha1342")</f>
        <v>t.me/harandiha1342</v>
      </c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>
      <c r="A464" s="5"/>
      <c r="B464" s="5" t="str">
        <f>IFERROR(__xludf.DUMMYFUNCTION("""COMPUTED_VALUE"""),"هیأت")</f>
        <v>هیأت</v>
      </c>
      <c r="C464" s="5" t="str">
        <f>IFERROR(__xludf.DUMMYFUNCTION("""COMPUTED_VALUE"""),"علمدار")</f>
        <v>علمدار</v>
      </c>
      <c r="D464" s="5" t="str">
        <f>IFERROR(__xludf.DUMMYFUNCTION("""COMPUTED_VALUE"""),"تهران")</f>
        <v>تهران</v>
      </c>
      <c r="E464" s="5" t="str">
        <f>IFERROR(__xludf.DUMMYFUNCTION("""COMPUTED_VALUE"""),"تهران")</f>
        <v>تهران</v>
      </c>
      <c r="F464" s="5"/>
      <c r="G464" s="5"/>
      <c r="H464" s="6" t="str">
        <f>IFERROR(__xludf.DUMMYFUNCTION("""COMPUTED_VALUE"""),"https://www.instagram.com/alamdar__22/")</f>
        <v>https://www.instagram.com/alamdar__22/</v>
      </c>
      <c r="I464" s="6" t="str">
        <f>IFERROR(__xludf.DUMMYFUNCTION("""COMPUTED_VALUE"""),"t.me/alamdar_22")</f>
        <v>t.me/alamdar_22</v>
      </c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>
      <c r="A465" s="5"/>
      <c r="B465" s="5" t="str">
        <f>IFERROR(__xludf.DUMMYFUNCTION("""COMPUTED_VALUE"""),"هیأت جوانان")</f>
        <v>هیأت جوانان</v>
      </c>
      <c r="C465" s="5" t="str">
        <f>IFERROR(__xludf.DUMMYFUNCTION("""COMPUTED_VALUE"""),"قرآن و عترت")</f>
        <v>قرآن و عترت</v>
      </c>
      <c r="D465" s="5" t="str">
        <f>IFERROR(__xludf.DUMMYFUNCTION("""COMPUTED_VALUE"""),"تهران")</f>
        <v>تهران</v>
      </c>
      <c r="E465" s="5" t="str">
        <f>IFERROR(__xludf.DUMMYFUNCTION("""COMPUTED_VALUE"""),"تهران")</f>
        <v>تهران</v>
      </c>
      <c r="F465" s="5" t="str">
        <f>IFERROR(__xludf.DUMMYFUNCTION("""COMPUTED_VALUE"""),"قیطریه")</f>
        <v>قیطریه</v>
      </c>
      <c r="G465" s="5"/>
      <c r="H465" s="6" t="str">
        <f>IFERROR(__xludf.DUMMYFUNCTION("""COMPUTED_VALUE"""),"https://www.instagram.com/qoran_va_etrat/")</f>
        <v>https://www.instagram.com/qoran_va_etrat/</v>
      </c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>
      <c r="A466" s="5"/>
      <c r="B466" s="5" t="str">
        <f>IFERROR(__xludf.DUMMYFUNCTION("""COMPUTED_VALUE"""),"هیأت جوانان")</f>
        <v>هیأت جوانان</v>
      </c>
      <c r="C466" s="5" t="str">
        <f>IFERROR(__xludf.DUMMYFUNCTION("""COMPUTED_VALUE"""),"حضرت علی اکبر")</f>
        <v>حضرت علی اکبر</v>
      </c>
      <c r="D466" s="5" t="str">
        <f>IFERROR(__xludf.DUMMYFUNCTION("""COMPUTED_VALUE"""),"تهران")</f>
        <v>تهران</v>
      </c>
      <c r="E466" s="5" t="str">
        <f>IFERROR(__xludf.DUMMYFUNCTION("""COMPUTED_VALUE"""),"تهران")</f>
        <v>تهران</v>
      </c>
      <c r="F466" s="5"/>
      <c r="G466" s="5"/>
      <c r="H466" s="6" t="str">
        <f>IFERROR(__xludf.DUMMYFUNCTION("""COMPUTED_VALUE"""),"https://www.instagram.com/heat_ali.akbar/")</f>
        <v>https://www.instagram.com/heat_ali.akbar/</v>
      </c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>
      <c r="A467" s="5"/>
      <c r="B467" s="5" t="str">
        <f>IFERROR(__xludf.DUMMYFUNCTION("""COMPUTED_VALUE"""),"هیأت جوانان")</f>
        <v>هیأت جوانان</v>
      </c>
      <c r="C467" s="5" t="str">
        <f>IFERROR(__xludf.DUMMYFUNCTION("""COMPUTED_VALUE"""),"انصار المهدی عج")</f>
        <v>انصار المهدی عج</v>
      </c>
      <c r="D467" s="5" t="str">
        <f>IFERROR(__xludf.DUMMYFUNCTION("""COMPUTED_VALUE"""),"تهران")</f>
        <v>تهران</v>
      </c>
      <c r="E467" s="5" t="str">
        <f>IFERROR(__xludf.DUMMYFUNCTION("""COMPUTED_VALUE"""),"تهران")</f>
        <v>تهران</v>
      </c>
      <c r="F467" s="5" t="str">
        <f>IFERROR(__xludf.DUMMYFUNCTION("""COMPUTED_VALUE"""),"مسعودیه")</f>
        <v>مسعودیه</v>
      </c>
      <c r="G467" s="5"/>
      <c r="H467" s="6" t="str">
        <f>IFERROR(__xludf.DUMMYFUNCTION("""COMPUTED_VALUE"""),"https://www.instagram.com/heyaat_ansarolmahdi/")</f>
        <v>https://www.instagram.com/heyaat_ansarolmahdi/</v>
      </c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>
      <c r="A468" s="5"/>
      <c r="B468" s="5" t="str">
        <f>IFERROR(__xludf.DUMMYFUNCTION("""COMPUTED_VALUE"""),"هیأت")</f>
        <v>هیأت</v>
      </c>
      <c r="C468" s="5" t="str">
        <f>IFERROR(__xludf.DUMMYFUNCTION("""COMPUTED_VALUE"""),"سیدالشهدا (ع)")</f>
        <v>سیدالشهدا (ع)</v>
      </c>
      <c r="D468" s="5" t="str">
        <f>IFERROR(__xludf.DUMMYFUNCTION("""COMPUTED_VALUE"""),"تهران")</f>
        <v>تهران</v>
      </c>
      <c r="E468" s="5" t="str">
        <f>IFERROR(__xludf.DUMMYFUNCTION("""COMPUTED_VALUE"""),"تهران")</f>
        <v>تهران</v>
      </c>
      <c r="F468" s="5"/>
      <c r="G468" s="5"/>
      <c r="H468" s="6" t="str">
        <f>IFERROR(__xludf.DUMMYFUNCTION("""COMPUTED_VALUE"""),"https://www.instagram.com/seyed__shohada/")</f>
        <v>https://www.instagram.com/seyed__shohada/</v>
      </c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>
      <c r="A469" s="5"/>
      <c r="B469" s="5" t="str">
        <f>IFERROR(__xludf.DUMMYFUNCTION("""COMPUTED_VALUE"""),"هیأت")</f>
        <v>هیأت</v>
      </c>
      <c r="C469" s="5" t="str">
        <f>IFERROR(__xludf.DUMMYFUNCTION("""COMPUTED_VALUE"""),"سیدالشهدا (ع)")</f>
        <v>سیدالشهدا (ع)</v>
      </c>
      <c r="D469" s="5" t="str">
        <f>IFERROR(__xludf.DUMMYFUNCTION("""COMPUTED_VALUE"""),"تهران")</f>
        <v>تهران</v>
      </c>
      <c r="E469" s="5" t="str">
        <f>IFERROR(__xludf.DUMMYFUNCTION("""COMPUTED_VALUE"""),"تهران")</f>
        <v>تهران</v>
      </c>
      <c r="F469" s="5" t="str">
        <f>IFERROR(__xludf.DUMMYFUNCTION("""COMPUTED_VALUE"""),"نیایش")</f>
        <v>نیایش</v>
      </c>
      <c r="G469" s="5"/>
      <c r="H469" s="6" t="str">
        <f>IFERROR(__xludf.DUMMYFUNCTION("""COMPUTED_VALUE"""),"https://www.instagram.com/heyate_seyedolshohada19/")</f>
        <v>https://www.instagram.com/heyate_seyedolshohada19/</v>
      </c>
      <c r="I469" s="6" t="str">
        <f>IFERROR(__xludf.DUMMYFUNCTION("""COMPUTED_VALUE"""),"t.me/seyedolshohada19")</f>
        <v>t.me/seyedolshohada19</v>
      </c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>
      <c r="A470" s="5"/>
      <c r="B470" s="5" t="str">
        <f>IFERROR(__xludf.DUMMYFUNCTION("""COMPUTED_VALUE"""),"هیأت")</f>
        <v>هیأت</v>
      </c>
      <c r="C470" s="5" t="str">
        <f>IFERROR(__xludf.DUMMYFUNCTION("""COMPUTED_VALUE"""),"المهدی")</f>
        <v>المهدی</v>
      </c>
      <c r="D470" s="5" t="str">
        <f>IFERROR(__xludf.DUMMYFUNCTION("""COMPUTED_VALUE"""),"تهران")</f>
        <v>تهران</v>
      </c>
      <c r="E470" s="5" t="str">
        <f>IFERROR(__xludf.DUMMYFUNCTION("""COMPUTED_VALUE"""),"تهران")</f>
        <v>تهران</v>
      </c>
      <c r="F470" s="5"/>
      <c r="G470" s="5"/>
      <c r="H470" s="6" t="str">
        <f>IFERROR(__xludf.DUMMYFUNCTION("""COMPUTED_VALUE"""),"https://www.instagram.com/heyatolmahdi_ir/")</f>
        <v>https://www.instagram.com/heyatolmahdi_ir/</v>
      </c>
      <c r="I470" s="5"/>
      <c r="J470" s="5"/>
      <c r="K470" s="5"/>
      <c r="L470" s="6" t="str">
        <f>IFERROR(__xludf.DUMMYFUNCTION("""COMPUTED_VALUE"""),"heyatolmahdi.ir")</f>
        <v>heyatolmahdi.ir</v>
      </c>
      <c r="M470" s="5"/>
      <c r="N470" s="5"/>
      <c r="O470" s="5"/>
      <c r="P470" s="5"/>
      <c r="Q470" s="5"/>
      <c r="R470" s="5"/>
      <c r="S470" s="5"/>
    </row>
    <row r="471">
      <c r="A471" s="5"/>
      <c r="B471" s="5" t="str">
        <f>IFERROR(__xludf.DUMMYFUNCTION("""COMPUTED_VALUE"""),"هیأت جوانان")</f>
        <v>هیأت جوانان</v>
      </c>
      <c r="C471" s="5" t="str">
        <f>IFERROR(__xludf.DUMMYFUNCTION("""COMPUTED_VALUE"""),"قمر بنی هاشم")</f>
        <v>قمر بنی هاشم</v>
      </c>
      <c r="D471" s="5" t="str">
        <f>IFERROR(__xludf.DUMMYFUNCTION("""COMPUTED_VALUE"""),"تهران")</f>
        <v>تهران</v>
      </c>
      <c r="E471" s="5" t="str">
        <f>IFERROR(__xludf.DUMMYFUNCTION("""COMPUTED_VALUE"""),"تهران")</f>
        <v>تهران</v>
      </c>
      <c r="F471" s="5"/>
      <c r="G471" s="5"/>
      <c r="H471" s="6" t="str">
        <f>IFERROR(__xludf.DUMMYFUNCTION("""COMPUTED_VALUE"""),"https://www.instagram.com/ghamarebanihashem79/")</f>
        <v>https://www.instagram.com/ghamarebanihashem79/</v>
      </c>
      <c r="I471" s="6" t="str">
        <f>IFERROR(__xludf.DUMMYFUNCTION("""COMPUTED_VALUE"""),"t.me/ghamarbanihashem79")</f>
        <v>t.me/ghamarbanihashem79</v>
      </c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>
      <c r="A472" s="5"/>
      <c r="B472" s="5" t="str">
        <f>IFERROR(__xludf.DUMMYFUNCTION("""COMPUTED_VALUE"""),"هیأت")</f>
        <v>هیأت</v>
      </c>
      <c r="C472" s="5" t="str">
        <f>IFERROR(__xludf.DUMMYFUNCTION("""COMPUTED_VALUE"""),"رهروان غدیر")</f>
        <v>رهروان غدیر</v>
      </c>
      <c r="D472" s="5" t="str">
        <f>IFERROR(__xludf.DUMMYFUNCTION("""COMPUTED_VALUE"""),"تهران")</f>
        <v>تهران</v>
      </c>
      <c r="E472" s="5" t="str">
        <f>IFERROR(__xludf.DUMMYFUNCTION("""COMPUTED_VALUE"""),"تهران")</f>
        <v>تهران</v>
      </c>
      <c r="F472" s="5"/>
      <c r="G472" s="5"/>
      <c r="H472" s="6" t="str">
        <f>IFERROR(__xludf.DUMMYFUNCTION("""COMPUTED_VALUE"""),"https://www.instagram.com/rahrovanghadyr/")</f>
        <v>https://www.instagram.com/rahrovanghadyr/</v>
      </c>
      <c r="I472" s="6" t="str">
        <f>IFERROR(__xludf.DUMMYFUNCTION("""COMPUTED_VALUE"""),"t.me/payamghadyr_parvareshi")</f>
        <v>t.me/payamghadyr_parvareshi</v>
      </c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>
      <c r="A473" s="5"/>
      <c r="B473" s="5" t="str">
        <f>IFERROR(__xludf.DUMMYFUNCTION("""COMPUTED_VALUE"""),"هیأت")</f>
        <v>هیأت</v>
      </c>
      <c r="C473" s="5" t="str">
        <f>IFERROR(__xludf.DUMMYFUNCTION("""COMPUTED_VALUE"""),"فاطمه الزهرا (س)")</f>
        <v>فاطمه الزهرا (س)</v>
      </c>
      <c r="D473" s="5" t="str">
        <f>IFERROR(__xludf.DUMMYFUNCTION("""COMPUTED_VALUE"""),"تهران")</f>
        <v>تهران</v>
      </c>
      <c r="E473" s="5" t="str">
        <f>IFERROR(__xludf.DUMMYFUNCTION("""COMPUTED_VALUE"""),"تهران")</f>
        <v>تهران</v>
      </c>
      <c r="F473" s="5" t="str">
        <f>IFERROR(__xludf.DUMMYFUNCTION("""COMPUTED_VALUE"""),"شهرک فجر")</f>
        <v>شهرک فجر</v>
      </c>
      <c r="G473" s="5"/>
      <c r="H473" s="6" t="str">
        <f>IFERROR(__xludf.DUMMYFUNCTION("""COMPUTED_VALUE"""),"https://www.instagram.com/heyat.fatematazahra/")</f>
        <v>https://www.instagram.com/heyat.fatematazahra/</v>
      </c>
      <c r="I473" s="6" t="str">
        <f>IFERROR(__xludf.DUMMYFUNCTION("""COMPUTED_VALUE"""),"t.me/heyat_fatemata_zahra")</f>
        <v>t.me/heyat_fatemata_zahra</v>
      </c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>
      <c r="A474" s="5"/>
      <c r="B474" s="5" t="str">
        <f>IFERROR(__xludf.DUMMYFUNCTION("""COMPUTED_VALUE"""),"هیأت")</f>
        <v>هیأت</v>
      </c>
      <c r="C474" s="5" t="str">
        <f>IFERROR(__xludf.DUMMYFUNCTION("""COMPUTED_VALUE"""),"حسن بن علی")</f>
        <v>حسن بن علی</v>
      </c>
      <c r="D474" s="5" t="str">
        <f>IFERROR(__xludf.DUMMYFUNCTION("""COMPUTED_VALUE"""),"تهران")</f>
        <v>تهران</v>
      </c>
      <c r="E474" s="5" t="str">
        <f>IFERROR(__xludf.DUMMYFUNCTION("""COMPUTED_VALUE"""),"تهران")</f>
        <v>تهران</v>
      </c>
      <c r="F474" s="5"/>
      <c r="G474" s="5"/>
      <c r="H474" s="6" t="str">
        <f>IFERROR(__xludf.DUMMYFUNCTION("""COMPUTED_VALUE"""),"https://www.instagram.com/hasan_ebne_ali/")</f>
        <v>https://www.instagram.com/hasan_ebne_ali/</v>
      </c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>
      <c r="A475" s="5"/>
      <c r="B475" s="5" t="str">
        <f>IFERROR(__xludf.DUMMYFUNCTION("""COMPUTED_VALUE"""),"هیأت")</f>
        <v>هیأت</v>
      </c>
      <c r="C475" s="5" t="str">
        <f>IFERROR(__xludf.DUMMYFUNCTION("""COMPUTED_VALUE"""),"متوسلین به حضرت رقیه (س)")</f>
        <v>متوسلین به حضرت رقیه (س)</v>
      </c>
      <c r="D475" s="5" t="str">
        <f>IFERROR(__xludf.DUMMYFUNCTION("""COMPUTED_VALUE"""),"تهران")</f>
        <v>تهران</v>
      </c>
      <c r="E475" s="5" t="str">
        <f>IFERROR(__xludf.DUMMYFUNCTION("""COMPUTED_VALUE"""),"تهران")</f>
        <v>تهران</v>
      </c>
      <c r="F475" s="5"/>
      <c r="G475" s="5"/>
      <c r="H475" s="6" t="str">
        <f>IFERROR(__xludf.DUMMYFUNCTION("""COMPUTED_VALUE"""),"https://www.instagram.com/motvaslin_315/")</f>
        <v>https://www.instagram.com/motvaslin_315/</v>
      </c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>
      <c r="A476" s="5"/>
      <c r="B476" s="5" t="str">
        <f>IFERROR(__xludf.DUMMYFUNCTION("""COMPUTED_VALUE"""),"هیأت")</f>
        <v>هیأت</v>
      </c>
      <c r="C476" s="5" t="str">
        <f>IFERROR(__xludf.DUMMYFUNCTION("""COMPUTED_VALUE"""),"محبان الزهرا")</f>
        <v>محبان الزهرا</v>
      </c>
      <c r="D476" s="5" t="str">
        <f>IFERROR(__xludf.DUMMYFUNCTION("""COMPUTED_VALUE"""),"تهران")</f>
        <v>تهران</v>
      </c>
      <c r="E476" s="5" t="str">
        <f>IFERROR(__xludf.DUMMYFUNCTION("""COMPUTED_VALUE"""),"تهران")</f>
        <v>تهران</v>
      </c>
      <c r="F476" s="5"/>
      <c r="G476" s="5"/>
      <c r="H476" s="6" t="str">
        <f>IFERROR(__xludf.DUMMYFUNCTION("""COMPUTED_VALUE"""),"https://www.instagram.com/heyat.mohebanozahra/")</f>
        <v>https://www.instagram.com/heyat.mohebanozahra/</v>
      </c>
      <c r="I476" s="6" t="str">
        <f>IFERROR(__xludf.DUMMYFUNCTION("""COMPUTED_VALUE"""),"t.me/heyat_mohebanozahra")</f>
        <v>t.me/heyat_mohebanozahra</v>
      </c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>
      <c r="A477" s="5"/>
      <c r="B477" s="5" t="str">
        <f>IFERROR(__xludf.DUMMYFUNCTION("""COMPUTED_VALUE"""),"هیأت")</f>
        <v>هیأت</v>
      </c>
      <c r="C477" s="5" t="str">
        <f>IFERROR(__xludf.DUMMYFUNCTION("""COMPUTED_VALUE"""),"متوسلین به قمربنی هاشم (ع)")</f>
        <v>متوسلین به قمربنی هاشم (ع)</v>
      </c>
      <c r="D477" s="5" t="str">
        <f>IFERROR(__xludf.DUMMYFUNCTION("""COMPUTED_VALUE"""),"تهران")</f>
        <v>تهران</v>
      </c>
      <c r="E477" s="5" t="str">
        <f>IFERROR(__xludf.DUMMYFUNCTION("""COMPUTED_VALUE"""),"تهران")</f>
        <v>تهران</v>
      </c>
      <c r="F477" s="5" t="str">
        <f>IFERROR(__xludf.DUMMYFUNCTION("""COMPUTED_VALUE"""),"ستارخان")</f>
        <v>ستارخان</v>
      </c>
      <c r="G477" s="5"/>
      <c r="H477" s="6" t="str">
        <f>IFERROR(__xludf.DUMMYFUNCTION("""COMPUTED_VALUE"""),"https://www.instagram.com/ghamare_bani_hashem__/")</f>
        <v>https://www.instagram.com/ghamare_bani_hashem__/</v>
      </c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>
      <c r="A478" s="5"/>
      <c r="B478" s="5" t="str">
        <f>IFERROR(__xludf.DUMMYFUNCTION("""COMPUTED_VALUE"""),"مسجد")</f>
        <v>مسجد</v>
      </c>
      <c r="C478" s="5" t="str">
        <f>IFERROR(__xludf.DUMMYFUNCTION("""COMPUTED_VALUE"""),"امام محمدباقر (ع)")</f>
        <v>امام محمدباقر (ع)</v>
      </c>
      <c r="D478" s="5" t="str">
        <f>IFERROR(__xludf.DUMMYFUNCTION("""COMPUTED_VALUE"""),"تهران")</f>
        <v>تهران</v>
      </c>
      <c r="E478" s="5" t="str">
        <f>IFERROR(__xludf.DUMMYFUNCTION("""COMPUTED_VALUE"""),"تهران")</f>
        <v>تهران</v>
      </c>
      <c r="F478" s="5"/>
      <c r="G478" s="5"/>
      <c r="H478" s="6" t="str">
        <f>IFERROR(__xludf.DUMMYFUNCTION("""COMPUTED_VALUE"""),"https://www.instagram.com/sadramosque/")</f>
        <v>https://www.instagram.com/sadramosque/</v>
      </c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>
      <c r="A479" s="5"/>
      <c r="B479" s="5" t="str">
        <f>IFERROR(__xludf.DUMMYFUNCTION("""COMPUTED_VALUE"""),"هیأت")</f>
        <v>هیأت</v>
      </c>
      <c r="C479" s="5" t="str">
        <f>IFERROR(__xludf.DUMMYFUNCTION("""COMPUTED_VALUE"""),"علی اصغر (ع)")</f>
        <v>علی اصغر (ع)</v>
      </c>
      <c r="D479" s="5" t="str">
        <f>IFERROR(__xludf.DUMMYFUNCTION("""COMPUTED_VALUE"""),"تهران")</f>
        <v>تهران</v>
      </c>
      <c r="E479" s="5" t="str">
        <f>IFERROR(__xludf.DUMMYFUNCTION("""COMPUTED_VALUE"""),"تهران")</f>
        <v>تهران</v>
      </c>
      <c r="F479" s="5"/>
      <c r="G479" s="5"/>
      <c r="H479" s="6" t="str">
        <f>IFERROR(__xludf.DUMMYFUNCTION("""COMPUTED_VALUE"""),"https://www.instagram.com/heyat_ali_asghar/")</f>
        <v>https://www.instagram.com/heyat_ali_asghar/</v>
      </c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>
      <c r="A480" s="5"/>
      <c r="B480" s="5" t="str">
        <f>IFERROR(__xludf.DUMMYFUNCTION("""COMPUTED_VALUE"""),"هیأت")</f>
        <v>هیأت</v>
      </c>
      <c r="C480" s="5" t="str">
        <f>IFERROR(__xludf.DUMMYFUNCTION("""COMPUTED_VALUE"""),"فاطمیه")</f>
        <v>فاطمیه</v>
      </c>
      <c r="D480" s="5" t="str">
        <f>IFERROR(__xludf.DUMMYFUNCTION("""COMPUTED_VALUE"""),"تهران")</f>
        <v>تهران</v>
      </c>
      <c r="E480" s="5" t="str">
        <f>IFERROR(__xludf.DUMMYFUNCTION("""COMPUTED_VALUE"""),"تهران")</f>
        <v>تهران</v>
      </c>
      <c r="F480" s="5"/>
      <c r="G480" s="5"/>
      <c r="H480" s="6" t="str">
        <f>IFERROR(__xludf.DUMMYFUNCTION("""COMPUTED_VALUE"""),"http://instagram.com/fatemieh_info/")</f>
        <v>http://instagram.com/fatemieh_info/</v>
      </c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>
      <c r="A481" s="5"/>
      <c r="B481" s="5" t="str">
        <f>IFERROR(__xludf.DUMMYFUNCTION("""COMPUTED_VALUE"""),"هیأت")</f>
        <v>هیأت</v>
      </c>
      <c r="C481" s="5" t="str">
        <f>IFERROR(__xludf.DUMMYFUNCTION("""COMPUTED_VALUE"""),"ابالفضل العباس")</f>
        <v>ابالفضل العباس</v>
      </c>
      <c r="D481" s="5" t="str">
        <f>IFERROR(__xludf.DUMMYFUNCTION("""COMPUTED_VALUE"""),"تهران")</f>
        <v>تهران</v>
      </c>
      <c r="E481" s="5" t="str">
        <f>IFERROR(__xludf.DUMMYFUNCTION("""COMPUTED_VALUE"""),"تهران")</f>
        <v>تهران</v>
      </c>
      <c r="F481" s="5"/>
      <c r="G481" s="5"/>
      <c r="H481" s="6" t="str">
        <f>IFERROR(__xludf.DUMMYFUNCTION("""COMPUTED_VALUE"""),"https://www.instagram.com/h.abulfazlabbas/")</f>
        <v>https://www.instagram.com/h.abulfazlabbas/</v>
      </c>
      <c r="I481" s="6" t="str">
        <f>IFERROR(__xludf.DUMMYFUNCTION("""COMPUTED_VALUE"""),"t.me/abulfazlabbas")</f>
        <v>t.me/abulfazlabbas</v>
      </c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>
      <c r="A482" s="5"/>
      <c r="B482" s="5" t="str">
        <f>IFERROR(__xludf.DUMMYFUNCTION("""COMPUTED_VALUE"""),"هیأت")</f>
        <v>هیأت</v>
      </c>
      <c r="C482" s="5" t="str">
        <f>IFERROR(__xludf.DUMMYFUNCTION("""COMPUTED_VALUE"""),"صاحب الزمان")</f>
        <v>صاحب الزمان</v>
      </c>
      <c r="D482" s="5" t="str">
        <f>IFERROR(__xludf.DUMMYFUNCTION("""COMPUTED_VALUE"""),"تهران")</f>
        <v>تهران</v>
      </c>
      <c r="E482" s="5" t="str">
        <f>IFERROR(__xludf.DUMMYFUNCTION("""COMPUTED_VALUE"""),"تهران")</f>
        <v>تهران</v>
      </c>
      <c r="F482" s="5"/>
      <c r="G482" s="5"/>
      <c r="H482" s="6" t="str">
        <f>IFERROR(__xludf.DUMMYFUNCTION("""COMPUTED_VALUE"""),"https://www.instagram.com/heyat_sahebalzaman_rey/")</f>
        <v>https://www.instagram.com/heyat_sahebalzaman_rey/</v>
      </c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>
      <c r="A483" s="5"/>
      <c r="B483" s="5" t="str">
        <f>IFERROR(__xludf.DUMMYFUNCTION("""COMPUTED_VALUE"""),"هیأت")</f>
        <v>هیأت</v>
      </c>
      <c r="C483" s="5" t="str">
        <f>IFERROR(__xludf.DUMMYFUNCTION("""COMPUTED_VALUE"""),"عشاق الرضا (ع)")</f>
        <v>عشاق الرضا (ع)</v>
      </c>
      <c r="D483" s="5" t="str">
        <f>IFERROR(__xludf.DUMMYFUNCTION("""COMPUTED_VALUE"""),"تهران")</f>
        <v>تهران</v>
      </c>
      <c r="E483" s="5" t="str">
        <f>IFERROR(__xludf.DUMMYFUNCTION("""COMPUTED_VALUE"""),"تهران")</f>
        <v>تهران</v>
      </c>
      <c r="F483" s="5"/>
      <c r="G483" s="5"/>
      <c r="H483" s="6" t="str">
        <f>IFERROR(__xludf.DUMMYFUNCTION("""COMPUTED_VALUE"""),"https://www.instagram.com/oshagh_ol_reza/")</f>
        <v>https://www.instagram.com/oshagh_ol_reza/</v>
      </c>
      <c r="I483" s="6" t="str">
        <f>IFERROR(__xludf.DUMMYFUNCTION("""COMPUTED_VALUE"""),"t.me/oshagh_ol_reza")</f>
        <v>t.me/oshagh_ol_reza</v>
      </c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>
      <c r="A484" s="5"/>
      <c r="B484" s="5" t="str">
        <f>IFERROR(__xludf.DUMMYFUNCTION("""COMPUTED_VALUE"""),"هیأت")</f>
        <v>هیأت</v>
      </c>
      <c r="C484" s="5" t="str">
        <f>IFERROR(__xludf.DUMMYFUNCTION("""COMPUTED_VALUE"""),"علقمه")</f>
        <v>علقمه</v>
      </c>
      <c r="D484" s="5" t="str">
        <f>IFERROR(__xludf.DUMMYFUNCTION("""COMPUTED_VALUE"""),"تهران")</f>
        <v>تهران</v>
      </c>
      <c r="E484" s="5" t="str">
        <f>IFERROR(__xludf.DUMMYFUNCTION("""COMPUTED_VALUE"""),"تهران")</f>
        <v>تهران</v>
      </c>
      <c r="F484" s="5"/>
      <c r="G484" s="5"/>
      <c r="H484" s="6" t="str">
        <f>IFERROR(__xludf.DUMMYFUNCTION("""COMPUTED_VALUE"""),"https://www.instagram.com/hoseiniealghame/")</f>
        <v>https://www.instagram.com/hoseiniealghame/</v>
      </c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>
      <c r="A485" s="5"/>
      <c r="B485" s="5" t="str">
        <f>IFERROR(__xludf.DUMMYFUNCTION("""COMPUTED_VALUE"""),"هیأت")</f>
        <v>هیأت</v>
      </c>
      <c r="C485" s="5" t="str">
        <f>IFERROR(__xludf.DUMMYFUNCTION("""COMPUTED_VALUE"""),"عزاداران حضرت سیدالشهدا (ع)")</f>
        <v>عزاداران حضرت سیدالشهدا (ع)</v>
      </c>
      <c r="D485" s="5" t="str">
        <f>IFERROR(__xludf.DUMMYFUNCTION("""COMPUTED_VALUE"""),"تهران")</f>
        <v>تهران</v>
      </c>
      <c r="E485" s="5" t="str">
        <f>IFERROR(__xludf.DUMMYFUNCTION("""COMPUTED_VALUE"""),"تهران")</f>
        <v>تهران</v>
      </c>
      <c r="F485" s="5"/>
      <c r="G485" s="5"/>
      <c r="H485" s="6" t="str">
        <f>IFERROR(__xludf.DUMMYFUNCTION("""COMPUTED_VALUE"""),"https://www.instagram.com/Azadaran_s_shohada/")</f>
        <v>https://www.instagram.com/Azadaran_s_shohada/</v>
      </c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>
      <c r="A486" s="5"/>
      <c r="B486" s="5" t="str">
        <f>IFERROR(__xludf.DUMMYFUNCTION("""COMPUTED_VALUE"""),"هیأت")</f>
        <v>هیأت</v>
      </c>
      <c r="C486" s="5" t="str">
        <f>IFERROR(__xludf.DUMMYFUNCTION("""COMPUTED_VALUE"""),"عزاداران قمربنی هاشم (ع)")</f>
        <v>عزاداران قمربنی هاشم (ع)</v>
      </c>
      <c r="D486" s="5" t="str">
        <f>IFERROR(__xludf.DUMMYFUNCTION("""COMPUTED_VALUE"""),"تهران")</f>
        <v>تهران</v>
      </c>
      <c r="E486" s="5" t="str">
        <f>IFERROR(__xludf.DUMMYFUNCTION("""COMPUTED_VALUE"""),"تهران")</f>
        <v>تهران</v>
      </c>
      <c r="F486" s="5"/>
      <c r="G486" s="5"/>
      <c r="H486" s="6" t="str">
        <f>IFERROR(__xludf.DUMMYFUNCTION("""COMPUTED_VALUE"""),"https://www.instagram.com/heyat_ghamare.banihashem1364/")</f>
        <v>https://www.instagram.com/heyat_ghamare.banihashem1364/</v>
      </c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>
      <c r="A487" s="5"/>
      <c r="B487" s="5" t="str">
        <f>IFERROR(__xludf.DUMMYFUNCTION("""COMPUTED_VALUE"""),"هیأت جوانان")</f>
        <v>هیأت جوانان</v>
      </c>
      <c r="C487" s="5" t="str">
        <f>IFERROR(__xludf.DUMMYFUNCTION("""COMPUTED_VALUE"""),"قمر بنی هاشم")</f>
        <v>قمر بنی هاشم</v>
      </c>
      <c r="D487" s="5" t="str">
        <f>IFERROR(__xludf.DUMMYFUNCTION("""COMPUTED_VALUE"""),"تهران")</f>
        <v>تهران</v>
      </c>
      <c r="E487" s="5" t="str">
        <f>IFERROR(__xludf.DUMMYFUNCTION("""COMPUTED_VALUE"""),"تهران")</f>
        <v>تهران</v>
      </c>
      <c r="F487" s="5" t="str">
        <f>IFERROR(__xludf.DUMMYFUNCTION("""COMPUTED_VALUE"""),"شهسوار شمالی")</f>
        <v>شهسوار شمالی</v>
      </c>
      <c r="G487" s="5"/>
      <c r="H487" s="6" t="str">
        <f>IFERROR(__xludf.DUMMYFUNCTION("""COMPUTED_VALUE"""),"https://www.instagram.com/ghamarebanihashem1348/")</f>
        <v>https://www.instagram.com/ghamarebanihashem1348/</v>
      </c>
      <c r="I487" s="6" t="str">
        <f>IFERROR(__xludf.DUMMYFUNCTION("""COMPUTED_VALUE"""),"t.me/ghamarebanihashem1348")</f>
        <v>t.me/ghamarebanihashem1348</v>
      </c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>
      <c r="A488" s="5"/>
      <c r="B488" s="5" t="str">
        <f>IFERROR(__xludf.DUMMYFUNCTION("""COMPUTED_VALUE"""),"هیأت")</f>
        <v>هیأت</v>
      </c>
      <c r="C488" s="5" t="str">
        <f>IFERROR(__xludf.DUMMYFUNCTION("""COMPUTED_VALUE"""),"حضرت رقیه ")</f>
        <v>حضرت رقیه </v>
      </c>
      <c r="D488" s="5" t="str">
        <f>IFERROR(__xludf.DUMMYFUNCTION("""COMPUTED_VALUE"""),"تهران")</f>
        <v>تهران</v>
      </c>
      <c r="E488" s="5" t="str">
        <f>IFERROR(__xludf.DUMMYFUNCTION("""COMPUTED_VALUE"""),"تهران")</f>
        <v>تهران</v>
      </c>
      <c r="F488" s="5"/>
      <c r="G488" s="5"/>
      <c r="H488" s="6" t="str">
        <f>IFERROR(__xludf.DUMMYFUNCTION("""COMPUTED_VALUE"""),"https://www.instagram.com/heyat_hazrat_roghaye315/")</f>
        <v>https://www.instagram.com/heyat_hazrat_roghaye315/</v>
      </c>
      <c r="I488" s="6" t="str">
        <f>IFERROR(__xludf.DUMMYFUNCTION("""COMPUTED_VALUE"""),"t.me/heyat_hazrat_roghaye315")</f>
        <v>t.me/heyat_hazrat_roghaye315</v>
      </c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>
      <c r="A489" s="5"/>
      <c r="B489" s="5" t="str">
        <f>IFERROR(__xludf.DUMMYFUNCTION("""COMPUTED_VALUE"""),"هیأت")</f>
        <v>هیأت</v>
      </c>
      <c r="C489" s="5" t="str">
        <f>IFERROR(__xludf.DUMMYFUNCTION("""COMPUTED_VALUE"""),"علم الحسین (ع)")</f>
        <v>علم الحسین (ع)</v>
      </c>
      <c r="D489" s="5" t="str">
        <f>IFERROR(__xludf.DUMMYFUNCTION("""COMPUTED_VALUE"""),"تهران")</f>
        <v>تهران</v>
      </c>
      <c r="E489" s="5" t="str">
        <f>IFERROR(__xludf.DUMMYFUNCTION("""COMPUTED_VALUE"""),"تهران")</f>
        <v>تهران</v>
      </c>
      <c r="F489" s="5"/>
      <c r="G489" s="5"/>
      <c r="H489" s="6" t="str">
        <f>IFERROR(__xludf.DUMMYFUNCTION("""COMPUTED_VALUE"""),"https://www.instagram.com/alam_alhosain/")</f>
        <v>https://www.instagram.com/alam_alhosain/</v>
      </c>
      <c r="I489" s="6" t="str">
        <f>IFERROR(__xludf.DUMMYFUNCTION("""COMPUTED_VALUE"""),"t.me/alam_alhosain")</f>
        <v>t.me/alam_alhosain</v>
      </c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>
      <c r="A490" s="5"/>
      <c r="B490" s="5" t="str">
        <f>IFERROR(__xludf.DUMMYFUNCTION("""COMPUTED_VALUE"""),"هیأت")</f>
        <v>هیأت</v>
      </c>
      <c r="C490" s="5" t="str">
        <f>IFERROR(__xludf.DUMMYFUNCTION("""COMPUTED_VALUE"""),"محبین حضرت زهرا (س)")</f>
        <v>محبین حضرت زهرا (س)</v>
      </c>
      <c r="D490" s="5" t="str">
        <f>IFERROR(__xludf.DUMMYFUNCTION("""COMPUTED_VALUE"""),"تهران")</f>
        <v>تهران</v>
      </c>
      <c r="E490" s="5" t="str">
        <f>IFERROR(__xludf.DUMMYFUNCTION("""COMPUTED_VALUE"""),"تهران")</f>
        <v>تهران</v>
      </c>
      <c r="F490" s="5"/>
      <c r="G490" s="5"/>
      <c r="H490" s="6" t="str">
        <f>IFERROR(__xludf.DUMMYFUNCTION("""COMPUTED_VALUE"""),"https://www.instagram.com/heiat_mohebbin/")</f>
        <v>https://www.instagram.com/heiat_mohebbin/</v>
      </c>
      <c r="I490" s="6" t="str">
        <f>IFERROR(__xludf.DUMMYFUNCTION("""COMPUTED_VALUE"""),"t.me/heiatmohebbin213")</f>
        <v>t.me/heiatmohebbin213</v>
      </c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>
      <c r="A491" s="5"/>
      <c r="B491" s="5" t="str">
        <f>IFERROR(__xludf.DUMMYFUNCTION("""COMPUTED_VALUE"""),"هیأت")</f>
        <v>هیأت</v>
      </c>
      <c r="C491" s="5" t="str">
        <f>IFERROR(__xludf.DUMMYFUNCTION("""COMPUTED_VALUE"""),"قمر بنی هاشم")</f>
        <v>قمر بنی هاشم</v>
      </c>
      <c r="D491" s="5" t="str">
        <f>IFERROR(__xludf.DUMMYFUNCTION("""COMPUTED_VALUE"""),"تهران")</f>
        <v>تهران</v>
      </c>
      <c r="E491" s="5" t="str">
        <f>IFERROR(__xludf.DUMMYFUNCTION("""COMPUTED_VALUE"""),"تهران")</f>
        <v>تهران</v>
      </c>
      <c r="F491" s="5"/>
      <c r="G491" s="5"/>
      <c r="H491" s="6" t="str">
        <f>IFERROR(__xludf.DUMMYFUNCTION("""COMPUTED_VALUE"""),"https://www.instagram.com/heyatghamarbanihashem_faz3/")</f>
        <v>https://www.instagram.com/heyatghamarbanihashem_faz3/</v>
      </c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>
      <c r="A492" s="5"/>
      <c r="B492" s="5" t="str">
        <f>IFERROR(__xludf.DUMMYFUNCTION("""COMPUTED_VALUE"""),"هیأت")</f>
        <v>هیأت</v>
      </c>
      <c r="C492" s="5" t="str">
        <f>IFERROR(__xludf.DUMMYFUNCTION("""COMPUTED_VALUE"""),"بیت الخدام الحسینی")</f>
        <v>بیت الخدام الحسینی</v>
      </c>
      <c r="D492" s="5" t="str">
        <f>IFERROR(__xludf.DUMMYFUNCTION("""COMPUTED_VALUE"""),"تهران")</f>
        <v>تهران</v>
      </c>
      <c r="E492" s="5" t="str">
        <f>IFERROR(__xludf.DUMMYFUNCTION("""COMPUTED_VALUE"""),"تهران")</f>
        <v>تهران</v>
      </c>
      <c r="F492" s="5"/>
      <c r="G492" s="5"/>
      <c r="H492" s="6" t="str">
        <f>IFERROR(__xludf.DUMMYFUNCTION("""COMPUTED_VALUE"""),"https://www.instagram.com/beytekhoddam/")</f>
        <v>https://www.instagram.com/beytekhoddam/</v>
      </c>
      <c r="I492" s="5"/>
      <c r="J492" s="5"/>
      <c r="K492" s="6" t="str">
        <f>IFERROR(__xludf.DUMMYFUNCTION("""COMPUTED_VALUE"""),"youtube.com/@BeyteKhoddam?si=6Kfixc0IdSTeEZ_v")</f>
        <v>youtube.com/@BeyteKhoddam?si=6Kfixc0IdSTeEZ_v</v>
      </c>
      <c r="L492" s="5"/>
      <c r="M492" s="5"/>
      <c r="N492" s="5"/>
      <c r="O492" s="5"/>
      <c r="P492" s="5"/>
      <c r="Q492" s="5"/>
      <c r="R492" s="5"/>
      <c r="S492" s="5"/>
    </row>
    <row r="493">
      <c r="A493" s="5"/>
      <c r="B493" s="5" t="str">
        <f>IFERROR(__xludf.DUMMYFUNCTION("""COMPUTED_VALUE"""),"هیأت")</f>
        <v>هیأت</v>
      </c>
      <c r="C493" s="5" t="str">
        <f>IFERROR(__xludf.DUMMYFUNCTION("""COMPUTED_VALUE"""),"مکتب القائم")</f>
        <v>مکتب القائم</v>
      </c>
      <c r="D493" s="5" t="str">
        <f>IFERROR(__xludf.DUMMYFUNCTION("""COMPUTED_VALUE"""),"تهران")</f>
        <v>تهران</v>
      </c>
      <c r="E493" s="5" t="str">
        <f>IFERROR(__xludf.DUMMYFUNCTION("""COMPUTED_VALUE"""),"تهران")</f>
        <v>تهران</v>
      </c>
      <c r="F493" s="5"/>
      <c r="G493" s="5"/>
      <c r="H493" s="6" t="str">
        <f>IFERROR(__xludf.DUMMYFUNCTION("""COMPUTED_VALUE"""),"https://www.instagram.com/maktabolghaem.h/")</f>
        <v>https://www.instagram.com/maktabolghaem.h/</v>
      </c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>
      <c r="A494" s="5"/>
      <c r="B494" s="5" t="str">
        <f>IFERROR(__xludf.DUMMYFUNCTION("""COMPUTED_VALUE"""),"هیأت")</f>
        <v>هیأت</v>
      </c>
      <c r="C494" s="5" t="str">
        <f>IFERROR(__xludf.DUMMYFUNCTION("""COMPUTED_VALUE"""),"ولیعصر")</f>
        <v>ولیعصر</v>
      </c>
      <c r="D494" s="5" t="str">
        <f>IFERROR(__xludf.DUMMYFUNCTION("""COMPUTED_VALUE"""),"تهران")</f>
        <v>تهران</v>
      </c>
      <c r="E494" s="5" t="str">
        <f>IFERROR(__xludf.DUMMYFUNCTION("""COMPUTED_VALUE"""),"تهران")</f>
        <v>تهران</v>
      </c>
      <c r="F494" s="5" t="str">
        <f>IFERROR(__xludf.DUMMYFUNCTION("""COMPUTED_VALUE"""),"شهرک اکباتان")</f>
        <v>شهرک اکباتان</v>
      </c>
      <c r="G494" s="5"/>
      <c r="H494" s="6" t="str">
        <f>IFERROR(__xludf.DUMMYFUNCTION("""COMPUTED_VALUE"""),"https://www.instagram.com/heyaat_valiasr/")</f>
        <v>https://www.instagram.com/heyaat_valiasr/</v>
      </c>
      <c r="I494" s="6" t="str">
        <f>IFERROR(__xludf.DUMMYFUNCTION("""COMPUTED_VALUE"""),"t.me/heyatvaliasr313")</f>
        <v>t.me/heyatvaliasr313</v>
      </c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>
      <c r="A495" s="5"/>
      <c r="B495" s="5" t="str">
        <f>IFERROR(__xludf.DUMMYFUNCTION("""COMPUTED_VALUE"""),"هیأت")</f>
        <v>هیأت</v>
      </c>
      <c r="C495" s="5" t="str">
        <f>IFERROR(__xludf.DUMMYFUNCTION("""COMPUTED_VALUE"""),"الشهدا")</f>
        <v>الشهدا</v>
      </c>
      <c r="D495" s="5" t="str">
        <f>IFERROR(__xludf.DUMMYFUNCTION("""COMPUTED_VALUE"""),"تهران")</f>
        <v>تهران</v>
      </c>
      <c r="E495" s="5" t="str">
        <f>IFERROR(__xludf.DUMMYFUNCTION("""COMPUTED_VALUE"""),"تهران")</f>
        <v>تهران</v>
      </c>
      <c r="F495" s="5"/>
      <c r="G495" s="5"/>
      <c r="H495" s="6" t="str">
        <f>IFERROR(__xludf.DUMMYFUNCTION("""COMPUTED_VALUE"""),"https://www.instagram.com/heyatallshohada/")</f>
        <v>https://www.instagram.com/heyatallshohada/</v>
      </c>
      <c r="I495" s="5"/>
      <c r="J495" s="6" t="str">
        <f>IFERROR(__xludf.DUMMYFUNCTION("""COMPUTED_VALUE"""),"eitta.com/heyatallshohada")</f>
        <v>eitta.com/heyatallshohada</v>
      </c>
      <c r="K495" s="5"/>
      <c r="L495" s="5"/>
      <c r="M495" s="5"/>
      <c r="N495" s="5"/>
      <c r="O495" s="5"/>
      <c r="P495" s="5"/>
      <c r="Q495" s="5"/>
      <c r="R495" s="5"/>
      <c r="S495" s="5"/>
    </row>
    <row r="496">
      <c r="A496" s="5"/>
      <c r="B496" s="5" t="str">
        <f>IFERROR(__xludf.DUMMYFUNCTION("""COMPUTED_VALUE"""),"هیأت")</f>
        <v>هیأت</v>
      </c>
      <c r="C496" s="5" t="str">
        <f>IFERROR(__xludf.DUMMYFUNCTION("""COMPUTED_VALUE"""),"محبان الفاطمه (س)")</f>
        <v>محبان الفاطمه (س)</v>
      </c>
      <c r="D496" s="5" t="str">
        <f>IFERROR(__xludf.DUMMYFUNCTION("""COMPUTED_VALUE"""),"تهران")</f>
        <v>تهران</v>
      </c>
      <c r="E496" s="5" t="str">
        <f>IFERROR(__xludf.DUMMYFUNCTION("""COMPUTED_VALUE"""),"تهران")</f>
        <v>تهران</v>
      </c>
      <c r="F496" s="5"/>
      <c r="G496" s="5"/>
      <c r="H496" s="6" t="str">
        <f>IFERROR(__xludf.DUMMYFUNCTION("""COMPUTED_VALUE"""),"https://www.instagram.com/mohje.ir/")</f>
        <v>https://www.instagram.com/mohje.ir/</v>
      </c>
      <c r="I496" s="6" t="str">
        <f>IFERROR(__xludf.DUMMYFUNCTION("""COMPUTED_VALUE"""),"telegram.me/mohje_ir")</f>
        <v>telegram.me/mohje_ir</v>
      </c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>
      <c r="A497" s="5"/>
      <c r="B497" s="5" t="str">
        <f>IFERROR(__xludf.DUMMYFUNCTION("""COMPUTED_VALUE"""),"هیأت")</f>
        <v>هیأت</v>
      </c>
      <c r="C497" s="5" t="str">
        <f>IFERROR(__xludf.DUMMYFUNCTION("""COMPUTED_VALUE"""),"یاس کبود")</f>
        <v>یاس کبود</v>
      </c>
      <c r="D497" s="5" t="str">
        <f>IFERROR(__xludf.DUMMYFUNCTION("""COMPUTED_VALUE"""),"تهران")</f>
        <v>تهران</v>
      </c>
      <c r="E497" s="5" t="str">
        <f>IFERROR(__xludf.DUMMYFUNCTION("""COMPUTED_VALUE"""),"تهران")</f>
        <v>تهران</v>
      </c>
      <c r="F497" s="5"/>
      <c r="G497" s="5"/>
      <c r="H497" s="6" t="str">
        <f>IFERROR(__xludf.DUMMYFUNCTION("""COMPUTED_VALUE"""),"https://www.instagram.com/yasekabodtehran/")</f>
        <v>https://www.instagram.com/yasekabodtehran/</v>
      </c>
      <c r="I497" s="6" t="str">
        <f>IFERROR(__xludf.DUMMYFUNCTION("""COMPUTED_VALUE"""),"t.me/yasekabodetehran")</f>
        <v>t.me/yasekabodetehran</v>
      </c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>
      <c r="A498" s="5"/>
      <c r="B498" s="5" t="str">
        <f>IFERROR(__xludf.DUMMYFUNCTION("""COMPUTED_VALUE"""),"هیأت")</f>
        <v>هیأت</v>
      </c>
      <c r="C498" s="5" t="str">
        <f>IFERROR(__xludf.DUMMYFUNCTION("""COMPUTED_VALUE"""),"انصار الحسین (ع)")</f>
        <v>انصار الحسین (ع)</v>
      </c>
      <c r="D498" s="5" t="str">
        <f>IFERROR(__xludf.DUMMYFUNCTION("""COMPUTED_VALUE"""),"تهران")</f>
        <v>تهران</v>
      </c>
      <c r="E498" s="5" t="str">
        <f>IFERROR(__xludf.DUMMYFUNCTION("""COMPUTED_VALUE"""),"تهران")</f>
        <v>تهران</v>
      </c>
      <c r="F498" s="5"/>
      <c r="G498" s="5"/>
      <c r="H498" s="5"/>
      <c r="I498" s="5"/>
      <c r="J498" s="6" t="str">
        <f>IFERROR(__xludf.DUMMYFUNCTION("""COMPUTED_VALUE"""),"https://eitaa.com/ansarolhosain72")</f>
        <v>https://eitaa.com/ansarolhosain72</v>
      </c>
      <c r="K498" s="5"/>
      <c r="L498" s="5"/>
      <c r="M498" s="5"/>
      <c r="N498" s="5"/>
      <c r="O498" s="5"/>
      <c r="P498" s="5"/>
      <c r="Q498" s="5"/>
      <c r="R498" s="5"/>
      <c r="S498" s="5"/>
    </row>
    <row r="499">
      <c r="A499" s="5"/>
      <c r="B499" s="5" t="str">
        <f>IFERROR(__xludf.DUMMYFUNCTION("""COMPUTED_VALUE"""),"هیأت")</f>
        <v>هیأت</v>
      </c>
      <c r="C499" s="5" t="str">
        <f>IFERROR(__xludf.DUMMYFUNCTION("""COMPUTED_VALUE"""),"رهروان ثارالله (ع)")</f>
        <v>رهروان ثارالله (ع)</v>
      </c>
      <c r="D499" s="5" t="str">
        <f>IFERROR(__xludf.DUMMYFUNCTION("""COMPUTED_VALUE"""),"تهران")</f>
        <v>تهران</v>
      </c>
      <c r="E499" s="5" t="str">
        <f>IFERROR(__xludf.DUMMYFUNCTION("""COMPUTED_VALUE"""),"تهران")</f>
        <v>تهران</v>
      </c>
      <c r="F499" s="5"/>
      <c r="G499" s="5"/>
      <c r="H499" s="6" t="str">
        <f>IFERROR(__xludf.DUMMYFUNCTION("""COMPUTED_VALUE"""),"https://www.instagram.com/rahrovan_saralah/")</f>
        <v>https://www.instagram.com/rahrovan_saralah/</v>
      </c>
      <c r="I499" s="6" t="str">
        <f>IFERROR(__xludf.DUMMYFUNCTION("""COMPUTED_VALUE"""),"t.me/rahrovan_saralah")</f>
        <v>t.me/rahrovan_saralah</v>
      </c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>
      <c r="A500" s="5"/>
      <c r="B500" s="5" t="str">
        <f>IFERROR(__xludf.DUMMYFUNCTION("""COMPUTED_VALUE"""),"هیأت")</f>
        <v>هیأت</v>
      </c>
      <c r="C500" s="5" t="str">
        <f>IFERROR(__xludf.DUMMYFUNCTION("""COMPUTED_VALUE"""),"انصارالمهدی (عج)")</f>
        <v>انصارالمهدی (عج)</v>
      </c>
      <c r="D500" s="5" t="str">
        <f>IFERROR(__xludf.DUMMYFUNCTION("""COMPUTED_VALUE"""),"تهران")</f>
        <v>تهران</v>
      </c>
      <c r="E500" s="5" t="str">
        <f>IFERROR(__xludf.DUMMYFUNCTION("""COMPUTED_VALUE"""),"تهران")</f>
        <v>تهران</v>
      </c>
      <c r="F500" s="5"/>
      <c r="G500" s="5"/>
      <c r="H500" s="6" t="str">
        <f>IFERROR(__xludf.DUMMYFUNCTION("""COMPUTED_VALUE"""),"https://www.instagram.com/ansaralmahdi_tehran/")</f>
        <v>https://www.instagram.com/ansaralmahdi_tehran/</v>
      </c>
      <c r="I500" s="6" t="str">
        <f>IFERROR(__xludf.DUMMYFUNCTION("""COMPUTED_VALUE"""),"t.me/ansarmahdi_tehran")</f>
        <v>t.me/ansarmahdi_tehran</v>
      </c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>
      <c r="A501" s="5"/>
      <c r="B501" s="5" t="str">
        <f>IFERROR(__xludf.DUMMYFUNCTION("""COMPUTED_VALUE"""),"هیأت")</f>
        <v>هیأت</v>
      </c>
      <c r="C501" s="5" t="str">
        <f>IFERROR(__xludf.DUMMYFUNCTION("""COMPUTED_VALUE"""),"روضه الزینب (س)")</f>
        <v>روضه الزینب (س)</v>
      </c>
      <c r="D501" s="5" t="str">
        <f>IFERROR(__xludf.DUMMYFUNCTION("""COMPUTED_VALUE"""),"تهران")</f>
        <v>تهران</v>
      </c>
      <c r="E501" s="5" t="str">
        <f>IFERROR(__xludf.DUMMYFUNCTION("""COMPUTED_VALUE"""),"تهران")</f>
        <v>تهران</v>
      </c>
      <c r="F501" s="5"/>
      <c r="G501" s="5"/>
      <c r="H501" s="6" t="str">
        <f>IFERROR(__xludf.DUMMYFUNCTION("""COMPUTED_VALUE"""),"https://www.instagram.com/rozatol_zeynab_tehran/")</f>
        <v>https://www.instagram.com/rozatol_zeynab_tehran/</v>
      </c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>
      <c r="A502" s="5"/>
      <c r="B502" s="5" t="str">
        <f>IFERROR(__xludf.DUMMYFUNCTION("""COMPUTED_VALUE"""),"هیأت")</f>
        <v>هیأت</v>
      </c>
      <c r="C502" s="5" t="str">
        <f>IFERROR(__xludf.DUMMYFUNCTION("""COMPUTED_VALUE"""),"الشهدا")</f>
        <v>الشهدا</v>
      </c>
      <c r="D502" s="5" t="str">
        <f>IFERROR(__xludf.DUMMYFUNCTION("""COMPUTED_VALUE"""),"تهران")</f>
        <v>تهران</v>
      </c>
      <c r="E502" s="5" t="str">
        <f>IFERROR(__xludf.DUMMYFUNCTION("""COMPUTED_VALUE"""),"تهران")</f>
        <v>تهران</v>
      </c>
      <c r="F502" s="5" t="str">
        <f>IFERROR(__xludf.DUMMYFUNCTION("""COMPUTED_VALUE"""),"غرب تهران")</f>
        <v>غرب تهران</v>
      </c>
      <c r="G502" s="5"/>
      <c r="H502" s="6" t="str">
        <f>IFERROR(__xludf.DUMMYFUNCTION("""COMPUTED_VALUE"""),"https://www.instagram.com/heiiatoshohada/")</f>
        <v>https://www.instagram.com/heiiatoshohada/</v>
      </c>
      <c r="I502" s="6" t="str">
        <f>IFERROR(__xludf.DUMMYFUNCTION("""COMPUTED_VALUE"""),"t.me/heiiatoshoda")</f>
        <v>t.me/heiiatoshoda</v>
      </c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>
      <c r="A503" s="5"/>
      <c r="B503" s="5" t="str">
        <f>IFERROR(__xludf.DUMMYFUNCTION("""COMPUTED_VALUE"""),"هیأت")</f>
        <v>هیأت</v>
      </c>
      <c r="C503" s="5" t="str">
        <f>IFERROR(__xludf.DUMMYFUNCTION("""COMPUTED_VALUE"""),"خادم الزهرا (س)")</f>
        <v>خادم الزهرا (س)</v>
      </c>
      <c r="D503" s="5" t="str">
        <f>IFERROR(__xludf.DUMMYFUNCTION("""COMPUTED_VALUE"""),"تهران")</f>
        <v>تهران</v>
      </c>
      <c r="E503" s="5" t="str">
        <f>IFERROR(__xludf.DUMMYFUNCTION("""COMPUTED_VALUE"""),"تهران")</f>
        <v>تهران</v>
      </c>
      <c r="F503" s="5"/>
      <c r="G503" s="5"/>
      <c r="H503" s="6" t="str">
        <f>IFERROR(__xludf.DUMMYFUNCTION("""COMPUTED_VALUE"""),"https://www.instagram.com/khadem_zahra.213/")</f>
        <v>https://www.instagram.com/khadem_zahra.213/</v>
      </c>
      <c r="I503" s="6" t="str">
        <f>IFERROR(__xludf.DUMMYFUNCTION("""COMPUTED_VALUE"""),"t.me/khadem_zahra")</f>
        <v>t.me/khadem_zahra</v>
      </c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>
      <c r="A504" s="5"/>
      <c r="B504" s="5" t="str">
        <f>IFERROR(__xludf.DUMMYFUNCTION("""COMPUTED_VALUE"""),"هیأت")</f>
        <v>هیأت</v>
      </c>
      <c r="C504" s="5" t="str">
        <f>IFERROR(__xludf.DUMMYFUNCTION("""COMPUTED_VALUE"""),"خامس آل عبا (ع)")</f>
        <v>خامس آل عبا (ع)</v>
      </c>
      <c r="D504" s="5" t="str">
        <f>IFERROR(__xludf.DUMMYFUNCTION("""COMPUTED_VALUE"""),"تهران")</f>
        <v>تهران</v>
      </c>
      <c r="E504" s="5" t="str">
        <f>IFERROR(__xludf.DUMMYFUNCTION("""COMPUTED_VALUE"""),"تهران")</f>
        <v>تهران</v>
      </c>
      <c r="F504" s="5"/>
      <c r="G504" s="5"/>
      <c r="H504" s="6" t="str">
        <f>IFERROR(__xludf.DUMMYFUNCTION("""COMPUTED_VALUE"""),"https://www.instagram.com/khames_ir/")</f>
        <v>https://www.instagram.com/khames_ir/</v>
      </c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>
      <c r="A505" s="5"/>
      <c r="B505" s="5" t="str">
        <f>IFERROR(__xludf.DUMMYFUNCTION("""COMPUTED_VALUE"""),"هیأت")</f>
        <v>هیأت</v>
      </c>
      <c r="C505" s="5" t="str">
        <f>IFERROR(__xludf.DUMMYFUNCTION("""COMPUTED_VALUE"""),"محبان حضرت علی اکبر(ع)")</f>
        <v>محبان حضرت علی اکبر(ع)</v>
      </c>
      <c r="D505" s="5" t="str">
        <f>IFERROR(__xludf.DUMMYFUNCTION("""COMPUTED_VALUE"""),"تهران")</f>
        <v>تهران</v>
      </c>
      <c r="E505" s="5" t="str">
        <f>IFERROR(__xludf.DUMMYFUNCTION("""COMPUTED_VALUE"""),"تهران")</f>
        <v>تهران</v>
      </c>
      <c r="F505" s="5"/>
      <c r="G505" s="5"/>
      <c r="H505" s="6" t="str">
        <f>IFERROR(__xludf.DUMMYFUNCTION("""COMPUTED_VALUE"""),"https://www.instagram.com/heyaatmohebanaliakbar/")</f>
        <v>https://www.instagram.com/heyaatmohebanaliakbar/</v>
      </c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>
      <c r="A506" s="5"/>
      <c r="B506" s="5" t="str">
        <f>IFERROR(__xludf.DUMMYFUNCTION("""COMPUTED_VALUE"""),"هیأت")</f>
        <v>هیأت</v>
      </c>
      <c r="C506" s="5" t="str">
        <f>IFERROR(__xludf.DUMMYFUNCTION("""COMPUTED_VALUE"""),"فاطمیه (س)")</f>
        <v>فاطمیه (س)</v>
      </c>
      <c r="D506" s="5" t="str">
        <f>IFERROR(__xludf.DUMMYFUNCTION("""COMPUTED_VALUE"""),"تهران")</f>
        <v>تهران</v>
      </c>
      <c r="E506" s="5" t="str">
        <f>IFERROR(__xludf.DUMMYFUNCTION("""COMPUTED_VALUE"""),"تهران")</f>
        <v>تهران</v>
      </c>
      <c r="F506" s="5"/>
      <c r="G506" s="5"/>
      <c r="H506" s="6" t="str">
        <f>IFERROR(__xludf.DUMMYFUNCTION("""COMPUTED_VALUE"""),"https://www.instagram.com/heyatfatemie/")</f>
        <v>https://www.instagram.com/heyatfatemie/</v>
      </c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>
      <c r="A507" s="5"/>
      <c r="B507" s="5" t="str">
        <f>IFERROR(__xludf.DUMMYFUNCTION("""COMPUTED_VALUE"""),"هیأت")</f>
        <v>هیأت</v>
      </c>
      <c r="C507" s="5" t="str">
        <f>IFERROR(__xludf.DUMMYFUNCTION("""COMPUTED_VALUE"""),"بیت الزهرا (س)")</f>
        <v>بیت الزهرا (س)</v>
      </c>
      <c r="D507" s="5" t="str">
        <f>IFERROR(__xludf.DUMMYFUNCTION("""COMPUTED_VALUE"""),"تهران")</f>
        <v>تهران</v>
      </c>
      <c r="E507" s="5" t="str">
        <f>IFERROR(__xludf.DUMMYFUNCTION("""COMPUTED_VALUE"""),"تهران")</f>
        <v>تهران</v>
      </c>
      <c r="F507" s="5" t="str">
        <f>IFERROR(__xludf.DUMMYFUNCTION("""COMPUTED_VALUE"""),"ت")</f>
        <v>ت</v>
      </c>
      <c r="G507" s="5"/>
      <c r="H507" s="6" t="str">
        <f>IFERROR(__xludf.DUMMYFUNCTION("""COMPUTED_VALUE"""),"https://www.instagram.com/beytozahraa/?")</f>
        <v>https://www.instagram.com/beytozahraa/?</v>
      </c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>
      <c r="A508" s="5"/>
      <c r="B508" s="5" t="str">
        <f>IFERROR(__xludf.DUMMYFUNCTION("""COMPUTED_VALUE"""),"هیأت")</f>
        <v>هیأت</v>
      </c>
      <c r="C508" s="5" t="str">
        <f>IFERROR(__xludf.DUMMYFUNCTION("""COMPUTED_VALUE"""),"محبان المهدی (عج)")</f>
        <v>محبان المهدی (عج)</v>
      </c>
      <c r="D508" s="5" t="str">
        <f>IFERROR(__xludf.DUMMYFUNCTION("""COMPUTED_VALUE"""),"تهران")</f>
        <v>تهران</v>
      </c>
      <c r="E508" s="5" t="str">
        <f>IFERROR(__xludf.DUMMYFUNCTION("""COMPUTED_VALUE"""),"تهران")</f>
        <v>تهران</v>
      </c>
      <c r="F508" s="5"/>
      <c r="G508" s="5"/>
      <c r="H508" s="6" t="str">
        <f>IFERROR(__xludf.DUMMYFUNCTION("""COMPUTED_VALUE"""),"https://www.instagram.com/hyt6391/")</f>
        <v>https://www.instagram.com/hyt6391/</v>
      </c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>
      <c r="A509" s="5"/>
      <c r="B509" s="5" t="str">
        <f>IFERROR(__xludf.DUMMYFUNCTION("""COMPUTED_VALUE"""),"هیأت")</f>
        <v>هیأت</v>
      </c>
      <c r="C509" s="5" t="str">
        <f>IFERROR(__xludf.DUMMYFUNCTION("""COMPUTED_VALUE"""),"چهارده معصوم شهدای طردشت")</f>
        <v>چهارده معصوم شهدای طردشت</v>
      </c>
      <c r="D509" s="5" t="str">
        <f>IFERROR(__xludf.DUMMYFUNCTION("""COMPUTED_VALUE"""),"تهران")</f>
        <v>تهران</v>
      </c>
      <c r="E509" s="5" t="str">
        <f>IFERROR(__xludf.DUMMYFUNCTION("""COMPUTED_VALUE"""),"تهران")</f>
        <v>تهران</v>
      </c>
      <c r="F509" s="5" t="str">
        <f>IFERROR(__xludf.DUMMYFUNCTION("""COMPUTED_VALUE"""),"طردشت")</f>
        <v>طردشت</v>
      </c>
      <c r="G509" s="5"/>
      <c r="H509" s="6" t="str">
        <f>IFERROR(__xludf.DUMMYFUNCTION("""COMPUTED_VALUE"""),"https://www.instagram.com/hcmst_/")</f>
        <v>https://www.instagram.com/hcmst_/</v>
      </c>
      <c r="I509" s="6" t="str">
        <f>IFERROR(__xludf.DUMMYFUNCTION("""COMPUTED_VALUE"""),"tlgrm.me/hcmst")</f>
        <v>tlgrm.me/hcmst</v>
      </c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>
      <c r="A510" s="5"/>
      <c r="B510" s="5" t="str">
        <f>IFERROR(__xludf.DUMMYFUNCTION("""COMPUTED_VALUE"""),"هیأت")</f>
        <v>هیأت</v>
      </c>
      <c r="C510" s="5" t="str">
        <f>IFERROR(__xludf.DUMMYFUNCTION("""COMPUTED_VALUE"""),"نوکران اهل بیت(ع)")</f>
        <v>نوکران اهل بیت(ع)</v>
      </c>
      <c r="D510" s="5" t="str">
        <f>IFERROR(__xludf.DUMMYFUNCTION("""COMPUTED_VALUE"""),"تهران")</f>
        <v>تهران</v>
      </c>
      <c r="E510" s="5" t="str">
        <f>IFERROR(__xludf.DUMMYFUNCTION("""COMPUTED_VALUE"""),"تهران")</f>
        <v>تهران</v>
      </c>
      <c r="F510" s="5"/>
      <c r="G510" s="5"/>
      <c r="H510" s="6" t="str">
        <f>IFERROR(__xludf.DUMMYFUNCTION("""COMPUTED_VALUE"""),"https://www.instagram.com/heyate_nokarane_ahlebeyt/")</f>
        <v>https://www.instagram.com/heyate_nokarane_ahlebeyt/</v>
      </c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>
      <c r="A511" s="5"/>
      <c r="B511" s="5" t="str">
        <f>IFERROR(__xludf.DUMMYFUNCTION("""COMPUTED_VALUE"""),"هیأت")</f>
        <v>هیأت</v>
      </c>
      <c r="C511" s="5" t="str">
        <f>IFERROR(__xludf.DUMMYFUNCTION("""COMPUTED_VALUE"""),"چهارده معصوم")</f>
        <v>چهارده معصوم</v>
      </c>
      <c r="D511" s="5" t="str">
        <f>IFERROR(__xludf.DUMMYFUNCTION("""COMPUTED_VALUE"""),"تهران")</f>
        <v>تهران</v>
      </c>
      <c r="E511" s="5" t="str">
        <f>IFERROR(__xludf.DUMMYFUNCTION("""COMPUTED_VALUE"""),"تهران")</f>
        <v>تهران</v>
      </c>
      <c r="F511" s="5"/>
      <c r="G511" s="5"/>
      <c r="H511" s="6" t="str">
        <f>IFERROR(__xludf.DUMMYFUNCTION("""COMPUTED_VALUE"""),"https://www.instagram.com/14masoume_tehran/")</f>
        <v>https://www.instagram.com/14masoume_tehran/</v>
      </c>
      <c r="I511" s="6" t="str">
        <f>IFERROR(__xludf.DUMMYFUNCTION("""COMPUTED_VALUE"""),"t.me/heyat14")</f>
        <v>t.me/heyat14</v>
      </c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>
      <c r="A512" s="5"/>
      <c r="B512" s="5" t="str">
        <f>IFERROR(__xludf.DUMMYFUNCTION("""COMPUTED_VALUE"""),"هیأت")</f>
        <v>هیأت</v>
      </c>
      <c r="C512" s="5" t="str">
        <f>IFERROR(__xludf.DUMMYFUNCTION("""COMPUTED_VALUE"""),"متوسلین به حضرت عباس (ع)")</f>
        <v>متوسلین به حضرت عباس (ع)</v>
      </c>
      <c r="D512" s="5" t="str">
        <f>IFERROR(__xludf.DUMMYFUNCTION("""COMPUTED_VALUE"""),"تهران")</f>
        <v>تهران</v>
      </c>
      <c r="E512" s="5" t="str">
        <f>IFERROR(__xludf.DUMMYFUNCTION("""COMPUTED_VALUE"""),"تهران")</f>
        <v>تهران</v>
      </c>
      <c r="F512" s="5"/>
      <c r="G512" s="5"/>
      <c r="H512" s="6" t="str">
        <f>IFERROR(__xludf.DUMMYFUNCTION("""COMPUTED_VALUE"""),"https://www.instagram.com/motevaselin.info/")</f>
        <v>https://www.instagram.com/motevaselin.info/</v>
      </c>
      <c r="I512" s="6" t="str">
        <f>IFERROR(__xludf.DUMMYFUNCTION("""COMPUTED_VALUE"""),"t.me/motevaselin_hazratabas")</f>
        <v>t.me/motevaselin_hazratabas</v>
      </c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>
      <c r="A513" s="5"/>
      <c r="B513" s="5" t="str">
        <f>IFERROR(__xludf.DUMMYFUNCTION("""COMPUTED_VALUE"""),"هیأت")</f>
        <v>هیأت</v>
      </c>
      <c r="C513" s="5" t="str">
        <f>IFERROR(__xludf.DUMMYFUNCTION("""COMPUTED_VALUE"""),"علی ابن ابی طالب")</f>
        <v>علی ابن ابی طالب</v>
      </c>
      <c r="D513" s="5" t="str">
        <f>IFERROR(__xludf.DUMMYFUNCTION("""COMPUTED_VALUE"""),"تهران")</f>
        <v>تهران</v>
      </c>
      <c r="E513" s="5" t="str">
        <f>IFERROR(__xludf.DUMMYFUNCTION("""COMPUTED_VALUE"""),"تهران")</f>
        <v>تهران</v>
      </c>
      <c r="F513" s="5"/>
      <c r="G513" s="5"/>
      <c r="H513" s="6" t="str">
        <f>IFERROR(__xludf.DUMMYFUNCTION("""COMPUTED_VALUE"""),"https://www.instagram.com/h.aliebneabitaleb.teh/")</f>
        <v>https://www.instagram.com/h.aliebneabitaleb.teh/</v>
      </c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>
      <c r="A514" s="5"/>
      <c r="B514" s="5" t="str">
        <f>IFERROR(__xludf.DUMMYFUNCTION("""COMPUTED_VALUE"""),"هیأت")</f>
        <v>هیأت</v>
      </c>
      <c r="C514" s="5" t="str">
        <f>IFERROR(__xludf.DUMMYFUNCTION("""COMPUTED_VALUE"""),"متوسلین به چهارده معصوم (ع)")</f>
        <v>متوسلین به چهارده معصوم (ع)</v>
      </c>
      <c r="D514" s="5" t="str">
        <f>IFERROR(__xludf.DUMMYFUNCTION("""COMPUTED_VALUE"""),"تهران")</f>
        <v>تهران</v>
      </c>
      <c r="E514" s="5" t="str">
        <f>IFERROR(__xludf.DUMMYFUNCTION("""COMPUTED_VALUE"""),"تهران")</f>
        <v>تهران</v>
      </c>
      <c r="F514" s="5"/>
      <c r="G514" s="5"/>
      <c r="H514" s="6" t="str">
        <f>IFERROR(__xludf.DUMMYFUNCTION("""COMPUTED_VALUE"""),"https://www.instagram.com/h.14.masoom/")</f>
        <v>https://www.instagram.com/h.14.masoom/</v>
      </c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>
      <c r="A515" s="5"/>
      <c r="B515" s="5" t="str">
        <f>IFERROR(__xludf.DUMMYFUNCTION("""COMPUTED_VALUE"""),"هیأت")</f>
        <v>هیأت</v>
      </c>
      <c r="C515" s="5" t="str">
        <f>IFERROR(__xludf.DUMMYFUNCTION("""COMPUTED_VALUE"""),"خادمین حضرت رباب")</f>
        <v>خادمین حضرت رباب</v>
      </c>
      <c r="D515" s="5" t="str">
        <f>IFERROR(__xludf.DUMMYFUNCTION("""COMPUTED_VALUE"""),"تهران")</f>
        <v>تهران</v>
      </c>
      <c r="E515" s="5" t="str">
        <f>IFERROR(__xludf.DUMMYFUNCTION("""COMPUTED_VALUE"""),"تهران")</f>
        <v>تهران</v>
      </c>
      <c r="F515" s="5"/>
      <c r="G515" s="5"/>
      <c r="H515" s="6" t="str">
        <f>IFERROR(__xludf.DUMMYFUNCTION("""COMPUTED_VALUE"""),"https://www.instagram.com/khademin_hazrate_robab/")</f>
        <v>https://www.instagram.com/khademin_hazrate_robab/</v>
      </c>
      <c r="I515" s="6" t="str">
        <f>IFERROR(__xludf.DUMMYFUNCTION("""COMPUTED_VALUE"""),"t.me/khademin_hazrate_robab")</f>
        <v>t.me/khademin_hazrate_robab</v>
      </c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>
      <c r="A516" s="5"/>
      <c r="B516" s="5" t="str">
        <f>IFERROR(__xludf.DUMMYFUNCTION("""COMPUTED_VALUE"""),"هیأت")</f>
        <v>هیأت</v>
      </c>
      <c r="C516" s="5" t="str">
        <f>IFERROR(__xludf.DUMMYFUNCTION("""COMPUTED_VALUE"""),"دختران مهدیار")</f>
        <v>دختران مهدیار</v>
      </c>
      <c r="D516" s="5" t="str">
        <f>IFERROR(__xludf.DUMMYFUNCTION("""COMPUTED_VALUE"""),"تهران")</f>
        <v>تهران</v>
      </c>
      <c r="E516" s="5" t="str">
        <f>IFERROR(__xludf.DUMMYFUNCTION("""COMPUTED_VALUE"""),"تهران")</f>
        <v>تهران</v>
      </c>
      <c r="F516" s="5"/>
      <c r="G516" s="5"/>
      <c r="H516" s="5"/>
      <c r="I516" s="5"/>
      <c r="J516" s="6" t="str">
        <f>IFERROR(__xludf.DUMMYFUNCTION("""COMPUTED_VALUE"""),"https://eitaa.com/mahdiarteam")</f>
        <v>https://eitaa.com/mahdiarteam</v>
      </c>
      <c r="K516" s="5"/>
      <c r="L516" s="5"/>
      <c r="M516" s="5"/>
      <c r="N516" s="5"/>
      <c r="O516" s="5"/>
      <c r="P516" s="5"/>
      <c r="Q516" s="5"/>
      <c r="R516" s="5"/>
      <c r="S516" s="5"/>
    </row>
    <row r="517">
      <c r="A517" s="5"/>
      <c r="B517" s="5" t="str">
        <f>IFERROR(__xludf.DUMMYFUNCTION("""COMPUTED_VALUE"""),"هیأت")</f>
        <v>هیأت</v>
      </c>
      <c r="C517" s="5" t="str">
        <f>IFERROR(__xludf.DUMMYFUNCTION("""COMPUTED_VALUE"""),"انصار المهدی عج")</f>
        <v>انصار المهدی عج</v>
      </c>
      <c r="D517" s="5" t="str">
        <f>IFERROR(__xludf.DUMMYFUNCTION("""COMPUTED_VALUE"""),"تهران")</f>
        <v>تهران</v>
      </c>
      <c r="E517" s="5" t="str">
        <f>IFERROR(__xludf.DUMMYFUNCTION("""COMPUTED_VALUE"""),"تهران")</f>
        <v>تهران</v>
      </c>
      <c r="F517" s="5" t="str">
        <f>IFERROR(__xludf.DUMMYFUNCTION("""COMPUTED_VALUE"""),"میدان شهدا")</f>
        <v>میدان شهدا</v>
      </c>
      <c r="G517" s="5"/>
      <c r="H517" s="6" t="str">
        <f>IFERROR(__xludf.DUMMYFUNCTION("""COMPUTED_VALUE"""),"https://www.instagram.com/ansar_info/")</f>
        <v>https://www.instagram.com/ansar_info/</v>
      </c>
      <c r="I517" s="6" t="str">
        <f>IFERROR(__xludf.DUMMYFUNCTION("""COMPUTED_VALUE"""),"t.me/ansar_info83")</f>
        <v>t.me/ansar_info83</v>
      </c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>
      <c r="A518" s="5"/>
      <c r="B518" s="5" t="str">
        <f>IFERROR(__xludf.DUMMYFUNCTION("""COMPUTED_VALUE"""),"هیأت")</f>
        <v>هیأت</v>
      </c>
      <c r="C518" s="5" t="str">
        <f>IFERROR(__xludf.DUMMYFUNCTION("""COMPUTED_VALUE"""),"حضرت رقیه خاتون ")</f>
        <v>حضرت رقیه خاتون </v>
      </c>
      <c r="D518" s="5" t="str">
        <f>IFERROR(__xludf.DUMMYFUNCTION("""COMPUTED_VALUE"""),"تهران")</f>
        <v>تهران</v>
      </c>
      <c r="E518" s="5" t="str">
        <f>IFERROR(__xludf.DUMMYFUNCTION("""COMPUTED_VALUE"""),"تهران")</f>
        <v>تهران</v>
      </c>
      <c r="F518" s="5"/>
      <c r="G518" s="5"/>
      <c r="H518" s="6" t="str">
        <f>IFERROR(__xludf.DUMMYFUNCTION("""COMPUTED_VALUE"""),"https://www.instagram.com/roghayekhatoontehran/")</f>
        <v>https://www.instagram.com/roghayekhatoontehran/</v>
      </c>
      <c r="I518" s="6" t="str">
        <f>IFERROR(__xludf.DUMMYFUNCTION("""COMPUTED_VALUE"""),"https://t.me/Roghayekhatoontehran")</f>
        <v>https://t.me/Roghayekhatoontehran</v>
      </c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>
      <c r="A519" s="5"/>
      <c r="B519" s="5" t="str">
        <f>IFERROR(__xludf.DUMMYFUNCTION("""COMPUTED_VALUE"""),"هیأت")</f>
        <v>هیأت</v>
      </c>
      <c r="C519" s="5" t="str">
        <f>IFERROR(__xludf.DUMMYFUNCTION("""COMPUTED_VALUE""")," موسی بن جعفر (ع)")</f>
        <v> موسی بن جعفر (ع)</v>
      </c>
      <c r="D519" s="5" t="str">
        <f>IFERROR(__xludf.DUMMYFUNCTION("""COMPUTED_VALUE"""),"تهران")</f>
        <v>تهران</v>
      </c>
      <c r="E519" s="5" t="str">
        <f>IFERROR(__xludf.DUMMYFUNCTION("""COMPUTED_VALUE"""),"تهران")</f>
        <v>تهران</v>
      </c>
      <c r="F519" s="5"/>
      <c r="G519" s="5"/>
      <c r="H519" s="6" t="str">
        <f>IFERROR(__xludf.DUMMYFUNCTION("""COMPUTED_VALUE"""),"https://www.instagram.com/heyatmj/")</f>
        <v>https://www.instagram.com/heyatmj/</v>
      </c>
      <c r="I519" s="6" t="str">
        <f>IFERROR(__xludf.DUMMYFUNCTION("""COMPUTED_VALUE"""),"t.me/heyatMJ")</f>
        <v>t.me/heyatMJ</v>
      </c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>
      <c r="A520" s="5"/>
      <c r="B520" s="5" t="str">
        <f>IFERROR(__xludf.DUMMYFUNCTION("""COMPUTED_VALUE"""),"هیأت")</f>
        <v>هیأت</v>
      </c>
      <c r="C520" s="5" t="str">
        <f>IFERROR(__xludf.DUMMYFUNCTION("""COMPUTED_VALUE"""),"محبان فاطمه الزهرا (س)")</f>
        <v>محبان فاطمه الزهرا (س)</v>
      </c>
      <c r="D520" s="5" t="str">
        <f>IFERROR(__xludf.DUMMYFUNCTION("""COMPUTED_VALUE"""),"تهران")</f>
        <v>تهران</v>
      </c>
      <c r="E520" s="5" t="str">
        <f>IFERROR(__xludf.DUMMYFUNCTION("""COMPUTED_VALUE"""),"تهران")</f>
        <v>تهران</v>
      </c>
      <c r="F520" s="5"/>
      <c r="G520" s="5"/>
      <c r="H520" s="6" t="str">
        <f>IFERROR(__xludf.DUMMYFUNCTION("""COMPUTED_VALUE"""),"https://www.instagram.com/moheban244")</f>
        <v>https://www.instagram.com/moheban244</v>
      </c>
      <c r="I520" s="5"/>
      <c r="J520" s="5"/>
      <c r="K520" s="5"/>
      <c r="L520" s="6" t="str">
        <f>IFERROR(__xludf.DUMMYFUNCTION("""COMPUTED_VALUE"""),"moheban244.ir")</f>
        <v>moheban244.ir</v>
      </c>
      <c r="M520" s="5"/>
      <c r="N520" s="5"/>
      <c r="O520" s="5"/>
      <c r="P520" s="5"/>
      <c r="Q520" s="5"/>
      <c r="R520" s="5"/>
      <c r="S520" s="5"/>
    </row>
    <row r="521">
      <c r="A521" s="5"/>
      <c r="B521" s="5" t="str">
        <f>IFERROR(__xludf.DUMMYFUNCTION("""COMPUTED_VALUE"""),"حسینیه")</f>
        <v>حسینیه</v>
      </c>
      <c r="C521" s="5" t="str">
        <f>IFERROR(__xludf.DUMMYFUNCTION("""COMPUTED_VALUE"""),"ولایت")</f>
        <v>ولایت</v>
      </c>
      <c r="D521" s="5" t="str">
        <f>IFERROR(__xludf.DUMMYFUNCTION("""COMPUTED_VALUE"""),"تهران")</f>
        <v>تهران</v>
      </c>
      <c r="E521" s="5" t="str">
        <f>IFERROR(__xludf.DUMMYFUNCTION("""COMPUTED_VALUE"""),"تهران")</f>
        <v>تهران</v>
      </c>
      <c r="F521" s="5"/>
      <c r="G521" s="5"/>
      <c r="H521" s="6" t="str">
        <f>IFERROR(__xludf.DUMMYFUNCTION("""COMPUTED_VALUE"""),"https://www.instagram.com/welayat_ir/")</f>
        <v>https://www.instagram.com/welayat_ir/</v>
      </c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>
      <c r="A522" s="5"/>
      <c r="B522" s="5" t="str">
        <f>IFERROR(__xludf.DUMMYFUNCTION("""COMPUTED_VALUE"""),"هیأت")</f>
        <v>هیأت</v>
      </c>
      <c r="C522" s="5" t="str">
        <f>IFERROR(__xludf.DUMMYFUNCTION("""COMPUTED_VALUE"""),"لثارات الحسین (ع)")</f>
        <v>لثارات الحسین (ع)</v>
      </c>
      <c r="D522" s="5" t="str">
        <f>IFERROR(__xludf.DUMMYFUNCTION("""COMPUTED_VALUE"""),"تهران")</f>
        <v>تهران</v>
      </c>
      <c r="E522" s="5" t="str">
        <f>IFERROR(__xludf.DUMMYFUNCTION("""COMPUTED_VALUE"""),"تهران")</f>
        <v>تهران</v>
      </c>
      <c r="F522" s="5"/>
      <c r="G522" s="5"/>
      <c r="H522" s="6" t="str">
        <f>IFERROR(__xludf.DUMMYFUNCTION("""COMPUTED_VALUE"""),"https://www.instagram.com/lasarat_alhoseein/")</f>
        <v>https://www.instagram.com/lasarat_alhoseein/</v>
      </c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>
      <c r="A523" s="5"/>
      <c r="B523" s="5" t="str">
        <f>IFERROR(__xludf.DUMMYFUNCTION("""COMPUTED_VALUE"""),"هیأت")</f>
        <v>هیأت</v>
      </c>
      <c r="C523" s="5" t="str">
        <f>IFERROR(__xludf.DUMMYFUNCTION("""COMPUTED_VALUE"""),"خدام المهدی (عج)")</f>
        <v>خدام المهدی (عج)</v>
      </c>
      <c r="D523" s="5" t="str">
        <f>IFERROR(__xludf.DUMMYFUNCTION("""COMPUTED_VALUE"""),"تهران")</f>
        <v>تهران</v>
      </c>
      <c r="E523" s="5" t="str">
        <f>IFERROR(__xludf.DUMMYFUNCTION("""COMPUTED_VALUE"""),"تهران")</f>
        <v>تهران</v>
      </c>
      <c r="F523" s="5"/>
      <c r="G523" s="5"/>
      <c r="H523" s="6" t="str">
        <f>IFERROR(__xludf.DUMMYFUNCTION("""COMPUTED_VALUE"""),"https://www.instagram.com/khoddamolmahdi_313/")</f>
        <v>https://www.instagram.com/khoddamolmahdi_313/</v>
      </c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>
      <c r="A524" s="5"/>
      <c r="B524" s="5" t="str">
        <f>IFERROR(__xludf.DUMMYFUNCTION("""COMPUTED_VALUE"""),"هیأت")</f>
        <v>هیأت</v>
      </c>
      <c r="C524" s="5" t="str">
        <f>IFERROR(__xludf.DUMMYFUNCTION("""COMPUTED_VALUE"""),"عاشقان امام حسین")</f>
        <v>عاشقان امام حسین</v>
      </c>
      <c r="D524" s="5" t="str">
        <f>IFERROR(__xludf.DUMMYFUNCTION("""COMPUTED_VALUE"""),"تهران")</f>
        <v>تهران</v>
      </c>
      <c r="E524" s="5" t="str">
        <f>IFERROR(__xludf.DUMMYFUNCTION("""COMPUTED_VALUE"""),"تهران")</f>
        <v>تهران</v>
      </c>
      <c r="F524" s="5"/>
      <c r="G524" s="5"/>
      <c r="H524" s="6" t="str">
        <f>IFERROR(__xludf.DUMMYFUNCTION("""COMPUTED_VALUE"""),"https://www.instagram.com/a.i.hossein/")</f>
        <v>https://www.instagram.com/a.i.hossein/</v>
      </c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>
      <c r="A525" s="5"/>
      <c r="B525" s="5" t="str">
        <f>IFERROR(__xludf.DUMMYFUNCTION("""COMPUTED_VALUE"""),"هیأت")</f>
        <v>هیأت</v>
      </c>
      <c r="C525" s="5" t="str">
        <f>IFERROR(__xludf.DUMMYFUNCTION("""COMPUTED_VALUE"""),"متوسلین به قمربنی هاشم (ع)")</f>
        <v>متوسلین به قمربنی هاشم (ع)</v>
      </c>
      <c r="D525" s="5" t="str">
        <f>IFERROR(__xludf.DUMMYFUNCTION("""COMPUTED_VALUE"""),"تهران")</f>
        <v>تهران</v>
      </c>
      <c r="E525" s="5" t="str">
        <f>IFERROR(__xludf.DUMMYFUNCTION("""COMPUTED_VALUE"""),"تهران")</f>
        <v>تهران</v>
      </c>
      <c r="F525" s="5" t="str">
        <f>IFERROR(__xludf.DUMMYFUNCTION("""COMPUTED_VALUE"""),"غرب تهران")</f>
        <v>غرب تهران</v>
      </c>
      <c r="G525" s="5"/>
      <c r="H525" s="6" t="str">
        <f>IFERROR(__xludf.DUMMYFUNCTION("""COMPUTED_VALUE"""),"https://www.instagram.com/heyat_motevaselin_ghamar/")</f>
        <v>https://www.instagram.com/heyat_motevaselin_ghamar/</v>
      </c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>
      <c r="A526" s="5"/>
      <c r="B526" s="5" t="str">
        <f>IFERROR(__xludf.DUMMYFUNCTION("""COMPUTED_VALUE"""),"هیأت")</f>
        <v>هیأت</v>
      </c>
      <c r="C526" s="5" t="str">
        <f>IFERROR(__xludf.DUMMYFUNCTION("""COMPUTED_VALUE"""),"انصار الزهرا (س)")</f>
        <v>انصار الزهرا (س)</v>
      </c>
      <c r="D526" s="5" t="str">
        <f>IFERROR(__xludf.DUMMYFUNCTION("""COMPUTED_VALUE"""),"تهران")</f>
        <v>تهران</v>
      </c>
      <c r="E526" s="5" t="str">
        <f>IFERROR(__xludf.DUMMYFUNCTION("""COMPUTED_VALUE"""),"تهران")</f>
        <v>تهران</v>
      </c>
      <c r="F526" s="5"/>
      <c r="G526" s="5"/>
      <c r="H526" s="6" t="str">
        <f>IFERROR(__xludf.DUMMYFUNCTION("""COMPUTED_VALUE"""),"https://www.instagram.com/ansaralzahra128/")</f>
        <v>https://www.instagram.com/ansaralzahra128/</v>
      </c>
      <c r="I526" s="6" t="str">
        <f>IFERROR(__xludf.DUMMYFUNCTION("""COMPUTED_VALUE"""),"telegram.me/mohsenfeyzi")</f>
        <v>telegram.me/mohsenfeyzi</v>
      </c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>
      <c r="A527" s="5"/>
      <c r="B527" s="5" t="str">
        <f>IFERROR(__xludf.DUMMYFUNCTION("""COMPUTED_VALUE"""),"هیأت")</f>
        <v>هیأت</v>
      </c>
      <c r="C527" s="5" t="str">
        <f>IFERROR(__xludf.DUMMYFUNCTION("""COMPUTED_VALUE"""),"موکب الزهرا")</f>
        <v>موکب الزهرا</v>
      </c>
      <c r="D527" s="5" t="str">
        <f>IFERROR(__xludf.DUMMYFUNCTION("""COMPUTED_VALUE"""),"تهران")</f>
        <v>تهران</v>
      </c>
      <c r="E527" s="5" t="str">
        <f>IFERROR(__xludf.DUMMYFUNCTION("""COMPUTED_VALUE"""),"تهران")</f>
        <v>تهران</v>
      </c>
      <c r="F527" s="5"/>
      <c r="G527" s="5"/>
      <c r="H527" s="6" t="str">
        <f>IFERROR(__xludf.DUMMYFUNCTION("""COMPUTED_VALUE"""),"https://www.instagram.com/mokebalzahra/")</f>
        <v>https://www.instagram.com/mokebalzahra/</v>
      </c>
      <c r="I527" s="6" t="str">
        <f>IFERROR(__xludf.DUMMYFUNCTION("""COMPUTED_VALUE"""),"t.me/heyatalzahra")</f>
        <v>t.me/heyatalzahra</v>
      </c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>
      <c r="A528" s="5"/>
      <c r="B528" s="5" t="str">
        <f>IFERROR(__xludf.DUMMYFUNCTION("""COMPUTED_VALUE"""),"هیأت")</f>
        <v>هیأت</v>
      </c>
      <c r="C528" s="5" t="str">
        <f>IFERROR(__xludf.DUMMYFUNCTION("""COMPUTED_VALUE"""),"قاسم بن الحسن (ع)")</f>
        <v>قاسم بن الحسن (ع)</v>
      </c>
      <c r="D528" s="5" t="str">
        <f>IFERROR(__xludf.DUMMYFUNCTION("""COMPUTED_VALUE"""),"تهران")</f>
        <v>تهران</v>
      </c>
      <c r="E528" s="5" t="str">
        <f>IFERROR(__xludf.DUMMYFUNCTION("""COMPUTED_VALUE"""),"تهران")</f>
        <v>تهران</v>
      </c>
      <c r="F528" s="5"/>
      <c r="G528" s="5"/>
      <c r="H528" s="6" t="str">
        <f>IFERROR(__xludf.DUMMYFUNCTION("""COMPUTED_VALUE"""),"https://www.instagram.com/heyate_ghasem.benhasan/")</f>
        <v>https://www.instagram.com/heyate_ghasem.benhasan/</v>
      </c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>
      <c r="A529" s="5"/>
      <c r="B529" s="5" t="str">
        <f>IFERROR(__xludf.DUMMYFUNCTION("""COMPUTED_VALUE"""),"حسینیه")</f>
        <v>حسینیه</v>
      </c>
      <c r="C529" s="5" t="str">
        <f>IFERROR(__xludf.DUMMYFUNCTION("""COMPUTED_VALUE"""),"کربلایی‌ها")</f>
        <v>کربلایی‌ها</v>
      </c>
      <c r="D529" s="5" t="str">
        <f>IFERROR(__xludf.DUMMYFUNCTION("""COMPUTED_VALUE"""),"تهران")</f>
        <v>تهران</v>
      </c>
      <c r="E529" s="5" t="str">
        <f>IFERROR(__xludf.DUMMYFUNCTION("""COMPUTED_VALUE"""),"تهران")</f>
        <v>تهران</v>
      </c>
      <c r="F529" s="5"/>
      <c r="G529" s="5"/>
      <c r="H529" s="6" t="str">
        <f>IFERROR(__xludf.DUMMYFUNCTION("""COMPUTED_VALUE"""),"https://www.instagram.com/hkt_ir/")</f>
        <v>https://www.instagram.com/hkt_ir/</v>
      </c>
      <c r="I529" s="6" t="str">
        <f>IFERROR(__xludf.DUMMYFUNCTION("""COMPUTED_VALUE"""),"tlgrm.me/hkt_ir")</f>
        <v>tlgrm.me/hkt_ir</v>
      </c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>
      <c r="A530" s="5"/>
      <c r="B530" s="5" t="str">
        <f>IFERROR(__xludf.DUMMYFUNCTION("""COMPUTED_VALUE"""),"هیأت")</f>
        <v>هیأت</v>
      </c>
      <c r="C530" s="5" t="str">
        <f>IFERROR(__xludf.DUMMYFUNCTION("""COMPUTED_VALUE"""),"غریب سامرا")</f>
        <v>غریب سامرا</v>
      </c>
      <c r="D530" s="5" t="str">
        <f>IFERROR(__xludf.DUMMYFUNCTION("""COMPUTED_VALUE"""),"تهران")</f>
        <v>تهران</v>
      </c>
      <c r="E530" s="5" t="str">
        <f>IFERROR(__xludf.DUMMYFUNCTION("""COMPUTED_VALUE"""),"تهران")</f>
        <v>تهران</v>
      </c>
      <c r="F530" s="5"/>
      <c r="G530" s="5"/>
      <c r="H530" s="6" t="str">
        <f>IFERROR(__xludf.DUMMYFUNCTION("""COMPUTED_VALUE"""),"https://www.instagram.com/samarra.12/")</f>
        <v>https://www.instagram.com/samarra.12/</v>
      </c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>
      <c r="A531" s="5"/>
      <c r="B531" s="5" t="str">
        <f>IFERROR(__xludf.DUMMYFUNCTION("""COMPUTED_VALUE"""),"هیأت")</f>
        <v>هیأت</v>
      </c>
      <c r="C531" s="5" t="str">
        <f>IFERROR(__xludf.DUMMYFUNCTION("""COMPUTED_VALUE"""),"محبان الحسین ")</f>
        <v>محبان الحسین </v>
      </c>
      <c r="D531" s="5" t="str">
        <f>IFERROR(__xludf.DUMMYFUNCTION("""COMPUTED_VALUE"""),"تهران")</f>
        <v>تهران</v>
      </c>
      <c r="E531" s="5" t="str">
        <f>IFERROR(__xludf.DUMMYFUNCTION("""COMPUTED_VALUE"""),"تهران")</f>
        <v>تهران</v>
      </c>
      <c r="F531" s="5"/>
      <c r="G531" s="5"/>
      <c r="H531" s="6" t="str">
        <f>IFERROR(__xludf.DUMMYFUNCTION("""COMPUTED_VALUE"""),"https://www.instagram.com/moheban_elhasin_info/")</f>
        <v>https://www.instagram.com/moheban_elhasin_info/</v>
      </c>
      <c r="I531" s="5"/>
      <c r="J531" s="6" t="str">
        <f>IFERROR(__xludf.DUMMYFUNCTION("""COMPUTED_VALUE"""),"eitaa.com/mohebban_nontazeran")</f>
        <v>eitaa.com/mohebban_nontazeran</v>
      </c>
      <c r="K531" s="5"/>
      <c r="L531" s="5"/>
      <c r="M531" s="5"/>
      <c r="N531" s="5"/>
      <c r="O531" s="5"/>
      <c r="P531" s="5"/>
      <c r="Q531" s="5"/>
      <c r="R531" s="5"/>
      <c r="S531" s="5"/>
    </row>
    <row r="532">
      <c r="A532" s="5"/>
      <c r="B532" s="5" t="str">
        <f>IFERROR(__xludf.DUMMYFUNCTION("""COMPUTED_VALUE"""),"هیأت")</f>
        <v>هیأت</v>
      </c>
      <c r="C532" s="5" t="str">
        <f>IFERROR(__xludf.DUMMYFUNCTION("""COMPUTED_VALUE"""),"روضه خانگی ثاقب")</f>
        <v>روضه خانگی ثاقب</v>
      </c>
      <c r="D532" s="5" t="str">
        <f>IFERROR(__xludf.DUMMYFUNCTION("""COMPUTED_VALUE"""),"تهران")</f>
        <v>تهران</v>
      </c>
      <c r="E532" s="5" t="str">
        <f>IFERROR(__xludf.DUMMYFUNCTION("""COMPUTED_VALUE"""),"تهران")</f>
        <v>تهران</v>
      </c>
      <c r="F532" s="5"/>
      <c r="G532" s="5"/>
      <c r="H532" s="6" t="str">
        <f>IFERROR(__xludf.DUMMYFUNCTION("""COMPUTED_VALUE"""),"https://www.instagram.com/msagheb.ir/")</f>
        <v>https://www.instagram.com/msagheb.ir/</v>
      </c>
      <c r="I532" s="5"/>
      <c r="J532" s="5"/>
      <c r="K532" s="5"/>
      <c r="L532" s="6" t="str">
        <f>IFERROR(__xludf.DUMMYFUNCTION("""COMPUTED_VALUE"""),"https://msagheb.ir/")</f>
        <v>https://msagheb.ir/</v>
      </c>
      <c r="M532" s="5"/>
      <c r="N532" s="5"/>
      <c r="O532" s="5"/>
      <c r="P532" s="5"/>
      <c r="Q532" s="5"/>
      <c r="R532" s="5"/>
      <c r="S532" s="5"/>
    </row>
    <row r="533">
      <c r="A533" s="5"/>
      <c r="B533" s="5" t="str">
        <f>IFERROR(__xludf.DUMMYFUNCTION("""COMPUTED_VALUE"""),"هیأت")</f>
        <v>هیأت</v>
      </c>
      <c r="C533" s="5" t="str">
        <f>IFERROR(__xludf.DUMMYFUNCTION("""COMPUTED_VALUE"""),"منتظرین المهدی")</f>
        <v>منتظرین المهدی</v>
      </c>
      <c r="D533" s="5" t="str">
        <f>IFERROR(__xludf.DUMMYFUNCTION("""COMPUTED_VALUE"""),"تهران")</f>
        <v>تهران</v>
      </c>
      <c r="E533" s="5" t="str">
        <f>IFERROR(__xludf.DUMMYFUNCTION("""COMPUTED_VALUE"""),"تهران")</f>
        <v>تهران</v>
      </c>
      <c r="F533" s="5"/>
      <c r="G533" s="5"/>
      <c r="H533" s="6" t="str">
        <f>IFERROR(__xludf.DUMMYFUNCTION("""COMPUTED_VALUE"""),"https://www.instagram.com/heiatmontazerin1370/")</f>
        <v>https://www.instagram.com/heiatmontazerin1370/</v>
      </c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>
      <c r="A534" s="5"/>
      <c r="B534" s="5" t="str">
        <f>IFERROR(__xludf.DUMMYFUNCTION("""COMPUTED_VALUE"""),"هیأت")</f>
        <v>هیأت</v>
      </c>
      <c r="C534" s="5" t="str">
        <f>IFERROR(__xludf.DUMMYFUNCTION("""COMPUTED_VALUE"""),"اباعبدالله الحسین")</f>
        <v>اباعبدالله الحسین</v>
      </c>
      <c r="D534" s="5" t="str">
        <f>IFERROR(__xludf.DUMMYFUNCTION("""COMPUTED_VALUE"""),"تهران")</f>
        <v>تهران</v>
      </c>
      <c r="E534" s="5" t="str">
        <f>IFERROR(__xludf.DUMMYFUNCTION("""COMPUTED_VALUE"""),"تهران")</f>
        <v>تهران</v>
      </c>
      <c r="F534" s="5"/>
      <c r="G534" s="5"/>
      <c r="H534" s="6" t="str">
        <f>IFERROR(__xludf.DUMMYFUNCTION("""COMPUTED_VALUE"""),"https://www.instagram.com/ghatilolabaraat/")</f>
        <v>https://www.instagram.com/ghatilolabaraat/</v>
      </c>
      <c r="I534" s="6" t="str">
        <f>IFERROR(__xludf.DUMMYFUNCTION("""COMPUTED_VALUE"""),"t.me/ghatilolabaraat")</f>
        <v>t.me/ghatilolabaraat</v>
      </c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>
      <c r="A535" s="5"/>
      <c r="B535" s="5" t="str">
        <f>IFERROR(__xludf.DUMMYFUNCTION("""COMPUTED_VALUE"""),"هیأت")</f>
        <v>هیأت</v>
      </c>
      <c r="C535" s="5" t="str">
        <f>IFERROR(__xludf.DUMMYFUNCTION("""COMPUTED_VALUE"""),"محبین الزهرا")</f>
        <v>محبین الزهرا</v>
      </c>
      <c r="D535" s="5" t="str">
        <f>IFERROR(__xludf.DUMMYFUNCTION("""COMPUTED_VALUE"""),"تهران")</f>
        <v>تهران</v>
      </c>
      <c r="E535" s="5" t="str">
        <f>IFERROR(__xludf.DUMMYFUNCTION("""COMPUTED_VALUE"""),"تهران")</f>
        <v>تهران</v>
      </c>
      <c r="F535" s="5"/>
      <c r="G535" s="5"/>
      <c r="H535" s="6" t="str">
        <f>IFERROR(__xludf.DUMMYFUNCTION("""COMPUTED_VALUE"""),"https://www.instagram.com/masjed_mohebbin/")</f>
        <v>https://www.instagram.com/masjed_mohebbin/</v>
      </c>
      <c r="I535" s="6" t="str">
        <f>IFERROR(__xludf.DUMMYFUNCTION("""COMPUTED_VALUE"""),"t.me/heiatmohebbin213")</f>
        <v>t.me/heiatmohebbin213</v>
      </c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>
      <c r="A536" s="5"/>
      <c r="B536" s="5" t="str">
        <f>IFERROR(__xludf.DUMMYFUNCTION("""COMPUTED_VALUE"""),"هیأت")</f>
        <v>هیأت</v>
      </c>
      <c r="C536" s="5" t="str">
        <f>IFERROR(__xludf.DUMMYFUNCTION("""COMPUTED_VALUE"""),"نورالهدی")</f>
        <v>نورالهدی</v>
      </c>
      <c r="D536" s="5" t="str">
        <f>IFERROR(__xludf.DUMMYFUNCTION("""COMPUTED_VALUE"""),"تهران")</f>
        <v>تهران</v>
      </c>
      <c r="E536" s="5" t="str">
        <f>IFERROR(__xludf.DUMMYFUNCTION("""COMPUTED_VALUE"""),"تهران")</f>
        <v>تهران</v>
      </c>
      <c r="F536" s="5"/>
      <c r="G536" s="5"/>
      <c r="H536" s="6" t="str">
        <f>IFERROR(__xludf.DUMMYFUNCTION("""COMPUTED_VALUE"""),"https://www.instagram.com/heyatenorolhoda/")</f>
        <v>https://www.instagram.com/heyatenorolhoda/</v>
      </c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>
      <c r="A537" s="5"/>
      <c r="B537" s="5" t="str">
        <f>IFERROR(__xludf.DUMMYFUNCTION("""COMPUTED_VALUE"""),"هیأت")</f>
        <v>هیأت</v>
      </c>
      <c r="C537" s="5" t="str">
        <f>IFERROR(__xludf.DUMMYFUNCTION("""COMPUTED_VALUE"""),"سفیران زینب")</f>
        <v>سفیران زینب</v>
      </c>
      <c r="D537" s="5" t="str">
        <f>IFERROR(__xludf.DUMMYFUNCTION("""COMPUTED_VALUE"""),"تهران")</f>
        <v>تهران</v>
      </c>
      <c r="E537" s="5" t="str">
        <f>IFERROR(__xludf.DUMMYFUNCTION("""COMPUTED_VALUE"""),"تهران")</f>
        <v>تهران</v>
      </c>
      <c r="F537" s="5"/>
      <c r="G537" s="5"/>
      <c r="H537" s="6" t="str">
        <f>IFERROR(__xludf.DUMMYFUNCTION("""COMPUTED_VALUE"""),"https://www.instagram.com/safiranzynab313/")</f>
        <v>https://www.instagram.com/safiranzynab313/</v>
      </c>
      <c r="I537" s="5"/>
      <c r="J537" s="6" t="str">
        <f>IFERROR(__xludf.DUMMYFUNCTION("""COMPUTED_VALUE"""),"eitaa.com/safiranzynab")</f>
        <v>eitaa.com/safiranzynab</v>
      </c>
      <c r="K537" s="5"/>
      <c r="L537" s="5"/>
      <c r="M537" s="5"/>
      <c r="N537" s="5"/>
      <c r="O537" s="5"/>
      <c r="P537" s="5"/>
      <c r="Q537" s="5"/>
      <c r="R537" s="5"/>
      <c r="S537" s="5"/>
    </row>
    <row r="538">
      <c r="A538" s="5"/>
      <c r="B538" s="5" t="str">
        <f>IFERROR(__xludf.DUMMYFUNCTION("""COMPUTED_VALUE"""),"هیأت")</f>
        <v>هیأت</v>
      </c>
      <c r="C538" s="5" t="str">
        <f>IFERROR(__xludf.DUMMYFUNCTION("""COMPUTED_VALUE"""),"محبین الائمه (ع)")</f>
        <v>محبین الائمه (ع)</v>
      </c>
      <c r="D538" s="5" t="str">
        <f>IFERROR(__xludf.DUMMYFUNCTION("""COMPUTED_VALUE"""),"تهران")</f>
        <v>تهران</v>
      </c>
      <c r="E538" s="5" t="str">
        <f>IFERROR(__xludf.DUMMYFUNCTION("""COMPUTED_VALUE"""),"تهران")</f>
        <v>تهران</v>
      </c>
      <c r="F538" s="5"/>
      <c r="G538" s="5"/>
      <c r="H538" s="6" t="str">
        <f>IFERROR(__xludf.DUMMYFUNCTION("""COMPUTED_VALUE"""),"https://www.instagram.com/mohebbin.110/")</f>
        <v>https://www.instagram.com/mohebbin.110/</v>
      </c>
      <c r="I538" s="6" t="str">
        <f>IFERROR(__xludf.DUMMYFUNCTION("""COMPUTED_VALUE"""),"tlgrm.in/mohebbin110")</f>
        <v>tlgrm.in/mohebbin110</v>
      </c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>
      <c r="A539" s="5"/>
      <c r="B539" s="5" t="str">
        <f>IFERROR(__xludf.DUMMYFUNCTION("""COMPUTED_VALUE"""),"هیأت")</f>
        <v>هیأت</v>
      </c>
      <c r="C539" s="5" t="str">
        <f>IFERROR(__xludf.DUMMYFUNCTION("""COMPUTED_VALUE"""),"متوسلین به حضرت سید الشهدا")</f>
        <v>متوسلین به حضرت سید الشهدا</v>
      </c>
      <c r="D539" s="5" t="str">
        <f>IFERROR(__xludf.DUMMYFUNCTION("""COMPUTED_VALUE"""),"تهران")</f>
        <v>تهران</v>
      </c>
      <c r="E539" s="5" t="str">
        <f>IFERROR(__xludf.DUMMYFUNCTION("""COMPUTED_VALUE"""),"تهران")</f>
        <v>تهران</v>
      </c>
      <c r="F539" s="5"/>
      <c r="G539" s="5"/>
      <c r="H539" s="6" t="str">
        <f>IFERROR(__xludf.DUMMYFUNCTION("""COMPUTED_VALUE"""),"https://www.instagram.com/seydoshohada1353/")</f>
        <v>https://www.instagram.com/seydoshohada1353/</v>
      </c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>
      <c r="A540" s="5"/>
      <c r="B540" s="5" t="str">
        <f>IFERROR(__xludf.DUMMYFUNCTION("""COMPUTED_VALUE"""),"هیأت")</f>
        <v>هیأت</v>
      </c>
      <c r="C540" s="5" t="str">
        <f>IFERROR(__xludf.DUMMYFUNCTION("""COMPUTED_VALUE"""),"محبان الرضا (ع)")</f>
        <v>محبان الرضا (ع)</v>
      </c>
      <c r="D540" s="5" t="str">
        <f>IFERROR(__xludf.DUMMYFUNCTION("""COMPUTED_VALUE"""),"تهران")</f>
        <v>تهران</v>
      </c>
      <c r="E540" s="5" t="str">
        <f>IFERROR(__xludf.DUMMYFUNCTION("""COMPUTED_VALUE"""),"تهران")</f>
        <v>تهران</v>
      </c>
      <c r="F540" s="5"/>
      <c r="G540" s="5"/>
      <c r="H540" s="6" t="str">
        <f>IFERROR(__xludf.DUMMYFUNCTION("""COMPUTED_VALUE"""),"https://www.instagram.com/booria_info/")</f>
        <v>https://www.instagram.com/booria_info/</v>
      </c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>
      <c r="A541" s="5"/>
      <c r="B541" s="5" t="str">
        <f>IFERROR(__xludf.DUMMYFUNCTION("""COMPUTED_VALUE"""),"هیأت")</f>
        <v>هیأت</v>
      </c>
      <c r="C541" s="5" t="str">
        <f>IFERROR(__xludf.DUMMYFUNCTION("""COMPUTED_VALUE"""),"پیروان حضرت سیدالشهدا (ع)")</f>
        <v>پیروان حضرت سیدالشهدا (ع)</v>
      </c>
      <c r="D541" s="5" t="str">
        <f>IFERROR(__xludf.DUMMYFUNCTION("""COMPUTED_VALUE"""),"تهران")</f>
        <v>تهران</v>
      </c>
      <c r="E541" s="5" t="str">
        <f>IFERROR(__xludf.DUMMYFUNCTION("""COMPUTED_VALUE"""),"تهران")</f>
        <v>تهران</v>
      </c>
      <c r="F541" s="5"/>
      <c r="G541" s="5"/>
      <c r="H541" s="6" t="str">
        <f>IFERROR(__xludf.DUMMYFUNCTION("""COMPUTED_VALUE"""),"https://www.instagram.com/heyat_phs/")</f>
        <v>https://www.instagram.com/heyat_phs/</v>
      </c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>
      <c r="A542" s="5"/>
      <c r="B542" s="5" t="str">
        <f>IFERROR(__xludf.DUMMYFUNCTION("""COMPUTED_VALUE"""),"هیأت")</f>
        <v>هیأت</v>
      </c>
      <c r="C542" s="5" t="str">
        <f>IFERROR(__xludf.DUMMYFUNCTION("""COMPUTED_VALUE"""),"حضرت ابوالفضل العباس (ع)")</f>
        <v>حضرت ابوالفضل العباس (ع)</v>
      </c>
      <c r="D542" s="5" t="str">
        <f>IFERROR(__xludf.DUMMYFUNCTION("""COMPUTED_VALUE"""),"تهران")</f>
        <v>تهران</v>
      </c>
      <c r="E542" s="5" t="str">
        <f>IFERROR(__xludf.DUMMYFUNCTION("""COMPUTED_VALUE"""),"تهران")</f>
        <v>تهران</v>
      </c>
      <c r="F542" s="5"/>
      <c r="G542" s="5"/>
      <c r="H542" s="6" t="str">
        <f>IFERROR(__xludf.DUMMYFUNCTION("""COMPUTED_VALUE"""),"https://www.instagram.com/abalfazlieha_1398/")</f>
        <v>https://www.instagram.com/abalfazlieha_1398/</v>
      </c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>
      <c r="A543" s="5"/>
      <c r="B543" s="5" t="str">
        <f>IFERROR(__xludf.DUMMYFUNCTION("""COMPUTED_VALUE"""),"هیأت")</f>
        <v>هیأت</v>
      </c>
      <c r="C543" s="5" t="str">
        <f>IFERROR(__xludf.DUMMYFUNCTION("""COMPUTED_VALUE"""),"انصارالحسین")</f>
        <v>انصارالحسین</v>
      </c>
      <c r="D543" s="5" t="str">
        <f>IFERROR(__xludf.DUMMYFUNCTION("""COMPUTED_VALUE"""),"تهران")</f>
        <v>تهران</v>
      </c>
      <c r="E543" s="5" t="str">
        <f>IFERROR(__xludf.DUMMYFUNCTION("""COMPUTED_VALUE"""),"تهران")</f>
        <v>تهران</v>
      </c>
      <c r="F543" s="5"/>
      <c r="G543" s="5"/>
      <c r="H543" s="6" t="str">
        <f>IFERROR(__xludf.DUMMYFUNCTION("""COMPUTED_VALUE"""),"https://www.instagram.com/ansarolhossein13/")</f>
        <v>https://www.instagram.com/ansarolhossein13/</v>
      </c>
      <c r="I543" s="6" t="str">
        <f>IFERROR(__xludf.DUMMYFUNCTION("""COMPUTED_VALUE"""),"t.me/ansar_ol_Hossein")</f>
        <v>t.me/ansar_ol_Hossein</v>
      </c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>
      <c r="A544" s="5"/>
      <c r="B544" s="5" t="str">
        <f>IFERROR(__xludf.DUMMYFUNCTION("""COMPUTED_VALUE"""),"هیأت")</f>
        <v>هیأت</v>
      </c>
      <c r="C544" s="5" t="str">
        <f>IFERROR(__xludf.DUMMYFUNCTION("""COMPUTED_VALUE"""),"جوانان علی اکبر")</f>
        <v>جوانان علی اکبر</v>
      </c>
      <c r="D544" s="5" t="str">
        <f>IFERROR(__xludf.DUMMYFUNCTION("""COMPUTED_VALUE"""),"تهران")</f>
        <v>تهران</v>
      </c>
      <c r="E544" s="5" t="str">
        <f>IFERROR(__xludf.DUMMYFUNCTION("""COMPUTED_VALUE"""),"تهران")</f>
        <v>تهران</v>
      </c>
      <c r="F544" s="5"/>
      <c r="G544" s="5"/>
      <c r="H544" s="6" t="str">
        <f>IFERROR(__xludf.DUMMYFUNCTION("""COMPUTED_VALUE"""),"https://www.instagram.com/heyatjavanan.aliakbar/")</f>
        <v>https://www.instagram.com/heyatjavanan.aliakbar/</v>
      </c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>
      <c r="A545" s="5"/>
      <c r="B545" s="5" t="str">
        <f>IFERROR(__xludf.DUMMYFUNCTION("""COMPUTED_VALUE"""),"هیأت")</f>
        <v>هیأت</v>
      </c>
      <c r="C545" s="5" t="str">
        <f>IFERROR(__xludf.DUMMYFUNCTION("""COMPUTED_VALUE"""),"خادمین الحسین (ع)")</f>
        <v>خادمین الحسین (ع)</v>
      </c>
      <c r="D545" s="5" t="str">
        <f>IFERROR(__xludf.DUMMYFUNCTION("""COMPUTED_VALUE"""),"تهران")</f>
        <v>تهران</v>
      </c>
      <c r="E545" s="5" t="str">
        <f>IFERROR(__xludf.DUMMYFUNCTION("""COMPUTED_VALUE"""),"تهران")</f>
        <v>تهران</v>
      </c>
      <c r="F545" s="5"/>
      <c r="G545" s="5"/>
      <c r="H545" s="6" t="str">
        <f>IFERROR(__xludf.DUMMYFUNCTION("""COMPUTED_VALUE"""),"https://www.instagram.com/khademin88/")</f>
        <v>https://www.instagram.com/khademin88/</v>
      </c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>
      <c r="A546" s="5"/>
      <c r="B546" s="5" t="str">
        <f>IFERROR(__xludf.DUMMYFUNCTION("""COMPUTED_VALUE"""),"حسینیه")</f>
        <v>حسینیه</v>
      </c>
      <c r="C546" s="5" t="str">
        <f>IFERROR(__xludf.DUMMYFUNCTION("""COMPUTED_VALUE"""),"مکتب الزهرا (س)")</f>
        <v>مکتب الزهرا (س)</v>
      </c>
      <c r="D546" s="5" t="str">
        <f>IFERROR(__xludf.DUMMYFUNCTION("""COMPUTED_VALUE"""),"تهران")</f>
        <v>تهران</v>
      </c>
      <c r="E546" s="5" t="str">
        <f>IFERROR(__xludf.DUMMYFUNCTION("""COMPUTED_VALUE"""),"تهران")</f>
        <v>تهران</v>
      </c>
      <c r="F546" s="5"/>
      <c r="G546" s="5"/>
      <c r="H546" s="6" t="str">
        <f>IFERROR(__xludf.DUMMYFUNCTION("""COMPUTED_VALUE"""),"https://www.instagram.com/maktabolzahradoolab/")</f>
        <v>https://www.instagram.com/maktabolzahradoolab/</v>
      </c>
      <c r="I546" s="6" t="str">
        <f>IFERROR(__xludf.DUMMYFUNCTION("""COMPUTED_VALUE"""),"t.me/maktabolzahradoolab")</f>
        <v>t.me/maktabolzahradoolab</v>
      </c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>
      <c r="A547" s="5"/>
      <c r="B547" s="5" t="str">
        <f>IFERROR(__xludf.DUMMYFUNCTION("""COMPUTED_VALUE"""),"هیأت")</f>
        <v>هیأت</v>
      </c>
      <c r="C547" s="5" t="str">
        <f>IFERROR(__xludf.DUMMYFUNCTION("""COMPUTED_VALUE"""),"فاطمی - فرهنگ و رسانه")</f>
        <v>فاطمی - فرهنگ و رسانه</v>
      </c>
      <c r="D547" s="5" t="str">
        <f>IFERROR(__xludf.DUMMYFUNCTION("""COMPUTED_VALUE"""),"تهران")</f>
        <v>تهران</v>
      </c>
      <c r="E547" s="5" t="str">
        <f>IFERROR(__xludf.DUMMYFUNCTION("""COMPUTED_VALUE"""),"تهران")</f>
        <v>تهران</v>
      </c>
      <c r="F547" s="5"/>
      <c r="G547" s="5"/>
      <c r="H547" s="6" t="str">
        <f>IFERROR(__xludf.DUMMYFUNCTION("""COMPUTED_VALUE"""),"https://www.instagram.com/heiatefatemi/")</f>
        <v>https://www.instagram.com/heiatefatemi/</v>
      </c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>
      <c r="A548" s="5"/>
      <c r="B548" s="5" t="str">
        <f>IFERROR(__xludf.DUMMYFUNCTION("""COMPUTED_VALUE"""),"هیأت")</f>
        <v>هیأت</v>
      </c>
      <c r="C548" s="5" t="str">
        <f>IFERROR(__xludf.DUMMYFUNCTION("""COMPUTED_VALUE"""),"معظم ابناءالزهرا(س)")</f>
        <v>معظم ابناءالزهرا(س)</v>
      </c>
      <c r="D548" s="5" t="str">
        <f>IFERROR(__xludf.DUMMYFUNCTION("""COMPUTED_VALUE"""),"تهران")</f>
        <v>تهران</v>
      </c>
      <c r="E548" s="5" t="str">
        <f>IFERROR(__xludf.DUMMYFUNCTION("""COMPUTED_VALUE"""),"تهران")</f>
        <v>تهران</v>
      </c>
      <c r="F548" s="5"/>
      <c r="G548" s="5"/>
      <c r="H548" s="5"/>
      <c r="I548" s="5"/>
      <c r="J548" s="6" t="str">
        <f>IFERROR(__xludf.DUMMYFUNCTION("""COMPUTED_VALUE"""),"https://eitaa.com/Sedighe_info")</f>
        <v>https://eitaa.com/Sedighe_info</v>
      </c>
      <c r="K548" s="5"/>
      <c r="L548" s="5"/>
      <c r="M548" s="5"/>
      <c r="N548" s="5"/>
      <c r="O548" s="5"/>
      <c r="P548" s="5"/>
      <c r="Q548" s="5"/>
      <c r="R548" s="5"/>
      <c r="S548" s="5"/>
    </row>
    <row r="549">
      <c r="A549" s="5"/>
      <c r="B549" s="5" t="str">
        <f>IFERROR(__xludf.DUMMYFUNCTION("""COMPUTED_VALUE"""),"هیأت")</f>
        <v>هیأت</v>
      </c>
      <c r="C549" s="5" t="str">
        <f>IFERROR(__xludf.DUMMYFUNCTION("""COMPUTED_VALUE"""),"محسن الزهرا")</f>
        <v>محسن الزهرا</v>
      </c>
      <c r="D549" s="5" t="str">
        <f>IFERROR(__xludf.DUMMYFUNCTION("""COMPUTED_VALUE"""),"تهران")</f>
        <v>تهران</v>
      </c>
      <c r="E549" s="5" t="str">
        <f>IFERROR(__xludf.DUMMYFUNCTION("""COMPUTED_VALUE"""),"تهران")</f>
        <v>تهران</v>
      </c>
      <c r="F549" s="5"/>
      <c r="G549" s="5"/>
      <c r="H549" s="6" t="str">
        <f>IFERROR(__xludf.DUMMYFUNCTION("""COMPUTED_VALUE"""),"https://www.instagram.com/heiat_mohsenozahra/")</f>
        <v>https://www.instagram.com/heiat_mohsenozahra/</v>
      </c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>
      <c r="A550" s="5"/>
      <c r="B550" s="5" t="str">
        <f>IFERROR(__xludf.DUMMYFUNCTION("""COMPUTED_VALUE"""),"هیأت")</f>
        <v>هیأت</v>
      </c>
      <c r="C550" s="5" t="str">
        <f>IFERROR(__xludf.DUMMYFUNCTION("""COMPUTED_VALUE"""),"متوسلین به چهارده معصوم (ع)")</f>
        <v>متوسلین به چهارده معصوم (ع)</v>
      </c>
      <c r="D550" s="5" t="str">
        <f>IFERROR(__xludf.DUMMYFUNCTION("""COMPUTED_VALUE"""),"تهران")</f>
        <v>تهران</v>
      </c>
      <c r="E550" s="5" t="str">
        <f>IFERROR(__xludf.DUMMYFUNCTION("""COMPUTED_VALUE"""),"تهران")</f>
        <v>تهران</v>
      </c>
      <c r="F550" s="5"/>
      <c r="G550" s="5"/>
      <c r="H550" s="6" t="str">
        <f>IFERROR(__xludf.DUMMYFUNCTION("""COMPUTED_VALUE"""),"https://www.instagram.com/hm14masum/")</f>
        <v>https://www.instagram.com/hm14masum/</v>
      </c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>
      <c r="A551" s="5"/>
      <c r="B551" s="5" t="str">
        <f>IFERROR(__xludf.DUMMYFUNCTION("""COMPUTED_VALUE"""),"هیأت")</f>
        <v>هیأت</v>
      </c>
      <c r="C551" s="5" t="str">
        <f>IFERROR(__xludf.DUMMYFUNCTION("""COMPUTED_VALUE"""),"رزمندگان اسلام مرکز")</f>
        <v>رزمندگان اسلام مرکز</v>
      </c>
      <c r="D551" s="5" t="str">
        <f>IFERROR(__xludf.DUMMYFUNCTION("""COMPUTED_VALUE"""),"تهران")</f>
        <v>تهران</v>
      </c>
      <c r="E551" s="5" t="str">
        <f>IFERROR(__xludf.DUMMYFUNCTION("""COMPUTED_VALUE"""),"تهران")</f>
        <v>تهران</v>
      </c>
      <c r="F551" s="5"/>
      <c r="G551" s="5"/>
      <c r="H551" s="6" t="str">
        <f>IFERROR(__xludf.DUMMYFUNCTION("""COMPUTED_VALUE"""),"https://www.instagram.com/heyat_razmandegan_eslam/")</f>
        <v>https://www.instagram.com/heyat_razmandegan_eslam/</v>
      </c>
      <c r="I551" s="6" t="str">
        <f>IFERROR(__xludf.DUMMYFUNCTION("""COMPUTED_VALUE"""),"t.me/eheyat_marasemat")</f>
        <v>t.me/eheyat_marasemat</v>
      </c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>
      <c r="A552" s="5"/>
      <c r="B552" s="5" t="str">
        <f>IFERROR(__xludf.DUMMYFUNCTION("""COMPUTED_VALUE"""),"هیأت")</f>
        <v>هیأت</v>
      </c>
      <c r="C552" s="5" t="str">
        <f>IFERROR(__xludf.DUMMYFUNCTION("""COMPUTED_VALUE"""),"محبان یوسف زهرا(س)
")</f>
        <v>محبان یوسف زهرا(س)
</v>
      </c>
      <c r="D552" s="5" t="str">
        <f>IFERROR(__xludf.DUMMYFUNCTION("""COMPUTED_VALUE"""),"تهران")</f>
        <v>تهران</v>
      </c>
      <c r="E552" s="5" t="str">
        <f>IFERROR(__xludf.DUMMYFUNCTION("""COMPUTED_VALUE"""),"تهران")</f>
        <v>تهران</v>
      </c>
      <c r="F552" s="5"/>
      <c r="G552" s="5"/>
      <c r="H552" s="6" t="str">
        <f>IFERROR(__xludf.DUMMYFUNCTION("""COMPUTED_VALUE"""),"https://www.instagram.com/moheban.yousefzahra/")</f>
        <v>https://www.instagram.com/moheban.yousefzahra/</v>
      </c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>
      <c r="A553" s="5"/>
      <c r="B553" s="5" t="str">
        <f>IFERROR(__xludf.DUMMYFUNCTION("""COMPUTED_VALUE"""),"هیأت")</f>
        <v>هیأت</v>
      </c>
      <c r="C553" s="5" t="str">
        <f>IFERROR(__xludf.DUMMYFUNCTION("""COMPUTED_VALUE"""),"محبان امام حسن مجتبی ع")</f>
        <v>محبان امام حسن مجتبی ع</v>
      </c>
      <c r="D553" s="5" t="str">
        <f>IFERROR(__xludf.DUMMYFUNCTION("""COMPUTED_VALUE"""),"تهران")</f>
        <v>تهران</v>
      </c>
      <c r="E553" s="5" t="str">
        <f>IFERROR(__xludf.DUMMYFUNCTION("""COMPUTED_VALUE"""),"تهران")</f>
        <v>تهران</v>
      </c>
      <c r="F553" s="5"/>
      <c r="G553" s="5"/>
      <c r="H553" s="6" t="str">
        <f>IFERROR(__xludf.DUMMYFUNCTION("""COMPUTED_VALUE"""),"https://www.instagram.com/moheban_emam_mojta/")</f>
        <v>https://www.instagram.com/moheban_emam_mojta/</v>
      </c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>
      <c r="A554" s="5"/>
      <c r="B554" s="5" t="str">
        <f>IFERROR(__xludf.DUMMYFUNCTION("""COMPUTED_VALUE"""),"هیأت")</f>
        <v>هیأت</v>
      </c>
      <c r="C554" s="5" t="str">
        <f>IFERROR(__xludf.DUMMYFUNCTION("""COMPUTED_VALUE"""),"بیت الزهرا")</f>
        <v>بیت الزهرا</v>
      </c>
      <c r="D554" s="5" t="str">
        <f>IFERROR(__xludf.DUMMYFUNCTION("""COMPUTED_VALUE"""),"تهران")</f>
        <v>تهران</v>
      </c>
      <c r="E554" s="5" t="str">
        <f>IFERROR(__xludf.DUMMYFUNCTION("""COMPUTED_VALUE"""),"تهران")</f>
        <v>تهران</v>
      </c>
      <c r="F554" s="5"/>
      <c r="G554" s="5"/>
      <c r="H554" s="6" t="str">
        <f>IFERROR(__xludf.DUMMYFUNCTION("""COMPUTED_VALUE"""),"https://www.instagram.com/jahadibeytolzahra/")</f>
        <v>https://www.instagram.com/jahadibeytolzahra/</v>
      </c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>
      <c r="A555" s="5"/>
      <c r="B555" s="5" t="str">
        <f>IFERROR(__xludf.DUMMYFUNCTION("""COMPUTED_VALUE"""),"هیأت")</f>
        <v>هیأت</v>
      </c>
      <c r="C555" s="5" t="str">
        <f>IFERROR(__xludf.DUMMYFUNCTION("""COMPUTED_VALUE"""),"عاشقان امام حسین")</f>
        <v>عاشقان امام حسین</v>
      </c>
      <c r="D555" s="5" t="str">
        <f>IFERROR(__xludf.DUMMYFUNCTION("""COMPUTED_VALUE"""),"تهران")</f>
        <v>تهران</v>
      </c>
      <c r="E555" s="5" t="str">
        <f>IFERROR(__xludf.DUMMYFUNCTION("""COMPUTED_VALUE"""),"تهران")</f>
        <v>تهران</v>
      </c>
      <c r="F555" s="5"/>
      <c r="G555" s="5"/>
      <c r="H555" s="6" t="str">
        <f>IFERROR(__xludf.DUMMYFUNCTION("""COMPUTED_VALUE"""),"https://www.instagram.com/asheghan.hossein133/")</f>
        <v>https://www.instagram.com/asheghan.hossein133/</v>
      </c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>
      <c r="A556" s="5"/>
      <c r="B556" s="5" t="str">
        <f>IFERROR(__xludf.DUMMYFUNCTION("""COMPUTED_VALUE"""),"هیأت")</f>
        <v>هیأت</v>
      </c>
      <c r="C556" s="5" t="str">
        <f>IFERROR(__xludf.DUMMYFUNCTION("""COMPUTED_VALUE"""),"انصار المهدی عج")</f>
        <v>انصار المهدی عج</v>
      </c>
      <c r="D556" s="5" t="str">
        <f>IFERROR(__xludf.DUMMYFUNCTION("""COMPUTED_VALUE"""),"تهران")</f>
        <v>تهران</v>
      </c>
      <c r="E556" s="5" t="str">
        <f>IFERROR(__xludf.DUMMYFUNCTION("""COMPUTED_VALUE"""),"تهران")</f>
        <v>تهران</v>
      </c>
      <c r="F556" s="5"/>
      <c r="G556" s="5"/>
      <c r="H556" s="6" t="str">
        <f>IFERROR(__xludf.DUMMYFUNCTION("""COMPUTED_VALUE"""),"https://www.instagram.com/ansar_83/")</f>
        <v>https://www.instagram.com/ansar_83/</v>
      </c>
      <c r="I556" s="6" t="str">
        <f>IFERROR(__xludf.DUMMYFUNCTION("""COMPUTED_VALUE"""),"tlgrm.me/ansar_83")</f>
        <v>tlgrm.me/ansar_83</v>
      </c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>
      <c r="A557" s="5"/>
      <c r="B557" s="5"/>
      <c r="C557" s="5" t="str">
        <f>IFERROR(__xludf.DUMMYFUNCTION("""COMPUTED_VALUE"""),"تشکل اسلامی رضوان")</f>
        <v>تشکل اسلامی رضوان</v>
      </c>
      <c r="D557" s="5" t="str">
        <f>IFERROR(__xludf.DUMMYFUNCTION("""COMPUTED_VALUE"""),"تهران")</f>
        <v>تهران</v>
      </c>
      <c r="E557" s="5" t="str">
        <f>IFERROR(__xludf.DUMMYFUNCTION("""COMPUTED_VALUE"""),"تهران")</f>
        <v>تهران</v>
      </c>
      <c r="F557" s="5"/>
      <c r="G557" s="5"/>
      <c r="H557" s="6" t="str">
        <f>IFERROR(__xludf.DUMMYFUNCTION("""COMPUTED_VALUE"""),"https://www.instagram.com/rezvanorg_ir/")</f>
        <v>https://www.instagram.com/rezvanorg_ir/</v>
      </c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>
      <c r="A558" s="5"/>
      <c r="B558" s="5"/>
      <c r="C558" s="5" t="str">
        <f>IFERROR(__xludf.DUMMYFUNCTION("""COMPUTED_VALUE"""),"حنیف")</f>
        <v>حنیف</v>
      </c>
      <c r="D558" s="5" t="str">
        <f>IFERROR(__xludf.DUMMYFUNCTION("""COMPUTED_VALUE"""),"تهران")</f>
        <v>تهران</v>
      </c>
      <c r="E558" s="5" t="str">
        <f>IFERROR(__xludf.DUMMYFUNCTION("""COMPUTED_VALUE"""),"تهران")</f>
        <v>تهران</v>
      </c>
      <c r="F558" s="5"/>
      <c r="G558" s="5"/>
      <c r="H558" s="6" t="str">
        <f>IFERROR(__xludf.DUMMYFUNCTION("""COMPUTED_VALUE"""),"https://www.instagram.com/hanif.sch.ir/")</f>
        <v>https://www.instagram.com/hanif.sch.ir/</v>
      </c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>
      <c r="A559" s="5"/>
      <c r="B559" s="5" t="str">
        <f>IFERROR(__xludf.DUMMYFUNCTION("""COMPUTED_VALUE"""),"هیأت")</f>
        <v>هیأت</v>
      </c>
      <c r="C559" s="5" t="str">
        <f>IFERROR(__xludf.DUMMYFUNCTION("""COMPUTED_VALUE"""),"روضه الرضا (ع)")</f>
        <v>روضه الرضا (ع)</v>
      </c>
      <c r="D559" s="5" t="str">
        <f>IFERROR(__xludf.DUMMYFUNCTION("""COMPUTED_VALUE"""),"تهران")</f>
        <v>تهران</v>
      </c>
      <c r="E559" s="5" t="str">
        <f>IFERROR(__xludf.DUMMYFUNCTION("""COMPUTED_VALUE"""),"تهران")</f>
        <v>تهران</v>
      </c>
      <c r="F559" s="5"/>
      <c r="G559" s="5"/>
      <c r="H559" s="5"/>
      <c r="I559" s="5"/>
      <c r="J559" s="6" t="str">
        <f>IFERROR(__xludf.DUMMYFUNCTION("""COMPUTED_VALUE"""),"https://eitaa.com/rroze_213")</f>
        <v>https://eitaa.com/rroze_213</v>
      </c>
      <c r="K559" s="5"/>
      <c r="L559" s="5"/>
      <c r="M559" s="5"/>
      <c r="N559" s="5"/>
      <c r="O559" s="5"/>
      <c r="P559" s="5"/>
      <c r="Q559" s="5"/>
      <c r="R559" s="5"/>
      <c r="S559" s="5"/>
    </row>
    <row r="560">
      <c r="A560" s="5"/>
      <c r="B560" s="5" t="str">
        <f>IFERROR(__xludf.DUMMYFUNCTION("""COMPUTED_VALUE"""),"هیأت")</f>
        <v>هیأت</v>
      </c>
      <c r="C560" s="5" t="str">
        <f>IFERROR(__xludf.DUMMYFUNCTION("""COMPUTED_VALUE"""),"سیده زینب")</f>
        <v>سیده زینب</v>
      </c>
      <c r="D560" s="5" t="str">
        <f>IFERROR(__xludf.DUMMYFUNCTION("""COMPUTED_VALUE"""),"تهران")</f>
        <v>تهران</v>
      </c>
      <c r="E560" s="5" t="str">
        <f>IFERROR(__xludf.DUMMYFUNCTION("""COMPUTED_VALUE"""),"تهران")</f>
        <v>تهران</v>
      </c>
      <c r="F560" s="5"/>
      <c r="G560" s="5"/>
      <c r="H560" s="6" t="str">
        <f>IFERROR(__xludf.DUMMYFUNCTION("""COMPUTED_VALUE"""),"https://www.instagram.com/seyde_zeynab69/")</f>
        <v>https://www.instagram.com/seyde_zeynab69/</v>
      </c>
      <c r="I560" s="6" t="str">
        <f>IFERROR(__xludf.DUMMYFUNCTION("""COMPUTED_VALUE"""),"t.me/seyde_zeynab69")</f>
        <v>t.me/seyde_zeynab69</v>
      </c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>
      <c r="A561" s="5"/>
      <c r="B561" s="5" t="str">
        <f>IFERROR(__xludf.DUMMYFUNCTION("""COMPUTED_VALUE"""),"هیأت")</f>
        <v>هیأت</v>
      </c>
      <c r="C561" s="5" t="str">
        <f>IFERROR(__xludf.DUMMYFUNCTION("""COMPUTED_VALUE"""),"امام حسن مجتبی")</f>
        <v>امام حسن مجتبی</v>
      </c>
      <c r="D561" s="5" t="str">
        <f>IFERROR(__xludf.DUMMYFUNCTION("""COMPUTED_VALUE"""),"تهران")</f>
        <v>تهران</v>
      </c>
      <c r="E561" s="5" t="str">
        <f>IFERROR(__xludf.DUMMYFUNCTION("""COMPUTED_VALUE"""),"تهران")</f>
        <v>تهران</v>
      </c>
      <c r="F561" s="5"/>
      <c r="G561" s="5"/>
      <c r="H561" s="6" t="str">
        <f>IFERROR(__xludf.DUMMYFUNCTION("""COMPUTED_VALUE"""),"https://www.instagram.com/emam_hasan18/")</f>
        <v>https://www.instagram.com/emam_hasan18/</v>
      </c>
      <c r="I561" s="6" t="str">
        <f>IFERROR(__xludf.DUMMYFUNCTION("""COMPUTED_VALUE"""),"t.me/heiat_emam_hasan")</f>
        <v>t.me/heiat_emam_hasan</v>
      </c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>
      <c r="A562" s="5"/>
      <c r="B562" s="5" t="str">
        <f>IFERROR(__xludf.DUMMYFUNCTION("""COMPUTED_VALUE"""),"هیأت")</f>
        <v>هیأت</v>
      </c>
      <c r="C562" s="5" t="str">
        <f>IFERROR(__xludf.DUMMYFUNCTION("""COMPUTED_VALUE"""),"دلداگان رقیه (س)")</f>
        <v>دلداگان رقیه (س)</v>
      </c>
      <c r="D562" s="5" t="str">
        <f>IFERROR(__xludf.DUMMYFUNCTION("""COMPUTED_VALUE"""),"تهران")</f>
        <v>تهران</v>
      </c>
      <c r="E562" s="5" t="str">
        <f>IFERROR(__xludf.DUMMYFUNCTION("""COMPUTED_VALUE"""),"تهران")</f>
        <v>تهران</v>
      </c>
      <c r="F562" s="5"/>
      <c r="G562" s="5"/>
      <c r="H562" s="6" t="str">
        <f>IFERROR(__xludf.DUMMYFUNCTION("""COMPUTED_VALUE"""),"https://www.instagram.com/deldadeganroghaye/")</f>
        <v>https://www.instagram.com/deldadeganroghaye/</v>
      </c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>
      <c r="A563" s="5"/>
      <c r="B563" s="5" t="str">
        <f>IFERROR(__xludf.DUMMYFUNCTION("""COMPUTED_VALUE"""),"هیأت")</f>
        <v>هیأت</v>
      </c>
      <c r="C563" s="5" t="str">
        <f>IFERROR(__xludf.DUMMYFUNCTION("""COMPUTED_VALUE"""),"محبان امیرالمومنین ( ع )
")</f>
        <v>محبان امیرالمومنین ( ع )
</v>
      </c>
      <c r="D563" s="5" t="str">
        <f>IFERROR(__xludf.DUMMYFUNCTION("""COMPUTED_VALUE"""),"تهران")</f>
        <v>تهران</v>
      </c>
      <c r="E563" s="5" t="str">
        <f>IFERROR(__xludf.DUMMYFUNCTION("""COMPUTED_VALUE"""),"تهران")</f>
        <v>تهران</v>
      </c>
      <c r="F563" s="5"/>
      <c r="G563" s="5"/>
      <c r="H563" s="6" t="str">
        <f>IFERROR(__xludf.DUMMYFUNCTION("""COMPUTED_VALUE"""),"https://www.instagram.com/moheban_ali/")</f>
        <v>https://www.instagram.com/moheban_ali/</v>
      </c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>
      <c r="A564" s="5"/>
      <c r="B564" s="5" t="str">
        <f>IFERROR(__xludf.DUMMYFUNCTION("""COMPUTED_VALUE"""),"هیأت")</f>
        <v>هیأت</v>
      </c>
      <c r="C564" s="5" t="str">
        <f>IFERROR(__xludf.DUMMYFUNCTION("""COMPUTED_VALUE"""),"محبان روح الله ")</f>
        <v>محبان روح الله </v>
      </c>
      <c r="D564" s="5" t="str">
        <f>IFERROR(__xludf.DUMMYFUNCTION("""COMPUTED_VALUE"""),"تهران")</f>
        <v>تهران</v>
      </c>
      <c r="E564" s="5" t="str">
        <f>IFERROR(__xludf.DUMMYFUNCTION("""COMPUTED_VALUE"""),"تهران")</f>
        <v>تهران</v>
      </c>
      <c r="F564" s="5"/>
      <c r="G564" s="5"/>
      <c r="H564" s="6" t="str">
        <f>IFERROR(__xludf.DUMMYFUNCTION("""COMPUTED_VALUE"""),"https://www.instagram.com/mohebban_rouhollah/")</f>
        <v>https://www.instagram.com/mohebban_rouhollah/</v>
      </c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>
      <c r="A565" s="5"/>
      <c r="B565" s="5" t="str">
        <f>IFERROR(__xludf.DUMMYFUNCTION("""COMPUTED_VALUE"""),"هیأت")</f>
        <v>هیأت</v>
      </c>
      <c r="C565" s="5" t="str">
        <f>IFERROR(__xludf.DUMMYFUNCTION("""COMPUTED_VALUE"""),"محبان فاطمه الزهرا (س)")</f>
        <v>محبان فاطمه الزهرا (س)</v>
      </c>
      <c r="D565" s="5" t="str">
        <f>IFERROR(__xludf.DUMMYFUNCTION("""COMPUTED_VALUE"""),"تهران")</f>
        <v>تهران</v>
      </c>
      <c r="E565" s="5" t="str">
        <f>IFERROR(__xludf.DUMMYFUNCTION("""COMPUTED_VALUE"""),"تهران")</f>
        <v>تهران</v>
      </c>
      <c r="F565" s="5"/>
      <c r="G565" s="5"/>
      <c r="H565" s="6" t="str">
        <f>IFERROR(__xludf.DUMMYFUNCTION("""COMPUTED_VALUE"""),"https://www.instagram.com/mhbfatematozahra/")</f>
        <v>https://www.instagram.com/mhbfatematozahra/</v>
      </c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>
      <c r="A566" s="5"/>
      <c r="B566" s="5" t="str">
        <f>IFERROR(__xludf.DUMMYFUNCTION("""COMPUTED_VALUE"""),"هیأت")</f>
        <v>هیأت</v>
      </c>
      <c r="C566" s="5" t="str">
        <f>IFERROR(__xludf.DUMMYFUNCTION("""COMPUTED_VALUE"""),"حضرت اباالفضل العباس(ع)")</f>
        <v>حضرت اباالفضل العباس(ع)</v>
      </c>
      <c r="D566" s="5" t="str">
        <f>IFERROR(__xludf.DUMMYFUNCTION("""COMPUTED_VALUE"""),"تهران")</f>
        <v>تهران</v>
      </c>
      <c r="E566" s="5" t="str">
        <f>IFERROR(__xludf.DUMMYFUNCTION("""COMPUTED_VALUE"""),"تهران")</f>
        <v>تهران</v>
      </c>
      <c r="F566" s="5"/>
      <c r="G566" s="5"/>
      <c r="H566" s="6" t="str">
        <f>IFERROR(__xludf.DUMMYFUNCTION("""COMPUTED_VALUE"""),"https://www.instagram.com/beyt.olabas")</f>
        <v>https://www.instagram.com/beyt.olabas</v>
      </c>
      <c r="I566" s="5"/>
      <c r="J566" s="6" t="str">
        <f>IFERROR(__xludf.DUMMYFUNCTION("""COMPUTED_VALUE"""),"eitaa.com/beyt_olabas")</f>
        <v>eitaa.com/beyt_olabas</v>
      </c>
      <c r="K566" s="5"/>
      <c r="L566" s="5"/>
      <c r="M566" s="5"/>
      <c r="N566" s="5"/>
      <c r="O566" s="5"/>
      <c r="P566" s="5"/>
      <c r="Q566" s="5"/>
      <c r="R566" s="5"/>
      <c r="S566" s="5"/>
    </row>
    <row r="567">
      <c r="A567" s="5"/>
      <c r="B567" s="5" t="str">
        <f>IFERROR(__xludf.DUMMYFUNCTION("""COMPUTED_VALUE"""),"هیأت")</f>
        <v>هیأت</v>
      </c>
      <c r="C567" s="5" t="str">
        <f>IFERROR(__xludf.DUMMYFUNCTION("""COMPUTED_VALUE"""),"محبان ابافضل العباس (ع۹")</f>
        <v>محبان ابافضل العباس (ع۹</v>
      </c>
      <c r="D567" s="5" t="str">
        <f>IFERROR(__xludf.DUMMYFUNCTION("""COMPUTED_VALUE"""),"تهران")</f>
        <v>تهران</v>
      </c>
      <c r="E567" s="5" t="str">
        <f>IFERROR(__xludf.DUMMYFUNCTION("""COMPUTED_VALUE"""),"تهران")</f>
        <v>تهران</v>
      </c>
      <c r="F567" s="5"/>
      <c r="G567" s="5"/>
      <c r="H567" s="6" t="str">
        <f>IFERROR(__xludf.DUMMYFUNCTION("""COMPUTED_VALUE"""),"https://www.instagram.com/mohebbanolabbas135/")</f>
        <v>https://www.instagram.com/mohebbanolabbas135/</v>
      </c>
      <c r="I567" s="6" t="str">
        <f>IFERROR(__xludf.DUMMYFUNCTION("""COMPUTED_VALUE"""),"t.me/mohebbanolabbas135")</f>
        <v>t.me/mohebbanolabbas135</v>
      </c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>
      <c r="A568" s="5"/>
      <c r="B568" s="5" t="str">
        <f>IFERROR(__xludf.DUMMYFUNCTION("""COMPUTED_VALUE"""),"حسینیه")</f>
        <v>حسینیه</v>
      </c>
      <c r="C568" s="5" t="str">
        <f>IFERROR(__xludf.DUMMYFUNCTION("""COMPUTED_VALUE"""),"قائم آل محمد")</f>
        <v>قائم آل محمد</v>
      </c>
      <c r="D568" s="5" t="str">
        <f>IFERROR(__xludf.DUMMYFUNCTION("""COMPUTED_VALUE"""),"تهران")</f>
        <v>تهران</v>
      </c>
      <c r="E568" s="5" t="str">
        <f>IFERROR(__xludf.DUMMYFUNCTION("""COMPUTED_VALUE"""),"تهران")</f>
        <v>تهران</v>
      </c>
      <c r="F568" s="5"/>
      <c r="G568" s="5"/>
      <c r="H568" s="6" t="str">
        <f>IFERROR(__xludf.DUMMYFUNCTION("""COMPUTED_VALUE"""),"https://www.instagram.com/ghaem1399/")</f>
        <v>https://www.instagram.com/ghaem1399/</v>
      </c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>
      <c r="A569" s="5"/>
      <c r="B569" s="5" t="str">
        <f>IFERROR(__xludf.DUMMYFUNCTION("""COMPUTED_VALUE"""),"هیأت")</f>
        <v>هیأت</v>
      </c>
      <c r="C569" s="5" t="str">
        <f>IFERROR(__xludf.DUMMYFUNCTION("""COMPUTED_VALUE"""),"محبان حضرت رقیه (س)")</f>
        <v>محبان حضرت رقیه (س)</v>
      </c>
      <c r="D569" s="5" t="str">
        <f>IFERROR(__xludf.DUMMYFUNCTION("""COMPUTED_VALUE"""),"تهران")</f>
        <v>تهران</v>
      </c>
      <c r="E569" s="5" t="str">
        <f>IFERROR(__xludf.DUMMYFUNCTION("""COMPUTED_VALUE"""),"تهران")</f>
        <v>تهران</v>
      </c>
      <c r="F569" s="5"/>
      <c r="G569" s="5"/>
      <c r="H569" s="6" t="str">
        <f>IFERROR(__xludf.DUMMYFUNCTION("""COMPUTED_VALUE"""),"https://www.instagram.com/heat.mohebbanrogaey1387/")</f>
        <v>https://www.instagram.com/heat.mohebbanrogaey1387/</v>
      </c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>
      <c r="A570" s="5"/>
      <c r="B570" s="5" t="str">
        <f>IFERROR(__xludf.DUMMYFUNCTION("""COMPUTED_VALUE"""),"هیأت")</f>
        <v>هیأت</v>
      </c>
      <c r="C570" s="5" t="str">
        <f>IFERROR(__xludf.DUMMYFUNCTION("""COMPUTED_VALUE"""),"منتظران موعود")</f>
        <v>منتظران موعود</v>
      </c>
      <c r="D570" s="5" t="str">
        <f>IFERROR(__xludf.DUMMYFUNCTION("""COMPUTED_VALUE"""),"تهران")</f>
        <v>تهران</v>
      </c>
      <c r="E570" s="5" t="str">
        <f>IFERROR(__xludf.DUMMYFUNCTION("""COMPUTED_VALUE"""),"تهران")</f>
        <v>تهران</v>
      </c>
      <c r="F570" s="5"/>
      <c r="G570" s="5"/>
      <c r="H570" s="6" t="str">
        <f>IFERROR(__xludf.DUMMYFUNCTION("""COMPUTED_VALUE"""),"https://www.instagram.com/montazeranmedia/")</f>
        <v>https://www.instagram.com/montazeranmedia/</v>
      </c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>
      <c r="A571" s="5"/>
      <c r="B571" s="5" t="str">
        <f>IFERROR(__xludf.DUMMYFUNCTION("""COMPUTED_VALUE"""),"هیأت")</f>
        <v>هیأت</v>
      </c>
      <c r="C571" s="5" t="str">
        <f>IFERROR(__xludf.DUMMYFUNCTION("""COMPUTED_VALUE"""),"حسینیه سیدالشهدا (ع)")</f>
        <v>حسینیه سیدالشهدا (ع)</v>
      </c>
      <c r="D571" s="5" t="str">
        <f>IFERROR(__xludf.DUMMYFUNCTION("""COMPUTED_VALUE"""),"تهران")</f>
        <v>تهران</v>
      </c>
      <c r="E571" s="5" t="str">
        <f>IFERROR(__xludf.DUMMYFUNCTION("""COMPUTED_VALUE"""),"تهران")</f>
        <v>تهران</v>
      </c>
      <c r="F571" s="5"/>
      <c r="G571" s="5"/>
      <c r="H571" s="6" t="str">
        <f>IFERROR(__xludf.DUMMYFUNCTION("""COMPUTED_VALUE"""),"https://www.instagram.com/hoseinieh_hazrat_seyedoshohada/")</f>
        <v>https://www.instagram.com/hoseinieh_hazrat_seyedoshohada/</v>
      </c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>
      <c r="A572" s="5"/>
      <c r="B572" s="5" t="str">
        <f>IFERROR(__xludf.DUMMYFUNCTION("""COMPUTED_VALUE"""),"هیأت")</f>
        <v>هیأت</v>
      </c>
      <c r="C572" s="5" t="str">
        <f>IFERROR(__xludf.DUMMYFUNCTION("""COMPUTED_VALUE"""),"جوانان قمر بنی هاشم")</f>
        <v>جوانان قمر بنی هاشم</v>
      </c>
      <c r="D572" s="5" t="str">
        <f>IFERROR(__xludf.DUMMYFUNCTION("""COMPUTED_VALUE"""),"تهران")</f>
        <v>تهران</v>
      </c>
      <c r="E572" s="5" t="str">
        <f>IFERROR(__xludf.DUMMYFUNCTION("""COMPUTED_VALUE"""),"تهران")</f>
        <v>تهران</v>
      </c>
      <c r="F572" s="5"/>
      <c r="G572" s="5"/>
      <c r="H572" s="6" t="str">
        <f>IFERROR(__xludf.DUMMYFUNCTION("""COMPUTED_VALUE"""),"https://www.instagram.com/ashoraeiha/")</f>
        <v>https://www.instagram.com/ashoraeiha/</v>
      </c>
      <c r="I572" s="5"/>
      <c r="J572" s="6" t="str">
        <f>IFERROR(__xludf.DUMMYFUNCTION("""COMPUTED_VALUE"""),"eitaa.com/ashoraeiha")</f>
        <v>eitaa.com/ashoraeiha</v>
      </c>
      <c r="K572" s="5"/>
      <c r="L572" s="5"/>
      <c r="M572" s="5"/>
      <c r="N572" s="5"/>
      <c r="O572" s="5"/>
      <c r="P572" s="5"/>
      <c r="Q572" s="5"/>
      <c r="R572" s="5"/>
      <c r="S572" s="5"/>
    </row>
    <row r="573">
      <c r="A573" s="5"/>
      <c r="B573" s="5" t="str">
        <f>IFERROR(__xludf.DUMMYFUNCTION("""COMPUTED_VALUE"""),"هیأت")</f>
        <v>هیأت</v>
      </c>
      <c r="C573" s="5" t="str">
        <f>IFERROR(__xludf.DUMMYFUNCTION("""COMPUTED_VALUE"""),"روضه الله")</f>
        <v>روضه الله</v>
      </c>
      <c r="D573" s="5" t="str">
        <f>IFERROR(__xludf.DUMMYFUNCTION("""COMPUTED_VALUE"""),"تهران")</f>
        <v>تهران</v>
      </c>
      <c r="E573" s="5" t="str">
        <f>IFERROR(__xludf.DUMMYFUNCTION("""COMPUTED_VALUE"""),"تهران")</f>
        <v>تهران</v>
      </c>
      <c r="F573" s="5"/>
      <c r="G573" s="5"/>
      <c r="H573" s="6" t="str">
        <f>IFERROR(__xludf.DUMMYFUNCTION("""COMPUTED_VALUE"""),"https://www.instagram.com/rozatollah118/")</f>
        <v>https://www.instagram.com/rozatollah118/</v>
      </c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>
      <c r="A574" s="5"/>
      <c r="B574" s="5" t="str">
        <f>IFERROR(__xludf.DUMMYFUNCTION("""COMPUTED_VALUE"""),"هیأت")</f>
        <v>هیأت</v>
      </c>
      <c r="C574" s="5" t="str">
        <f>IFERROR(__xludf.DUMMYFUNCTION("""COMPUTED_VALUE"""),"روضه رضیع الحسین
")</f>
        <v>روضه رضیع الحسین
</v>
      </c>
      <c r="D574" s="5" t="str">
        <f>IFERROR(__xludf.DUMMYFUNCTION("""COMPUTED_VALUE"""),"تهران")</f>
        <v>تهران</v>
      </c>
      <c r="E574" s="5" t="str">
        <f>IFERROR(__xludf.DUMMYFUNCTION("""COMPUTED_VALUE"""),"تهران")</f>
        <v>تهران</v>
      </c>
      <c r="F574" s="5"/>
      <c r="G574" s="5"/>
      <c r="H574" s="6" t="str">
        <f>IFERROR(__xludf.DUMMYFUNCTION("""COMPUTED_VALUE"""),"https://www.instagram.com/raziolhosein/")</f>
        <v>https://www.instagram.com/raziolhosein/</v>
      </c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>
      <c r="A575" s="5"/>
      <c r="B575" s="5" t="str">
        <f>IFERROR(__xludf.DUMMYFUNCTION("""COMPUTED_VALUE"""),"هیأت")</f>
        <v>هیأت</v>
      </c>
      <c r="C575" s="5" t="str">
        <f>IFERROR(__xludf.DUMMYFUNCTION("""COMPUTED_VALUE"""),"محبان الزهرا (س)")</f>
        <v>محبان الزهرا (س)</v>
      </c>
      <c r="D575" s="5" t="str">
        <f>IFERROR(__xludf.DUMMYFUNCTION("""COMPUTED_VALUE"""),"تهران")</f>
        <v>تهران</v>
      </c>
      <c r="E575" s="5" t="str">
        <f>IFERROR(__xludf.DUMMYFUNCTION("""COMPUTED_VALUE"""),"تهران")</f>
        <v>تهران</v>
      </c>
      <c r="F575" s="5"/>
      <c r="G575" s="5"/>
      <c r="H575" s="6" t="str">
        <f>IFERROR(__xludf.DUMMYFUNCTION("""COMPUTED_VALUE"""),"https://www.instagram.com/mohebano_zahra_s/")</f>
        <v>https://www.instagram.com/mohebano_zahra_s/</v>
      </c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>
      <c r="A576" s="5"/>
      <c r="B576" s="5" t="str">
        <f>IFERROR(__xludf.DUMMYFUNCTION("""COMPUTED_VALUE"""),"هیأت")</f>
        <v>هیأت</v>
      </c>
      <c r="C576" s="5" t="str">
        <f>IFERROR(__xludf.DUMMYFUNCTION("""COMPUTED_VALUE"""),"بیت الزینب (س)
")</f>
        <v>بیت الزینب (س)
</v>
      </c>
      <c r="D576" s="5" t="str">
        <f>IFERROR(__xludf.DUMMYFUNCTION("""COMPUTED_VALUE"""),"تهران")</f>
        <v>تهران</v>
      </c>
      <c r="E576" s="5" t="str">
        <f>IFERROR(__xludf.DUMMYFUNCTION("""COMPUTED_VALUE"""),"تهران")</f>
        <v>تهران</v>
      </c>
      <c r="F576" s="5"/>
      <c r="G576" s="5"/>
      <c r="H576" s="6" t="str">
        <f>IFERROR(__xludf.DUMMYFUNCTION("""COMPUTED_VALUE"""),"https://www.instagram.com/beito_zeinab/")</f>
        <v>https://www.instagram.com/beito_zeinab/</v>
      </c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>
      <c r="A577" s="5"/>
      <c r="B577" s="5" t="str">
        <f>IFERROR(__xludf.DUMMYFUNCTION("""COMPUTED_VALUE"""),"هیأت")</f>
        <v>هیأت</v>
      </c>
      <c r="C577" s="5" t="str">
        <f>IFERROR(__xludf.DUMMYFUNCTION("""COMPUTED_VALUE"""),"ام المصائب (س)")</f>
        <v>ام المصائب (س)</v>
      </c>
      <c r="D577" s="5" t="str">
        <f>IFERROR(__xludf.DUMMYFUNCTION("""COMPUTED_VALUE"""),"تهران")</f>
        <v>تهران</v>
      </c>
      <c r="E577" s="5" t="str">
        <f>IFERROR(__xludf.DUMMYFUNCTION("""COMPUTED_VALUE"""),"تهران")</f>
        <v>تهران</v>
      </c>
      <c r="F577" s="5"/>
      <c r="G577" s="5"/>
      <c r="H577" s="5"/>
      <c r="I577" s="5"/>
      <c r="J577" s="6" t="str">
        <f>IFERROR(__xludf.DUMMYFUNCTION("""COMPUTED_VALUE"""),"https://eitaa.com/HeyateHazrateOmmulMasaeb")</f>
        <v>https://eitaa.com/HeyateHazrateOmmulMasaeb</v>
      </c>
      <c r="K577" s="5"/>
      <c r="L577" s="5"/>
      <c r="M577" s="5"/>
      <c r="N577" s="5"/>
      <c r="O577" s="5"/>
      <c r="P577" s="5"/>
      <c r="Q577" s="5"/>
      <c r="R577" s="5"/>
      <c r="S577" s="5"/>
    </row>
    <row r="578">
      <c r="A578" s="5"/>
      <c r="B578" s="5" t="str">
        <f>IFERROR(__xludf.DUMMYFUNCTION("""COMPUTED_VALUE"""),"هیأت")</f>
        <v>هیأت</v>
      </c>
      <c r="C578" s="5" t="str">
        <f>IFERROR(__xludf.DUMMYFUNCTION("""COMPUTED_VALUE"""),"جنت الحسین (ع)")</f>
        <v>جنت الحسین (ع)</v>
      </c>
      <c r="D578" s="5" t="str">
        <f>IFERROR(__xludf.DUMMYFUNCTION("""COMPUTED_VALUE"""),"تهران")</f>
        <v>تهران</v>
      </c>
      <c r="E578" s="5" t="str">
        <f>IFERROR(__xludf.DUMMYFUNCTION("""COMPUTED_VALUE"""),"تهران")</f>
        <v>تهران</v>
      </c>
      <c r="F578" s="5"/>
      <c r="G578" s="5"/>
      <c r="H578" s="6" t="str">
        <f>IFERROR(__xludf.DUMMYFUNCTION("""COMPUTED_VALUE"""),"https://www.instagram.com/jannatol_hoseiin/")</f>
        <v>https://www.instagram.com/jannatol_hoseiin/</v>
      </c>
      <c r="I578" s="6" t="str">
        <f>IFERROR(__xludf.DUMMYFUNCTION("""COMPUTED_VALUE"""),"telegram.me/khazib")</f>
        <v>telegram.me/khazib</v>
      </c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>
      <c r="A579" s="5"/>
      <c r="B579" s="5" t="str">
        <f>IFERROR(__xludf.DUMMYFUNCTION("""COMPUTED_VALUE"""),"هیأت")</f>
        <v>هیأت</v>
      </c>
      <c r="C579" s="5" t="str">
        <f>IFERROR(__xludf.DUMMYFUNCTION("""COMPUTED_VALUE"""),"متوسلین به ائمه اطهار (ع)")</f>
        <v>متوسلین به ائمه اطهار (ع)</v>
      </c>
      <c r="D579" s="5" t="str">
        <f>IFERROR(__xludf.DUMMYFUNCTION("""COMPUTED_VALUE"""),"تهران")</f>
        <v>تهران</v>
      </c>
      <c r="E579" s="5" t="str">
        <f>IFERROR(__xludf.DUMMYFUNCTION("""COMPUTED_VALUE"""),"تهران")</f>
        <v>تهران</v>
      </c>
      <c r="F579" s="5"/>
      <c r="G579" s="5"/>
      <c r="H579" s="6" t="str">
        <f>IFERROR(__xludf.DUMMYFUNCTION("""COMPUTED_VALUE"""),"https://www.instagram.com/heiatmbaa/")</f>
        <v>https://www.instagram.com/heiatmbaa/</v>
      </c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>
      <c r="A580" s="5"/>
      <c r="B580" s="5" t="str">
        <f>IFERROR(__xludf.DUMMYFUNCTION("""COMPUTED_VALUE"""),"حسینیه")</f>
        <v>حسینیه</v>
      </c>
      <c r="C580" s="5" t="str">
        <f>IFERROR(__xludf.DUMMYFUNCTION("""COMPUTED_VALUE"""),"صنف کارگر کفاش")</f>
        <v>صنف کارگر کفاش</v>
      </c>
      <c r="D580" s="5" t="str">
        <f>IFERROR(__xludf.DUMMYFUNCTION("""COMPUTED_VALUE"""),"تهران")</f>
        <v>تهران</v>
      </c>
      <c r="E580" s="5" t="str">
        <f>IFERROR(__xludf.DUMMYFUNCTION("""COMPUTED_VALUE"""),"تهران")</f>
        <v>تهران</v>
      </c>
      <c r="F580" s="5"/>
      <c r="G580" s="5"/>
      <c r="H580" s="6" t="str">
        <f>IFERROR(__xludf.DUMMYFUNCTION("""COMPUTED_VALUE"""),"https://www.instagram.com/hoseinye_karegaran_kafash/")</f>
        <v>https://www.instagram.com/hoseinye_karegaran_kafash/</v>
      </c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>
      <c r="A581" s="5"/>
      <c r="B581" s="5" t="str">
        <f>IFERROR(__xludf.DUMMYFUNCTION("""COMPUTED_VALUE"""),"هیأت")</f>
        <v>هیأت</v>
      </c>
      <c r="C581" s="5" t="str">
        <f>IFERROR(__xludf.DUMMYFUNCTION("""COMPUTED_VALUE"""),"نوجوانان قنات آباد")</f>
        <v>نوجوانان قنات آباد</v>
      </c>
      <c r="D581" s="5" t="str">
        <f>IFERROR(__xludf.DUMMYFUNCTION("""COMPUTED_VALUE"""),"تهران")</f>
        <v>تهران</v>
      </c>
      <c r="E581" s="5" t="str">
        <f>IFERROR(__xludf.DUMMYFUNCTION("""COMPUTED_VALUE"""),"تهران")</f>
        <v>تهران</v>
      </c>
      <c r="F581" s="5"/>
      <c r="G581" s="5"/>
      <c r="H581" s="5"/>
      <c r="I581" s="6" t="str">
        <f>IFERROR(__xludf.DUMMYFUNCTION("""COMPUTED_VALUE"""),"https://t.me/ghanatabad")</f>
        <v>https://t.me/ghanatabad</v>
      </c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>
      <c r="A582" s="5"/>
      <c r="B582" s="5" t="str">
        <f>IFERROR(__xludf.DUMMYFUNCTION("""COMPUTED_VALUE"""),"هیأت")</f>
        <v>هیأت</v>
      </c>
      <c r="C582" s="5" t="str">
        <f>IFERROR(__xludf.DUMMYFUNCTION("""COMPUTED_VALUE"""),"محبان سیدالشهدا (ع)")</f>
        <v>محبان سیدالشهدا (ع)</v>
      </c>
      <c r="D582" s="5" t="str">
        <f>IFERROR(__xludf.DUMMYFUNCTION("""COMPUTED_VALUE"""),"تهران")</f>
        <v>تهران</v>
      </c>
      <c r="E582" s="5" t="str">
        <f>IFERROR(__xludf.DUMMYFUNCTION("""COMPUTED_VALUE"""),"تهران")</f>
        <v>تهران</v>
      </c>
      <c r="F582" s="5"/>
      <c r="G582" s="5"/>
      <c r="H582" s="6" t="str">
        <f>IFERROR(__xludf.DUMMYFUNCTION("""COMPUTED_VALUE"""),"https://www.instagram.com/karbalaiha/")</f>
        <v>https://www.instagram.com/karbalaiha/</v>
      </c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>
      <c r="A583" s="5"/>
      <c r="B583" s="5" t="str">
        <f>IFERROR(__xludf.DUMMYFUNCTION("""COMPUTED_VALUE"""),"حسینیه")</f>
        <v>حسینیه</v>
      </c>
      <c r="C583" s="5" t="str">
        <f>IFERROR(__xludf.DUMMYFUNCTION("""COMPUTED_VALUE"""),"حضرت علی اکبر")</f>
        <v>حضرت علی اکبر</v>
      </c>
      <c r="D583" s="5" t="str">
        <f>IFERROR(__xludf.DUMMYFUNCTION("""COMPUTED_VALUE"""),"تهران")</f>
        <v>تهران</v>
      </c>
      <c r="E583" s="5" t="str">
        <f>IFERROR(__xludf.DUMMYFUNCTION("""COMPUTED_VALUE"""),"تهران")</f>
        <v>تهران</v>
      </c>
      <c r="F583" s="5"/>
      <c r="G583" s="5"/>
      <c r="H583" s="6" t="str">
        <f>IFERROR(__xludf.DUMMYFUNCTION("""COMPUTED_VALUE"""),"https://www.instagram.com/hhaa1370_/")</f>
        <v>https://www.instagram.com/hhaa1370_/</v>
      </c>
      <c r="I583" s="6" t="str">
        <f>IFERROR(__xludf.DUMMYFUNCTION("""COMPUTED_VALUE"""),"t.me/HHAAA1370")</f>
        <v>t.me/HHAAA1370</v>
      </c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>
      <c r="A584" s="5"/>
      <c r="B584" s="5" t="str">
        <f>IFERROR(__xludf.DUMMYFUNCTION("""COMPUTED_VALUE"""),"موکب")</f>
        <v>موکب</v>
      </c>
      <c r="C584" s="5" t="str">
        <f>IFERROR(__xludf.DUMMYFUNCTION("""COMPUTED_VALUE"""),"عزاداران حضرت زهرا ")</f>
        <v>عزاداران حضرت زهرا </v>
      </c>
      <c r="D584" s="5" t="str">
        <f>IFERROR(__xludf.DUMMYFUNCTION("""COMPUTED_VALUE"""),"تهران")</f>
        <v>تهران</v>
      </c>
      <c r="E584" s="5" t="str">
        <f>IFERROR(__xludf.DUMMYFUNCTION("""COMPUTED_VALUE"""),"تهران")</f>
        <v>تهران</v>
      </c>
      <c r="F584" s="5"/>
      <c r="G584" s="5"/>
      <c r="H584" s="6" t="str">
        <f>IFERROR(__xludf.DUMMYFUNCTION("""COMPUTED_VALUE"""),"https://www.instagram.com/mokab_alzahra/")</f>
        <v>https://www.instagram.com/mokab_alzahra/</v>
      </c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>
      <c r="A585" s="5"/>
      <c r="B585" s="5" t="str">
        <f>IFERROR(__xludf.DUMMYFUNCTION("""COMPUTED_VALUE"""),"هیأت")</f>
        <v>هیأت</v>
      </c>
      <c r="C585" s="5" t="str">
        <f>IFERROR(__xludf.DUMMYFUNCTION("""COMPUTED_VALUE"""),"حرم شهدای گمنام")</f>
        <v>حرم شهدای گمنام</v>
      </c>
      <c r="D585" s="5" t="str">
        <f>IFERROR(__xludf.DUMMYFUNCTION("""COMPUTED_VALUE"""),"تهران")</f>
        <v>تهران</v>
      </c>
      <c r="E585" s="5" t="str">
        <f>IFERROR(__xludf.DUMMYFUNCTION("""COMPUTED_VALUE"""),"تهران")</f>
        <v>تهران</v>
      </c>
      <c r="F585" s="5"/>
      <c r="G585" s="5"/>
      <c r="H585" s="6" t="str">
        <f>IFERROR(__xludf.DUMMYFUNCTION("""COMPUTED_VALUE"""),"https://www.instagram.com/hrm_shohada2/")</f>
        <v>https://www.instagram.com/hrm_shohada2/</v>
      </c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>
      <c r="A586" s="5"/>
      <c r="B586" s="5" t="str">
        <f>IFERROR(__xludf.DUMMYFUNCTION("""COMPUTED_VALUE"""),"هیأت")</f>
        <v>هیأت</v>
      </c>
      <c r="C586" s="5" t="str">
        <f>IFERROR(__xludf.DUMMYFUNCTION("""COMPUTED_VALUE"""),"بیت الهادی(ع)")</f>
        <v>بیت الهادی(ع)</v>
      </c>
      <c r="D586" s="5" t="str">
        <f>IFERROR(__xludf.DUMMYFUNCTION("""COMPUTED_VALUE"""),"تهران")</f>
        <v>تهران</v>
      </c>
      <c r="E586" s="5" t="str">
        <f>IFERROR(__xludf.DUMMYFUNCTION("""COMPUTED_VALUE"""),"تهران")</f>
        <v>تهران</v>
      </c>
      <c r="F586" s="5"/>
      <c r="G586" s="5"/>
      <c r="H586" s="6" t="str">
        <f>IFERROR(__xludf.DUMMYFUNCTION("""COMPUTED_VALUE"""),"https://www.instagram.com/beytolhadi_128/")</f>
        <v>https://www.instagram.com/beytolhadi_128/</v>
      </c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>
      <c r="A587" s="5"/>
      <c r="B587" s="5" t="str">
        <f>IFERROR(__xludf.DUMMYFUNCTION("""COMPUTED_VALUE"""),"حسینیه")</f>
        <v>حسینیه</v>
      </c>
      <c r="C587" s="5" t="str">
        <f>IFERROR(__xludf.DUMMYFUNCTION("""COMPUTED_VALUE"""),"شهدا")</f>
        <v>شهدا</v>
      </c>
      <c r="D587" s="5" t="str">
        <f>IFERROR(__xludf.DUMMYFUNCTION("""COMPUTED_VALUE"""),"تهران")</f>
        <v>تهران</v>
      </c>
      <c r="E587" s="5" t="str">
        <f>IFERROR(__xludf.DUMMYFUNCTION("""COMPUTED_VALUE"""),"تهران")</f>
        <v>تهران</v>
      </c>
      <c r="F587" s="5"/>
      <c r="G587" s="5"/>
      <c r="H587" s="6" t="str">
        <f>IFERROR(__xludf.DUMMYFUNCTION("""COMPUTED_VALUE"""),"https://www.instagram.com/shohada_1349/")</f>
        <v>https://www.instagram.com/shohada_1349/</v>
      </c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>
      <c r="A588" s="5"/>
      <c r="B588" s="5" t="str">
        <f>IFERROR(__xludf.DUMMYFUNCTION("""COMPUTED_VALUE"""),"هیأت")</f>
        <v>هیأت</v>
      </c>
      <c r="C588" s="5" t="str">
        <f>IFERROR(__xludf.DUMMYFUNCTION("""COMPUTED_VALUE"""),"عاشقان ثارالله(ع)")</f>
        <v>عاشقان ثارالله(ع)</v>
      </c>
      <c r="D588" s="5" t="str">
        <f>IFERROR(__xludf.DUMMYFUNCTION("""COMPUTED_VALUE"""),"تهران")</f>
        <v>تهران</v>
      </c>
      <c r="E588" s="5" t="str">
        <f>IFERROR(__xludf.DUMMYFUNCTION("""COMPUTED_VALUE"""),"تهران")</f>
        <v>تهران</v>
      </c>
      <c r="F588" s="5"/>
      <c r="G588" s="5"/>
      <c r="H588" s="6" t="str">
        <f>IFERROR(__xludf.DUMMYFUNCTION("""COMPUTED_VALUE"""),"https://www.instagram.com/saralah18/")</f>
        <v>https://www.instagram.com/saralah18/</v>
      </c>
      <c r="I588" s="6" t="str">
        <f>IFERROR(__xludf.DUMMYFUNCTION("""COMPUTED_VALUE"""),"t.me/saralah18")</f>
        <v>t.me/saralah18</v>
      </c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>
      <c r="A589" s="5"/>
      <c r="B589" s="5" t="str">
        <f>IFERROR(__xludf.DUMMYFUNCTION("""COMPUTED_VALUE"""),"هیأت")</f>
        <v>هیأت</v>
      </c>
      <c r="C589" s="5" t="str">
        <f>IFERROR(__xludf.DUMMYFUNCTION("""COMPUTED_VALUE"""),"وارثان ثارالله")</f>
        <v>وارثان ثارالله</v>
      </c>
      <c r="D589" s="5" t="str">
        <f>IFERROR(__xludf.DUMMYFUNCTION("""COMPUTED_VALUE"""),"تهران")</f>
        <v>تهران</v>
      </c>
      <c r="E589" s="5" t="str">
        <f>IFERROR(__xludf.DUMMYFUNCTION("""COMPUTED_VALUE"""),"تهران")</f>
        <v>تهران</v>
      </c>
      <c r="F589" s="5"/>
      <c r="G589" s="5"/>
      <c r="H589" s="5"/>
      <c r="I589" s="5"/>
      <c r="J589" s="6" t="str">
        <f>IFERROR(__xludf.DUMMYFUNCTION("""COMPUTED_VALUE"""),"https://eitaa.com/varesanesarallah")</f>
        <v>https://eitaa.com/varesanesarallah</v>
      </c>
      <c r="K589" s="5"/>
      <c r="L589" s="5"/>
      <c r="M589" s="5"/>
      <c r="N589" s="5"/>
      <c r="O589" s="5"/>
      <c r="P589" s="5"/>
      <c r="Q589" s="5"/>
      <c r="R589" s="5"/>
      <c r="S589" s="5"/>
    </row>
    <row r="590">
      <c r="A590" s="5"/>
      <c r="B590" s="5" t="str">
        <f>IFERROR(__xludf.DUMMYFUNCTION("""COMPUTED_VALUE"""),"هیأت")</f>
        <v>هیأت</v>
      </c>
      <c r="C590" s="5" t="str">
        <f>IFERROR(__xludf.DUMMYFUNCTION("""COMPUTED_VALUE"""),"پنج تن آل عبا (ع)")</f>
        <v>پنج تن آل عبا (ع)</v>
      </c>
      <c r="D590" s="5" t="str">
        <f>IFERROR(__xludf.DUMMYFUNCTION("""COMPUTED_VALUE"""),"تهران")</f>
        <v>تهران</v>
      </c>
      <c r="E590" s="5" t="str">
        <f>IFERROR(__xludf.DUMMYFUNCTION("""COMPUTED_VALUE"""),"تهران")</f>
        <v>تهران</v>
      </c>
      <c r="F590" s="5"/>
      <c r="G590" s="5"/>
      <c r="H590" s="6" t="str">
        <f>IFERROR(__xludf.DUMMYFUNCTION("""COMPUTED_VALUE"""),"https://www.instagram.com/panjtanbakhshayesh/")</f>
        <v>https://www.instagram.com/panjtanbakhshayesh/</v>
      </c>
      <c r="I590" s="6" t="str">
        <f>IFERROR(__xludf.DUMMYFUNCTION("""COMPUTED_VALUE"""),"tle.me/panjtanbakhshayesh")</f>
        <v>tle.me/panjtanbakhshayesh</v>
      </c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>
      <c r="A591" s="5"/>
      <c r="B591" s="5" t="str">
        <f>IFERROR(__xludf.DUMMYFUNCTION("""COMPUTED_VALUE"""),"حسینیه")</f>
        <v>حسینیه</v>
      </c>
      <c r="C591" s="5" t="str">
        <f>IFERROR(__xludf.DUMMYFUNCTION("""COMPUTED_VALUE"""),"زنجانیها")</f>
        <v>زنجانیها</v>
      </c>
      <c r="D591" s="5" t="str">
        <f>IFERROR(__xludf.DUMMYFUNCTION("""COMPUTED_VALUE"""),"تهران")</f>
        <v>تهران</v>
      </c>
      <c r="E591" s="5" t="str">
        <f>IFERROR(__xludf.DUMMYFUNCTION("""COMPUTED_VALUE"""),"تهران")</f>
        <v>تهران</v>
      </c>
      <c r="F591" s="5"/>
      <c r="G591" s="5"/>
      <c r="H591" s="6" t="str">
        <f>IFERROR(__xludf.DUMMYFUNCTION("""COMPUTED_VALUE"""),"https://www.instagram.com/hosiniezanjaniha/")</f>
        <v>https://www.instagram.com/hosiniezanjaniha/</v>
      </c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>
      <c r="A592" s="5"/>
      <c r="B592" s="5" t="str">
        <f>IFERROR(__xludf.DUMMYFUNCTION("""COMPUTED_VALUE"""),"هیأت")</f>
        <v>هیأت</v>
      </c>
      <c r="C592" s="5" t="str">
        <f>IFERROR(__xludf.DUMMYFUNCTION("""COMPUTED_VALUE"""),"محبان الحسین (ع)")</f>
        <v>محبان الحسین (ع)</v>
      </c>
      <c r="D592" s="5" t="str">
        <f>IFERROR(__xludf.DUMMYFUNCTION("""COMPUTED_VALUE"""),"تهران")</f>
        <v>تهران</v>
      </c>
      <c r="E592" s="5" t="str">
        <f>IFERROR(__xludf.DUMMYFUNCTION("""COMPUTED_VALUE"""),"تهران")</f>
        <v>تهران</v>
      </c>
      <c r="F592" s="5"/>
      <c r="G592" s="5"/>
      <c r="H592" s="6" t="str">
        <f>IFERROR(__xludf.DUMMYFUNCTION("""COMPUTED_VALUE"""),"https://www.instagram.com/heiat_mohebban_hossein/")</f>
        <v>https://www.instagram.com/heiat_mohebban_hossein/</v>
      </c>
      <c r="I592" s="6" t="str">
        <f>IFERROR(__xludf.DUMMYFUNCTION("""COMPUTED_VALUE"""),"t.me/mohebbanelhossein")</f>
        <v>t.me/mohebbanelhossein</v>
      </c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>
      <c r="A593" s="5"/>
      <c r="B593" s="5" t="str">
        <f>IFERROR(__xludf.DUMMYFUNCTION("""COMPUTED_VALUE"""),"هیأت")</f>
        <v>هیأت</v>
      </c>
      <c r="C593" s="5" t="str">
        <f>IFERROR(__xludf.DUMMYFUNCTION("""COMPUTED_VALUE"""),"جوانان قمر بنی هاشم")</f>
        <v>جوانان قمر بنی هاشم</v>
      </c>
      <c r="D593" s="5" t="str">
        <f>IFERROR(__xludf.DUMMYFUNCTION("""COMPUTED_VALUE"""),"تهران")</f>
        <v>تهران</v>
      </c>
      <c r="E593" s="5" t="str">
        <f>IFERROR(__xludf.DUMMYFUNCTION("""COMPUTED_VALUE"""),"تهران")</f>
        <v>تهران</v>
      </c>
      <c r="F593" s="5"/>
      <c r="G593" s="5"/>
      <c r="H593" s="6" t="str">
        <f>IFERROR(__xludf.DUMMYFUNCTION("""COMPUTED_VALUE"""),"https://www.instagram.com/heyatjavanangamarbanihashm/")</f>
        <v>https://www.instagram.com/heyatjavanangamarbanihashm/</v>
      </c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>
      <c r="A594" s="5"/>
      <c r="B594" s="5" t="str">
        <f>IFERROR(__xludf.DUMMYFUNCTION("""COMPUTED_VALUE"""),"هیأت")</f>
        <v>هیأت</v>
      </c>
      <c r="C594" s="5" t="str">
        <f>IFERROR(__xludf.DUMMYFUNCTION("""COMPUTED_VALUE"""),"اباعبدالله الحسین")</f>
        <v>اباعبدالله الحسین</v>
      </c>
      <c r="D594" s="5" t="str">
        <f>IFERROR(__xludf.DUMMYFUNCTION("""COMPUTED_VALUE"""),"تهران")</f>
        <v>تهران</v>
      </c>
      <c r="E594" s="5" t="str">
        <f>IFERROR(__xludf.DUMMYFUNCTION("""COMPUTED_VALUE"""),"تهران")</f>
        <v>تهران</v>
      </c>
      <c r="F594" s="5"/>
      <c r="G594" s="5"/>
      <c r="H594" s="6" t="str">
        <f>IFERROR(__xludf.DUMMYFUNCTION("""COMPUTED_VALUE"""),"https://www.instagram.com/heyat.aba.abdelah/")</f>
        <v>https://www.instagram.com/heyat.aba.abdelah/</v>
      </c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>
      <c r="A595" s="5"/>
      <c r="B595" s="5" t="str">
        <f>IFERROR(__xludf.DUMMYFUNCTION("""COMPUTED_VALUE"""),"هیأت")</f>
        <v>هیأت</v>
      </c>
      <c r="C595" s="5" t="str">
        <f>IFERROR(__xludf.DUMMYFUNCTION("""COMPUTED_VALUE"""),"فاطمیون")</f>
        <v>فاطمیون</v>
      </c>
      <c r="D595" s="5" t="str">
        <f>IFERROR(__xludf.DUMMYFUNCTION("""COMPUTED_VALUE"""),"تهران")</f>
        <v>تهران</v>
      </c>
      <c r="E595" s="5" t="str">
        <f>IFERROR(__xludf.DUMMYFUNCTION("""COMPUTED_VALUE"""),"تهران")</f>
        <v>تهران</v>
      </c>
      <c r="F595" s="5"/>
      <c r="G595" s="5"/>
      <c r="H595" s="6" t="str">
        <f>IFERROR(__xludf.DUMMYFUNCTION("""COMPUTED_VALUE"""),"https://www.instagram.com/zfgvhvhbj/")</f>
        <v>https://www.instagram.com/zfgvhvhbj/</v>
      </c>
      <c r="I595" s="6" t="str">
        <f>IFERROR(__xludf.DUMMYFUNCTION("""COMPUTED_VALUE"""),"tlgrm.me/fatemiun313")</f>
        <v>tlgrm.me/fatemiun313</v>
      </c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>
      <c r="A596" s="5"/>
      <c r="B596" s="5" t="str">
        <f>IFERROR(__xludf.DUMMYFUNCTION("""COMPUTED_VALUE"""),"هیأت")</f>
        <v>هیأت</v>
      </c>
      <c r="C596" s="5" t="str">
        <f>IFERROR(__xludf.DUMMYFUNCTION("""COMPUTED_VALUE"""),"خادمین اهل بیت (ع)
")</f>
        <v>خادمین اهل بیت (ع)
</v>
      </c>
      <c r="D596" s="5" t="str">
        <f>IFERROR(__xludf.DUMMYFUNCTION("""COMPUTED_VALUE"""),"تهران")</f>
        <v>تهران</v>
      </c>
      <c r="E596" s="5" t="str">
        <f>IFERROR(__xludf.DUMMYFUNCTION("""COMPUTED_VALUE"""),"تهران")</f>
        <v>تهران</v>
      </c>
      <c r="F596" s="5"/>
      <c r="G596" s="5"/>
      <c r="H596" s="6" t="str">
        <f>IFERROR(__xludf.DUMMYFUNCTION("""COMPUTED_VALUE"""),"https://www.instagram.com/heiate.khademin/")</f>
        <v>https://www.instagram.com/heiate.khademin/</v>
      </c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>
      <c r="A597" s="5"/>
      <c r="B597" s="5" t="str">
        <f>IFERROR(__xludf.DUMMYFUNCTION("""COMPUTED_VALUE"""),"هیأت")</f>
        <v>هیأت</v>
      </c>
      <c r="C597" s="5" t="str">
        <f>IFERROR(__xludf.DUMMYFUNCTION("""COMPUTED_VALUE"""),"محبان حضرت علی اصغر (ع)")</f>
        <v>محبان حضرت علی اصغر (ع)</v>
      </c>
      <c r="D597" s="5" t="str">
        <f>IFERROR(__xludf.DUMMYFUNCTION("""COMPUTED_VALUE"""),"تهران")</f>
        <v>تهران</v>
      </c>
      <c r="E597" s="5" t="str">
        <f>IFERROR(__xludf.DUMMYFUNCTION("""COMPUTED_VALUE"""),"تهران")</f>
        <v>تهران</v>
      </c>
      <c r="F597" s="5"/>
      <c r="G597" s="5"/>
      <c r="H597" s="6" t="str">
        <f>IFERROR(__xludf.DUMMYFUNCTION("""COMPUTED_VALUE"""),"https://www.instagram.com/heyate_mohebane_ali_asghar/")</f>
        <v>https://www.instagram.com/heyate_mohebane_ali_asghar/</v>
      </c>
      <c r="I597" s="6" t="str">
        <f>IFERROR(__xludf.DUMMYFUNCTION("""COMPUTED_VALUE"""),"tlgrm.me/mohebanealiasghar71")</f>
        <v>tlgrm.me/mohebanealiasghar71</v>
      </c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>
      <c r="A598" s="5"/>
      <c r="B598" s="5" t="str">
        <f>IFERROR(__xludf.DUMMYFUNCTION("""COMPUTED_VALUE"""),"هیأت")</f>
        <v>هیأت</v>
      </c>
      <c r="C598" s="5" t="str">
        <f>IFERROR(__xludf.DUMMYFUNCTION("""COMPUTED_VALUE"""),"حضرت علی اصغر")</f>
        <v>حضرت علی اصغر</v>
      </c>
      <c r="D598" s="5" t="str">
        <f>IFERROR(__xludf.DUMMYFUNCTION("""COMPUTED_VALUE"""),"تهران")</f>
        <v>تهران</v>
      </c>
      <c r="E598" s="5" t="str">
        <f>IFERROR(__xludf.DUMMYFUNCTION("""COMPUTED_VALUE"""),"تهران")</f>
        <v>تهران</v>
      </c>
      <c r="F598" s="5"/>
      <c r="G598" s="5"/>
      <c r="H598" s="6" t="str">
        <f>IFERROR(__xludf.DUMMYFUNCTION("""COMPUTED_VALUE"""),"https://www.instagram.com/aliasghariha/")</f>
        <v>https://www.instagram.com/aliasghariha/</v>
      </c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>
      <c r="A599" s="5"/>
      <c r="B599" s="5" t="str">
        <f>IFERROR(__xludf.DUMMYFUNCTION("""COMPUTED_VALUE"""),"هیأت")</f>
        <v>هیأت</v>
      </c>
      <c r="C599" s="5" t="str">
        <f>IFERROR(__xludf.DUMMYFUNCTION("""COMPUTED_VALUE"""),"محبان الائمه (ع)")</f>
        <v>محبان الائمه (ع)</v>
      </c>
      <c r="D599" s="5" t="str">
        <f>IFERROR(__xludf.DUMMYFUNCTION("""COMPUTED_VALUE"""),"تهران")</f>
        <v>تهران</v>
      </c>
      <c r="E599" s="5" t="str">
        <f>IFERROR(__xludf.DUMMYFUNCTION("""COMPUTED_VALUE"""),"تهران")</f>
        <v>تهران</v>
      </c>
      <c r="F599" s="5"/>
      <c r="G599" s="5"/>
      <c r="H599" s="6" t="str">
        <f>IFERROR(__xludf.DUMMYFUNCTION("""COMPUTED_VALUE"""),"https://www.instagram.com/mohebbanalaemeh/")</f>
        <v>https://www.instagram.com/mohebbanalaemeh/</v>
      </c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>
      <c r="A600" s="5"/>
      <c r="B600" s="5" t="str">
        <f>IFERROR(__xludf.DUMMYFUNCTION("""COMPUTED_VALUE"""),"هیأت")</f>
        <v>هیأت</v>
      </c>
      <c r="C600" s="5" t="str">
        <f>IFERROR(__xludf.DUMMYFUNCTION("""COMPUTED_VALUE"""),"محبین الائمه (ع)")</f>
        <v>محبین الائمه (ع)</v>
      </c>
      <c r="D600" s="5" t="str">
        <f>IFERROR(__xludf.DUMMYFUNCTION("""COMPUTED_VALUE"""),"تهران")</f>
        <v>تهران</v>
      </c>
      <c r="E600" s="5" t="str">
        <f>IFERROR(__xludf.DUMMYFUNCTION("""COMPUTED_VALUE"""),"تهران")</f>
        <v>تهران</v>
      </c>
      <c r="F600" s="5" t="str">
        <f>IFERROR(__xludf.DUMMYFUNCTION("""COMPUTED_VALUE"""),"دانشکده ابوریحان")</f>
        <v>دانشکده ابوریحان</v>
      </c>
      <c r="G600" s="5"/>
      <c r="H600" s="6" t="str">
        <f>IFERROR(__xludf.DUMMYFUNCTION("""COMPUTED_VALUE"""),"https://www.instagram.com/mohebinaemeh_ir/")</f>
        <v>https://www.instagram.com/mohebinaemeh_ir/</v>
      </c>
      <c r="I600" s="6" t="str">
        <f>IFERROR(__xludf.DUMMYFUNCTION("""COMPUTED_VALUE"""),"t.me/Mohebbin_Alaeme")</f>
        <v>t.me/Mohebbin_Alaeme</v>
      </c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>
      <c r="A601" s="5"/>
      <c r="B601" s="5" t="str">
        <f>IFERROR(__xludf.DUMMYFUNCTION("""COMPUTED_VALUE"""),"هیأت")</f>
        <v>هیأت</v>
      </c>
      <c r="C601" s="5" t="str">
        <f>IFERROR(__xludf.DUMMYFUNCTION("""COMPUTED_VALUE"""),"محبان العباس (ع)")</f>
        <v>محبان العباس (ع)</v>
      </c>
      <c r="D601" s="5" t="str">
        <f>IFERROR(__xludf.DUMMYFUNCTION("""COMPUTED_VALUE"""),"تهران")</f>
        <v>تهران</v>
      </c>
      <c r="E601" s="5" t="str">
        <f>IFERROR(__xludf.DUMMYFUNCTION("""COMPUTED_VALUE"""),"تهران")</f>
        <v>تهران</v>
      </c>
      <c r="F601" s="5"/>
      <c r="G601" s="5"/>
      <c r="H601" s="6" t="str">
        <f>IFERROR(__xludf.DUMMYFUNCTION("""COMPUTED_VALUE"""),"https://www.instagram.com/moheban.abbas.1384/")</f>
        <v>https://www.instagram.com/moheban.abbas.1384/</v>
      </c>
      <c r="I601" s="6" t="str">
        <f>IFERROR(__xludf.DUMMYFUNCTION("""COMPUTED_VALUE"""),"t.me/@mohebanabbas")</f>
        <v>t.me/@mohebanabbas</v>
      </c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>
      <c r="A602" s="5"/>
      <c r="B602" s="5" t="str">
        <f>IFERROR(__xludf.DUMMYFUNCTION("""COMPUTED_VALUE"""),"هیأت")</f>
        <v>هیأت</v>
      </c>
      <c r="C602" s="5" t="str">
        <f>IFERROR(__xludf.DUMMYFUNCTION("""COMPUTED_VALUE"""),"جوانان انصارالحسین (ع)")</f>
        <v>جوانان انصارالحسین (ع)</v>
      </c>
      <c r="D602" s="5" t="str">
        <f>IFERROR(__xludf.DUMMYFUNCTION("""COMPUTED_VALUE"""),"تهران")</f>
        <v>تهران</v>
      </c>
      <c r="E602" s="5" t="str">
        <f>IFERROR(__xludf.DUMMYFUNCTION("""COMPUTED_VALUE"""),"تهران")</f>
        <v>تهران</v>
      </c>
      <c r="F602" s="5"/>
      <c r="G602" s="5"/>
      <c r="H602" s="6" t="str">
        <f>IFERROR(__xludf.DUMMYFUNCTION("""COMPUTED_VALUE"""),"https://www.instagram.com/heyat_javanan_ansar/")</f>
        <v>https://www.instagram.com/heyat_javanan_ansar/</v>
      </c>
      <c r="I602" s="6" t="str">
        <f>IFERROR(__xludf.DUMMYFUNCTION("""COMPUTED_VALUE"""),"t.me/heyat_javanan_ansar")</f>
        <v>t.me/heyat_javanan_ansar</v>
      </c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>
      <c r="A603" s="5"/>
      <c r="B603" s="5" t="str">
        <f>IFERROR(__xludf.DUMMYFUNCTION("""COMPUTED_VALUE"""),"هیأت")</f>
        <v>هیأت</v>
      </c>
      <c r="C603" s="5" t="str">
        <f>IFERROR(__xludf.DUMMYFUNCTION("""COMPUTED_VALUE"""),"محبان الرقیه (س)")</f>
        <v>محبان الرقیه (س)</v>
      </c>
      <c r="D603" s="5" t="str">
        <f>IFERROR(__xludf.DUMMYFUNCTION("""COMPUTED_VALUE"""),"تهران")</f>
        <v>تهران</v>
      </c>
      <c r="E603" s="5" t="str">
        <f>IFERROR(__xludf.DUMMYFUNCTION("""COMPUTED_VALUE"""),"تهران")</f>
        <v>تهران</v>
      </c>
      <c r="F603" s="5"/>
      <c r="G603" s="5"/>
      <c r="H603" s="6" t="str">
        <f>IFERROR(__xludf.DUMMYFUNCTION("""COMPUTED_VALUE"""),"https://www.instagram.com/sesalehir/")</f>
        <v>https://www.instagram.com/sesalehir/</v>
      </c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>
      <c r="A604" s="5"/>
      <c r="B604" s="5" t="str">
        <f>IFERROR(__xludf.DUMMYFUNCTION("""COMPUTED_VALUE"""),"هیأت")</f>
        <v>هیأت</v>
      </c>
      <c r="C604" s="5" t="str">
        <f>IFERROR(__xludf.DUMMYFUNCTION("""COMPUTED_VALUE"""),"بیت العباس")</f>
        <v>بیت العباس</v>
      </c>
      <c r="D604" s="5" t="str">
        <f>IFERROR(__xludf.DUMMYFUNCTION("""COMPUTED_VALUE"""),"تهران")</f>
        <v>تهران</v>
      </c>
      <c r="E604" s="5" t="str">
        <f>IFERROR(__xludf.DUMMYFUNCTION("""COMPUTED_VALUE"""),"تهران")</f>
        <v>تهران</v>
      </c>
      <c r="F604" s="5"/>
      <c r="G604" s="5"/>
      <c r="H604" s="6" t="str">
        <f>IFERROR(__xludf.DUMMYFUNCTION("""COMPUTED_VALUE"""),"https://www.instagram.com/bit_abas/")</f>
        <v>https://www.instagram.com/bit_abas/</v>
      </c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>
      <c r="A605" s="5"/>
      <c r="B605" s="5" t="str">
        <f>IFERROR(__xludf.DUMMYFUNCTION("""COMPUTED_VALUE"""),"هیأت")</f>
        <v>هیأت</v>
      </c>
      <c r="C605" s="5" t="str">
        <f>IFERROR(__xludf.DUMMYFUNCTION("""COMPUTED_VALUE"""),"جوانان قمربنی هاشم (ع)")</f>
        <v>جوانان قمربنی هاشم (ع)</v>
      </c>
      <c r="D605" s="5" t="str">
        <f>IFERROR(__xludf.DUMMYFUNCTION("""COMPUTED_VALUE"""),"تهران")</f>
        <v>تهران</v>
      </c>
      <c r="E605" s="5" t="str">
        <f>IFERROR(__xludf.DUMMYFUNCTION("""COMPUTED_VALUE"""),"تهران")</f>
        <v>تهران</v>
      </c>
      <c r="F605" s="5"/>
      <c r="G605" s="5"/>
      <c r="H605" s="6" t="str">
        <f>IFERROR(__xludf.DUMMYFUNCTION("""COMPUTED_VALUE"""),"https://www.instagram.com/heyat_javanan_atabak15/")</f>
        <v>https://www.instagram.com/heyat_javanan_atabak15/</v>
      </c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>
      <c r="A606" s="5"/>
      <c r="B606" s="5" t="str">
        <f>IFERROR(__xludf.DUMMYFUNCTION("""COMPUTED_VALUE"""),"هیأت")</f>
        <v>هیأت</v>
      </c>
      <c r="C606" s="5" t="str">
        <f>IFERROR(__xludf.DUMMYFUNCTION("""COMPUTED_VALUE"""),"حیدریة")</f>
        <v>حیدریة</v>
      </c>
      <c r="D606" s="5" t="str">
        <f>IFERROR(__xludf.DUMMYFUNCTION("""COMPUTED_VALUE"""),"تهران")</f>
        <v>تهران</v>
      </c>
      <c r="E606" s="5" t="str">
        <f>IFERROR(__xludf.DUMMYFUNCTION("""COMPUTED_VALUE"""),"تهران")</f>
        <v>تهران</v>
      </c>
      <c r="F606" s="5"/>
      <c r="G606" s="5"/>
      <c r="H606" s="6" t="str">
        <f>IFERROR(__xludf.DUMMYFUNCTION("""COMPUTED_VALUE"""),"https://www.instagram.com/haidarieh/")</f>
        <v>https://www.instagram.com/haidarieh/</v>
      </c>
      <c r="I606" s="6" t="str">
        <f>IFERROR(__xludf.DUMMYFUNCTION("""COMPUTED_VALUE"""),"https://t.me/haidarieh")</f>
        <v>https://t.me/haidarieh</v>
      </c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>
      <c r="A607" s="5"/>
      <c r="B607" s="5" t="str">
        <f>IFERROR(__xludf.DUMMYFUNCTION("""COMPUTED_VALUE"""),"هیأت")</f>
        <v>هیأت</v>
      </c>
      <c r="C607" s="5" t="str">
        <f>IFERROR(__xludf.DUMMYFUNCTION("""COMPUTED_VALUE"""),"عاشقان ولایت")</f>
        <v>عاشقان ولایت</v>
      </c>
      <c r="D607" s="5" t="str">
        <f>IFERROR(__xludf.DUMMYFUNCTION("""COMPUTED_VALUE"""),"تهران")</f>
        <v>تهران</v>
      </c>
      <c r="E607" s="5" t="str">
        <f>IFERROR(__xludf.DUMMYFUNCTION("""COMPUTED_VALUE"""),"تهران")</f>
        <v>تهران</v>
      </c>
      <c r="F607" s="5"/>
      <c r="G607" s="5"/>
      <c r="H607" s="6" t="str">
        <f>IFERROR(__xludf.DUMMYFUNCTION("""COMPUTED_VALUE"""),"https://www.instagram.com/avsh_ir/")</f>
        <v>https://www.instagram.com/avsh_ir/</v>
      </c>
      <c r="I607" s="5"/>
      <c r="J607" s="6" t="str">
        <f>IFERROR(__xludf.DUMMYFUNCTION("""COMPUTED_VALUE"""),"eitaa.com/avsh_ir")</f>
        <v>eitaa.com/avsh_ir</v>
      </c>
      <c r="K607" s="5"/>
      <c r="L607" s="5"/>
      <c r="M607" s="5"/>
      <c r="N607" s="5"/>
      <c r="O607" s="5"/>
      <c r="P607" s="5"/>
      <c r="Q607" s="5"/>
      <c r="R607" s="5"/>
      <c r="S607" s="5"/>
    </row>
    <row r="608">
      <c r="A608" s="5"/>
      <c r="B608" s="5" t="str">
        <f>IFERROR(__xludf.DUMMYFUNCTION("""COMPUTED_VALUE"""),"هیأت")</f>
        <v>هیأت</v>
      </c>
      <c r="C608" s="5" t="str">
        <f>IFERROR(__xludf.DUMMYFUNCTION("""COMPUTED_VALUE"""),"انجمن دانشگاهی فرهنگی کربلا سلام")</f>
        <v>انجمن دانشگاهی فرهنگی کربلا سلام</v>
      </c>
      <c r="D608" s="5" t="str">
        <f>IFERROR(__xludf.DUMMYFUNCTION("""COMPUTED_VALUE"""),"تهران")</f>
        <v>تهران</v>
      </c>
      <c r="E608" s="5" t="str">
        <f>IFERROR(__xludf.DUMMYFUNCTION("""COMPUTED_VALUE"""),"تهران")</f>
        <v>تهران</v>
      </c>
      <c r="F608" s="5"/>
      <c r="G608" s="5"/>
      <c r="H608" s="6" t="str">
        <f>IFERROR(__xludf.DUMMYFUNCTION("""COMPUTED_VALUE"""),"https://www.instagram.com/karbalaasalam/")</f>
        <v>https://www.instagram.com/karbalaasalam/</v>
      </c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>
      <c r="A609" s="5"/>
      <c r="B609" s="5" t="str">
        <f>IFERROR(__xludf.DUMMYFUNCTION("""COMPUTED_VALUE"""),"هیأت دانشجویی")</f>
        <v>هیأت دانشجویی</v>
      </c>
      <c r="C609" s="5" t="str">
        <f>IFERROR(__xludf.DUMMYFUNCTION("""COMPUTED_VALUE"""),"سوره")</f>
        <v>سوره</v>
      </c>
      <c r="D609" s="5" t="str">
        <f>IFERROR(__xludf.DUMMYFUNCTION("""COMPUTED_VALUE"""),"تهران")</f>
        <v>تهران</v>
      </c>
      <c r="E609" s="5" t="str">
        <f>IFERROR(__xludf.DUMMYFUNCTION("""COMPUTED_VALUE"""),"تهران")</f>
        <v>تهران</v>
      </c>
      <c r="F609" s="5"/>
      <c r="G609" s="5"/>
      <c r="H609" s="6" t="str">
        <f>IFERROR(__xludf.DUMMYFUNCTION("""COMPUTED_VALUE"""),"https://www.instagram.com/soureh_iu/")</f>
        <v>https://www.instagram.com/soureh_iu/</v>
      </c>
      <c r="I609" s="5"/>
      <c r="J609" s="6" t="str">
        <f>IFERROR(__xludf.DUMMYFUNCTION("""COMPUTED_VALUE"""),"https://eitaa.com/soore_IU")</f>
        <v>https://eitaa.com/soore_IU</v>
      </c>
      <c r="K609" s="5"/>
      <c r="L609" s="6" t="str">
        <f>IFERROR(__xludf.DUMMYFUNCTION("""COMPUTED_VALUE"""),"https://soore.ac.ir/")</f>
        <v>https://soore.ac.ir/</v>
      </c>
      <c r="M609" s="5"/>
      <c r="N609" s="5"/>
      <c r="O609" s="5"/>
      <c r="P609" s="5"/>
      <c r="Q609" s="5"/>
      <c r="R609" s="5"/>
      <c r="S609" s="5"/>
    </row>
    <row r="610">
      <c r="A610" s="5"/>
      <c r="B610" s="5" t="str">
        <f>IFERROR(__xludf.DUMMYFUNCTION("""COMPUTED_VALUE"""),"هیأت دانشجویی")</f>
        <v>هیأت دانشجویی</v>
      </c>
      <c r="C610" s="5" t="str">
        <f>IFERROR(__xludf.DUMMYFUNCTION("""COMPUTED_VALUE"""),"فاطمیون")</f>
        <v>فاطمیون</v>
      </c>
      <c r="D610" s="5" t="str">
        <f>IFERROR(__xludf.DUMMYFUNCTION("""COMPUTED_VALUE"""),"تهران")</f>
        <v>تهران</v>
      </c>
      <c r="E610" s="5" t="str">
        <f>IFERROR(__xludf.DUMMYFUNCTION("""COMPUTED_VALUE"""),"تهران")</f>
        <v>تهران</v>
      </c>
      <c r="F610" s="5"/>
      <c r="G610" s="5"/>
      <c r="H610" s="6" t="str">
        <f>IFERROR(__xludf.DUMMYFUNCTION("""COMPUTED_VALUE"""),"https://www.instagram.com/heiatefatemion/")</f>
        <v>https://www.instagram.com/heiatefatemion/</v>
      </c>
      <c r="I610" s="5"/>
      <c r="J610" s="5"/>
      <c r="K610" s="5"/>
      <c r="L610" s="6" t="str">
        <f>IFERROR(__xludf.DUMMYFUNCTION("""COMPUTED_VALUE"""),"heyat.sbu.ac.ir")</f>
        <v>heyat.sbu.ac.ir</v>
      </c>
      <c r="M610" s="5"/>
      <c r="N610" s="5"/>
      <c r="O610" s="5"/>
      <c r="P610" s="5"/>
      <c r="Q610" s="5"/>
      <c r="R610" s="5"/>
      <c r="S610" s="5"/>
    </row>
    <row r="611">
      <c r="A611" s="5"/>
      <c r="B611" s="5" t="str">
        <f>IFERROR(__xludf.DUMMYFUNCTION("""COMPUTED_VALUE"""),"هیأت دانشجویی")</f>
        <v>هیأت دانشجویی</v>
      </c>
      <c r="C611" s="5" t="str">
        <f>IFERROR(__xludf.DUMMYFUNCTION("""COMPUTED_VALUE"""),"محبان الزهرا (س)")</f>
        <v>محبان الزهرا (س)</v>
      </c>
      <c r="D611" s="5" t="str">
        <f>IFERROR(__xludf.DUMMYFUNCTION("""COMPUTED_VALUE"""),"تهران")</f>
        <v>تهران</v>
      </c>
      <c r="E611" s="5" t="str">
        <f>IFERROR(__xludf.DUMMYFUNCTION("""COMPUTED_VALUE"""),"تهران")</f>
        <v>تهران</v>
      </c>
      <c r="F611" s="5"/>
      <c r="G611" s="5"/>
      <c r="H611" s="6" t="str">
        <f>IFERROR(__xludf.DUMMYFUNCTION("""COMPUTED_VALUE"""),"https://www.instagram.com/heyatealzahra_ir/")</f>
        <v>https://www.instagram.com/heyatealzahra_ir/</v>
      </c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>
      <c r="A612" s="5"/>
      <c r="B612" s="5" t="str">
        <f>IFERROR(__xludf.DUMMYFUNCTION("""COMPUTED_VALUE"""),"هیأت دانشجویی")</f>
        <v>هیأت دانشجویی</v>
      </c>
      <c r="C612" s="5" t="str">
        <f>IFERROR(__xludf.DUMMYFUNCTION("""COMPUTED_VALUE"""),"حضرت فاطمه زهرا (س)")</f>
        <v>حضرت فاطمه زهرا (س)</v>
      </c>
      <c r="D612" s="5" t="str">
        <f>IFERROR(__xludf.DUMMYFUNCTION("""COMPUTED_VALUE"""),"تهران")</f>
        <v>تهران</v>
      </c>
      <c r="E612" s="5" t="str">
        <f>IFERROR(__xludf.DUMMYFUNCTION("""COMPUTED_VALUE"""),"تهران")</f>
        <v>تهران</v>
      </c>
      <c r="F612" s="5"/>
      <c r="G612" s="5"/>
      <c r="H612" s="5"/>
      <c r="I612" s="6" t="str">
        <f>IFERROR(__xludf.DUMMYFUNCTION("""COMPUTED_VALUE"""),"https://t.me/hazratzahraiaumarkaz")</f>
        <v>https://t.me/hazratzahraiaumarkaz</v>
      </c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>
      <c r="A613" s="5"/>
      <c r="B613" s="5" t="str">
        <f>IFERROR(__xludf.DUMMYFUNCTION("""COMPUTED_VALUE"""),"هیأت")</f>
        <v>هیأت</v>
      </c>
      <c r="C613" s="5" t="str">
        <f>IFERROR(__xludf.DUMMYFUNCTION("""COMPUTED_VALUE"""),"دختران باران")</f>
        <v>دختران باران</v>
      </c>
      <c r="D613" s="5" t="str">
        <f>IFERROR(__xludf.DUMMYFUNCTION("""COMPUTED_VALUE"""),"تهران")</f>
        <v>تهران</v>
      </c>
      <c r="E613" s="5" t="str">
        <f>IFERROR(__xludf.DUMMYFUNCTION("""COMPUTED_VALUE"""),"تهران")</f>
        <v>تهران</v>
      </c>
      <c r="F613" s="5"/>
      <c r="G613" s="5"/>
      <c r="H613" s="5"/>
      <c r="I613" s="5"/>
      <c r="J613" s="6" t="str">
        <f>IFERROR(__xludf.DUMMYFUNCTION("""COMPUTED_VALUE"""),"https://eitaa.com/nooravin")</f>
        <v>https://eitaa.com/nooravin</v>
      </c>
      <c r="K613" s="5"/>
      <c r="L613" s="5"/>
      <c r="M613" s="5"/>
      <c r="N613" s="5"/>
      <c r="O613" s="5"/>
      <c r="P613" s="5"/>
      <c r="Q613" s="5"/>
      <c r="R613" s="5"/>
      <c r="S613" s="5"/>
    </row>
    <row r="614">
      <c r="A614" s="5"/>
      <c r="B614" s="5" t="str">
        <f>IFERROR(__xludf.DUMMYFUNCTION("""COMPUTED_VALUE"""),"هیأت دانشجویی")</f>
        <v>هیأت دانشجویی</v>
      </c>
      <c r="C614" s="5" t="str">
        <f>IFERROR(__xludf.DUMMYFUNCTION("""COMPUTED_VALUE"""),"جنت الحسین (ع)")</f>
        <v>جنت الحسین (ع)</v>
      </c>
      <c r="D614" s="5" t="str">
        <f>IFERROR(__xludf.DUMMYFUNCTION("""COMPUTED_VALUE"""),"تهران")</f>
        <v>تهران</v>
      </c>
      <c r="E614" s="5" t="str">
        <f>IFERROR(__xludf.DUMMYFUNCTION("""COMPUTED_VALUE"""),"تهران")</f>
        <v>تهران</v>
      </c>
      <c r="F614" s="5" t="str">
        <f>IFERROR(__xludf.DUMMYFUNCTION("""COMPUTED_VALUE"""),"دانشگاه فرهنگیان")</f>
        <v>دانشگاه فرهنگیان</v>
      </c>
      <c r="G614" s="5"/>
      <c r="H614" s="6" t="str">
        <f>IFERROR(__xludf.DUMMYFUNCTION("""COMPUTED_VALUE"""),"https://www.instagram.com/jannat_alhosein/")</f>
        <v>https://www.instagram.com/jannat_alhosein/</v>
      </c>
      <c r="I614" s="6" t="str">
        <f>IFERROR(__xludf.DUMMYFUNCTION("""COMPUTED_VALUE"""),"t.me/jannat_alhosain")</f>
        <v>t.me/jannat_alhosain</v>
      </c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>
      <c r="A615" s="5"/>
      <c r="B615" s="5" t="str">
        <f>IFERROR(__xludf.DUMMYFUNCTION("""COMPUTED_VALUE"""),"هیأت")</f>
        <v>هیأت</v>
      </c>
      <c r="C615" s="5" t="str">
        <f>IFERROR(__xludf.DUMMYFUNCTION("""COMPUTED_VALUE"""),"انصارالرضا (ع)")</f>
        <v>انصارالرضا (ع)</v>
      </c>
      <c r="D615" s="5" t="str">
        <f>IFERROR(__xludf.DUMMYFUNCTION("""COMPUTED_VALUE"""),"تهران")</f>
        <v>تهران</v>
      </c>
      <c r="E615" s="5" t="str">
        <f>IFERROR(__xludf.DUMMYFUNCTION("""COMPUTED_VALUE"""),"تهران")</f>
        <v>تهران</v>
      </c>
      <c r="F615" s="5"/>
      <c r="G615" s="5"/>
      <c r="H615" s="6" t="str">
        <f>IFERROR(__xludf.DUMMYFUNCTION("""COMPUTED_VALUE"""),"https://www.instagram.com/ansar_alreza1383/")</f>
        <v>https://www.instagram.com/ansar_alreza1383/</v>
      </c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>
      <c r="A616" s="5"/>
      <c r="B616" s="5" t="str">
        <f>IFERROR(__xludf.DUMMYFUNCTION("""COMPUTED_VALUE"""),"هیأت")</f>
        <v>هیأت</v>
      </c>
      <c r="C616" s="5" t="str">
        <f>IFERROR(__xludf.DUMMYFUNCTION("""COMPUTED_VALUE"""),"آل یاسین")</f>
        <v>آل یاسین</v>
      </c>
      <c r="D616" s="5" t="str">
        <f>IFERROR(__xludf.DUMMYFUNCTION("""COMPUTED_VALUE"""),"تهران")</f>
        <v>تهران</v>
      </c>
      <c r="E616" s="5" t="str">
        <f>IFERROR(__xludf.DUMMYFUNCTION("""COMPUTED_VALUE"""),"تهران")</f>
        <v>تهران</v>
      </c>
      <c r="F616" s="5"/>
      <c r="G616" s="5"/>
      <c r="H616" s="6" t="str">
        <f>IFERROR(__xludf.DUMMYFUNCTION("""COMPUTED_VALUE"""),"https://www.instagram.com/aleyasin_tehran/")</f>
        <v>https://www.instagram.com/aleyasin_tehran/</v>
      </c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>
      <c r="A617" s="5"/>
      <c r="B617" s="5" t="str">
        <f>IFERROR(__xludf.DUMMYFUNCTION("""COMPUTED_VALUE"""),"هیأت")</f>
        <v>هیأت</v>
      </c>
      <c r="C617" s="5" t="str">
        <f>IFERROR(__xludf.DUMMYFUNCTION("""COMPUTED_VALUE"""),"محبان الرضا")</f>
        <v>محبان الرضا</v>
      </c>
      <c r="D617" s="5" t="str">
        <f>IFERROR(__xludf.DUMMYFUNCTION("""COMPUTED_VALUE"""),"تهران")</f>
        <v>تهران</v>
      </c>
      <c r="E617" s="5" t="str">
        <f>IFERROR(__xludf.DUMMYFUNCTION("""COMPUTED_VALUE"""),"تهران")</f>
        <v>تهران</v>
      </c>
      <c r="F617" s="5"/>
      <c r="G617" s="5"/>
      <c r="H617" s="5"/>
      <c r="I617" s="6" t="str">
        <f>IFERROR(__xludf.DUMMYFUNCTION("""COMPUTED_VALUE"""),"https://t.me/mohebanalreza_bot")</f>
        <v>https://t.me/mohebanalreza_bot</v>
      </c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>
      <c r="A618" s="5"/>
      <c r="B618" s="5" t="str">
        <f>IFERROR(__xludf.DUMMYFUNCTION("""COMPUTED_VALUE"""),"هیأت")</f>
        <v>هیأت</v>
      </c>
      <c r="C618" s="5" t="str">
        <f>IFERROR(__xludf.DUMMYFUNCTION("""COMPUTED_VALUE"""),"هیأت علمدار کربلا")</f>
        <v>هیأت علمدار کربلا</v>
      </c>
      <c r="D618" s="5" t="str">
        <f>IFERROR(__xludf.DUMMYFUNCTION("""COMPUTED_VALUE"""),"تهران")</f>
        <v>تهران</v>
      </c>
      <c r="E618" s="5" t="str">
        <f>IFERROR(__xludf.DUMMYFUNCTION("""COMPUTED_VALUE"""),"تهران")</f>
        <v>تهران</v>
      </c>
      <c r="F618" s="5"/>
      <c r="G618" s="5"/>
      <c r="H618" s="6" t="str">
        <f>IFERROR(__xludf.DUMMYFUNCTION("""COMPUTED_VALUE"""),"https://www.instagram.com/harameemah/")</f>
        <v>https://www.instagram.com/harameemah/</v>
      </c>
      <c r="I618" s="6" t="str">
        <f>IFERROR(__xludf.DUMMYFUNCTION("""COMPUTED_VALUE"""),"tlgrm.in/harameemah")</f>
        <v>tlgrm.in/harameemah</v>
      </c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>
      <c r="A619" s="5"/>
      <c r="B619" s="5" t="str">
        <f>IFERROR(__xludf.DUMMYFUNCTION("""COMPUTED_VALUE"""),"هیأت")</f>
        <v>هیأت</v>
      </c>
      <c r="C619" s="5" t="str">
        <f>IFERROR(__xludf.DUMMYFUNCTION("""COMPUTED_VALUE"""),"نوجوانان مکتب الزهرا")</f>
        <v>نوجوانان مکتب الزهرا</v>
      </c>
      <c r="D619" s="5" t="str">
        <f>IFERROR(__xludf.DUMMYFUNCTION("""COMPUTED_VALUE"""),"تهران")</f>
        <v>تهران</v>
      </c>
      <c r="E619" s="5" t="str">
        <f>IFERROR(__xludf.DUMMYFUNCTION("""COMPUTED_VALUE"""),"تهران")</f>
        <v>تهران</v>
      </c>
      <c r="F619" s="5"/>
      <c r="G619" s="5"/>
      <c r="H619" s="5" t="str">
        <f>IFERROR(__xludf.DUMMYFUNCTION("""COMPUTED_VALUE""")," ")</f>
        <v> </v>
      </c>
      <c r="I619" s="5"/>
      <c r="J619" s="6" t="str">
        <f>IFERROR(__xludf.DUMMYFUNCTION("""COMPUTED_VALUE"""),"https://eitaa.com/heiateDahehashtadiha")</f>
        <v>https://eitaa.com/heiateDahehashtadiha</v>
      </c>
      <c r="K619" s="5"/>
      <c r="L619" s="5"/>
      <c r="M619" s="5"/>
      <c r="N619" s="5"/>
      <c r="O619" s="5"/>
      <c r="P619" s="5"/>
      <c r="Q619" s="5"/>
      <c r="R619" s="5"/>
      <c r="S619" s="5"/>
    </row>
    <row r="620">
      <c r="A620" s="5"/>
      <c r="B620" s="5" t="str">
        <f>IFERROR(__xludf.DUMMYFUNCTION("""COMPUTED_VALUE"""),"هیأت")</f>
        <v>هیأت</v>
      </c>
      <c r="C620" s="5" t="str">
        <f>IFERROR(__xludf.DUMMYFUNCTION("""COMPUTED_VALUE"""),"ابناءالزهرا (س)")</f>
        <v>ابناءالزهرا (س)</v>
      </c>
      <c r="D620" s="5" t="str">
        <f>IFERROR(__xludf.DUMMYFUNCTION("""COMPUTED_VALUE"""),"تهران")</f>
        <v>تهران</v>
      </c>
      <c r="E620" s="5" t="str">
        <f>IFERROR(__xludf.DUMMYFUNCTION("""COMPUTED_VALUE"""),"تهران")</f>
        <v>تهران</v>
      </c>
      <c r="F620" s="5"/>
      <c r="G620" s="5"/>
      <c r="H620" s="6" t="str">
        <f>IFERROR(__xludf.DUMMYFUNCTION("""COMPUTED_VALUE"""),"https://www.instagram.com/abnaozahra_com/")</f>
        <v>https://www.instagram.com/abnaozahra_com/</v>
      </c>
      <c r="I620" s="6" t="str">
        <f>IFERROR(__xludf.DUMMYFUNCTION("""COMPUTED_VALUE"""),"https://t.me/abnaozahra_com")</f>
        <v>https://t.me/abnaozahra_com</v>
      </c>
      <c r="J620" s="6" t="str">
        <f>IFERROR(__xludf.DUMMYFUNCTION("""COMPUTED_VALUE"""),"https://eitaa.com/Abnaozahra_com")</f>
        <v>https://eitaa.com/Abnaozahra_com</v>
      </c>
      <c r="K620" s="6" t="str">
        <f>IFERROR(__xludf.DUMMYFUNCTION("""COMPUTED_VALUE"""),"https://www.youtube.com/@abnaozahra_com")</f>
        <v>https://www.youtube.com/@abnaozahra_com</v>
      </c>
      <c r="L620" s="6" t="str">
        <f>IFERROR(__xludf.DUMMYFUNCTION("""COMPUTED_VALUE"""),"https://abnaozahra.com/")</f>
        <v>https://abnaozahra.com/</v>
      </c>
      <c r="M620" s="5"/>
      <c r="N620" s="5"/>
      <c r="O620" s="5"/>
      <c r="P620" s="5"/>
      <c r="Q620" s="5"/>
      <c r="R620" s="5"/>
      <c r="S620" s="5"/>
    </row>
    <row r="621">
      <c r="A621" s="5"/>
      <c r="B621" s="5" t="str">
        <f>IFERROR(__xludf.DUMMYFUNCTION("""COMPUTED_VALUE"""),"حسینیه")</f>
        <v>حسینیه</v>
      </c>
      <c r="C621" s="5" t="str">
        <f>IFERROR(__xludf.DUMMYFUNCTION("""COMPUTED_VALUE"""),"دو طفلان مسلم(ع)")</f>
        <v>دو طفلان مسلم(ع)</v>
      </c>
      <c r="D621" s="5" t="str">
        <f>IFERROR(__xludf.DUMMYFUNCTION("""COMPUTED_VALUE"""),"تهران")</f>
        <v>تهران</v>
      </c>
      <c r="E621" s="5" t="str">
        <f>IFERROR(__xludf.DUMMYFUNCTION("""COMPUTED_VALUE"""),"تهران")</f>
        <v>تهران</v>
      </c>
      <c r="F621" s="5"/>
      <c r="G621" s="5"/>
      <c r="H621" s="6" t="str">
        <f>IFERROR(__xludf.DUMMYFUNCTION("""COMPUTED_VALUE"""),"https://www.instagram.com/doteflan/")</f>
        <v>https://www.instagram.com/doteflan/</v>
      </c>
      <c r="I621" s="6" t="str">
        <f>IFERROR(__xludf.DUMMYFUNCTION("""COMPUTED_VALUE"""),"https://t.me/doteflan")</f>
        <v>https://t.me/doteflan</v>
      </c>
      <c r="J621" s="6" t="str">
        <f>IFERROR(__xludf.DUMMYFUNCTION("""COMPUTED_VALUE"""),"https://eitaa.com/doteflan")</f>
        <v>https://eitaa.com/doteflan</v>
      </c>
      <c r="K621" s="5"/>
      <c r="L621" s="5"/>
      <c r="M621" s="5"/>
      <c r="N621" s="5"/>
      <c r="O621" s="5"/>
      <c r="P621" s="5"/>
      <c r="Q621" s="5"/>
      <c r="R621" s="5"/>
      <c r="S621" s="5"/>
    </row>
    <row r="622">
      <c r="A622" s="5"/>
      <c r="B622" s="5" t="str">
        <f>IFERROR(__xludf.DUMMYFUNCTION("""COMPUTED_VALUE"""),"هیأت")</f>
        <v>هیأت</v>
      </c>
      <c r="C622" s="5" t="str">
        <f>IFERROR(__xludf.DUMMYFUNCTION("""COMPUTED_VALUE"""),"علمدار")</f>
        <v>علمدار</v>
      </c>
      <c r="D622" s="5" t="str">
        <f>IFERROR(__xludf.DUMMYFUNCTION("""COMPUTED_VALUE"""),"تهران")</f>
        <v>تهران</v>
      </c>
      <c r="E622" s="5" t="str">
        <f>IFERROR(__xludf.DUMMYFUNCTION("""COMPUTED_VALUE"""),"تهران")</f>
        <v>تهران</v>
      </c>
      <c r="F622" s="5"/>
      <c r="G622" s="5"/>
      <c r="H622" s="6" t="str">
        <f>IFERROR(__xludf.DUMMYFUNCTION("""COMPUTED_VALUE"""),"https://www.instagram.com/alamdar.varamin/")</f>
        <v>https://www.instagram.com/alamdar.varamin/</v>
      </c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>
      <c r="A623" s="5"/>
      <c r="B623" s="5" t="str">
        <f>IFERROR(__xludf.DUMMYFUNCTION("""COMPUTED_VALUE"""),"هیأت")</f>
        <v>هیأت</v>
      </c>
      <c r="C623" s="5" t="str">
        <f>IFERROR(__xludf.DUMMYFUNCTION("""COMPUTED_VALUE"""),"باب الحوائج")</f>
        <v>باب الحوائج</v>
      </c>
      <c r="D623" s="5" t="str">
        <f>IFERROR(__xludf.DUMMYFUNCTION("""COMPUTED_VALUE"""),"تهران")</f>
        <v>تهران</v>
      </c>
      <c r="E623" s="5" t="str">
        <f>IFERROR(__xludf.DUMMYFUNCTION("""COMPUTED_VALUE"""),"تهران")</f>
        <v>تهران</v>
      </c>
      <c r="F623" s="5"/>
      <c r="G623" s="5"/>
      <c r="H623" s="6" t="str">
        <f>IFERROR(__xludf.DUMMYFUNCTION("""COMPUTED_VALUE"""),"https://www.instagram.com/heyatbabolhavaej_gharb_tehran/")</f>
        <v>https://www.instagram.com/heyatbabolhavaej_gharb_tehran/</v>
      </c>
      <c r="I623" s="6" t="str">
        <f>IFERROR(__xludf.DUMMYFUNCTION("""COMPUTED_VALUE"""),"t.me/babolhavaej10metri")</f>
        <v>t.me/babolhavaej10metri</v>
      </c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>
      <c r="A624" s="5"/>
      <c r="B624" s="5" t="str">
        <f>IFERROR(__xludf.DUMMYFUNCTION("""COMPUTED_VALUE"""),"هیأت")</f>
        <v>هیأت</v>
      </c>
      <c r="C624" s="5" t="str">
        <f>IFERROR(__xludf.DUMMYFUNCTION("""COMPUTED_VALUE"""),"فاطمیه")</f>
        <v>فاطمیه</v>
      </c>
      <c r="D624" s="5" t="str">
        <f>IFERROR(__xludf.DUMMYFUNCTION("""COMPUTED_VALUE"""),"تهران")</f>
        <v>تهران</v>
      </c>
      <c r="E624" s="5" t="str">
        <f>IFERROR(__xludf.DUMMYFUNCTION("""COMPUTED_VALUE"""),"تهران")</f>
        <v>تهران</v>
      </c>
      <c r="F624" s="5"/>
      <c r="G624" s="5"/>
      <c r="H624" s="6" t="str">
        <f>IFERROR(__xludf.DUMMYFUNCTION("""COMPUTED_VALUE"""),"https://www.instagram.com/fatemiyetehran/")</f>
        <v>https://www.instagram.com/fatemiyetehran/</v>
      </c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>
      <c r="A625" s="5"/>
      <c r="B625" s="5" t="str">
        <f>IFERROR(__xludf.DUMMYFUNCTION("""COMPUTED_VALUE"""),"هیأت")</f>
        <v>هیأت</v>
      </c>
      <c r="C625" s="5" t="str">
        <f>IFERROR(__xludf.DUMMYFUNCTION("""COMPUTED_VALUE"""),"حضرت رقیه جان (س)
")</f>
        <v>حضرت رقیه جان (س)
</v>
      </c>
      <c r="D625" s="5" t="str">
        <f>IFERROR(__xludf.DUMMYFUNCTION("""COMPUTED_VALUE"""),"تهران")</f>
        <v>تهران</v>
      </c>
      <c r="E625" s="5" t="str">
        <f>IFERROR(__xludf.DUMMYFUNCTION("""COMPUTED_VALUE"""),"تهران")</f>
        <v>تهران</v>
      </c>
      <c r="F625" s="5"/>
      <c r="G625" s="5"/>
      <c r="H625" s="6" t="str">
        <f>IFERROR(__xludf.DUMMYFUNCTION("""COMPUTED_VALUE"""),"https://www.instagram.com/rooghaye_jan/")</f>
        <v>https://www.instagram.com/rooghaye_jan/</v>
      </c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>
      <c r="A626" s="5"/>
      <c r="B626" s="5" t="str">
        <f>IFERROR(__xludf.DUMMYFUNCTION("""COMPUTED_VALUE"""),"هیأت")</f>
        <v>هیأت</v>
      </c>
      <c r="C626" s="5" t="str">
        <f>IFERROR(__xludf.DUMMYFUNCTION("""COMPUTED_VALUE"""),"بقیة الله الاعظم  (عج)")</f>
        <v>بقیة الله الاعظم  (عج)</v>
      </c>
      <c r="D626" s="5" t="str">
        <f>IFERROR(__xludf.DUMMYFUNCTION("""COMPUTED_VALUE"""),"تهران")</f>
        <v>تهران</v>
      </c>
      <c r="E626" s="5" t="str">
        <f>IFERROR(__xludf.DUMMYFUNCTION("""COMPUTED_VALUE"""),"تهران")</f>
        <v>تهران</v>
      </c>
      <c r="F626" s="5"/>
      <c r="G626" s="5"/>
      <c r="H626" s="5"/>
      <c r="I626" s="5"/>
      <c r="J626" s="6" t="str">
        <f>IFERROR(__xludf.DUMMYFUNCTION("""COMPUTED_VALUE"""),"https://eitaa.com/b59313")</f>
        <v>https://eitaa.com/b59313</v>
      </c>
      <c r="K626" s="5"/>
      <c r="L626" s="5"/>
      <c r="M626" s="5"/>
      <c r="N626" s="5"/>
      <c r="O626" s="5"/>
      <c r="P626" s="5"/>
      <c r="Q626" s="5"/>
      <c r="R626" s="5"/>
      <c r="S626" s="5"/>
    </row>
    <row r="627">
      <c r="A627" s="5"/>
      <c r="B627" s="5" t="str">
        <f>IFERROR(__xludf.DUMMYFUNCTION("""COMPUTED_VALUE"""),"هیأت")</f>
        <v>هیأت</v>
      </c>
      <c r="C627" s="5" t="str">
        <f>IFERROR(__xludf.DUMMYFUNCTION("""COMPUTED_VALUE"""),"احیا امر")</f>
        <v>احیا امر</v>
      </c>
      <c r="D627" s="5" t="str">
        <f>IFERROR(__xludf.DUMMYFUNCTION("""COMPUTED_VALUE"""),"تهران")</f>
        <v>تهران</v>
      </c>
      <c r="E627" s="5" t="str">
        <f>IFERROR(__xludf.DUMMYFUNCTION("""COMPUTED_VALUE"""),"تهران")</f>
        <v>تهران</v>
      </c>
      <c r="F627" s="5"/>
      <c r="G627" s="5"/>
      <c r="H627" s="6" t="str">
        <f>IFERROR(__xludf.DUMMYFUNCTION("""COMPUTED_VALUE"""),"https://www.instagram.com/ehyaae_amr/")</f>
        <v>https://www.instagram.com/ehyaae_amr/</v>
      </c>
      <c r="I627" s="6" t="str">
        <f>IFERROR(__xludf.DUMMYFUNCTION("""COMPUTED_VALUE"""),"t.me/ehyaae_amr")</f>
        <v>t.me/ehyaae_amr</v>
      </c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>
      <c r="A628" s="5"/>
      <c r="B628" s="5" t="str">
        <f>IFERROR(__xludf.DUMMYFUNCTION("""COMPUTED_VALUE"""),"هیأت")</f>
        <v>هیأت</v>
      </c>
      <c r="C628" s="5" t="str">
        <f>IFERROR(__xludf.DUMMYFUNCTION("""COMPUTED_VALUE"""),"جوانان حضرت علی اکبر")</f>
        <v>جوانان حضرت علی اکبر</v>
      </c>
      <c r="D628" s="5" t="str">
        <f>IFERROR(__xludf.DUMMYFUNCTION("""COMPUTED_VALUE"""),"تهران")</f>
        <v>تهران</v>
      </c>
      <c r="E628" s="5" t="str">
        <f>IFERROR(__xludf.DUMMYFUNCTION("""COMPUTED_VALUE"""),"تهران")</f>
        <v>تهران</v>
      </c>
      <c r="F628" s="5"/>
      <c r="G628" s="5"/>
      <c r="H628" s="6" t="str">
        <f>IFERROR(__xludf.DUMMYFUNCTION("""COMPUTED_VALUE"""),"https://www.instagram.com/heyatejavananehazratealiakbar/")</f>
        <v>https://www.instagram.com/heyatejavananehazratealiakbar/</v>
      </c>
      <c r="I628" s="6" t="str">
        <f>IFERROR(__xludf.DUMMYFUNCTION("""COMPUTED_VALUE"""),"t.me/heyatejavananehazratealiakbarr")</f>
        <v>t.me/heyatejavananehazratealiakbarr</v>
      </c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>
      <c r="A629" s="5"/>
      <c r="B629" s="5" t="str">
        <f>IFERROR(__xludf.DUMMYFUNCTION("""COMPUTED_VALUE"""),"هیأت")</f>
        <v>هیأت</v>
      </c>
      <c r="C629" s="5" t="str">
        <f>IFERROR(__xludf.DUMMYFUNCTION("""COMPUTED_VALUE"""),"ام النجبا")</f>
        <v>ام النجبا</v>
      </c>
      <c r="D629" s="5" t="str">
        <f>IFERROR(__xludf.DUMMYFUNCTION("""COMPUTED_VALUE"""),"تهران")</f>
        <v>تهران</v>
      </c>
      <c r="E629" s="5" t="str">
        <f>IFERROR(__xludf.DUMMYFUNCTION("""COMPUTED_VALUE"""),"تهران")</f>
        <v>تهران</v>
      </c>
      <c r="F629" s="5"/>
      <c r="G629" s="5"/>
      <c r="H629" s="6" t="str">
        <f>IFERROR(__xludf.DUMMYFUNCTION("""COMPUTED_VALUE"""),"https://www.instagram.com/h.maktab_omonojaba/")</f>
        <v>https://www.instagram.com/h.maktab_omonojaba/</v>
      </c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>
      <c r="A630" s="5"/>
      <c r="B630" s="5" t="str">
        <f>IFERROR(__xludf.DUMMYFUNCTION("""COMPUTED_VALUE"""),"هیأت")</f>
        <v>هیأت</v>
      </c>
      <c r="C630" s="5" t="str">
        <f>IFERROR(__xludf.DUMMYFUNCTION("""COMPUTED_VALUE"""),"احباب الحجة")</f>
        <v>احباب الحجة</v>
      </c>
      <c r="D630" s="5" t="str">
        <f>IFERROR(__xludf.DUMMYFUNCTION("""COMPUTED_VALUE"""),"تهران")</f>
        <v>تهران</v>
      </c>
      <c r="E630" s="5" t="str">
        <f>IFERROR(__xludf.DUMMYFUNCTION("""COMPUTED_VALUE"""),"تهران")</f>
        <v>تهران</v>
      </c>
      <c r="F630" s="5"/>
      <c r="G630" s="5"/>
      <c r="H630" s="5"/>
      <c r="I630" s="5"/>
      <c r="J630" s="6" t="str">
        <f>IFERROR(__xludf.DUMMYFUNCTION("""COMPUTED_VALUE"""),"https://eitaa.com/ahbabolhojah")</f>
        <v>https://eitaa.com/ahbabolhojah</v>
      </c>
      <c r="K630" s="5"/>
      <c r="L630" s="5"/>
      <c r="M630" s="5"/>
      <c r="N630" s="5"/>
      <c r="O630" s="5"/>
      <c r="P630" s="5"/>
      <c r="Q630" s="5"/>
      <c r="R630" s="5"/>
      <c r="S630" s="5"/>
    </row>
    <row r="631">
      <c r="A631" s="5"/>
      <c r="B631" s="5" t="str">
        <f>IFERROR(__xludf.DUMMYFUNCTION("""COMPUTED_VALUE"""),"هیأت")</f>
        <v>هیأت</v>
      </c>
      <c r="C631" s="5" t="str">
        <f>IFERROR(__xludf.DUMMYFUNCTION("""COMPUTED_VALUE"""),"خیمه کریم اهل بیت")</f>
        <v>خیمه کریم اهل بیت</v>
      </c>
      <c r="D631" s="5" t="str">
        <f>IFERROR(__xludf.DUMMYFUNCTION("""COMPUTED_VALUE"""),"تهران")</f>
        <v>تهران</v>
      </c>
      <c r="E631" s="5" t="str">
        <f>IFERROR(__xludf.DUMMYFUNCTION("""COMPUTED_VALUE"""),"تهران")</f>
        <v>تهران</v>
      </c>
      <c r="F631" s="5"/>
      <c r="G631" s="5"/>
      <c r="H631" s="6" t="str">
        <f>IFERROR(__xludf.DUMMYFUNCTION("""COMPUTED_VALUE"""),"https://www.instagram.com/kheymekarimahlbeyt")</f>
        <v>https://www.instagram.com/kheymekarimahlbeyt</v>
      </c>
      <c r="I631" s="5"/>
      <c r="J631" s="6" t="str">
        <f>IFERROR(__xludf.DUMMYFUNCTION("""COMPUTED_VALUE"""),"https://eitaa.com/kheymekarimahlbeyt")</f>
        <v>https://eitaa.com/kheymekarimahlbeyt</v>
      </c>
      <c r="K631" s="5"/>
      <c r="L631" s="5"/>
      <c r="M631" s="5"/>
      <c r="N631" s="5"/>
      <c r="O631" s="5"/>
      <c r="P631" s="5"/>
      <c r="Q631" s="5"/>
      <c r="R631" s="5"/>
      <c r="S631" s="5"/>
    </row>
    <row r="632">
      <c r="A632" s="5"/>
      <c r="B632" s="5" t="str">
        <f>IFERROR(__xludf.DUMMYFUNCTION("""COMPUTED_VALUE"""),"هیأت")</f>
        <v>هیأت</v>
      </c>
      <c r="C632" s="5" t="str">
        <f>IFERROR(__xludf.DUMMYFUNCTION("""COMPUTED_VALUE"""),"علی بن الحسین (ع)")</f>
        <v>علی بن الحسین (ع)</v>
      </c>
      <c r="D632" s="5" t="str">
        <f>IFERROR(__xludf.DUMMYFUNCTION("""COMPUTED_VALUE"""),"تهران")</f>
        <v>تهران</v>
      </c>
      <c r="E632" s="5" t="str">
        <f>IFERROR(__xludf.DUMMYFUNCTION("""COMPUTED_VALUE"""),"تهران")</f>
        <v>تهران</v>
      </c>
      <c r="F632" s="5"/>
      <c r="G632" s="5"/>
      <c r="H632" s="6" t="str">
        <f>IFERROR(__xludf.DUMMYFUNCTION("""COMPUTED_VALUE"""),"https://www.instagram.com/masjedaliebnelhossein/")</f>
        <v>https://www.instagram.com/masjedaliebnelhossein/</v>
      </c>
      <c r="I632" s="5"/>
      <c r="J632" s="6" t="str">
        <f>IFERROR(__xludf.DUMMYFUNCTION("""COMPUTED_VALUE"""),"ble.ir/aliebnelhossein")</f>
        <v>ble.ir/aliebnelhossein</v>
      </c>
      <c r="K632" s="5"/>
      <c r="L632" s="5"/>
      <c r="M632" s="5"/>
      <c r="N632" s="5"/>
      <c r="O632" s="5"/>
      <c r="P632" s="5"/>
      <c r="Q632" s="5"/>
      <c r="R632" s="5"/>
      <c r="S632" s="5"/>
    </row>
    <row r="633">
      <c r="A633" s="5"/>
      <c r="B633" s="5" t="str">
        <f>IFERROR(__xludf.DUMMYFUNCTION("""COMPUTED_VALUE"""),"هیأت")</f>
        <v>هیأت</v>
      </c>
      <c r="C633" s="5" t="str">
        <f>IFERROR(__xludf.DUMMYFUNCTION("""COMPUTED_VALUE"""),"عشاق الزهرا (س)")</f>
        <v>عشاق الزهرا (س)</v>
      </c>
      <c r="D633" s="5" t="str">
        <f>IFERROR(__xludf.DUMMYFUNCTION("""COMPUTED_VALUE"""),"تهران")</f>
        <v>تهران</v>
      </c>
      <c r="E633" s="5" t="str">
        <f>IFERROR(__xludf.DUMMYFUNCTION("""COMPUTED_VALUE"""),"تهران")</f>
        <v>تهران</v>
      </c>
      <c r="F633" s="5"/>
      <c r="G633" s="5"/>
      <c r="H633" s="6" t="str">
        <f>IFERROR(__xludf.DUMMYFUNCTION("""COMPUTED_VALUE"""),"https://www.instagram.com/oshaghalzahra/")</f>
        <v>https://www.instagram.com/oshaghalzahra/</v>
      </c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>
      <c r="A634" s="5"/>
      <c r="B634" s="5" t="str">
        <f>IFERROR(__xludf.DUMMYFUNCTION("""COMPUTED_VALUE"""),"هیأت")</f>
        <v>هیأت</v>
      </c>
      <c r="C634" s="5" t="str">
        <f>IFERROR(__xludf.DUMMYFUNCTION("""COMPUTED_VALUE"""),"مکتب الرضا (ع)")</f>
        <v>مکتب الرضا (ع)</v>
      </c>
      <c r="D634" s="5" t="str">
        <f>IFERROR(__xludf.DUMMYFUNCTION("""COMPUTED_VALUE"""),"تهران")</f>
        <v>تهران</v>
      </c>
      <c r="E634" s="5" t="str">
        <f>IFERROR(__xludf.DUMMYFUNCTION("""COMPUTED_VALUE"""),"تهران")</f>
        <v>تهران</v>
      </c>
      <c r="F634" s="5"/>
      <c r="G634" s="5"/>
      <c r="H634" s="6" t="str">
        <f>IFERROR(__xludf.DUMMYFUNCTION("""COMPUTED_VALUE"""),"https://www.instagram.com/maktaborreza_qods/")</f>
        <v>https://www.instagram.com/maktaborreza_qods/</v>
      </c>
      <c r="I634" s="6" t="str">
        <f>IFERROR(__xludf.DUMMYFUNCTION("""COMPUTED_VALUE"""),"t.me/HajSeyedMeysamMahmoudi")</f>
        <v>t.me/HajSeyedMeysamMahmoudi</v>
      </c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>
      <c r="A635" s="5"/>
      <c r="B635" s="5" t="str">
        <f>IFERROR(__xludf.DUMMYFUNCTION("""COMPUTED_VALUE"""),"هیأت")</f>
        <v>هیأت</v>
      </c>
      <c r="C635" s="5" t="str">
        <f>IFERROR(__xludf.DUMMYFUNCTION("""COMPUTED_VALUE"""),"محفل اشک")</f>
        <v>محفل اشک</v>
      </c>
      <c r="D635" s="5" t="str">
        <f>IFERROR(__xludf.DUMMYFUNCTION("""COMPUTED_VALUE"""),"تهران")</f>
        <v>تهران</v>
      </c>
      <c r="E635" s="5" t="str">
        <f>IFERROR(__xludf.DUMMYFUNCTION("""COMPUTED_VALUE"""),"تهران")</f>
        <v>تهران</v>
      </c>
      <c r="F635" s="5"/>
      <c r="G635" s="5"/>
      <c r="H635" s="6" t="str">
        <f>IFERROR(__xludf.DUMMYFUNCTION("""COMPUTED_VALUE"""),"https://www.instagram.com/mahfell_ashk/")</f>
        <v>https://www.instagram.com/mahfell_ashk/</v>
      </c>
      <c r="I635" s="6" t="str">
        <f>IFERROR(__xludf.DUMMYFUNCTION("""COMPUTED_VALUE"""),"t.me/mahfell_ashk")</f>
        <v>t.me/mahfell_ashk</v>
      </c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>
      <c r="A636" s="5"/>
      <c r="B636" s="5" t="str">
        <f>IFERROR(__xludf.DUMMYFUNCTION("""COMPUTED_VALUE"""),"هیأت")</f>
        <v>هیأت</v>
      </c>
      <c r="C636" s="5" t="str">
        <f>IFERROR(__xludf.DUMMYFUNCTION("""COMPUTED_VALUE"""),"محب الشهدا")</f>
        <v>محب الشهدا</v>
      </c>
      <c r="D636" s="5" t="str">
        <f>IFERROR(__xludf.DUMMYFUNCTION("""COMPUTED_VALUE"""),"تهران")</f>
        <v>تهران</v>
      </c>
      <c r="E636" s="5" t="str">
        <f>IFERROR(__xludf.DUMMYFUNCTION("""COMPUTED_VALUE"""),"تهران")</f>
        <v>تهران</v>
      </c>
      <c r="F636" s="5"/>
      <c r="G636" s="5"/>
      <c r="H636" s="5"/>
      <c r="I636" s="5"/>
      <c r="J636" s="6" t="str">
        <f>IFERROR(__xludf.DUMMYFUNCTION("""COMPUTED_VALUE"""),"https://eitaa.com/mohebb_ir")</f>
        <v>https://eitaa.com/mohebb_ir</v>
      </c>
      <c r="K636" s="5"/>
      <c r="L636" s="6" t="str">
        <f>IFERROR(__xludf.DUMMYFUNCTION("""COMPUTED_VALUE"""),"mohebb.ir")</f>
        <v>mohebb.ir</v>
      </c>
      <c r="M636" s="5"/>
      <c r="N636" s="5"/>
      <c r="O636" s="5"/>
      <c r="P636" s="5"/>
      <c r="Q636" s="5"/>
      <c r="R636" s="5"/>
      <c r="S636" s="5"/>
    </row>
    <row r="637">
      <c r="A637" s="5"/>
      <c r="B637" s="5" t="str">
        <f>IFERROR(__xludf.DUMMYFUNCTION("""COMPUTED_VALUE"""),"هیأت")</f>
        <v>هیأت</v>
      </c>
      <c r="C637" s="5" t="str">
        <f>IFERROR(__xludf.DUMMYFUNCTION("""COMPUTED_VALUE"""),"مکتب الزهرا (س)")</f>
        <v>مکتب الزهرا (س)</v>
      </c>
      <c r="D637" s="5" t="str">
        <f>IFERROR(__xludf.DUMMYFUNCTION("""COMPUTED_VALUE"""),"تهران")</f>
        <v>تهران</v>
      </c>
      <c r="E637" s="5" t="str">
        <f>IFERROR(__xludf.DUMMYFUNCTION("""COMPUTED_VALUE"""),"تهران")</f>
        <v>تهران</v>
      </c>
      <c r="F637" s="5"/>
      <c r="G637" s="5"/>
      <c r="H637" s="6" t="str">
        <f>IFERROR(__xludf.DUMMYFUNCTION("""COMPUTED_VALUE"""),"https://www.instagram.com/maktabozzahra_official/")</f>
        <v>https://www.instagram.com/maktabozzahra_official/</v>
      </c>
      <c r="I637" s="6" t="str">
        <f>IFERROR(__xludf.DUMMYFUNCTION("""COMPUTED_VALUE"""),"t.me/maktabozzahra1368")</f>
        <v>t.me/maktabozzahra1368</v>
      </c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>
      <c r="A638" s="5"/>
      <c r="B638" s="5" t="str">
        <f>IFERROR(__xludf.DUMMYFUNCTION("""COMPUTED_VALUE"""),"مسجد")</f>
        <v>مسجد</v>
      </c>
      <c r="C638" s="5" t="str">
        <f>IFERROR(__xludf.DUMMYFUNCTION("""COMPUTED_VALUE"""),"حوری")</f>
        <v>حوری</v>
      </c>
      <c r="D638" s="5" t="str">
        <f>IFERROR(__xludf.DUMMYFUNCTION("""COMPUTED_VALUE"""),"تهران")</f>
        <v>تهران</v>
      </c>
      <c r="E638" s="5" t="str">
        <f>IFERROR(__xludf.DUMMYFUNCTION("""COMPUTED_VALUE"""),"تهران")</f>
        <v>تهران</v>
      </c>
      <c r="F638" s="5"/>
      <c r="G638" s="5"/>
      <c r="H638" s="6" t="str">
        <f>IFERROR(__xludf.DUMMYFUNCTION("""COMPUTED_VALUE"""),"https://www.instagram.com/masjedhoori/")</f>
        <v>https://www.instagram.com/masjedhoori/</v>
      </c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>
      <c r="A639" s="5"/>
      <c r="B639" s="5" t="str">
        <f>IFERROR(__xludf.DUMMYFUNCTION("""COMPUTED_VALUE"""),"هیأت")</f>
        <v>هیأت</v>
      </c>
      <c r="C639" s="5" t="str">
        <f>IFERROR(__xludf.DUMMYFUNCTION("""COMPUTED_VALUE"""),"منتظران مصلح")</f>
        <v>منتظران مصلح</v>
      </c>
      <c r="D639" s="5" t="str">
        <f>IFERROR(__xludf.DUMMYFUNCTION("""COMPUTED_VALUE"""),"تهران")</f>
        <v>تهران</v>
      </c>
      <c r="E639" s="5" t="str">
        <f>IFERROR(__xludf.DUMMYFUNCTION("""COMPUTED_VALUE"""),"تهران")</f>
        <v>تهران</v>
      </c>
      <c r="F639" s="5"/>
      <c r="G639" s="5"/>
      <c r="H639" s="6" t="str">
        <f>IFERROR(__xludf.DUMMYFUNCTION("""COMPUTED_VALUE"""),"https://www.instagram.com/montazeranmosleh_narmak/")</f>
        <v>https://www.instagram.com/montazeranmosleh_narmak/</v>
      </c>
      <c r="I639" s="6" t="str">
        <f>IFERROR(__xludf.DUMMYFUNCTION("""COMPUTED_VALUE"""),"t.me/MontazeranMosleh_Narmak")</f>
        <v>t.me/MontazeranMosleh_Narmak</v>
      </c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>
      <c r="A640" s="5"/>
      <c r="B640" s="5" t="str">
        <f>IFERROR(__xludf.DUMMYFUNCTION("""COMPUTED_VALUE"""),"هیأت")</f>
        <v>هیأت</v>
      </c>
      <c r="C640" s="5" t="str">
        <f>IFERROR(__xludf.DUMMYFUNCTION("""COMPUTED_VALUE"""),"مصباح الهدی")</f>
        <v>مصباح الهدی</v>
      </c>
      <c r="D640" s="5" t="str">
        <f>IFERROR(__xludf.DUMMYFUNCTION("""COMPUTED_VALUE"""),"تهران")</f>
        <v>تهران</v>
      </c>
      <c r="E640" s="5" t="str">
        <f>IFERROR(__xludf.DUMMYFUNCTION("""COMPUTED_VALUE"""),"تهران")</f>
        <v>تهران</v>
      </c>
      <c r="F640" s="5"/>
      <c r="G640" s="5"/>
      <c r="H640" s="6" t="str">
        <f>IFERROR(__xludf.DUMMYFUNCTION("""COMPUTED_VALUE"""),"https://www.instagram.com/mesbahalhoda1/")</f>
        <v>https://www.instagram.com/mesbahalhoda1/</v>
      </c>
      <c r="I640" s="5"/>
      <c r="J640" s="6" t="str">
        <f>IFERROR(__xludf.DUMMYFUNCTION("""COMPUTED_VALUE"""),"https://eitaa.com/mesbahalhoda1")</f>
        <v>https://eitaa.com/mesbahalhoda1</v>
      </c>
      <c r="K640" s="5"/>
      <c r="L640" s="5"/>
      <c r="M640" s="5"/>
      <c r="N640" s="5"/>
      <c r="O640" s="5"/>
      <c r="P640" s="5"/>
      <c r="Q640" s="5"/>
      <c r="R640" s="5"/>
      <c r="S640" s="5"/>
    </row>
    <row r="641">
      <c r="A641" s="5"/>
      <c r="B641" s="5" t="str">
        <f>IFERROR(__xludf.DUMMYFUNCTION("""COMPUTED_VALUE"""),"هیأت")</f>
        <v>هیأت</v>
      </c>
      <c r="C641" s="5" t="str">
        <f>IFERROR(__xludf.DUMMYFUNCTION("""COMPUTED_VALUE"""),"روضه عشاق الزینب (س)")</f>
        <v>روضه عشاق الزینب (س)</v>
      </c>
      <c r="D641" s="5" t="str">
        <f>IFERROR(__xludf.DUMMYFUNCTION("""COMPUTED_VALUE"""),"تهران")</f>
        <v>تهران</v>
      </c>
      <c r="E641" s="5" t="str">
        <f>IFERROR(__xludf.DUMMYFUNCTION("""COMPUTED_VALUE"""),"تهران")</f>
        <v>تهران</v>
      </c>
      <c r="F641" s="5"/>
      <c r="G641" s="5"/>
      <c r="H641" s="6" t="str">
        <f>IFERROR(__xludf.DUMMYFUNCTION("""COMPUTED_VALUE"""),"https://www.instagram.com/mahfel_oshagh_69/")</f>
        <v>https://www.instagram.com/mahfel_oshagh_69/</v>
      </c>
      <c r="I641" s="6" t="str">
        <f>IFERROR(__xludf.DUMMYFUNCTION("""COMPUTED_VALUE"""),"t.me/oshagh_zeynab69")</f>
        <v>t.me/oshagh_zeynab69</v>
      </c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>
      <c r="A642" s="5"/>
      <c r="B642" s="5" t="str">
        <f>IFERROR(__xludf.DUMMYFUNCTION("""COMPUTED_VALUE"""),"هیأت")</f>
        <v>هیأت</v>
      </c>
      <c r="C642" s="5" t="str">
        <f>IFERROR(__xludf.DUMMYFUNCTION("""COMPUTED_VALUE"""),"قمر العشیره")</f>
        <v>قمر العشیره</v>
      </c>
      <c r="D642" s="5" t="str">
        <f>IFERROR(__xludf.DUMMYFUNCTION("""COMPUTED_VALUE"""),"تهران")</f>
        <v>تهران</v>
      </c>
      <c r="E642" s="5" t="str">
        <f>IFERROR(__xludf.DUMMYFUNCTION("""COMPUTED_VALUE"""),"تهران")</f>
        <v>تهران</v>
      </c>
      <c r="F642" s="5"/>
      <c r="G642" s="5"/>
      <c r="H642" s="6" t="str">
        <f>IFERROR(__xludf.DUMMYFUNCTION("""COMPUTED_VALUE"""),"https://www.instagram.com/ghamar_al_ashireh/")</f>
        <v>https://www.instagram.com/ghamar_al_ashireh/</v>
      </c>
      <c r="I642" s="6" t="str">
        <f>IFERROR(__xludf.DUMMYFUNCTION("""COMPUTED_VALUE"""),"tlgrm.me/Ghamar_al_Ashireh")</f>
        <v>tlgrm.me/Ghamar_al_Ashireh</v>
      </c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>
      <c r="A643" s="5"/>
      <c r="B643" s="5" t="str">
        <f>IFERROR(__xludf.DUMMYFUNCTION("""COMPUTED_VALUE"""),"هیأت")</f>
        <v>هیأت</v>
      </c>
      <c r="C643" s="5" t="str">
        <f>IFERROR(__xludf.DUMMYFUNCTION("""COMPUTED_VALUE"""),"کرمخانه حضرت ام البنین (س)
")</f>
        <v>کرمخانه حضرت ام البنین (س)
</v>
      </c>
      <c r="D643" s="5" t="str">
        <f>IFERROR(__xludf.DUMMYFUNCTION("""COMPUTED_VALUE"""),"تهران")</f>
        <v>تهران</v>
      </c>
      <c r="E643" s="5" t="str">
        <f>IFERROR(__xludf.DUMMYFUNCTION("""COMPUTED_VALUE"""),"تهران")</f>
        <v>تهران</v>
      </c>
      <c r="F643" s="5"/>
      <c r="G643" s="5"/>
      <c r="H643" s="6" t="str">
        <f>IFERROR(__xludf.DUMMYFUNCTION("""COMPUTED_VALUE"""),"https://www.instagram.com/karamkhaneh.ir/")</f>
        <v>https://www.instagram.com/karamkhaneh.ir/</v>
      </c>
      <c r="I643" s="6" t="str">
        <f>IFERROR(__xludf.DUMMYFUNCTION("""COMPUTED_VALUE"""),"t.me/karamkhaneh_omolbanin")</f>
        <v>t.me/karamkhaneh_omolbanin</v>
      </c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>
      <c r="A644" s="5"/>
      <c r="B644" s="5" t="str">
        <f>IFERROR(__xludf.DUMMYFUNCTION("""COMPUTED_VALUE"""),"هیأت")</f>
        <v>هیأت</v>
      </c>
      <c r="C644" s="5" t="str">
        <f>IFERROR(__xludf.DUMMYFUNCTION("""COMPUTED_VALUE"""),"بیت الاحرزان")</f>
        <v>بیت الاحرزان</v>
      </c>
      <c r="D644" s="5" t="str">
        <f>IFERROR(__xludf.DUMMYFUNCTION("""COMPUTED_VALUE"""),"تهران")</f>
        <v>تهران</v>
      </c>
      <c r="E644" s="5" t="str">
        <f>IFERROR(__xludf.DUMMYFUNCTION("""COMPUTED_VALUE"""),"تهران")</f>
        <v>تهران</v>
      </c>
      <c r="F644" s="5"/>
      <c r="G644" s="5"/>
      <c r="H644" s="6" t="str">
        <f>IFERROR(__xludf.DUMMYFUNCTION("""COMPUTED_VALUE"""),"https://www.instagram.com/stereobeytolahzan1/")</f>
        <v>https://www.instagram.com/stereobeytolahzan1/</v>
      </c>
      <c r="I644" s="6" t="str">
        <f>IFERROR(__xludf.DUMMYFUNCTION("""COMPUTED_VALUE"""),"t.me/@stereobeytolahzan2")</f>
        <v>t.me/@stereobeytolahzan2</v>
      </c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>
      <c r="A645" s="5"/>
      <c r="B645" s="5" t="str">
        <f>IFERROR(__xludf.DUMMYFUNCTION("""COMPUTED_VALUE"""),"هیأت")</f>
        <v>هیأت</v>
      </c>
      <c r="C645" s="5" t="str">
        <f>IFERROR(__xludf.DUMMYFUNCTION("""COMPUTED_VALUE"""),"بیت الزهرا")</f>
        <v>بیت الزهرا</v>
      </c>
      <c r="D645" s="5" t="str">
        <f>IFERROR(__xludf.DUMMYFUNCTION("""COMPUTED_VALUE"""),"تهران")</f>
        <v>تهران</v>
      </c>
      <c r="E645" s="5" t="str">
        <f>IFERROR(__xludf.DUMMYFUNCTION("""COMPUTED_VALUE"""),"تهران")</f>
        <v>تهران</v>
      </c>
      <c r="F645" s="5"/>
      <c r="G645" s="5"/>
      <c r="H645" s="6" t="str">
        <f>IFERROR(__xludf.DUMMYFUNCTION("""COMPUTED_VALUE"""),"https://www.instagram.com/beytozzahra_abouzar17/")</f>
        <v>https://www.instagram.com/beytozzahra_abouzar17/</v>
      </c>
      <c r="I645" s="6" t="str">
        <f>IFERROR(__xludf.DUMMYFUNCTION("""COMPUTED_VALUE"""),"https://t.me/Beytozzahra_abouzar17")</f>
        <v>https://t.me/Beytozzahra_abouzar17</v>
      </c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>
      <c r="A646" s="5"/>
      <c r="B646" s="5" t="str">
        <f>IFERROR(__xludf.DUMMYFUNCTION("""COMPUTED_VALUE"""),"هیأت")</f>
        <v>هیأت</v>
      </c>
      <c r="C646" s="5" t="str">
        <f>IFERROR(__xludf.DUMMYFUNCTION("""COMPUTED_VALUE"""),"عقیله بنی هاشم(س) زینب کبری")</f>
        <v>عقیله بنی هاشم(س) زینب کبری</v>
      </c>
      <c r="D646" s="5" t="str">
        <f>IFERROR(__xludf.DUMMYFUNCTION("""COMPUTED_VALUE"""),"تهران")</f>
        <v>تهران</v>
      </c>
      <c r="E646" s="5" t="str">
        <f>IFERROR(__xludf.DUMMYFUNCTION("""COMPUTED_VALUE"""),"تهران")</f>
        <v>تهران</v>
      </c>
      <c r="F646" s="5"/>
      <c r="G646" s="5"/>
      <c r="H646" s="6" t="str">
        <f>IFERROR(__xludf.DUMMYFUNCTION("""COMPUTED_VALUE"""),"https://www.instagram.com/heyataghile/")</f>
        <v>https://www.instagram.com/heyataghile/</v>
      </c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>
      <c r="A647" s="5"/>
      <c r="B647" s="5" t="str">
        <f>IFERROR(__xludf.DUMMYFUNCTION("""COMPUTED_VALUE"""),"مسجد")</f>
        <v>مسجد</v>
      </c>
      <c r="C647" s="5" t="str">
        <f>IFERROR(__xludf.DUMMYFUNCTION("""COMPUTED_VALUE"""),"جامع صفا")</f>
        <v>جامع صفا</v>
      </c>
      <c r="D647" s="5" t="str">
        <f>IFERROR(__xludf.DUMMYFUNCTION("""COMPUTED_VALUE"""),"تهران")</f>
        <v>تهران</v>
      </c>
      <c r="E647" s="5" t="str">
        <f>IFERROR(__xludf.DUMMYFUNCTION("""COMPUTED_VALUE"""),"تهران")</f>
        <v>تهران</v>
      </c>
      <c r="F647" s="5"/>
      <c r="G647" s="5"/>
      <c r="H647" s="5"/>
      <c r="I647" s="5"/>
      <c r="J647" s="6" t="str">
        <f>IFERROR(__xludf.DUMMYFUNCTION("""COMPUTED_VALUE"""),"https://eitaa.com/masjedsafa")</f>
        <v>https://eitaa.com/masjedsafa</v>
      </c>
      <c r="K647" s="5"/>
      <c r="L647" s="5"/>
      <c r="M647" s="5"/>
      <c r="N647" s="5"/>
      <c r="O647" s="5"/>
      <c r="P647" s="5"/>
      <c r="Q647" s="5"/>
      <c r="R647" s="5"/>
      <c r="S647" s="5"/>
    </row>
    <row r="648">
      <c r="A648" s="5"/>
      <c r="B648" s="5" t="str">
        <f>IFERROR(__xludf.DUMMYFUNCTION("""COMPUTED_VALUE"""),"هیأت")</f>
        <v>هیأت</v>
      </c>
      <c r="C648" s="5" t="str">
        <f>IFERROR(__xludf.DUMMYFUNCTION("""COMPUTED_VALUE"""),"قتیل العبرات")</f>
        <v>قتیل العبرات</v>
      </c>
      <c r="D648" s="5" t="str">
        <f>IFERROR(__xludf.DUMMYFUNCTION("""COMPUTED_VALUE"""),"تهران")</f>
        <v>تهران</v>
      </c>
      <c r="E648" s="5" t="str">
        <f>IFERROR(__xludf.DUMMYFUNCTION("""COMPUTED_VALUE"""),"تهران")</f>
        <v>تهران</v>
      </c>
      <c r="F648" s="5"/>
      <c r="G648" s="5"/>
      <c r="H648" s="6" t="str">
        <f>IFERROR(__xludf.DUMMYFUNCTION("""COMPUTED_VALUE"""),"https://www.instagram.com/qaatil_info/")</f>
        <v>https://www.instagram.com/qaatil_info/</v>
      </c>
      <c r="I648" s="6" t="str">
        <f>IFERROR(__xludf.DUMMYFUNCTION("""COMPUTED_VALUE"""),"t.me/qatilalabaraat")</f>
        <v>t.me/qatilalabaraat</v>
      </c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>
      <c r="A649" s="5"/>
      <c r="B649" s="5" t="str">
        <f>IFERROR(__xludf.DUMMYFUNCTION("""COMPUTED_VALUE"""),"هیأت دانشجویی")</f>
        <v>هیأت دانشجویی</v>
      </c>
      <c r="C649" s="5" t="str">
        <f>IFERROR(__xludf.DUMMYFUNCTION("""COMPUTED_VALUE"""),"انصار المهدی عج")</f>
        <v>انصار المهدی عج</v>
      </c>
      <c r="D649" s="5" t="str">
        <f>IFERROR(__xludf.DUMMYFUNCTION("""COMPUTED_VALUE"""),"تهران")</f>
        <v>تهران</v>
      </c>
      <c r="E649" s="5" t="str">
        <f>IFERROR(__xludf.DUMMYFUNCTION("""COMPUTED_VALUE"""),"تهران")</f>
        <v>تهران</v>
      </c>
      <c r="F649" s="5"/>
      <c r="G649" s="5"/>
      <c r="H649" s="6" t="str">
        <f>IFERROR(__xludf.DUMMYFUNCTION("""COMPUTED_VALUE"""),"https://www.instagram.com/ansarolmahdi_ut/")</f>
        <v>https://www.instagram.com/ansarolmahdi_ut/</v>
      </c>
      <c r="I649" s="6" t="str">
        <f>IFERROR(__xludf.DUMMYFUNCTION("""COMPUTED_VALUE"""),"t.me/ansarolmahdi_utm")</f>
        <v>t.me/ansarolmahdi_utm</v>
      </c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>
      <c r="A650" s="5"/>
      <c r="B650" s="5" t="str">
        <f>IFERROR(__xludf.DUMMYFUNCTION("""COMPUTED_VALUE"""),"هیأت")</f>
        <v>هیأت</v>
      </c>
      <c r="C650" s="5" t="str">
        <f>IFERROR(__xludf.DUMMYFUNCTION("""COMPUTED_VALUE"""),"ثامن الحجج (ع)")</f>
        <v>ثامن الحجج (ع)</v>
      </c>
      <c r="D650" s="5" t="str">
        <f>IFERROR(__xludf.DUMMYFUNCTION("""COMPUTED_VALUE"""),"تهران")</f>
        <v>تهران</v>
      </c>
      <c r="E650" s="5" t="str">
        <f>IFERROR(__xludf.DUMMYFUNCTION("""COMPUTED_VALUE"""),"تهران")</f>
        <v>تهران</v>
      </c>
      <c r="F650" s="5"/>
      <c r="G650" s="5"/>
      <c r="H650" s="6" t="str">
        <f>IFERROR(__xludf.DUMMYFUNCTION("""COMPUTED_VALUE"""),"https://www.instagram.com/samenhojaj1353/")</f>
        <v>https://www.instagram.com/samenhojaj1353/</v>
      </c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>
      <c r="A651" s="5"/>
      <c r="B651" s="5" t="str">
        <f>IFERROR(__xludf.DUMMYFUNCTION("""COMPUTED_VALUE"""),"هیأت")</f>
        <v>هیأت</v>
      </c>
      <c r="C651" s="5" t="str">
        <f>IFERROR(__xludf.DUMMYFUNCTION("""COMPUTED_VALUE"""),"ارباب")</f>
        <v>ارباب</v>
      </c>
      <c r="D651" s="5" t="str">
        <f>IFERROR(__xludf.DUMMYFUNCTION("""COMPUTED_VALUE"""),"تهران")</f>
        <v>تهران</v>
      </c>
      <c r="E651" s="5" t="str">
        <f>IFERROR(__xludf.DUMMYFUNCTION("""COMPUTED_VALUE"""),"تهران")</f>
        <v>تهران</v>
      </c>
      <c r="F651" s="5"/>
      <c r="G651" s="5"/>
      <c r="H651" s="6" t="str">
        <f>IFERROR(__xludf.DUMMYFUNCTION("""COMPUTED_VALUE"""),"https://www.instagram.com/heyatearbab/")</f>
        <v>https://www.instagram.com/heyatearbab/</v>
      </c>
      <c r="I651" s="6" t="str">
        <f>IFERROR(__xludf.DUMMYFUNCTION("""COMPUTED_VALUE"""),"t.me/heyatearbab")</f>
        <v>t.me/heyatearbab</v>
      </c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>
      <c r="A652" s="5"/>
      <c r="B652" s="5" t="str">
        <f>IFERROR(__xludf.DUMMYFUNCTION("""COMPUTED_VALUE"""),"هیأت")</f>
        <v>هیأت</v>
      </c>
      <c r="C652" s="5" t="str">
        <f>IFERROR(__xludf.DUMMYFUNCTION("""COMPUTED_VALUE"""),"زوارالرضا علیه السلام")</f>
        <v>زوارالرضا علیه السلام</v>
      </c>
      <c r="D652" s="5" t="str">
        <f>IFERROR(__xludf.DUMMYFUNCTION("""COMPUTED_VALUE"""),"تهران")</f>
        <v>تهران</v>
      </c>
      <c r="E652" s="5" t="str">
        <f>IFERROR(__xludf.DUMMYFUNCTION("""COMPUTED_VALUE"""),"تهران")</f>
        <v>تهران</v>
      </c>
      <c r="F652" s="5"/>
      <c r="G652" s="5"/>
      <c r="H652" s="6" t="str">
        <f>IFERROR(__xludf.DUMMYFUNCTION("""COMPUTED_VALUE"""),"http://instagram.com/heyat_zavar_alreza_/")</f>
        <v>http://instagram.com/heyat_zavar_alreza_/</v>
      </c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>
      <c r="A653" s="5"/>
      <c r="B653" s="5" t="str">
        <f>IFERROR(__xludf.DUMMYFUNCTION("""COMPUTED_VALUE"""),"هیأت")</f>
        <v>هیأت</v>
      </c>
      <c r="C653" s="5" t="str">
        <f>IFERROR(__xludf.DUMMYFUNCTION("""COMPUTED_VALUE"""),"مکتب الحیدر")</f>
        <v>مکتب الحیدر</v>
      </c>
      <c r="D653" s="5" t="str">
        <f>IFERROR(__xludf.DUMMYFUNCTION("""COMPUTED_VALUE"""),"تهران")</f>
        <v>تهران</v>
      </c>
      <c r="E653" s="5" t="str">
        <f>IFERROR(__xludf.DUMMYFUNCTION("""COMPUTED_VALUE"""),"تهران")</f>
        <v>تهران</v>
      </c>
      <c r="F653" s="5"/>
      <c r="G653" s="5"/>
      <c r="H653" s="6" t="str">
        <f>IFERROR(__xludf.DUMMYFUNCTION("""COMPUTED_VALUE"""),"https://www.instagram.com/maktabolheydar.rozeh/")</f>
        <v>https://www.instagram.com/maktabolheydar.rozeh/</v>
      </c>
      <c r="I653" s="6" t="str">
        <f>IFERROR(__xludf.DUMMYFUNCTION("""COMPUTED_VALUE"""),"t.me/maktabolheydar")</f>
        <v>t.me/maktabolheydar</v>
      </c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>
      <c r="A654" s="5"/>
      <c r="B654" s="5" t="str">
        <f>IFERROR(__xludf.DUMMYFUNCTION("""COMPUTED_VALUE"""),"مسجد")</f>
        <v>مسجد</v>
      </c>
      <c r="C654" s="5" t="str">
        <f>IFERROR(__xludf.DUMMYFUNCTION("""COMPUTED_VALUE"""),"صاحب الزمان")</f>
        <v>صاحب الزمان</v>
      </c>
      <c r="D654" s="5" t="str">
        <f>IFERROR(__xludf.DUMMYFUNCTION("""COMPUTED_VALUE"""),"تهران")</f>
        <v>تهران</v>
      </c>
      <c r="E654" s="5" t="str">
        <f>IFERROR(__xludf.DUMMYFUNCTION("""COMPUTED_VALUE"""),"تهران")</f>
        <v>تهران</v>
      </c>
      <c r="F654" s="5"/>
      <c r="G654" s="5"/>
      <c r="H654" s="6" t="str">
        <f>IFERROR(__xludf.DUMMYFUNCTION("""COMPUTED_VALUE"""),"https://www.instagram.com/raheasheghan/")</f>
        <v>https://www.instagram.com/raheasheghan/</v>
      </c>
      <c r="I654" s="5"/>
      <c r="J654" s="6" t="str">
        <f>IFERROR(__xludf.DUMMYFUNCTION("""COMPUTED_VALUE"""),"https://eitaa.com/raheasheghan")</f>
        <v>https://eitaa.com/raheasheghan</v>
      </c>
      <c r="K654" s="5"/>
      <c r="L654" s="5"/>
      <c r="M654" s="5"/>
      <c r="N654" s="5"/>
      <c r="O654" s="5"/>
      <c r="P654" s="5"/>
      <c r="Q654" s="5"/>
      <c r="R654" s="5"/>
      <c r="S654" s="5"/>
    </row>
    <row r="655">
      <c r="A655" s="5"/>
      <c r="B655" s="5" t="str">
        <f>IFERROR(__xludf.DUMMYFUNCTION("""COMPUTED_VALUE"""),"هیأت نوجوانان")</f>
        <v>هیأت نوجوانان</v>
      </c>
      <c r="C655" s="5" t="str">
        <f>IFERROR(__xludf.DUMMYFUNCTION("""COMPUTED_VALUE"""),"میثاق با شهدا")</f>
        <v>میثاق با شهدا</v>
      </c>
      <c r="D655" s="5" t="str">
        <f>IFERROR(__xludf.DUMMYFUNCTION("""COMPUTED_VALUE"""),"تهران")</f>
        <v>تهران</v>
      </c>
      <c r="E655" s="5" t="str">
        <f>IFERROR(__xludf.DUMMYFUNCTION("""COMPUTED_VALUE"""),"تهران")</f>
        <v>تهران</v>
      </c>
      <c r="F655" s="5"/>
      <c r="G655" s="5"/>
      <c r="H655" s="6" t="str">
        <f>IFERROR(__xludf.DUMMYFUNCTION("""COMPUTED_VALUE"""),"https://www.instagram.com/misaq_nojavan/")</f>
        <v>https://www.instagram.com/misaq_nojavan/</v>
      </c>
      <c r="I655" s="5"/>
      <c r="J655" s="5"/>
      <c r="K655" s="5"/>
      <c r="L655" s="6" t="str">
        <f>IFERROR(__xludf.DUMMYFUNCTION("""COMPUTED_VALUE"""),"misaq.ir")</f>
        <v>misaq.ir</v>
      </c>
      <c r="M655" s="5"/>
      <c r="N655" s="5"/>
      <c r="O655" s="5"/>
      <c r="P655" s="5"/>
      <c r="Q655" s="5"/>
      <c r="R655" s="5"/>
      <c r="S655" s="5"/>
    </row>
    <row r="656">
      <c r="A656" s="5"/>
      <c r="B656" s="5" t="str">
        <f>IFERROR(__xludf.DUMMYFUNCTION("""COMPUTED_VALUE"""),"هیأت")</f>
        <v>هیأت</v>
      </c>
      <c r="C656" s="5" t="str">
        <f>IFERROR(__xludf.DUMMYFUNCTION("""COMPUTED_VALUE"""),"سفیران زینب (س)")</f>
        <v>سفیران زینب (س)</v>
      </c>
      <c r="D656" s="5" t="str">
        <f>IFERROR(__xludf.DUMMYFUNCTION("""COMPUTED_VALUE"""),"تهران")</f>
        <v>تهران</v>
      </c>
      <c r="E656" s="5" t="str">
        <f>IFERROR(__xludf.DUMMYFUNCTION("""COMPUTED_VALUE"""),"تهران")</f>
        <v>تهران</v>
      </c>
      <c r="F656" s="5"/>
      <c r="G656" s="5"/>
      <c r="H656" s="5"/>
      <c r="I656" s="5"/>
      <c r="J656" s="6" t="str">
        <f>IFERROR(__xludf.DUMMYFUNCTION("""COMPUTED_VALUE"""),"https://eitaa.com/safiranzynab")</f>
        <v>https://eitaa.com/safiranzynab</v>
      </c>
      <c r="K656" s="5"/>
      <c r="L656" s="5"/>
      <c r="M656" s="5"/>
      <c r="N656" s="5"/>
      <c r="O656" s="5"/>
      <c r="P656" s="5"/>
      <c r="Q656" s="5"/>
      <c r="R656" s="5"/>
      <c r="S656" s="5"/>
    </row>
    <row r="657">
      <c r="A657" s="5"/>
      <c r="B657" s="5" t="str">
        <f>IFERROR(__xludf.DUMMYFUNCTION("""COMPUTED_VALUE"""),"هیأت")</f>
        <v>هیأت</v>
      </c>
      <c r="C657" s="5" t="str">
        <f>IFERROR(__xludf.DUMMYFUNCTION("""COMPUTED_VALUE"""),"جنت العباس (ع)")</f>
        <v>جنت العباس (ع)</v>
      </c>
      <c r="D657" s="5" t="str">
        <f>IFERROR(__xludf.DUMMYFUNCTION("""COMPUTED_VALUE"""),"تهران")</f>
        <v>تهران</v>
      </c>
      <c r="E657" s="5" t="str">
        <f>IFERROR(__xludf.DUMMYFUNCTION("""COMPUTED_VALUE"""),"تهران")</f>
        <v>تهران</v>
      </c>
      <c r="F657" s="5"/>
      <c r="G657" s="5"/>
      <c r="H657" s="6" t="str">
        <f>IFERROR(__xludf.DUMMYFUNCTION("""COMPUTED_VALUE"""),"https://www.instagram.com/jannat133/")</f>
        <v>https://www.instagram.com/jannat133/</v>
      </c>
      <c r="I657" s="6" t="str">
        <f>IFERROR(__xludf.DUMMYFUNCTION("""COMPUTED_VALUE"""),"t.me/jannat133")</f>
        <v>t.me/jannat133</v>
      </c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>
      <c r="A658" s="5"/>
      <c r="B658" s="5" t="str">
        <f>IFERROR(__xludf.DUMMYFUNCTION("""COMPUTED_VALUE"""),"هیأت")</f>
        <v>هیأت</v>
      </c>
      <c r="C658" s="5" t="str">
        <f>IFERROR(__xludf.DUMMYFUNCTION("""COMPUTED_VALUE"""),"رایة الاحرار")</f>
        <v>رایة الاحرار</v>
      </c>
      <c r="D658" s="5" t="str">
        <f>IFERROR(__xludf.DUMMYFUNCTION("""COMPUTED_VALUE"""),"تهران")</f>
        <v>تهران</v>
      </c>
      <c r="E658" s="5" t="str">
        <f>IFERROR(__xludf.DUMMYFUNCTION("""COMPUTED_VALUE"""),"تهران")</f>
        <v>تهران</v>
      </c>
      <c r="F658" s="5"/>
      <c r="G658" s="5"/>
      <c r="H658" s="6" t="str">
        <f>IFERROR(__xludf.DUMMYFUNCTION("""COMPUTED_VALUE"""),"https://www.instagram.com/rayatolahrar/")</f>
        <v>https://www.instagram.com/rayatolahrar/</v>
      </c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>
      <c r="A659" s="5"/>
      <c r="B659" s="5" t="str">
        <f>IFERROR(__xludf.DUMMYFUNCTION("""COMPUTED_VALUE"""),"هیأت")</f>
        <v>هیأت</v>
      </c>
      <c r="C659" s="5" t="str">
        <f>IFERROR(__xludf.DUMMYFUNCTION("""COMPUTED_VALUE"""),"شهدا آل الله")</f>
        <v>شهدا آل الله</v>
      </c>
      <c r="D659" s="5" t="str">
        <f>IFERROR(__xludf.DUMMYFUNCTION("""COMPUTED_VALUE"""),"تهران")</f>
        <v>تهران</v>
      </c>
      <c r="E659" s="5" t="str">
        <f>IFERROR(__xludf.DUMMYFUNCTION("""COMPUTED_VALUE"""),"تهران")</f>
        <v>تهران</v>
      </c>
      <c r="F659" s="5"/>
      <c r="G659" s="5"/>
      <c r="H659" s="6" t="str">
        <f>IFERROR(__xludf.DUMMYFUNCTION("""COMPUTED_VALUE"""),"https://www.instagram.com/heyat.shohada.alollah/")</f>
        <v>https://www.instagram.com/heyat.shohada.alollah/</v>
      </c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>
      <c r="A660" s="5"/>
      <c r="B660" s="5" t="str">
        <f>IFERROR(__xludf.DUMMYFUNCTION("""COMPUTED_VALUE"""),"هیأت")</f>
        <v>هیأت</v>
      </c>
      <c r="C660" s="5" t="str">
        <f>IFERROR(__xludf.DUMMYFUNCTION("""COMPUTED_VALUE"""),"قاسم ابن الحسن")</f>
        <v>قاسم ابن الحسن</v>
      </c>
      <c r="D660" s="5" t="str">
        <f>IFERROR(__xludf.DUMMYFUNCTION("""COMPUTED_VALUE"""),"تهران")</f>
        <v>تهران</v>
      </c>
      <c r="E660" s="5" t="str">
        <f>IFERROR(__xludf.DUMMYFUNCTION("""COMPUTED_VALUE"""),"تهران")</f>
        <v>تهران</v>
      </c>
      <c r="F660" s="5"/>
      <c r="G660" s="5"/>
      <c r="H660" s="6" t="str">
        <f>IFERROR(__xludf.DUMMYFUNCTION("""COMPUTED_VALUE"""),"https://www.instagram.com/hazrateghasem_201/")</f>
        <v>https://www.instagram.com/hazrateghasem_201/</v>
      </c>
      <c r="I660" s="5"/>
      <c r="J660" s="5"/>
      <c r="K660" s="5"/>
      <c r="L660" s="6" t="str">
        <f>IFERROR(__xludf.DUMMYFUNCTION("""COMPUTED_VALUE"""),"ghasem201.ir")</f>
        <v>ghasem201.ir</v>
      </c>
      <c r="M660" s="5"/>
      <c r="N660" s="5"/>
      <c r="O660" s="5"/>
      <c r="P660" s="5"/>
      <c r="Q660" s="5"/>
      <c r="R660" s="5"/>
      <c r="S660" s="5"/>
    </row>
    <row r="661">
      <c r="A661" s="5"/>
      <c r="B661" s="5" t="str">
        <f>IFERROR(__xludf.DUMMYFUNCTION("""COMPUTED_VALUE"""),"هیأت")</f>
        <v>هیأت</v>
      </c>
      <c r="C661" s="5" t="str">
        <f>IFERROR(__xludf.DUMMYFUNCTION("""COMPUTED_VALUE"""),"محبان اهل بیت")</f>
        <v>محبان اهل بیت</v>
      </c>
      <c r="D661" s="5" t="str">
        <f>IFERROR(__xludf.DUMMYFUNCTION("""COMPUTED_VALUE"""),"تهران")</f>
        <v>تهران</v>
      </c>
      <c r="E661" s="5" t="str">
        <f>IFERROR(__xludf.DUMMYFUNCTION("""COMPUTED_VALUE"""),"تهران")</f>
        <v>تهران</v>
      </c>
      <c r="F661" s="5"/>
      <c r="G661" s="5"/>
      <c r="H661" s="6" t="str">
        <f>IFERROR(__xludf.DUMMYFUNCTION("""COMPUTED_VALUE"""),"https://www.instagram.com/serat_213/")</f>
        <v>https://www.instagram.com/serat_213/</v>
      </c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>
      <c r="A662" s="5"/>
      <c r="B662" s="5" t="str">
        <f>IFERROR(__xludf.DUMMYFUNCTION("""COMPUTED_VALUE"""),"هیأت")</f>
        <v>هیأت</v>
      </c>
      <c r="C662" s="5" t="str">
        <f>IFERROR(__xludf.DUMMYFUNCTION("""COMPUTED_VALUE"""),"رایه العباس (ع)")</f>
        <v>رایه العباس (ع)</v>
      </c>
      <c r="D662" s="5" t="str">
        <f>IFERROR(__xludf.DUMMYFUNCTION("""COMPUTED_VALUE"""),"تهران")</f>
        <v>تهران</v>
      </c>
      <c r="E662" s="5" t="str">
        <f>IFERROR(__xludf.DUMMYFUNCTION("""COMPUTED_VALUE"""),"تهران")</f>
        <v>تهران</v>
      </c>
      <c r="F662" s="5"/>
      <c r="G662" s="5"/>
      <c r="H662" s="6" t="str">
        <f>IFERROR(__xludf.DUMMYFUNCTION("""COMPUTED_VALUE"""),"https://www.instagram.com/mahmoodkarimi_rayatalabbas/")</f>
        <v>https://www.instagram.com/mahmoodkarimi_rayatalabbas/</v>
      </c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>
      <c r="A663" s="5"/>
      <c r="B663" s="5" t="str">
        <f>IFERROR(__xludf.DUMMYFUNCTION("""COMPUTED_VALUE"""),"هیأت")</f>
        <v>هیأت</v>
      </c>
      <c r="C663" s="5" t="str">
        <f>IFERROR(__xludf.DUMMYFUNCTION("""COMPUTED_VALUE"""),"کهیعص")</f>
        <v>کهیعص</v>
      </c>
      <c r="D663" s="5" t="str">
        <f>IFERROR(__xludf.DUMMYFUNCTION("""COMPUTED_VALUE"""),"تهران")</f>
        <v>تهران</v>
      </c>
      <c r="E663" s="5" t="str">
        <f>IFERROR(__xludf.DUMMYFUNCTION("""COMPUTED_VALUE"""),"تهران")</f>
        <v>تهران</v>
      </c>
      <c r="F663" s="5"/>
      <c r="G663" s="5"/>
      <c r="H663" s="6" t="str">
        <f>IFERROR(__xludf.DUMMYFUNCTION("""COMPUTED_VALUE"""),"https://www.instagram.com/mokeb.video/")</f>
        <v>https://www.instagram.com/mokeb.video/</v>
      </c>
      <c r="I663" s="6" t="str">
        <f>IFERROR(__xludf.DUMMYFUNCTION("""COMPUTED_VALUE"""),"t.me/mokebinfo")</f>
        <v>t.me/mokebinfo</v>
      </c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>
      <c r="A664" s="5"/>
      <c r="B664" s="5" t="str">
        <f>IFERROR(__xludf.DUMMYFUNCTION("""COMPUTED_VALUE"""),"هیأت")</f>
        <v>هیأت</v>
      </c>
      <c r="C664" s="5" t="str">
        <f>IFERROR(__xludf.DUMMYFUNCTION("""COMPUTED_VALUE"""),"مکتب الشهداء")</f>
        <v>مکتب الشهداء</v>
      </c>
      <c r="D664" s="5" t="str">
        <f>IFERROR(__xludf.DUMMYFUNCTION("""COMPUTED_VALUE"""),"تهران")</f>
        <v>تهران</v>
      </c>
      <c r="E664" s="5" t="str">
        <f>IFERROR(__xludf.DUMMYFUNCTION("""COMPUTED_VALUE"""),"تهران")</f>
        <v>تهران</v>
      </c>
      <c r="F664" s="5"/>
      <c r="G664" s="5"/>
      <c r="H664" s="5"/>
      <c r="I664" s="5"/>
      <c r="J664" s="6" t="str">
        <f>IFERROR(__xludf.DUMMYFUNCTION("""COMPUTED_VALUE"""),"https://eitaa.com/maktaboshohada_info")</f>
        <v>https://eitaa.com/maktaboshohada_info</v>
      </c>
      <c r="K664" s="5"/>
      <c r="L664" s="5"/>
      <c r="M664" s="5"/>
      <c r="N664" s="5"/>
      <c r="O664" s="5"/>
      <c r="P664" s="5"/>
      <c r="Q664" s="5"/>
      <c r="R664" s="5"/>
      <c r="S664" s="5"/>
    </row>
    <row r="665">
      <c r="A665" s="5"/>
      <c r="B665" s="5" t="str">
        <f>IFERROR(__xludf.DUMMYFUNCTION("""COMPUTED_VALUE"""),"هیأت")</f>
        <v>هیأت</v>
      </c>
      <c r="C665" s="5" t="str">
        <f>IFERROR(__xludf.DUMMYFUNCTION("""COMPUTED_VALUE"""),"سائلان اهل بیت")</f>
        <v>سائلان اهل بیت</v>
      </c>
      <c r="D665" s="5" t="str">
        <f>IFERROR(__xludf.DUMMYFUNCTION("""COMPUTED_VALUE"""),"تهران")</f>
        <v>تهران</v>
      </c>
      <c r="E665" s="5" t="str">
        <f>IFERROR(__xludf.DUMMYFUNCTION("""COMPUTED_VALUE"""),"تهران")</f>
        <v>تهران</v>
      </c>
      <c r="F665" s="5"/>
      <c r="G665" s="5"/>
      <c r="H665" s="6" t="str">
        <f>IFERROR(__xludf.DUMMYFUNCTION("""COMPUTED_VALUE"""),"https://www.instagram.com/hsaelanahlebeyt/")</f>
        <v>https://www.instagram.com/hsaelanahlebeyt/</v>
      </c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>
      <c r="A666" s="5"/>
      <c r="B666" s="5" t="str">
        <f>IFERROR(__xludf.DUMMYFUNCTION("""COMPUTED_VALUE"""),"هیأت")</f>
        <v>هیأت</v>
      </c>
      <c r="C666" s="5" t="str">
        <f>IFERROR(__xludf.DUMMYFUNCTION("""COMPUTED_VALUE"""),"کانون فرهنگی انتظار")</f>
        <v>کانون فرهنگی انتظار</v>
      </c>
      <c r="D666" s="5" t="str">
        <f>IFERROR(__xludf.DUMMYFUNCTION("""COMPUTED_VALUE"""),"تهران")</f>
        <v>تهران</v>
      </c>
      <c r="E666" s="5" t="str">
        <f>IFERROR(__xludf.DUMMYFUNCTION("""COMPUTED_VALUE"""),"تهران")</f>
        <v>تهران</v>
      </c>
      <c r="F666" s="5"/>
      <c r="G666" s="5"/>
      <c r="H666" s="6" t="str">
        <f>IFERROR(__xludf.DUMMYFUNCTION("""COMPUTED_VALUE"""),"https://www.instagram.com/asrentezarpakdasht/")</f>
        <v>https://www.instagram.com/asrentezarpakdasht/</v>
      </c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>
      <c r="A667" s="5"/>
      <c r="B667" s="5" t="str">
        <f>IFERROR(__xludf.DUMMYFUNCTION("""COMPUTED_VALUE"""),"حسینیه")</f>
        <v>حسینیه</v>
      </c>
      <c r="C667" s="5" t="str">
        <f>IFERROR(__xludf.DUMMYFUNCTION("""COMPUTED_VALUE"""),"مکتب الزینب (س)")</f>
        <v>مکتب الزینب (س)</v>
      </c>
      <c r="D667" s="5" t="str">
        <f>IFERROR(__xludf.DUMMYFUNCTION("""COMPUTED_VALUE"""),"تهران")</f>
        <v>تهران</v>
      </c>
      <c r="E667" s="5" t="str">
        <f>IFERROR(__xludf.DUMMYFUNCTION("""COMPUTED_VALUE"""),"تهران")</f>
        <v>تهران</v>
      </c>
      <c r="F667" s="5"/>
      <c r="G667" s="5"/>
      <c r="H667" s="6" t="str">
        <f>IFERROR(__xludf.DUMMYFUNCTION("""COMPUTED_VALUE"""),"https://www.instagram.com/maktabzeynab/")</f>
        <v>https://www.instagram.com/maktabzeynab/</v>
      </c>
      <c r="I667" s="6" t="str">
        <f>IFERROR(__xludf.DUMMYFUNCTION("""COMPUTED_VALUE"""),"t.me/Maktabzeynabb")</f>
        <v>t.me/Maktabzeynabb</v>
      </c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>
      <c r="A668" s="5"/>
      <c r="B668" s="5" t="str">
        <f>IFERROR(__xludf.DUMMYFUNCTION("""COMPUTED_VALUE"""),"هیأت")</f>
        <v>هیأت</v>
      </c>
      <c r="C668" s="5" t="str">
        <f>IFERROR(__xludf.DUMMYFUNCTION("""COMPUTED_VALUE"""),"شباب الزهرا(س)")</f>
        <v>شباب الزهرا(س)</v>
      </c>
      <c r="D668" s="5" t="str">
        <f>IFERROR(__xludf.DUMMYFUNCTION("""COMPUTED_VALUE"""),"تهران")</f>
        <v>تهران</v>
      </c>
      <c r="E668" s="5" t="str">
        <f>IFERROR(__xludf.DUMMYFUNCTION("""COMPUTED_VALUE"""),"تهران")</f>
        <v>تهران</v>
      </c>
      <c r="F668" s="5"/>
      <c r="G668" s="5"/>
      <c r="H668" s="6" t="str">
        <f>IFERROR(__xludf.DUMMYFUNCTION("""COMPUTED_VALUE"""),"https://www.instagram.com/shababozahra/")</f>
        <v>https://www.instagram.com/shababozahra/</v>
      </c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>
      <c r="A669" s="5"/>
      <c r="B669" s="5" t="str">
        <f>IFERROR(__xludf.DUMMYFUNCTION("""COMPUTED_VALUE"""),"هیأت")</f>
        <v>هیأت</v>
      </c>
      <c r="C669" s="5" t="str">
        <f>IFERROR(__xludf.DUMMYFUNCTION("""COMPUTED_VALUE"""),"ریحانه النبی")</f>
        <v>ریحانه النبی</v>
      </c>
      <c r="D669" s="5" t="str">
        <f>IFERROR(__xludf.DUMMYFUNCTION("""COMPUTED_VALUE"""),"تهران")</f>
        <v>تهران</v>
      </c>
      <c r="E669" s="5" t="str">
        <f>IFERROR(__xludf.DUMMYFUNCTION("""COMPUTED_VALUE"""),"تهران")</f>
        <v>تهران</v>
      </c>
      <c r="F669" s="5"/>
      <c r="G669" s="5"/>
      <c r="H669" s="6" t="str">
        <f>IFERROR(__xludf.DUMMYFUNCTION("""COMPUTED_VALUE"""),"https://www.instagram.com/reiyhane_alnabi/")</f>
        <v>https://www.instagram.com/reiyhane_alnabi/</v>
      </c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>
      <c r="A670" s="5"/>
      <c r="B670" s="5" t="str">
        <f>IFERROR(__xludf.DUMMYFUNCTION("""COMPUTED_VALUE"""),"هیأت")</f>
        <v>هیأت</v>
      </c>
      <c r="C670" s="5" t="str">
        <f>IFERROR(__xludf.DUMMYFUNCTION("""COMPUTED_VALUE"""),"یا حسین")</f>
        <v>یا حسین</v>
      </c>
      <c r="D670" s="5" t="str">
        <f>IFERROR(__xludf.DUMMYFUNCTION("""COMPUTED_VALUE"""),"تهران")</f>
        <v>تهران</v>
      </c>
      <c r="E670" s="5" t="str">
        <f>IFERROR(__xludf.DUMMYFUNCTION("""COMPUTED_VALUE"""),"تهران")</f>
        <v>تهران</v>
      </c>
      <c r="F670" s="5"/>
      <c r="G670" s="5"/>
      <c r="H670" s="6" t="str">
        <f>IFERROR(__xludf.DUMMYFUNCTION("""COMPUTED_VALUE"""),"https://www.instagram.com/yahoseyn_tehran/")</f>
        <v>https://www.instagram.com/yahoseyn_tehran/</v>
      </c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>
      <c r="A671" s="5"/>
      <c r="B671" s="5" t="str">
        <f>IFERROR(__xludf.DUMMYFUNCTION("""COMPUTED_VALUE"""),"هیأت")</f>
        <v>هیأت</v>
      </c>
      <c r="C671" s="5" t="str">
        <f>IFERROR(__xludf.DUMMYFUNCTION("""COMPUTED_VALUE"""),"محبان المهدی (عج)")</f>
        <v>محبان المهدی (عج)</v>
      </c>
      <c r="D671" s="5" t="str">
        <f>IFERROR(__xludf.DUMMYFUNCTION("""COMPUTED_VALUE"""),"تهران")</f>
        <v>تهران</v>
      </c>
      <c r="E671" s="5" t="str">
        <f>IFERROR(__xludf.DUMMYFUNCTION("""COMPUTED_VALUE"""),"تهران")</f>
        <v>تهران</v>
      </c>
      <c r="F671" s="5"/>
      <c r="G671" s="5"/>
      <c r="H671" s="6" t="str">
        <f>IFERROR(__xludf.DUMMYFUNCTION("""COMPUTED_VALUE"""),"https://www.instagram.com/mohebban_almahdi10/")</f>
        <v>https://www.instagram.com/mohebban_almahdi10/</v>
      </c>
      <c r="I671" s="5"/>
      <c r="J671" s="5"/>
      <c r="K671" s="5"/>
      <c r="L671" s="6" t="str">
        <f>IFERROR(__xludf.DUMMYFUNCTION("""COMPUTED_VALUE"""),"mohebban-almahdi.ir")</f>
        <v>mohebban-almahdi.ir</v>
      </c>
      <c r="M671" s="5"/>
      <c r="N671" s="5"/>
      <c r="O671" s="5"/>
      <c r="P671" s="5"/>
      <c r="Q671" s="5"/>
      <c r="R671" s="5"/>
      <c r="S671" s="5"/>
    </row>
    <row r="672">
      <c r="A672" s="5"/>
      <c r="B672" s="5" t="str">
        <f>IFERROR(__xludf.DUMMYFUNCTION("""COMPUTED_VALUE"""),"مسجد")</f>
        <v>مسجد</v>
      </c>
      <c r="C672" s="5" t="str">
        <f>IFERROR(__xludf.DUMMYFUNCTION("""COMPUTED_VALUE"""),"امام مهدی")</f>
        <v>امام مهدی</v>
      </c>
      <c r="D672" s="5" t="str">
        <f>IFERROR(__xludf.DUMMYFUNCTION("""COMPUTED_VALUE"""),"تهران")</f>
        <v>تهران</v>
      </c>
      <c r="E672" s="5" t="str">
        <f>IFERROR(__xludf.DUMMYFUNCTION("""COMPUTED_VALUE"""),"تهران")</f>
        <v>تهران</v>
      </c>
      <c r="F672" s="5"/>
      <c r="G672" s="5"/>
      <c r="H672" s="6" t="str">
        <f>IFERROR(__xludf.DUMMYFUNCTION("""COMPUTED_VALUE"""),"https://www.instagram.com/masjedemammahdi/")</f>
        <v>https://www.instagram.com/masjedemammahdi/</v>
      </c>
      <c r="I672" s="6" t="str">
        <f>IFERROR(__xludf.DUMMYFUNCTION("""COMPUTED_VALUE"""),"t.me/masjedemammahdi")</f>
        <v>t.me/masjedemammahdi</v>
      </c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>
      <c r="A673" s="5"/>
      <c r="B673" s="5" t="str">
        <f>IFERROR(__xludf.DUMMYFUNCTION("""COMPUTED_VALUE"""),"مسجد")</f>
        <v>مسجد</v>
      </c>
      <c r="C673" s="5" t="str">
        <f>IFERROR(__xludf.DUMMYFUNCTION("""COMPUTED_VALUE"""),"موسی بن جعفر(ع)")</f>
        <v>موسی بن جعفر(ع)</v>
      </c>
      <c r="D673" s="5" t="str">
        <f>IFERROR(__xludf.DUMMYFUNCTION("""COMPUTED_VALUE"""),"تهران")</f>
        <v>تهران</v>
      </c>
      <c r="E673" s="5" t="str">
        <f>IFERROR(__xludf.DUMMYFUNCTION("""COMPUTED_VALUE"""),"تهران")</f>
        <v>تهران</v>
      </c>
      <c r="F673" s="5"/>
      <c r="G673" s="5"/>
      <c r="H673" s="6" t="str">
        <f>IFERROR(__xludf.DUMMYFUNCTION("""COMPUTED_VALUE"""),"https://www.instagram.com/masjjed_masjjed/")</f>
        <v>https://www.instagram.com/masjjed_masjjed/</v>
      </c>
      <c r="I673" s="5"/>
      <c r="J673" s="5"/>
      <c r="K673" s="5"/>
      <c r="L673" s="6" t="str">
        <f>IFERROR(__xludf.DUMMYFUNCTION("""COMPUTED_VALUE"""),"www.masjedemousabnejafar.ir")</f>
        <v>www.masjedemousabnejafar.ir</v>
      </c>
      <c r="M673" s="5"/>
      <c r="N673" s="5"/>
      <c r="O673" s="5"/>
      <c r="P673" s="5"/>
      <c r="Q673" s="5"/>
      <c r="R673" s="5"/>
      <c r="S673" s="5"/>
    </row>
    <row r="674">
      <c r="A674" s="5"/>
      <c r="B674" s="5" t="str">
        <f>IFERROR(__xludf.DUMMYFUNCTION("""COMPUTED_VALUE"""),"مسجد")</f>
        <v>مسجد</v>
      </c>
      <c r="C674" s="5" t="str">
        <f>IFERROR(__xludf.DUMMYFUNCTION("""COMPUTED_VALUE"""),"امام حسن مجتبی")</f>
        <v>امام حسن مجتبی</v>
      </c>
      <c r="D674" s="5" t="str">
        <f>IFERROR(__xludf.DUMMYFUNCTION("""COMPUTED_VALUE"""),"تهران")</f>
        <v>تهران</v>
      </c>
      <c r="E674" s="5" t="str">
        <f>IFERROR(__xludf.DUMMYFUNCTION("""COMPUTED_VALUE"""),"تهران")</f>
        <v>تهران</v>
      </c>
      <c r="F674" s="5"/>
      <c r="G674" s="5"/>
      <c r="H674" s="6" t="str">
        <f>IFERROR(__xludf.DUMMYFUNCTION("""COMPUTED_VALUE"""),"https://www.instagram.com/masjed62_ir/")</f>
        <v>https://www.instagram.com/masjed62_ir/</v>
      </c>
      <c r="I674" s="5"/>
      <c r="J674" s="6" t="str">
        <f>IFERROR(__xludf.DUMMYFUNCTION("""COMPUTED_VALUE"""),"ble.ir/masjed62_ir")</f>
        <v>ble.ir/masjed62_ir</v>
      </c>
      <c r="K674" s="5"/>
      <c r="L674" s="5"/>
      <c r="M674" s="5"/>
      <c r="N674" s="5"/>
      <c r="O674" s="5"/>
      <c r="P674" s="5"/>
      <c r="Q674" s="5"/>
      <c r="R674" s="5"/>
      <c r="S674" s="5"/>
    </row>
    <row r="675">
      <c r="A675" s="5"/>
      <c r="B675" s="5" t="str">
        <f>IFERROR(__xludf.DUMMYFUNCTION("""COMPUTED_VALUE"""),"هیأت")</f>
        <v>هیأت</v>
      </c>
      <c r="C675" s="5" t="str">
        <f>IFERROR(__xludf.DUMMYFUNCTION("""COMPUTED_VALUE"""),"مسجد جامع چهارده معصوم")</f>
        <v>مسجد جامع چهارده معصوم</v>
      </c>
      <c r="D675" s="5" t="str">
        <f>IFERROR(__xludf.DUMMYFUNCTION("""COMPUTED_VALUE"""),"تهران")</f>
        <v>تهران</v>
      </c>
      <c r="E675" s="5" t="str">
        <f>IFERROR(__xludf.DUMMYFUNCTION("""COMPUTED_VALUE"""),"تهران")</f>
        <v>تهران</v>
      </c>
      <c r="F675" s="5"/>
      <c r="G675" s="5"/>
      <c r="H675" s="5"/>
      <c r="I675" s="5"/>
      <c r="J675" s="6" t="str">
        <f>IFERROR(__xludf.DUMMYFUNCTION("""COMPUTED_VALUE"""),"https://eitaa.com/masjeed14m")</f>
        <v>https://eitaa.com/masjeed14m</v>
      </c>
      <c r="K675" s="5"/>
      <c r="L675" s="5"/>
      <c r="M675" s="5"/>
      <c r="N675" s="5"/>
      <c r="O675" s="5"/>
      <c r="P675" s="5"/>
      <c r="Q675" s="5"/>
      <c r="R675" s="5"/>
      <c r="S675" s="5"/>
    </row>
    <row r="676">
      <c r="A676" s="5"/>
      <c r="B676" s="5" t="str">
        <f>IFERROR(__xludf.DUMMYFUNCTION("""COMPUTED_VALUE"""),"هیأت")</f>
        <v>هیأت</v>
      </c>
      <c r="C676" s="5" t="str">
        <f>IFERROR(__xludf.DUMMYFUNCTION("""COMPUTED_VALUE"""),"مکتب الشهدا")</f>
        <v>مکتب الشهدا</v>
      </c>
      <c r="D676" s="5" t="str">
        <f>IFERROR(__xludf.DUMMYFUNCTION("""COMPUTED_VALUE"""),"تهران")</f>
        <v>تهران</v>
      </c>
      <c r="E676" s="5" t="str">
        <f>IFERROR(__xludf.DUMMYFUNCTION("""COMPUTED_VALUE"""),"تهران")</f>
        <v>تهران</v>
      </c>
      <c r="F676" s="5"/>
      <c r="G676" s="5"/>
      <c r="H676" s="6" t="str">
        <f>IFERROR(__xludf.DUMMYFUNCTION("""COMPUTED_VALUE"""),"https://www.instagram.com/maktaboshohada_com/")</f>
        <v>https://www.instagram.com/maktaboshohada_com/</v>
      </c>
      <c r="I676" s="6" t="str">
        <f>IFERROR(__xludf.DUMMYFUNCTION("""COMPUTED_VALUE"""),"t.me/maktaboshohada_com")</f>
        <v>t.me/maktaboshohada_com</v>
      </c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>
      <c r="A677" s="5"/>
      <c r="B677" s="5" t="str">
        <f>IFERROR(__xludf.DUMMYFUNCTION("""COMPUTED_VALUE"""),"هیأت")</f>
        <v>هیأت</v>
      </c>
      <c r="C677" s="5" t="str">
        <f>IFERROR(__xludf.DUMMYFUNCTION("""COMPUTED_VALUE"""),"محبان اهل بیت(ع)")</f>
        <v>محبان اهل بیت(ع)</v>
      </c>
      <c r="D677" s="5" t="str">
        <f>IFERROR(__xludf.DUMMYFUNCTION("""COMPUTED_VALUE"""),"تهران")</f>
        <v>تهران</v>
      </c>
      <c r="E677" s="5" t="str">
        <f>IFERROR(__xludf.DUMMYFUNCTION("""COMPUTED_VALUE"""),"تهران")</f>
        <v>تهران</v>
      </c>
      <c r="F677" s="5"/>
      <c r="G677" s="5"/>
      <c r="H677" s="5"/>
      <c r="I677" s="5"/>
      <c r="J677" s="6" t="str">
        <f>IFERROR(__xludf.DUMMYFUNCTION("""COMPUTED_VALUE"""),"https://eitaa.com/mohebban_srttu")</f>
        <v>https://eitaa.com/mohebban_srttu</v>
      </c>
      <c r="K677" s="5"/>
      <c r="L677" s="5"/>
      <c r="M677" s="5"/>
      <c r="N677" s="5"/>
      <c r="O677" s="5"/>
      <c r="P677" s="5"/>
      <c r="Q677" s="5"/>
      <c r="R677" s="5"/>
      <c r="S677" s="5"/>
    </row>
    <row r="678">
      <c r="A678" s="5"/>
      <c r="B678" s="5" t="str">
        <f>IFERROR(__xludf.DUMMYFUNCTION("""COMPUTED_VALUE"""),"هیأت")</f>
        <v>هیأت</v>
      </c>
      <c r="C678" s="5" t="str">
        <f>IFERROR(__xludf.DUMMYFUNCTION("""COMPUTED_VALUE"""),"خاتم الاوصیاء")</f>
        <v>خاتم الاوصیاء</v>
      </c>
      <c r="D678" s="5" t="str">
        <f>IFERROR(__xludf.DUMMYFUNCTION("""COMPUTED_VALUE"""),"تهران")</f>
        <v>تهران</v>
      </c>
      <c r="E678" s="5" t="str">
        <f>IFERROR(__xludf.DUMMYFUNCTION("""COMPUTED_VALUE"""),"تهران")</f>
        <v>تهران</v>
      </c>
      <c r="F678" s="5"/>
      <c r="G678" s="5"/>
      <c r="H678" s="6" t="str">
        <f>IFERROR(__xludf.DUMMYFUNCTION("""COMPUTED_VALUE"""),"https://www.instagram.com/khatamolosiaa/")</f>
        <v>https://www.instagram.com/khatamolosiaa/</v>
      </c>
      <c r="I678" s="5"/>
      <c r="J678" s="6" t="str">
        <f>IFERROR(__xludf.DUMMYFUNCTION("""COMPUTED_VALUE"""),"eitaa.com/Khatamolosiaa")</f>
        <v>eitaa.com/Khatamolosiaa</v>
      </c>
      <c r="K678" s="5"/>
      <c r="L678" s="5"/>
      <c r="M678" s="5"/>
      <c r="N678" s="5"/>
      <c r="O678" s="5"/>
      <c r="P678" s="5"/>
      <c r="Q678" s="5"/>
      <c r="R678" s="5"/>
      <c r="S678" s="5"/>
    </row>
    <row r="679">
      <c r="A679" s="5"/>
      <c r="B679" s="5" t="str">
        <f>IFERROR(__xludf.DUMMYFUNCTION("""COMPUTED_VALUE"""),"هیأت")</f>
        <v>هیأت</v>
      </c>
      <c r="C679" s="5" t="str">
        <f>IFERROR(__xludf.DUMMYFUNCTION("""COMPUTED_VALUE"""),"عشاق المهدی")</f>
        <v>عشاق المهدی</v>
      </c>
      <c r="D679" s="5" t="str">
        <f>IFERROR(__xludf.DUMMYFUNCTION("""COMPUTED_VALUE"""),"تهران")</f>
        <v>تهران</v>
      </c>
      <c r="E679" s="5" t="str">
        <f>IFERROR(__xludf.DUMMYFUNCTION("""COMPUTED_VALUE"""),"تهران")</f>
        <v>تهران</v>
      </c>
      <c r="F679" s="5"/>
      <c r="G679" s="5"/>
      <c r="H679" s="6" t="str">
        <f>IFERROR(__xludf.DUMMYFUNCTION("""COMPUTED_VALUE"""),"https://www.instagram.com/heyat_oshagholmahdi/")</f>
        <v>https://www.instagram.com/heyat_oshagholmahdi/</v>
      </c>
      <c r="I679" s="6" t="str">
        <f>IFERROR(__xludf.DUMMYFUNCTION("""COMPUTED_VALUE"""),"t.me/heyat_oshagholmahdi")</f>
        <v>t.me/heyat_oshagholmahdi</v>
      </c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>
      <c r="A680" s="5"/>
      <c r="B680" s="5" t="str">
        <f>IFERROR(__xludf.DUMMYFUNCTION("""COMPUTED_VALUE"""),"هیأت")</f>
        <v>هیأت</v>
      </c>
      <c r="C680" s="5" t="str">
        <f>IFERROR(__xludf.DUMMYFUNCTION("""COMPUTED_VALUE"""),"حسن جان(ع)")</f>
        <v>حسن جان(ع)</v>
      </c>
      <c r="D680" s="5" t="str">
        <f>IFERROR(__xludf.DUMMYFUNCTION("""COMPUTED_VALUE"""),"تهران")</f>
        <v>تهران</v>
      </c>
      <c r="E680" s="5" t="str">
        <f>IFERROR(__xludf.DUMMYFUNCTION("""COMPUTED_VALUE"""),"تهران")</f>
        <v>تهران</v>
      </c>
      <c r="F680" s="5"/>
      <c r="G680" s="5"/>
      <c r="H680" s="6" t="str">
        <f>IFERROR(__xludf.DUMMYFUNCTION("""COMPUTED_VALUE"""),"https://www.instagram.com/heyathasanjan/")</f>
        <v>https://www.instagram.com/heyathasanjan/</v>
      </c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>
      <c r="A681" s="5"/>
      <c r="B681" s="5" t="str">
        <f>IFERROR(__xludf.DUMMYFUNCTION("""COMPUTED_VALUE"""),"هیأت")</f>
        <v>هیأت</v>
      </c>
      <c r="C681" s="5" t="str">
        <f>IFERROR(__xludf.DUMMYFUNCTION("""COMPUTED_VALUE"""),"فاطمیون")</f>
        <v>فاطمیون</v>
      </c>
      <c r="D681" s="5" t="str">
        <f>IFERROR(__xludf.DUMMYFUNCTION("""COMPUTED_VALUE"""),"تهران")</f>
        <v>تهران</v>
      </c>
      <c r="E681" s="5" t="str">
        <f>IFERROR(__xludf.DUMMYFUNCTION("""COMPUTED_VALUE"""),"تهران")</f>
        <v>تهران</v>
      </c>
      <c r="F681" s="5"/>
      <c r="G681" s="5"/>
      <c r="H681" s="6" t="str">
        <f>IFERROR(__xludf.DUMMYFUNCTION("""COMPUTED_VALUE"""),"https://www.instagram.com/hfatemion83/")</f>
        <v>https://www.instagram.com/hfatemion83/</v>
      </c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>
      <c r="A682" s="5"/>
      <c r="B682" s="5" t="str">
        <f>IFERROR(__xludf.DUMMYFUNCTION("""COMPUTED_VALUE"""),"هیأت")</f>
        <v>هیأت</v>
      </c>
      <c r="C682" s="5" t="str">
        <f>IFERROR(__xludf.DUMMYFUNCTION("""COMPUTED_VALUE"""),"بیت الرضا(ع) بیرق ریحانه النبی")</f>
        <v>بیت الرضا(ع) بیرق ریحانه النبی</v>
      </c>
      <c r="D682" s="5" t="str">
        <f>IFERROR(__xludf.DUMMYFUNCTION("""COMPUTED_VALUE"""),"تهران")</f>
        <v>تهران</v>
      </c>
      <c r="E682" s="5" t="str">
        <f>IFERROR(__xludf.DUMMYFUNCTION("""COMPUTED_VALUE"""),"تهران")</f>
        <v>تهران</v>
      </c>
      <c r="F682" s="5"/>
      <c r="G682" s="5"/>
      <c r="H682" s="6" t="str">
        <f>IFERROR(__xludf.DUMMYFUNCTION("""COMPUTED_VALUE"""),"https://www.instagram.com/beytoreza1/")</f>
        <v>https://www.instagram.com/beytoreza1/</v>
      </c>
      <c r="I682" s="6" t="str">
        <f>IFERROR(__xludf.DUMMYFUNCTION("""COMPUTED_VALUE"""),"tlgrm.in/beytoreza1")</f>
        <v>tlgrm.in/beytoreza1</v>
      </c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>
      <c r="A683" s="5"/>
      <c r="B683" s="5" t="str">
        <f>IFERROR(__xludf.DUMMYFUNCTION("""COMPUTED_VALUE"""),"هیأت")</f>
        <v>هیأت</v>
      </c>
      <c r="C683" s="5" t="str">
        <f>IFERROR(__xludf.DUMMYFUNCTION("""COMPUTED_VALUE"""),"رایه المهدی (عج)
")</f>
        <v>رایه المهدی (عج)
</v>
      </c>
      <c r="D683" s="5" t="str">
        <f>IFERROR(__xludf.DUMMYFUNCTION("""COMPUTED_VALUE"""),"تهران")</f>
        <v>تهران</v>
      </c>
      <c r="E683" s="5" t="str">
        <f>IFERROR(__xludf.DUMMYFUNCTION("""COMPUTED_VALUE"""),"تهران")</f>
        <v>تهران</v>
      </c>
      <c r="F683" s="5"/>
      <c r="G683" s="5"/>
      <c r="H683" s="6" t="str">
        <f>IFERROR(__xludf.DUMMYFUNCTION("""COMPUTED_VALUE"""),"https://www.instagram.com/rayatollmahdi_ir/")</f>
        <v>https://www.instagram.com/rayatollmahdi_ir/</v>
      </c>
      <c r="I683" s="6" t="str">
        <f>IFERROR(__xludf.DUMMYFUNCTION("""COMPUTED_VALUE"""),"t.me/rayatollmahdi_ir")</f>
        <v>t.me/rayatollmahdi_ir</v>
      </c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>
      <c r="A684" s="5"/>
      <c r="B684" s="5" t="str">
        <f>IFERROR(__xludf.DUMMYFUNCTION("""COMPUTED_VALUE"""),"هیأت")</f>
        <v>هیأت</v>
      </c>
      <c r="C684" s="5" t="str">
        <f>IFERROR(__xludf.DUMMYFUNCTION("""COMPUTED_VALUE"""),"کربلا")</f>
        <v>کربلا</v>
      </c>
      <c r="D684" s="5" t="str">
        <f>IFERROR(__xludf.DUMMYFUNCTION("""COMPUTED_VALUE"""),"تهران")</f>
        <v>تهران</v>
      </c>
      <c r="E684" s="5" t="str">
        <f>IFERROR(__xludf.DUMMYFUNCTION("""COMPUTED_VALUE"""),"تهران")</f>
        <v>تهران</v>
      </c>
      <c r="F684" s="5"/>
      <c r="G684" s="5"/>
      <c r="H684" s="6" t="str">
        <f>IFERROR(__xludf.DUMMYFUNCTION("""COMPUTED_VALUE"""),"https://www.instagram.com/heyatkarbala.69/")</f>
        <v>https://www.instagram.com/heyatkarbala.69/</v>
      </c>
      <c r="I684" s="6" t="str">
        <f>IFERROR(__xludf.DUMMYFUNCTION("""COMPUTED_VALUE"""),"t.me/heyatkarbala69")</f>
        <v>t.me/heyatkarbala69</v>
      </c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>
      <c r="A685" s="5"/>
      <c r="B685" s="5" t="str">
        <f>IFERROR(__xludf.DUMMYFUNCTION("""COMPUTED_VALUE"""),"هیأت")</f>
        <v>هیأت</v>
      </c>
      <c r="C685" s="5" t="str">
        <f>IFERROR(__xludf.DUMMYFUNCTION("""COMPUTED_VALUE"""),"تکیه سادات حسینی")</f>
        <v>تکیه سادات حسینی</v>
      </c>
      <c r="D685" s="5" t="str">
        <f>IFERROR(__xludf.DUMMYFUNCTION("""COMPUTED_VALUE"""),"تهران")</f>
        <v>تهران</v>
      </c>
      <c r="E685" s="5" t="str">
        <f>IFERROR(__xludf.DUMMYFUNCTION("""COMPUTED_VALUE"""),"تهران")</f>
        <v>تهران</v>
      </c>
      <c r="F685" s="5"/>
      <c r="G685" s="5"/>
      <c r="H685" s="6" t="str">
        <f>IFERROR(__xludf.DUMMYFUNCTION("""COMPUTED_VALUE"""),"https://www.instagram.com/heyathoseini/")</f>
        <v>https://www.instagram.com/heyathoseini/</v>
      </c>
      <c r="I685" s="6" t="str">
        <f>IFERROR(__xludf.DUMMYFUNCTION("""COMPUTED_VALUE"""),"t.me/Heyatsadat")</f>
        <v>t.me/Heyatsadat</v>
      </c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>
      <c r="A686" s="5"/>
      <c r="B686" s="5" t="str">
        <f>IFERROR(__xludf.DUMMYFUNCTION("""COMPUTED_VALUE"""),"هیأت")</f>
        <v>هیأت</v>
      </c>
      <c r="C686" s="5" t="str">
        <f>IFERROR(__xludf.DUMMYFUNCTION("""COMPUTED_VALUE"""),"مکتب الصادق(ع)")</f>
        <v>مکتب الصادق(ع)</v>
      </c>
      <c r="D686" s="5" t="str">
        <f>IFERROR(__xludf.DUMMYFUNCTION("""COMPUTED_VALUE"""),"تهران")</f>
        <v>تهران</v>
      </c>
      <c r="E686" s="5" t="str">
        <f>IFERROR(__xludf.DUMMYFUNCTION("""COMPUTED_VALUE"""),"تهران")</f>
        <v>تهران</v>
      </c>
      <c r="F686" s="5"/>
      <c r="G686" s="5"/>
      <c r="H686" s="6" t="str">
        <f>IFERROR(__xludf.DUMMYFUNCTION("""COMPUTED_VALUE"""),"https://www.instagram.com/maktab.sadegh/")</f>
        <v>https://www.instagram.com/maktab.sadegh/</v>
      </c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>
      <c r="A687" s="5"/>
      <c r="B687" s="5" t="str">
        <f>IFERROR(__xludf.DUMMYFUNCTION("""COMPUTED_VALUE"""),"هیأت")</f>
        <v>هیأت</v>
      </c>
      <c r="C687" s="5" t="str">
        <f>IFERROR(__xludf.DUMMYFUNCTION("""COMPUTED_VALUE"""),"زوار الحسین")</f>
        <v>زوار الحسین</v>
      </c>
      <c r="D687" s="5" t="str">
        <f>IFERROR(__xludf.DUMMYFUNCTION("""COMPUTED_VALUE"""),"تهران")</f>
        <v>تهران</v>
      </c>
      <c r="E687" s="5" t="str">
        <f>IFERROR(__xludf.DUMMYFUNCTION("""COMPUTED_VALUE"""),"تهران")</f>
        <v>تهران</v>
      </c>
      <c r="F687" s="5"/>
      <c r="G687" s="5"/>
      <c r="H687" s="6" t="str">
        <f>IFERROR(__xludf.DUMMYFUNCTION("""COMPUTED_VALUE"""),"https://www.instagram.com/zavarolhosein_momeni/")</f>
        <v>https://www.instagram.com/zavarolhosein_momeni/</v>
      </c>
      <c r="I687" s="6" t="str">
        <f>IFERROR(__xludf.DUMMYFUNCTION("""COMPUTED_VALUE"""),"t.me/seyedalimomeni")</f>
        <v>t.me/seyedalimomeni</v>
      </c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>
      <c r="A688" s="5"/>
      <c r="B688" s="5" t="str">
        <f>IFERROR(__xludf.DUMMYFUNCTION("""COMPUTED_VALUE"""),"هیأت")</f>
        <v>هیأت</v>
      </c>
      <c r="C688" s="5" t="str">
        <f>IFERROR(__xludf.DUMMYFUNCTION("""COMPUTED_VALUE"""),"محبان حضرت علی اصغر (ع)")</f>
        <v>محبان حضرت علی اصغر (ع)</v>
      </c>
      <c r="D688" s="5" t="str">
        <f>IFERROR(__xludf.DUMMYFUNCTION("""COMPUTED_VALUE"""),"تهران")</f>
        <v>تهران</v>
      </c>
      <c r="E688" s="5" t="str">
        <f>IFERROR(__xludf.DUMMYFUNCTION("""COMPUTED_VALUE"""),"تهران")</f>
        <v>تهران</v>
      </c>
      <c r="F688" s="5"/>
      <c r="G688" s="5"/>
      <c r="H688" s="6" t="str">
        <f>IFERROR(__xludf.DUMMYFUNCTION("""COMPUTED_VALUE"""),"https://www.instagram.com/mohebann_ir/")</f>
        <v>https://www.instagram.com/mohebann_ir/</v>
      </c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>
      <c r="A689" s="5"/>
      <c r="B689" s="5" t="str">
        <f>IFERROR(__xludf.DUMMYFUNCTION("""COMPUTED_VALUE"""),"هیأت")</f>
        <v>هیأت</v>
      </c>
      <c r="C689" s="5" t="str">
        <f>IFERROR(__xludf.DUMMYFUNCTION("""COMPUTED_VALUE"""),"بیت العباس")</f>
        <v>بیت العباس</v>
      </c>
      <c r="D689" s="5" t="str">
        <f>IFERROR(__xludf.DUMMYFUNCTION("""COMPUTED_VALUE"""),"تهران")</f>
        <v>تهران</v>
      </c>
      <c r="E689" s="5" t="str">
        <f>IFERROR(__xludf.DUMMYFUNCTION("""COMPUTED_VALUE"""),"تهران")</f>
        <v>تهران</v>
      </c>
      <c r="F689" s="5"/>
      <c r="G689" s="5"/>
      <c r="H689" s="6" t="str">
        <f>IFERROR(__xludf.DUMMYFUNCTION("""COMPUTED_VALUE"""),"https://www.instagram.com/beitol_abbas_ir/")</f>
        <v>https://www.instagram.com/beitol_abbas_ir/</v>
      </c>
      <c r="I689" s="6" t="str">
        <f>IFERROR(__xludf.DUMMYFUNCTION("""COMPUTED_VALUE"""),"https://t.me/BaytalAbbass")</f>
        <v>https://t.me/BaytalAbbass</v>
      </c>
      <c r="J689" s="6" t="str">
        <f>IFERROR(__xludf.DUMMYFUNCTION("""COMPUTED_VALUE"""),"https://eitaa.com/BaytalAbbass")</f>
        <v>https://eitaa.com/BaytalAbbass</v>
      </c>
      <c r="K689" s="5"/>
      <c r="L689" s="5"/>
      <c r="M689" s="5"/>
      <c r="N689" s="5"/>
      <c r="O689" s="5"/>
      <c r="P689" s="5"/>
      <c r="Q689" s="5"/>
      <c r="R689" s="5"/>
      <c r="S689" s="5"/>
    </row>
    <row r="690">
      <c r="A690" s="5"/>
      <c r="B690" s="5" t="str">
        <f>IFERROR(__xludf.DUMMYFUNCTION("""COMPUTED_VALUE"""),"هیأت")</f>
        <v>هیأت</v>
      </c>
      <c r="C690" s="5" t="str">
        <f>IFERROR(__xludf.DUMMYFUNCTION("""COMPUTED_VALUE"""),"رقیه بنت الحسین (س)")</f>
        <v>رقیه بنت الحسین (س)</v>
      </c>
      <c r="D690" s="5" t="str">
        <f>IFERROR(__xludf.DUMMYFUNCTION("""COMPUTED_VALUE"""),"تهران")</f>
        <v>تهران</v>
      </c>
      <c r="E690" s="5" t="str">
        <f>IFERROR(__xludf.DUMMYFUNCTION("""COMPUTED_VALUE"""),"تهران")</f>
        <v>تهران</v>
      </c>
      <c r="F690" s="5"/>
      <c r="G690" s="5"/>
      <c r="H690" s="6" t="str">
        <f>IFERROR(__xludf.DUMMYFUNCTION("""COMPUTED_VALUE"""),"https://www.instagram.com/roghaye_bentolhosein/")</f>
        <v>https://www.instagram.com/roghaye_bentolhosein/</v>
      </c>
      <c r="I690" s="6" t="str">
        <f>IFERROR(__xludf.DUMMYFUNCTION("""COMPUTED_VALUE"""),"t.me/roghaye_bentolhosein")</f>
        <v>t.me/roghaye_bentolhosein</v>
      </c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>
      <c r="A691" s="5"/>
      <c r="B691" s="5" t="str">
        <f>IFERROR(__xludf.DUMMYFUNCTION("""COMPUTED_VALUE"""),"هیأت")</f>
        <v>هیأت</v>
      </c>
      <c r="C691" s="5" t="str">
        <f>IFERROR(__xludf.DUMMYFUNCTION("""COMPUTED_VALUE"""),"جنت البقیع")</f>
        <v>جنت البقیع</v>
      </c>
      <c r="D691" s="5" t="str">
        <f>IFERROR(__xludf.DUMMYFUNCTION("""COMPUTED_VALUE"""),"تهران")</f>
        <v>تهران</v>
      </c>
      <c r="E691" s="5" t="str">
        <f>IFERROR(__xludf.DUMMYFUNCTION("""COMPUTED_VALUE"""),"تهران")</f>
        <v>تهران</v>
      </c>
      <c r="F691" s="5"/>
      <c r="G691" s="5"/>
      <c r="H691" s="6" t="str">
        <f>IFERROR(__xludf.DUMMYFUNCTION("""COMPUTED_VALUE"""),"https://www.instagram.com/jannatolbaqi/")</f>
        <v>https://www.instagram.com/jannatolbaqi/</v>
      </c>
      <c r="I691" s="6" t="str">
        <f>IFERROR(__xludf.DUMMYFUNCTION("""COMPUTED_VALUE"""),"t.me/janat")</f>
        <v>t.me/janat</v>
      </c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>
      <c r="A692" s="5"/>
      <c r="B692" s="5" t="str">
        <f>IFERROR(__xludf.DUMMYFUNCTION("""COMPUTED_VALUE"""),"هیأت")</f>
        <v>هیأت</v>
      </c>
      <c r="C692" s="5" t="str">
        <f>IFERROR(__xludf.DUMMYFUNCTION("""COMPUTED_VALUE"""),"حبیب بن مظاهر")</f>
        <v>حبیب بن مظاهر</v>
      </c>
      <c r="D692" s="5" t="str">
        <f>IFERROR(__xludf.DUMMYFUNCTION("""COMPUTED_VALUE"""),"تهران")</f>
        <v>تهران</v>
      </c>
      <c r="E692" s="5" t="str">
        <f>IFERROR(__xludf.DUMMYFUNCTION("""COMPUTED_VALUE"""),"تهران")</f>
        <v>تهران</v>
      </c>
      <c r="F692" s="5"/>
      <c r="G692" s="5"/>
      <c r="H692" s="6" t="str">
        <f>IFERROR(__xludf.DUMMYFUNCTION("""COMPUTED_VALUE"""),"https://www.instagram.com/habibtm_/")</f>
        <v>https://www.instagram.com/habibtm_/</v>
      </c>
      <c r="I692" s="5"/>
      <c r="J692" s="6" t="str">
        <f>IFERROR(__xludf.DUMMYFUNCTION("""COMPUTED_VALUE"""),"eitaa.com/habibtm")</f>
        <v>eitaa.com/habibtm</v>
      </c>
      <c r="K692" s="5"/>
      <c r="L692" s="5"/>
      <c r="M692" s="5"/>
      <c r="N692" s="5"/>
      <c r="O692" s="5"/>
      <c r="P692" s="5"/>
      <c r="Q692" s="5"/>
      <c r="R692" s="5"/>
      <c r="S692" s="5"/>
    </row>
    <row r="693">
      <c r="A693" s="5"/>
      <c r="B693" s="5" t="str">
        <f>IFERROR(__xludf.DUMMYFUNCTION("""COMPUTED_VALUE"""),"هیأت")</f>
        <v>هیأت</v>
      </c>
      <c r="C693" s="5" t="str">
        <f>IFERROR(__xludf.DUMMYFUNCTION("""COMPUTED_VALUE"""),"عشاق الحیدر")</f>
        <v>عشاق الحیدر</v>
      </c>
      <c r="D693" s="5" t="str">
        <f>IFERROR(__xludf.DUMMYFUNCTION("""COMPUTED_VALUE"""),"تهران")</f>
        <v>تهران</v>
      </c>
      <c r="E693" s="5" t="str">
        <f>IFERROR(__xludf.DUMMYFUNCTION("""COMPUTED_VALUE"""),"تهران")</f>
        <v>تهران</v>
      </c>
      <c r="F693" s="5"/>
      <c r="G693" s="5"/>
      <c r="H693" s="6" t="str">
        <f>IFERROR(__xludf.DUMMYFUNCTION("""COMPUTED_VALUE"""),"https://www.instagram.com/oshagh_alheydar/")</f>
        <v>https://www.instagram.com/oshagh_alheydar/</v>
      </c>
      <c r="I693" s="6" t="str">
        <f>IFERROR(__xludf.DUMMYFUNCTION("""COMPUTED_VALUE"""),"https://t.me/oshagh_alheydar")</f>
        <v>https://t.me/oshagh_alheydar</v>
      </c>
      <c r="J693" s="6" t="str">
        <f>IFERROR(__xludf.DUMMYFUNCTION("""COMPUTED_VALUE"""),"https://eitaa.com/oshagh_alheydar")</f>
        <v>https://eitaa.com/oshagh_alheydar</v>
      </c>
      <c r="K693" s="5"/>
      <c r="L693" s="5"/>
      <c r="M693" s="5"/>
      <c r="N693" s="5"/>
      <c r="O693" s="5"/>
      <c r="P693" s="5"/>
      <c r="Q693" s="5"/>
      <c r="R693" s="5"/>
      <c r="S693" s="5"/>
    </row>
    <row r="694">
      <c r="A694" s="5"/>
      <c r="B694" s="5" t="str">
        <f>IFERROR(__xludf.DUMMYFUNCTION("""COMPUTED_VALUE"""),"هیأت")</f>
        <v>هیأت</v>
      </c>
      <c r="C694" s="5" t="str">
        <f>IFERROR(__xludf.DUMMYFUNCTION("""COMPUTED_VALUE"""),"عاشقان نینوا")</f>
        <v>عاشقان نینوا</v>
      </c>
      <c r="D694" s="5" t="str">
        <f>IFERROR(__xludf.DUMMYFUNCTION("""COMPUTED_VALUE"""),"تهران")</f>
        <v>تهران</v>
      </c>
      <c r="E694" s="5" t="str">
        <f>IFERROR(__xludf.DUMMYFUNCTION("""COMPUTED_VALUE"""),"تهران")</f>
        <v>تهران</v>
      </c>
      <c r="F694" s="5"/>
      <c r="G694" s="5"/>
      <c r="H694" s="6" t="str">
        <f>IFERROR(__xludf.DUMMYFUNCTION("""COMPUTED_VALUE"""),"https://www.instagram.com/heyat_asheghan_neynava/")</f>
        <v>https://www.instagram.com/heyat_asheghan_neynava/</v>
      </c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>
      <c r="A695" s="5"/>
      <c r="B695" s="5" t="str">
        <f>IFERROR(__xludf.DUMMYFUNCTION("""COMPUTED_VALUE"""),"هیأت")</f>
        <v>هیأت</v>
      </c>
      <c r="C695" s="5" t="str">
        <f>IFERROR(__xludf.DUMMYFUNCTION("""COMPUTED_VALUE"""),"حضرت رقیه سادات")</f>
        <v>حضرت رقیه سادات</v>
      </c>
      <c r="D695" s="5" t="str">
        <f>IFERROR(__xludf.DUMMYFUNCTION("""COMPUTED_VALUE"""),"تهران")</f>
        <v>تهران</v>
      </c>
      <c r="E695" s="5" t="str">
        <f>IFERROR(__xludf.DUMMYFUNCTION("""COMPUTED_VALUE"""),"تهران")</f>
        <v>تهران</v>
      </c>
      <c r="F695" s="5"/>
      <c r="G695" s="5"/>
      <c r="H695" s="6" t="str">
        <f>IFERROR(__xludf.DUMMYFUNCTION("""COMPUTED_VALUE"""),"https://www.instagram.com/roghayeh__sadat/")</f>
        <v>https://www.instagram.com/roghayeh__sadat/</v>
      </c>
      <c r="I695" s="6" t="str">
        <f>IFERROR(__xludf.DUMMYFUNCTION("""COMPUTED_VALUE"""),"t.me/roghaye_saadat")</f>
        <v>t.me/roghaye_saadat</v>
      </c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>
      <c r="A696" s="5"/>
      <c r="B696" s="5" t="str">
        <f>IFERROR(__xludf.DUMMYFUNCTION("""COMPUTED_VALUE"""),"هیأت")</f>
        <v>هیأت</v>
      </c>
      <c r="C696" s="5" t="str">
        <f>IFERROR(__xludf.DUMMYFUNCTION("""COMPUTED_VALUE"""),"رکن الهدی")</f>
        <v>رکن الهدی</v>
      </c>
      <c r="D696" s="5" t="str">
        <f>IFERROR(__xludf.DUMMYFUNCTION("""COMPUTED_VALUE"""),"تهران")</f>
        <v>تهران</v>
      </c>
      <c r="E696" s="5" t="str">
        <f>IFERROR(__xludf.DUMMYFUNCTION("""COMPUTED_VALUE"""),"تهران")</f>
        <v>تهران</v>
      </c>
      <c r="F696" s="5"/>
      <c r="G696" s="5"/>
      <c r="H696" s="6" t="str">
        <f>IFERROR(__xludf.DUMMYFUNCTION("""COMPUTED_VALUE"""),"https://www.instagram.com/heiat_roknolhoda135/")</f>
        <v>https://www.instagram.com/heiat_roknolhoda135/</v>
      </c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>
      <c r="A697" s="5"/>
      <c r="B697" s="5" t="str">
        <f>IFERROR(__xludf.DUMMYFUNCTION("""COMPUTED_VALUE"""),"هیأت")</f>
        <v>هیأت</v>
      </c>
      <c r="C697" s="5" t="str">
        <f>IFERROR(__xludf.DUMMYFUNCTION("""COMPUTED_VALUE"""),"متوسلین به چهارده معصوم (ع)")</f>
        <v>متوسلین به چهارده معصوم (ع)</v>
      </c>
      <c r="D697" s="5" t="str">
        <f>IFERROR(__xludf.DUMMYFUNCTION("""COMPUTED_VALUE"""),"تهران")</f>
        <v>تهران</v>
      </c>
      <c r="E697" s="5" t="str">
        <f>IFERROR(__xludf.DUMMYFUNCTION("""COMPUTED_VALUE"""),"تهران")</f>
        <v>تهران</v>
      </c>
      <c r="F697" s="5"/>
      <c r="G697" s="5"/>
      <c r="H697" s="5"/>
      <c r="I697" s="5"/>
      <c r="J697" s="6" t="str">
        <f>IFERROR(__xludf.DUMMYFUNCTION("""COMPUTED_VALUE"""),"https://eitaa.com/heyate_chahardah_masom")</f>
        <v>https://eitaa.com/heyate_chahardah_masom</v>
      </c>
      <c r="K697" s="5"/>
      <c r="L697" s="5"/>
      <c r="M697" s="5"/>
      <c r="N697" s="5"/>
      <c r="O697" s="5"/>
      <c r="P697" s="5"/>
      <c r="Q697" s="5"/>
      <c r="R697" s="5"/>
      <c r="S697" s="5"/>
    </row>
    <row r="698">
      <c r="A698" s="5"/>
      <c r="B698" s="5" t="str">
        <f>IFERROR(__xludf.DUMMYFUNCTION("""COMPUTED_VALUE"""),"هیأت")</f>
        <v>هیأت</v>
      </c>
      <c r="C698" s="5" t="str">
        <f>IFERROR(__xludf.DUMMYFUNCTION("""COMPUTED_VALUE"""),"محبان قرآن و عترت")</f>
        <v>محبان قرآن و عترت</v>
      </c>
      <c r="D698" s="5" t="str">
        <f>IFERROR(__xludf.DUMMYFUNCTION("""COMPUTED_VALUE"""),"تهران")</f>
        <v>تهران</v>
      </c>
      <c r="E698" s="5" t="str">
        <f>IFERROR(__xludf.DUMMYFUNCTION("""COMPUTED_VALUE"""),"تهران")</f>
        <v>تهران</v>
      </c>
      <c r="F698" s="5"/>
      <c r="G698" s="5"/>
      <c r="H698" s="6" t="str">
        <f>IFERROR(__xludf.DUMMYFUNCTION("""COMPUTED_VALUE"""),"https://www.instagram.com/kheimegah128/")</f>
        <v>https://www.instagram.com/kheimegah128/</v>
      </c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>
      <c r="A699" s="5"/>
      <c r="B699" s="5" t="str">
        <f>IFERROR(__xludf.DUMMYFUNCTION("""COMPUTED_VALUE"""),"هیأت")</f>
        <v>هیأت</v>
      </c>
      <c r="C699" s="5" t="str">
        <f>IFERROR(__xludf.DUMMYFUNCTION("""COMPUTED_VALUE"""),"محبان علی")</f>
        <v>محبان علی</v>
      </c>
      <c r="D699" s="5" t="str">
        <f>IFERROR(__xludf.DUMMYFUNCTION("""COMPUTED_VALUE"""),"تهران")</f>
        <v>تهران</v>
      </c>
      <c r="E699" s="5" t="str">
        <f>IFERROR(__xludf.DUMMYFUNCTION("""COMPUTED_VALUE"""),"تهران")</f>
        <v>تهران</v>
      </c>
      <c r="F699" s="5"/>
      <c r="G699" s="5"/>
      <c r="H699" s="6" t="str">
        <f>IFERROR(__xludf.DUMMYFUNCTION("""COMPUTED_VALUE"""),"https://www.instagram.com/mohebbanali1/")</f>
        <v>https://www.instagram.com/mohebbanali1/</v>
      </c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>
      <c r="A700" s="5"/>
      <c r="B700" s="5" t="str">
        <f>IFERROR(__xludf.DUMMYFUNCTION("""COMPUTED_VALUE"""),"هیأت")</f>
        <v>هیأت</v>
      </c>
      <c r="C700" s="5" t="str">
        <f>IFERROR(__xludf.DUMMYFUNCTION("""COMPUTED_VALUE"""),"علمدار علقمه")</f>
        <v>علمدار علقمه</v>
      </c>
      <c r="D700" s="5" t="str">
        <f>IFERROR(__xludf.DUMMYFUNCTION("""COMPUTED_VALUE"""),"تهران")</f>
        <v>تهران</v>
      </c>
      <c r="E700" s="5" t="str">
        <f>IFERROR(__xludf.DUMMYFUNCTION("""COMPUTED_VALUE"""),"تهران")</f>
        <v>تهران</v>
      </c>
      <c r="F700" s="5"/>
      <c r="G700" s="5"/>
      <c r="H700" s="6" t="str">
        <f>IFERROR(__xludf.DUMMYFUNCTION("""COMPUTED_VALUE"""),"https://www.instagram.com/alamdar_alghameh133/")</f>
        <v>https://www.instagram.com/alamdar_alghameh133/</v>
      </c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>
      <c r="A701" s="5"/>
      <c r="B701" s="5" t="str">
        <f>IFERROR(__xludf.DUMMYFUNCTION("""COMPUTED_VALUE"""),"هیأت")</f>
        <v>هیأت</v>
      </c>
      <c r="C701" s="5" t="str">
        <f>IFERROR(__xludf.DUMMYFUNCTION("""COMPUTED_VALUE"""),"جوانان متوسل به چهارده معصوم(ع)")</f>
        <v>جوانان متوسل به چهارده معصوم(ع)</v>
      </c>
      <c r="D701" s="5" t="str">
        <f>IFERROR(__xludf.DUMMYFUNCTION("""COMPUTED_VALUE"""),"تهران")</f>
        <v>تهران</v>
      </c>
      <c r="E701" s="5" t="str">
        <f>IFERROR(__xludf.DUMMYFUNCTION("""COMPUTED_VALUE"""),"تهران")</f>
        <v>تهران</v>
      </c>
      <c r="F701" s="5"/>
      <c r="G701" s="5"/>
      <c r="H701" s="6" t="str">
        <f>IFERROR(__xludf.DUMMYFUNCTION("""COMPUTED_VALUE"""),"https://www.instagram.com/heat.javanan.14masoom/")</f>
        <v>https://www.instagram.com/heat.javanan.14masoom/</v>
      </c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>
      <c r="A702" s="5"/>
      <c r="B702" s="5" t="str">
        <f>IFERROR(__xludf.DUMMYFUNCTION("""COMPUTED_VALUE"""),"هیأت")</f>
        <v>هیأت</v>
      </c>
      <c r="C702" s="5" t="str">
        <f>IFERROR(__xludf.DUMMYFUNCTION("""COMPUTED_VALUE"""),"رایة الزهرا")</f>
        <v>رایة الزهرا</v>
      </c>
      <c r="D702" s="5" t="str">
        <f>IFERROR(__xludf.DUMMYFUNCTION("""COMPUTED_VALUE"""),"تهران")</f>
        <v>تهران</v>
      </c>
      <c r="E702" s="5" t="str">
        <f>IFERROR(__xludf.DUMMYFUNCTION("""COMPUTED_VALUE"""),"تهران")</f>
        <v>تهران</v>
      </c>
      <c r="F702" s="5"/>
      <c r="G702" s="5"/>
      <c r="H702" s="6" t="str">
        <f>IFERROR(__xludf.DUMMYFUNCTION("""COMPUTED_VALUE"""),"https://www.instagram.com/rayatolzahra.babol/")</f>
        <v>https://www.instagram.com/rayatolzahra.babol/</v>
      </c>
      <c r="I702" s="6" t="str">
        <f>IFERROR(__xludf.DUMMYFUNCTION("""COMPUTED_VALUE"""),"t.me/rayatolzahra")</f>
        <v>t.me/rayatolzahra</v>
      </c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>
      <c r="A703" s="5"/>
      <c r="B703" s="5" t="str">
        <f>IFERROR(__xludf.DUMMYFUNCTION("""COMPUTED_VALUE"""),"هیأت جوانان")</f>
        <v>هیأت جوانان</v>
      </c>
      <c r="C703" s="5" t="str">
        <f>IFERROR(__xludf.DUMMYFUNCTION("""COMPUTED_VALUE"""),"مسجد حضرت ابوالفضل")</f>
        <v>مسجد حضرت ابوالفضل</v>
      </c>
      <c r="D703" s="5" t="str">
        <f>IFERROR(__xludf.DUMMYFUNCTION("""COMPUTED_VALUE"""),"تهران")</f>
        <v>تهران</v>
      </c>
      <c r="E703" s="5" t="str">
        <f>IFERROR(__xludf.DUMMYFUNCTION("""COMPUTED_VALUE"""),"تهران")</f>
        <v>تهران</v>
      </c>
      <c r="F703" s="5"/>
      <c r="G703" s="5"/>
      <c r="H703" s="6" t="str">
        <f>IFERROR(__xludf.DUMMYFUNCTION("""COMPUTED_VALUE"""),"https://www.instagram.com/masjed_hazrat_abalfazl/")</f>
        <v>https://www.instagram.com/masjed_hazrat_abalfazl/</v>
      </c>
      <c r="I703" s="6" t="str">
        <f>IFERROR(__xludf.DUMMYFUNCTION("""COMPUTED_VALUE"""),"https://t.me/heyatMasjedHazratAbalfazllll")</f>
        <v>https://t.me/heyatMasjedHazratAbalfazllll</v>
      </c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>
      <c r="A704" s="5"/>
      <c r="B704" s="5" t="str">
        <f>IFERROR(__xludf.DUMMYFUNCTION("""COMPUTED_VALUE"""),"هیأت")</f>
        <v>هیأت</v>
      </c>
      <c r="C704" s="5" t="str">
        <f>IFERROR(__xludf.DUMMYFUNCTION("""COMPUTED_VALUE"""),"مسجد جامع صاحب الزمان")</f>
        <v>مسجد جامع صاحب الزمان</v>
      </c>
      <c r="D704" s="5" t="str">
        <f>IFERROR(__xludf.DUMMYFUNCTION("""COMPUTED_VALUE"""),"تهران")</f>
        <v>تهران</v>
      </c>
      <c r="E704" s="5" t="str">
        <f>IFERROR(__xludf.DUMMYFUNCTION("""COMPUTED_VALUE"""),"تهران")</f>
        <v>تهران</v>
      </c>
      <c r="F704" s="5"/>
      <c r="G704" s="5"/>
      <c r="H704" s="5"/>
      <c r="I704" s="5"/>
      <c r="J704" s="6" t="str">
        <f>IFERROR(__xludf.DUMMYFUNCTION("""COMPUTED_VALUE"""),"https://eitaa.com/masjedjamesahebazamanaj")</f>
        <v>https://eitaa.com/masjedjamesahebazamanaj</v>
      </c>
      <c r="K704" s="5"/>
      <c r="L704" s="5"/>
      <c r="M704" s="5"/>
      <c r="N704" s="5"/>
      <c r="O704" s="5"/>
      <c r="P704" s="5"/>
      <c r="Q704" s="5"/>
      <c r="R704" s="5"/>
      <c r="S704" s="5"/>
    </row>
    <row r="705">
      <c r="A705" s="5"/>
      <c r="B705" s="5" t="str">
        <f>IFERROR(__xludf.DUMMYFUNCTION("""COMPUTED_VALUE"""),"هیأت")</f>
        <v>هیأت</v>
      </c>
      <c r="C705" s="5" t="str">
        <f>IFERROR(__xludf.DUMMYFUNCTION("""COMPUTED_VALUE"""),"جهادی جنت الحسین")</f>
        <v>جهادی جنت الحسین</v>
      </c>
      <c r="D705" s="5" t="str">
        <f>IFERROR(__xludf.DUMMYFUNCTION("""COMPUTED_VALUE"""),"تهران")</f>
        <v>تهران</v>
      </c>
      <c r="E705" s="5" t="str">
        <f>IFERROR(__xludf.DUMMYFUNCTION("""COMPUTED_VALUE"""),"تهران")</f>
        <v>تهران</v>
      </c>
      <c r="F705" s="5"/>
      <c r="G705" s="5"/>
      <c r="H705" s="5"/>
      <c r="I705" s="5"/>
      <c r="J705" s="6" t="str">
        <f>IFERROR(__xludf.DUMMYFUNCTION("""COMPUTED_VALUE"""),"https://eitaa.com/jahadi_janatolhosein")</f>
        <v>https://eitaa.com/jahadi_janatolhosein</v>
      </c>
      <c r="K705" s="5"/>
      <c r="L705" s="5"/>
      <c r="M705" s="5"/>
      <c r="N705" s="5"/>
      <c r="O705" s="5"/>
      <c r="P705" s="5"/>
      <c r="Q705" s="5"/>
      <c r="R705" s="5"/>
      <c r="S705" s="5"/>
    </row>
    <row r="706">
      <c r="A706" s="5"/>
      <c r="B706" s="5" t="str">
        <f>IFERROR(__xludf.DUMMYFUNCTION("""COMPUTED_VALUE"""),"هیأت")</f>
        <v>هیأت</v>
      </c>
      <c r="C706" s="5" t="str">
        <f>IFERROR(__xludf.DUMMYFUNCTION("""COMPUTED_VALUE"""),"رهروان شهدا")</f>
        <v>رهروان شهدا</v>
      </c>
      <c r="D706" s="5" t="str">
        <f>IFERROR(__xludf.DUMMYFUNCTION("""COMPUTED_VALUE"""),"تهران")</f>
        <v>تهران</v>
      </c>
      <c r="E706" s="5" t="str">
        <f>IFERROR(__xludf.DUMMYFUNCTION("""COMPUTED_VALUE"""),"تهران")</f>
        <v>تهران</v>
      </c>
      <c r="F706" s="5"/>
      <c r="G706" s="5"/>
      <c r="H706" s="6" t="str">
        <f>IFERROR(__xludf.DUMMYFUNCTION("""COMPUTED_VALUE"""),"https://www.instagram.com/rah.shohada/")</f>
        <v>https://www.instagram.com/rah.shohada/</v>
      </c>
      <c r="I706" s="6" t="str">
        <f>IFERROR(__xludf.DUMMYFUNCTION("""COMPUTED_VALUE"""),"https://t.me/boryr")</f>
        <v>https://t.me/boryr</v>
      </c>
      <c r="J706" s="6" t="str">
        <f>IFERROR(__xludf.DUMMYFUNCTION("""COMPUTED_VALUE"""),"https://eitaa.com/rahrovan_shohada1375")</f>
        <v>https://eitaa.com/rahrovan_shohada1375</v>
      </c>
      <c r="K706" s="5"/>
      <c r="L706" s="5"/>
      <c r="M706" s="5"/>
      <c r="N706" s="5"/>
      <c r="O706" s="5"/>
      <c r="P706" s="5"/>
      <c r="Q706" s="5"/>
      <c r="R706" s="5"/>
      <c r="S706" s="5"/>
    </row>
    <row r="707">
      <c r="A707" s="5"/>
      <c r="B707" s="5" t="str">
        <f>IFERROR(__xludf.DUMMYFUNCTION("""COMPUTED_VALUE"""),"هیأت")</f>
        <v>هیأت</v>
      </c>
      <c r="C707" s="5" t="str">
        <f>IFERROR(__xludf.DUMMYFUNCTION("""COMPUTED_VALUE"""),"قافله شهدا")</f>
        <v>قافله شهدا</v>
      </c>
      <c r="D707" s="5" t="str">
        <f>IFERROR(__xludf.DUMMYFUNCTION("""COMPUTED_VALUE"""),"تهران")</f>
        <v>تهران</v>
      </c>
      <c r="E707" s="5" t="str">
        <f>IFERROR(__xludf.DUMMYFUNCTION("""COMPUTED_VALUE"""),"تهران")</f>
        <v>تهران</v>
      </c>
      <c r="F707" s="5"/>
      <c r="G707" s="5"/>
      <c r="H707" s="6" t="str">
        <f>IFERROR(__xludf.DUMMYFUNCTION("""COMPUTED_VALUE"""),"https://www.instagram.com/ghafele_info/")</f>
        <v>https://www.instagram.com/ghafele_info/</v>
      </c>
      <c r="I707" s="6" t="str">
        <f>IFERROR(__xludf.DUMMYFUNCTION("""COMPUTED_VALUE"""),"t.me/ghafele_info")</f>
        <v>t.me/ghafele_info</v>
      </c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>
      <c r="A708" s="5"/>
      <c r="B708" s="5" t="str">
        <f>IFERROR(__xludf.DUMMYFUNCTION("""COMPUTED_VALUE"""),"هیأت جوانان")</f>
        <v>هیأت جوانان</v>
      </c>
      <c r="C708" s="5" t="str">
        <f>IFERROR(__xludf.DUMMYFUNCTION("""COMPUTED_VALUE"""),"انصار الحسین")</f>
        <v>انصار الحسین</v>
      </c>
      <c r="D708" s="5" t="str">
        <f>IFERROR(__xludf.DUMMYFUNCTION("""COMPUTED_VALUE"""),"تهران")</f>
        <v>تهران</v>
      </c>
      <c r="E708" s="5" t="str">
        <f>IFERROR(__xludf.DUMMYFUNCTION("""COMPUTED_VALUE"""),"تهران")</f>
        <v>تهران</v>
      </c>
      <c r="F708" s="5"/>
      <c r="G708" s="5"/>
      <c r="H708" s="6" t="str">
        <f>IFERROR(__xludf.DUMMYFUNCTION("""COMPUTED_VALUE"""),"https://www.instagram.com/zeynabiyeh_media/")</f>
        <v>https://www.instagram.com/zeynabiyeh_media/</v>
      </c>
      <c r="I708" s="6" t="str">
        <f>IFERROR(__xludf.DUMMYFUNCTION("""COMPUTED_VALUE"""),"telegram.me/zeynabiyeh_media")</f>
        <v>telegram.me/zeynabiyeh_media</v>
      </c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>
      <c r="A709" s="5"/>
      <c r="B709" s="5" t="str">
        <f>IFERROR(__xludf.DUMMYFUNCTION("""COMPUTED_VALUE"""),"مسجد")</f>
        <v>مسجد</v>
      </c>
      <c r="C709" s="5" t="str">
        <f>IFERROR(__xludf.DUMMYFUNCTION("""COMPUTED_VALUE"""),"الزهرا")</f>
        <v>الزهرا</v>
      </c>
      <c r="D709" s="5" t="str">
        <f>IFERROR(__xludf.DUMMYFUNCTION("""COMPUTED_VALUE"""),"تهران")</f>
        <v>تهران</v>
      </c>
      <c r="E709" s="5" t="str">
        <f>IFERROR(__xludf.DUMMYFUNCTION("""COMPUTED_VALUE"""),"تهران")</f>
        <v>تهران</v>
      </c>
      <c r="F709" s="5"/>
      <c r="G709" s="5"/>
      <c r="H709" s="6" t="str">
        <f>IFERROR(__xludf.DUMMYFUNCTION("""COMPUTED_VALUE"""),"https://www.instagram.com/azahraa.ir/")</f>
        <v>https://www.instagram.com/azahraa.ir/</v>
      </c>
      <c r="I709" s="6" t="str">
        <f>IFERROR(__xludf.DUMMYFUNCTION("""COMPUTED_VALUE"""),"tlgrm.me/azahraa_ir")</f>
        <v>tlgrm.me/azahraa_ir</v>
      </c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>
      <c r="A710" s="5"/>
      <c r="B710" s="5" t="str">
        <f>IFERROR(__xludf.DUMMYFUNCTION("""COMPUTED_VALUE"""),"سامانه")</f>
        <v>سامانه</v>
      </c>
      <c r="C710" s="5" t="str">
        <f>IFERROR(__xludf.DUMMYFUNCTION("""COMPUTED_VALUE"""),"عقیق")</f>
        <v>عقیق</v>
      </c>
      <c r="D710" s="5" t="str">
        <f>IFERROR(__xludf.DUMMYFUNCTION("""COMPUTED_VALUE"""),"تهران")</f>
        <v>تهران</v>
      </c>
      <c r="E710" s="5" t="str">
        <f>IFERROR(__xludf.DUMMYFUNCTION("""COMPUTED_VALUE"""),"تهران")</f>
        <v>تهران</v>
      </c>
      <c r="F710" s="5"/>
      <c r="G710" s="5"/>
      <c r="H710" s="6" t="str">
        <f>IFERROR(__xludf.DUMMYFUNCTION("""COMPUTED_VALUE"""),"https://aghigh.ayandehsazan.ir/")</f>
        <v>https://aghigh.ayandehsazan.ir/</v>
      </c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>
      <c r="A711" s="5"/>
      <c r="B711" s="5" t="str">
        <f>IFERROR(__xludf.DUMMYFUNCTION("""COMPUTED_VALUE"""),"هیأت")</f>
        <v>هیأت</v>
      </c>
      <c r="C711" s="5" t="str">
        <f>IFERROR(__xludf.DUMMYFUNCTION("""COMPUTED_VALUE"""),"مکتب المهدی")</f>
        <v>مکتب المهدی</v>
      </c>
      <c r="D711" s="5" t="str">
        <f>IFERROR(__xludf.DUMMYFUNCTION("""COMPUTED_VALUE"""),"تهران")</f>
        <v>تهران</v>
      </c>
      <c r="E711" s="5" t="str">
        <f>IFERROR(__xludf.DUMMYFUNCTION("""COMPUTED_VALUE"""),"تهران")</f>
        <v>تهران</v>
      </c>
      <c r="F711" s="5"/>
      <c r="G711" s="5"/>
      <c r="H711" s="5"/>
      <c r="I711" s="5"/>
      <c r="J711" s="6" t="str">
        <f>IFERROR(__xludf.DUMMYFUNCTION("""COMPUTED_VALUE"""),"https://eitaa.com/maktabolmahdyy")</f>
        <v>https://eitaa.com/maktabolmahdyy</v>
      </c>
      <c r="K711" s="5"/>
      <c r="L711" s="5"/>
      <c r="M711" s="5"/>
      <c r="N711" s="5"/>
      <c r="O711" s="5"/>
      <c r="P711" s="5"/>
      <c r="Q711" s="5"/>
      <c r="R711" s="5"/>
      <c r="S711" s="5"/>
    </row>
    <row r="712">
      <c r="A712" s="5"/>
      <c r="B712" s="5" t="str">
        <f>IFERROR(__xludf.DUMMYFUNCTION("""COMPUTED_VALUE"""),"هیأت")</f>
        <v>هیأت</v>
      </c>
      <c r="C712" s="5" t="str">
        <f>IFERROR(__xludf.DUMMYFUNCTION("""COMPUTED_VALUE"""),"مسجد حضرت فاطمه الزهرا (س)")</f>
        <v>مسجد حضرت فاطمه الزهرا (س)</v>
      </c>
      <c r="D712" s="5" t="str">
        <f>IFERROR(__xludf.DUMMYFUNCTION("""COMPUTED_VALUE"""),"تهران")</f>
        <v>تهران</v>
      </c>
      <c r="E712" s="5" t="str">
        <f>IFERROR(__xludf.DUMMYFUNCTION("""COMPUTED_VALUE"""),"تهران")</f>
        <v>تهران</v>
      </c>
      <c r="F712" s="5"/>
      <c r="G712" s="5"/>
      <c r="H712" s="5"/>
      <c r="I712" s="5"/>
      <c r="J712" s="6" t="str">
        <f>IFERROR(__xludf.DUMMYFUNCTION("""COMPUTED_VALUE"""),"https://eitaa.com/masjedfa")</f>
        <v>https://eitaa.com/masjedfa</v>
      </c>
      <c r="K712" s="5"/>
      <c r="L712" s="5"/>
      <c r="M712" s="5"/>
      <c r="N712" s="5"/>
      <c r="O712" s="5"/>
      <c r="P712" s="5"/>
      <c r="Q712" s="5"/>
      <c r="R712" s="5"/>
      <c r="S712" s="5"/>
    </row>
    <row r="713">
      <c r="A713" s="5"/>
      <c r="B713" s="5" t="str">
        <f>IFERROR(__xludf.DUMMYFUNCTION("""COMPUTED_VALUE"""),"هیأت")</f>
        <v>هیأت</v>
      </c>
      <c r="C713" s="5" t="str">
        <f>IFERROR(__xludf.DUMMYFUNCTION("""COMPUTED_VALUE"""),"روضه ریحانة الحسین")</f>
        <v>روضه ریحانة الحسین</v>
      </c>
      <c r="D713" s="5" t="str">
        <f>IFERROR(__xludf.DUMMYFUNCTION("""COMPUTED_VALUE"""),"تهران")</f>
        <v>تهران</v>
      </c>
      <c r="E713" s="5" t="str">
        <f>IFERROR(__xludf.DUMMYFUNCTION("""COMPUTED_VALUE"""),"تهران")</f>
        <v>تهران</v>
      </c>
      <c r="F713" s="5"/>
      <c r="G713" s="5"/>
      <c r="H713" s="6" t="str">
        <f>IFERROR(__xludf.DUMMYFUNCTION("""COMPUTED_VALUE"""),"https://www.instagram.com/roze_315_/")</f>
        <v>https://www.instagram.com/roze_315_/</v>
      </c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>
      <c r="A714" s="5"/>
      <c r="B714" s="5" t="str">
        <f>IFERROR(__xludf.DUMMYFUNCTION("""COMPUTED_VALUE"""),"هیأت")</f>
        <v>هیأت</v>
      </c>
      <c r="C714" s="5" t="str">
        <f>IFERROR(__xludf.DUMMYFUNCTION("""COMPUTED_VALUE"""),"ثارالله")</f>
        <v>ثارالله</v>
      </c>
      <c r="D714" s="5" t="str">
        <f>IFERROR(__xludf.DUMMYFUNCTION("""COMPUTED_VALUE"""),"تهران")</f>
        <v>تهران</v>
      </c>
      <c r="E714" s="5" t="str">
        <f>IFERROR(__xludf.DUMMYFUNCTION("""COMPUTED_VALUE"""),"تهران")</f>
        <v>تهران</v>
      </c>
      <c r="F714" s="5"/>
      <c r="G714" s="5"/>
      <c r="H714" s="6" t="str">
        <f>IFERROR(__xludf.DUMMYFUNCTION("""COMPUTED_VALUE"""),"https://www.instagram.com/heyat_sarallah.tehran/")</f>
        <v>https://www.instagram.com/heyat_sarallah.tehran/</v>
      </c>
      <c r="I714" s="5"/>
      <c r="J714" s="6" t="str">
        <f>IFERROR(__xludf.DUMMYFUNCTION("""COMPUTED_VALUE"""),"eitaa.com/heyat_sarallah_10")</f>
        <v>eitaa.com/heyat_sarallah_10</v>
      </c>
      <c r="K714" s="5"/>
      <c r="L714" s="5"/>
      <c r="M714" s="5"/>
      <c r="N714" s="5"/>
      <c r="O714" s="5"/>
      <c r="P714" s="5"/>
      <c r="Q714" s="5"/>
      <c r="R714" s="5"/>
      <c r="S714" s="5"/>
    </row>
    <row r="715">
      <c r="A715" s="5"/>
      <c r="B715" s="5" t="str">
        <f>IFERROR(__xludf.DUMMYFUNCTION("""COMPUTED_VALUE"""),"هیأت")</f>
        <v>هیأت</v>
      </c>
      <c r="C715" s="5" t="str">
        <f>IFERROR(__xludf.DUMMYFUNCTION("""COMPUTED_VALUE"""),"بقیه الله الاعظم (عج)")</f>
        <v>بقیه الله الاعظم (عج)</v>
      </c>
      <c r="D715" s="5" t="str">
        <f>IFERROR(__xludf.DUMMYFUNCTION("""COMPUTED_VALUE"""),"تهران")</f>
        <v>تهران</v>
      </c>
      <c r="E715" s="5" t="str">
        <f>IFERROR(__xludf.DUMMYFUNCTION("""COMPUTED_VALUE"""),"تهران")</f>
        <v>تهران</v>
      </c>
      <c r="F715" s="5"/>
      <c r="G715" s="5"/>
      <c r="H715" s="6" t="str">
        <f>IFERROR(__xludf.DUMMYFUNCTION("""COMPUTED_VALUE"""),"https://www.instagram.com/b59313")</f>
        <v>https://www.instagram.com/b59313</v>
      </c>
      <c r="I715" s="5"/>
      <c r="J715" s="6" t="str">
        <f>IFERROR(__xludf.DUMMYFUNCTION("""COMPUTED_VALUE"""),"https://eitaa.com/b59313")</f>
        <v>https://eitaa.com/b59313</v>
      </c>
      <c r="K715" s="5"/>
      <c r="L715" s="5"/>
      <c r="M715" s="5"/>
      <c r="N715" s="5"/>
      <c r="O715" s="5"/>
      <c r="P715" s="5"/>
      <c r="Q715" s="5"/>
      <c r="R715" s="5"/>
      <c r="S715" s="5"/>
    </row>
    <row r="716">
      <c r="A716" s="5"/>
      <c r="B716" s="5" t="str">
        <f>IFERROR(__xludf.DUMMYFUNCTION("""COMPUTED_VALUE"""),"هیأت")</f>
        <v>هیأت</v>
      </c>
      <c r="C716" s="5" t="str">
        <f>IFERROR(__xludf.DUMMYFUNCTION("""COMPUTED_VALUE""")," عشاق الزینب (س)")</f>
        <v> عشاق الزینب (س)</v>
      </c>
      <c r="D716" s="5" t="str">
        <f>IFERROR(__xludf.DUMMYFUNCTION("""COMPUTED_VALUE"""),"تهران")</f>
        <v>تهران</v>
      </c>
      <c r="E716" s="5" t="str">
        <f>IFERROR(__xludf.DUMMYFUNCTION("""COMPUTED_VALUE"""),"تهران")</f>
        <v>تهران</v>
      </c>
      <c r="F716" s="5"/>
      <c r="G716" s="5"/>
      <c r="H716" s="6" t="str">
        <f>IFERROR(__xludf.DUMMYFUNCTION("""COMPUTED_VALUE"""),"https://www.instagram.com/oshaghol.zeinab/")</f>
        <v>https://www.instagram.com/oshaghol.zeinab/</v>
      </c>
      <c r="I716" s="6" t="str">
        <f>IFERROR(__xludf.DUMMYFUNCTION("""COMPUTED_VALUE"""),"t.me/oshagh6969")</f>
        <v>t.me/oshagh6969</v>
      </c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>
      <c r="A717" s="5"/>
      <c r="B717" s="5" t="str">
        <f>IFERROR(__xludf.DUMMYFUNCTION("""COMPUTED_VALUE"""),"هیأت")</f>
        <v>هیأت</v>
      </c>
      <c r="C717" s="5" t="str">
        <f>IFERROR(__xludf.DUMMYFUNCTION("""COMPUTED_VALUE"""),"متوسلین به حضرت زهرا(س)")</f>
        <v>متوسلین به حضرت زهرا(س)</v>
      </c>
      <c r="D717" s="5" t="str">
        <f>IFERROR(__xludf.DUMMYFUNCTION("""COMPUTED_VALUE"""),"تهران")</f>
        <v>تهران</v>
      </c>
      <c r="E717" s="5" t="str">
        <f>IFERROR(__xludf.DUMMYFUNCTION("""COMPUTED_VALUE"""),"تهران")</f>
        <v>تهران</v>
      </c>
      <c r="F717" s="5"/>
      <c r="G717" s="5"/>
      <c r="H717" s="6" t="str">
        <f>IFERROR(__xludf.DUMMYFUNCTION("""COMPUTED_VALUE"""),"https://www.instagram.com/motevaseliin/")</f>
        <v>https://www.instagram.com/motevaseliin/</v>
      </c>
      <c r="I717" s="5"/>
      <c r="J717" s="6" t="str">
        <f>IFERROR(__xludf.DUMMYFUNCTION("""COMPUTED_VALUE"""),"eitaa.com/motavaseliin")</f>
        <v>eitaa.com/motavaseliin</v>
      </c>
      <c r="K717" s="5"/>
      <c r="L717" s="5"/>
      <c r="M717" s="5"/>
      <c r="N717" s="5"/>
      <c r="O717" s="5"/>
      <c r="P717" s="5"/>
      <c r="Q717" s="5"/>
      <c r="R717" s="5"/>
      <c r="S717" s="5"/>
    </row>
    <row r="718">
      <c r="A718" s="5"/>
      <c r="B718" s="5" t="str">
        <f>IFERROR(__xludf.DUMMYFUNCTION("""COMPUTED_VALUE"""),"هیأت")</f>
        <v>هیأت</v>
      </c>
      <c r="C718" s="5" t="str">
        <f>IFERROR(__xludf.DUMMYFUNCTION("""COMPUTED_VALUE"""),"مسجد محمدی")</f>
        <v>مسجد محمدی</v>
      </c>
      <c r="D718" s="5" t="str">
        <f>IFERROR(__xludf.DUMMYFUNCTION("""COMPUTED_VALUE"""),"تهران")</f>
        <v>تهران</v>
      </c>
      <c r="E718" s="5" t="str">
        <f>IFERROR(__xludf.DUMMYFUNCTION("""COMPUTED_VALUE"""),"تهران")</f>
        <v>تهران</v>
      </c>
      <c r="F718" s="5"/>
      <c r="G718" s="5"/>
      <c r="H718" s="5"/>
      <c r="I718" s="5"/>
      <c r="J718" s="6" t="str">
        <f>IFERROR(__xludf.DUMMYFUNCTION("""COMPUTED_VALUE"""),"https://eitaa.com/mohamadimasjed")</f>
        <v>https://eitaa.com/mohamadimasjed</v>
      </c>
      <c r="K718" s="5"/>
      <c r="L718" s="5"/>
      <c r="M718" s="5"/>
      <c r="N718" s="5"/>
      <c r="O718" s="5"/>
      <c r="P718" s="5"/>
      <c r="Q718" s="5"/>
      <c r="R718" s="5"/>
      <c r="S718" s="5"/>
    </row>
    <row r="719">
      <c r="A719" s="5"/>
      <c r="B719" s="5" t="str">
        <f>IFERROR(__xludf.DUMMYFUNCTION("""COMPUTED_VALUE"""),"حسینیه")</f>
        <v>حسینیه</v>
      </c>
      <c r="C719" s="5" t="str">
        <f>IFERROR(__xludf.DUMMYFUNCTION("""COMPUTED_VALUE"""),"غریب مدینه")</f>
        <v>غریب مدینه</v>
      </c>
      <c r="D719" s="5" t="str">
        <f>IFERROR(__xludf.DUMMYFUNCTION("""COMPUTED_VALUE"""),"تهران")</f>
        <v>تهران</v>
      </c>
      <c r="E719" s="5" t="str">
        <f>IFERROR(__xludf.DUMMYFUNCTION("""COMPUTED_VALUE"""),"تهران")</f>
        <v>تهران</v>
      </c>
      <c r="F719" s="5"/>
      <c r="G719" s="5"/>
      <c r="H719" s="6" t="str">
        <f>IFERROR(__xludf.DUMMYFUNCTION("""COMPUTED_VALUE"""),"https://www.instagram.com/gharibmadineh.teh/")</f>
        <v>https://www.instagram.com/gharibmadineh.teh/</v>
      </c>
      <c r="I719" s="6" t="str">
        <f>IFERROR(__xludf.DUMMYFUNCTION("""COMPUTED_VALUE"""),"t.me/gharibmadineh.teh")</f>
        <v>t.me/gharibmadineh.teh</v>
      </c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>
      <c r="A720" s="5"/>
      <c r="B720" s="5" t="str">
        <f>IFERROR(__xludf.DUMMYFUNCTION("""COMPUTED_VALUE"""),"هیأت دانشجویی")</f>
        <v>هیأت دانشجویی</v>
      </c>
      <c r="C720" s="5" t="str">
        <f>IFERROR(__xludf.DUMMYFUNCTION("""COMPUTED_VALUE"""),"اصحاب الحسین")</f>
        <v>اصحاب الحسین</v>
      </c>
      <c r="D720" s="5" t="str">
        <f>IFERROR(__xludf.DUMMYFUNCTION("""COMPUTED_VALUE"""),"تهران")</f>
        <v>تهران</v>
      </c>
      <c r="E720" s="5" t="str">
        <f>IFERROR(__xludf.DUMMYFUNCTION("""COMPUTED_VALUE"""),"تهران")</f>
        <v>تهران</v>
      </c>
      <c r="F720" s="5"/>
      <c r="G720" s="5"/>
      <c r="H720" s="5"/>
      <c r="I720" s="5"/>
      <c r="J720" s="6" t="str">
        <f>IFERROR(__xludf.DUMMYFUNCTION("""COMPUTED_VALUE"""),"https://eitaa.com/ashabolhossein_ir")</f>
        <v>https://eitaa.com/ashabolhossein_ir</v>
      </c>
      <c r="K720" s="5"/>
      <c r="L720" s="5"/>
      <c r="M720" s="5"/>
      <c r="N720" s="5"/>
      <c r="O720" s="5"/>
      <c r="P720" s="5"/>
      <c r="Q720" s="5"/>
      <c r="R720" s="5"/>
      <c r="S720" s="5"/>
    </row>
    <row r="721">
      <c r="A721" s="5"/>
      <c r="B721" s="5" t="str">
        <f>IFERROR(__xludf.DUMMYFUNCTION("""COMPUTED_VALUE"""),"هیأت")</f>
        <v>هیأت</v>
      </c>
      <c r="C721" s="5" t="str">
        <f>IFERROR(__xludf.DUMMYFUNCTION("""COMPUTED_VALUE"""),"علمدار")</f>
        <v>علمدار</v>
      </c>
      <c r="D721" s="5" t="str">
        <f>IFERROR(__xludf.DUMMYFUNCTION("""COMPUTED_VALUE"""),"تهران")</f>
        <v>تهران</v>
      </c>
      <c r="E721" s="5" t="str">
        <f>IFERROR(__xludf.DUMMYFUNCTION("""COMPUTED_VALUE"""),"تهران")</f>
        <v>تهران</v>
      </c>
      <c r="F721" s="5"/>
      <c r="G721" s="5"/>
      <c r="H721" s="6" t="str">
        <f>IFERROR(__xludf.DUMMYFUNCTION("""COMPUTED_VALUE"""),"https://www.instagram.com/alabbas.info/")</f>
        <v>https://www.instagram.com/alabbas.info/</v>
      </c>
      <c r="I721" s="6" t="str">
        <f>IFERROR(__xludf.DUMMYFUNCTION("""COMPUTED_VALUE"""),"https://t.me/heiat_alamdar")</f>
        <v>https://t.me/heiat_alamdar</v>
      </c>
      <c r="J721" s="6" t="str">
        <f>IFERROR(__xludf.DUMMYFUNCTION("""COMPUTED_VALUE"""),"https://eitaa.com/majidiealamdar")</f>
        <v>https://eitaa.com/majidiealamdar</v>
      </c>
      <c r="K721" s="5"/>
      <c r="L721" s="5"/>
      <c r="M721" s="5"/>
      <c r="N721" s="5"/>
      <c r="O721" s="5"/>
      <c r="P721" s="5"/>
      <c r="Q721" s="5"/>
      <c r="R721" s="5"/>
      <c r="S721" s="5"/>
    </row>
    <row r="722">
      <c r="A722" s="5"/>
      <c r="B722" s="5" t="str">
        <f>IFERROR(__xludf.DUMMYFUNCTION("""COMPUTED_VALUE"""),"هیأت")</f>
        <v>هیأت</v>
      </c>
      <c r="C722" s="5" t="str">
        <f>IFERROR(__xludf.DUMMYFUNCTION("""COMPUTED_VALUE"""),"رقیه جان")</f>
        <v>رقیه جان</v>
      </c>
      <c r="D722" s="5" t="str">
        <f>IFERROR(__xludf.DUMMYFUNCTION("""COMPUTED_VALUE"""),"تهران")</f>
        <v>تهران</v>
      </c>
      <c r="E722" s="5" t="str">
        <f>IFERROR(__xludf.DUMMYFUNCTION("""COMPUTED_VALUE"""),"تهران")</f>
        <v>تهران</v>
      </c>
      <c r="F722" s="5"/>
      <c r="G722" s="5"/>
      <c r="H722" s="6" t="str">
        <f>IFERROR(__xludf.DUMMYFUNCTION("""COMPUTED_VALUE"""),"https://www.instagram.com/roghayejan315/")</f>
        <v>https://www.instagram.com/roghayejan315/</v>
      </c>
      <c r="I722" s="6" t="str">
        <f>IFERROR(__xludf.DUMMYFUNCTION("""COMPUTED_VALUE"""),"t.me/rooghayejan315")</f>
        <v>t.me/rooghayejan315</v>
      </c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>
      <c r="A723" s="5"/>
      <c r="B723" s="5" t="str">
        <f>IFERROR(__xludf.DUMMYFUNCTION("""COMPUTED_VALUE"""),"هیأت")</f>
        <v>هیأت</v>
      </c>
      <c r="C723" s="5" t="str">
        <f>IFERROR(__xludf.DUMMYFUNCTION("""COMPUTED_VALUE"""),"محبان الرضا(ع)")</f>
        <v>محبان الرضا(ع)</v>
      </c>
      <c r="D723" s="5" t="str">
        <f>IFERROR(__xludf.DUMMYFUNCTION("""COMPUTED_VALUE"""),"تهران")</f>
        <v>تهران</v>
      </c>
      <c r="E723" s="5" t="str">
        <f>IFERROR(__xludf.DUMMYFUNCTION("""COMPUTED_VALUE"""),"تهران")</f>
        <v>تهران</v>
      </c>
      <c r="F723" s="5"/>
      <c r="G723" s="5"/>
      <c r="H723" s="6" t="str">
        <f>IFERROR(__xludf.DUMMYFUNCTION("""COMPUTED_VALUE"""),"https://www.instagram.com/mohebanorezaa/")</f>
        <v>https://www.instagram.com/mohebanorezaa/</v>
      </c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>
      <c r="A724" s="5"/>
      <c r="B724" s="5" t="str">
        <f>IFERROR(__xludf.DUMMYFUNCTION("""COMPUTED_VALUE"""),"هیأت")</f>
        <v>هیأت</v>
      </c>
      <c r="C724" s="5" t="str">
        <f>IFERROR(__xludf.DUMMYFUNCTION("""COMPUTED_VALUE"""),"ثامن الائمه(ع)")</f>
        <v>ثامن الائمه(ع)</v>
      </c>
      <c r="D724" s="5" t="str">
        <f>IFERROR(__xludf.DUMMYFUNCTION("""COMPUTED_VALUE"""),"تهران")</f>
        <v>تهران</v>
      </c>
      <c r="E724" s="5" t="str">
        <f>IFERROR(__xludf.DUMMYFUNCTION("""COMPUTED_VALUE"""),"تهران")</f>
        <v>تهران</v>
      </c>
      <c r="F724" s="5"/>
      <c r="G724" s="5"/>
      <c r="H724" s="6" t="str">
        <f>IFERROR(__xludf.DUMMYFUNCTION("""COMPUTED_VALUE"""),"https://www.instagram.com/heyat_samen86/")</f>
        <v>https://www.instagram.com/heyat_samen86/</v>
      </c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>
      <c r="A725" s="5"/>
      <c r="B725" s="5" t="str">
        <f>IFERROR(__xludf.DUMMYFUNCTION("""COMPUTED_VALUE"""),"هیأت")</f>
        <v>هیأت</v>
      </c>
      <c r="C725" s="5" t="str">
        <f>IFERROR(__xludf.DUMMYFUNCTION("""COMPUTED_VALUE"""),"انصارالحسین(ع)")</f>
        <v>انصارالحسین(ع)</v>
      </c>
      <c r="D725" s="5" t="str">
        <f>IFERROR(__xludf.DUMMYFUNCTION("""COMPUTED_VALUE"""),"تهران")</f>
        <v>تهران</v>
      </c>
      <c r="E725" s="5" t="str">
        <f>IFERROR(__xludf.DUMMYFUNCTION("""COMPUTED_VALUE"""),"تهران")</f>
        <v>تهران</v>
      </c>
      <c r="F725" s="5"/>
      <c r="G725" s="5"/>
      <c r="H725" s="6" t="str">
        <f>IFERROR(__xludf.DUMMYFUNCTION("""COMPUTED_VALUE"""),"https://www.instagram.com/ansaralhussain128/")</f>
        <v>https://www.instagram.com/ansaralhussain128/</v>
      </c>
      <c r="I725" s="6" t="str">
        <f>IFERROR(__xludf.DUMMYFUNCTION("""COMPUTED_VALUE"""),"t.me/ansaralhussain128")</f>
        <v>t.me/ansaralhussain128</v>
      </c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>
      <c r="A726" s="5"/>
      <c r="B726" s="5" t="str">
        <f>IFERROR(__xludf.DUMMYFUNCTION("""COMPUTED_VALUE"""),"هیأت")</f>
        <v>هیأت</v>
      </c>
      <c r="C726" s="5" t="str">
        <f>IFERROR(__xludf.DUMMYFUNCTION("""COMPUTED_VALUE"""),"قطع الکفین")</f>
        <v>قطع الکفین</v>
      </c>
      <c r="D726" s="5" t="str">
        <f>IFERROR(__xludf.DUMMYFUNCTION("""COMPUTED_VALUE"""),"تهران")</f>
        <v>تهران</v>
      </c>
      <c r="E726" s="5" t="str">
        <f>IFERROR(__xludf.DUMMYFUNCTION("""COMPUTED_VALUE"""),"تهران")</f>
        <v>تهران</v>
      </c>
      <c r="F726" s="5"/>
      <c r="G726" s="5"/>
      <c r="H726" s="6" t="str">
        <f>IFERROR(__xludf.DUMMYFUNCTION("""COMPUTED_VALUE"""),"https://www.instagram.com/ghatiolkaffein/")</f>
        <v>https://www.instagram.com/ghatiolkaffein/</v>
      </c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>
      <c r="A727" s="5"/>
      <c r="B727" s="5" t="str">
        <f>IFERROR(__xludf.DUMMYFUNCTION("""COMPUTED_VALUE"""),"هیأت")</f>
        <v>هیأت</v>
      </c>
      <c r="C727" s="5" t="str">
        <f>IFERROR(__xludf.DUMMYFUNCTION("""COMPUTED_VALUE"""),"عشاق الرضا (ع)")</f>
        <v>عشاق الرضا (ع)</v>
      </c>
      <c r="D727" s="5" t="str">
        <f>IFERROR(__xludf.DUMMYFUNCTION("""COMPUTED_VALUE"""),"تهران")</f>
        <v>تهران</v>
      </c>
      <c r="E727" s="5" t="str">
        <f>IFERROR(__xludf.DUMMYFUNCTION("""COMPUTED_VALUE"""),"تهران")</f>
        <v>تهران</v>
      </c>
      <c r="F727" s="5"/>
      <c r="G727" s="5"/>
      <c r="H727" s="6" t="str">
        <f>IFERROR(__xludf.DUMMYFUNCTION("""COMPUTED_VALUE"""),"https://www.instagram.com/oshagholreza8/")</f>
        <v>https://www.instagram.com/oshagholreza8/</v>
      </c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>
      <c r="A728" s="5"/>
      <c r="B728" s="5" t="str">
        <f>IFERROR(__xludf.DUMMYFUNCTION("""COMPUTED_VALUE"""),"هیأت")</f>
        <v>هیأت</v>
      </c>
      <c r="C728" s="5" t="str">
        <f>IFERROR(__xludf.DUMMYFUNCTION("""COMPUTED_VALUE"""),"روضه الشهدا")</f>
        <v>روضه الشهدا</v>
      </c>
      <c r="D728" s="5" t="str">
        <f>IFERROR(__xludf.DUMMYFUNCTION("""COMPUTED_VALUE"""),"تهران")</f>
        <v>تهران</v>
      </c>
      <c r="E728" s="5" t="str">
        <f>IFERROR(__xludf.DUMMYFUNCTION("""COMPUTED_VALUE"""),"تهران")</f>
        <v>تهران</v>
      </c>
      <c r="F728" s="5"/>
      <c r="G728" s="5"/>
      <c r="H728" s="6" t="str">
        <f>IFERROR(__xludf.DUMMYFUNCTION("""COMPUTED_VALUE"""),"https://www.instagram.com/rozato_shohada/")</f>
        <v>https://www.instagram.com/rozato_shohada/</v>
      </c>
      <c r="I728" s="6" t="str">
        <f>IFERROR(__xludf.DUMMYFUNCTION("""COMPUTED_VALUE"""),"tlgrm.me/rozato_shohada")</f>
        <v>tlgrm.me/rozato_shohada</v>
      </c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>
      <c r="A729" s="5"/>
      <c r="B729" s="5" t="str">
        <f>IFERROR(__xludf.DUMMYFUNCTION("""COMPUTED_VALUE"""),"هیأت")</f>
        <v>هیأت</v>
      </c>
      <c r="C729" s="5" t="str">
        <f>IFERROR(__xludf.DUMMYFUNCTION("""COMPUTED_VALUE"""),"جوانان پالاش")</f>
        <v>جوانان پالاش</v>
      </c>
      <c r="D729" s="5" t="str">
        <f>IFERROR(__xludf.DUMMYFUNCTION("""COMPUTED_VALUE"""),"تهران")</f>
        <v>تهران</v>
      </c>
      <c r="E729" s="5" t="str">
        <f>IFERROR(__xludf.DUMMYFUNCTION("""COMPUTED_VALUE"""),"تهران")</f>
        <v>تهران</v>
      </c>
      <c r="F729" s="5"/>
      <c r="G729" s="5"/>
      <c r="H729" s="6" t="str">
        <f>IFERROR(__xludf.DUMMYFUNCTION("""COMPUTED_VALUE"""),"https://www.instagram.com/hiatjvanan_palash/")</f>
        <v>https://www.instagram.com/hiatjvanan_palash/</v>
      </c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>
      <c r="A730" s="5"/>
      <c r="B730" s="5" t="str">
        <f>IFERROR(__xludf.DUMMYFUNCTION("""COMPUTED_VALUE"""),"هیأت")</f>
        <v>هیأت</v>
      </c>
      <c r="C730" s="5" t="str">
        <f>IFERROR(__xludf.DUMMYFUNCTION("""COMPUTED_VALUE"""),"روضه الزینب (س)")</f>
        <v>روضه الزینب (س)</v>
      </c>
      <c r="D730" s="5" t="str">
        <f>IFERROR(__xludf.DUMMYFUNCTION("""COMPUTED_VALUE"""),"تهران")</f>
        <v>تهران</v>
      </c>
      <c r="E730" s="5" t="str">
        <f>IFERROR(__xludf.DUMMYFUNCTION("""COMPUTED_VALUE"""),"تهران")</f>
        <v>تهران</v>
      </c>
      <c r="F730" s="5"/>
      <c r="G730" s="5"/>
      <c r="H730" s="6" t="str">
        <f>IFERROR(__xludf.DUMMYFUNCTION("""COMPUTED_VALUE"""),"https://www.instagram.com/rozatozeynab213/")</f>
        <v>https://www.instagram.com/rozatozeynab213/</v>
      </c>
      <c r="I730" s="6" t="str">
        <f>IFERROR(__xludf.DUMMYFUNCTION("""COMPUTED_VALUE"""),"t.me/rozatozeynab213")</f>
        <v>t.me/rozatozeynab213</v>
      </c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>
      <c r="A731" s="5"/>
      <c r="B731" s="5" t="str">
        <f>IFERROR(__xludf.DUMMYFUNCTION("""COMPUTED_VALUE"""),"مسجد")</f>
        <v>مسجد</v>
      </c>
      <c r="C731" s="5" t="str">
        <f>IFERROR(__xludf.DUMMYFUNCTION("""COMPUTED_VALUE"""),"امیر المومنین")</f>
        <v>امیر المومنین</v>
      </c>
      <c r="D731" s="5" t="str">
        <f>IFERROR(__xludf.DUMMYFUNCTION("""COMPUTED_VALUE"""),"تهران")</f>
        <v>تهران</v>
      </c>
      <c r="E731" s="5" t="str">
        <f>IFERROR(__xludf.DUMMYFUNCTION("""COMPUTED_VALUE"""),"تهران")</f>
        <v>تهران</v>
      </c>
      <c r="F731" s="5"/>
      <c r="G731" s="5"/>
      <c r="H731" s="6" t="str">
        <f>IFERROR(__xludf.DUMMYFUNCTION("""COMPUTED_VALUE"""),"https://www.instagram.com/amir_almomeninmosque/")</f>
        <v>https://www.instagram.com/amir_almomeninmosque/</v>
      </c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>
      <c r="A732" s="5"/>
      <c r="B732" s="5" t="str">
        <f>IFERROR(__xludf.DUMMYFUNCTION("""COMPUTED_VALUE"""),"هیأت")</f>
        <v>هیأت</v>
      </c>
      <c r="C732" s="5" t="str">
        <f>IFERROR(__xludf.DUMMYFUNCTION("""COMPUTED_VALUE"""),"آل یاسین")</f>
        <v>آل یاسین</v>
      </c>
      <c r="D732" s="5" t="str">
        <f>IFERROR(__xludf.DUMMYFUNCTION("""COMPUTED_VALUE"""),"تهران")</f>
        <v>تهران</v>
      </c>
      <c r="E732" s="5" t="str">
        <f>IFERROR(__xludf.DUMMYFUNCTION("""COMPUTED_VALUE"""),"تهران")</f>
        <v>تهران</v>
      </c>
      <c r="F732" s="5"/>
      <c r="G732" s="5"/>
      <c r="H732" s="6" t="str">
        <f>IFERROR(__xludf.DUMMYFUNCTION("""COMPUTED_VALUE"""),"https://www.instagram.com/heiat_aleyasin")</f>
        <v>https://www.instagram.com/heiat_aleyasin</v>
      </c>
      <c r="I732" s="6" t="str">
        <f>IFERROR(__xludf.DUMMYFUNCTION("""COMPUTED_VALUE"""),"https://t.me/heiat_aleyasin")</f>
        <v>https://t.me/heiat_aleyasin</v>
      </c>
      <c r="J732" s="6" t="str">
        <f>IFERROR(__xludf.DUMMYFUNCTION("""COMPUTED_VALUE"""),"https://eitaa.com/heiat_aleyasin")</f>
        <v>https://eitaa.com/heiat_aleyasin</v>
      </c>
      <c r="K732" s="5"/>
      <c r="L732" s="5"/>
      <c r="M732" s="5"/>
      <c r="N732" s="5"/>
      <c r="O732" s="5"/>
      <c r="P732" s="5"/>
      <c r="Q732" s="5"/>
      <c r="R732" s="5"/>
      <c r="S732" s="5"/>
    </row>
    <row r="733">
      <c r="A733" s="5"/>
      <c r="B733" s="5" t="str">
        <f>IFERROR(__xludf.DUMMYFUNCTION("""COMPUTED_VALUE"""),"هیأت")</f>
        <v>هیأت</v>
      </c>
      <c r="C733" s="5" t="str">
        <f>IFERROR(__xludf.DUMMYFUNCTION("""COMPUTED_VALUE"""),"محبان قرآن و عترت")</f>
        <v>محبان قرآن و عترت</v>
      </c>
      <c r="D733" s="5" t="str">
        <f>IFERROR(__xludf.DUMMYFUNCTION("""COMPUTED_VALUE"""),"تهران")</f>
        <v>تهران</v>
      </c>
      <c r="E733" s="5" t="str">
        <f>IFERROR(__xludf.DUMMYFUNCTION("""COMPUTED_VALUE"""),"تهران")</f>
        <v>تهران</v>
      </c>
      <c r="F733" s="5"/>
      <c r="G733" s="5"/>
      <c r="H733" s="6" t="str">
        <f>IFERROR(__xludf.DUMMYFUNCTION("""COMPUTED_VALUE"""),"https://www.instagram.com/shohada72/")</f>
        <v>https://www.instagram.com/shohada72/</v>
      </c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>
      <c r="A734" s="5"/>
      <c r="B734" s="5" t="str">
        <f>IFERROR(__xludf.DUMMYFUNCTION("""COMPUTED_VALUE"""),"هیأت")</f>
        <v>هیأت</v>
      </c>
      <c r="C734" s="5" t="str">
        <f>IFERROR(__xludf.DUMMYFUNCTION("""COMPUTED_VALUE"""),"سائلین حضرت زینب(س)")</f>
        <v>سائلین حضرت زینب(س)</v>
      </c>
      <c r="D734" s="5" t="str">
        <f>IFERROR(__xludf.DUMMYFUNCTION("""COMPUTED_VALUE"""),"تهران")</f>
        <v>تهران</v>
      </c>
      <c r="E734" s="5" t="str">
        <f>IFERROR(__xludf.DUMMYFUNCTION("""COMPUTED_VALUE"""),"تهران")</f>
        <v>تهران</v>
      </c>
      <c r="F734" s="5"/>
      <c r="G734" s="5"/>
      <c r="H734" s="6" t="str">
        <f>IFERROR(__xludf.DUMMYFUNCTION("""COMPUTED_VALUE"""),"https://www.instagram.com/saelin_hazrat_zeinab/")</f>
        <v>https://www.instagram.com/saelin_hazrat_zeinab/</v>
      </c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>
      <c r="A735" s="5"/>
      <c r="B735" s="5" t="str">
        <f>IFERROR(__xludf.DUMMYFUNCTION("""COMPUTED_VALUE"""),"هیأت")</f>
        <v>هیأت</v>
      </c>
      <c r="C735" s="5" t="str">
        <f>IFERROR(__xludf.DUMMYFUNCTION("""COMPUTED_VALUE"""),"سفینة النجاة")</f>
        <v>سفینة النجاة</v>
      </c>
      <c r="D735" s="5" t="str">
        <f>IFERROR(__xludf.DUMMYFUNCTION("""COMPUTED_VALUE"""),"تهران")</f>
        <v>تهران</v>
      </c>
      <c r="E735" s="5" t="str">
        <f>IFERROR(__xludf.DUMMYFUNCTION("""COMPUTED_VALUE"""),"تهران")</f>
        <v>تهران</v>
      </c>
      <c r="F735" s="5"/>
      <c r="G735" s="5"/>
      <c r="H735" s="6" t="str">
        <f>IFERROR(__xludf.DUMMYFUNCTION("""COMPUTED_VALUE"""),"https://www.instagram.com/safinato_alnejat/")</f>
        <v>https://www.instagram.com/safinato_alnejat/</v>
      </c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>
      <c r="A736" s="5"/>
      <c r="B736" s="5" t="str">
        <f>IFERROR(__xludf.DUMMYFUNCTION("""COMPUTED_VALUE"""),"مسجد")</f>
        <v>مسجد</v>
      </c>
      <c r="C736" s="5" t="str">
        <f>IFERROR(__xludf.DUMMYFUNCTION("""COMPUTED_VALUE"""),"نورالاصفیا")</f>
        <v>نورالاصفیا</v>
      </c>
      <c r="D736" s="5" t="str">
        <f>IFERROR(__xludf.DUMMYFUNCTION("""COMPUTED_VALUE"""),"تهران")</f>
        <v>تهران</v>
      </c>
      <c r="E736" s="5" t="str">
        <f>IFERROR(__xludf.DUMMYFUNCTION("""COMPUTED_VALUE"""),"تهران")</f>
        <v>تهران</v>
      </c>
      <c r="F736" s="5"/>
      <c r="G736" s="5"/>
      <c r="H736" s="5"/>
      <c r="I736" s="5"/>
      <c r="J736" s="6" t="str">
        <f>IFERROR(__xludf.DUMMYFUNCTION("""COMPUTED_VALUE"""),"https://eitaa.com/noorolasfia_mosque")</f>
        <v>https://eitaa.com/noorolasfia_mosque</v>
      </c>
      <c r="K736" s="5"/>
      <c r="L736" s="5"/>
      <c r="M736" s="5"/>
      <c r="N736" s="5"/>
      <c r="O736" s="5"/>
      <c r="P736" s="5"/>
      <c r="Q736" s="5"/>
      <c r="R736" s="5"/>
      <c r="S736" s="5"/>
    </row>
    <row r="737">
      <c r="A737" s="5"/>
      <c r="B737" s="5" t="str">
        <f>IFERROR(__xludf.DUMMYFUNCTION("""COMPUTED_VALUE"""),"هیأت")</f>
        <v>هیأت</v>
      </c>
      <c r="C737" s="5" t="str">
        <f>IFERROR(__xludf.DUMMYFUNCTION("""COMPUTED_VALUE"""),"جوانان سیدالشهدا(ع)")</f>
        <v>جوانان سیدالشهدا(ع)</v>
      </c>
      <c r="D737" s="5" t="str">
        <f>IFERROR(__xludf.DUMMYFUNCTION("""COMPUTED_VALUE"""),"تهران")</f>
        <v>تهران</v>
      </c>
      <c r="E737" s="5" t="str">
        <f>IFERROR(__xludf.DUMMYFUNCTION("""COMPUTED_VALUE"""),"تهران")</f>
        <v>تهران</v>
      </c>
      <c r="F737" s="5"/>
      <c r="G737" s="5"/>
      <c r="H737" s="6" t="str">
        <f>IFERROR(__xludf.DUMMYFUNCTION("""COMPUTED_VALUE"""),"https://www.instagram.com/heiat_javanan_sayedoshohada/")</f>
        <v>https://www.instagram.com/heiat_javanan_sayedoshohada/</v>
      </c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>
      <c r="A738" s="5"/>
      <c r="B738" s="5" t="str">
        <f>IFERROR(__xludf.DUMMYFUNCTION("""COMPUTED_VALUE"""),"هیأت")</f>
        <v>هیأت</v>
      </c>
      <c r="C738" s="5" t="str">
        <f>IFERROR(__xludf.DUMMYFUNCTION("""COMPUTED_VALUE"""),"مکتب الحسین")</f>
        <v>مکتب الحسین</v>
      </c>
      <c r="D738" s="5" t="str">
        <f>IFERROR(__xludf.DUMMYFUNCTION("""COMPUTED_VALUE"""),"تهران")</f>
        <v>تهران</v>
      </c>
      <c r="E738" s="5" t="str">
        <f>IFERROR(__xludf.DUMMYFUNCTION("""COMPUTED_VALUE"""),"تهران")</f>
        <v>تهران</v>
      </c>
      <c r="F738" s="5"/>
      <c r="G738" s="5"/>
      <c r="H738" s="6" t="str">
        <f>IFERROR(__xludf.DUMMYFUNCTION("""COMPUTED_VALUE"""),"https://www.instagram.com/maktabalhossein_ir/")</f>
        <v>https://www.instagram.com/maktabalhossein_ir/</v>
      </c>
      <c r="I738" s="6" t="str">
        <f>IFERROR(__xludf.DUMMYFUNCTION("""COMPUTED_VALUE"""),"t.me/maktabalhossein_ir")</f>
        <v>t.me/maktabalhossein_ir</v>
      </c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>
      <c r="A739" s="5"/>
      <c r="B739" s="5" t="str">
        <f>IFERROR(__xludf.DUMMYFUNCTION("""COMPUTED_VALUE"""),"هیأت")</f>
        <v>هیأت</v>
      </c>
      <c r="C739" s="5" t="str">
        <f>IFERROR(__xludf.DUMMYFUNCTION("""COMPUTED_VALUE"""),"قائم آل محمد(عج)")</f>
        <v>قائم آل محمد(عج)</v>
      </c>
      <c r="D739" s="5" t="str">
        <f>IFERROR(__xludf.DUMMYFUNCTION("""COMPUTED_VALUE"""),"تهران")</f>
        <v>تهران</v>
      </c>
      <c r="E739" s="5" t="str">
        <f>IFERROR(__xludf.DUMMYFUNCTION("""COMPUTED_VALUE"""),"تهران")</f>
        <v>تهران</v>
      </c>
      <c r="F739" s="5"/>
      <c r="G739" s="5"/>
      <c r="H739" s="6" t="str">
        <f>IFERROR(__xludf.DUMMYFUNCTION("""COMPUTED_VALUE"""),"https://www.instagram.com/heiat_ghaaem/")</f>
        <v>https://www.instagram.com/heiat_ghaaem/</v>
      </c>
      <c r="I739" s="6" t="str">
        <f>IFERROR(__xludf.DUMMYFUNCTION("""COMPUTED_VALUE"""),"telegram.me/heiatghaem")</f>
        <v>telegram.me/heiatghaem</v>
      </c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>
      <c r="A740" s="5"/>
      <c r="B740" s="5" t="str">
        <f>IFERROR(__xludf.DUMMYFUNCTION("""COMPUTED_VALUE"""),"هیأت")</f>
        <v>هیأت</v>
      </c>
      <c r="C740" s="5" t="str">
        <f>IFERROR(__xludf.DUMMYFUNCTION("""COMPUTED_VALUE"""),"محبان ابن الکریم (ع)")</f>
        <v>محبان ابن الکریم (ع)</v>
      </c>
      <c r="D740" s="5" t="str">
        <f>IFERROR(__xludf.DUMMYFUNCTION("""COMPUTED_VALUE"""),"تهران")</f>
        <v>تهران</v>
      </c>
      <c r="E740" s="5" t="str">
        <f>IFERROR(__xludf.DUMMYFUNCTION("""COMPUTED_VALUE"""),"تهران")</f>
        <v>تهران</v>
      </c>
      <c r="F740" s="5"/>
      <c r="G740" s="5"/>
      <c r="H740" s="6" t="str">
        <f>IFERROR(__xludf.DUMMYFUNCTION("""COMPUTED_VALUE"""),"https://www.instagram.com/mohebanolkarim/")</f>
        <v>https://www.instagram.com/mohebanolkarim/</v>
      </c>
      <c r="I740" s="6" t="str">
        <f>IFERROR(__xludf.DUMMYFUNCTION("""COMPUTED_VALUE"""),"t.me/mohebanolkarim")</f>
        <v>t.me/mohebanolkarim</v>
      </c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>
      <c r="A741" s="5"/>
      <c r="B741" s="5" t="str">
        <f>IFERROR(__xludf.DUMMYFUNCTION("""COMPUTED_VALUE"""),"هیأت")</f>
        <v>هیأت</v>
      </c>
      <c r="C741" s="5" t="str">
        <f>IFERROR(__xludf.DUMMYFUNCTION("""COMPUTED_VALUE"""),"حضرت مسلم ابن عقیل (ع)")</f>
        <v>حضرت مسلم ابن عقیل (ع)</v>
      </c>
      <c r="D741" s="5" t="str">
        <f>IFERROR(__xludf.DUMMYFUNCTION("""COMPUTED_VALUE"""),"تهران")</f>
        <v>تهران</v>
      </c>
      <c r="E741" s="5" t="str">
        <f>IFERROR(__xludf.DUMMYFUNCTION("""COMPUTED_VALUE"""),"تهران")</f>
        <v>تهران</v>
      </c>
      <c r="F741" s="5"/>
      <c r="G741" s="5"/>
      <c r="H741" s="6" t="str">
        <f>IFERROR(__xludf.DUMMYFUNCTION("""COMPUTED_VALUE"""),"https://www.instagram.com/heyat.muslim.ibn.aqeel/")</f>
        <v>https://www.instagram.com/heyat.muslim.ibn.aqeel/</v>
      </c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>
      <c r="A742" s="5"/>
      <c r="B742" s="5" t="str">
        <f>IFERROR(__xludf.DUMMYFUNCTION("""COMPUTED_VALUE"""),"هیأت")</f>
        <v>هیأت</v>
      </c>
      <c r="C742" s="5" t="str">
        <f>IFERROR(__xludf.DUMMYFUNCTION("""COMPUTED_VALUE"""),"محبان الرضا (ع)")</f>
        <v>محبان الرضا (ع)</v>
      </c>
      <c r="D742" s="5" t="str">
        <f>IFERROR(__xludf.DUMMYFUNCTION("""COMPUTED_VALUE"""),"تهران")</f>
        <v>تهران</v>
      </c>
      <c r="E742" s="5" t="str">
        <f>IFERROR(__xludf.DUMMYFUNCTION("""COMPUTED_VALUE"""),"تهران")</f>
        <v>تهران</v>
      </c>
      <c r="F742" s="5"/>
      <c r="G742" s="5"/>
      <c r="H742" s="6" t="str">
        <f>IFERROR(__xludf.DUMMYFUNCTION("""COMPUTED_VALUE"""),"https://www.instagram.com/mohebbanolreza/")</f>
        <v>https://www.instagram.com/mohebbanolreza/</v>
      </c>
      <c r="I742" s="6" t="str">
        <f>IFERROR(__xludf.DUMMYFUNCTION("""COMPUTED_VALUE"""),"t.me/mohebbanolreza")</f>
        <v>t.me/mohebbanolreza</v>
      </c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>
      <c r="A743" s="5"/>
      <c r="B743" s="5" t="str">
        <f>IFERROR(__xludf.DUMMYFUNCTION("""COMPUTED_VALUE"""),"هیأت")</f>
        <v>هیأت</v>
      </c>
      <c r="C743" s="5" t="str">
        <f>IFERROR(__xludf.DUMMYFUNCTION("""COMPUTED_VALUE"""),"یاحسین")</f>
        <v>یاحسین</v>
      </c>
      <c r="D743" s="5" t="str">
        <f>IFERROR(__xludf.DUMMYFUNCTION("""COMPUTED_VALUE"""),"تهران")</f>
        <v>تهران</v>
      </c>
      <c r="E743" s="5" t="str">
        <f>IFERROR(__xludf.DUMMYFUNCTION("""COMPUTED_VALUE"""),"تهران")</f>
        <v>تهران</v>
      </c>
      <c r="F743" s="5"/>
      <c r="G743" s="5"/>
      <c r="H743" s="6" t="str">
        <f>IFERROR(__xludf.DUMMYFUNCTION("""COMPUTED_VALUE"""),"https://www.instagram.com/beyragh.ir/")</f>
        <v>https://www.instagram.com/beyragh.ir/</v>
      </c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>
      <c r="A744" s="5"/>
      <c r="B744" s="5" t="str">
        <f>IFERROR(__xludf.DUMMYFUNCTION("""COMPUTED_VALUE"""),"هیأت")</f>
        <v>هیأت</v>
      </c>
      <c r="C744" s="5" t="str">
        <f>IFERROR(__xludf.DUMMYFUNCTION("""COMPUTED_VALUE"""),"بیت الحسین")</f>
        <v>بیت الحسین</v>
      </c>
      <c r="D744" s="5" t="str">
        <f>IFERROR(__xludf.DUMMYFUNCTION("""COMPUTED_VALUE"""),"تهران")</f>
        <v>تهران</v>
      </c>
      <c r="E744" s="5" t="str">
        <f>IFERROR(__xludf.DUMMYFUNCTION("""COMPUTED_VALUE"""),"تهران")</f>
        <v>تهران</v>
      </c>
      <c r="F744" s="5"/>
      <c r="G744" s="5"/>
      <c r="H744" s="6" t="str">
        <f>IFERROR(__xludf.DUMMYFUNCTION("""COMPUTED_VALUE"""),"https://www.instagram.com/beitalhosain/")</f>
        <v>https://www.instagram.com/beitalhosain/</v>
      </c>
      <c r="I744" s="6" t="str">
        <f>IFERROR(__xludf.DUMMYFUNCTION("""COMPUTED_VALUE"""),"t.me/beitalhosain")</f>
        <v>t.me/beitalhosain</v>
      </c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>
      <c r="A745" s="5"/>
      <c r="B745" s="5" t="str">
        <f>IFERROR(__xludf.DUMMYFUNCTION("""COMPUTED_VALUE"""),"هیأت")</f>
        <v>هیأت</v>
      </c>
      <c r="C745" s="5" t="str">
        <f>IFERROR(__xludf.DUMMYFUNCTION("""COMPUTED_VALUE"""),"حضرت ابوالفضل(ع)")</f>
        <v>حضرت ابوالفضل(ع)</v>
      </c>
      <c r="D745" s="5" t="str">
        <f>IFERROR(__xludf.DUMMYFUNCTION("""COMPUTED_VALUE"""),"تهران")</f>
        <v>تهران</v>
      </c>
      <c r="E745" s="5" t="str">
        <f>IFERROR(__xludf.DUMMYFUNCTION("""COMPUTED_VALUE"""),"تهران")</f>
        <v>تهران</v>
      </c>
      <c r="F745" s="5"/>
      <c r="G745" s="5"/>
      <c r="H745" s="6" t="str">
        <f>IFERROR(__xludf.DUMMYFUNCTION("""COMPUTED_VALUE"""),"https://www.instagram.com/hazrataboalfazl/")</f>
        <v>https://www.instagram.com/hazrataboalfazl/</v>
      </c>
      <c r="I745" s="6" t="str">
        <f>IFERROR(__xludf.DUMMYFUNCTION("""COMPUTED_VALUE"""),"t.me/masjedgondoghdi")</f>
        <v>t.me/masjedgondoghdi</v>
      </c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>
      <c r="A746" s="5"/>
      <c r="B746" s="5" t="str">
        <f>IFERROR(__xludf.DUMMYFUNCTION("""COMPUTED_VALUE"""),"مسجد")</f>
        <v>مسجد</v>
      </c>
      <c r="C746" s="5" t="str">
        <f>IFERROR(__xludf.DUMMYFUNCTION("""COMPUTED_VALUE"""),"صاحب الزمان(عج)")</f>
        <v>صاحب الزمان(عج)</v>
      </c>
      <c r="D746" s="5" t="str">
        <f>IFERROR(__xludf.DUMMYFUNCTION("""COMPUTED_VALUE"""),"تهران")</f>
        <v>تهران</v>
      </c>
      <c r="E746" s="5" t="str">
        <f>IFERROR(__xludf.DUMMYFUNCTION("""COMPUTED_VALUE"""),"تهران")</f>
        <v>تهران</v>
      </c>
      <c r="F746" s="5"/>
      <c r="G746" s="5"/>
      <c r="H746" s="6" t="str">
        <f>IFERROR(__xludf.DUMMYFUNCTION("""COMPUTED_VALUE"""),"https://instagram.com/masjedsaheb/")</f>
        <v>https://instagram.com/masjedsaheb/</v>
      </c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>
      <c r="A747" s="5"/>
      <c r="B747" s="5" t="str">
        <f>IFERROR(__xludf.DUMMYFUNCTION("""COMPUTED_VALUE"""),"هیأت")</f>
        <v>هیأت</v>
      </c>
      <c r="C747" s="5" t="str">
        <f>IFERROR(__xludf.DUMMYFUNCTION("""COMPUTED_VALUE"""),"مکتب المهدی")</f>
        <v>مکتب المهدی</v>
      </c>
      <c r="D747" s="5" t="str">
        <f>IFERROR(__xludf.DUMMYFUNCTION("""COMPUTED_VALUE"""),"تهران")</f>
        <v>تهران</v>
      </c>
      <c r="E747" s="5" t="str">
        <f>IFERROR(__xludf.DUMMYFUNCTION("""COMPUTED_VALUE"""),"تهران")</f>
        <v>تهران</v>
      </c>
      <c r="F747" s="5"/>
      <c r="G747" s="5"/>
      <c r="H747" s="6" t="str">
        <f>IFERROR(__xludf.DUMMYFUNCTION("""COMPUTED_VALUE"""),"https://www.instagram.com/azizamzeynab/")</f>
        <v>https://www.instagram.com/azizamzeynab/</v>
      </c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>
      <c r="A748" s="5"/>
      <c r="B748" s="5" t="str">
        <f>IFERROR(__xludf.DUMMYFUNCTION("""COMPUTED_VALUE"""),"هیأت")</f>
        <v>هیأت</v>
      </c>
      <c r="C748" s="5" t="str">
        <f>IFERROR(__xludf.DUMMYFUNCTION("""COMPUTED_VALUE"""),"کریم آل طاها")</f>
        <v>کریم آل طاها</v>
      </c>
      <c r="D748" s="5" t="str">
        <f>IFERROR(__xludf.DUMMYFUNCTION("""COMPUTED_VALUE"""),"تهران")</f>
        <v>تهران</v>
      </c>
      <c r="E748" s="5" t="str">
        <f>IFERROR(__xludf.DUMMYFUNCTION("""COMPUTED_VALUE"""),"تهران")</f>
        <v>تهران</v>
      </c>
      <c r="F748" s="5"/>
      <c r="G748" s="5"/>
      <c r="H748" s="6" t="str">
        <f>IFERROR(__xludf.DUMMYFUNCTION("""COMPUTED_VALUE"""),"https://www.instagram.com/bharam.ir/")</f>
        <v>https://www.instagram.com/bharam.ir/</v>
      </c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>
      <c r="A749" s="5"/>
      <c r="B749" s="5" t="str">
        <f>IFERROR(__xludf.DUMMYFUNCTION("""COMPUTED_VALUE"""),"هیأت")</f>
        <v>هیأت</v>
      </c>
      <c r="C749" s="5" t="str">
        <f>IFERROR(__xludf.DUMMYFUNCTION("""COMPUTED_VALUE"""),"عشاق المهدی (عج)")</f>
        <v>عشاق المهدی (عج)</v>
      </c>
      <c r="D749" s="5" t="str">
        <f>IFERROR(__xludf.DUMMYFUNCTION("""COMPUTED_VALUE"""),"تهران")</f>
        <v>تهران</v>
      </c>
      <c r="E749" s="5" t="str">
        <f>IFERROR(__xludf.DUMMYFUNCTION("""COMPUTED_VALUE"""),"تهران")</f>
        <v>تهران</v>
      </c>
      <c r="F749" s="5"/>
      <c r="G749" s="5"/>
      <c r="H749" s="6" t="str">
        <f>IFERROR(__xludf.DUMMYFUNCTION("""COMPUTED_VALUE"""),"https://www.instagram.com/oshagh_almahdi_ekbatan/")</f>
        <v>https://www.instagram.com/oshagh_almahdi_ekbatan/</v>
      </c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>
      <c r="A750" s="5"/>
      <c r="B750" s="5" t="str">
        <f>IFERROR(__xludf.DUMMYFUNCTION("""COMPUTED_VALUE"""),"هیأت")</f>
        <v>هیأت</v>
      </c>
      <c r="C750" s="5" t="str">
        <f>IFERROR(__xludf.DUMMYFUNCTION("""COMPUTED_VALUE"""),"محبان الصادق(ع)")</f>
        <v>محبان الصادق(ع)</v>
      </c>
      <c r="D750" s="5" t="str">
        <f>IFERROR(__xludf.DUMMYFUNCTION("""COMPUTED_VALUE"""),"تهران")</f>
        <v>تهران</v>
      </c>
      <c r="E750" s="5" t="str">
        <f>IFERROR(__xludf.DUMMYFUNCTION("""COMPUTED_VALUE"""),"تهران")</f>
        <v>تهران</v>
      </c>
      <c r="F750" s="5"/>
      <c r="G750" s="5"/>
      <c r="H750" s="6" t="str">
        <f>IFERROR(__xludf.DUMMYFUNCTION("""COMPUTED_VALUE"""),"https://www.instagram.com/sadeghioun.info/")</f>
        <v>https://www.instagram.com/sadeghioun.info/</v>
      </c>
      <c r="I750" s="6" t="str">
        <f>IFERROR(__xludf.DUMMYFUNCTION("""COMPUTED_VALUE"""),"t.me/mohebbane_sadegh")</f>
        <v>t.me/mohebbane_sadegh</v>
      </c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>
      <c r="A751" s="5"/>
      <c r="B751" s="5" t="str">
        <f>IFERROR(__xludf.DUMMYFUNCTION("""COMPUTED_VALUE"""),"هیأت")</f>
        <v>هیأت</v>
      </c>
      <c r="C751" s="5" t="str">
        <f>IFERROR(__xludf.DUMMYFUNCTION("""COMPUTED_VALUE"""),"بیت العباس")</f>
        <v>بیت العباس</v>
      </c>
      <c r="D751" s="5" t="str">
        <f>IFERROR(__xludf.DUMMYFUNCTION("""COMPUTED_VALUE"""),"تهران")</f>
        <v>تهران</v>
      </c>
      <c r="E751" s="5" t="str">
        <f>IFERROR(__xludf.DUMMYFUNCTION("""COMPUTED_VALUE"""),"تهران")</f>
        <v>تهران</v>
      </c>
      <c r="F751" s="5"/>
      <c r="G751" s="5"/>
      <c r="H751" s="6" t="str">
        <f>IFERROR(__xludf.DUMMYFUNCTION("""COMPUTED_VALUE"""),"https://www.instagram.com/beytolabas1/")</f>
        <v>https://www.instagram.com/beytolabas1/</v>
      </c>
      <c r="I751" s="5" t="str">
        <f>IFERROR(__xludf.DUMMYFUNCTION("""COMPUTED_VALUE"""),"telegram.me./beytoolabas")</f>
        <v>telegram.me./beytoolabas</v>
      </c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>
      <c r="A752" s="5"/>
      <c r="B752" s="5" t="str">
        <f>IFERROR(__xludf.DUMMYFUNCTION("""COMPUTED_VALUE"""),"هیأت")</f>
        <v>هیأت</v>
      </c>
      <c r="C752" s="5" t="str">
        <f>IFERROR(__xludf.DUMMYFUNCTION("""COMPUTED_VALUE"""),"باب الحوائج")</f>
        <v>باب الحوائج</v>
      </c>
      <c r="D752" s="5" t="str">
        <f>IFERROR(__xludf.DUMMYFUNCTION("""COMPUTED_VALUE"""),"تهران")</f>
        <v>تهران</v>
      </c>
      <c r="E752" s="5" t="str">
        <f>IFERROR(__xludf.DUMMYFUNCTION("""COMPUTED_VALUE"""),"تهران")</f>
        <v>تهران</v>
      </c>
      <c r="F752" s="5"/>
      <c r="G752" s="5"/>
      <c r="H752" s="6" t="str">
        <f>IFERROR(__xludf.DUMMYFUNCTION("""COMPUTED_VALUE"""),"https://www.instagram.com/h.babalhavaej/")</f>
        <v>https://www.instagram.com/h.babalhavaej/</v>
      </c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>
      <c r="A753" s="5"/>
      <c r="B753" s="5" t="str">
        <f>IFERROR(__xludf.DUMMYFUNCTION("""COMPUTED_VALUE"""),"هیأت")</f>
        <v>هیأت</v>
      </c>
      <c r="C753" s="5" t="str">
        <f>IFERROR(__xludf.DUMMYFUNCTION("""COMPUTED_VALUE"""),"لثارات الحسین(ع)")</f>
        <v>لثارات الحسین(ع)</v>
      </c>
      <c r="D753" s="5" t="str">
        <f>IFERROR(__xludf.DUMMYFUNCTION("""COMPUTED_VALUE"""),"تهران")</f>
        <v>تهران</v>
      </c>
      <c r="E753" s="5" t="str">
        <f>IFERROR(__xludf.DUMMYFUNCTION("""COMPUTED_VALUE"""),"تهران")</f>
        <v>تهران</v>
      </c>
      <c r="F753" s="5"/>
      <c r="G753" s="5"/>
      <c r="H753" s="6" t="str">
        <f>IFERROR(__xludf.DUMMYFUNCTION("""COMPUTED_VALUE"""),"https://www.instagram.com/heyat_lesarat_alhosein/")</f>
        <v>https://www.instagram.com/heyat_lesarat_alhosein/</v>
      </c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>
      <c r="A754" s="5"/>
      <c r="B754" s="5" t="str">
        <f>IFERROR(__xludf.DUMMYFUNCTION("""COMPUTED_VALUE"""),"هیأت")</f>
        <v>هیأت</v>
      </c>
      <c r="C754" s="5" t="str">
        <f>IFERROR(__xludf.DUMMYFUNCTION("""COMPUTED_VALUE"""),"منتظران مهدی")</f>
        <v>منتظران مهدی</v>
      </c>
      <c r="D754" s="5" t="str">
        <f>IFERROR(__xludf.DUMMYFUNCTION("""COMPUTED_VALUE"""),"تهران")</f>
        <v>تهران</v>
      </c>
      <c r="E754" s="5" t="str">
        <f>IFERROR(__xludf.DUMMYFUNCTION("""COMPUTED_VALUE"""),"تهران")</f>
        <v>تهران</v>
      </c>
      <c r="F754" s="5"/>
      <c r="G754" s="5"/>
      <c r="H754" s="6" t="str">
        <f>IFERROR(__xludf.DUMMYFUNCTION("""COMPUTED_VALUE"""),"https://www.instagram.com/hoseinemontazeranalmahdi/")</f>
        <v>https://www.instagram.com/hoseinemontazeranalmahdi/</v>
      </c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>
      <c r="A755" s="5"/>
      <c r="B755" s="5" t="str">
        <f>IFERROR(__xludf.DUMMYFUNCTION("""COMPUTED_VALUE"""),"حسینیه")</f>
        <v>حسینیه</v>
      </c>
      <c r="C755" s="5" t="str">
        <f>IFERROR(__xludf.DUMMYFUNCTION("""COMPUTED_VALUE"""),"شهدا")</f>
        <v>شهدا</v>
      </c>
      <c r="D755" s="5" t="str">
        <f>IFERROR(__xludf.DUMMYFUNCTION("""COMPUTED_VALUE"""),"تهران")</f>
        <v>تهران</v>
      </c>
      <c r="E755" s="5" t="str">
        <f>IFERROR(__xludf.DUMMYFUNCTION("""COMPUTED_VALUE"""),"تهران")</f>
        <v>تهران</v>
      </c>
      <c r="F755" s="5"/>
      <c r="G755" s="5"/>
      <c r="H755" s="6" t="str">
        <f>IFERROR(__xludf.DUMMYFUNCTION("""COMPUTED_VALUE"""),"https://www.instagram.com/hosseinie_shohada/")</f>
        <v>https://www.instagram.com/hosseinie_shohada/</v>
      </c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>
      <c r="A756" s="5"/>
      <c r="B756" s="5" t="str">
        <f>IFERROR(__xludf.DUMMYFUNCTION("""COMPUTED_VALUE"""),"هیأت")</f>
        <v>هیأت</v>
      </c>
      <c r="C756" s="5" t="str">
        <f>IFERROR(__xludf.DUMMYFUNCTION("""COMPUTED_VALUE"""),"مجتمع یاس کبود")</f>
        <v>مجتمع یاس کبود</v>
      </c>
      <c r="D756" s="5" t="str">
        <f>IFERROR(__xludf.DUMMYFUNCTION("""COMPUTED_VALUE"""),"تهران")</f>
        <v>تهران</v>
      </c>
      <c r="E756" s="5" t="str">
        <f>IFERROR(__xludf.DUMMYFUNCTION("""COMPUTED_VALUE"""),"تهران")</f>
        <v>تهران</v>
      </c>
      <c r="F756" s="5"/>
      <c r="G756" s="5"/>
      <c r="H756" s="6" t="str">
        <f>IFERROR(__xludf.DUMMYFUNCTION("""COMPUTED_VALUE"""),"https://www.instagram.com/yasekabood2022/")</f>
        <v>https://www.instagram.com/yasekabood2022/</v>
      </c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>
      <c r="A757" s="5"/>
      <c r="B757" s="5" t="str">
        <f>IFERROR(__xludf.DUMMYFUNCTION("""COMPUTED_VALUE"""),"هیأت")</f>
        <v>هیأت</v>
      </c>
      <c r="C757" s="5" t="str">
        <f>IFERROR(__xludf.DUMMYFUNCTION("""COMPUTED_VALUE"""),"حضرت علی اصغر (ع)")</f>
        <v>حضرت علی اصغر (ع)</v>
      </c>
      <c r="D757" s="5" t="str">
        <f>IFERROR(__xludf.DUMMYFUNCTION("""COMPUTED_VALUE"""),"تهران")</f>
        <v>تهران</v>
      </c>
      <c r="E757" s="5" t="str">
        <f>IFERROR(__xludf.DUMMYFUNCTION("""COMPUTED_VALUE"""),"تهران")</f>
        <v>تهران</v>
      </c>
      <c r="F757" s="5"/>
      <c r="G757" s="5"/>
      <c r="H757" s="6" t="str">
        <f>IFERROR(__xludf.DUMMYFUNCTION("""COMPUTED_VALUE"""),"https://www.instagram.com/heyat_hazratealiasghr/")</f>
        <v>https://www.instagram.com/heyat_hazratealiasghr/</v>
      </c>
      <c r="I757" s="6" t="str">
        <f>IFERROR(__xludf.DUMMYFUNCTION("""COMPUTED_VALUE"""),"eitaa.com/heiat_hazratealiasghr")</f>
        <v>eitaa.com/heiat_hazratealiasghr</v>
      </c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>
      <c r="A758" s="5"/>
      <c r="B758" s="5" t="str">
        <f>IFERROR(__xludf.DUMMYFUNCTION("""COMPUTED_VALUE"""),"هیأت")</f>
        <v>هیأت</v>
      </c>
      <c r="C758" s="5" t="str">
        <f>IFERROR(__xludf.DUMMYFUNCTION("""COMPUTED_VALUE"""),"رفع الله رایه العباس (ع)")</f>
        <v>رفع الله رایه العباس (ع)</v>
      </c>
      <c r="D758" s="5" t="str">
        <f>IFERROR(__xludf.DUMMYFUNCTION("""COMPUTED_VALUE"""),"تهران")</f>
        <v>تهران</v>
      </c>
      <c r="E758" s="5" t="str">
        <f>IFERROR(__xludf.DUMMYFUNCTION("""COMPUTED_VALUE"""),"تهران")</f>
        <v>تهران</v>
      </c>
      <c r="F758" s="5"/>
      <c r="G758" s="5"/>
      <c r="H758" s="6" t="str">
        <f>IFERROR(__xludf.DUMMYFUNCTION("""COMPUTED_VALUE"""),"https://www.instagram.com/rayatol.abas/")</f>
        <v>https://www.instagram.com/rayatol.abas/</v>
      </c>
      <c r="I758" s="6" t="str">
        <f>IFERROR(__xludf.DUMMYFUNCTION("""COMPUTED_VALUE"""),"t.me/rayatol.abas")</f>
        <v>t.me/rayatol.abas</v>
      </c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>
      <c r="A759" s="5"/>
      <c r="B759" s="5" t="str">
        <f>IFERROR(__xludf.DUMMYFUNCTION("""COMPUTED_VALUE"""),"هیأت")</f>
        <v>هیأت</v>
      </c>
      <c r="C759" s="5" t="str">
        <f>IFERROR(__xludf.DUMMYFUNCTION("""COMPUTED_VALUE"""),"یازینب(س)")</f>
        <v>یازینب(س)</v>
      </c>
      <c r="D759" s="5" t="str">
        <f>IFERROR(__xludf.DUMMYFUNCTION("""COMPUTED_VALUE"""),"تهران")</f>
        <v>تهران</v>
      </c>
      <c r="E759" s="5" t="str">
        <f>IFERROR(__xludf.DUMMYFUNCTION("""COMPUTED_VALUE"""),"تهران")</f>
        <v>تهران</v>
      </c>
      <c r="F759" s="5"/>
      <c r="G759" s="5"/>
      <c r="H759" s="6" t="str">
        <f>IFERROR(__xludf.DUMMYFUNCTION("""COMPUTED_VALUE"""),"https://www.instagram.com/mahmel69/")</f>
        <v>https://www.instagram.com/mahmel69/</v>
      </c>
      <c r="I759" s="6" t="str">
        <f>IFERROR(__xludf.DUMMYFUNCTION("""COMPUTED_VALUE"""),"telegram.me/mahmel169")</f>
        <v>telegram.me/mahmel169</v>
      </c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>
      <c r="A760" s="5"/>
      <c r="B760" s="5" t="str">
        <f>IFERROR(__xludf.DUMMYFUNCTION("""COMPUTED_VALUE"""),"مسجد")</f>
        <v>مسجد</v>
      </c>
      <c r="C760" s="5" t="str">
        <f>IFERROR(__xludf.DUMMYFUNCTION("""COMPUTED_VALUE"""),"الحسین (ع۹")</f>
        <v>الحسین (ع۹</v>
      </c>
      <c r="D760" s="5" t="str">
        <f>IFERROR(__xludf.DUMMYFUNCTION("""COMPUTED_VALUE"""),"تهران")</f>
        <v>تهران</v>
      </c>
      <c r="E760" s="5" t="str">
        <f>IFERROR(__xludf.DUMMYFUNCTION("""COMPUTED_VALUE"""),"تهران")</f>
        <v>تهران</v>
      </c>
      <c r="F760" s="5"/>
      <c r="G760" s="5"/>
      <c r="H760" s="6" t="str">
        <f>IFERROR(__xludf.DUMMYFUNCTION("""COMPUTED_VALUE"""),"https://www.instagram.com/masjed_alhossein/")</f>
        <v>https://www.instagram.com/masjed_alhossein/</v>
      </c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>
      <c r="A761" s="5"/>
      <c r="B761" s="5" t="str">
        <f>IFERROR(__xludf.DUMMYFUNCTION("""COMPUTED_VALUE"""),"هیأت")</f>
        <v>هیأت</v>
      </c>
      <c r="C761" s="5" t="str">
        <f>IFERROR(__xludf.DUMMYFUNCTION("""COMPUTED_VALUE"""),"هیات الشهدا")</f>
        <v>هیات الشهدا</v>
      </c>
      <c r="D761" s="5" t="str">
        <f>IFERROR(__xludf.DUMMYFUNCTION("""COMPUTED_VALUE"""),"تهران")</f>
        <v>تهران</v>
      </c>
      <c r="E761" s="5" t="str">
        <f>IFERROR(__xludf.DUMMYFUNCTION("""COMPUTED_VALUE"""),"تهران")</f>
        <v>تهران</v>
      </c>
      <c r="F761" s="5"/>
      <c r="G761" s="5"/>
      <c r="H761" s="6" t="str">
        <f>IFERROR(__xludf.DUMMYFUNCTION("""COMPUTED_VALUE"""),"https://www.instagram.com/heiat_shohada/")</f>
        <v>https://www.instagram.com/heiat_shohada/</v>
      </c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>
      <c r="A762" s="5"/>
      <c r="B762" s="5" t="str">
        <f>IFERROR(__xludf.DUMMYFUNCTION("""COMPUTED_VALUE"""),"حسینیه")</f>
        <v>حسینیه</v>
      </c>
      <c r="C762" s="5" t="str">
        <f>IFERROR(__xludf.DUMMYFUNCTION("""COMPUTED_VALUE"""),"مهدیون")</f>
        <v>مهدیون</v>
      </c>
      <c r="D762" s="5" t="str">
        <f>IFERROR(__xludf.DUMMYFUNCTION("""COMPUTED_VALUE"""),"تهران")</f>
        <v>تهران</v>
      </c>
      <c r="E762" s="5" t="str">
        <f>IFERROR(__xludf.DUMMYFUNCTION("""COMPUTED_VALUE"""),"تهران")</f>
        <v>تهران</v>
      </c>
      <c r="F762" s="5"/>
      <c r="G762" s="5"/>
      <c r="H762" s="6" t="str">
        <f>IFERROR(__xludf.DUMMYFUNCTION("""COMPUTED_VALUE"""),"https://www.instagram.com/mahdiontehran/")</f>
        <v>https://www.instagram.com/mahdiontehran/</v>
      </c>
      <c r="I762" s="6" t="str">
        <f>IFERROR(__xludf.DUMMYFUNCTION("""COMPUTED_VALUE"""),"t.me/Mahdiontehran")</f>
        <v>t.me/Mahdiontehran</v>
      </c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>
      <c r="A763" s="5"/>
      <c r="B763" s="5" t="str">
        <f>IFERROR(__xludf.DUMMYFUNCTION("""COMPUTED_VALUE"""),"هیأت")</f>
        <v>هیأت</v>
      </c>
      <c r="C763" s="5" t="str">
        <f>IFERROR(__xludf.DUMMYFUNCTION("""COMPUTED_VALUE"""),"یا فاطمه الزهرا (س)")</f>
        <v>یا فاطمه الزهرا (س)</v>
      </c>
      <c r="D763" s="5" t="str">
        <f>IFERROR(__xludf.DUMMYFUNCTION("""COMPUTED_VALUE"""),"تهران")</f>
        <v>تهران</v>
      </c>
      <c r="E763" s="5" t="str">
        <f>IFERROR(__xludf.DUMMYFUNCTION("""COMPUTED_VALUE"""),"تهران")</f>
        <v>تهران</v>
      </c>
      <c r="F763" s="5"/>
      <c r="G763" s="5"/>
      <c r="H763" s="6" t="str">
        <f>IFERROR(__xludf.DUMMYFUNCTION("""COMPUTED_VALUE"""),"https://www.instagram.com/yafatemattozahra/")</f>
        <v>https://www.instagram.com/yafatemattozahra/</v>
      </c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>
      <c r="A764" s="5"/>
      <c r="B764" s="5" t="str">
        <f>IFERROR(__xludf.DUMMYFUNCTION("""COMPUTED_VALUE"""),"هیأت")</f>
        <v>هیأت</v>
      </c>
      <c r="C764" s="5" t="str">
        <f>IFERROR(__xludf.DUMMYFUNCTION("""COMPUTED_VALUE"""),"آل یاسین")</f>
        <v>آل یاسین</v>
      </c>
      <c r="D764" s="5" t="str">
        <f>IFERROR(__xludf.DUMMYFUNCTION("""COMPUTED_VALUE"""),"تهران")</f>
        <v>تهران</v>
      </c>
      <c r="E764" s="5" t="str">
        <f>IFERROR(__xludf.DUMMYFUNCTION("""COMPUTED_VALUE"""),"تهران")</f>
        <v>تهران</v>
      </c>
      <c r="F764" s="5"/>
      <c r="G764" s="5"/>
      <c r="H764" s="6" t="str">
        <f>IFERROR(__xludf.DUMMYFUNCTION("""COMPUTED_VALUE"""),"https://www.instagram.com/heiat.alyasin/")</f>
        <v>https://www.instagram.com/heiat.alyasin/</v>
      </c>
      <c r="I764" s="6" t="str">
        <f>IFERROR(__xludf.DUMMYFUNCTION("""COMPUTED_VALUE"""),"https://t.me/basij_masjed_imamsadiq")</f>
        <v>https://t.me/basij_masjed_imamsadiq</v>
      </c>
      <c r="J764" s="6" t="str">
        <f>IFERROR(__xludf.DUMMYFUNCTION("""COMPUTED_VALUE"""),"eitaa.com/heiatalyasin")</f>
        <v>eitaa.com/heiatalyasin</v>
      </c>
      <c r="K764" s="5"/>
      <c r="L764" s="5"/>
      <c r="M764" s="5"/>
      <c r="N764" s="5"/>
      <c r="O764" s="5"/>
      <c r="P764" s="5"/>
      <c r="Q764" s="5"/>
      <c r="R764" s="5"/>
      <c r="S764" s="5"/>
    </row>
    <row r="765">
      <c r="A765" s="5"/>
      <c r="B765" s="5" t="str">
        <f>IFERROR(__xludf.DUMMYFUNCTION("""COMPUTED_VALUE"""),"هیأت")</f>
        <v>هیأت</v>
      </c>
      <c r="C765" s="5" t="str">
        <f>IFERROR(__xludf.DUMMYFUNCTION("""COMPUTED_VALUE"""),"حیدریه")</f>
        <v>حیدریه</v>
      </c>
      <c r="D765" s="5" t="str">
        <f>IFERROR(__xludf.DUMMYFUNCTION("""COMPUTED_VALUE"""),"تهران")</f>
        <v>تهران</v>
      </c>
      <c r="E765" s="5" t="str">
        <f>IFERROR(__xludf.DUMMYFUNCTION("""COMPUTED_VALUE"""),"تهران")</f>
        <v>تهران</v>
      </c>
      <c r="F765" s="5"/>
      <c r="G765" s="5"/>
      <c r="H765" s="6" t="str">
        <f>IFERROR(__xludf.DUMMYFUNCTION("""COMPUTED_VALUE"""),"https://www.instagram.com/heydariye_gharbe_tehran/")</f>
        <v>https://www.instagram.com/heydariye_gharbe_tehran/</v>
      </c>
      <c r="I765" s="6" t="str">
        <f>IFERROR(__xludf.DUMMYFUNCTION("""COMPUTED_VALUE"""),"https://t.me/heydariyeh110")</f>
        <v>https://t.me/heydariyeh110</v>
      </c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>
      <c r="A766" s="5"/>
      <c r="B766" s="5" t="str">
        <f>IFERROR(__xludf.DUMMYFUNCTION("""COMPUTED_VALUE"""),"حسینیه")</f>
        <v>حسینیه</v>
      </c>
      <c r="C766" s="5" t="str">
        <f>IFERROR(__xludf.DUMMYFUNCTION("""COMPUTED_VALUE"""),"بنی فاطمه")</f>
        <v>بنی فاطمه</v>
      </c>
      <c r="D766" s="5" t="str">
        <f>IFERROR(__xludf.DUMMYFUNCTION("""COMPUTED_VALUE"""),"تهران")</f>
        <v>تهران</v>
      </c>
      <c r="E766" s="5" t="str">
        <f>IFERROR(__xludf.DUMMYFUNCTION("""COMPUTED_VALUE"""),"تهران")</f>
        <v>تهران</v>
      </c>
      <c r="F766" s="5"/>
      <c r="G766" s="5"/>
      <c r="H766" s="6" t="str">
        <f>IFERROR(__xludf.DUMMYFUNCTION("""COMPUTED_VALUE"""),"https://www.instagram.com/baniifatemeh.live/")</f>
        <v>https://www.instagram.com/baniifatemeh.live/</v>
      </c>
      <c r="I766" s="6" t="str">
        <f>IFERROR(__xludf.DUMMYFUNCTION("""COMPUTED_VALUE"""),"t.me/baniifatemeh")</f>
        <v>t.me/baniifatemeh</v>
      </c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>
      <c r="A767" s="5"/>
      <c r="B767" s="5" t="str">
        <f>IFERROR(__xludf.DUMMYFUNCTION("""COMPUTED_VALUE"""),"هیأت")</f>
        <v>هیأت</v>
      </c>
      <c r="C767" s="5" t="str">
        <f>IFERROR(__xludf.DUMMYFUNCTION("""COMPUTED_VALUE"""),"سالارزینب(س)")</f>
        <v>سالارزینب(س)</v>
      </c>
      <c r="D767" s="5" t="str">
        <f>IFERROR(__xludf.DUMMYFUNCTION("""COMPUTED_VALUE"""),"تهران")</f>
        <v>تهران</v>
      </c>
      <c r="E767" s="5" t="str">
        <f>IFERROR(__xludf.DUMMYFUNCTION("""COMPUTED_VALUE"""),"تهران")</f>
        <v>تهران</v>
      </c>
      <c r="F767" s="5"/>
      <c r="G767" s="5"/>
      <c r="H767" s="6" t="str">
        <f>IFERROR(__xludf.DUMMYFUNCTION("""COMPUTED_VALUE"""),"https://www.instagram.com/salarzeynab315/")</f>
        <v>https://www.instagram.com/salarzeynab315/</v>
      </c>
      <c r="I767" s="6" t="str">
        <f>IFERROR(__xludf.DUMMYFUNCTION("""COMPUTED_VALUE"""),"tlgrm.me/salarzeynab313")</f>
        <v>tlgrm.me/salarzeynab313</v>
      </c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>
      <c r="A768" s="5"/>
      <c r="B768" s="5" t="str">
        <f>IFERROR(__xludf.DUMMYFUNCTION("""COMPUTED_VALUE"""),"هیأت دانشجویی")</f>
        <v>هیأت دانشجویی</v>
      </c>
      <c r="C768" s="5" t="str">
        <f>IFERROR(__xludf.DUMMYFUNCTION("""COMPUTED_VALUE"""),"مکتب الزهرا (س)")</f>
        <v>مکتب الزهرا (س)</v>
      </c>
      <c r="D768" s="5" t="str">
        <f>IFERROR(__xludf.DUMMYFUNCTION("""COMPUTED_VALUE"""),"تهران")</f>
        <v>تهران</v>
      </c>
      <c r="E768" s="5" t="str">
        <f>IFERROR(__xludf.DUMMYFUNCTION("""COMPUTED_VALUE"""),"تهران")</f>
        <v>تهران</v>
      </c>
      <c r="F768" s="5"/>
      <c r="G768" s="5"/>
      <c r="H768" s="6" t="str">
        <f>IFERROR(__xludf.DUMMYFUNCTION("""COMPUTED_VALUE"""),"https://www.instagram.com/maktabalzahraut/")</f>
        <v>https://www.instagram.com/maktabalzahraut/</v>
      </c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>
      <c r="A769" s="5"/>
      <c r="B769" s="5" t="str">
        <f>IFERROR(__xludf.DUMMYFUNCTION("""COMPUTED_VALUE"""),"هیأت")</f>
        <v>هیأت</v>
      </c>
      <c r="C769" s="5" t="str">
        <f>IFERROR(__xludf.DUMMYFUNCTION("""COMPUTED_VALUE"""),"جوانان حضرت ابوالفضل العباس (ع)")</f>
        <v>جوانان حضرت ابوالفضل العباس (ع)</v>
      </c>
      <c r="D769" s="5" t="str">
        <f>IFERROR(__xludf.DUMMYFUNCTION("""COMPUTED_VALUE"""),"تهران")</f>
        <v>تهران</v>
      </c>
      <c r="E769" s="5" t="str">
        <f>IFERROR(__xludf.DUMMYFUNCTION("""COMPUTED_VALUE"""),"تهران")</f>
        <v>تهران</v>
      </c>
      <c r="F769" s="5"/>
      <c r="G769" s="5"/>
      <c r="H769" s="6" t="str">
        <f>IFERROR(__xludf.DUMMYFUNCTION("""COMPUTED_VALUE"""),"https://www.instagram.com/hyate.hazrt.abolfazl/")</f>
        <v>https://www.instagram.com/hyate.hazrt.abolfazl/</v>
      </c>
      <c r="I769" s="6" t="str">
        <f>IFERROR(__xludf.DUMMYFUNCTION("""COMPUTED_VALUE"""),"t.me/hyate_hazrt_abolfazl")</f>
        <v>t.me/hyate_hazrt_abolfazl</v>
      </c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>
      <c r="A770" s="5"/>
      <c r="B770" s="5" t="str">
        <f>IFERROR(__xludf.DUMMYFUNCTION("""COMPUTED_VALUE"""),"هیأت")</f>
        <v>هیأت</v>
      </c>
      <c r="C770" s="5" t="str">
        <f>IFERROR(__xludf.DUMMYFUNCTION("""COMPUTED_VALUE"""),"حب الحسین")</f>
        <v>حب الحسین</v>
      </c>
      <c r="D770" s="5" t="str">
        <f>IFERROR(__xludf.DUMMYFUNCTION("""COMPUTED_VALUE"""),"تهران")</f>
        <v>تهران</v>
      </c>
      <c r="E770" s="5" t="str">
        <f>IFERROR(__xludf.DUMMYFUNCTION("""COMPUTED_VALUE"""),"تهران")</f>
        <v>تهران</v>
      </c>
      <c r="F770" s="5"/>
      <c r="G770" s="5"/>
      <c r="H770" s="6" t="str">
        <f>IFERROR(__xludf.DUMMYFUNCTION("""COMPUTED_VALUE"""),"https://www.instagram.com/heyat_hobbolhosein/")</f>
        <v>https://www.instagram.com/heyat_hobbolhosein/</v>
      </c>
      <c r="I770" s="6" t="str">
        <f>IFERROR(__xludf.DUMMYFUNCTION("""COMPUTED_VALUE"""),"t.me/heyat_hobbolhosein")</f>
        <v>t.me/heyat_hobbolhosein</v>
      </c>
      <c r="J770" s="5"/>
      <c r="K770" s="5"/>
      <c r="L770" s="5"/>
      <c r="M770" s="5"/>
      <c r="N770" s="5"/>
      <c r="O770" s="5"/>
      <c r="P770" s="5"/>
      <c r="Q770" s="5"/>
      <c r="R770" s="5"/>
      <c r="S770" s="5"/>
    </row>
    <row r="771">
      <c r="A771" s="5"/>
      <c r="B771" s="5" t="str">
        <f>IFERROR(__xludf.DUMMYFUNCTION("""COMPUTED_VALUE"""),"هیأت")</f>
        <v>هیأت</v>
      </c>
      <c r="C771" s="5" t="str">
        <f>IFERROR(__xludf.DUMMYFUNCTION("""COMPUTED_VALUE"""),"رهروان حضرت علی اکبر (ع)")</f>
        <v>رهروان حضرت علی اکبر (ع)</v>
      </c>
      <c r="D771" s="5" t="str">
        <f>IFERROR(__xludf.DUMMYFUNCTION("""COMPUTED_VALUE"""),"تهران")</f>
        <v>تهران</v>
      </c>
      <c r="E771" s="5" t="str">
        <f>IFERROR(__xludf.DUMMYFUNCTION("""COMPUTED_VALUE"""),"تهران")</f>
        <v>تهران</v>
      </c>
      <c r="F771" s="5"/>
      <c r="G771" s="5"/>
      <c r="H771" s="6" t="str">
        <f>IFERROR(__xludf.DUMMYFUNCTION("""COMPUTED_VALUE"""),"https://www.instagram.com/rahrovan.aliakbar/")</f>
        <v>https://www.instagram.com/rahrovan.aliakbar/</v>
      </c>
      <c r="I771" s="6" t="str">
        <f>IFERROR(__xludf.DUMMYFUNCTION("""COMPUTED_VALUE"""),"eitaa.com/Rahrovanaliakbar")</f>
        <v>eitaa.com/Rahrovanaliakbar</v>
      </c>
      <c r="J771" s="5"/>
      <c r="K771" s="5"/>
      <c r="L771" s="5"/>
      <c r="M771" s="5"/>
      <c r="N771" s="5"/>
      <c r="O771" s="5"/>
      <c r="P771" s="5"/>
      <c r="Q771" s="5"/>
      <c r="R771" s="5"/>
      <c r="S771" s="5"/>
    </row>
    <row r="772">
      <c r="A772" s="5"/>
      <c r="B772" s="5" t="str">
        <f>IFERROR(__xludf.DUMMYFUNCTION("""COMPUTED_VALUE"""),"هیأت")</f>
        <v>هیأت</v>
      </c>
      <c r="C772" s="5" t="str">
        <f>IFERROR(__xludf.DUMMYFUNCTION("""COMPUTED_VALUE"""),"الانصار")</f>
        <v>الانصار</v>
      </c>
      <c r="D772" s="5" t="str">
        <f>IFERROR(__xludf.DUMMYFUNCTION("""COMPUTED_VALUE"""),"تهران")</f>
        <v>تهران</v>
      </c>
      <c r="E772" s="5" t="str">
        <f>IFERROR(__xludf.DUMMYFUNCTION("""COMPUTED_VALUE"""),"تهران")</f>
        <v>تهران</v>
      </c>
      <c r="F772" s="5"/>
      <c r="G772" s="5"/>
      <c r="H772" s="6" t="str">
        <f>IFERROR(__xludf.DUMMYFUNCTION("""COMPUTED_VALUE"""),"https://www.instagram.com/majmaolansar/")</f>
        <v>https://www.instagram.com/majmaolansar/</v>
      </c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</row>
    <row r="773">
      <c r="A773" s="5"/>
      <c r="B773" s="5" t="str">
        <f>IFERROR(__xludf.DUMMYFUNCTION("""COMPUTED_VALUE"""),"حسینیه")</f>
        <v>حسینیه</v>
      </c>
      <c r="C773" s="5" t="str">
        <f>IFERROR(__xludf.DUMMYFUNCTION("""COMPUTED_VALUE"""),"قمر بنی هاشم")</f>
        <v>قمر بنی هاشم</v>
      </c>
      <c r="D773" s="5" t="str">
        <f>IFERROR(__xludf.DUMMYFUNCTION("""COMPUTED_VALUE"""),"تهران")</f>
        <v>تهران</v>
      </c>
      <c r="E773" s="5" t="str">
        <f>IFERROR(__xludf.DUMMYFUNCTION("""COMPUTED_VALUE"""),"تهران")</f>
        <v>تهران</v>
      </c>
      <c r="F773" s="5"/>
      <c r="G773" s="5"/>
      <c r="H773" s="6" t="str">
        <f>IFERROR(__xludf.DUMMYFUNCTION("""COMPUTED_VALUE"""),"http://instagram.com/hasaniyeh133/")</f>
        <v>http://instagram.com/hasaniyeh133/</v>
      </c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>
      <c r="A774" s="5"/>
      <c r="B774" s="5"/>
      <c r="C774" s="5" t="str">
        <f>IFERROR(__xludf.DUMMYFUNCTION("""COMPUTED_VALUE"""),"ستاد اربعین")</f>
        <v>ستاد اربعین</v>
      </c>
      <c r="D774" s="5" t="str">
        <f>IFERROR(__xludf.DUMMYFUNCTION("""COMPUTED_VALUE"""),"تهران")</f>
        <v>تهران</v>
      </c>
      <c r="E774" s="5" t="str">
        <f>IFERROR(__xludf.DUMMYFUNCTION("""COMPUTED_VALUE"""),"تهران")</f>
        <v>تهران</v>
      </c>
      <c r="F774" s="5"/>
      <c r="G774" s="5"/>
      <c r="H774" s="5"/>
      <c r="I774" s="5"/>
      <c r="J774" s="6" t="str">
        <f>IFERROR(__xludf.DUMMYFUNCTION("""COMPUTED_VALUE"""),"https://eitaa.com/e_arbaeen")</f>
        <v>https://eitaa.com/e_arbaeen</v>
      </c>
      <c r="K774" s="5"/>
      <c r="L774" s="5"/>
      <c r="M774" s="5"/>
      <c r="N774" s="5"/>
      <c r="O774" s="5"/>
      <c r="P774" s="5"/>
      <c r="Q774" s="5"/>
      <c r="R774" s="5"/>
      <c r="S774" s="5"/>
    </row>
    <row r="775">
      <c r="A775" s="5"/>
      <c r="B775" s="5"/>
      <c r="C775" s="5" t="str">
        <f>IFERROR(__xludf.DUMMYFUNCTION("""COMPUTED_VALUE"""),"حسینیه معلی")</f>
        <v>حسینیه معلی</v>
      </c>
      <c r="D775" s="5" t="str">
        <f>IFERROR(__xludf.DUMMYFUNCTION("""COMPUTED_VALUE"""),"تهران")</f>
        <v>تهران</v>
      </c>
      <c r="E775" s="5" t="str">
        <f>IFERROR(__xludf.DUMMYFUNCTION("""COMPUTED_VALUE"""),"تهران")</f>
        <v>تهران</v>
      </c>
      <c r="F775" s="5"/>
      <c r="G775" s="5"/>
      <c r="H775" s="5"/>
      <c r="I775" s="5"/>
      <c r="J775" s="6" t="str">
        <f>IFERROR(__xludf.DUMMYFUNCTION("""COMPUTED_VALUE"""),"https://eitaa.com/moallatv3")</f>
        <v>https://eitaa.com/moallatv3</v>
      </c>
      <c r="K775" s="5"/>
      <c r="L775" s="5"/>
      <c r="M775" s="5"/>
      <c r="N775" s="5"/>
      <c r="O775" s="5"/>
      <c r="P775" s="5"/>
      <c r="Q775" s="5"/>
      <c r="R775" s="5"/>
      <c r="S775" s="5"/>
    </row>
    <row r="776">
      <c r="A776" s="5"/>
      <c r="B776" s="5" t="str">
        <f>IFERROR(__xludf.DUMMYFUNCTION("""COMPUTED_VALUE"""),"هیأت")</f>
        <v>هیأت</v>
      </c>
      <c r="C776" s="5" t="str">
        <f>IFERROR(__xludf.DUMMYFUNCTION("""COMPUTED_VALUE"""),"عقلیة العرب")</f>
        <v>عقلیة العرب</v>
      </c>
      <c r="D776" s="5" t="str">
        <f>IFERROR(__xludf.DUMMYFUNCTION("""COMPUTED_VALUE"""),"تهران")</f>
        <v>تهران</v>
      </c>
      <c r="E776" s="5" t="str">
        <f>IFERROR(__xludf.DUMMYFUNCTION("""COMPUTED_VALUE"""),"تهران")</f>
        <v>تهران</v>
      </c>
      <c r="F776" s="5"/>
      <c r="G776" s="5"/>
      <c r="H776" s="6" t="str">
        <f>IFERROR(__xludf.DUMMYFUNCTION("""COMPUTED_VALUE"""),"https://www.instagram.com/aghilatolarab1/")</f>
        <v>https://www.instagram.com/aghilatolarab1/</v>
      </c>
      <c r="I776" s="5" t="str">
        <f>IFERROR(__xludf.DUMMYFUNCTION("""COMPUTED_VALUE"""),"t.me/aghilatolarab1‌")</f>
        <v>t.me/aghilatolarab1‌</v>
      </c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>
      <c r="A777" s="5"/>
      <c r="B777" s="5" t="str">
        <f>IFERROR(__xludf.DUMMYFUNCTION("""COMPUTED_VALUE"""),"سخنران")</f>
        <v>سخنران</v>
      </c>
      <c r="C777" s="5" t="str">
        <f>IFERROR(__xludf.DUMMYFUNCTION("""COMPUTED_VALUE"""),"حامد کاشانی")</f>
        <v>حامد کاشانی</v>
      </c>
      <c r="D777" s="5" t="str">
        <f>IFERROR(__xludf.DUMMYFUNCTION("""COMPUTED_VALUE"""),"تهران")</f>
        <v>تهران</v>
      </c>
      <c r="E777" s="5" t="str">
        <f>IFERROR(__xludf.DUMMYFUNCTION("""COMPUTED_VALUE"""),"تهران")</f>
        <v>تهران</v>
      </c>
      <c r="F777" s="5"/>
      <c r="G777" s="5"/>
      <c r="H777" s="6" t="str">
        <f>IFERROR(__xludf.DUMMYFUNCTION("""COMPUTED_VALUE"""),"https://www.instagram.com/hamedkashani__")</f>
        <v>https://www.instagram.com/hamedkashani__</v>
      </c>
      <c r="I777" s="5"/>
      <c r="J777" s="6" t="str">
        <f>IFERROR(__xludf.DUMMYFUNCTION("""COMPUTED_VALUE"""),"https://eitaa.com/kashani1395")</f>
        <v>https://eitaa.com/kashani1395</v>
      </c>
      <c r="K777" s="5"/>
      <c r="L777" s="5"/>
      <c r="M777" s="5"/>
      <c r="N777" s="5"/>
      <c r="O777" s="5"/>
      <c r="P777" s="5"/>
      <c r="Q777" s="5"/>
      <c r="R777" s="5"/>
      <c r="S777" s="5"/>
    </row>
    <row r="778">
      <c r="A778" s="5"/>
      <c r="B778" s="5" t="str">
        <f>IFERROR(__xludf.DUMMYFUNCTION("""COMPUTED_VALUE"""),"سخنران")</f>
        <v>سخنران</v>
      </c>
      <c r="C778" s="5" t="str">
        <f>IFERROR(__xludf.DUMMYFUNCTION("""COMPUTED_VALUE"""),"شیخ رمضانی(اسماعیل)")</f>
        <v>شیخ رمضانی(اسماعیل)</v>
      </c>
      <c r="D778" s="5" t="str">
        <f>IFERROR(__xludf.DUMMYFUNCTION("""COMPUTED_VALUE"""),"تهران")</f>
        <v>تهران</v>
      </c>
      <c r="E778" s="5" t="str">
        <f>IFERROR(__xludf.DUMMYFUNCTION("""COMPUTED_VALUE"""),"تهران")</f>
        <v>تهران</v>
      </c>
      <c r="F778" s="5"/>
      <c r="G778" s="5"/>
      <c r="H778" s="5"/>
      <c r="I778" s="5"/>
      <c r="J778" s="6" t="str">
        <f>IFERROR(__xludf.DUMMYFUNCTION("""COMPUTED_VALUE"""),"https://eitaa.com/sheykhramezani")</f>
        <v>https://eitaa.com/sheykhramezani</v>
      </c>
      <c r="K778" s="5"/>
      <c r="L778" s="5"/>
      <c r="M778" s="5"/>
      <c r="N778" s="5"/>
      <c r="O778" s="5"/>
      <c r="P778" s="5"/>
      <c r="Q778" s="5"/>
      <c r="R778" s="5"/>
      <c r="S778" s="5"/>
    </row>
    <row r="779">
      <c r="A779" s="5"/>
      <c r="B779" s="5" t="str">
        <f>IFERROR(__xludf.DUMMYFUNCTION("""COMPUTED_VALUE"""),"مداح")</f>
        <v>مداح</v>
      </c>
      <c r="C779" s="5" t="str">
        <f>IFERROR(__xludf.DUMMYFUNCTION("""COMPUTED_VALUE"""),"کانال رسمی میثم مطیعی")</f>
        <v>کانال رسمی میثم مطیعی</v>
      </c>
      <c r="D779" s="5" t="str">
        <f>IFERROR(__xludf.DUMMYFUNCTION("""COMPUTED_VALUE"""),"تهران")</f>
        <v>تهران</v>
      </c>
      <c r="E779" s="5" t="str">
        <f>IFERROR(__xludf.DUMMYFUNCTION("""COMPUTED_VALUE"""),"تهران")</f>
        <v>تهران</v>
      </c>
      <c r="F779" s="5"/>
      <c r="G779" s="5"/>
      <c r="H779" s="6" t="str">
        <f>IFERROR(__xludf.DUMMYFUNCTION("""COMPUTED_VALUE"""),"https://www.instagram.com/meysammotiee.official")</f>
        <v>https://www.instagram.com/meysammotiee.official</v>
      </c>
      <c r="I779" s="5"/>
      <c r="J779" s="6" t="str">
        <f>IFERROR(__xludf.DUMMYFUNCTION("""COMPUTED_VALUE"""),"https://eitaa.com/MeysamMotiee")</f>
        <v>https://eitaa.com/MeysamMotiee</v>
      </c>
      <c r="K779" s="5"/>
      <c r="L779" s="5"/>
      <c r="M779" s="5"/>
      <c r="N779" s="5"/>
      <c r="O779" s="5"/>
      <c r="P779" s="5"/>
      <c r="Q779" s="5"/>
      <c r="R779" s="5"/>
      <c r="S779" s="5"/>
    </row>
    <row r="780">
      <c r="A780" s="5"/>
      <c r="B780" s="5" t="str">
        <f>IFERROR(__xludf.DUMMYFUNCTION("""COMPUTED_VALUE"""),"سخنران")</f>
        <v>سخنران</v>
      </c>
      <c r="C780" s="5" t="str">
        <f>IFERROR(__xludf.DUMMYFUNCTION("""COMPUTED_VALUE"""),"صوت | علیرضا پناهیان
")</f>
        <v>صوت | علیرضا پناهیان
</v>
      </c>
      <c r="D780" s="5" t="str">
        <f>IFERROR(__xludf.DUMMYFUNCTION("""COMPUTED_VALUE"""),"تهران ")</f>
        <v>تهران </v>
      </c>
      <c r="E780" s="5" t="str">
        <f>IFERROR(__xludf.DUMMYFUNCTION("""COMPUTED_VALUE"""),"تهران")</f>
        <v>تهران</v>
      </c>
      <c r="F780" s="5"/>
      <c r="G780" s="5"/>
      <c r="H780" s="5"/>
      <c r="I780" s="5"/>
      <c r="J780" s="6" t="str">
        <f>IFERROR(__xludf.DUMMYFUNCTION("""COMPUTED_VALUE"""),"https://eitaa.com/panahian_mp3")</f>
        <v>https://eitaa.com/panahian_mp3</v>
      </c>
      <c r="K780" s="5"/>
      <c r="L780" s="5"/>
      <c r="M780" s="5"/>
      <c r="N780" s="5"/>
      <c r="O780" s="5"/>
      <c r="P780" s="5"/>
      <c r="Q780" s="5"/>
      <c r="R780" s="5"/>
      <c r="S780" s="5"/>
    </row>
    <row r="781">
      <c r="A781" s="5"/>
      <c r="B781" s="5"/>
      <c r="C781" s="5" t="str">
        <f>IFERROR(__xludf.DUMMYFUNCTION("""COMPUTED_VALUE"""),"مداح شو")</f>
        <v>مداح شو</v>
      </c>
      <c r="D781" s="5" t="str">
        <f>IFERROR(__xludf.DUMMYFUNCTION("""COMPUTED_VALUE"""),"تهران")</f>
        <v>تهران</v>
      </c>
      <c r="E781" s="5" t="str">
        <f>IFERROR(__xludf.DUMMYFUNCTION("""COMPUTED_VALUE"""),"تهران")</f>
        <v>تهران</v>
      </c>
      <c r="F781" s="5"/>
      <c r="G781" s="5"/>
      <c r="H781" s="5"/>
      <c r="I781" s="5"/>
      <c r="J781" s="6" t="str">
        <f>IFERROR(__xludf.DUMMYFUNCTION("""COMPUTED_VALUE"""),"https://eitaa.com/maddah_sho")</f>
        <v>https://eitaa.com/maddah_sho</v>
      </c>
      <c r="K781" s="5"/>
      <c r="L781" s="5"/>
      <c r="M781" s="5"/>
      <c r="N781" s="5"/>
      <c r="O781" s="5"/>
      <c r="P781" s="5"/>
      <c r="Q781" s="5"/>
      <c r="R781" s="5"/>
      <c r="S781" s="5"/>
    </row>
    <row r="782">
      <c r="A782" s="5"/>
      <c r="B782" s="5"/>
      <c r="C782" s="5" t="str">
        <f>IFERROR(__xludf.DUMMYFUNCTION("""COMPUTED_VALUE"""),"روضه خانگی")</f>
        <v>روضه خانگی</v>
      </c>
      <c r="D782" s="5" t="str">
        <f>IFERROR(__xludf.DUMMYFUNCTION("""COMPUTED_VALUE"""),"تهران")</f>
        <v>تهران</v>
      </c>
      <c r="E782" s="5" t="str">
        <f>IFERROR(__xludf.DUMMYFUNCTION("""COMPUTED_VALUE"""),"تهران")</f>
        <v>تهران</v>
      </c>
      <c r="F782" s="5"/>
      <c r="G782" s="5"/>
      <c r="H782" s="5"/>
      <c r="I782" s="5"/>
      <c r="J782" s="6" t="str">
        <f>IFERROR(__xludf.DUMMYFUNCTION("""COMPUTED_VALUE"""),"https://eitaa.com/rozekhanegee")</f>
        <v>https://eitaa.com/rozekhanegee</v>
      </c>
      <c r="K782" s="5"/>
      <c r="L782" s="5"/>
      <c r="M782" s="5"/>
      <c r="N782" s="5"/>
      <c r="O782" s="5"/>
      <c r="P782" s="5"/>
      <c r="Q782" s="5"/>
      <c r="R782" s="5"/>
      <c r="S782" s="5"/>
    </row>
    <row r="783">
      <c r="A783" s="5"/>
      <c r="B783" s="5" t="str">
        <f>IFERROR(__xludf.DUMMYFUNCTION("""COMPUTED_VALUE"""),"سخنران")</f>
        <v>سخنران</v>
      </c>
      <c r="C783" s="5" t="str">
        <f>IFERROR(__xludf.DUMMYFUNCTION("""COMPUTED_VALUE"""),"کانال رسمی استادمسعود عالی")</f>
        <v>کانال رسمی استادمسعود عالی</v>
      </c>
      <c r="D783" s="5" t="str">
        <f>IFERROR(__xludf.DUMMYFUNCTION("""COMPUTED_VALUE"""),"تهران")</f>
        <v>تهران</v>
      </c>
      <c r="E783" s="5" t="str">
        <f>IFERROR(__xludf.DUMMYFUNCTION("""COMPUTED_VALUE"""),"تهران")</f>
        <v>تهران</v>
      </c>
      <c r="F783" s="5"/>
      <c r="G783" s="5"/>
      <c r="H783" s="5"/>
      <c r="I783" s="5"/>
      <c r="J783" s="6" t="str">
        <f>IFERROR(__xludf.DUMMYFUNCTION("""COMPUTED_VALUE"""),"https://eitaa.com/ostad_aali")</f>
        <v>https://eitaa.com/ostad_aali</v>
      </c>
      <c r="K783" s="5"/>
      <c r="L783" s="5"/>
      <c r="M783" s="5"/>
      <c r="N783" s="5"/>
      <c r="O783" s="5"/>
      <c r="P783" s="5"/>
      <c r="Q783" s="5"/>
      <c r="R783" s="5"/>
      <c r="S783" s="5"/>
    </row>
    <row r="784">
      <c r="A784" s="5"/>
      <c r="B784" s="5" t="str">
        <f>IFERROR(__xludf.DUMMYFUNCTION("""COMPUTED_VALUE"""),"مداح")</f>
        <v>مداح</v>
      </c>
      <c r="C784" s="5" t="str">
        <f>IFERROR(__xludf.DUMMYFUNCTION("""COMPUTED_VALUE"""),"حاج محمود کریمی")</f>
        <v>حاج محمود کریمی</v>
      </c>
      <c r="D784" s="5" t="str">
        <f>IFERROR(__xludf.DUMMYFUNCTION("""COMPUTED_VALUE"""),"تهران")</f>
        <v>تهران</v>
      </c>
      <c r="E784" s="5" t="str">
        <f>IFERROR(__xludf.DUMMYFUNCTION("""COMPUTED_VALUE"""),"تهران")</f>
        <v>تهران</v>
      </c>
      <c r="F784" s="5"/>
      <c r="G784" s="5"/>
      <c r="H784" s="5"/>
      <c r="I784" s="5"/>
      <c r="J784" s="6" t="str">
        <f>IFERROR(__xludf.DUMMYFUNCTION("""COMPUTED_VALUE"""),"https://eitaa.com/HajMahmoud_Karimi")</f>
        <v>https://eitaa.com/HajMahmoud_Karimi</v>
      </c>
      <c r="K784" s="5"/>
      <c r="L784" s="5"/>
      <c r="M784" s="5"/>
      <c r="N784" s="5"/>
      <c r="O784" s="5"/>
      <c r="P784" s="5"/>
      <c r="Q784" s="5"/>
      <c r="R784" s="5"/>
      <c r="S784" s="5"/>
    </row>
    <row r="785">
      <c r="A785" s="5"/>
      <c r="B785" s="5" t="str">
        <f>IFERROR(__xludf.DUMMYFUNCTION("""COMPUTED_VALUE"""),"مداح")</f>
        <v>مداح</v>
      </c>
      <c r="C785" s="5" t="str">
        <f>IFERROR(__xludf.DUMMYFUNCTION("""COMPUTED_VALUE"""),"هواداران حاج محمود کریمی")</f>
        <v>هواداران حاج محمود کریمی</v>
      </c>
      <c r="D785" s="5" t="str">
        <f>IFERROR(__xludf.DUMMYFUNCTION("""COMPUTED_VALUE"""),"تهران")</f>
        <v>تهران</v>
      </c>
      <c r="E785" s="5" t="str">
        <f>IFERROR(__xludf.DUMMYFUNCTION("""COMPUTED_VALUE"""),"تهران")</f>
        <v>تهران</v>
      </c>
      <c r="F785" s="5"/>
      <c r="G785" s="5"/>
      <c r="H785" s="5"/>
      <c r="I785" s="5"/>
      <c r="J785" s="6" t="str">
        <f>IFERROR(__xludf.DUMMYFUNCTION("""COMPUTED_VALUE"""),"https://eitaa.com/HajMahmoud_Karimi1")</f>
        <v>https://eitaa.com/HajMahmoud_Karimi1</v>
      </c>
      <c r="K785" s="5"/>
      <c r="L785" s="5"/>
      <c r="M785" s="5"/>
      <c r="N785" s="5"/>
      <c r="O785" s="5"/>
      <c r="P785" s="5"/>
      <c r="Q785" s="5"/>
      <c r="R785" s="5"/>
      <c r="S785" s="5"/>
    </row>
    <row r="786">
      <c r="A786" s="5"/>
      <c r="B786" s="5"/>
      <c r="C786" s="5" t="str">
        <f>IFERROR(__xludf.DUMMYFUNCTION("""COMPUTED_VALUE"""),"روضه دفتری")</f>
        <v>روضه دفتری</v>
      </c>
      <c r="D786" s="5" t="str">
        <f>IFERROR(__xludf.DUMMYFUNCTION("""COMPUTED_VALUE"""),"تهران")</f>
        <v>تهران</v>
      </c>
      <c r="E786" s="5" t="str">
        <f>IFERROR(__xludf.DUMMYFUNCTION("""COMPUTED_VALUE"""),"تهران")</f>
        <v>تهران</v>
      </c>
      <c r="F786" s="5"/>
      <c r="G786" s="5"/>
      <c r="H786" s="5"/>
      <c r="I786" s="5"/>
      <c r="J786" s="6" t="str">
        <f>IFERROR(__xludf.DUMMYFUNCTION("""COMPUTED_VALUE"""),"https://eitaa.com/roze_daftari")</f>
        <v>https://eitaa.com/roze_daftari</v>
      </c>
      <c r="K786" s="5"/>
      <c r="L786" s="5"/>
      <c r="M786" s="5"/>
      <c r="N786" s="5"/>
      <c r="O786" s="5"/>
      <c r="P786" s="5"/>
      <c r="Q786" s="5"/>
      <c r="R786" s="5"/>
      <c r="S786" s="5"/>
    </row>
    <row r="787">
      <c r="A787" s="5"/>
      <c r="B787" s="5"/>
      <c r="C787" s="5" t="str">
        <f>IFERROR(__xludf.DUMMYFUNCTION("""COMPUTED_VALUE"""),"در محضر آیت الله میر باقری")</f>
        <v>در محضر آیت الله میر باقری</v>
      </c>
      <c r="D787" s="5" t="str">
        <f>IFERROR(__xludf.DUMMYFUNCTION("""COMPUTED_VALUE"""),"تهران")</f>
        <v>تهران</v>
      </c>
      <c r="E787" s="5" t="str">
        <f>IFERROR(__xludf.DUMMYFUNCTION("""COMPUTED_VALUE"""),"تهران")</f>
        <v>تهران</v>
      </c>
      <c r="F787" s="5"/>
      <c r="G787" s="5"/>
      <c r="H787" s="5"/>
      <c r="I787" s="5"/>
      <c r="J787" s="6" t="str">
        <f>IFERROR(__xludf.DUMMYFUNCTION("""COMPUTED_VALUE"""),"https://eitaa.com/mirbaqeri_ir")</f>
        <v>https://eitaa.com/mirbaqeri_ir</v>
      </c>
      <c r="K787" s="5"/>
      <c r="L787" s="5"/>
      <c r="M787" s="5"/>
      <c r="N787" s="5"/>
      <c r="O787" s="5"/>
      <c r="P787" s="5"/>
      <c r="Q787" s="5"/>
      <c r="R787" s="5"/>
      <c r="S787" s="5"/>
    </row>
    <row r="788">
      <c r="A788" s="5"/>
      <c r="B788" s="5"/>
      <c r="C788" s="5" t="str">
        <f>IFERROR(__xludf.DUMMYFUNCTION("""COMPUTED_VALUE"""),"روضه خانگی ثاقب")</f>
        <v>روضه خانگی ثاقب</v>
      </c>
      <c r="D788" s="5" t="str">
        <f>IFERROR(__xludf.DUMMYFUNCTION("""COMPUTED_VALUE"""),"تهران")</f>
        <v>تهران</v>
      </c>
      <c r="E788" s="5" t="str">
        <f>IFERROR(__xludf.DUMMYFUNCTION("""COMPUTED_VALUE"""),"تهران")</f>
        <v>تهران</v>
      </c>
      <c r="F788" s="5"/>
      <c r="G788" s="5"/>
      <c r="H788" s="5"/>
      <c r="I788" s="5"/>
      <c r="J788" s="6" t="str">
        <f>IFERROR(__xludf.DUMMYFUNCTION("""COMPUTED_VALUE"""),"https://eitaa.com/msagheb_ir")</f>
        <v>https://eitaa.com/msagheb_ir</v>
      </c>
      <c r="K788" s="5"/>
      <c r="L788" s="5"/>
      <c r="M788" s="5"/>
      <c r="N788" s="5"/>
      <c r="O788" s="5"/>
      <c r="P788" s="5"/>
      <c r="Q788" s="5"/>
      <c r="R788" s="5"/>
      <c r="S788" s="5"/>
    </row>
    <row r="789">
      <c r="A789" s="5"/>
      <c r="B789" s="5" t="str">
        <f>IFERROR(__xludf.DUMMYFUNCTION("""COMPUTED_VALUE"""),"مداح")</f>
        <v>مداح</v>
      </c>
      <c r="C789" s="5" t="str">
        <f>IFERROR(__xludf.DUMMYFUNCTION("""COMPUTED_VALUE"""),"حاج منصور ارضی")</f>
        <v>حاج منصور ارضی</v>
      </c>
      <c r="D789" s="5" t="str">
        <f>IFERROR(__xludf.DUMMYFUNCTION("""COMPUTED_VALUE"""),"تهران")</f>
        <v>تهران</v>
      </c>
      <c r="E789" s="5" t="str">
        <f>IFERROR(__xludf.DUMMYFUNCTION("""COMPUTED_VALUE"""),"تهران")</f>
        <v>تهران</v>
      </c>
      <c r="F789" s="5"/>
      <c r="G789" s="5"/>
      <c r="H789" s="6" t="str">
        <f>IFERROR(__xludf.DUMMYFUNCTION("""COMPUTED_VALUE"""),"https://www.instagram.com/hajmansourarzi")</f>
        <v>https://www.instagram.com/hajmansourarzi</v>
      </c>
      <c r="I789" s="5"/>
      <c r="J789" s="6" t="str">
        <f>IFERROR(__xludf.DUMMYFUNCTION("""COMPUTED_VALUE"""),"https://eitaa.com/hajmansourarzi")</f>
        <v>https://eitaa.com/hajmansourarzi</v>
      </c>
      <c r="K789" s="5"/>
      <c r="L789" s="5"/>
      <c r="M789" s="5"/>
      <c r="N789" s="5"/>
      <c r="O789" s="5"/>
      <c r="P789" s="5"/>
      <c r="Q789" s="5"/>
      <c r="R789" s="5"/>
      <c r="S789" s="5"/>
    </row>
    <row r="790">
      <c r="A790" s="5"/>
      <c r="B790" s="5"/>
      <c r="C790" s="5" t="str">
        <f>IFERROR(__xludf.DUMMYFUNCTION("""COMPUTED_VALUE"""),"هیأت  ")</f>
        <v>هیأت  </v>
      </c>
      <c r="D790" s="5" t="str">
        <f>IFERROR(__xludf.DUMMYFUNCTION("""COMPUTED_VALUE"""),"تهران")</f>
        <v>تهران</v>
      </c>
      <c r="E790" s="5" t="str">
        <f>IFERROR(__xludf.DUMMYFUNCTION("""COMPUTED_VALUE"""),"تهران")</f>
        <v>تهران</v>
      </c>
      <c r="F790" s="5"/>
      <c r="G790" s="5"/>
      <c r="H790" s="5"/>
      <c r="I790" s="5"/>
      <c r="J790" s="6" t="str">
        <f>IFERROR(__xludf.DUMMYFUNCTION("""COMPUTED_VALUE"""),"https://eitaa.com/heyat_et")</f>
        <v>https://eitaa.com/heyat_et</v>
      </c>
      <c r="K790" s="5"/>
      <c r="L790" s="5"/>
      <c r="M790" s="5"/>
      <c r="N790" s="5"/>
      <c r="O790" s="5"/>
      <c r="P790" s="5"/>
      <c r="Q790" s="5"/>
      <c r="R790" s="5"/>
      <c r="S790" s="5"/>
    </row>
    <row r="791">
      <c r="A791" s="5"/>
      <c r="B791" s="5"/>
      <c r="C791" s="5" t="str">
        <f>IFERROR(__xludf.DUMMYFUNCTION("""COMPUTED_VALUE"""),"‌‹ تـؤییت‌هیئتی | 𝘵𝘸𝘦𝘦𝘵 ›
")</f>
        <v>‌‹ تـؤییت‌هیئتی | 𝘵𝘸𝘦𝘦𝘵 ›
</v>
      </c>
      <c r="D791" s="5" t="str">
        <f>IFERROR(__xludf.DUMMYFUNCTION("""COMPUTED_VALUE"""),"تهران")</f>
        <v>تهران</v>
      </c>
      <c r="E791" s="5" t="str">
        <f>IFERROR(__xludf.DUMMYFUNCTION("""COMPUTED_VALUE"""),"تهران")</f>
        <v>تهران</v>
      </c>
      <c r="F791" s="5"/>
      <c r="G791" s="5"/>
      <c r="H791" s="5"/>
      <c r="I791" s="5"/>
      <c r="J791" s="6" t="str">
        <f>IFERROR(__xludf.DUMMYFUNCTION("""COMPUTED_VALUE"""),"https://eitaa.com/Tweet_Heyati")</f>
        <v>https://eitaa.com/Tweet_Heyati</v>
      </c>
      <c r="K791" s="5"/>
      <c r="L791" s="5"/>
      <c r="M791" s="5"/>
      <c r="N791" s="5"/>
      <c r="O791" s="5"/>
      <c r="P791" s="5"/>
      <c r="Q791" s="5"/>
      <c r="R791" s="5"/>
      <c r="S791" s="5"/>
    </row>
    <row r="792">
      <c r="A792" s="5"/>
      <c r="B792" s="5" t="str">
        <f>IFERROR(__xludf.DUMMYFUNCTION("""COMPUTED_VALUE"""),"حسینیه")</f>
        <v>حسینیه</v>
      </c>
      <c r="C792" s="5" t="str">
        <f>IFERROR(__xludf.DUMMYFUNCTION("""COMPUTED_VALUE"""),"حسینیه جهانی سید الشهدا")</f>
        <v>حسینیه جهانی سید الشهدا</v>
      </c>
      <c r="D792" s="5" t="str">
        <f>IFERROR(__xludf.DUMMYFUNCTION("""COMPUTED_VALUE"""),"تهران")</f>
        <v>تهران</v>
      </c>
      <c r="E792" s="5" t="str">
        <f>IFERROR(__xludf.DUMMYFUNCTION("""COMPUTED_VALUE"""),"تهران")</f>
        <v>تهران</v>
      </c>
      <c r="F792" s="5"/>
      <c r="G792" s="5"/>
      <c r="H792" s="5"/>
      <c r="I792" s="5"/>
      <c r="J792" s="6" t="str">
        <f>IFERROR(__xludf.DUMMYFUNCTION("""COMPUTED_VALUE"""),"https://eitaa.com/hoseiniehseyedalshohada")</f>
        <v>https://eitaa.com/hoseiniehseyedalshohada</v>
      </c>
      <c r="K792" s="5"/>
      <c r="L792" s="5"/>
      <c r="M792" s="5"/>
      <c r="N792" s="5"/>
      <c r="O792" s="5"/>
      <c r="P792" s="5"/>
      <c r="Q792" s="5"/>
      <c r="R792" s="5"/>
      <c r="S792" s="5"/>
    </row>
    <row r="793">
      <c r="A793" s="5"/>
      <c r="B793" s="5"/>
      <c r="C793" s="5" t="str">
        <f>IFERROR(__xludf.DUMMYFUNCTION("""COMPUTED_VALUE"""),"پایگاه جامع محتوایی هیأت")</f>
        <v>پایگاه جامع محتوایی هیأت</v>
      </c>
      <c r="D793" s="5" t="str">
        <f>IFERROR(__xludf.DUMMYFUNCTION("""COMPUTED_VALUE"""),"تهران")</f>
        <v>تهران</v>
      </c>
      <c r="E793" s="5" t="str">
        <f>IFERROR(__xludf.DUMMYFUNCTION("""COMPUTED_VALUE"""),"تهران")</f>
        <v>تهران</v>
      </c>
      <c r="F793" s="5"/>
      <c r="G793" s="5"/>
      <c r="H793" s="5"/>
      <c r="I793" s="5"/>
      <c r="J793" s="6" t="str">
        <f>IFERROR(__xludf.DUMMYFUNCTION("""COMPUTED_VALUE"""),"https://eitaa.com/heyat_co")</f>
        <v>https://eitaa.com/heyat_co</v>
      </c>
      <c r="K793" s="5"/>
      <c r="L793" s="5"/>
      <c r="M793" s="5"/>
      <c r="N793" s="5"/>
      <c r="O793" s="5"/>
      <c r="P793" s="5"/>
      <c r="Q793" s="5"/>
      <c r="R793" s="5"/>
      <c r="S793" s="5"/>
    </row>
    <row r="794">
      <c r="A794" s="5"/>
      <c r="B794" s="5"/>
      <c r="C794" s="5" t="str">
        <f>IFERROR(__xludf.DUMMYFUNCTION("""COMPUTED_VALUE"""),"برنامه تلویزیونی محفل")</f>
        <v>برنامه تلویزیونی محفل</v>
      </c>
      <c r="D794" s="5" t="str">
        <f>IFERROR(__xludf.DUMMYFUNCTION("""COMPUTED_VALUE"""),"تهران")</f>
        <v>تهران</v>
      </c>
      <c r="E794" s="5" t="str">
        <f>IFERROR(__xludf.DUMMYFUNCTION("""COMPUTED_VALUE"""),"تهران")</f>
        <v>تهران</v>
      </c>
      <c r="F794" s="5"/>
      <c r="G794" s="5"/>
      <c r="H794" s="6" t="str">
        <f>IFERROR(__xludf.DUMMYFUNCTION("""COMPUTED_VALUE"""),"https://www.instagram.com/mahfeltv3")</f>
        <v>https://www.instagram.com/mahfeltv3</v>
      </c>
      <c r="I794" s="6" t="str">
        <f>IFERROR(__xludf.DUMMYFUNCTION("""COMPUTED_VALUE"""),"https://t.me/mahfeltv3")</f>
        <v>https://t.me/mahfeltv3</v>
      </c>
      <c r="J794" s="6" t="str">
        <f>IFERROR(__xludf.DUMMYFUNCTION("""COMPUTED_VALUE"""),"https://eitaa.com/mahfeltv3")</f>
        <v>https://eitaa.com/mahfeltv3</v>
      </c>
      <c r="K794" s="5"/>
      <c r="L794" s="5"/>
      <c r="M794" s="5"/>
      <c r="N794" s="5"/>
      <c r="O794" s="5"/>
      <c r="P794" s="5"/>
      <c r="Q794" s="5"/>
      <c r="R794" s="5"/>
      <c r="S794" s="5"/>
    </row>
    <row r="795">
      <c r="A795" s="5"/>
      <c r="B795" s="5"/>
      <c r="C795" s="5" t="str">
        <f>IFERROR(__xludf.DUMMYFUNCTION("""COMPUTED_VALUE"""),"شعر هیأت")</f>
        <v>شعر هیأت</v>
      </c>
      <c r="D795" s="5" t="str">
        <f>IFERROR(__xludf.DUMMYFUNCTION("""COMPUTED_VALUE"""),"تهران")</f>
        <v>تهران</v>
      </c>
      <c r="E795" s="5" t="str">
        <f>IFERROR(__xludf.DUMMYFUNCTION("""COMPUTED_VALUE"""),"تهران")</f>
        <v>تهران</v>
      </c>
      <c r="F795" s="5"/>
      <c r="G795" s="5"/>
      <c r="H795" s="5"/>
      <c r="I795" s="5"/>
      <c r="J795" s="6" t="str">
        <f>IFERROR(__xludf.DUMMYFUNCTION("""COMPUTED_VALUE"""),"https://eitaa.com/ShereHeyat")</f>
        <v>https://eitaa.com/ShereHeyat</v>
      </c>
      <c r="K795" s="5"/>
      <c r="L795" s="5"/>
      <c r="M795" s="5"/>
      <c r="N795" s="5"/>
      <c r="O795" s="5"/>
      <c r="P795" s="5"/>
      <c r="Q795" s="5"/>
      <c r="R795" s="5"/>
      <c r="S795" s="5"/>
    </row>
    <row r="796">
      <c r="A796" s="5"/>
      <c r="B796" s="5" t="str">
        <f>IFERROR(__xludf.DUMMYFUNCTION("""COMPUTED_VALUE"""),"هیأت")</f>
        <v>هیأت</v>
      </c>
      <c r="C796" s="5" t="str">
        <f>IFERROR(__xludf.DUMMYFUNCTION("""COMPUTED_VALUE"""),"زوار الزهراء (س)")</f>
        <v>زوار الزهراء (س)</v>
      </c>
      <c r="D796" s="5" t="str">
        <f>IFERROR(__xludf.DUMMYFUNCTION("""COMPUTED_VALUE"""),"تهران")</f>
        <v>تهران</v>
      </c>
      <c r="E796" s="5" t="str">
        <f>IFERROR(__xludf.DUMMYFUNCTION("""COMPUTED_VALUE"""),"تهران")</f>
        <v>تهران</v>
      </c>
      <c r="F796" s="5"/>
      <c r="G796" s="5"/>
      <c r="H796" s="5"/>
      <c r="I796" s="5"/>
      <c r="J796" s="6" t="str">
        <f>IFERROR(__xludf.DUMMYFUNCTION("""COMPUTED_VALUE"""),"https://eitaa.com/zovvaralzahra")</f>
        <v>https://eitaa.com/zovvaralzahra</v>
      </c>
      <c r="K796" s="5"/>
      <c r="L796" s="5"/>
      <c r="M796" s="5"/>
      <c r="N796" s="5"/>
      <c r="O796" s="5"/>
      <c r="P796" s="5"/>
      <c r="Q796" s="5"/>
      <c r="R796" s="5"/>
      <c r="S796" s="5"/>
    </row>
    <row r="797">
      <c r="A797" s="5"/>
      <c r="B797" s="5" t="str">
        <f>IFERROR(__xludf.DUMMYFUNCTION("""COMPUTED_VALUE"""),"حسینیه")</f>
        <v>حسینیه</v>
      </c>
      <c r="C797" s="5" t="str">
        <f>IFERROR(__xludf.DUMMYFUNCTION("""COMPUTED_VALUE"""),"حسینیه هدایت")</f>
        <v>حسینیه هدایت</v>
      </c>
      <c r="D797" s="5" t="str">
        <f>IFERROR(__xludf.DUMMYFUNCTION("""COMPUTED_VALUE"""),"تهران")</f>
        <v>تهران</v>
      </c>
      <c r="E797" s="5" t="str">
        <f>IFERROR(__xludf.DUMMYFUNCTION("""COMPUTED_VALUE"""),"تهران")</f>
        <v>تهران</v>
      </c>
      <c r="F797" s="5"/>
      <c r="G797" s="5"/>
      <c r="H797" s="5"/>
      <c r="I797" s="5"/>
      <c r="J797" s="6" t="str">
        <f>IFERROR(__xludf.DUMMYFUNCTION("""COMPUTED_VALUE"""),"https://eitaa.com/hoseinie_hedayat")</f>
        <v>https://eitaa.com/hoseinie_hedayat</v>
      </c>
      <c r="K797" s="5"/>
      <c r="L797" s="5"/>
      <c r="M797" s="5"/>
      <c r="N797" s="5"/>
      <c r="O797" s="5"/>
      <c r="P797" s="5"/>
      <c r="Q797" s="5"/>
      <c r="R797" s="5"/>
      <c r="S797" s="5"/>
    </row>
    <row r="798">
      <c r="A798" s="5"/>
      <c r="B798" s="5" t="str">
        <f>IFERROR(__xludf.DUMMYFUNCTION("""COMPUTED_VALUE"""),"هیأت")</f>
        <v>هیأت</v>
      </c>
      <c r="C798" s="5" t="str">
        <f>IFERROR(__xludf.DUMMYFUNCTION("""COMPUTED_VALUE"""),"هیأت رزمندگان غرب تهران")</f>
        <v>هیأت رزمندگان غرب تهران</v>
      </c>
      <c r="D798" s="5" t="str">
        <f>IFERROR(__xludf.DUMMYFUNCTION("""COMPUTED_VALUE"""),"تهران")</f>
        <v>تهران</v>
      </c>
      <c r="E798" s="5" t="str">
        <f>IFERROR(__xludf.DUMMYFUNCTION("""COMPUTED_VALUE"""),"تهران")</f>
        <v>تهران</v>
      </c>
      <c r="F798" s="5"/>
      <c r="G798" s="5"/>
      <c r="H798" s="5"/>
      <c r="I798" s="5"/>
      <c r="J798" s="6" t="str">
        <f>IFERROR(__xludf.DUMMYFUNCTION("""COMPUTED_VALUE"""),"https://eitaa.com/heiatrqt")</f>
        <v>https://eitaa.com/heiatrqt</v>
      </c>
      <c r="K798" s="5"/>
      <c r="L798" s="5"/>
      <c r="M798" s="5"/>
      <c r="N798" s="5"/>
      <c r="O798" s="5"/>
      <c r="P798" s="5"/>
      <c r="Q798" s="5"/>
      <c r="R798" s="5"/>
      <c r="S798" s="5"/>
    </row>
    <row r="799">
      <c r="A799" s="5"/>
      <c r="B799" s="5" t="str">
        <f>IFERROR(__xludf.DUMMYFUNCTION("""COMPUTED_VALUE"""),"هیأت")</f>
        <v>هیأت</v>
      </c>
      <c r="C799" s="5" t="str">
        <f>IFERROR(__xludf.DUMMYFUNCTION("""COMPUTED_VALUE"""),"هیأت نور الزهرا")</f>
        <v>هیأت نور الزهرا</v>
      </c>
      <c r="D799" s="5" t="str">
        <f>IFERROR(__xludf.DUMMYFUNCTION("""COMPUTED_VALUE"""),"تهران")</f>
        <v>تهران</v>
      </c>
      <c r="E799" s="5" t="str">
        <f>IFERROR(__xludf.DUMMYFUNCTION("""COMPUTED_VALUE"""),"تهران")</f>
        <v>تهران</v>
      </c>
      <c r="F799" s="5"/>
      <c r="G799" s="5"/>
      <c r="H799" s="5"/>
      <c r="I799" s="5"/>
      <c r="J799" s="6" t="str">
        <f>IFERROR(__xludf.DUMMYFUNCTION("""COMPUTED_VALUE"""),"https://eitaa.com/nooralzahra5")</f>
        <v>https://eitaa.com/nooralzahra5</v>
      </c>
      <c r="K799" s="5"/>
      <c r="L799" s="5"/>
      <c r="M799" s="5"/>
      <c r="N799" s="5"/>
      <c r="O799" s="5"/>
      <c r="P799" s="5"/>
      <c r="Q799" s="5"/>
      <c r="R799" s="5"/>
      <c r="S799" s="5"/>
    </row>
    <row r="800">
      <c r="A800" s="5"/>
      <c r="B800" s="5" t="str">
        <f>IFERROR(__xludf.DUMMYFUNCTION("""COMPUTED_VALUE"""),"هیأت")</f>
        <v>هیأت</v>
      </c>
      <c r="C800" s="5" t="str">
        <f>IFERROR(__xludf.DUMMYFUNCTION("""COMPUTED_VALUE"""),"هیئت وسقاخانه خادمین حضرت رقیه سلام الله علیها")</f>
        <v>هیئت وسقاخانه خادمین حضرت رقیه سلام الله علیها</v>
      </c>
      <c r="D800" s="5" t="str">
        <f>IFERROR(__xludf.DUMMYFUNCTION("""COMPUTED_VALUE"""),"تهران")</f>
        <v>تهران</v>
      </c>
      <c r="E800" s="5" t="str">
        <f>IFERROR(__xludf.DUMMYFUNCTION("""COMPUTED_VALUE"""),"تهران")</f>
        <v>تهران</v>
      </c>
      <c r="F800" s="5"/>
      <c r="G800" s="5"/>
      <c r="H800" s="5"/>
      <c r="I800" s="5"/>
      <c r="J800" s="6" t="str">
        <f>IFERROR(__xludf.DUMMYFUNCTION("""COMPUTED_VALUE"""),"https://eitaa.com/saghakhanih")</f>
        <v>https://eitaa.com/saghakhanih</v>
      </c>
      <c r="K800" s="5"/>
      <c r="L800" s="5"/>
      <c r="M800" s="5"/>
      <c r="N800" s="5"/>
      <c r="O800" s="5"/>
      <c r="P800" s="5"/>
      <c r="Q800" s="5"/>
      <c r="R800" s="5"/>
      <c r="S800" s="5"/>
    </row>
    <row r="801">
      <c r="A801" s="5"/>
      <c r="B801" s="5"/>
      <c r="C801" s="5" t="str">
        <f>IFERROR(__xludf.DUMMYFUNCTION("""COMPUTED_VALUE"""),"حسینیه مقتل")</f>
        <v>حسینیه مقتل</v>
      </c>
      <c r="D801" s="5" t="str">
        <f>IFERROR(__xludf.DUMMYFUNCTION("""COMPUTED_VALUE"""),"تهران")</f>
        <v>تهران</v>
      </c>
      <c r="E801" s="5" t="str">
        <f>IFERROR(__xludf.DUMMYFUNCTION("""COMPUTED_VALUE"""),"تهران")</f>
        <v>تهران</v>
      </c>
      <c r="F801" s="5"/>
      <c r="G801" s="5"/>
      <c r="H801" s="6" t="str">
        <f>IFERROR(__xludf.DUMMYFUNCTION("""COMPUTED_VALUE"""),"https://www.instagram.com/payegahe_hoseinieh_maghtal")</f>
        <v>https://www.instagram.com/payegahe_hoseinieh_maghtal</v>
      </c>
      <c r="I801" s="6" t="str">
        <f>IFERROR(__xludf.DUMMYFUNCTION("""COMPUTED_VALUE"""),"https://t.me/hosenih_maghtal")</f>
        <v>https://t.me/hosenih_maghtal</v>
      </c>
      <c r="J801" s="6" t="str">
        <f>IFERROR(__xludf.DUMMYFUNCTION("""COMPUTED_VALUE"""),"https://eitaa.com/hosenih_maghtal")</f>
        <v>https://eitaa.com/hosenih_maghtal</v>
      </c>
      <c r="K801" s="5"/>
      <c r="L801" s="5"/>
      <c r="M801" s="5"/>
      <c r="N801" s="5"/>
      <c r="O801" s="5"/>
      <c r="P801" s="5"/>
      <c r="Q801" s="5"/>
      <c r="R801" s="5"/>
      <c r="S801" s="5"/>
    </row>
    <row r="802">
      <c r="A802" s="5"/>
      <c r="B802" s="5"/>
      <c r="C802" s="5" t="str">
        <f>IFERROR(__xludf.DUMMYFUNCTION("""COMPUTED_VALUE"""),"بیرق هیأت")</f>
        <v>بیرق هیأت</v>
      </c>
      <c r="D802" s="5" t="str">
        <f>IFERROR(__xludf.DUMMYFUNCTION("""COMPUTED_VALUE"""),"تهران")</f>
        <v>تهران</v>
      </c>
      <c r="E802" s="5" t="str">
        <f>IFERROR(__xludf.DUMMYFUNCTION("""COMPUTED_VALUE"""),"تهران")</f>
        <v>تهران</v>
      </c>
      <c r="F802" s="5"/>
      <c r="G802" s="5"/>
      <c r="H802" s="5"/>
      <c r="I802" s="5"/>
      <c r="J802" s="6" t="str">
        <f>IFERROR(__xludf.DUMMYFUNCTION("""COMPUTED_VALUE"""),"https://eitaa.com/Beyragheheyat")</f>
        <v>https://eitaa.com/Beyragheheyat</v>
      </c>
      <c r="K802" s="5"/>
      <c r="L802" s="5"/>
      <c r="M802" s="5"/>
      <c r="N802" s="5"/>
      <c r="O802" s="5"/>
      <c r="P802" s="5"/>
      <c r="Q802" s="5"/>
      <c r="R802" s="5"/>
      <c r="S802" s="5"/>
    </row>
    <row r="803">
      <c r="A803" s="5"/>
      <c r="B803" s="5" t="str">
        <f>IFERROR(__xludf.DUMMYFUNCTION("""COMPUTED_VALUE"""),"هیأت")</f>
        <v>هیأت</v>
      </c>
      <c r="C803" s="5" t="str">
        <f>IFERROR(__xludf.DUMMYFUNCTION("""COMPUTED_VALUE"""),"هیأت عاشورائیان منتظر")</f>
        <v>هیأت عاشورائیان منتظر</v>
      </c>
      <c r="D803" s="5" t="str">
        <f>IFERROR(__xludf.DUMMYFUNCTION("""COMPUTED_VALUE"""),"تهران")</f>
        <v>تهران</v>
      </c>
      <c r="E803" s="5" t="str">
        <f>IFERROR(__xludf.DUMMYFUNCTION("""COMPUTED_VALUE"""),"تهران")</f>
        <v>تهران</v>
      </c>
      <c r="F803" s="5"/>
      <c r="G803" s="5"/>
      <c r="H803" s="5"/>
      <c r="I803" s="5"/>
      <c r="J803" s="6" t="str">
        <f>IFERROR(__xludf.DUMMYFUNCTION("""COMPUTED_VALUE"""),"https://eitaa.com/ashooraeeian")</f>
        <v>https://eitaa.com/ashooraeeian</v>
      </c>
      <c r="K803" s="5"/>
      <c r="L803" s="5"/>
      <c r="M803" s="5"/>
      <c r="N803" s="5"/>
      <c r="O803" s="5"/>
      <c r="P803" s="5"/>
      <c r="Q803" s="5"/>
      <c r="R803" s="5"/>
      <c r="S803" s="5"/>
    </row>
    <row r="804">
      <c r="A804" s="5"/>
      <c r="B804" s="5" t="str">
        <f>IFERROR(__xludf.DUMMYFUNCTION("""COMPUTED_VALUE"""),"هیأت")</f>
        <v>هیأت</v>
      </c>
      <c r="C804" s="5" t="str">
        <f>IFERROR(__xludf.DUMMYFUNCTION("""COMPUTED_VALUE"""),"هیأت و موکب مع امام منصور")</f>
        <v>هیأت و موکب مع امام منصور</v>
      </c>
      <c r="D804" s="5" t="str">
        <f>IFERROR(__xludf.DUMMYFUNCTION("""COMPUTED_VALUE"""),"تهران")</f>
        <v>تهران</v>
      </c>
      <c r="E804" s="5" t="str">
        <f>IFERROR(__xludf.DUMMYFUNCTION("""COMPUTED_VALUE"""),"تهران")</f>
        <v>تهران</v>
      </c>
      <c r="F804" s="5"/>
      <c r="G804" s="5"/>
      <c r="H804" s="5"/>
      <c r="I804" s="5"/>
      <c r="J804" s="6" t="str">
        <f>IFERROR(__xludf.DUMMYFUNCTION("""COMPUTED_VALUE"""),"https://eitaa.com/masafmokeb")</f>
        <v>https://eitaa.com/masafmokeb</v>
      </c>
      <c r="K804" s="5"/>
      <c r="L804" s="5"/>
      <c r="M804" s="5"/>
      <c r="N804" s="5"/>
      <c r="O804" s="5"/>
      <c r="P804" s="5"/>
      <c r="Q804" s="5"/>
      <c r="R804" s="5"/>
      <c r="S804" s="5"/>
    </row>
    <row r="805">
      <c r="A805" s="5"/>
      <c r="B805" s="5" t="str">
        <f>IFERROR(__xludf.DUMMYFUNCTION("""COMPUTED_VALUE"""),"هیأت")</f>
        <v>هیأت</v>
      </c>
      <c r="C805" s="5" t="str">
        <f>IFERROR(__xludf.DUMMYFUNCTION("""COMPUTED_VALUE"""),"هیأت نرجسانه")</f>
        <v>هیأت نرجسانه</v>
      </c>
      <c r="D805" s="5" t="str">
        <f>IFERROR(__xludf.DUMMYFUNCTION("""COMPUTED_VALUE"""),"تهران ")</f>
        <v>تهران </v>
      </c>
      <c r="E805" s="5" t="str">
        <f>IFERROR(__xludf.DUMMYFUNCTION("""COMPUTED_VALUE"""),"تهران")</f>
        <v>تهران</v>
      </c>
      <c r="F805" s="5"/>
      <c r="G805" s="5"/>
      <c r="H805" s="5"/>
      <c r="I805" s="5"/>
      <c r="J805" s="6" t="str">
        <f>IFERROR(__xludf.DUMMYFUNCTION("""COMPUTED_VALUE"""),"https://eitaa.com/narjesaneh_ir")</f>
        <v>https://eitaa.com/narjesaneh_ir</v>
      </c>
      <c r="K805" s="5"/>
      <c r="L805" s="5"/>
      <c r="M805" s="5"/>
      <c r="N805" s="5"/>
      <c r="O805" s="5"/>
      <c r="P805" s="5"/>
      <c r="Q805" s="5"/>
      <c r="R805" s="5"/>
      <c r="S805" s="5"/>
    </row>
    <row r="806">
      <c r="A806" s="5"/>
      <c r="B806" s="5" t="str">
        <f>IFERROR(__xludf.DUMMYFUNCTION("""COMPUTED_VALUE"""),"هیأت")</f>
        <v>هیأت</v>
      </c>
      <c r="C806" s="5" t="str">
        <f>IFERROR(__xludf.DUMMYFUNCTION("""COMPUTED_VALUE"""),"آل الله")</f>
        <v>آل الله</v>
      </c>
      <c r="D806" s="5" t="str">
        <f>IFERROR(__xludf.DUMMYFUNCTION("""COMPUTED_VALUE"""),"تهران")</f>
        <v>تهران</v>
      </c>
      <c r="E806" s="5" t="str">
        <f>IFERROR(__xludf.DUMMYFUNCTION("""COMPUTED_VALUE"""),"دماوند")</f>
        <v>دماوند</v>
      </c>
      <c r="F806" s="5" t="str">
        <f>IFERROR(__xludf.DUMMYFUNCTION("""COMPUTED_VALUE"""),"دماوند")</f>
        <v>دماوند</v>
      </c>
      <c r="G806" s="5"/>
      <c r="H806" s="6" t="str">
        <f>IFERROR(__xludf.DUMMYFUNCTION("""COMPUTED_VALUE"""),"https://www.instagram.com/alollah")</f>
        <v>https://www.instagram.com/alollah</v>
      </c>
      <c r="I806" s="6" t="str">
        <f>IFERROR(__xludf.DUMMYFUNCTION("""COMPUTED_VALUE"""),"https://t.me/alollah_mavaddat")</f>
        <v>https://t.me/alollah_mavaddat</v>
      </c>
      <c r="J806" s="6" t="str">
        <f>IFERROR(__xludf.DUMMYFUNCTION("""COMPUTED_VALUE"""),"https://eitaa.com/alollah_mavaddat")</f>
        <v>https://eitaa.com/alollah_mavaddat</v>
      </c>
      <c r="K806" s="5"/>
      <c r="L806" s="6" t="str">
        <f>IFERROR(__xludf.DUMMYFUNCTION("""COMPUTED_VALUE"""),"https://mavaddatiha.ir/")</f>
        <v>https://mavaddatiha.ir/</v>
      </c>
      <c r="M806" s="5" t="str">
        <f>IFERROR(__xludf.DUMMYFUNCTION("""COMPUTED_VALUE"""),"سعید نجفی")</f>
        <v>سعید نجفی</v>
      </c>
      <c r="N806" s="5" t="str">
        <f>IFERROR(__xludf.DUMMYFUNCTION("""COMPUTED_VALUE"""),"*")</f>
        <v>*</v>
      </c>
      <c r="O806" s="5"/>
      <c r="P806" s="5"/>
      <c r="Q806" s="5"/>
      <c r="R806" s="5"/>
      <c r="S806" s="5"/>
    </row>
    <row r="807">
      <c r="A807" s="5"/>
      <c r="B807" s="5" t="str">
        <f>IFERROR(__xludf.DUMMYFUNCTION("""COMPUTED_VALUE"""),"هیأت")</f>
        <v>هیأت</v>
      </c>
      <c r="C807" s="5" t="str">
        <f>IFERROR(__xludf.DUMMYFUNCTION("""COMPUTED_VALUE"""),"هیأت محبان ولایت")</f>
        <v>هیأت محبان ولایت</v>
      </c>
      <c r="D807" s="5" t="str">
        <f>IFERROR(__xludf.DUMMYFUNCTION("""COMPUTED_VALUE"""),"تهران")</f>
        <v>تهران</v>
      </c>
      <c r="E807" s="5" t="str">
        <f>IFERROR(__xludf.DUMMYFUNCTION("""COMPUTED_VALUE"""),"رباط کریم")</f>
        <v>رباط کریم</v>
      </c>
      <c r="F807" s="5"/>
      <c r="G807" s="5"/>
      <c r="H807" s="5"/>
      <c r="I807" s="5"/>
      <c r="J807" s="6" t="str">
        <f>IFERROR(__xludf.DUMMYFUNCTION("""COMPUTED_VALUE"""),"https://eitaa.com/heyatmohebanvelayat")</f>
        <v>https://eitaa.com/heyatmohebanvelayat</v>
      </c>
      <c r="K807" s="5"/>
      <c r="L807" s="5"/>
      <c r="M807" s="5"/>
      <c r="N807" s="5"/>
      <c r="O807" s="5"/>
      <c r="P807" s="5"/>
      <c r="Q807" s="5"/>
      <c r="R807" s="5"/>
      <c r="S807" s="5"/>
    </row>
    <row r="808">
      <c r="A808" s="5"/>
      <c r="B808" s="5" t="str">
        <f>IFERROR(__xludf.DUMMYFUNCTION("""COMPUTED_VALUE"""),"هیأت")</f>
        <v>هیأت</v>
      </c>
      <c r="C808" s="5" t="str">
        <f>IFERROR(__xludf.DUMMYFUNCTION("""COMPUTED_VALUE"""),"روضة اللهفان")</f>
        <v>روضة اللهفان</v>
      </c>
      <c r="D808" s="5" t="str">
        <f>IFERROR(__xludf.DUMMYFUNCTION("""COMPUTED_VALUE"""),"تهران")</f>
        <v>تهران</v>
      </c>
      <c r="E808" s="5" t="str">
        <f>IFERROR(__xludf.DUMMYFUNCTION("""COMPUTED_VALUE"""),"رودهن")</f>
        <v>رودهن</v>
      </c>
      <c r="F808" s="5"/>
      <c r="G808" s="5"/>
      <c r="H808" s="6" t="str">
        <f>IFERROR(__xludf.DUMMYFUNCTION("""COMPUTED_VALUE"""),"https://www.instagram.com/rozatol_lahfan/")</f>
        <v>https://www.instagram.com/rozatol_lahfan/</v>
      </c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>
      <c r="A809" s="5"/>
      <c r="B809" s="5" t="str">
        <f>IFERROR(__xludf.DUMMYFUNCTION("""COMPUTED_VALUE"""),"هیأت")</f>
        <v>هیأت</v>
      </c>
      <c r="C809" s="5" t="str">
        <f>IFERROR(__xludf.DUMMYFUNCTION("""COMPUTED_VALUE"""),"تعزیه داران باب الحوایج حضرت ابوالفضل (ع)")</f>
        <v>تعزیه داران باب الحوایج حضرت ابوالفضل (ع)</v>
      </c>
      <c r="D809" s="5" t="str">
        <f>IFERROR(__xludf.DUMMYFUNCTION("""COMPUTED_VALUE"""),"تهران")</f>
        <v>تهران</v>
      </c>
      <c r="E809" s="5" t="str">
        <f>IFERROR(__xludf.DUMMYFUNCTION("""COMPUTED_VALUE"""),"ری")</f>
        <v>ری</v>
      </c>
      <c r="F809" s="5"/>
      <c r="G809" s="5"/>
      <c r="H809" s="6" t="str">
        <f>IFERROR(__xludf.DUMMYFUNCTION("""COMPUTED_VALUE"""),"https://www.instagram.com/tazieh_daranbabalhavaej/")</f>
        <v>https://www.instagram.com/tazieh_daranbabalhavaej/</v>
      </c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</row>
    <row r="810">
      <c r="A810" s="5"/>
      <c r="B810" s="5" t="str">
        <f>IFERROR(__xludf.DUMMYFUNCTION("""COMPUTED_VALUE"""),"هیأت")</f>
        <v>هیأت</v>
      </c>
      <c r="C810" s="5" t="str">
        <f>IFERROR(__xludf.DUMMYFUNCTION("""COMPUTED_VALUE"""),"جوانان قمربنی هاشم (ع)")</f>
        <v>جوانان قمربنی هاشم (ع)</v>
      </c>
      <c r="D810" s="5" t="str">
        <f>IFERROR(__xludf.DUMMYFUNCTION("""COMPUTED_VALUE"""),"تهران")</f>
        <v>تهران</v>
      </c>
      <c r="E810" s="5" t="str">
        <f>IFERROR(__xludf.DUMMYFUNCTION("""COMPUTED_VALUE"""),"ری")</f>
        <v>ری</v>
      </c>
      <c r="F810" s="5"/>
      <c r="G810" s="5"/>
      <c r="H810" s="6" t="str">
        <f>IFERROR(__xludf.DUMMYFUNCTION("""COMPUTED_VALUE"""),"https://www.instagram.com/j.ghamarebanihashem_133/")</f>
        <v>https://www.instagram.com/j.ghamarebanihashem_133/</v>
      </c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</row>
    <row r="811">
      <c r="A811" s="5"/>
      <c r="B811" s="5" t="str">
        <f>IFERROR(__xludf.DUMMYFUNCTION("""COMPUTED_VALUE"""),"هیأت")</f>
        <v>هیأت</v>
      </c>
      <c r="C811" s="5" t="str">
        <f>IFERROR(__xludf.DUMMYFUNCTION("""COMPUTED_VALUE"""),"شهر ری")</f>
        <v>شهر ری</v>
      </c>
      <c r="D811" s="5" t="str">
        <f>IFERROR(__xludf.DUMMYFUNCTION("""COMPUTED_VALUE"""),"تهران")</f>
        <v>تهران</v>
      </c>
      <c r="E811" s="5" t="str">
        <f>IFERROR(__xludf.DUMMYFUNCTION("""COMPUTED_VALUE"""),"ری")</f>
        <v>ری</v>
      </c>
      <c r="F811" s="5"/>
      <c r="G811" s="5"/>
      <c r="H811" s="6" t="str">
        <f>IFERROR(__xludf.DUMMYFUNCTION("""COMPUTED_VALUE"""),"https://www.instagram.com/psk_rey/")</f>
        <v>https://www.instagram.com/psk_rey/</v>
      </c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>
      <c r="A812" s="5"/>
      <c r="B812" s="5" t="str">
        <f>IFERROR(__xludf.DUMMYFUNCTION("""COMPUTED_VALUE"""),"حسینیه ")</f>
        <v>حسینیه </v>
      </c>
      <c r="C812" s="5" t="str">
        <f>IFERROR(__xludf.DUMMYFUNCTION("""COMPUTED_VALUE"""),"خدمه اهل بیت کربلایی")</f>
        <v>خدمه اهل بیت کربلایی</v>
      </c>
      <c r="D812" s="5" t="str">
        <f>IFERROR(__xludf.DUMMYFUNCTION("""COMPUTED_VALUE"""),"تهران")</f>
        <v>تهران</v>
      </c>
      <c r="E812" s="5" t="str">
        <f>IFERROR(__xludf.DUMMYFUNCTION("""COMPUTED_VALUE"""),"ری")</f>
        <v>ری</v>
      </c>
      <c r="F812" s="5"/>
      <c r="G812" s="5"/>
      <c r="H812" s="6" t="str">
        <f>IFERROR(__xludf.DUMMYFUNCTION("""COMPUTED_VALUE"""),"https://www.instagram.com/karbalaee_rey/")</f>
        <v>https://www.instagram.com/karbalaee_rey/</v>
      </c>
      <c r="I812" s="6" t="str">
        <f>IFERROR(__xludf.DUMMYFUNCTION("""COMPUTED_VALUE"""),"t.me/H_khadame_ahlebeit")</f>
        <v>t.me/H_khadame_ahlebeit</v>
      </c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>
      <c r="A813" s="5"/>
      <c r="B813" s="5" t="str">
        <f>IFERROR(__xludf.DUMMYFUNCTION("""COMPUTED_VALUE"""),"هیأت")</f>
        <v>هیأت</v>
      </c>
      <c r="C813" s="5" t="str">
        <f>IFERROR(__xludf.DUMMYFUNCTION("""COMPUTED_VALUE"""),"عاشقان ثارالله(ع)")</f>
        <v>عاشقان ثارالله(ع)</v>
      </c>
      <c r="D813" s="5" t="str">
        <f>IFERROR(__xludf.DUMMYFUNCTION("""COMPUTED_VALUE"""),"تهران")</f>
        <v>تهران</v>
      </c>
      <c r="E813" s="5" t="str">
        <f>IFERROR(__xludf.DUMMYFUNCTION("""COMPUTED_VALUE"""),"ری")</f>
        <v>ری</v>
      </c>
      <c r="F813" s="5"/>
      <c r="G813" s="5"/>
      <c r="H813" s="6" t="str">
        <f>IFERROR(__xludf.DUMMYFUNCTION("""COMPUTED_VALUE"""),"https://www.instagram.com/asheghansarallah_tehran/")</f>
        <v>https://www.instagram.com/asheghansarallah_tehran/</v>
      </c>
      <c r="I813" s="6" t="str">
        <f>IFERROR(__xludf.DUMMYFUNCTION("""COMPUTED_VALUE"""),"t.me/@ashegansarallah")</f>
        <v>t.me/@ashegansarallah</v>
      </c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>
      <c r="A814" s="5"/>
      <c r="B814" s="5" t="str">
        <f>IFERROR(__xludf.DUMMYFUNCTION("""COMPUTED_VALUE"""),"هیأت")</f>
        <v>هیأت</v>
      </c>
      <c r="C814" s="5" t="str">
        <f>IFERROR(__xludf.DUMMYFUNCTION("""COMPUTED_VALUE"""),"مکتب الحسین")</f>
        <v>مکتب الحسین</v>
      </c>
      <c r="D814" s="5" t="str">
        <f>IFERROR(__xludf.DUMMYFUNCTION("""COMPUTED_VALUE"""),"تهران")</f>
        <v>تهران</v>
      </c>
      <c r="E814" s="5" t="str">
        <f>IFERROR(__xludf.DUMMYFUNCTION("""COMPUTED_VALUE"""),"ری")</f>
        <v>ری</v>
      </c>
      <c r="F814" s="5"/>
      <c r="G814" s="5"/>
      <c r="H814" s="6" t="str">
        <f>IFERROR(__xludf.DUMMYFUNCTION("""COMPUTED_VALUE"""),"https://www.instagram.com/maktaboolhosein.media/")</f>
        <v>https://www.instagram.com/maktaboolhosein.media/</v>
      </c>
      <c r="I814" s="6" t="str">
        <f>IFERROR(__xludf.DUMMYFUNCTION("""COMPUTED_VALUE"""),"t.me/maktabollhosein_rey")</f>
        <v>t.me/maktabollhosein_rey</v>
      </c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>
      <c r="A815" s="5"/>
      <c r="B815" s="5" t="str">
        <f>IFERROR(__xludf.DUMMYFUNCTION("""COMPUTED_VALUE"""),"هیأت")</f>
        <v>هیأت</v>
      </c>
      <c r="C815" s="5" t="str">
        <f>IFERROR(__xludf.DUMMYFUNCTION("""COMPUTED_VALUE"""),"شباب الزهرا(س)")</f>
        <v>شباب الزهرا(س)</v>
      </c>
      <c r="D815" s="5" t="str">
        <f>IFERROR(__xludf.DUMMYFUNCTION("""COMPUTED_VALUE"""),"تهران")</f>
        <v>تهران</v>
      </c>
      <c r="E815" s="5" t="str">
        <f>IFERROR(__xludf.DUMMYFUNCTION("""COMPUTED_VALUE"""),"ری")</f>
        <v>ری</v>
      </c>
      <c r="F815" s="5"/>
      <c r="G815" s="5"/>
      <c r="H815" s="5"/>
      <c r="I815" s="5"/>
      <c r="J815" s="6" t="str">
        <f>IFERROR(__xludf.DUMMYFUNCTION("""COMPUTED_VALUE"""),"https://eitaa.com/shababozahra")</f>
        <v>https://eitaa.com/shababozahra</v>
      </c>
      <c r="K815" s="5"/>
      <c r="L815" s="5"/>
      <c r="M815" s="5"/>
      <c r="N815" s="5"/>
      <c r="O815" s="5"/>
      <c r="P815" s="5"/>
      <c r="Q815" s="5"/>
      <c r="R815" s="5"/>
      <c r="S815" s="5"/>
    </row>
    <row r="816">
      <c r="A816" s="5"/>
      <c r="B816" s="5" t="str">
        <f>IFERROR(__xludf.DUMMYFUNCTION("""COMPUTED_VALUE"""),"موکب")</f>
        <v>موکب</v>
      </c>
      <c r="C816" s="5" t="str">
        <f>IFERROR(__xludf.DUMMYFUNCTION("""COMPUTED_VALUE"""),"الزهرا(سلام الله علیها)")</f>
        <v>الزهرا(سلام الله علیها)</v>
      </c>
      <c r="D816" s="5" t="str">
        <f>IFERROR(__xludf.DUMMYFUNCTION("""COMPUTED_VALUE"""),"تهران")</f>
        <v>تهران</v>
      </c>
      <c r="E816" s="5" t="str">
        <f>IFERROR(__xludf.DUMMYFUNCTION("""COMPUTED_VALUE"""),"شهریار")</f>
        <v>شهریار</v>
      </c>
      <c r="F816" s="5" t="str">
        <f>IFERROR(__xludf.DUMMYFUNCTION("""COMPUTED_VALUE"""),"شهرک امیریه")</f>
        <v>شهرک امیریه</v>
      </c>
      <c r="G816" s="5"/>
      <c r="H816" s="6" t="str">
        <f>IFERROR(__xludf.DUMMYFUNCTION("""COMPUTED_VALUE"""),"https://www.instagram.com/mokeb_olzahra315/")</f>
        <v>https://www.instagram.com/mokeb_olzahra315/</v>
      </c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>
      <c r="A817" s="5"/>
      <c r="B817" s="5"/>
      <c r="C817" s="5" t="str">
        <f>IFERROR(__xludf.DUMMYFUNCTION("""COMPUTED_VALUE"""),"موکب فاطمه الزهرا")</f>
        <v>موکب فاطمه الزهرا</v>
      </c>
      <c r="D817" s="5" t="str">
        <f>IFERROR(__xludf.DUMMYFUNCTION("""COMPUTED_VALUE"""),"تهران")</f>
        <v>تهران</v>
      </c>
      <c r="E817" s="5" t="str">
        <f>IFERROR(__xludf.DUMMYFUNCTION("""COMPUTED_VALUE"""),"کرج")</f>
        <v>کرج</v>
      </c>
      <c r="F817" s="5"/>
      <c r="G817" s="5"/>
      <c r="H817" s="5"/>
      <c r="I817" s="5"/>
      <c r="J817" s="6" t="str">
        <f>IFERROR(__xludf.DUMMYFUNCTION("""COMPUTED_VALUE"""),"https://eitaa.com/mookkeb")</f>
        <v>https://eitaa.com/mookkeb</v>
      </c>
      <c r="K817" s="5"/>
      <c r="L817" s="5"/>
      <c r="M817" s="5"/>
      <c r="N817" s="5"/>
      <c r="O817" s="5"/>
      <c r="P817" s="5"/>
      <c r="Q817" s="5"/>
      <c r="R817" s="5"/>
      <c r="S817" s="5"/>
    </row>
    <row r="818">
      <c r="A818" s="5"/>
      <c r="B818" s="5" t="str">
        <f>IFERROR(__xludf.DUMMYFUNCTION("""COMPUTED_VALUE"""),"هیأت")</f>
        <v>هیأت</v>
      </c>
      <c r="C818" s="5" t="str">
        <f>IFERROR(__xludf.DUMMYFUNCTION("""COMPUTED_VALUE"""),"علمدار حسین")</f>
        <v>علمدار حسین</v>
      </c>
      <c r="D818" s="5" t="str">
        <f>IFERROR(__xludf.DUMMYFUNCTION("""COMPUTED_VALUE"""),"تهران")</f>
        <v>تهران</v>
      </c>
      <c r="E818" s="5" t="str">
        <f>IFERROR(__xludf.DUMMYFUNCTION("""COMPUTED_VALUE"""),"مشهد")</f>
        <v>مشهد</v>
      </c>
      <c r="F818" s="5"/>
      <c r="G818" s="5"/>
      <c r="H818" s="6" t="str">
        <f>IFERROR(__xludf.DUMMYFUNCTION("""COMPUTED_VALUE"""),"https://www.instagram.com/heiatealamdar/")</f>
        <v>https://www.instagram.com/heiatealamdar/</v>
      </c>
      <c r="I818" s="6" t="str">
        <f>IFERROR(__xludf.DUMMYFUNCTION("""COMPUTED_VALUE"""),"https://t.me/heiatealamdar")</f>
        <v>https://t.me/heiatealamdar</v>
      </c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>
      <c r="A819" s="5"/>
      <c r="B819" s="5" t="str">
        <f>IFERROR(__xludf.DUMMYFUNCTION("""COMPUTED_VALUE"""),"هیأت")</f>
        <v>هیأت</v>
      </c>
      <c r="C819" s="5" t="str">
        <f>IFERROR(__xludf.DUMMYFUNCTION("""COMPUTED_VALUE"""),"بیت الصادق")</f>
        <v>بیت الصادق</v>
      </c>
      <c r="D819" s="5" t="str">
        <f>IFERROR(__xludf.DUMMYFUNCTION("""COMPUTED_VALUE"""),"تهران")</f>
        <v>تهران</v>
      </c>
      <c r="E819" s="5" t="str">
        <f>IFERROR(__xludf.DUMMYFUNCTION("""COMPUTED_VALUE"""),"ورامین")</f>
        <v>ورامین</v>
      </c>
      <c r="F819" s="5" t="str">
        <f>IFERROR(__xludf.DUMMYFUNCTION("""COMPUTED_VALUE"""),"ورامین،امرآبادپشت‌مسجدارشادخیابان‌منظمی‌کوچه‌امین‌یک")</f>
        <v>ورامین،امرآبادپشت‌مسجدارشادخیابان‌منظمی‌کوچه‌امین‌یک</v>
      </c>
      <c r="G819" s="5"/>
      <c r="H819" s="6" t="str">
        <f>IFERROR(__xludf.DUMMYFUNCTION("""COMPUTED_VALUE"""),"https://www.instagram.com/beyt_ol_sadegh/")</f>
        <v>https://www.instagram.com/beyt_ol_sadegh/</v>
      </c>
      <c r="I819" s="6" t="str">
        <f>IFERROR(__xludf.DUMMYFUNCTION("""COMPUTED_VALUE"""),"https://t.me/beyt_ol_sadegh")</f>
        <v>https://t.me/beyt_ol_sadegh</v>
      </c>
      <c r="J819" s="5"/>
      <c r="K819" s="5"/>
      <c r="L819" s="5"/>
      <c r="M819" s="5" t="str">
        <f>IFERROR(__xludf.DUMMYFUNCTION("""COMPUTED_VALUE"""),"ورامین")</f>
        <v>ورامین</v>
      </c>
      <c r="N819" s="5"/>
      <c r="O819" s="5"/>
      <c r="P819" s="5"/>
      <c r="Q819" s="5"/>
      <c r="R819" s="5"/>
      <c r="S819" s="5"/>
    </row>
    <row r="820">
      <c r="A820" s="5"/>
      <c r="B820" s="5" t="str">
        <f>IFERROR(__xludf.DUMMYFUNCTION("""COMPUTED_VALUE"""),"حسینیه")</f>
        <v>حسینیه</v>
      </c>
      <c r="C820" s="5" t="str">
        <f>IFERROR(__xludf.DUMMYFUNCTION("""COMPUTED_VALUE"""),"حسینیه بیت العباس")</f>
        <v>حسینیه بیت العباس</v>
      </c>
      <c r="D820" s="5" t="str">
        <f>IFERROR(__xludf.DUMMYFUNCTION("""COMPUTED_VALUE"""),"تهران")</f>
        <v>تهران</v>
      </c>
      <c r="E820" s="5" t="str">
        <f>IFERROR(__xludf.DUMMYFUNCTION("""COMPUTED_VALUE"""),"ورامین")</f>
        <v>ورامین</v>
      </c>
      <c r="F820" s="5"/>
      <c r="G820" s="5"/>
      <c r="H820" s="5"/>
      <c r="I820" s="5"/>
      <c r="J820" s="6" t="str">
        <f>IFERROR(__xludf.DUMMYFUNCTION("""COMPUTED_VALUE"""),"https://eitaa.com/beytolabbas12")</f>
        <v>https://eitaa.com/beytolabbas12</v>
      </c>
      <c r="K820" s="5"/>
      <c r="L820" s="5"/>
      <c r="M820" s="5"/>
      <c r="N820" s="5"/>
      <c r="O820" s="5"/>
      <c r="P820" s="5"/>
      <c r="Q820" s="5"/>
      <c r="R820" s="5"/>
      <c r="S820" s="5"/>
    </row>
    <row r="821">
      <c r="A821" s="5"/>
      <c r="B821" s="5" t="str">
        <f>IFERROR(__xludf.DUMMYFUNCTION("""COMPUTED_VALUE"""),"رسانه ای")</f>
        <v>رسانه ای</v>
      </c>
      <c r="C821" s="5" t="str">
        <f>IFERROR(__xludf.DUMMYFUNCTION("""COMPUTED_VALUE"""),"عقیله")</f>
        <v>عقیله</v>
      </c>
      <c r="D821" s="5" t="str">
        <f>IFERROR(__xludf.DUMMYFUNCTION("""COMPUTED_VALUE"""),"تهران")</f>
        <v>تهران</v>
      </c>
      <c r="E821" s="5"/>
      <c r="F821" s="5" t="str">
        <f>IFERROR(__xludf.DUMMYFUNCTION("""COMPUTED_VALUE"""),"‎")</f>
        <v>‎</v>
      </c>
      <c r="G821" s="5"/>
      <c r="H821" s="6" t="str">
        <f>IFERROR(__xludf.DUMMYFUNCTION("""COMPUTED_VALUE"""),"https://www.instagram.com/aghile.110/")</f>
        <v>https://www.instagram.com/aghile.110/</v>
      </c>
      <c r="I821" s="6" t="str">
        <f>IFERROR(__xludf.DUMMYFUNCTION("""COMPUTED_VALUE"""),"https://t.me/aghile_110")</f>
        <v>https://t.me/aghile_110</v>
      </c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>
      <c r="A822" s="5"/>
      <c r="B822" s="5" t="str">
        <f>IFERROR(__xludf.DUMMYFUNCTION("""COMPUTED_VALUE"""),"رسانه ای")</f>
        <v>رسانه ای</v>
      </c>
      <c r="C822" s="5" t="str">
        <f>IFERROR(__xludf.DUMMYFUNCTION("""COMPUTED_VALUE"""),"اهل بیت مدیا")</f>
        <v>اهل بیت مدیا</v>
      </c>
      <c r="D822" s="5" t="str">
        <f>IFERROR(__xludf.DUMMYFUNCTION("""COMPUTED_VALUE"""),"تهران")</f>
        <v>تهران</v>
      </c>
      <c r="E822" s="5"/>
      <c r="F822" s="5"/>
      <c r="G822" s="5"/>
      <c r="H822" s="6" t="str">
        <f>IFERROR(__xludf.DUMMYFUNCTION("""COMPUTED_VALUE"""),"https://www.instagram.com/ahlebeytmedia/")</f>
        <v>https://www.instagram.com/ahlebeytmedia/</v>
      </c>
      <c r="I822" s="6" t="str">
        <f>IFERROR(__xludf.DUMMYFUNCTION("""COMPUTED_VALUE"""),"https://t.me/AhleBeytMedia")</f>
        <v>https://t.me/AhleBeytMedia</v>
      </c>
      <c r="J822" s="5"/>
      <c r="K822" s="6" t="str">
        <f>IFERROR(__xludf.DUMMYFUNCTION("""COMPUTED_VALUE"""),"https://www.youtube.com/@ahlebeytmedia")</f>
        <v>https://www.youtube.com/@ahlebeytmedia</v>
      </c>
      <c r="L822" s="5"/>
      <c r="M822" s="5"/>
      <c r="N822" s="5"/>
      <c r="O822" s="5"/>
      <c r="P822" s="5"/>
      <c r="Q822" s="5"/>
      <c r="R822" s="5"/>
      <c r="S822" s="5"/>
    </row>
    <row r="823">
      <c r="A823" s="5"/>
      <c r="B823" s="5" t="str">
        <f>IFERROR(__xludf.DUMMYFUNCTION("""COMPUTED_VALUE"""),"رسانه ای")</f>
        <v>رسانه ای</v>
      </c>
      <c r="C823" s="5" t="str">
        <f>IFERROR(__xludf.DUMMYFUNCTION("""COMPUTED_VALUE"""),"احرار")</f>
        <v>احرار</v>
      </c>
      <c r="D823" s="5" t="str">
        <f>IFERROR(__xludf.DUMMYFUNCTION("""COMPUTED_VALUE"""),"تهران")</f>
        <v>تهران</v>
      </c>
      <c r="E823" s="5"/>
      <c r="F823" s="5"/>
      <c r="G823" s="5"/>
      <c r="H823" s="6" t="str">
        <f>IFERROR(__xludf.DUMMYFUNCTION("""COMPUTED_VALUE"""),"https://www.instagram.com/ahrar_118/")</f>
        <v>https://www.instagram.com/ahrar_118/</v>
      </c>
      <c r="I823" s="6" t="str">
        <f>IFERROR(__xludf.DUMMYFUNCTION("""COMPUTED_VALUE"""),"https://t.me/ahrar_118")</f>
        <v>https://t.me/ahrar_118</v>
      </c>
      <c r="J823" s="5"/>
      <c r="K823" s="6" t="str">
        <f>IFERROR(__xludf.DUMMYFUNCTION("""COMPUTED_VALUE"""),"https://www.youtube.com/@ahrar118")</f>
        <v>https://www.youtube.com/@ahrar118</v>
      </c>
      <c r="L823" s="5"/>
      <c r="M823" s="5"/>
      <c r="N823" s="5"/>
      <c r="O823" s="5"/>
      <c r="P823" s="5"/>
      <c r="Q823" s="5"/>
      <c r="R823" s="5"/>
      <c r="S823" s="5"/>
    </row>
    <row r="824">
      <c r="A824" s="5"/>
      <c r="B824" s="5" t="str">
        <f>IFERROR(__xludf.DUMMYFUNCTION("""COMPUTED_VALUE"""),"رسانه ای")</f>
        <v>رسانه ای</v>
      </c>
      <c r="C824" s="5" t="str">
        <f>IFERROR(__xludf.DUMMYFUNCTION("""COMPUTED_VALUE"""),"اسراء")</f>
        <v>اسراء</v>
      </c>
      <c r="D824" s="5" t="str">
        <f>IFERROR(__xludf.DUMMYFUNCTION("""COMPUTED_VALUE"""),"تهران")</f>
        <v>تهران</v>
      </c>
      <c r="E824" s="5"/>
      <c r="F824" s="5"/>
      <c r="G824" s="5"/>
      <c r="H824" s="6" t="str">
        <f>IFERROR(__xludf.DUMMYFUNCTION("""COMPUTED_VALUE"""),"https://www.instagram.com/asrae_133/")</f>
        <v>https://www.instagram.com/asrae_133/</v>
      </c>
      <c r="I824" s="6" t="str">
        <f>IFERROR(__xludf.DUMMYFUNCTION("""COMPUTED_VALUE"""),"https://t.me/asraae_133")</f>
        <v>https://t.me/asraae_133</v>
      </c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>
      <c r="A825" s="5"/>
      <c r="B825" s="5" t="str">
        <f>IFERROR(__xludf.DUMMYFUNCTION("""COMPUTED_VALUE"""),"رسانه ای")</f>
        <v>رسانه ای</v>
      </c>
      <c r="C825" s="5" t="str">
        <f>IFERROR(__xludf.DUMMYFUNCTION("""COMPUTED_VALUE"""),"آوای مهر")</f>
        <v>آوای مهر</v>
      </c>
      <c r="D825" s="5" t="str">
        <f>IFERROR(__xludf.DUMMYFUNCTION("""COMPUTED_VALUE"""),"تهران")</f>
        <v>تهران</v>
      </c>
      <c r="E825" s="5"/>
      <c r="F825" s="5"/>
      <c r="G825" s="5"/>
      <c r="H825" s="6" t="str">
        <f>IFERROR(__xludf.DUMMYFUNCTION("""COMPUTED_VALUE"""),"https://www.instagram.com/avaye_bartar_sound_group/")</f>
        <v>https://www.instagram.com/avaye_bartar_sound_group/</v>
      </c>
      <c r="I825" s="6" t="str">
        <f>IFERROR(__xludf.DUMMYFUNCTION("""COMPUTED_VALUE"""),"https://t.me/AvayeBartarSoundGroup")</f>
        <v>https://t.me/AvayeBartarSoundGroup</v>
      </c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>
      <c r="A826" s="5"/>
      <c r="B826" s="5" t="str">
        <f>IFERROR(__xludf.DUMMYFUNCTION("""COMPUTED_VALUE"""),"رسانه ای")</f>
        <v>رسانه ای</v>
      </c>
      <c r="C826" s="5" t="str">
        <f>IFERROR(__xludf.DUMMYFUNCTION("""COMPUTED_VALUE"""),"غروب آدینه")</f>
        <v>غروب آدینه</v>
      </c>
      <c r="D826" s="5" t="str">
        <f>IFERROR(__xludf.DUMMYFUNCTION("""COMPUTED_VALUE"""),"تهران")</f>
        <v>تهران</v>
      </c>
      <c r="E826" s="5"/>
      <c r="F826" s="5"/>
      <c r="G826" s="5"/>
      <c r="H826" s="6" t="str">
        <f>IFERROR(__xludf.DUMMYFUNCTION("""COMPUTED_VALUE"""),"https://www.instagram.com/ghorobadineh.ir")</f>
        <v>https://www.instagram.com/ghorobadineh.ir</v>
      </c>
      <c r="I826" s="6" t="str">
        <f>IFERROR(__xludf.DUMMYFUNCTION("""COMPUTED_VALUE"""),"https://t.me/ghorubeadineh")</f>
        <v>https://t.me/ghorubeadineh</v>
      </c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>
      <c r="A827" s="5"/>
      <c r="B827" s="5" t="str">
        <f>IFERROR(__xludf.DUMMYFUNCTION("""COMPUTED_VALUE"""),"رسانه ای")</f>
        <v>رسانه ای</v>
      </c>
      <c r="C827" s="5" t="str">
        <f>IFERROR(__xludf.DUMMYFUNCTION("""COMPUTED_VALUE"""),"جان نثاران")</f>
        <v>جان نثاران</v>
      </c>
      <c r="D827" s="5" t="str">
        <f>IFERROR(__xludf.DUMMYFUNCTION("""COMPUTED_VALUE"""),"تهران")</f>
        <v>تهران</v>
      </c>
      <c r="E827" s="5"/>
      <c r="F827" s="5"/>
      <c r="G827" s="5"/>
      <c r="H827" s="6" t="str">
        <f>IFERROR(__xludf.DUMMYFUNCTION("""COMPUTED_VALUE"""),"https://www.instagram.com/heiatjanesaran/")</f>
        <v>https://www.instagram.com/heiatjanesaran/</v>
      </c>
      <c r="I827" s="6" t="str">
        <f>IFERROR(__xludf.DUMMYFUNCTION("""COMPUTED_VALUE"""),"https://t.me/heiatjanesaran")</f>
        <v>https://t.me/heiatjanesaran</v>
      </c>
      <c r="J827" s="5"/>
      <c r="K827" s="6" t="str">
        <f>IFERROR(__xludf.DUMMYFUNCTION("""COMPUTED_VALUE"""),"https://www.youtube.com/@heiatjanesaran")</f>
        <v>https://www.youtube.com/@heiatjanesaran</v>
      </c>
      <c r="L827" s="5"/>
      <c r="M827" s="5"/>
      <c r="N827" s="5"/>
      <c r="O827" s="5"/>
      <c r="P827" s="5"/>
      <c r="Q827" s="5"/>
      <c r="R827" s="5"/>
      <c r="S827" s="5"/>
    </row>
    <row r="828">
      <c r="A828" s="5"/>
      <c r="B828" s="5" t="str">
        <f>IFERROR(__xludf.DUMMYFUNCTION("""COMPUTED_VALUE"""),"رسانه ای")</f>
        <v>رسانه ای</v>
      </c>
      <c r="C828" s="5" t="str">
        <f>IFERROR(__xludf.DUMMYFUNCTION("""COMPUTED_VALUE"""),"رایه العباس")</f>
        <v>رایه العباس</v>
      </c>
      <c r="D828" s="5" t="str">
        <f>IFERROR(__xludf.DUMMYFUNCTION("""COMPUTED_VALUE"""),"تهران")</f>
        <v>تهران</v>
      </c>
      <c r="E828" s="5"/>
      <c r="F828" s="5"/>
      <c r="G828" s="5"/>
      <c r="H828" s="6" t="str">
        <f>IFERROR(__xludf.DUMMYFUNCTION("""COMPUTED_VALUE"""),"https://www.instagram.com/mahmuudkarimi")</f>
        <v>https://www.instagram.com/mahmuudkarimi</v>
      </c>
      <c r="I828" s="6" t="str">
        <f>IFERROR(__xludf.DUMMYFUNCTION("""COMPUTED_VALUE"""),"https://t.me/mahmoudkarimmi")</f>
        <v>https://t.me/mahmoudkarimmi</v>
      </c>
      <c r="J828" s="6" t="str">
        <f>IFERROR(__xludf.DUMMYFUNCTION("""COMPUTED_VALUE"""),"https://eitaa.com/mahmoudkarimmi")</f>
        <v>https://eitaa.com/mahmoudkarimmi</v>
      </c>
      <c r="K828" s="5"/>
      <c r="L828" s="5"/>
      <c r="M828" s="5"/>
      <c r="N828" s="5"/>
      <c r="O828" s="5"/>
      <c r="P828" s="5"/>
      <c r="Q828" s="5"/>
      <c r="R828" s="5"/>
      <c r="S828" s="5"/>
    </row>
    <row r="829">
      <c r="A829" s="5"/>
      <c r="B829" s="5" t="str">
        <f>IFERROR(__xludf.DUMMYFUNCTION("""COMPUTED_VALUE"""),"رسانه ای")</f>
        <v>رسانه ای</v>
      </c>
      <c r="C829" s="5" t="str">
        <f>IFERROR(__xludf.DUMMYFUNCTION("""COMPUTED_VALUE"""),"ماهورا")</f>
        <v>ماهورا</v>
      </c>
      <c r="D829" s="5" t="str">
        <f>IFERROR(__xludf.DUMMYFUNCTION("""COMPUTED_VALUE"""),"تهران")</f>
        <v>تهران</v>
      </c>
      <c r="E829" s="5"/>
      <c r="F829" s="5"/>
      <c r="G829" s="5"/>
      <c r="H829" s="6" t="str">
        <f>IFERROR(__xludf.DUMMYFUNCTION("""COMPUTED_VALUE"""),"https://www.instagram.com/mahuramedia/")</f>
        <v>https://www.instagram.com/mahuramedia/</v>
      </c>
      <c r="I829" s="6" t="str">
        <f>IFERROR(__xludf.DUMMYFUNCTION("""COMPUTED_VALUE"""),"https://t.me/Mahuramedia")</f>
        <v>https://t.me/Mahuramedia</v>
      </c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>
      <c r="A830" s="5"/>
      <c r="B830" s="5" t="str">
        <f>IFERROR(__xludf.DUMMYFUNCTION("""COMPUTED_VALUE"""),"رسانه ای")</f>
        <v>رسانه ای</v>
      </c>
      <c r="C830" s="5" t="str">
        <f>IFERROR(__xludf.DUMMYFUNCTION("""COMPUTED_VALUE"""),"منجی")</f>
        <v>منجی</v>
      </c>
      <c r="D830" s="5" t="str">
        <f>IFERROR(__xludf.DUMMYFUNCTION("""COMPUTED_VALUE"""),"تهران")</f>
        <v>تهران</v>
      </c>
      <c r="E830" s="5"/>
      <c r="F830" s="5"/>
      <c r="G830" s="5"/>
      <c r="H830" s="6" t="str">
        <f>IFERROR(__xludf.DUMMYFUNCTION("""COMPUTED_VALUE"""),"https://www.instagram.com/monji_sound_group/")</f>
        <v>https://www.instagram.com/monji_sound_group/</v>
      </c>
      <c r="I830" s="6" t="str">
        <f>IFERROR(__xludf.DUMMYFUNCTION("""COMPUTED_VALUE"""),"https://t.me/monji_sound_group")</f>
        <v>https://t.me/monji_sound_group</v>
      </c>
      <c r="J830" s="5"/>
      <c r="K830" s="5"/>
      <c r="L830" s="5"/>
      <c r="M830" s="5"/>
      <c r="N830" s="5"/>
      <c r="O830" s="5"/>
      <c r="P830" s="5"/>
      <c r="Q830" s="5"/>
      <c r="R830" s="5"/>
      <c r="S830" s="5"/>
    </row>
    <row r="831">
      <c r="A831" s="5"/>
      <c r="B831" s="5" t="str">
        <f>IFERROR(__xludf.DUMMYFUNCTION("""COMPUTED_VALUE"""),"رسانه ای")</f>
        <v>رسانه ای</v>
      </c>
      <c r="C831" s="5" t="str">
        <f>IFERROR(__xludf.DUMMYFUNCTION("""COMPUTED_VALUE"""),"نیستان")</f>
        <v>نیستان</v>
      </c>
      <c r="D831" s="5" t="str">
        <f>IFERROR(__xludf.DUMMYFUNCTION("""COMPUTED_VALUE"""),"تهران")</f>
        <v>تهران</v>
      </c>
      <c r="E831" s="5"/>
      <c r="F831" s="5"/>
      <c r="G831" s="5"/>
      <c r="H831" s="6" t="str">
        <f>IFERROR(__xludf.DUMMYFUNCTION("""COMPUTED_VALUE"""),"https://www.instagram.com/neyestan.sound.group/")</f>
        <v>https://www.instagram.com/neyestan.sound.group/</v>
      </c>
      <c r="I831" s="6" t="str">
        <f>IFERROR(__xludf.DUMMYFUNCTION("""COMPUTED_VALUE"""),"https://t.me/NeyestanSoundGroup")</f>
        <v>https://t.me/NeyestanSoundGroup</v>
      </c>
      <c r="J831" s="6" t="str">
        <f>IFERROR(__xludf.DUMMYFUNCTION("""COMPUTED_VALUE"""),"https://www.eitaa.com/neyestansoundgroup")</f>
        <v>https://www.eitaa.com/neyestansoundgroup</v>
      </c>
      <c r="K831" s="6" t="str">
        <f>IFERROR(__xludf.DUMMYFUNCTION("""COMPUTED_VALUE"""),"http://www.youtube.com/@neyestansoundgroup")</f>
        <v>http://www.youtube.com/@neyestansoundgroup</v>
      </c>
      <c r="L831" s="5"/>
      <c r="M831" s="5"/>
      <c r="N831" s="5"/>
      <c r="O831" s="5"/>
      <c r="P831" s="5"/>
      <c r="Q831" s="5"/>
      <c r="R831" s="5"/>
      <c r="S831" s="5"/>
    </row>
    <row r="832">
      <c r="A832" s="5"/>
      <c r="B832" s="5" t="str">
        <f>IFERROR(__xludf.DUMMYFUNCTION("""COMPUTED_VALUE"""),"رسانه ای")</f>
        <v>رسانه ای</v>
      </c>
      <c r="C832" s="5" t="str">
        <f>IFERROR(__xludf.DUMMYFUNCTION("""COMPUTED_VALUE"""),"رواق")</f>
        <v>رواق</v>
      </c>
      <c r="D832" s="5" t="str">
        <f>IFERROR(__xludf.DUMMYFUNCTION("""COMPUTED_VALUE"""),"تهران")</f>
        <v>تهران</v>
      </c>
      <c r="E832" s="5"/>
      <c r="F832" s="5"/>
      <c r="G832" s="5"/>
      <c r="H832" s="6" t="str">
        <f>IFERROR(__xludf.DUMMYFUNCTION("""COMPUTED_VALUE"""),"https://www.instagram.com/ravaq.media/")</f>
        <v>https://www.instagram.com/ravaq.media/</v>
      </c>
      <c r="I832" s="6" t="str">
        <f>IFERROR(__xludf.DUMMYFUNCTION("""COMPUTED_VALUE"""),"https://t.me/ravaqmedia")</f>
        <v>https://t.me/ravaqmedia</v>
      </c>
      <c r="J832" s="5"/>
      <c r="K832" s="5"/>
      <c r="L832" s="5"/>
      <c r="M832" s="5"/>
      <c r="N832" s="5"/>
      <c r="O832" s="5"/>
      <c r="P832" s="5"/>
      <c r="Q832" s="5"/>
      <c r="R832" s="5"/>
      <c r="S832" s="5"/>
    </row>
    <row r="833">
      <c r="A833" s="5"/>
      <c r="B833" s="5" t="str">
        <f>IFERROR(__xludf.DUMMYFUNCTION("""COMPUTED_VALUE"""),"رسانه ای")</f>
        <v>رسانه ای</v>
      </c>
      <c r="C833" s="5" t="str">
        <f>IFERROR(__xludf.DUMMYFUNCTION("""COMPUTED_VALUE"""),"صوت الحسین کرمانشاه")</f>
        <v>صوت الحسین کرمانشاه</v>
      </c>
      <c r="D833" s="5" t="str">
        <f>IFERROR(__xludf.DUMMYFUNCTION("""COMPUTED_VALUE"""),"تهران")</f>
        <v>تهران</v>
      </c>
      <c r="E833" s="5"/>
      <c r="F833" s="5"/>
      <c r="G833" s="5"/>
      <c r="H833" s="6" t="str">
        <f>IFERROR(__xludf.DUMMYFUNCTION("""COMPUTED_VALUE"""),"https://www.instagram.com/sotolhosien.sound.group/")</f>
        <v>https://www.instagram.com/sotolhosien.sound.group/</v>
      </c>
      <c r="I833" s="6" t="str">
        <f>IFERROR(__xludf.DUMMYFUNCTION("""COMPUTED_VALUE"""),"https://t.me/sot_alhosin")</f>
        <v>https://t.me/sot_alhosin</v>
      </c>
      <c r="J833" s="5"/>
      <c r="K833" s="5"/>
      <c r="L833" s="5"/>
      <c r="M833" s="5"/>
      <c r="N833" s="5"/>
      <c r="O833" s="5"/>
      <c r="P833" s="5"/>
      <c r="Q833" s="5"/>
      <c r="R833" s="5"/>
      <c r="S833" s="5"/>
    </row>
    <row r="834">
      <c r="A834" s="5"/>
      <c r="B834" s="5" t="str">
        <f>IFERROR(__xludf.DUMMYFUNCTION("""COMPUTED_VALUE"""),"رسانه ای")</f>
        <v>رسانه ای</v>
      </c>
      <c r="C834" s="5" t="str">
        <f>IFERROR(__xludf.DUMMYFUNCTION("""COMPUTED_VALUE"""),"پلان 3")</f>
        <v>پلان 3</v>
      </c>
      <c r="D834" s="5" t="str">
        <f>IFERROR(__xludf.DUMMYFUNCTION("""COMPUTED_VALUE"""),"تهران")</f>
        <v>تهران</v>
      </c>
      <c r="E834" s="5"/>
      <c r="F834" s="5"/>
      <c r="G834" s="5"/>
      <c r="H834" s="6" t="str">
        <f>IFERROR(__xludf.DUMMYFUNCTION("""COMPUTED_VALUE"""),"https://www.instagram.com/pelan3/")</f>
        <v>https://www.instagram.com/pelan3/</v>
      </c>
      <c r="I834" s="6" t="str">
        <f>IFERROR(__xludf.DUMMYFUNCTION("""COMPUTED_VALUE"""),"https://telegram.me/pelan_3")</f>
        <v>https://telegram.me/pelan_3</v>
      </c>
      <c r="J834" s="6" t="str">
        <f>IFERROR(__xludf.DUMMYFUNCTION("""COMPUTED_VALUE"""),"https://eitaa.com/pelan3")</f>
        <v>https://eitaa.com/pelan3</v>
      </c>
      <c r="K834" s="6" t="str">
        <f>IFERROR(__xludf.DUMMYFUNCTION("""COMPUTED_VALUE"""),"https://www.youtube.com/pelan3")</f>
        <v>https://www.youtube.com/pelan3</v>
      </c>
      <c r="L834" s="6" t="str">
        <f>IFERROR(__xludf.DUMMYFUNCTION("""COMPUTED_VALUE"""),"https://pelan3.com/")</f>
        <v>https://pelan3.com/</v>
      </c>
      <c r="M834" s="5"/>
      <c r="N834" s="5"/>
      <c r="O834" s="5"/>
      <c r="P834" s="5"/>
      <c r="Q834" s="5"/>
      <c r="R834" s="5"/>
      <c r="S834" s="5"/>
    </row>
    <row r="835">
      <c r="A835" s="5"/>
      <c r="B835" s="5" t="str">
        <f>IFERROR(__xludf.DUMMYFUNCTION("""COMPUTED_VALUE"""),"رسانه ای")</f>
        <v>رسانه ای</v>
      </c>
      <c r="C835" s="5" t="str">
        <f>IFERROR(__xludf.DUMMYFUNCTION("""COMPUTED_VALUE"""),"حنیفا")</f>
        <v>حنیفا</v>
      </c>
      <c r="D835" s="5" t="str">
        <f>IFERROR(__xludf.DUMMYFUNCTION("""COMPUTED_VALUE"""),"تهران")</f>
        <v>تهران</v>
      </c>
      <c r="E835" s="5"/>
      <c r="F835" s="5"/>
      <c r="G835" s="5"/>
      <c r="H835" s="6" t="str">
        <f>IFERROR(__xludf.DUMMYFUNCTION("""COMPUTED_VALUE"""),"https://www.instagram.com/hanifa.artmedia/")</f>
        <v>https://www.instagram.com/hanifa.artmedia/</v>
      </c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>
      <c r="A836" s="5"/>
      <c r="B836" s="5" t="str">
        <f>IFERROR(__xludf.DUMMYFUNCTION("""COMPUTED_VALUE"""),"رسانه ای")</f>
        <v>رسانه ای</v>
      </c>
      <c r="C836" s="5" t="str">
        <f>IFERROR(__xludf.DUMMYFUNCTION("""COMPUTED_VALUE"""),"خادم الحسن")</f>
        <v>خادم الحسن</v>
      </c>
      <c r="D836" s="5" t="str">
        <f>IFERROR(__xludf.DUMMYFUNCTION("""COMPUTED_VALUE"""),"تهران")</f>
        <v>تهران</v>
      </c>
      <c r="E836" s="5"/>
      <c r="F836" s="5"/>
      <c r="G836" s="5"/>
      <c r="H836" s="6" t="str">
        <f>IFERROR(__xludf.DUMMYFUNCTION("""COMPUTED_VALUE"""),"https://www.instagram.com/khademolhasan_ir/")</f>
        <v>https://www.instagram.com/khademolhasan_ir/</v>
      </c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>
      <c r="A837" s="5"/>
      <c r="B837" s="5" t="str">
        <f>IFERROR(__xludf.DUMMYFUNCTION("""COMPUTED_VALUE"""),"رسانه ای")</f>
        <v>رسانه ای</v>
      </c>
      <c r="C837" s="5" t="str">
        <f>IFERROR(__xludf.DUMMYFUNCTION("""COMPUTED_VALUE"""),"شبکه رسانه ای هجرت")</f>
        <v>شبکه رسانه ای هجرت</v>
      </c>
      <c r="D837" s="5" t="str">
        <f>IFERROR(__xludf.DUMMYFUNCTION("""COMPUTED_VALUE"""),"تهران")</f>
        <v>تهران</v>
      </c>
      <c r="E837" s="5"/>
      <c r="F837" s="5"/>
      <c r="G837" s="5"/>
      <c r="H837" s="6" t="str">
        <f>IFERROR(__xludf.DUMMYFUNCTION("""COMPUTED_VALUE"""),"https://www.instagram.com/HEJRAT_NET/")</f>
        <v>https://www.instagram.com/HEJRAT_NET/</v>
      </c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</row>
    <row r="838">
      <c r="A838" s="5"/>
      <c r="B838" s="5" t="str">
        <f>IFERROR(__xludf.DUMMYFUNCTION("""COMPUTED_VALUE"""),"رسانه ای")</f>
        <v>رسانه ای</v>
      </c>
      <c r="C838" s="5" t="str">
        <f>IFERROR(__xludf.DUMMYFUNCTION("""COMPUTED_VALUE"""),"فاتح")</f>
        <v>فاتح</v>
      </c>
      <c r="D838" s="5" t="str">
        <f>IFERROR(__xludf.DUMMYFUNCTION("""COMPUTED_VALUE"""),"تهران")</f>
        <v>تهران</v>
      </c>
      <c r="E838" s="5"/>
      <c r="F838" s="5"/>
      <c r="G838" s="5"/>
      <c r="H838" s="6" t="str">
        <f>IFERROR(__xludf.DUMMYFUNCTION("""COMPUTED_VALUE"""),"https://www.instagram.com/fathgraf/")</f>
        <v>https://www.instagram.com/fathgraf/</v>
      </c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</row>
    <row r="839">
      <c r="A839" s="5"/>
      <c r="B839" s="5" t="str">
        <f>IFERROR(__xludf.DUMMYFUNCTION("""COMPUTED_VALUE"""),"رسانه ای")</f>
        <v>رسانه ای</v>
      </c>
      <c r="C839" s="5" t="str">
        <f>IFERROR(__xludf.DUMMYFUNCTION("""COMPUTED_VALUE"""),"ماهد")</f>
        <v>ماهد</v>
      </c>
      <c r="D839" s="5" t="str">
        <f>IFERROR(__xludf.DUMMYFUNCTION("""COMPUTED_VALUE"""),"تهران")</f>
        <v>تهران</v>
      </c>
      <c r="E839" s="5"/>
      <c r="F839" s="5"/>
      <c r="G839" s="5"/>
      <c r="H839" s="6" t="str">
        <f>IFERROR(__xludf.DUMMYFUNCTION("""COMPUTED_VALUE"""),"https://www.instagram.com/mahed4441/")</f>
        <v>https://www.instagram.com/mahed4441/</v>
      </c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>
      <c r="A840" s="5"/>
      <c r="B840" s="5" t="str">
        <f>IFERROR(__xludf.DUMMYFUNCTION("""COMPUTED_VALUE"""),"رسانه ای")</f>
        <v>رسانه ای</v>
      </c>
      <c r="C840" s="5" t="str">
        <f>IFERROR(__xludf.DUMMYFUNCTION("""COMPUTED_VALUE"""),"موعود")</f>
        <v>موعود</v>
      </c>
      <c r="D840" s="5" t="str">
        <f>IFERROR(__xludf.DUMMYFUNCTION("""COMPUTED_VALUE"""),"تهران")</f>
        <v>تهران</v>
      </c>
      <c r="E840" s="5"/>
      <c r="F840" s="5"/>
      <c r="G840" s="5"/>
      <c r="H840" s="6" t="str">
        <f>IFERROR(__xludf.DUMMYFUNCTION("""COMPUTED_VALUE"""),"https://www.instagram.com/mooud.sound.group/")</f>
        <v>https://www.instagram.com/mooud.sound.group/</v>
      </c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>
      <c r="A841" s="5"/>
      <c r="B841" s="5" t="str">
        <f>IFERROR(__xludf.DUMMYFUNCTION("""COMPUTED_VALUE"""),"رسانه ای")</f>
        <v>رسانه ای</v>
      </c>
      <c r="C841" s="5" t="str">
        <f>IFERROR(__xludf.DUMMYFUNCTION("""COMPUTED_VALUE"""),"هلال مدیا")</f>
        <v>هلال مدیا</v>
      </c>
      <c r="D841" s="5" t="str">
        <f>IFERROR(__xludf.DUMMYFUNCTION("""COMPUTED_VALUE"""),"تهران")</f>
        <v>تهران</v>
      </c>
      <c r="E841" s="5"/>
      <c r="F841" s="5"/>
      <c r="G841" s="5"/>
      <c r="H841" s="6" t="str">
        <f>IFERROR(__xludf.DUMMYFUNCTION("""COMPUTED_VALUE"""),"https://www.instagram.com/helalmedia/")</f>
        <v>https://www.instagram.com/helalmedia/</v>
      </c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</row>
    <row r="842">
      <c r="A842" s="5"/>
      <c r="B842" s="5" t="str">
        <f>IFERROR(__xludf.DUMMYFUNCTION("""COMPUTED_VALUE"""),"مداح")</f>
        <v>مداح</v>
      </c>
      <c r="C842" s="5" t="str">
        <f>IFERROR(__xludf.DUMMYFUNCTION("""COMPUTED_VALUE"""),"علی پورکاوه")</f>
        <v>علی پورکاوه</v>
      </c>
      <c r="D842" s="5" t="str">
        <f>IFERROR(__xludf.DUMMYFUNCTION("""COMPUTED_VALUE"""),"تهران")</f>
        <v>تهران</v>
      </c>
      <c r="E842" s="5"/>
      <c r="F842" s="5"/>
      <c r="G842" s="5"/>
      <c r="H842" s="6" t="str">
        <f>IFERROR(__xludf.DUMMYFUNCTION("""COMPUTED_VALUE"""),"https://www.instagram.com/ali_porkaveeh_org/")</f>
        <v>https://www.instagram.com/ali_porkaveeh_org/</v>
      </c>
      <c r="I842" s="6" t="str">
        <f>IFERROR(__xludf.DUMMYFUNCTION("""COMPUTED_VALUE"""),"https://t.me/ali_porkaveh_zanjani")</f>
        <v>https://t.me/ali_porkaveh_zanjani</v>
      </c>
      <c r="J842" s="5"/>
      <c r="K842" s="5"/>
      <c r="L842" s="5"/>
      <c r="M842" s="5"/>
      <c r="N842" s="5"/>
      <c r="O842" s="5"/>
      <c r="P842" s="5"/>
      <c r="Q842" s="5"/>
      <c r="R842" s="5"/>
      <c r="S842" s="5"/>
    </row>
    <row r="843">
      <c r="A843" s="5"/>
      <c r="B843" s="5" t="str">
        <f>IFERROR(__xludf.DUMMYFUNCTION("""COMPUTED_VALUE"""),"مداح")</f>
        <v>مداح</v>
      </c>
      <c r="C843" s="5" t="str">
        <f>IFERROR(__xludf.DUMMYFUNCTION("""COMPUTED_VALUE"""),"علی انسانی")</f>
        <v>علی انسانی</v>
      </c>
      <c r="D843" s="5" t="str">
        <f>IFERROR(__xludf.DUMMYFUNCTION("""COMPUTED_VALUE"""),"تهران")</f>
        <v>تهران</v>
      </c>
      <c r="E843" s="5"/>
      <c r="F843" s="5"/>
      <c r="G843" s="5"/>
      <c r="H843" s="6" t="str">
        <f>IFERROR(__xludf.DUMMYFUNCTION("""COMPUTED_VALUE"""),"https://www.instagram.com/aliensani135/")</f>
        <v>https://www.instagram.com/aliensani135/</v>
      </c>
      <c r="I843" s="6" t="str">
        <f>IFERROR(__xludf.DUMMYFUNCTION("""COMPUTED_VALUE"""),"https://t.me/aliensani135")</f>
        <v>https://t.me/aliensani135</v>
      </c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>
      <c r="A844" s="5"/>
      <c r="B844" s="5" t="str">
        <f>IFERROR(__xludf.DUMMYFUNCTION("""COMPUTED_VALUE"""),"مداح")</f>
        <v>مداح</v>
      </c>
      <c r="C844" s="5" t="str">
        <f>IFERROR(__xludf.DUMMYFUNCTION("""COMPUTED_VALUE"""),"علیرضا شهرابی")</f>
        <v>علیرضا شهرابی</v>
      </c>
      <c r="D844" s="5" t="str">
        <f>IFERROR(__xludf.DUMMYFUNCTION("""COMPUTED_VALUE"""),"تهران")</f>
        <v>تهران</v>
      </c>
      <c r="E844" s="5"/>
      <c r="F844" s="5"/>
      <c r="G844" s="5"/>
      <c r="H844" s="6" t="str">
        <f>IFERROR(__xludf.DUMMYFUNCTION("""COMPUTED_VALUE"""),"https://www.instagram.com/alireza_shahrabi_official/")</f>
        <v>https://www.instagram.com/alireza_shahrabi_official/</v>
      </c>
      <c r="I844" s="6" t="str">
        <f>IFERROR(__xludf.DUMMYFUNCTION("""COMPUTED_VALUE"""),"https://t.me/alirezashahrabi_online")</f>
        <v>https://t.me/alirezashahrabi_online</v>
      </c>
      <c r="J844" s="5"/>
      <c r="K844" s="5"/>
      <c r="L844" s="6" t="str">
        <f>IFERROR(__xludf.DUMMYFUNCTION("""COMPUTED_VALUE"""),"https://alirezashahrabi.com/")</f>
        <v>https://alirezashahrabi.com/</v>
      </c>
      <c r="M844" s="5"/>
      <c r="N844" s="5"/>
      <c r="O844" s="5"/>
      <c r="P844" s="5"/>
      <c r="Q844" s="5"/>
      <c r="R844" s="5"/>
      <c r="S844" s="5"/>
    </row>
    <row r="845">
      <c r="A845" s="5"/>
      <c r="B845" s="5" t="str">
        <f>IFERROR(__xludf.DUMMYFUNCTION("""COMPUTED_VALUE"""),"مداح")</f>
        <v>مداح</v>
      </c>
      <c r="C845" s="5" t="str">
        <f>IFERROR(__xludf.DUMMYFUNCTION("""COMPUTED_VALUE"""),"امین قدیم")</f>
        <v>امین قدیم</v>
      </c>
      <c r="D845" s="5" t="str">
        <f>IFERROR(__xludf.DUMMYFUNCTION("""COMPUTED_VALUE"""),"تهران")</f>
        <v>تهران</v>
      </c>
      <c r="E845" s="5"/>
      <c r="F845" s="5"/>
      <c r="G845" s="5"/>
      <c r="H845" s="6" t="str">
        <f>IFERROR(__xludf.DUMMYFUNCTION("""COMPUTED_VALUE"""),"https://www.instagram.com/amin_ghadim/")</f>
        <v>https://www.instagram.com/amin_ghadim/</v>
      </c>
      <c r="I845" s="6" t="str">
        <f>IFERROR(__xludf.DUMMYFUNCTION("""COMPUTED_VALUE"""),"https://t.me/amin_ghadim313")</f>
        <v>https://t.me/amin_ghadim313</v>
      </c>
      <c r="J845" s="5"/>
      <c r="K845" s="5"/>
      <c r="L845" s="5"/>
      <c r="M845" s="5"/>
      <c r="N845" s="5"/>
      <c r="O845" s="5"/>
      <c r="P845" s="5"/>
      <c r="Q845" s="5"/>
      <c r="R845" s="5"/>
      <c r="S845" s="5"/>
    </row>
    <row r="846">
      <c r="A846" s="5"/>
      <c r="B846" s="5" t="str">
        <f>IFERROR(__xludf.DUMMYFUNCTION("""COMPUTED_VALUE"""),"مداح")</f>
        <v>مداح</v>
      </c>
      <c r="C846" s="5" t="str">
        <f>IFERROR(__xludf.DUMMYFUNCTION("""COMPUTED_VALUE"""),"امین شادکام زکریا")</f>
        <v>امین شادکام زکریا</v>
      </c>
      <c r="D846" s="5" t="str">
        <f>IFERROR(__xludf.DUMMYFUNCTION("""COMPUTED_VALUE"""),"تهران")</f>
        <v>تهران</v>
      </c>
      <c r="E846" s="5"/>
      <c r="F846" s="5"/>
      <c r="G846" s="5"/>
      <c r="H846" s="6" t="str">
        <f>IFERROR(__xludf.DUMMYFUNCTION("""COMPUTED_VALUE"""),"https://www.instagram.com/aminshadkamzakaria/")</f>
        <v>https://www.instagram.com/aminshadkamzakaria/</v>
      </c>
      <c r="I846" s="6" t="str">
        <f>IFERROR(__xludf.DUMMYFUNCTION("""COMPUTED_VALUE"""),"https://t.me/aminshadkamzakaria")</f>
        <v>https://t.me/aminshadkamzakaria</v>
      </c>
      <c r="J846" s="5"/>
      <c r="K846" s="5"/>
      <c r="L846" s="5"/>
      <c r="M846" s="5"/>
      <c r="N846" s="5"/>
      <c r="O846" s="5"/>
      <c r="P846" s="5"/>
      <c r="Q846" s="5"/>
      <c r="R846" s="5"/>
      <c r="S846" s="5"/>
    </row>
    <row r="847">
      <c r="A847" s="5"/>
      <c r="B847" s="5" t="str">
        <f>IFERROR(__xludf.DUMMYFUNCTION("""COMPUTED_VALUE"""),"مداح")</f>
        <v>مداح</v>
      </c>
      <c r="C847" s="5" t="str">
        <f>IFERROR(__xludf.DUMMYFUNCTION("""COMPUTED_VALUE"""),"امیر عباسی")</f>
        <v>امیر عباسی</v>
      </c>
      <c r="D847" s="5" t="str">
        <f>IFERROR(__xludf.DUMMYFUNCTION("""COMPUTED_VALUE"""),"تهران")</f>
        <v>تهران</v>
      </c>
      <c r="E847" s="5"/>
      <c r="F847" s="5"/>
      <c r="G847" s="5"/>
      <c r="H847" s="6" t="str">
        <f>IFERROR(__xludf.DUMMYFUNCTION("""COMPUTED_VALUE"""),"https://www.instagram.com/amirabbasi.313/")</f>
        <v>https://www.instagram.com/amirabbasi.313/</v>
      </c>
      <c r="I847" s="6" t="str">
        <f>IFERROR(__xludf.DUMMYFUNCTION("""COMPUTED_VALUE"""),"https://t.me/amirabbasi_net")</f>
        <v>https://t.me/amirabbasi_net</v>
      </c>
      <c r="J847" s="5"/>
      <c r="K847" s="5"/>
      <c r="L847" s="5"/>
      <c r="M847" s="5"/>
      <c r="N847" s="5"/>
      <c r="O847" s="5"/>
      <c r="P847" s="5"/>
      <c r="Q847" s="5"/>
      <c r="R847" s="5"/>
      <c r="S847" s="5"/>
    </row>
    <row r="848">
      <c r="A848" s="5"/>
      <c r="B848" s="5" t="str">
        <f>IFERROR(__xludf.DUMMYFUNCTION("""COMPUTED_VALUE"""),"مداح")</f>
        <v>مداح</v>
      </c>
      <c r="C848" s="5" t="str">
        <f>IFERROR(__xludf.DUMMYFUNCTION("""COMPUTED_VALUE"""),"امیرحسین حضرتی")</f>
        <v>امیرحسین حضرتی</v>
      </c>
      <c r="D848" s="5" t="str">
        <f>IFERROR(__xludf.DUMMYFUNCTION("""COMPUTED_VALUE"""),"تهران")</f>
        <v>تهران</v>
      </c>
      <c r="E848" s="5"/>
      <c r="F848" s="5"/>
      <c r="G848" s="5"/>
      <c r="H848" s="6" t="str">
        <f>IFERROR(__xludf.DUMMYFUNCTION("""COMPUTED_VALUE"""),"https://www.instagram.com/hazrati.128/")</f>
        <v>https://www.instagram.com/hazrati.128/</v>
      </c>
      <c r="I848" s="6" t="str">
        <f>IFERROR(__xludf.DUMMYFUNCTION("""COMPUTED_VALUE"""),"https://t.me/amirhoseinhazrati128")</f>
        <v>https://t.me/amirhoseinhazrati128</v>
      </c>
      <c r="J848" s="5"/>
      <c r="K848" s="6" t="str">
        <f>IFERROR(__xludf.DUMMYFUNCTION("""COMPUTED_VALUE"""),"https://www.youtube.com/@Hazrati.128")</f>
        <v>https://www.youtube.com/@Hazrati.128</v>
      </c>
      <c r="L848" s="5"/>
      <c r="M848" s="5"/>
      <c r="N848" s="5"/>
      <c r="O848" s="5"/>
      <c r="P848" s="5"/>
      <c r="Q848" s="5"/>
      <c r="R848" s="5"/>
      <c r="S848" s="5"/>
    </row>
    <row r="849">
      <c r="A849" s="5"/>
      <c r="B849" s="5" t="str">
        <f>IFERROR(__xludf.DUMMYFUNCTION("""COMPUTED_VALUE"""),"مداح")</f>
        <v>مداح</v>
      </c>
      <c r="C849" s="5" t="str">
        <f>IFERROR(__xludf.DUMMYFUNCTION("""COMPUTED_VALUE"""),"امیرحسین رجبلو")</f>
        <v>امیرحسین رجبلو</v>
      </c>
      <c r="D849" s="5" t="str">
        <f>IFERROR(__xludf.DUMMYFUNCTION("""COMPUTED_VALUE"""),"تهران")</f>
        <v>تهران</v>
      </c>
      <c r="E849" s="5"/>
      <c r="F849" s="5"/>
      <c r="G849" s="5"/>
      <c r="H849" s="6" t="str">
        <f>IFERROR(__xludf.DUMMYFUNCTION("""COMPUTED_VALUE"""),"https://www.instagram.com/amir_hosein_rajablou/")</f>
        <v>https://www.instagram.com/amir_hosein_rajablou/</v>
      </c>
      <c r="I849" s="6" t="str">
        <f>IFERROR(__xludf.DUMMYFUNCTION("""COMPUTED_VALUE"""),"https://t.me/AmirHosseinRajablou")</f>
        <v>https://t.me/AmirHosseinRajablou</v>
      </c>
      <c r="J849" s="5"/>
      <c r="K849" s="5"/>
      <c r="L849" s="5"/>
      <c r="M849" s="5"/>
      <c r="N849" s="5"/>
      <c r="O849" s="5"/>
      <c r="P849" s="5"/>
      <c r="Q849" s="5"/>
      <c r="R849" s="5"/>
      <c r="S849" s="5"/>
    </row>
    <row r="850">
      <c r="A850" s="5"/>
      <c r="B850" s="5" t="str">
        <f>IFERROR(__xludf.DUMMYFUNCTION("""COMPUTED_VALUE"""),"مداح")</f>
        <v>مداح</v>
      </c>
      <c r="C850" s="5" t="str">
        <f>IFERROR(__xludf.DUMMYFUNCTION("""COMPUTED_VALUE"""),"محمد حسین حدادیان")</f>
        <v>محمد حسین حدادیان</v>
      </c>
      <c r="D850" s="5" t="str">
        <f>IFERROR(__xludf.DUMMYFUNCTION("""COMPUTED_VALUE"""),"تهران")</f>
        <v>تهران</v>
      </c>
      <c r="E850" s="5"/>
      <c r="F850" s="5"/>
      <c r="G850" s="5"/>
      <c r="H850" s="6" t="str">
        <f>IFERROR(__xludf.DUMMYFUNCTION("""COMPUTED_VALUE"""),"https://www.instagram.com/mohamadhosein_h")</f>
        <v>https://www.instagram.com/mohamadhosein_h</v>
      </c>
      <c r="I850" s="6" t="str">
        <f>IFERROR(__xludf.DUMMYFUNCTION("""COMPUTED_VALUE"""),"https://t.me/buyesib_com")</f>
        <v>https://t.me/buyesib_com</v>
      </c>
      <c r="J850" s="6" t="str">
        <f>IFERROR(__xludf.DUMMYFUNCTION("""COMPUTED_VALUE"""),"https://eitaa.com/mohamadhoseyn_hadadian")</f>
        <v>https://eitaa.com/mohamadhoseyn_hadadian</v>
      </c>
      <c r="K850" s="5"/>
      <c r="L850" s="5"/>
      <c r="M850" s="5"/>
      <c r="N850" s="5"/>
      <c r="O850" s="5"/>
      <c r="P850" s="5"/>
      <c r="Q850" s="5"/>
      <c r="R850" s="5"/>
      <c r="S850" s="5"/>
    </row>
    <row r="851">
      <c r="A851" s="5"/>
      <c r="B851" s="5" t="str">
        <f>IFERROR(__xludf.DUMMYFUNCTION("""COMPUTED_VALUE"""),"مداح")</f>
        <v>مداح</v>
      </c>
      <c r="C851" s="5" t="str">
        <f>IFERROR(__xludf.DUMMYFUNCTION("""COMPUTED_VALUE"""),"وحید شکری")</f>
        <v>وحید شکری</v>
      </c>
      <c r="D851" s="5" t="str">
        <f>IFERROR(__xludf.DUMMYFUNCTION("""COMPUTED_VALUE"""),"تهران")</f>
        <v>تهران</v>
      </c>
      <c r="E851" s="5"/>
      <c r="F851" s="5"/>
      <c r="G851" s="5"/>
      <c r="H851" s="6" t="str">
        <f>IFERROR(__xludf.DUMMYFUNCTION("""COMPUTED_VALUE"""),"https://www.instagram.com/vahid_shokri118/")</f>
        <v>https://www.instagram.com/vahid_shokri118/</v>
      </c>
      <c r="I851" s="6" t="str">
        <f>IFERROR(__xludf.DUMMYFUNCTION("""COMPUTED_VALUE"""),"https://t.me/channel_vahid_shokri_118")</f>
        <v>https://t.me/channel_vahid_shokri_118</v>
      </c>
      <c r="J851" s="5"/>
      <c r="K851" s="5"/>
      <c r="L851" s="5"/>
      <c r="M851" s="5"/>
      <c r="N851" s="5"/>
      <c r="O851" s="5"/>
      <c r="P851" s="5"/>
      <c r="Q851" s="5"/>
      <c r="R851" s="5"/>
      <c r="S851" s="5"/>
    </row>
    <row r="852">
      <c r="A852" s="5"/>
      <c r="B852" s="5" t="str">
        <f>IFERROR(__xludf.DUMMYFUNCTION("""COMPUTED_VALUE"""),"مداح")</f>
        <v>مداح</v>
      </c>
      <c r="C852" s="5" t="str">
        <f>IFERROR(__xludf.DUMMYFUNCTION("""COMPUTED_VALUE"""),"ابراهیم زیادزاده")</f>
        <v>ابراهیم زیادزاده</v>
      </c>
      <c r="D852" s="5" t="str">
        <f>IFERROR(__xludf.DUMMYFUNCTION("""COMPUTED_VALUE"""),"تهران")</f>
        <v>تهران</v>
      </c>
      <c r="E852" s="5"/>
      <c r="F852" s="5"/>
      <c r="G852" s="5"/>
      <c r="H852" s="6" t="str">
        <f>IFERROR(__xludf.DUMMYFUNCTION("""COMPUTED_VALUE"""),"https://www.instagram.com/ebrahim_ziyadzade_/")</f>
        <v>https://www.instagram.com/ebrahim_ziyadzade_/</v>
      </c>
      <c r="I852" s="6" t="str">
        <f>IFERROR(__xludf.DUMMYFUNCTION("""COMPUTED_VALUE"""),"https://t.me/ebrahim_ziyadzade")</f>
        <v>https://t.me/ebrahim_ziyadzade</v>
      </c>
      <c r="J852" s="5"/>
      <c r="K852" s="5"/>
      <c r="L852" s="5"/>
      <c r="M852" s="5"/>
      <c r="N852" s="5"/>
      <c r="O852" s="5"/>
      <c r="P852" s="5"/>
      <c r="Q852" s="5"/>
      <c r="R852" s="5"/>
      <c r="S852" s="5"/>
    </row>
    <row r="853">
      <c r="A853" s="5"/>
      <c r="B853" s="5" t="str">
        <f>IFERROR(__xludf.DUMMYFUNCTION("""COMPUTED_VALUE"""),"مداح")</f>
        <v>مداح</v>
      </c>
      <c r="C853" s="5" t="str">
        <f>IFERROR(__xludf.DUMMYFUNCTION("""COMPUTED_VALUE"""),"محمد فراهانی")</f>
        <v>محمد فراهانی</v>
      </c>
      <c r="D853" s="5" t="str">
        <f>IFERROR(__xludf.DUMMYFUNCTION("""COMPUTED_VALUE"""),"تهران")</f>
        <v>تهران</v>
      </c>
      <c r="E853" s="5"/>
      <c r="F853" s="5"/>
      <c r="G853" s="5"/>
      <c r="H853" s="6" t="str">
        <f>IFERROR(__xludf.DUMMYFUNCTION("""COMPUTED_VALUE"""),"https://www.instagram.com/farahani.info/")</f>
        <v>https://www.instagram.com/farahani.info/</v>
      </c>
      <c r="I853" s="6" t="str">
        <f>IFERROR(__xludf.DUMMYFUNCTION("""COMPUTED_VALUE"""),"https://t.me/farahani_info")</f>
        <v>https://t.me/farahani_info</v>
      </c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>
      <c r="A854" s="5"/>
      <c r="B854" s="5" t="str">
        <f>IFERROR(__xludf.DUMMYFUNCTION("""COMPUTED_VALUE"""),"مداح")</f>
        <v>مداح</v>
      </c>
      <c r="C854" s="5" t="str">
        <f>IFERROR(__xludf.DUMMYFUNCTION("""COMPUTED_VALUE"""),"محمود کریمی")</f>
        <v>محمود کریمی</v>
      </c>
      <c r="D854" s="5" t="str">
        <f>IFERROR(__xludf.DUMMYFUNCTION("""COMPUTED_VALUE"""),"تهران")</f>
        <v>تهران</v>
      </c>
      <c r="E854" s="5"/>
      <c r="F854" s="5"/>
      <c r="G854" s="5"/>
      <c r="H854" s="6" t="str">
        <f>IFERROR(__xludf.DUMMYFUNCTION("""COMPUTED_VALUE"""),"https://www.instagram.com/fotros_ir/")</f>
        <v>https://www.instagram.com/fotros_ir/</v>
      </c>
      <c r="I854" s="6" t="str">
        <f>IFERROR(__xludf.DUMMYFUNCTION("""COMPUTED_VALUE"""),"https://t.me/fotros_ir")</f>
        <v>https://t.me/fotros_ir</v>
      </c>
      <c r="J854" s="5"/>
      <c r="K854" s="6" t="str">
        <f>IFERROR(__xludf.DUMMYFUNCTION("""COMPUTED_VALUE"""),"https://www.youtube.com/@mahmoudkarimiofficial")</f>
        <v>https://www.youtube.com/@mahmoudkarimiofficial</v>
      </c>
      <c r="L854" s="6" t="str">
        <f>IFERROR(__xludf.DUMMYFUNCTION("""COMPUTED_VALUE"""),"http://fotros.ir/")</f>
        <v>http://fotros.ir/</v>
      </c>
      <c r="M854" s="5"/>
      <c r="N854" s="5"/>
      <c r="O854" s="5"/>
      <c r="P854" s="5"/>
      <c r="Q854" s="5"/>
      <c r="R854" s="5"/>
      <c r="S854" s="5"/>
    </row>
    <row r="855">
      <c r="A855" s="5"/>
      <c r="B855" s="5" t="str">
        <f>IFERROR(__xludf.DUMMYFUNCTION("""COMPUTED_VALUE"""),"مداح")</f>
        <v>مداح</v>
      </c>
      <c r="C855" s="5" t="str">
        <f>IFERROR(__xludf.DUMMYFUNCTION("""COMPUTED_VALUE"""),"جواد حقیقت")</f>
        <v>جواد حقیقت</v>
      </c>
      <c r="D855" s="5" t="str">
        <f>IFERROR(__xludf.DUMMYFUNCTION("""COMPUTED_VALUE"""),"تهران")</f>
        <v>تهران</v>
      </c>
      <c r="E855" s="5"/>
      <c r="F855" s="5"/>
      <c r="G855" s="5"/>
      <c r="H855" s="6" t="str">
        <f>IFERROR(__xludf.DUMMYFUNCTION("""COMPUTED_VALUE"""),"https://www.instagram.com/javadhaghighatofficial/")</f>
        <v>https://www.instagram.com/javadhaghighatofficial/</v>
      </c>
      <c r="I855" s="6" t="str">
        <f>IFERROR(__xludf.DUMMYFUNCTION("""COMPUTED_VALUE"""),"https://t.me/haghighat_javad")</f>
        <v>https://t.me/haghighat_javad</v>
      </c>
      <c r="J855" s="5"/>
      <c r="K855" s="5"/>
      <c r="L855" s="5"/>
      <c r="M855" s="5"/>
      <c r="N855" s="5"/>
      <c r="O855" s="5"/>
      <c r="P855" s="5"/>
      <c r="Q855" s="5"/>
      <c r="R855" s="5"/>
      <c r="S855" s="5"/>
    </row>
    <row r="856">
      <c r="A856" s="5"/>
      <c r="B856" s="5" t="str">
        <f>IFERROR(__xludf.DUMMYFUNCTION("""COMPUTED_VALUE"""),"مداح")</f>
        <v>مداح</v>
      </c>
      <c r="C856" s="5" t="str">
        <f>IFERROR(__xludf.DUMMYFUNCTION("""COMPUTED_VALUE"""),"سید وحید مصطفوی")</f>
        <v>سید وحید مصطفوی</v>
      </c>
      <c r="D856" s="5" t="str">
        <f>IFERROR(__xludf.DUMMYFUNCTION("""COMPUTED_VALUE"""),"تهران")</f>
        <v>تهران</v>
      </c>
      <c r="E856" s="5"/>
      <c r="F856" s="5"/>
      <c r="G856" s="5"/>
      <c r="H856" s="6" t="str">
        <f>IFERROR(__xludf.DUMMYFUNCTION("""COMPUTED_VALUE"""),"https://www.instagram.com/seyedvahid_mostafavi_official/")</f>
        <v>https://www.instagram.com/seyedvahid_mostafavi_official/</v>
      </c>
      <c r="I856" s="6" t="str">
        <f>IFERROR(__xludf.DUMMYFUNCTION("""COMPUTED_VALUE"""),"https://t.me/haj_Seyed_Vahid_Mostafavi")</f>
        <v>https://t.me/haj_Seyed_Vahid_Mostafavi</v>
      </c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>
      <c r="A857" s="5"/>
      <c r="B857" s="5" t="str">
        <f>IFERROR(__xludf.DUMMYFUNCTION("""COMPUTED_VALUE"""),"مداح")</f>
        <v>مداح</v>
      </c>
      <c r="C857" s="5" t="str">
        <f>IFERROR(__xludf.DUMMYFUNCTION("""COMPUTED_VALUE"""),"علی قربانی")</f>
        <v>علی قربانی</v>
      </c>
      <c r="D857" s="5" t="str">
        <f>IFERROR(__xludf.DUMMYFUNCTION("""COMPUTED_VALUE"""),"تهران")</f>
        <v>تهران</v>
      </c>
      <c r="E857" s="5"/>
      <c r="F857" s="5"/>
      <c r="G857" s="5"/>
      <c r="H857" s="6" t="str">
        <f>IFERROR(__xludf.DUMMYFUNCTION("""COMPUTED_VALUE"""),"https://www.instagram.com/hajali_ghorbani/")</f>
        <v>https://www.instagram.com/hajali_ghorbani/</v>
      </c>
      <c r="I857" s="6" t="str">
        <f>IFERROR(__xludf.DUMMYFUNCTION("""COMPUTED_VALUE"""),"https://t.me/hajali_ghorbani")</f>
        <v>https://t.me/hajali_ghorbani</v>
      </c>
      <c r="J857" s="6" t="str">
        <f>IFERROR(__xludf.DUMMYFUNCTION("""COMPUTED_VALUE"""),"https://eitaa.com/Hajali_ghorbani")</f>
        <v>https://eitaa.com/Hajali_ghorbani</v>
      </c>
      <c r="K857" s="6" t="str">
        <f>IFERROR(__xludf.DUMMYFUNCTION("""COMPUTED_VALUE"""),"https://www.youtube.com/@hajali_ghorbani")</f>
        <v>https://www.youtube.com/@hajali_ghorbani</v>
      </c>
      <c r="L857" s="5"/>
      <c r="M857" s="5"/>
      <c r="N857" s="5"/>
      <c r="O857" s="5"/>
      <c r="P857" s="5"/>
      <c r="Q857" s="5"/>
      <c r="R857" s="5"/>
      <c r="S857" s="5"/>
    </row>
    <row r="858">
      <c r="A858" s="5"/>
      <c r="B858" s="5" t="str">
        <f>IFERROR(__xludf.DUMMYFUNCTION("""COMPUTED_VALUE"""),"مداح")</f>
        <v>مداح</v>
      </c>
      <c r="C858" s="5" t="str">
        <f>IFERROR(__xludf.DUMMYFUNCTION("""COMPUTED_VALUE"""),"حسین سازور")</f>
        <v>حسین سازور</v>
      </c>
      <c r="D858" s="5" t="str">
        <f>IFERROR(__xludf.DUMMYFUNCTION("""COMPUTED_VALUE"""),"تهران")</f>
        <v>تهران</v>
      </c>
      <c r="E858" s="5"/>
      <c r="F858" s="5"/>
      <c r="G858" s="5"/>
      <c r="H858" s="6" t="str">
        <f>IFERROR(__xludf.DUMMYFUNCTION("""COMPUTED_VALUE"""),"https://www.instagram.com/hajhosseinsazvar")</f>
        <v>https://www.instagram.com/hajhosseinsazvar</v>
      </c>
      <c r="I858" s="6" t="str">
        <f>IFERROR(__xludf.DUMMYFUNCTION("""COMPUTED_VALUE"""),"https://t.me/hajhoseinsazvar")</f>
        <v>https://t.me/hajhoseinsazvar</v>
      </c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>
      <c r="A859" s="5"/>
      <c r="B859" s="5" t="str">
        <f>IFERROR(__xludf.DUMMYFUNCTION("""COMPUTED_VALUE"""),"مداح")</f>
        <v>مداح</v>
      </c>
      <c r="C859" s="5" t="str">
        <f>IFERROR(__xludf.DUMMYFUNCTION("""COMPUTED_VALUE"""),"محمد نوروزی")</f>
        <v>محمد نوروزی</v>
      </c>
      <c r="D859" s="5" t="str">
        <f>IFERROR(__xludf.DUMMYFUNCTION("""COMPUTED_VALUE"""),"تهران")</f>
        <v>تهران</v>
      </c>
      <c r="E859" s="5"/>
      <c r="F859" s="5"/>
      <c r="G859" s="5"/>
      <c r="H859" s="6" t="str">
        <f>IFERROR(__xludf.DUMMYFUNCTION("""COMPUTED_VALUE"""),"https://www.instagram.com/haj_mohammad_norouzi/")</f>
        <v>https://www.instagram.com/haj_mohammad_norouzi/</v>
      </c>
      <c r="I859" s="6" t="str">
        <f>IFERROR(__xludf.DUMMYFUNCTION("""COMPUTED_VALUE"""),"https://t.me/hajmohammadnorozi")</f>
        <v>https://t.me/hajmohammadnorozi</v>
      </c>
      <c r="J859" s="5"/>
      <c r="K859" s="6" t="str">
        <f>IFERROR(__xludf.DUMMYFUNCTION("""COMPUTED_VALUE"""),"https://www.instagram.com/haj_mohammad_norouzi_/")</f>
        <v>https://www.instagram.com/haj_mohammad_norouzi_/</v>
      </c>
      <c r="L859" s="5"/>
      <c r="M859" s="5"/>
      <c r="N859" s="5"/>
      <c r="O859" s="5"/>
      <c r="P859" s="5"/>
      <c r="Q859" s="5"/>
      <c r="R859" s="5"/>
      <c r="S859" s="5"/>
    </row>
    <row r="860">
      <c r="A860" s="5"/>
      <c r="B860" s="5" t="str">
        <f>IFERROR(__xludf.DUMMYFUNCTION("""COMPUTED_VALUE"""),"مداح")</f>
        <v>مداح</v>
      </c>
      <c r="C860" s="5" t="str">
        <f>IFERROR(__xludf.DUMMYFUNCTION("""COMPUTED_VALUE"""),"حسن حسین خانی")</f>
        <v>حسن حسین خانی</v>
      </c>
      <c r="D860" s="5" t="str">
        <f>IFERROR(__xludf.DUMMYFUNCTION("""COMPUTED_VALUE"""),"تهران")</f>
        <v>تهران</v>
      </c>
      <c r="E860" s="5"/>
      <c r="F860" s="5"/>
      <c r="G860" s="5"/>
      <c r="H860" s="6" t="str">
        <f>IFERROR(__xludf.DUMMYFUNCTION("""COMPUTED_VALUE"""),"https://www.instagram.com/hasan_hoseynkhani/")</f>
        <v>https://www.instagram.com/hasan_hoseynkhani/</v>
      </c>
      <c r="I860" s="6" t="str">
        <f>IFERROR(__xludf.DUMMYFUNCTION("""COMPUTED_VALUE"""),"https://t.me/Hasan_hoseynkhani")</f>
        <v>https://t.me/Hasan_hoseynkhani</v>
      </c>
      <c r="J860" s="5"/>
      <c r="K860" s="5"/>
      <c r="L860" s="5"/>
      <c r="M860" s="5"/>
      <c r="N860" s="5"/>
      <c r="O860" s="5"/>
      <c r="P860" s="5"/>
      <c r="Q860" s="5"/>
      <c r="R860" s="5"/>
      <c r="S860" s="5"/>
    </row>
    <row r="861">
      <c r="A861" s="5"/>
      <c r="B861" s="5" t="str">
        <f>IFERROR(__xludf.DUMMYFUNCTION("""COMPUTED_VALUE"""),"مداح")</f>
        <v>مداح</v>
      </c>
      <c r="C861" s="5" t="str">
        <f>IFERROR(__xludf.DUMMYFUNCTION("""COMPUTED_VALUE"""),"حسین رضاقلی")</f>
        <v>حسین رضاقلی</v>
      </c>
      <c r="D861" s="5" t="str">
        <f>IFERROR(__xludf.DUMMYFUNCTION("""COMPUTED_VALUE"""),"تهران")</f>
        <v>تهران</v>
      </c>
      <c r="E861" s="5"/>
      <c r="F861" s="5"/>
      <c r="G861" s="5"/>
      <c r="H861" s="6" t="str">
        <f>IFERROR(__xludf.DUMMYFUNCTION("""COMPUTED_VALUE"""),"https://www.instagram.com/hasan.rezagholi/")</f>
        <v>https://www.instagram.com/hasan.rezagholi/</v>
      </c>
      <c r="I861" s="6" t="str">
        <f>IFERROR(__xludf.DUMMYFUNCTION("""COMPUTED_VALUE"""),"https://t.me/hasanrezagholi")</f>
        <v>https://t.me/hasanrezagholi</v>
      </c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>
      <c r="A862" s="5"/>
      <c r="B862" s="5" t="str">
        <f>IFERROR(__xludf.DUMMYFUNCTION("""COMPUTED_VALUE"""),"مداح")</f>
        <v>مداح</v>
      </c>
      <c r="C862" s="5" t="str">
        <f>IFERROR(__xludf.DUMMYFUNCTION("""COMPUTED_VALUE"""),"ابراهیم رحیمی")</f>
        <v>ابراهیم رحیمی</v>
      </c>
      <c r="D862" s="5" t="str">
        <f>IFERROR(__xludf.DUMMYFUNCTION("""COMPUTED_VALUE"""),"تهران")</f>
        <v>تهران</v>
      </c>
      <c r="E862" s="5"/>
      <c r="F862" s="5"/>
      <c r="G862" s="5"/>
      <c r="H862" s="6" t="str">
        <f>IFERROR(__xludf.DUMMYFUNCTION("""COMPUTED_VALUE"""),"https://www.instagram.com/ebrahim__rahiimi/")</f>
        <v>https://www.instagram.com/ebrahim__rahiimi/</v>
      </c>
      <c r="I862" s="6" t="str">
        <f>IFERROR(__xludf.DUMMYFUNCTION("""COMPUTED_VALUE"""),"https://t.me/heiat_delsokhtegan")</f>
        <v>https://t.me/heiat_delsokhtegan</v>
      </c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>
      <c r="A863" s="5"/>
      <c r="B863" s="5" t="str">
        <f>IFERROR(__xludf.DUMMYFUNCTION("""COMPUTED_VALUE"""),"مداح")</f>
        <v>مداح</v>
      </c>
      <c r="C863" s="5" t="str">
        <f>IFERROR(__xludf.DUMMYFUNCTION("""COMPUTED_VALUE"""),"حسین ایزدخواه")</f>
        <v>حسین ایزدخواه</v>
      </c>
      <c r="D863" s="5" t="str">
        <f>IFERROR(__xludf.DUMMYFUNCTION("""COMPUTED_VALUE"""),"تهران")</f>
        <v>تهران</v>
      </c>
      <c r="E863" s="5"/>
      <c r="F863" s="5"/>
      <c r="G863" s="5"/>
      <c r="H863" s="6" t="str">
        <f>IFERROR(__xludf.DUMMYFUNCTION("""COMPUTED_VALUE"""),"https://www.instagram.com/hosein.izadkhah/")</f>
        <v>https://www.instagram.com/hosein.izadkhah/</v>
      </c>
      <c r="I863" s="6" t="str">
        <f>IFERROR(__xludf.DUMMYFUNCTION("""COMPUTED_VALUE"""),"https://t.me/hoseinizadkhah")</f>
        <v>https://t.me/hoseinizadkhah</v>
      </c>
      <c r="J863" s="6" t="str">
        <f>IFERROR(__xludf.DUMMYFUNCTION("""COMPUTED_VALUE"""),"http://eitaa.com/hoseine")</f>
        <v>http://eitaa.com/hoseine</v>
      </c>
      <c r="K863" s="5"/>
      <c r="L863" s="5"/>
      <c r="M863" s="5"/>
      <c r="N863" s="5"/>
      <c r="O863" s="5"/>
      <c r="P863" s="5"/>
      <c r="Q863" s="5"/>
      <c r="R863" s="5"/>
      <c r="S863" s="5"/>
    </row>
    <row r="864">
      <c r="A864" s="5">
        <f>IFERROR(__xludf.DUMMYFUNCTION("""COMPUTED_VALUE"""),2.2456837E7)</f>
        <v>22456837</v>
      </c>
      <c r="B864" s="5" t="str">
        <f>IFERROR(__xludf.DUMMYFUNCTION("""COMPUTED_VALUE"""),"مداح")</f>
        <v>مداح</v>
      </c>
      <c r="C864" s="5" t="str">
        <f>IFERROR(__xludf.DUMMYFUNCTION("""COMPUTED_VALUE"""),"حسین طاهری")</f>
        <v>حسین طاهری</v>
      </c>
      <c r="D864" s="5" t="str">
        <f>IFERROR(__xludf.DUMMYFUNCTION("""COMPUTED_VALUE"""),"تهران")</f>
        <v>تهران</v>
      </c>
      <c r="E864" s="5"/>
      <c r="F864" s="5"/>
      <c r="G864" s="5"/>
      <c r="H864" s="5"/>
      <c r="I864" s="5"/>
      <c r="J864" s="6" t="str">
        <f>IFERROR(__xludf.DUMMYFUNCTION("""COMPUTED_VALUE"""),"https://eitaa.com/karbalaihoseintaheri")</f>
        <v>https://eitaa.com/karbalaihoseintaheri</v>
      </c>
      <c r="K864" s="5"/>
      <c r="L864" s="5"/>
      <c r="M864" s="5"/>
      <c r="N864" s="5"/>
      <c r="O864" s="5"/>
      <c r="P864" s="5"/>
      <c r="Q864" s="5"/>
      <c r="R864" s="5"/>
      <c r="S864" s="5"/>
    </row>
    <row r="865">
      <c r="A865" s="5"/>
      <c r="B865" s="5" t="str">
        <f>IFERROR(__xludf.DUMMYFUNCTION("""COMPUTED_VALUE"""),"مداح")</f>
        <v>مداح</v>
      </c>
      <c r="C865" s="5" t="str">
        <f>IFERROR(__xludf.DUMMYFUNCTION("""COMPUTED_VALUE"""),"حسین طاهری")</f>
        <v>حسین طاهری</v>
      </c>
      <c r="D865" s="5" t="str">
        <f>IFERROR(__xludf.DUMMYFUNCTION("""COMPUTED_VALUE"""),"تهران")</f>
        <v>تهران</v>
      </c>
      <c r="E865" s="5"/>
      <c r="F865" s="5"/>
      <c r="G865" s="5"/>
      <c r="H865" s="6" t="str">
        <f>IFERROR(__xludf.DUMMYFUNCTION("""COMPUTED_VALUE"""),"https://www.instagram.com/hoseintaheri")</f>
        <v>https://www.instagram.com/hoseintaheri</v>
      </c>
      <c r="I865" s="6" t="str">
        <f>IFERROR(__xludf.DUMMYFUNCTION("""COMPUTED_VALUE"""),"https://t.me/hoseintaheri_telegram")</f>
        <v>https://t.me/hoseintaheri_telegram</v>
      </c>
      <c r="J865" s="6" t="str">
        <f>IFERROR(__xludf.DUMMYFUNCTION("""COMPUTED_VALUE"""),"https://eitaa.com/hoseintaheri213")</f>
        <v>https://eitaa.com/hoseintaheri213</v>
      </c>
      <c r="K865" s="5"/>
      <c r="L865" s="5"/>
      <c r="M865" s="5"/>
      <c r="N865" s="5"/>
      <c r="O865" s="5"/>
      <c r="P865" s="5"/>
      <c r="Q865" s="5"/>
      <c r="R865" s="5"/>
      <c r="S865" s="5"/>
    </row>
    <row r="866">
      <c r="A866" s="5"/>
      <c r="B866" s="5" t="str">
        <f>IFERROR(__xludf.DUMMYFUNCTION("""COMPUTED_VALUE"""),"مداح")</f>
        <v>مداح</v>
      </c>
      <c r="C866" s="5" t="str">
        <f>IFERROR(__xludf.DUMMYFUNCTION("""COMPUTED_VALUE"""),"جواد مقدم")</f>
        <v>جواد مقدم</v>
      </c>
      <c r="D866" s="5" t="str">
        <f>IFERROR(__xludf.DUMMYFUNCTION("""COMPUTED_VALUE"""),"تهران")</f>
        <v>تهران</v>
      </c>
      <c r="E866" s="5"/>
      <c r="F866" s="5"/>
      <c r="G866" s="5"/>
      <c r="H866" s="6" t="str">
        <f>IFERROR(__xludf.DUMMYFUNCTION("""COMPUTED_VALUE"""),"https://www.instagram.com/javadmoghadam.rasmi")</f>
        <v>https://www.instagram.com/javadmoghadam.rasmi</v>
      </c>
      <c r="I866" s="6" t="str">
        <f>IFERROR(__xludf.DUMMYFUNCTION("""COMPUTED_VALUE"""),"https://t.me/javadmoghadamrasmi")</f>
        <v>https://t.me/javadmoghadamrasmi</v>
      </c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>
      <c r="A867" s="5"/>
      <c r="B867" s="5" t="str">
        <f>IFERROR(__xludf.DUMMYFUNCTION("""COMPUTED_VALUE"""),"مداح")</f>
        <v>مداح</v>
      </c>
      <c r="C867" s="5" t="str">
        <f>IFERROR(__xludf.DUMMYFUNCTION("""COMPUTED_VALUE"""),"محمد عطایی نیا")</f>
        <v>محمد عطایی نیا</v>
      </c>
      <c r="D867" s="5" t="str">
        <f>IFERROR(__xludf.DUMMYFUNCTION("""COMPUTED_VALUE"""),"تهران")</f>
        <v>تهران</v>
      </c>
      <c r="E867" s="5"/>
      <c r="F867" s="5"/>
      <c r="G867" s="5"/>
      <c r="H867" s="6" t="str">
        <f>IFERROR(__xludf.DUMMYFUNCTION("""COMPUTED_VALUE"""),"https://www.instagram.com/mohammad_ataieniya216/")</f>
        <v>https://www.instagram.com/mohammad_ataieniya216/</v>
      </c>
      <c r="I867" s="6" t="str">
        <f>IFERROR(__xludf.DUMMYFUNCTION("""COMPUTED_VALUE"""),"https://t.me/K_ataieniya315")</f>
        <v>https://t.me/K_ataieniya315</v>
      </c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>
      <c r="A868" s="5"/>
      <c r="B868" s="5" t="str">
        <f>IFERROR(__xludf.DUMMYFUNCTION("""COMPUTED_VALUE"""),"مداح")</f>
        <v>مداح</v>
      </c>
      <c r="C868" s="5" t="str">
        <f>IFERROR(__xludf.DUMMYFUNCTION("""COMPUTED_VALUE"""),"اکبر عبادی")</f>
        <v>اکبر عبادی</v>
      </c>
      <c r="D868" s="5" t="str">
        <f>IFERROR(__xludf.DUMMYFUNCTION("""COMPUTED_VALUE"""),"تهران")</f>
        <v>تهران</v>
      </c>
      <c r="E868" s="5"/>
      <c r="F868" s="5"/>
      <c r="G868" s="5"/>
      <c r="H868" s="6" t="str">
        <f>IFERROR(__xludf.DUMMYFUNCTION("""COMPUTED_VALUE"""),"https://www.instagram.com/akbar___ebadi/")</f>
        <v>https://www.instagram.com/akbar___ebadi/</v>
      </c>
      <c r="I868" s="6" t="str">
        <f>IFERROR(__xludf.DUMMYFUNCTION("""COMPUTED_VALUE"""),"https://t.me/karbalaei_akbar_ebadi")</f>
        <v>https://t.me/karbalaei_akbar_ebadi</v>
      </c>
      <c r="J868" s="6" t="str">
        <f>IFERROR(__xludf.DUMMYFUNCTION("""COMPUTED_VALUE"""),"https://eitaa.com/s/karbalaei_akbar_ebadi")</f>
        <v>https://eitaa.com/s/karbalaei_akbar_ebadi</v>
      </c>
      <c r="K868" s="5"/>
      <c r="L868" s="5"/>
      <c r="M868" s="5"/>
      <c r="N868" s="5"/>
      <c r="O868" s="5"/>
      <c r="P868" s="5"/>
      <c r="Q868" s="5"/>
      <c r="R868" s="5"/>
      <c r="S868" s="5"/>
    </row>
    <row r="869">
      <c r="A869" s="5"/>
      <c r="B869" s="5" t="str">
        <f>IFERROR(__xludf.DUMMYFUNCTION("""COMPUTED_VALUE"""),"مداح")</f>
        <v>مداح</v>
      </c>
      <c r="C869" s="5" t="str">
        <f>IFERROR(__xludf.DUMMYFUNCTION("""COMPUTED_VALUE"""),"مهرداد ملکی")</f>
        <v>مهرداد ملکی</v>
      </c>
      <c r="D869" s="5" t="str">
        <f>IFERROR(__xludf.DUMMYFUNCTION("""COMPUTED_VALUE"""),"تهران")</f>
        <v>تهران</v>
      </c>
      <c r="E869" s="5"/>
      <c r="F869" s="5"/>
      <c r="G869" s="5"/>
      <c r="H869" s="6" t="str">
        <f>IFERROR(__xludf.DUMMYFUNCTION("""COMPUTED_VALUE"""),"https://www.instagram.com/mehrdadmalekiofficial/")</f>
        <v>https://www.instagram.com/mehrdadmalekiofficial/</v>
      </c>
      <c r="I869" s="6" t="str">
        <f>IFERROR(__xludf.DUMMYFUNCTION("""COMPUTED_VALUE"""),"https://t.me/karbalaimehrdadmaleki")</f>
        <v>https://t.me/karbalaimehrdadmaleki</v>
      </c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>
      <c r="A870" s="5"/>
      <c r="B870" s="5" t="str">
        <f>IFERROR(__xludf.DUMMYFUNCTION("""COMPUTED_VALUE"""),"مداح")</f>
        <v>مداح</v>
      </c>
      <c r="C870" s="5" t="str">
        <f>IFERROR(__xludf.DUMMYFUNCTION("""COMPUTED_VALUE"""),"حیدر خمسه")</f>
        <v>حیدر خمسه</v>
      </c>
      <c r="D870" s="5" t="str">
        <f>IFERROR(__xludf.DUMMYFUNCTION("""COMPUTED_VALUE"""),"تهران")</f>
        <v>تهران</v>
      </c>
      <c r="E870" s="5"/>
      <c r="F870" s="5"/>
      <c r="G870" s="5"/>
      <c r="H870" s="6" t="str">
        <f>IFERROR(__xludf.DUMMYFUNCTION("""COMPUTED_VALUE"""),"https://www.instagram.com/heydar.khamsee")</f>
        <v>https://www.instagram.com/heydar.khamsee</v>
      </c>
      <c r="I870" s="6" t="str">
        <f>IFERROR(__xludf.DUMMYFUNCTION("""COMPUTED_VALUE"""),"https://t.me/khamseh110")</f>
        <v>https://t.me/khamseh110</v>
      </c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>
      <c r="A871" s="5"/>
      <c r="B871" s="5" t="str">
        <f>IFERROR(__xludf.DUMMYFUNCTION("""COMPUTED_VALUE"""),"مداح")</f>
        <v>مداح</v>
      </c>
      <c r="C871" s="5" t="str">
        <f>IFERROR(__xludf.DUMMYFUNCTION("""COMPUTED_VALUE"""),"حامد خمسه")</f>
        <v>حامد خمسه</v>
      </c>
      <c r="D871" s="5" t="str">
        <f>IFERROR(__xludf.DUMMYFUNCTION("""COMPUTED_VALUE"""),"تهران")</f>
        <v>تهران</v>
      </c>
      <c r="E871" s="5"/>
      <c r="F871" s="5"/>
      <c r="G871" s="5"/>
      <c r="H871" s="6" t="str">
        <f>IFERROR(__xludf.DUMMYFUNCTION("""COMPUTED_VALUE"""),"https://www.instagram.com/hamedkhamseh_official/")</f>
        <v>https://www.instagram.com/hamedkhamseh_official/</v>
      </c>
      <c r="I871" s="6" t="str">
        <f>IFERROR(__xludf.DUMMYFUNCTION("""COMPUTED_VALUE"""),"https://t.me/khamseh128")</f>
        <v>https://t.me/khamseh128</v>
      </c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>
      <c r="A872" s="5"/>
      <c r="B872" s="5" t="str">
        <f>IFERROR(__xludf.DUMMYFUNCTION("""COMPUTED_VALUE"""),"مداح")</f>
        <v>مداح</v>
      </c>
      <c r="C872" s="5" t="str">
        <f>IFERROR(__xludf.DUMMYFUNCTION("""COMPUTED_VALUE"""),"مهدی رعنایی")</f>
        <v>مهدی رعنایی</v>
      </c>
      <c r="D872" s="5" t="str">
        <f>IFERROR(__xludf.DUMMYFUNCTION("""COMPUTED_VALUE"""),"تهران")</f>
        <v>تهران</v>
      </c>
      <c r="E872" s="5"/>
      <c r="F872" s="5"/>
      <c r="G872" s="5"/>
      <c r="H872" s="6" t="str">
        <f>IFERROR(__xludf.DUMMYFUNCTION("""COMPUTED_VALUE"""),"https://www.instagram.com/mahdii_ranaee/")</f>
        <v>https://www.instagram.com/mahdii_ranaee/</v>
      </c>
      <c r="I872" s="6" t="str">
        <f>IFERROR(__xludf.DUMMYFUNCTION("""COMPUTED_VALUE"""),"https://t.me/Mahdii_ranaee")</f>
        <v>https://t.me/Mahdii_ranaee</v>
      </c>
      <c r="J872" s="5"/>
      <c r="K872" s="5"/>
      <c r="L872" s="6" t="str">
        <f>IFERROR(__xludf.DUMMYFUNCTION("""COMPUTED_VALUE"""),"https://heydariioon.com/")</f>
        <v>https://heydariioon.com/</v>
      </c>
      <c r="M872" s="5"/>
      <c r="N872" s="5"/>
      <c r="O872" s="5"/>
      <c r="P872" s="5"/>
      <c r="Q872" s="5"/>
      <c r="R872" s="5"/>
      <c r="S872" s="5"/>
    </row>
    <row r="873">
      <c r="A873" s="5"/>
      <c r="B873" s="5" t="str">
        <f>IFERROR(__xludf.DUMMYFUNCTION("""COMPUTED_VALUE"""),"مداح")</f>
        <v>مداح</v>
      </c>
      <c r="C873" s="5" t="str">
        <f>IFERROR(__xludf.DUMMYFUNCTION("""COMPUTED_VALUE"""),"حسین عیدی")</f>
        <v>حسین عیدی</v>
      </c>
      <c r="D873" s="5" t="str">
        <f>IFERROR(__xludf.DUMMYFUNCTION("""COMPUTED_VALUE"""),"تهران")</f>
        <v>تهران</v>
      </c>
      <c r="E873" s="5"/>
      <c r="F873" s="5"/>
      <c r="G873" s="5"/>
      <c r="H873" s="6" t="str">
        <f>IFERROR(__xludf.DUMMYFUNCTION("""COMPUTED_VALUE"""),"https://www.instagram.com/hossein_eidi201/")</f>
        <v>https://www.instagram.com/hossein_eidi201/</v>
      </c>
      <c r="I873" s="6" t="str">
        <f>IFERROR(__xludf.DUMMYFUNCTION("""COMPUTED_VALUE"""),"https://t.me/mazlum128")</f>
        <v>https://t.me/mazlum128</v>
      </c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>
      <c r="A874" s="5"/>
      <c r="B874" s="5" t="str">
        <f>IFERROR(__xludf.DUMMYFUNCTION("""COMPUTED_VALUE"""),"مداح")</f>
        <v>مداح</v>
      </c>
      <c r="C874" s="5" t="str">
        <f>IFERROR(__xludf.DUMMYFUNCTION("""COMPUTED_VALUE"""),"میثم مطیعی")</f>
        <v>میثم مطیعی</v>
      </c>
      <c r="D874" s="5" t="str">
        <f>IFERROR(__xludf.DUMMYFUNCTION("""COMPUTED_VALUE"""),"تهران")</f>
        <v>تهران</v>
      </c>
      <c r="E874" s="5"/>
      <c r="F874" s="5"/>
      <c r="G874" s="5"/>
      <c r="H874" s="6" t="str">
        <f>IFERROR(__xludf.DUMMYFUNCTION("""COMPUTED_VALUE"""),"https://www.instagram.com/meysammotiee")</f>
        <v>https://www.instagram.com/meysammotiee</v>
      </c>
      <c r="I874" s="6" t="str">
        <f>IFERROR(__xludf.DUMMYFUNCTION("""COMPUTED_VALUE"""),"https://t.me/MeysamMotiee")</f>
        <v>https://t.me/MeysamMotiee</v>
      </c>
      <c r="J874" s="6" t="str">
        <f>IFERROR(__xludf.DUMMYFUNCTION("""COMPUTED_VALUE"""),"https://eitaa.com/MeysamMotiee")</f>
        <v>https://eitaa.com/MeysamMotiee</v>
      </c>
      <c r="K874" s="6" t="str">
        <f>IFERROR(__xludf.DUMMYFUNCTION("""COMPUTED_VALUE"""),"https://www.youtube.com/@Meysam.Motiee")</f>
        <v>https://www.youtube.com/@Meysam.Motiee</v>
      </c>
      <c r="L874" s="6" t="str">
        <f>IFERROR(__xludf.DUMMYFUNCTION("""COMPUTED_VALUE"""),"https://meysammotiee.ir/")</f>
        <v>https://meysammotiee.ir/</v>
      </c>
      <c r="M874" s="5"/>
      <c r="N874" s="5"/>
      <c r="O874" s="5"/>
      <c r="P874" s="5"/>
      <c r="Q874" s="5"/>
      <c r="R874" s="5"/>
      <c r="S874" s="5"/>
    </row>
    <row r="875">
      <c r="A875" s="5"/>
      <c r="B875" s="5" t="str">
        <f>IFERROR(__xludf.DUMMYFUNCTION("""COMPUTED_VALUE"""),"مداح")</f>
        <v>مداح</v>
      </c>
      <c r="C875" s="5" t="str">
        <f>IFERROR(__xludf.DUMMYFUNCTION("""COMPUTED_VALUE"""),"محمد حسین پویانفر")</f>
        <v>محمد حسین پویانفر</v>
      </c>
      <c r="D875" s="5" t="str">
        <f>IFERROR(__xludf.DUMMYFUNCTION("""COMPUTED_VALUE"""),"تهران")</f>
        <v>تهران</v>
      </c>
      <c r="E875" s="5"/>
      <c r="F875" s="5"/>
      <c r="G875" s="5"/>
      <c r="H875" s="6" t="str">
        <f>IFERROR(__xludf.DUMMYFUNCTION("""COMPUTED_VALUE"""),"https://www.instagram.com/mhpooyanfar")</f>
        <v>https://www.instagram.com/mhpooyanfar</v>
      </c>
      <c r="I875" s="6" t="str">
        <f>IFERROR(__xludf.DUMMYFUNCTION("""COMPUTED_VALUE"""),"https://t.me/mhpooyanfar")</f>
        <v>https://t.me/mhpooyanfar</v>
      </c>
      <c r="J875" s="6" t="str">
        <f>IFERROR(__xludf.DUMMYFUNCTION("""COMPUTED_VALUE"""),"https://eitaa.com/mhpooyanfar")</f>
        <v>https://eitaa.com/mhpooyanfar</v>
      </c>
      <c r="K875" s="6" t="str">
        <f>IFERROR(__xludf.DUMMYFUNCTION("""COMPUTED_VALUE"""),"https://www.youtube.com/@mhpooyanfar")</f>
        <v>https://www.youtube.com/@mhpooyanfar</v>
      </c>
      <c r="L875" s="5"/>
      <c r="M875" s="5"/>
      <c r="N875" s="5"/>
      <c r="O875" s="5"/>
      <c r="P875" s="5"/>
      <c r="Q875" s="5"/>
      <c r="R875" s="5"/>
      <c r="S875" s="5"/>
    </row>
    <row r="876">
      <c r="A876" s="5"/>
      <c r="B876" s="5" t="str">
        <f>IFERROR(__xludf.DUMMYFUNCTION("""COMPUTED_VALUE"""),"مداح")</f>
        <v>مداح</v>
      </c>
      <c r="C876" s="5" t="str">
        <f>IFERROR(__xludf.DUMMYFUNCTION("""COMPUTED_VALUE"""),"محسن عراقی")</f>
        <v>محسن عراقی</v>
      </c>
      <c r="D876" s="5" t="str">
        <f>IFERROR(__xludf.DUMMYFUNCTION("""COMPUTED_VALUE"""),"تهران")</f>
        <v>تهران</v>
      </c>
      <c r="E876" s="5"/>
      <c r="F876" s="5"/>
      <c r="G876" s="5"/>
      <c r="H876" s="6" t="str">
        <f>IFERROR(__xludf.DUMMYFUNCTION("""COMPUTED_VALUE"""),"https://www.instagram.com/karbalaie_mohsen_araghiii/")</f>
        <v>https://www.instagram.com/karbalaie_mohsen_araghiii/</v>
      </c>
      <c r="I876" s="6" t="str">
        <f>IFERROR(__xludf.DUMMYFUNCTION("""COMPUTED_VALUE"""),"https://t.me/mohsenaraghi")</f>
        <v>https://t.me/mohsenaraghi</v>
      </c>
      <c r="J876" s="6" t="str">
        <f>IFERROR(__xludf.DUMMYFUNCTION("""COMPUTED_VALUE"""),"https://www.instagram.com/mohsenaraghiofficial/")</f>
        <v>https://www.instagram.com/mohsenaraghiofficial/</v>
      </c>
      <c r="K876" s="5"/>
      <c r="L876" s="5"/>
      <c r="M876" s="5"/>
      <c r="N876" s="5"/>
      <c r="O876" s="5"/>
      <c r="P876" s="5"/>
      <c r="Q876" s="5"/>
      <c r="R876" s="5"/>
      <c r="S876" s="5"/>
    </row>
    <row r="877">
      <c r="A877" s="5"/>
      <c r="B877" s="5" t="str">
        <f>IFERROR(__xludf.DUMMYFUNCTION("""COMPUTED_VALUE"""),"مداح")</f>
        <v>مداح</v>
      </c>
      <c r="C877" s="5" t="str">
        <f>IFERROR(__xludf.DUMMYFUNCTION("""COMPUTED_VALUE"""),"محمدرضا علیخانی")</f>
        <v>محمدرضا علیخانی</v>
      </c>
      <c r="D877" s="5" t="str">
        <f>IFERROR(__xludf.DUMMYFUNCTION("""COMPUTED_VALUE"""),"تهران")</f>
        <v>تهران</v>
      </c>
      <c r="E877" s="5"/>
      <c r="F877" s="5"/>
      <c r="G877" s="5"/>
      <c r="H877" s="6" t="str">
        <f>IFERROR(__xludf.DUMMYFUNCTION("""COMPUTED_VALUE"""),"https://www.instagram.com/mohammadreza.alikhanii/")</f>
        <v>https://www.instagram.com/mohammadreza.alikhanii/</v>
      </c>
      <c r="I877" s="6" t="str">
        <f>IFERROR(__xludf.DUMMYFUNCTION("""COMPUTED_VALUE"""),"https://t.me/momamadrezaalikhani")</f>
        <v>https://t.me/momamadrezaalikhani</v>
      </c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>
      <c r="A878" s="5"/>
      <c r="B878" s="5" t="str">
        <f>IFERROR(__xludf.DUMMYFUNCTION("""COMPUTED_VALUE"""),"مداح")</f>
        <v>مداح</v>
      </c>
      <c r="C878" s="5" t="str">
        <f>IFERROR(__xludf.DUMMYFUNCTION("""COMPUTED_VALUE"""),"مهدی توکلی")</f>
        <v>مهدی توکلی</v>
      </c>
      <c r="D878" s="5" t="str">
        <f>IFERROR(__xludf.DUMMYFUNCTION("""COMPUTED_VALUE"""),"تهران")</f>
        <v>تهران</v>
      </c>
      <c r="E878" s="5"/>
      <c r="F878" s="5"/>
      <c r="G878" s="5"/>
      <c r="H878" s="6" t="str">
        <f>IFERROR(__xludf.DUMMYFUNCTION("""COMPUTED_VALUE"""),"https://www.instagram.com/mooezeh.ir/")</f>
        <v>https://www.instagram.com/mooezeh.ir/</v>
      </c>
      <c r="I878" s="6" t="str">
        <f>IFERROR(__xludf.DUMMYFUNCTION("""COMPUTED_VALUE"""),"https://t.me/mooezeh")</f>
        <v>https://t.me/mooezeh</v>
      </c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>
      <c r="A879" s="5"/>
      <c r="B879" s="5" t="str">
        <f>IFERROR(__xludf.DUMMYFUNCTION("""COMPUTED_VALUE"""),"مداح")</f>
        <v>مداح</v>
      </c>
      <c r="C879" s="5" t="str">
        <f>IFERROR(__xludf.DUMMYFUNCTION("""COMPUTED_VALUE"""),"مرتضی خادمی")</f>
        <v>مرتضی خادمی</v>
      </c>
      <c r="D879" s="5" t="str">
        <f>IFERROR(__xludf.DUMMYFUNCTION("""COMPUTED_VALUE"""),"تهران")</f>
        <v>تهران</v>
      </c>
      <c r="E879" s="5"/>
      <c r="F879" s="5"/>
      <c r="G879" s="5"/>
      <c r="H879" s="6" t="str">
        <f>IFERROR(__xludf.DUMMYFUNCTION("""COMPUTED_VALUE"""),"https://www.instagram.com/morteza_khademi315/")</f>
        <v>https://www.instagram.com/morteza_khademi315/</v>
      </c>
      <c r="I879" s="6" t="str">
        <f>IFERROR(__xludf.DUMMYFUNCTION("""COMPUTED_VALUE"""),"https://t.me/morteza_khademi110")</f>
        <v>https://t.me/morteza_khademi110</v>
      </c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>
      <c r="A880" s="5"/>
      <c r="B880" s="5" t="str">
        <f>IFERROR(__xludf.DUMMYFUNCTION("""COMPUTED_VALUE"""),"مداح")</f>
        <v>مداح</v>
      </c>
      <c r="C880" s="5" t="str">
        <f>IFERROR(__xludf.DUMMYFUNCTION("""COMPUTED_VALUE"""),"محمدرضا نوشه ور")</f>
        <v>محمدرضا نوشه ور</v>
      </c>
      <c r="D880" s="5" t="str">
        <f>IFERROR(__xludf.DUMMYFUNCTION("""COMPUTED_VALUE"""),"تهران")</f>
        <v>تهران</v>
      </c>
      <c r="E880" s="5"/>
      <c r="F880" s="5"/>
      <c r="G880" s="5"/>
      <c r="H880" s="6" t="str">
        <f>IFERROR(__xludf.DUMMYFUNCTION("""COMPUTED_VALUE"""),"https://www.instagram.com/nooshevar/")</f>
        <v>https://www.instagram.com/nooshevar/</v>
      </c>
      <c r="I880" s="6" t="str">
        <f>IFERROR(__xludf.DUMMYFUNCTION("""COMPUTED_VALUE"""),"https://t.me/nooshevar")</f>
        <v>https://t.me/nooshevar</v>
      </c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>
      <c r="A881" s="5"/>
      <c r="B881" s="5" t="str">
        <f>IFERROR(__xludf.DUMMYFUNCTION("""COMPUTED_VALUE"""),"مداح")</f>
        <v>مداح</v>
      </c>
      <c r="C881" s="5" t="str">
        <f>IFERROR(__xludf.DUMMYFUNCTION("""COMPUTED_VALUE"""),"حسن خلج")</f>
        <v>حسن خلج</v>
      </c>
      <c r="D881" s="5" t="str">
        <f>IFERROR(__xludf.DUMMYFUNCTION("""COMPUTED_VALUE"""),"تهران")</f>
        <v>تهران</v>
      </c>
      <c r="E881" s="5"/>
      <c r="F881" s="5"/>
      <c r="G881" s="5"/>
      <c r="H881" s="6" t="str">
        <f>IFERROR(__xludf.DUMMYFUNCTION("""COMPUTED_VALUE"""),"https://www.instagram.com/h_khalaj")</f>
        <v>https://www.instagram.com/h_khalaj</v>
      </c>
      <c r="I881" s="6" t="str">
        <f>IFERROR(__xludf.DUMMYFUNCTION("""COMPUTED_VALUE"""),"https://t.me/norolboka")</f>
        <v>https://t.me/norolboka</v>
      </c>
      <c r="J881" s="6" t="str">
        <f>IFERROR(__xludf.DUMMYFUNCTION("""COMPUTED_VALUE"""),"https://eitaa.com/norolboka")</f>
        <v>https://eitaa.com/norolboka</v>
      </c>
      <c r="K881" s="5"/>
      <c r="L881" s="6" t="str">
        <f>IFERROR(__xludf.DUMMYFUNCTION("""COMPUTED_VALUE"""),"https://norolboka.ir/")</f>
        <v>https://norolboka.ir/</v>
      </c>
      <c r="M881" s="5"/>
      <c r="N881" s="5"/>
      <c r="O881" s="5"/>
      <c r="P881" s="5"/>
      <c r="Q881" s="5"/>
      <c r="R881" s="5"/>
      <c r="S881" s="5"/>
    </row>
    <row r="882">
      <c r="A882" s="5"/>
      <c r="B882" s="5" t="str">
        <f>IFERROR(__xludf.DUMMYFUNCTION("""COMPUTED_VALUE"""),"مداح")</f>
        <v>مداح</v>
      </c>
      <c r="C882" s="5" t="str">
        <f>IFERROR(__xludf.DUMMYFUNCTION("""COMPUTED_VALUE"""),"پیام کیانی")</f>
        <v>پیام کیانی</v>
      </c>
      <c r="D882" s="5" t="str">
        <f>IFERROR(__xludf.DUMMYFUNCTION("""COMPUTED_VALUE"""),"تهران")</f>
        <v>تهران</v>
      </c>
      <c r="E882" s="5"/>
      <c r="F882" s="5"/>
      <c r="G882" s="5"/>
      <c r="H882" s="6" t="str">
        <f>IFERROR(__xludf.DUMMYFUNCTION("""COMPUTED_VALUE"""),"https://www.instagram.com/payamkiyani.205/")</f>
        <v>https://www.instagram.com/payamkiyani.205/</v>
      </c>
      <c r="I882" s="6" t="str">
        <f>IFERROR(__xludf.DUMMYFUNCTION("""COMPUTED_VALUE"""),"https://t.me/payamkiyani")</f>
        <v>https://t.me/payamkiyani</v>
      </c>
      <c r="J882" s="6" t="str">
        <f>IFERROR(__xludf.DUMMYFUNCTION("""COMPUTED_VALUE"""),"https://eitaa.com/Payamkiyani_eitaa")</f>
        <v>https://eitaa.com/Payamkiyani_eitaa</v>
      </c>
      <c r="K882" s="6" t="str">
        <f>IFERROR(__xludf.DUMMYFUNCTION("""COMPUTED_VALUE"""),"https://www.youtube.com/@payamkiani")</f>
        <v>https://www.youtube.com/@payamkiani</v>
      </c>
      <c r="L882" s="5"/>
      <c r="M882" s="5"/>
      <c r="N882" s="5"/>
      <c r="O882" s="5"/>
      <c r="P882" s="5"/>
      <c r="Q882" s="5"/>
      <c r="R882" s="5"/>
      <c r="S882" s="5"/>
    </row>
    <row r="883">
      <c r="A883" s="5"/>
      <c r="B883" s="5" t="str">
        <f>IFERROR(__xludf.DUMMYFUNCTION("""COMPUTED_VALUE"""),"مداح")</f>
        <v>مداح</v>
      </c>
      <c r="C883" s="5" t="str">
        <f>IFERROR(__xludf.DUMMYFUNCTION("""COMPUTED_VALUE"""),"محمد کمیل")</f>
        <v>محمد کمیل</v>
      </c>
      <c r="D883" s="5" t="str">
        <f>IFERROR(__xludf.DUMMYFUNCTION("""COMPUTED_VALUE"""),"تهران")</f>
        <v>تهران</v>
      </c>
      <c r="E883" s="5"/>
      <c r="F883" s="5"/>
      <c r="G883" s="5"/>
      <c r="H883" s="6" t="str">
        <f>IFERROR(__xludf.DUMMYFUNCTION("""COMPUTED_VALUE"""),"https://www.instagram.com/komeil128/")</f>
        <v>https://www.instagram.com/komeil128/</v>
      </c>
      <c r="I883" s="6" t="str">
        <f>IFERROR(__xludf.DUMMYFUNCTION("""COMPUTED_VALUE"""),"https://t.me/ravaq")</f>
        <v>https://t.me/ravaq</v>
      </c>
      <c r="J883" s="6" t="str">
        <f>IFERROR(__xludf.DUMMYFUNCTION("""COMPUTED_VALUE"""),"https://eitaa.com/ravaq_eitaa")</f>
        <v>https://eitaa.com/ravaq_eitaa</v>
      </c>
      <c r="K883" s="6" t="str">
        <f>IFERROR(__xludf.DUMMYFUNCTION("""COMPUTED_VALUE"""),"https://www.instagram.com/mohamadkomeil_official/")</f>
        <v>https://www.instagram.com/mohamadkomeil_official/</v>
      </c>
      <c r="L883" s="5"/>
      <c r="M883" s="5"/>
      <c r="N883" s="5"/>
      <c r="O883" s="5"/>
      <c r="P883" s="5"/>
      <c r="Q883" s="5"/>
      <c r="R883" s="5"/>
      <c r="S883" s="5"/>
    </row>
    <row r="884">
      <c r="A884" s="5"/>
      <c r="B884" s="5" t="str">
        <f>IFERROR(__xludf.DUMMYFUNCTION("""COMPUTED_VALUE"""),"مداح")</f>
        <v>مداح</v>
      </c>
      <c r="C884" s="5" t="str">
        <f>IFERROR(__xludf.DUMMYFUNCTION("""COMPUTED_VALUE"""),"روح الله بهمنی")</f>
        <v>روح الله بهمنی</v>
      </c>
      <c r="D884" s="5" t="str">
        <f>IFERROR(__xludf.DUMMYFUNCTION("""COMPUTED_VALUE"""),"تهران")</f>
        <v>تهران</v>
      </c>
      <c r="E884" s="5"/>
      <c r="F884" s="5"/>
      <c r="G884" s="5"/>
      <c r="H884" s="6" t="str">
        <f>IFERROR(__xludf.DUMMYFUNCTION("""COMPUTED_VALUE"""),"https://www.instagram.com/rohollahbahmani/")</f>
        <v>https://www.instagram.com/rohollahbahmani/</v>
      </c>
      <c r="I884" s="6" t="str">
        <f>IFERROR(__xludf.DUMMYFUNCTION("""COMPUTED_VALUE"""),"https://t.me/rohollahbahmani")</f>
        <v>https://t.me/rohollahbahmani</v>
      </c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>
      <c r="A885" s="5"/>
      <c r="B885" s="5" t="str">
        <f>IFERROR(__xludf.DUMMYFUNCTION("""COMPUTED_VALUE"""),"مداح")</f>
        <v>مداح</v>
      </c>
      <c r="C885" s="5" t="str">
        <f>IFERROR(__xludf.DUMMYFUNCTION("""COMPUTED_VALUE"""),"مهدی مبینی پور")</f>
        <v>مهدی مبینی پور</v>
      </c>
      <c r="D885" s="5" t="str">
        <f>IFERROR(__xludf.DUMMYFUNCTION("""COMPUTED_VALUE"""),"تهران")</f>
        <v>تهران</v>
      </c>
      <c r="E885" s="5"/>
      <c r="F885" s="5"/>
      <c r="G885" s="5"/>
      <c r="H885" s="6" t="str">
        <f>IFERROR(__xludf.DUMMYFUNCTION("""COMPUTED_VALUE"""),"https://www.instagram.com/mahdi_mobini_poor/")</f>
        <v>https://www.instagram.com/mahdi_mobini_poor/</v>
      </c>
      <c r="I885" s="6" t="str">
        <f>IFERROR(__xludf.DUMMYFUNCTION("""COMPUTED_VALUE"""),"https://t.me/rozeh135")</f>
        <v>https://t.me/rozeh135</v>
      </c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>
      <c r="A886" s="5"/>
      <c r="B886" s="5" t="str">
        <f>IFERROR(__xludf.DUMMYFUNCTION("""COMPUTED_VALUE"""),"مداح")</f>
        <v>مداح</v>
      </c>
      <c r="C886" s="5" t="str">
        <f>IFERROR(__xludf.DUMMYFUNCTION("""COMPUTED_VALUE"""),"سجاد محمدی")</f>
        <v>سجاد محمدی</v>
      </c>
      <c r="D886" s="5" t="str">
        <f>IFERROR(__xludf.DUMMYFUNCTION("""COMPUTED_VALUE"""),"تهران")</f>
        <v>تهران</v>
      </c>
      <c r="E886" s="5"/>
      <c r="F886" s="5"/>
      <c r="G886" s="5"/>
      <c r="H886" s="6" t="str">
        <f>IFERROR(__xludf.DUMMYFUNCTION("""COMPUTED_VALUE"""),"https://www.instagram.com/sajjad_mohammadii/")</f>
        <v>https://www.instagram.com/sajjad_mohammadii/</v>
      </c>
      <c r="I886" s="6" t="str">
        <f>IFERROR(__xludf.DUMMYFUNCTION("""COMPUTED_VALUE"""),"https://t.me/saajjad_mohammadi")</f>
        <v>https://t.me/saajjad_mohammadi</v>
      </c>
      <c r="J886" s="5" t="str">
        <f>IFERROR(__xludf.DUMMYFUNCTION("""COMPUTED_VALUE"""),"ایتا - کانال رسمی کربلایی سجاد محمدی")</f>
        <v>ایتا - کانال رسمی کربلایی سجاد محمدی</v>
      </c>
      <c r="K886" s="6" t="str">
        <f>IFERROR(__xludf.DUMMYFUNCTION("""COMPUTED_VALUE"""),"https://www.youtube.com/@sajjadmohammadi1")</f>
        <v>https://www.youtube.com/@sajjadmohammadi1</v>
      </c>
      <c r="L886" s="5"/>
      <c r="M886" s="5"/>
      <c r="N886" s="5"/>
      <c r="O886" s="5"/>
      <c r="P886" s="5"/>
      <c r="Q886" s="5"/>
      <c r="R886" s="5"/>
      <c r="S886" s="5"/>
    </row>
    <row r="887">
      <c r="A887" s="5"/>
      <c r="B887" s="5" t="str">
        <f>IFERROR(__xludf.DUMMYFUNCTION("""COMPUTED_VALUE"""),"مداح")</f>
        <v>مداح</v>
      </c>
      <c r="C887" s="5" t="str">
        <f>IFERROR(__xludf.DUMMYFUNCTION("""COMPUTED_VALUE"""),"احسان صفری")</f>
        <v>احسان صفری</v>
      </c>
      <c r="D887" s="5" t="str">
        <f>IFERROR(__xludf.DUMMYFUNCTION("""COMPUTED_VALUE"""),"تهران")</f>
        <v>تهران</v>
      </c>
      <c r="E887" s="5"/>
      <c r="F887" s="5"/>
      <c r="G887" s="5"/>
      <c r="H887" s="6" t="str">
        <f>IFERROR(__xludf.DUMMYFUNCTION("""COMPUTED_VALUE"""),"https://www.instagram.com/ehsansafari.ir/")</f>
        <v>https://www.instagram.com/ehsansafari.ir/</v>
      </c>
      <c r="I887" s="6" t="str">
        <f>IFERROR(__xludf.DUMMYFUNCTION("""COMPUTED_VALUE"""),"https://t.me/safari_ehsan")</f>
        <v>https://t.me/safari_ehsan</v>
      </c>
      <c r="J887" s="6" t="str">
        <f>IFERROR(__xludf.DUMMYFUNCTION("""COMPUTED_VALUE"""),"https://eitaa.com/ehsan_safarii123")</f>
        <v>https://eitaa.com/ehsan_safarii123</v>
      </c>
      <c r="K887" s="5"/>
      <c r="L887" s="5"/>
      <c r="M887" s="5"/>
      <c r="N887" s="5"/>
      <c r="O887" s="5"/>
      <c r="P887" s="5"/>
      <c r="Q887" s="5"/>
      <c r="R887" s="5"/>
      <c r="S887" s="5"/>
    </row>
    <row r="888">
      <c r="A888" s="5"/>
      <c r="B888" s="5" t="str">
        <f>IFERROR(__xludf.DUMMYFUNCTION("""COMPUTED_VALUE"""),"مداح")</f>
        <v>مداح</v>
      </c>
      <c r="C888" s="5" t="str">
        <f>IFERROR(__xludf.DUMMYFUNCTION("""COMPUTED_VALUE"""),"سید امیر حسینی")</f>
        <v>سید امیر حسینی</v>
      </c>
      <c r="D888" s="5" t="str">
        <f>IFERROR(__xludf.DUMMYFUNCTION("""COMPUTED_VALUE"""),"تهران")</f>
        <v>تهران</v>
      </c>
      <c r="E888" s="5"/>
      <c r="F888" s="5"/>
      <c r="G888" s="5"/>
      <c r="H888" s="6" t="str">
        <f>IFERROR(__xludf.DUMMYFUNCTION("""COMPUTED_VALUE"""),"https://www.instagram.com/seyyedamirhoseini/")</f>
        <v>https://www.instagram.com/seyyedamirhoseini/</v>
      </c>
      <c r="I888" s="6" t="str">
        <f>IFERROR(__xludf.DUMMYFUNCTION("""COMPUTED_VALUE"""),"https://t.me/sameh6969")</f>
        <v>https://t.me/sameh6969</v>
      </c>
      <c r="J888" s="6" t="str">
        <f>IFERROR(__xludf.DUMMYFUNCTION("""COMPUTED_VALUE"""),"https://www.instagram.com/seyyedamirhoseini_official/")</f>
        <v>https://www.instagram.com/seyyedamirhoseini_official/</v>
      </c>
      <c r="K888" s="5"/>
      <c r="L888" s="5"/>
      <c r="M888" s="5"/>
      <c r="N888" s="5"/>
      <c r="O888" s="5"/>
      <c r="P888" s="5"/>
      <c r="Q888" s="5"/>
      <c r="R888" s="5"/>
      <c r="S888" s="5"/>
    </row>
    <row r="889">
      <c r="A889" s="5"/>
      <c r="B889" s="5" t="str">
        <f>IFERROR(__xludf.DUMMYFUNCTION("""COMPUTED_VALUE"""),"مداح")</f>
        <v>مداح</v>
      </c>
      <c r="C889" s="5" t="str">
        <f>IFERROR(__xludf.DUMMYFUNCTION("""COMPUTED_VALUE"""),"ابوالفضل بختیاری")</f>
        <v>ابوالفضل بختیاری</v>
      </c>
      <c r="D889" s="5" t="str">
        <f>IFERROR(__xludf.DUMMYFUNCTION("""COMPUTED_VALUE"""),"تهران")</f>
        <v>تهران</v>
      </c>
      <c r="E889" s="5"/>
      <c r="F889" s="5"/>
      <c r="G889" s="5"/>
      <c r="H889" s="6" t="str">
        <f>IFERROR(__xludf.DUMMYFUNCTION("""COMPUTED_VALUE"""),"https://www.instagram.com/abolfazl.bakhtiyari/")</f>
        <v>https://www.instagram.com/abolfazl.bakhtiyari/</v>
      </c>
      <c r="I889" s="6" t="str">
        <f>IFERROR(__xludf.DUMMYFUNCTION("""COMPUTED_VALUE"""),"https://t.me/serajalhosein")</f>
        <v>https://t.me/serajalhosein</v>
      </c>
      <c r="J889" s="6" t="str">
        <f>IFERROR(__xludf.DUMMYFUNCTION("""COMPUTED_VALUE"""),"https://www.instagram.com/serajalhosein/")</f>
        <v>https://www.instagram.com/serajalhosein/</v>
      </c>
      <c r="K889" s="5"/>
      <c r="L889" s="5"/>
      <c r="M889" s="5"/>
      <c r="N889" s="5"/>
      <c r="O889" s="5"/>
      <c r="P889" s="5"/>
      <c r="Q889" s="5"/>
      <c r="R889" s="5"/>
      <c r="S889" s="5"/>
    </row>
    <row r="890">
      <c r="A890" s="5"/>
      <c r="B890" s="5" t="str">
        <f>IFERROR(__xludf.DUMMYFUNCTION("""COMPUTED_VALUE"""),"مداح")</f>
        <v>مداح</v>
      </c>
      <c r="C890" s="5" t="str">
        <f>IFERROR(__xludf.DUMMYFUNCTION("""COMPUTED_VALUE"""),"سید حجت بحرالعلومی طباطبایی")</f>
        <v>سید حجت بحرالعلومی طباطبایی</v>
      </c>
      <c r="D890" s="5" t="str">
        <f>IFERROR(__xludf.DUMMYFUNCTION("""COMPUTED_VALUE"""),"تهران")</f>
        <v>تهران</v>
      </c>
      <c r="E890" s="5"/>
      <c r="F890" s="5"/>
      <c r="G890" s="5"/>
      <c r="H890" s="6" t="str">
        <f>IFERROR(__xludf.DUMMYFUNCTION("""COMPUTED_VALUE"""),"https://www.instagram.com/seyedhojjat/")</f>
        <v>https://www.instagram.com/seyedhojjat/</v>
      </c>
      <c r="I890" s="6" t="str">
        <f>IFERROR(__xludf.DUMMYFUNCTION("""COMPUTED_VALUE"""),"https://t.me/seyedhojjat128")</f>
        <v>https://t.me/seyedhojjat128</v>
      </c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>
      <c r="A891" s="5"/>
      <c r="B891" s="5" t="str">
        <f>IFERROR(__xludf.DUMMYFUNCTION("""COMPUTED_VALUE"""),"مداح")</f>
        <v>مداح</v>
      </c>
      <c r="C891" s="5" t="str">
        <f>IFERROR(__xludf.DUMMYFUNCTION("""COMPUTED_VALUE"""),"سید محمدرضا حسینی")</f>
        <v>سید محمدرضا حسینی</v>
      </c>
      <c r="D891" s="5" t="str">
        <f>IFERROR(__xludf.DUMMYFUNCTION("""COMPUTED_VALUE"""),"تهران")</f>
        <v>تهران</v>
      </c>
      <c r="E891" s="5"/>
      <c r="F891" s="5"/>
      <c r="G891" s="5"/>
      <c r="H891" s="6" t="str">
        <f>IFERROR(__xludf.DUMMYFUNCTION("""COMPUTED_VALUE"""),"https://www.instagram.com/s.mohammadreza_hoseini/")</f>
        <v>https://www.instagram.com/s.mohammadreza_hoseini/</v>
      </c>
      <c r="I891" s="6" t="str">
        <f>IFERROR(__xludf.DUMMYFUNCTION("""COMPUTED_VALUE"""),"https://t.me/Seyedmohamadreza_hoseini")</f>
        <v>https://t.me/Seyedmohamadreza_hoseini</v>
      </c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>
      <c r="A892" s="5"/>
      <c r="B892" s="5" t="str">
        <f>IFERROR(__xludf.DUMMYFUNCTION("""COMPUTED_VALUE"""),"مداح")</f>
        <v>مداح</v>
      </c>
      <c r="C892" s="5" t="str">
        <f>IFERROR(__xludf.DUMMYFUNCTION("""COMPUTED_VALUE"""),"سید مهدی حسینی")</f>
        <v>سید مهدی حسینی</v>
      </c>
      <c r="D892" s="5" t="str">
        <f>IFERROR(__xludf.DUMMYFUNCTION("""COMPUTED_VALUE"""),"تهران")</f>
        <v>تهران</v>
      </c>
      <c r="E892" s="5"/>
      <c r="F892" s="5"/>
      <c r="G892" s="5"/>
      <c r="H892" s="6" t="str">
        <f>IFERROR(__xludf.DUMMYFUNCTION("""COMPUTED_VALUE"""),"https://www.instagram.com/smahdi_hoseini/")</f>
        <v>https://www.instagram.com/smahdi_hoseini/</v>
      </c>
      <c r="I892" s="6" t="str">
        <f>IFERROR(__xludf.DUMMYFUNCTION("""COMPUTED_VALUE"""),"https://t.me/Smahdi_hoseini")</f>
        <v>https://t.me/Smahdi_hoseini</v>
      </c>
      <c r="J892" s="6" t="str">
        <f>IFERROR(__xludf.DUMMYFUNCTION("""COMPUTED_VALUE"""),"https://eitaa.com/smahdi_hoseini_eitaa")</f>
        <v>https://eitaa.com/smahdi_hoseini_eitaa</v>
      </c>
      <c r="K892" s="5"/>
      <c r="L892" s="5"/>
      <c r="M892" s="5"/>
      <c r="N892" s="5"/>
      <c r="O892" s="5"/>
      <c r="P892" s="5"/>
      <c r="Q892" s="5"/>
      <c r="R892" s="5"/>
      <c r="S892" s="5"/>
    </row>
    <row r="893">
      <c r="A893" s="5"/>
      <c r="B893" s="5" t="str">
        <f>IFERROR(__xludf.DUMMYFUNCTION("""COMPUTED_VALUE"""),"مداح")</f>
        <v>مداح</v>
      </c>
      <c r="C893" s="5" t="str">
        <f>IFERROR(__xludf.DUMMYFUNCTION("""COMPUTED_VALUE"""),"عباس طهماسب پور")</f>
        <v>عباس طهماسب پور</v>
      </c>
      <c r="D893" s="5" t="str">
        <f>IFERROR(__xludf.DUMMYFUNCTION("""COMPUTED_VALUE"""),"تهران")</f>
        <v>تهران</v>
      </c>
      <c r="E893" s="5"/>
      <c r="F893" s="5"/>
      <c r="G893" s="5"/>
      <c r="H893" s="6" t="str">
        <f>IFERROR(__xludf.DUMMYFUNCTION("""COMPUTED_VALUE"""),"https://www.instagram.com/tahmasbpour_abbas/")</f>
        <v>https://www.instagram.com/tahmasbpour_abbas/</v>
      </c>
      <c r="I893" s="6" t="str">
        <f>IFERROR(__xludf.DUMMYFUNCTION("""COMPUTED_VALUE"""),"https://t.me/tahmasbpour_ir")</f>
        <v>https://t.me/tahmasbpour_ir</v>
      </c>
      <c r="J893" s="6" t="str">
        <f>IFERROR(__xludf.DUMMYFUNCTION("""COMPUTED_VALUE"""),"https://eitaa.com/tahmasbpour_ir")</f>
        <v>https://eitaa.com/tahmasbpour_ir</v>
      </c>
      <c r="K893" s="5"/>
      <c r="L893" s="6" t="str">
        <f>IFERROR(__xludf.DUMMYFUNCTION("""COMPUTED_VALUE"""),"https://tahmasbpour.ir/")</f>
        <v>https://tahmasbpour.ir/</v>
      </c>
      <c r="M893" s="5"/>
      <c r="N893" s="5"/>
      <c r="O893" s="5"/>
      <c r="P893" s="5"/>
      <c r="Q893" s="5"/>
      <c r="R893" s="5"/>
      <c r="S893" s="5"/>
    </row>
    <row r="894">
      <c r="A894" s="5"/>
      <c r="B894" s="5" t="str">
        <f>IFERROR(__xludf.DUMMYFUNCTION("""COMPUTED_VALUE"""),"مداح")</f>
        <v>مداح</v>
      </c>
      <c r="C894" s="5" t="str">
        <f>IFERROR(__xludf.DUMMYFUNCTION("""COMPUTED_VALUE"""),"حسین سیب سرخی")</f>
        <v>حسین سیب سرخی</v>
      </c>
      <c r="D894" s="5" t="str">
        <f>IFERROR(__xludf.DUMMYFUNCTION("""COMPUTED_VALUE"""),"تهران")</f>
        <v>تهران</v>
      </c>
      <c r="E894" s="5"/>
      <c r="F894" s="5"/>
      <c r="G894" s="5"/>
      <c r="H894" s="6" t="str">
        <f>IFERROR(__xludf.DUMMYFUNCTION("""COMPUTED_VALUE"""),"https://www.instagram.com/sibsorkhi.official/")</f>
        <v>https://www.instagram.com/sibsorkhi.official/</v>
      </c>
      <c r="I894" s="6" t="str">
        <f>IFERROR(__xludf.DUMMYFUNCTION("""COMPUTED_VALUE"""),"https://www.instagram.com/sibsorkhi.clips/")</f>
        <v>https://www.instagram.com/sibsorkhi.clips/</v>
      </c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>
      <c r="A895" s="5"/>
      <c r="B895" s="5" t="str">
        <f>IFERROR(__xludf.DUMMYFUNCTION("""COMPUTED_VALUE"""),"مداح")</f>
        <v>مداح</v>
      </c>
      <c r="C895" s="5" t="str">
        <f>IFERROR(__xludf.DUMMYFUNCTION("""COMPUTED_VALUE"""),"منصور ارضی")</f>
        <v>منصور ارضی</v>
      </c>
      <c r="D895" s="5" t="str">
        <f>IFERROR(__xludf.DUMMYFUNCTION("""COMPUTED_VALUE"""),"تهران")</f>
        <v>تهران</v>
      </c>
      <c r="E895" s="5"/>
      <c r="F895" s="5"/>
      <c r="G895" s="5"/>
      <c r="H895" s="6" t="str">
        <f>IFERROR(__xludf.DUMMYFUNCTION("""COMPUTED_VALUE"""),"https://www.instagram.com/hajmansourarzi/")</f>
        <v>https://www.instagram.com/hajmansourarzi/</v>
      </c>
      <c r="I895" s="6" t="str">
        <f>IFERROR(__xludf.DUMMYFUNCTION("""COMPUTED_VALUE"""),"t.me/hajmansourarzi")</f>
        <v>t.me/hajmansourarzi</v>
      </c>
      <c r="J895" s="6" t="str">
        <f>IFERROR(__xludf.DUMMYFUNCTION("""COMPUTED_VALUE"""),"https://eitaa.com/hajmansourarzi")</f>
        <v>https://eitaa.com/hajmansourarzi</v>
      </c>
      <c r="K895" s="5"/>
      <c r="L895" s="5"/>
      <c r="M895" s="5"/>
      <c r="N895" s="5"/>
      <c r="O895" s="5"/>
      <c r="P895" s="5"/>
      <c r="Q895" s="5"/>
      <c r="R895" s="5"/>
      <c r="S895" s="5"/>
    </row>
    <row r="896">
      <c r="A896" s="5"/>
      <c r="B896" s="5" t="str">
        <f>IFERROR(__xludf.DUMMYFUNCTION("""COMPUTED_VALUE"""),"مداح")</f>
        <v>مداح</v>
      </c>
      <c r="C896" s="5" t="str">
        <f>IFERROR(__xludf.DUMMYFUNCTION("""COMPUTED_VALUE"""),"محمدرضا طاهری")</f>
        <v>محمدرضا طاهری</v>
      </c>
      <c r="D896" s="5" t="str">
        <f>IFERROR(__xludf.DUMMYFUNCTION("""COMPUTED_VALUE"""),"تهران")</f>
        <v>تهران</v>
      </c>
      <c r="E896" s="5"/>
      <c r="F896" s="5"/>
      <c r="G896" s="5"/>
      <c r="H896" s="5"/>
      <c r="I896" s="6" t="str">
        <f>IFERROR(__xludf.DUMMYFUNCTION("""COMPUTED_VALUE"""),"t.me/hajmohamadtaheri")</f>
        <v>t.me/hajmohamadtaheri</v>
      </c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>
      <c r="A897" s="5"/>
      <c r="B897" s="5" t="str">
        <f>IFERROR(__xludf.DUMMYFUNCTION("""COMPUTED_VALUE"""),"مداح")</f>
        <v>مداح</v>
      </c>
      <c r="C897" s="5" t="str">
        <f>IFERROR(__xludf.DUMMYFUNCTION("""COMPUTED_VALUE"""),"سعید حدادیان")</f>
        <v>سعید حدادیان</v>
      </c>
      <c r="D897" s="5" t="str">
        <f>IFERROR(__xludf.DUMMYFUNCTION("""COMPUTED_VALUE"""),"تهران")</f>
        <v>تهران</v>
      </c>
      <c r="E897" s="5"/>
      <c r="F897" s="5"/>
      <c r="G897" s="5"/>
      <c r="H897" s="6" t="str">
        <f>IFERROR(__xludf.DUMMYFUNCTION("""COMPUTED_VALUE"""),"https://www.instagram.com/hajsaeidhadadian/")</f>
        <v>https://www.instagram.com/hajsaeidhadadian/</v>
      </c>
      <c r="I897" s="6" t="str">
        <f>IFERROR(__xludf.DUMMYFUNCTION("""COMPUTED_VALUE"""),"t.me/heiat_razmandegan")</f>
        <v>t.me/heiat_razmandegan</v>
      </c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>
      <c r="A898" s="5"/>
      <c r="B898" s="5" t="str">
        <f>IFERROR(__xludf.DUMMYFUNCTION("""COMPUTED_VALUE"""),"مداح")</f>
        <v>مداح</v>
      </c>
      <c r="C898" s="5" t="str">
        <f>IFERROR(__xludf.DUMMYFUNCTION("""COMPUTED_VALUE"""),"عبدالرضا هلالی")</f>
        <v>عبدالرضا هلالی</v>
      </c>
      <c r="D898" s="5" t="str">
        <f>IFERROR(__xludf.DUMMYFUNCTION("""COMPUTED_VALUE"""),"تهران")</f>
        <v>تهران</v>
      </c>
      <c r="E898" s="5"/>
      <c r="F898" s="5"/>
      <c r="G898" s="5"/>
      <c r="H898" s="6" t="str">
        <f>IFERROR(__xludf.DUMMYFUNCTION("""COMPUTED_VALUE"""),"https://www.instagram.com/rezahelaliofficial")</f>
        <v>https://www.instagram.com/rezahelaliofficial</v>
      </c>
      <c r="I898" s="6" t="str">
        <f>IFERROR(__xludf.DUMMYFUNCTION("""COMPUTED_VALUE"""),"t.me/helaliabdolreza")</f>
        <v>t.me/helaliabdolreza</v>
      </c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>
      <c r="A899" s="5"/>
      <c r="B899" s="5" t="str">
        <f>IFERROR(__xludf.DUMMYFUNCTION("""COMPUTED_VALUE"""),"مداح")</f>
        <v>مداح</v>
      </c>
      <c r="C899" s="5" t="str">
        <f>IFERROR(__xludf.DUMMYFUNCTION("""COMPUTED_VALUE"""),"حسین ستوده")</f>
        <v>حسین ستوده</v>
      </c>
      <c r="D899" s="5" t="str">
        <f>IFERROR(__xludf.DUMMYFUNCTION("""COMPUTED_VALUE"""),"تهران")</f>
        <v>تهران</v>
      </c>
      <c r="E899" s="5"/>
      <c r="F899" s="5"/>
      <c r="G899" s="5"/>
      <c r="H899" s="6" t="str">
        <f>IFERROR(__xludf.DUMMYFUNCTION("""COMPUTED_VALUE"""),"https://www.instagram.com/hosein.sotoodeh/")</f>
        <v>https://www.instagram.com/hosein.sotoodeh/</v>
      </c>
      <c r="I899" s="6" t="str">
        <f>IFERROR(__xludf.DUMMYFUNCTION("""COMPUTED_VALUE"""),"t.me/hoseinsotude")</f>
        <v>t.me/hoseinsotude</v>
      </c>
      <c r="J899" s="5"/>
      <c r="K899" s="6" t="str">
        <f>IFERROR(__xludf.DUMMYFUNCTION("""COMPUTED_VALUE"""),"https://www.youtube.com/@HosseinSotoodeh1")</f>
        <v>https://www.youtube.com/@HosseinSotoodeh1</v>
      </c>
      <c r="L899" s="6" t="str">
        <f>IFERROR(__xludf.DUMMYFUNCTION("""COMPUTED_VALUE"""),"https://hoseinsotoodeh.ir/")</f>
        <v>https://hoseinsotoodeh.ir/</v>
      </c>
      <c r="M899" s="5"/>
      <c r="N899" s="5"/>
      <c r="O899" s="5"/>
      <c r="P899" s="5"/>
      <c r="Q899" s="5"/>
      <c r="R899" s="5"/>
      <c r="S899" s="5"/>
    </row>
    <row r="900">
      <c r="A900" s="5"/>
      <c r="B900" s="5" t="str">
        <f>IFERROR(__xludf.DUMMYFUNCTION("""COMPUTED_VALUE"""),"مداح")</f>
        <v>مداح</v>
      </c>
      <c r="C900" s="5" t="str">
        <f>IFERROR(__xludf.DUMMYFUNCTION("""COMPUTED_VALUE"""),"آرش پیله ور")</f>
        <v>آرش پیله ور</v>
      </c>
      <c r="D900" s="5" t="str">
        <f>IFERROR(__xludf.DUMMYFUNCTION("""COMPUTED_VALUE"""),"تهران")</f>
        <v>تهران</v>
      </c>
      <c r="E900" s="5"/>
      <c r="F900" s="5"/>
      <c r="G900" s="5"/>
      <c r="H900" s="6" t="str">
        <f>IFERROR(__xludf.DUMMYFUNCTION("""COMPUTED_VALUE"""),"https://www.instagram.com/arash.pilehvar/")</f>
        <v>https://www.instagram.com/arash.pilehvar/</v>
      </c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>
      <c r="A901" s="5"/>
      <c r="B901" s="5" t="str">
        <f>IFERROR(__xludf.DUMMYFUNCTION("""COMPUTED_VALUE"""),"مداح")</f>
        <v>مداح</v>
      </c>
      <c r="C901" s="5" t="str">
        <f>IFERROR(__xludf.DUMMYFUNCTION("""COMPUTED_VALUE"""),"احد قدمی")</f>
        <v>احد قدمی</v>
      </c>
      <c r="D901" s="5" t="str">
        <f>IFERROR(__xludf.DUMMYFUNCTION("""COMPUTED_VALUE"""),"تهران")</f>
        <v>تهران</v>
      </c>
      <c r="E901" s="5"/>
      <c r="F901" s="5"/>
      <c r="G901" s="5"/>
      <c r="H901" s="6" t="str">
        <f>IFERROR(__xludf.DUMMYFUNCTION("""COMPUTED_VALUE"""),"https://www.instagram.com/abdolahad.ghadami/")</f>
        <v>https://www.instagram.com/abdolahad.ghadami/</v>
      </c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>
      <c r="A902" s="5"/>
      <c r="B902" s="5" t="str">
        <f>IFERROR(__xludf.DUMMYFUNCTION("""COMPUTED_VALUE"""),"مداح")</f>
        <v>مداح</v>
      </c>
      <c r="C902" s="5" t="str">
        <f>IFERROR(__xludf.DUMMYFUNCTION("""COMPUTED_VALUE"""),"جواد پورعباسیان")</f>
        <v>جواد پورعباسیان</v>
      </c>
      <c r="D902" s="5" t="str">
        <f>IFERROR(__xludf.DUMMYFUNCTION("""COMPUTED_VALUE"""),"تهران")</f>
        <v>تهران</v>
      </c>
      <c r="E902" s="5"/>
      <c r="F902" s="5"/>
      <c r="G902" s="5"/>
      <c r="H902" s="6" t="str">
        <f>IFERROR(__xludf.DUMMYFUNCTION("""COMPUTED_VALUE"""),"https://www.instagram.com/tasooa.ir")</f>
        <v>https://www.instagram.com/tasooa.ir</v>
      </c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>
      <c r="A903" s="5"/>
      <c r="B903" s="5" t="str">
        <f>IFERROR(__xludf.DUMMYFUNCTION("""COMPUTED_VALUE"""),"مداح")</f>
        <v>مداح</v>
      </c>
      <c r="C903" s="5" t="str">
        <f>IFERROR(__xludf.DUMMYFUNCTION("""COMPUTED_VALUE"""),"جواد حیدری")</f>
        <v>جواد حیدری</v>
      </c>
      <c r="D903" s="5" t="str">
        <f>IFERROR(__xludf.DUMMYFUNCTION("""COMPUTED_VALUE"""),"تهران")</f>
        <v>تهران</v>
      </c>
      <c r="E903" s="5"/>
      <c r="F903" s="5"/>
      <c r="G903" s="5"/>
      <c r="H903" s="6" t="str">
        <f>IFERROR(__xludf.DUMMYFUNCTION("""COMPUTED_VALUE"""),"https://www.instagram.com/javadheydaari/")</f>
        <v>https://www.instagram.com/javadheydaari/</v>
      </c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>
      <c r="A904" s="5"/>
      <c r="B904" s="5" t="str">
        <f>IFERROR(__xludf.DUMMYFUNCTION("""COMPUTED_VALUE"""),"مداح")</f>
        <v>مداح</v>
      </c>
      <c r="C904" s="5" t="str">
        <f>IFERROR(__xludf.DUMMYFUNCTION("""COMPUTED_VALUE"""),"حمید دادوندی")</f>
        <v>حمید دادوندی</v>
      </c>
      <c r="D904" s="5" t="str">
        <f>IFERROR(__xludf.DUMMYFUNCTION("""COMPUTED_VALUE"""),"تهران")</f>
        <v>تهران</v>
      </c>
      <c r="E904" s="5"/>
      <c r="F904" s="5"/>
      <c r="G904" s="5"/>
      <c r="H904" s="6" t="str">
        <f>IFERROR(__xludf.DUMMYFUNCTION("""COMPUTED_VALUE"""),"https://www.instagram.com/hamid.dadvandi/")</f>
        <v>https://www.instagram.com/hamid.dadvandi/</v>
      </c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>
      <c r="A905" s="5"/>
      <c r="B905" s="5" t="str">
        <f>IFERROR(__xludf.DUMMYFUNCTION("""COMPUTED_VALUE"""),"مداح")</f>
        <v>مداح</v>
      </c>
      <c r="C905" s="5" t="str">
        <f>IFERROR(__xludf.DUMMYFUNCTION("""COMPUTED_VALUE"""),"حنیف طاهری")</f>
        <v>حنیف طاهری</v>
      </c>
      <c r="D905" s="5" t="str">
        <f>IFERROR(__xludf.DUMMYFUNCTION("""COMPUTED_VALUE"""),"تهران")</f>
        <v>تهران</v>
      </c>
      <c r="E905" s="5"/>
      <c r="F905" s="5"/>
      <c r="G905" s="5"/>
      <c r="H905" s="6" t="str">
        <f>IFERROR(__xludf.DUMMYFUNCTION("""COMPUTED_VALUE"""),"https://www.instagram.com/haniftaherii")</f>
        <v>https://www.instagram.com/haniftaherii</v>
      </c>
      <c r="I905" s="5"/>
      <c r="J905" s="5"/>
      <c r="K905" s="6" t="str">
        <f>IFERROR(__xludf.DUMMYFUNCTION("""COMPUTED_VALUE"""),"https://www.youtube.com/HanifTaheri")</f>
        <v>https://www.youtube.com/HanifTaheri</v>
      </c>
      <c r="L905" s="5"/>
      <c r="M905" s="5"/>
      <c r="N905" s="5"/>
      <c r="O905" s="5"/>
      <c r="P905" s="5"/>
      <c r="Q905" s="5"/>
      <c r="R905" s="5"/>
      <c r="S905" s="5"/>
    </row>
    <row r="906">
      <c r="A906" s="5"/>
      <c r="B906" s="5" t="str">
        <f>IFERROR(__xludf.DUMMYFUNCTION("""COMPUTED_VALUE"""),"مداح")</f>
        <v>مداح</v>
      </c>
      <c r="C906" s="5" t="str">
        <f>IFERROR(__xludf.DUMMYFUNCTION("""COMPUTED_VALUE"""),"سید علی مومنی")</f>
        <v>سید علی مومنی</v>
      </c>
      <c r="D906" s="5" t="str">
        <f>IFERROR(__xludf.DUMMYFUNCTION("""COMPUTED_VALUE"""),"تهران")</f>
        <v>تهران</v>
      </c>
      <c r="E906" s="5"/>
      <c r="F906" s="5"/>
      <c r="G906" s="5"/>
      <c r="H906" s="6" t="str">
        <f>IFERROR(__xludf.DUMMYFUNCTION("""COMPUTED_VALUE"""),"https://www.instagram.com/seyedali_momeni/")</f>
        <v>https://www.instagram.com/seyedali_momeni/</v>
      </c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>
      <c r="A907" s="5"/>
      <c r="B907" s="5" t="str">
        <f>IFERROR(__xludf.DUMMYFUNCTION("""COMPUTED_VALUE"""),"مداح")</f>
        <v>مداح</v>
      </c>
      <c r="C907" s="5" t="str">
        <f>IFERROR(__xludf.DUMMYFUNCTION("""COMPUTED_VALUE"""),"سید مجید بنی فاطمه")</f>
        <v>سید مجید بنی فاطمه</v>
      </c>
      <c r="D907" s="5" t="str">
        <f>IFERROR(__xludf.DUMMYFUNCTION("""COMPUTED_VALUE"""),"تهران")</f>
        <v>تهران</v>
      </c>
      <c r="E907" s="5"/>
      <c r="F907" s="5"/>
      <c r="G907" s="5"/>
      <c r="H907" s="6" t="str">
        <f>IFERROR(__xludf.DUMMYFUNCTION("""COMPUTED_VALUE"""),"https://www.instagram.com/banifatemeh/")</f>
        <v>https://www.instagram.com/banifatemeh/</v>
      </c>
      <c r="I907" s="5"/>
      <c r="J907" s="5"/>
      <c r="K907" s="6" t="str">
        <f>IFERROR(__xludf.DUMMYFUNCTION("""COMPUTED_VALUE"""),"https://www.youtube.com/@seyedmajidbanifatemeh6163")</f>
        <v>https://www.youtube.com/@seyedmajidbanifatemeh6163</v>
      </c>
      <c r="L907" s="5"/>
      <c r="M907" s="5"/>
      <c r="N907" s="5"/>
      <c r="O907" s="5"/>
      <c r="P907" s="5"/>
      <c r="Q907" s="5"/>
      <c r="R907" s="5"/>
      <c r="S907" s="5"/>
    </row>
    <row r="908">
      <c r="A908" s="5"/>
      <c r="B908" s="5" t="str">
        <f>IFERROR(__xludf.DUMMYFUNCTION("""COMPUTED_VALUE"""),"مداح")</f>
        <v>مداح</v>
      </c>
      <c r="C908" s="5" t="str">
        <f>IFERROR(__xludf.DUMMYFUNCTION("""COMPUTED_VALUE"""),"سید محمد جوادی")</f>
        <v>سید محمد جوادی</v>
      </c>
      <c r="D908" s="5" t="str">
        <f>IFERROR(__xludf.DUMMYFUNCTION("""COMPUTED_VALUE"""),"تهران")</f>
        <v>تهران</v>
      </c>
      <c r="E908" s="5"/>
      <c r="F908" s="5"/>
      <c r="G908" s="5"/>
      <c r="H908" s="6" t="str">
        <f>IFERROR(__xludf.DUMMYFUNCTION("""COMPUTED_VALUE"""),"https://www.instagram.com/seyed_mohamad_javadii/")</f>
        <v>https://www.instagram.com/seyed_mohamad_javadii/</v>
      </c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>
      <c r="A909" s="5"/>
      <c r="B909" s="5" t="str">
        <f>IFERROR(__xludf.DUMMYFUNCTION("""COMPUTED_VALUE"""),"مداح")</f>
        <v>مداح</v>
      </c>
      <c r="C909" s="5" t="str">
        <f>IFERROR(__xludf.DUMMYFUNCTION("""COMPUTED_VALUE"""),"سید محمود علوی")</f>
        <v>سید محمود علوی</v>
      </c>
      <c r="D909" s="5" t="str">
        <f>IFERROR(__xludf.DUMMYFUNCTION("""COMPUTED_VALUE"""),"تهران")</f>
        <v>تهران</v>
      </c>
      <c r="E909" s="5"/>
      <c r="F909" s="5"/>
      <c r="G909" s="5"/>
      <c r="H909" s="6" t="str">
        <f>IFERROR(__xludf.DUMMYFUNCTION("""COMPUTED_VALUE"""),"https://www.instagram.com/mahmmum_ir")</f>
        <v>https://www.instagram.com/mahmmum_ir</v>
      </c>
      <c r="I909" s="5"/>
      <c r="J909" s="6" t="str">
        <f>IFERROR(__xludf.DUMMYFUNCTION("""COMPUTED_VALUE"""),"https://eitaa.com/mahmum_ir")</f>
        <v>https://eitaa.com/mahmum_ir</v>
      </c>
      <c r="K909" s="5"/>
      <c r="L909" s="5"/>
      <c r="M909" s="5"/>
      <c r="N909" s="5"/>
      <c r="O909" s="5"/>
      <c r="P909" s="5"/>
      <c r="Q909" s="5"/>
      <c r="R909" s="5"/>
      <c r="S909" s="5"/>
    </row>
    <row r="910">
      <c r="A910" s="5"/>
      <c r="B910" s="5" t="str">
        <f>IFERROR(__xludf.DUMMYFUNCTION("""COMPUTED_VALUE"""),"مداح")</f>
        <v>مداح</v>
      </c>
      <c r="C910" s="5" t="str">
        <f>IFERROR(__xludf.DUMMYFUNCTION("""COMPUTED_VALUE"""),"علی اصغر ژولیده")</f>
        <v>علی اصغر ژولیده</v>
      </c>
      <c r="D910" s="5" t="str">
        <f>IFERROR(__xludf.DUMMYFUNCTION("""COMPUTED_VALUE"""),"تهران")</f>
        <v>تهران</v>
      </c>
      <c r="E910" s="5"/>
      <c r="F910" s="5"/>
      <c r="G910" s="5"/>
      <c r="H910" s="6" t="str">
        <f>IFERROR(__xludf.DUMMYFUNCTION("""COMPUTED_VALUE"""),"https://www.instagram.com/zhoolide/")</f>
        <v>https://www.instagram.com/zhoolide/</v>
      </c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>
      <c r="A911" s="5"/>
      <c r="B911" s="5" t="str">
        <f>IFERROR(__xludf.DUMMYFUNCTION("""COMPUTED_VALUE"""),"مداح")</f>
        <v>مداح</v>
      </c>
      <c r="C911" s="5" t="str">
        <f>IFERROR(__xludf.DUMMYFUNCTION("""COMPUTED_VALUE"""),"علی جهانبخش")</f>
        <v>علی جهانبخش</v>
      </c>
      <c r="D911" s="5" t="str">
        <f>IFERROR(__xludf.DUMMYFUNCTION("""COMPUTED_VALUE"""),"تهران")</f>
        <v>تهران</v>
      </c>
      <c r="E911" s="5"/>
      <c r="F911" s="5"/>
      <c r="G911" s="5"/>
      <c r="H911" s="6" t="str">
        <f>IFERROR(__xludf.DUMMYFUNCTION("""COMPUTED_VALUE"""),"https://www.instagram.com/alijahanbakhsh___/")</f>
        <v>https://www.instagram.com/alijahanbakhsh___/</v>
      </c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>
      <c r="A912" s="5"/>
      <c r="B912" s="5" t="str">
        <f>IFERROR(__xludf.DUMMYFUNCTION("""COMPUTED_VALUE"""),"مداح")</f>
        <v>مداح</v>
      </c>
      <c r="C912" s="5" t="str">
        <f>IFERROR(__xludf.DUMMYFUNCTION("""COMPUTED_VALUE"""),"علی علیان")</f>
        <v>علی علیان</v>
      </c>
      <c r="D912" s="5" t="str">
        <f>IFERROR(__xludf.DUMMYFUNCTION("""COMPUTED_VALUE"""),"تهران")</f>
        <v>تهران</v>
      </c>
      <c r="E912" s="5"/>
      <c r="F912" s="5"/>
      <c r="G912" s="5"/>
      <c r="H912" s="6" t="str">
        <f>IFERROR(__xludf.DUMMYFUNCTION("""COMPUTED_VALUE"""),"https://www.instagram.com/ali_aliyan315/")</f>
        <v>https://www.instagram.com/ali_aliyan315/</v>
      </c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>
      <c r="A913" s="5"/>
      <c r="B913" s="5" t="str">
        <f>IFERROR(__xludf.DUMMYFUNCTION("""COMPUTED_VALUE"""),"مداح")</f>
        <v>مداح</v>
      </c>
      <c r="C913" s="5" t="str">
        <f>IFERROR(__xludf.DUMMYFUNCTION("""COMPUTED_VALUE"""),"محسن طاهری")</f>
        <v>محسن طاهری</v>
      </c>
      <c r="D913" s="5" t="str">
        <f>IFERROR(__xludf.DUMMYFUNCTION("""COMPUTED_VALUE"""),"تهران")</f>
        <v>تهران</v>
      </c>
      <c r="E913" s="5"/>
      <c r="F913" s="5"/>
      <c r="G913" s="5"/>
      <c r="H913" s="6" t="str">
        <f>IFERROR(__xludf.DUMMYFUNCTION("""COMPUTED_VALUE"""),"https://www.instagram.com/hajmohsentaheri.official")</f>
        <v>https://www.instagram.com/hajmohsentaheri.official</v>
      </c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>
      <c r="A914" s="5"/>
      <c r="B914" s="5" t="str">
        <f>IFERROR(__xludf.DUMMYFUNCTION("""COMPUTED_VALUE"""),"مداح")</f>
        <v>مداح</v>
      </c>
      <c r="C914" s="5" t="str">
        <f>IFERROR(__xludf.DUMMYFUNCTION("""COMPUTED_VALUE"""),"محمدجواد اکبری")</f>
        <v>محمدجواد اکبری</v>
      </c>
      <c r="D914" s="5" t="str">
        <f>IFERROR(__xludf.DUMMYFUNCTION("""COMPUTED_VALUE"""),"تهران")</f>
        <v>تهران</v>
      </c>
      <c r="E914" s="5"/>
      <c r="F914" s="5"/>
      <c r="G914" s="5"/>
      <c r="H914" s="6" t="str">
        <f>IFERROR(__xludf.DUMMYFUNCTION("""COMPUTED_VALUE"""),"https://www.instagram.com/mohamadjavadakbari69/")</f>
        <v>https://www.instagram.com/mohamadjavadakbari69/</v>
      </c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>
      <c r="A915" s="5"/>
      <c r="B915" s="5" t="str">
        <f>IFERROR(__xludf.DUMMYFUNCTION("""COMPUTED_VALUE"""),"مداح")</f>
        <v>مداح</v>
      </c>
      <c r="C915" s="5" t="str">
        <f>IFERROR(__xludf.DUMMYFUNCTION("""COMPUTED_VALUE"""),"محمدحسین فیضی")</f>
        <v>محمدحسین فیضی</v>
      </c>
      <c r="D915" s="5" t="str">
        <f>IFERROR(__xludf.DUMMYFUNCTION("""COMPUTED_VALUE"""),"تهران")</f>
        <v>تهران</v>
      </c>
      <c r="E915" s="5"/>
      <c r="F915" s="5"/>
      <c r="G915" s="5"/>
      <c r="H915" s="6" t="str">
        <f>IFERROR(__xludf.DUMMYFUNCTION("""COMPUTED_VALUE"""),"https://www.instagram.com/mohammad.hasan.feizi/")</f>
        <v>https://www.instagram.com/mohammad.hasan.feizi/</v>
      </c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>
      <c r="A916" s="5"/>
      <c r="B916" s="5" t="str">
        <f>IFERROR(__xludf.DUMMYFUNCTION("""COMPUTED_VALUE"""),"مداح")</f>
        <v>مداح</v>
      </c>
      <c r="C916" s="5" t="str">
        <f>IFERROR(__xludf.DUMMYFUNCTION("""COMPUTED_VALUE"""),"مرتضی طاهری")</f>
        <v>مرتضی طاهری</v>
      </c>
      <c r="D916" s="5" t="str">
        <f>IFERROR(__xludf.DUMMYFUNCTION("""COMPUTED_VALUE"""),"تهران")</f>
        <v>تهران</v>
      </c>
      <c r="E916" s="5"/>
      <c r="F916" s="5"/>
      <c r="G916" s="5"/>
      <c r="H916" s="6" t="str">
        <f>IFERROR(__xludf.DUMMYFUNCTION("""COMPUTED_VALUE"""),"https://www.instagram.com/mortezataheri110/")</f>
        <v>https://www.instagram.com/mortezataheri110/</v>
      </c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>
      <c r="A917" s="5"/>
      <c r="B917" s="5" t="str">
        <f>IFERROR(__xludf.DUMMYFUNCTION("""COMPUTED_VALUE"""),"مداح")</f>
        <v>مداح</v>
      </c>
      <c r="C917" s="5" t="str">
        <f>IFERROR(__xludf.DUMMYFUNCTION("""COMPUTED_VALUE"""),"مرحوم حسین بختیاری")</f>
        <v>مرحوم حسین بختیاری</v>
      </c>
      <c r="D917" s="5" t="str">
        <f>IFERROR(__xludf.DUMMYFUNCTION("""COMPUTED_VALUE"""),"تهران")</f>
        <v>تهران</v>
      </c>
      <c r="E917" s="5"/>
      <c r="F917" s="5"/>
      <c r="G917" s="5"/>
      <c r="H917" s="6" t="str">
        <f>IFERROR(__xludf.DUMMYFUNCTION("""COMPUTED_VALUE"""),"https://www.instagram.com/hoseyn_bakhtyari_313/")</f>
        <v>https://www.instagram.com/hoseyn_bakhtyari_313/</v>
      </c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>
      <c r="A918" s="5"/>
      <c r="B918" s="5" t="str">
        <f>IFERROR(__xludf.DUMMYFUNCTION("""COMPUTED_VALUE"""),"مداح")</f>
        <v>مداح</v>
      </c>
      <c r="C918" s="5" t="str">
        <f>IFERROR(__xludf.DUMMYFUNCTION("""COMPUTED_VALUE"""),"نریمان پناهی")</f>
        <v>نریمان پناهی</v>
      </c>
      <c r="D918" s="5" t="str">
        <f>IFERROR(__xludf.DUMMYFUNCTION("""COMPUTED_VALUE"""),"تهران")</f>
        <v>تهران</v>
      </c>
      <c r="E918" s="5"/>
      <c r="F918" s="5"/>
      <c r="G918" s="5"/>
      <c r="H918" s="6" t="str">
        <f>IFERROR(__xludf.DUMMYFUNCTION("""COMPUTED_VALUE"""),"https://www.instagram.com/nariman__panahi")</f>
        <v>https://www.instagram.com/nariman__panahi</v>
      </c>
      <c r="I918" s="5"/>
      <c r="J918" s="5"/>
      <c r="K918" s="6" t="str">
        <f>IFERROR(__xludf.DUMMYFUNCTION("""COMPUTED_VALUE"""),"https://www.youtube.com/@nariman__panahi")</f>
        <v>https://www.youtube.com/@nariman__panahi</v>
      </c>
      <c r="L918" s="5"/>
      <c r="M918" s="5"/>
      <c r="N918" s="5"/>
      <c r="O918" s="5"/>
      <c r="P918" s="5"/>
      <c r="Q918" s="5"/>
      <c r="R918" s="5"/>
      <c r="S918" s="5"/>
    </row>
    <row r="919">
      <c r="A919" s="5"/>
      <c r="B919" s="5" t="str">
        <f>IFERROR(__xludf.DUMMYFUNCTION("""COMPUTED_VALUE"""),"منبری")</f>
        <v>منبری</v>
      </c>
      <c r="C919" s="5" t="str">
        <f>IFERROR(__xludf.DUMMYFUNCTION("""COMPUTED_VALUE"""),"سیدمحمدباقر علوی تهرانی")</f>
        <v>سیدمحمدباقر علوی تهرانی</v>
      </c>
      <c r="D919" s="5" t="str">
        <f>IFERROR(__xludf.DUMMYFUNCTION("""COMPUTED_VALUE"""),"تهران")</f>
        <v>تهران</v>
      </c>
      <c r="E919" s="5"/>
      <c r="F919" s="5" t="str">
        <f>IFERROR(__xludf.DUMMYFUNCTION("""COMPUTED_VALUE"""),"مسجد امیر")</f>
        <v>مسجد امیر</v>
      </c>
      <c r="G919" s="5"/>
      <c r="H919" s="6" t="str">
        <f>IFERROR(__xludf.DUMMYFUNCTION("""COMPUTED_VALUE"""),"https://www.instagram.com/alavitehrani_ir/")</f>
        <v>https://www.instagram.com/alavitehrani_ir/</v>
      </c>
      <c r="I919" s="6" t="str">
        <f>IFERROR(__xludf.DUMMYFUNCTION("""COMPUTED_VALUE"""),"https://t.me/fares_ir")</f>
        <v>https://t.me/fares_ir</v>
      </c>
      <c r="J919" s="6" t="str">
        <f>IFERROR(__xludf.DUMMYFUNCTION("""COMPUTED_VALUE"""),"https://eitaa.com/Fares_ir")</f>
        <v>https://eitaa.com/Fares_ir</v>
      </c>
      <c r="K919" s="5"/>
      <c r="L919" s="6" t="str">
        <f>IFERROR(__xludf.DUMMYFUNCTION("""COMPUTED_VALUE"""),"https://www.Fares.ir")</f>
        <v>https://www.Fares.ir</v>
      </c>
      <c r="M919" s="5"/>
      <c r="N919" s="5"/>
      <c r="O919" s="5"/>
      <c r="P919" s="5"/>
      <c r="Q919" s="5"/>
      <c r="R919" s="5"/>
      <c r="S919" s="5"/>
    </row>
    <row r="920">
      <c r="A920" s="5"/>
      <c r="B920" s="5" t="str">
        <f>IFERROR(__xludf.DUMMYFUNCTION("""COMPUTED_VALUE"""),"منبری")</f>
        <v>منبری</v>
      </c>
      <c r="C920" s="5" t="str">
        <f>IFERROR(__xludf.DUMMYFUNCTION("""COMPUTED_VALUE"""),"محمد تقی فیاض بخش")</f>
        <v>محمد تقی فیاض بخش</v>
      </c>
      <c r="D920" s="5" t="str">
        <f>IFERROR(__xludf.DUMMYFUNCTION("""COMPUTED_VALUE"""),"تهران")</f>
        <v>تهران</v>
      </c>
      <c r="E920" s="5"/>
      <c r="F920" s="5"/>
      <c r="G920" s="5"/>
      <c r="H920" s="6" t="str">
        <f>IFERROR(__xludf.DUMMYFUNCTION("""COMPUTED_VALUE"""),"https://www.instagram.com/fayyazbakhsh_org/")</f>
        <v>https://www.instagram.com/fayyazbakhsh_org/</v>
      </c>
      <c r="I920" s="6" t="str">
        <f>IFERROR(__xludf.DUMMYFUNCTION("""COMPUTED_VALUE"""),"https://t.me/Jelvehnooralavi")</f>
        <v>https://t.me/Jelvehnooralavi</v>
      </c>
      <c r="J920" s="6" t="str">
        <f>IFERROR(__xludf.DUMMYFUNCTION("""COMPUTED_VALUE"""),"https://eitaa.com/Jelvehnooralavi")</f>
        <v>https://eitaa.com/Jelvehnooralavi</v>
      </c>
      <c r="K920" s="6" t="str">
        <f>IFERROR(__xludf.DUMMYFUNCTION("""COMPUTED_VALUE"""),"https://ble.ir/Jelvehnooralavi")</f>
        <v>https://ble.ir/Jelvehnooralavi</v>
      </c>
      <c r="L920" s="6" t="str">
        <f>IFERROR(__xludf.DUMMYFUNCTION("""COMPUTED_VALUE"""),"https://www.jelveh.org/")</f>
        <v>https://www.jelveh.org/</v>
      </c>
      <c r="M920" s="5"/>
      <c r="N920" s="5"/>
      <c r="O920" s="5"/>
      <c r="P920" s="5"/>
      <c r="Q920" s="5"/>
      <c r="R920" s="5"/>
      <c r="S920" s="5"/>
    </row>
    <row r="921">
      <c r="A921" s="5"/>
      <c r="B921" s="5" t="str">
        <f>IFERROR(__xludf.DUMMYFUNCTION("""COMPUTED_VALUE"""),"منبری")</f>
        <v>منبری</v>
      </c>
      <c r="C921" s="5" t="str">
        <f>IFERROR(__xludf.DUMMYFUNCTION("""COMPUTED_VALUE"""),"حامد کاشانی")</f>
        <v>حامد کاشانی</v>
      </c>
      <c r="D921" s="5" t="str">
        <f>IFERROR(__xludf.DUMMYFUNCTION("""COMPUTED_VALUE"""),"تهران")</f>
        <v>تهران</v>
      </c>
      <c r="E921" s="5"/>
      <c r="F921" s="5"/>
      <c r="G921" s="5"/>
      <c r="H921" s="6" t="str">
        <f>IFERROR(__xludf.DUMMYFUNCTION("""COMPUTED_VALUE"""),"https://www.instagram.com/hamedkashani__/")</f>
        <v>https://www.instagram.com/hamedkashani__/</v>
      </c>
      <c r="I921" s="6" t="str">
        <f>IFERROR(__xludf.DUMMYFUNCTION("""COMPUTED_VALUE"""),"https://t.me/kashani1395")</f>
        <v>https://t.me/kashani1395</v>
      </c>
      <c r="J921" s="6" t="str">
        <f>IFERROR(__xludf.DUMMYFUNCTION("""COMPUTED_VALUE"""),"https://eitaa.com/kashani1395")</f>
        <v>https://eitaa.com/kashani1395</v>
      </c>
      <c r="K921" s="6" t="str">
        <f>IFERROR(__xludf.DUMMYFUNCTION("""COMPUTED_VALUE"""),"https://www.youtube.com/@kashani1395")</f>
        <v>https://www.youtube.com/@kashani1395</v>
      </c>
      <c r="L921" s="6" t="str">
        <f>IFERROR(__xludf.DUMMYFUNCTION("""COMPUTED_VALUE"""),"https://ble.ir/kashani1395")</f>
        <v>https://ble.ir/kashani1395</v>
      </c>
      <c r="M921" s="5"/>
      <c r="N921" s="5"/>
      <c r="O921" s="5"/>
      <c r="P921" s="5"/>
      <c r="Q921" s="5"/>
      <c r="R921" s="5"/>
      <c r="S921" s="5"/>
    </row>
    <row r="922">
      <c r="A922" s="5"/>
      <c r="B922" s="5" t="str">
        <f>IFERROR(__xludf.DUMMYFUNCTION("""COMPUTED_VALUE"""),"منبری")</f>
        <v>منبری</v>
      </c>
      <c r="C922" s="5" t="str">
        <f>IFERROR(__xludf.DUMMYFUNCTION("""COMPUTED_VALUE"""),"اسماعیل رمضانی")</f>
        <v>اسماعیل رمضانی</v>
      </c>
      <c r="D922" s="5" t="str">
        <f>IFERROR(__xludf.DUMMYFUNCTION("""COMPUTED_VALUE"""),"تهران")</f>
        <v>تهران</v>
      </c>
      <c r="E922" s="5"/>
      <c r="F922" s="5"/>
      <c r="G922" s="5"/>
      <c r="H922" s="6" t="str">
        <f>IFERROR(__xludf.DUMMYFUNCTION("""COMPUTED_VALUE"""),"https://www.instagram.com/esmaeilramezaniofficial/")</f>
        <v>https://www.instagram.com/esmaeilramezaniofficial/</v>
      </c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>
      <c r="A923" s="5"/>
      <c r="B923" s="5" t="str">
        <f>IFERROR(__xludf.DUMMYFUNCTION("""COMPUTED_VALUE"""),"منبری")</f>
        <v>منبری</v>
      </c>
      <c r="C923" s="5" t="str">
        <f>IFERROR(__xludf.DUMMYFUNCTION("""COMPUTED_VALUE"""),"حسین انصاریان")</f>
        <v>حسین انصاریان</v>
      </c>
      <c r="D923" s="5" t="str">
        <f>IFERROR(__xludf.DUMMYFUNCTION("""COMPUTED_VALUE"""),"تهران")</f>
        <v>تهران</v>
      </c>
      <c r="E923" s="5"/>
      <c r="F923" s="5"/>
      <c r="G923" s="5"/>
      <c r="H923" s="6" t="str">
        <f>IFERROR(__xludf.DUMMYFUNCTION("""COMPUTED_VALUE"""),"https://www.instagram.com/ansarian_ir/")</f>
        <v>https://www.instagram.com/ansarian_ir/</v>
      </c>
      <c r="I923" s="5"/>
      <c r="J923" s="5"/>
      <c r="K923" s="6" t="str">
        <f>IFERROR(__xludf.DUMMYFUNCTION("""COMPUTED_VALUE"""),"https://www.youtube.com/@darolerfan_ir")</f>
        <v>https://www.youtube.com/@darolerfan_ir</v>
      </c>
      <c r="L923" s="6" t="str">
        <f>IFERROR(__xludf.DUMMYFUNCTION("""COMPUTED_VALUE"""),"https://erfan.ir/")</f>
        <v>https://erfan.ir/</v>
      </c>
      <c r="M923" s="5"/>
      <c r="N923" s="5"/>
      <c r="O923" s="5"/>
      <c r="P923" s="5"/>
      <c r="Q923" s="5"/>
      <c r="R923" s="5"/>
      <c r="S923" s="5"/>
    </row>
    <row r="924">
      <c r="A924" s="5"/>
      <c r="B924" s="5" t="str">
        <f>IFERROR(__xludf.DUMMYFUNCTION("""COMPUTED_VALUE"""),"منبری")</f>
        <v>منبری</v>
      </c>
      <c r="C924" s="5" t="str">
        <f>IFERROR(__xludf.DUMMYFUNCTION("""COMPUTED_VALUE"""),"ناصر یوسفی")</f>
        <v>ناصر یوسفی</v>
      </c>
      <c r="D924" s="5" t="str">
        <f>IFERROR(__xludf.DUMMYFUNCTION("""COMPUTED_VALUE"""),"تهران")</f>
        <v>تهران</v>
      </c>
      <c r="E924" s="5"/>
      <c r="F924" s="5"/>
      <c r="G924" s="5"/>
      <c r="H924" s="6" t="str">
        <f>IFERROR(__xludf.DUMMYFUNCTION("""COMPUTED_VALUE"""),"https://www.instagram.com/naserr_yosefi/")</f>
        <v>https://www.instagram.com/naserr_yosefi/</v>
      </c>
      <c r="I924" s="5"/>
      <c r="J924" s="6" t="str">
        <f>IFERROR(__xludf.DUMMYFUNCTION("""COMPUTED_VALUE"""),"https://eitaa.com/havariun")</f>
        <v>https://eitaa.com/havariun</v>
      </c>
      <c r="K924" s="5"/>
      <c r="L924" s="5"/>
      <c r="M924" s="5"/>
      <c r="N924" s="5"/>
      <c r="O924" s="5"/>
      <c r="P924" s="5"/>
      <c r="Q924" s="5"/>
      <c r="R924" s="5"/>
      <c r="S924" s="5"/>
    </row>
    <row r="925">
      <c r="A925" s="5"/>
      <c r="B925" s="5" t="str">
        <f>IFERROR(__xludf.DUMMYFUNCTION("""COMPUTED_VALUE"""),"هیأت")</f>
        <v>هیأت</v>
      </c>
      <c r="C925" s="5" t="str">
        <f>IFERROR(__xludf.DUMMYFUNCTION("""COMPUTED_VALUE"""),"الرضا")</f>
        <v>الرضا</v>
      </c>
      <c r="D925" s="5" t="str">
        <f>IFERROR(__xludf.DUMMYFUNCTION("""COMPUTED_VALUE"""),"تهران")</f>
        <v>تهران</v>
      </c>
      <c r="E925" s="5"/>
      <c r="F925" s="5"/>
      <c r="G925" s="5"/>
      <c r="H925" s="6" t="str">
        <f>IFERROR(__xludf.DUMMYFUNCTION("""COMPUTED_VALUE"""),"https://www.instagram.com/heiatorreza1418/")</f>
        <v>https://www.instagram.com/heiatorreza1418/</v>
      </c>
      <c r="I925" s="6" t="str">
        <f>IFERROR(__xludf.DUMMYFUNCTION("""COMPUTED_VALUE"""),"https://t.me/heiatorreza")</f>
        <v>https://t.me/heiatorreza</v>
      </c>
      <c r="J925" s="6" t="str">
        <f>IFERROR(__xludf.DUMMYFUNCTION("""COMPUTED_VALUE"""),"https://ble.ir/heiatorreza")</f>
        <v>https://ble.ir/heiatorreza</v>
      </c>
      <c r="K925" s="6" t="str">
        <f>IFERROR(__xludf.DUMMYFUNCTION("""COMPUTED_VALUE"""),"https://www.youtube.com/@heiatorreza1418")</f>
        <v>https://www.youtube.com/@heiatorreza1418</v>
      </c>
      <c r="L925" s="6" t="str">
        <f>IFERROR(__xludf.DUMMYFUNCTION("""COMPUTED_VALUE"""),"https://www.behesht.info/")</f>
        <v>https://www.behesht.info/</v>
      </c>
      <c r="M925" s="5"/>
      <c r="N925" s="5" t="str">
        <f>IFERROR(__xludf.DUMMYFUNCTION("""COMPUTED_VALUE"""),"*")</f>
        <v>*</v>
      </c>
      <c r="O925" s="5"/>
      <c r="P925" s="5"/>
      <c r="Q925" s="5"/>
      <c r="R925" s="5"/>
      <c r="S925" s="5"/>
    </row>
    <row r="926">
      <c r="A926" s="5"/>
      <c r="B926" s="5" t="str">
        <f>IFERROR(__xludf.DUMMYFUNCTION("""COMPUTED_VALUE"""),"هیأت دانشجویی")</f>
        <v>هیأت دانشجویی</v>
      </c>
      <c r="C926" s="5" t="str">
        <f>IFERROR(__xludf.DUMMYFUNCTION("""COMPUTED_VALUE"""),"هنر ")</f>
        <v>هنر </v>
      </c>
      <c r="D926" s="5" t="str">
        <f>IFERROR(__xludf.DUMMYFUNCTION("""COMPUTED_VALUE"""),"تهران")</f>
        <v>تهران</v>
      </c>
      <c r="E926" s="5"/>
      <c r="F926" s="5" t="str">
        <f>IFERROR(__xludf.DUMMYFUNCTION("""COMPUTED_VALUE"""),"دانشگاه هنر")</f>
        <v>دانشگاه هنر</v>
      </c>
      <c r="G926" s="5"/>
      <c r="H926" s="6" t="str">
        <f>IFERROR(__xludf.DUMMYFUNCTION("""COMPUTED_VALUE"""),"https://www.instagram.com/heyathonar_/")</f>
        <v>https://www.instagram.com/heyathonar_/</v>
      </c>
      <c r="I926" s="6" t="str">
        <f>IFERROR(__xludf.DUMMYFUNCTION("""COMPUTED_VALUE"""),"https://t.me/HeyatHonar")</f>
        <v>https://t.me/HeyatHonar</v>
      </c>
      <c r="J926" s="6" t="str">
        <f>IFERROR(__xludf.DUMMYFUNCTION("""COMPUTED_VALUE"""),"https://ble.ir/heyathonar")</f>
        <v>https://ble.ir/heyathonar</v>
      </c>
      <c r="K926" s="6" t="str">
        <f>IFERROR(__xludf.DUMMYFUNCTION("""COMPUTED_VALUE"""),"https://eitaa.com/heyathonar")</f>
        <v>https://eitaa.com/heyathonar</v>
      </c>
      <c r="L926" s="5"/>
      <c r="M926" s="5"/>
      <c r="N926" s="5" t="str">
        <f>IFERROR(__xludf.DUMMYFUNCTION("""COMPUTED_VALUE"""),"*")</f>
        <v>*</v>
      </c>
      <c r="O926" s="5"/>
      <c r="P926" s="5"/>
      <c r="Q926" s="5"/>
      <c r="R926" s="5"/>
      <c r="S926" s="5"/>
    </row>
    <row r="927">
      <c r="A927" s="5"/>
      <c r="B927" s="5" t="str">
        <f>IFERROR(__xludf.DUMMYFUNCTION("""COMPUTED_VALUE"""),"هیأت")</f>
        <v>هیأت</v>
      </c>
      <c r="C927" s="5" t="str">
        <f>IFERROR(__xludf.DUMMYFUNCTION("""COMPUTED_VALUE"""),"مکتب الزینب")</f>
        <v>مکتب الزینب</v>
      </c>
      <c r="D927" s="5" t="str">
        <f>IFERROR(__xludf.DUMMYFUNCTION("""COMPUTED_VALUE"""),"تهران")</f>
        <v>تهران</v>
      </c>
      <c r="E927" s="5"/>
      <c r="F927" s="5" t="str">
        <f>IFERROR(__xludf.DUMMYFUNCTION("""COMPUTED_VALUE"""),"میدان قیام")</f>
        <v>میدان قیام</v>
      </c>
      <c r="G927" s="5"/>
      <c r="H927" s="6" t="str">
        <f>IFERROR(__xludf.DUMMYFUNCTION("""COMPUTED_VALUE"""),"https://www.instagram.com/maktab6969/")</f>
        <v>https://www.instagram.com/maktab6969/</v>
      </c>
      <c r="I927" s="6" t="str">
        <f>IFERROR(__xludf.DUMMYFUNCTION("""COMPUTED_VALUE"""),"https://t.me/maktab6969")</f>
        <v>https://t.me/maktab6969</v>
      </c>
      <c r="J927" s="6" t="str">
        <f>IFERROR(__xludf.DUMMYFUNCTION("""COMPUTED_VALUE"""),"https://ble.ir/maktab6969")</f>
        <v>https://ble.ir/maktab6969</v>
      </c>
      <c r="K927" s="5"/>
      <c r="L927" s="5"/>
      <c r="M927" s="5"/>
      <c r="N927" s="5" t="str">
        <f>IFERROR(__xludf.DUMMYFUNCTION("""COMPUTED_VALUE"""),"*")</f>
        <v>*</v>
      </c>
      <c r="O927" s="5"/>
      <c r="P927" s="5"/>
      <c r="Q927" s="5"/>
      <c r="R927" s="5"/>
      <c r="S927" s="5"/>
    </row>
    <row r="928">
      <c r="A928" s="5"/>
      <c r="B928" s="5" t="str">
        <f>IFERROR(__xludf.DUMMYFUNCTION("""COMPUTED_VALUE"""),"هیأت")</f>
        <v>هیأت</v>
      </c>
      <c r="C928" s="5" t="str">
        <f>IFERROR(__xludf.DUMMYFUNCTION("""COMPUTED_VALUE"""),"شهزاده علی اکبر")</f>
        <v>شهزاده علی اکبر</v>
      </c>
      <c r="D928" s="5" t="str">
        <f>IFERROR(__xludf.DUMMYFUNCTION("""COMPUTED_VALUE"""),"تهران")</f>
        <v>تهران</v>
      </c>
      <c r="E928" s="5"/>
      <c r="F928" s="5" t="str">
        <f>IFERROR(__xludf.DUMMYFUNCTION("""COMPUTED_VALUE"""),"شهید محلاتی")</f>
        <v>شهید محلاتی</v>
      </c>
      <c r="G928" s="5"/>
      <c r="H928" s="6" t="str">
        <f>IFERROR(__xludf.DUMMYFUNCTION("""COMPUTED_VALUE"""),"https://www.instagram.com/shahzadeh_aliakbar33/")</f>
        <v>https://www.instagram.com/shahzadeh_aliakbar33/</v>
      </c>
      <c r="I928" s="5"/>
      <c r="J928" s="6" t="str">
        <f>IFERROR(__xludf.DUMMYFUNCTION("""COMPUTED_VALUE"""),"https://ble.ir/moheban_shahzadeh_aliakbar")</f>
        <v>https://ble.ir/moheban_shahzadeh_aliakbar</v>
      </c>
      <c r="K928" s="5"/>
      <c r="L928" s="5"/>
      <c r="M928" s="5"/>
      <c r="N928" s="5"/>
      <c r="O928" s="5"/>
      <c r="P928" s="5"/>
      <c r="Q928" s="5"/>
      <c r="R928" s="5"/>
      <c r="S928" s="5"/>
    </row>
    <row r="929">
      <c r="A929" s="5"/>
      <c r="B929" s="5" t="str">
        <f>IFERROR(__xludf.DUMMYFUNCTION("""COMPUTED_VALUE"""),"هیأت")</f>
        <v>هیأت</v>
      </c>
      <c r="C929" s="5" t="str">
        <f>IFERROR(__xludf.DUMMYFUNCTION("""COMPUTED_VALUE"""),"شاه نجف")</f>
        <v>شاه نجف</v>
      </c>
      <c r="D929" s="5" t="str">
        <f>IFERROR(__xludf.DUMMYFUNCTION("""COMPUTED_VALUE"""),"تهران")</f>
        <v>تهران</v>
      </c>
      <c r="E929" s="5"/>
      <c r="F929" s="5"/>
      <c r="G929" s="5"/>
      <c r="H929" s="6" t="str">
        <f>IFERROR(__xludf.DUMMYFUNCTION("""COMPUTED_VALUE"""),"https://www.instagram.com/shahe_najaf121/")</f>
        <v>https://www.instagram.com/shahe_najaf121/</v>
      </c>
      <c r="I929" s="5"/>
      <c r="J929" s="6" t="str">
        <f>IFERROR(__xludf.DUMMYFUNCTION("""COMPUTED_VALUE"""),"https://ble.ir/shahe_najaf")</f>
        <v>https://ble.ir/shahe_najaf</v>
      </c>
      <c r="K929" s="5"/>
      <c r="L929" s="5"/>
      <c r="M929" s="5"/>
      <c r="N929" s="5"/>
      <c r="O929" s="5"/>
      <c r="P929" s="5"/>
      <c r="Q929" s="5"/>
      <c r="R929" s="5"/>
      <c r="S929" s="5"/>
    </row>
    <row r="930">
      <c r="A930" s="5"/>
      <c r="B930" s="5" t="str">
        <f>IFERROR(__xludf.DUMMYFUNCTION("""COMPUTED_VALUE"""),"هیأت")</f>
        <v>هیأت</v>
      </c>
      <c r="C930" s="5" t="str">
        <f>IFERROR(__xludf.DUMMYFUNCTION("""COMPUTED_VALUE"""),"حسینیه بیت النور")</f>
        <v>حسینیه بیت النور</v>
      </c>
      <c r="D930" s="5" t="str">
        <f>IFERROR(__xludf.DUMMYFUNCTION("""COMPUTED_VALUE"""),"تهران")</f>
        <v>تهران</v>
      </c>
      <c r="E930" s="5"/>
      <c r="F930" s="5" t="str">
        <f>IFERROR(__xludf.DUMMYFUNCTION("""COMPUTED_VALUE"""),"پیروزی")</f>
        <v>پیروزی</v>
      </c>
      <c r="G930" s="5"/>
      <c r="H930" s="6" t="str">
        <f>IFERROR(__xludf.DUMMYFUNCTION("""COMPUTED_VALUE"""),"https://www.instagram.com/ziarate_ashura/")</f>
        <v>https://www.instagram.com/ziarate_ashura/</v>
      </c>
      <c r="I930" s="6" t="str">
        <f>IFERROR(__xludf.DUMMYFUNCTION("""COMPUTED_VALUE"""),"https://t.me/ziarate_ashoora")</f>
        <v>https://t.me/ziarate_ashoora</v>
      </c>
      <c r="J930" s="6" t="str">
        <f>IFERROR(__xludf.DUMMYFUNCTION("""COMPUTED_VALUE"""),"https://ble.ir/ziarate_ashura")</f>
        <v>https://ble.ir/ziarate_ashura</v>
      </c>
      <c r="K930" s="5"/>
      <c r="L930" s="5"/>
      <c r="M930" s="5"/>
      <c r="N930" s="5"/>
      <c r="O930" s="5"/>
      <c r="P930" s="5"/>
      <c r="Q930" s="5"/>
      <c r="R930" s="5"/>
      <c r="S930" s="5"/>
    </row>
    <row r="931">
      <c r="A931" s="5"/>
      <c r="B931" s="5" t="str">
        <f>IFERROR(__xludf.DUMMYFUNCTION("""COMPUTED_VALUE"""),"هیأت")</f>
        <v>هیأت</v>
      </c>
      <c r="C931" s="5" t="str">
        <f>IFERROR(__xludf.DUMMYFUNCTION("""COMPUTED_VALUE"""),"انصار المهدی")</f>
        <v>انصار المهدی</v>
      </c>
      <c r="D931" s="5" t="str">
        <f>IFERROR(__xludf.DUMMYFUNCTION("""COMPUTED_VALUE"""),"تهران")</f>
        <v>تهران</v>
      </c>
      <c r="E931" s="5"/>
      <c r="F931" s="5" t="str">
        <f>IFERROR(__xludf.DUMMYFUNCTION("""COMPUTED_VALUE"""),"تهران، منطقه۱۸منطقه حضرت زهرا سلام الله علیها، کوی شهدای۱٧شهریور، خیابان شهیدسرحدی، روبروی کوچه امام حسین علیه السلام، مهدیه انصار المهدی عجل الله فرجه")</f>
        <v>تهران، منطقه۱۸منطقه حضرت زهرا سلام الله علیها، کوی شهدای۱٧شهریور، خیابان شهیدسرحدی، روبروی کوچه امام حسین علیه السلام، مهدیه انصار المهدی عجل الله فرجه</v>
      </c>
      <c r="G931" s="5"/>
      <c r="H931" s="5"/>
      <c r="I931" s="5"/>
      <c r="J931" s="6" t="str">
        <f>IFERROR(__xludf.DUMMYFUNCTION("""COMPUTED_VALUE"""),"https://eitaa.com/ghararedel110")</f>
        <v>https://eitaa.com/ghararedel110</v>
      </c>
      <c r="K931" s="5"/>
      <c r="L931" s="5"/>
      <c r="M931" s="5"/>
      <c r="N931" s="5"/>
      <c r="O931" s="5"/>
      <c r="P931" s="5"/>
      <c r="Q931" s="5"/>
      <c r="R931" s="5"/>
      <c r="S931" s="5"/>
    </row>
    <row r="932">
      <c r="A932" s="5"/>
      <c r="B932" s="5" t="str">
        <f>IFERROR(__xludf.DUMMYFUNCTION("""COMPUTED_VALUE"""),"هیأت")</f>
        <v>هیأت</v>
      </c>
      <c r="C932" s="5" t="str">
        <f>IFERROR(__xludf.DUMMYFUNCTION("""COMPUTED_VALUE"""),"محفل جنت الحسن طهران")</f>
        <v>محفل جنت الحسن طهران</v>
      </c>
      <c r="D932" s="5" t="str">
        <f>IFERROR(__xludf.DUMMYFUNCTION("""COMPUTED_VALUE"""),"تهران")</f>
        <v>تهران</v>
      </c>
      <c r="E932" s="5"/>
      <c r="F932" s="5"/>
      <c r="G932" s="5"/>
      <c r="H932" s="6" t="str">
        <f>IFERROR(__xludf.DUMMYFUNCTION("""COMPUTED_VALUE"""),"https://www.instagram.com/heiat_janatolhasan/")</f>
        <v>https://www.instagram.com/heiat_janatolhasan/</v>
      </c>
      <c r="I932" s="6" t="str">
        <f>IFERROR(__xludf.DUMMYFUNCTION("""COMPUTED_VALUE"""),"https://t.me/heiat_janatolhasan")</f>
        <v>https://t.me/heiat_janatolhasan</v>
      </c>
      <c r="J932" s="6" t="str">
        <f>IFERROR(__xludf.DUMMYFUNCTION("""COMPUTED_VALUE"""),"https://eitaa.com/heiat_janatolhasan")</f>
        <v>https://eitaa.com/heiat_janatolhasan</v>
      </c>
      <c r="K932" s="5"/>
      <c r="L932" s="5"/>
      <c r="M932" s="5"/>
      <c r="N932" s="5" t="str">
        <f>IFERROR(__xludf.DUMMYFUNCTION("""COMPUTED_VALUE"""),"*")</f>
        <v>*</v>
      </c>
      <c r="O932" s="5"/>
      <c r="P932" s="5"/>
      <c r="Q932" s="5"/>
      <c r="R932" s="5"/>
      <c r="S932" s="5"/>
    </row>
    <row r="933">
      <c r="A933" s="5"/>
      <c r="B933" s="5" t="str">
        <f>IFERROR(__xludf.DUMMYFUNCTION("""COMPUTED_VALUE"""),"هیأت")</f>
        <v>هیأت</v>
      </c>
      <c r="C933" s="5" t="str">
        <f>IFERROR(__xludf.DUMMYFUNCTION("""COMPUTED_VALUE"""),"محبان الائمه")</f>
        <v>محبان الائمه</v>
      </c>
      <c r="D933" s="5" t="str">
        <f>IFERROR(__xludf.DUMMYFUNCTION("""COMPUTED_VALUE"""),"تهران")</f>
        <v>تهران</v>
      </c>
      <c r="E933" s="5"/>
      <c r="F933" s="5"/>
      <c r="G933" s="5"/>
      <c r="H933" s="6" t="str">
        <f>IFERROR(__xludf.DUMMYFUNCTION("""COMPUTED_VALUE"""),"https://www.instagram.com/heiat_mohebban/")</f>
        <v>https://www.instagram.com/heiat_mohebban/</v>
      </c>
      <c r="I933" s="5"/>
      <c r="J933" s="6" t="str">
        <f>IFERROR(__xludf.DUMMYFUNCTION("""COMPUTED_VALUE"""),"https://eitaa.com/heiat_mohebban")</f>
        <v>https://eitaa.com/heiat_mohebban</v>
      </c>
      <c r="K933" s="5"/>
      <c r="L933" s="5"/>
      <c r="M933" s="5" t="str">
        <f>IFERROR(__xludf.DUMMYFUNCTION("""COMPUTED_VALUE"""),"ایتا استخراج شود")</f>
        <v>ایتا استخراج شود</v>
      </c>
      <c r="N933" s="5" t="str">
        <f>IFERROR(__xludf.DUMMYFUNCTION("""COMPUTED_VALUE"""),"*")</f>
        <v>*</v>
      </c>
      <c r="O933" s="5"/>
      <c r="P933" s="5"/>
      <c r="Q933" s="5"/>
      <c r="R933" s="5"/>
      <c r="S933" s="5"/>
    </row>
    <row r="934">
      <c r="A934" s="5"/>
      <c r="B934" s="5" t="str">
        <f>IFERROR(__xludf.DUMMYFUNCTION("""COMPUTED_VALUE"""),"هیأت دانشجویی")</f>
        <v>هیأت دانشجویی</v>
      </c>
      <c r="C934" s="5" t="str">
        <f>IFERROR(__xludf.DUMMYFUNCTION("""COMPUTED_VALUE"""),"رهروان شهدا")</f>
        <v>رهروان شهدا</v>
      </c>
      <c r="D934" s="5" t="str">
        <f>IFERROR(__xludf.DUMMYFUNCTION("""COMPUTED_VALUE"""),"تهران")</f>
        <v>تهران</v>
      </c>
      <c r="E934" s="5"/>
      <c r="F934" s="5" t="str">
        <f>IFERROR(__xludf.DUMMYFUNCTION("""COMPUTED_VALUE"""),"دانشگاه صنعتی امیرکبیر")</f>
        <v>دانشگاه صنعتی امیرکبیر</v>
      </c>
      <c r="G934" s="5"/>
      <c r="H934" s="6" t="str">
        <f>IFERROR(__xludf.DUMMYFUNCTION("""COMPUTED_VALUE"""),"https://www.instagram.com/heiataut")</f>
        <v>https://www.instagram.com/heiataut</v>
      </c>
      <c r="I934" s="6" t="str">
        <f>IFERROR(__xludf.DUMMYFUNCTION("""COMPUTED_VALUE"""),"https://t.me/HeiatAut")</f>
        <v>https://t.me/HeiatAut</v>
      </c>
      <c r="J934" s="6" t="str">
        <f>IFERROR(__xludf.DUMMYFUNCTION("""COMPUTED_VALUE"""),"https://eitaa.com/heiataut")</f>
        <v>https://eitaa.com/heiataut</v>
      </c>
      <c r="K934" s="6" t="str">
        <f>IFERROR(__xludf.DUMMYFUNCTION("""COMPUTED_VALUE"""),"https://ble.ir/heiataut")</f>
        <v>https://ble.ir/heiataut</v>
      </c>
      <c r="L934" s="5"/>
      <c r="M934" s="5"/>
      <c r="N934" s="5" t="str">
        <f>IFERROR(__xludf.DUMMYFUNCTION("""COMPUTED_VALUE"""),"*")</f>
        <v>*</v>
      </c>
      <c r="O934" s="5"/>
      <c r="P934" s="5"/>
      <c r="Q934" s="5"/>
      <c r="R934" s="5"/>
      <c r="S934" s="5"/>
    </row>
    <row r="935">
      <c r="A935" s="5"/>
      <c r="B935" s="5" t="str">
        <f>IFERROR(__xludf.DUMMYFUNCTION("""COMPUTED_VALUE"""),"هیأت دانشجویی")</f>
        <v>هیأت دانشجویی</v>
      </c>
      <c r="C935" s="5" t="str">
        <f>IFERROR(__xludf.DUMMYFUNCTION("""COMPUTED_VALUE"""),"الرسول")</f>
        <v>الرسول</v>
      </c>
      <c r="D935" s="5" t="str">
        <f>IFERROR(__xludf.DUMMYFUNCTION("""COMPUTED_VALUE"""),"تهران")</f>
        <v>تهران</v>
      </c>
      <c r="E935" s="5"/>
      <c r="F935" s="5" t="str">
        <f>IFERROR(__xludf.DUMMYFUNCTION("""COMPUTED_VALUE"""),"دانشگاه علوم قرآن طهران")</f>
        <v>دانشگاه علوم قرآن طهران</v>
      </c>
      <c r="G935" s="5"/>
      <c r="H935" s="6" t="str">
        <f>IFERROR(__xludf.DUMMYFUNCTION("""COMPUTED_VALUE"""),"https://www.instagram.com/heiatorrasoul/")</f>
        <v>https://www.instagram.com/heiatorrasoul/</v>
      </c>
      <c r="I935" s="5"/>
      <c r="J935" s="6" t="str">
        <f>IFERROR(__xludf.DUMMYFUNCTION("""COMPUTED_VALUE"""),"https://eitaa.com/Heiatorrasoul")</f>
        <v>https://eitaa.com/Heiatorrasoul</v>
      </c>
      <c r="K935" s="5"/>
      <c r="L935" s="5"/>
      <c r="M935" s="5"/>
      <c r="N935" s="5"/>
      <c r="O935" s="5"/>
      <c r="P935" s="5"/>
      <c r="Q935" s="5"/>
      <c r="R935" s="5"/>
      <c r="S935" s="5"/>
    </row>
    <row r="936">
      <c r="A936" s="5"/>
      <c r="B936" s="5" t="str">
        <f>IFERROR(__xludf.DUMMYFUNCTION("""COMPUTED_VALUE"""),"هیأت")</f>
        <v>هیأت</v>
      </c>
      <c r="C936" s="5" t="str">
        <f>IFERROR(__xludf.DUMMYFUNCTION("""COMPUTED_VALUE"""),"الزهرا")</f>
        <v>الزهرا</v>
      </c>
      <c r="D936" s="5" t="str">
        <f>IFERROR(__xludf.DUMMYFUNCTION("""COMPUTED_VALUE"""),"تهران")</f>
        <v>تهران</v>
      </c>
      <c r="E936" s="5"/>
      <c r="F936" s="5" t="str">
        <f>IFERROR(__xludf.DUMMYFUNCTION("""COMPUTED_VALUE"""),"تهران،اتوبان بابایی،جنب دانشگاه امام حسین(ع)،مجتمع ولایت،حسینیه بیت الزهرا(س)")</f>
        <v>تهران،اتوبان بابایی،جنب دانشگاه امام حسین(ع)،مجتمع ولایت،حسینیه بیت الزهرا(س)</v>
      </c>
      <c r="G936" s="5"/>
      <c r="H936" s="6" t="str">
        <f>IFERROR(__xludf.DUMMYFUNCTION("""COMPUTED_VALUE"""),"https://www.instagram.com/heiatozahraa/")</f>
        <v>https://www.instagram.com/heiatozahraa/</v>
      </c>
      <c r="I936" s="6" t="str">
        <f>IFERROR(__xludf.DUMMYFUNCTION("""COMPUTED_VALUE"""),"https://t.me/heiatozahraa")</f>
        <v>https://t.me/heiatozahraa</v>
      </c>
      <c r="J936" s="6" t="str">
        <f>IFERROR(__xludf.DUMMYFUNCTION("""COMPUTED_VALUE"""),"https://eitaa.com/heiatozahraa")</f>
        <v>https://eitaa.com/heiatozahraa</v>
      </c>
      <c r="K936" s="5"/>
      <c r="L936" s="5"/>
      <c r="M936" s="5"/>
      <c r="N936" s="5" t="str">
        <f>IFERROR(__xludf.DUMMYFUNCTION("""COMPUTED_VALUE"""),"*")</f>
        <v>*</v>
      </c>
      <c r="O936" s="5"/>
      <c r="P936" s="5"/>
      <c r="Q936" s="5"/>
      <c r="R936" s="5"/>
      <c r="S936" s="5"/>
    </row>
    <row r="937">
      <c r="A937" s="5"/>
      <c r="B937" s="5" t="str">
        <f>IFERROR(__xludf.DUMMYFUNCTION("""COMPUTED_VALUE"""),"هیأت دانشجویی")</f>
        <v>هیأت دانشجویی</v>
      </c>
      <c r="C937" s="5" t="str">
        <f>IFERROR(__xludf.DUMMYFUNCTION("""COMPUTED_VALUE"""),"شهدای گمنام")</f>
        <v>شهدای گمنام</v>
      </c>
      <c r="D937" s="5" t="str">
        <f>IFERROR(__xludf.DUMMYFUNCTION("""COMPUTED_VALUE"""),"تهران")</f>
        <v>تهران</v>
      </c>
      <c r="E937" s="5"/>
      <c r="F937" s="5" t="str">
        <f>IFERROR(__xludf.DUMMYFUNCTION("""COMPUTED_VALUE"""),"دانشگاه علم و صنعت تهران")</f>
        <v>دانشگاه علم و صنعت تهران</v>
      </c>
      <c r="G937" s="5"/>
      <c r="H937" s="6" t="str">
        <f>IFERROR(__xludf.DUMMYFUNCTION("""COMPUTED_VALUE"""),"https://www.instagram.com/heyat.iust.ac.ir/")</f>
        <v>https://www.instagram.com/heyat.iust.ac.ir/</v>
      </c>
      <c r="I937" s="6" t="str">
        <f>IFERROR(__xludf.DUMMYFUNCTION("""COMPUTED_VALUE"""),"https://t.me/heyat_gomnam_iust")</f>
        <v>https://t.me/heyat_gomnam_iust</v>
      </c>
      <c r="J937" s="6" t="str">
        <f>IFERROR(__xludf.DUMMYFUNCTION("""COMPUTED_VALUE"""),"https://eitaa.com/heyat_gomnam_iust")</f>
        <v>https://eitaa.com/heyat_gomnam_iust</v>
      </c>
      <c r="K937" s="6" t="str">
        <f>IFERROR(__xludf.DUMMYFUNCTION("""COMPUTED_VALUE"""),"https://ble.ir/heyat_gomnam_iust")</f>
        <v>https://ble.ir/heyat_gomnam_iust</v>
      </c>
      <c r="L937" s="5"/>
      <c r="M937" s="5"/>
      <c r="N937" s="5" t="str">
        <f>IFERROR(__xludf.DUMMYFUNCTION("""COMPUTED_VALUE"""),"*")</f>
        <v>*</v>
      </c>
      <c r="O937" s="5"/>
      <c r="P937" s="5"/>
      <c r="Q937" s="5"/>
      <c r="R937" s="5"/>
      <c r="S937" s="5"/>
    </row>
    <row r="938">
      <c r="A938" s="5"/>
      <c r="B938" s="5" t="str">
        <f>IFERROR(__xludf.DUMMYFUNCTION("""COMPUTED_VALUE"""),"هیأت کودک")</f>
        <v>هیأت کودک</v>
      </c>
      <c r="C938" s="5" t="str">
        <f>IFERROR(__xludf.DUMMYFUNCTION("""COMPUTED_VALUE"""),"انصار المهدی ")</f>
        <v>انصار المهدی </v>
      </c>
      <c r="D938" s="5" t="str">
        <f>IFERROR(__xludf.DUMMYFUNCTION("""COMPUTED_VALUE"""),"تهران")</f>
        <v>تهران</v>
      </c>
      <c r="E938" s="5"/>
      <c r="F938" s="5" t="str">
        <f>IFERROR(__xludf.DUMMYFUNCTION("""COMPUTED_VALUE"""),"تهران، منطقه۱۸منطقه حضرت زهرا سلام الله علیها، کوی شهدای۱٧شهریور، خیابان شهیدسرحدی، روبروی کوچه امام حسین علیه السلام، مهدیه انصار المهدی عجل الله فرجه")</f>
        <v>تهران، منطقه۱۸منطقه حضرت زهرا سلام الله علیها، کوی شهدای۱٧شهریور، خیابان شهیدسرحدی، روبروی کوچه امام حسین علیه السلام، مهدیه انصار المهدی عجل الله فرجه</v>
      </c>
      <c r="G938" s="5"/>
      <c r="H938" s="5"/>
      <c r="I938" s="5"/>
      <c r="J938" s="6" t="str">
        <f>IFERROR(__xludf.DUMMYFUNCTION("""COMPUTED_VALUE"""),"https://eitaa.com/heyat_koodak")</f>
        <v>https://eitaa.com/heyat_koodak</v>
      </c>
      <c r="K938" s="5"/>
      <c r="L938" s="5"/>
      <c r="M938" s="5"/>
      <c r="N938" s="5"/>
      <c r="O938" s="5"/>
      <c r="P938" s="5"/>
      <c r="Q938" s="5"/>
      <c r="R938" s="5"/>
      <c r="S938" s="5"/>
    </row>
    <row r="939">
      <c r="A939" s="5"/>
      <c r="B939" s="5" t="str">
        <f>IFERROR(__xludf.DUMMYFUNCTION("""COMPUTED_VALUE"""),"هیأت")</f>
        <v>هیأت</v>
      </c>
      <c r="C939" s="5" t="str">
        <f>IFERROR(__xludf.DUMMYFUNCTION("""COMPUTED_VALUE"""),"بیت الرضا")</f>
        <v>بیت الرضا</v>
      </c>
      <c r="D939" s="5" t="str">
        <f>IFERROR(__xludf.DUMMYFUNCTION("""COMPUTED_VALUE"""),"تهران")</f>
        <v>تهران</v>
      </c>
      <c r="E939" s="5"/>
      <c r="F939" s="5" t="str">
        <f>IFERROR(__xludf.DUMMYFUNCTION("""COMPUTED_VALUE"""),"اتابكـ،خيابان شهيدرضايي شرقي(منصور)،ابتدا خيابان خوب بخت،كوچه پاسداران،حسینیه شهدا میاندرّه")</f>
        <v>اتابكـ،خيابان شهيدرضايي شرقي(منصور)،ابتدا خيابان خوب بخت،كوچه پاسداران،حسینیه شهدا میاندرّه</v>
      </c>
      <c r="G939" s="5"/>
      <c r="H939" s="6" t="str">
        <f>IFERROR(__xludf.DUMMYFUNCTION("""COMPUTED_VALUE"""),"https://www.instagram.com/heyatebeytalreza1001/")</f>
        <v>https://www.instagram.com/heyatebeytalreza1001/</v>
      </c>
      <c r="I939" s="6" t="str">
        <f>IFERROR(__xludf.DUMMYFUNCTION("""COMPUTED_VALUE"""),"https://t.me/heyatebeytalreza1001")</f>
        <v>https://t.me/heyatebeytalreza1001</v>
      </c>
      <c r="J939" s="6" t="str">
        <f>IFERROR(__xludf.DUMMYFUNCTION("""COMPUTED_VALUE"""),"https://eitaa.com/heyatebeytalreza1001")</f>
        <v>https://eitaa.com/heyatebeytalreza1001</v>
      </c>
      <c r="K939" s="5"/>
      <c r="L939" s="5"/>
      <c r="M939" s="5"/>
      <c r="N939" s="5" t="str">
        <f>IFERROR(__xludf.DUMMYFUNCTION("""COMPUTED_VALUE"""),"*")</f>
        <v>*</v>
      </c>
      <c r="O939" s="5"/>
      <c r="P939" s="5"/>
      <c r="Q939" s="5"/>
      <c r="R939" s="5"/>
      <c r="S939" s="5"/>
    </row>
    <row r="940">
      <c r="A940" s="5"/>
      <c r="B940" s="5" t="str">
        <f>IFERROR(__xludf.DUMMYFUNCTION("""COMPUTED_VALUE"""),"هیأت")</f>
        <v>هیأت</v>
      </c>
      <c r="C940" s="5" t="str">
        <f>IFERROR(__xludf.DUMMYFUNCTION("""COMPUTED_VALUE"""),"الشهداء")</f>
        <v>الشهداء</v>
      </c>
      <c r="D940" s="5" t="str">
        <f>IFERROR(__xludf.DUMMYFUNCTION("""COMPUTED_VALUE"""),"تهران")</f>
        <v>تهران</v>
      </c>
      <c r="E940" s="5"/>
      <c r="F940" s="5" t="str">
        <f>IFERROR(__xludf.DUMMYFUNCTION("""COMPUTED_VALUE"""),"نارمک")</f>
        <v>نارمک</v>
      </c>
      <c r="G940" s="5"/>
      <c r="H940" s="6" t="str">
        <f>IFERROR(__xludf.DUMMYFUNCTION("""COMPUTED_VALUE"""),"https://www.instagram.com/heyatshohadanarmak/")</f>
        <v>https://www.instagram.com/heyatshohadanarmak/</v>
      </c>
      <c r="I940" s="6" t="str">
        <f>IFERROR(__xludf.DUMMYFUNCTION("""COMPUTED_VALUE"""),"https://t.me/heyatshohadanarmak")</f>
        <v>https://t.me/heyatshohadanarmak</v>
      </c>
      <c r="J940" s="6" t="str">
        <f>IFERROR(__xludf.DUMMYFUNCTION("""COMPUTED_VALUE"""),"https://eitaa.com/heyatshohadanarmak")</f>
        <v>https://eitaa.com/heyatshohadanarmak</v>
      </c>
      <c r="K940" s="5"/>
      <c r="L940" s="5"/>
      <c r="M940" s="5"/>
      <c r="N940" s="5" t="str">
        <f>IFERROR(__xludf.DUMMYFUNCTION("""COMPUTED_VALUE"""),"*")</f>
        <v>*</v>
      </c>
      <c r="O940" s="5"/>
      <c r="P940" s="5"/>
      <c r="Q940" s="5"/>
      <c r="R940" s="5"/>
      <c r="S940" s="5"/>
    </row>
    <row r="941">
      <c r="A941" s="5"/>
      <c r="B941" s="5" t="str">
        <f>IFERROR(__xludf.DUMMYFUNCTION("""COMPUTED_VALUE"""),"هیأت")</f>
        <v>هیأت</v>
      </c>
      <c r="C941" s="5" t="str">
        <f>IFERROR(__xludf.DUMMYFUNCTION("""COMPUTED_VALUE"""),"خیمه محبان الحسین")</f>
        <v>خیمه محبان الحسین</v>
      </c>
      <c r="D941" s="5" t="str">
        <f>IFERROR(__xludf.DUMMYFUNCTION("""COMPUTED_VALUE"""),"تهران")</f>
        <v>تهران</v>
      </c>
      <c r="E941" s="5"/>
      <c r="F941" s="5" t="str">
        <f>IFERROR(__xludf.DUMMYFUNCTION("""COMPUTED_VALUE"""),"نارمک خیابان شهید مدنی")</f>
        <v>نارمک خیابان شهید مدنی</v>
      </c>
      <c r="G941" s="5"/>
      <c r="H941" s="6" t="str">
        <f>IFERROR(__xludf.DUMMYFUNCTION("""COMPUTED_VALUE"""),"https://www.instagram.com/hobinfo/")</f>
        <v>https://www.instagram.com/hobinfo/</v>
      </c>
      <c r="I941" s="6" t="str">
        <f>IFERROR(__xludf.DUMMYFUNCTION("""COMPUTED_VALUE"""),"https://t.me/hobinfo")</f>
        <v>https://t.me/hobinfo</v>
      </c>
      <c r="J941" s="6" t="str">
        <f>IFERROR(__xludf.DUMMYFUNCTION("""COMPUTED_VALUE"""),"https://eitaa.com/hobinfo")</f>
        <v>https://eitaa.com/hobinfo</v>
      </c>
      <c r="K941" s="5"/>
      <c r="L941" s="5"/>
      <c r="M941" s="5"/>
      <c r="N941" s="5" t="str">
        <f>IFERROR(__xludf.DUMMYFUNCTION("""COMPUTED_VALUE"""),"*")</f>
        <v>*</v>
      </c>
      <c r="O941" s="5"/>
      <c r="P941" s="5"/>
      <c r="Q941" s="5"/>
      <c r="R941" s="5"/>
      <c r="S941" s="5"/>
    </row>
    <row r="942">
      <c r="A942" s="5"/>
      <c r="B942" s="5" t="str">
        <f>IFERROR(__xludf.DUMMYFUNCTION("""COMPUTED_VALUE"""),"هیأت")</f>
        <v>هیأت</v>
      </c>
      <c r="C942" s="5" t="str">
        <f>IFERROR(__xludf.DUMMYFUNCTION("""COMPUTED_VALUE"""),"حسین جانم")</f>
        <v>حسین جانم</v>
      </c>
      <c r="D942" s="5" t="str">
        <f>IFERROR(__xludf.DUMMYFUNCTION("""COMPUTED_VALUE"""),"تهران")</f>
        <v>تهران</v>
      </c>
      <c r="E942" s="5"/>
      <c r="F942" s="5" t="str">
        <f>IFERROR(__xludf.DUMMYFUNCTION("""COMPUTED_VALUE"""),"جنوبغرب‌تهران‌نسیم‌شهر")</f>
        <v>جنوبغرب‌تهران‌نسیم‌شهر</v>
      </c>
      <c r="G942" s="5"/>
      <c r="H942" s="6" t="str">
        <f>IFERROR(__xludf.DUMMYFUNCTION("""COMPUTED_VALUE"""),"https://www.instagram.com/hossein_janam_ir/")</f>
        <v>https://www.instagram.com/hossein_janam_ir/</v>
      </c>
      <c r="I942" s="6" t="str">
        <f>IFERROR(__xludf.DUMMYFUNCTION("""COMPUTED_VALUE"""),"https://t.me/hossein_janam_ir")</f>
        <v>https://t.me/hossein_janam_ir</v>
      </c>
      <c r="J942" s="6" t="str">
        <f>IFERROR(__xludf.DUMMYFUNCTION("""COMPUTED_VALUE"""),"https://eitaa.com/hossein_janam_ir")</f>
        <v>https://eitaa.com/hossein_janam_ir</v>
      </c>
      <c r="K942" s="5"/>
      <c r="L942" s="5"/>
      <c r="M942" s="5"/>
      <c r="N942" s="5"/>
      <c r="O942" s="5"/>
      <c r="P942" s="5"/>
      <c r="Q942" s="5"/>
      <c r="R942" s="5"/>
      <c r="S942" s="5"/>
    </row>
    <row r="943">
      <c r="A943" s="5"/>
      <c r="B943" s="5" t="str">
        <f>IFERROR(__xludf.DUMMYFUNCTION("""COMPUTED_VALUE"""),"هیأت")</f>
        <v>هیأت</v>
      </c>
      <c r="C943" s="5" t="str">
        <f>IFERROR(__xludf.DUMMYFUNCTION("""COMPUTED_VALUE"""),"حسین جانم")</f>
        <v>حسین جانم</v>
      </c>
      <c r="D943" s="5" t="str">
        <f>IFERROR(__xludf.DUMMYFUNCTION("""COMPUTED_VALUE"""),"تهران")</f>
        <v>تهران</v>
      </c>
      <c r="E943" s="5"/>
      <c r="F943" s="5" t="str">
        <f>IFERROR(__xludf.DUMMYFUNCTION("""COMPUTED_VALUE"""),"نسیم شهر")</f>
        <v>نسیم شهر</v>
      </c>
      <c r="G943" s="5"/>
      <c r="H943" s="6" t="str">
        <f>IFERROR(__xludf.DUMMYFUNCTION("""COMPUTED_VALUE"""),"https://www.instagram.com/hossein_janam_ir/")</f>
        <v>https://www.instagram.com/hossein_janam_ir/</v>
      </c>
      <c r="I943" s="6" t="str">
        <f>IFERROR(__xludf.DUMMYFUNCTION("""COMPUTED_VALUE"""),"https://t.me/hossein_janam_ir")</f>
        <v>https://t.me/hossein_janam_ir</v>
      </c>
      <c r="J943" s="6" t="str">
        <f>IFERROR(__xludf.DUMMYFUNCTION("""COMPUTED_VALUE"""),"https://eitaa.com/hossein_janam_ir")</f>
        <v>https://eitaa.com/hossein_janam_ir</v>
      </c>
      <c r="K943" s="5"/>
      <c r="L943" s="5"/>
      <c r="M943" s="5"/>
      <c r="N943" s="5"/>
      <c r="O943" s="5"/>
      <c r="P943" s="5"/>
      <c r="Q943" s="5"/>
      <c r="R943" s="5"/>
      <c r="S943" s="5"/>
    </row>
    <row r="944">
      <c r="A944" s="5"/>
      <c r="B944" s="5" t="str">
        <f>IFERROR(__xludf.DUMMYFUNCTION("""COMPUTED_VALUE"""),"هیأت")</f>
        <v>هیأت</v>
      </c>
      <c r="C944" s="5" t="str">
        <f>IFERROR(__xludf.DUMMYFUNCTION("""COMPUTED_VALUE"""),"پهلوانی هوالاول")</f>
        <v>پهلوانی هوالاول</v>
      </c>
      <c r="D944" s="5" t="str">
        <f>IFERROR(__xludf.DUMMYFUNCTION("""COMPUTED_VALUE"""),"تهران")</f>
        <v>تهران</v>
      </c>
      <c r="E944" s="5"/>
      <c r="F944" s="5" t="str">
        <f>IFERROR(__xludf.DUMMYFUNCTION("""COMPUTED_VALUE"""),"نارمک‌")</f>
        <v>نارمک‌</v>
      </c>
      <c r="G944" s="5"/>
      <c r="H944" s="6" t="str">
        <f>IFERROR(__xludf.DUMMYFUNCTION("""COMPUTED_VALUE"""),"https://www.instagram.com/hovalawal/")</f>
        <v>https://www.instagram.com/hovalawal/</v>
      </c>
      <c r="I944" s="5"/>
      <c r="J944" s="6" t="str">
        <f>IFERROR(__xludf.DUMMYFUNCTION("""COMPUTED_VALUE"""),"https://eitaa.com/hovalawal")</f>
        <v>https://eitaa.com/hovalawal</v>
      </c>
      <c r="K944" s="6" t="str">
        <f>IFERROR(__xludf.DUMMYFUNCTION("""COMPUTED_VALUE"""),"http://bale.ir/huvalawal")</f>
        <v>http://bale.ir/huvalawal</v>
      </c>
      <c r="L944" s="5"/>
      <c r="M944" s="5"/>
      <c r="N944" s="5"/>
      <c r="O944" s="5"/>
      <c r="P944" s="5"/>
      <c r="Q944" s="5"/>
      <c r="R944" s="5"/>
      <c r="S944" s="5"/>
    </row>
    <row r="945">
      <c r="A945" s="5"/>
      <c r="B945" s="5" t="str">
        <f>IFERROR(__xludf.DUMMYFUNCTION("""COMPUTED_VALUE"""),"هیأت")</f>
        <v>هیأت</v>
      </c>
      <c r="C945" s="5" t="str">
        <f>IFERROR(__xludf.DUMMYFUNCTION("""COMPUTED_VALUE"""),"کلثومیه حضرت زینب متوسلین به بی بی ام البنین")</f>
        <v>کلثومیه حضرت زینب متوسلین به بی بی ام البنین</v>
      </c>
      <c r="D945" s="5" t="str">
        <f>IFERROR(__xludf.DUMMYFUNCTION("""COMPUTED_VALUE"""),"تهران")</f>
        <v>تهران</v>
      </c>
      <c r="E945" s="5"/>
      <c r="F945" s="5" t="str">
        <f>IFERROR(__xludf.DUMMYFUNCTION("""COMPUTED_VALUE"""),"شهرک غرب")</f>
        <v>شهرک غرب</v>
      </c>
      <c r="G945" s="5"/>
      <c r="H945" s="6" t="str">
        <f>IFERROR(__xludf.DUMMYFUNCTION("""COMPUTED_VALUE"""),"https://www.instagram.com/kolsomiyeh/")</f>
        <v>https://www.instagram.com/kolsomiyeh/</v>
      </c>
      <c r="I945" s="5"/>
      <c r="J945" s="6" t="str">
        <f>IFERROR(__xludf.DUMMYFUNCTION("""COMPUTED_VALUE"""),"https://eitaa.com/kolsomiyeh_169")</f>
        <v>https://eitaa.com/kolsomiyeh_169</v>
      </c>
      <c r="K945" s="5"/>
      <c r="L945" s="5"/>
      <c r="M945" s="5"/>
      <c r="N945" s="5"/>
      <c r="O945" s="5"/>
      <c r="P945" s="5"/>
      <c r="Q945" s="5"/>
      <c r="R945" s="5"/>
      <c r="S945" s="5"/>
    </row>
    <row r="946">
      <c r="A946" s="5"/>
      <c r="B946" s="5" t="str">
        <f>IFERROR(__xludf.DUMMYFUNCTION("""COMPUTED_VALUE"""),"هیأت")</f>
        <v>هیأت</v>
      </c>
      <c r="C946" s="5" t="str">
        <f>IFERROR(__xludf.DUMMYFUNCTION("""COMPUTED_VALUE"""),"محسن ابن علی")</f>
        <v>محسن ابن علی</v>
      </c>
      <c r="D946" s="5" t="str">
        <f>IFERROR(__xludf.DUMMYFUNCTION("""COMPUTED_VALUE"""),"تهران")</f>
        <v>تهران</v>
      </c>
      <c r="E946" s="5"/>
      <c r="F946" s="5"/>
      <c r="G946" s="5"/>
      <c r="H946" s="6" t="str">
        <f>IFERROR(__xludf.DUMMYFUNCTION("""COMPUTED_VALUE"""),"https://www.instagram.com/madhmola/")</f>
        <v>https://www.instagram.com/madhmola/</v>
      </c>
      <c r="I946" s="6" t="str">
        <f>IFERROR(__xludf.DUMMYFUNCTION("""COMPUTED_VALUE"""),"https://t.me/madhmola110")</f>
        <v>https://t.me/madhmola110</v>
      </c>
      <c r="J946" s="6" t="str">
        <f>IFERROR(__xludf.DUMMYFUNCTION("""COMPUTED_VALUE"""),"https://eitaa.com/madhmola")</f>
        <v>https://eitaa.com/madhmola</v>
      </c>
      <c r="K946" s="5"/>
      <c r="L946" s="5"/>
      <c r="M946" s="5"/>
      <c r="N946" s="5"/>
      <c r="O946" s="5"/>
      <c r="P946" s="5"/>
      <c r="Q946" s="5"/>
      <c r="R946" s="5"/>
      <c r="S946" s="5"/>
    </row>
    <row r="947">
      <c r="A947" s="5"/>
      <c r="B947" s="5" t="str">
        <f>IFERROR(__xludf.DUMMYFUNCTION("""COMPUTED_VALUE"""),"هیأت")</f>
        <v>هیأت</v>
      </c>
      <c r="C947" s="5" t="str">
        <f>IFERROR(__xludf.DUMMYFUNCTION("""COMPUTED_VALUE"""),"مهدویه تهران")</f>
        <v>مهدویه تهران</v>
      </c>
      <c r="D947" s="5" t="str">
        <f>IFERROR(__xludf.DUMMYFUNCTION("""COMPUTED_VALUE"""),"تهران")</f>
        <v>تهران</v>
      </c>
      <c r="E947" s="5"/>
      <c r="F947" s="5"/>
      <c r="G947" s="5"/>
      <c r="H947" s="6" t="str">
        <f>IFERROR(__xludf.DUMMYFUNCTION("""COMPUTED_VALUE"""),"https://www.instagram.com/mahdaviye_info/")</f>
        <v>https://www.instagram.com/mahdaviye_info/</v>
      </c>
      <c r="I947" s="6" t="str">
        <f>IFERROR(__xludf.DUMMYFUNCTION("""COMPUTED_VALUE"""),"https://t.me/Mahdaviye_info")</f>
        <v>https://t.me/Mahdaviye_info</v>
      </c>
      <c r="J947" s="6" t="str">
        <f>IFERROR(__xludf.DUMMYFUNCTION("""COMPUTED_VALUE"""),"https://eitaa.com/mahdaviye_info")</f>
        <v>https://eitaa.com/mahdaviye_info</v>
      </c>
      <c r="K947" s="5"/>
      <c r="L947" s="5"/>
      <c r="M947" s="5"/>
      <c r="N947" s="5" t="str">
        <f>IFERROR(__xludf.DUMMYFUNCTION("""COMPUTED_VALUE"""),"*")</f>
        <v>*</v>
      </c>
      <c r="O947" s="5"/>
      <c r="P947" s="5"/>
      <c r="Q947" s="5"/>
      <c r="R947" s="5"/>
      <c r="S947" s="5"/>
    </row>
    <row r="948">
      <c r="A948" s="5"/>
      <c r="B948" s="5" t="str">
        <f>IFERROR(__xludf.DUMMYFUNCTION("""COMPUTED_VALUE"""),"هیأت")</f>
        <v>هیأت</v>
      </c>
      <c r="C948" s="5" t="str">
        <f>IFERROR(__xludf.DUMMYFUNCTION("""COMPUTED_VALUE"""),"روضه العباس")</f>
        <v>روضه العباس</v>
      </c>
      <c r="D948" s="5" t="str">
        <f>IFERROR(__xludf.DUMMYFUNCTION("""COMPUTED_VALUE"""),"تهران")</f>
        <v>تهران</v>
      </c>
      <c r="E948" s="5"/>
      <c r="F948" s="5"/>
      <c r="G948" s="5"/>
      <c r="H948" s="6" t="str">
        <f>IFERROR(__xludf.DUMMYFUNCTION("""COMPUTED_VALUE"""),"https://www.instagram.com/maheharam.media")</f>
        <v>https://www.instagram.com/maheharam.media</v>
      </c>
      <c r="I948" s="6" t="str">
        <f>IFERROR(__xludf.DUMMYFUNCTION("""COMPUTED_VALUE"""),"https://t.me/maheharaminfo")</f>
        <v>https://t.me/maheharaminfo</v>
      </c>
      <c r="J948" s="6" t="str">
        <f>IFERROR(__xludf.DUMMYFUNCTION("""COMPUTED_VALUE"""),"https://eitaa.com/maheharaminfo")</f>
        <v>https://eitaa.com/maheharaminfo</v>
      </c>
      <c r="K948" s="5"/>
      <c r="L948" s="6" t="str">
        <f>IFERROR(__xludf.DUMMYFUNCTION("""COMPUTED_VALUE"""),"https://www.maheharam.info/")</f>
        <v>https://www.maheharam.info/</v>
      </c>
      <c r="M948" s="5" t="str">
        <f>IFERROR(__xludf.DUMMYFUNCTION("""COMPUTED_VALUE"""),"سیب سرخی")</f>
        <v>سیب سرخی</v>
      </c>
      <c r="N948" s="5" t="str">
        <f>IFERROR(__xludf.DUMMYFUNCTION("""COMPUTED_VALUE"""),"*")</f>
        <v>*</v>
      </c>
      <c r="O948" s="5"/>
      <c r="P948" s="5"/>
      <c r="Q948" s="5"/>
      <c r="R948" s="5"/>
      <c r="S948" s="5"/>
    </row>
    <row r="949">
      <c r="A949" s="5"/>
      <c r="B949" s="5" t="str">
        <f>IFERROR(__xludf.DUMMYFUNCTION("""COMPUTED_VALUE"""),"هیأت")</f>
        <v>هیأت</v>
      </c>
      <c r="C949" s="5" t="str">
        <f>IFERROR(__xludf.DUMMYFUNCTION("""COMPUTED_VALUE"""),"محفل ماه هاشمیون")</f>
        <v>محفل ماه هاشمیون</v>
      </c>
      <c r="D949" s="5" t="str">
        <f>IFERROR(__xludf.DUMMYFUNCTION("""COMPUTED_VALUE"""),"تهران")</f>
        <v>تهران</v>
      </c>
      <c r="E949" s="5"/>
      <c r="F949" s="5"/>
      <c r="G949" s="5"/>
      <c r="H949" s="6" t="str">
        <f>IFERROR(__xludf.DUMMYFUNCTION("""COMPUTED_VALUE"""),"https://www.instagram.com/mahfel_mahe_hashemion/")</f>
        <v>https://www.instagram.com/mahfel_mahe_hashemion/</v>
      </c>
      <c r="I949" s="6" t="str">
        <f>IFERROR(__xludf.DUMMYFUNCTION("""COMPUTED_VALUE"""),"https://t.me/mahfel_mahe_hashemion")</f>
        <v>https://t.me/mahfel_mahe_hashemion</v>
      </c>
      <c r="J949" s="6" t="str">
        <f>IFERROR(__xludf.DUMMYFUNCTION("""COMPUTED_VALUE"""),"https://eitaa.com/mahfel_mahehashemion")</f>
        <v>https://eitaa.com/mahfel_mahehashemion</v>
      </c>
      <c r="K949" s="5"/>
      <c r="L949" s="5"/>
      <c r="M949" s="5"/>
      <c r="N949" s="5"/>
      <c r="O949" s="5"/>
      <c r="P949" s="5"/>
      <c r="Q949" s="5"/>
      <c r="R949" s="5"/>
      <c r="S949" s="5"/>
    </row>
    <row r="950">
      <c r="A950" s="5"/>
      <c r="B950" s="5" t="str">
        <f>IFERROR(__xludf.DUMMYFUNCTION("""COMPUTED_VALUE"""),"هیأت")</f>
        <v>هیأت</v>
      </c>
      <c r="C950" s="5" t="str">
        <f>IFERROR(__xludf.DUMMYFUNCTION("""COMPUTED_VALUE"""),"الزهرا")</f>
        <v>الزهرا</v>
      </c>
      <c r="D950" s="5" t="str">
        <f>IFERROR(__xludf.DUMMYFUNCTION("""COMPUTED_VALUE"""),"تهران")</f>
        <v>تهران</v>
      </c>
      <c r="E950" s="5"/>
      <c r="F950" s="5" t="str">
        <f>IFERROR(__xludf.DUMMYFUNCTION("""COMPUTED_VALUE"""),"مهرآباد جنوبی")</f>
        <v>مهرآباد جنوبی</v>
      </c>
      <c r="G950" s="5"/>
      <c r="H950" s="6" t="str">
        <f>IFERROR(__xludf.DUMMYFUNCTION("""COMPUTED_VALUE"""),"https://www.instagram.com/heiatoalzahra/")</f>
        <v>https://www.instagram.com/heiatoalzahra/</v>
      </c>
      <c r="I950" s="6" t="str">
        <f>IFERROR(__xludf.DUMMYFUNCTION("""COMPUTED_VALUE"""),"https://t.me/heiatoalzahra213")</f>
        <v>https://t.me/heiatoalzahra213</v>
      </c>
      <c r="J950" s="6" t="str">
        <f>IFERROR(__xludf.DUMMYFUNCTION("""COMPUTED_VALUE"""),"https://eitaa.com/masjedaliasghar")</f>
        <v>https://eitaa.com/masjedaliasghar</v>
      </c>
      <c r="K950" s="5"/>
      <c r="L950" s="5"/>
      <c r="M950" s="5"/>
      <c r="N950" s="5" t="str">
        <f>IFERROR(__xludf.DUMMYFUNCTION("""COMPUTED_VALUE"""),"*")</f>
        <v>*</v>
      </c>
      <c r="O950" s="5"/>
      <c r="P950" s="5"/>
      <c r="Q950" s="5"/>
      <c r="R950" s="5"/>
      <c r="S950" s="5"/>
    </row>
    <row r="951">
      <c r="A951" s="5"/>
      <c r="B951" s="5" t="str">
        <f>IFERROR(__xludf.DUMMYFUNCTION("""COMPUTED_VALUE"""),"هیأت")</f>
        <v>هیأت</v>
      </c>
      <c r="C951" s="5" t="str">
        <f>IFERROR(__xludf.DUMMYFUNCTION("""COMPUTED_VALUE"""),"روضه الحسین")</f>
        <v>روضه الحسین</v>
      </c>
      <c r="D951" s="5" t="str">
        <f>IFERROR(__xludf.DUMMYFUNCTION("""COMPUTED_VALUE"""),"تهران")</f>
        <v>تهران</v>
      </c>
      <c r="E951" s="5"/>
      <c r="F951" s="5"/>
      <c r="G951" s="5"/>
      <c r="H951" s="6" t="str">
        <f>IFERROR(__xludf.DUMMYFUNCTION("""COMPUTED_VALUE"""),"https://www.instagram.com/meftah_net")</f>
        <v>https://www.instagram.com/meftah_net</v>
      </c>
      <c r="I951" s="6" t="str">
        <f>IFERROR(__xludf.DUMMYFUNCTION("""COMPUTED_VALUE"""),"https://t.me/meftah_net")</f>
        <v>https://t.me/meftah_net</v>
      </c>
      <c r="J951" s="6" t="str">
        <f>IFERROR(__xludf.DUMMYFUNCTION("""COMPUTED_VALUE"""),"https://eitaa.com/meftah_net")</f>
        <v>https://eitaa.com/meftah_net</v>
      </c>
      <c r="K951" s="5"/>
      <c r="L951" s="5"/>
      <c r="M951" s="5"/>
      <c r="N951" s="5" t="str">
        <f>IFERROR(__xludf.DUMMYFUNCTION("""COMPUTED_VALUE"""),"*")</f>
        <v>*</v>
      </c>
      <c r="O951" s="5"/>
      <c r="P951" s="5"/>
      <c r="Q951" s="5"/>
      <c r="R951" s="5"/>
      <c r="S951" s="5"/>
    </row>
    <row r="952">
      <c r="A952" s="5"/>
      <c r="B952" s="5" t="str">
        <f>IFERROR(__xludf.DUMMYFUNCTION("""COMPUTED_VALUE"""),"هیأت")</f>
        <v>هیأت</v>
      </c>
      <c r="C952" s="5" t="str">
        <f>IFERROR(__xludf.DUMMYFUNCTION("""COMPUTED_VALUE"""),"بیت الحسن المجتبی")</f>
        <v>بیت الحسن المجتبی</v>
      </c>
      <c r="D952" s="5" t="str">
        <f>IFERROR(__xludf.DUMMYFUNCTION("""COMPUTED_VALUE"""),"تهران")</f>
        <v>تهران</v>
      </c>
      <c r="E952" s="5"/>
      <c r="F952" s="5"/>
      <c r="G952" s="5"/>
      <c r="H952" s="6" t="str">
        <f>IFERROR(__xludf.DUMMYFUNCTION("""COMPUTED_VALUE"""),"https://www.instagram.com/moez_org/")</f>
        <v>https://www.instagram.com/moez_org/</v>
      </c>
      <c r="I952" s="6" t="str">
        <f>IFERROR(__xludf.DUMMYFUNCTION("""COMPUTED_VALUE"""),"https://t.me/moez_org")</f>
        <v>https://t.me/moez_org</v>
      </c>
      <c r="J952" s="6" t="str">
        <f>IFERROR(__xludf.DUMMYFUNCTION("""COMPUTED_VALUE"""),"https://eitaa.com/moez_org")</f>
        <v>https://eitaa.com/moez_org</v>
      </c>
      <c r="K952" s="5"/>
      <c r="L952" s="5"/>
      <c r="M952" s="5"/>
      <c r="N952" s="5" t="str">
        <f>IFERROR(__xludf.DUMMYFUNCTION("""COMPUTED_VALUE"""),"*")</f>
        <v>*</v>
      </c>
      <c r="O952" s="5"/>
      <c r="P952" s="5"/>
      <c r="Q952" s="5"/>
      <c r="R952" s="5"/>
      <c r="S952" s="5"/>
    </row>
    <row r="953">
      <c r="A953" s="5"/>
      <c r="B953" s="5" t="str">
        <f>IFERROR(__xludf.DUMMYFUNCTION("""COMPUTED_VALUE"""),"هیأت")</f>
        <v>هیأت</v>
      </c>
      <c r="C953" s="5" t="str">
        <f>IFERROR(__xludf.DUMMYFUNCTION("""COMPUTED_VALUE"""),"محبان حضرت زینب")</f>
        <v>محبان حضرت زینب</v>
      </c>
      <c r="D953" s="5" t="str">
        <f>IFERROR(__xludf.DUMMYFUNCTION("""COMPUTED_VALUE"""),"تهران")</f>
        <v>تهران</v>
      </c>
      <c r="E953" s="5"/>
      <c r="F953" s="5"/>
      <c r="G953" s="5"/>
      <c r="H953" s="6" t="str">
        <f>IFERROR(__xludf.DUMMYFUNCTION("""COMPUTED_VALUE"""),"https://www.instagram.com/mohebban69.ir/")</f>
        <v>https://www.instagram.com/mohebban69.ir/</v>
      </c>
      <c r="I953" s="5" t="str">
        <f>IFERROR(__xludf.DUMMYFUNCTION("""COMPUTED_VALUE"""),"https://t.me/mohebban69  ")</f>
        <v>https://t.me/mohebban69  </v>
      </c>
      <c r="J953" s="6" t="str">
        <f>IFERROR(__xludf.DUMMYFUNCTION("""COMPUTED_VALUE"""),"https://eitaa.com/moheban69")</f>
        <v>https://eitaa.com/moheban69</v>
      </c>
      <c r="K953" s="5"/>
      <c r="L953" s="5"/>
      <c r="M953" s="5"/>
      <c r="N953" s="5" t="str">
        <f>IFERROR(__xludf.DUMMYFUNCTION("""COMPUTED_VALUE"""),"*")</f>
        <v>*</v>
      </c>
      <c r="O953" s="5"/>
      <c r="P953" s="5"/>
      <c r="Q953" s="5"/>
      <c r="R953" s="5"/>
      <c r="S953" s="5"/>
    </row>
    <row r="954">
      <c r="A954" s="5"/>
      <c r="B954" s="5" t="str">
        <f>IFERROR(__xludf.DUMMYFUNCTION("""COMPUTED_VALUE"""),"هیأت")</f>
        <v>هیأت</v>
      </c>
      <c r="C954" s="5" t="str">
        <f>IFERROR(__xludf.DUMMYFUNCTION("""COMPUTED_VALUE"""),"کف العباس حسینیه محبان الحسین")</f>
        <v>کف العباس حسینیه محبان الحسین</v>
      </c>
      <c r="D954" s="5" t="str">
        <f>IFERROR(__xludf.DUMMYFUNCTION("""COMPUTED_VALUE"""),"تهران")</f>
        <v>تهران</v>
      </c>
      <c r="E954" s="5"/>
      <c r="F954" s="5" t="str">
        <f>IFERROR(__xludf.DUMMYFUNCTION("""COMPUTED_VALUE"""),"خ شهید محمودی شرقی نرسیده به خ شهید هدایتی پ۲۲ «حسینیه محبان الحسین ع»")</f>
        <v>خ شهید محمودی شرقی نرسیده به خ شهید هدایتی پ۲۲ «حسینیه محبان الحسین ع»</v>
      </c>
      <c r="G954" s="5"/>
      <c r="H954" s="6" t="str">
        <f>IFERROR(__xludf.DUMMYFUNCTION("""COMPUTED_VALUE"""),"https://www.instagram.com/mohhebban_al_hosein/")</f>
        <v>https://www.instagram.com/mohhebban_al_hosein/</v>
      </c>
      <c r="I954" s="6" t="str">
        <f>IFERROR(__xludf.DUMMYFUNCTION("""COMPUTED_VALUE"""),"https://t.me/kaffollabbas")</f>
        <v>https://t.me/kaffollabbas</v>
      </c>
      <c r="J954" s="6" t="str">
        <f>IFERROR(__xludf.DUMMYFUNCTION("""COMPUTED_VALUE"""),"https://eitaa.com/mohebban_alhosein")</f>
        <v>https://eitaa.com/mohebban_alhosein</v>
      </c>
      <c r="K954" s="5"/>
      <c r="L954" s="5"/>
      <c r="M954" s="5"/>
      <c r="N954" s="5"/>
      <c r="O954" s="5"/>
      <c r="P954" s="5"/>
      <c r="Q954" s="5"/>
      <c r="R954" s="5"/>
      <c r="S954" s="5"/>
    </row>
    <row r="955">
      <c r="A955" s="5"/>
      <c r="B955" s="5" t="str">
        <f>IFERROR(__xludf.DUMMYFUNCTION("""COMPUTED_VALUE"""),"هیأت")</f>
        <v>هیأت</v>
      </c>
      <c r="C955" s="5" t="str">
        <f>IFERROR(__xludf.DUMMYFUNCTION("""COMPUTED_VALUE"""),"محبان الزهرا")</f>
        <v>محبان الزهرا</v>
      </c>
      <c r="D955" s="5" t="str">
        <f>IFERROR(__xludf.DUMMYFUNCTION("""COMPUTED_VALUE"""),"تهران")</f>
        <v>تهران</v>
      </c>
      <c r="E955" s="5"/>
      <c r="F955" s="5" t="str">
        <f>IFERROR(__xludf.DUMMYFUNCTION("""COMPUTED_VALUE"""),"اشرفی اصفهانی")</f>
        <v>اشرفی اصفهانی</v>
      </c>
      <c r="G955" s="5"/>
      <c r="H955" s="6" t="str">
        <f>IFERROR(__xludf.DUMMYFUNCTION("""COMPUTED_VALUE"""),"https://www.instagram.com/mohebbanozahra.ir/")</f>
        <v>https://www.instagram.com/mohebbanozahra.ir/</v>
      </c>
      <c r="I955" s="5"/>
      <c r="J955" s="6" t="str">
        <f>IFERROR(__xludf.DUMMYFUNCTION("""COMPUTED_VALUE"""),"https://eitaa.com/mohebbaniha")</f>
        <v>https://eitaa.com/mohebbaniha</v>
      </c>
      <c r="K955" s="5"/>
      <c r="L955" s="5"/>
      <c r="M955" s="5"/>
      <c r="N955" s="5"/>
      <c r="O955" s="5"/>
      <c r="P955" s="5"/>
      <c r="Q955" s="5"/>
      <c r="R955" s="5"/>
      <c r="S955" s="5"/>
    </row>
    <row r="956">
      <c r="A956" s="5"/>
      <c r="B956" s="5" t="str">
        <f>IFERROR(__xludf.DUMMYFUNCTION("""COMPUTED_VALUE"""),"هیأت دانشجویی")</f>
        <v>هیأت دانشجویی</v>
      </c>
      <c r="C956" s="5" t="str">
        <f>IFERROR(__xludf.DUMMYFUNCTION("""COMPUTED_VALUE"""),"محبین اهل بیت")</f>
        <v>محبین اهل بیت</v>
      </c>
      <c r="D956" s="5" t="str">
        <f>IFERROR(__xludf.DUMMYFUNCTION("""COMPUTED_VALUE"""),"تهران")</f>
        <v>تهران</v>
      </c>
      <c r="E956" s="5"/>
      <c r="F956" s="5" t="str">
        <f>IFERROR(__xludf.DUMMYFUNCTION("""COMPUTED_VALUE"""),"دانشگاه تربیت مدرس")</f>
        <v>دانشگاه تربیت مدرس</v>
      </c>
      <c r="G956" s="5"/>
      <c r="H956" s="6" t="str">
        <f>IFERROR(__xludf.DUMMYFUNCTION("""COMPUTED_VALUE"""),"https://www.instagram.com/mohebin_tmu/")</f>
        <v>https://www.instagram.com/mohebin_tmu/</v>
      </c>
      <c r="I956" s="6" t="str">
        <f>IFERROR(__xludf.DUMMYFUNCTION("""COMPUTED_VALUE"""),"https://t.me/mohebbin_tmu")</f>
        <v>https://t.me/mohebbin_tmu</v>
      </c>
      <c r="J956" s="6" t="str">
        <f>IFERROR(__xludf.DUMMYFUNCTION("""COMPUTED_VALUE"""),"https://eitaa.com/mohebbin_tmu")</f>
        <v>https://eitaa.com/mohebbin_tmu</v>
      </c>
      <c r="K956" s="6" t="str">
        <f>IFERROR(__xludf.DUMMYFUNCTION("""COMPUTED_VALUE"""),"https://ble.ir/mohebbin_tmu")</f>
        <v>https://ble.ir/mohebbin_tmu</v>
      </c>
      <c r="L956" s="5"/>
      <c r="M956" s="5"/>
      <c r="N956" s="5" t="str">
        <f>IFERROR(__xludf.DUMMYFUNCTION("""COMPUTED_VALUE"""),"*")</f>
        <v>*</v>
      </c>
      <c r="O956" s="5"/>
      <c r="P956" s="5"/>
      <c r="Q956" s="5"/>
      <c r="R956" s="5"/>
      <c r="S956" s="5"/>
    </row>
    <row r="957">
      <c r="A957" s="5"/>
      <c r="B957" s="5" t="str">
        <f>IFERROR(__xludf.DUMMYFUNCTION("""COMPUTED_VALUE"""),"هیأت")</f>
        <v>هیأت</v>
      </c>
      <c r="C957" s="5" t="str">
        <f>IFERROR(__xludf.DUMMYFUNCTION("""COMPUTED_VALUE"""),"محبین الجواد")</f>
        <v>محبین الجواد</v>
      </c>
      <c r="D957" s="5" t="str">
        <f>IFERROR(__xludf.DUMMYFUNCTION("""COMPUTED_VALUE"""),"تهران")</f>
        <v>تهران</v>
      </c>
      <c r="E957" s="5"/>
      <c r="F957" s="5" t="str">
        <f>IFERROR(__xludf.DUMMYFUNCTION("""COMPUTED_VALUE"""),"محلاتی")</f>
        <v>محلاتی</v>
      </c>
      <c r="G957" s="5"/>
      <c r="H957" s="6" t="str">
        <f>IFERROR(__xludf.DUMMYFUNCTION("""COMPUTED_VALUE"""),"https://www.instagram.com/mohebinoljavad135/")</f>
        <v>https://www.instagram.com/mohebinoljavad135/</v>
      </c>
      <c r="I957" s="5"/>
      <c r="J957" s="6" t="str">
        <f>IFERROR(__xludf.DUMMYFUNCTION("""COMPUTED_VALUE"""),"https://eitaa.com/mohebinoljavad135")</f>
        <v>https://eitaa.com/mohebinoljavad135</v>
      </c>
      <c r="K957" s="5"/>
      <c r="L957" s="5"/>
      <c r="M957" s="5"/>
      <c r="N957" s="5"/>
      <c r="O957" s="5"/>
      <c r="P957" s="5"/>
      <c r="Q957" s="5"/>
      <c r="R957" s="5"/>
      <c r="S957" s="5"/>
    </row>
    <row r="958">
      <c r="A958" s="5"/>
      <c r="B958" s="5" t="str">
        <f>IFERROR(__xludf.DUMMYFUNCTION("""COMPUTED_VALUE"""),"هیأت")</f>
        <v>هیأت</v>
      </c>
      <c r="C958" s="5" t="str">
        <f>IFERROR(__xludf.DUMMYFUNCTION("""COMPUTED_VALUE"""),"محبین شهادت")</f>
        <v>محبین شهادت</v>
      </c>
      <c r="D958" s="5" t="str">
        <f>IFERROR(__xludf.DUMMYFUNCTION("""COMPUTED_VALUE"""),"تهران")</f>
        <v>تهران</v>
      </c>
      <c r="E958" s="5"/>
      <c r="F958" s="5"/>
      <c r="G958" s="5"/>
      <c r="H958" s="6" t="str">
        <f>IFERROR(__xludf.DUMMYFUNCTION("""COMPUTED_VALUE"""),"https://www.instagram.com/mohebbin__info/")</f>
        <v>https://www.instagram.com/mohebbin__info/</v>
      </c>
      <c r="I958" s="6" t="str">
        <f>IFERROR(__xludf.DUMMYFUNCTION("""COMPUTED_VALUE"""),"https://t.me/mohebbineshahadat")</f>
        <v>https://t.me/mohebbineshahadat</v>
      </c>
      <c r="J958" s="6" t="str">
        <f>IFERROR(__xludf.DUMMYFUNCTION("""COMPUTED_VALUE"""),"https://eitaa.com/mohebinshahadat110")</f>
        <v>https://eitaa.com/mohebinshahadat110</v>
      </c>
      <c r="K958" s="5"/>
      <c r="L958" s="5"/>
      <c r="M958" s="5"/>
      <c r="N958" s="5" t="str">
        <f>IFERROR(__xludf.DUMMYFUNCTION("""COMPUTED_VALUE"""),"*")</f>
        <v>*</v>
      </c>
      <c r="O958" s="5"/>
      <c r="P958" s="5"/>
      <c r="Q958" s="5"/>
      <c r="R958" s="5"/>
      <c r="S958" s="5"/>
    </row>
    <row r="959">
      <c r="A959" s="5"/>
      <c r="B959" s="5" t="str">
        <f>IFERROR(__xludf.DUMMYFUNCTION("""COMPUTED_VALUE"""),"هیأت")</f>
        <v>هیأت</v>
      </c>
      <c r="C959" s="5" t="str">
        <f>IFERROR(__xludf.DUMMYFUNCTION("""COMPUTED_VALUE"""),"مکتب الزهرا")</f>
        <v>مکتب الزهرا</v>
      </c>
      <c r="D959" s="5" t="str">
        <f>IFERROR(__xludf.DUMMYFUNCTION("""COMPUTED_VALUE"""),"تهران")</f>
        <v>تهران</v>
      </c>
      <c r="E959" s="5"/>
      <c r="F959" s="5"/>
      <c r="G959" s="5"/>
      <c r="H959" s="6" t="str">
        <f>IFERROR(__xludf.DUMMYFUNCTION("""COMPUTED_VALUE"""),"https://www.instagram.com/nooriehinfo/")</f>
        <v>https://www.instagram.com/nooriehinfo/</v>
      </c>
      <c r="I959" s="6" t="str">
        <f>IFERROR(__xludf.DUMMYFUNCTION("""COMPUTED_VALUE"""),"https://t.me/nooriehinfo")</f>
        <v>https://t.me/nooriehinfo</v>
      </c>
      <c r="J959" s="6" t="str">
        <f>IFERROR(__xludf.DUMMYFUNCTION("""COMPUTED_VALUE"""),"https://eitaa.com/noorieh_ir")</f>
        <v>https://eitaa.com/noorieh_ir</v>
      </c>
      <c r="K959" s="5"/>
      <c r="L959" s="6" t="str">
        <f>IFERROR(__xludf.DUMMYFUNCTION("""COMPUTED_VALUE"""),"https://noorieh.ir/")</f>
        <v>https://noorieh.ir/</v>
      </c>
      <c r="M959" s="5"/>
      <c r="N959" s="5" t="str">
        <f>IFERROR(__xludf.DUMMYFUNCTION("""COMPUTED_VALUE"""),"*")</f>
        <v>*</v>
      </c>
      <c r="O959" s="5"/>
      <c r="P959" s="5"/>
      <c r="Q959" s="5"/>
      <c r="R959" s="5"/>
      <c r="S959" s="5"/>
    </row>
    <row r="960">
      <c r="A960" s="5"/>
      <c r="B960" s="5" t="str">
        <f>IFERROR(__xludf.DUMMYFUNCTION("""COMPUTED_VALUE"""),"هیأت")</f>
        <v>هیأت</v>
      </c>
      <c r="C960" s="5" t="str">
        <f>IFERROR(__xludf.DUMMYFUNCTION("""COMPUTED_VALUE"""),"نورالرضا")</f>
        <v>نورالرضا</v>
      </c>
      <c r="D960" s="5" t="str">
        <f>IFERROR(__xludf.DUMMYFUNCTION("""COMPUTED_VALUE"""),"تهران")</f>
        <v>تهران</v>
      </c>
      <c r="E960" s="5"/>
      <c r="F960" s="5"/>
      <c r="G960" s="5"/>
      <c r="H960" s="6" t="str">
        <f>IFERROR(__xludf.DUMMYFUNCTION("""COMPUTED_VALUE"""),"https://www.instagram.com/nororeza/")</f>
        <v>https://www.instagram.com/nororeza/</v>
      </c>
      <c r="I960" s="6" t="str">
        <f>IFERROR(__xludf.DUMMYFUNCTION("""COMPUTED_VALUE"""),"https://t.me/nororeza")</f>
        <v>https://t.me/nororeza</v>
      </c>
      <c r="J960" s="6" t="str">
        <f>IFERROR(__xludf.DUMMYFUNCTION("""COMPUTED_VALUE"""),"https://eitaa.com/nororeza")</f>
        <v>https://eitaa.com/nororeza</v>
      </c>
      <c r="K960" s="5"/>
      <c r="L960" s="5"/>
      <c r="M960" s="5"/>
      <c r="N960" s="5"/>
      <c r="O960" s="5"/>
      <c r="P960" s="5"/>
      <c r="Q960" s="5"/>
      <c r="R960" s="5"/>
      <c r="S960" s="5"/>
    </row>
    <row r="961">
      <c r="A961" s="5"/>
      <c r="B961" s="5" t="str">
        <f>IFERROR(__xludf.DUMMYFUNCTION("""COMPUTED_VALUE"""),"هیأت")</f>
        <v>هیأت</v>
      </c>
      <c r="C961" s="5" t="str">
        <f>IFERROR(__xludf.DUMMYFUNCTION("""COMPUTED_VALUE"""),"عشاق الزینب")</f>
        <v>عشاق الزینب</v>
      </c>
      <c r="D961" s="5" t="str">
        <f>IFERROR(__xludf.DUMMYFUNCTION("""COMPUTED_VALUE"""),"تهران")</f>
        <v>تهران</v>
      </c>
      <c r="E961" s="5"/>
      <c r="F961" s="5" t="str">
        <f>IFERROR(__xludf.DUMMYFUNCTION("""COMPUTED_VALUE"""),"بلوار فردوس")</f>
        <v>بلوار فردوس</v>
      </c>
      <c r="G961" s="5"/>
      <c r="H961" s="6" t="str">
        <f>IFERROR(__xludf.DUMMYFUNCTION("""COMPUTED_VALUE"""),"https://www.instagram.com/oshagh_al_zeynab_s/")</f>
        <v>https://www.instagram.com/oshagh_al_zeynab_s/</v>
      </c>
      <c r="I961" s="5"/>
      <c r="J961" s="6" t="str">
        <f>IFERROR(__xludf.DUMMYFUNCTION("""COMPUTED_VALUE"""),"https://eitaa.com/oshagh_alzeynab_s")</f>
        <v>https://eitaa.com/oshagh_alzeynab_s</v>
      </c>
      <c r="K961" s="5"/>
      <c r="L961" s="5"/>
      <c r="M961" s="5"/>
      <c r="N961" s="5"/>
      <c r="O961" s="5"/>
      <c r="P961" s="5"/>
      <c r="Q961" s="5"/>
      <c r="R961" s="5"/>
      <c r="S961" s="5"/>
    </row>
    <row r="962">
      <c r="A962" s="5"/>
      <c r="B962" s="5" t="str">
        <f>IFERROR(__xludf.DUMMYFUNCTION("""COMPUTED_VALUE"""),"هیأت")</f>
        <v>هیأت</v>
      </c>
      <c r="C962" s="5" t="str">
        <f>IFERROR(__xludf.DUMMYFUNCTION("""COMPUTED_VALUE"""),"ریحانه الحسین")</f>
        <v>ریحانه الحسین</v>
      </c>
      <c r="D962" s="5" t="str">
        <f>IFERROR(__xludf.DUMMYFUNCTION("""COMPUTED_VALUE"""),"تهران")</f>
        <v>تهران</v>
      </c>
      <c r="E962" s="5"/>
      <c r="F962" s="5"/>
      <c r="G962" s="5"/>
      <c r="H962" s="6" t="str">
        <f>IFERROR(__xludf.DUMMYFUNCTION("""COMPUTED_VALUE"""),"https://www.instagram.com/reyhanatolhosein1436/")</f>
        <v>https://www.instagram.com/reyhanatolhosein1436/</v>
      </c>
      <c r="I962" s="6" t="str">
        <f>IFERROR(__xludf.DUMMYFUNCTION("""COMPUTED_VALUE"""),"https://t.me/Reyhanatolhosein1436")</f>
        <v>https://t.me/Reyhanatolhosein1436</v>
      </c>
      <c r="J962" s="6" t="str">
        <f>IFERROR(__xludf.DUMMYFUNCTION("""COMPUTED_VALUE"""),"https://eitaa.com/reyhanatolhosein1436")</f>
        <v>https://eitaa.com/reyhanatolhosein1436</v>
      </c>
      <c r="K962" s="6" t="str">
        <f>IFERROR(__xludf.DUMMYFUNCTION("""COMPUTED_VALUE"""),"https://www.youtube.com/@reyhanatolhosein")</f>
        <v>https://www.youtube.com/@reyhanatolhosein</v>
      </c>
      <c r="L962" s="5"/>
      <c r="M962" s="5"/>
      <c r="N962" s="5"/>
      <c r="O962" s="5"/>
      <c r="P962" s="5"/>
      <c r="Q962" s="5"/>
      <c r="R962" s="5"/>
      <c r="S962" s="5"/>
    </row>
    <row r="963">
      <c r="A963" s="5"/>
      <c r="B963" s="5" t="str">
        <f>IFERROR(__xludf.DUMMYFUNCTION("""COMPUTED_VALUE"""),"هیأت")</f>
        <v>هیأت</v>
      </c>
      <c r="C963" s="5" t="str">
        <f>IFERROR(__xludf.DUMMYFUNCTION("""COMPUTED_VALUE"""),"ریحانه الحسین")</f>
        <v>ریحانه الحسین</v>
      </c>
      <c r="D963" s="5" t="str">
        <f>IFERROR(__xludf.DUMMYFUNCTION("""COMPUTED_VALUE"""),"تهران")</f>
        <v>تهران</v>
      </c>
      <c r="E963" s="5"/>
      <c r="F963" s="5"/>
      <c r="G963" s="5"/>
      <c r="H963" s="6" t="str">
        <f>IFERROR(__xludf.DUMMYFUNCTION("""COMPUTED_VALUE"""),"https://www.instagram.com/reyhanatolhossein")</f>
        <v>https://www.instagram.com/reyhanatolhossein</v>
      </c>
      <c r="I963" s="6" t="str">
        <f>IFERROR(__xludf.DUMMYFUNCTION("""COMPUTED_VALUE"""),"https://t.me/reyhanatolhossein_channel")</f>
        <v>https://t.me/reyhanatolhossein_channel</v>
      </c>
      <c r="J963" s="6" t="str">
        <f>IFERROR(__xludf.DUMMYFUNCTION("""COMPUTED_VALUE"""),"https://eitaa.com/reyhanatolhossein_channell")</f>
        <v>https://eitaa.com/reyhanatolhossein_channell</v>
      </c>
      <c r="K963" s="6" t="str">
        <f>IFERROR(__xludf.DUMMYFUNCTION("""COMPUTED_VALUE"""),"https://www.instagram.com/lohoof.info/")</f>
        <v>https://www.instagram.com/lohoof.info/</v>
      </c>
      <c r="L963" s="6" t="str">
        <f>IFERROR(__xludf.DUMMYFUNCTION("""COMPUTED_VALUE"""),"https://lohoof.com/")</f>
        <v>https://lohoof.com/</v>
      </c>
      <c r="M963" s="5"/>
      <c r="N963" s="5"/>
      <c r="O963" s="5"/>
      <c r="P963" s="5"/>
      <c r="Q963" s="5"/>
      <c r="R963" s="5"/>
      <c r="S963" s="5"/>
    </row>
    <row r="964">
      <c r="A964" s="5"/>
      <c r="B964" s="5" t="str">
        <f>IFERROR(__xludf.DUMMYFUNCTION("""COMPUTED_VALUE"""),"هیأت")</f>
        <v>هیأت</v>
      </c>
      <c r="C964" s="5" t="str">
        <f>IFERROR(__xludf.DUMMYFUNCTION("""COMPUTED_VALUE"""),"روضه مقدسه رضا جان")</f>
        <v>روضه مقدسه رضا جان</v>
      </c>
      <c r="D964" s="5" t="str">
        <f>IFERROR(__xludf.DUMMYFUNCTION("""COMPUTED_VALUE"""),"تهران")</f>
        <v>تهران</v>
      </c>
      <c r="E964" s="5"/>
      <c r="F964" s="5" t="str">
        <f>IFERROR(__xludf.DUMMYFUNCTION("""COMPUTED_VALUE"""),"میدان بهارستان خیابان شهید مصطفی خمینی پایین‌تر ازچهارراه سرچشمه حسینیه مکتب الرضا علیه السلام")</f>
        <v>میدان بهارستان خیابان شهید مصطفی خمینی پایین‌تر ازچهارراه سرچشمه حسینیه مکتب الرضا علیه السلام</v>
      </c>
      <c r="G964" s="5"/>
      <c r="H964" s="6" t="str">
        <f>IFERROR(__xludf.DUMMYFUNCTION("""COMPUTED_VALUE"""),"https://www.instagram.com/reza_jan_tehran/")</f>
        <v>https://www.instagram.com/reza_jan_tehran/</v>
      </c>
      <c r="I964" s="6" t="str">
        <f>IFERROR(__xludf.DUMMYFUNCTION("""COMPUTED_VALUE"""),"https://t.me/reza_jan_tehran")</f>
        <v>https://t.me/reza_jan_tehran</v>
      </c>
      <c r="J964" s="6" t="str">
        <f>IFERROR(__xludf.DUMMYFUNCTION("""COMPUTED_VALUE"""),"https://eitaa.com/reza_jan_tehran")</f>
        <v>https://eitaa.com/reza_jan_tehran</v>
      </c>
      <c r="K964" s="6" t="str">
        <f>IFERROR(__xludf.DUMMYFUNCTION("""COMPUTED_VALUE"""),"https://www.youtube.com/@rezajantehrann")</f>
        <v>https://www.youtube.com/@rezajantehrann</v>
      </c>
      <c r="L964" s="5"/>
      <c r="M964" s="5"/>
      <c r="N964" s="5"/>
      <c r="O964" s="5"/>
      <c r="P964" s="5"/>
      <c r="Q964" s="5"/>
      <c r="R964" s="5"/>
      <c r="S964" s="5"/>
    </row>
    <row r="965">
      <c r="A965" s="5"/>
      <c r="B965" s="5" t="str">
        <f>IFERROR(__xludf.DUMMYFUNCTION("""COMPUTED_VALUE"""),"هیأت")</f>
        <v>هیأت</v>
      </c>
      <c r="C965" s="5" t="str">
        <f>IFERROR(__xludf.DUMMYFUNCTION("""COMPUTED_VALUE"""),"روضه انصار الزهرا")</f>
        <v>روضه انصار الزهرا</v>
      </c>
      <c r="D965" s="5" t="str">
        <f>IFERROR(__xludf.DUMMYFUNCTION("""COMPUTED_VALUE"""),"تهران")</f>
        <v>تهران</v>
      </c>
      <c r="E965" s="5"/>
      <c r="F965" s="5" t="str">
        <f>IFERROR(__xludf.DUMMYFUNCTION("""COMPUTED_VALUE"""),"خیابان هنگام")</f>
        <v>خیابان هنگام</v>
      </c>
      <c r="G965" s="5"/>
      <c r="H965" s="6" t="str">
        <f>IFERROR(__xludf.DUMMYFUNCTION("""COMPUTED_VALUE"""),"https://www.instagram.com/rozeansarozahra/")</f>
        <v>https://www.instagram.com/rozeansarozahra/</v>
      </c>
      <c r="I965" s="6" t="str">
        <f>IFERROR(__xludf.DUMMYFUNCTION("""COMPUTED_VALUE"""),"https://t.me/rozeansarozahra")</f>
        <v>https://t.me/rozeansarozahra</v>
      </c>
      <c r="J965" s="6" t="str">
        <f>IFERROR(__xludf.DUMMYFUNCTION("""COMPUTED_VALUE"""),"https://eitaa.com/rozeansarozahra")</f>
        <v>https://eitaa.com/rozeansarozahra</v>
      </c>
      <c r="K965" s="5"/>
      <c r="L965" s="6" t="str">
        <f>IFERROR(__xludf.DUMMYFUNCTION("""COMPUTED_VALUE"""),"https://rozeansarozahra.ir/")</f>
        <v>https://rozeansarozahra.ir/</v>
      </c>
      <c r="M965" s="5"/>
      <c r="N965" s="5"/>
      <c r="O965" s="5"/>
      <c r="P965" s="5"/>
      <c r="Q965" s="5"/>
      <c r="R965" s="5"/>
      <c r="S965" s="5"/>
    </row>
    <row r="966">
      <c r="A966" s="5"/>
      <c r="B966" s="5" t="str">
        <f>IFERROR(__xludf.DUMMYFUNCTION("""COMPUTED_VALUE"""),"هیأت")</f>
        <v>هیأت</v>
      </c>
      <c r="C966" s="5" t="str">
        <f>IFERROR(__xludf.DUMMYFUNCTION("""COMPUTED_VALUE"""),"مسعود مهرجو")</f>
        <v>مسعود مهرجو</v>
      </c>
      <c r="D966" s="5" t="str">
        <f>IFERROR(__xludf.DUMMYFUNCTION("""COMPUTED_VALUE"""),"تهران")</f>
        <v>تهران</v>
      </c>
      <c r="E966" s="5"/>
      <c r="F966" s="5"/>
      <c r="G966" s="5"/>
      <c r="H966" s="6" t="str">
        <f>IFERROR(__xludf.DUMMYFUNCTION("""COMPUTED_VALUE"""),"https://www.instagram.com/rozekhanehajmasoudmehrjoo")</f>
        <v>https://www.instagram.com/rozekhanehajmasoudmehrjoo</v>
      </c>
      <c r="I966" s="6" t="str">
        <f>IFERROR(__xludf.DUMMYFUNCTION("""COMPUTED_VALUE"""),"https://t.me/hajmasoudmehrjoo")</f>
        <v>https://t.me/hajmasoudmehrjoo</v>
      </c>
      <c r="J966" s="6" t="str">
        <f>IFERROR(__xludf.DUMMYFUNCTION("""COMPUTED_VALUE"""),"https://eitaa.com/s/hajmasoudmehrjoo")</f>
        <v>https://eitaa.com/s/hajmasoudmehrjoo</v>
      </c>
      <c r="K966" s="5"/>
      <c r="L966" s="5"/>
      <c r="M966" s="5"/>
      <c r="N966" s="5"/>
      <c r="O966" s="5"/>
      <c r="P966" s="5"/>
      <c r="Q966" s="5"/>
      <c r="R966" s="5"/>
      <c r="S966" s="5"/>
    </row>
    <row r="967">
      <c r="A967" s="5"/>
      <c r="B967" s="5" t="str">
        <f>IFERROR(__xludf.DUMMYFUNCTION("""COMPUTED_VALUE"""),"هیأت")</f>
        <v>هیأت</v>
      </c>
      <c r="C967" s="5" t="str">
        <f>IFERROR(__xludf.DUMMYFUNCTION("""COMPUTED_VALUE"""),"متوسلین به حضرت قاسم")</f>
        <v>متوسلین به حضرت قاسم</v>
      </c>
      <c r="D967" s="5" t="str">
        <f>IFERROR(__xludf.DUMMYFUNCTION("""COMPUTED_VALUE"""),"تهران")</f>
        <v>تهران</v>
      </c>
      <c r="E967" s="5"/>
      <c r="F967" s="5" t="str">
        <f>IFERROR(__xludf.DUMMYFUNCTION("""COMPUTED_VALUE"""),"17 شهریور")</f>
        <v>17 شهریور</v>
      </c>
      <c r="G967" s="5"/>
      <c r="H967" s="6" t="str">
        <f>IFERROR(__xludf.DUMMYFUNCTION("""COMPUTED_VALUE"""),"https://www.instagram.com/heyat201_ir/")</f>
        <v>https://www.instagram.com/heyat201_ir/</v>
      </c>
      <c r="I967" s="6" t="str">
        <f>IFERROR(__xludf.DUMMYFUNCTION("""COMPUTED_VALUE"""),"https://t.me/heyat201_ir")</f>
        <v>https://t.me/heyat201_ir</v>
      </c>
      <c r="J967" s="6" t="str">
        <f>IFERROR(__xludf.DUMMYFUNCTION("""COMPUTED_VALUE"""),"https://eitaa.com/s/Heyat201_ir")</f>
        <v>https://eitaa.com/s/Heyat201_ir</v>
      </c>
      <c r="K967" s="5"/>
      <c r="L967" s="5"/>
      <c r="M967" s="5"/>
      <c r="N967" s="5" t="str">
        <f>IFERROR(__xludf.DUMMYFUNCTION("""COMPUTED_VALUE"""),"*")</f>
        <v>*</v>
      </c>
      <c r="O967" s="5"/>
      <c r="P967" s="5"/>
      <c r="Q967" s="5"/>
      <c r="R967" s="5"/>
      <c r="S967" s="5"/>
    </row>
    <row r="968">
      <c r="A968" s="5"/>
      <c r="B968" s="5" t="str">
        <f>IFERROR(__xludf.DUMMYFUNCTION("""COMPUTED_VALUE"""),"هیأت")</f>
        <v>هیأت</v>
      </c>
      <c r="C968" s="5" t="str">
        <f>IFERROR(__xludf.DUMMYFUNCTION("""COMPUTED_VALUE"""),"محبان فاطمه")</f>
        <v>محبان فاطمه</v>
      </c>
      <c r="D968" s="5" t="str">
        <f>IFERROR(__xludf.DUMMYFUNCTION("""COMPUTED_VALUE"""),"تهران")</f>
        <v>تهران</v>
      </c>
      <c r="E968" s="5"/>
      <c r="F968" s="5" t="str">
        <f>IFERROR(__xludf.DUMMYFUNCTION("""COMPUTED_VALUE"""),"بزرگراه نواب")</f>
        <v>بزرگراه نواب</v>
      </c>
      <c r="G968" s="5"/>
      <c r="H968" s="6" t="str">
        <f>IFERROR(__xludf.DUMMYFUNCTION("""COMPUTED_VALUE"""),"https://www.instagram.com/masjedzeinabieh/")</f>
        <v>https://www.instagram.com/masjedzeinabieh/</v>
      </c>
      <c r="I968" s="6" t="str">
        <f>IFERROR(__xludf.DUMMYFUNCTION("""COMPUTED_VALUE"""),"https://t.me/masjedzeinabieh")</f>
        <v>https://t.me/masjedzeinabieh</v>
      </c>
      <c r="J968" s="6" t="str">
        <f>IFERROR(__xludf.DUMMYFUNCTION("""COMPUTED_VALUE"""),"https://eitaa.com/s/masjedzeynabieh")</f>
        <v>https://eitaa.com/s/masjedzeynabieh</v>
      </c>
      <c r="K968" s="5"/>
      <c r="L968" s="5"/>
      <c r="M968" s="5"/>
      <c r="N968" s="5" t="str">
        <f>IFERROR(__xludf.DUMMYFUNCTION("""COMPUTED_VALUE"""),"*")</f>
        <v>*</v>
      </c>
      <c r="O968" s="5"/>
      <c r="P968" s="5"/>
      <c r="Q968" s="5"/>
      <c r="R968" s="5"/>
      <c r="S968" s="5"/>
    </row>
    <row r="969">
      <c r="A969" s="5"/>
      <c r="B969" s="5" t="str">
        <f>IFERROR(__xludf.DUMMYFUNCTION("""COMPUTED_VALUE"""),"هیأت دانشجویی")</f>
        <v>هیأت دانشجویی</v>
      </c>
      <c r="C969" s="5" t="str">
        <f>IFERROR(__xludf.DUMMYFUNCTION("""COMPUTED_VALUE"""),"میثاق با شهدا")</f>
        <v>میثاق با شهدا</v>
      </c>
      <c r="D969" s="5" t="str">
        <f>IFERROR(__xludf.DUMMYFUNCTION("""COMPUTED_VALUE"""),"تهران")</f>
        <v>تهران</v>
      </c>
      <c r="E969" s="5"/>
      <c r="F969" s="5" t="str">
        <f>IFERROR(__xludf.DUMMYFUNCTION("""COMPUTED_VALUE"""),"دانشگاه امام صادق")</f>
        <v>دانشگاه امام صادق</v>
      </c>
      <c r="G969" s="5"/>
      <c r="H969" s="6" t="str">
        <f>IFERROR(__xludf.DUMMYFUNCTION("""COMPUTED_VALUE"""),"https://www.instagram.com/misaq_ba_shohada/")</f>
        <v>https://www.instagram.com/misaq_ba_shohada/</v>
      </c>
      <c r="I969" s="6" t="str">
        <f>IFERROR(__xludf.DUMMYFUNCTION("""COMPUTED_VALUE"""),"https://t.me/misaq_ba_shohada")</f>
        <v>https://t.me/misaq_ba_shohada</v>
      </c>
      <c r="J969" s="6" t="str">
        <f>IFERROR(__xludf.DUMMYFUNCTION("""COMPUTED_VALUE"""),"https://eitaa.com/s/misaq_ba_shohada")</f>
        <v>https://eitaa.com/s/misaq_ba_shohada</v>
      </c>
      <c r="K969" s="6" t="str">
        <f>IFERROR(__xludf.DUMMYFUNCTION("""COMPUTED_VALUE"""),"https://ble.ir/@misaq_ba_shohada")</f>
        <v>https://ble.ir/@misaq_ba_shohada</v>
      </c>
      <c r="L969" s="5"/>
      <c r="M969" s="5"/>
      <c r="N969" s="5" t="str">
        <f>IFERROR(__xludf.DUMMYFUNCTION("""COMPUTED_VALUE"""),"*")</f>
        <v>*</v>
      </c>
      <c r="O969" s="5"/>
      <c r="P969" s="5"/>
      <c r="Q969" s="5"/>
      <c r="R969" s="5"/>
      <c r="S969" s="5"/>
    </row>
    <row r="970">
      <c r="A970" s="5"/>
      <c r="B970" s="5" t="str">
        <f>IFERROR(__xludf.DUMMYFUNCTION("""COMPUTED_VALUE"""),"هیأت")</f>
        <v>هیأت</v>
      </c>
      <c r="C970" s="5" t="str">
        <f>IFERROR(__xludf.DUMMYFUNCTION("""COMPUTED_VALUE"""),"روضة الشهداء")</f>
        <v>روضة الشهداء</v>
      </c>
      <c r="D970" s="5" t="str">
        <f>IFERROR(__xludf.DUMMYFUNCTION("""COMPUTED_VALUE"""),"تهران")</f>
        <v>تهران</v>
      </c>
      <c r="E970" s="5"/>
      <c r="F970" s="5" t="str">
        <f>IFERROR(__xludf.DUMMYFUNCTION("""COMPUTED_VALUE"""),"تهران، سردار جنگل‌،بهار غربی‌،بالاتر‌از‌میدان استاندارد")</f>
        <v>تهران، سردار جنگل‌،بهار غربی‌،بالاتر‌از‌میدان استاندارد</v>
      </c>
      <c r="G970" s="5"/>
      <c r="H970" s="6" t="str">
        <f>IFERROR(__xludf.DUMMYFUNCTION("""COMPUTED_VALUE"""),"https://www.instagram.com/rozatoshohada.ir/")</f>
        <v>https://www.instagram.com/rozatoshohada.ir/</v>
      </c>
      <c r="I970" s="6" t="str">
        <f>IFERROR(__xludf.DUMMYFUNCTION("""COMPUTED_VALUE"""),"https://t.me/rozatoshohada_ir")</f>
        <v>https://t.me/rozatoshohada_ir</v>
      </c>
      <c r="J970" s="6" t="str">
        <f>IFERROR(__xludf.DUMMYFUNCTION("""COMPUTED_VALUE"""),"https://eitaa.com/s/rozatoshohadaa_ir")</f>
        <v>https://eitaa.com/s/rozatoshohadaa_ir</v>
      </c>
      <c r="K970" s="5"/>
      <c r="L970" s="5"/>
      <c r="M970" s="5"/>
      <c r="N970" s="5"/>
      <c r="O970" s="5"/>
      <c r="P970" s="5"/>
      <c r="Q970" s="5"/>
      <c r="R970" s="5"/>
      <c r="S970" s="5"/>
    </row>
    <row r="971">
      <c r="A971" s="5"/>
      <c r="B971" s="5" t="str">
        <f>IFERROR(__xludf.DUMMYFUNCTION("""COMPUTED_VALUE"""),"هیأت")</f>
        <v>هیأت</v>
      </c>
      <c r="C971" s="5" t="str">
        <f>IFERROR(__xludf.DUMMYFUNCTION("""COMPUTED_VALUE"""),"سفینه الحسین")</f>
        <v>سفینه الحسین</v>
      </c>
      <c r="D971" s="5" t="str">
        <f>IFERROR(__xludf.DUMMYFUNCTION("""COMPUTED_VALUE"""),"تهران")</f>
        <v>تهران</v>
      </c>
      <c r="E971" s="5"/>
      <c r="F971" s="5" t="str">
        <f>IFERROR(__xludf.DUMMYFUNCTION("""COMPUTED_VALUE"""),"آستان‌مقدس‌امام‌زاده‌اسماعیل(ع)زرگنده")</f>
        <v>آستان‌مقدس‌امام‌زاده‌اسماعیل(ع)زرگنده</v>
      </c>
      <c r="G971" s="5"/>
      <c r="H971" s="6" t="str">
        <f>IFERROR(__xludf.DUMMYFUNCTION("""COMPUTED_VALUE"""),"https://www.instagram.com/safineh.info/")</f>
        <v>https://www.instagram.com/safineh.info/</v>
      </c>
      <c r="I971" s="6" t="str">
        <f>IFERROR(__xludf.DUMMYFUNCTION("""COMPUTED_VALUE"""),"https://t.me/Safineh_info")</f>
        <v>https://t.me/Safineh_info</v>
      </c>
      <c r="J971" s="6" t="str">
        <f>IFERROR(__xludf.DUMMYFUNCTION("""COMPUTED_VALUE"""),"https://eitaa.com/s/safineh_info")</f>
        <v>https://eitaa.com/s/safineh_info</v>
      </c>
      <c r="K971" s="5"/>
      <c r="L971" s="5"/>
      <c r="M971" s="5"/>
      <c r="N971" s="5"/>
      <c r="O971" s="5"/>
      <c r="P971" s="5"/>
      <c r="Q971" s="5"/>
      <c r="R971" s="5"/>
      <c r="S971" s="5"/>
    </row>
    <row r="972">
      <c r="A972" s="5"/>
      <c r="B972" s="5" t="str">
        <f>IFERROR(__xludf.DUMMYFUNCTION("""COMPUTED_VALUE"""),"هیأت")</f>
        <v>هیأت</v>
      </c>
      <c r="C972" s="5" t="str">
        <f>IFERROR(__xludf.DUMMYFUNCTION("""COMPUTED_VALUE"""),"سائلین الزهرا")</f>
        <v>سائلین الزهرا</v>
      </c>
      <c r="D972" s="5" t="str">
        <f>IFERROR(__xludf.DUMMYFUNCTION("""COMPUTED_VALUE"""),"تهران")</f>
        <v>تهران</v>
      </c>
      <c r="E972" s="5"/>
      <c r="F972" s="5"/>
      <c r="G972" s="5"/>
      <c r="H972" s="6" t="str">
        <f>IFERROR(__xludf.DUMMYFUNCTION("""COMPUTED_VALUE"""),"https://www.instagram.com/saelin18/")</f>
        <v>https://www.instagram.com/saelin18/</v>
      </c>
      <c r="I972" s="6" t="str">
        <f>IFERROR(__xludf.DUMMYFUNCTION("""COMPUTED_VALUE"""),"https://t.me/saelin18")</f>
        <v>https://t.me/saelin18</v>
      </c>
      <c r="J972" s="6" t="str">
        <f>IFERROR(__xludf.DUMMYFUNCTION("""COMPUTED_VALUE"""),"https://eitaa.com/saelin18")</f>
        <v>https://eitaa.com/saelin18</v>
      </c>
      <c r="K972" s="5"/>
      <c r="L972" s="5"/>
      <c r="M972" s="5"/>
      <c r="N972" s="5"/>
      <c r="O972" s="5"/>
      <c r="P972" s="5"/>
      <c r="Q972" s="5"/>
      <c r="R972" s="5"/>
      <c r="S972" s="5"/>
    </row>
    <row r="973">
      <c r="A973" s="5"/>
      <c r="B973" s="5" t="str">
        <f>IFERROR(__xludf.DUMMYFUNCTION("""COMPUTED_VALUE"""),"هیأت")</f>
        <v>هیأت</v>
      </c>
      <c r="C973" s="5" t="str">
        <f>IFERROR(__xludf.DUMMYFUNCTION("""COMPUTED_VALUE"""),"ثارالله")</f>
        <v>ثارالله</v>
      </c>
      <c r="D973" s="5" t="str">
        <f>IFERROR(__xludf.DUMMYFUNCTION("""COMPUTED_VALUE"""),"تهران")</f>
        <v>تهران</v>
      </c>
      <c r="E973" s="5"/>
      <c r="F973" s="5"/>
      <c r="G973" s="5"/>
      <c r="H973" s="6" t="str">
        <f>IFERROR(__xludf.DUMMYFUNCTION("""COMPUTED_VALUE"""),"https://www.instagram.com/saralahnet/")</f>
        <v>https://www.instagram.com/saralahnet/</v>
      </c>
      <c r="I973" s="6" t="str">
        <f>IFERROR(__xludf.DUMMYFUNCTION("""COMPUTED_VALUE"""),"https://t.me/saralahnet")</f>
        <v>https://t.me/saralahnet</v>
      </c>
      <c r="J973" s="6" t="str">
        <f>IFERROR(__xludf.DUMMYFUNCTION("""COMPUTED_VALUE"""),"https://eitaa.com/saralahnet")</f>
        <v>https://eitaa.com/saralahnet</v>
      </c>
      <c r="K973" s="5"/>
      <c r="L973" s="5"/>
      <c r="M973" s="5"/>
      <c r="N973" s="5"/>
      <c r="O973" s="5"/>
      <c r="P973" s="5"/>
      <c r="Q973" s="5"/>
      <c r="R973" s="5"/>
      <c r="S973" s="5"/>
    </row>
    <row r="974">
      <c r="A974" s="5"/>
      <c r="B974" s="5" t="str">
        <f>IFERROR(__xludf.DUMMYFUNCTION("""COMPUTED_VALUE"""),"هیأت دانشجویی")</f>
        <v>هیأت دانشجویی</v>
      </c>
      <c r="C974" s="5" t="str">
        <f>IFERROR(__xludf.DUMMYFUNCTION("""COMPUTED_VALUE"""),"فاطمیون")</f>
        <v>فاطمیون</v>
      </c>
      <c r="D974" s="5" t="str">
        <f>IFERROR(__xludf.DUMMYFUNCTION("""COMPUTED_VALUE"""),"تهران")</f>
        <v>تهران</v>
      </c>
      <c r="E974" s="5"/>
      <c r="F974" s="5" t="str">
        <f>IFERROR(__xludf.DUMMYFUNCTION("""COMPUTED_VALUE"""),"دانشگاه شهید بهشتی")</f>
        <v>دانشگاه شهید بهشتی</v>
      </c>
      <c r="G974" s="5"/>
      <c r="H974" s="6" t="str">
        <f>IFERROR(__xludf.DUMMYFUNCTION("""COMPUTED_VALUE"""),"https://www.instagram.com/sbu_heyat/")</f>
        <v>https://www.instagram.com/sbu_heyat/</v>
      </c>
      <c r="I974" s="6" t="str">
        <f>IFERROR(__xludf.DUMMYFUNCTION("""COMPUTED_VALUE"""),"https://t.me/SBU_HEYAT")</f>
        <v>https://t.me/SBU_HEYAT</v>
      </c>
      <c r="J974" s="6" t="str">
        <f>IFERROR(__xludf.DUMMYFUNCTION("""COMPUTED_VALUE"""),"https://eitaa.com/sbu_heyat")</f>
        <v>https://eitaa.com/sbu_heyat</v>
      </c>
      <c r="K974" s="6" t="str">
        <f>IFERROR(__xludf.DUMMYFUNCTION("""COMPUTED_VALUE"""),"https://ble.ir/Sbu_heyat")</f>
        <v>https://ble.ir/Sbu_heyat</v>
      </c>
      <c r="L974" s="5"/>
      <c r="M974" s="5"/>
      <c r="N974" s="5"/>
      <c r="O974" s="5"/>
      <c r="P974" s="5"/>
      <c r="Q974" s="5"/>
      <c r="R974" s="5"/>
      <c r="S974" s="5"/>
    </row>
    <row r="975">
      <c r="A975" s="5"/>
      <c r="B975" s="5" t="str">
        <f>IFERROR(__xludf.DUMMYFUNCTION("""COMPUTED_VALUE"""),"هیأت")</f>
        <v>هیأت</v>
      </c>
      <c r="C975" s="5" t="str">
        <f>IFERROR(__xludf.DUMMYFUNCTION("""COMPUTED_VALUE"""),"حان نثاران حسینی صنف بزاز")</f>
        <v>حان نثاران حسینی صنف بزاز</v>
      </c>
      <c r="D975" s="5" t="str">
        <f>IFERROR(__xludf.DUMMYFUNCTION("""COMPUTED_VALUE"""),"تهران")</f>
        <v>تهران</v>
      </c>
      <c r="E975" s="5"/>
      <c r="F975" s="5" t="str">
        <f>IFERROR(__xludf.DUMMYFUNCTION("""COMPUTED_VALUE"""),"روبروی پاچنار")</f>
        <v>روبروی پاچنار</v>
      </c>
      <c r="G975" s="5"/>
      <c r="H975" s="6" t="str">
        <f>IFERROR(__xludf.DUMMYFUNCTION("""COMPUTED_VALUE"""),"https://www.instagram.com/senf_bazzaz/")</f>
        <v>https://www.instagram.com/senf_bazzaz/</v>
      </c>
      <c r="I975" s="6" t="str">
        <f>IFERROR(__xludf.DUMMYFUNCTION("""COMPUTED_VALUE"""),"https://t.me/senf_bazzaz")</f>
        <v>https://t.me/senf_bazzaz</v>
      </c>
      <c r="J975" s="6" t="str">
        <f>IFERROR(__xludf.DUMMYFUNCTION("""COMPUTED_VALUE"""),"https://eitaa.com/senf_bazzaz")</f>
        <v>https://eitaa.com/senf_bazzaz</v>
      </c>
      <c r="K975" s="5"/>
      <c r="L975" s="5"/>
      <c r="M975" s="5"/>
      <c r="N975" s="5"/>
      <c r="O975" s="5"/>
      <c r="P975" s="5"/>
      <c r="Q975" s="5"/>
      <c r="R975" s="5"/>
      <c r="S975" s="5"/>
    </row>
    <row r="976">
      <c r="A976" s="5"/>
      <c r="B976" s="5" t="str">
        <f>IFERROR(__xludf.DUMMYFUNCTION("""COMPUTED_VALUE"""),"هیأت")</f>
        <v>هیأت</v>
      </c>
      <c r="C976" s="5" t="str">
        <f>IFERROR(__xludf.DUMMYFUNCTION("""COMPUTED_VALUE"""),"شفیع المذنبین")</f>
        <v>شفیع المذنبین</v>
      </c>
      <c r="D976" s="5" t="str">
        <f>IFERROR(__xludf.DUMMYFUNCTION("""COMPUTED_VALUE"""),"تهران")</f>
        <v>تهران</v>
      </c>
      <c r="E976" s="5"/>
      <c r="F976" s="5"/>
      <c r="G976" s="5"/>
      <c r="H976" s="6" t="str">
        <f>IFERROR(__xludf.DUMMYFUNCTION("""COMPUTED_VALUE"""),"https://www.instagram.com/shafie_al_moznebin/")</f>
        <v>https://www.instagram.com/shafie_al_moznebin/</v>
      </c>
      <c r="I976" s="6" t="str">
        <f>IFERROR(__xludf.DUMMYFUNCTION("""COMPUTED_VALUE"""),"https://t.me/Shafie_al_moznebin")</f>
        <v>https://t.me/Shafie_al_moznebin</v>
      </c>
      <c r="J976" s="6" t="str">
        <f>IFERROR(__xludf.DUMMYFUNCTION("""COMPUTED_VALUE"""),"https://eitaa.com/Shafie_al_mozne")</f>
        <v>https://eitaa.com/Shafie_al_mozne</v>
      </c>
      <c r="K976" s="5"/>
      <c r="L976" s="5"/>
      <c r="M976" s="5"/>
      <c r="N976" s="5"/>
      <c r="O976" s="5"/>
      <c r="P976" s="5"/>
      <c r="Q976" s="5"/>
      <c r="R976" s="5"/>
      <c r="S976" s="5"/>
    </row>
    <row r="977">
      <c r="A977" s="5"/>
      <c r="B977" s="5" t="str">
        <f>IFERROR(__xludf.DUMMYFUNCTION("""COMPUTED_VALUE"""),"هیأت")</f>
        <v>هیأت</v>
      </c>
      <c r="C977" s="5" t="str">
        <f>IFERROR(__xludf.DUMMYFUNCTION("""COMPUTED_VALUE"""),"حضرت زینب محفل خانواده ها")</f>
        <v>حضرت زینب محفل خانواده ها</v>
      </c>
      <c r="D977" s="5" t="str">
        <f>IFERROR(__xludf.DUMMYFUNCTION("""COMPUTED_VALUE"""),"تهران")</f>
        <v>تهران</v>
      </c>
      <c r="E977" s="5"/>
      <c r="F977" s="5" t="str">
        <f>IFERROR(__xludf.DUMMYFUNCTION("""COMPUTED_VALUE"""),"مهرآباد جنوبی")</f>
        <v>مهرآباد جنوبی</v>
      </c>
      <c r="G977" s="5"/>
      <c r="H977" s="6" t="str">
        <f>IFERROR(__xludf.DUMMYFUNCTION("""COMPUTED_VALUE"""),"https://www.instagram.com/heyat_yaazaynab/")</f>
        <v>https://www.instagram.com/heyat_yaazaynab/</v>
      </c>
      <c r="I977" s="5"/>
      <c r="J977" s="6" t="str">
        <f>IFERROR(__xludf.DUMMYFUNCTION("""COMPUTED_VALUE"""),"https://eitaa.com/yaa_zaynab")</f>
        <v>https://eitaa.com/yaa_zaynab</v>
      </c>
      <c r="K977" s="5"/>
      <c r="L977" s="5"/>
      <c r="M977" s="5" t="str">
        <f>IFERROR(__xludf.DUMMYFUNCTION("""COMPUTED_VALUE"""),"ایتا استخراج")</f>
        <v>ایتا استخراج</v>
      </c>
      <c r="N977" s="5" t="str">
        <f>IFERROR(__xludf.DUMMYFUNCTION("""COMPUTED_VALUE"""),"*")</f>
        <v>*</v>
      </c>
      <c r="O977" s="5"/>
      <c r="P977" s="5"/>
      <c r="Q977" s="5"/>
      <c r="R977" s="5"/>
      <c r="S977" s="5"/>
    </row>
    <row r="978">
      <c r="A978" s="5"/>
      <c r="B978" s="5" t="str">
        <f>IFERROR(__xludf.DUMMYFUNCTION("""COMPUTED_VALUE"""),"هیأت")</f>
        <v>هیأت</v>
      </c>
      <c r="C978" s="5" t="str">
        <f>IFERROR(__xludf.DUMMYFUNCTION("""COMPUTED_VALUE"""),"حسن جان")</f>
        <v>حسن جان</v>
      </c>
      <c r="D978" s="5" t="str">
        <f>IFERROR(__xludf.DUMMYFUNCTION("""COMPUTED_VALUE"""),"تهران")</f>
        <v>تهران</v>
      </c>
      <c r="E978" s="5"/>
      <c r="F978" s="5"/>
      <c r="G978" s="5"/>
      <c r="H978" s="6" t="str">
        <f>IFERROR(__xludf.DUMMYFUNCTION("""COMPUTED_VALUE"""),"https://www.instagram.com/heiat.hasanjan/")</f>
        <v>https://www.instagram.com/heiat.hasanjan/</v>
      </c>
      <c r="I978" s="6" t="str">
        <f>IFERROR(__xludf.DUMMYFUNCTION("""COMPUTED_VALUE"""),"https://t.me/hasanjan")</f>
        <v>https://t.me/hasanjan</v>
      </c>
      <c r="J978" s="6" t="str">
        <f>IFERROR(__xludf.DUMMYFUNCTION("""COMPUTED_VALUE"""),"https://www.instagram.com/hasan.jan/")</f>
        <v>https://www.instagram.com/hasan.jan/</v>
      </c>
      <c r="K978" s="5"/>
      <c r="L978" s="5"/>
      <c r="M978" s="5"/>
      <c r="N978" s="5"/>
      <c r="O978" s="5"/>
      <c r="P978" s="5"/>
      <c r="Q978" s="5"/>
      <c r="R978" s="5"/>
      <c r="S978" s="5"/>
    </row>
    <row r="979">
      <c r="A979" s="5"/>
      <c r="B979" s="5" t="str">
        <f>IFERROR(__xludf.DUMMYFUNCTION("""COMPUTED_VALUE"""),"هیأت")</f>
        <v>هیأت</v>
      </c>
      <c r="C979" s="5" t="str">
        <f>IFERROR(__xludf.DUMMYFUNCTION("""COMPUTED_VALUE"""),"روضه اخت العباس")</f>
        <v>روضه اخت العباس</v>
      </c>
      <c r="D979" s="5" t="str">
        <f>IFERROR(__xludf.DUMMYFUNCTION("""COMPUTED_VALUE"""),"تهران")</f>
        <v>تهران</v>
      </c>
      <c r="E979" s="5"/>
      <c r="F979" s="5" t="str">
        <f>IFERROR(__xludf.DUMMYFUNCTION("""COMPUTED_VALUE"""),"خيابان رى ، خيابان رضوى (آبمنگل)")</f>
        <v>خيابان رى ، خيابان رضوى (آبمنگل)</v>
      </c>
      <c r="G979" s="5"/>
      <c r="H979" s="6" t="str">
        <f>IFERROR(__xludf.DUMMYFUNCTION("""COMPUTED_VALUE"""),"https://www.instagram.com/okhtolabas/following/")</f>
        <v>https://www.instagram.com/okhtolabas/following/</v>
      </c>
      <c r="I979" s="6" t="str">
        <f>IFERROR(__xludf.DUMMYFUNCTION("""COMPUTED_VALUE"""),"https://t.me/hoseiniemashayekhi")</f>
        <v>https://t.me/hoseiniemashayekhi</v>
      </c>
      <c r="J979" s="6" t="str">
        <f>IFERROR(__xludf.DUMMYFUNCTION("""COMPUTED_VALUE"""),"https://www.instagram.com/hoseiniemashayekhi/")</f>
        <v>https://www.instagram.com/hoseiniemashayekhi/</v>
      </c>
      <c r="K979" s="5"/>
      <c r="L979" s="5"/>
      <c r="M979" s="5"/>
      <c r="N979" s="5"/>
      <c r="O979" s="5"/>
      <c r="P979" s="5"/>
      <c r="Q979" s="5"/>
      <c r="R979" s="5"/>
      <c r="S979" s="5"/>
    </row>
    <row r="980">
      <c r="A980" s="5"/>
      <c r="B980" s="5" t="str">
        <f>IFERROR(__xludf.DUMMYFUNCTION("""COMPUTED_VALUE"""),"هیأت")</f>
        <v>هیأت</v>
      </c>
      <c r="C980" s="5" t="str">
        <f>IFERROR(__xludf.DUMMYFUNCTION("""COMPUTED_VALUE"""),"انصارالعباس غرب تهران")</f>
        <v>انصارالعباس غرب تهران</v>
      </c>
      <c r="D980" s="5" t="str">
        <f>IFERROR(__xludf.DUMMYFUNCTION("""COMPUTED_VALUE"""),"تهران")</f>
        <v>تهران</v>
      </c>
      <c r="E980" s="5"/>
      <c r="F980" s="5" t="str">
        <f>IFERROR(__xludf.DUMMYFUNCTION("""COMPUTED_VALUE"""),"ستارخان")</f>
        <v>ستارخان</v>
      </c>
      <c r="G980" s="5"/>
      <c r="H980" s="6" t="str">
        <f>IFERROR(__xludf.DUMMYFUNCTION("""COMPUTED_VALUE"""),"https://www.instagram.com/mokeb_ansaralabas/")</f>
        <v>https://www.instagram.com/mokeb_ansaralabas/</v>
      </c>
      <c r="I980" s="6" t="str">
        <f>IFERROR(__xludf.DUMMYFUNCTION("""COMPUTED_VALUE"""),"https://t.me/ansaralabasgharbtehran")</f>
        <v>https://t.me/ansaralabasgharbtehran</v>
      </c>
      <c r="J980" s="6" t="str">
        <f>IFERROR(__xludf.DUMMYFUNCTION("""COMPUTED_VALUE"""),"https://www.instagram.com/hoseiniyh_ansaralabbas/")</f>
        <v>https://www.instagram.com/hoseiniyh_ansaralabbas/</v>
      </c>
      <c r="K980" s="5"/>
      <c r="L980" s="5"/>
      <c r="M980" s="5"/>
      <c r="N980" s="5" t="str">
        <f>IFERROR(__xludf.DUMMYFUNCTION("""COMPUTED_VALUE"""),"*")</f>
        <v>*</v>
      </c>
      <c r="O980" s="5"/>
      <c r="P980" s="5"/>
      <c r="Q980" s="5"/>
      <c r="R980" s="5"/>
      <c r="S980" s="5"/>
    </row>
    <row r="981">
      <c r="A981" s="5"/>
      <c r="B981" s="5" t="str">
        <f>IFERROR(__xludf.DUMMYFUNCTION("""COMPUTED_VALUE"""),"هیأت")</f>
        <v>هیأت</v>
      </c>
      <c r="C981" s="5" t="str">
        <f>IFERROR(__xludf.DUMMYFUNCTION("""COMPUTED_VALUE"""),"متوسلین به حضرت زهرا")</f>
        <v>متوسلین به حضرت زهرا</v>
      </c>
      <c r="D981" s="5" t="str">
        <f>IFERROR(__xludf.DUMMYFUNCTION("""COMPUTED_VALUE"""),"تهران")</f>
        <v>تهران</v>
      </c>
      <c r="E981" s="5"/>
      <c r="F981" s="5"/>
      <c r="G981" s="5"/>
      <c r="H981" s="6" t="str">
        <f>IFERROR(__xludf.DUMMYFUNCTION("""COMPUTED_VALUE"""),"https://www.instagram.com/masjed_yahya/")</f>
        <v>https://www.instagram.com/masjed_yahya/</v>
      </c>
      <c r="I981" s="6" t="str">
        <f>IFERROR(__xludf.DUMMYFUNCTION("""COMPUTED_VALUE"""),"https://t.me/mazloomeh")</f>
        <v>https://t.me/mazloomeh</v>
      </c>
      <c r="J981" s="6" t="str">
        <f>IFERROR(__xludf.DUMMYFUNCTION("""COMPUTED_VALUE"""),"https://www.instagram.com/mazloomeh/")</f>
        <v>https://www.instagram.com/mazloomeh/</v>
      </c>
      <c r="K981" s="5"/>
      <c r="L981" s="5"/>
      <c r="M981" s="5"/>
      <c r="N981" s="5" t="str">
        <f>IFERROR(__xludf.DUMMYFUNCTION("""COMPUTED_VALUE"""),"*")</f>
        <v>*</v>
      </c>
      <c r="O981" s="5"/>
      <c r="P981" s="5"/>
      <c r="Q981" s="5"/>
      <c r="R981" s="5"/>
      <c r="S981" s="5"/>
    </row>
    <row r="982">
      <c r="A982" s="5"/>
      <c r="B982" s="5" t="str">
        <f>IFERROR(__xludf.DUMMYFUNCTION("""COMPUTED_VALUE"""),"هیأت")</f>
        <v>هیأت</v>
      </c>
      <c r="C982" s="5" t="str">
        <f>IFERROR(__xludf.DUMMYFUNCTION("""COMPUTED_VALUE"""),"مکتب الرضا")</f>
        <v>مکتب الرضا</v>
      </c>
      <c r="D982" s="5" t="str">
        <f>IFERROR(__xludf.DUMMYFUNCTION("""COMPUTED_VALUE"""),"تهران")</f>
        <v>تهران</v>
      </c>
      <c r="E982" s="5"/>
      <c r="F982" s="5"/>
      <c r="G982" s="5"/>
      <c r="H982" s="6" t="str">
        <f>IFERROR(__xludf.DUMMYFUNCTION("""COMPUTED_VALUE"""),"https://www.instagram.com/razavioun.media/")</f>
        <v>https://www.instagram.com/razavioun.media/</v>
      </c>
      <c r="I982" s="6" t="str">
        <f>IFERROR(__xludf.DUMMYFUNCTION("""COMPUTED_VALUE"""),"https://t.me/razaviouninfo")</f>
        <v>https://t.me/razaviouninfo</v>
      </c>
      <c r="J982" s="6" t="str">
        <f>IFERROR(__xludf.DUMMYFUNCTION("""COMPUTED_VALUE"""),"https://www.instagram.com/razaviouninfo/")</f>
        <v>https://www.instagram.com/razaviouninfo/</v>
      </c>
      <c r="K982" s="5"/>
      <c r="L982" s="5"/>
      <c r="M982" s="5"/>
      <c r="N982" s="5"/>
      <c r="O982" s="5"/>
      <c r="P982" s="5"/>
      <c r="Q982" s="5"/>
      <c r="R982" s="5"/>
      <c r="S982" s="5"/>
    </row>
    <row r="983">
      <c r="A983" s="5"/>
      <c r="B983" s="5" t="str">
        <f>IFERROR(__xludf.DUMMYFUNCTION("""COMPUTED_VALUE"""),"هیأت")</f>
        <v>هیأت</v>
      </c>
      <c r="C983" s="5" t="str">
        <f>IFERROR(__xludf.DUMMYFUNCTION("""COMPUTED_VALUE"""),"پیروان امام حسن")</f>
        <v>پیروان امام حسن</v>
      </c>
      <c r="D983" s="5" t="str">
        <f>IFERROR(__xludf.DUMMYFUNCTION("""COMPUTED_VALUE"""),"تهران")</f>
        <v>تهران</v>
      </c>
      <c r="E983" s="5"/>
      <c r="F983" s="5" t="str">
        <f>IFERROR(__xludf.DUMMYFUNCTION("""COMPUTED_VALUE"""),"خيابان مولوى -نرسيده به تقاطع وحدت اسلامى - كوچه شهيد قاسمى")</f>
        <v>خيابان مولوى -نرسيده به تقاطع وحدت اسلامى - كوچه شهيد قاسمى</v>
      </c>
      <c r="G983" s="5"/>
      <c r="H983" s="6" t="str">
        <f>IFERROR(__xludf.DUMMYFUNCTION("""COMPUTED_VALUE"""),"https://www.instagram.com/peyrovan_emam_hosein/")</f>
        <v>https://www.instagram.com/peyrovan_emam_hosein/</v>
      </c>
      <c r="I983" s="6" t="str">
        <f>IFERROR(__xludf.DUMMYFUNCTION("""COMPUTED_VALUE"""),"https://t.me/peyrovan_emam_hosein")</f>
        <v>https://t.me/peyrovan_emam_hosein</v>
      </c>
      <c r="J983" s="5" t="str">
        <f>IFERROR(__xludf.DUMMYFUNCTION("""COMPUTED_VALUE"""),"peyrovan_emam_hosein")</f>
        <v>peyrovan_emam_hosein</v>
      </c>
      <c r="K983" s="5"/>
      <c r="L983" s="5"/>
      <c r="M983" s="5"/>
      <c r="N983" s="5"/>
      <c r="O983" s="5"/>
      <c r="P983" s="5"/>
      <c r="Q983" s="5"/>
      <c r="R983" s="5"/>
      <c r="S983" s="5"/>
    </row>
    <row r="984">
      <c r="A984" s="5"/>
      <c r="B984" s="5" t="str">
        <f>IFERROR(__xludf.DUMMYFUNCTION("""COMPUTED_VALUE"""),"هیأت")</f>
        <v>هیأت</v>
      </c>
      <c r="C984" s="5" t="str">
        <f>IFERROR(__xludf.DUMMYFUNCTION("""COMPUTED_VALUE"""),"لثارات الحسین")</f>
        <v>لثارات الحسین</v>
      </c>
      <c r="D984" s="5" t="str">
        <f>IFERROR(__xludf.DUMMYFUNCTION("""COMPUTED_VALUE"""),"تهران")</f>
        <v>تهران</v>
      </c>
      <c r="E984" s="5"/>
      <c r="F984" s="5" t="str">
        <f>IFERROR(__xludf.DUMMYFUNCTION("""COMPUTED_VALUE"""),"میدان رسالت")</f>
        <v>میدان رسالت</v>
      </c>
      <c r="G984" s="5"/>
      <c r="H984" s="6" t="str">
        <f>IFERROR(__xludf.DUMMYFUNCTION("""COMPUTED_VALUE"""),"https://www.instagram.com/lasaratalhossein1378/")</f>
        <v>https://www.instagram.com/lasaratalhossein1378/</v>
      </c>
      <c r="I984" s="6" t="str">
        <f>IFERROR(__xludf.DUMMYFUNCTION("""COMPUTED_VALUE"""),"http://t.me/lasaratelhosain")</f>
        <v>http://t.me/lasaratelhosain</v>
      </c>
      <c r="J984" s="5"/>
      <c r="K984" s="5"/>
      <c r="L984" s="5"/>
      <c r="M984" s="5"/>
      <c r="N984" s="5"/>
      <c r="O984" s="5"/>
      <c r="P984" s="5"/>
      <c r="Q984" s="5"/>
      <c r="R984" s="5"/>
      <c r="S984" s="5"/>
    </row>
    <row r="985">
      <c r="A985" s="5"/>
      <c r="B985" s="5" t="str">
        <f>IFERROR(__xludf.DUMMYFUNCTION("""COMPUTED_VALUE"""),"هیأت")</f>
        <v>هیأت</v>
      </c>
      <c r="C985" s="5" t="str">
        <f>IFERROR(__xludf.DUMMYFUNCTION("""COMPUTED_VALUE"""),"هیأت الزهرا")</f>
        <v>هیأت الزهرا</v>
      </c>
      <c r="D985" s="5" t="str">
        <f>IFERROR(__xludf.DUMMYFUNCTION("""COMPUTED_VALUE"""),"تهران")</f>
        <v>تهران</v>
      </c>
      <c r="E985" s="5"/>
      <c r="F985" s="5"/>
      <c r="G985" s="5"/>
      <c r="H985" s="6" t="str">
        <f>IFERROR(__xludf.DUMMYFUNCTION("""COMPUTED_VALUE"""),"https://www.instagram.com/heiatozahra/")</f>
        <v>https://www.instagram.com/heiatozahra/</v>
      </c>
      <c r="I985" s="6" t="str">
        <f>IFERROR(__xludf.DUMMYFUNCTION("""COMPUTED_VALUE"""),"https://t.me/alkosarheiatozahra")</f>
        <v>https://t.me/alkosarheiatozahra</v>
      </c>
      <c r="J985" s="5"/>
      <c r="K985" s="5"/>
      <c r="L985" s="6" t="str">
        <f>IFERROR(__xludf.DUMMYFUNCTION("""COMPUTED_VALUE"""),"https://www.khonehmadari.com/")</f>
        <v>https://www.khonehmadari.com/</v>
      </c>
      <c r="M985" s="5"/>
      <c r="N985" s="5" t="str">
        <f>IFERROR(__xludf.DUMMYFUNCTION("""COMPUTED_VALUE"""),"*")</f>
        <v>*</v>
      </c>
      <c r="O985" s="5"/>
      <c r="P985" s="5"/>
      <c r="Q985" s="5"/>
      <c r="R985" s="5"/>
      <c r="S985" s="5"/>
    </row>
    <row r="986">
      <c r="A986" s="5"/>
      <c r="B986" s="5" t="str">
        <f>IFERROR(__xludf.DUMMYFUNCTION("""COMPUTED_VALUE"""),"هیأت")</f>
        <v>هیأت</v>
      </c>
      <c r="C986" s="5" t="str">
        <f>IFERROR(__xludf.DUMMYFUNCTION("""COMPUTED_VALUE"""),"محبان الزهرا")</f>
        <v>محبان الزهرا</v>
      </c>
      <c r="D986" s="5" t="str">
        <f>IFERROR(__xludf.DUMMYFUNCTION("""COMPUTED_VALUE"""),"تهران")</f>
        <v>تهران</v>
      </c>
      <c r="E986" s="5"/>
      <c r="F986" s="5" t="str">
        <f>IFERROR(__xludf.DUMMYFUNCTION("""COMPUTED_VALUE"""),"سعادت آباد")</f>
        <v>سعادت آباد</v>
      </c>
      <c r="G986" s="5"/>
      <c r="H986" s="6" t="str">
        <f>IFERROR(__xludf.DUMMYFUNCTION("""COMPUTED_VALUE"""),"https://www.instagram.com/mohebanozahra/")</f>
        <v>https://www.instagram.com/mohebanozahra/</v>
      </c>
      <c r="I986" s="6" t="str">
        <f>IFERROR(__xludf.DUMMYFUNCTION("""COMPUTED_VALUE"""),"https://t.me/C_agh")</f>
        <v>https://t.me/C_agh</v>
      </c>
      <c r="J986" s="5"/>
      <c r="K986" s="5"/>
      <c r="L986" s="5"/>
      <c r="M986" s="5"/>
      <c r="N986" s="5"/>
      <c r="O986" s="5"/>
      <c r="P986" s="5"/>
      <c r="Q986" s="5"/>
      <c r="R986" s="5"/>
      <c r="S986" s="5"/>
    </row>
    <row r="987">
      <c r="A987" s="5"/>
      <c r="B987" s="5" t="str">
        <f>IFERROR(__xludf.DUMMYFUNCTION("""COMPUTED_VALUE"""),"هیأت")</f>
        <v>هیأت</v>
      </c>
      <c r="C987" s="5" t="str">
        <f>IFERROR(__xludf.DUMMYFUNCTION("""COMPUTED_VALUE"""),"دردانه حسین")</f>
        <v>دردانه حسین</v>
      </c>
      <c r="D987" s="5" t="str">
        <f>IFERROR(__xludf.DUMMYFUNCTION("""COMPUTED_VALUE"""),"تهران")</f>
        <v>تهران</v>
      </c>
      <c r="E987" s="5"/>
      <c r="F987" s="5" t="str">
        <f>IFERROR(__xludf.DUMMYFUNCTION("""COMPUTED_VALUE"""),"شهرک‌شریعتی‌خ‌مهران‌کوچه‌شهید‌میرزائی")</f>
        <v>شهرک‌شریعتی‌خ‌مهران‌کوچه‌شهید‌میرزائی</v>
      </c>
      <c r="G987" s="5"/>
      <c r="H987" s="6" t="str">
        <f>IFERROR(__xludf.DUMMYFUNCTION("""COMPUTED_VALUE"""),"https://www.instagram.com/roze_dordane_hosein/")</f>
        <v>https://www.instagram.com/roze_dordane_hosein/</v>
      </c>
      <c r="I987" s="6" t="str">
        <f>IFERROR(__xludf.DUMMYFUNCTION("""COMPUTED_VALUE"""),"https://t.me/dordanehosein")</f>
        <v>https://t.me/dordanehosein</v>
      </c>
      <c r="J987" s="5"/>
      <c r="K987" s="5"/>
      <c r="L987" s="5"/>
      <c r="M987" s="5"/>
      <c r="N987" s="5"/>
      <c r="O987" s="5"/>
      <c r="P987" s="5"/>
      <c r="Q987" s="5"/>
      <c r="R987" s="5"/>
      <c r="S987" s="5"/>
    </row>
    <row r="988">
      <c r="A988" s="5"/>
      <c r="B988" s="5" t="str">
        <f>IFERROR(__xludf.DUMMYFUNCTION("""COMPUTED_VALUE"""),"هیأت")</f>
        <v>هیأت</v>
      </c>
      <c r="C988" s="5" t="str">
        <f>IFERROR(__xludf.DUMMYFUNCTION("""COMPUTED_VALUE"""),"فاطمیون")</f>
        <v>فاطمیون</v>
      </c>
      <c r="D988" s="5" t="str">
        <f>IFERROR(__xludf.DUMMYFUNCTION("""COMPUTED_VALUE"""),"تهران")</f>
        <v>تهران</v>
      </c>
      <c r="E988" s="5"/>
      <c r="F988" s="5" t="str">
        <f>IFERROR(__xludf.DUMMYFUNCTION("""COMPUTED_VALUE"""),"شهرگ قدس")</f>
        <v>شهرگ قدس</v>
      </c>
      <c r="G988" s="5"/>
      <c r="H988" s="6" t="str">
        <f>IFERROR(__xludf.DUMMYFUNCTION("""COMPUTED_VALUE"""),"https://www.instagram.com/heyaat_fatemioon/")</f>
        <v>https://www.instagram.com/heyaat_fatemioon/</v>
      </c>
      <c r="I988" s="6" t="str">
        <f>IFERROR(__xludf.DUMMYFUNCTION("""COMPUTED_VALUE"""),"https://t.me/fatemioongharb")</f>
        <v>https://t.me/fatemioongharb</v>
      </c>
      <c r="J988" s="5"/>
      <c r="K988" s="5"/>
      <c r="L988" s="5"/>
      <c r="M988" s="5"/>
      <c r="N988" s="5" t="str">
        <f>IFERROR(__xludf.DUMMYFUNCTION("""COMPUTED_VALUE"""),"*")</f>
        <v>*</v>
      </c>
      <c r="O988" s="5"/>
      <c r="P988" s="5"/>
      <c r="Q988" s="5"/>
      <c r="R988" s="5"/>
      <c r="S988" s="5"/>
    </row>
    <row r="989">
      <c r="A989" s="5"/>
      <c r="B989" s="5" t="str">
        <f>IFERROR(__xludf.DUMMYFUNCTION("""COMPUTED_VALUE"""),"هیأت")</f>
        <v>هیأت</v>
      </c>
      <c r="C989" s="5" t="str">
        <f>IFERROR(__xludf.DUMMYFUNCTION("""COMPUTED_VALUE"""),"فاطمیه مجمع الانصار")</f>
        <v>فاطمیه مجمع الانصار</v>
      </c>
      <c r="D989" s="5" t="str">
        <f>IFERROR(__xludf.DUMMYFUNCTION("""COMPUTED_VALUE"""),"تهران")</f>
        <v>تهران</v>
      </c>
      <c r="E989" s="5"/>
      <c r="F989" s="5" t="str">
        <f>IFERROR(__xludf.DUMMYFUNCTION("""COMPUTED_VALUE"""),"شرق تهران")</f>
        <v>شرق تهران</v>
      </c>
      <c r="G989" s="5"/>
      <c r="H989" s="6" t="str">
        <f>IFERROR(__xludf.DUMMYFUNCTION("""COMPUTED_VALUE"""),"https://www.instagram.com/majmaolansar/")</f>
        <v>https://www.instagram.com/majmaolansar/</v>
      </c>
      <c r="I989" s="6" t="str">
        <f>IFERROR(__xludf.DUMMYFUNCTION("""COMPUTED_VALUE"""),"https://t.me/Fatemiyeh_94")</f>
        <v>https://t.me/Fatemiyeh_94</v>
      </c>
      <c r="J989" s="5"/>
      <c r="K989" s="5"/>
      <c r="L989" s="5"/>
      <c r="M989" s="5"/>
      <c r="N989" s="5"/>
      <c r="O989" s="5"/>
      <c r="P989" s="5"/>
      <c r="Q989" s="5"/>
      <c r="R989" s="5"/>
      <c r="S989" s="5"/>
    </row>
    <row r="990">
      <c r="A990" s="5"/>
      <c r="B990" s="5" t="str">
        <f>IFERROR(__xludf.DUMMYFUNCTION("""COMPUTED_VALUE"""),"هیأت")</f>
        <v>هیأت</v>
      </c>
      <c r="C990" s="5" t="str">
        <f>IFERROR(__xludf.DUMMYFUNCTION("""COMPUTED_VALUE"""),"محبان حضرت علی اکبر")</f>
        <v>محبان حضرت علی اکبر</v>
      </c>
      <c r="D990" s="5" t="str">
        <f>IFERROR(__xludf.DUMMYFUNCTION("""COMPUTED_VALUE"""),"تهران")</f>
        <v>تهران</v>
      </c>
      <c r="E990" s="5"/>
      <c r="F990" s="5" t="str">
        <f>IFERROR(__xludf.DUMMYFUNCTION("""COMPUTED_VALUE"""),"فلکه چهارم خزانه بخارایی، خیابان جمشید سید، نبش کوچه شهید اسماعیلی")</f>
        <v>فلکه چهارم خزانه بخارایی، خیابان جمشید سید، نبش کوچه شهید اسماعیلی</v>
      </c>
      <c r="G990" s="5"/>
      <c r="H990" s="6" t="str">
        <f>IFERROR(__xludf.DUMMYFUNCTION("""COMPUTED_VALUE"""),"https://www.instagram.com/tahuor110/")</f>
        <v>https://www.instagram.com/tahuor110/</v>
      </c>
      <c r="I990" s="6" t="str">
        <f>IFERROR(__xludf.DUMMYFUNCTION("""COMPUTED_VALUE"""),"https://t.me/gahvareh_tahur")</f>
        <v>https://t.me/gahvareh_tahur</v>
      </c>
      <c r="J990" s="5"/>
      <c r="K990" s="5"/>
      <c r="L990" s="5"/>
      <c r="M990" s="5"/>
      <c r="N990" s="5"/>
      <c r="O990" s="5"/>
      <c r="P990" s="5"/>
      <c r="Q990" s="5"/>
      <c r="R990" s="5"/>
      <c r="S990" s="5"/>
    </row>
    <row r="991">
      <c r="A991" s="5"/>
      <c r="B991" s="5" t="str">
        <f>IFERROR(__xludf.DUMMYFUNCTION("""COMPUTED_VALUE"""),"هیأت")</f>
        <v>هیأت</v>
      </c>
      <c r="C991" s="5" t="str">
        <f>IFERROR(__xludf.DUMMYFUNCTION("""COMPUTED_VALUE"""),"روضه شهزادگان کربلا")</f>
        <v>روضه شهزادگان کربلا</v>
      </c>
      <c r="D991" s="5" t="str">
        <f>IFERROR(__xludf.DUMMYFUNCTION("""COMPUTED_VALUE"""),"تهران")</f>
        <v>تهران</v>
      </c>
      <c r="E991" s="5"/>
      <c r="F991" s="5" t="str">
        <f>IFERROR(__xludf.DUMMYFUNCTION("""COMPUTED_VALUE"""),"لویزان")</f>
        <v>لویزان</v>
      </c>
      <c r="G991" s="5"/>
      <c r="H991" s="6" t="str">
        <f>IFERROR(__xludf.DUMMYFUNCTION("""COMPUTED_VALUE"""),"https://www.instagram.com/shahzadegan_e_karbala/")</f>
        <v>https://www.instagram.com/shahzadegan_e_karbala/</v>
      </c>
      <c r="I991" s="6" t="str">
        <f>IFERROR(__xludf.DUMMYFUNCTION("""COMPUTED_VALUE"""),"https://t.me/gharib133")</f>
        <v>https://t.me/gharib133</v>
      </c>
      <c r="J991" s="5"/>
      <c r="K991" s="5"/>
      <c r="L991" s="5"/>
      <c r="M991" s="5"/>
      <c r="N991" s="5"/>
      <c r="O991" s="5"/>
      <c r="P991" s="5"/>
      <c r="Q991" s="5"/>
      <c r="R991" s="5"/>
      <c r="S991" s="5"/>
    </row>
    <row r="992">
      <c r="A992" s="5"/>
      <c r="B992" s="5" t="str">
        <f>IFERROR(__xludf.DUMMYFUNCTION("""COMPUTED_VALUE"""),"هیأت")</f>
        <v>هیأت</v>
      </c>
      <c r="C992" s="5" t="str">
        <f>IFERROR(__xludf.DUMMYFUNCTION("""COMPUTED_VALUE"""),"یاحسن طهران")</f>
        <v>یاحسن طهران</v>
      </c>
      <c r="D992" s="5" t="str">
        <f>IFERROR(__xludf.DUMMYFUNCTION("""COMPUTED_VALUE"""),"تهران")</f>
        <v>تهران</v>
      </c>
      <c r="E992" s="5"/>
      <c r="F992" s="5"/>
      <c r="G992" s="5"/>
      <c r="H992" s="6" t="str">
        <f>IFERROR(__xludf.DUMMYFUNCTION("""COMPUTED_VALUE"""),"https://www.instagram.com/heyat_yahassan_tehran/")</f>
        <v>https://www.instagram.com/heyat_yahassan_tehran/</v>
      </c>
      <c r="I992" s="6" t="str">
        <f>IFERROR(__xludf.DUMMYFUNCTION("""COMPUTED_VALUE"""),"https://t.me/haj_Seyed_Vahid_Mostafavi")</f>
        <v>https://t.me/haj_Seyed_Vahid_Mostafavi</v>
      </c>
      <c r="J992" s="5"/>
      <c r="K992" s="5"/>
      <c r="L992" s="5"/>
      <c r="M992" s="5"/>
      <c r="N992" s="5" t="str">
        <f>IFERROR(__xludf.DUMMYFUNCTION("""COMPUTED_VALUE"""),"*")</f>
        <v>*</v>
      </c>
      <c r="O992" s="5"/>
      <c r="P992" s="5"/>
      <c r="Q992" s="5"/>
      <c r="R992" s="5"/>
      <c r="S992" s="5"/>
    </row>
    <row r="993">
      <c r="A993" s="5"/>
      <c r="B993" s="5" t="str">
        <f>IFERROR(__xludf.DUMMYFUNCTION("""COMPUTED_VALUE"""),"هیأت")</f>
        <v>هیأت</v>
      </c>
      <c r="C993" s="5" t="str">
        <f>IFERROR(__xludf.DUMMYFUNCTION("""COMPUTED_VALUE"""),"یازهرا")</f>
        <v>یازهرا</v>
      </c>
      <c r="D993" s="5" t="str">
        <f>IFERROR(__xludf.DUMMYFUNCTION("""COMPUTED_VALUE"""),"تهران")</f>
        <v>تهران</v>
      </c>
      <c r="E993" s="5"/>
      <c r="F993" s="5"/>
      <c r="G993" s="5"/>
      <c r="H993" s="6" t="str">
        <f>IFERROR(__xludf.DUMMYFUNCTION("""COMPUTED_VALUE"""),"https://www.instagram.com/heyat_ya_zahra135/")</f>
        <v>https://www.instagram.com/heyat_ya_zahra135/</v>
      </c>
      <c r="I993" s="6" t="str">
        <f>IFERROR(__xludf.DUMMYFUNCTION("""COMPUTED_VALUE"""),"https://t.me/Hasan_hoseynkhani")</f>
        <v>https://t.me/Hasan_hoseynkhani</v>
      </c>
      <c r="J993" s="5"/>
      <c r="K993" s="5"/>
      <c r="L993" s="5"/>
      <c r="M993" s="5" t="str">
        <f>IFERROR(__xludf.DUMMYFUNCTION("""COMPUTED_VALUE"""),"حسن حسین خانی")</f>
        <v>حسن حسین خانی</v>
      </c>
      <c r="N993" s="5" t="str">
        <f>IFERROR(__xludf.DUMMYFUNCTION("""COMPUTED_VALUE"""),"*")</f>
        <v>*</v>
      </c>
      <c r="O993" s="5"/>
      <c r="P993" s="5"/>
      <c r="Q993" s="5"/>
      <c r="R993" s="5"/>
      <c r="S993" s="5"/>
    </row>
    <row r="994">
      <c r="A994" s="5"/>
      <c r="B994" s="5" t="str">
        <f>IFERROR(__xludf.DUMMYFUNCTION("""COMPUTED_VALUE"""),"هیأت")</f>
        <v>هیأت</v>
      </c>
      <c r="C994" s="5" t="str">
        <f>IFERROR(__xludf.DUMMYFUNCTION("""COMPUTED_VALUE"""),"ابن الرضا")</f>
        <v>ابن الرضا</v>
      </c>
      <c r="D994" s="5" t="str">
        <f>IFERROR(__xludf.DUMMYFUNCTION("""COMPUTED_VALUE"""),"تهران")</f>
        <v>تهران</v>
      </c>
      <c r="E994" s="5"/>
      <c r="F994" s="5"/>
      <c r="G994" s="5"/>
      <c r="H994" s="6" t="str">
        <f>IFERROR(__xludf.DUMMYFUNCTION("""COMPUTED_VALUE"""),"https://www.instagram.com/heiate.ebnoreza/")</f>
        <v>https://www.instagram.com/heiate.ebnoreza/</v>
      </c>
      <c r="I994" s="6" t="str">
        <f>IFERROR(__xludf.DUMMYFUNCTION("""COMPUTED_VALUE"""),"https://t.me/heiate_ebnoreza")</f>
        <v>https://t.me/heiate_ebnoreza</v>
      </c>
      <c r="J994" s="5"/>
      <c r="K994" s="5"/>
      <c r="L994" s="5"/>
      <c r="M994" s="5" t="str">
        <f>IFERROR(__xludf.DUMMYFUNCTION("""COMPUTED_VALUE"""),"محمد کریمی")</f>
        <v>محمد کریمی</v>
      </c>
      <c r="N994" s="5" t="str">
        <f>IFERROR(__xludf.DUMMYFUNCTION("""COMPUTED_VALUE"""),"*")</f>
        <v>*</v>
      </c>
      <c r="O994" s="5"/>
      <c r="P994" s="5"/>
      <c r="Q994" s="5"/>
      <c r="R994" s="5"/>
      <c r="S994" s="5"/>
    </row>
    <row r="995">
      <c r="A995" s="5"/>
      <c r="B995" s="5" t="str">
        <f>IFERROR(__xludf.DUMMYFUNCTION("""COMPUTED_VALUE"""),"هیأت")</f>
        <v>هیأت</v>
      </c>
      <c r="C995" s="5" t="str">
        <f>IFERROR(__xludf.DUMMYFUNCTION("""COMPUTED_VALUE"""),"محبین اهل بیت")</f>
        <v>محبین اهل بیت</v>
      </c>
      <c r="D995" s="5" t="str">
        <f>IFERROR(__xludf.DUMMYFUNCTION("""COMPUTED_VALUE"""),"تهران")</f>
        <v>تهران</v>
      </c>
      <c r="E995" s="5"/>
      <c r="F995" s="5" t="str">
        <f>IFERROR(__xludf.DUMMYFUNCTION("""COMPUTED_VALUE"""),"شهرک مسعودیه")</f>
        <v>شهرک مسعودیه</v>
      </c>
      <c r="G995" s="5"/>
      <c r="H995" s="6" t="str">
        <f>IFERROR(__xludf.DUMMYFUNCTION("""COMPUTED_VALUE"""),"https://www.instagram.com/heiate_mohebbin/")</f>
        <v>https://www.instagram.com/heiate_mohebbin/</v>
      </c>
      <c r="I995" s="6" t="str">
        <f>IFERROR(__xludf.DUMMYFUNCTION("""COMPUTED_VALUE"""),"https://t.me/heiate_mohebbin")</f>
        <v>https://t.me/heiate_mohebbin</v>
      </c>
      <c r="J995" s="5"/>
      <c r="K995" s="5"/>
      <c r="L995" s="5"/>
      <c r="M995" s="5"/>
      <c r="N995" s="5"/>
      <c r="O995" s="5"/>
      <c r="P995" s="5"/>
      <c r="Q995" s="5"/>
      <c r="R995" s="5"/>
      <c r="S995" s="5"/>
    </row>
    <row r="996">
      <c r="A996" s="5"/>
      <c r="B996" s="5" t="str">
        <f>IFERROR(__xludf.DUMMYFUNCTION("""COMPUTED_VALUE"""),"هیأت")</f>
        <v>هیأت</v>
      </c>
      <c r="C996" s="5" t="str">
        <f>IFERROR(__xludf.DUMMYFUNCTION("""COMPUTED_VALUE"""),"بنت النبی")</f>
        <v>بنت النبی</v>
      </c>
      <c r="D996" s="5" t="str">
        <f>IFERROR(__xludf.DUMMYFUNCTION("""COMPUTED_VALUE"""),"تهران")</f>
        <v>تهران</v>
      </c>
      <c r="E996" s="5"/>
      <c r="F996" s="5" t="str">
        <f>IFERROR(__xludf.DUMMYFUNCTION("""COMPUTED_VALUE"""),"نیاوران")</f>
        <v>نیاوران</v>
      </c>
      <c r="G996" s="5"/>
      <c r="H996" s="6" t="str">
        <f>IFERROR(__xludf.DUMMYFUNCTION("""COMPUTED_VALUE"""),"https://www.instagram.com/heiate.bentonabi/")</f>
        <v>https://www.instagram.com/heiate.bentonabi/</v>
      </c>
      <c r="I996" s="6" t="str">
        <f>IFERROR(__xludf.DUMMYFUNCTION("""COMPUTED_VALUE"""),"https://t.me/heiatebentonabi")</f>
        <v>https://t.me/heiatebentonabi</v>
      </c>
      <c r="J996" s="5"/>
      <c r="K996" s="5"/>
      <c r="L996" s="5"/>
      <c r="M996" s="5"/>
      <c r="N996" s="5" t="str">
        <f>IFERROR(__xludf.DUMMYFUNCTION("""COMPUTED_VALUE"""),"*")</f>
        <v>*</v>
      </c>
      <c r="O996" s="5"/>
      <c r="P996" s="5"/>
      <c r="Q996" s="5"/>
      <c r="R996" s="5"/>
      <c r="S996" s="5"/>
    </row>
    <row r="997">
      <c r="A997" s="5"/>
      <c r="B997" s="5" t="str">
        <f>IFERROR(__xludf.DUMMYFUNCTION("""COMPUTED_VALUE"""),"هیأت")</f>
        <v>هیأت</v>
      </c>
      <c r="C997" s="5" t="str">
        <f>IFERROR(__xludf.DUMMYFUNCTION("""COMPUTED_VALUE"""),"رزمندگان اسلام غرب تهران")</f>
        <v>رزمندگان اسلام غرب تهران</v>
      </c>
      <c r="D997" s="5" t="str">
        <f>IFERROR(__xludf.DUMMYFUNCTION("""COMPUTED_VALUE"""),"تهران")</f>
        <v>تهران</v>
      </c>
      <c r="E997" s="5"/>
      <c r="F997" s="5"/>
      <c r="G997" s="5"/>
      <c r="H997" s="6" t="str">
        <f>IFERROR(__xludf.DUMMYFUNCTION("""COMPUTED_VALUE"""),"https://www.instagram.com/heiatrazmandegan")</f>
        <v>https://www.instagram.com/heiatrazmandegan</v>
      </c>
      <c r="I997" s="6" t="str">
        <f>IFERROR(__xludf.DUMMYFUNCTION("""COMPUTED_VALUE"""),"https://t.me/heiatrazmandegan")</f>
        <v>https://t.me/heiatrazmandegan</v>
      </c>
      <c r="J997" s="5"/>
      <c r="K997" s="5"/>
      <c r="L997" s="6" t="str">
        <f>IFERROR(__xludf.DUMMYFUNCTION("""COMPUTED_VALUE"""),"https://valasr.ir/")</f>
        <v>https://valasr.ir/</v>
      </c>
      <c r="M997" s="5" t="str">
        <f>IFERROR(__xludf.DUMMYFUNCTION("""COMPUTED_VALUE"""),"حدادیان")</f>
        <v>حدادیان</v>
      </c>
      <c r="N997" s="5" t="str">
        <f>IFERROR(__xludf.DUMMYFUNCTION("""COMPUTED_VALUE"""),"*")</f>
        <v>*</v>
      </c>
      <c r="O997" s="5"/>
      <c r="P997" s="5"/>
      <c r="Q997" s="5"/>
      <c r="R997" s="5"/>
      <c r="S997" s="5"/>
    </row>
    <row r="998">
      <c r="A998" s="5"/>
      <c r="B998" s="5" t="str">
        <f>IFERROR(__xludf.DUMMYFUNCTION("""COMPUTED_VALUE"""),"هیأت دانشجویی")</f>
        <v>هیأت دانشجویی</v>
      </c>
      <c r="C998" s="5" t="str">
        <f>IFERROR(__xludf.DUMMYFUNCTION("""COMPUTED_VALUE"""),"سیدالشهداء")</f>
        <v>سیدالشهداء</v>
      </c>
      <c r="D998" s="5" t="str">
        <f>IFERROR(__xludf.DUMMYFUNCTION("""COMPUTED_VALUE"""),"تهران")</f>
        <v>تهران</v>
      </c>
      <c r="E998" s="5"/>
      <c r="F998" s="5" t="str">
        <f>IFERROR(__xludf.DUMMYFUNCTION("""COMPUTED_VALUE"""),"دانشکده علوم اجتماعی دانشگاه تهران")</f>
        <v>دانشکده علوم اجتماعی دانشگاه تهران</v>
      </c>
      <c r="G998" s="5"/>
      <c r="H998" s="6" t="str">
        <f>IFERROR(__xludf.DUMMYFUNCTION("""COMPUTED_VALUE"""),"https://www.instagram.com/heiatseyedoshohada/")</f>
        <v>https://www.instagram.com/heiatseyedoshohada/</v>
      </c>
      <c r="I998" s="6" t="str">
        <f>IFERROR(__xludf.DUMMYFUNCTION("""COMPUTED_VALUE"""),"https://t.me/heiatseyedoshohada")</f>
        <v>https://t.me/heiatseyedoshohada</v>
      </c>
      <c r="J998" s="5"/>
      <c r="K998" s="5"/>
      <c r="L998" s="5"/>
      <c r="M998" s="5"/>
      <c r="N998" s="5" t="str">
        <f>IFERROR(__xludf.DUMMYFUNCTION("""COMPUTED_VALUE"""),"*")</f>
        <v>*</v>
      </c>
      <c r="O998" s="5"/>
      <c r="P998" s="5"/>
      <c r="Q998" s="5"/>
      <c r="R998" s="5"/>
      <c r="S998" s="5"/>
    </row>
    <row r="999">
      <c r="A999" s="5"/>
      <c r="B999" s="5" t="str">
        <f>IFERROR(__xludf.DUMMYFUNCTION("""COMPUTED_VALUE"""),"هیأت")</f>
        <v>هیأت</v>
      </c>
      <c r="C999" s="5" t="str">
        <f>IFERROR(__xludf.DUMMYFUNCTION("""COMPUTED_VALUE"""),"شاهزاده علی اکبر")</f>
        <v>شاهزاده علی اکبر</v>
      </c>
      <c r="D999" s="5" t="str">
        <f>IFERROR(__xludf.DUMMYFUNCTION("""COMPUTED_VALUE"""),"تهران")</f>
        <v>تهران</v>
      </c>
      <c r="E999" s="5"/>
      <c r="F999" s="5"/>
      <c r="G999" s="5"/>
      <c r="H999" s="6" t="str">
        <f>IFERROR(__xludf.DUMMYFUNCTION("""COMPUTED_VALUE"""),"https://www.instagram.com/shahzade_aliakbarr333/")</f>
        <v>https://www.instagram.com/shahzade_aliakbarr333/</v>
      </c>
      <c r="I999" s="6" t="str">
        <f>IFERROR(__xludf.DUMMYFUNCTION("""COMPUTED_VALUE"""),"https://t.me/heiatshahzadealiakbar82")</f>
        <v>https://t.me/heiatshahzadealiakbar82</v>
      </c>
      <c r="J999" s="5"/>
      <c r="K999" s="5"/>
      <c r="L999" s="5"/>
      <c r="M999" s="5"/>
      <c r="N999" s="5"/>
      <c r="O999" s="5"/>
      <c r="P999" s="5"/>
      <c r="Q999" s="5"/>
      <c r="R999" s="5"/>
      <c r="S999" s="5"/>
    </row>
    <row r="1000">
      <c r="A1000" s="5"/>
      <c r="B1000" s="5" t="str">
        <f>IFERROR(__xludf.DUMMYFUNCTION("""COMPUTED_VALUE"""),"هیأت")</f>
        <v>هیأت</v>
      </c>
      <c r="C1000" s="5" t="str">
        <f>IFERROR(__xludf.DUMMYFUNCTION("""COMPUTED_VALUE"""),"سجادیه")</f>
        <v>سجادیه</v>
      </c>
      <c r="D1000" s="5" t="str">
        <f>IFERROR(__xludf.DUMMYFUNCTION("""COMPUTED_VALUE"""),"تهران")</f>
        <v>تهران</v>
      </c>
      <c r="E1000" s="5"/>
      <c r="F1000" s="5" t="str">
        <f>IFERROR(__xludf.DUMMYFUNCTION("""COMPUTED_VALUE"""),"17 شهریور")</f>
        <v>17 شهریور</v>
      </c>
      <c r="G1000" s="5"/>
      <c r="H1000" s="6" t="str">
        <f>IFERROR(__xludf.DUMMYFUNCTION("""COMPUTED_VALUE"""),"https://www.instagram.com/heyat__sajadieh/")</f>
        <v>https://www.instagram.com/heyat__sajadieh/</v>
      </c>
      <c r="I1000" s="6" t="str">
        <f>IFERROR(__xludf.DUMMYFUNCTION("""COMPUTED_VALUE"""),"https://t.me/heyaatsajadieh")</f>
        <v>https://t.me/heyaatsajadieh</v>
      </c>
      <c r="J1000" s="5"/>
      <c r="K1000" s="5"/>
      <c r="L1000" s="5"/>
      <c r="M1000" s="5"/>
      <c r="N1000" s="5" t="str">
        <f>IFERROR(__xludf.DUMMYFUNCTION("""COMPUTED_VALUE"""),"*")</f>
        <v>*</v>
      </c>
      <c r="O1000" s="5"/>
      <c r="P1000" s="5"/>
      <c r="Q1000" s="5"/>
      <c r="R1000" s="5"/>
      <c r="S1000" s="5"/>
    </row>
    <row r="1001">
      <c r="A1001" s="5"/>
      <c r="B1001" s="5" t="str">
        <f>IFERROR(__xludf.DUMMYFUNCTION("""COMPUTED_VALUE"""),"هیأت")</f>
        <v>هیأت</v>
      </c>
      <c r="C1001" s="5" t="str">
        <f>IFERROR(__xludf.DUMMYFUNCTION("""COMPUTED_VALUE"""),"عشاق الرضا طهران")</f>
        <v>عشاق الرضا طهران</v>
      </c>
      <c r="D1001" s="5" t="str">
        <f>IFERROR(__xludf.DUMMYFUNCTION("""COMPUTED_VALUE"""),"تهران")</f>
        <v>تهران</v>
      </c>
      <c r="E1001" s="5"/>
      <c r="F1001" s="5"/>
      <c r="G1001" s="5"/>
      <c r="H1001" s="6" t="str">
        <f>IFERROR(__xludf.DUMMYFUNCTION("""COMPUTED_VALUE"""),"https://www.instagram.com/heyat_oshagholreza1001/")</f>
        <v>https://www.instagram.com/heyat_oshagholreza1001/</v>
      </c>
      <c r="I1001" s="6" t="str">
        <f>IFERROR(__xludf.DUMMYFUNCTION("""COMPUTED_VALUE"""),"https://t.me/heyat_oshagholreza1001")</f>
        <v>https://t.me/heyat_oshagholreza1001</v>
      </c>
      <c r="J1001" s="5"/>
      <c r="K1001" s="5"/>
      <c r="L1001" s="5"/>
      <c r="M1001" s="5"/>
      <c r="N1001" s="5" t="str">
        <f>IFERROR(__xludf.DUMMYFUNCTION("""COMPUTED_VALUE"""),"*")</f>
        <v>*</v>
      </c>
      <c r="O1001" s="5"/>
      <c r="P1001" s="5"/>
      <c r="Q1001" s="5"/>
      <c r="R1001" s="5"/>
      <c r="S1001" s="5"/>
    </row>
    <row r="1002">
      <c r="A1002" s="5"/>
      <c r="B1002" s="5" t="str">
        <f>IFERROR(__xludf.DUMMYFUNCTION("""COMPUTED_VALUE"""),"هیأت")</f>
        <v>هیأت</v>
      </c>
      <c r="C1002" s="5" t="str">
        <f>IFERROR(__xludf.DUMMYFUNCTION("""COMPUTED_VALUE"""),"عشاق الرقیه")</f>
        <v>عشاق الرقیه</v>
      </c>
      <c r="D1002" s="5" t="str">
        <f>IFERROR(__xludf.DUMMYFUNCTION("""COMPUTED_VALUE"""),"تهران")</f>
        <v>تهران</v>
      </c>
      <c r="E1002" s="5"/>
      <c r="F1002" s="5" t="str">
        <f>IFERROR(__xludf.DUMMYFUNCTION("""COMPUTED_VALUE"""),"خیابان شهید ایت‌الله غفاری نبش کوچه شهید خداپرست مسجد الهادی حسینیه عشاق‌الرقیه(س)")</f>
        <v>خیابان شهید ایت‌الله غفاری نبش کوچه شهید خداپرست مسجد الهادی حسینیه عشاق‌الرقیه(س)</v>
      </c>
      <c r="G1002" s="5"/>
      <c r="H1002" s="6" t="str">
        <f>IFERROR(__xludf.DUMMYFUNCTION("""COMPUTED_VALUE"""),"https://www.instagram.com/heyate817/")</f>
        <v>https://www.instagram.com/heyate817/</v>
      </c>
      <c r="I1002" s="6" t="str">
        <f>IFERROR(__xludf.DUMMYFUNCTION("""COMPUTED_VALUE"""),"https://t.me/heyate817")</f>
        <v>https://t.me/heyate817</v>
      </c>
      <c r="J1002" s="5"/>
      <c r="K1002" s="5"/>
      <c r="L1002" s="5"/>
      <c r="M1002" s="5"/>
      <c r="N1002" s="5" t="str">
        <f>IFERROR(__xludf.DUMMYFUNCTION("""COMPUTED_VALUE"""),"*")</f>
        <v>*</v>
      </c>
      <c r="O1002" s="5"/>
      <c r="P1002" s="5"/>
      <c r="Q1002" s="5"/>
      <c r="R1002" s="5"/>
      <c r="S1002" s="5"/>
    </row>
    <row r="1003">
      <c r="A1003" s="5"/>
      <c r="B1003" s="5" t="str">
        <f>IFERROR(__xludf.DUMMYFUNCTION("""COMPUTED_VALUE"""),"هیأت")</f>
        <v>هیأت</v>
      </c>
      <c r="C1003" s="5" t="str">
        <f>IFERROR(__xludf.DUMMYFUNCTION("""COMPUTED_VALUE"""),"العطش")</f>
        <v>العطش</v>
      </c>
      <c r="D1003" s="5" t="str">
        <f>IFERROR(__xludf.DUMMYFUNCTION("""COMPUTED_VALUE"""),"تهران")</f>
        <v>تهران</v>
      </c>
      <c r="E1003" s="5"/>
      <c r="F1003" s="5"/>
      <c r="G1003" s="5"/>
      <c r="H1003" s="6" t="str">
        <f>IFERROR(__xludf.DUMMYFUNCTION("""COMPUTED_VALUE"""),"https://www.instagram.com/heyatealatash/")</f>
        <v>https://www.instagram.com/heyatealatash/</v>
      </c>
      <c r="I1003" s="6" t="str">
        <f>IFERROR(__xludf.DUMMYFUNCTION("""COMPUTED_VALUE"""),"https://t.me/heyatealatash")</f>
        <v>https://t.me/heyatealatash</v>
      </c>
      <c r="J1003" s="5"/>
      <c r="K1003" s="5"/>
      <c r="L1003" s="5"/>
      <c r="M1003" s="5"/>
      <c r="N1003" s="5" t="str">
        <f>IFERROR(__xludf.DUMMYFUNCTION("""COMPUTED_VALUE"""),"*")</f>
        <v>*</v>
      </c>
      <c r="O1003" s="5"/>
      <c r="P1003" s="5"/>
      <c r="Q1003" s="5"/>
      <c r="R1003" s="5"/>
      <c r="S1003" s="5"/>
    </row>
    <row r="1004">
      <c r="A1004" s="5"/>
      <c r="B1004" s="5" t="str">
        <f>IFERROR(__xludf.DUMMYFUNCTION("""COMPUTED_VALUE"""),"هیأت")</f>
        <v>هیأت</v>
      </c>
      <c r="C1004" s="5" t="str">
        <f>IFERROR(__xludf.DUMMYFUNCTION("""COMPUTED_VALUE"""),"حرم")</f>
        <v>حرم</v>
      </c>
      <c r="D1004" s="5" t="str">
        <f>IFERROR(__xludf.DUMMYFUNCTION("""COMPUTED_VALUE"""),"تهران")</f>
        <v>تهران</v>
      </c>
      <c r="E1004" s="5"/>
      <c r="F1004" s="5"/>
      <c r="G1004" s="5"/>
      <c r="H1004" s="6" t="str">
        <f>IFERROR(__xludf.DUMMYFUNCTION("""COMPUTED_VALUE"""),"https://www.instagram.com/heyatharam")</f>
        <v>https://www.instagram.com/heyatharam</v>
      </c>
      <c r="I1004" s="6" t="str">
        <f>IFERROR(__xludf.DUMMYFUNCTION("""COMPUTED_VALUE"""),"https://t.me/heyatharam")</f>
        <v>https://t.me/heyatharam</v>
      </c>
      <c r="J1004" s="5"/>
      <c r="K1004" s="5"/>
      <c r="L1004" s="5"/>
      <c r="M1004" s="5"/>
      <c r="N1004" s="5" t="str">
        <f>IFERROR(__xludf.DUMMYFUNCTION("""COMPUTED_VALUE"""),"*")</f>
        <v>*</v>
      </c>
      <c r="O1004" s="5"/>
      <c r="P1004" s="5"/>
      <c r="Q1004" s="5"/>
      <c r="R1004" s="5"/>
      <c r="S1004" s="5"/>
    </row>
    <row r="1005">
      <c r="A1005" s="5"/>
      <c r="B1005" s="5" t="str">
        <f>IFERROR(__xludf.DUMMYFUNCTION("""COMPUTED_VALUE"""),"هیأت")</f>
        <v>هیأت</v>
      </c>
      <c r="C1005" s="5" t="str">
        <f>IFERROR(__xludf.DUMMYFUNCTION("""COMPUTED_VALUE"""),"جنت الرضا")</f>
        <v>جنت الرضا</v>
      </c>
      <c r="D1005" s="5" t="str">
        <f>IFERROR(__xludf.DUMMYFUNCTION("""COMPUTED_VALUE"""),"تهران")</f>
        <v>تهران</v>
      </c>
      <c r="E1005" s="5"/>
      <c r="F1005" s="5" t="str">
        <f>IFERROR(__xludf.DUMMYFUNCTION("""COMPUTED_VALUE"""),"تهران _خیابان پیروزی نبش خيابان كريمشاهيان(همايون) حسينيه جوانان حسينى")</f>
        <v>تهران _خیابان پیروزی نبش خيابان كريمشاهيان(همايون) حسينيه جوانان حسينى</v>
      </c>
      <c r="G1005" s="5"/>
      <c r="H1005" s="6" t="str">
        <f>IFERROR(__xludf.DUMMYFUNCTION("""COMPUTED_VALUE"""),"https://www.instagram.com/heyate_janatol_reza/")</f>
        <v>https://www.instagram.com/heyate_janatol_reza/</v>
      </c>
      <c r="I1005" s="6" t="str">
        <f>IFERROR(__xludf.DUMMYFUNCTION("""COMPUTED_VALUE"""),"https://t.me/heyatjanatolrezatehran")</f>
        <v>https://t.me/heyatjanatolrezatehran</v>
      </c>
      <c r="J1005" s="5"/>
      <c r="K1005" s="5"/>
      <c r="L1005" s="5"/>
      <c r="M1005" s="5"/>
      <c r="N1005" s="5"/>
      <c r="O1005" s="5"/>
      <c r="P1005" s="5"/>
      <c r="Q1005" s="5"/>
      <c r="R1005" s="5"/>
      <c r="S1005" s="5"/>
    </row>
    <row r="1006">
      <c r="A1006" s="5"/>
      <c r="B1006" s="5" t="str">
        <f>IFERROR(__xludf.DUMMYFUNCTION("""COMPUTED_VALUE"""),"هیأت")</f>
        <v>هیأت</v>
      </c>
      <c r="C1006" s="5" t="str">
        <f>IFERROR(__xludf.DUMMYFUNCTION("""COMPUTED_VALUE"""),"جان نثاران")</f>
        <v>جان نثاران</v>
      </c>
      <c r="D1006" s="5" t="str">
        <f>IFERROR(__xludf.DUMMYFUNCTION("""COMPUTED_VALUE"""),"تهران")</f>
        <v>تهران</v>
      </c>
      <c r="E1006" s="5"/>
      <c r="F1006" s="5" t="str">
        <f>IFERROR(__xludf.DUMMYFUNCTION("""COMPUTED_VALUE"""),"خیابان هنگام")</f>
        <v>خیابان هنگام</v>
      </c>
      <c r="G1006" s="5"/>
      <c r="H1006" s="6" t="str">
        <f>IFERROR(__xludf.DUMMYFUNCTION("""COMPUTED_VALUE"""),"https://www.instagram.com/heyatjannesaran/")</f>
        <v>https://www.instagram.com/heyatjannesaran/</v>
      </c>
      <c r="I1006" s="6" t="str">
        <f>IFERROR(__xludf.DUMMYFUNCTION("""COMPUTED_VALUE"""),"https://t.me/heyatjannesaran")</f>
        <v>https://t.me/heyatjannesaran</v>
      </c>
      <c r="J1006" s="5"/>
      <c r="K1006" s="5"/>
      <c r="L1006" s="5"/>
      <c r="M1006" s="5"/>
      <c r="N1006" s="5" t="str">
        <f>IFERROR(__xludf.DUMMYFUNCTION("""COMPUTED_VALUE"""),"*")</f>
        <v>*</v>
      </c>
      <c r="O1006" s="5"/>
      <c r="P1006" s="5"/>
      <c r="Q1006" s="5"/>
      <c r="R1006" s="5"/>
      <c r="S1006" s="5"/>
    </row>
    <row r="1007">
      <c r="A1007" s="5"/>
      <c r="B1007" s="5" t="str">
        <f>IFERROR(__xludf.DUMMYFUNCTION("""COMPUTED_VALUE"""),"هیأت")</f>
        <v>هیأت</v>
      </c>
      <c r="C1007" s="5" t="str">
        <f>IFERROR(__xludf.DUMMYFUNCTION("""COMPUTED_VALUE"""),"کربلا")</f>
        <v>کربلا</v>
      </c>
      <c r="D1007" s="5" t="str">
        <f>IFERROR(__xludf.DUMMYFUNCTION("""COMPUTED_VALUE"""),"تهران")</f>
        <v>تهران</v>
      </c>
      <c r="E1007" s="5"/>
      <c r="F1007" s="5" t="str">
        <f>IFERROR(__xludf.DUMMYFUNCTION("""COMPUTED_VALUE"""),"شهرک شهید محلاتی")</f>
        <v>شهرک شهید محلاتی</v>
      </c>
      <c r="G1007" s="5"/>
      <c r="H1007" s="6" t="str">
        <f>IFERROR(__xludf.DUMMYFUNCTION("""COMPUTED_VALUE"""),"https://www.instagram.com/heyat.karbala/")</f>
        <v>https://www.instagram.com/heyat.karbala/</v>
      </c>
      <c r="I1007" s="6" t="str">
        <f>IFERROR(__xludf.DUMMYFUNCTION("""COMPUTED_VALUE"""),"https://t.me/HeyatKarbala")</f>
        <v>https://t.me/HeyatKarbala</v>
      </c>
      <c r="J1007" s="5"/>
      <c r="K1007" s="5"/>
      <c r="L1007" s="5"/>
      <c r="M1007" s="5"/>
      <c r="N1007" s="5" t="str">
        <f>IFERROR(__xludf.DUMMYFUNCTION("""COMPUTED_VALUE"""),"*")</f>
        <v>*</v>
      </c>
      <c r="O1007" s="5"/>
      <c r="P1007" s="5"/>
      <c r="Q1007" s="5"/>
      <c r="R1007" s="5"/>
      <c r="S1007" s="5"/>
    </row>
    <row r="1008">
      <c r="A1008" s="5"/>
      <c r="B1008" s="5" t="str">
        <f>IFERROR(__xludf.DUMMYFUNCTION("""COMPUTED_VALUE"""),"هیأت")</f>
        <v>هیأت</v>
      </c>
      <c r="C1008" s="5" t="str">
        <f>IFERROR(__xludf.DUMMYFUNCTION("""COMPUTED_VALUE"""),"ثامن الائمه")</f>
        <v>ثامن الائمه</v>
      </c>
      <c r="D1008" s="5" t="str">
        <f>IFERROR(__xludf.DUMMYFUNCTION("""COMPUTED_VALUE"""),"تهران")</f>
        <v>تهران</v>
      </c>
      <c r="E1008" s="5"/>
      <c r="F1008" s="5"/>
      <c r="G1008" s="5"/>
      <c r="H1008" s="6" t="str">
        <f>IFERROR(__xludf.DUMMYFUNCTION("""COMPUTED_VALUE"""),"https://www.instagram.com/samenolaemeh.1001/")</f>
        <v>https://www.instagram.com/samenolaemeh.1001/</v>
      </c>
      <c r="I1008" s="6" t="str">
        <f>IFERROR(__xludf.DUMMYFUNCTION("""COMPUTED_VALUE"""),"https://t.me/heyatsamenolaeme")</f>
        <v>https://t.me/heyatsamenolaeme</v>
      </c>
      <c r="J1008" s="5"/>
      <c r="K1008" s="5"/>
      <c r="L1008" s="6" t="str">
        <f>IFERROR(__xludf.DUMMYFUNCTION("""COMPUTED_VALUE"""),"https://samen1001.com/")</f>
        <v>https://samen1001.com/</v>
      </c>
      <c r="M1008" s="5"/>
      <c r="N1008" s="5"/>
      <c r="O1008" s="5"/>
      <c r="P1008" s="5"/>
      <c r="Q1008" s="5"/>
      <c r="R1008" s="5"/>
      <c r="S1008" s="5"/>
    </row>
    <row r="1009">
      <c r="A1009" s="5"/>
      <c r="B1009" s="5" t="str">
        <f>IFERROR(__xludf.DUMMYFUNCTION("""COMPUTED_VALUE"""),"هیأت")</f>
        <v>هیأت</v>
      </c>
      <c r="C1009" s="5" t="str">
        <f>IFERROR(__xludf.DUMMYFUNCTION("""COMPUTED_VALUE"""),"وارث")</f>
        <v>وارث</v>
      </c>
      <c r="D1009" s="5" t="str">
        <f>IFERROR(__xludf.DUMMYFUNCTION("""COMPUTED_VALUE"""),"تهران")</f>
        <v>تهران</v>
      </c>
      <c r="E1009" s="5"/>
      <c r="F1009" s="5"/>
      <c r="G1009" s="5"/>
      <c r="H1009" s="6" t="str">
        <f>IFERROR(__xludf.DUMMYFUNCTION("""COMPUTED_VALUE"""),"https://www.instagram.com/vareth_ir/")</f>
        <v>https://www.instagram.com/vareth_ir/</v>
      </c>
      <c r="I1009" s="6" t="str">
        <f>IFERROR(__xludf.DUMMYFUNCTION("""COMPUTED_VALUE"""),"https://t.me/heyatvareth")</f>
        <v>https://t.me/heyatvareth</v>
      </c>
      <c r="J1009" s="5"/>
      <c r="K1009" s="5"/>
      <c r="L1009" s="5"/>
      <c r="M1009" s="5"/>
      <c r="N1009" s="5"/>
      <c r="O1009" s="5"/>
      <c r="P1009" s="5"/>
      <c r="Q1009" s="5"/>
      <c r="R1009" s="5"/>
      <c r="S1009" s="5"/>
    </row>
    <row r="1010">
      <c r="A1010" s="5"/>
      <c r="B1010" s="5" t="str">
        <f>IFERROR(__xludf.DUMMYFUNCTION("""COMPUTED_VALUE"""),"هیأت")</f>
        <v>هیأت</v>
      </c>
      <c r="C1010" s="5" t="str">
        <f>IFERROR(__xludf.DUMMYFUNCTION("""COMPUTED_VALUE"""),"حیدریون")</f>
        <v>حیدریون</v>
      </c>
      <c r="D1010" s="5" t="str">
        <f>IFERROR(__xludf.DUMMYFUNCTION("""COMPUTED_VALUE"""),"تهران")</f>
        <v>تهران</v>
      </c>
      <c r="E1010" s="5"/>
      <c r="F1010" s="5"/>
      <c r="G1010" s="5"/>
      <c r="H1010" s="6" t="str">
        <f>IFERROR(__xludf.DUMMYFUNCTION("""COMPUTED_VALUE"""),"https://www.instagram.com/heidariyonh/")</f>
        <v>https://www.instagram.com/heidariyonh/</v>
      </c>
      <c r="I1010" s="6" t="str">
        <f>IFERROR(__xludf.DUMMYFUNCTION("""COMPUTED_VALUE"""),"https://t.me/heydariyon1416")</f>
        <v>https://t.me/heydariyon1416</v>
      </c>
      <c r="J1010" s="5"/>
      <c r="K1010" s="5"/>
      <c r="L1010" s="5"/>
      <c r="M1010" s="5"/>
      <c r="N1010" s="5" t="str">
        <f>IFERROR(__xludf.DUMMYFUNCTION("""COMPUTED_VALUE"""),"*")</f>
        <v>*</v>
      </c>
      <c r="O1010" s="5"/>
      <c r="P1010" s="5"/>
      <c r="Q1010" s="5"/>
      <c r="R1010" s="5"/>
      <c r="S1010" s="5"/>
    </row>
    <row r="1011">
      <c r="A1011" s="5"/>
      <c r="B1011" s="5" t="str">
        <f>IFERROR(__xludf.DUMMYFUNCTION("""COMPUTED_VALUE"""),"هیأت")</f>
        <v>هیأت</v>
      </c>
      <c r="C1011" s="5" t="str">
        <f>IFERROR(__xludf.DUMMYFUNCTION("""COMPUTED_VALUE"""),"حب الحسین")</f>
        <v>حب الحسین</v>
      </c>
      <c r="D1011" s="5" t="str">
        <f>IFERROR(__xludf.DUMMYFUNCTION("""COMPUTED_VALUE"""),"تهران")</f>
        <v>تهران</v>
      </c>
      <c r="E1011" s="5"/>
      <c r="F1011" s="5" t="str">
        <f>IFERROR(__xludf.DUMMYFUNCTION("""COMPUTED_VALUE"""),"بلوار قیام")</f>
        <v>بلوار قیام</v>
      </c>
      <c r="G1011" s="5"/>
      <c r="H1011" s="6" t="str">
        <f>IFERROR(__xludf.DUMMYFUNCTION("""COMPUTED_VALUE"""),"https://www.instagram.com/hobolhusein/")</f>
        <v>https://www.instagram.com/hobolhusein/</v>
      </c>
      <c r="I1011" s="6" t="str">
        <f>IFERROR(__xludf.DUMMYFUNCTION("""COMPUTED_VALUE"""),"https://t.me/hobolhusein")</f>
        <v>https://t.me/hobolhusein</v>
      </c>
      <c r="J1011" s="5"/>
      <c r="K1011" s="5"/>
      <c r="L1011" s="5"/>
      <c r="M1011" s="5"/>
      <c r="N1011" s="5" t="str">
        <f>IFERROR(__xludf.DUMMYFUNCTION("""COMPUTED_VALUE"""),"*")</f>
        <v>*</v>
      </c>
      <c r="O1011" s="5"/>
      <c r="P1011" s="5"/>
      <c r="Q1011" s="5"/>
      <c r="R1011" s="5"/>
      <c r="S1011" s="5"/>
    </row>
    <row r="1012">
      <c r="A1012" s="5"/>
      <c r="B1012" s="5" t="str">
        <f>IFERROR(__xludf.DUMMYFUNCTION("""COMPUTED_VALUE"""),"هیأت")</f>
        <v>هیأت</v>
      </c>
      <c r="C1012" s="5" t="str">
        <f>IFERROR(__xludf.DUMMYFUNCTION("""COMPUTED_VALUE"""),"حسینیه کربلا")</f>
        <v>حسینیه کربلا</v>
      </c>
      <c r="D1012" s="5" t="str">
        <f>IFERROR(__xludf.DUMMYFUNCTION("""COMPUTED_VALUE"""),"تهران")</f>
        <v>تهران</v>
      </c>
      <c r="E1012" s="5"/>
      <c r="F1012" s="5"/>
      <c r="G1012" s="5"/>
      <c r="H1012" s="6" t="str">
        <f>IFERROR(__xludf.DUMMYFUNCTION("""COMPUTED_VALUE"""),"https://www.instagram.com/hosseinie_karbala/")</f>
        <v>https://www.instagram.com/hosseinie_karbala/</v>
      </c>
      <c r="I1012" s="6" t="str">
        <f>IFERROR(__xludf.DUMMYFUNCTION("""COMPUTED_VALUE"""),"https://t.me/hosseinie_karbala")</f>
        <v>https://t.me/hosseinie_karbala</v>
      </c>
      <c r="J1012" s="5"/>
      <c r="K1012" s="5"/>
      <c r="L1012" s="5"/>
      <c r="M1012" s="5"/>
      <c r="N1012" s="5" t="str">
        <f>IFERROR(__xludf.DUMMYFUNCTION("""COMPUTED_VALUE"""),"*")</f>
        <v>*</v>
      </c>
      <c r="O1012" s="5"/>
      <c r="P1012" s="5"/>
      <c r="Q1012" s="5"/>
      <c r="R1012" s="5"/>
      <c r="S1012" s="5"/>
    </row>
    <row r="1013">
      <c r="A1013" s="5"/>
      <c r="B1013" s="5" t="str">
        <f>IFERROR(__xludf.DUMMYFUNCTION("""COMPUTED_VALUE"""),"هیأت")</f>
        <v>هیأت</v>
      </c>
      <c r="C1013" s="5" t="str">
        <f>IFERROR(__xludf.DUMMYFUNCTION("""COMPUTED_VALUE"""),"حسینیه سادات درکه")</f>
        <v>حسینیه سادات درکه</v>
      </c>
      <c r="D1013" s="5" t="str">
        <f>IFERROR(__xludf.DUMMYFUNCTION("""COMPUTED_VALUE"""),"تهران")</f>
        <v>تهران</v>
      </c>
      <c r="E1013" s="5"/>
      <c r="F1013" s="5" t="str">
        <f>IFERROR(__xludf.DUMMYFUNCTION("""COMPUTED_VALUE"""),"درکه")</f>
        <v>درکه</v>
      </c>
      <c r="G1013" s="5"/>
      <c r="H1013" s="6" t="str">
        <f>IFERROR(__xludf.DUMMYFUNCTION("""COMPUTED_VALUE"""),"https://www.instagram.com/hosseiniyedarake/")</f>
        <v>https://www.instagram.com/hosseiniyedarake/</v>
      </c>
      <c r="I1013" s="6" t="str">
        <f>IFERROR(__xludf.DUMMYFUNCTION("""COMPUTED_VALUE"""),"https://t.me/hosseiniye_darake")</f>
        <v>https://t.me/hosseiniye_darake</v>
      </c>
      <c r="J1013" s="5"/>
      <c r="K1013" s="5"/>
      <c r="L1013" s="5"/>
      <c r="M1013" s="5"/>
      <c r="N1013" s="5"/>
      <c r="O1013" s="5"/>
      <c r="P1013" s="5"/>
      <c r="Q1013" s="5"/>
      <c r="R1013" s="5"/>
      <c r="S1013" s="5"/>
    </row>
    <row r="1014">
      <c r="A1014" s="5"/>
      <c r="B1014" s="5" t="str">
        <f>IFERROR(__xludf.DUMMYFUNCTION("""COMPUTED_VALUE"""),"هیأت دانشجویی")</f>
        <v>هیأت دانشجویی</v>
      </c>
      <c r="C1014" s="5" t="str">
        <f>IFERROR(__xludf.DUMMYFUNCTION("""COMPUTED_VALUE"""),"رسانه انصارولایت")</f>
        <v>رسانه انصارولایت</v>
      </c>
      <c r="D1014" s="5" t="str">
        <f>IFERROR(__xludf.DUMMYFUNCTION("""COMPUTED_VALUE"""),"تهران")</f>
        <v>تهران</v>
      </c>
      <c r="E1014" s="5"/>
      <c r="F1014" s="5" t="str">
        <f>IFERROR(__xludf.DUMMYFUNCTION("""COMPUTED_VALUE"""),"دانشگاه صدا و سیما")</f>
        <v>دانشگاه صدا و سیما</v>
      </c>
      <c r="G1014" s="5"/>
      <c r="H1014" s="6" t="str">
        <f>IFERROR(__xludf.DUMMYFUNCTION("""COMPUTED_VALUE"""),"https://www.instagram.com/iribu_heyat/")</f>
        <v>https://www.instagram.com/iribu_heyat/</v>
      </c>
      <c r="I1014" s="6" t="str">
        <f>IFERROR(__xludf.DUMMYFUNCTION("""COMPUTED_VALUE"""),"https://t.me/iribu_heyat")</f>
        <v>https://t.me/iribu_heyat</v>
      </c>
      <c r="J1014" s="5"/>
      <c r="K1014" s="5"/>
      <c r="L1014" s="5"/>
      <c r="M1014" s="5"/>
      <c r="N1014" s="5"/>
      <c r="O1014" s="5"/>
      <c r="P1014" s="5"/>
      <c r="Q1014" s="5"/>
      <c r="R1014" s="5"/>
      <c r="S1014" s="5"/>
    </row>
    <row r="1015">
      <c r="A1015" s="5"/>
      <c r="B1015" s="5" t="str">
        <f>IFERROR(__xludf.DUMMYFUNCTION("""COMPUTED_VALUE"""),"هیأت")</f>
        <v>هیأت</v>
      </c>
      <c r="C1015" s="5" t="str">
        <f>IFERROR(__xludf.DUMMYFUNCTION("""COMPUTED_VALUE"""),"جنت الحسین")</f>
        <v>جنت الحسین</v>
      </c>
      <c r="D1015" s="5" t="str">
        <f>IFERROR(__xludf.DUMMYFUNCTION("""COMPUTED_VALUE"""),"تهران")</f>
        <v>تهران</v>
      </c>
      <c r="E1015" s="5"/>
      <c r="F1015" s="5" t="str">
        <f>IFERROR(__xludf.DUMMYFUNCTION("""COMPUTED_VALUE"""),"خزانه بخارایی|فلکه۴|کوچه شهیدطیبی")</f>
        <v>خزانه بخارایی|فلکه۴|کوچه شهیدطیبی</v>
      </c>
      <c r="G1015" s="5"/>
      <c r="H1015" s="6" t="str">
        <f>IFERROR(__xludf.DUMMYFUNCTION("""COMPUTED_VALUE"""),"https://www.instagram.com/jannat_hosein/")</f>
        <v>https://www.instagram.com/jannat_hosein/</v>
      </c>
      <c r="I1015" s="6" t="str">
        <f>IFERROR(__xludf.DUMMYFUNCTION("""COMPUTED_VALUE"""),"https://t.me/jannat_hosein")</f>
        <v>https://t.me/jannat_hosein</v>
      </c>
      <c r="J1015" s="5"/>
      <c r="K1015" s="5"/>
      <c r="L1015" s="5"/>
      <c r="M1015" s="5"/>
      <c r="N1015" s="5"/>
      <c r="O1015" s="5"/>
      <c r="P1015" s="5"/>
      <c r="Q1015" s="5"/>
      <c r="R1015" s="5"/>
      <c r="S1015" s="5"/>
    </row>
    <row r="1016">
      <c r="A1016" s="5"/>
      <c r="B1016" s="5" t="str">
        <f>IFERROR(__xludf.DUMMYFUNCTION("""COMPUTED_VALUE"""),"هیأت")</f>
        <v>هیأت</v>
      </c>
      <c r="C1016" s="5" t="str">
        <f>IFERROR(__xludf.DUMMYFUNCTION("""COMPUTED_VALUE"""),"جنت الرضا")</f>
        <v>جنت الرضا</v>
      </c>
      <c r="D1016" s="5" t="str">
        <f>IFERROR(__xludf.DUMMYFUNCTION("""COMPUTED_VALUE"""),"تهران")</f>
        <v>تهران</v>
      </c>
      <c r="E1016" s="5"/>
      <c r="F1016" s="5" t="str">
        <f>IFERROR(__xludf.DUMMYFUNCTION("""COMPUTED_VALUE"""),"فلکه دوم صادقیه")</f>
        <v>فلکه دوم صادقیه</v>
      </c>
      <c r="G1016" s="5"/>
      <c r="H1016" s="6" t="str">
        <f>IFERROR(__xludf.DUMMYFUNCTION("""COMPUTED_VALUE"""),"https://www.instagram.com/hobona.ir/")</f>
        <v>https://www.instagram.com/hobona.ir/</v>
      </c>
      <c r="I1016" s="6" t="str">
        <f>IFERROR(__xludf.DUMMYFUNCTION("""COMPUTED_VALUE"""),"https://t.me/jannat_o_reza")</f>
        <v>https://t.me/jannat_o_reza</v>
      </c>
      <c r="J1016" s="5"/>
      <c r="K1016" s="5"/>
      <c r="L1016" s="5"/>
      <c r="M1016" s="5"/>
      <c r="N1016" s="5" t="str">
        <f>IFERROR(__xludf.DUMMYFUNCTION("""COMPUTED_VALUE"""),"*")</f>
        <v>*</v>
      </c>
      <c r="O1016" s="5"/>
      <c r="P1016" s="5"/>
      <c r="Q1016" s="5"/>
      <c r="R1016" s="5"/>
      <c r="S1016" s="5"/>
    </row>
    <row r="1017">
      <c r="A1017" s="5"/>
      <c r="B1017" s="5" t="str">
        <f>IFERROR(__xludf.DUMMYFUNCTION("""COMPUTED_VALUE"""),"هیأت")</f>
        <v>هیأت</v>
      </c>
      <c r="C1017" s="5" t="str">
        <f>IFERROR(__xludf.DUMMYFUNCTION("""COMPUTED_VALUE"""),"جوانان ثارالله")</f>
        <v>جوانان ثارالله</v>
      </c>
      <c r="D1017" s="5" t="str">
        <f>IFERROR(__xludf.DUMMYFUNCTION("""COMPUTED_VALUE"""),"تهران")</f>
        <v>تهران</v>
      </c>
      <c r="E1017" s="5"/>
      <c r="F1017" s="5"/>
      <c r="G1017" s="5"/>
      <c r="H1017" s="6" t="str">
        <f>IFERROR(__xludf.DUMMYFUNCTION("""COMPUTED_VALUE"""),"https://www.instagram.com/javanan_sarallah/")</f>
        <v>https://www.instagram.com/javanan_sarallah/</v>
      </c>
      <c r="I1017" s="6" t="str">
        <f>IFERROR(__xludf.DUMMYFUNCTION("""COMPUTED_VALUE"""),"https://t.me/javanan_saraallah")</f>
        <v>https://t.me/javanan_saraallah</v>
      </c>
      <c r="J1017" s="5"/>
      <c r="K1017" s="5"/>
      <c r="L1017" s="5"/>
      <c r="M1017" s="5"/>
      <c r="N1017" s="5" t="str">
        <f>IFERROR(__xludf.DUMMYFUNCTION("""COMPUTED_VALUE"""),"*")</f>
        <v>*</v>
      </c>
      <c r="O1017" s="5"/>
      <c r="P1017" s="5"/>
      <c r="Q1017" s="5"/>
      <c r="R1017" s="5"/>
      <c r="S1017" s="5"/>
    </row>
    <row r="1018">
      <c r="A1018" s="5"/>
      <c r="B1018" s="5" t="str">
        <f>IFERROR(__xludf.DUMMYFUNCTION("""COMPUTED_VALUE"""),"هیأت")</f>
        <v>هیأت</v>
      </c>
      <c r="C1018" s="5" t="str">
        <f>IFERROR(__xludf.DUMMYFUNCTION("""COMPUTED_VALUE"""),"خادمین حضرت رقیه")</f>
        <v>خادمین حضرت رقیه</v>
      </c>
      <c r="D1018" s="5" t="str">
        <f>IFERROR(__xludf.DUMMYFUNCTION("""COMPUTED_VALUE"""),"تهران")</f>
        <v>تهران</v>
      </c>
      <c r="E1018" s="5"/>
      <c r="F1018" s="5"/>
      <c r="G1018" s="5"/>
      <c r="H1018" s="6" t="str">
        <f>IFERROR(__xludf.DUMMYFUNCTION("""COMPUTED_VALUE"""),"https://www.instagram.com/khademin.info/")</f>
        <v>https://www.instagram.com/khademin.info/</v>
      </c>
      <c r="I1018" s="6" t="str">
        <f>IFERROR(__xludf.DUMMYFUNCTION("""COMPUTED_VALUE"""),"https://t.me/khademin_315")</f>
        <v>https://t.me/khademin_315</v>
      </c>
      <c r="J1018" s="5"/>
      <c r="K1018" s="5"/>
      <c r="L1018" s="5"/>
      <c r="M1018" s="5"/>
      <c r="N1018" s="5"/>
      <c r="O1018" s="5"/>
      <c r="P1018" s="5"/>
      <c r="Q1018" s="5"/>
      <c r="R1018" s="5"/>
      <c r="S1018" s="5"/>
    </row>
    <row r="1019">
      <c r="A1019" s="5"/>
      <c r="B1019" s="5" t="str">
        <f>IFERROR(__xludf.DUMMYFUNCTION("""COMPUTED_VALUE"""),"هیأت")</f>
        <v>هیأت</v>
      </c>
      <c r="C1019" s="5" t="str">
        <f>IFERROR(__xludf.DUMMYFUNCTION("""COMPUTED_VALUE"""),"روضه مقدسه خرابه نشینان")</f>
        <v>روضه مقدسه خرابه نشینان</v>
      </c>
      <c r="D1019" s="5" t="str">
        <f>IFERROR(__xludf.DUMMYFUNCTION("""COMPUTED_VALUE"""),"تهران")</f>
        <v>تهران</v>
      </c>
      <c r="E1019" s="5"/>
      <c r="F1019" s="5" t="str">
        <f>IFERROR(__xludf.DUMMYFUNCTION("""COMPUTED_VALUE"""),"میدان اعدام")</f>
        <v>میدان اعدام</v>
      </c>
      <c r="G1019" s="5"/>
      <c r="H1019" s="6" t="str">
        <f>IFERROR(__xludf.DUMMYFUNCTION("""COMPUTED_VALUE"""),"https://www.instagram.com/kharabeneshinaan315/")</f>
        <v>https://www.instagram.com/kharabeneshinaan315/</v>
      </c>
      <c r="I1019" s="6" t="str">
        <f>IFERROR(__xludf.DUMMYFUNCTION("""COMPUTED_VALUE"""),"https://t.me/kharabeneshinaan315")</f>
        <v>https://t.me/kharabeneshinaan315</v>
      </c>
      <c r="J1019" s="5"/>
      <c r="K1019" s="5"/>
      <c r="L1019" s="5"/>
      <c r="M1019" s="5"/>
      <c r="N1019" s="5"/>
      <c r="O1019" s="5"/>
      <c r="P1019" s="5"/>
      <c r="Q1019" s="5"/>
      <c r="R1019" s="5"/>
      <c r="S1019" s="5"/>
    </row>
    <row r="1020">
      <c r="A1020" s="5"/>
      <c r="B1020" s="5" t="str">
        <f>IFERROR(__xludf.DUMMYFUNCTION("""COMPUTED_VALUE"""),"هیأت")</f>
        <v>هیأت</v>
      </c>
      <c r="C1020" s="5" t="str">
        <f>IFERROR(__xludf.DUMMYFUNCTION("""COMPUTED_VALUE"""),"خیمه العباس")</f>
        <v>خیمه العباس</v>
      </c>
      <c r="D1020" s="5" t="str">
        <f>IFERROR(__xludf.DUMMYFUNCTION("""COMPUTED_VALUE"""),"تهران")</f>
        <v>تهران</v>
      </c>
      <c r="E1020" s="5"/>
      <c r="F1020" s="5" t="str">
        <f>IFERROR(__xludf.DUMMYFUNCTION("""COMPUTED_VALUE"""),"پیروزی")</f>
        <v>پیروزی</v>
      </c>
      <c r="G1020" s="5"/>
      <c r="H1020" s="6" t="str">
        <f>IFERROR(__xludf.DUMMYFUNCTION("""COMPUTED_VALUE"""),"https://www.instagram.com/kheime133/")</f>
        <v>https://www.instagram.com/kheime133/</v>
      </c>
      <c r="I1020" s="6" t="str">
        <f>IFERROR(__xludf.DUMMYFUNCTION("""COMPUTED_VALUE"""),"https://t.me/kheime133")</f>
        <v>https://t.me/kheime133</v>
      </c>
      <c r="J1020" s="5"/>
      <c r="K1020" s="5"/>
      <c r="L1020" s="5"/>
      <c r="M1020" s="5"/>
      <c r="N1020" s="5" t="str">
        <f>IFERROR(__xludf.DUMMYFUNCTION("""COMPUTED_VALUE"""),"*")</f>
        <v>*</v>
      </c>
      <c r="O1020" s="5"/>
      <c r="P1020" s="5"/>
      <c r="Q1020" s="5"/>
      <c r="R1020" s="5"/>
      <c r="S1020" s="5"/>
    </row>
    <row r="1021">
      <c r="A1021" s="5"/>
      <c r="B1021" s="5" t="str">
        <f>IFERROR(__xludf.DUMMYFUNCTION("""COMPUTED_VALUE"""),"هیأت")</f>
        <v>هیأت</v>
      </c>
      <c r="C1021" s="5" t="str">
        <f>IFERROR(__xludf.DUMMYFUNCTION("""COMPUTED_VALUE"""),"خیمه الرقیه")</f>
        <v>خیمه الرقیه</v>
      </c>
      <c r="D1021" s="5" t="str">
        <f>IFERROR(__xludf.DUMMYFUNCTION("""COMPUTED_VALUE"""),"تهران")</f>
        <v>تهران</v>
      </c>
      <c r="E1021" s="5"/>
      <c r="F1021" s="5" t="str">
        <f>IFERROR(__xludf.DUMMYFUNCTION("""COMPUTED_VALUE"""),"مینی سیتی")</f>
        <v>مینی سیتی</v>
      </c>
      <c r="G1021" s="5"/>
      <c r="H1021" s="6" t="str">
        <f>IFERROR(__xludf.DUMMYFUNCTION("""COMPUTED_VALUE"""),"https://www.instagram.com/kheymatolroghaye/")</f>
        <v>https://www.instagram.com/kheymatolroghaye/</v>
      </c>
      <c r="I1021" s="6" t="str">
        <f>IFERROR(__xludf.DUMMYFUNCTION("""COMPUTED_VALUE"""),"https://t.me/kheymatolroghaye")</f>
        <v>https://t.me/kheymatolroghaye</v>
      </c>
      <c r="J1021" s="5"/>
      <c r="K1021" s="5"/>
      <c r="L1021" s="5"/>
      <c r="M1021" s="5"/>
      <c r="N1021" s="5"/>
      <c r="O1021" s="5"/>
      <c r="P1021" s="5"/>
      <c r="Q1021" s="5"/>
      <c r="R1021" s="5"/>
      <c r="S1021" s="5"/>
    </row>
    <row r="1022">
      <c r="A1022" s="5"/>
      <c r="B1022" s="5" t="str">
        <f>IFERROR(__xludf.DUMMYFUNCTION("""COMPUTED_VALUE"""),"هیأت")</f>
        <v>هیأت</v>
      </c>
      <c r="C1022" s="5" t="str">
        <f>IFERROR(__xludf.DUMMYFUNCTION("""COMPUTED_VALUE"""),"لواء الحسین")</f>
        <v>لواء الحسین</v>
      </c>
      <c r="D1022" s="5" t="str">
        <f>IFERROR(__xludf.DUMMYFUNCTION("""COMPUTED_VALUE"""),"تهران")</f>
        <v>تهران</v>
      </c>
      <c r="E1022" s="5"/>
      <c r="F1022" s="5" t="str">
        <f>IFERROR(__xludf.DUMMYFUNCTION("""COMPUTED_VALUE"""),"دهکده المپیک")</f>
        <v>دهکده المپیک</v>
      </c>
      <c r="G1022" s="5"/>
      <c r="H1022" s="6" t="str">
        <f>IFERROR(__xludf.DUMMYFUNCTION("""COMPUTED_VALUE"""),"https://www.instagram.com/leva_hosein/")</f>
        <v>https://www.instagram.com/leva_hosein/</v>
      </c>
      <c r="I1022" s="6" t="str">
        <f>IFERROR(__xludf.DUMMYFUNCTION("""COMPUTED_VALUE"""),"https://t.me/leva_hosein")</f>
        <v>https://t.me/leva_hosein</v>
      </c>
      <c r="J1022" s="5"/>
      <c r="K1022" s="5"/>
      <c r="L1022" s="5"/>
      <c r="M1022" s="5"/>
      <c r="N1022" s="5"/>
      <c r="O1022" s="5"/>
      <c r="P1022" s="5"/>
      <c r="Q1022" s="5"/>
      <c r="R1022" s="5"/>
      <c r="S1022" s="5"/>
    </row>
    <row r="1023">
      <c r="A1023" s="5"/>
      <c r="B1023" s="5" t="str">
        <f>IFERROR(__xludf.DUMMYFUNCTION("""COMPUTED_VALUE"""),"هیأت")</f>
        <v>هیأت</v>
      </c>
      <c r="C1023" s="5" t="str">
        <f>IFERROR(__xludf.DUMMYFUNCTION("""COMPUTED_VALUE"""),"لواء الزینب")</f>
        <v>لواء الزینب</v>
      </c>
      <c r="D1023" s="5" t="str">
        <f>IFERROR(__xludf.DUMMYFUNCTION("""COMPUTED_VALUE"""),"تهران")</f>
        <v>تهران</v>
      </c>
      <c r="E1023" s="5"/>
      <c r="F1023" s="5"/>
      <c r="G1023" s="5"/>
      <c r="H1023" s="6" t="str">
        <f>IFERROR(__xludf.DUMMYFUNCTION("""COMPUTED_VALUE"""),"https://www.instagram.com/levaozzeynabetehran/")</f>
        <v>https://www.instagram.com/levaozzeynabetehran/</v>
      </c>
      <c r="I1023" s="6" t="str">
        <f>IFERROR(__xludf.DUMMYFUNCTION("""COMPUTED_VALUE"""),"https://t.me/levaozzeynabetehran")</f>
        <v>https://t.me/levaozzeynabetehran</v>
      </c>
      <c r="J1023" s="5"/>
      <c r="K1023" s="5"/>
      <c r="L1023" s="5"/>
      <c r="M1023" s="5"/>
      <c r="N1023" s="5"/>
      <c r="O1023" s="5"/>
      <c r="P1023" s="5"/>
      <c r="Q1023" s="5"/>
      <c r="R1023" s="5"/>
      <c r="S1023" s="5"/>
    </row>
    <row r="1024">
      <c r="A1024" s="5"/>
      <c r="B1024" s="5" t="str">
        <f>IFERROR(__xludf.DUMMYFUNCTION("""COMPUTED_VALUE"""),"هیأت")</f>
        <v>هیأت</v>
      </c>
      <c r="C1024" s="5" t="str">
        <f>IFERROR(__xludf.DUMMYFUNCTION("""COMPUTED_VALUE"""),"روضه معجرة الزهرا")</f>
        <v>روضه معجرة الزهرا</v>
      </c>
      <c r="D1024" s="5" t="str">
        <f>IFERROR(__xludf.DUMMYFUNCTION("""COMPUTED_VALUE"""),"تهران")</f>
        <v>تهران</v>
      </c>
      <c r="E1024" s="5"/>
      <c r="F1024" s="5" t="str">
        <f>IFERROR(__xludf.DUMMYFUNCTION("""COMPUTED_VALUE"""),"بازار تجریش")</f>
        <v>بازار تجریش</v>
      </c>
      <c r="G1024" s="5"/>
      <c r="H1024" s="6" t="str">
        <f>IFERROR(__xludf.DUMMYFUNCTION("""COMPUTED_VALUE"""),"https://www.instagram.com/maajar_135/")</f>
        <v>https://www.instagram.com/maajar_135/</v>
      </c>
      <c r="I1024" s="6" t="str">
        <f>IFERROR(__xludf.DUMMYFUNCTION("""COMPUTED_VALUE"""),"https://t.me/maajar_channel")</f>
        <v>https://t.me/maajar_channel</v>
      </c>
      <c r="J1024" s="5"/>
      <c r="K1024" s="5"/>
      <c r="L1024" s="5"/>
      <c r="M1024" s="5"/>
      <c r="N1024" s="5" t="str">
        <f>IFERROR(__xludf.DUMMYFUNCTION("""COMPUTED_VALUE"""),"*")</f>
        <v>*</v>
      </c>
      <c r="O1024" s="5"/>
      <c r="P1024" s="5"/>
      <c r="Q1024" s="5"/>
      <c r="R1024" s="5"/>
      <c r="S1024" s="5"/>
    </row>
    <row r="1025">
      <c r="A1025" s="5"/>
      <c r="B1025" s="5" t="str">
        <f>IFERROR(__xludf.DUMMYFUNCTION("""COMPUTED_VALUE"""),"هیأت")</f>
        <v>هیأت</v>
      </c>
      <c r="C1025" s="5" t="str">
        <f>IFERROR(__xludf.DUMMYFUNCTION("""COMPUTED_VALUE"""),"محفل فاطمیون طهران")</f>
        <v>محفل فاطمیون طهران</v>
      </c>
      <c r="D1025" s="5" t="str">
        <f>IFERROR(__xludf.DUMMYFUNCTION("""COMPUTED_VALUE"""),"تهران")</f>
        <v>تهران</v>
      </c>
      <c r="E1025" s="5"/>
      <c r="F1025" s="5" t="str">
        <f>IFERROR(__xludf.DUMMYFUNCTION("""COMPUTED_VALUE"""),"منطقه 17")</f>
        <v>منطقه 17</v>
      </c>
      <c r="G1025" s="5"/>
      <c r="H1025" s="6" t="str">
        <f>IFERROR(__xludf.DUMMYFUNCTION("""COMPUTED_VALUE"""),"https://www.instagram.com/mahfel_fatemiun_tehran/")</f>
        <v>https://www.instagram.com/mahfel_fatemiun_tehran/</v>
      </c>
      <c r="I1025" s="6" t="str">
        <f>IFERROR(__xludf.DUMMYFUNCTION("""COMPUTED_VALUE"""),"https://t.me/mahfel_fatemiun_tehran")</f>
        <v>https://t.me/mahfel_fatemiun_tehran</v>
      </c>
      <c r="J1025" s="5"/>
      <c r="K1025" s="5"/>
      <c r="L1025" s="5"/>
      <c r="M1025" s="5"/>
      <c r="N1025" s="5"/>
      <c r="O1025" s="5"/>
      <c r="P1025" s="5"/>
      <c r="Q1025" s="5"/>
      <c r="R1025" s="5"/>
      <c r="S1025" s="5"/>
    </row>
    <row r="1026">
      <c r="A1026" s="5"/>
      <c r="B1026" s="5" t="str">
        <f>IFERROR(__xludf.DUMMYFUNCTION("""COMPUTED_VALUE"""),"هیأت")</f>
        <v>هیأت</v>
      </c>
      <c r="C1026" s="5" t="str">
        <f>IFERROR(__xludf.DUMMYFUNCTION("""COMPUTED_VALUE"""),"فدائیان خانوم رباب")</f>
        <v>فدائیان خانوم رباب</v>
      </c>
      <c r="D1026" s="5" t="str">
        <f>IFERROR(__xludf.DUMMYFUNCTION("""COMPUTED_VALUE"""),"تهران")</f>
        <v>تهران</v>
      </c>
      <c r="E1026" s="5"/>
      <c r="F1026" s="5"/>
      <c r="G1026" s="5"/>
      <c r="H1026" s="6" t="str">
        <f>IFERROR(__xludf.DUMMYFUNCTION("""COMPUTED_VALUE"""),"https://www.instagram.com/mahfelashk205/")</f>
        <v>https://www.instagram.com/mahfelashk205/</v>
      </c>
      <c r="I1026" s="6" t="str">
        <f>IFERROR(__xludf.DUMMYFUNCTION("""COMPUTED_VALUE"""),"https://t.me/mahfelashk")</f>
        <v>https://t.me/mahfelashk</v>
      </c>
      <c r="J1026" s="5"/>
      <c r="K1026" s="5"/>
      <c r="L1026" s="5"/>
      <c r="M1026" s="5"/>
      <c r="N1026" s="5" t="str">
        <f>IFERROR(__xludf.DUMMYFUNCTION("""COMPUTED_VALUE"""),"*")</f>
        <v>*</v>
      </c>
      <c r="O1026" s="5"/>
      <c r="P1026" s="5"/>
      <c r="Q1026" s="5"/>
      <c r="R1026" s="5"/>
      <c r="S1026" s="5"/>
    </row>
    <row r="1027">
      <c r="A1027" s="5"/>
      <c r="B1027" s="5" t="str">
        <f>IFERROR(__xludf.DUMMYFUNCTION("""COMPUTED_VALUE"""),"هیأت")</f>
        <v>هیأت</v>
      </c>
      <c r="C1027" s="5" t="str">
        <f>IFERROR(__xludf.DUMMYFUNCTION("""COMPUTED_VALUE"""),"جوانان سیدالشهداء")</f>
        <v>جوانان سیدالشهداء</v>
      </c>
      <c r="D1027" s="5" t="str">
        <f>IFERROR(__xludf.DUMMYFUNCTION("""COMPUTED_VALUE"""),"تهران")</f>
        <v>تهران</v>
      </c>
      <c r="E1027" s="5"/>
      <c r="F1027" s="5"/>
      <c r="G1027" s="5"/>
      <c r="H1027" s="6" t="str">
        <f>IFERROR(__xludf.DUMMYFUNCTION("""COMPUTED_VALUE"""),"https://www.instagram.com/mahfelroqaye/")</f>
        <v>https://www.instagram.com/mahfelroqaye/</v>
      </c>
      <c r="I1027" s="6" t="str">
        <f>IFERROR(__xludf.DUMMYFUNCTION("""COMPUTED_VALUE"""),"https://t.me/mahfelroqaye")</f>
        <v>https://t.me/mahfelroqaye</v>
      </c>
      <c r="J1027" s="5"/>
      <c r="K1027" s="5"/>
      <c r="L1027" s="5"/>
      <c r="M1027" s="5"/>
      <c r="N1027" s="5"/>
      <c r="O1027" s="5"/>
      <c r="P1027" s="5"/>
      <c r="Q1027" s="5"/>
      <c r="R1027" s="5"/>
      <c r="S1027" s="5"/>
    </row>
    <row r="1028">
      <c r="A1028" s="5"/>
      <c r="B1028" s="5" t="str">
        <f>IFERROR(__xludf.DUMMYFUNCTION("""COMPUTED_VALUE"""),"هیأت")</f>
        <v>هیأت</v>
      </c>
      <c r="C1028" s="5" t="str">
        <f>IFERROR(__xludf.DUMMYFUNCTION("""COMPUTED_VALUE"""),"مکتب الحسین طهران")</f>
        <v>مکتب الحسین طهران</v>
      </c>
      <c r="D1028" s="5" t="str">
        <f>IFERROR(__xludf.DUMMYFUNCTION("""COMPUTED_VALUE"""),"تهران")</f>
        <v>تهران</v>
      </c>
      <c r="E1028" s="5"/>
      <c r="F1028" s="5" t="str">
        <f>IFERROR(__xludf.DUMMYFUNCTION("""COMPUTED_VALUE"""),"میدان شـهدا ، خ مجاهـدین اسـلام")</f>
        <v>میدان شـهدا ، خ مجاهـدین اسـلام</v>
      </c>
      <c r="G1028" s="5"/>
      <c r="H1028" s="6" t="str">
        <f>IFERROR(__xludf.DUMMYFUNCTION("""COMPUTED_VALUE"""),"https://www.instagram.com/maktab_alhasan_118/")</f>
        <v>https://www.instagram.com/maktab_alhasan_118/</v>
      </c>
      <c r="I1028" s="6" t="str">
        <f>IFERROR(__xludf.DUMMYFUNCTION("""COMPUTED_VALUE"""),"https://t.me/maktab_alhasan_118")</f>
        <v>https://t.me/maktab_alhasan_118</v>
      </c>
      <c r="J1028" s="5"/>
      <c r="K1028" s="5"/>
      <c r="L1028" s="5"/>
      <c r="M1028" s="5"/>
      <c r="N1028" s="5"/>
      <c r="O1028" s="5"/>
      <c r="P1028" s="5"/>
      <c r="Q1028" s="5"/>
      <c r="R1028" s="5"/>
      <c r="S1028" s="5"/>
    </row>
    <row r="1029">
      <c r="A1029" s="5"/>
      <c r="B1029" s="5" t="str">
        <f>IFERROR(__xludf.DUMMYFUNCTION("""COMPUTED_VALUE"""),"هیأت")</f>
        <v>هیأت</v>
      </c>
      <c r="C1029" s="5" t="str">
        <f>IFERROR(__xludf.DUMMYFUNCTION("""COMPUTED_VALUE"""),"روضه معظم مکتب مولا علی")</f>
        <v>روضه معظم مکتب مولا علی</v>
      </c>
      <c r="D1029" s="5" t="str">
        <f>IFERROR(__xludf.DUMMYFUNCTION("""COMPUTED_VALUE"""),"تهران")</f>
        <v>تهران</v>
      </c>
      <c r="E1029" s="5"/>
      <c r="F1029" s="5" t="str">
        <f>IFERROR(__xludf.DUMMYFUNCTION("""COMPUTED_VALUE"""),"نازی آباد")</f>
        <v>نازی آباد</v>
      </c>
      <c r="G1029" s="5"/>
      <c r="H1029" s="6" t="str">
        <f>IFERROR(__xludf.DUMMYFUNCTION("""COMPUTED_VALUE"""),"https://www.instagram.com/maktab_mola_ali/")</f>
        <v>https://www.instagram.com/maktab_mola_ali/</v>
      </c>
      <c r="I1029" s="6" t="str">
        <f>IFERROR(__xludf.DUMMYFUNCTION("""COMPUTED_VALUE"""),"https://t.me/maktab_mola_ali")</f>
        <v>https://t.me/maktab_mola_ali</v>
      </c>
      <c r="J1029" s="5"/>
      <c r="K1029" s="5"/>
      <c r="L1029" s="5"/>
      <c r="M1029" s="5"/>
      <c r="N1029" s="5"/>
      <c r="O1029" s="5"/>
      <c r="P1029" s="5"/>
      <c r="Q1029" s="5"/>
      <c r="R1029" s="5"/>
      <c r="S1029" s="5"/>
    </row>
    <row r="1030">
      <c r="A1030" s="5"/>
      <c r="B1030" s="5" t="str">
        <f>IFERROR(__xludf.DUMMYFUNCTION("""COMPUTED_VALUE"""),"هیأت")</f>
        <v>هیأت</v>
      </c>
      <c r="C1030" s="5" t="str">
        <f>IFERROR(__xludf.DUMMYFUNCTION("""COMPUTED_VALUE"""),"حسینیه مکتب الصادق")</f>
        <v>حسینیه مکتب الصادق</v>
      </c>
      <c r="D1030" s="5" t="str">
        <f>IFERROR(__xludf.DUMMYFUNCTION("""COMPUTED_VALUE"""),"تهران")</f>
        <v>تهران</v>
      </c>
      <c r="E1030" s="5"/>
      <c r="F1030" s="5" t="str">
        <f>IFERROR(__xludf.DUMMYFUNCTION("""COMPUTED_VALUE"""),"خیابان پیروزی-خیابان دهم فروردین-کوچه شهید اسماعیلی")</f>
        <v>خیابان پیروزی-خیابان دهم فروردین-کوچه شهید اسماعیلی</v>
      </c>
      <c r="G1030" s="5"/>
      <c r="H1030" s="6" t="str">
        <f>IFERROR(__xludf.DUMMYFUNCTION("""COMPUTED_VALUE"""),"https://www.instagram.com/maktab1357/")</f>
        <v>https://www.instagram.com/maktab1357/</v>
      </c>
      <c r="I1030" s="6" t="str">
        <f>IFERROR(__xludf.DUMMYFUNCTION("""COMPUTED_VALUE"""),"https://t.me/maktab1357")</f>
        <v>https://t.me/maktab1357</v>
      </c>
      <c r="J1030" s="5"/>
      <c r="K1030" s="5"/>
      <c r="L1030" s="5"/>
      <c r="M1030" s="5"/>
      <c r="N1030" s="5"/>
      <c r="O1030" s="5"/>
      <c r="P1030" s="5"/>
      <c r="Q1030" s="5"/>
      <c r="R1030" s="5"/>
      <c r="S1030" s="5"/>
    </row>
    <row r="1031">
      <c r="A1031" s="5"/>
      <c r="B1031" s="5" t="str">
        <f>IFERROR(__xludf.DUMMYFUNCTION("""COMPUTED_VALUE"""),"هیأت")</f>
        <v>هیأت</v>
      </c>
      <c r="C1031" s="5" t="str">
        <f>IFERROR(__xludf.DUMMYFUNCTION("""COMPUTED_VALUE"""),"مکتب عشاق الحسین")</f>
        <v>مکتب عشاق الحسین</v>
      </c>
      <c r="D1031" s="5" t="str">
        <f>IFERROR(__xludf.DUMMYFUNCTION("""COMPUTED_VALUE"""),"تهران")</f>
        <v>تهران</v>
      </c>
      <c r="E1031" s="5"/>
      <c r="F1031" s="5"/>
      <c r="G1031" s="5"/>
      <c r="H1031" s="6" t="str">
        <f>IFERROR(__xludf.DUMMYFUNCTION("""COMPUTED_VALUE"""),"https://www.instagram.com/oshagholhosein/")</f>
        <v>https://www.instagram.com/oshagholhosein/</v>
      </c>
      <c r="I1031" s="6" t="str">
        <f>IFERROR(__xludf.DUMMYFUNCTION("""COMPUTED_VALUE"""),"https://t.me/maktabeoshagholhosein")</f>
        <v>https://t.me/maktabeoshagholhosein</v>
      </c>
      <c r="J1031" s="5"/>
      <c r="K1031" s="5"/>
      <c r="L1031" s="5"/>
      <c r="M1031" s="5"/>
      <c r="N1031" s="5"/>
      <c r="O1031" s="5"/>
      <c r="P1031" s="5"/>
      <c r="Q1031" s="5"/>
      <c r="R1031" s="5"/>
      <c r="S1031" s="5"/>
    </row>
    <row r="1032">
      <c r="A1032" s="5"/>
      <c r="B1032" s="5" t="str">
        <f>IFERROR(__xludf.DUMMYFUNCTION("""COMPUTED_VALUE"""),"هیأت")</f>
        <v>هیأت</v>
      </c>
      <c r="C1032" s="5" t="str">
        <f>IFERROR(__xludf.DUMMYFUNCTION("""COMPUTED_VALUE"""),"مکتب الرضا")</f>
        <v>مکتب الرضا</v>
      </c>
      <c r="D1032" s="5" t="str">
        <f>IFERROR(__xludf.DUMMYFUNCTION("""COMPUTED_VALUE"""),"تهران")</f>
        <v>تهران</v>
      </c>
      <c r="E1032" s="5"/>
      <c r="F1032" s="5" t="str">
        <f>IFERROR(__xludf.DUMMYFUNCTION("""COMPUTED_VALUE"""),"تهران‌.رسالت.خیابان شهیدطاهری.حسینیه مکتب الرضا علیه السلام")</f>
        <v>تهران‌.رسالت.خیابان شهیدطاهری.حسینیه مکتب الرضا علیه السلام</v>
      </c>
      <c r="G1032" s="5"/>
      <c r="H1032" s="6" t="str">
        <f>IFERROR(__xludf.DUMMYFUNCTION("""COMPUTED_VALUE"""),"https://www.instagram.com/maktaborreza/")</f>
        <v>https://www.instagram.com/maktaborreza/</v>
      </c>
      <c r="I1032" s="6" t="str">
        <f>IFERROR(__xludf.DUMMYFUNCTION("""COMPUTED_VALUE"""),"https://t.me/maktaborreza")</f>
        <v>https://t.me/maktaborreza</v>
      </c>
      <c r="J1032" s="5"/>
      <c r="K1032" s="5"/>
      <c r="L1032" s="5"/>
      <c r="M1032" s="5"/>
      <c r="N1032" s="5"/>
      <c r="O1032" s="5"/>
      <c r="P1032" s="5"/>
      <c r="Q1032" s="5"/>
      <c r="R1032" s="5"/>
      <c r="S1032" s="5"/>
    </row>
    <row r="1033">
      <c r="A1033" s="5"/>
      <c r="B1033" s="5" t="str">
        <f>IFERROR(__xludf.DUMMYFUNCTION("""COMPUTED_VALUE"""),"هیأت")</f>
        <v>هیأت</v>
      </c>
      <c r="C1033" s="5" t="str">
        <f>IFERROR(__xludf.DUMMYFUNCTION("""COMPUTED_VALUE"""),"روضه ماء الفرات")</f>
        <v>روضه ماء الفرات</v>
      </c>
      <c r="D1033" s="5" t="str">
        <f>IFERROR(__xludf.DUMMYFUNCTION("""COMPUTED_VALUE"""),"تهران")</f>
        <v>تهران</v>
      </c>
      <c r="E1033" s="5"/>
      <c r="F1033" s="5" t="str">
        <f>IFERROR(__xludf.DUMMYFUNCTION("""COMPUTED_VALUE"""),"‎فرمانیه،جنب کوه نور،کوچه فربین")</f>
        <v>‎فرمانیه،جنب کوه نور،کوچه فربین</v>
      </c>
      <c r="G1033" s="5"/>
      <c r="H1033" s="6" t="str">
        <f>IFERROR(__xludf.DUMMYFUNCTION("""COMPUTED_VALUE"""),"https://www.instagram.com/roze_maolforat/")</f>
        <v>https://www.instagram.com/roze_maolforat/</v>
      </c>
      <c r="I1033" s="6" t="str">
        <f>IFERROR(__xludf.DUMMYFUNCTION("""COMPUTED_VALUE"""),"https://t.me/maolforat")</f>
        <v>https://t.me/maolforat</v>
      </c>
      <c r="J1033" s="5"/>
      <c r="K1033" s="5"/>
      <c r="L1033" s="5"/>
      <c r="M1033" s="5"/>
      <c r="N1033" s="5"/>
      <c r="O1033" s="5"/>
      <c r="P1033" s="5"/>
      <c r="Q1033" s="5"/>
      <c r="R1033" s="5"/>
      <c r="S1033" s="5"/>
    </row>
    <row r="1034">
      <c r="A1034" s="5"/>
      <c r="B1034" s="5" t="str">
        <f>IFERROR(__xludf.DUMMYFUNCTION("""COMPUTED_VALUE"""),"هیأت")</f>
        <v>هیأت</v>
      </c>
      <c r="C1034" s="5" t="str">
        <f>IFERROR(__xludf.DUMMYFUNCTION("""COMPUTED_VALUE"""),"روضة المظلومة")</f>
        <v>روضة المظلومة</v>
      </c>
      <c r="D1034" s="5" t="str">
        <f>IFERROR(__xludf.DUMMYFUNCTION("""COMPUTED_VALUE"""),"تهران")</f>
        <v>تهران</v>
      </c>
      <c r="E1034" s="5"/>
      <c r="F1034" s="5" t="str">
        <f>IFERROR(__xludf.DUMMYFUNCTION("""COMPUTED_VALUE"""),"مجیدیه شمالی")</f>
        <v>مجیدیه شمالی</v>
      </c>
      <c r="G1034" s="5"/>
      <c r="H1034" s="6" t="str">
        <f>IFERROR(__xludf.DUMMYFUNCTION("""COMPUTED_VALUE"""),"https://www.instagram.com/mazlomeh.ir/")</f>
        <v>https://www.instagram.com/mazlomeh.ir/</v>
      </c>
      <c r="I1034" s="6" t="str">
        <f>IFERROR(__xludf.DUMMYFUNCTION("""COMPUTED_VALUE"""),"https://t.me/mazlomeh_ir")</f>
        <v>https://t.me/mazlomeh_ir</v>
      </c>
      <c r="J1034" s="5"/>
      <c r="K1034" s="5"/>
      <c r="L1034" s="5"/>
      <c r="M1034" s="5"/>
      <c r="N1034" s="5" t="str">
        <f>IFERROR(__xludf.DUMMYFUNCTION("""COMPUTED_VALUE"""),"*")</f>
        <v>*</v>
      </c>
      <c r="O1034" s="5"/>
      <c r="P1034" s="5"/>
      <c r="Q1034" s="5"/>
      <c r="R1034" s="5"/>
      <c r="S1034" s="5"/>
    </row>
    <row r="1035">
      <c r="A1035" s="5"/>
      <c r="B1035" s="5" t="str">
        <f>IFERROR(__xludf.DUMMYFUNCTION("""COMPUTED_VALUE"""),"هیأت")</f>
        <v>هیأت</v>
      </c>
      <c r="C1035" s="5" t="str">
        <f>IFERROR(__xludf.DUMMYFUNCTION("""COMPUTED_VALUE"""),"بیرق معظم مصباح الهدی")</f>
        <v>بیرق معظم مصباح الهدی</v>
      </c>
      <c r="D1035" s="5" t="str">
        <f>IFERROR(__xludf.DUMMYFUNCTION("""COMPUTED_VALUE"""),"تهران")</f>
        <v>تهران</v>
      </c>
      <c r="E1035" s="5"/>
      <c r="F1035" s="5" t="str">
        <f>IFERROR(__xludf.DUMMYFUNCTION("""COMPUTED_VALUE"""),"نارمک‌.خیابان‌آیت‌جنوبی‌.کوچه‌عبادی‌استاد")</f>
        <v>نارمک‌.خیابان‌آیت‌جنوبی‌.کوچه‌عبادی‌استاد</v>
      </c>
      <c r="G1035" s="5"/>
      <c r="H1035" s="6" t="str">
        <f>IFERROR(__xludf.DUMMYFUNCTION("""COMPUTED_VALUE"""),"https://www.instagram.com/mesbaholhoda201/")</f>
        <v>https://www.instagram.com/mesbaholhoda201/</v>
      </c>
      <c r="I1035" s="6" t="str">
        <f>IFERROR(__xludf.DUMMYFUNCTION("""COMPUTED_VALUE"""),"https://t.me/mesbahi_am")</f>
        <v>https://t.me/mesbahi_am</v>
      </c>
      <c r="J1035" s="5"/>
      <c r="K1035" s="5"/>
      <c r="L1035" s="5"/>
      <c r="M1035" s="5"/>
      <c r="N1035" s="5"/>
      <c r="O1035" s="5"/>
      <c r="P1035" s="5"/>
      <c r="Q1035" s="5"/>
      <c r="R1035" s="5"/>
      <c r="S1035" s="5"/>
    </row>
    <row r="1036">
      <c r="A1036" s="5"/>
      <c r="B1036" s="5" t="str">
        <f>IFERROR(__xludf.DUMMYFUNCTION("""COMPUTED_VALUE"""),"هیأت")</f>
        <v>هیأت</v>
      </c>
      <c r="C1036" s="5" t="str">
        <f>IFERROR(__xludf.DUMMYFUNCTION("""COMPUTED_VALUE"""),"محبان حضرت علی اکبر")</f>
        <v>محبان حضرت علی اکبر</v>
      </c>
      <c r="D1036" s="5" t="str">
        <f>IFERROR(__xludf.DUMMYFUNCTION("""COMPUTED_VALUE"""),"تهران")</f>
        <v>تهران</v>
      </c>
      <c r="E1036" s="5"/>
      <c r="F1036" s="5" t="str">
        <f>IFERROR(__xludf.DUMMYFUNCTION("""COMPUTED_VALUE"""),"پیروزی")</f>
        <v>پیروزی</v>
      </c>
      <c r="G1036" s="5"/>
      <c r="H1036" s="6" t="str">
        <f>IFERROR(__xludf.DUMMYFUNCTION("""COMPUTED_VALUE"""),"https://www.instagram.com/moheban_aliakbar/")</f>
        <v>https://www.instagram.com/moheban_aliakbar/</v>
      </c>
      <c r="I1036" s="6" t="str">
        <f>IFERROR(__xludf.DUMMYFUNCTION("""COMPUTED_VALUE"""),"https://t.me/mohebanAliakbar")</f>
        <v>https://t.me/mohebanAliakbar</v>
      </c>
      <c r="J1036" s="5"/>
      <c r="K1036" s="5"/>
      <c r="L1036" s="5"/>
      <c r="M1036" s="5"/>
      <c r="N1036" s="5" t="str">
        <f>IFERROR(__xludf.DUMMYFUNCTION("""COMPUTED_VALUE"""),"*")</f>
        <v>*</v>
      </c>
      <c r="O1036" s="5"/>
      <c r="P1036" s="5"/>
      <c r="Q1036" s="5"/>
      <c r="R1036" s="5"/>
      <c r="S1036" s="5"/>
    </row>
    <row r="1037">
      <c r="A1037" s="5"/>
      <c r="B1037" s="5" t="str">
        <f>IFERROR(__xludf.DUMMYFUNCTION("""COMPUTED_VALUE"""),"هیأت")</f>
        <v>هیأت</v>
      </c>
      <c r="C1037" s="5" t="str">
        <f>IFERROR(__xludf.DUMMYFUNCTION("""COMPUTED_VALUE"""),"محبان الرقیه")</f>
        <v>محبان الرقیه</v>
      </c>
      <c r="D1037" s="5" t="str">
        <f>IFERROR(__xludf.DUMMYFUNCTION("""COMPUTED_VALUE"""),"تهران")</f>
        <v>تهران</v>
      </c>
      <c r="E1037" s="5"/>
      <c r="F1037" s="5"/>
      <c r="G1037" s="5"/>
      <c r="H1037" s="6" t="str">
        <f>IFERROR(__xludf.DUMMYFUNCTION("""COMPUTED_VALUE"""),"https://www.instagram.com/mohebanolroghaye/")</f>
        <v>https://www.instagram.com/mohebanolroghaye/</v>
      </c>
      <c r="I1037" s="6" t="str">
        <f>IFERROR(__xludf.DUMMYFUNCTION("""COMPUTED_VALUE"""),"https://t.me/mohebane_roghaye_rey")</f>
        <v>https://t.me/mohebane_roghaye_rey</v>
      </c>
      <c r="J1037" s="5"/>
      <c r="K1037" s="5"/>
      <c r="L1037" s="5"/>
      <c r="M1037" s="5"/>
      <c r="N1037" s="5"/>
      <c r="O1037" s="5"/>
      <c r="P1037" s="5"/>
      <c r="Q1037" s="5"/>
      <c r="R1037" s="5"/>
      <c r="S1037" s="5"/>
    </row>
    <row r="1038">
      <c r="A1038" s="5"/>
      <c r="B1038" s="5" t="str">
        <f>IFERROR(__xludf.DUMMYFUNCTION("""COMPUTED_VALUE"""),"هیأت")</f>
        <v>هیأت</v>
      </c>
      <c r="C1038" s="5" t="str">
        <f>IFERROR(__xludf.DUMMYFUNCTION("""COMPUTED_VALUE"""),"محبان الشهدا")</f>
        <v>محبان الشهدا</v>
      </c>
      <c r="D1038" s="5" t="str">
        <f>IFERROR(__xludf.DUMMYFUNCTION("""COMPUTED_VALUE"""),"تهران")</f>
        <v>تهران</v>
      </c>
      <c r="E1038" s="5"/>
      <c r="F1038" s="5"/>
      <c r="G1038" s="5"/>
      <c r="H1038" s="6" t="str">
        <f>IFERROR(__xludf.DUMMYFUNCTION("""COMPUTED_VALUE"""),"https://www.instagram.com/mohebanoshohada/")</f>
        <v>https://www.instagram.com/mohebanoshohada/</v>
      </c>
      <c r="I1038" s="6" t="str">
        <f>IFERROR(__xludf.DUMMYFUNCTION("""COMPUTED_VALUE"""),"https://t.me/mohebanoshohada")</f>
        <v>https://t.me/mohebanoshohada</v>
      </c>
      <c r="J1038" s="5"/>
      <c r="K1038" s="5"/>
      <c r="L1038" s="5"/>
      <c r="M1038" s="5"/>
      <c r="N1038" s="5"/>
      <c r="O1038" s="5"/>
      <c r="P1038" s="5"/>
      <c r="Q1038" s="5"/>
      <c r="R1038" s="5"/>
      <c r="S1038" s="5"/>
    </row>
    <row r="1039">
      <c r="A1039" s="5"/>
      <c r="B1039" s="5" t="str">
        <f>IFERROR(__xludf.DUMMYFUNCTION("""COMPUTED_VALUE"""),"هیأت بانوان")</f>
        <v>هیأت بانوان</v>
      </c>
      <c r="C1039" s="5" t="str">
        <f>IFERROR(__xludf.DUMMYFUNCTION("""COMPUTED_VALUE"""),"محبان فاطمه")</f>
        <v>محبان فاطمه</v>
      </c>
      <c r="D1039" s="5" t="str">
        <f>IFERROR(__xludf.DUMMYFUNCTION("""COMPUTED_VALUE"""),"تهران")</f>
        <v>تهران</v>
      </c>
      <c r="E1039" s="5"/>
      <c r="F1039" s="5" t="str">
        <f>IFERROR(__xludf.DUMMYFUNCTION("""COMPUTED_VALUE"""),"پیروزی")</f>
        <v>پیروزی</v>
      </c>
      <c r="G1039" s="5"/>
      <c r="H1039" s="6" t="str">
        <f>IFERROR(__xludf.DUMMYFUNCTION("""COMPUTED_VALUE"""),"https://www.instagram.com/moheban._.fatemeh/")</f>
        <v>https://www.instagram.com/moheban._.fatemeh/</v>
      </c>
      <c r="I1039" s="6" t="str">
        <f>IFERROR(__xludf.DUMMYFUNCTION("""COMPUTED_VALUE"""),"https://t.me/mohebban_fatemeh")</f>
        <v>https://t.me/mohebban_fatemeh</v>
      </c>
      <c r="J1039" s="5"/>
      <c r="K1039" s="5"/>
      <c r="L1039" s="5"/>
      <c r="M1039" s="5"/>
      <c r="N1039" s="5" t="str">
        <f>IFERROR(__xludf.DUMMYFUNCTION("""COMPUTED_VALUE"""),"*")</f>
        <v>*</v>
      </c>
      <c r="O1039" s="5"/>
      <c r="P1039" s="5"/>
      <c r="Q1039" s="5"/>
      <c r="R1039" s="5"/>
      <c r="S1039" s="5"/>
    </row>
    <row r="1040">
      <c r="A1040" s="5"/>
      <c r="B1040" s="5" t="str">
        <f>IFERROR(__xludf.DUMMYFUNCTION("""COMPUTED_VALUE"""),"هیأت")</f>
        <v>هیأت</v>
      </c>
      <c r="C1040" s="5" t="str">
        <f>IFERROR(__xludf.DUMMYFUNCTION("""COMPUTED_VALUE"""),"محبان الزهرا")</f>
        <v>محبان الزهرا</v>
      </c>
      <c r="D1040" s="5" t="str">
        <f>IFERROR(__xludf.DUMMYFUNCTION("""COMPUTED_VALUE"""),"تهران")</f>
        <v>تهران</v>
      </c>
      <c r="E1040" s="5"/>
      <c r="F1040" s="5" t="str">
        <f>IFERROR(__xludf.DUMMYFUNCTION("""COMPUTED_VALUE"""),"ميدان المپيك،شهرک صدرا،")</f>
        <v>ميدان المپيك،شهرک صدرا،</v>
      </c>
      <c r="G1040" s="5"/>
      <c r="H1040" s="6" t="str">
        <f>IFERROR(__xludf.DUMMYFUNCTION("""COMPUTED_VALUE"""),"https://www.instagram.com/mohebban_o_zahra/")</f>
        <v>https://www.instagram.com/mohebban_o_zahra/</v>
      </c>
      <c r="I1040" s="6" t="str">
        <f>IFERROR(__xludf.DUMMYFUNCTION("""COMPUTED_VALUE"""),"https://t.me/mohebban_o_zahra")</f>
        <v>https://t.me/mohebban_o_zahra</v>
      </c>
      <c r="J1040" s="5"/>
      <c r="K1040" s="5"/>
      <c r="L1040" s="5"/>
      <c r="M1040" s="5"/>
      <c r="N1040" s="5" t="str">
        <f>IFERROR(__xludf.DUMMYFUNCTION("""COMPUTED_VALUE"""),"*")</f>
        <v>*</v>
      </c>
      <c r="O1040" s="5"/>
      <c r="P1040" s="5"/>
      <c r="Q1040" s="5"/>
      <c r="R1040" s="5"/>
      <c r="S1040" s="5"/>
    </row>
    <row r="1041">
      <c r="A1041" s="5"/>
      <c r="B1041" s="5" t="str">
        <f>IFERROR(__xludf.DUMMYFUNCTION("""COMPUTED_VALUE"""),"هیأت")</f>
        <v>هیأت</v>
      </c>
      <c r="C1041" s="5" t="str">
        <f>IFERROR(__xludf.DUMMYFUNCTION("""COMPUTED_VALUE"""),"محبان حضرت علی اکبر")</f>
        <v>محبان حضرت علی اکبر</v>
      </c>
      <c r="D1041" s="5" t="str">
        <f>IFERROR(__xludf.DUMMYFUNCTION("""COMPUTED_VALUE"""),"تهران")</f>
        <v>تهران</v>
      </c>
      <c r="E1041" s="5"/>
      <c r="F1041" s="5"/>
      <c r="G1041" s="5"/>
      <c r="H1041" s="6" t="str">
        <f>IFERROR(__xludf.DUMMYFUNCTION("""COMPUTED_VALUE"""),"https://www.instagram.com/moheban.333/")</f>
        <v>https://www.instagram.com/moheban.333/</v>
      </c>
      <c r="I1041" s="6" t="str">
        <f>IFERROR(__xludf.DUMMYFUNCTION("""COMPUTED_VALUE"""),"https://t.me/mohebbanehazratealiakbar")</f>
        <v>https://t.me/mohebbanehazratealiakbar</v>
      </c>
      <c r="J1041" s="5"/>
      <c r="K1041" s="5"/>
      <c r="L1041" s="5"/>
      <c r="M1041" s="5"/>
      <c r="N1041" s="5" t="str">
        <f>IFERROR(__xludf.DUMMYFUNCTION("""COMPUTED_VALUE"""),"*")</f>
        <v>*</v>
      </c>
      <c r="O1041" s="5"/>
      <c r="P1041" s="5"/>
      <c r="Q1041" s="5"/>
      <c r="R1041" s="5"/>
      <c r="S1041" s="5"/>
    </row>
    <row r="1042">
      <c r="A1042" s="5"/>
      <c r="B1042" s="5" t="str">
        <f>IFERROR(__xludf.DUMMYFUNCTION("""COMPUTED_VALUE"""),"هیأت")</f>
        <v>هیأت</v>
      </c>
      <c r="C1042" s="5" t="str">
        <f>IFERROR(__xludf.DUMMYFUNCTION("""COMPUTED_VALUE"""),"محبان قمربنی هاشم")</f>
        <v>محبان قمربنی هاشم</v>
      </c>
      <c r="D1042" s="5" t="str">
        <f>IFERROR(__xludf.DUMMYFUNCTION("""COMPUTED_VALUE"""),"تهران")</f>
        <v>تهران</v>
      </c>
      <c r="E1042" s="5"/>
      <c r="F1042" s="5"/>
      <c r="G1042" s="5"/>
      <c r="H1042" s="6" t="str">
        <f>IFERROR(__xludf.DUMMYFUNCTION("""COMPUTED_VALUE"""),"https://www.instagram.com/mohebbanghamar/")</f>
        <v>https://www.instagram.com/mohebbanghamar/</v>
      </c>
      <c r="I1042" s="6" t="str">
        <f>IFERROR(__xludf.DUMMYFUNCTION("""COMPUTED_VALUE"""),"https://t.me/Mohebbanghamar")</f>
        <v>https://t.me/Mohebbanghamar</v>
      </c>
      <c r="J1042" s="5"/>
      <c r="K1042" s="5"/>
      <c r="L1042" s="5"/>
      <c r="M1042" s="5"/>
      <c r="N1042" s="5" t="str">
        <f>IFERROR(__xludf.DUMMYFUNCTION("""COMPUTED_VALUE"""),"*")</f>
        <v>*</v>
      </c>
      <c r="O1042" s="5"/>
      <c r="P1042" s="5"/>
      <c r="Q1042" s="5"/>
      <c r="R1042" s="5"/>
      <c r="S1042" s="5"/>
    </row>
    <row r="1043">
      <c r="A1043" s="5"/>
      <c r="B1043" s="5" t="str">
        <f>IFERROR(__xludf.DUMMYFUNCTION("""COMPUTED_VALUE"""),"هیأت")</f>
        <v>هیأت</v>
      </c>
      <c r="C1043" s="5" t="str">
        <f>IFERROR(__xludf.DUMMYFUNCTION("""COMPUTED_VALUE"""),"محبین امیرالمومنین")</f>
        <v>محبین امیرالمومنین</v>
      </c>
      <c r="D1043" s="5" t="str">
        <f>IFERROR(__xludf.DUMMYFUNCTION("""COMPUTED_VALUE"""),"تهران")</f>
        <v>تهران</v>
      </c>
      <c r="E1043" s="5"/>
      <c r="F1043" s="5"/>
      <c r="G1043" s="5"/>
      <c r="H1043" s="6" t="str">
        <f>IFERROR(__xludf.DUMMYFUNCTION("""COMPUTED_VALUE"""),"https://www.instagram.com/mohebbin110/")</f>
        <v>https://www.instagram.com/mohebbin110/</v>
      </c>
      <c r="I1043" s="6" t="str">
        <f>IFERROR(__xludf.DUMMYFUNCTION("""COMPUTED_VALUE"""),"https://t.me/Mohebbin_110")</f>
        <v>https://t.me/Mohebbin_110</v>
      </c>
      <c r="J1043" s="5"/>
      <c r="K1043" s="5"/>
      <c r="L1043" s="5"/>
      <c r="M1043" s="5"/>
      <c r="N1043" s="5" t="str">
        <f>IFERROR(__xludf.DUMMYFUNCTION("""COMPUTED_VALUE"""),"*")</f>
        <v>*</v>
      </c>
      <c r="O1043" s="5"/>
      <c r="P1043" s="5"/>
      <c r="Q1043" s="5"/>
      <c r="R1043" s="5"/>
      <c r="S1043" s="5"/>
    </row>
    <row r="1044">
      <c r="A1044" s="5"/>
      <c r="B1044" s="5" t="str">
        <f>IFERROR(__xludf.DUMMYFUNCTION("""COMPUTED_VALUE"""),"هیأت")</f>
        <v>هیأت</v>
      </c>
      <c r="C1044" s="5" t="str">
        <f>IFERROR(__xludf.DUMMYFUNCTION("""COMPUTED_VALUE"""),"مهجه الرسول")</f>
        <v>مهجه الرسول</v>
      </c>
      <c r="D1044" s="5" t="str">
        <f>IFERROR(__xludf.DUMMYFUNCTION("""COMPUTED_VALUE"""),"تهران")</f>
        <v>تهران</v>
      </c>
      <c r="E1044" s="5"/>
      <c r="F1044" s="5"/>
      <c r="G1044" s="5"/>
      <c r="H1044" s="6" t="str">
        <f>IFERROR(__xludf.DUMMYFUNCTION("""COMPUTED_VALUE"""),"https://www.instagram.com/mohjatolrasul/")</f>
        <v>https://www.instagram.com/mohjatolrasul/</v>
      </c>
      <c r="I1044" s="6" t="str">
        <f>IFERROR(__xludf.DUMMYFUNCTION("""COMPUTED_VALUE"""),"https://t.me/mohjatolrasul")</f>
        <v>https://t.me/mohjatolrasul</v>
      </c>
      <c r="J1044" s="5"/>
      <c r="K1044" s="5"/>
      <c r="L1044" s="5"/>
      <c r="M1044" s="5"/>
      <c r="N1044" s="5" t="str">
        <f>IFERROR(__xludf.DUMMYFUNCTION("""COMPUTED_VALUE"""),"*")</f>
        <v>*</v>
      </c>
      <c r="O1044" s="5"/>
      <c r="P1044" s="5"/>
      <c r="Q1044" s="5"/>
      <c r="R1044" s="5"/>
      <c r="S1044" s="5"/>
    </row>
    <row r="1045">
      <c r="A1045" s="5"/>
      <c r="B1045" s="5" t="str">
        <f>IFERROR(__xludf.DUMMYFUNCTION("""COMPUTED_VALUE"""),"هیأت")</f>
        <v>هیأت</v>
      </c>
      <c r="C1045" s="5" t="str">
        <f>IFERROR(__xludf.DUMMYFUNCTION("""COMPUTED_VALUE"""),"محسنیه طهران")</f>
        <v>محسنیه طهران</v>
      </c>
      <c r="D1045" s="5" t="str">
        <f>IFERROR(__xludf.DUMMYFUNCTION("""COMPUTED_VALUE"""),"تهران")</f>
        <v>تهران</v>
      </c>
      <c r="E1045" s="5"/>
      <c r="F1045" s="5"/>
      <c r="G1045" s="5"/>
      <c r="H1045" s="6" t="str">
        <f>IFERROR(__xludf.DUMMYFUNCTION("""COMPUTED_VALUE"""),"https://www.instagram.com/mohsenie_tehran/")</f>
        <v>https://www.instagram.com/mohsenie_tehran/</v>
      </c>
      <c r="I1045" s="6" t="str">
        <f>IFERROR(__xludf.DUMMYFUNCTION("""COMPUTED_VALUE"""),"https://t.me/mohsenie_tehran")</f>
        <v>https://t.me/mohsenie_tehran</v>
      </c>
      <c r="J1045" s="5"/>
      <c r="K1045" s="5"/>
      <c r="L1045" s="5"/>
      <c r="M1045" s="5"/>
      <c r="N1045" s="5"/>
      <c r="O1045" s="5"/>
      <c r="P1045" s="5"/>
      <c r="Q1045" s="5"/>
      <c r="R1045" s="5"/>
      <c r="S1045" s="5"/>
    </row>
    <row r="1046">
      <c r="A1046" s="5"/>
      <c r="B1046" s="5" t="str">
        <f>IFERROR(__xludf.DUMMYFUNCTION("""COMPUTED_VALUE"""),"هیأت")</f>
        <v>هیأت</v>
      </c>
      <c r="C1046" s="5" t="str">
        <f>IFERROR(__xludf.DUMMYFUNCTION("""COMPUTED_VALUE"""),"محسنیه طهران")</f>
        <v>محسنیه طهران</v>
      </c>
      <c r="D1046" s="5" t="str">
        <f>IFERROR(__xludf.DUMMYFUNCTION("""COMPUTED_VALUE"""),"تهران")</f>
        <v>تهران</v>
      </c>
      <c r="E1046" s="5"/>
      <c r="F1046" s="5"/>
      <c r="G1046" s="5"/>
      <c r="H1046" s="6" t="str">
        <f>IFERROR(__xludf.DUMMYFUNCTION("""COMPUTED_VALUE"""),"https://www.instagram.com/mohsenie315/")</f>
        <v>https://www.instagram.com/mohsenie315/</v>
      </c>
      <c r="I1046" s="6" t="str">
        <f>IFERROR(__xludf.DUMMYFUNCTION("""COMPUTED_VALUE"""),"https://t.me/mohsenie118")</f>
        <v>https://t.me/mohsenie118</v>
      </c>
      <c r="J1046" s="5"/>
      <c r="K1046" s="5"/>
      <c r="L1046" s="5"/>
      <c r="M1046" s="5"/>
      <c r="N1046" s="5"/>
      <c r="O1046" s="5"/>
      <c r="P1046" s="5"/>
      <c r="Q1046" s="5"/>
      <c r="R1046" s="5"/>
      <c r="S1046" s="5"/>
    </row>
    <row r="1047">
      <c r="A1047" s="5"/>
      <c r="B1047" s="5" t="str">
        <f>IFERROR(__xludf.DUMMYFUNCTION("""COMPUTED_VALUE"""),"هیأت")</f>
        <v>هیأت</v>
      </c>
      <c r="C1047" s="5" t="str">
        <f>IFERROR(__xludf.DUMMYFUNCTION("""COMPUTED_VALUE"""),"موج الحسن")</f>
        <v>موج الحسن</v>
      </c>
      <c r="D1047" s="5" t="str">
        <f>IFERROR(__xludf.DUMMYFUNCTION("""COMPUTED_VALUE"""),"تهران")</f>
        <v>تهران</v>
      </c>
      <c r="E1047" s="5"/>
      <c r="F1047" s="5"/>
      <c r="G1047" s="5"/>
      <c r="H1047" s="6" t="str">
        <f>IFERROR(__xludf.DUMMYFUNCTION("""COMPUTED_VALUE"""),"https://www.instagram.com/mojolhasan/")</f>
        <v>https://www.instagram.com/mojolhasan/</v>
      </c>
      <c r="I1047" s="6" t="str">
        <f>IFERROR(__xludf.DUMMYFUNCTION("""COMPUTED_VALUE"""),"https://t.me/mojolhasan")</f>
        <v>https://t.me/mojolhasan</v>
      </c>
      <c r="J1047" s="5"/>
      <c r="K1047" s="5"/>
      <c r="L1047" s="5"/>
      <c r="M1047" s="5"/>
      <c r="N1047" s="5" t="str">
        <f>IFERROR(__xludf.DUMMYFUNCTION("""COMPUTED_VALUE"""),"*")</f>
        <v>*</v>
      </c>
      <c r="O1047" s="5"/>
      <c r="P1047" s="5"/>
      <c r="Q1047" s="5"/>
      <c r="R1047" s="5"/>
      <c r="S1047" s="5"/>
    </row>
    <row r="1048">
      <c r="A1048" s="5"/>
      <c r="B1048" s="5" t="str">
        <f>IFERROR(__xludf.DUMMYFUNCTION("""COMPUTED_VALUE"""),"هیأت")</f>
        <v>هیأت</v>
      </c>
      <c r="C1048" s="5" t="str">
        <f>IFERROR(__xludf.DUMMYFUNCTION("""COMPUTED_VALUE"""),"موکب الرضا")</f>
        <v>موکب الرضا</v>
      </c>
      <c r="D1048" s="5" t="str">
        <f>IFERROR(__xludf.DUMMYFUNCTION("""COMPUTED_VALUE"""),"تهران")</f>
        <v>تهران</v>
      </c>
      <c r="E1048" s="5"/>
      <c r="F1048" s="5"/>
      <c r="G1048" s="5"/>
      <c r="H1048" s="6" t="str">
        <f>IFERROR(__xludf.DUMMYFUNCTION("""COMPUTED_VALUE"""),"https://www.instagram.com/mokebalreza/")</f>
        <v>https://www.instagram.com/mokebalreza/</v>
      </c>
      <c r="I1048" s="6" t="str">
        <f>IFERROR(__xludf.DUMMYFUNCTION("""COMPUTED_VALUE"""),"https://t.me/MOKEBALREZA")</f>
        <v>https://t.me/MOKEBALREZA</v>
      </c>
      <c r="J1048" s="5"/>
      <c r="K1048" s="5"/>
      <c r="L1048" s="5"/>
      <c r="M1048" s="5"/>
      <c r="N1048" s="5" t="str">
        <f>IFERROR(__xludf.DUMMYFUNCTION("""COMPUTED_VALUE"""),"*")</f>
        <v>*</v>
      </c>
      <c r="O1048" s="5"/>
      <c r="P1048" s="5"/>
      <c r="Q1048" s="5"/>
      <c r="R1048" s="5"/>
      <c r="S1048" s="5"/>
    </row>
    <row r="1049">
      <c r="A1049" s="5"/>
      <c r="B1049" s="5" t="str">
        <f>IFERROR(__xludf.DUMMYFUNCTION("""COMPUTED_VALUE"""),"هیأت")</f>
        <v>هیأت</v>
      </c>
      <c r="C1049" s="5" t="str">
        <f>IFERROR(__xludf.DUMMYFUNCTION("""COMPUTED_VALUE"""),"موکب کهیعص")</f>
        <v>موکب کهیعص</v>
      </c>
      <c r="D1049" s="5" t="str">
        <f>IFERROR(__xludf.DUMMYFUNCTION("""COMPUTED_VALUE"""),"تهران")</f>
        <v>تهران</v>
      </c>
      <c r="E1049" s="5"/>
      <c r="F1049" s="5" t="str">
        <f>IFERROR(__xludf.DUMMYFUNCTION("""COMPUTED_VALUE"""),"دروازه شمیران")</f>
        <v>دروازه شمیران</v>
      </c>
      <c r="G1049" s="5"/>
      <c r="H1049" s="6" t="str">
        <f>IFERROR(__xludf.DUMMYFUNCTION("""COMPUTED_VALUE"""),"https://www.instagram.com/mokeb.info/")</f>
        <v>https://www.instagram.com/mokeb.info/</v>
      </c>
      <c r="I1049" s="6" t="str">
        <f>IFERROR(__xludf.DUMMYFUNCTION("""COMPUTED_VALUE"""),"https://t.me/mokebinfo")</f>
        <v>https://t.me/mokebinfo</v>
      </c>
      <c r="J1049" s="5"/>
      <c r="K1049" s="5"/>
      <c r="L1049" s="6" t="str">
        <f>IFERROR(__xludf.DUMMYFUNCTION("""COMPUTED_VALUE"""),"https://mokeb.info/")</f>
        <v>https://mokeb.info/</v>
      </c>
      <c r="M1049" s="5"/>
      <c r="N1049" s="5" t="str">
        <f>IFERROR(__xludf.DUMMYFUNCTION("""COMPUTED_VALUE"""),"*")</f>
        <v>*</v>
      </c>
      <c r="O1049" s="5"/>
      <c r="P1049" s="5"/>
      <c r="Q1049" s="5"/>
      <c r="R1049" s="5"/>
      <c r="S1049" s="5"/>
    </row>
    <row r="1050">
      <c r="A1050" s="5"/>
      <c r="B1050" s="5" t="str">
        <f>IFERROR(__xludf.DUMMYFUNCTION("""COMPUTED_VALUE"""),"هیأت")</f>
        <v>هیأت</v>
      </c>
      <c r="C1050" s="5" t="str">
        <f>IFERROR(__xludf.DUMMYFUNCTION("""COMPUTED_VALUE"""),"منتظران حضرت ولی عصر")</f>
        <v>منتظران حضرت ولی عصر</v>
      </c>
      <c r="D1050" s="5" t="str">
        <f>IFERROR(__xludf.DUMMYFUNCTION("""COMPUTED_VALUE"""),"تهران")</f>
        <v>تهران</v>
      </c>
      <c r="E1050" s="5"/>
      <c r="F1050" s="5" t="str">
        <f>IFERROR(__xludf.DUMMYFUNCTION("""COMPUTED_VALUE"""),"پونک شمالی")</f>
        <v>پونک شمالی</v>
      </c>
      <c r="G1050" s="5"/>
      <c r="H1050" s="6" t="str">
        <f>IFERROR(__xludf.DUMMYFUNCTION("""COMPUTED_VALUE"""),"https://www.instagram.com/montazeran313/")</f>
        <v>https://www.instagram.com/montazeran313/</v>
      </c>
      <c r="I1050" s="6" t="str">
        <f>IFERROR(__xludf.DUMMYFUNCTION("""COMPUTED_VALUE"""),"https://t.me/montazeran313_com")</f>
        <v>https://t.me/montazeran313_com</v>
      </c>
      <c r="J1050" s="5"/>
      <c r="K1050" s="5"/>
      <c r="L1050" s="5"/>
      <c r="M1050" s="5"/>
      <c r="N1050" s="5" t="str">
        <f>IFERROR(__xludf.DUMMYFUNCTION("""COMPUTED_VALUE"""),"*")</f>
        <v>*</v>
      </c>
      <c r="O1050" s="5"/>
      <c r="P1050" s="5"/>
      <c r="Q1050" s="5"/>
      <c r="R1050" s="5"/>
      <c r="S1050" s="5"/>
    </row>
    <row r="1051">
      <c r="A1051" s="5"/>
      <c r="B1051" s="5" t="str">
        <f>IFERROR(__xludf.DUMMYFUNCTION("""COMPUTED_VALUE"""),"هیأت")</f>
        <v>هیأت</v>
      </c>
      <c r="C1051" s="5" t="str">
        <f>IFERROR(__xludf.DUMMYFUNCTION("""COMPUTED_VALUE"""),"منتظرین حضرت مهدی")</f>
        <v>منتظرین حضرت مهدی</v>
      </c>
      <c r="D1051" s="5" t="str">
        <f>IFERROR(__xludf.DUMMYFUNCTION("""COMPUTED_VALUE"""),"تهران")</f>
        <v>تهران</v>
      </c>
      <c r="E1051" s="5"/>
      <c r="F1051" s="5" t="str">
        <f>IFERROR(__xludf.DUMMYFUNCTION("""COMPUTED_VALUE"""),"نیاوران")</f>
        <v>نیاوران</v>
      </c>
      <c r="G1051" s="5"/>
      <c r="H1051" s="6" t="str">
        <f>IFERROR(__xludf.DUMMYFUNCTION("""COMPUTED_VALUE"""),"https://www.instagram.com/montazerin.ir/")</f>
        <v>https://www.instagram.com/montazerin.ir/</v>
      </c>
      <c r="I1051" s="6" t="str">
        <f>IFERROR(__xludf.DUMMYFUNCTION("""COMPUTED_VALUE"""),"https://t.me/montazerin")</f>
        <v>https://t.me/montazerin</v>
      </c>
      <c r="J1051" s="5"/>
      <c r="K1051" s="5"/>
      <c r="L1051" s="5"/>
      <c r="M1051" s="5"/>
      <c r="N1051" s="5" t="str">
        <f>IFERROR(__xludf.DUMMYFUNCTION("""COMPUTED_VALUE"""),"*")</f>
        <v>*</v>
      </c>
      <c r="O1051" s="5"/>
      <c r="P1051" s="5"/>
      <c r="Q1051" s="5"/>
      <c r="R1051" s="5"/>
      <c r="S1051" s="5"/>
    </row>
    <row r="1052">
      <c r="A1052" s="5"/>
      <c r="B1052" s="5" t="str">
        <f>IFERROR(__xludf.DUMMYFUNCTION("""COMPUTED_VALUE"""),"هیأت")</f>
        <v>هیأت</v>
      </c>
      <c r="C1052" s="5" t="str">
        <f>IFERROR(__xludf.DUMMYFUNCTION("""COMPUTED_VALUE"""),"متوسلین به امیرالمومنین")</f>
        <v>متوسلین به امیرالمومنین</v>
      </c>
      <c r="D1052" s="5" t="str">
        <f>IFERROR(__xludf.DUMMYFUNCTION("""COMPUTED_VALUE"""),"تهران")</f>
        <v>تهران</v>
      </c>
      <c r="E1052" s="5"/>
      <c r="F1052" s="5"/>
      <c r="G1052" s="5"/>
      <c r="H1052" s="6" t="str">
        <f>IFERROR(__xludf.DUMMYFUNCTION("""COMPUTED_VALUE"""),"https://www.instagram.com/motevasselin110/")</f>
        <v>https://www.instagram.com/motevasselin110/</v>
      </c>
      <c r="I1052" s="6" t="str">
        <f>IFERROR(__xludf.DUMMYFUNCTION("""COMPUTED_VALUE"""),"https://t.me/motevasselin110")</f>
        <v>https://t.me/motevasselin110</v>
      </c>
      <c r="J1052" s="5"/>
      <c r="K1052" s="5"/>
      <c r="L1052" s="5"/>
      <c r="M1052" s="5"/>
      <c r="N1052" s="5" t="str">
        <f>IFERROR(__xludf.DUMMYFUNCTION("""COMPUTED_VALUE"""),"*")</f>
        <v>*</v>
      </c>
      <c r="O1052" s="5"/>
      <c r="P1052" s="5"/>
      <c r="Q1052" s="5"/>
      <c r="R1052" s="5"/>
      <c r="S1052" s="5"/>
    </row>
    <row r="1053">
      <c r="A1053" s="5"/>
      <c r="B1053" s="5" t="str">
        <f>IFERROR(__xludf.DUMMYFUNCTION("""COMPUTED_VALUE"""),"هیأت")</f>
        <v>هیأت</v>
      </c>
      <c r="C1053" s="5" t="str">
        <f>IFERROR(__xludf.DUMMYFUNCTION("""COMPUTED_VALUE"""),"موکب الحسین")</f>
        <v>موکب الحسین</v>
      </c>
      <c r="D1053" s="5" t="str">
        <f>IFERROR(__xludf.DUMMYFUNCTION("""COMPUTED_VALUE"""),"تهران")</f>
        <v>تهران</v>
      </c>
      <c r="E1053" s="5"/>
      <c r="F1053" s="5"/>
      <c r="G1053" s="5"/>
      <c r="H1053" s="6" t="str">
        <f>IFERROR(__xludf.DUMMYFUNCTION("""COMPUTED_VALUE"""),"https://www.instagram.com/moukebolhossein/")</f>
        <v>https://www.instagram.com/moukebolhossein/</v>
      </c>
      <c r="I1053" s="6" t="str">
        <f>IFERROR(__xludf.DUMMYFUNCTION("""COMPUTED_VALUE"""),"https://t.me/moukebolhossein")</f>
        <v>https://t.me/moukebolhossein</v>
      </c>
      <c r="J1053" s="5"/>
      <c r="K1053" s="5"/>
      <c r="L1053" s="5"/>
      <c r="M1053" s="5"/>
      <c r="N1053" s="5" t="str">
        <f>IFERROR(__xludf.DUMMYFUNCTION("""COMPUTED_VALUE"""),"*")</f>
        <v>*</v>
      </c>
      <c r="O1053" s="5"/>
      <c r="P1053" s="5"/>
      <c r="Q1053" s="5"/>
      <c r="R1053" s="5"/>
      <c r="S1053" s="5"/>
    </row>
    <row r="1054">
      <c r="A1054" s="5"/>
      <c r="B1054" s="5" t="str">
        <f>IFERROR(__xludf.DUMMYFUNCTION("""COMPUTED_VALUE"""),"هیأت")</f>
        <v>هیأت</v>
      </c>
      <c r="C1054" s="5" t="str">
        <f>IFERROR(__xludf.DUMMYFUNCTION("""COMPUTED_VALUE"""),"ابالفضل العباس")</f>
        <v>ابالفضل العباس</v>
      </c>
      <c r="D1054" s="5" t="str">
        <f>IFERROR(__xludf.DUMMYFUNCTION("""COMPUTED_VALUE"""),"تهران")</f>
        <v>تهران</v>
      </c>
      <c r="E1054" s="5"/>
      <c r="F1054" s="5"/>
      <c r="G1054" s="5"/>
      <c r="H1054" s="6" t="str">
        <f>IFERROR(__xludf.DUMMYFUNCTION("""COMPUTED_VALUE"""),"https://www.instagram.com/movasi_info/")</f>
        <v>https://www.instagram.com/movasi_info/</v>
      </c>
      <c r="I1054" s="6" t="str">
        <f>IFERROR(__xludf.DUMMYFUNCTION("""COMPUTED_VALUE"""),"https://t.me/movasi_info")</f>
        <v>https://t.me/movasi_info</v>
      </c>
      <c r="J1054" s="5"/>
      <c r="K1054" s="5"/>
      <c r="L1054" s="5"/>
      <c r="M1054" s="5"/>
      <c r="N1054" s="5" t="str">
        <f>IFERROR(__xludf.DUMMYFUNCTION("""COMPUTED_VALUE"""),"*")</f>
        <v>*</v>
      </c>
      <c r="O1054" s="5"/>
      <c r="P1054" s="5"/>
      <c r="Q1054" s="5"/>
      <c r="R1054" s="5"/>
      <c r="S1054" s="5"/>
    </row>
    <row r="1055">
      <c r="A1055" s="5"/>
      <c r="B1055" s="5" t="str">
        <f>IFERROR(__xludf.DUMMYFUNCTION("""COMPUTED_VALUE"""),"هیأت")</f>
        <v>هیأت</v>
      </c>
      <c r="C1055" s="5" t="str">
        <f>IFERROR(__xludf.DUMMYFUNCTION("""COMPUTED_VALUE"""),"زوارالحسین")</f>
        <v>زوارالحسین</v>
      </c>
      <c r="D1055" s="5" t="str">
        <f>IFERROR(__xludf.DUMMYFUNCTION("""COMPUTED_VALUE"""),"تهران")</f>
        <v>تهران</v>
      </c>
      <c r="E1055" s="5"/>
      <c r="F1055" s="5" t="str">
        <f>IFERROR(__xludf.DUMMYFUNCTION("""COMPUTED_VALUE"""),"مارلیک")</f>
        <v>مارلیک</v>
      </c>
      <c r="G1055" s="5"/>
      <c r="H1055" s="6" t="str">
        <f>IFERROR(__xludf.DUMMYFUNCTION("""COMPUTED_VALUE"""),"https://www.instagram.com/zoovarolhosein_ir/")</f>
        <v>https://www.instagram.com/zoovarolhosein_ir/</v>
      </c>
      <c r="I1055" s="6" t="str">
        <f>IFERROR(__xludf.DUMMYFUNCTION("""COMPUTED_VALUE"""),"https://t.me/navayeroze69")</f>
        <v>https://t.me/navayeroze69</v>
      </c>
      <c r="J1055" s="5"/>
      <c r="K1055" s="5"/>
      <c r="L1055" s="5"/>
      <c r="M1055" s="5"/>
      <c r="N1055" s="5"/>
      <c r="O1055" s="5"/>
      <c r="P1055" s="5"/>
      <c r="Q1055" s="5"/>
      <c r="R1055" s="5"/>
      <c r="S1055" s="5"/>
    </row>
    <row r="1056">
      <c r="A1056" s="5"/>
      <c r="B1056" s="5" t="str">
        <f>IFERROR(__xludf.DUMMYFUNCTION("""COMPUTED_VALUE"""),"هیأت")</f>
        <v>هیأت</v>
      </c>
      <c r="C1056" s="5" t="str">
        <f>IFERROR(__xludf.DUMMYFUNCTION("""COMPUTED_VALUE"""),"نوباوگان قنات آباد")</f>
        <v>نوباوگان قنات آباد</v>
      </c>
      <c r="D1056" s="5" t="str">
        <f>IFERROR(__xludf.DUMMYFUNCTION("""COMPUTED_VALUE"""),"تهران")</f>
        <v>تهران</v>
      </c>
      <c r="E1056" s="5"/>
      <c r="F1056" s="5" t="str">
        <f>IFERROR(__xludf.DUMMYFUNCTION("""COMPUTED_VALUE"""),"مولوی")</f>
        <v>مولوی</v>
      </c>
      <c r="G1056" s="5"/>
      <c r="H1056" s="6" t="str">
        <f>IFERROR(__xludf.DUMMYFUNCTION("""COMPUTED_VALUE"""),"https://www.instagram.com/nobavegan.ghanatabad/")</f>
        <v>https://www.instagram.com/nobavegan.ghanatabad/</v>
      </c>
      <c r="I1056" s="6" t="str">
        <f>IFERROR(__xludf.DUMMYFUNCTION("""COMPUTED_VALUE"""),"https://t.me/NobaveganGhanatAbad")</f>
        <v>https://t.me/NobaveganGhanatAbad</v>
      </c>
      <c r="J1056" s="5"/>
      <c r="K1056" s="5"/>
      <c r="L1056" s="5"/>
      <c r="M1056" s="5"/>
      <c r="N1056" s="5" t="str">
        <f>IFERROR(__xludf.DUMMYFUNCTION("""COMPUTED_VALUE"""),"*")</f>
        <v>*</v>
      </c>
      <c r="O1056" s="5"/>
      <c r="P1056" s="5"/>
      <c r="Q1056" s="5"/>
      <c r="R1056" s="5"/>
      <c r="S1056" s="5"/>
    </row>
    <row r="1057">
      <c r="A1057" s="5"/>
      <c r="B1057" s="5" t="str">
        <f>IFERROR(__xludf.DUMMYFUNCTION("""COMPUTED_VALUE"""),"هیأت")</f>
        <v>هیأت</v>
      </c>
      <c r="C1057" s="5" t="str">
        <f>IFERROR(__xludf.DUMMYFUNCTION("""COMPUTED_VALUE"""),"نوکرخونه علمدار طهران")</f>
        <v>نوکرخونه علمدار طهران</v>
      </c>
      <c r="D1057" s="5" t="str">
        <f>IFERROR(__xludf.DUMMYFUNCTION("""COMPUTED_VALUE"""),"تهران")</f>
        <v>تهران</v>
      </c>
      <c r="E1057" s="5"/>
      <c r="F1057" s="5" t="str">
        <f>IFERROR(__xludf.DUMMYFUNCTION("""COMPUTED_VALUE"""),"طهران منطقه ۱۸،میدان معلم بلوار مدائن بعداز میدان انصاری ")</f>
        <v>طهران منطقه ۱۸،میدان معلم بلوار مدائن بعداز میدان انصاری </v>
      </c>
      <c r="G1057" s="5"/>
      <c r="H1057" s="6" t="str">
        <f>IFERROR(__xludf.DUMMYFUNCTION("""COMPUTED_VALUE"""),"https://www.instagram.com/nokar_khoneh/")</f>
        <v>https://www.instagram.com/nokar_khoneh/</v>
      </c>
      <c r="I1057" s="6" t="str">
        <f>IFERROR(__xludf.DUMMYFUNCTION("""COMPUTED_VALUE"""),"https://t.me/nokarkhoune")</f>
        <v>https://t.me/nokarkhoune</v>
      </c>
      <c r="J1057" s="5"/>
      <c r="K1057" s="5"/>
      <c r="L1057" s="5"/>
      <c r="M1057" s="5"/>
      <c r="N1057" s="5" t="str">
        <f>IFERROR(__xludf.DUMMYFUNCTION("""COMPUTED_VALUE"""),"*")</f>
        <v>*</v>
      </c>
      <c r="O1057" s="5"/>
      <c r="P1057" s="5"/>
      <c r="Q1057" s="5"/>
      <c r="R1057" s="5"/>
      <c r="S1057" s="5"/>
    </row>
    <row r="1058">
      <c r="A1058" s="5"/>
      <c r="B1058" s="5" t="str">
        <f>IFERROR(__xludf.DUMMYFUNCTION("""COMPUTED_VALUE"""),"هیأت")</f>
        <v>هیأت</v>
      </c>
      <c r="C1058" s="5" t="str">
        <f>IFERROR(__xludf.DUMMYFUNCTION("""COMPUTED_VALUE"""),"معظم نورالهدی یارضا")</f>
        <v>معظم نورالهدی یارضا</v>
      </c>
      <c r="D1058" s="5" t="str">
        <f>IFERROR(__xludf.DUMMYFUNCTION("""COMPUTED_VALUE"""),"تهران")</f>
        <v>تهران</v>
      </c>
      <c r="E1058" s="5"/>
      <c r="F1058" s="5" t="str">
        <f>IFERROR(__xludf.DUMMYFUNCTION("""COMPUTED_VALUE"""),"خیابان قزوین")</f>
        <v>خیابان قزوین</v>
      </c>
      <c r="G1058" s="5"/>
      <c r="H1058" s="6" t="str">
        <f>IFERROR(__xludf.DUMMYFUNCTION("""COMPUTED_VALUE"""),"https://www.instagram.com/noorolhoda_ya_reza_1001/")</f>
        <v>https://www.instagram.com/noorolhoda_ya_reza_1001/</v>
      </c>
      <c r="I1058" s="6" t="str">
        <f>IFERROR(__xludf.DUMMYFUNCTION("""COMPUTED_VALUE"""),"https://t.me/noorolhoda_yareza69")</f>
        <v>https://t.me/noorolhoda_yareza69</v>
      </c>
      <c r="J1058" s="5"/>
      <c r="K1058" s="5"/>
      <c r="L1058" s="5"/>
      <c r="M1058" s="5"/>
      <c r="N1058" s="5" t="str">
        <f>IFERROR(__xludf.DUMMYFUNCTION("""COMPUTED_VALUE"""),"*")</f>
        <v>*</v>
      </c>
      <c r="O1058" s="5"/>
      <c r="P1058" s="5"/>
      <c r="Q1058" s="5"/>
      <c r="R1058" s="5"/>
      <c r="S1058" s="5"/>
    </row>
    <row r="1059">
      <c r="A1059" s="5"/>
      <c r="B1059" s="5" t="str">
        <f>IFERROR(__xludf.DUMMYFUNCTION("""COMPUTED_VALUE"""),"هیأت")</f>
        <v>هیأت</v>
      </c>
      <c r="C1059" s="5" t="str">
        <f>IFERROR(__xludf.DUMMYFUNCTION("""COMPUTED_VALUE"""),"حضرت ام المصائب")</f>
        <v>حضرت ام المصائب</v>
      </c>
      <c r="D1059" s="5" t="str">
        <f>IFERROR(__xludf.DUMMYFUNCTION("""COMPUTED_VALUE"""),"تهران")</f>
        <v>تهران</v>
      </c>
      <c r="E1059" s="5"/>
      <c r="F1059" s="5"/>
      <c r="G1059" s="5"/>
      <c r="H1059" s="6" t="str">
        <f>IFERROR(__xludf.DUMMYFUNCTION("""COMPUTED_VALUE"""),"https://www.instagram.com/omolmasaeb_net/")</f>
        <v>https://www.instagram.com/omolmasaeb_net/</v>
      </c>
      <c r="I1059" s="6" t="str">
        <f>IFERROR(__xludf.DUMMYFUNCTION("""COMPUTED_VALUE"""),"https://t.me/omolmasaeb_net")</f>
        <v>https://t.me/omolmasaeb_net</v>
      </c>
      <c r="J1059" s="5"/>
      <c r="K1059" s="5"/>
      <c r="L1059" s="5"/>
      <c r="M1059" s="5"/>
      <c r="N1059" s="5"/>
      <c r="O1059" s="5"/>
      <c r="P1059" s="5"/>
      <c r="Q1059" s="5"/>
      <c r="R1059" s="5"/>
      <c r="S1059" s="5"/>
    </row>
    <row r="1060">
      <c r="A1060" s="5"/>
      <c r="B1060" s="5" t="str">
        <f>IFERROR(__xludf.DUMMYFUNCTION("""COMPUTED_VALUE"""),"هیأت")</f>
        <v>هیأت</v>
      </c>
      <c r="C1060" s="5" t="str">
        <f>IFERROR(__xludf.DUMMYFUNCTION("""COMPUTED_VALUE"""),"عشاق المهدی")</f>
        <v>عشاق المهدی</v>
      </c>
      <c r="D1060" s="5" t="str">
        <f>IFERROR(__xludf.DUMMYFUNCTION("""COMPUTED_VALUE"""),"تهران")</f>
        <v>تهران</v>
      </c>
      <c r="E1060" s="5"/>
      <c r="F1060" s="5" t="str">
        <f>IFERROR(__xludf.DUMMYFUNCTION("""COMPUTED_VALUE"""),"17 شهریور")</f>
        <v>17 شهریور</v>
      </c>
      <c r="G1060" s="5"/>
      <c r="H1060" s="6" t="str">
        <f>IFERROR(__xludf.DUMMYFUNCTION("""COMPUTED_VALUE"""),"https://www.instagram.com/oshagh_revagh313/")</f>
        <v>https://www.instagram.com/oshagh_revagh313/</v>
      </c>
      <c r="I1060" s="6" t="str">
        <f>IFERROR(__xludf.DUMMYFUNCTION("""COMPUTED_VALUE"""),"https://t.me/oshagh_revagh313")</f>
        <v>https://t.me/oshagh_revagh313</v>
      </c>
      <c r="J1060" s="5"/>
      <c r="K1060" s="5"/>
      <c r="L1060" s="5"/>
      <c r="M1060" s="5"/>
      <c r="N1060" s="5"/>
      <c r="O1060" s="5"/>
      <c r="P1060" s="5"/>
      <c r="Q1060" s="5"/>
      <c r="R1060" s="5"/>
      <c r="S1060" s="5"/>
    </row>
    <row r="1061">
      <c r="A1061" s="5"/>
      <c r="B1061" s="5" t="str">
        <f>IFERROR(__xludf.DUMMYFUNCTION("""COMPUTED_VALUE"""),"هیأت")</f>
        <v>هیأت</v>
      </c>
      <c r="C1061" s="5" t="str">
        <f>IFERROR(__xludf.DUMMYFUNCTION("""COMPUTED_VALUE"""),"عشاق الحیدر")</f>
        <v>عشاق الحیدر</v>
      </c>
      <c r="D1061" s="5" t="str">
        <f>IFERROR(__xludf.DUMMYFUNCTION("""COMPUTED_VALUE"""),"تهران")</f>
        <v>تهران</v>
      </c>
      <c r="E1061" s="5"/>
      <c r="F1061" s="5" t="str">
        <f>IFERROR(__xludf.DUMMYFUNCTION("""COMPUTED_VALUE"""),"تهران،خیابان ولی عصر،بالاترازمهدیه،کوچه برزگر،بن بست نوبهاران")</f>
        <v>تهران،خیابان ولی عصر،بالاترازمهدیه،کوچه برزگر،بن بست نوبهاران</v>
      </c>
      <c r="G1061" s="5"/>
      <c r="H1061" s="6" t="str">
        <f>IFERROR(__xludf.DUMMYFUNCTION("""COMPUTED_VALUE"""),"https://www.instagram.com/oshagh_heidar/")</f>
        <v>https://www.instagram.com/oshagh_heidar/</v>
      </c>
      <c r="I1061" s="6" t="str">
        <f>IFERROR(__xludf.DUMMYFUNCTION("""COMPUTED_VALUE"""),"https://t.me/oshaghalhydar")</f>
        <v>https://t.me/oshaghalhydar</v>
      </c>
      <c r="J1061" s="5"/>
      <c r="K1061" s="5"/>
      <c r="L1061" s="5"/>
      <c r="M1061" s="5"/>
      <c r="N1061" s="5"/>
      <c r="O1061" s="5"/>
      <c r="P1061" s="5"/>
      <c r="Q1061" s="5"/>
      <c r="R1061" s="5"/>
      <c r="S1061" s="5"/>
    </row>
    <row r="1062">
      <c r="A1062" s="5"/>
      <c r="B1062" s="5" t="str">
        <f>IFERROR(__xludf.DUMMYFUNCTION("""COMPUTED_VALUE"""),"هیأت")</f>
        <v>هیأت</v>
      </c>
      <c r="C1062" s="5" t="str">
        <f>IFERROR(__xludf.DUMMYFUNCTION("""COMPUTED_VALUE"""),"رأس الحسین")</f>
        <v>رأس الحسین</v>
      </c>
      <c r="D1062" s="5" t="str">
        <f>IFERROR(__xludf.DUMMYFUNCTION("""COMPUTED_VALUE"""),"تهران")</f>
        <v>تهران</v>
      </c>
      <c r="E1062" s="5"/>
      <c r="F1062" s="5"/>
      <c r="G1062" s="5"/>
      <c r="H1062" s="6" t="str">
        <f>IFERROR(__xludf.DUMMYFUNCTION("""COMPUTED_VALUE"""),"https://www.instagram.com/raasolhosein/")</f>
        <v>https://www.instagram.com/raasolhosein/</v>
      </c>
      <c r="I1062" s="6" t="str">
        <f>IFERROR(__xludf.DUMMYFUNCTION("""COMPUTED_VALUE"""),"https://t.me/raasolhosein")</f>
        <v>https://t.me/raasolhosein</v>
      </c>
      <c r="J1062" s="5"/>
      <c r="K1062" s="5"/>
      <c r="L1062" s="5"/>
      <c r="M1062" s="5"/>
      <c r="N1062" s="5"/>
      <c r="O1062" s="5"/>
      <c r="P1062" s="5"/>
      <c r="Q1062" s="5"/>
      <c r="R1062" s="5"/>
      <c r="S1062" s="5"/>
    </row>
    <row r="1063">
      <c r="A1063" s="5"/>
      <c r="B1063" s="5" t="str">
        <f>IFERROR(__xludf.DUMMYFUNCTION("""COMPUTED_VALUE"""),"هیأت")</f>
        <v>هیأت</v>
      </c>
      <c r="C1063" s="5" t="str">
        <f>IFERROR(__xludf.DUMMYFUNCTION("""COMPUTED_VALUE"""),"رایة العباس چیذر")</f>
        <v>رایة العباس چیذر</v>
      </c>
      <c r="D1063" s="5" t="str">
        <f>IFERROR(__xludf.DUMMYFUNCTION("""COMPUTED_VALUE"""),"تهران")</f>
        <v>تهران</v>
      </c>
      <c r="E1063" s="5"/>
      <c r="F1063" s="5" t="str">
        <f>IFERROR(__xludf.DUMMYFUNCTION("""COMPUTED_VALUE"""),"چیذر")</f>
        <v>چیذر</v>
      </c>
      <c r="G1063" s="5"/>
      <c r="H1063" s="6" t="str">
        <f>IFERROR(__xludf.DUMMYFUNCTION("""COMPUTED_VALUE"""),"https://www.instagram.com/rayatalabbas_chizar/")</f>
        <v>https://www.instagram.com/rayatalabbas_chizar/</v>
      </c>
      <c r="I1063" s="6" t="str">
        <f>IFERROR(__xludf.DUMMYFUNCTION("""COMPUTED_VALUE"""),"https://t.me/rayatalabbas_chizar")</f>
        <v>https://t.me/rayatalabbas_chizar</v>
      </c>
      <c r="J1063" s="5"/>
      <c r="K1063" s="5"/>
      <c r="L1063" s="5"/>
      <c r="M1063" s="5"/>
      <c r="N1063" s="5"/>
      <c r="O1063" s="5"/>
      <c r="P1063" s="5"/>
      <c r="Q1063" s="5"/>
      <c r="R1063" s="5"/>
      <c r="S1063" s="5"/>
    </row>
    <row r="1064">
      <c r="A1064" s="5"/>
      <c r="B1064" s="5" t="str">
        <f>IFERROR(__xludf.DUMMYFUNCTION("""COMPUTED_VALUE"""),"هیأت")</f>
        <v>هیأت</v>
      </c>
      <c r="C1064" s="5" t="str">
        <f>IFERROR(__xludf.DUMMYFUNCTION("""COMPUTED_VALUE"""),"رایه الرضا")</f>
        <v>رایه الرضا</v>
      </c>
      <c r="D1064" s="5" t="str">
        <f>IFERROR(__xludf.DUMMYFUNCTION("""COMPUTED_VALUE"""),"تهران")</f>
        <v>تهران</v>
      </c>
      <c r="E1064" s="5"/>
      <c r="F1064" s="5"/>
      <c r="G1064" s="5"/>
      <c r="H1064" s="6" t="str">
        <f>IFERROR(__xludf.DUMMYFUNCTION("""COMPUTED_VALUE"""),"https://www.instagram.com/rayatolreza/")</f>
        <v>https://www.instagram.com/rayatolreza/</v>
      </c>
      <c r="I1064" s="6" t="str">
        <f>IFERROR(__xludf.DUMMYFUNCTION("""COMPUTED_VALUE"""),"https://t.me/rayatolreza")</f>
        <v>https://t.me/rayatolreza</v>
      </c>
      <c r="J1064" s="5"/>
      <c r="K1064" s="5"/>
      <c r="L1064" s="5"/>
      <c r="M1064" s="5"/>
      <c r="N1064" s="5"/>
      <c r="O1064" s="5"/>
      <c r="P1064" s="5"/>
      <c r="Q1064" s="5"/>
      <c r="R1064" s="5"/>
      <c r="S1064" s="5"/>
    </row>
    <row r="1065">
      <c r="A1065" s="5"/>
      <c r="B1065" s="5" t="str">
        <f>IFERROR(__xludf.DUMMYFUNCTION("""COMPUTED_VALUE"""),"هیأت")</f>
        <v>هیأت</v>
      </c>
      <c r="C1065" s="5" t="str">
        <f>IFERROR(__xludf.DUMMYFUNCTION("""COMPUTED_VALUE"""),"ریحانه النبی")</f>
        <v>ریحانه النبی</v>
      </c>
      <c r="D1065" s="5" t="str">
        <f>IFERROR(__xludf.DUMMYFUNCTION("""COMPUTED_VALUE"""),"تهران")</f>
        <v>تهران</v>
      </c>
      <c r="E1065" s="5"/>
      <c r="F1065" s="5"/>
      <c r="G1065" s="5"/>
      <c r="H1065" s="6" t="str">
        <f>IFERROR(__xludf.DUMMYFUNCTION("""COMPUTED_VALUE"""),"https://www.instagram.com/reyhane.info")</f>
        <v>https://www.instagram.com/reyhane.info</v>
      </c>
      <c r="I1065" s="6" t="str">
        <f>IFERROR(__xludf.DUMMYFUNCTION("""COMPUTED_VALUE"""),"https://t.me/reyhane_channel")</f>
        <v>https://t.me/reyhane_channel</v>
      </c>
      <c r="J1065" s="5"/>
      <c r="K1065" s="5"/>
      <c r="L1065" s="5"/>
      <c r="M1065" s="5"/>
      <c r="N1065" s="5"/>
      <c r="O1065" s="5"/>
      <c r="P1065" s="5"/>
      <c r="Q1065" s="5"/>
      <c r="R1065" s="5"/>
      <c r="S1065" s="5"/>
    </row>
    <row r="1066">
      <c r="A1066" s="5"/>
      <c r="B1066" s="5" t="str">
        <f>IFERROR(__xludf.DUMMYFUNCTION("""COMPUTED_VALUE"""),"هیأت")</f>
        <v>هیأت</v>
      </c>
      <c r="C1066" s="5" t="str">
        <f>IFERROR(__xludf.DUMMYFUNCTION("""COMPUTED_VALUE"""),"ریحانه الحسین تهرانسر")</f>
        <v>ریحانه الحسین تهرانسر</v>
      </c>
      <c r="D1066" s="5" t="str">
        <f>IFERROR(__xludf.DUMMYFUNCTION("""COMPUTED_VALUE"""),"تهران")</f>
        <v>تهران</v>
      </c>
      <c r="E1066" s="5"/>
      <c r="F1066" s="5"/>
      <c r="G1066" s="5"/>
      <c r="H1066" s="6" t="str">
        <f>IFERROR(__xludf.DUMMYFUNCTION("""COMPUTED_VALUE"""),"https://www.instagram.com/reyhaneh_al_hossein/")</f>
        <v>https://www.instagram.com/reyhaneh_al_hossein/</v>
      </c>
      <c r="I1066" s="6" t="str">
        <f>IFERROR(__xludf.DUMMYFUNCTION("""COMPUTED_VALUE"""),"https://t.me/reyhaneh_al_hossein")</f>
        <v>https://t.me/reyhaneh_al_hossein</v>
      </c>
      <c r="J1066" s="5"/>
      <c r="K1066" s="5"/>
      <c r="L1066" s="5"/>
      <c r="M1066" s="5"/>
      <c r="N1066" s="5"/>
      <c r="O1066" s="5"/>
      <c r="P1066" s="5"/>
      <c r="Q1066" s="5"/>
      <c r="R1066" s="5"/>
      <c r="S1066" s="5"/>
    </row>
    <row r="1067">
      <c r="A1067" s="5"/>
      <c r="B1067" s="5" t="str">
        <f>IFERROR(__xludf.DUMMYFUNCTION("""COMPUTED_VALUE"""),"هیأت")</f>
        <v>هیأت</v>
      </c>
      <c r="C1067" s="5" t="str">
        <f>IFERROR(__xludf.DUMMYFUNCTION("""COMPUTED_VALUE"""),"محفل ربابیون")</f>
        <v>محفل ربابیون</v>
      </c>
      <c r="D1067" s="5" t="str">
        <f>IFERROR(__xludf.DUMMYFUNCTION("""COMPUTED_VALUE"""),"تهران")</f>
        <v>تهران</v>
      </c>
      <c r="E1067" s="5"/>
      <c r="F1067" s="5"/>
      <c r="G1067" s="5"/>
      <c r="H1067" s="6" t="str">
        <f>IFERROR(__xludf.DUMMYFUNCTION("""COMPUTED_VALUE"""),"https://www.instagram.com/robabiun.ir/")</f>
        <v>https://www.instagram.com/robabiun.ir/</v>
      </c>
      <c r="I1067" s="6" t="str">
        <f>IFERROR(__xludf.DUMMYFUNCTION("""COMPUTED_VALUE"""),"https://t.me/robabiiun")</f>
        <v>https://t.me/robabiiun</v>
      </c>
      <c r="J1067" s="5"/>
      <c r="K1067" s="5"/>
      <c r="L1067" s="5"/>
      <c r="M1067" s="5"/>
      <c r="N1067" s="5"/>
      <c r="O1067" s="5"/>
      <c r="P1067" s="5"/>
      <c r="Q1067" s="5"/>
      <c r="R1067" s="5"/>
      <c r="S1067" s="5"/>
    </row>
    <row r="1068">
      <c r="A1068" s="5"/>
      <c r="B1068" s="5" t="str">
        <f>IFERROR(__xludf.DUMMYFUNCTION("""COMPUTED_VALUE"""),"هیأت")</f>
        <v>هیأت</v>
      </c>
      <c r="C1068" s="5" t="str">
        <f>IFERROR(__xludf.DUMMYFUNCTION("""COMPUTED_VALUE"""),"رقیه سادات")</f>
        <v>رقیه سادات</v>
      </c>
      <c r="D1068" s="5" t="str">
        <f>IFERROR(__xludf.DUMMYFUNCTION("""COMPUTED_VALUE"""),"تهران")</f>
        <v>تهران</v>
      </c>
      <c r="E1068" s="5"/>
      <c r="F1068" s="5"/>
      <c r="G1068" s="5"/>
      <c r="H1068" s="6" t="str">
        <f>IFERROR(__xludf.DUMMYFUNCTION("""COMPUTED_VALUE"""),"https://www.instagram.com/roghaayesadat/")</f>
        <v>https://www.instagram.com/roghaayesadat/</v>
      </c>
      <c r="I1068" s="6" t="str">
        <f>IFERROR(__xludf.DUMMYFUNCTION("""COMPUTED_VALUE"""),"https://t.me/roghaye_saadat")</f>
        <v>https://t.me/roghaye_saadat</v>
      </c>
      <c r="J1068" s="5"/>
      <c r="K1068" s="5"/>
      <c r="L1068" s="5"/>
      <c r="M1068" s="5"/>
      <c r="N1068" s="5"/>
      <c r="O1068" s="5"/>
      <c r="P1068" s="5"/>
      <c r="Q1068" s="5"/>
      <c r="R1068" s="5"/>
      <c r="S1068" s="5"/>
    </row>
    <row r="1069">
      <c r="A1069" s="5"/>
      <c r="B1069" s="5" t="str">
        <f>IFERROR(__xludf.DUMMYFUNCTION("""COMPUTED_VALUE"""),"هیأت")</f>
        <v>هیأت</v>
      </c>
      <c r="C1069" s="5" t="str">
        <f>IFERROR(__xludf.DUMMYFUNCTION("""COMPUTED_VALUE"""),"جان نثاران رقیه خاتون")</f>
        <v>جان نثاران رقیه خاتون</v>
      </c>
      <c r="D1069" s="5" t="str">
        <f>IFERROR(__xludf.DUMMYFUNCTION("""COMPUTED_VALUE"""),"تهران")</f>
        <v>تهران</v>
      </c>
      <c r="E1069" s="5"/>
      <c r="F1069" s="5" t="str">
        <f>IFERROR(__xludf.DUMMYFUNCTION("""COMPUTED_VALUE"""),"مینی سیتی")</f>
        <v>مینی سیتی</v>
      </c>
      <c r="G1069" s="5"/>
      <c r="H1069" s="6" t="str">
        <f>IFERROR(__xludf.DUMMYFUNCTION("""COMPUTED_VALUE"""),"https://www.instagram.com/roghaye__khaton/")</f>
        <v>https://www.instagram.com/roghaye__khaton/</v>
      </c>
      <c r="I1069" s="6" t="str">
        <f>IFERROR(__xludf.DUMMYFUNCTION("""COMPUTED_VALUE"""),"https://t.me/roghayekhaton")</f>
        <v>https://t.me/roghayekhaton</v>
      </c>
      <c r="J1069" s="5"/>
      <c r="K1069" s="5"/>
      <c r="L1069" s="5"/>
      <c r="M1069" s="5"/>
      <c r="N1069" s="5"/>
      <c r="O1069" s="5"/>
      <c r="P1069" s="5"/>
      <c r="Q1069" s="5"/>
      <c r="R1069" s="5"/>
      <c r="S1069" s="5"/>
    </row>
    <row r="1070">
      <c r="A1070" s="5"/>
      <c r="B1070" s="5" t="str">
        <f>IFERROR(__xludf.DUMMYFUNCTION("""COMPUTED_VALUE"""),"هیأت")</f>
        <v>هیأت</v>
      </c>
      <c r="C1070" s="5" t="str">
        <f>IFERROR(__xludf.DUMMYFUNCTION("""COMPUTED_VALUE"""),"روضة الزهرا")</f>
        <v>روضة الزهرا</v>
      </c>
      <c r="D1070" s="5" t="str">
        <f>IFERROR(__xludf.DUMMYFUNCTION("""COMPUTED_VALUE"""),"تهران")</f>
        <v>تهران</v>
      </c>
      <c r="E1070" s="5"/>
      <c r="F1070" s="5" t="str">
        <f>IFERROR(__xludf.DUMMYFUNCTION("""COMPUTED_VALUE"""),"میدان شهید آیت الله سعیدی")</f>
        <v>میدان شهید آیت الله سعیدی</v>
      </c>
      <c r="G1070" s="5"/>
      <c r="H1070" s="6" t="str">
        <f>IFERROR(__xludf.DUMMYFUNCTION("""COMPUTED_VALUE"""),"https://www.instagram.com/rozatol_zahra135/")</f>
        <v>https://www.instagram.com/rozatol_zahra135/</v>
      </c>
      <c r="I1070" s="6" t="str">
        <f>IFERROR(__xludf.DUMMYFUNCTION("""COMPUTED_VALUE"""),"https://t.me/rozatol_zahra135")</f>
        <v>https://t.me/rozatol_zahra135</v>
      </c>
      <c r="J1070" s="5"/>
      <c r="K1070" s="5"/>
      <c r="L1070" s="5"/>
      <c r="M1070" s="5"/>
      <c r="N1070" s="5"/>
      <c r="O1070" s="5"/>
      <c r="P1070" s="5"/>
      <c r="Q1070" s="5"/>
      <c r="R1070" s="5"/>
      <c r="S1070" s="5"/>
    </row>
    <row r="1071">
      <c r="A1071" s="5"/>
      <c r="B1071" s="5" t="str">
        <f>IFERROR(__xludf.DUMMYFUNCTION("""COMPUTED_VALUE"""),"هیأت")</f>
        <v>هیأت</v>
      </c>
      <c r="C1071" s="5" t="str">
        <f>IFERROR(__xludf.DUMMYFUNCTION("""COMPUTED_VALUE"""),"روضه العباس")</f>
        <v>روضه العباس</v>
      </c>
      <c r="D1071" s="5" t="str">
        <f>IFERROR(__xludf.DUMMYFUNCTION("""COMPUTED_VALUE"""),"تهران")</f>
        <v>تهران</v>
      </c>
      <c r="E1071" s="5"/>
      <c r="F1071" s="5" t="str">
        <f>IFERROR(__xludf.DUMMYFUNCTION("""COMPUTED_VALUE"""),"میدان شهدا")</f>
        <v>میدان شهدا</v>
      </c>
      <c r="G1071" s="5"/>
      <c r="H1071" s="6" t="str">
        <f>IFERROR(__xludf.DUMMYFUNCTION("""COMPUTED_VALUE"""),"https://www.instagram.com/rozatolabbas1/")</f>
        <v>https://www.instagram.com/rozatolabbas1/</v>
      </c>
      <c r="I1071" s="6" t="str">
        <f>IFERROR(__xludf.DUMMYFUNCTION("""COMPUTED_VALUE"""),"https://t.me/Rozatolabas1")</f>
        <v>https://t.me/Rozatolabas1</v>
      </c>
      <c r="J1071" s="5"/>
      <c r="K1071" s="5"/>
      <c r="L1071" s="5"/>
      <c r="M1071" s="5"/>
      <c r="N1071" s="5"/>
      <c r="O1071" s="5"/>
      <c r="P1071" s="5"/>
      <c r="Q1071" s="5"/>
      <c r="R1071" s="5"/>
      <c r="S1071" s="5"/>
    </row>
    <row r="1072">
      <c r="A1072" s="5"/>
      <c r="B1072" s="5" t="str">
        <f>IFERROR(__xludf.DUMMYFUNCTION("""COMPUTED_VALUE"""),"هیأت")</f>
        <v>هیأت</v>
      </c>
      <c r="C1072" s="5" t="str">
        <f>IFERROR(__xludf.DUMMYFUNCTION("""COMPUTED_VALUE"""),"قاسم بن الحسن")</f>
        <v>قاسم بن الحسن</v>
      </c>
      <c r="D1072" s="5" t="str">
        <f>IFERROR(__xludf.DUMMYFUNCTION("""COMPUTED_VALUE"""),"تهران")</f>
        <v>تهران</v>
      </c>
      <c r="E1072" s="5"/>
      <c r="F1072" s="5" t="str">
        <f>IFERROR(__xludf.DUMMYFUNCTION("""COMPUTED_VALUE"""),"مجاهدین اسلام")</f>
        <v>مجاهدین اسلام</v>
      </c>
      <c r="G1072" s="5"/>
      <c r="H1072" s="6" t="str">
        <f>IFERROR(__xludf.DUMMYFUNCTION("""COMPUTED_VALUE"""),"https://www.instagram.com/rozatolghasem1391/")</f>
        <v>https://www.instagram.com/rozatolghasem1391/</v>
      </c>
      <c r="I1072" s="6" t="str">
        <f>IFERROR(__xludf.DUMMYFUNCTION("""COMPUTED_VALUE"""),"https://t.me/rozatolghasem1391")</f>
        <v>https://t.me/rozatolghasem1391</v>
      </c>
      <c r="J1072" s="5"/>
      <c r="K1072" s="5"/>
      <c r="L1072" s="5"/>
      <c r="M1072" s="5"/>
      <c r="N1072" s="5"/>
      <c r="O1072" s="5"/>
      <c r="P1072" s="5"/>
      <c r="Q1072" s="5"/>
      <c r="R1072" s="5"/>
      <c r="S1072" s="5"/>
    </row>
    <row r="1073">
      <c r="A1073" s="5"/>
      <c r="B1073" s="5" t="str">
        <f>IFERROR(__xludf.DUMMYFUNCTION("""COMPUTED_VALUE"""),"هیأت")</f>
        <v>هیأت</v>
      </c>
      <c r="C1073" s="5" t="str">
        <f>IFERROR(__xludf.DUMMYFUNCTION("""COMPUTED_VALUE"""),"روضه الحسن")</f>
        <v>روضه الحسن</v>
      </c>
      <c r="D1073" s="5" t="str">
        <f>IFERROR(__xludf.DUMMYFUNCTION("""COMPUTED_VALUE"""),"تهران")</f>
        <v>تهران</v>
      </c>
      <c r="E1073" s="5"/>
      <c r="F1073" s="5"/>
      <c r="G1073" s="5"/>
      <c r="H1073" s="6" t="str">
        <f>IFERROR(__xludf.DUMMYFUNCTION("""COMPUTED_VALUE"""),"https://www.instagram.com/rozatolhassan/")</f>
        <v>https://www.instagram.com/rozatolhassan/</v>
      </c>
      <c r="I1073" s="6" t="str">
        <f>IFERROR(__xludf.DUMMYFUNCTION("""COMPUTED_VALUE"""),"https://t.me/rozatolhassan")</f>
        <v>https://t.me/rozatolhassan</v>
      </c>
      <c r="J1073" s="5"/>
      <c r="K1073" s="5"/>
      <c r="L1073" s="5"/>
      <c r="M1073" s="5"/>
      <c r="N1073" s="5"/>
      <c r="O1073" s="5"/>
      <c r="P1073" s="5"/>
      <c r="Q1073" s="5"/>
      <c r="R1073" s="5"/>
      <c r="S1073" s="5"/>
    </row>
    <row r="1074">
      <c r="A1074" s="5"/>
      <c r="B1074" s="5" t="str">
        <f>IFERROR(__xludf.DUMMYFUNCTION("""COMPUTED_VALUE"""),"هیأت")</f>
        <v>هیأت</v>
      </c>
      <c r="C1074" s="5" t="str">
        <f>IFERROR(__xludf.DUMMYFUNCTION("""COMPUTED_VALUE"""),"بیرق معظم روضه الزهرا")</f>
        <v>بیرق معظم روضه الزهرا</v>
      </c>
      <c r="D1074" s="5" t="str">
        <f>IFERROR(__xludf.DUMMYFUNCTION("""COMPUTED_VALUE"""),"تهران")</f>
        <v>تهران</v>
      </c>
      <c r="E1074" s="5"/>
      <c r="F1074" s="5" t="str">
        <f>IFERROR(__xludf.DUMMYFUNCTION("""COMPUTED_VALUE""")," اتوبان جلال آل احمد | جنب پل یادگار امام| خیابان ایثار|کوچه ابراهیمیان")</f>
        <v> اتوبان جلال آل احمد | جنب پل یادگار امام| خیابان ایثار|کوچه ابراهیمیان</v>
      </c>
      <c r="G1074" s="5"/>
      <c r="H1074" s="6" t="str">
        <f>IFERROR(__xludf.DUMMYFUNCTION("""COMPUTED_VALUE"""),"https://www.instagram.com/rozatolzahra_teh/")</f>
        <v>https://www.instagram.com/rozatolzahra_teh/</v>
      </c>
      <c r="I1074" s="6" t="str">
        <f>IFERROR(__xludf.DUMMYFUNCTION("""COMPUTED_VALUE"""),"https://t.me/rozatolzahra_teh")</f>
        <v>https://t.me/rozatolzahra_teh</v>
      </c>
      <c r="J1074" s="5"/>
      <c r="K1074" s="5"/>
      <c r="L1074" s="5"/>
      <c r="M1074" s="5"/>
      <c r="N1074" s="5"/>
      <c r="O1074" s="5"/>
      <c r="P1074" s="5"/>
      <c r="Q1074" s="5"/>
      <c r="R1074" s="5"/>
      <c r="S1074" s="5"/>
    </row>
    <row r="1075">
      <c r="A1075" s="5"/>
      <c r="B1075" s="5" t="str">
        <f>IFERROR(__xludf.DUMMYFUNCTION("""COMPUTED_VALUE"""),"هیأت")</f>
        <v>هیأت</v>
      </c>
      <c r="C1075" s="5" t="str">
        <f>IFERROR(__xludf.DUMMYFUNCTION("""COMPUTED_VALUE"""),"روضه الزینب")</f>
        <v>روضه الزینب</v>
      </c>
      <c r="D1075" s="5" t="str">
        <f>IFERROR(__xludf.DUMMYFUNCTION("""COMPUTED_VALUE"""),"تهران")</f>
        <v>تهران</v>
      </c>
      <c r="E1075" s="5"/>
      <c r="F1075" s="5" t="str">
        <f>IFERROR(__xludf.DUMMYFUNCTION("""COMPUTED_VALUE"""),"شمیران")</f>
        <v>شمیران</v>
      </c>
      <c r="G1075" s="5"/>
      <c r="H1075" s="6" t="str">
        <f>IFERROR(__xludf.DUMMYFUNCTION("""COMPUTED_VALUE"""),"https://www.instagram.com/rozatolzeynab/")</f>
        <v>https://www.instagram.com/rozatolzeynab/</v>
      </c>
      <c r="I1075" s="6" t="str">
        <f>IFERROR(__xludf.DUMMYFUNCTION("""COMPUTED_VALUE"""),"https://t.me/rozatolzeynab")</f>
        <v>https://t.me/rozatolzeynab</v>
      </c>
      <c r="J1075" s="5"/>
      <c r="K1075" s="5"/>
      <c r="L1075" s="5"/>
      <c r="M1075" s="5"/>
      <c r="N1075" s="5"/>
      <c r="O1075" s="5"/>
      <c r="P1075" s="5"/>
      <c r="Q1075" s="5"/>
      <c r="R1075" s="5"/>
      <c r="S1075" s="5"/>
    </row>
    <row r="1076">
      <c r="A1076" s="5"/>
      <c r="B1076" s="5" t="str">
        <f>IFERROR(__xludf.DUMMYFUNCTION("""COMPUTED_VALUE"""),"هیأت")</f>
        <v>هیأت</v>
      </c>
      <c r="C1076" s="5" t="str">
        <f>IFERROR(__xludf.DUMMYFUNCTION("""COMPUTED_VALUE"""),"روضة الحسین")</f>
        <v>روضة الحسین</v>
      </c>
      <c r="D1076" s="5" t="str">
        <f>IFERROR(__xludf.DUMMYFUNCTION("""COMPUTED_VALUE"""),"تهران")</f>
        <v>تهران</v>
      </c>
      <c r="E1076" s="5"/>
      <c r="F1076" s="5" t="str">
        <f>IFERROR(__xludf.DUMMYFUNCTION("""COMPUTED_VALUE"""),"م خراسان؛خ خراسان؛خ لرزاده؛حسینیه روضةالحسین(ع)")</f>
        <v>م خراسان؛خ خراسان؛خ لرزاده؛حسینیه روضةالحسین(ع)</v>
      </c>
      <c r="G1076" s="5"/>
      <c r="H1076" s="6" t="str">
        <f>IFERROR(__xludf.DUMMYFUNCTION("""COMPUTED_VALUE"""),"https://www.instagram.com/rozatoolhusein/")</f>
        <v>https://www.instagram.com/rozatoolhusein/</v>
      </c>
      <c r="I1076" s="6" t="str">
        <f>IFERROR(__xludf.DUMMYFUNCTION("""COMPUTED_VALUE"""),"https://t.me/rozatoolhosein")</f>
        <v>https://t.me/rozatoolhosein</v>
      </c>
      <c r="J1076" s="5"/>
      <c r="K1076" s="5"/>
      <c r="L1076" s="5"/>
      <c r="M1076" s="5"/>
      <c r="N1076" s="5"/>
      <c r="O1076" s="5"/>
      <c r="P1076" s="5"/>
      <c r="Q1076" s="5"/>
      <c r="R1076" s="5"/>
      <c r="S1076" s="5"/>
    </row>
    <row r="1077">
      <c r="A1077" s="5"/>
      <c r="B1077" s="5" t="str">
        <f>IFERROR(__xludf.DUMMYFUNCTION("""COMPUTED_VALUE"""),"هیأت")</f>
        <v>هیأت</v>
      </c>
      <c r="C1077" s="5" t="str">
        <f>IFERROR(__xludf.DUMMYFUNCTION("""COMPUTED_VALUE"""),"روضة الزهرا")</f>
        <v>روضة الزهرا</v>
      </c>
      <c r="D1077" s="5" t="str">
        <f>IFERROR(__xludf.DUMMYFUNCTION("""COMPUTED_VALUE"""),"تهران")</f>
        <v>تهران</v>
      </c>
      <c r="E1077" s="5"/>
      <c r="F1077" s="5" t="str">
        <f>IFERROR(__xludf.DUMMYFUNCTION("""COMPUTED_VALUE"""),"حیابان پیروزی")</f>
        <v>حیابان پیروزی</v>
      </c>
      <c r="G1077" s="5"/>
      <c r="H1077" s="6" t="str">
        <f>IFERROR(__xludf.DUMMYFUNCTION("""COMPUTED_VALUE"""),"https://www.instagram.com/rozatozahra/")</f>
        <v>https://www.instagram.com/rozatozahra/</v>
      </c>
      <c r="I1077" s="6" t="str">
        <f>IFERROR(__xludf.DUMMYFUNCTION("""COMPUTED_VALUE"""),"https://t.me/rozatozahra_channel")</f>
        <v>https://t.me/rozatozahra_channel</v>
      </c>
      <c r="J1077" s="5"/>
      <c r="K1077" s="5"/>
      <c r="L1077" s="5"/>
      <c r="M1077" s="5"/>
      <c r="N1077" s="5"/>
      <c r="O1077" s="5"/>
      <c r="P1077" s="5"/>
      <c r="Q1077" s="5"/>
      <c r="R1077" s="5"/>
      <c r="S1077" s="5"/>
    </row>
    <row r="1078">
      <c r="A1078" s="5"/>
      <c r="B1078" s="5" t="str">
        <f>IFERROR(__xludf.DUMMYFUNCTION("""COMPUTED_VALUE"""),"هیأت")</f>
        <v>هیأت</v>
      </c>
      <c r="C1078" s="5" t="str">
        <f>IFERROR(__xludf.DUMMYFUNCTION("""COMPUTED_VALUE"""),"روضه الزینب فدائیان دو بانوی دمشق")</f>
        <v>روضه الزینب فدائیان دو بانوی دمشق</v>
      </c>
      <c r="D1078" s="5" t="str">
        <f>IFERROR(__xludf.DUMMYFUNCTION("""COMPUTED_VALUE"""),"تهران")</f>
        <v>تهران</v>
      </c>
      <c r="E1078" s="5"/>
      <c r="F1078" s="5" t="str">
        <f>IFERROR(__xludf.DUMMYFUNCTION("""COMPUTED_VALUE"""),"میدان شهدا")</f>
        <v>میدان شهدا</v>
      </c>
      <c r="G1078" s="5"/>
      <c r="H1078" s="6" t="str">
        <f>IFERROR(__xludf.DUMMYFUNCTION("""COMPUTED_VALUE"""),"https://www.instagram.com/rozatozeynab/")</f>
        <v>https://www.instagram.com/rozatozeynab/</v>
      </c>
      <c r="I1078" s="6" t="str">
        <f>IFERROR(__xludf.DUMMYFUNCTION("""COMPUTED_VALUE"""),"https://t.me/rozatozeynab6969")</f>
        <v>https://t.me/rozatozeynab6969</v>
      </c>
      <c r="J1078" s="5"/>
      <c r="K1078" s="5"/>
      <c r="L1078" s="5"/>
      <c r="M1078" s="5"/>
      <c r="N1078" s="5"/>
      <c r="O1078" s="5"/>
      <c r="P1078" s="5"/>
      <c r="Q1078" s="5"/>
      <c r="R1078" s="5"/>
      <c r="S1078" s="5"/>
    </row>
    <row r="1079">
      <c r="A1079" s="5"/>
      <c r="B1079" s="5" t="str">
        <f>IFERROR(__xludf.DUMMYFUNCTION("""COMPUTED_VALUE"""),"هیأت")</f>
        <v>هیأت</v>
      </c>
      <c r="C1079" s="5" t="str">
        <f>IFERROR(__xludf.DUMMYFUNCTION("""COMPUTED_VALUE"""),"روضه ماهانه")</f>
        <v>روضه ماهانه</v>
      </c>
      <c r="D1079" s="5" t="str">
        <f>IFERROR(__xludf.DUMMYFUNCTION("""COMPUTED_VALUE"""),"تهران")</f>
        <v>تهران</v>
      </c>
      <c r="E1079" s="5"/>
      <c r="F1079" s="5" t="str">
        <f>IFERROR(__xludf.DUMMYFUNCTION("""COMPUTED_VALUE"""),"میدان شهدا،خ پیروزی، کندرو امام علی ع خیابان نیکنام ،میدان سراسیاب، خ جعفری ک حسنی بلوک C، پلاک پرچم")</f>
        <v>میدان شهدا،خ پیروزی، کندرو امام علی ع خیابان نیکنام ،میدان سراسیاب، خ جعفری ک حسنی بلوک C، پلاک پرچم</v>
      </c>
      <c r="G1079" s="5"/>
      <c r="H1079" s="6" t="str">
        <f>IFERROR(__xludf.DUMMYFUNCTION("""COMPUTED_VALUE"""),"https://www.instagram.com/roze.mahane/")</f>
        <v>https://www.instagram.com/roze.mahane/</v>
      </c>
      <c r="I1079" s="6" t="str">
        <f>IFERROR(__xludf.DUMMYFUNCTION("""COMPUTED_VALUE"""),"https://t.me/roze_mahane18")</f>
        <v>https://t.me/roze_mahane18</v>
      </c>
      <c r="J1079" s="5"/>
      <c r="K1079" s="5"/>
      <c r="L1079" s="5"/>
      <c r="M1079" s="5"/>
      <c r="N1079" s="5"/>
      <c r="O1079" s="5"/>
      <c r="P1079" s="5"/>
      <c r="Q1079" s="5"/>
      <c r="R1079" s="5"/>
      <c r="S1079" s="5"/>
    </row>
    <row r="1080">
      <c r="A1080" s="5"/>
      <c r="B1080" s="5" t="str">
        <f>IFERROR(__xludf.DUMMYFUNCTION("""COMPUTED_VALUE"""),"هیأت")</f>
        <v>هیأت</v>
      </c>
      <c r="C1080" s="5" t="str">
        <f>IFERROR(__xludf.DUMMYFUNCTION("""COMPUTED_VALUE"""),"روضة الجواد")</f>
        <v>روضة الجواد</v>
      </c>
      <c r="D1080" s="5" t="str">
        <f>IFERROR(__xludf.DUMMYFUNCTION("""COMPUTED_VALUE"""),"تهران")</f>
        <v>تهران</v>
      </c>
      <c r="E1080" s="5"/>
      <c r="F1080" s="5" t="str">
        <f>IFERROR(__xludf.DUMMYFUNCTION("""COMPUTED_VALUE"""),"حیابان 200 دستگاه")</f>
        <v>حیابان 200 دستگاه</v>
      </c>
      <c r="G1080" s="5"/>
      <c r="H1080" s="6" t="str">
        <f>IFERROR(__xludf.DUMMYFUNCTION("""COMPUTED_VALUE"""),"https://www.instagram.com/rozealjavad/")</f>
        <v>https://www.instagram.com/rozealjavad/</v>
      </c>
      <c r="I1080" s="6" t="str">
        <f>IFERROR(__xludf.DUMMYFUNCTION("""COMPUTED_VALUE"""),"https://t.me/Rozealjavad")</f>
        <v>https://t.me/Rozealjavad</v>
      </c>
      <c r="J1080" s="5"/>
      <c r="K1080" s="5"/>
      <c r="L1080" s="5"/>
      <c r="M1080" s="5"/>
      <c r="N1080" s="5"/>
      <c r="O1080" s="5"/>
      <c r="P1080" s="5"/>
      <c r="Q1080" s="5"/>
      <c r="R1080" s="5"/>
      <c r="S1080" s="5"/>
    </row>
    <row r="1081">
      <c r="A1081" s="5"/>
      <c r="B1081" s="5" t="str">
        <f>IFERROR(__xludf.DUMMYFUNCTION("""COMPUTED_VALUE"""),"هیأت")</f>
        <v>هیأت</v>
      </c>
      <c r="C1081" s="5" t="str">
        <f>IFERROR(__xludf.DUMMYFUNCTION("""COMPUTED_VALUE"""),"روضه انصارالعباس")</f>
        <v>روضه انصارالعباس</v>
      </c>
      <c r="D1081" s="5" t="str">
        <f>IFERROR(__xludf.DUMMYFUNCTION("""COMPUTED_VALUE"""),"تهران")</f>
        <v>تهران</v>
      </c>
      <c r="E1081" s="5"/>
      <c r="F1081" s="5" t="str">
        <f>IFERROR(__xludf.DUMMYFUNCTION("""COMPUTED_VALUE"""),"تهران،خیابان ششم نیرو هوایی، کوچه۶.۲۷")</f>
        <v>تهران،خیابان ششم نیرو هوایی، کوچه۶.۲۷</v>
      </c>
      <c r="G1081" s="5"/>
      <c r="H1081" s="6" t="str">
        <f>IFERROR(__xludf.DUMMYFUNCTION("""COMPUTED_VALUE"""),"https://www.instagram.com/rozeansarolabbas/")</f>
        <v>https://www.instagram.com/rozeansarolabbas/</v>
      </c>
      <c r="I1081" s="6" t="str">
        <f>IFERROR(__xludf.DUMMYFUNCTION("""COMPUTED_VALUE"""),"https://t.me/rozeansarolabbas")</f>
        <v>https://t.me/rozeansarolabbas</v>
      </c>
      <c r="J1081" s="5"/>
      <c r="K1081" s="5"/>
      <c r="L1081" s="5"/>
      <c r="M1081" s="5"/>
      <c r="N1081" s="5"/>
      <c r="O1081" s="5"/>
      <c r="P1081" s="5"/>
      <c r="Q1081" s="5"/>
      <c r="R1081" s="5"/>
      <c r="S1081" s="5"/>
    </row>
    <row r="1082">
      <c r="A1082" s="5"/>
      <c r="B1082" s="5" t="str">
        <f>IFERROR(__xludf.DUMMYFUNCTION("""COMPUTED_VALUE"""),"هیأت")</f>
        <v>هیأت</v>
      </c>
      <c r="C1082" s="5" t="str">
        <f>IFERROR(__xludf.DUMMYFUNCTION("""COMPUTED_VALUE"""),"روضه احسان الحسن")</f>
        <v>روضه احسان الحسن</v>
      </c>
      <c r="D1082" s="5" t="str">
        <f>IFERROR(__xludf.DUMMYFUNCTION("""COMPUTED_VALUE"""),"تهران")</f>
        <v>تهران</v>
      </c>
      <c r="E1082" s="5"/>
      <c r="F1082" s="5"/>
      <c r="G1082" s="5"/>
      <c r="H1082" s="6" t="str">
        <f>IFERROR(__xludf.DUMMYFUNCTION("""COMPUTED_VALUE"""),"https://www.instagram.com/rozeh_ehsanolhasan/")</f>
        <v>https://www.instagram.com/rozeh_ehsanolhasan/</v>
      </c>
      <c r="I1082" s="6" t="str">
        <f>IFERROR(__xludf.DUMMYFUNCTION("""COMPUTED_VALUE"""),"https://t.me/rozeh_ehsanolhasan")</f>
        <v>https://t.me/rozeh_ehsanolhasan</v>
      </c>
      <c r="J1082" s="5"/>
      <c r="K1082" s="5"/>
      <c r="L1082" s="5"/>
      <c r="M1082" s="5"/>
      <c r="N1082" s="5"/>
      <c r="O1082" s="5"/>
      <c r="P1082" s="5"/>
      <c r="Q1082" s="5"/>
      <c r="R1082" s="5"/>
      <c r="S1082" s="5"/>
    </row>
    <row r="1083">
      <c r="A1083" s="5"/>
      <c r="B1083" s="5" t="str">
        <f>IFERROR(__xludf.DUMMYFUNCTION("""COMPUTED_VALUE"""),"هیأت")</f>
        <v>هیأت</v>
      </c>
      <c r="C1083" s="5" t="str">
        <f>IFERROR(__xludf.DUMMYFUNCTION("""COMPUTED_VALUE"""),"محفل روضه")</f>
        <v>محفل روضه</v>
      </c>
      <c r="D1083" s="5" t="str">
        <f>IFERROR(__xludf.DUMMYFUNCTION("""COMPUTED_VALUE"""),"تهران")</f>
        <v>تهران</v>
      </c>
      <c r="E1083" s="5"/>
      <c r="F1083" s="5"/>
      <c r="G1083" s="5"/>
      <c r="H1083" s="6" t="str">
        <f>IFERROR(__xludf.DUMMYFUNCTION("""COMPUTED_VALUE"""),"https://www.instagram.com/rozeh_ir/")</f>
        <v>https://www.instagram.com/rozeh_ir/</v>
      </c>
      <c r="I1083" s="6" t="str">
        <f>IFERROR(__xludf.DUMMYFUNCTION("""COMPUTED_VALUE"""),"https://t.me/rozeh_ir")</f>
        <v>https://t.me/rozeh_ir</v>
      </c>
      <c r="J1083" s="5"/>
      <c r="K1083" s="5"/>
      <c r="L1083" s="5"/>
      <c r="M1083" s="5"/>
      <c r="N1083" s="5"/>
      <c r="O1083" s="5"/>
      <c r="P1083" s="5"/>
      <c r="Q1083" s="5"/>
      <c r="R1083" s="5"/>
      <c r="S1083" s="5"/>
    </row>
    <row r="1084">
      <c r="A1084" s="5"/>
      <c r="B1084" s="5" t="str">
        <f>IFERROR(__xludf.DUMMYFUNCTION("""COMPUTED_VALUE"""),"هیأت")</f>
        <v>هیأت</v>
      </c>
      <c r="C1084" s="5" t="str">
        <f>IFERROR(__xludf.DUMMYFUNCTION("""COMPUTED_VALUE"""),"روضه حسنیون")</f>
        <v>روضه حسنیون</v>
      </c>
      <c r="D1084" s="5" t="str">
        <f>IFERROR(__xludf.DUMMYFUNCTION("""COMPUTED_VALUE"""),"تهران")</f>
        <v>تهران</v>
      </c>
      <c r="E1084" s="5"/>
      <c r="F1084" s="5"/>
      <c r="G1084" s="5"/>
      <c r="H1084" s="6" t="str">
        <f>IFERROR(__xludf.DUMMYFUNCTION("""COMPUTED_VALUE"""),"https://www.instagram.com/rozehasaniyon/")</f>
        <v>https://www.instagram.com/rozehasaniyon/</v>
      </c>
      <c r="I1084" s="6" t="str">
        <f>IFERROR(__xludf.DUMMYFUNCTION("""COMPUTED_VALUE"""),"https://t.me/rozehasaniyon")</f>
        <v>https://t.me/rozehasaniyon</v>
      </c>
      <c r="J1084" s="5"/>
      <c r="K1084" s="5"/>
      <c r="L1084" s="5"/>
      <c r="M1084" s="5"/>
      <c r="N1084" s="5"/>
      <c r="O1084" s="5"/>
      <c r="P1084" s="5"/>
      <c r="Q1084" s="5"/>
      <c r="R1084" s="5"/>
      <c r="S1084" s="5"/>
    </row>
    <row r="1085">
      <c r="A1085" s="5"/>
      <c r="B1085" s="5" t="str">
        <f>IFERROR(__xludf.DUMMYFUNCTION("""COMPUTED_VALUE"""),"هیأت")</f>
        <v>هیأت</v>
      </c>
      <c r="C1085" s="5" t="str">
        <f>IFERROR(__xludf.DUMMYFUNCTION("""COMPUTED_VALUE"""),"روضه قاسم ابن الحسن")</f>
        <v>روضه قاسم ابن الحسن</v>
      </c>
      <c r="D1085" s="5" t="str">
        <f>IFERROR(__xludf.DUMMYFUNCTION("""COMPUTED_VALUE"""),"تهران")</f>
        <v>تهران</v>
      </c>
      <c r="E1085" s="5"/>
      <c r="F1085" s="5"/>
      <c r="G1085" s="5"/>
      <c r="H1085" s="6" t="str">
        <f>IFERROR(__xludf.DUMMYFUNCTION("""COMPUTED_VALUE"""),"https://www.instagram.com/rozehghasem/")</f>
        <v>https://www.instagram.com/rozehghasem/</v>
      </c>
      <c r="I1085" s="6" t="str">
        <f>IFERROR(__xludf.DUMMYFUNCTION("""COMPUTED_VALUE"""),"https://t.me/ROZEHGHASEM")</f>
        <v>https://t.me/ROZEHGHASEM</v>
      </c>
      <c r="J1085" s="5"/>
      <c r="K1085" s="5"/>
      <c r="L1085" s="5"/>
      <c r="M1085" s="5"/>
      <c r="N1085" s="5"/>
      <c r="O1085" s="5"/>
      <c r="P1085" s="5"/>
      <c r="Q1085" s="5"/>
      <c r="R1085" s="5"/>
      <c r="S1085" s="5"/>
    </row>
    <row r="1086">
      <c r="A1086" s="5"/>
      <c r="B1086" s="5" t="str">
        <f>IFERROR(__xludf.DUMMYFUNCTION("""COMPUTED_VALUE"""),"هیأت")</f>
        <v>هیأت</v>
      </c>
      <c r="C1086" s="5" t="str">
        <f>IFERROR(__xludf.DUMMYFUNCTION("""COMPUTED_VALUE"""),"روضه عشاق المهدی")</f>
        <v>روضه عشاق المهدی</v>
      </c>
      <c r="D1086" s="5" t="str">
        <f>IFERROR(__xludf.DUMMYFUNCTION("""COMPUTED_VALUE"""),"تهران")</f>
        <v>تهران</v>
      </c>
      <c r="E1086" s="5"/>
      <c r="F1086" s="5"/>
      <c r="G1086" s="5"/>
      <c r="H1086" s="6" t="str">
        <f>IFERROR(__xludf.DUMMYFUNCTION("""COMPUTED_VALUE"""),"https://www.instagram.com/rozeoshaghalmahdi/")</f>
        <v>https://www.instagram.com/rozeoshaghalmahdi/</v>
      </c>
      <c r="I1086" s="6" t="str">
        <f>IFERROR(__xludf.DUMMYFUNCTION("""COMPUTED_VALUE"""),"https://t.me/rozeoshaghalmahdi")</f>
        <v>https://t.me/rozeoshaghalmahdi</v>
      </c>
      <c r="J1086" s="5"/>
      <c r="K1086" s="5"/>
      <c r="L1086" s="5"/>
      <c r="M1086" s="5"/>
      <c r="N1086" s="5"/>
      <c r="O1086" s="5"/>
      <c r="P1086" s="5"/>
      <c r="Q1086" s="5"/>
      <c r="R1086" s="5"/>
      <c r="S1086" s="5"/>
    </row>
    <row r="1087">
      <c r="A1087" s="5"/>
      <c r="B1087" s="5" t="str">
        <f>IFERROR(__xludf.DUMMYFUNCTION("""COMPUTED_VALUE"""),"هیأت")</f>
        <v>هیأت</v>
      </c>
      <c r="C1087" s="5" t="str">
        <f>IFERROR(__xludf.DUMMYFUNCTION("""COMPUTED_VALUE"""),"روضه الرقیه")</f>
        <v>روضه الرقیه</v>
      </c>
      <c r="D1087" s="5" t="str">
        <f>IFERROR(__xludf.DUMMYFUNCTION("""COMPUTED_VALUE"""),"تهران")</f>
        <v>تهران</v>
      </c>
      <c r="E1087" s="5"/>
      <c r="F1087" s="5"/>
      <c r="G1087" s="5"/>
      <c r="H1087" s="6" t="str">
        <f>IFERROR(__xludf.DUMMYFUNCTION("""COMPUTED_VALUE"""),"https://www.instagram.com/rozeroghayeh/")</f>
        <v>https://www.instagram.com/rozeroghayeh/</v>
      </c>
      <c r="I1087" s="6" t="str">
        <f>IFERROR(__xludf.DUMMYFUNCTION("""COMPUTED_VALUE"""),"https://t.me/rozeroghayeh")</f>
        <v>https://t.me/rozeroghayeh</v>
      </c>
      <c r="J1087" s="5"/>
      <c r="K1087" s="5"/>
      <c r="L1087" s="5"/>
      <c r="M1087" s="5"/>
      <c r="N1087" s="5"/>
      <c r="O1087" s="5"/>
      <c r="P1087" s="5"/>
      <c r="Q1087" s="5"/>
      <c r="R1087" s="5"/>
      <c r="S1087" s="5"/>
    </row>
    <row r="1088">
      <c r="A1088" s="5"/>
      <c r="B1088" s="5" t="str">
        <f>IFERROR(__xludf.DUMMYFUNCTION("""COMPUTED_VALUE"""),"هیأت")</f>
        <v>هیأت</v>
      </c>
      <c r="C1088" s="5" t="str">
        <f>IFERROR(__xludf.DUMMYFUNCTION("""COMPUTED_VALUE"""),"حسینیه سادات اخوی")</f>
        <v>حسینیه سادات اخوی</v>
      </c>
      <c r="D1088" s="5" t="str">
        <f>IFERROR(__xludf.DUMMYFUNCTION("""COMPUTED_VALUE"""),"تهران")</f>
        <v>تهران</v>
      </c>
      <c r="E1088" s="5"/>
      <c r="F1088" s="5" t="str">
        <f>IFERROR(__xludf.DUMMYFUNCTION("""COMPUTED_VALUE"""),"خیابان مصطفی خمینی")</f>
        <v>خیابان مصطفی خمینی</v>
      </c>
      <c r="G1088" s="5"/>
      <c r="H1088" s="6" t="str">
        <f>IFERROR(__xludf.DUMMYFUNCTION("""COMPUTED_VALUE"""),"https://www.instagram.com/sadatakhavii/")</f>
        <v>https://www.instagram.com/sadatakhavii/</v>
      </c>
      <c r="I1088" s="6" t="str">
        <f>IFERROR(__xludf.DUMMYFUNCTION("""COMPUTED_VALUE"""),"https://t.me/sadatakhaviih")</f>
        <v>https://t.me/sadatakhaviih</v>
      </c>
      <c r="J1088" s="5"/>
      <c r="K1088" s="5"/>
      <c r="L1088" s="5"/>
      <c r="M1088" s="5"/>
      <c r="N1088" s="5"/>
      <c r="O1088" s="5"/>
      <c r="P1088" s="5"/>
      <c r="Q1088" s="5"/>
      <c r="R1088" s="5"/>
      <c r="S1088" s="5"/>
    </row>
    <row r="1089">
      <c r="A1089" s="5"/>
      <c r="B1089" s="5" t="str">
        <f>IFERROR(__xludf.DUMMYFUNCTION("""COMPUTED_VALUE"""),"هیأت")</f>
        <v>هیأت</v>
      </c>
      <c r="C1089" s="5" t="str">
        <f>IFERROR(__xludf.DUMMYFUNCTION("""COMPUTED_VALUE"""),"سائلین امیرالمومنین")</f>
        <v>سائلین امیرالمومنین</v>
      </c>
      <c r="D1089" s="5" t="str">
        <f>IFERROR(__xludf.DUMMYFUNCTION("""COMPUTED_VALUE"""),"تهران")</f>
        <v>تهران</v>
      </c>
      <c r="E1089" s="5"/>
      <c r="F1089" s="5"/>
      <c r="G1089" s="5"/>
      <c r="H1089" s="6" t="str">
        <f>IFERROR(__xludf.DUMMYFUNCTION("""COMPUTED_VALUE"""),"https://www.instagram.com/saelin_info/")</f>
        <v>https://www.instagram.com/saelin_info/</v>
      </c>
      <c r="I1089" s="6" t="str">
        <f>IFERROR(__xludf.DUMMYFUNCTION("""COMPUTED_VALUE"""),"https://t.me/saelin_info")</f>
        <v>https://t.me/saelin_info</v>
      </c>
      <c r="J1089" s="5"/>
      <c r="K1089" s="5"/>
      <c r="L1089" s="5"/>
      <c r="M1089" s="5"/>
      <c r="N1089" s="5"/>
      <c r="O1089" s="5"/>
      <c r="P1089" s="5"/>
      <c r="Q1089" s="5"/>
      <c r="R1089" s="5"/>
      <c r="S1089" s="5"/>
    </row>
    <row r="1090">
      <c r="A1090" s="5"/>
      <c r="B1090" s="5" t="str">
        <f>IFERROR(__xludf.DUMMYFUNCTION("""COMPUTED_VALUE"""),"هیأت")</f>
        <v>هیأت</v>
      </c>
      <c r="C1090" s="5" t="str">
        <f>IFERROR(__xludf.DUMMYFUNCTION("""COMPUTED_VALUE"""),"سائلین العباس")</f>
        <v>سائلین العباس</v>
      </c>
      <c r="D1090" s="5" t="str">
        <f>IFERROR(__xludf.DUMMYFUNCTION("""COMPUTED_VALUE"""),"تهران")</f>
        <v>تهران</v>
      </c>
      <c r="E1090" s="5"/>
      <c r="F1090" s="5"/>
      <c r="G1090" s="5"/>
      <c r="H1090" s="6" t="str">
        <f>IFERROR(__xludf.DUMMYFUNCTION("""COMPUTED_VALUE"""),"https://www.instagram.com/saelinolabas/")</f>
        <v>https://www.instagram.com/saelinolabas/</v>
      </c>
      <c r="I1090" s="6" t="str">
        <f>IFERROR(__xludf.DUMMYFUNCTION("""COMPUTED_VALUE"""),"https://t.me/saelinolabas")</f>
        <v>https://t.me/saelinolabas</v>
      </c>
      <c r="J1090" s="5"/>
      <c r="K1090" s="5"/>
      <c r="L1090" s="5"/>
      <c r="M1090" s="5"/>
      <c r="N1090" s="5"/>
      <c r="O1090" s="5"/>
      <c r="P1090" s="5"/>
      <c r="Q1090" s="5"/>
      <c r="R1090" s="5"/>
      <c r="S1090" s="5"/>
    </row>
    <row r="1091">
      <c r="A1091" s="5"/>
      <c r="B1091" s="5" t="str">
        <f>IFERROR(__xludf.DUMMYFUNCTION("""COMPUTED_VALUE"""),"هیأت")</f>
        <v>هیأت</v>
      </c>
      <c r="C1091" s="5" t="str">
        <f>IFERROR(__xludf.DUMMYFUNCTION("""COMPUTED_VALUE"""),"ثامن الائمه ")</f>
        <v>ثامن الائمه </v>
      </c>
      <c r="D1091" s="5" t="str">
        <f>IFERROR(__xludf.DUMMYFUNCTION("""COMPUTED_VALUE"""),"تهران")</f>
        <v>تهران</v>
      </c>
      <c r="E1091" s="5"/>
      <c r="F1091" s="5" t="str">
        <f>IFERROR(__xludf.DUMMYFUNCTION("""COMPUTED_VALUE"""),"خیابان پیروزی خیابان پنجم نیروی هوایی فرعی4/26")</f>
        <v>خیابان پیروزی خیابان پنجم نیروی هوایی فرعی4/26</v>
      </c>
      <c r="G1091" s="5"/>
      <c r="H1091" s="6" t="str">
        <f>IFERROR(__xludf.DUMMYFUNCTION("""COMPUTED_VALUE"""),"https://www.instagram.com/samene_tehran/")</f>
        <v>https://www.instagram.com/samene_tehran/</v>
      </c>
      <c r="I1091" s="6" t="str">
        <f>IFERROR(__xludf.DUMMYFUNCTION("""COMPUTED_VALUE"""),"https://t.me/samene_tehran")</f>
        <v>https://t.me/samene_tehran</v>
      </c>
      <c r="J1091" s="5"/>
      <c r="K1091" s="5"/>
      <c r="L1091" s="5"/>
      <c r="M1091" s="5"/>
      <c r="N1091" s="5"/>
      <c r="O1091" s="5"/>
      <c r="P1091" s="5"/>
      <c r="Q1091" s="5"/>
      <c r="R1091" s="5"/>
      <c r="S1091" s="5"/>
    </row>
    <row r="1092">
      <c r="A1092" s="5"/>
      <c r="B1092" s="5" t="str">
        <f>IFERROR(__xludf.DUMMYFUNCTION("""COMPUTED_VALUE"""),"هیأت")</f>
        <v>هیأت</v>
      </c>
      <c r="C1092" s="5" t="str">
        <f>IFERROR(__xludf.DUMMYFUNCTION("""COMPUTED_VALUE"""),"ثارالله شهر ری")</f>
        <v>ثارالله شهر ری</v>
      </c>
      <c r="D1092" s="5" t="str">
        <f>IFERROR(__xludf.DUMMYFUNCTION("""COMPUTED_VALUE"""),"تهران")</f>
        <v>تهران</v>
      </c>
      <c r="E1092" s="5"/>
      <c r="F1092" s="5"/>
      <c r="G1092" s="5"/>
      <c r="H1092" s="6" t="str">
        <f>IFERROR(__xludf.DUMMYFUNCTION("""COMPUTED_VALUE"""),"https://www.instagram.com/sarallah.rey/")</f>
        <v>https://www.instagram.com/sarallah.rey/</v>
      </c>
      <c r="I1092" s="6" t="str">
        <f>IFERROR(__xludf.DUMMYFUNCTION("""COMPUTED_VALUE"""),"https://t.me/sarallah_rey")</f>
        <v>https://t.me/sarallah_rey</v>
      </c>
      <c r="J1092" s="5"/>
      <c r="K1092" s="5"/>
      <c r="L1092" s="5"/>
      <c r="M1092" s="5"/>
      <c r="N1092" s="5"/>
      <c r="O1092" s="5"/>
      <c r="P1092" s="5"/>
      <c r="Q1092" s="5"/>
      <c r="R1092" s="5"/>
      <c r="S1092" s="5"/>
    </row>
    <row r="1093">
      <c r="A1093" s="5"/>
      <c r="B1093" s="5" t="str">
        <f>IFERROR(__xludf.DUMMYFUNCTION("""COMPUTED_VALUE"""),"هیأت")</f>
        <v>هیأت</v>
      </c>
      <c r="C1093" s="5" t="str">
        <f>IFERROR(__xludf.DUMMYFUNCTION("""COMPUTED_VALUE"""),"صراط الحسین")</f>
        <v>صراط الحسین</v>
      </c>
      <c r="D1093" s="5" t="str">
        <f>IFERROR(__xludf.DUMMYFUNCTION("""COMPUTED_VALUE"""),"تهران")</f>
        <v>تهران</v>
      </c>
      <c r="E1093" s="5"/>
      <c r="F1093" s="5" t="str">
        <f>IFERROR(__xludf.DUMMYFUNCTION("""COMPUTED_VALUE"""),"محلاتی")</f>
        <v>محلاتی</v>
      </c>
      <c r="G1093" s="5"/>
      <c r="H1093" s="6" t="str">
        <f>IFERROR(__xludf.DUMMYFUNCTION("""COMPUTED_VALUE"""),"https://www.instagram.com/seratolhossein/")</f>
        <v>https://www.instagram.com/seratolhossein/</v>
      </c>
      <c r="I1093" s="6" t="str">
        <f>IFERROR(__xludf.DUMMYFUNCTION("""COMPUTED_VALUE"""),"https://t.me/seratolhossein")</f>
        <v>https://t.me/seratolhossein</v>
      </c>
      <c r="J1093" s="5"/>
      <c r="K1093" s="5"/>
      <c r="L1093" s="5"/>
      <c r="M1093" s="5"/>
      <c r="N1093" s="5"/>
      <c r="O1093" s="5"/>
      <c r="P1093" s="5"/>
      <c r="Q1093" s="5"/>
      <c r="R1093" s="5"/>
      <c r="S1093" s="5"/>
    </row>
    <row r="1094">
      <c r="A1094" s="5"/>
      <c r="B1094" s="5" t="str">
        <f>IFERROR(__xludf.DUMMYFUNCTION("""COMPUTED_VALUE"""),"هیأت")</f>
        <v>هیأت</v>
      </c>
      <c r="C1094" s="5" t="str">
        <f>IFERROR(__xludf.DUMMYFUNCTION("""COMPUTED_VALUE"""),"روضه سیده شریفه ظهران")</f>
        <v>روضه سیده شریفه ظهران</v>
      </c>
      <c r="D1094" s="5" t="str">
        <f>IFERROR(__xludf.DUMMYFUNCTION("""COMPUTED_VALUE"""),"تهران")</f>
        <v>تهران</v>
      </c>
      <c r="E1094" s="5"/>
      <c r="F1094" s="5" t="str">
        <f>IFERROR(__xludf.DUMMYFUNCTION("""COMPUTED_VALUE"""),"منطقه 22")</f>
        <v>منطقه 22</v>
      </c>
      <c r="G1094" s="5"/>
      <c r="H1094" s="6" t="str">
        <f>IFERROR(__xludf.DUMMYFUNCTION("""COMPUTED_VALUE"""),"https://www.instagram.com/seyedeh_sharifeh_595/")</f>
        <v>https://www.instagram.com/seyedeh_sharifeh_595/</v>
      </c>
      <c r="I1094" s="6" t="str">
        <f>IFERROR(__xludf.DUMMYFUNCTION("""COMPUTED_VALUE"""),"https://t.me/seyedeh_sharifeh_595")</f>
        <v>https://t.me/seyedeh_sharifeh_595</v>
      </c>
      <c r="J1094" s="5"/>
      <c r="K1094" s="5"/>
      <c r="L1094" s="5"/>
      <c r="M1094" s="5"/>
      <c r="N1094" s="5"/>
      <c r="O1094" s="5"/>
      <c r="P1094" s="5"/>
      <c r="Q1094" s="5"/>
      <c r="R1094" s="5"/>
      <c r="S1094" s="5"/>
    </row>
    <row r="1095">
      <c r="A1095" s="5"/>
      <c r="B1095" s="5" t="str">
        <f>IFERROR(__xludf.DUMMYFUNCTION("""COMPUTED_VALUE"""),"هیأت نوجوانان")</f>
        <v>هیأت نوجوانان</v>
      </c>
      <c r="C1095" s="5" t="str">
        <f>IFERROR(__xludf.DUMMYFUNCTION("""COMPUTED_VALUE"""),"عشاق الحسین")</f>
        <v>عشاق الحسین</v>
      </c>
      <c r="D1095" s="5" t="str">
        <f>IFERROR(__xludf.DUMMYFUNCTION("""COMPUTED_VALUE"""),"تهران")</f>
        <v>تهران</v>
      </c>
      <c r="E1095" s="5"/>
      <c r="F1095" s="5"/>
      <c r="G1095" s="5"/>
      <c r="H1095" s="6" t="str">
        <f>IFERROR(__xludf.DUMMYFUNCTION("""COMPUTED_VALUE"""),"https://www.instagram.com/shabab_ir/")</f>
        <v>https://www.instagram.com/shabab_ir/</v>
      </c>
      <c r="I1095" s="6" t="str">
        <f>IFERROR(__xludf.DUMMYFUNCTION("""COMPUTED_VALUE"""),"https://t.me/shabab_ir")</f>
        <v>https://t.me/shabab_ir</v>
      </c>
      <c r="J1095" s="5"/>
      <c r="K1095" s="5"/>
      <c r="L1095" s="5"/>
      <c r="M1095" s="5"/>
      <c r="N1095" s="5"/>
      <c r="O1095" s="5"/>
      <c r="P1095" s="5"/>
      <c r="Q1095" s="5"/>
      <c r="R1095" s="5"/>
      <c r="S1095" s="5"/>
    </row>
    <row r="1096">
      <c r="A1096" s="5"/>
      <c r="B1096" s="5" t="str">
        <f>IFERROR(__xludf.DUMMYFUNCTION("""COMPUTED_VALUE"""),"هیأت")</f>
        <v>هیأت</v>
      </c>
      <c r="C1096" s="5" t="str">
        <f>IFERROR(__xludf.DUMMYFUNCTION("""COMPUTED_VALUE"""),"مکتب الزهرا")</f>
        <v>مکتب الزهرا</v>
      </c>
      <c r="D1096" s="5" t="str">
        <f>IFERROR(__xludf.DUMMYFUNCTION("""COMPUTED_VALUE"""),"تهران")</f>
        <v>تهران</v>
      </c>
      <c r="E1096" s="5"/>
      <c r="F1096" s="5" t="str">
        <f>IFERROR(__xludf.DUMMYFUNCTION("""COMPUTED_VALUE"""),"شهران")</f>
        <v>شهران</v>
      </c>
      <c r="G1096" s="5"/>
      <c r="H1096" s="6" t="str">
        <f>IFERROR(__xludf.DUMMYFUNCTION("""COMPUTED_VALUE"""),"https://www.instagram.com/maktab_al_zahra213/")</f>
        <v>https://www.instagram.com/maktab_al_zahra213/</v>
      </c>
      <c r="I1096" s="6" t="str">
        <f>IFERROR(__xludf.DUMMYFUNCTION("""COMPUTED_VALUE"""),"https://www.instagram.com/maktab_al_zahra213/")</f>
        <v>https://www.instagram.com/maktab_al_zahra213/</v>
      </c>
      <c r="J1096" s="5"/>
      <c r="K1096" s="5"/>
      <c r="L1096" s="5"/>
      <c r="M1096" s="5"/>
      <c r="N1096" s="5" t="str">
        <f>IFERROR(__xludf.DUMMYFUNCTION("""COMPUTED_VALUE"""),"*")</f>
        <v>*</v>
      </c>
      <c r="O1096" s="5"/>
      <c r="P1096" s="5"/>
      <c r="Q1096" s="5"/>
      <c r="R1096" s="5"/>
      <c r="S1096" s="5"/>
    </row>
    <row r="1097">
      <c r="A1097" s="5"/>
      <c r="B1097" s="5" t="str">
        <f>IFERROR(__xludf.DUMMYFUNCTION("""COMPUTED_VALUE"""),"هیأت")</f>
        <v>هیأت</v>
      </c>
      <c r="C1097" s="5" t="str">
        <f>IFERROR(__xludf.DUMMYFUNCTION("""COMPUTED_VALUE"""),"علمدار")</f>
        <v>علمدار</v>
      </c>
      <c r="D1097" s="5" t="str">
        <f>IFERROR(__xludf.DUMMYFUNCTION("""COMPUTED_VALUE"""),"تهران")</f>
        <v>تهران</v>
      </c>
      <c r="E1097" s="5"/>
      <c r="F1097" s="5" t="str">
        <f>IFERROR(__xludf.DUMMYFUNCTION("""COMPUTED_VALUE"""),"میدان صادقیه")</f>
        <v>میدان صادقیه</v>
      </c>
      <c r="G1097" s="5"/>
      <c r="H1097" s="6" t="str">
        <f>IFERROR(__xludf.DUMMYFUNCTION("""COMPUTED_VALUE"""),"https://www.instagram.com/heyat_alamdar_gharb_tehran/")</f>
        <v>https://www.instagram.com/heyat_alamdar_gharb_tehran/</v>
      </c>
      <c r="I1097" s="5"/>
      <c r="J1097" s="5"/>
      <c r="K1097" s="5"/>
      <c r="L1097" s="5"/>
      <c r="M1097" s="5"/>
      <c r="N1097" s="5" t="str">
        <f>IFERROR(__xludf.DUMMYFUNCTION("""COMPUTED_VALUE"""),"*")</f>
        <v>*</v>
      </c>
      <c r="O1097" s="5"/>
      <c r="P1097" s="5"/>
      <c r="Q1097" s="5"/>
      <c r="R1097" s="5"/>
      <c r="S1097" s="5"/>
    </row>
    <row r="1098">
      <c r="A1098" s="5"/>
      <c r="B1098" s="5" t="str">
        <f>IFERROR(__xludf.DUMMYFUNCTION("""COMPUTED_VALUE"""),"هیأت")</f>
        <v>هیأت</v>
      </c>
      <c r="C1098" s="5" t="str">
        <f>IFERROR(__xludf.DUMMYFUNCTION("""COMPUTED_VALUE"""),"حسینیه معظم قمر منیر بنی هاشم")</f>
        <v>حسینیه معظم قمر منیر بنی هاشم</v>
      </c>
      <c r="D1098" s="5" t="str">
        <f>IFERROR(__xludf.DUMMYFUNCTION("""COMPUTED_VALUE"""),"تهران")</f>
        <v>تهران</v>
      </c>
      <c r="E1098" s="5"/>
      <c r="F1098" s="5" t="str">
        <f>IFERROR(__xludf.DUMMYFUNCTION("""COMPUTED_VALUE"""),"شمال غرب تهران")</f>
        <v>شمال غرب تهران</v>
      </c>
      <c r="G1098" s="5"/>
      <c r="H1098" s="6" t="str">
        <f>IFERROR(__xludf.DUMMYFUNCTION("""COMPUTED_VALUE"""),"https://www.instagram.com/heyat_ghamare_monir_banihashem/")</f>
        <v>https://www.instagram.com/heyat_ghamare_monir_banihashem/</v>
      </c>
      <c r="I1098" s="5"/>
      <c r="J1098" s="5"/>
      <c r="K1098" s="5"/>
      <c r="L1098" s="5"/>
      <c r="M1098" s="5"/>
      <c r="N1098" s="5" t="str">
        <f>IFERROR(__xludf.DUMMYFUNCTION("""COMPUTED_VALUE"""),"*")</f>
        <v>*</v>
      </c>
      <c r="O1098" s="5"/>
      <c r="P1098" s="5"/>
      <c r="Q1098" s="5"/>
      <c r="R1098" s="5"/>
      <c r="S1098" s="5"/>
    </row>
    <row r="1099">
      <c r="A1099" s="5"/>
      <c r="B1099" s="5" t="str">
        <f>IFERROR(__xludf.DUMMYFUNCTION("""COMPUTED_VALUE"""),"هیأت")</f>
        <v>هیأت</v>
      </c>
      <c r="C1099" s="5" t="str">
        <f>IFERROR(__xludf.DUMMYFUNCTION("""COMPUTED_VALUE"""),"محمدیه")</f>
        <v>محمدیه</v>
      </c>
      <c r="D1099" s="5" t="str">
        <f>IFERROR(__xludf.DUMMYFUNCTION("""COMPUTED_VALUE"""),"تهران")</f>
        <v>تهران</v>
      </c>
      <c r="E1099" s="5"/>
      <c r="F1099" s="5" t="str">
        <f>IFERROR(__xludf.DUMMYFUNCTION("""COMPUTED_VALUE"""),"خیابان مولوی")</f>
        <v>خیابان مولوی</v>
      </c>
      <c r="G1099" s="5"/>
      <c r="H1099" s="6" t="str">
        <f>IFERROR(__xludf.DUMMYFUNCTION("""COMPUTED_VALUE"""),"https://www.instagram.com/heyate_mohammadie/")</f>
        <v>https://www.instagram.com/heyate_mohammadie/</v>
      </c>
      <c r="I1099" s="5"/>
      <c r="J1099" s="5"/>
      <c r="K1099" s="5"/>
      <c r="L1099" s="5"/>
      <c r="M1099" s="5"/>
      <c r="N1099" s="5" t="str">
        <f>IFERROR(__xludf.DUMMYFUNCTION("""COMPUTED_VALUE"""),"*")</f>
        <v>*</v>
      </c>
      <c r="O1099" s="5"/>
      <c r="P1099" s="5"/>
      <c r="Q1099" s="5"/>
      <c r="R1099" s="5"/>
      <c r="S1099" s="5"/>
    </row>
    <row r="1100">
      <c r="A1100" s="5"/>
      <c r="B1100" s="5" t="str">
        <f>IFERROR(__xludf.DUMMYFUNCTION("""COMPUTED_VALUE"""),"هیأت")</f>
        <v>هیأت</v>
      </c>
      <c r="C1100" s="5" t="str">
        <f>IFERROR(__xludf.DUMMYFUNCTION("""COMPUTED_VALUE"""),"منتظران مهدی ")</f>
        <v>منتظران مهدی </v>
      </c>
      <c r="D1100" s="5" t="str">
        <f>IFERROR(__xludf.DUMMYFUNCTION("""COMPUTED_VALUE"""),"تهران")</f>
        <v>تهران</v>
      </c>
      <c r="E1100" s="5"/>
      <c r="F1100" s="5" t="str">
        <f>IFERROR(__xludf.DUMMYFUNCTION("""COMPUTED_VALUE"""),"تهرانپارس")</f>
        <v>تهرانپارس</v>
      </c>
      <c r="G1100" s="5"/>
      <c r="H1100" s="6" t="str">
        <f>IFERROR(__xludf.DUMMYFUNCTION("""COMPUTED_VALUE"""),"https://www.instagram.com/heyatmontazeranmahdi/")</f>
        <v>https://www.instagram.com/heyatmontazeranmahdi/</v>
      </c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</row>
    <row r="1101">
      <c r="A1101" s="5"/>
      <c r="B1101" s="5" t="str">
        <f>IFERROR(__xludf.DUMMYFUNCTION("""COMPUTED_VALUE"""),"هیأت")</f>
        <v>هیأت</v>
      </c>
      <c r="C1101" s="5" t="str">
        <f>IFERROR(__xludf.DUMMYFUNCTION("""COMPUTED_VALUE"""),"الجواد")</f>
        <v>الجواد</v>
      </c>
      <c r="D1101" s="5" t="str">
        <f>IFERROR(__xludf.DUMMYFUNCTION("""COMPUTED_VALUE"""),"تهران")</f>
        <v>تهران</v>
      </c>
      <c r="E1101" s="5"/>
      <c r="F1101" s="5" t="str">
        <f>IFERROR(__xludf.DUMMYFUNCTION("""COMPUTED_VALUE"""),"مولوی")</f>
        <v>مولوی</v>
      </c>
      <c r="G1101" s="5"/>
      <c r="H1101" s="6" t="str">
        <f>IFERROR(__xludf.DUMMYFUNCTION("""COMPUTED_VALUE"""),"https://www.instagram.com/heyatoljavadofficial/")</f>
        <v>https://www.instagram.com/heyatoljavadofficial/</v>
      </c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</row>
    <row r="1102">
      <c r="A1102" s="5"/>
      <c r="B1102" s="5" t="str">
        <f>IFERROR(__xludf.DUMMYFUNCTION("""COMPUTED_VALUE"""),"هیأت")</f>
        <v>هیأت</v>
      </c>
      <c r="C1102" s="5" t="str">
        <f>IFERROR(__xludf.DUMMYFUNCTION("""COMPUTED_VALUE"""),"آستان مقدس قاسم بن الحسن")</f>
        <v>آستان مقدس قاسم بن الحسن</v>
      </c>
      <c r="D1102" s="5" t="str">
        <f>IFERROR(__xludf.DUMMYFUNCTION("""COMPUTED_VALUE"""),"تهران")</f>
        <v>تهران</v>
      </c>
      <c r="E1102" s="5"/>
      <c r="F1102" s="5" t="str">
        <f>IFERROR(__xludf.DUMMYFUNCTION("""COMPUTED_VALUE"""),"شمیران")</f>
        <v>شمیران</v>
      </c>
      <c r="G1102" s="5"/>
      <c r="H1102" s="6" t="str">
        <f>IFERROR(__xludf.DUMMYFUNCTION("""COMPUTED_VALUE"""),"https://www.instagram.com/imamzade_ghasem/")</f>
        <v>https://www.instagram.com/imamzade_ghasem/</v>
      </c>
      <c r="I1102" s="5"/>
      <c r="J1102" s="5"/>
      <c r="K1102" s="5"/>
      <c r="L1102" s="6" t="str">
        <f>IFERROR(__xludf.DUMMYFUNCTION("""COMPUTED_VALUE"""),"https://ahlamenalasal.com/")</f>
        <v>https://ahlamenalasal.com/</v>
      </c>
      <c r="M1102" s="5"/>
      <c r="N1102" s="5"/>
      <c r="O1102" s="5"/>
      <c r="P1102" s="5"/>
      <c r="Q1102" s="5"/>
      <c r="R1102" s="5"/>
      <c r="S1102" s="5"/>
    </row>
    <row r="1103">
      <c r="A1103" s="5"/>
      <c r="B1103" s="5" t="str">
        <f>IFERROR(__xludf.DUMMYFUNCTION("""COMPUTED_VALUE"""),"هیأت")</f>
        <v>هیأت</v>
      </c>
      <c r="C1103" s="5" t="str">
        <f>IFERROR(__xludf.DUMMYFUNCTION("""COMPUTED_VALUE"""),"خدام المهدی")</f>
        <v>خدام المهدی</v>
      </c>
      <c r="D1103" s="5" t="str">
        <f>IFERROR(__xludf.DUMMYFUNCTION("""COMPUTED_VALUE"""),"تهران")</f>
        <v>تهران</v>
      </c>
      <c r="E1103" s="5"/>
      <c r="F1103" s="5" t="str">
        <f>IFERROR(__xludf.DUMMYFUNCTION("""COMPUTED_VALUE"""),"شهر ری")</f>
        <v>شهر ری</v>
      </c>
      <c r="G1103" s="5"/>
      <c r="H1103" s="6" t="str">
        <f>IFERROR(__xludf.DUMMYFUNCTION("""COMPUTED_VALUE"""),"https://www.instagram.com/khoddam_59/")</f>
        <v>https://www.instagram.com/khoddam_59/</v>
      </c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</row>
    <row r="1104">
      <c r="A1104" s="5"/>
      <c r="B1104" s="5" t="str">
        <f>IFERROR(__xludf.DUMMYFUNCTION("""COMPUTED_VALUE"""),"هیأت")</f>
        <v>هیأت</v>
      </c>
      <c r="C1104" s="5" t="str">
        <f>IFERROR(__xludf.DUMMYFUNCTION("""COMPUTED_VALUE"""),"زوار البقیع")</f>
        <v>زوار البقیع</v>
      </c>
      <c r="D1104" s="5" t="str">
        <f>IFERROR(__xludf.DUMMYFUNCTION("""COMPUTED_VALUE"""),"تهران")</f>
        <v>تهران</v>
      </c>
      <c r="E1104" s="5"/>
      <c r="F1104" s="5"/>
      <c r="G1104" s="5"/>
      <c r="H1104" s="6" t="str">
        <f>IFERROR(__xludf.DUMMYFUNCTION("""COMPUTED_VALUE"""),"https://www.instagram.com/mahfel_zavaro_al_baghie/")</f>
        <v>https://www.instagram.com/mahfel_zavaro_al_baghie/</v>
      </c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</row>
    <row r="1105">
      <c r="A1105" s="5"/>
      <c r="B1105" s="5" t="str">
        <f>IFERROR(__xludf.DUMMYFUNCTION("""COMPUTED_VALUE"""),"هیأت")</f>
        <v>هیأت</v>
      </c>
      <c r="C1105" s="5" t="str">
        <f>IFERROR(__xludf.DUMMYFUNCTION("""COMPUTED_VALUE"""),"مکتب المهدی")</f>
        <v>مکتب المهدی</v>
      </c>
      <c r="D1105" s="5" t="str">
        <f>IFERROR(__xludf.DUMMYFUNCTION("""COMPUTED_VALUE"""),"تهران")</f>
        <v>تهران</v>
      </c>
      <c r="E1105" s="5"/>
      <c r="F1105" s="5" t="str">
        <f>IFERROR(__xludf.DUMMYFUNCTION("""COMPUTED_VALUE"""),"نازی آباد")</f>
        <v>نازی آباد</v>
      </c>
      <c r="G1105" s="5"/>
      <c r="H1105" s="6" t="str">
        <f>IFERROR(__xludf.DUMMYFUNCTION("""COMPUTED_VALUE"""),"https://www.instagram.com/maktabalmahdi313/")</f>
        <v>https://www.instagram.com/maktabalmahdi313/</v>
      </c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</row>
    <row r="1106">
      <c r="A1106" s="5"/>
      <c r="B1106" s="5" t="str">
        <f>IFERROR(__xludf.DUMMYFUNCTION("""COMPUTED_VALUE"""),"هیأت")</f>
        <v>هیأت</v>
      </c>
      <c r="C1106" s="5" t="str">
        <f>IFERROR(__xludf.DUMMYFUNCTION("""COMPUTED_VALUE"""),"مکتب المهدی")</f>
        <v>مکتب المهدی</v>
      </c>
      <c r="D1106" s="5" t="str">
        <f>IFERROR(__xludf.DUMMYFUNCTION("""COMPUTED_VALUE"""),"تهران")</f>
        <v>تهران</v>
      </c>
      <c r="E1106" s="5"/>
      <c r="F1106" s="5" t="str">
        <f>IFERROR(__xludf.DUMMYFUNCTION("""COMPUTED_VALUE"""),"میدان شهدا")</f>
        <v>میدان شهدا</v>
      </c>
      <c r="G1106" s="5"/>
      <c r="H1106" s="6" t="str">
        <f>IFERROR(__xludf.DUMMYFUNCTION("""COMPUTED_VALUE"""),"https://www.instagram.com/maktabolmahdi.aj/")</f>
        <v>https://www.instagram.com/maktabolmahdi.aj/</v>
      </c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</row>
    <row r="1107">
      <c r="A1107" s="5"/>
      <c r="B1107" s="5" t="str">
        <f>IFERROR(__xludf.DUMMYFUNCTION("""COMPUTED_VALUE"""),"هیأت")</f>
        <v>هیأت</v>
      </c>
      <c r="C1107" s="5" t="str">
        <f>IFERROR(__xludf.DUMMYFUNCTION("""COMPUTED_VALUE"""),"مسجد صفا")</f>
        <v>مسجد صفا</v>
      </c>
      <c r="D1107" s="5" t="str">
        <f>IFERROR(__xludf.DUMMYFUNCTION("""COMPUTED_VALUE"""),"تهران")</f>
        <v>تهران</v>
      </c>
      <c r="E1107" s="5"/>
      <c r="F1107" s="5" t="str">
        <f>IFERROR(__xludf.DUMMYFUNCTION("""COMPUTED_VALUE"""),"میدان امام حسین")</f>
        <v>میدان امام حسین</v>
      </c>
      <c r="G1107" s="5"/>
      <c r="H1107" s="6" t="str">
        <f>IFERROR(__xludf.DUMMYFUNCTION("""COMPUTED_VALUE"""),"https://www.instagram.com/masjedsafa_com/")</f>
        <v>https://www.instagram.com/masjedsafa_com/</v>
      </c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</row>
    <row r="1108">
      <c r="A1108" s="5"/>
      <c r="B1108" s="5" t="str">
        <f>IFERROR(__xludf.DUMMYFUNCTION("""COMPUTED_VALUE"""),"هیأت")</f>
        <v>هیأت</v>
      </c>
      <c r="C1108" s="5" t="str">
        <f>IFERROR(__xludf.DUMMYFUNCTION("""COMPUTED_VALUE"""),"ماتمکده حضرت زینب")</f>
        <v>ماتمکده حضرت زینب</v>
      </c>
      <c r="D1108" s="5" t="str">
        <f>IFERROR(__xludf.DUMMYFUNCTION("""COMPUTED_VALUE"""),"تهران")</f>
        <v>تهران</v>
      </c>
      <c r="E1108" s="5"/>
      <c r="F1108" s="5" t="str">
        <f>IFERROR(__xludf.DUMMYFUNCTION("""COMPUTED_VALUE"""),"خیابان وحدت اسلامی")</f>
        <v>خیابان وحدت اسلامی</v>
      </c>
      <c r="G1108" s="5"/>
      <c r="H1108" s="6" t="str">
        <f>IFERROR(__xludf.DUMMYFUNCTION("""COMPUTED_VALUE"""),"https://www.instagram.com/matamkadehhazratzeynab/")</f>
        <v>https://www.instagram.com/matamkadehhazratzeynab/</v>
      </c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</row>
    <row r="1109">
      <c r="A1109" s="5"/>
      <c r="B1109" s="5" t="str">
        <f>IFERROR(__xludf.DUMMYFUNCTION("""COMPUTED_VALUE"""),"هیأت دانشجویی")</f>
        <v>هیأت دانشجویی</v>
      </c>
      <c r="C1109" s="5" t="str">
        <f>IFERROR(__xludf.DUMMYFUNCTION("""COMPUTED_VALUE"""),"مکتب الشهدا")</f>
        <v>مکتب الشهدا</v>
      </c>
      <c r="D1109" s="5" t="str">
        <f>IFERROR(__xludf.DUMMYFUNCTION("""COMPUTED_VALUE"""),"تهران")</f>
        <v>تهران</v>
      </c>
      <c r="E1109" s="5"/>
      <c r="F1109" s="5" t="str">
        <f>IFERROR(__xludf.DUMMYFUNCTION("""COMPUTED_VALUE"""),"دانشگاه علوم پزشکی شهید بهشتی")</f>
        <v>دانشگاه علوم پزشکی شهید بهشتی</v>
      </c>
      <c r="G1109" s="5"/>
      <c r="H1109" s="6" t="str">
        <f>IFERROR(__xludf.DUMMYFUNCTION("""COMPUTED_VALUE"""),"https://www.instagram.com/mktab.shohada/")</f>
        <v>https://www.instagram.com/mktab.shohada/</v>
      </c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</row>
    <row r="1110">
      <c r="A1110" s="5"/>
      <c r="B1110" s="5" t="str">
        <f>IFERROR(__xludf.DUMMYFUNCTION("""COMPUTED_VALUE"""),"هیأت")</f>
        <v>هیأت</v>
      </c>
      <c r="C1110" s="5" t="str">
        <f>IFERROR(__xludf.DUMMYFUNCTION("""COMPUTED_VALUE"""),"موج الحسین")</f>
        <v>موج الحسین</v>
      </c>
      <c r="D1110" s="5" t="str">
        <f>IFERROR(__xludf.DUMMYFUNCTION("""COMPUTED_VALUE"""),"تهران")</f>
        <v>تهران</v>
      </c>
      <c r="E1110" s="5"/>
      <c r="F1110" s="5"/>
      <c r="G1110" s="5"/>
      <c r="H1110" s="6" t="str">
        <f>IFERROR(__xludf.DUMMYFUNCTION("""COMPUTED_VALUE"""),"https://www.instagram.com/mojolhosein/")</f>
        <v>https://www.instagram.com/mojolhosein/</v>
      </c>
      <c r="I1110" s="5"/>
      <c r="J1110" s="5"/>
      <c r="K1110" s="5"/>
      <c r="L1110" s="5"/>
      <c r="M1110" s="5"/>
      <c r="N1110" s="5" t="str">
        <f>IFERROR(__xludf.DUMMYFUNCTION("""COMPUTED_VALUE"""),"*")</f>
        <v>*</v>
      </c>
      <c r="O1110" s="5"/>
      <c r="P1110" s="5"/>
      <c r="Q1110" s="5"/>
      <c r="R1110" s="5"/>
      <c r="S1110" s="5"/>
    </row>
    <row r="1111">
      <c r="A1111" s="5"/>
      <c r="B1111" s="5" t="str">
        <f>IFERROR(__xludf.DUMMYFUNCTION("""COMPUTED_VALUE"""),"هیأت")</f>
        <v>هیأت</v>
      </c>
      <c r="C1111" s="5" t="str">
        <f>IFERROR(__xludf.DUMMYFUNCTION("""COMPUTED_VALUE"""),"موکب حضرت محسن بن علی")</f>
        <v>موکب حضرت محسن بن علی</v>
      </c>
      <c r="D1111" s="5" t="str">
        <f>IFERROR(__xludf.DUMMYFUNCTION("""COMPUTED_VALUE"""),"تهران")</f>
        <v>تهران</v>
      </c>
      <c r="E1111" s="5"/>
      <c r="F1111" s="5" t="str">
        <f>IFERROR(__xludf.DUMMYFUNCTION("""COMPUTED_VALUE"""),"شهرقدس")</f>
        <v>شهرقدس</v>
      </c>
      <c r="G1111" s="5"/>
      <c r="H1111" s="6" t="str">
        <f>IFERROR(__xludf.DUMMYFUNCTION("""COMPUTED_VALUE"""),"https://www.instagram.com/mokeb_hazrat_mohsen_ebn_ali/")</f>
        <v>https://www.instagram.com/mokeb_hazrat_mohsen_ebn_ali/</v>
      </c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</row>
    <row r="1112">
      <c r="A1112" s="5"/>
      <c r="B1112" s="5" t="str">
        <f>IFERROR(__xludf.DUMMYFUNCTION("""COMPUTED_VALUE"""),"هیأت")</f>
        <v>هیأت</v>
      </c>
      <c r="C1112" s="5" t="str">
        <f>IFERROR(__xludf.DUMMYFUNCTION("""COMPUTED_VALUE"""),"نورالائمه جانبازان")</f>
        <v>نورالائمه جانبازان</v>
      </c>
      <c r="D1112" s="5" t="str">
        <f>IFERROR(__xludf.DUMMYFUNCTION("""COMPUTED_VALUE"""),"تهران")</f>
        <v>تهران</v>
      </c>
      <c r="E1112" s="5"/>
      <c r="F1112" s="5"/>
      <c r="G1112" s="5"/>
      <c r="H1112" s="6" t="str">
        <f>IFERROR(__xludf.DUMMYFUNCTION("""COMPUTED_VALUE"""),"https://www.instagram.com/norollaemmeh.135/")</f>
        <v>https://www.instagram.com/norollaemmeh.135/</v>
      </c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</row>
    <row r="1113">
      <c r="A1113" s="5"/>
      <c r="B1113" s="5" t="str">
        <f>IFERROR(__xludf.DUMMYFUNCTION("""COMPUTED_VALUE"""),"هیأت")</f>
        <v>هیأت</v>
      </c>
      <c r="C1113" s="5" t="str">
        <f>IFERROR(__xludf.DUMMYFUNCTION("""COMPUTED_VALUE"""),"ام البکاء طهران")</f>
        <v>ام البکاء طهران</v>
      </c>
      <c r="D1113" s="5" t="str">
        <f>IFERROR(__xludf.DUMMYFUNCTION("""COMPUTED_VALUE"""),"تهران")</f>
        <v>تهران</v>
      </c>
      <c r="E1113" s="5"/>
      <c r="F1113" s="5" t="str">
        <f>IFERROR(__xludf.DUMMYFUNCTION("""COMPUTED_VALUE"""),"خیابان مرتضوی")</f>
        <v>خیابان مرتضوی</v>
      </c>
      <c r="G1113" s="5"/>
      <c r="H1113" s="6" t="str">
        <f>IFERROR(__xludf.DUMMYFUNCTION("""COMPUTED_VALUE"""),"https://www.instagram.com/omolbokae/")</f>
        <v>https://www.instagram.com/omolbokae/</v>
      </c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</row>
    <row r="1114">
      <c r="A1114" s="5"/>
      <c r="B1114" s="5" t="str">
        <f>IFERROR(__xludf.DUMMYFUNCTION("""COMPUTED_VALUE"""),"هیأت")</f>
        <v>هیأت</v>
      </c>
      <c r="C1114" s="5" t="str">
        <f>IFERROR(__xludf.DUMMYFUNCTION("""COMPUTED_VALUE"""),"عشاق العباس")</f>
        <v>عشاق العباس</v>
      </c>
      <c r="D1114" s="5" t="str">
        <f>IFERROR(__xludf.DUMMYFUNCTION("""COMPUTED_VALUE"""),"تهران")</f>
        <v>تهران</v>
      </c>
      <c r="E1114" s="5"/>
      <c r="F1114" s="5"/>
      <c r="G1114" s="5"/>
      <c r="H1114" s="6" t="str">
        <f>IFERROR(__xludf.DUMMYFUNCTION("""COMPUTED_VALUE"""),"https://www.instagram.com/oshagholabbas/following/")</f>
        <v>https://www.instagram.com/oshagholabbas/following/</v>
      </c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</row>
    <row r="1115">
      <c r="A1115" s="5"/>
      <c r="B1115" s="5" t="str">
        <f>IFERROR(__xludf.DUMMYFUNCTION("""COMPUTED_VALUE"""),"هیأت")</f>
        <v>هیأت</v>
      </c>
      <c r="C1115" s="5" t="str">
        <f>IFERROR(__xludf.DUMMYFUNCTION("""COMPUTED_VALUE"""),"روضه الحسنین")</f>
        <v>روضه الحسنین</v>
      </c>
      <c r="D1115" s="5" t="str">
        <f>IFERROR(__xludf.DUMMYFUNCTION("""COMPUTED_VALUE"""),"تهران")</f>
        <v>تهران</v>
      </c>
      <c r="E1115" s="5"/>
      <c r="F1115" s="5"/>
      <c r="G1115" s="5"/>
      <c r="H1115" s="6" t="str">
        <f>IFERROR(__xludf.DUMMYFUNCTION("""COMPUTED_VALUE"""),"https://www.instagram.com/rozatolhasanein/")</f>
        <v>https://www.instagram.com/rozatolhasanein/</v>
      </c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</row>
    <row r="1116">
      <c r="A1116" s="5"/>
      <c r="B1116" s="5" t="str">
        <f>IFERROR(__xludf.DUMMYFUNCTION("""COMPUTED_VALUE"""),"هیأت")</f>
        <v>هیأت</v>
      </c>
      <c r="C1116" s="5" t="str">
        <f>IFERROR(__xludf.DUMMYFUNCTION("""COMPUTED_VALUE"""),"روضه سیدة الحلما")</f>
        <v>روضه سیدة الحلما</v>
      </c>
      <c r="D1116" s="5" t="str">
        <f>IFERROR(__xludf.DUMMYFUNCTION("""COMPUTED_VALUE"""),"تهران")</f>
        <v>تهران</v>
      </c>
      <c r="E1116" s="5"/>
      <c r="F1116" s="5" t="str">
        <f>IFERROR(__xludf.DUMMYFUNCTION("""COMPUTED_VALUE"""),"تهرانپارس")</f>
        <v>تهرانپارس</v>
      </c>
      <c r="G1116" s="5"/>
      <c r="H1116" s="6" t="str">
        <f>IFERROR(__xludf.DUMMYFUNCTION("""COMPUTED_VALUE"""),"https://www.instagram.com/sayedatolhelma/")</f>
        <v>https://www.instagram.com/sayedatolhelma/</v>
      </c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</row>
    <row r="1117">
      <c r="A1117" s="5"/>
      <c r="B1117" s="5" t="str">
        <f>IFERROR(__xludf.DUMMYFUNCTION("""COMPUTED_VALUE"""),"هیأت")</f>
        <v>هیأت</v>
      </c>
      <c r="C1117" s="5" t="str">
        <f>IFERROR(__xludf.DUMMYFUNCTION("""COMPUTED_VALUE"""),"روضه شهزادگان کربلا")</f>
        <v>روضه شهزادگان کربلا</v>
      </c>
      <c r="D1117" s="5" t="str">
        <f>IFERROR(__xludf.DUMMYFUNCTION("""COMPUTED_VALUE"""),"تهران")</f>
        <v>تهران</v>
      </c>
      <c r="E1117" s="5"/>
      <c r="F1117" s="5"/>
      <c r="G1117" s="5"/>
      <c r="H1117" s="6" t="str">
        <f>IFERROR(__xludf.DUMMYFUNCTION("""COMPUTED_VALUE"""),"https://www.instagram.com/shahzadegan_karbala/")</f>
        <v>https://www.instagram.com/shahzadegan_karbala/</v>
      </c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</row>
    <row r="1118">
      <c r="A1118" s="5"/>
      <c r="B1118" s="5" t="str">
        <f>IFERROR(__xludf.DUMMYFUNCTION("""COMPUTED_VALUE"""),"هیأت")</f>
        <v>هیأت</v>
      </c>
      <c r="C1118" s="5" t="str">
        <f>IFERROR(__xludf.DUMMYFUNCTION("""COMPUTED_VALUE"""),"شیفتگان حضرت ابالفضل")</f>
        <v>شیفتگان حضرت ابالفضل</v>
      </c>
      <c r="D1118" s="5" t="str">
        <f>IFERROR(__xludf.DUMMYFUNCTION("""COMPUTED_VALUE"""),"تهران")</f>
        <v>تهران</v>
      </c>
      <c r="E1118" s="5"/>
      <c r="F1118" s="5" t="str">
        <f>IFERROR(__xludf.DUMMYFUNCTION("""COMPUTED_VALUE"""),"خیابان پلیس")</f>
        <v>خیابان پلیس</v>
      </c>
      <c r="G1118" s="5"/>
      <c r="H1118" s="6" t="str">
        <f>IFERROR(__xludf.DUMMYFUNCTION("""COMPUTED_VALUE"""),"https://www.instagram.com/shiftegaan.133/")</f>
        <v>https://www.instagram.com/shiftegaan.133/</v>
      </c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</row>
    <row r="1119">
      <c r="A1119" s="5"/>
      <c r="B1119" s="5" t="str">
        <f>IFERROR(__xludf.DUMMYFUNCTION("""COMPUTED_VALUE"""),"هیأت")</f>
        <v>هیأت</v>
      </c>
      <c r="C1119" s="5" t="str">
        <f>IFERROR(__xludf.DUMMYFUNCTION("""COMPUTED_VALUE"""),"تگیه گاه مرتضی آقاعلی")</f>
        <v>تگیه گاه مرتضی آقاعلی</v>
      </c>
      <c r="D1119" s="5" t="str">
        <f>IFERROR(__xludf.DUMMYFUNCTION("""COMPUTED_VALUE"""),"تهران")</f>
        <v>تهران</v>
      </c>
      <c r="E1119" s="5"/>
      <c r="F1119" s="5"/>
      <c r="G1119" s="5"/>
      <c r="H1119" s="6" t="str">
        <f>IFERROR(__xludf.DUMMYFUNCTION("""COMPUTED_VALUE"""),"https://www.instagram.com/tekiyegah_ir/")</f>
        <v>https://www.instagram.com/tekiyegah_ir/</v>
      </c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</row>
    <row r="1120">
      <c r="A1120" s="5"/>
      <c r="B1120" s="5" t="str">
        <f>IFERROR(__xludf.DUMMYFUNCTION("""COMPUTED_VALUE"""),"هیأت")</f>
        <v>هیأت</v>
      </c>
      <c r="C1120" s="5" t="str">
        <f>IFERROR(__xludf.DUMMYFUNCTION("""COMPUTED_VALUE"""),"تل زینبیه")</f>
        <v>تل زینبیه</v>
      </c>
      <c r="D1120" s="5" t="str">
        <f>IFERROR(__xludf.DUMMYFUNCTION("""COMPUTED_VALUE"""),"تهران")</f>
        <v>تهران</v>
      </c>
      <c r="E1120" s="5"/>
      <c r="F1120" s="5"/>
      <c r="G1120" s="5"/>
      <c r="H1120" s="6" t="str">
        <f>IFERROR(__xludf.DUMMYFUNCTION("""COMPUTED_VALUE"""),"https://www.instagram.com/zeynabiyon110/")</f>
        <v>https://www.instagram.com/zeynabiyon110/</v>
      </c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</row>
    <row r="1121">
      <c r="A1121" s="5"/>
      <c r="B1121" s="5" t="str">
        <f>IFERROR(__xludf.DUMMYFUNCTION("""COMPUTED_VALUE"""),"هیأت")</f>
        <v>هیأت</v>
      </c>
      <c r="C1121" s="5" t="str">
        <f>IFERROR(__xludf.DUMMYFUNCTION("""COMPUTED_VALUE"""),"محفل زوارالحسین")</f>
        <v>محفل زوارالحسین</v>
      </c>
      <c r="D1121" s="5" t="str">
        <f>IFERROR(__xludf.DUMMYFUNCTION("""COMPUTED_VALUE"""),"تهران")</f>
        <v>تهران</v>
      </c>
      <c r="E1121" s="5"/>
      <c r="F1121" s="5" t="str">
        <f>IFERROR(__xludf.DUMMYFUNCTION("""COMPUTED_VALUE"""),"میدان خراسان ،خیابان خاوران،تقاطع اتوبان امام علی (ع)، مسجد سیدالشهدا(ع) ،")</f>
        <v>میدان خراسان ،خیابان خاوران،تقاطع اتوبان امام علی (ع)، مسجد سیدالشهدا(ع) ،</v>
      </c>
      <c r="G1121" s="5"/>
      <c r="H1121" s="6" t="str">
        <f>IFERROR(__xludf.DUMMYFUNCTION("""COMPUTED_VALUE"""),"https://www.instagram.com/zovaralhosein/")</f>
        <v>https://www.instagram.com/zovaralhosein/</v>
      </c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</row>
    <row r="1122">
      <c r="A1122" s="5"/>
      <c r="B1122" s="5" t="str">
        <f>IFERROR(__xludf.DUMMYFUNCTION("""COMPUTED_VALUE"""),"هیأت")</f>
        <v>هیأت</v>
      </c>
      <c r="C1122" s="5" t="str">
        <f>IFERROR(__xludf.DUMMYFUNCTION("""COMPUTED_VALUE"""),"زوارالزهرا")</f>
        <v>زوارالزهرا</v>
      </c>
      <c r="D1122" s="5" t="str">
        <f>IFERROR(__xludf.DUMMYFUNCTION("""COMPUTED_VALUE"""),"تهران")</f>
        <v>تهران</v>
      </c>
      <c r="E1122" s="5"/>
      <c r="F1122" s="5"/>
      <c r="G1122" s="5"/>
      <c r="H1122" s="6" t="str">
        <f>IFERROR(__xludf.DUMMYFUNCTION("""COMPUTED_VALUE"""),"https://www.instagram.com/zovvaralzahra/")</f>
        <v>https://www.instagram.com/zovvaralzahra/</v>
      </c>
      <c r="I1122" s="5"/>
      <c r="J1122" s="5"/>
      <c r="K1122" s="5"/>
      <c r="L1122" s="6" t="str">
        <f>IFERROR(__xludf.DUMMYFUNCTION("""COMPUTED_VALUE"""),"https://zovvar.com/")</f>
        <v>https://zovvar.com/</v>
      </c>
      <c r="M1122" s="5"/>
      <c r="N1122" s="5"/>
      <c r="O1122" s="5"/>
      <c r="P1122" s="5"/>
      <c r="Q1122" s="5"/>
      <c r="R1122" s="5"/>
      <c r="S1122" s="5"/>
    </row>
    <row r="1123">
      <c r="A1123" s="5"/>
      <c r="B1123" s="5" t="str">
        <f>IFERROR(__xludf.DUMMYFUNCTION("""COMPUTED_VALUE"""),"رسانه ای")</f>
        <v>رسانه ای</v>
      </c>
      <c r="C1123" s="5" t="str">
        <f>IFERROR(__xludf.DUMMYFUNCTION("""COMPUTED_VALUE"""),"یاس کبود")</f>
        <v>یاس کبود</v>
      </c>
      <c r="D1123" s="5" t="str">
        <f>IFERROR(__xludf.DUMMYFUNCTION("""COMPUTED_VALUE"""),"تهران")</f>
        <v>تهران</v>
      </c>
      <c r="E1123" s="5"/>
      <c r="F1123" s="5"/>
      <c r="G1123" s="5"/>
      <c r="H1123" s="6" t="str">
        <f>IFERROR(__xludf.DUMMYFUNCTION("""COMPUTED_VALUE"""),"https://www.instagram.com/yasgrafic/")</f>
        <v>https://www.instagram.com/yasgrafic/</v>
      </c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</row>
    <row r="1124">
      <c r="A1124" s="5"/>
      <c r="B1124" s="5" t="str">
        <f>IFERROR(__xludf.DUMMYFUNCTION("""COMPUTED_VALUE"""),"مداح")</f>
        <v>مداح</v>
      </c>
      <c r="C1124" s="5" t="str">
        <f>IFERROR(__xludf.DUMMYFUNCTION("""COMPUTED_VALUE"""),"موسی رضایی")</f>
        <v>موسی رضایی</v>
      </c>
      <c r="D1124" s="5" t="str">
        <f>IFERROR(__xludf.DUMMYFUNCTION("""COMPUTED_VALUE"""),"تهران")</f>
        <v>تهران</v>
      </c>
      <c r="E1124" s="5"/>
      <c r="F1124" s="5"/>
      <c r="G1124" s="5"/>
      <c r="H1124" s="6" t="str">
        <f>IFERROR(__xludf.DUMMYFUNCTION("""COMPUTED_VALUE"""),"https://www.instagram.com/moosarezayi_officiall/")</f>
        <v>https://www.instagram.com/moosarezayi_officiall/</v>
      </c>
      <c r="I1124" s="6" t="str">
        <f>IFERROR(__xludf.DUMMYFUNCTION("""COMPUTED_VALUE"""),"t.me/moosa_rezayi")</f>
        <v>t.me/moosa_rezayi</v>
      </c>
      <c r="J1124" s="5"/>
      <c r="K1124" s="5"/>
      <c r="L1124" s="5"/>
      <c r="M1124" s="5"/>
      <c r="N1124" s="5"/>
      <c r="O1124" s="5"/>
      <c r="P1124" s="5"/>
      <c r="Q1124" s="5"/>
      <c r="R1124" s="5"/>
      <c r="S1124" s="5"/>
    </row>
    <row r="1125">
      <c r="A1125" s="5"/>
      <c r="B1125" s="5" t="str">
        <f>IFERROR(__xludf.DUMMYFUNCTION("""COMPUTED_VALUE"""),"مداح")</f>
        <v>مداح</v>
      </c>
      <c r="C1125" s="5" t="str">
        <f>IFERROR(__xludf.DUMMYFUNCTION("""COMPUTED_VALUE"""),"وحید عظیم پور")</f>
        <v>وحید عظیم پور</v>
      </c>
      <c r="D1125" s="5" t="str">
        <f>IFERROR(__xludf.DUMMYFUNCTION("""COMPUTED_VALUE"""),"تهران")</f>
        <v>تهران</v>
      </c>
      <c r="E1125" s="5"/>
      <c r="F1125" s="5"/>
      <c r="G1125" s="5"/>
      <c r="H1125" s="6" t="str">
        <f>IFERROR(__xludf.DUMMYFUNCTION("""COMPUTED_VALUE"""),"https://www.instagram.com/vahidazimpor/")</f>
        <v>https://www.instagram.com/vahidazimpor/</v>
      </c>
      <c r="I1125" s="6" t="str">
        <f>IFERROR(__xludf.DUMMYFUNCTION("""COMPUTED_VALUE"""),"https://t.me/bargah110")</f>
        <v>https://t.me/bargah110</v>
      </c>
      <c r="J1125" s="5"/>
      <c r="K1125" s="5"/>
      <c r="L1125" s="5"/>
      <c r="M1125" s="5"/>
      <c r="N1125" s="5"/>
      <c r="O1125" s="5"/>
      <c r="P1125" s="5"/>
      <c r="Q1125" s="5"/>
      <c r="R1125" s="5"/>
      <c r="S1125" s="5"/>
    </row>
    <row r="1126">
      <c r="A1126" s="5"/>
      <c r="B1126" s="5" t="str">
        <f>IFERROR(__xludf.DUMMYFUNCTION("""COMPUTED_VALUE"""),"مداح")</f>
        <v>مداح</v>
      </c>
      <c r="C1126" s="5" t="str">
        <f>IFERROR(__xludf.DUMMYFUNCTION("""COMPUTED_VALUE"""),"محسن فرهنگیان")</f>
        <v>محسن فرهنگیان</v>
      </c>
      <c r="D1126" s="5" t="str">
        <f>IFERROR(__xludf.DUMMYFUNCTION("""COMPUTED_VALUE"""),"تهران")</f>
        <v>تهران</v>
      </c>
      <c r="E1126" s="5"/>
      <c r="F1126" s="5"/>
      <c r="G1126" s="5"/>
      <c r="H1126" s="6" t="str">
        <f>IFERROR(__xludf.DUMMYFUNCTION("""COMPUTED_VALUE"""),"https://www.instagram.com/saabaat.ir/")</f>
        <v>https://www.instagram.com/saabaat.ir/</v>
      </c>
      <c r="I1126" s="6" t="str">
        <f>IFERROR(__xludf.DUMMYFUNCTION("""COMPUTED_VALUE"""),"https://t.me/mohsenfarhangiyan118")</f>
        <v>https://t.me/mohsenfarhangiyan118</v>
      </c>
      <c r="J1126" s="6" t="str">
        <f>IFERROR(__xludf.DUMMYFUNCTION("""COMPUTED_VALUE"""),"https://eitaa.com/mohsenfarhangiyan118")</f>
        <v>https://eitaa.com/mohsenfarhangiyan118</v>
      </c>
      <c r="K1126" s="5"/>
      <c r="L1126" s="5"/>
      <c r="M1126" s="5"/>
      <c r="N1126" s="5"/>
      <c r="O1126" s="5"/>
      <c r="P1126" s="5"/>
      <c r="Q1126" s="5"/>
      <c r="R1126" s="5"/>
      <c r="S1126" s="5"/>
    </row>
    <row r="1127">
      <c r="A1127" s="5"/>
      <c r="B1127" s="5" t="str">
        <f>IFERROR(__xludf.DUMMYFUNCTION("""COMPUTED_VALUE"""),"حسینیه")</f>
        <v>حسینیه</v>
      </c>
      <c r="C1127" s="5" t="str">
        <f>IFERROR(__xludf.DUMMYFUNCTION("""COMPUTED_VALUE"""),"حسینیه شهدا مسجد جامع الزهرا")</f>
        <v>حسینیه شهدا مسجد جامع الزهرا</v>
      </c>
      <c r="D1127" s="5" t="str">
        <f>IFERROR(__xludf.DUMMYFUNCTION("""COMPUTED_VALUE"""),"تهران")</f>
        <v>تهران</v>
      </c>
      <c r="E1127" s="5"/>
      <c r="F1127" s="5" t="str">
        <f>IFERROR(__xludf.DUMMYFUNCTION("""COMPUTED_VALUE"""),"حکیمیه،بلوار شهیدعبدالرضا ابتدای خیابان معراج")</f>
        <v>حکیمیه،بلوار شهیدعبدالرضا ابتدای خیابان معراج</v>
      </c>
      <c r="G1127" s="5"/>
      <c r="H1127" s="6" t="str">
        <f>IFERROR(__xludf.DUMMYFUNCTION("""COMPUTED_VALUE"""),"https://www.instagram.com/hoseinieshohada.ir/")</f>
        <v>https://www.instagram.com/hoseinieshohada.ir/</v>
      </c>
      <c r="I1127" s="6" t="str">
        <f>IFERROR(__xludf.DUMMYFUNCTION("""COMPUTED_VALUE"""),"https://t.me/hoseinieshohada_530")</f>
        <v>https://t.me/hoseinieshohada_530</v>
      </c>
      <c r="J1127" s="6" t="str">
        <f>IFERROR(__xludf.DUMMYFUNCTION("""COMPUTED_VALUE"""),"https://eitaa.com/hoseinieshohada")</f>
        <v>https://eitaa.com/hoseinieshohada</v>
      </c>
      <c r="K1127" s="5"/>
      <c r="L1127" s="5"/>
      <c r="M1127" s="5"/>
      <c r="N1127" s="5"/>
      <c r="O1127" s="5"/>
      <c r="P1127" s="5"/>
      <c r="Q1127" s="5"/>
      <c r="R1127" s="5"/>
      <c r="S1127" s="5"/>
    </row>
    <row r="1128">
      <c r="A1128" s="5"/>
      <c r="B1128" s="5" t="str">
        <f>IFERROR(__xludf.DUMMYFUNCTION("""COMPUTED_VALUE"""),"هیأت")</f>
        <v>هیأت</v>
      </c>
      <c r="C1128" s="5" t="str">
        <f>IFERROR(__xludf.DUMMYFUNCTION("""COMPUTED_VALUE"""),"زوارالحسن علیه السلام")</f>
        <v>زوارالحسن علیه السلام</v>
      </c>
      <c r="D1128" s="5" t="str">
        <f>IFERROR(__xludf.DUMMYFUNCTION("""COMPUTED_VALUE"""),"تهران")</f>
        <v>تهران</v>
      </c>
      <c r="E1128" s="5"/>
      <c r="F1128" s="5" t="str">
        <f>IFERROR(__xludf.DUMMYFUNCTION("""COMPUTED_VALUE"""),"آستان مقدس امامزاده هادی(ع)")</f>
        <v>آستان مقدس امامزاده هادی(ع)</v>
      </c>
      <c r="G1128" s="5"/>
      <c r="H1128" s="6" t="str">
        <f>IFERROR(__xludf.DUMMYFUNCTION("""COMPUTED_VALUE"""),"https://www.instagram.com/zvaralhasan/")</f>
        <v>https://www.instagram.com/zvaralhasan/</v>
      </c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</row>
    <row r="1129">
      <c r="A1129" s="5"/>
      <c r="B1129" s="5" t="str">
        <f>IFERROR(__xludf.DUMMYFUNCTION("""COMPUTED_VALUE"""),"هیأت")</f>
        <v>هیأت</v>
      </c>
      <c r="C1129" s="5" t="str">
        <f>IFERROR(__xludf.DUMMYFUNCTION("""COMPUTED_VALUE"""),"نوکران‌اباالفضل‌علیه‌السلام")</f>
        <v>نوکران‌اباالفضل‌علیه‌السلام</v>
      </c>
      <c r="D1129" s="5" t="str">
        <f>IFERROR(__xludf.DUMMYFUNCTION("""COMPUTED_VALUE"""),"تهران")</f>
        <v>تهران</v>
      </c>
      <c r="E1129" s="5"/>
      <c r="F1129" s="5" t="str">
        <f>IFERROR(__xludf.DUMMYFUNCTION("""COMPUTED_VALUE"""),"لویزان")</f>
        <v>لویزان</v>
      </c>
      <c r="G1129" s="5"/>
      <c r="H1129" s="6" t="str">
        <f>IFERROR(__xludf.DUMMYFUNCTION("""COMPUTED_VALUE"""),"https://www.instagram.com/heyat_nokaran_abalfazl/")</f>
        <v>https://www.instagram.com/heyat_nokaran_abalfazl/</v>
      </c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</row>
    <row r="1130">
      <c r="A1130" s="5"/>
      <c r="B1130" s="5" t="str">
        <f>IFERROR(__xludf.DUMMYFUNCTION("""COMPUTED_VALUE"""),"هیأت")</f>
        <v>هیأت</v>
      </c>
      <c r="C1130" s="5" t="str">
        <f>IFERROR(__xludf.DUMMYFUNCTION("""COMPUTED_VALUE"""),"امین الزهرا(س)")</f>
        <v>امین الزهرا(س)</v>
      </c>
      <c r="D1130" s="5" t="str">
        <f>IFERROR(__xludf.DUMMYFUNCTION("""COMPUTED_VALUE"""),"تهران")</f>
        <v>تهران</v>
      </c>
      <c r="E1130" s="5"/>
      <c r="F1130" s="5" t="str">
        <f>IFERROR(__xludf.DUMMYFUNCTION("""COMPUTED_VALUE"""),"اسلامـــشــهرآستان امامزاده عقیل(ع)")</f>
        <v>اسلامـــشــهرآستان امامزاده عقیل(ع)</v>
      </c>
      <c r="G1130" s="5"/>
      <c r="H1130" s="6" t="str">
        <f>IFERROR(__xludf.DUMMYFUNCTION("""COMPUTED_VALUE"""),"https://www.instagram.com/aminozahra/")</f>
        <v>https://www.instagram.com/aminozahra/</v>
      </c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</row>
    <row r="1131">
      <c r="A1131" s="5"/>
      <c r="B1131" s="5" t="str">
        <f>IFERROR(__xludf.DUMMYFUNCTION("""COMPUTED_VALUE"""),"هیأت")</f>
        <v>هیأت</v>
      </c>
      <c r="C1131" s="5" t="str">
        <f>IFERROR(__xludf.DUMMYFUNCTION("""COMPUTED_VALUE"""),"عاشقان بقیع تهران")</f>
        <v>عاشقان بقیع تهران</v>
      </c>
      <c r="D1131" s="5" t="str">
        <f>IFERROR(__xludf.DUMMYFUNCTION("""COMPUTED_VALUE"""),"تهران")</f>
        <v>تهران</v>
      </c>
      <c r="E1131" s="5"/>
      <c r="F1131" s="5" t="str">
        <f>IFERROR(__xludf.DUMMYFUNCTION("""COMPUTED_VALUE"""),"میدان شهدا-خیابان مجاهدین اسلام-مسجد شفا یحیائیان")</f>
        <v>میدان شهدا-خیابان مجاهدین اسلام-مسجد شفا یحیائیان</v>
      </c>
      <c r="G1131" s="5"/>
      <c r="H1131" s="6" t="str">
        <f>IFERROR(__xludf.DUMMYFUNCTION("""COMPUTED_VALUE"""),"https://www.instagram.com/asheghanebaghi/")</f>
        <v>https://www.instagram.com/asheghanebaghi/</v>
      </c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</row>
    <row r="1132">
      <c r="A1132" s="5"/>
      <c r="B1132" s="5" t="str">
        <f>IFERROR(__xludf.DUMMYFUNCTION("""COMPUTED_VALUE"""),"هیأت")</f>
        <v>هیأت</v>
      </c>
      <c r="C1132" s="5" t="str">
        <f>IFERROR(__xludf.DUMMYFUNCTION("""COMPUTED_VALUE"""),"انصارالحسین(ع)")</f>
        <v>انصارالحسین(ع)</v>
      </c>
      <c r="D1132" s="5" t="str">
        <f>IFERROR(__xludf.DUMMYFUNCTION("""COMPUTED_VALUE"""),"تهران")</f>
        <v>تهران</v>
      </c>
      <c r="E1132" s="5"/>
      <c r="F1132" s="5" t="str">
        <f>IFERROR(__xludf.DUMMYFUNCTION("""COMPUTED_VALUE"""),"شهر قدس")</f>
        <v>شهر قدس</v>
      </c>
      <c r="G1132" s="5"/>
      <c r="H1132" s="6" t="str">
        <f>IFERROR(__xludf.DUMMYFUNCTION("""COMPUTED_VALUE"""),"https://www.instagram.com/ansaralhosein_qods/")</f>
        <v>https://www.instagram.com/ansaralhosein_qods/</v>
      </c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</row>
    <row r="1133">
      <c r="A1133" s="5"/>
      <c r="B1133" s="5" t="str">
        <f>IFERROR(__xludf.DUMMYFUNCTION("""COMPUTED_VALUE"""),"هیأت")</f>
        <v>هیأت</v>
      </c>
      <c r="C1133" s="5" t="str">
        <f>IFERROR(__xludf.DUMMYFUNCTION("""COMPUTED_VALUE"""),"احباب‌الحسن")</f>
        <v>احباب‌الحسن</v>
      </c>
      <c r="D1133" s="5" t="str">
        <f>IFERROR(__xludf.DUMMYFUNCTION("""COMPUTED_VALUE"""),"تهران")</f>
        <v>تهران</v>
      </c>
      <c r="E1133" s="5"/>
      <c r="F1133" s="5" t="str">
        <f>IFERROR(__xludf.DUMMYFUNCTION("""COMPUTED_VALUE"""),"شهر ری")</f>
        <v>شهر ری</v>
      </c>
      <c r="G1133" s="5"/>
      <c r="H1133" s="6" t="str">
        <f>IFERROR(__xludf.DUMMYFUNCTION("""COMPUTED_VALUE"""),"https://www.instagram.com/heyatahbabolhasan/")</f>
        <v>https://www.instagram.com/heyatahbabolhasan/</v>
      </c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</row>
    <row r="1134">
      <c r="A1134" s="5"/>
      <c r="B1134" s="5" t="str">
        <f>IFERROR(__xludf.DUMMYFUNCTION("""COMPUTED_VALUE"""),"هیأت")</f>
        <v>هیأت</v>
      </c>
      <c r="C1134" s="5" t="str">
        <f>IFERROR(__xludf.DUMMYFUNCTION("""COMPUTED_VALUE"""),"مادر آب حضرت زهرا")</f>
        <v>مادر آب حضرت زهرا</v>
      </c>
      <c r="D1134" s="5" t="str">
        <f>IFERROR(__xludf.DUMMYFUNCTION("""COMPUTED_VALUE"""),"تهران")</f>
        <v>تهران</v>
      </c>
      <c r="E1134" s="5"/>
      <c r="F1134" s="5" t="str">
        <f>IFERROR(__xludf.DUMMYFUNCTION("""COMPUTED_VALUE"""),"نارمک")</f>
        <v>نارمک</v>
      </c>
      <c r="G1134" s="5"/>
      <c r="H1134" s="6" t="str">
        <f>IFERROR(__xludf.DUMMYFUNCTION("""COMPUTED_VALUE"""),"https://www.instagram.com/hmadareab/")</f>
        <v>https://www.instagram.com/hmadareab/</v>
      </c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</row>
    <row r="1135">
      <c r="A1135" s="5"/>
      <c r="B1135" s="5" t="str">
        <f>IFERROR(__xludf.DUMMYFUNCTION("""COMPUTED_VALUE"""),"هیأت")</f>
        <v>هیأت</v>
      </c>
      <c r="C1135" s="5" t="str">
        <f>IFERROR(__xludf.DUMMYFUNCTION("""COMPUTED_VALUE"""),"رهروان ولایت شهرری")</f>
        <v>رهروان ولایت شهرری</v>
      </c>
      <c r="D1135" s="5" t="str">
        <f>IFERROR(__xludf.DUMMYFUNCTION("""COMPUTED_VALUE"""),"تهران")</f>
        <v>تهران</v>
      </c>
      <c r="E1135" s="5"/>
      <c r="F1135" s="5" t="str">
        <f>IFERROR(__xludf.DUMMYFUNCTION("""COMPUTED_VALUE"""),"شهر ری")</f>
        <v>شهر ری</v>
      </c>
      <c r="G1135" s="5"/>
      <c r="H1135" s="6" t="str">
        <f>IFERROR(__xludf.DUMMYFUNCTION("""COMPUTED_VALUE"""),"https://www.instagram.com/rahrovan_rey/")</f>
        <v>https://www.instagram.com/rahrovan_rey/</v>
      </c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</row>
    <row r="1136">
      <c r="A1136" s="5"/>
      <c r="B1136" s="5" t="str">
        <f>IFERROR(__xludf.DUMMYFUNCTION("""COMPUTED_VALUE"""),"هیأت")</f>
        <v>هیأت</v>
      </c>
      <c r="C1136" s="5" t="str">
        <f>IFERROR(__xludf.DUMMYFUNCTION("""COMPUTED_VALUE"""),"محبان حضرت مهدے(عج)")</f>
        <v>محبان حضرت مهدے(عج)</v>
      </c>
      <c r="D1136" s="5" t="str">
        <f>IFERROR(__xludf.DUMMYFUNCTION("""COMPUTED_VALUE"""),"تهران")</f>
        <v>تهران</v>
      </c>
      <c r="E1136" s="5"/>
      <c r="F1136" s="5" t="str">
        <f>IFERROR(__xludf.DUMMYFUNCTION("""COMPUTED_VALUE"""),"شهر قدس")</f>
        <v>شهر قدس</v>
      </c>
      <c r="G1136" s="5"/>
      <c r="H1136" s="6" t="str">
        <f>IFERROR(__xludf.DUMMYFUNCTION("""COMPUTED_VALUE"""),"https://www.instagram.com/faares_313/")</f>
        <v>https://www.instagram.com/faares_313/</v>
      </c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</row>
    <row r="1137">
      <c r="A1137" s="5"/>
      <c r="B1137" s="5" t="str">
        <f>IFERROR(__xludf.DUMMYFUNCTION("""COMPUTED_VALUE"""),"هیأت")</f>
        <v>هیأت</v>
      </c>
      <c r="C1137" s="5" t="str">
        <f>IFERROR(__xludf.DUMMYFUNCTION("""COMPUTED_VALUE"""),"بیت الرضا علیه السلام خزانه بخارایی")</f>
        <v>بیت الرضا علیه السلام خزانه بخارایی</v>
      </c>
      <c r="D1137" s="5" t="str">
        <f>IFERROR(__xludf.DUMMYFUNCTION("""COMPUTED_VALUE"""),"تهران")</f>
        <v>تهران</v>
      </c>
      <c r="E1137" s="5"/>
      <c r="F1137" s="5" t="str">
        <f>IFERROR(__xludf.DUMMYFUNCTION("""COMPUTED_VALUE"""),"غرب به شرق بزرگراه بعثت نرسیده به پل بعثت ،21متری بعثت کوچه امیدی مسجد چهارده معصوم علیه")</f>
        <v>غرب به شرق بزرگراه بعثت نرسیده به پل بعثت ،21متری بعثت کوچه امیدی مسجد چهارده معصوم علیه</v>
      </c>
      <c r="G1137" s="5"/>
      <c r="H1137" s="6" t="str">
        <f>IFERROR(__xludf.DUMMYFUNCTION("""COMPUTED_VALUE"""),"https://www.instagram.com/heyate_beytooreza/")</f>
        <v>https://www.instagram.com/heyate_beytooreza/</v>
      </c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</row>
    <row r="1138">
      <c r="A1138" s="5"/>
      <c r="B1138" s="5" t="str">
        <f>IFERROR(__xludf.DUMMYFUNCTION("""COMPUTED_VALUE"""),"هیأت")</f>
        <v>هیأت</v>
      </c>
      <c r="C1138" s="5" t="str">
        <f>IFERROR(__xludf.DUMMYFUNCTION("""COMPUTED_VALUE"""),"شباب الجنة")</f>
        <v>شباب الجنة</v>
      </c>
      <c r="D1138" s="5" t="str">
        <f>IFERROR(__xludf.DUMMYFUNCTION("""COMPUTED_VALUE"""),"تهران")</f>
        <v>تهران</v>
      </c>
      <c r="E1138" s="5"/>
      <c r="F1138" s="5" t="str">
        <f>IFERROR(__xludf.DUMMYFUNCTION("""COMPUTED_VALUE"""),"شهرری")</f>
        <v>شهرری</v>
      </c>
      <c r="G1138" s="5"/>
      <c r="H1138" s="6" t="str">
        <f>IFERROR(__xludf.DUMMYFUNCTION("""COMPUTED_VALUE"""),"https://www.instagram.com/heyat.shabab.aljanah/")</f>
        <v>https://www.instagram.com/heyat.shabab.aljanah/</v>
      </c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</row>
    <row r="1139">
      <c r="A1139" s="5"/>
      <c r="B1139" s="5" t="str">
        <f>IFERROR(__xludf.DUMMYFUNCTION("""COMPUTED_VALUE"""),"هیأت")</f>
        <v>هیأت</v>
      </c>
      <c r="C1139" s="5" t="str">
        <f>IFERROR(__xludf.DUMMYFUNCTION("""COMPUTED_VALUE"""),"عاشقان ثارالله(ع)")</f>
        <v>عاشقان ثارالله(ع)</v>
      </c>
      <c r="D1139" s="5" t="str">
        <f>IFERROR(__xludf.DUMMYFUNCTION("""COMPUTED_VALUE"""),"تهران")</f>
        <v>تهران</v>
      </c>
      <c r="E1139" s="5"/>
      <c r="F1139" s="5" t="str">
        <f>IFERROR(__xludf.DUMMYFUNCTION("""COMPUTED_VALUE"""),"شهرک ولیعصر (عج)، خیابان حیدری شمالی، مدرسه سعادت،حسینیه عاشقان")</f>
        <v>شهرک ولیعصر (عج)، خیابان حیدری شمالی، مدرسه سعادت،حسینیه عاشقان</v>
      </c>
      <c r="G1139" s="5"/>
      <c r="H1139" s="6" t="str">
        <f>IFERROR(__xludf.DUMMYFUNCTION("""COMPUTED_VALUE"""),"https://www.instagram.com/saralah18/")</f>
        <v>https://www.instagram.com/saralah18/</v>
      </c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</row>
    <row r="1140">
      <c r="A1140" s="5"/>
      <c r="B1140" s="5" t="str">
        <f>IFERROR(__xludf.DUMMYFUNCTION("""COMPUTED_VALUE"""),"هیأت")</f>
        <v>هیأت</v>
      </c>
      <c r="C1140" s="5" t="str">
        <f>IFERROR(__xludf.DUMMYFUNCTION("""COMPUTED_VALUE"""),"راية العباس(ع)")</f>
        <v>راية العباس(ع)</v>
      </c>
      <c r="D1140" s="5" t="str">
        <f>IFERROR(__xludf.DUMMYFUNCTION("""COMPUTED_VALUE"""),"تهران")</f>
        <v>تهران</v>
      </c>
      <c r="E1140" s="5"/>
      <c r="F1140" s="5" t="str">
        <f>IFERROR(__xludf.DUMMYFUNCTION("""COMPUTED_VALUE"""),"خیابان شهید فارسیان، گلستان ۱۳ غربی، مهدیه رزمندگان اسلام")</f>
        <v>خیابان شهید فارسیان، گلستان ۱۳ غربی، مهدیه رزمندگان اسلام</v>
      </c>
      <c r="G1140" s="5"/>
      <c r="H1140" s="6" t="str">
        <f>IFERROR(__xludf.DUMMYFUNCTION("""COMPUTED_VALUE"""),"https://www.instagram.com/heyat_rayatalabas/")</f>
        <v>https://www.instagram.com/heyat_rayatalabas/</v>
      </c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</row>
    <row r="1141">
      <c r="A1141" s="5"/>
      <c r="B1141" s="5" t="str">
        <f>IFERROR(__xludf.DUMMYFUNCTION("""COMPUTED_VALUE"""),"هیأت")</f>
        <v>هیأت</v>
      </c>
      <c r="C1141" s="5" t="str">
        <f>IFERROR(__xludf.DUMMYFUNCTION("""COMPUTED_VALUE"""),"اصحاب القائم(عج) طهران")</f>
        <v>اصحاب القائم(عج) طهران</v>
      </c>
      <c r="D1141" s="5" t="str">
        <f>IFERROR(__xludf.DUMMYFUNCTION("""COMPUTED_VALUE"""),"تهران")</f>
        <v>تهران</v>
      </c>
      <c r="E1141" s="5"/>
      <c r="F1141" s="5"/>
      <c r="G1141" s="5"/>
      <c r="H1141" s="6" t="str">
        <f>IFERROR(__xludf.DUMMYFUNCTION("""COMPUTED_VALUE"""),"https://www.instagram.com/ashabolghaem/")</f>
        <v>https://www.instagram.com/ashabolghaem/</v>
      </c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</row>
    <row r="1142">
      <c r="A1142" s="5"/>
      <c r="B1142" s="5" t="str">
        <f>IFERROR(__xludf.DUMMYFUNCTION("""COMPUTED_VALUE"""),"هیأت")</f>
        <v>هیأت</v>
      </c>
      <c r="C1142" s="5" t="str">
        <f>IFERROR(__xludf.DUMMYFUNCTION("""COMPUTED_VALUE"""),"میثاق المهدی")</f>
        <v>میثاق المهدی</v>
      </c>
      <c r="D1142" s="5" t="str">
        <f>IFERROR(__xludf.DUMMYFUNCTION("""COMPUTED_VALUE"""),"تهران")</f>
        <v>تهران</v>
      </c>
      <c r="E1142" s="5"/>
      <c r="F1142" s="5" t="str">
        <f>IFERROR(__xludf.DUMMYFUNCTION("""COMPUTED_VALUE"""),"بزرگراه رسالت خیابان شهید منصوری گلزار شهدای گمنام بوستان مجیدیه t.me/misaghalmahdi‌")</f>
        <v>بزرگراه رسالت خیابان شهید منصوری گلزار شهدای گمنام بوستان مجیدیه t.me/misaghalmahdi‌</v>
      </c>
      <c r="G1142" s="5"/>
      <c r="H1142" s="6" t="str">
        <f>IFERROR(__xludf.DUMMYFUNCTION("""COMPUTED_VALUE"""),"https://www.instagram.com/misagh_al_mahdi/")</f>
        <v>https://www.instagram.com/misagh_al_mahdi/</v>
      </c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</row>
    <row r="1143">
      <c r="A1143" s="5"/>
      <c r="B1143" s="5" t="str">
        <f>IFERROR(__xludf.DUMMYFUNCTION("""COMPUTED_VALUE"""),"هیأت")</f>
        <v>هیأت</v>
      </c>
      <c r="C1143" s="5" t="str">
        <f>IFERROR(__xludf.DUMMYFUNCTION("""COMPUTED_VALUE"""),"انصارالحسین")</f>
        <v>انصارالحسین</v>
      </c>
      <c r="D1143" s="5" t="str">
        <f>IFERROR(__xludf.DUMMYFUNCTION("""COMPUTED_VALUE"""),"تهران")</f>
        <v>تهران</v>
      </c>
      <c r="E1143" s="5"/>
      <c r="F1143" s="5"/>
      <c r="G1143" s="5"/>
      <c r="H1143" s="6" t="str">
        <f>IFERROR(__xludf.DUMMYFUNCTION("""COMPUTED_VALUE"""),"https://www.instagram.com/ansarolhossein.1365/")</f>
        <v>https://www.instagram.com/ansarolhossein.1365/</v>
      </c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</row>
    <row r="1144">
      <c r="A1144" s="5"/>
      <c r="B1144" s="5" t="str">
        <f>IFERROR(__xludf.DUMMYFUNCTION("""COMPUTED_VALUE"""),"هیأت")</f>
        <v>هیأت</v>
      </c>
      <c r="C1144" s="5" t="str">
        <f>IFERROR(__xludf.DUMMYFUNCTION("""COMPUTED_VALUE"""),"امام سجاد علیه السلام")</f>
        <v>امام سجاد علیه السلام</v>
      </c>
      <c r="D1144" s="5" t="str">
        <f>IFERROR(__xludf.DUMMYFUNCTION("""COMPUTED_VALUE"""),"تهران")</f>
        <v>تهران</v>
      </c>
      <c r="E1144" s="5"/>
      <c r="F1144" s="5" t="str">
        <f>IFERROR(__xludf.DUMMYFUNCTION("""COMPUTED_VALUE"""),"پایین‌تر از میدان خراسان - خ کاظمی(حسینیه امام سجاد ع/ رینه‌ایها)")</f>
        <v>پایین‌تر از میدان خراسان - خ کاظمی(حسینیه امام سجاد ع/ رینه‌ایها)</v>
      </c>
      <c r="G1144" s="5"/>
      <c r="H1144" s="6" t="str">
        <f>IFERROR(__xludf.DUMMYFUNCTION("""COMPUTED_VALUE"""),"https://www.instagram.com/heyat_imam_sajad/")</f>
        <v>https://www.instagram.com/heyat_imam_sajad/</v>
      </c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</row>
    <row r="1145">
      <c r="A1145" s="5"/>
      <c r="B1145" s="5" t="str">
        <f>IFERROR(__xludf.DUMMYFUNCTION("""COMPUTED_VALUE"""),"هیأت")</f>
        <v>هیأت</v>
      </c>
      <c r="C1145" s="5" t="str">
        <f>IFERROR(__xludf.DUMMYFUNCTION("""COMPUTED_VALUE"""),"هیئت قاسم بن الحسن (ع)")</f>
        <v>هیئت قاسم بن الحسن (ع)</v>
      </c>
      <c r="D1145" s="5" t="str">
        <f>IFERROR(__xludf.DUMMYFUNCTION("""COMPUTED_VALUE"""),"تهران")</f>
        <v>تهران</v>
      </c>
      <c r="E1145" s="5"/>
      <c r="F1145" s="5" t="str">
        <f>IFERROR(__xludf.DUMMYFUNCTION("""COMPUTED_VALUE"""),"شهر ری")</f>
        <v>شهر ری</v>
      </c>
      <c r="G1145" s="5"/>
      <c r="H1145" s="6" t="str">
        <f>IFERROR(__xludf.DUMMYFUNCTION("""COMPUTED_VALUE"""),"https://www.instagram.com/hazrateqasem/")</f>
        <v>https://www.instagram.com/hazrateqasem/</v>
      </c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</row>
    <row r="1146">
      <c r="A1146" s="5"/>
      <c r="B1146" s="5" t="str">
        <f>IFERROR(__xludf.DUMMYFUNCTION("""COMPUTED_VALUE"""),"هیأت")</f>
        <v>هیأت</v>
      </c>
      <c r="C1146" s="5" t="str">
        <f>IFERROR(__xludf.DUMMYFUNCTION("""COMPUTED_VALUE"""),"محبان الزهرا")</f>
        <v>محبان الزهرا</v>
      </c>
      <c r="D1146" s="5" t="str">
        <f>IFERROR(__xludf.DUMMYFUNCTION("""COMPUTED_VALUE"""),"تهران")</f>
        <v>تهران</v>
      </c>
      <c r="E1146" s="5"/>
      <c r="F1146" s="5" t="str">
        <f>IFERROR(__xludf.DUMMYFUNCTION("""COMPUTED_VALUE"""),"دانشگاه الزهرا")</f>
        <v>دانشگاه الزهرا</v>
      </c>
      <c r="G1146" s="5"/>
      <c r="H1146" s="6" t="str">
        <f>IFERROR(__xludf.DUMMYFUNCTION("""COMPUTED_VALUE"""),"https://www.instagram.com/heyatealzahra_ir/")</f>
        <v>https://www.instagram.com/heyatealzahra_ir/</v>
      </c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</row>
    <row r="1147">
      <c r="A1147" s="5"/>
      <c r="B1147" s="5" t="str">
        <f>IFERROR(__xludf.DUMMYFUNCTION("""COMPUTED_VALUE"""),"هیأت")</f>
        <v>هیأت</v>
      </c>
      <c r="C1147" s="5" t="str">
        <f>IFERROR(__xludf.DUMMYFUNCTION("""COMPUTED_VALUE"""),"عاشقان قمر بنی هاشم")</f>
        <v>عاشقان قمر بنی هاشم</v>
      </c>
      <c r="D1147" s="5" t="str">
        <f>IFERROR(__xludf.DUMMYFUNCTION("""COMPUTED_VALUE"""),"تهران")</f>
        <v>تهران</v>
      </c>
      <c r="E1147" s="5"/>
      <c r="F1147" s="5" t="str">
        <f>IFERROR(__xludf.DUMMYFUNCTION("""COMPUTED_VALUE"""),"خیابان گلاب")</f>
        <v>خیابان گلاب</v>
      </c>
      <c r="G1147" s="5"/>
      <c r="H1147" s="5"/>
      <c r="I1147" s="6" t="str">
        <f>IFERROR(__xludf.DUMMYFUNCTION("""COMPUTED_VALUE"""),"t.me/asheghaneghamarbanihashem")</f>
        <v>t.me/asheghaneghamarbanihashem</v>
      </c>
      <c r="J1147" s="5"/>
      <c r="K1147" s="5"/>
      <c r="L1147" s="5"/>
      <c r="M1147" s="5" t="str">
        <f>IFERROR(__xludf.DUMMYFUNCTION("""COMPUTED_VALUE"""),"جواد مقدم")</f>
        <v>جواد مقدم</v>
      </c>
      <c r="N1147" s="5" t="str">
        <f>IFERROR(__xludf.DUMMYFUNCTION("""COMPUTED_VALUE"""),"*")</f>
        <v>*</v>
      </c>
      <c r="O1147" s="5"/>
      <c r="P1147" s="5"/>
      <c r="Q1147" s="5"/>
      <c r="R1147" s="5"/>
      <c r="S1147" s="5"/>
    </row>
    <row r="1148">
      <c r="A1148" s="5"/>
      <c r="B1148" s="5" t="str">
        <f>IFERROR(__xludf.DUMMYFUNCTION("""COMPUTED_VALUE"""),"حسینیه")</f>
        <v>حسینیه</v>
      </c>
      <c r="C1148" s="5" t="str">
        <f>IFERROR(__xludf.DUMMYFUNCTION("""COMPUTED_VALUE"""),"امام خمینی")</f>
        <v>امام خمینی</v>
      </c>
      <c r="D1148" s="5" t="str">
        <f>IFERROR(__xludf.DUMMYFUNCTION("""COMPUTED_VALUE"""),"تهران")</f>
        <v>تهران</v>
      </c>
      <c r="E1148" s="5"/>
      <c r="F1148" s="5"/>
      <c r="G1148" s="5"/>
      <c r="H1148" s="5"/>
      <c r="I1148" s="5"/>
      <c r="J1148" s="6" t="str">
        <f>IFERROR(__xludf.DUMMYFUNCTION("""COMPUTED_VALUE"""),"https://eitaa.com/hoseinie_emamkhomeini")</f>
        <v>https://eitaa.com/hoseinie_emamkhomeini</v>
      </c>
      <c r="K1148" s="5"/>
      <c r="L1148" s="5"/>
      <c r="M1148" s="5"/>
      <c r="N1148" s="5"/>
      <c r="O1148" s="5"/>
      <c r="P1148" s="5"/>
      <c r="Q1148" s="5"/>
      <c r="R1148" s="5"/>
      <c r="S1148" s="5"/>
    </row>
    <row r="1149">
      <c r="A1149" s="5"/>
      <c r="B1149" s="5" t="str">
        <f>IFERROR(__xludf.DUMMYFUNCTION("""COMPUTED_VALUE"""),"هیأت")</f>
        <v>هیأت</v>
      </c>
      <c r="C1149" s="5" t="str">
        <f>IFERROR(__xludf.DUMMYFUNCTION("""COMPUTED_VALUE"""),"عشاق الخمینی")</f>
        <v>عشاق الخمینی</v>
      </c>
      <c r="D1149" s="5" t="str">
        <f>IFERROR(__xludf.DUMMYFUNCTION("""COMPUTED_VALUE"""),"تهران")</f>
        <v>تهران</v>
      </c>
      <c r="E1149" s="5"/>
      <c r="F1149" s="5"/>
      <c r="G1149" s="5"/>
      <c r="H1149" s="5"/>
      <c r="I1149" s="5"/>
      <c r="J1149" s="6" t="str">
        <f>IFERROR(__xludf.DUMMYFUNCTION("""COMPUTED_VALUE"""),"https://eitaa.com/oshaghalkhomeini")</f>
        <v>https://eitaa.com/oshaghalkhomeini</v>
      </c>
      <c r="K1149" s="5"/>
      <c r="L1149" s="5"/>
      <c r="M1149" s="5"/>
      <c r="N1149" s="5"/>
      <c r="O1149" s="5"/>
      <c r="P1149" s="5"/>
      <c r="Q1149" s="5"/>
      <c r="R1149" s="5"/>
      <c r="S1149" s="5"/>
    </row>
    <row r="1150">
      <c r="A1150" s="5"/>
      <c r="B1150" s="5" t="str">
        <f>IFERROR(__xludf.DUMMYFUNCTION("""COMPUTED_VALUE"""),"هیأت")</f>
        <v>هیأت</v>
      </c>
      <c r="C1150" s="5" t="str">
        <f>IFERROR(__xludf.DUMMYFUNCTION("""COMPUTED_VALUE"""),"ابناء الزهرا")</f>
        <v>ابناء الزهرا</v>
      </c>
      <c r="D1150" s="5" t="str">
        <f>IFERROR(__xludf.DUMMYFUNCTION("""COMPUTED_VALUE"""),"تهران")</f>
        <v>تهران</v>
      </c>
      <c r="E1150" s="5"/>
      <c r="F1150" s="5"/>
      <c r="G1150" s="5"/>
      <c r="H1150" s="5"/>
      <c r="I1150" s="5"/>
      <c r="J1150" s="6" t="str">
        <f>IFERROR(__xludf.DUMMYFUNCTION("""COMPUTED_VALUE"""),"https://eitaa.com/abnaolzahra")</f>
        <v>https://eitaa.com/abnaolzahra</v>
      </c>
      <c r="K1150" s="5"/>
      <c r="L1150" s="5"/>
      <c r="M1150" s="5"/>
      <c r="N1150" s="5"/>
      <c r="O1150" s="5"/>
      <c r="P1150" s="5"/>
      <c r="Q1150" s="5"/>
      <c r="R1150" s="5"/>
      <c r="S1150" s="5"/>
    </row>
    <row r="1151">
      <c r="A1151" s="5"/>
      <c r="B1151" s="5" t="str">
        <f>IFERROR(__xludf.DUMMYFUNCTION("""COMPUTED_VALUE"""),"موکب")</f>
        <v>موکب</v>
      </c>
      <c r="C1151" s="5" t="str">
        <f>IFERROR(__xludf.DUMMYFUNCTION("""COMPUTED_VALUE"""),"بیت الرضا (ع) (خدام الرضا)")</f>
        <v>بیت الرضا (ع) (خدام الرضا)</v>
      </c>
      <c r="D1151" s="5" t="str">
        <f>IFERROR(__xludf.DUMMYFUNCTION("""COMPUTED_VALUE"""),"تهران")</f>
        <v>تهران</v>
      </c>
      <c r="E1151" s="5"/>
      <c r="F1151" s="5"/>
      <c r="G1151" s="5"/>
      <c r="H1151" s="5"/>
      <c r="I1151" s="5"/>
      <c r="J1151" s="6" t="str">
        <f>IFERROR(__xludf.DUMMYFUNCTION("""COMPUTED_VALUE"""),"https://eitaa.com/mokeb_khodamoreza")</f>
        <v>https://eitaa.com/mokeb_khodamoreza</v>
      </c>
      <c r="K1151" s="5"/>
      <c r="L1151" s="5"/>
      <c r="M1151" s="5"/>
      <c r="N1151" s="5"/>
      <c r="O1151" s="5"/>
      <c r="P1151" s="5"/>
      <c r="Q1151" s="5"/>
      <c r="R1151" s="5"/>
      <c r="S1151" s="5"/>
    </row>
    <row r="1152">
      <c r="A1152" s="5"/>
      <c r="B1152" s="5" t="str">
        <f>IFERROR(__xludf.DUMMYFUNCTION("""COMPUTED_VALUE"""),"موکب")</f>
        <v>موکب</v>
      </c>
      <c r="C1152" s="5" t="str">
        <f>IFERROR(__xludf.DUMMYFUNCTION("""COMPUTED_VALUE"""),"احباب‌ الحسین")</f>
        <v>احباب‌ الحسین</v>
      </c>
      <c r="D1152" s="5" t="str">
        <f>IFERROR(__xludf.DUMMYFUNCTION("""COMPUTED_VALUE"""),"تهران")</f>
        <v>تهران</v>
      </c>
      <c r="E1152" s="5"/>
      <c r="F1152" s="5"/>
      <c r="G1152" s="5"/>
      <c r="H1152" s="5"/>
      <c r="I1152" s="5"/>
      <c r="J1152" s="6" t="str">
        <f>IFERROR(__xludf.DUMMYFUNCTION("""COMPUTED_VALUE"""),"https://eitaa.com/ahbabeslamshahr")</f>
        <v>https://eitaa.com/ahbabeslamshahr</v>
      </c>
      <c r="K1152" s="5"/>
      <c r="L1152" s="5"/>
      <c r="M1152" s="5"/>
      <c r="N1152" s="5"/>
      <c r="O1152" s="5"/>
      <c r="P1152" s="5"/>
      <c r="Q1152" s="5"/>
      <c r="R1152" s="5"/>
      <c r="S1152" s="5"/>
    </row>
    <row r="1153">
      <c r="A1153" s="5"/>
      <c r="B1153" s="5" t="str">
        <f>IFERROR(__xludf.DUMMYFUNCTION("""COMPUTED_VALUE"""),"هیأت")</f>
        <v>هیأت</v>
      </c>
      <c r="C1153" s="5" t="str">
        <f>IFERROR(__xludf.DUMMYFUNCTION("""COMPUTED_VALUE"""),"خم پیچی های مقیم تهران")</f>
        <v>خم پیچی های مقیم تهران</v>
      </c>
      <c r="D1153" s="5" t="str">
        <f>IFERROR(__xludf.DUMMYFUNCTION("""COMPUTED_VALUE"""),"تهران")</f>
        <v>تهران</v>
      </c>
      <c r="E1153" s="5"/>
      <c r="F1153" s="5"/>
      <c r="G1153" s="5"/>
      <c r="H1153" s="5"/>
      <c r="I1153" s="5"/>
      <c r="J1153" s="6" t="str">
        <f>IFERROR(__xludf.DUMMYFUNCTION("""COMPUTED_VALUE"""),"https://eitaa.com/khompich")</f>
        <v>https://eitaa.com/khompich</v>
      </c>
      <c r="K1153" s="5"/>
      <c r="L1153" s="5"/>
      <c r="M1153" s="5"/>
      <c r="N1153" s="5"/>
      <c r="O1153" s="5"/>
      <c r="P1153" s="5"/>
      <c r="Q1153" s="5"/>
      <c r="R1153" s="5"/>
      <c r="S1153" s="5"/>
    </row>
    <row r="1154">
      <c r="A1154" s="5"/>
      <c r="B1154" s="5" t="str">
        <f>IFERROR(__xludf.DUMMYFUNCTION("""COMPUTED_VALUE"""),"هیأت")</f>
        <v>هیأت</v>
      </c>
      <c r="C1154" s="5" t="str">
        <f>IFERROR(__xludf.DUMMYFUNCTION("""COMPUTED_VALUE"""),"خانه صاحب الزمان")</f>
        <v>خانه صاحب الزمان</v>
      </c>
      <c r="D1154" s="5" t="str">
        <f>IFERROR(__xludf.DUMMYFUNCTION("""COMPUTED_VALUE"""),"تهران")</f>
        <v>تهران</v>
      </c>
      <c r="E1154" s="5"/>
      <c r="F1154" s="5"/>
      <c r="G1154" s="5"/>
      <c r="H1154" s="5"/>
      <c r="I1154" s="5"/>
      <c r="J1154" s="6" t="str">
        <f>IFERROR(__xludf.DUMMYFUNCTION("""COMPUTED_VALUE"""),"https://eitaa.com/sahebalzamaan_313")</f>
        <v>https://eitaa.com/sahebalzamaan_313</v>
      </c>
      <c r="K1154" s="5"/>
      <c r="L1154" s="5"/>
      <c r="M1154" s="5"/>
      <c r="N1154" s="5"/>
      <c r="O1154" s="5"/>
      <c r="P1154" s="5"/>
      <c r="Q1154" s="5"/>
      <c r="R1154" s="5"/>
      <c r="S1154" s="5"/>
    </row>
    <row r="1155">
      <c r="A1155" s="5"/>
      <c r="B1155" s="5" t="str">
        <f>IFERROR(__xludf.DUMMYFUNCTION("""COMPUTED_VALUE"""),"هیأت")</f>
        <v>هیأت</v>
      </c>
      <c r="C1155" s="5" t="str">
        <f>IFERROR(__xludf.DUMMYFUNCTION("""COMPUTED_VALUE"""),"فاطمیون ورامین")</f>
        <v>فاطمیون ورامین</v>
      </c>
      <c r="D1155" s="5" t="str">
        <f>IFERROR(__xludf.DUMMYFUNCTION("""COMPUTED_VALUE"""),"تهران")</f>
        <v>تهران</v>
      </c>
      <c r="E1155" s="5"/>
      <c r="F1155" s="5"/>
      <c r="G1155" s="5"/>
      <c r="H1155" s="5"/>
      <c r="I1155" s="5"/>
      <c r="J1155" s="6" t="str">
        <f>IFERROR(__xludf.DUMMYFUNCTION("""COMPUTED_VALUE"""),"https://eitaa.com/fatemyounvaramin")</f>
        <v>https://eitaa.com/fatemyounvaramin</v>
      </c>
      <c r="K1155" s="5"/>
      <c r="L1155" s="5"/>
      <c r="M1155" s="5"/>
      <c r="N1155" s="5"/>
      <c r="O1155" s="5"/>
      <c r="P1155" s="5"/>
      <c r="Q1155" s="5"/>
      <c r="R1155" s="5"/>
      <c r="S1155" s="5"/>
    </row>
    <row r="1156">
      <c r="A1156" s="5"/>
      <c r="B1156" s="5" t="str">
        <f>IFERROR(__xludf.DUMMYFUNCTION("""COMPUTED_VALUE"""),"هیأت")</f>
        <v>هیأت</v>
      </c>
      <c r="C1156" s="5" t="str">
        <f>IFERROR(__xludf.DUMMYFUNCTION("""COMPUTED_VALUE"""),"عاشقان ائمه")</f>
        <v>عاشقان ائمه</v>
      </c>
      <c r="D1156" s="5" t="str">
        <f>IFERROR(__xludf.DUMMYFUNCTION("""COMPUTED_VALUE"""),"تهران")</f>
        <v>تهران</v>
      </c>
      <c r="E1156" s="5" t="str">
        <f>IFERROR(__xludf.DUMMYFUNCTION("""COMPUTED_VALUE"""),"اسلامشهر")</f>
        <v>اسلامشهر</v>
      </c>
      <c r="F1156" s="5"/>
      <c r="G1156" s="5"/>
      <c r="H1156" s="5"/>
      <c r="I1156" s="5"/>
      <c r="J1156" s="6" t="str">
        <f>IFERROR(__xludf.DUMMYFUNCTION("""COMPUTED_VALUE"""),"https://eitaa.com/Asheghan_Aemmeh")</f>
        <v>https://eitaa.com/Asheghan_Aemmeh</v>
      </c>
      <c r="K1156" s="5"/>
      <c r="L1156" s="5"/>
      <c r="M1156" s="5"/>
      <c r="N1156" s="5"/>
      <c r="O1156" s="5"/>
      <c r="P1156" s="5"/>
      <c r="Q1156" s="5"/>
      <c r="R1156" s="5"/>
      <c r="S1156" s="5"/>
    </row>
    <row r="1157">
      <c r="A1157" s="5"/>
      <c r="B1157" s="5" t="str">
        <f>IFERROR(__xludf.DUMMYFUNCTION("""COMPUTED_VALUE"""),"حسینیه")</f>
        <v>حسینیه</v>
      </c>
      <c r="C1157" s="5" t="str">
        <f>IFERROR(__xludf.DUMMYFUNCTION("""COMPUTED_VALUE"""),"شهید خوشرو")</f>
        <v>شهید خوشرو</v>
      </c>
      <c r="D1157" s="5" t="str">
        <f>IFERROR(__xludf.DUMMYFUNCTION("""COMPUTED_VALUE"""),"تهران")</f>
        <v>تهران</v>
      </c>
      <c r="E1157" s="5"/>
      <c r="F1157" s="5"/>
      <c r="G1157" s="5"/>
      <c r="H1157" s="5"/>
      <c r="I1157" s="5"/>
      <c r="J1157" s="6" t="str">
        <f>IFERROR(__xludf.DUMMYFUNCTION("""COMPUTED_VALUE"""),"https://eitaa.com/HosseinShahidKhoshro")</f>
        <v>https://eitaa.com/HosseinShahidKhoshro</v>
      </c>
      <c r="K1157" s="5"/>
      <c r="L1157" s="5"/>
      <c r="M1157" s="5"/>
      <c r="N1157" s="5"/>
      <c r="O1157" s="5"/>
      <c r="P1157" s="5"/>
      <c r="Q1157" s="5"/>
      <c r="R1157" s="5"/>
      <c r="S1157" s="5"/>
    </row>
    <row r="1158">
      <c r="A1158" s="5"/>
      <c r="B1158" s="5" t="str">
        <f>IFERROR(__xludf.DUMMYFUNCTION("""COMPUTED_VALUE"""),"هیأت")</f>
        <v>هیأت</v>
      </c>
      <c r="C1158" s="5" t="str">
        <f>IFERROR(__xludf.DUMMYFUNCTION("""COMPUTED_VALUE"""),"یا مهدی عج")</f>
        <v>یا مهدی عج</v>
      </c>
      <c r="D1158" s="5" t="str">
        <f>IFERROR(__xludf.DUMMYFUNCTION("""COMPUTED_VALUE"""),"تهران")</f>
        <v>تهران</v>
      </c>
      <c r="E1158" s="5"/>
      <c r="F1158" s="5"/>
      <c r="G1158" s="5"/>
      <c r="H1158" s="6" t="str">
        <f>IFERROR(__xludf.DUMMYFUNCTION("""COMPUTED_VALUE"""),"https://www.instagram.com/heyat_yamahdi")</f>
        <v>https://www.instagram.com/heyat_yamahdi</v>
      </c>
      <c r="I1158" s="6" t="str">
        <f>IFERROR(__xludf.DUMMYFUNCTION("""COMPUTED_VALUE"""),"https://t.me/heyat_yamahdi")</f>
        <v>https://t.me/heyat_yamahdi</v>
      </c>
      <c r="J1158" s="6" t="str">
        <f>IFERROR(__xludf.DUMMYFUNCTION("""COMPUTED_VALUE"""),"https://eitaa.com/heyat_yamahdi")</f>
        <v>https://eitaa.com/heyat_yamahdi</v>
      </c>
      <c r="K1158" s="5"/>
      <c r="L1158" s="5"/>
      <c r="M1158" s="5"/>
      <c r="N1158" s="5"/>
      <c r="O1158" s="5"/>
      <c r="P1158" s="5"/>
      <c r="Q1158" s="5"/>
      <c r="R1158" s="5"/>
      <c r="S1158" s="5"/>
    </row>
    <row r="1159">
      <c r="A1159" s="5"/>
      <c r="B1159" s="5" t="str">
        <f>IFERROR(__xludf.DUMMYFUNCTION("""COMPUTED_VALUE"""),"حسینیه")</f>
        <v>حسینیه</v>
      </c>
      <c r="C1159" s="5" t="str">
        <f>IFERROR(__xludf.DUMMYFUNCTION("""COMPUTED_VALUE"""),"دلریش")</f>
        <v>دلریش</v>
      </c>
      <c r="D1159" s="5" t="str">
        <f>IFERROR(__xludf.DUMMYFUNCTION("""COMPUTED_VALUE"""),"تهران")</f>
        <v>تهران</v>
      </c>
      <c r="E1159" s="5"/>
      <c r="F1159" s="5"/>
      <c r="G1159" s="5"/>
      <c r="H1159" s="5"/>
      <c r="I1159" s="5"/>
      <c r="J1159" s="6" t="str">
        <f>IFERROR(__xludf.DUMMYFUNCTION("""COMPUTED_VALUE"""),"https://eitaa.com/Delrish")</f>
        <v>https://eitaa.com/Delrish</v>
      </c>
      <c r="K1159" s="5"/>
      <c r="L1159" s="5"/>
      <c r="M1159" s="5"/>
      <c r="N1159" s="5"/>
      <c r="O1159" s="5"/>
      <c r="P1159" s="5"/>
      <c r="Q1159" s="5"/>
      <c r="R1159" s="5"/>
      <c r="S1159" s="5"/>
    </row>
    <row r="1160">
      <c r="A1160" s="5"/>
      <c r="B1160" s="5" t="str">
        <f>IFERROR(__xludf.DUMMYFUNCTION("""COMPUTED_VALUE"""),"هیأت")</f>
        <v>هیأت</v>
      </c>
      <c r="C1160" s="5" t="str">
        <f>IFERROR(__xludf.DUMMYFUNCTION("""COMPUTED_VALUE"""),"ریحانه الرسول")</f>
        <v>ریحانه الرسول</v>
      </c>
      <c r="D1160" s="5" t="str">
        <f>IFERROR(__xludf.DUMMYFUNCTION("""COMPUTED_VALUE"""),"تهران")</f>
        <v>تهران</v>
      </c>
      <c r="E1160" s="5"/>
      <c r="F1160" s="5"/>
      <c r="G1160" s="5"/>
      <c r="H1160" s="5"/>
      <c r="I1160" s="5"/>
      <c r="J1160" s="6" t="str">
        <f>IFERROR(__xludf.DUMMYFUNCTION("""COMPUTED_VALUE"""),"https://eitaa.com/Reyhanatorasooll")</f>
        <v>https://eitaa.com/Reyhanatorasooll</v>
      </c>
      <c r="K1160" s="5"/>
      <c r="L1160" s="5"/>
      <c r="M1160" s="5"/>
      <c r="N1160" s="5"/>
      <c r="O1160" s="5"/>
      <c r="P1160" s="5"/>
      <c r="Q1160" s="5"/>
      <c r="R1160" s="5"/>
      <c r="S1160" s="5"/>
    </row>
    <row r="1161">
      <c r="A1161" s="5"/>
      <c r="B1161" s="5" t="str">
        <f>IFERROR(__xludf.DUMMYFUNCTION("""COMPUTED_VALUE"""),"هیأت")</f>
        <v>هیأت</v>
      </c>
      <c r="C1161" s="5" t="str">
        <f>IFERROR(__xludf.DUMMYFUNCTION("""COMPUTED_VALUE"""),"محفل قاسم ابن الحسن (ع)")</f>
        <v>محفل قاسم ابن الحسن (ع)</v>
      </c>
      <c r="D1161" s="5" t="str">
        <f>IFERROR(__xludf.DUMMYFUNCTION("""COMPUTED_VALUE"""),"تهران")</f>
        <v>تهران</v>
      </c>
      <c r="E1161" s="5"/>
      <c r="F1161" s="5"/>
      <c r="G1161" s="5"/>
      <c r="H1161" s="6" t="str">
        <f>IFERROR(__xludf.DUMMYFUNCTION("""COMPUTED_VALUE"""),"https://www.instagram.com/heyat_maktab_shohada/")</f>
        <v>https://www.instagram.com/heyat_maktab_shohada/</v>
      </c>
      <c r="I1161" s="6" t="str">
        <f>IFERROR(__xludf.DUMMYFUNCTION("""COMPUTED_VALUE"""),"t.me/maktab_shohada18")</f>
        <v>t.me/maktab_shohada18</v>
      </c>
      <c r="J1161" s="5"/>
      <c r="K1161" s="5"/>
      <c r="L1161" s="5"/>
      <c r="M1161" s="5"/>
      <c r="N1161" s="5"/>
      <c r="O1161" s="5"/>
      <c r="P1161" s="5"/>
      <c r="Q1161" s="5"/>
      <c r="R1161" s="5"/>
      <c r="S1161" s="5"/>
    </row>
    <row r="1162">
      <c r="A1162" s="5"/>
      <c r="B1162" s="5" t="str">
        <f>IFERROR(__xludf.DUMMYFUNCTION("""COMPUTED_VALUE"""),"حسینیه")</f>
        <v>حسینیه</v>
      </c>
      <c r="C1162" s="5" t="str">
        <f>IFERROR(__xludf.DUMMYFUNCTION("""COMPUTED_VALUE"""),"مبارکه گودال قتلتگاه")</f>
        <v>مبارکه گودال قتلتگاه</v>
      </c>
      <c r="D1162" s="5" t="str">
        <f>IFERROR(__xludf.DUMMYFUNCTION("""COMPUTED_VALUE"""),"تهران")</f>
        <v>تهران</v>
      </c>
      <c r="E1162" s="5"/>
      <c r="F1162" s="5"/>
      <c r="G1162" s="5"/>
      <c r="H1162" s="6" t="str">
        <f>IFERROR(__xludf.DUMMYFUNCTION("""COMPUTED_VALUE"""),"https://www.instagram.com/godalghatlegah_ir")</f>
        <v>https://www.instagram.com/godalghatlegah_ir</v>
      </c>
      <c r="I1162" s="5"/>
      <c r="J1162" s="6" t="str">
        <f>IFERROR(__xludf.DUMMYFUNCTION("""COMPUTED_VALUE"""),"https://eitaa.com/godalghatlegah_ir")</f>
        <v>https://eitaa.com/godalghatlegah_ir</v>
      </c>
      <c r="K1162" s="5"/>
      <c r="L1162" s="5"/>
      <c r="M1162" s="5"/>
      <c r="N1162" s="5"/>
      <c r="O1162" s="5"/>
      <c r="P1162" s="5"/>
      <c r="Q1162" s="5"/>
      <c r="R1162" s="5"/>
      <c r="S1162" s="5"/>
    </row>
    <row r="1163">
      <c r="A1163" s="5"/>
      <c r="B1163" s="5" t="str">
        <f>IFERROR(__xludf.DUMMYFUNCTION("""COMPUTED_VALUE"""),"هیأت")</f>
        <v>هیأت</v>
      </c>
      <c r="C1163" s="5" t="str">
        <f>IFERROR(__xludf.DUMMYFUNCTION("""COMPUTED_VALUE"""),"شفیع المذنبین")</f>
        <v>شفیع المذنبین</v>
      </c>
      <c r="D1163" s="5" t="str">
        <f>IFERROR(__xludf.DUMMYFUNCTION("""COMPUTED_VALUE"""),"تهران")</f>
        <v>تهران</v>
      </c>
      <c r="E1163" s="5"/>
      <c r="F1163" s="5"/>
      <c r="G1163" s="5"/>
      <c r="H1163" s="5"/>
      <c r="I1163" s="5"/>
      <c r="J1163" s="6" t="str">
        <f>IFERROR(__xludf.DUMMYFUNCTION("""COMPUTED_VALUE"""),"https://eitaa.com/Shafie_al_moznebin")</f>
        <v>https://eitaa.com/Shafie_al_moznebin</v>
      </c>
      <c r="K1163" s="5"/>
      <c r="L1163" s="5"/>
      <c r="M1163" s="5"/>
      <c r="N1163" s="5"/>
      <c r="O1163" s="5"/>
      <c r="P1163" s="5"/>
      <c r="Q1163" s="5"/>
      <c r="R1163" s="5"/>
      <c r="S1163" s="5"/>
    </row>
    <row r="1164">
      <c r="A1164" s="5"/>
      <c r="B1164" s="5" t="str">
        <f>IFERROR(__xludf.DUMMYFUNCTION("""COMPUTED_VALUE"""),"حسینیه")</f>
        <v>حسینیه</v>
      </c>
      <c r="C1164" s="5" t="str">
        <f>IFERROR(__xludf.DUMMYFUNCTION("""COMPUTED_VALUE"""),"کربلا")</f>
        <v>کربلا</v>
      </c>
      <c r="D1164" s="5" t="str">
        <f>IFERROR(__xludf.DUMMYFUNCTION("""COMPUTED_VALUE"""),"تهران")</f>
        <v>تهران</v>
      </c>
      <c r="E1164" s="5"/>
      <c r="F1164" s="5"/>
      <c r="G1164" s="5"/>
      <c r="H1164" s="5"/>
      <c r="I1164" s="5"/>
      <c r="J1164" s="6" t="str">
        <f>IFERROR(__xludf.DUMMYFUNCTION("""COMPUTED_VALUE"""),"https://eitaa.com/hosseinie_karbala")</f>
        <v>https://eitaa.com/hosseinie_karbala</v>
      </c>
      <c r="K1164" s="5"/>
      <c r="L1164" s="5"/>
      <c r="M1164" s="5"/>
      <c r="N1164" s="5"/>
      <c r="O1164" s="5"/>
      <c r="P1164" s="5"/>
      <c r="Q1164" s="5"/>
      <c r="R1164" s="5"/>
      <c r="S1164" s="5"/>
    </row>
    <row r="1165">
      <c r="A1165" s="5"/>
      <c r="B1165" s="5" t="str">
        <f>IFERROR(__xludf.DUMMYFUNCTION("""COMPUTED_VALUE"""),"هیأت")</f>
        <v>هیأت</v>
      </c>
      <c r="C1165" s="5" t="str">
        <f>IFERROR(__xludf.DUMMYFUNCTION("""COMPUTED_VALUE"""),"بیت الحسین")</f>
        <v>بیت الحسین</v>
      </c>
      <c r="D1165" s="5" t="str">
        <f>IFERROR(__xludf.DUMMYFUNCTION("""COMPUTED_VALUE"""),"تهران")</f>
        <v>تهران</v>
      </c>
      <c r="E1165" s="5"/>
      <c r="F1165" s="5"/>
      <c r="G1165" s="5"/>
      <c r="H1165" s="5"/>
      <c r="I1165" s="5"/>
      <c r="J1165" s="6" t="str">
        <f>IFERROR(__xludf.DUMMYFUNCTION("""COMPUTED_VALUE"""),"https://eitaa.com/beit_133")</f>
        <v>https://eitaa.com/beit_133</v>
      </c>
      <c r="K1165" s="5"/>
      <c r="L1165" s="5"/>
      <c r="M1165" s="5"/>
      <c r="N1165" s="5"/>
      <c r="O1165" s="5"/>
      <c r="P1165" s="5"/>
      <c r="Q1165" s="5"/>
      <c r="R1165" s="5"/>
      <c r="S1165" s="5"/>
    </row>
    <row r="1166">
      <c r="A1166" s="5"/>
      <c r="B1166" s="5" t="str">
        <f>IFERROR(__xludf.DUMMYFUNCTION("""COMPUTED_VALUE"""),"موکب")</f>
        <v>موکب</v>
      </c>
      <c r="C1166" s="5" t="str">
        <f>IFERROR(__xludf.DUMMYFUNCTION("""COMPUTED_VALUE"""),"انصار الزهرا")</f>
        <v>انصار الزهرا</v>
      </c>
      <c r="D1166" s="5" t="str">
        <f>IFERROR(__xludf.DUMMYFUNCTION("""COMPUTED_VALUE"""),"تهران")</f>
        <v>تهران</v>
      </c>
      <c r="E1166" s="5"/>
      <c r="F1166" s="5"/>
      <c r="G1166" s="5"/>
      <c r="H1166" s="5"/>
      <c r="I1166" s="5"/>
      <c r="J1166" s="6" t="str">
        <f>IFERROR(__xludf.DUMMYFUNCTION("""COMPUTED_VALUE"""),"https://eitaa.com/mokebansarozahra135")</f>
        <v>https://eitaa.com/mokebansarozahra135</v>
      </c>
      <c r="K1166" s="5"/>
      <c r="L1166" s="5"/>
      <c r="M1166" s="5"/>
      <c r="N1166" s="5"/>
      <c r="O1166" s="5"/>
      <c r="P1166" s="5"/>
      <c r="Q1166" s="5"/>
      <c r="R1166" s="5"/>
      <c r="S1166" s="5"/>
    </row>
    <row r="1167">
      <c r="A1167" s="5"/>
      <c r="B1167" s="5" t="str">
        <f>IFERROR(__xludf.DUMMYFUNCTION("""COMPUTED_VALUE"""),"هیأت")</f>
        <v>هیأت</v>
      </c>
      <c r="C1167" s="5" t="str">
        <f>IFERROR(__xludf.DUMMYFUNCTION("""COMPUTED_VALUE"""),"محبان قرآن و عترت")</f>
        <v>محبان قرآن و عترت</v>
      </c>
      <c r="D1167" s="5" t="str">
        <f>IFERROR(__xludf.DUMMYFUNCTION("""COMPUTED_VALUE"""),"تهران")</f>
        <v>تهران</v>
      </c>
      <c r="E1167" s="5"/>
      <c r="F1167" s="5"/>
      <c r="G1167" s="5"/>
      <c r="H1167" s="5"/>
      <c r="I1167" s="5"/>
      <c r="J1167" s="6" t="str">
        <f>IFERROR(__xludf.DUMMYFUNCTION("""COMPUTED_VALUE"""),"https://eitaa.com/shohada72")</f>
        <v>https://eitaa.com/shohada72</v>
      </c>
      <c r="K1167" s="5"/>
      <c r="L1167" s="5"/>
      <c r="M1167" s="5"/>
      <c r="N1167" s="5"/>
      <c r="O1167" s="5"/>
      <c r="P1167" s="5"/>
      <c r="Q1167" s="5"/>
      <c r="R1167" s="5"/>
      <c r="S1167" s="5"/>
    </row>
    <row r="1168">
      <c r="A1168" s="5"/>
      <c r="B1168" s="5" t="str">
        <f>IFERROR(__xludf.DUMMYFUNCTION("""COMPUTED_VALUE"""),"هیأت")</f>
        <v>هیأت</v>
      </c>
      <c r="C1168" s="5" t="str">
        <f>IFERROR(__xludf.DUMMYFUNCTION("""COMPUTED_VALUE"""),"انصار الزهرا")</f>
        <v>انصار الزهرا</v>
      </c>
      <c r="D1168" s="5" t="str">
        <f>IFERROR(__xludf.DUMMYFUNCTION("""COMPUTED_VALUE"""),"تهران")</f>
        <v>تهران</v>
      </c>
      <c r="E1168" s="5"/>
      <c r="F1168" s="5"/>
      <c r="G1168" s="5"/>
      <c r="H1168" s="5"/>
      <c r="I1168" s="5"/>
      <c r="J1168" s="6" t="str">
        <f>IFERROR(__xludf.DUMMYFUNCTION("""COMPUTED_VALUE"""),"https://eitaa.com/ansar_alzahra40")</f>
        <v>https://eitaa.com/ansar_alzahra40</v>
      </c>
      <c r="K1168" s="5"/>
      <c r="L1168" s="5"/>
      <c r="M1168" s="5"/>
      <c r="N1168" s="5"/>
      <c r="O1168" s="5"/>
      <c r="P1168" s="5"/>
      <c r="Q1168" s="5"/>
      <c r="R1168" s="5"/>
      <c r="S1168" s="5"/>
    </row>
    <row r="1169">
      <c r="A1169" s="5"/>
      <c r="B1169" s="5" t="str">
        <f>IFERROR(__xludf.DUMMYFUNCTION("""COMPUTED_VALUE"""),"هیأت")</f>
        <v>هیأت</v>
      </c>
      <c r="C1169" s="5" t="str">
        <f>IFERROR(__xludf.DUMMYFUNCTION("""COMPUTED_VALUE"""),"انصار ولایت")</f>
        <v>انصار ولایت</v>
      </c>
      <c r="D1169" s="5" t="str">
        <f>IFERROR(__xludf.DUMMYFUNCTION("""COMPUTED_VALUE"""),"تهران")</f>
        <v>تهران</v>
      </c>
      <c r="E1169" s="5"/>
      <c r="F1169" s="5"/>
      <c r="G1169" s="5"/>
      <c r="H1169" s="5"/>
      <c r="I1169" s="5"/>
      <c r="J1169" s="6" t="str">
        <f>IFERROR(__xludf.DUMMYFUNCTION("""COMPUTED_VALUE"""),"https://eitaa.com/ansarvelayat313_info")</f>
        <v>https://eitaa.com/ansarvelayat313_info</v>
      </c>
      <c r="K1169" s="5"/>
      <c r="L1169" s="5"/>
      <c r="M1169" s="5"/>
      <c r="N1169" s="5"/>
      <c r="O1169" s="5"/>
      <c r="P1169" s="5"/>
      <c r="Q1169" s="5"/>
      <c r="R1169" s="5"/>
      <c r="S1169" s="5"/>
    </row>
    <row r="1170">
      <c r="A1170" s="5"/>
      <c r="B1170" s="5" t="str">
        <f>IFERROR(__xludf.DUMMYFUNCTION("""COMPUTED_VALUE"""),"هیأت")</f>
        <v>هیأت</v>
      </c>
      <c r="C1170" s="5" t="str">
        <f>IFERROR(__xludf.DUMMYFUNCTION("""COMPUTED_VALUE"""),"دربدران اباعبدالله")</f>
        <v>دربدران اباعبدالله</v>
      </c>
      <c r="D1170" s="5" t="str">
        <f>IFERROR(__xludf.DUMMYFUNCTION("""COMPUTED_VALUE"""),"تهران")</f>
        <v>تهران</v>
      </c>
      <c r="E1170" s="5"/>
      <c r="F1170" s="5"/>
      <c r="G1170" s="5"/>
      <c r="H1170" s="5"/>
      <c r="I1170" s="5"/>
      <c r="J1170" s="6" t="str">
        <f>IFERROR(__xludf.DUMMYFUNCTION("""COMPUTED_VALUE"""),"https://eitaa.com/darbedaran")</f>
        <v>https://eitaa.com/darbedaran</v>
      </c>
      <c r="K1170" s="5"/>
      <c r="L1170" s="5"/>
      <c r="M1170" s="5"/>
      <c r="N1170" s="5"/>
      <c r="O1170" s="5"/>
      <c r="P1170" s="5"/>
      <c r="Q1170" s="5"/>
      <c r="R1170" s="5"/>
      <c r="S1170" s="5"/>
    </row>
    <row r="1171">
      <c r="A1171" s="5"/>
      <c r="B1171" s="5" t="str">
        <f>IFERROR(__xludf.DUMMYFUNCTION("""COMPUTED_VALUE"""),"هیأت")</f>
        <v>هیأت</v>
      </c>
      <c r="C1171" s="5" t="str">
        <f>IFERROR(__xludf.DUMMYFUNCTION("""COMPUTED_VALUE"""),"ناشنوایان، محبان سید الشهدا")</f>
        <v>ناشنوایان، محبان سید الشهدا</v>
      </c>
      <c r="D1171" s="5" t="str">
        <f>IFERROR(__xludf.DUMMYFUNCTION("""COMPUTED_VALUE"""),"تهران")</f>
        <v>تهران</v>
      </c>
      <c r="E1171" s="5"/>
      <c r="F1171" s="5"/>
      <c r="G1171" s="5"/>
      <c r="H1171" s="5"/>
      <c r="I1171" s="5"/>
      <c r="J1171" s="6" t="str">
        <f>IFERROR(__xludf.DUMMYFUNCTION("""COMPUTED_VALUE"""),"https://eitaa.com/mseyed_ir")</f>
        <v>https://eitaa.com/mseyed_ir</v>
      </c>
      <c r="K1171" s="5"/>
      <c r="L1171" s="5"/>
      <c r="M1171" s="5"/>
      <c r="N1171" s="5"/>
      <c r="O1171" s="5"/>
      <c r="P1171" s="5"/>
      <c r="Q1171" s="5"/>
      <c r="R1171" s="5"/>
      <c r="S1171" s="5"/>
    </row>
    <row r="1172">
      <c r="A1172" s="5"/>
      <c r="B1172" s="5" t="str">
        <f>IFERROR(__xludf.DUMMYFUNCTION("""COMPUTED_VALUE"""),"هیأت")</f>
        <v>هیأت</v>
      </c>
      <c r="C1172" s="5" t="str">
        <f>IFERROR(__xludf.DUMMYFUNCTION("""COMPUTED_VALUE"""),"خادمین الزهرا و پایگاه حضرت خدیجه")</f>
        <v>خادمین الزهرا و پایگاه حضرت خدیجه</v>
      </c>
      <c r="D1172" s="5" t="str">
        <f>IFERROR(__xludf.DUMMYFUNCTION("""COMPUTED_VALUE"""),"تهران")</f>
        <v>تهران</v>
      </c>
      <c r="E1172" s="5"/>
      <c r="F1172" s="5"/>
      <c r="G1172" s="5"/>
      <c r="H1172" s="5"/>
      <c r="I1172" s="5"/>
      <c r="J1172" s="6" t="str">
        <f>IFERROR(__xludf.DUMMYFUNCTION("""COMPUTED_VALUE"""),"https://eitaa.com/ya_zahra_213_khademin")</f>
        <v>https://eitaa.com/ya_zahra_213_khademin</v>
      </c>
      <c r="K1172" s="5"/>
      <c r="L1172" s="5"/>
      <c r="M1172" s="5"/>
      <c r="N1172" s="5"/>
      <c r="O1172" s="5"/>
      <c r="P1172" s="5"/>
      <c r="Q1172" s="5"/>
      <c r="R1172" s="5"/>
      <c r="S1172" s="5"/>
    </row>
    <row r="1173">
      <c r="A1173" s="5"/>
      <c r="B1173" s="5" t="str">
        <f>IFERROR(__xludf.DUMMYFUNCTION("""COMPUTED_VALUE"""),"هیأت")</f>
        <v>هیأت</v>
      </c>
      <c r="C1173" s="5" t="str">
        <f>IFERROR(__xludf.DUMMYFUNCTION("""COMPUTED_VALUE"""),"دستجردیها")</f>
        <v>دستجردیها</v>
      </c>
      <c r="D1173" s="5" t="str">
        <f>IFERROR(__xludf.DUMMYFUNCTION("""COMPUTED_VALUE"""),"تهران")</f>
        <v>تهران</v>
      </c>
      <c r="E1173" s="5"/>
      <c r="F1173" s="5"/>
      <c r="G1173" s="5"/>
      <c r="H1173" s="5"/>
      <c r="I1173" s="5"/>
      <c r="J1173" s="6" t="str">
        <f>IFERROR(__xludf.DUMMYFUNCTION("""COMPUTED_VALUE"""),"https://eitaa.com/hoseiniye_dastjerdiha")</f>
        <v>https://eitaa.com/hoseiniye_dastjerdiha</v>
      </c>
      <c r="K1173" s="5"/>
      <c r="L1173" s="5"/>
      <c r="M1173" s="5"/>
      <c r="N1173" s="5"/>
      <c r="O1173" s="5"/>
      <c r="P1173" s="5"/>
      <c r="Q1173" s="5"/>
      <c r="R1173" s="5"/>
      <c r="S1173" s="5"/>
    </row>
    <row r="1174">
      <c r="A1174" s="5"/>
      <c r="B1174" s="5" t="str">
        <f>IFERROR(__xludf.DUMMYFUNCTION("""COMPUTED_VALUE"""),"هیأت")</f>
        <v>هیأت</v>
      </c>
      <c r="C1174" s="5" t="str">
        <f>IFERROR(__xludf.DUMMYFUNCTION("""COMPUTED_VALUE"""),"محبان فاطمه")</f>
        <v>محبان فاطمه</v>
      </c>
      <c r="D1174" s="5" t="str">
        <f>IFERROR(__xludf.DUMMYFUNCTION("""COMPUTED_VALUE"""),"تهران")</f>
        <v>تهران</v>
      </c>
      <c r="E1174" s="5"/>
      <c r="F1174" s="5"/>
      <c r="G1174" s="5"/>
      <c r="H1174" s="5"/>
      <c r="I1174" s="5"/>
      <c r="J1174" s="6" t="str">
        <f>IFERROR(__xludf.DUMMYFUNCTION("""COMPUTED_VALUE"""),"https://eitaa.com/mohebF")</f>
        <v>https://eitaa.com/mohebF</v>
      </c>
      <c r="K1174" s="5"/>
      <c r="L1174" s="5"/>
      <c r="M1174" s="5"/>
      <c r="N1174" s="5"/>
      <c r="O1174" s="5"/>
      <c r="P1174" s="5"/>
      <c r="Q1174" s="5"/>
      <c r="R1174" s="5"/>
      <c r="S1174" s="5"/>
    </row>
    <row r="1175">
      <c r="A1175" s="5"/>
      <c r="B1175" s="5" t="str">
        <f>IFERROR(__xludf.DUMMYFUNCTION("""COMPUTED_VALUE"""),"هیأت")</f>
        <v>هیأت</v>
      </c>
      <c r="C1175" s="5" t="str">
        <f>IFERROR(__xludf.DUMMYFUNCTION("""COMPUTED_VALUE"""),"ثارالله  ")</f>
        <v>ثارالله  </v>
      </c>
      <c r="D1175" s="5" t="str">
        <f>IFERROR(__xludf.DUMMYFUNCTION("""COMPUTED_VALUE"""),"تهران")</f>
        <v>تهران</v>
      </c>
      <c r="E1175" s="5"/>
      <c r="F1175" s="5"/>
      <c r="G1175" s="5"/>
      <c r="H1175" s="5"/>
      <c r="I1175" s="5"/>
      <c r="J1175" s="6" t="str">
        <f>IFERROR(__xludf.DUMMYFUNCTION("""COMPUTED_VALUE"""),"https://eitaa.com/contact_sarallah")</f>
        <v>https://eitaa.com/contact_sarallah</v>
      </c>
      <c r="K1175" s="5"/>
      <c r="L1175" s="5"/>
      <c r="M1175" s="5"/>
      <c r="N1175" s="5"/>
      <c r="O1175" s="5"/>
      <c r="P1175" s="5"/>
      <c r="Q1175" s="5"/>
      <c r="R1175" s="5"/>
      <c r="S1175" s="5"/>
    </row>
    <row r="1176">
      <c r="A1176" s="5"/>
      <c r="B1176" s="5" t="str">
        <f>IFERROR(__xludf.DUMMYFUNCTION("""COMPUTED_VALUE"""),"حسینیه")</f>
        <v>حسینیه</v>
      </c>
      <c r="C1176" s="5" t="str">
        <f>IFERROR(__xludf.DUMMYFUNCTION("""COMPUTED_VALUE"""),"شهدا")</f>
        <v>شهدا</v>
      </c>
      <c r="D1176" s="5" t="str">
        <f>IFERROR(__xludf.DUMMYFUNCTION("""COMPUTED_VALUE"""),"تهران")</f>
        <v>تهران</v>
      </c>
      <c r="E1176" s="5" t="str">
        <f>IFERROR(__xludf.DUMMYFUNCTION("""COMPUTED_VALUE"""),"قرچک")</f>
        <v>قرچک</v>
      </c>
      <c r="F1176" s="5"/>
      <c r="G1176" s="5"/>
      <c r="H1176" s="6" t="str">
        <f>IFERROR(__xludf.DUMMYFUNCTION("""COMPUTED_VALUE"""),"https://www.instagram.com/hshohadaq")</f>
        <v>https://www.instagram.com/hshohadaq</v>
      </c>
      <c r="I1176" s="6" t="str">
        <f>IFERROR(__xludf.DUMMYFUNCTION("""COMPUTED_VALUE"""),"https://t.me/hshohadaq")</f>
        <v>https://t.me/hshohadaq</v>
      </c>
      <c r="J1176" s="6" t="str">
        <f>IFERROR(__xludf.DUMMYFUNCTION("""COMPUTED_VALUE"""),"https://eitaa.com/HshohadaQ")</f>
        <v>https://eitaa.com/HshohadaQ</v>
      </c>
      <c r="K1176" s="5"/>
      <c r="L1176" s="5"/>
      <c r="M1176" s="5"/>
      <c r="N1176" s="5"/>
      <c r="O1176" s="5"/>
      <c r="P1176" s="5"/>
      <c r="Q1176" s="5"/>
      <c r="R1176" s="5"/>
      <c r="S1176" s="5"/>
    </row>
    <row r="1177">
      <c r="A1177" s="5"/>
      <c r="B1177" s="5" t="str">
        <f>IFERROR(__xludf.DUMMYFUNCTION("""COMPUTED_VALUE"""),"حسینیه")</f>
        <v>حسینیه</v>
      </c>
      <c r="C1177" s="5" t="str">
        <f>IFERROR(__xludf.DUMMYFUNCTION("""COMPUTED_VALUE"""),"اعظم مکتب العباس")</f>
        <v>اعظم مکتب العباس</v>
      </c>
      <c r="D1177" s="5" t="str">
        <f>IFERROR(__xludf.DUMMYFUNCTION("""COMPUTED_VALUE"""),"تهران")</f>
        <v>تهران</v>
      </c>
      <c r="E1177" s="5"/>
      <c r="F1177" s="5"/>
      <c r="G1177" s="5"/>
      <c r="H1177" s="5"/>
      <c r="I1177" s="5"/>
      <c r="J1177" s="6" t="str">
        <f>IFERROR(__xludf.DUMMYFUNCTION("""COMPUTED_VALUE"""),"https://eitaa.com/maktab1385")</f>
        <v>https://eitaa.com/maktab1385</v>
      </c>
      <c r="K1177" s="5"/>
      <c r="L1177" s="5"/>
      <c r="M1177" s="5"/>
      <c r="N1177" s="5"/>
      <c r="O1177" s="5"/>
      <c r="P1177" s="5"/>
      <c r="Q1177" s="5"/>
      <c r="R1177" s="5"/>
      <c r="S1177" s="5"/>
    </row>
    <row r="1178">
      <c r="A1178" s="5"/>
      <c r="B1178" s="5" t="str">
        <f>IFERROR(__xludf.DUMMYFUNCTION("""COMPUTED_VALUE"""),"موکب")</f>
        <v>موکب</v>
      </c>
      <c r="C1178" s="5" t="str">
        <f>IFERROR(__xludf.DUMMYFUNCTION("""COMPUTED_VALUE"""),"مسلم بن عقیل")</f>
        <v>مسلم بن عقیل</v>
      </c>
      <c r="D1178" s="5" t="str">
        <f>IFERROR(__xludf.DUMMYFUNCTION("""COMPUTED_VALUE"""),"تهران")</f>
        <v>تهران</v>
      </c>
      <c r="E1178" s="5"/>
      <c r="F1178" s="5"/>
      <c r="G1178" s="5"/>
      <c r="H1178" s="5"/>
      <c r="I1178" s="5"/>
      <c r="J1178" s="6" t="str">
        <f>IFERROR(__xludf.DUMMYFUNCTION("""COMPUTED_VALUE"""),"https://eitaa.com/moslem535")</f>
        <v>https://eitaa.com/moslem535</v>
      </c>
      <c r="K1178" s="5"/>
      <c r="L1178" s="5"/>
      <c r="M1178" s="5"/>
      <c r="N1178" s="5"/>
      <c r="O1178" s="5"/>
      <c r="P1178" s="5"/>
      <c r="Q1178" s="5"/>
      <c r="R1178" s="5"/>
      <c r="S1178" s="5"/>
    </row>
    <row r="1179">
      <c r="A1179" s="5"/>
      <c r="B1179" s="5" t="str">
        <f>IFERROR(__xludf.DUMMYFUNCTION("""COMPUTED_VALUE"""),"هیأت")</f>
        <v>هیأت</v>
      </c>
      <c r="C1179" s="5" t="str">
        <f>IFERROR(__xludf.DUMMYFUNCTION("""COMPUTED_VALUE"""),"شیفتگان حضرت زینب")</f>
        <v>شیفتگان حضرت زینب</v>
      </c>
      <c r="D1179" s="5" t="str">
        <f>IFERROR(__xludf.DUMMYFUNCTION("""COMPUTED_VALUE"""),"تهران")</f>
        <v>تهران</v>
      </c>
      <c r="E1179" s="5"/>
      <c r="F1179" s="5"/>
      <c r="G1179" s="5"/>
      <c r="H1179" s="5"/>
      <c r="I1179" s="5"/>
      <c r="J1179" s="6" t="str">
        <f>IFERROR(__xludf.DUMMYFUNCTION("""COMPUTED_VALUE"""),"https://eitaa.com/Shiftegan_Hazrat_Zeynab")</f>
        <v>https://eitaa.com/Shiftegan_Hazrat_Zeynab</v>
      </c>
      <c r="K1179" s="5"/>
      <c r="L1179" s="5"/>
      <c r="M1179" s="5"/>
      <c r="N1179" s="5"/>
      <c r="O1179" s="5"/>
      <c r="P1179" s="5"/>
      <c r="Q1179" s="5"/>
      <c r="R1179" s="5"/>
      <c r="S1179" s="5"/>
    </row>
    <row r="1180">
      <c r="A1180" s="5"/>
      <c r="B1180" s="5" t="str">
        <f>IFERROR(__xludf.DUMMYFUNCTION("""COMPUTED_VALUE"""),"هیأت")</f>
        <v>هیأت</v>
      </c>
      <c r="C1180" s="5" t="str">
        <f>IFERROR(__xludf.DUMMYFUNCTION("""COMPUTED_VALUE"""),"محبان اهل بیت")</f>
        <v>محبان اهل بیت</v>
      </c>
      <c r="D1180" s="5" t="str">
        <f>IFERROR(__xludf.DUMMYFUNCTION("""COMPUTED_VALUE"""),"تهران")</f>
        <v>تهران</v>
      </c>
      <c r="E1180" s="5"/>
      <c r="F1180" s="5"/>
      <c r="G1180" s="5"/>
      <c r="H1180" s="5"/>
      <c r="I1180" s="5"/>
      <c r="J1180" s="6" t="str">
        <f>IFERROR(__xludf.DUMMYFUNCTION("""COMPUTED_VALUE"""),"https://eitaa.com/moheban81")</f>
        <v>https://eitaa.com/moheban81</v>
      </c>
      <c r="K1180" s="5"/>
      <c r="L1180" s="5"/>
      <c r="M1180" s="5"/>
      <c r="N1180" s="5"/>
      <c r="O1180" s="5"/>
      <c r="P1180" s="5"/>
      <c r="Q1180" s="5"/>
      <c r="R1180" s="5"/>
      <c r="S1180" s="5"/>
    </row>
    <row r="1181">
      <c r="A1181" s="5"/>
      <c r="B1181" s="5" t="str">
        <f>IFERROR(__xludf.DUMMYFUNCTION("""COMPUTED_VALUE"""),"هیأت")</f>
        <v>هیأت</v>
      </c>
      <c r="C1181" s="5" t="str">
        <f>IFERROR(__xludf.DUMMYFUNCTION("""COMPUTED_VALUE"""),"ام احباء")</f>
        <v>ام احباء</v>
      </c>
      <c r="D1181" s="5" t="str">
        <f>IFERROR(__xludf.DUMMYFUNCTION("""COMPUTED_VALUE"""),"تهران")</f>
        <v>تهران</v>
      </c>
      <c r="E1181" s="5"/>
      <c r="F1181" s="5"/>
      <c r="G1181" s="5"/>
      <c r="H1181" s="5"/>
      <c r="I1181" s="5"/>
      <c r="J1181" s="6" t="str">
        <f>IFERROR(__xludf.DUMMYFUNCTION("""COMPUTED_VALUE"""),"https://eitaa.com/Heyat_omeaheba")</f>
        <v>https://eitaa.com/Heyat_omeaheba</v>
      </c>
      <c r="K1181" s="5"/>
      <c r="L1181" s="5"/>
      <c r="M1181" s="5"/>
      <c r="N1181" s="5"/>
      <c r="O1181" s="5"/>
      <c r="P1181" s="5"/>
      <c r="Q1181" s="5"/>
      <c r="R1181" s="5"/>
      <c r="S1181" s="5"/>
    </row>
    <row r="1182">
      <c r="A1182" s="5"/>
      <c r="B1182" s="5" t="str">
        <f>IFERROR(__xludf.DUMMYFUNCTION("""COMPUTED_VALUE"""),"هیأت بانوان")</f>
        <v>هیأت بانوان</v>
      </c>
      <c r="C1182" s="5" t="str">
        <f>IFERROR(__xludf.DUMMYFUNCTION("""COMPUTED_VALUE"""),"شریف روضه الحسین")</f>
        <v>شریف روضه الحسین</v>
      </c>
      <c r="D1182" s="5" t="str">
        <f>IFERROR(__xludf.DUMMYFUNCTION("""COMPUTED_VALUE"""),"تهران")</f>
        <v>تهران</v>
      </c>
      <c r="E1182" s="5"/>
      <c r="F1182" s="5"/>
      <c r="G1182" s="5"/>
      <c r="H1182" s="5"/>
      <c r="I1182" s="5"/>
      <c r="J1182" s="6" t="str">
        <f>IFERROR(__xludf.DUMMYFUNCTION("""COMPUTED_VALUE"""),"https://eitaa.com/rozatolhosein1381")</f>
        <v>https://eitaa.com/rozatolhosein1381</v>
      </c>
      <c r="K1182" s="5"/>
      <c r="L1182" s="5"/>
      <c r="M1182" s="5"/>
      <c r="N1182" s="5"/>
      <c r="O1182" s="5"/>
      <c r="P1182" s="5"/>
      <c r="Q1182" s="5"/>
      <c r="R1182" s="5"/>
      <c r="S1182" s="5"/>
    </row>
    <row r="1183">
      <c r="A1183" s="5"/>
      <c r="B1183" s="5" t="str">
        <f>IFERROR(__xludf.DUMMYFUNCTION("""COMPUTED_VALUE"""),"موکب")</f>
        <v>موکب</v>
      </c>
      <c r="C1183" s="5" t="str">
        <f>IFERROR(__xludf.DUMMYFUNCTION("""COMPUTED_VALUE"""),"فرهنگی شهید حاج رسول استوار")</f>
        <v>فرهنگی شهید حاج رسول استوار</v>
      </c>
      <c r="D1183" s="5" t="str">
        <f>IFERROR(__xludf.DUMMYFUNCTION("""COMPUTED_VALUE"""),"تهران")</f>
        <v>تهران</v>
      </c>
      <c r="E1183" s="5"/>
      <c r="F1183" s="5"/>
      <c r="G1183" s="5"/>
      <c r="H1183" s="5"/>
      <c r="I1183" s="5"/>
      <c r="J1183" s="6" t="str">
        <f>IFERROR(__xludf.DUMMYFUNCTION("""COMPUTED_VALUE"""),"https://eitaa.com/ostovar313")</f>
        <v>https://eitaa.com/ostovar313</v>
      </c>
      <c r="K1183" s="5"/>
      <c r="L1183" s="5"/>
      <c r="M1183" s="5"/>
      <c r="N1183" s="5"/>
      <c r="O1183" s="5"/>
      <c r="P1183" s="5"/>
      <c r="Q1183" s="5"/>
      <c r="R1183" s="5"/>
      <c r="S1183" s="5"/>
    </row>
    <row r="1184">
      <c r="A1184" s="5"/>
      <c r="B1184" s="5" t="str">
        <f>IFERROR(__xludf.DUMMYFUNCTION("""COMPUTED_VALUE"""),"موکب")</f>
        <v>موکب</v>
      </c>
      <c r="C1184" s="5" t="str">
        <f>IFERROR(__xludf.DUMMYFUNCTION("""COMPUTED_VALUE"""),"خادمین کربلا")</f>
        <v>خادمین کربلا</v>
      </c>
      <c r="D1184" s="5" t="str">
        <f>IFERROR(__xludf.DUMMYFUNCTION("""COMPUTED_VALUE"""),"تهران")</f>
        <v>تهران</v>
      </c>
      <c r="E1184" s="5"/>
      <c r="F1184" s="5"/>
      <c r="G1184" s="5"/>
      <c r="H1184" s="5"/>
      <c r="I1184" s="5"/>
      <c r="J1184" s="6" t="str">
        <f>IFERROR(__xludf.DUMMYFUNCTION("""COMPUTED_VALUE"""),"https://eitaa.com/mokabkhademin")</f>
        <v>https://eitaa.com/mokabkhademin</v>
      </c>
      <c r="K1184" s="5"/>
      <c r="L1184" s="5"/>
      <c r="M1184" s="5"/>
      <c r="N1184" s="5"/>
      <c r="O1184" s="5"/>
      <c r="P1184" s="5"/>
      <c r="Q1184" s="5"/>
      <c r="R1184" s="5"/>
      <c r="S1184" s="5"/>
    </row>
    <row r="1185">
      <c r="A1185" s="5"/>
      <c r="B1185" s="5" t="str">
        <f>IFERROR(__xludf.DUMMYFUNCTION("""COMPUTED_VALUE"""),"هیأت")</f>
        <v>هیأت</v>
      </c>
      <c r="C1185" s="5" t="str">
        <f>IFERROR(__xludf.DUMMYFUNCTION("""COMPUTED_VALUE"""),"جامع دختران حاج قاسم")</f>
        <v>جامع دختران حاج قاسم</v>
      </c>
      <c r="D1185" s="5" t="str">
        <f>IFERROR(__xludf.DUMMYFUNCTION("""COMPUTED_VALUE"""),"تهران")</f>
        <v>تهران</v>
      </c>
      <c r="E1185" s="5"/>
      <c r="F1185" s="5"/>
      <c r="G1185" s="5"/>
      <c r="H1185" s="5"/>
      <c r="I1185" s="5"/>
      <c r="J1185" s="6" t="str">
        <f>IFERROR(__xludf.DUMMYFUNCTION("""COMPUTED_VALUE"""),"https://eitaa.com/heyatjame_dokhtranhajgasem")</f>
        <v>https://eitaa.com/heyatjame_dokhtranhajgasem</v>
      </c>
      <c r="K1185" s="5"/>
      <c r="L1185" s="5"/>
      <c r="M1185" s="5"/>
      <c r="N1185" s="5"/>
      <c r="O1185" s="5"/>
      <c r="P1185" s="5"/>
      <c r="Q1185" s="5"/>
      <c r="R1185" s="5"/>
      <c r="S1185" s="5"/>
    </row>
    <row r="1186">
      <c r="A1186" s="5"/>
      <c r="B1186" s="5" t="str">
        <f>IFERROR(__xludf.DUMMYFUNCTION("""COMPUTED_VALUE"""),"هیأت")</f>
        <v>هیأت</v>
      </c>
      <c r="C1186" s="5" t="str">
        <f>IFERROR(__xludf.DUMMYFUNCTION("""COMPUTED_VALUE"""),"شهر پرند")</f>
        <v>شهر پرند</v>
      </c>
      <c r="D1186" s="5" t="str">
        <f>IFERROR(__xludf.DUMMYFUNCTION("""COMPUTED_VALUE"""),"تهران")</f>
        <v>تهران</v>
      </c>
      <c r="E1186" s="5"/>
      <c r="F1186" s="5"/>
      <c r="G1186" s="5"/>
      <c r="H1186" s="5"/>
      <c r="I1186" s="5"/>
      <c r="J1186" s="6" t="str">
        <f>IFERROR(__xludf.DUMMYFUNCTION("""COMPUTED_VALUE"""),"https://eitaa.com/heyat_parand")</f>
        <v>https://eitaa.com/heyat_parand</v>
      </c>
      <c r="K1186" s="5"/>
      <c r="L1186" s="5"/>
      <c r="M1186" s="5"/>
      <c r="N1186" s="5"/>
      <c r="O1186" s="5"/>
      <c r="P1186" s="5"/>
      <c r="Q1186" s="5"/>
      <c r="R1186" s="5"/>
      <c r="S1186" s="5"/>
    </row>
    <row r="1187">
      <c r="A1187" s="5"/>
      <c r="B1187" s="5" t="str">
        <f>IFERROR(__xludf.DUMMYFUNCTION("""COMPUTED_VALUE"""),"هیأت")</f>
        <v>هیأت</v>
      </c>
      <c r="C1187" s="5" t="str">
        <f>IFERROR(__xludf.DUMMYFUNCTION("""COMPUTED_VALUE"""),"انصار القائم")</f>
        <v>انصار القائم</v>
      </c>
      <c r="D1187" s="5" t="str">
        <f>IFERROR(__xludf.DUMMYFUNCTION("""COMPUTED_VALUE"""),"تهران")</f>
        <v>تهران</v>
      </c>
      <c r="E1187" s="5"/>
      <c r="F1187" s="5"/>
      <c r="G1187" s="5"/>
      <c r="H1187" s="5"/>
      <c r="I1187" s="5"/>
      <c r="J1187" s="6" t="str">
        <f>IFERROR(__xludf.DUMMYFUNCTION("""COMPUTED_VALUE"""),"https://eitaa.com/a_ghaaem")</f>
        <v>https://eitaa.com/a_ghaaem</v>
      </c>
      <c r="K1187" s="5"/>
      <c r="L1187" s="5"/>
      <c r="M1187" s="5"/>
      <c r="N1187" s="5"/>
      <c r="O1187" s="5"/>
      <c r="P1187" s="5"/>
      <c r="Q1187" s="5"/>
      <c r="R1187" s="5"/>
      <c r="S1187" s="5"/>
    </row>
    <row r="1188">
      <c r="A1188" s="5"/>
      <c r="B1188" s="5" t="str">
        <f>IFERROR(__xludf.DUMMYFUNCTION("""COMPUTED_VALUE"""),"موکب")</f>
        <v>موکب</v>
      </c>
      <c r="C1188" s="5" t="str">
        <f>IFERROR(__xludf.DUMMYFUNCTION("""COMPUTED_VALUE"""),"حبیب بن مظاهر نراق - کربلا")</f>
        <v>حبیب بن مظاهر نراق - کربلا</v>
      </c>
      <c r="D1188" s="5" t="str">
        <f>IFERROR(__xludf.DUMMYFUNCTION("""COMPUTED_VALUE"""),"تهران")</f>
        <v>تهران</v>
      </c>
      <c r="E1188" s="5"/>
      <c r="F1188" s="5"/>
      <c r="G1188" s="5"/>
      <c r="H1188" s="5"/>
      <c r="I1188" s="5"/>
      <c r="J1188" s="6" t="str">
        <f>IFERROR(__xludf.DUMMYFUNCTION("""COMPUTED_VALUE"""),"https://eitaa.com/NaraghMokeb")</f>
        <v>https://eitaa.com/NaraghMokeb</v>
      </c>
      <c r="K1188" s="5"/>
      <c r="L1188" s="5"/>
      <c r="M1188" s="5"/>
      <c r="N1188" s="5"/>
      <c r="O1188" s="5"/>
      <c r="P1188" s="5"/>
      <c r="Q1188" s="5"/>
      <c r="R1188" s="5"/>
      <c r="S1188" s="5"/>
    </row>
    <row r="1189">
      <c r="A1189" s="5"/>
      <c r="B1189" s="5" t="str">
        <f>IFERROR(__xludf.DUMMYFUNCTION("""COMPUTED_VALUE"""),"حسینیه")</f>
        <v>حسینیه</v>
      </c>
      <c r="C1189" s="5" t="str">
        <f>IFERROR(__xludf.DUMMYFUNCTION("""COMPUTED_VALUE"""),"حضرت ابوالفضل (کرمانج ها)")</f>
        <v>حضرت ابوالفضل (کرمانج ها)</v>
      </c>
      <c r="D1189" s="5" t="str">
        <f>IFERROR(__xludf.DUMMYFUNCTION("""COMPUTED_VALUE"""),"تهران")</f>
        <v>تهران</v>
      </c>
      <c r="E1189" s="5"/>
      <c r="F1189" s="5"/>
      <c r="G1189" s="5"/>
      <c r="H1189" s="5"/>
      <c r="I1189" s="5"/>
      <c r="J1189" s="6" t="str">
        <f>IFERROR(__xludf.DUMMYFUNCTION("""COMPUTED_VALUE"""),"https://eitaa.com/AbolfazlAbbas_Kormanjha")</f>
        <v>https://eitaa.com/AbolfazlAbbas_Kormanjha</v>
      </c>
      <c r="K1189" s="5"/>
      <c r="L1189" s="5"/>
      <c r="M1189" s="5"/>
      <c r="N1189" s="5"/>
      <c r="O1189" s="5"/>
      <c r="P1189" s="5"/>
      <c r="Q1189" s="5"/>
      <c r="R1189" s="5"/>
      <c r="S1189" s="5"/>
    </row>
    <row r="1190">
      <c r="A1190" s="5"/>
      <c r="B1190" s="5" t="str">
        <f>IFERROR(__xludf.DUMMYFUNCTION("""COMPUTED_VALUE"""),"هیأت")</f>
        <v>هیأت</v>
      </c>
      <c r="C1190" s="5" t="str">
        <f>IFERROR(__xludf.DUMMYFUNCTION("""COMPUTED_VALUE"""),"سجادیه")</f>
        <v>سجادیه</v>
      </c>
      <c r="D1190" s="5" t="str">
        <f>IFERROR(__xludf.DUMMYFUNCTION("""COMPUTED_VALUE"""),"تهران")</f>
        <v>تهران</v>
      </c>
      <c r="E1190" s="5" t="str">
        <f>IFERROR(__xludf.DUMMYFUNCTION("""COMPUTED_VALUE"""),"اسلامشهر")</f>
        <v>اسلامشهر</v>
      </c>
      <c r="F1190" s="5"/>
      <c r="G1190" s="5"/>
      <c r="H1190" s="5"/>
      <c r="I1190" s="5"/>
      <c r="J1190" s="6" t="str">
        <f>IFERROR(__xludf.DUMMYFUNCTION("""COMPUTED_VALUE"""),"https://eitaa.com/sajjadiye_Eslamshahr")</f>
        <v>https://eitaa.com/sajjadiye_Eslamshahr</v>
      </c>
      <c r="K1190" s="5"/>
      <c r="L1190" s="5"/>
      <c r="M1190" s="5"/>
      <c r="N1190" s="5"/>
      <c r="O1190" s="5"/>
      <c r="P1190" s="5"/>
      <c r="Q1190" s="5"/>
      <c r="R1190" s="5"/>
      <c r="S1190" s="5"/>
    </row>
    <row r="1191">
      <c r="A1191" s="5"/>
      <c r="B1191" s="5" t="str">
        <f>IFERROR(__xludf.DUMMYFUNCTION("""COMPUTED_VALUE"""),"موکب")</f>
        <v>موکب</v>
      </c>
      <c r="C1191" s="5" t="str">
        <f>IFERROR(__xludf.DUMMYFUNCTION("""COMPUTED_VALUE"""),"مدافعان حرم گلزار شهدای تهران")</f>
        <v>مدافعان حرم گلزار شهدای تهران</v>
      </c>
      <c r="D1191" s="5" t="str">
        <f>IFERROR(__xludf.DUMMYFUNCTION("""COMPUTED_VALUE"""),"تهران")</f>
        <v>تهران</v>
      </c>
      <c r="E1191" s="5"/>
      <c r="F1191" s="5"/>
      <c r="G1191" s="5"/>
      <c r="H1191" s="5"/>
      <c r="I1191" s="5"/>
      <c r="J1191" s="6" t="str">
        <f>IFERROR(__xludf.DUMMYFUNCTION("""COMPUTED_VALUE"""),"https://eitaa.com/modafeanharam")</f>
        <v>https://eitaa.com/modafeanharam</v>
      </c>
      <c r="K1191" s="5"/>
      <c r="L1191" s="5"/>
      <c r="M1191" s="5"/>
      <c r="N1191" s="5"/>
      <c r="O1191" s="5"/>
      <c r="P1191" s="5"/>
      <c r="Q1191" s="5"/>
      <c r="R1191" s="5"/>
      <c r="S1191" s="5"/>
    </row>
    <row r="1192">
      <c r="A1192" s="5"/>
      <c r="B1192" s="5" t="str">
        <f>IFERROR(__xludf.DUMMYFUNCTION("""COMPUTED_VALUE"""),"هیأت بانوان")</f>
        <v>هیأت بانوان</v>
      </c>
      <c r="C1192" s="5" t="str">
        <f>IFERROR(__xludf.DUMMYFUNCTION("""COMPUTED_VALUE"""),"بهشت بافق")</f>
        <v>بهشت بافق</v>
      </c>
      <c r="D1192" s="5" t="str">
        <f>IFERROR(__xludf.DUMMYFUNCTION("""COMPUTED_VALUE"""),"تهران")</f>
        <v>تهران</v>
      </c>
      <c r="E1192" s="5"/>
      <c r="F1192" s="5"/>
      <c r="G1192" s="5"/>
      <c r="H1192" s="5"/>
      <c r="I1192" s="5"/>
      <c r="J1192" s="6" t="str">
        <f>IFERROR(__xludf.DUMMYFUNCTION("""COMPUTED_VALUE"""),"https://eitaa.com/heiat_behesht_bafgh")</f>
        <v>https://eitaa.com/heiat_behesht_bafgh</v>
      </c>
      <c r="K1192" s="5"/>
      <c r="L1192" s="5"/>
      <c r="M1192" s="5"/>
      <c r="N1192" s="5"/>
      <c r="O1192" s="5"/>
      <c r="P1192" s="5"/>
      <c r="Q1192" s="5"/>
      <c r="R1192" s="5"/>
      <c r="S1192" s="5"/>
    </row>
    <row r="1193">
      <c r="A1193" s="5"/>
      <c r="B1193" s="5" t="str">
        <f>IFERROR(__xludf.DUMMYFUNCTION("""COMPUTED_VALUE"""),"هیأت")</f>
        <v>هیأت</v>
      </c>
      <c r="C1193" s="5" t="str">
        <f>IFERROR(__xludf.DUMMYFUNCTION("""COMPUTED_VALUE"""),"فاطمیون صالحیه")</f>
        <v>فاطمیون صالحیه</v>
      </c>
      <c r="D1193" s="5" t="str">
        <f>IFERROR(__xludf.DUMMYFUNCTION("""COMPUTED_VALUE"""),"تهران")</f>
        <v>تهران</v>
      </c>
      <c r="E1193" s="5"/>
      <c r="F1193" s="5"/>
      <c r="G1193" s="5"/>
      <c r="H1193" s="5"/>
      <c r="I1193" s="5"/>
      <c r="J1193" s="6" t="str">
        <f>IFERROR(__xludf.DUMMYFUNCTION("""COMPUTED_VALUE"""),"https://eitaa.com/Heyat_Fatemiyun")</f>
        <v>https://eitaa.com/Heyat_Fatemiyun</v>
      </c>
      <c r="K1193" s="5"/>
      <c r="L1193" s="5"/>
      <c r="M1193" s="5"/>
      <c r="N1193" s="5"/>
      <c r="O1193" s="5"/>
      <c r="P1193" s="5"/>
      <c r="Q1193" s="5"/>
      <c r="R1193" s="5"/>
      <c r="S1193" s="5"/>
    </row>
    <row r="1194">
      <c r="A1194" s="5"/>
      <c r="B1194" s="5" t="str">
        <f>IFERROR(__xludf.DUMMYFUNCTION("""COMPUTED_VALUE"""),"هیأت")</f>
        <v>هیأت</v>
      </c>
      <c r="C1194" s="5" t="str">
        <f>IFERROR(__xludf.DUMMYFUNCTION("""COMPUTED_VALUE"""),"معصومیه و کانون شمیم ولایت")</f>
        <v>معصومیه و کانون شمیم ولایت</v>
      </c>
      <c r="D1194" s="5" t="str">
        <f>IFERROR(__xludf.DUMMYFUNCTION("""COMPUTED_VALUE"""),"تهران")</f>
        <v>تهران</v>
      </c>
      <c r="E1194" s="5"/>
      <c r="F1194" s="5"/>
      <c r="G1194" s="5"/>
      <c r="H1194" s="5"/>
      <c r="I1194" s="5"/>
      <c r="J1194" s="6" t="str">
        <f>IFERROR(__xludf.DUMMYFUNCTION("""COMPUTED_VALUE"""),"https://eitaa.com/massoumiyeh")</f>
        <v>https://eitaa.com/massoumiyeh</v>
      </c>
      <c r="K1194" s="5"/>
      <c r="L1194" s="5"/>
      <c r="M1194" s="5"/>
      <c r="N1194" s="5"/>
      <c r="O1194" s="5"/>
      <c r="P1194" s="5"/>
      <c r="Q1194" s="5"/>
      <c r="R1194" s="5"/>
      <c r="S1194" s="5"/>
    </row>
    <row r="1195">
      <c r="A1195" s="5"/>
      <c r="B1195" s="5" t="str">
        <f>IFERROR(__xludf.DUMMYFUNCTION("""COMPUTED_VALUE"""),"هیأت")</f>
        <v>هیأت</v>
      </c>
      <c r="C1195" s="5" t="str">
        <f>IFERROR(__xludf.DUMMYFUNCTION("""COMPUTED_VALUE"""),"محبان الزهرا")</f>
        <v>محبان الزهرا</v>
      </c>
      <c r="D1195" s="5" t="str">
        <f>IFERROR(__xludf.DUMMYFUNCTION("""COMPUTED_VALUE"""),"تهران")</f>
        <v>تهران</v>
      </c>
      <c r="E1195" s="5"/>
      <c r="F1195" s="5"/>
      <c r="G1195" s="5"/>
      <c r="H1195" s="5"/>
      <c r="I1195" s="5"/>
      <c r="J1195" s="6" t="str">
        <f>IFERROR(__xludf.DUMMYFUNCTION("""COMPUTED_VALUE"""),"https://eitaa.com/heyatealzahra_ir")</f>
        <v>https://eitaa.com/heyatealzahra_ir</v>
      </c>
      <c r="K1195" s="5"/>
      <c r="L1195" s="5"/>
      <c r="M1195" s="5"/>
      <c r="N1195" s="5"/>
      <c r="O1195" s="5"/>
      <c r="P1195" s="5"/>
      <c r="Q1195" s="5"/>
      <c r="R1195" s="5"/>
      <c r="S1195" s="5"/>
    </row>
    <row r="1196">
      <c r="A1196" s="5"/>
      <c r="B1196" s="5" t="str">
        <f>IFERROR(__xludf.DUMMYFUNCTION("""COMPUTED_VALUE"""),"هیأت")</f>
        <v>هیأت</v>
      </c>
      <c r="C1196" s="5" t="str">
        <f>IFERROR(__xludf.DUMMYFUNCTION("""COMPUTED_VALUE"""),"یازهرا")</f>
        <v>یازهرا</v>
      </c>
      <c r="D1196" s="5" t="str">
        <f>IFERROR(__xludf.DUMMYFUNCTION("""COMPUTED_VALUE"""),"تهران")</f>
        <v>تهران</v>
      </c>
      <c r="E1196" s="5"/>
      <c r="F1196" s="5"/>
      <c r="G1196" s="5"/>
      <c r="H1196" s="6" t="str">
        <f>IFERROR(__xludf.DUMMYFUNCTION("""COMPUTED_VALUE"""),"https://www.instagram.com/heyatyazahra/")</f>
        <v>https://www.instagram.com/heyatyazahra/</v>
      </c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</row>
    <row r="1197">
      <c r="A1197" s="5">
        <f>IFERROR(__xludf.DUMMYFUNCTION("""COMPUTED_VALUE"""),13555.0)</f>
        <v>13555</v>
      </c>
      <c r="B1197" s="5" t="str">
        <f>IFERROR(__xludf.DUMMYFUNCTION("""COMPUTED_VALUE"""),"هیأت")</f>
        <v>هیأت</v>
      </c>
      <c r="C1197" s="5" t="str">
        <f>IFERROR(__xludf.DUMMYFUNCTION("""COMPUTED_VALUE"""),"عاشقان ولایت")</f>
        <v>عاشقان ولایت</v>
      </c>
      <c r="D1197" s="5" t="str">
        <f>IFERROR(__xludf.DUMMYFUNCTION("""COMPUTED_VALUE"""),"گیلان")</f>
        <v>گیلان</v>
      </c>
      <c r="E1197" s="5" t="str">
        <f>IFERROR(__xludf.DUMMYFUNCTION("""COMPUTED_VALUE"""),"آستارا")</f>
        <v>آستارا</v>
      </c>
      <c r="F1197" s="5"/>
      <c r="G1197" s="5"/>
      <c r="H1197" s="6" t="str">
        <f>IFERROR(__xludf.DUMMYFUNCTION("""COMPUTED_VALUE"""),"https://www.instagram.com/asheghan_zeynab_astaraa/")</f>
        <v>https://www.instagram.com/asheghan_zeynab_astaraa/</v>
      </c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</row>
    <row r="1198">
      <c r="A1198" s="5"/>
      <c r="B1198" s="5" t="str">
        <f>IFERROR(__xludf.DUMMYFUNCTION("""COMPUTED_VALUE"""),"هیأت")</f>
        <v>هیأت</v>
      </c>
      <c r="C1198" s="5" t="str">
        <f>IFERROR(__xludf.DUMMYFUNCTION("""COMPUTED_VALUE"""),"ریحانة الحسین")</f>
        <v>ریحانة الحسین</v>
      </c>
      <c r="D1198" s="5" t="str">
        <f>IFERROR(__xludf.DUMMYFUNCTION("""COMPUTED_VALUE"""),"گیلان")</f>
        <v>گیلان</v>
      </c>
      <c r="E1198" s="5" t="str">
        <f>IFERROR(__xludf.DUMMYFUNCTION("""COMPUTED_VALUE"""),"آستارا")</f>
        <v>آستارا</v>
      </c>
      <c r="F1198" s="5"/>
      <c r="G1198" s="5"/>
      <c r="H1198" s="6" t="str">
        <f>IFERROR(__xludf.DUMMYFUNCTION("""COMPUTED_VALUE"""),"https://www.instagram.com/reyhanatolhoseyn_astara/")</f>
        <v>https://www.instagram.com/reyhanatolhoseyn_astara/</v>
      </c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</row>
    <row r="1199">
      <c r="A1199" s="5"/>
      <c r="B1199" s="5" t="str">
        <f>IFERROR(__xludf.DUMMYFUNCTION("""COMPUTED_VALUE"""),"شبیه خوانی")</f>
        <v>شبیه خوانی</v>
      </c>
      <c r="C1199" s="5" t="str">
        <f>IFERROR(__xludf.DUMMYFUNCTION("""COMPUTED_VALUE"""),"ثارالله")</f>
        <v>ثارالله</v>
      </c>
      <c r="D1199" s="5" t="str">
        <f>IFERROR(__xludf.DUMMYFUNCTION("""COMPUTED_VALUE"""),"گیلان")</f>
        <v>گیلان</v>
      </c>
      <c r="E1199" s="5" t="str">
        <f>IFERROR(__xludf.DUMMYFUNCTION("""COMPUTED_VALUE"""),"آستارا")</f>
        <v>آستارا</v>
      </c>
      <c r="F1199" s="5"/>
      <c r="G1199" s="5"/>
      <c r="H1199" s="6" t="str">
        <f>IFERROR(__xludf.DUMMYFUNCTION("""COMPUTED_VALUE"""),"https://www.instagram.com/heyat_sar_allah_/")</f>
        <v>https://www.instagram.com/heyat_sar_allah_/</v>
      </c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</row>
    <row r="1200">
      <c r="A1200" s="5"/>
      <c r="B1200" s="5" t="str">
        <f>IFERROR(__xludf.DUMMYFUNCTION("""COMPUTED_VALUE"""),"هیأت")</f>
        <v>هیأت</v>
      </c>
      <c r="C1200" s="5" t="str">
        <f>IFERROR(__xludf.DUMMYFUNCTION("""COMPUTED_VALUE"""),"نوای زینب")</f>
        <v>نوای زینب</v>
      </c>
      <c r="D1200" s="5" t="str">
        <f>IFERROR(__xludf.DUMMYFUNCTION("""COMPUTED_VALUE"""),"گیلان")</f>
        <v>گیلان</v>
      </c>
      <c r="E1200" s="5" t="str">
        <f>IFERROR(__xludf.DUMMYFUNCTION("""COMPUTED_VALUE"""),"آستارا")</f>
        <v>آستارا</v>
      </c>
      <c r="F1200" s="5"/>
      <c r="G1200" s="5">
        <f>IFERROR(__xludf.DUMMYFUNCTION("""COMPUTED_VALUE"""),2.0)</f>
        <v>2</v>
      </c>
      <c r="H1200" s="6" t="str">
        <f>IFERROR(__xludf.DUMMYFUNCTION("""COMPUTED_VALUE"""),"https://www.instagram.com/navayezeynabastara/")</f>
        <v>https://www.instagram.com/navayezeynabastara/</v>
      </c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</row>
    <row r="1201">
      <c r="A1201" s="5"/>
      <c r="B1201" s="5" t="str">
        <f>IFERROR(__xludf.DUMMYFUNCTION("""COMPUTED_VALUE"""),"هیأت")</f>
        <v>هیأت</v>
      </c>
      <c r="C1201" s="5" t="str">
        <f>IFERROR(__xludf.DUMMYFUNCTION("""COMPUTED_VALUE"""),"امام حسن مجتبی")</f>
        <v>امام حسن مجتبی</v>
      </c>
      <c r="D1201" s="5" t="str">
        <f>IFERROR(__xludf.DUMMYFUNCTION("""COMPUTED_VALUE"""),"گیلان")</f>
        <v>گیلان</v>
      </c>
      <c r="E1201" s="5" t="str">
        <f>IFERROR(__xludf.DUMMYFUNCTION("""COMPUTED_VALUE"""),"آستانه اشرفیه")</f>
        <v>آستانه اشرفیه</v>
      </c>
      <c r="F1201" s="5"/>
      <c r="G1201" s="5"/>
      <c r="H1201" s="6" t="str">
        <f>IFERROR(__xludf.DUMMYFUNCTION("""COMPUTED_VALUE"""),"https://www.instagram.com/heyate_emamhasan_mojtaba/")</f>
        <v>https://www.instagram.com/heyate_emamhasan_mojtaba/</v>
      </c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</row>
    <row r="1202">
      <c r="A1202" s="5"/>
      <c r="B1202" s="5" t="str">
        <f>IFERROR(__xludf.DUMMYFUNCTION("""COMPUTED_VALUE"""),"هیأت")</f>
        <v>هیأت</v>
      </c>
      <c r="C1202" s="5" t="str">
        <f>IFERROR(__xludf.DUMMYFUNCTION("""COMPUTED_VALUE"""),"امام حسن مجتبی")</f>
        <v>امام حسن مجتبی</v>
      </c>
      <c r="D1202" s="5" t="str">
        <f>IFERROR(__xludf.DUMMYFUNCTION("""COMPUTED_VALUE"""),"گیلان")</f>
        <v>گیلان</v>
      </c>
      <c r="E1202" s="5" t="str">
        <f>IFERROR(__xludf.DUMMYFUNCTION("""COMPUTED_VALUE"""),"آستانه اشرفیه")</f>
        <v>آستانه اشرفیه</v>
      </c>
      <c r="F1202" s="5"/>
      <c r="G1202" s="5"/>
      <c r="H1202" s="6" t="str">
        <f>IFERROR(__xludf.DUMMYFUNCTION("""COMPUTED_VALUE"""),"https://www.instagram.com/ehmojtaba")</f>
        <v>https://www.instagram.com/ehmojtaba</v>
      </c>
      <c r="I1202" s="6" t="str">
        <f>IFERROR(__xludf.DUMMYFUNCTION("""COMPUTED_VALUE"""),"https://t.me/ehmojtaba")</f>
        <v>https://t.me/ehmojtaba</v>
      </c>
      <c r="J1202" s="6" t="str">
        <f>IFERROR(__xludf.DUMMYFUNCTION("""COMPUTED_VALUE"""),"https://eitaa.com/ehmojtaba")</f>
        <v>https://eitaa.com/ehmojtaba</v>
      </c>
      <c r="K1202" s="5"/>
      <c r="L1202" s="5"/>
      <c r="M1202" s="5"/>
      <c r="N1202" s="5"/>
      <c r="O1202" s="5"/>
      <c r="P1202" s="5"/>
      <c r="Q1202" s="5"/>
      <c r="R1202" s="5"/>
      <c r="S1202" s="5"/>
    </row>
    <row r="1203">
      <c r="A1203" s="5"/>
      <c r="B1203" s="5" t="str">
        <f>IFERROR(__xludf.DUMMYFUNCTION("""COMPUTED_VALUE"""),"هیأت")</f>
        <v>هیأت</v>
      </c>
      <c r="C1203" s="5" t="str">
        <f>IFERROR(__xludf.DUMMYFUNCTION("""COMPUTED_VALUE"""),"پرچمداران امام حسین")</f>
        <v>پرچمداران امام حسین</v>
      </c>
      <c r="D1203" s="5" t="str">
        <f>IFERROR(__xludf.DUMMYFUNCTION("""COMPUTED_VALUE"""),"گیلان")</f>
        <v>گیلان</v>
      </c>
      <c r="E1203" s="5" t="str">
        <f>IFERROR(__xludf.DUMMYFUNCTION("""COMPUTED_VALUE"""),"آستانه اشرفیه")</f>
        <v>آستانه اشرفیه</v>
      </c>
      <c r="F1203" s="5"/>
      <c r="G1203" s="5"/>
      <c r="H1203" s="6" t="str">
        <f>IFERROR(__xludf.DUMMYFUNCTION("""COMPUTED_VALUE"""),"https://www.instagram.com/parchamdaran_astanehashrafiyeh/")</f>
        <v>https://www.instagram.com/parchamdaran_astanehashrafiyeh/</v>
      </c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</row>
    <row r="1204">
      <c r="A1204" s="5"/>
      <c r="B1204" s="5" t="str">
        <f>IFERROR(__xludf.DUMMYFUNCTION("""COMPUTED_VALUE"""),"حسینیه")</f>
        <v>حسینیه</v>
      </c>
      <c r="C1204" s="5" t="str">
        <f>IFERROR(__xludf.DUMMYFUNCTION("""COMPUTED_VALUE"""),"حضرت حجت ابن الحسن")</f>
        <v>حضرت حجت ابن الحسن</v>
      </c>
      <c r="D1204" s="5" t="str">
        <f>IFERROR(__xludf.DUMMYFUNCTION("""COMPUTED_VALUE"""),"گیلان")</f>
        <v>گیلان</v>
      </c>
      <c r="E1204" s="5" t="str">
        <f>IFERROR(__xludf.DUMMYFUNCTION("""COMPUTED_VALUE"""),"آستانه اشرفیه")</f>
        <v>آستانه اشرفیه</v>
      </c>
      <c r="F1204" s="5"/>
      <c r="G1204" s="5"/>
      <c r="H1204" s="6" t="str">
        <f>IFERROR(__xludf.DUMMYFUNCTION("""COMPUTED_VALUE"""),"https://www.instagram.com/hoseyniye_majazi/")</f>
        <v>https://www.instagram.com/hoseyniye_majazi/</v>
      </c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</row>
    <row r="1205">
      <c r="A1205" s="5"/>
      <c r="B1205" s="5" t="str">
        <f>IFERROR(__xludf.DUMMYFUNCTION("""COMPUTED_VALUE"""),"هیأت")</f>
        <v>هیأت</v>
      </c>
      <c r="C1205" s="5" t="str">
        <f>IFERROR(__xludf.DUMMYFUNCTION("""COMPUTED_VALUE"""),"فاطمة الزهرا")</f>
        <v>فاطمة الزهرا</v>
      </c>
      <c r="D1205" s="5" t="str">
        <f>IFERROR(__xludf.DUMMYFUNCTION("""COMPUTED_VALUE"""),"گیلان")</f>
        <v>گیلان</v>
      </c>
      <c r="E1205" s="5" t="str">
        <f>IFERROR(__xludf.DUMMYFUNCTION("""COMPUTED_VALUE"""),"آستانه اشرفیه")</f>
        <v>آستانه اشرفیه</v>
      </c>
      <c r="F1205" s="5"/>
      <c r="G1205" s="5"/>
      <c r="H1205" s="6" t="str">
        <f>IFERROR(__xludf.DUMMYFUNCTION("""COMPUTED_VALUE"""),"https://www.instagram.com/heiyat_fatematozahra/")</f>
        <v>https://www.instagram.com/heiyat_fatematozahra/</v>
      </c>
      <c r="I1205" s="6" t="str">
        <f>IFERROR(__xludf.DUMMYFUNCTION("""COMPUTED_VALUE"""),"https://t.me/heyat_fatematolzahra")</f>
        <v>https://t.me/heyat_fatematolzahra</v>
      </c>
      <c r="J1205" s="5"/>
      <c r="K1205" s="5"/>
      <c r="L1205" s="5"/>
      <c r="M1205" s="5"/>
      <c r="N1205" s="5"/>
      <c r="O1205" s="5"/>
      <c r="P1205" s="5"/>
      <c r="Q1205" s="5"/>
      <c r="R1205" s="5"/>
      <c r="S1205" s="5"/>
    </row>
    <row r="1206">
      <c r="A1206" s="5"/>
      <c r="B1206" s="5" t="str">
        <f>IFERROR(__xludf.DUMMYFUNCTION("""COMPUTED_VALUE"""),"هیأت")</f>
        <v>هیأت</v>
      </c>
      <c r="C1206" s="5" t="str">
        <f>IFERROR(__xludf.DUMMYFUNCTION("""COMPUTED_VALUE"""),"رزمندگان اسلام")</f>
        <v>رزمندگان اسلام</v>
      </c>
      <c r="D1206" s="5" t="str">
        <f>IFERROR(__xludf.DUMMYFUNCTION("""COMPUTED_VALUE"""),"گیلان")</f>
        <v>گیلان</v>
      </c>
      <c r="E1206" s="5" t="str">
        <f>IFERROR(__xludf.DUMMYFUNCTION("""COMPUTED_VALUE"""),"آستانه اشرفیه")</f>
        <v>آستانه اشرفیه</v>
      </c>
      <c r="F1206" s="5"/>
      <c r="G1206" s="5"/>
      <c r="H1206" s="6" t="str">
        <f>IFERROR(__xludf.DUMMYFUNCTION("""COMPUTED_VALUE"""),"https://www.instagram.com/heyat.razmandegan/")</f>
        <v>https://www.instagram.com/heyat.razmandegan/</v>
      </c>
      <c r="I1206" s="5"/>
      <c r="J1206" s="6" t="str">
        <f>IFERROR(__xludf.DUMMYFUNCTION("""COMPUTED_VALUE"""),"https://eitaa.com/hayat_razmandegan_astaneh")</f>
        <v>https://eitaa.com/hayat_razmandegan_astaneh</v>
      </c>
      <c r="K1206" s="5"/>
      <c r="L1206" s="5"/>
      <c r="M1206" s="5"/>
      <c r="N1206" s="5"/>
      <c r="O1206" s="5"/>
      <c r="P1206" s="5"/>
      <c r="Q1206" s="5"/>
      <c r="R1206" s="5"/>
      <c r="S1206" s="5"/>
    </row>
    <row r="1207">
      <c r="A1207" s="5"/>
      <c r="B1207" s="5" t="str">
        <f>IFERROR(__xludf.DUMMYFUNCTION("""COMPUTED_VALUE"""),"هیأت")</f>
        <v>هیأت</v>
      </c>
      <c r="C1207" s="5" t="str">
        <f>IFERROR(__xludf.DUMMYFUNCTION("""COMPUTED_VALUE"""),"سوگواران حضرت ابالفضل")</f>
        <v>سوگواران حضرت ابالفضل</v>
      </c>
      <c r="D1207" s="5" t="str">
        <f>IFERROR(__xludf.DUMMYFUNCTION("""COMPUTED_VALUE"""),"گیلان")</f>
        <v>گیلان</v>
      </c>
      <c r="E1207" s="5" t="str">
        <f>IFERROR(__xludf.DUMMYFUNCTION("""COMPUTED_VALUE"""),"آستانه اشرفیه")</f>
        <v>آستانه اشرفیه</v>
      </c>
      <c r="F1207" s="5"/>
      <c r="G1207" s="5"/>
      <c r="H1207" s="6" t="str">
        <f>IFERROR(__xludf.DUMMYFUNCTION("""COMPUTED_VALUE"""),"https://www.instagram.com/heyat_abalfazl_astaneh/")</f>
        <v>https://www.instagram.com/heyat_abalfazl_astaneh/</v>
      </c>
      <c r="I1207" s="6" t="str">
        <f>IFERROR(__xludf.DUMMYFUNCTION("""COMPUTED_VALUE"""),"https://t.me/heyat_abalfazl_astaneh")</f>
        <v>https://t.me/heyat_abalfazl_astaneh</v>
      </c>
      <c r="J1207" s="5"/>
      <c r="K1207" s="5"/>
      <c r="L1207" s="5"/>
      <c r="M1207" s="5"/>
      <c r="N1207" s="5"/>
      <c r="O1207" s="5"/>
      <c r="P1207" s="5"/>
      <c r="Q1207" s="5"/>
      <c r="R1207" s="5"/>
      <c r="S1207" s="5"/>
    </row>
    <row r="1208">
      <c r="A1208" s="5"/>
      <c r="B1208" s="5" t="str">
        <f>IFERROR(__xludf.DUMMYFUNCTION("""COMPUTED_VALUE"""),"هیأت")</f>
        <v>هیأت</v>
      </c>
      <c r="C1208" s="5" t="str">
        <f>IFERROR(__xludf.DUMMYFUNCTION("""COMPUTED_VALUE"""),"محفل محبان قمر بنی هاشم")</f>
        <v>محفل محبان قمر بنی هاشم</v>
      </c>
      <c r="D1208" s="5" t="str">
        <f>IFERROR(__xludf.DUMMYFUNCTION("""COMPUTED_VALUE"""),"گیلان")</f>
        <v>گیلان</v>
      </c>
      <c r="E1208" s="5" t="str">
        <f>IFERROR(__xludf.DUMMYFUNCTION("""COMPUTED_VALUE"""),"آستانه اشرفیه")</f>
        <v>آستانه اشرفیه</v>
      </c>
      <c r="F1208" s="5"/>
      <c r="G1208" s="5"/>
      <c r="H1208" s="6" t="str">
        <f>IFERROR(__xludf.DUMMYFUNCTION("""COMPUTED_VALUE"""),"https://www.instagram.com/mahfell_moheban_gilan")</f>
        <v>https://www.instagram.com/mahfell_moheban_gilan</v>
      </c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</row>
    <row r="1209">
      <c r="A1209" s="5"/>
      <c r="B1209" s="5" t="str">
        <f>IFERROR(__xludf.DUMMYFUNCTION("""COMPUTED_VALUE"""),"هیأت")</f>
        <v>هیأت</v>
      </c>
      <c r="C1209" s="5" t="str">
        <f>IFERROR(__xludf.DUMMYFUNCTION("""COMPUTED_VALUE"""),"مکتب العباس")</f>
        <v>مکتب العباس</v>
      </c>
      <c r="D1209" s="5" t="str">
        <f>IFERROR(__xludf.DUMMYFUNCTION("""COMPUTED_VALUE"""),"گیلان")</f>
        <v>گیلان</v>
      </c>
      <c r="E1209" s="5" t="str">
        <f>IFERROR(__xludf.DUMMYFUNCTION("""COMPUTED_VALUE"""),"آستانه اشرفیه")</f>
        <v>آستانه اشرفیه</v>
      </c>
      <c r="F1209" s="5"/>
      <c r="G1209" s="5"/>
      <c r="H1209" s="6" t="str">
        <f>IFERROR(__xludf.DUMMYFUNCTION("""COMPUTED_VALUE"""),"https://www.instagram.com/maktabolabbas_astaneh")</f>
        <v>https://www.instagram.com/maktabolabbas_astaneh</v>
      </c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</row>
    <row r="1210">
      <c r="A1210" s="5"/>
      <c r="B1210" s="5" t="str">
        <f>IFERROR(__xludf.DUMMYFUNCTION("""COMPUTED_VALUE"""),"حسینیه")</f>
        <v>حسینیه</v>
      </c>
      <c r="C1210" s="5" t="str">
        <f>IFERROR(__xludf.DUMMYFUNCTION("""COMPUTED_VALUE"""),"صادق آل محمد")</f>
        <v>صادق آل محمد</v>
      </c>
      <c r="D1210" s="5" t="str">
        <f>IFERROR(__xludf.DUMMYFUNCTION("""COMPUTED_VALUE"""),"گیلان")</f>
        <v>گیلان</v>
      </c>
      <c r="E1210" s="5" t="str">
        <f>IFERROR(__xludf.DUMMYFUNCTION("""COMPUTED_VALUE"""),"آستانه اشرفیه")</f>
        <v>آستانه اشرفیه</v>
      </c>
      <c r="F1210" s="5"/>
      <c r="G1210" s="5"/>
      <c r="H1210" s="6" t="str">
        <f>IFERROR(__xludf.DUMMYFUNCTION("""COMPUTED_VALUE"""),"https://www.instagram.com/hoseinie_sadeghalmohammad/")</f>
        <v>https://www.instagram.com/hoseinie_sadeghalmohammad/</v>
      </c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</row>
    <row r="1211">
      <c r="A1211" s="5"/>
      <c r="B1211" s="5" t="str">
        <f>IFERROR(__xludf.DUMMYFUNCTION("""COMPUTED_VALUE"""),"هیأت")</f>
        <v>هیأت</v>
      </c>
      <c r="C1211" s="5" t="str">
        <f>IFERROR(__xludf.DUMMYFUNCTION("""COMPUTED_VALUE"""),"امام رضا")</f>
        <v>امام رضا</v>
      </c>
      <c r="D1211" s="5" t="str">
        <f>IFERROR(__xludf.DUMMYFUNCTION("""COMPUTED_VALUE"""),"گیلان")</f>
        <v>گیلان</v>
      </c>
      <c r="E1211" s="5" t="str">
        <f>IFERROR(__xludf.DUMMYFUNCTION("""COMPUTED_VALUE"""),"آستانه اشرفیه")</f>
        <v>آستانه اشرفیه</v>
      </c>
      <c r="F1211" s="5"/>
      <c r="G1211" s="5"/>
      <c r="H1211" s="6" t="str">
        <f>IFERROR(__xludf.DUMMYFUNCTION("""COMPUTED_VALUE"""),"https://www.instagram.com/heyatemamreza.astaneh/")</f>
        <v>https://www.instagram.com/heyatemamreza.astaneh/</v>
      </c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</row>
    <row r="1212">
      <c r="A1212" s="5"/>
      <c r="B1212" s="5" t="str">
        <f>IFERROR(__xludf.DUMMYFUNCTION("""COMPUTED_VALUE"""),"هیأت")</f>
        <v>هیأت</v>
      </c>
      <c r="C1212" s="5" t="str">
        <f>IFERROR(__xludf.DUMMYFUNCTION("""COMPUTED_VALUE"""),"مهدویون")</f>
        <v>مهدویون</v>
      </c>
      <c r="D1212" s="5" t="str">
        <f>IFERROR(__xludf.DUMMYFUNCTION("""COMPUTED_VALUE"""),"گیلان")</f>
        <v>گیلان</v>
      </c>
      <c r="E1212" s="5" t="str">
        <f>IFERROR(__xludf.DUMMYFUNCTION("""COMPUTED_VALUE"""),"آستانه اشرفیه")</f>
        <v>آستانه اشرفیه</v>
      </c>
      <c r="F1212" s="5"/>
      <c r="G1212" s="5"/>
      <c r="H1212" s="6" t="str">
        <f>IFERROR(__xludf.DUMMYFUNCTION("""COMPUTED_VALUE"""),"https://www.instagram.com/mahdavion_astaneh/")</f>
        <v>https://www.instagram.com/mahdavion_astaneh/</v>
      </c>
      <c r="I1212" s="6" t="str">
        <f>IFERROR(__xludf.DUMMYFUNCTION("""COMPUTED_VALUE"""),"https://t.me/mahdavion_astaneh")</f>
        <v>https://t.me/mahdavion_astaneh</v>
      </c>
      <c r="J1212" s="5"/>
      <c r="K1212" s="5"/>
      <c r="L1212" s="5"/>
      <c r="M1212" s="5"/>
      <c r="N1212" s="5"/>
      <c r="O1212" s="5"/>
      <c r="P1212" s="5"/>
      <c r="Q1212" s="5"/>
      <c r="R1212" s="5"/>
      <c r="S1212" s="5"/>
    </row>
    <row r="1213">
      <c r="A1213" s="5"/>
      <c r="B1213" s="5" t="str">
        <f>IFERROR(__xludf.DUMMYFUNCTION("""COMPUTED_VALUE"""),"هیأت")</f>
        <v>هیأت</v>
      </c>
      <c r="C1213" s="5" t="str">
        <f>IFERROR(__xludf.DUMMYFUNCTION("""COMPUTED_VALUE"""),"خیمة العباس")</f>
        <v>خیمة العباس</v>
      </c>
      <c r="D1213" s="5" t="str">
        <f>IFERROR(__xludf.DUMMYFUNCTION("""COMPUTED_VALUE"""),"گیلان")</f>
        <v>گیلان</v>
      </c>
      <c r="E1213" s="5" t="str">
        <f>IFERROR(__xludf.DUMMYFUNCTION("""COMPUTED_VALUE"""),"آستانه اشرفیه")</f>
        <v>آستانه اشرفیه</v>
      </c>
      <c r="F1213" s="5"/>
      <c r="G1213" s="5"/>
      <c r="H1213" s="6" t="str">
        <f>IFERROR(__xludf.DUMMYFUNCTION("""COMPUTED_VALUE"""),"https://www.instagram.com/kheymatol_abas/")</f>
        <v>https://www.instagram.com/kheymatol_abas/</v>
      </c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</row>
    <row r="1214">
      <c r="A1214" s="5"/>
      <c r="B1214" s="5" t="str">
        <f>IFERROR(__xludf.DUMMYFUNCTION("""COMPUTED_VALUE"""),"هیأت")</f>
        <v>هیأت</v>
      </c>
      <c r="C1214" s="5" t="str">
        <f>IFERROR(__xludf.DUMMYFUNCTION("""COMPUTED_VALUE"""),"حیدر کرار")</f>
        <v>حیدر کرار</v>
      </c>
      <c r="D1214" s="5" t="str">
        <f>IFERROR(__xludf.DUMMYFUNCTION("""COMPUTED_VALUE"""),"گیلان")</f>
        <v>گیلان</v>
      </c>
      <c r="E1214" s="5" t="str">
        <f>IFERROR(__xludf.DUMMYFUNCTION("""COMPUTED_VALUE"""),"آستانه اشرفیه")</f>
        <v>آستانه اشرفیه</v>
      </c>
      <c r="F1214" s="5"/>
      <c r="G1214" s="5">
        <f>IFERROR(__xludf.DUMMYFUNCTION("""COMPUTED_VALUE"""),5.0)</f>
        <v>5</v>
      </c>
      <c r="H1214" s="6" t="str">
        <f>IFERROR(__xludf.DUMMYFUNCTION("""COMPUTED_VALUE"""),"https://www.instagram.com/heyate_heydar_karrar/")</f>
        <v>https://www.instagram.com/heyate_heydar_karrar/</v>
      </c>
      <c r="I1214" s="6" t="str">
        <f>IFERROR(__xludf.DUMMYFUNCTION("""COMPUTED_VALUE"""),"https://t.me/heydarkarrar_astaneh")</f>
        <v>https://t.me/heydarkarrar_astaneh</v>
      </c>
      <c r="J1214" s="5"/>
      <c r="K1214" s="5"/>
      <c r="L1214" s="5"/>
      <c r="M1214" s="5"/>
      <c r="N1214" s="5"/>
      <c r="O1214" s="5"/>
      <c r="P1214" s="5"/>
      <c r="Q1214" s="5"/>
      <c r="R1214" s="5"/>
      <c r="S1214" s="5"/>
    </row>
    <row r="1215">
      <c r="A1215" s="5">
        <f>IFERROR(__xludf.DUMMYFUNCTION("""COMPUTED_VALUE"""),13546.0)</f>
        <v>13546</v>
      </c>
      <c r="B1215" s="5" t="str">
        <f>IFERROR(__xludf.DUMMYFUNCTION("""COMPUTED_VALUE"""),"هیأت")</f>
        <v>هیأت</v>
      </c>
      <c r="C1215" s="5" t="str">
        <f>IFERROR(__xludf.DUMMYFUNCTION("""COMPUTED_VALUE"""),"بقیة الله")</f>
        <v>بقیة الله</v>
      </c>
      <c r="D1215" s="5" t="str">
        <f>IFERROR(__xludf.DUMMYFUNCTION("""COMPUTED_VALUE"""),"گیلان")</f>
        <v>گیلان</v>
      </c>
      <c r="E1215" s="5" t="str">
        <f>IFERROR(__xludf.DUMMYFUNCTION("""COMPUTED_VALUE"""),"املش")</f>
        <v>املش</v>
      </c>
      <c r="F1215" s="5"/>
      <c r="G1215" s="5"/>
      <c r="H1215" s="6" t="str">
        <f>IFERROR(__xludf.DUMMYFUNCTION("""COMPUTED_VALUE"""),"https://www.instagram.com/heyat_baghiyatallah_amlash/")</f>
        <v>https://www.instagram.com/heyat_baghiyatallah_amlash/</v>
      </c>
      <c r="I1215" s="6" t="str">
        <f>IFERROR(__xludf.DUMMYFUNCTION("""COMPUTED_VALUE"""),"https://t.me/ya_baghiyatallah_313_amlash")</f>
        <v>https://t.me/ya_baghiyatallah_313_amlash</v>
      </c>
      <c r="J1215" s="5"/>
      <c r="K1215" s="5"/>
      <c r="L1215" s="5"/>
      <c r="M1215" s="5"/>
      <c r="N1215" s="5"/>
      <c r="O1215" s="5"/>
      <c r="P1215" s="5"/>
      <c r="Q1215" s="5"/>
      <c r="R1215" s="5"/>
      <c r="S1215" s="5"/>
    </row>
    <row r="1216">
      <c r="A1216" s="5"/>
      <c r="B1216" s="5" t="str">
        <f>IFERROR(__xludf.DUMMYFUNCTION("""COMPUTED_VALUE"""),"هیأت")</f>
        <v>هیأت</v>
      </c>
      <c r="C1216" s="5" t="str">
        <f>IFERROR(__xludf.DUMMYFUNCTION("""COMPUTED_VALUE"""),"قاسم بن الحسم")</f>
        <v>قاسم بن الحسم</v>
      </c>
      <c r="D1216" s="5" t="str">
        <f>IFERROR(__xludf.DUMMYFUNCTION("""COMPUTED_VALUE"""),"گیلان")</f>
        <v>گیلان</v>
      </c>
      <c r="E1216" s="5" t="str">
        <f>IFERROR(__xludf.DUMMYFUNCTION("""COMPUTED_VALUE"""),"املش")</f>
        <v>املش</v>
      </c>
      <c r="F1216" s="5"/>
      <c r="G1216" s="5"/>
      <c r="H1216" s="6" t="str">
        <f>IFERROR(__xludf.DUMMYFUNCTION("""COMPUTED_VALUE"""),"https://www.instagram.com/heiyat_ghasem_ben_hassan1390/")</f>
        <v>https://www.instagram.com/heiyat_ghasem_ben_hassan1390/</v>
      </c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</row>
    <row r="1217">
      <c r="A1217" s="5"/>
      <c r="B1217" s="5" t="str">
        <f>IFERROR(__xludf.DUMMYFUNCTION("""COMPUTED_VALUE"""),"هیأت")</f>
        <v>هیأت</v>
      </c>
      <c r="C1217" s="5" t="str">
        <f>IFERROR(__xludf.DUMMYFUNCTION("""COMPUTED_VALUE"""),"سادات")</f>
        <v>سادات</v>
      </c>
      <c r="D1217" s="5" t="str">
        <f>IFERROR(__xludf.DUMMYFUNCTION("""COMPUTED_VALUE"""),"گیلان")</f>
        <v>گیلان</v>
      </c>
      <c r="E1217" s="5" t="str">
        <f>IFERROR(__xludf.DUMMYFUNCTION("""COMPUTED_VALUE"""),"املش")</f>
        <v>املش</v>
      </c>
      <c r="F1217" s="5"/>
      <c r="G1217" s="5"/>
      <c r="H1217" s="6" t="str">
        <f>IFERROR(__xludf.DUMMYFUNCTION("""COMPUTED_VALUE"""),"https://www.instagram.com/sadatamlash")</f>
        <v>https://www.instagram.com/sadatamlash</v>
      </c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</row>
    <row r="1218">
      <c r="A1218" s="5">
        <f>IFERROR(__xludf.DUMMYFUNCTION("""COMPUTED_VALUE"""),13540.0)</f>
        <v>13540</v>
      </c>
      <c r="B1218" s="5" t="str">
        <f>IFERROR(__xludf.DUMMYFUNCTION("""COMPUTED_VALUE"""),"هیأت")</f>
        <v>هیأت</v>
      </c>
      <c r="C1218" s="5" t="str">
        <f>IFERROR(__xludf.DUMMYFUNCTION("""COMPUTED_VALUE"""),"فاطمیون")</f>
        <v>فاطمیون</v>
      </c>
      <c r="D1218" s="5" t="str">
        <f>IFERROR(__xludf.DUMMYFUNCTION("""COMPUTED_VALUE"""),"گیلان")</f>
        <v>گیلان</v>
      </c>
      <c r="E1218" s="5" t="str">
        <f>IFERROR(__xludf.DUMMYFUNCTION("""COMPUTED_VALUE"""),"املش")</f>
        <v>املش</v>
      </c>
      <c r="F1218" s="5"/>
      <c r="G1218" s="5"/>
      <c r="H1218" s="6" t="str">
        <f>IFERROR(__xludf.DUMMYFUNCTION("""COMPUTED_VALUE"""),"https://www.instagram.com/heyat_fatemiyon_1431/")</f>
        <v>https://www.instagram.com/heyat_fatemiyon_1431/</v>
      </c>
      <c r="I1218" s="6" t="str">
        <f>IFERROR(__xludf.DUMMYFUNCTION("""COMPUTED_VALUE"""),"https://t.me/heyaatfatemiyoun")</f>
        <v>https://t.me/heyaatfatemiyoun</v>
      </c>
      <c r="J1218" s="5"/>
      <c r="K1218" s="5"/>
      <c r="L1218" s="5"/>
      <c r="M1218" s="5"/>
      <c r="N1218" s="5"/>
      <c r="O1218" s="5"/>
      <c r="P1218" s="5"/>
      <c r="Q1218" s="5"/>
      <c r="R1218" s="5"/>
      <c r="S1218" s="5"/>
    </row>
    <row r="1219">
      <c r="A1219" s="5">
        <f>IFERROR(__xludf.DUMMYFUNCTION("""COMPUTED_VALUE"""),31292.0)</f>
        <v>31292</v>
      </c>
      <c r="B1219" s="5" t="str">
        <f>IFERROR(__xludf.DUMMYFUNCTION("""COMPUTED_VALUE"""),"هیأت")</f>
        <v>هیأت</v>
      </c>
      <c r="C1219" s="5" t="str">
        <f>IFERROR(__xludf.DUMMYFUNCTION("""COMPUTED_VALUE"""),"حضرت علی اکبر")</f>
        <v>حضرت علی اکبر</v>
      </c>
      <c r="D1219" s="5" t="str">
        <f>IFERROR(__xludf.DUMMYFUNCTION("""COMPUTED_VALUE"""),"گیلان")</f>
        <v>گیلان</v>
      </c>
      <c r="E1219" s="5" t="str">
        <f>IFERROR(__xludf.DUMMYFUNCTION("""COMPUTED_VALUE"""),"املش")</f>
        <v>املش</v>
      </c>
      <c r="F1219" s="5" t="str">
        <f>IFERROR(__xludf.DUMMYFUNCTION("""COMPUTED_VALUE"""),"رانکوه")</f>
        <v>رانکوه</v>
      </c>
      <c r="G1219" s="5"/>
      <c r="H1219" s="6" t="str">
        <f>IFERROR(__xludf.DUMMYFUNCTION("""COMPUTED_VALUE"""),"https://www.instagram.com/heyat_aliakbar_rankoh/")</f>
        <v>https://www.instagram.com/heyat_aliakbar_rankoh/</v>
      </c>
      <c r="I1219" s="6" t="str">
        <f>IFERROR(__xludf.DUMMYFUNCTION("""COMPUTED_VALUE"""),"https://t.me/heyat_aliakbar_rankoh")</f>
        <v>https://t.me/heyat_aliakbar_rankoh</v>
      </c>
      <c r="J1219" s="5"/>
      <c r="K1219" s="5"/>
      <c r="L1219" s="5"/>
      <c r="M1219" s="5"/>
      <c r="N1219" s="5"/>
      <c r="O1219" s="5"/>
      <c r="P1219" s="5"/>
      <c r="Q1219" s="5"/>
      <c r="R1219" s="5"/>
      <c r="S1219" s="5"/>
    </row>
    <row r="1220">
      <c r="A1220" s="5">
        <f>IFERROR(__xludf.DUMMYFUNCTION("""COMPUTED_VALUE"""),13550.0)</f>
        <v>13550</v>
      </c>
      <c r="B1220" s="5" t="str">
        <f>IFERROR(__xludf.DUMMYFUNCTION("""COMPUTED_VALUE"""),"هیأت")</f>
        <v>هیأت</v>
      </c>
      <c r="C1220" s="5" t="str">
        <f>IFERROR(__xludf.DUMMYFUNCTION("""COMPUTED_VALUE"""),"یالثارات الحسین")</f>
        <v>یالثارات الحسین</v>
      </c>
      <c r="D1220" s="5" t="str">
        <f>IFERROR(__xludf.DUMMYFUNCTION("""COMPUTED_VALUE"""),"گیلان")</f>
        <v>گیلان</v>
      </c>
      <c r="E1220" s="5" t="str">
        <f>IFERROR(__xludf.DUMMYFUNCTION("""COMPUTED_VALUE"""),"املش")</f>
        <v>املش</v>
      </c>
      <c r="F1220" s="5" t="str">
        <f>IFERROR(__xludf.DUMMYFUNCTION("""COMPUTED_VALUE"""),"نصرآباد")</f>
        <v>نصرآباد</v>
      </c>
      <c r="G1220" s="5"/>
      <c r="H1220" s="6" t="str">
        <f>IFERROR(__xludf.DUMMYFUNCTION("""COMPUTED_VALUE"""),"https://www.instagram.com/ya_lesarat_ol_hosein/")</f>
        <v>https://www.instagram.com/ya_lesarat_ol_hosein/</v>
      </c>
      <c r="I1220" s="6" t="str">
        <f>IFERROR(__xludf.DUMMYFUNCTION("""COMPUTED_VALUE"""),"https://t.me/lesaratol_hosein")</f>
        <v>https://t.me/lesaratol_hosein</v>
      </c>
      <c r="J1220" s="5"/>
      <c r="K1220" s="5"/>
      <c r="L1220" s="5"/>
      <c r="M1220" s="5"/>
      <c r="N1220" s="5"/>
      <c r="O1220" s="5"/>
      <c r="P1220" s="5"/>
      <c r="Q1220" s="5"/>
      <c r="R1220" s="5"/>
      <c r="S1220" s="5"/>
    </row>
    <row r="1221">
      <c r="A1221" s="5"/>
      <c r="B1221" s="5" t="str">
        <f>IFERROR(__xludf.DUMMYFUNCTION("""COMPUTED_VALUE"""),"هیأت")</f>
        <v>هیأت</v>
      </c>
      <c r="C1221" s="5" t="str">
        <f>IFERROR(__xludf.DUMMYFUNCTION("""COMPUTED_VALUE"""),"جوانان قمر بنی هاشم")</f>
        <v>جوانان قمر بنی هاشم</v>
      </c>
      <c r="D1221" s="5" t="str">
        <f>IFERROR(__xludf.DUMMYFUNCTION("""COMPUTED_VALUE"""),"گیلان")</f>
        <v>گیلان</v>
      </c>
      <c r="E1221" s="5" t="str">
        <f>IFERROR(__xludf.DUMMYFUNCTION("""COMPUTED_VALUE"""),"بندر انزلی")</f>
        <v>بندر انزلی</v>
      </c>
      <c r="F1221" s="5" t="str">
        <f>IFERROR(__xludf.DUMMYFUNCTION("""COMPUTED_VALUE"""),"نویر")</f>
        <v>نویر</v>
      </c>
      <c r="G1221" s="5"/>
      <c r="H1221" s="6" t="str">
        <f>IFERROR(__xludf.DUMMYFUNCTION("""COMPUTED_VALUE"""),"https://www.instagram.com/ghaamarebanihashem1384/")</f>
        <v>https://www.instagram.com/ghaamarebanihashem1384/</v>
      </c>
      <c r="I1221" s="6" t="str">
        <f>IFERROR(__xludf.DUMMYFUNCTION("""COMPUTED_VALUE"""),"https://t.me/javanan_ghamar_bani_hashem1384")</f>
        <v>https://t.me/javanan_ghamar_bani_hashem1384</v>
      </c>
      <c r="J1221" s="5"/>
      <c r="K1221" s="5"/>
      <c r="L1221" s="5"/>
      <c r="M1221" s="5"/>
      <c r="N1221" s="5"/>
      <c r="O1221" s="5"/>
      <c r="P1221" s="5"/>
      <c r="Q1221" s="5"/>
      <c r="R1221" s="5"/>
      <c r="S1221" s="5"/>
    </row>
    <row r="1222">
      <c r="A1222" s="5"/>
      <c r="B1222" s="5" t="str">
        <f>IFERROR(__xludf.DUMMYFUNCTION("""COMPUTED_VALUE"""),"هیأت")</f>
        <v>هیأت</v>
      </c>
      <c r="C1222" s="5" t="str">
        <f>IFERROR(__xludf.DUMMYFUNCTION("""COMPUTED_VALUE"""),"حضرت ابالفضل")</f>
        <v>حضرت ابالفضل</v>
      </c>
      <c r="D1222" s="5" t="str">
        <f>IFERROR(__xludf.DUMMYFUNCTION("""COMPUTED_VALUE"""),"گیلان")</f>
        <v>گیلان</v>
      </c>
      <c r="E1222" s="5" t="str">
        <f>IFERROR(__xludf.DUMMYFUNCTION("""COMPUTED_VALUE"""),"تالش")</f>
        <v>تالش</v>
      </c>
      <c r="F1222" s="5" t="str">
        <f>IFERROR(__xludf.DUMMYFUNCTION("""COMPUTED_VALUE"""),"اسالم")</f>
        <v>اسالم</v>
      </c>
      <c r="G1222" s="5"/>
      <c r="H1222" s="6" t="str">
        <f>IFERROR(__xludf.DUMMYFUNCTION("""COMPUTED_VALUE"""),"https://www.instagram.com/heyatasalem/")</f>
        <v>https://www.instagram.com/heyatasalem/</v>
      </c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</row>
    <row r="1223">
      <c r="A1223" s="5"/>
      <c r="B1223" s="5" t="str">
        <f>IFERROR(__xludf.DUMMYFUNCTION("""COMPUTED_VALUE"""),"هیأت")</f>
        <v>هیأت</v>
      </c>
      <c r="C1223" s="5" t="str">
        <f>IFERROR(__xludf.DUMMYFUNCTION("""COMPUTED_VALUE"""),"پنج تن آل عبا")</f>
        <v>پنج تن آل عبا</v>
      </c>
      <c r="D1223" s="5" t="str">
        <f>IFERROR(__xludf.DUMMYFUNCTION("""COMPUTED_VALUE"""),"گیلان")</f>
        <v>گیلان</v>
      </c>
      <c r="E1223" s="5" t="str">
        <f>IFERROR(__xludf.DUMMYFUNCTION("""COMPUTED_VALUE"""),"تالش")</f>
        <v>تالش</v>
      </c>
      <c r="F1223" s="5"/>
      <c r="G1223" s="5"/>
      <c r="H1223" s="6" t="str">
        <f>IFERROR(__xludf.DUMMYFUNCTION("""COMPUTED_VALUE"""),"https://www.instagram.com/heiat.panjtan.aleaba/")</f>
        <v>https://www.instagram.com/heiat.panjtan.aleaba/</v>
      </c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</row>
    <row r="1224">
      <c r="A1224" s="5"/>
      <c r="B1224" s="5" t="str">
        <f>IFERROR(__xludf.DUMMYFUNCTION("""COMPUTED_VALUE"""),"هیأت")</f>
        <v>هیأت</v>
      </c>
      <c r="C1224" s="5" t="str">
        <f>IFERROR(__xludf.DUMMYFUNCTION("""COMPUTED_VALUE"""),"هیئت روضَةُالحسين مسجد جامع چوکام")</f>
        <v>هیئت روضَةُالحسين مسجد جامع چوکام</v>
      </c>
      <c r="D1224" s="5" t="str">
        <f>IFERROR(__xludf.DUMMYFUNCTION("""COMPUTED_VALUE"""),"گیلان")</f>
        <v>گیلان</v>
      </c>
      <c r="E1224" s="5" t="str">
        <f>IFERROR(__xludf.DUMMYFUNCTION("""COMPUTED_VALUE"""),"خمام")</f>
        <v>خمام</v>
      </c>
      <c r="F1224" s="5" t="str">
        <f>IFERROR(__xludf.DUMMYFUNCTION("""COMPUTED_VALUE"""),"مسجد جامع چوکام")</f>
        <v>مسجد جامع چوکام</v>
      </c>
      <c r="G1224" s="5"/>
      <c r="H1224" s="6" t="str">
        <f>IFERROR(__xludf.DUMMYFUNCTION("""COMPUTED_VALUE"""),"https://www.instagram.com/rouzatolhossein.choukam/")</f>
        <v>https://www.instagram.com/rouzatolhossein.choukam/</v>
      </c>
      <c r="I1224" s="5"/>
      <c r="J1224" s="5"/>
      <c r="K1224" s="5"/>
      <c r="L1224" s="5"/>
      <c r="M1224" s="5"/>
      <c r="N1224" s="5" t="str">
        <f>IFERROR(__xludf.DUMMYFUNCTION("""COMPUTED_VALUE"""),"پنجشنبه ها")</f>
        <v>پنجشنبه ها</v>
      </c>
      <c r="O1224" s="5"/>
      <c r="P1224" s="5"/>
      <c r="Q1224" s="5"/>
      <c r="R1224" s="5"/>
      <c r="S1224" s="5"/>
    </row>
    <row r="1225">
      <c r="A1225" s="5"/>
      <c r="B1225" s="5" t="str">
        <f>IFERROR(__xludf.DUMMYFUNCTION("""COMPUTED_VALUE"""),"هیأت")</f>
        <v>هیأت</v>
      </c>
      <c r="C1225" s="5" t="str">
        <f>IFERROR(__xludf.DUMMYFUNCTION("""COMPUTED_VALUE"""),"هیئت انصارالمهدی(عج)")</f>
        <v>هیئت انصارالمهدی(عج)</v>
      </c>
      <c r="D1225" s="5" t="str">
        <f>IFERROR(__xludf.DUMMYFUNCTION("""COMPUTED_VALUE"""),"گیلان")</f>
        <v>گیلان</v>
      </c>
      <c r="E1225" s="5" t="str">
        <f>IFERROR(__xludf.DUMMYFUNCTION("""COMPUTED_VALUE"""),"خمام")</f>
        <v>خمام</v>
      </c>
      <c r="F1225" s="5"/>
      <c r="G1225" s="5"/>
      <c r="H1225" s="6" t="str">
        <f>IFERROR(__xludf.DUMMYFUNCTION("""COMPUTED_VALUE"""),"https://www.instagram.com/heyatansaralmahdi.ir/")</f>
        <v>https://www.instagram.com/heyatansaralmahdi.ir/</v>
      </c>
      <c r="I1225" s="5"/>
      <c r="J1225" s="5"/>
      <c r="K1225" s="5"/>
      <c r="L1225" s="5"/>
      <c r="M1225" s="5"/>
      <c r="N1225" s="5" t="str">
        <f>IFERROR(__xludf.DUMMYFUNCTION("""COMPUTED_VALUE"""),"پنجشنبه ها")</f>
        <v>پنجشنبه ها</v>
      </c>
      <c r="O1225" s="5"/>
      <c r="P1225" s="5"/>
      <c r="Q1225" s="5"/>
      <c r="R1225" s="5"/>
      <c r="S1225" s="5"/>
    </row>
    <row r="1226">
      <c r="A1226" s="5"/>
      <c r="B1226" s="5" t="str">
        <f>IFERROR(__xludf.DUMMYFUNCTION("""COMPUTED_VALUE"""),"هیأت")</f>
        <v>هیأت</v>
      </c>
      <c r="C1226" s="5" t="str">
        <f>IFERROR(__xludf.DUMMYFUNCTION("""COMPUTED_VALUE"""),"انصارالله")</f>
        <v>انصارالله</v>
      </c>
      <c r="D1226" s="5" t="str">
        <f>IFERROR(__xludf.DUMMYFUNCTION("""COMPUTED_VALUE"""),"گیلان")</f>
        <v>گیلان</v>
      </c>
      <c r="E1226" s="5" t="str">
        <f>IFERROR(__xludf.DUMMYFUNCTION("""COMPUTED_VALUE"""),"خمام")</f>
        <v>خمام</v>
      </c>
      <c r="F1226" s="5"/>
      <c r="G1226" s="5"/>
      <c r="H1226" s="6" t="str">
        <f>IFERROR(__xludf.DUMMYFUNCTION("""COMPUTED_VALUE"""),"https://www.instagram.com/heyat_ansarallah/")</f>
        <v>https://www.instagram.com/heyat_ansarallah/</v>
      </c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</row>
    <row r="1227">
      <c r="A1227" s="5"/>
      <c r="B1227" s="5" t="str">
        <f>IFERROR(__xludf.DUMMYFUNCTION("""COMPUTED_VALUE"""),"هیأت")</f>
        <v>هیأت</v>
      </c>
      <c r="C1227" s="5" t="str">
        <f>IFERROR(__xludf.DUMMYFUNCTION("""COMPUTED_VALUE"""),"جنت الرضا")</f>
        <v>جنت الرضا</v>
      </c>
      <c r="D1227" s="5" t="str">
        <f>IFERROR(__xludf.DUMMYFUNCTION("""COMPUTED_VALUE"""),"گیلان")</f>
        <v>گیلان</v>
      </c>
      <c r="E1227" s="5" t="str">
        <f>IFERROR(__xludf.DUMMYFUNCTION("""COMPUTED_VALUE"""),"خمام")</f>
        <v>خمام</v>
      </c>
      <c r="F1227" s="5"/>
      <c r="G1227" s="5"/>
      <c r="H1227" s="6" t="str">
        <f>IFERROR(__xludf.DUMMYFUNCTION("""COMPUTED_VALUE"""),"https://www.instagram.com/revagh8/")</f>
        <v>https://www.instagram.com/revagh8/</v>
      </c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</row>
    <row r="1228">
      <c r="A1228" s="5"/>
      <c r="B1228" s="5" t="str">
        <f>IFERROR(__xludf.DUMMYFUNCTION("""COMPUTED_VALUE"""),"هیأت")</f>
        <v>هیأت</v>
      </c>
      <c r="C1228" s="5" t="str">
        <f>IFERROR(__xludf.DUMMYFUNCTION("""COMPUTED_VALUE"""),"جنت الرضا")</f>
        <v>جنت الرضا</v>
      </c>
      <c r="D1228" s="5" t="str">
        <f>IFERROR(__xludf.DUMMYFUNCTION("""COMPUTED_VALUE"""),"گیلان")</f>
        <v>گیلان</v>
      </c>
      <c r="E1228" s="5" t="str">
        <f>IFERROR(__xludf.DUMMYFUNCTION("""COMPUTED_VALUE"""),"خمام")</f>
        <v>خمام</v>
      </c>
      <c r="F1228" s="5"/>
      <c r="G1228" s="5"/>
      <c r="H1228" s="6" t="str">
        <f>IFERROR(__xludf.DUMMYFUNCTION("""COMPUTED_VALUE"""),"https://www.instagram.com/janatoreza_ir")</f>
        <v>https://www.instagram.com/janatoreza_ir</v>
      </c>
      <c r="I1228" s="6" t="str">
        <f>IFERROR(__xludf.DUMMYFUNCTION("""COMPUTED_VALUE"""),"https://t.me/janatoreza_ir")</f>
        <v>https://t.me/janatoreza_ir</v>
      </c>
      <c r="J1228" s="6" t="str">
        <f>IFERROR(__xludf.DUMMYFUNCTION("""COMPUTED_VALUE"""),"https://eitaa.com/janatoreza_ir")</f>
        <v>https://eitaa.com/janatoreza_ir</v>
      </c>
      <c r="K1228" s="5"/>
      <c r="L1228" s="5"/>
      <c r="M1228" s="5"/>
      <c r="N1228" s="5"/>
      <c r="O1228" s="5"/>
      <c r="P1228" s="5"/>
      <c r="Q1228" s="5"/>
      <c r="R1228" s="5"/>
      <c r="S1228" s="5"/>
    </row>
    <row r="1229">
      <c r="A1229" s="5"/>
      <c r="B1229" s="5" t="str">
        <f>IFERROR(__xludf.DUMMYFUNCTION("""COMPUTED_VALUE"""),"هیأت")</f>
        <v>هیأت</v>
      </c>
      <c r="C1229" s="5" t="str">
        <f>IFERROR(__xludf.DUMMYFUNCTION("""COMPUTED_VALUE"""),"امام رضا")</f>
        <v>امام رضا</v>
      </c>
      <c r="D1229" s="5" t="str">
        <f>IFERROR(__xludf.DUMMYFUNCTION("""COMPUTED_VALUE"""),"گیلان")</f>
        <v>گیلان</v>
      </c>
      <c r="E1229" s="5" t="str">
        <f>IFERROR(__xludf.DUMMYFUNCTION("""COMPUTED_VALUE"""),"خمام")</f>
        <v>خمام</v>
      </c>
      <c r="F1229" s="5"/>
      <c r="G1229" s="5"/>
      <c r="H1229" s="6" t="str">
        <f>IFERROR(__xludf.DUMMYFUNCTION("""COMPUTED_VALUE"""),"https://www.instagram.com/heyat_imamreza/")</f>
        <v>https://www.instagram.com/heyat_imamreza/</v>
      </c>
      <c r="I1229" s="6" t="str">
        <f>IFERROR(__xludf.DUMMYFUNCTION("""COMPUTED_VALUE"""),"https://t.me/Heyat_imamreza0")</f>
        <v>https://t.me/Heyat_imamreza0</v>
      </c>
      <c r="J1229" s="6" t="str">
        <f>IFERROR(__xludf.DUMMYFUNCTION("""COMPUTED_VALUE"""),"https://eitaa.com/Heyat_imamreza0")</f>
        <v>https://eitaa.com/Heyat_imamreza0</v>
      </c>
      <c r="K1229" s="5"/>
      <c r="L1229" s="5"/>
      <c r="M1229" s="5"/>
      <c r="N1229" s="5"/>
      <c r="O1229" s="5"/>
      <c r="P1229" s="5"/>
      <c r="Q1229" s="5"/>
      <c r="R1229" s="5"/>
      <c r="S1229" s="5"/>
    </row>
    <row r="1230">
      <c r="A1230" s="5"/>
      <c r="B1230" s="5" t="str">
        <f>IFERROR(__xludf.DUMMYFUNCTION("""COMPUTED_VALUE"""),"هیأت")</f>
        <v>هیأت</v>
      </c>
      <c r="C1230" s="5" t="str">
        <f>IFERROR(__xludf.DUMMYFUNCTION("""COMPUTED_VALUE"""),"هیئت روضات الحسین(ع) رشت")</f>
        <v>هیئت روضات الحسین(ع) رشت</v>
      </c>
      <c r="D1230" s="5" t="str">
        <f>IFERROR(__xludf.DUMMYFUNCTION("""COMPUTED_VALUE"""),"گیلان")</f>
        <v>گیلان</v>
      </c>
      <c r="E1230" s="5" t="str">
        <f>IFERROR(__xludf.DUMMYFUNCTION("""COMPUTED_VALUE"""),"رشت")</f>
        <v>رشت</v>
      </c>
      <c r="F1230" s="5" t="str">
        <f>IFERROR(__xludf.DUMMYFUNCTION("""COMPUTED_VALUE"""),"مسجد امام رضا(ع) گلسار")</f>
        <v>مسجد امام رضا(ع) گلسار</v>
      </c>
      <c r="G1230" s="5"/>
      <c r="H1230" s="6" t="str">
        <f>IFERROR(__xludf.DUMMYFUNCTION("""COMPUTED_VALUE"""),"https://www.instagram.com/rozat_ir/")</f>
        <v>https://www.instagram.com/rozat_ir/</v>
      </c>
      <c r="I1230" s="6" t="str">
        <f>IFERROR(__xludf.DUMMYFUNCTION("""COMPUTED_VALUE"""),"https://t.me/rozatieh")</f>
        <v>https://t.me/rozatieh</v>
      </c>
      <c r="J1230" s="6" t="str">
        <f>IFERROR(__xludf.DUMMYFUNCTION("""COMPUTED_VALUE"""),"https://eitaa.com/rozatieh")</f>
        <v>https://eitaa.com/rozatieh</v>
      </c>
      <c r="K1230" s="5"/>
      <c r="L1230" s="5"/>
      <c r="M1230" s="5"/>
      <c r="N1230" s="5" t="str">
        <f>IFERROR(__xludf.DUMMYFUNCTION("""COMPUTED_VALUE"""),"دوشنبه ها")</f>
        <v>دوشنبه ها</v>
      </c>
      <c r="O1230" s="5"/>
      <c r="P1230" s="5"/>
      <c r="Q1230" s="5"/>
      <c r="R1230" s="5"/>
      <c r="S1230" s="5"/>
    </row>
    <row r="1231">
      <c r="A1231" s="5"/>
      <c r="B1231" s="5" t="str">
        <f>IFERROR(__xludf.DUMMYFUNCTION("""COMPUTED_VALUE"""),"هیأت")</f>
        <v>هیأت</v>
      </c>
      <c r="C1231" s="5" t="str">
        <f>IFERROR(__xludf.DUMMYFUNCTION("""COMPUTED_VALUE"""),"هیأت ثارالله رشت")</f>
        <v>هیأت ثارالله رشت</v>
      </c>
      <c r="D1231" s="5" t="str">
        <f>IFERROR(__xludf.DUMMYFUNCTION("""COMPUTED_VALUE"""),"گیلان")</f>
        <v>گیلان</v>
      </c>
      <c r="E1231" s="5" t="str">
        <f>IFERROR(__xludf.DUMMYFUNCTION("""COMPUTED_VALUE"""),"رشت")</f>
        <v>رشت</v>
      </c>
      <c r="F1231" s="5" t="str">
        <f>IFERROR(__xludf.DUMMYFUNCTION("""COMPUTED_VALUE"""),"بلوار شهید مطهری . گذر خواهر امام . آستان مقدس حضرت فاطمه اُخریٰ (س)")</f>
        <v>بلوار شهید مطهری . گذر خواهر امام . آستان مقدس حضرت فاطمه اُخریٰ (س)</v>
      </c>
      <c r="G1231" s="5"/>
      <c r="H1231" s="6" t="str">
        <f>IFERROR(__xludf.DUMMYFUNCTION("""COMPUTED_VALUE"""),"https://www.instagram.com/sarollah_com/")</f>
        <v>https://www.instagram.com/sarollah_com/</v>
      </c>
      <c r="I1231" s="6" t="str">
        <f>IFERROR(__xludf.DUMMYFUNCTION("""COMPUTED_VALUE"""),"https://t.me/Sarollah_com")</f>
        <v>https://t.me/Sarollah_com</v>
      </c>
      <c r="J1231" s="6" t="str">
        <f>IFERROR(__xludf.DUMMYFUNCTION("""COMPUTED_VALUE"""),"https://eitaa.com/Sarollah_com")</f>
        <v>https://eitaa.com/Sarollah_com</v>
      </c>
      <c r="K1231" s="5"/>
      <c r="L1231" s="5"/>
      <c r="M1231" s="5" t="str">
        <f>IFERROR(__xludf.DUMMYFUNCTION("""COMPUTED_VALUE"""),"ابوذر بیوکافی")</f>
        <v>ابوذر بیوکافی</v>
      </c>
      <c r="N1231" s="5" t="str">
        <f>IFERROR(__xludf.DUMMYFUNCTION("""COMPUTED_VALUE"""),"-")</f>
        <v>-</v>
      </c>
      <c r="O1231" s="5"/>
      <c r="P1231" s="5"/>
      <c r="Q1231" s="5"/>
      <c r="R1231" s="5"/>
      <c r="S1231" s="5"/>
    </row>
    <row r="1232">
      <c r="A1232" s="5"/>
      <c r="B1232" s="5" t="str">
        <f>IFERROR(__xludf.DUMMYFUNCTION("""COMPUTED_VALUE"""),"هیأت")</f>
        <v>هیأت</v>
      </c>
      <c r="C1232" s="5" t="str">
        <f>IFERROR(__xludf.DUMMYFUNCTION("""COMPUTED_VALUE"""),"هیئت یازهرا و رهروان شهدا رشت")</f>
        <v>هیئت یازهرا و رهروان شهدا رشت</v>
      </c>
      <c r="D1232" s="5" t="str">
        <f>IFERROR(__xludf.DUMMYFUNCTION("""COMPUTED_VALUE"""),"گیلان")</f>
        <v>گیلان</v>
      </c>
      <c r="E1232" s="5" t="str">
        <f>IFERROR(__xludf.DUMMYFUNCTION("""COMPUTED_VALUE"""),"رشت")</f>
        <v>رشت</v>
      </c>
      <c r="F1232" s="5" t="str">
        <f>IFERROR(__xludf.DUMMYFUNCTION("""COMPUTED_VALUE"""),"مـسـجـدصـادقـیـه")</f>
        <v>مـسـجـدصـادقـیـه</v>
      </c>
      <c r="G1232" s="5"/>
      <c r="H1232" s="6" t="str">
        <f>IFERROR(__xludf.DUMMYFUNCTION("""COMPUTED_VALUE"""),"https://www.instagram.com/yazahra135_info/")</f>
        <v>https://www.instagram.com/yazahra135_info/</v>
      </c>
      <c r="I1232" s="6" t="str">
        <f>IFERROR(__xludf.DUMMYFUNCTION("""COMPUTED_VALUE"""),"https://t.me/yazahra135_info")</f>
        <v>https://t.me/yazahra135_info</v>
      </c>
      <c r="J1232" s="5"/>
      <c r="K1232" s="5"/>
      <c r="L1232" s="5"/>
      <c r="M1232" s="5"/>
      <c r="N1232" s="5" t="str">
        <f>IFERROR(__xludf.DUMMYFUNCTION("""COMPUTED_VALUE"""),"چهارشنبه ها")</f>
        <v>چهارشنبه ها</v>
      </c>
      <c r="O1232" s="5"/>
      <c r="P1232" s="5"/>
      <c r="Q1232" s="5"/>
      <c r="R1232" s="5"/>
      <c r="S1232" s="5"/>
    </row>
    <row r="1233">
      <c r="A1233" s="5"/>
      <c r="B1233" s="5" t="str">
        <f>IFERROR(__xludf.DUMMYFUNCTION("""COMPUTED_VALUE"""),"هیأت")</f>
        <v>هیأت</v>
      </c>
      <c r="C1233" s="5" t="str">
        <f>IFERROR(__xludf.DUMMYFUNCTION("""COMPUTED_VALUE"""),"هیئت امام حاضر(عج) رشت")</f>
        <v>هیئت امام حاضر(عج) رشت</v>
      </c>
      <c r="D1233" s="5" t="str">
        <f>IFERROR(__xludf.DUMMYFUNCTION("""COMPUTED_VALUE"""),"گیلان")</f>
        <v>گیلان</v>
      </c>
      <c r="E1233" s="5" t="str">
        <f>IFERROR(__xludf.DUMMYFUNCTION("""COMPUTED_VALUE"""),"رشت")</f>
        <v>رشت</v>
      </c>
      <c r="F1233" s="5" t="str">
        <f>IFERROR(__xludf.DUMMYFUNCTION("""COMPUTED_VALUE"""),"جانبازان،روبه‌روی گلزار شهدا،مجموعه مفتاح،حسینیه امام حاضر(عج)")</f>
        <v>جانبازان،روبه‌روی گلزار شهدا،مجموعه مفتاح،حسینیه امام حاضر(عج)</v>
      </c>
      <c r="G1233" s="5"/>
      <c r="H1233" s="6" t="str">
        <f>IFERROR(__xludf.DUMMYFUNCTION("""COMPUTED_VALUE"""),"https://www.instagram.com/emam_hazer_info/")</f>
        <v>https://www.instagram.com/emam_hazer_info/</v>
      </c>
      <c r="I1233" s="5"/>
      <c r="J1233" s="5"/>
      <c r="K1233" s="5"/>
      <c r="L1233" s="5"/>
      <c r="M1233" s="5"/>
      <c r="N1233" s="5" t="str">
        <f>IFERROR(__xludf.DUMMYFUNCTION("""COMPUTED_VALUE"""),"چهارشنبه ها")</f>
        <v>چهارشنبه ها</v>
      </c>
      <c r="O1233" s="5"/>
      <c r="P1233" s="5"/>
      <c r="Q1233" s="5"/>
      <c r="R1233" s="5"/>
      <c r="S1233" s="5"/>
    </row>
    <row r="1234">
      <c r="A1234" s="5"/>
      <c r="B1234" s="5" t="str">
        <f>IFERROR(__xludf.DUMMYFUNCTION("""COMPUTED_VALUE"""),"هیأت")</f>
        <v>هیأت</v>
      </c>
      <c r="C1234" s="5" t="str">
        <f>IFERROR(__xludf.DUMMYFUNCTION("""COMPUTED_VALUE"""),"هیئت حضرت علی اصغر (ع) رشت")</f>
        <v>هیئت حضرت علی اصغر (ع) رشت</v>
      </c>
      <c r="D1234" s="5" t="str">
        <f>IFERROR(__xludf.DUMMYFUNCTION("""COMPUTED_VALUE"""),"گیلان")</f>
        <v>گیلان</v>
      </c>
      <c r="E1234" s="5" t="str">
        <f>IFERROR(__xludf.DUMMYFUNCTION("""COMPUTED_VALUE"""),"رشت")</f>
        <v>رشت</v>
      </c>
      <c r="F1234" s="5"/>
      <c r="G1234" s="5"/>
      <c r="H1234" s="6" t="str">
        <f>IFERROR(__xludf.DUMMYFUNCTION("""COMPUTED_VALUE"""),"https://www.instagram.com/heiyat.aliasghar/")</f>
        <v>https://www.instagram.com/heiyat.aliasghar/</v>
      </c>
      <c r="I1234" s="5"/>
      <c r="J1234" s="5"/>
      <c r="K1234" s="5"/>
      <c r="L1234" s="5"/>
      <c r="M1234" s="5"/>
      <c r="N1234" s="5" t="str">
        <f>IFERROR(__xludf.DUMMYFUNCTION("""COMPUTED_VALUE"""),"-")</f>
        <v>-</v>
      </c>
      <c r="O1234" s="5"/>
      <c r="P1234" s="5"/>
      <c r="Q1234" s="5"/>
      <c r="R1234" s="5"/>
      <c r="S1234" s="5"/>
    </row>
    <row r="1235">
      <c r="A1235" s="5"/>
      <c r="B1235" s="5" t="str">
        <f>IFERROR(__xludf.DUMMYFUNCTION("""COMPUTED_VALUE"""),"هیأت دانشجویی")</f>
        <v>هیأت دانشجویی</v>
      </c>
      <c r="C1235" s="5" t="str">
        <f>IFERROR(__xludf.DUMMYFUNCTION("""COMPUTED_VALUE"""),"باقرالعلوم")</f>
        <v>باقرالعلوم</v>
      </c>
      <c r="D1235" s="5" t="str">
        <f>IFERROR(__xludf.DUMMYFUNCTION("""COMPUTED_VALUE"""),"گیلان")</f>
        <v>گیلان</v>
      </c>
      <c r="E1235" s="5" t="str">
        <f>IFERROR(__xludf.DUMMYFUNCTION("""COMPUTED_VALUE"""),"رشت")</f>
        <v>رشت</v>
      </c>
      <c r="F1235" s="5" t="str">
        <f>IFERROR(__xludf.DUMMYFUNCTION("""COMPUTED_VALUE"""),"دانشگاه گیلان")</f>
        <v>دانشگاه گیلان</v>
      </c>
      <c r="G1235" s="5"/>
      <c r="H1235" s="6" t="str">
        <f>IFERROR(__xludf.DUMMYFUNCTION("""COMPUTED_VALUE"""),"https://www.instagram.com/heyat_db/")</f>
        <v>https://www.instagram.com/heyat_db/</v>
      </c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</row>
    <row r="1236">
      <c r="A1236" s="5"/>
      <c r="B1236" s="5" t="str">
        <f>IFERROR(__xludf.DUMMYFUNCTION("""COMPUTED_VALUE"""),"هیأت")</f>
        <v>هیأت</v>
      </c>
      <c r="C1236" s="5" t="str">
        <f>IFERROR(__xludf.DUMMYFUNCTION("""COMPUTED_VALUE"""),"الشهدا")</f>
        <v>الشهدا</v>
      </c>
      <c r="D1236" s="5" t="str">
        <f>IFERROR(__xludf.DUMMYFUNCTION("""COMPUTED_VALUE"""),"گیلان")</f>
        <v>گیلان</v>
      </c>
      <c r="E1236" s="5" t="str">
        <f>IFERROR(__xludf.DUMMYFUNCTION("""COMPUTED_VALUE"""),"رشت")</f>
        <v>رشت</v>
      </c>
      <c r="F1236" s="5"/>
      <c r="G1236" s="5"/>
      <c r="H1236" s="6" t="str">
        <f>IFERROR(__xludf.DUMMYFUNCTION("""COMPUTED_VALUE"""),"https://www.instagram.com/h.shohada1382/")</f>
        <v>https://www.instagram.com/h.shohada1382/</v>
      </c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</row>
    <row r="1237">
      <c r="A1237" s="5"/>
      <c r="B1237" s="5" t="str">
        <f>IFERROR(__xludf.DUMMYFUNCTION("""COMPUTED_VALUE"""),"هیأت")</f>
        <v>هیأت</v>
      </c>
      <c r="C1237" s="5" t="str">
        <f>IFERROR(__xludf.DUMMYFUNCTION("""COMPUTED_VALUE"""),"انصارالحسین")</f>
        <v>انصارالحسین</v>
      </c>
      <c r="D1237" s="5" t="str">
        <f>IFERROR(__xludf.DUMMYFUNCTION("""COMPUTED_VALUE"""),"گیلان")</f>
        <v>گیلان</v>
      </c>
      <c r="E1237" s="5" t="str">
        <f>IFERROR(__xludf.DUMMYFUNCTION("""COMPUTED_VALUE"""),"رشت")</f>
        <v>رشت</v>
      </c>
      <c r="F1237" s="5" t="str">
        <f>IFERROR(__xludf.DUMMYFUNCTION("""COMPUTED_VALUE"""),"نقره دشت")</f>
        <v>نقره دشت</v>
      </c>
      <c r="G1237" s="5"/>
      <c r="H1237" s="6" t="str">
        <f>IFERROR(__xludf.DUMMYFUNCTION("""COMPUTED_VALUE"""),"https://www.instagram.com/ansaralhossain_ir/")</f>
        <v>https://www.instagram.com/ansaralhossain_ir/</v>
      </c>
      <c r="I1237" s="6" t="str">
        <f>IFERROR(__xludf.DUMMYFUNCTION("""COMPUTED_VALUE"""),"https://t.me/ansaralhossain_ir")</f>
        <v>https://t.me/ansaralhossain_ir</v>
      </c>
      <c r="J1237" s="5" t="str">
        <f>IFERROR(__xludf.DUMMYFUNCTION("""COMPUTED_VALUE"""),"ایتا - هیئت انصارالحسین(ع)ا🚩")</f>
        <v>ایتا - هیئت انصارالحسین(ع)ا🚩</v>
      </c>
      <c r="K1237" s="5"/>
      <c r="L1237" s="5"/>
      <c r="M1237" s="5"/>
      <c r="N1237" s="5"/>
      <c r="O1237" s="5"/>
      <c r="P1237" s="5"/>
      <c r="Q1237" s="5"/>
      <c r="R1237" s="5"/>
      <c r="S1237" s="5"/>
    </row>
    <row r="1238">
      <c r="A1238" s="5"/>
      <c r="B1238" s="5" t="str">
        <f>IFERROR(__xludf.DUMMYFUNCTION("""COMPUTED_VALUE"""),"امامزاده")</f>
        <v>امامزاده</v>
      </c>
      <c r="C1238" s="5" t="str">
        <f>IFERROR(__xludf.DUMMYFUNCTION("""COMPUTED_VALUE"""),"آستان مقدس فاطمه اخری")</f>
        <v>آستان مقدس فاطمه اخری</v>
      </c>
      <c r="D1238" s="5" t="str">
        <f>IFERROR(__xludf.DUMMYFUNCTION("""COMPUTED_VALUE"""),"گیلان")</f>
        <v>گیلان</v>
      </c>
      <c r="E1238" s="5" t="str">
        <f>IFERROR(__xludf.DUMMYFUNCTION("""COMPUTED_VALUE"""),"رشت")</f>
        <v>رشت</v>
      </c>
      <c r="F1238" s="5"/>
      <c r="G1238" s="5"/>
      <c r="H1238" s="6" t="str">
        <f>IFERROR(__xludf.DUMMYFUNCTION("""COMPUTED_VALUE"""),"https://www.instagram.com/astanrasht/")</f>
        <v>https://www.instagram.com/astanrasht/</v>
      </c>
      <c r="I1238" s="6" t="str">
        <f>IFERROR(__xludf.DUMMYFUNCTION("""COMPUTED_VALUE"""),"https://t.me/astanrasht")</f>
        <v>https://t.me/astanrasht</v>
      </c>
      <c r="J1238" s="6" t="str">
        <f>IFERROR(__xludf.DUMMYFUNCTION("""COMPUTED_VALUE"""),"https://eitaa.com/astanrasht")</f>
        <v>https://eitaa.com/astanrasht</v>
      </c>
      <c r="K1238" s="5"/>
      <c r="L1238" s="5"/>
      <c r="M1238" s="5"/>
      <c r="N1238" s="5"/>
      <c r="O1238" s="5"/>
      <c r="P1238" s="5"/>
      <c r="Q1238" s="5"/>
      <c r="R1238" s="5"/>
      <c r="S1238" s="5"/>
    </row>
    <row r="1239">
      <c r="A1239" s="5"/>
      <c r="B1239" s="5" t="str">
        <f>IFERROR(__xludf.DUMMYFUNCTION("""COMPUTED_VALUE"""),"هیأت")</f>
        <v>هیأت</v>
      </c>
      <c r="C1239" s="5" t="str">
        <f>IFERROR(__xludf.DUMMYFUNCTION("""COMPUTED_VALUE"""),"انصارالحسین")</f>
        <v>انصارالحسین</v>
      </c>
      <c r="D1239" s="5" t="str">
        <f>IFERROR(__xludf.DUMMYFUNCTION("""COMPUTED_VALUE"""),"گیلان")</f>
        <v>گیلان</v>
      </c>
      <c r="E1239" s="5" t="str">
        <f>IFERROR(__xludf.DUMMYFUNCTION("""COMPUTED_VALUE"""),"رشت")</f>
        <v>رشت</v>
      </c>
      <c r="F1239" s="5"/>
      <c r="G1239" s="5"/>
      <c r="H1239" s="6" t="str">
        <f>IFERROR(__xludf.DUMMYFUNCTION("""COMPUTED_VALUE"""),"https://www.instagram.com/ansaralhussein_rasht/")</f>
        <v>https://www.instagram.com/ansaralhussein_rasht/</v>
      </c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</row>
    <row r="1240">
      <c r="A1240" s="5"/>
      <c r="B1240" s="5" t="str">
        <f>IFERROR(__xludf.DUMMYFUNCTION("""COMPUTED_VALUE"""),"هیأت")</f>
        <v>هیأت</v>
      </c>
      <c r="C1240" s="5" t="str">
        <f>IFERROR(__xludf.DUMMYFUNCTION("""COMPUTED_VALUE"""),"انصارالحسین")</f>
        <v>انصارالحسین</v>
      </c>
      <c r="D1240" s="5" t="str">
        <f>IFERROR(__xludf.DUMMYFUNCTION("""COMPUTED_VALUE"""),"گیلان")</f>
        <v>گیلان</v>
      </c>
      <c r="E1240" s="5" t="str">
        <f>IFERROR(__xludf.DUMMYFUNCTION("""COMPUTED_VALUE"""),"رشت")</f>
        <v>رشت</v>
      </c>
      <c r="F1240" s="5"/>
      <c r="G1240" s="5"/>
      <c r="H1240" s="6" t="str">
        <f>IFERROR(__xludf.DUMMYFUNCTION("""COMPUTED_VALUE"""),"https://www.instagram.com/ansaralhoseinrasht/")</f>
        <v>https://www.instagram.com/ansaralhoseinrasht/</v>
      </c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</row>
    <row r="1241">
      <c r="A1241" s="5"/>
      <c r="B1241" s="5" t="str">
        <f>IFERROR(__xludf.DUMMYFUNCTION("""COMPUTED_VALUE"""),"هیأت")</f>
        <v>هیأت</v>
      </c>
      <c r="C1241" s="5" t="str">
        <f>IFERROR(__xludf.DUMMYFUNCTION("""COMPUTED_VALUE"""),"خادمین امام رضا")</f>
        <v>خادمین امام رضا</v>
      </c>
      <c r="D1241" s="5" t="str">
        <f>IFERROR(__xludf.DUMMYFUNCTION("""COMPUTED_VALUE"""),"گیلان")</f>
        <v>گیلان</v>
      </c>
      <c r="E1241" s="5" t="str">
        <f>IFERROR(__xludf.DUMMYFUNCTION("""COMPUTED_VALUE"""),"رشت")</f>
        <v>رشت</v>
      </c>
      <c r="F1241" s="5"/>
      <c r="G1241" s="5"/>
      <c r="H1241" s="6" t="str">
        <f>IFERROR(__xludf.DUMMYFUNCTION("""COMPUTED_VALUE"""),"https://www.instagram.com/kesa.info/")</f>
        <v>https://www.instagram.com/kesa.info/</v>
      </c>
      <c r="I1241" s="6" t="str">
        <f>IFERROR(__xludf.DUMMYFUNCTION("""COMPUTED_VALUE"""),"https://t.me/khademinalreza")</f>
        <v>https://t.me/khademinalreza</v>
      </c>
      <c r="J1241" s="6" t="str">
        <f>IFERROR(__xludf.DUMMYFUNCTION("""COMPUTED_VALUE"""),"https://eitaa.com/khademinalreza")</f>
        <v>https://eitaa.com/khademinalreza</v>
      </c>
      <c r="K1241" s="5"/>
      <c r="L1241" s="5"/>
      <c r="M1241" s="5"/>
      <c r="N1241" s="5"/>
      <c r="O1241" s="5"/>
      <c r="P1241" s="5"/>
      <c r="Q1241" s="5"/>
      <c r="R1241" s="5"/>
      <c r="S1241" s="5"/>
    </row>
    <row r="1242">
      <c r="A1242" s="5"/>
      <c r="B1242" s="5" t="str">
        <f>IFERROR(__xludf.DUMMYFUNCTION("""COMPUTED_VALUE"""),"هیأت")</f>
        <v>هیأت</v>
      </c>
      <c r="C1242" s="5" t="str">
        <f>IFERROR(__xludf.DUMMYFUNCTION("""COMPUTED_VALUE"""),"امامزاده حسنی ها")</f>
        <v>امامزاده حسنی ها</v>
      </c>
      <c r="D1242" s="5" t="str">
        <f>IFERROR(__xludf.DUMMYFUNCTION("""COMPUTED_VALUE"""),"گیلان")</f>
        <v>گیلان</v>
      </c>
      <c r="E1242" s="5" t="str">
        <f>IFERROR(__xludf.DUMMYFUNCTION("""COMPUTED_VALUE"""),"رشت")</f>
        <v>رشت</v>
      </c>
      <c r="F1242" s="5" t="str">
        <f>IFERROR(__xludf.DUMMYFUNCTION("""COMPUTED_VALUE"""),"خمام")</f>
        <v>خمام</v>
      </c>
      <c r="G1242" s="5"/>
      <c r="H1242" s="6" t="str">
        <f>IFERROR(__xludf.DUMMYFUNCTION("""COMPUTED_VALUE"""),"https://www.instagram.com/emamzadehhasaniha/")</f>
        <v>https://www.instagram.com/emamzadehhasaniha/</v>
      </c>
      <c r="I1242" s="6" t="str">
        <f>IFERROR(__xludf.DUMMYFUNCTION("""COMPUTED_VALUE"""),"https://t.me/emamzadehasaniha")</f>
        <v>https://t.me/emamzadehasaniha</v>
      </c>
      <c r="J1242" s="6" t="str">
        <f>IFERROR(__xludf.DUMMYFUNCTION("""COMPUTED_VALUE"""),"https://eitaa.com/hasanihakhomam")</f>
        <v>https://eitaa.com/hasanihakhomam</v>
      </c>
      <c r="K1242" s="5"/>
      <c r="L1242" s="5"/>
      <c r="M1242" s="5"/>
      <c r="N1242" s="5"/>
      <c r="O1242" s="5"/>
      <c r="P1242" s="5"/>
      <c r="Q1242" s="5"/>
      <c r="R1242" s="5"/>
      <c r="S1242" s="5"/>
    </row>
    <row r="1243">
      <c r="A1243" s="5"/>
      <c r="B1243" s="5" t="str">
        <f>IFERROR(__xludf.DUMMYFUNCTION("""COMPUTED_VALUE"""),"هیأت")</f>
        <v>هیأت</v>
      </c>
      <c r="C1243" s="5" t="str">
        <f>IFERROR(__xludf.DUMMYFUNCTION("""COMPUTED_VALUE"""),"میثاق با شهدا")</f>
        <v>میثاق با شهدا</v>
      </c>
      <c r="D1243" s="5" t="str">
        <f>IFERROR(__xludf.DUMMYFUNCTION("""COMPUTED_VALUE"""),"گیلان")</f>
        <v>گیلان</v>
      </c>
      <c r="E1243" s="5" t="str">
        <f>IFERROR(__xludf.DUMMYFUNCTION("""COMPUTED_VALUE"""),"رشت")</f>
        <v>رشت</v>
      </c>
      <c r="F1243" s="5"/>
      <c r="G1243" s="5"/>
      <c r="H1243" s="6" t="str">
        <f>IFERROR(__xludf.DUMMYFUNCTION("""COMPUTED_VALUE"""),"https://www.instagram.com/misaq_ba_shohada_rasht/")</f>
        <v>https://www.instagram.com/misaq_ba_shohada_rasht/</v>
      </c>
      <c r="I1243" s="6" t="str">
        <f>IFERROR(__xludf.DUMMYFUNCTION("""COMPUTED_VALUE"""),"https://t.me/misaq_ba_shohada_rasht")</f>
        <v>https://t.me/misaq_ba_shohada_rasht</v>
      </c>
      <c r="J1243" s="6" t="str">
        <f>IFERROR(__xludf.DUMMYFUNCTION("""COMPUTED_VALUE"""),"https://eitaa.com/misaq_ba_shohada_rasht")</f>
        <v>https://eitaa.com/misaq_ba_shohada_rasht</v>
      </c>
      <c r="K1243" s="5"/>
      <c r="L1243" s="5"/>
      <c r="M1243" s="5"/>
      <c r="N1243" s="5"/>
      <c r="O1243" s="5"/>
      <c r="P1243" s="5"/>
      <c r="Q1243" s="5"/>
      <c r="R1243" s="5"/>
      <c r="S1243" s="5"/>
    </row>
    <row r="1244">
      <c r="A1244" s="5"/>
      <c r="B1244" s="5" t="str">
        <f>IFERROR(__xludf.DUMMYFUNCTION("""COMPUTED_VALUE"""),"هیأت")</f>
        <v>هیأت</v>
      </c>
      <c r="C1244" s="5" t="str">
        <f>IFERROR(__xludf.DUMMYFUNCTION("""COMPUTED_VALUE"""),"سائلین حسن جان")</f>
        <v>سائلین حسن جان</v>
      </c>
      <c r="D1244" s="5" t="str">
        <f>IFERROR(__xludf.DUMMYFUNCTION("""COMPUTED_VALUE"""),"گیلان")</f>
        <v>گیلان</v>
      </c>
      <c r="E1244" s="5" t="str">
        <f>IFERROR(__xludf.DUMMYFUNCTION("""COMPUTED_VALUE"""),"رشت")</f>
        <v>رشت</v>
      </c>
      <c r="F1244" s="5"/>
      <c r="G1244" s="5"/>
      <c r="H1244" s="6" t="str">
        <f>IFERROR(__xludf.DUMMYFUNCTION("""COMPUTED_VALUE"""),"https://www.instagram.com/mouod.info/")</f>
        <v>https://www.instagram.com/mouod.info/</v>
      </c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</row>
    <row r="1245">
      <c r="A1245" s="5"/>
      <c r="B1245" s="5" t="str">
        <f>IFERROR(__xludf.DUMMYFUNCTION("""COMPUTED_VALUE"""),"هیأت")</f>
        <v>هیأت</v>
      </c>
      <c r="C1245" s="5" t="str">
        <f>IFERROR(__xludf.DUMMYFUNCTION("""COMPUTED_VALUE"""),"متوسلین به چهارده معصوم")</f>
        <v>متوسلین به چهارده معصوم</v>
      </c>
      <c r="D1245" s="5" t="str">
        <f>IFERROR(__xludf.DUMMYFUNCTION("""COMPUTED_VALUE"""),"گیلان")</f>
        <v>گیلان</v>
      </c>
      <c r="E1245" s="5" t="str">
        <f>IFERROR(__xludf.DUMMYFUNCTION("""COMPUTED_VALUE"""),"رشت")</f>
        <v>رشت</v>
      </c>
      <c r="F1245" s="5" t="str">
        <f>IFERROR(__xludf.DUMMYFUNCTION("""COMPUTED_VALUE"""),"سنگر")</f>
        <v>سنگر</v>
      </c>
      <c r="G1245" s="5"/>
      <c r="H1245" s="6" t="str">
        <f>IFERROR(__xludf.DUMMYFUNCTION("""COMPUTED_VALUE"""),"https://www.instagram.com/motavasselin_info/")</f>
        <v>https://www.instagram.com/motavasselin_info/</v>
      </c>
      <c r="I1245" s="6" t="str">
        <f>IFERROR(__xludf.DUMMYFUNCTION("""COMPUTED_VALUE"""),"https://t.me/motavasselin_info")</f>
        <v>https://t.me/motavasselin_info</v>
      </c>
      <c r="J1245" s="6" t="str">
        <f>IFERROR(__xludf.DUMMYFUNCTION("""COMPUTED_VALUE"""),"https://eitaa.com/motavasselin_info")</f>
        <v>https://eitaa.com/motavasselin_info</v>
      </c>
      <c r="K1245" s="5"/>
      <c r="L1245" s="5"/>
      <c r="M1245" s="5"/>
      <c r="N1245" s="5"/>
      <c r="O1245" s="5"/>
      <c r="P1245" s="5"/>
      <c r="Q1245" s="5"/>
      <c r="R1245" s="5"/>
      <c r="S1245" s="5"/>
    </row>
    <row r="1246">
      <c r="A1246" s="5"/>
      <c r="B1246" s="5" t="str">
        <f>IFERROR(__xludf.DUMMYFUNCTION("""COMPUTED_VALUE"""),"هیأت")</f>
        <v>هیأت</v>
      </c>
      <c r="C1246" s="5" t="str">
        <f>IFERROR(__xludf.DUMMYFUNCTION("""COMPUTED_VALUE"""),"ابن الزهرا")</f>
        <v>ابن الزهرا</v>
      </c>
      <c r="D1246" s="5" t="str">
        <f>IFERROR(__xludf.DUMMYFUNCTION("""COMPUTED_VALUE"""),"گیلان")</f>
        <v>گیلان</v>
      </c>
      <c r="E1246" s="5" t="str">
        <f>IFERROR(__xludf.DUMMYFUNCTION("""COMPUTED_VALUE"""),"رشت")</f>
        <v>رشت</v>
      </c>
      <c r="F1246" s="5"/>
      <c r="G1246" s="5"/>
      <c r="H1246" s="6" t="str">
        <f>IFERROR(__xludf.DUMMYFUNCTION("""COMPUTED_VALUE"""),"https://www.instagram.com/ebnozzahra_com/")</f>
        <v>https://www.instagram.com/ebnozzahra_com/</v>
      </c>
      <c r="I1246" s="5"/>
      <c r="J1246" s="6" t="str">
        <f>IFERROR(__xludf.DUMMYFUNCTION("""COMPUTED_VALUE"""),"https://eitaa.com/ebnozzahra_com")</f>
        <v>https://eitaa.com/ebnozzahra_com</v>
      </c>
      <c r="K1246" s="5"/>
      <c r="L1246" s="5"/>
      <c r="M1246" s="5"/>
      <c r="N1246" s="5"/>
      <c r="O1246" s="5"/>
      <c r="P1246" s="5"/>
      <c r="Q1246" s="5"/>
      <c r="R1246" s="5"/>
      <c r="S1246" s="5"/>
    </row>
    <row r="1247">
      <c r="A1247" s="5"/>
      <c r="B1247" s="5" t="str">
        <f>IFERROR(__xludf.DUMMYFUNCTION("""COMPUTED_VALUE"""),"هیأت")</f>
        <v>هیأت</v>
      </c>
      <c r="C1247" s="5" t="str">
        <f>IFERROR(__xludf.DUMMYFUNCTION("""COMPUTED_VALUE"""),"شهدای گمنام ")</f>
        <v>شهدای گمنام </v>
      </c>
      <c r="D1247" s="5" t="str">
        <f>IFERROR(__xludf.DUMMYFUNCTION("""COMPUTED_VALUE"""),"گیلان")</f>
        <v>گیلان</v>
      </c>
      <c r="E1247" s="5" t="str">
        <f>IFERROR(__xludf.DUMMYFUNCTION("""COMPUTED_VALUE"""),"رشت")</f>
        <v>رشت</v>
      </c>
      <c r="F1247" s="5" t="str">
        <f>IFERROR(__xludf.DUMMYFUNCTION("""COMPUTED_VALUE"""),"سنگسر ویشکاننک")</f>
        <v>سنگسر ویشکاننک</v>
      </c>
      <c r="G1247" s="5"/>
      <c r="H1247" s="6" t="str">
        <f>IFERROR(__xludf.DUMMYFUNCTION("""COMPUTED_VALUE"""),"https://www.instagram.com/gomnam.vishka/")</f>
        <v>https://www.instagram.com/gomnam.vishka/</v>
      </c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</row>
    <row r="1248">
      <c r="A1248" s="5"/>
      <c r="B1248" s="5" t="str">
        <f>IFERROR(__xludf.DUMMYFUNCTION("""COMPUTED_VALUE"""),"هیأت")</f>
        <v>هیأت</v>
      </c>
      <c r="C1248" s="5" t="str">
        <f>IFERROR(__xludf.DUMMYFUNCTION("""COMPUTED_VALUE"""),"عشاق الحیدر")</f>
        <v>عشاق الحیدر</v>
      </c>
      <c r="D1248" s="5" t="str">
        <f>IFERROR(__xludf.DUMMYFUNCTION("""COMPUTED_VALUE"""),"گیلان")</f>
        <v>گیلان</v>
      </c>
      <c r="E1248" s="5" t="str">
        <f>IFERROR(__xludf.DUMMYFUNCTION("""COMPUTED_VALUE"""),"رشت")</f>
        <v>رشت</v>
      </c>
      <c r="F1248" s="5"/>
      <c r="G1248" s="5"/>
      <c r="H1248" s="6" t="str">
        <f>IFERROR(__xludf.DUMMYFUNCTION("""COMPUTED_VALUE"""),"https://www.instagram.com/beyragh_110/")</f>
        <v>https://www.instagram.com/beyragh_110/</v>
      </c>
      <c r="I1248" s="6" t="str">
        <f>IFERROR(__xludf.DUMMYFUNCTION("""COMPUTED_VALUE"""),"https://t.me/beyragh_110_2")</f>
        <v>https://t.me/beyragh_110_2</v>
      </c>
      <c r="J1248" s="6" t="str">
        <f>IFERROR(__xludf.DUMMYFUNCTION("""COMPUTED_VALUE"""),"https://eitaa.com/beyragh_110_2")</f>
        <v>https://eitaa.com/beyragh_110_2</v>
      </c>
      <c r="K1248" s="5"/>
      <c r="L1248" s="5"/>
      <c r="M1248" s="5"/>
      <c r="N1248" s="5"/>
      <c r="O1248" s="5"/>
      <c r="P1248" s="5"/>
      <c r="Q1248" s="5"/>
      <c r="R1248" s="5"/>
      <c r="S1248" s="5"/>
    </row>
    <row r="1249">
      <c r="A1249" s="5"/>
      <c r="B1249" s="5" t="str">
        <f>IFERROR(__xludf.DUMMYFUNCTION("""COMPUTED_VALUE"""),"هیأت")</f>
        <v>هیأت</v>
      </c>
      <c r="C1249" s="5" t="str">
        <f>IFERROR(__xludf.DUMMYFUNCTION("""COMPUTED_VALUE"""),"قاسم بن الحسم")</f>
        <v>قاسم بن الحسم</v>
      </c>
      <c r="D1249" s="5" t="str">
        <f>IFERROR(__xludf.DUMMYFUNCTION("""COMPUTED_VALUE"""),"گیلان")</f>
        <v>گیلان</v>
      </c>
      <c r="E1249" s="5" t="str">
        <f>IFERROR(__xludf.DUMMYFUNCTION("""COMPUTED_VALUE"""),"رشت")</f>
        <v>رشت</v>
      </c>
      <c r="F1249" s="5"/>
      <c r="G1249" s="5"/>
      <c r="H1249" s="6" t="str">
        <f>IFERROR(__xludf.DUMMYFUNCTION("""COMPUTED_VALUE"""),"https://www.instagram.com/shams_info/")</f>
        <v>https://www.instagram.com/shams_info/</v>
      </c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</row>
    <row r="1250">
      <c r="A1250" s="5"/>
      <c r="B1250" s="5" t="str">
        <f>IFERROR(__xludf.DUMMYFUNCTION("""COMPUTED_VALUE"""),"هیأت")</f>
        <v>هیأت</v>
      </c>
      <c r="C1250" s="5" t="str">
        <f>IFERROR(__xludf.DUMMYFUNCTION("""COMPUTED_VALUE"""),"صراط الرقیه")</f>
        <v>صراط الرقیه</v>
      </c>
      <c r="D1250" s="5" t="str">
        <f>IFERROR(__xludf.DUMMYFUNCTION("""COMPUTED_VALUE"""),"گیلان")</f>
        <v>گیلان</v>
      </c>
      <c r="E1250" s="5" t="str">
        <f>IFERROR(__xludf.DUMMYFUNCTION("""COMPUTED_VALUE"""),"رشت")</f>
        <v>رشت</v>
      </c>
      <c r="F1250" s="5"/>
      <c r="G1250" s="5"/>
      <c r="H1250" s="6" t="str">
        <f>IFERROR(__xludf.DUMMYFUNCTION("""COMPUTED_VALUE"""),"https://www.instagram.com/serat_315/")</f>
        <v>https://www.instagram.com/serat_315/</v>
      </c>
      <c r="I1250" s="6" t="str">
        <f>IFERROR(__xludf.DUMMYFUNCTION("""COMPUTED_VALUE"""),"https://t.me/serat_315")</f>
        <v>https://t.me/serat_315</v>
      </c>
      <c r="J1250" s="5"/>
      <c r="K1250" s="5"/>
      <c r="L1250" s="5"/>
      <c r="M1250" s="5"/>
      <c r="N1250" s="5"/>
      <c r="O1250" s="5"/>
      <c r="P1250" s="5"/>
      <c r="Q1250" s="5"/>
      <c r="R1250" s="5"/>
      <c r="S1250" s="5"/>
    </row>
    <row r="1251">
      <c r="A1251" s="5"/>
      <c r="B1251" s="5" t="str">
        <f>IFERROR(__xludf.DUMMYFUNCTION("""COMPUTED_VALUE"""),"هیأت")</f>
        <v>هیأت</v>
      </c>
      <c r="C1251" s="5" t="str">
        <f>IFERROR(__xludf.DUMMYFUNCTION("""COMPUTED_VALUE"""),"محبان ولایت")</f>
        <v>محبان ولایت</v>
      </c>
      <c r="D1251" s="5" t="str">
        <f>IFERROR(__xludf.DUMMYFUNCTION("""COMPUTED_VALUE"""),"گیلان")</f>
        <v>گیلان</v>
      </c>
      <c r="E1251" s="5" t="str">
        <f>IFERROR(__xludf.DUMMYFUNCTION("""COMPUTED_VALUE"""),"رشت")</f>
        <v>رشت</v>
      </c>
      <c r="F1251" s="5"/>
      <c r="G1251" s="5"/>
      <c r="H1251" s="6" t="str">
        <f>IFERROR(__xludf.DUMMYFUNCTION("""COMPUTED_VALUE"""),"https://www.instagram.com/mohebban_velayat/")</f>
        <v>https://www.instagram.com/mohebban_velayat/</v>
      </c>
      <c r="I1251" s="6" t="str">
        <f>IFERROR(__xludf.DUMMYFUNCTION("""COMPUTED_VALUE"""),"https://t.me/mohebban_velayat")</f>
        <v>https://t.me/mohebban_velayat</v>
      </c>
      <c r="J1251" s="5"/>
      <c r="K1251" s="5"/>
      <c r="L1251" s="5"/>
      <c r="M1251" s="5"/>
      <c r="N1251" s="5"/>
      <c r="O1251" s="5"/>
      <c r="P1251" s="5"/>
      <c r="Q1251" s="5"/>
      <c r="R1251" s="5"/>
      <c r="S1251" s="5"/>
    </row>
    <row r="1252">
      <c r="A1252" s="5"/>
      <c r="B1252" s="5" t="str">
        <f>IFERROR(__xludf.DUMMYFUNCTION("""COMPUTED_VALUE"""),"هیأت")</f>
        <v>هیأت</v>
      </c>
      <c r="C1252" s="5" t="str">
        <f>IFERROR(__xludf.DUMMYFUNCTION("""COMPUTED_VALUE"""),"محفل هاشمیون")</f>
        <v>محفل هاشمیون</v>
      </c>
      <c r="D1252" s="5" t="str">
        <f>IFERROR(__xludf.DUMMYFUNCTION("""COMPUTED_VALUE"""),"گیلان")</f>
        <v>گیلان</v>
      </c>
      <c r="E1252" s="5" t="str">
        <f>IFERROR(__xludf.DUMMYFUNCTION("""COMPUTED_VALUE"""),"رشت")</f>
        <v>رشت</v>
      </c>
      <c r="F1252" s="5"/>
      <c r="G1252" s="5"/>
      <c r="H1252" s="6" t="str">
        <f>IFERROR(__xludf.DUMMYFUNCTION("""COMPUTED_VALUE"""),"https://www.instagram.com/hashemion_rasht/")</f>
        <v>https://www.instagram.com/hashemion_rasht/</v>
      </c>
      <c r="I1252" s="6" t="str">
        <f>IFERROR(__xludf.DUMMYFUNCTION("""COMPUTED_VALUE"""),"https://t.me/hashemion_rasht")</f>
        <v>https://t.me/hashemion_rasht</v>
      </c>
      <c r="J1252" s="5"/>
      <c r="K1252" s="5"/>
      <c r="L1252" s="5"/>
      <c r="M1252" s="5"/>
      <c r="N1252" s="5"/>
      <c r="O1252" s="5"/>
      <c r="P1252" s="5"/>
      <c r="Q1252" s="5"/>
      <c r="R1252" s="5"/>
      <c r="S1252" s="5"/>
    </row>
    <row r="1253">
      <c r="A1253" s="5"/>
      <c r="B1253" s="5" t="str">
        <f>IFERROR(__xludf.DUMMYFUNCTION("""COMPUTED_VALUE"""),"هیأت")</f>
        <v>هیأت</v>
      </c>
      <c r="C1253" s="5" t="str">
        <f>IFERROR(__xludf.DUMMYFUNCTION("""COMPUTED_VALUE"""),"شهدای گمنام ")</f>
        <v>شهدای گمنام </v>
      </c>
      <c r="D1253" s="5" t="str">
        <f>IFERROR(__xludf.DUMMYFUNCTION("""COMPUTED_VALUE"""),"گیلان")</f>
        <v>گیلان</v>
      </c>
      <c r="E1253" s="5" t="str">
        <f>IFERROR(__xludf.DUMMYFUNCTION("""COMPUTED_VALUE"""),"رشت")</f>
        <v>رشت</v>
      </c>
      <c r="F1253" s="5"/>
      <c r="G1253" s="5"/>
      <c r="H1253" s="6" t="str">
        <f>IFERROR(__xludf.DUMMYFUNCTION("""COMPUTED_VALUE"""),"https://www.instagram.com/gomnam_info/")</f>
        <v>https://www.instagram.com/gomnam_info/</v>
      </c>
      <c r="I1253" s="6" t="str">
        <f>IFERROR(__xludf.DUMMYFUNCTION("""COMPUTED_VALUE"""),"https://t.me/shohadagomnamrasht")</f>
        <v>https://t.me/shohadagomnamrasht</v>
      </c>
      <c r="J1253" s="5"/>
      <c r="K1253" s="5"/>
      <c r="L1253" s="5"/>
      <c r="M1253" s="5"/>
      <c r="N1253" s="5"/>
      <c r="O1253" s="5"/>
      <c r="P1253" s="5"/>
      <c r="Q1253" s="5"/>
      <c r="R1253" s="5"/>
      <c r="S1253" s="5"/>
    </row>
    <row r="1254">
      <c r="A1254" s="5"/>
      <c r="B1254" s="5" t="str">
        <f>IFERROR(__xludf.DUMMYFUNCTION("""COMPUTED_VALUE"""),"هیأت")</f>
        <v>هیأت</v>
      </c>
      <c r="C1254" s="5" t="str">
        <f>IFERROR(__xludf.DUMMYFUNCTION("""COMPUTED_VALUE"""),"علقمة العباس")</f>
        <v>علقمة العباس</v>
      </c>
      <c r="D1254" s="5" t="str">
        <f>IFERROR(__xludf.DUMMYFUNCTION("""COMPUTED_VALUE"""),"گیلان")</f>
        <v>گیلان</v>
      </c>
      <c r="E1254" s="5" t="str">
        <f>IFERROR(__xludf.DUMMYFUNCTION("""COMPUTED_VALUE"""),"رشت")</f>
        <v>رشت</v>
      </c>
      <c r="F1254" s="5"/>
      <c r="G1254" s="5"/>
      <c r="H1254" s="6" t="str">
        <f>IFERROR(__xludf.DUMMYFUNCTION("""COMPUTED_VALUE"""),"https://www.instagram.com/alghameeh_info/")</f>
        <v>https://www.instagram.com/alghameeh_info/</v>
      </c>
      <c r="I1254" s="6" t="str">
        <f>IFERROR(__xludf.DUMMYFUNCTION("""COMPUTED_VALUE"""),"https://t.me/ALGHAMEEH_INFO")</f>
        <v>https://t.me/ALGHAMEEH_INFO</v>
      </c>
      <c r="J1254" s="5"/>
      <c r="K1254" s="5"/>
      <c r="L1254" s="5"/>
      <c r="M1254" s="5"/>
      <c r="N1254" s="5"/>
      <c r="O1254" s="5"/>
      <c r="P1254" s="5"/>
      <c r="Q1254" s="5"/>
      <c r="R1254" s="5"/>
      <c r="S1254" s="5"/>
    </row>
    <row r="1255">
      <c r="A1255" s="5"/>
      <c r="B1255" s="5" t="str">
        <f>IFERROR(__xludf.DUMMYFUNCTION("""COMPUTED_VALUE"""),"هیأت")</f>
        <v>هیأت</v>
      </c>
      <c r="C1255" s="5" t="str">
        <f>IFERROR(__xludf.DUMMYFUNCTION("""COMPUTED_VALUE"""),"هیئت یازهرا و رهروان شهدا")</f>
        <v>هیئت یازهرا و رهروان شهدا</v>
      </c>
      <c r="D1255" s="5" t="str">
        <f>IFERROR(__xludf.DUMMYFUNCTION("""COMPUTED_VALUE"""),"گیلان")</f>
        <v>گیلان</v>
      </c>
      <c r="E1255" s="5" t="str">
        <f>IFERROR(__xludf.DUMMYFUNCTION("""COMPUTED_VALUE"""),"رشت")</f>
        <v>رشت</v>
      </c>
      <c r="F1255" s="5"/>
      <c r="G1255" s="5"/>
      <c r="H1255" s="6" t="str">
        <f>IFERROR(__xludf.DUMMYFUNCTION("""COMPUTED_VALUE"""),"https://www.instagram.com/yazahra135_info/")</f>
        <v>https://www.instagram.com/yazahra135_info/</v>
      </c>
      <c r="I1255" s="6" t="str">
        <f>IFERROR(__xludf.DUMMYFUNCTION("""COMPUTED_VALUE"""),"https://t.me/yazahra135_info")</f>
        <v>https://t.me/yazahra135_info</v>
      </c>
      <c r="J1255" s="5"/>
      <c r="K1255" s="5"/>
      <c r="L1255" s="5"/>
      <c r="M1255" s="5"/>
      <c r="N1255" s="5"/>
      <c r="O1255" s="5"/>
      <c r="P1255" s="5"/>
      <c r="Q1255" s="5"/>
      <c r="R1255" s="5"/>
      <c r="S1255" s="5"/>
    </row>
    <row r="1256">
      <c r="A1256" s="5"/>
      <c r="B1256" s="5" t="str">
        <f>IFERROR(__xludf.DUMMYFUNCTION("""COMPUTED_VALUE"""),"هیأت")</f>
        <v>هیأت</v>
      </c>
      <c r="C1256" s="5" t="str">
        <f>IFERROR(__xludf.DUMMYFUNCTION("""COMPUTED_VALUE"""),"ام ابیها")</f>
        <v>ام ابیها</v>
      </c>
      <c r="D1256" s="5" t="str">
        <f>IFERROR(__xludf.DUMMYFUNCTION("""COMPUTED_VALUE"""),"گیلان")</f>
        <v>گیلان</v>
      </c>
      <c r="E1256" s="5" t="str">
        <f>IFERROR(__xludf.DUMMYFUNCTION("""COMPUTED_VALUE"""),"رشت")</f>
        <v>رشت</v>
      </c>
      <c r="F1256" s="5"/>
      <c r="G1256" s="5"/>
      <c r="H1256" s="6" t="str">
        <f>IFERROR(__xludf.DUMMYFUNCTION("""COMPUTED_VALUE"""),"https://www.instagram.com/omeabiha_ir/")</f>
        <v>https://www.instagram.com/omeabiha_ir/</v>
      </c>
      <c r="I1256" s="6" t="str">
        <f>IFERROR(__xludf.DUMMYFUNCTION("""COMPUTED_VALUE"""),"https://t.me/omeabiha_com")</f>
        <v>https://t.me/omeabiha_com</v>
      </c>
      <c r="J1256" s="6" t="str">
        <f>IFERROR(__xludf.DUMMYFUNCTION("""COMPUTED_VALUE"""),"https://eitaa.com/omeabiha_com")</f>
        <v>https://eitaa.com/omeabiha_com</v>
      </c>
      <c r="K1256" s="5"/>
      <c r="L1256" s="5"/>
      <c r="M1256" s="5"/>
      <c r="N1256" s="5"/>
      <c r="O1256" s="5"/>
      <c r="P1256" s="5"/>
      <c r="Q1256" s="5"/>
      <c r="R1256" s="5"/>
      <c r="S1256" s="5"/>
    </row>
    <row r="1257">
      <c r="A1257" s="5"/>
      <c r="B1257" s="5" t="str">
        <f>IFERROR(__xludf.DUMMYFUNCTION("""COMPUTED_VALUE"""),"هیأت")</f>
        <v>هیأت</v>
      </c>
      <c r="C1257" s="5" t="str">
        <f>IFERROR(__xludf.DUMMYFUNCTION("""COMPUTED_VALUE"""),"آل یاسین")</f>
        <v>آل یاسین</v>
      </c>
      <c r="D1257" s="5" t="str">
        <f>IFERROR(__xludf.DUMMYFUNCTION("""COMPUTED_VALUE"""),"گیلان")</f>
        <v>گیلان</v>
      </c>
      <c r="E1257" s="5" t="str">
        <f>IFERROR(__xludf.DUMMYFUNCTION("""COMPUTED_VALUE"""),"رشت")</f>
        <v>رشت</v>
      </c>
      <c r="F1257" s="5"/>
      <c r="G1257" s="5"/>
      <c r="H1257" s="6" t="str">
        <f>IFERROR(__xludf.DUMMYFUNCTION("""COMPUTED_VALUE"""),"https://www.instagram.com/heyataleyasin.ir/")</f>
        <v>https://www.instagram.com/heyataleyasin.ir/</v>
      </c>
      <c r="I1257" s="6" t="str">
        <f>IFERROR(__xludf.DUMMYFUNCTION("""COMPUTED_VALUE"""),"https://t.me/heyataleyasin")</f>
        <v>https://t.me/heyataleyasin</v>
      </c>
      <c r="J1257" s="5"/>
      <c r="K1257" s="5"/>
      <c r="L1257" s="5"/>
      <c r="M1257" s="5"/>
      <c r="N1257" s="5"/>
      <c r="O1257" s="5"/>
      <c r="P1257" s="5"/>
      <c r="Q1257" s="5"/>
      <c r="R1257" s="5"/>
      <c r="S1257" s="5"/>
    </row>
    <row r="1258">
      <c r="A1258" s="5"/>
      <c r="B1258" s="5" t="str">
        <f>IFERROR(__xludf.DUMMYFUNCTION("""COMPUTED_VALUE"""),"هیأت")</f>
        <v>هیأت</v>
      </c>
      <c r="C1258" s="5" t="str">
        <f>IFERROR(__xludf.DUMMYFUNCTION("""COMPUTED_VALUE"""),"خیمة الرضا")</f>
        <v>خیمة الرضا</v>
      </c>
      <c r="D1258" s="5" t="str">
        <f>IFERROR(__xludf.DUMMYFUNCTION("""COMPUTED_VALUE"""),"گیلان")</f>
        <v>گیلان</v>
      </c>
      <c r="E1258" s="5" t="str">
        <f>IFERROR(__xludf.DUMMYFUNCTION("""COMPUTED_VALUE"""),"رشت")</f>
        <v>رشت</v>
      </c>
      <c r="F1258" s="5"/>
      <c r="G1258" s="5"/>
      <c r="H1258" s="6" t="str">
        <f>IFERROR(__xludf.DUMMYFUNCTION("""COMPUTED_VALUE"""),"https://www.instagram.com/kheyme_8/")</f>
        <v>https://www.instagram.com/kheyme_8/</v>
      </c>
      <c r="I1258" s="6" t="str">
        <f>IFERROR(__xludf.DUMMYFUNCTION("""COMPUTED_VALUE"""),"https://t.me/kheyme_8")</f>
        <v>https://t.me/kheyme_8</v>
      </c>
      <c r="J1258" s="5"/>
      <c r="K1258" s="5"/>
      <c r="L1258" s="5"/>
      <c r="M1258" s="5"/>
      <c r="N1258" s="5"/>
      <c r="O1258" s="5"/>
      <c r="P1258" s="5"/>
      <c r="Q1258" s="5"/>
      <c r="R1258" s="5"/>
      <c r="S1258" s="5"/>
    </row>
    <row r="1259">
      <c r="A1259" s="5"/>
      <c r="B1259" s="5" t="str">
        <f>IFERROR(__xludf.DUMMYFUNCTION("""COMPUTED_VALUE"""),"هیأت")</f>
        <v>هیأت</v>
      </c>
      <c r="C1259" s="5" t="str">
        <f>IFERROR(__xludf.DUMMYFUNCTION("""COMPUTED_VALUE"""),"شهدای گمنام ")</f>
        <v>شهدای گمنام </v>
      </c>
      <c r="D1259" s="5" t="str">
        <f>IFERROR(__xludf.DUMMYFUNCTION("""COMPUTED_VALUE"""),"گیلان")</f>
        <v>گیلان</v>
      </c>
      <c r="E1259" s="5" t="str">
        <f>IFERROR(__xludf.DUMMYFUNCTION("""COMPUTED_VALUE"""),"رشت")</f>
        <v>رشت</v>
      </c>
      <c r="F1259" s="5"/>
      <c r="G1259" s="5"/>
      <c r="H1259" s="6" t="str">
        <f>IFERROR(__xludf.DUMMYFUNCTION("""COMPUTED_VALUE"""),"https://www.instagram.com/shohadagomnam_rasht/")</f>
        <v>https://www.instagram.com/shohadagomnam_rasht/</v>
      </c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</row>
    <row r="1260">
      <c r="A1260" s="5"/>
      <c r="B1260" s="5" t="str">
        <f>IFERROR(__xludf.DUMMYFUNCTION("""COMPUTED_VALUE"""),"هیأت")</f>
        <v>هیأت</v>
      </c>
      <c r="C1260" s="5" t="str">
        <f>IFERROR(__xludf.DUMMYFUNCTION("""COMPUTED_VALUE"""),"متحده سیده زینب")</f>
        <v>متحده سیده زینب</v>
      </c>
      <c r="D1260" s="5" t="str">
        <f>IFERROR(__xludf.DUMMYFUNCTION("""COMPUTED_VALUE"""),"گیلان")</f>
        <v>گیلان</v>
      </c>
      <c r="E1260" s="5" t="str">
        <f>IFERROR(__xludf.DUMMYFUNCTION("""COMPUTED_VALUE"""),"رشت")</f>
        <v>رشت</v>
      </c>
      <c r="F1260" s="5"/>
      <c r="G1260" s="5"/>
      <c r="H1260" s="6" t="str">
        <f>IFERROR(__xludf.DUMMYFUNCTION("""COMPUTED_VALUE"""),"https://www.instagram.com/seyedeh_zeynab_rasht/")</f>
        <v>https://www.instagram.com/seyedeh_zeynab_rasht/</v>
      </c>
      <c r="I1260" s="6" t="str">
        <f>IFERROR(__xludf.DUMMYFUNCTION("""COMPUTED_VALUE"""),"https://t.me/seyedeh69")</f>
        <v>https://t.me/seyedeh69</v>
      </c>
      <c r="J1260" s="5"/>
      <c r="K1260" s="5"/>
      <c r="L1260" s="5"/>
      <c r="M1260" s="5"/>
      <c r="N1260" s="5"/>
      <c r="O1260" s="5"/>
      <c r="P1260" s="5"/>
      <c r="Q1260" s="5"/>
      <c r="R1260" s="5"/>
      <c r="S1260" s="5"/>
    </row>
    <row r="1261">
      <c r="A1261" s="5"/>
      <c r="B1261" s="5" t="str">
        <f>IFERROR(__xludf.DUMMYFUNCTION("""COMPUTED_VALUE"""),"هیأت")</f>
        <v>هیأت</v>
      </c>
      <c r="C1261" s="5" t="str">
        <f>IFERROR(__xludf.DUMMYFUNCTION("""COMPUTED_VALUE"""),"یازهرا رهروان شهدا")</f>
        <v>یازهرا رهروان شهدا</v>
      </c>
      <c r="D1261" s="5" t="str">
        <f>IFERROR(__xludf.DUMMYFUNCTION("""COMPUTED_VALUE"""),"گیلان")</f>
        <v>گیلان</v>
      </c>
      <c r="E1261" s="5" t="str">
        <f>IFERROR(__xludf.DUMMYFUNCTION("""COMPUTED_VALUE"""),"رشت")</f>
        <v>رشت</v>
      </c>
      <c r="F1261" s="5"/>
      <c r="G1261" s="5"/>
      <c r="H1261" s="6" t="str">
        <f>IFERROR(__xludf.DUMMYFUNCTION("""COMPUTED_VALUE"""),"https://www.instagram.com/yazahra_rahrovan_shohada/")</f>
        <v>https://www.instagram.com/yazahra_rahrovan_shohada/</v>
      </c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</row>
    <row r="1262">
      <c r="A1262" s="5"/>
      <c r="B1262" s="5" t="str">
        <f>IFERROR(__xludf.DUMMYFUNCTION("""COMPUTED_VALUE"""),"هیأت")</f>
        <v>هیأت</v>
      </c>
      <c r="C1262" s="5" t="str">
        <f>IFERROR(__xludf.DUMMYFUNCTION("""COMPUTED_VALUE"""),"سیدالشهدا")</f>
        <v>سیدالشهدا</v>
      </c>
      <c r="D1262" s="5" t="str">
        <f>IFERROR(__xludf.DUMMYFUNCTION("""COMPUTED_VALUE"""),"گیلان")</f>
        <v>گیلان</v>
      </c>
      <c r="E1262" s="5" t="str">
        <f>IFERROR(__xludf.DUMMYFUNCTION("""COMPUTED_VALUE"""),"رشت")</f>
        <v>رشت</v>
      </c>
      <c r="F1262" s="5"/>
      <c r="G1262" s="5"/>
      <c r="H1262" s="6" t="str">
        <f>IFERROR(__xludf.DUMMYFUNCTION("""COMPUTED_VALUE"""),"https://www.instagram.com/torbat_info/")</f>
        <v>https://www.instagram.com/torbat_info/</v>
      </c>
      <c r="I1262" s="6" t="str">
        <f>IFERROR(__xludf.DUMMYFUNCTION("""COMPUTED_VALUE"""),"https://t.me/torbatinfo_channel")</f>
        <v>https://t.me/torbatinfo_channel</v>
      </c>
      <c r="J1262" s="6" t="str">
        <f>IFERROR(__xludf.DUMMYFUNCTION("""COMPUTED_VALUE"""),"https://eitaa.com/torbatinfo_channel")</f>
        <v>https://eitaa.com/torbatinfo_channel</v>
      </c>
      <c r="K1262" s="5"/>
      <c r="L1262" s="5"/>
      <c r="M1262" s="5"/>
      <c r="N1262" s="5"/>
      <c r="O1262" s="5"/>
      <c r="P1262" s="5"/>
      <c r="Q1262" s="5"/>
      <c r="R1262" s="5"/>
      <c r="S1262" s="5"/>
    </row>
    <row r="1263">
      <c r="A1263" s="5"/>
      <c r="B1263" s="5" t="str">
        <f>IFERROR(__xludf.DUMMYFUNCTION("""COMPUTED_VALUE"""),"هیأت")</f>
        <v>هیأت</v>
      </c>
      <c r="C1263" s="5" t="str">
        <f>IFERROR(__xludf.DUMMYFUNCTION("""COMPUTED_VALUE"""),"علمدار")</f>
        <v>علمدار</v>
      </c>
      <c r="D1263" s="5" t="str">
        <f>IFERROR(__xludf.DUMMYFUNCTION("""COMPUTED_VALUE"""),"گیلان")</f>
        <v>گیلان</v>
      </c>
      <c r="E1263" s="5" t="str">
        <f>IFERROR(__xludf.DUMMYFUNCTION("""COMPUTED_VALUE"""),"رشت")</f>
        <v>رشت</v>
      </c>
      <c r="F1263" s="5"/>
      <c r="G1263" s="5"/>
      <c r="H1263" s="6" t="str">
        <f>IFERROR(__xludf.DUMMYFUNCTION("""COMPUTED_VALUE"""),"https://www.instagram.com/mahfel133/")</f>
        <v>https://www.instagram.com/mahfel133/</v>
      </c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</row>
    <row r="1264">
      <c r="A1264" s="5"/>
      <c r="B1264" s="5" t="str">
        <f>IFERROR(__xludf.DUMMYFUNCTION("""COMPUTED_VALUE"""),"هیأت")</f>
        <v>هیأت</v>
      </c>
      <c r="C1264" s="5" t="str">
        <f>IFERROR(__xludf.DUMMYFUNCTION("""COMPUTED_VALUE"""),"محبین الحسین")</f>
        <v>محبین الحسین</v>
      </c>
      <c r="D1264" s="5" t="str">
        <f>IFERROR(__xludf.DUMMYFUNCTION("""COMPUTED_VALUE"""),"گیلان")</f>
        <v>گیلان</v>
      </c>
      <c r="E1264" s="5" t="str">
        <f>IFERROR(__xludf.DUMMYFUNCTION("""COMPUTED_VALUE"""),"رشت")</f>
        <v>رشت</v>
      </c>
      <c r="F1264" s="5"/>
      <c r="G1264" s="5"/>
      <c r="H1264" s="6" t="str">
        <f>IFERROR(__xludf.DUMMYFUNCTION("""COMPUTED_VALUE"""),"https://www.instagram.com/mohebin128/")</f>
        <v>https://www.instagram.com/mohebin128/</v>
      </c>
      <c r="I1264" s="6" t="str">
        <f>IFERROR(__xludf.DUMMYFUNCTION("""COMPUTED_VALUE"""),"https://t.me/MOHEBIN128")</f>
        <v>https://t.me/MOHEBIN128</v>
      </c>
      <c r="J1264" s="5"/>
      <c r="K1264" s="5"/>
      <c r="L1264" s="5"/>
      <c r="M1264" s="5"/>
      <c r="N1264" s="5"/>
      <c r="O1264" s="5"/>
      <c r="P1264" s="5"/>
      <c r="Q1264" s="5"/>
      <c r="R1264" s="5"/>
      <c r="S1264" s="5"/>
    </row>
    <row r="1265">
      <c r="A1265" s="5"/>
      <c r="B1265" s="5" t="str">
        <f>IFERROR(__xludf.DUMMYFUNCTION("""COMPUTED_VALUE"""),"هیأت")</f>
        <v>هیأت</v>
      </c>
      <c r="C1265" s="5" t="str">
        <f>IFERROR(__xludf.DUMMYFUNCTION("""COMPUTED_VALUE"""),"متوسلین به آل نبی")</f>
        <v>متوسلین به آل نبی</v>
      </c>
      <c r="D1265" s="5" t="str">
        <f>IFERROR(__xludf.DUMMYFUNCTION("""COMPUTED_VALUE"""),"گیلان")</f>
        <v>گیلان</v>
      </c>
      <c r="E1265" s="5" t="str">
        <f>IFERROR(__xludf.DUMMYFUNCTION("""COMPUTED_VALUE"""),"رشت")</f>
        <v>رشت</v>
      </c>
      <c r="F1265" s="5"/>
      <c r="G1265" s="5"/>
      <c r="H1265" s="6" t="str">
        <f>IFERROR(__xludf.DUMMYFUNCTION("""COMPUTED_VALUE"""),"https://www.instagram.com/alenabi.rasht/")</f>
        <v>https://www.instagram.com/alenabi.rasht/</v>
      </c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</row>
    <row r="1266">
      <c r="A1266" s="5"/>
      <c r="B1266" s="5" t="str">
        <f>IFERROR(__xludf.DUMMYFUNCTION("""COMPUTED_VALUE"""),"هیأت")</f>
        <v>هیأت</v>
      </c>
      <c r="C1266" s="5" t="str">
        <f>IFERROR(__xludf.DUMMYFUNCTION("""COMPUTED_VALUE"""),"رهروان کربلا")</f>
        <v>رهروان کربلا</v>
      </c>
      <c r="D1266" s="5" t="str">
        <f>IFERROR(__xludf.DUMMYFUNCTION("""COMPUTED_VALUE"""),"گیلان")</f>
        <v>گیلان</v>
      </c>
      <c r="E1266" s="5" t="str">
        <f>IFERROR(__xludf.DUMMYFUNCTION("""COMPUTED_VALUE"""),"رشت")</f>
        <v>رشت</v>
      </c>
      <c r="F1266" s="5"/>
      <c r="G1266" s="5"/>
      <c r="H1266" s="6" t="str">
        <f>IFERROR(__xludf.DUMMYFUNCTION("""COMPUTED_VALUE"""),"https://www.instagram.com/haram_info/")</f>
        <v>https://www.instagram.com/haram_info/</v>
      </c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</row>
    <row r="1267">
      <c r="A1267" s="5"/>
      <c r="B1267" s="5" t="str">
        <f>IFERROR(__xludf.DUMMYFUNCTION("""COMPUTED_VALUE"""),"هیأت")</f>
        <v>هیأت</v>
      </c>
      <c r="C1267" s="5" t="str">
        <f>IFERROR(__xludf.DUMMYFUNCTION("""COMPUTED_VALUE"""),"بیت الزهرا")</f>
        <v>بیت الزهرا</v>
      </c>
      <c r="D1267" s="5" t="str">
        <f>IFERROR(__xludf.DUMMYFUNCTION("""COMPUTED_VALUE"""),"گیلان")</f>
        <v>گیلان</v>
      </c>
      <c r="E1267" s="5" t="str">
        <f>IFERROR(__xludf.DUMMYFUNCTION("""COMPUTED_VALUE"""),"رشت")</f>
        <v>رشت</v>
      </c>
      <c r="F1267" s="5"/>
      <c r="G1267" s="5"/>
      <c r="H1267" s="6" t="str">
        <f>IFERROR(__xludf.DUMMYFUNCTION("""COMPUTED_VALUE"""),"https://www.instagram.com/heyat.beytolzahra.313/")</f>
        <v>https://www.instagram.com/heyat.beytolzahra.313/</v>
      </c>
      <c r="I1267" s="6" t="str">
        <f>IFERROR(__xludf.DUMMYFUNCTION("""COMPUTED_VALUE"""),"https://t.me/beytozahra_rasht")</f>
        <v>https://t.me/beytozahra_rasht</v>
      </c>
      <c r="J1267" s="5"/>
      <c r="K1267" s="5"/>
      <c r="L1267" s="5"/>
      <c r="M1267" s="5"/>
      <c r="N1267" s="5"/>
      <c r="O1267" s="5"/>
      <c r="P1267" s="5"/>
      <c r="Q1267" s="5"/>
      <c r="R1267" s="5"/>
      <c r="S1267" s="5"/>
    </row>
    <row r="1268">
      <c r="A1268" s="5"/>
      <c r="B1268" s="5" t="str">
        <f>IFERROR(__xludf.DUMMYFUNCTION("""COMPUTED_VALUE"""),"هیأت")</f>
        <v>هیأت</v>
      </c>
      <c r="C1268" s="5" t="str">
        <f>IFERROR(__xludf.DUMMYFUNCTION("""COMPUTED_VALUE"""),"جنت العباس")</f>
        <v>جنت العباس</v>
      </c>
      <c r="D1268" s="5" t="str">
        <f>IFERROR(__xludf.DUMMYFUNCTION("""COMPUTED_VALUE"""),"گیلان")</f>
        <v>گیلان</v>
      </c>
      <c r="E1268" s="5" t="str">
        <f>IFERROR(__xludf.DUMMYFUNCTION("""COMPUTED_VALUE"""),"رشت")</f>
        <v>رشت</v>
      </c>
      <c r="F1268" s="5"/>
      <c r="G1268" s="5"/>
      <c r="H1268" s="6" t="str">
        <f>IFERROR(__xludf.DUMMYFUNCTION("""COMPUTED_VALUE"""),"https://www.instagram.com/jnat___133/")</f>
        <v>https://www.instagram.com/jnat___133/</v>
      </c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</row>
    <row r="1269">
      <c r="A1269" s="5"/>
      <c r="B1269" s="5" t="str">
        <f>IFERROR(__xludf.DUMMYFUNCTION("""COMPUTED_VALUE"""),"هیأت")</f>
        <v>هیأت</v>
      </c>
      <c r="C1269" s="5" t="str">
        <f>IFERROR(__xludf.DUMMYFUNCTION("""COMPUTED_VALUE"""),"رزمندگان اسلام")</f>
        <v>رزمندگان اسلام</v>
      </c>
      <c r="D1269" s="5" t="str">
        <f>IFERROR(__xludf.DUMMYFUNCTION("""COMPUTED_VALUE"""),"گیلان")</f>
        <v>گیلان</v>
      </c>
      <c r="E1269" s="5" t="str">
        <f>IFERROR(__xludf.DUMMYFUNCTION("""COMPUTED_VALUE"""),"رشت")</f>
        <v>رشت</v>
      </c>
      <c r="F1269" s="5"/>
      <c r="G1269" s="5"/>
      <c r="H1269" s="6" t="str">
        <f>IFERROR(__xludf.DUMMYFUNCTION("""COMPUTED_VALUE"""),"https://www.instagram.com/razmandeganeslam_ir/")</f>
        <v>https://www.instagram.com/razmandeganeslam_ir/</v>
      </c>
      <c r="I1269" s="6" t="str">
        <f>IFERROR(__xludf.DUMMYFUNCTION("""COMPUTED_VALUE"""),"https://t.me/razmandeganeslam_ir")</f>
        <v>https://t.me/razmandeganeslam_ir</v>
      </c>
      <c r="J1269" s="5"/>
      <c r="K1269" s="5"/>
      <c r="L1269" s="5"/>
      <c r="M1269" s="5"/>
      <c r="N1269" s="5"/>
      <c r="O1269" s="5"/>
      <c r="P1269" s="5"/>
      <c r="Q1269" s="5"/>
      <c r="R1269" s="5"/>
      <c r="S1269" s="5"/>
    </row>
    <row r="1270">
      <c r="A1270" s="5"/>
      <c r="B1270" s="5" t="str">
        <f>IFERROR(__xludf.DUMMYFUNCTION("""COMPUTED_VALUE"""),"هیأت")</f>
        <v>هیأت</v>
      </c>
      <c r="C1270" s="5" t="str">
        <f>IFERROR(__xludf.DUMMYFUNCTION("""COMPUTED_VALUE"""),"خدام الحیدر")</f>
        <v>خدام الحیدر</v>
      </c>
      <c r="D1270" s="5" t="str">
        <f>IFERROR(__xludf.DUMMYFUNCTION("""COMPUTED_VALUE"""),"گیلان")</f>
        <v>گیلان</v>
      </c>
      <c r="E1270" s="5" t="str">
        <f>IFERROR(__xludf.DUMMYFUNCTION("""COMPUTED_VALUE"""),"رشت")</f>
        <v>رشت</v>
      </c>
      <c r="F1270" s="5"/>
      <c r="G1270" s="5"/>
      <c r="H1270" s="6" t="str">
        <f>IFERROR(__xludf.DUMMYFUNCTION("""COMPUTED_VALUE"""),"https://www.instagram.com/khoddamolheydar.ir/")</f>
        <v>https://www.instagram.com/khoddamolheydar.ir/</v>
      </c>
      <c r="I1270" s="6" t="str">
        <f>IFERROR(__xludf.DUMMYFUNCTION("""COMPUTED_VALUE"""),"https://t.me/khodam_rasht")</f>
        <v>https://t.me/khodam_rasht</v>
      </c>
      <c r="J1270" s="6" t="str">
        <f>IFERROR(__xludf.DUMMYFUNCTION("""COMPUTED_VALUE"""),"https://eitaa.com/khoddam_rasht")</f>
        <v>https://eitaa.com/khoddam_rasht</v>
      </c>
      <c r="K1270" s="5"/>
      <c r="L1270" s="5"/>
      <c r="M1270" s="5"/>
      <c r="N1270" s="5"/>
      <c r="O1270" s="5"/>
      <c r="P1270" s="5"/>
      <c r="Q1270" s="5"/>
      <c r="R1270" s="5"/>
      <c r="S1270" s="5"/>
    </row>
    <row r="1271">
      <c r="A1271" s="5"/>
      <c r="B1271" s="5" t="str">
        <f>IFERROR(__xludf.DUMMYFUNCTION("""COMPUTED_VALUE"""),"هیأت")</f>
        <v>هیأت</v>
      </c>
      <c r="C1271" s="5" t="str">
        <f>IFERROR(__xludf.DUMMYFUNCTION("""COMPUTED_VALUE"""),"عشاق الحسین")</f>
        <v>عشاق الحسین</v>
      </c>
      <c r="D1271" s="5" t="str">
        <f>IFERROR(__xludf.DUMMYFUNCTION("""COMPUTED_VALUE"""),"گیلان")</f>
        <v>گیلان</v>
      </c>
      <c r="E1271" s="5" t="str">
        <f>IFERROR(__xludf.DUMMYFUNCTION("""COMPUTED_VALUE"""),"رشت")</f>
        <v>رشت</v>
      </c>
      <c r="F1271" s="5" t="str">
        <f>IFERROR(__xludf.DUMMYFUNCTION("""COMPUTED_VALUE"""),"سنگر")</f>
        <v>سنگر</v>
      </c>
      <c r="G1271" s="5"/>
      <c r="H1271" s="6" t="str">
        <f>IFERROR(__xludf.DUMMYFUNCTION("""COMPUTED_VALUE"""),"https://www.instagram.com/oshaghol_alhosein/")</f>
        <v>https://www.instagram.com/oshaghol_alhosein/</v>
      </c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</row>
    <row r="1272">
      <c r="A1272" s="5"/>
      <c r="B1272" s="5" t="str">
        <f>IFERROR(__xludf.DUMMYFUNCTION("""COMPUTED_VALUE"""),"هیأت")</f>
        <v>هیأت</v>
      </c>
      <c r="C1272" s="5" t="str">
        <f>IFERROR(__xludf.DUMMYFUNCTION("""COMPUTED_VALUE"""),"جنت الزینب")</f>
        <v>جنت الزینب</v>
      </c>
      <c r="D1272" s="5" t="str">
        <f>IFERROR(__xludf.DUMMYFUNCTION("""COMPUTED_VALUE"""),"گیلان")</f>
        <v>گیلان</v>
      </c>
      <c r="E1272" s="5" t="str">
        <f>IFERROR(__xludf.DUMMYFUNCTION("""COMPUTED_VALUE"""),"رشت")</f>
        <v>رشت</v>
      </c>
      <c r="F1272" s="5"/>
      <c r="G1272" s="5"/>
      <c r="H1272" s="6" t="str">
        <f>IFERROR(__xludf.DUMMYFUNCTION("""COMPUTED_VALUE"""),"https://www.instagram.com/janate_zeynab/")</f>
        <v>https://www.instagram.com/janate_zeynab/</v>
      </c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</row>
    <row r="1273">
      <c r="A1273" s="5"/>
      <c r="B1273" s="5" t="str">
        <f>IFERROR(__xludf.DUMMYFUNCTION("""COMPUTED_VALUE"""),"هیأت")</f>
        <v>هیأت</v>
      </c>
      <c r="C1273" s="5" t="str">
        <f>IFERROR(__xludf.DUMMYFUNCTION("""COMPUTED_VALUE"""),"حضرت امیر")</f>
        <v>حضرت امیر</v>
      </c>
      <c r="D1273" s="5" t="str">
        <f>IFERROR(__xludf.DUMMYFUNCTION("""COMPUTED_VALUE"""),"گیلان")</f>
        <v>گیلان</v>
      </c>
      <c r="E1273" s="5" t="str">
        <f>IFERROR(__xludf.DUMMYFUNCTION("""COMPUTED_VALUE"""),"رشت")</f>
        <v>رشت</v>
      </c>
      <c r="F1273" s="5"/>
      <c r="G1273" s="5"/>
      <c r="H1273" s="6" t="str">
        <f>IFERROR(__xludf.DUMMYFUNCTION("""COMPUTED_VALUE"""),"https://www.instagram.com/heyat_hazrat_amir/")</f>
        <v>https://www.instagram.com/heyat_hazrat_amir/</v>
      </c>
      <c r="I1273" s="6" t="str">
        <f>IFERROR(__xludf.DUMMYFUNCTION("""COMPUTED_VALUE"""),"https://t.me/heyat_hazrat_amir")</f>
        <v>https://t.me/heyat_hazrat_amir</v>
      </c>
      <c r="J1273" s="5"/>
      <c r="K1273" s="5"/>
      <c r="L1273" s="5"/>
      <c r="M1273" s="5"/>
      <c r="N1273" s="5"/>
      <c r="O1273" s="5"/>
      <c r="P1273" s="5"/>
      <c r="Q1273" s="5"/>
      <c r="R1273" s="5"/>
      <c r="S1273" s="5"/>
    </row>
    <row r="1274">
      <c r="A1274" s="5"/>
      <c r="B1274" s="5" t="str">
        <f>IFERROR(__xludf.DUMMYFUNCTION("""COMPUTED_VALUE"""),"هیأت")</f>
        <v>هیأت</v>
      </c>
      <c r="C1274" s="5" t="str">
        <f>IFERROR(__xludf.DUMMYFUNCTION("""COMPUTED_VALUE"""),"عشاق الرضا")</f>
        <v>عشاق الرضا</v>
      </c>
      <c r="D1274" s="5" t="str">
        <f>IFERROR(__xludf.DUMMYFUNCTION("""COMPUTED_VALUE"""),"گیلان")</f>
        <v>گیلان</v>
      </c>
      <c r="E1274" s="5" t="str">
        <f>IFERROR(__xludf.DUMMYFUNCTION("""COMPUTED_VALUE"""),"رشت")</f>
        <v>رشت</v>
      </c>
      <c r="F1274" s="5"/>
      <c r="G1274" s="5"/>
      <c r="H1274" s="6" t="str">
        <f>IFERROR(__xludf.DUMMYFUNCTION("""COMPUTED_VALUE"""),"https://www.instagram.com/heyat_oshagholreza/")</f>
        <v>https://www.instagram.com/heyat_oshagholreza/</v>
      </c>
      <c r="I1274" s="6" t="str">
        <f>IFERROR(__xludf.DUMMYFUNCTION("""COMPUTED_VALUE"""),"https://t.me/heyat_oshagholreza")</f>
        <v>https://t.me/heyat_oshagholreza</v>
      </c>
      <c r="J1274" s="5"/>
      <c r="K1274" s="5"/>
      <c r="L1274" s="5"/>
      <c r="M1274" s="5"/>
      <c r="N1274" s="5"/>
      <c r="O1274" s="5"/>
      <c r="P1274" s="5"/>
      <c r="Q1274" s="5"/>
      <c r="R1274" s="5"/>
      <c r="S1274" s="5"/>
    </row>
    <row r="1275">
      <c r="A1275" s="5"/>
      <c r="B1275" s="5" t="str">
        <f>IFERROR(__xludf.DUMMYFUNCTION("""COMPUTED_VALUE"""),"هیأت")</f>
        <v>هیأت</v>
      </c>
      <c r="C1275" s="5" t="str">
        <f>IFERROR(__xludf.DUMMYFUNCTION("""COMPUTED_VALUE"""),"محبان الحسین")</f>
        <v>محبان الحسین</v>
      </c>
      <c r="D1275" s="5" t="str">
        <f>IFERROR(__xludf.DUMMYFUNCTION("""COMPUTED_VALUE"""),"گیلان")</f>
        <v>گیلان</v>
      </c>
      <c r="E1275" s="5" t="str">
        <f>IFERROR(__xludf.DUMMYFUNCTION("""COMPUTED_VALUE"""),"رشت")</f>
        <v>رشت</v>
      </c>
      <c r="F1275" s="5"/>
      <c r="G1275" s="5"/>
      <c r="H1275" s="6" t="str">
        <f>IFERROR(__xludf.DUMMYFUNCTION("""COMPUTED_VALUE"""),"https://www.instagram.com/beheshtt_info/")</f>
        <v>https://www.instagram.com/beheshtt_info/</v>
      </c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</row>
    <row r="1276">
      <c r="A1276" s="5"/>
      <c r="B1276" s="5" t="str">
        <f>IFERROR(__xludf.DUMMYFUNCTION("""COMPUTED_VALUE"""),"هیأت")</f>
        <v>هیأت</v>
      </c>
      <c r="C1276" s="5" t="str">
        <f>IFERROR(__xludf.DUMMYFUNCTION("""COMPUTED_VALUE"""),"جنت الحسین")</f>
        <v>جنت الحسین</v>
      </c>
      <c r="D1276" s="5" t="str">
        <f>IFERROR(__xludf.DUMMYFUNCTION("""COMPUTED_VALUE"""),"گیلان")</f>
        <v>گیلان</v>
      </c>
      <c r="E1276" s="5" t="str">
        <f>IFERROR(__xludf.DUMMYFUNCTION("""COMPUTED_VALUE"""),"رشت")</f>
        <v>رشت</v>
      </c>
      <c r="F1276" s="5" t="str">
        <f>IFERROR(__xludf.DUMMYFUNCTION("""COMPUTED_VALUE"""),"کوچصفهان")</f>
        <v>کوچصفهان</v>
      </c>
      <c r="G1276" s="5"/>
      <c r="H1276" s="6" t="str">
        <f>IFERROR(__xludf.DUMMYFUNCTION("""COMPUTED_VALUE"""),"https://www.instagram.com/jannatal_hussain/")</f>
        <v>https://www.instagram.com/jannatal_hussain/</v>
      </c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</row>
    <row r="1277">
      <c r="A1277" s="5"/>
      <c r="B1277" s="5" t="str">
        <f>IFERROR(__xludf.DUMMYFUNCTION("""COMPUTED_VALUE"""),"هیأت")</f>
        <v>هیأت</v>
      </c>
      <c r="C1277" s="5" t="str">
        <f>IFERROR(__xludf.DUMMYFUNCTION("""COMPUTED_VALUE"""),"حضرت ابوالفضل")</f>
        <v>حضرت ابوالفضل</v>
      </c>
      <c r="D1277" s="5" t="str">
        <f>IFERROR(__xludf.DUMMYFUNCTION("""COMPUTED_VALUE"""),"گیلان")</f>
        <v>گیلان</v>
      </c>
      <c r="E1277" s="5" t="str">
        <f>IFERROR(__xludf.DUMMYFUNCTION("""COMPUTED_VALUE"""),"رشت")</f>
        <v>رشت</v>
      </c>
      <c r="F1277" s="5" t="str">
        <f>IFERROR(__xludf.DUMMYFUNCTION("""COMPUTED_VALUE"""),"سنگر کیاسرا")</f>
        <v>سنگر کیاسرا</v>
      </c>
      <c r="G1277" s="5"/>
      <c r="H1277" s="6" t="str">
        <f>IFERROR(__xludf.DUMMYFUNCTION("""COMPUTED_VALUE"""),"https://www.instagram.com/hazrat.abolfazl.live/")</f>
        <v>https://www.instagram.com/hazrat.abolfazl.live/</v>
      </c>
      <c r="I1277" s="6" t="str">
        <f>IFERROR(__xludf.DUMMYFUNCTION("""COMPUTED_VALUE"""),"https://t.me/hazrat_abolfazl_info")</f>
        <v>https://t.me/hazrat_abolfazl_info</v>
      </c>
      <c r="J1277" s="5"/>
      <c r="K1277" s="5"/>
      <c r="L1277" s="5"/>
      <c r="M1277" s="5"/>
      <c r="N1277" s="5"/>
      <c r="O1277" s="5"/>
      <c r="P1277" s="5"/>
      <c r="Q1277" s="5"/>
      <c r="R1277" s="5"/>
      <c r="S1277" s="5"/>
    </row>
    <row r="1278">
      <c r="A1278" s="5"/>
      <c r="B1278" s="5" t="str">
        <f>IFERROR(__xludf.DUMMYFUNCTION("""COMPUTED_VALUE"""),"هیأت")</f>
        <v>هیأت</v>
      </c>
      <c r="C1278" s="5" t="str">
        <f>IFERROR(__xludf.DUMMYFUNCTION("""COMPUTED_VALUE"""),"قائمیه")</f>
        <v>قائمیه</v>
      </c>
      <c r="D1278" s="5" t="str">
        <f>IFERROR(__xludf.DUMMYFUNCTION("""COMPUTED_VALUE"""),"گیلان")</f>
        <v>گیلان</v>
      </c>
      <c r="E1278" s="5" t="str">
        <f>IFERROR(__xludf.DUMMYFUNCTION("""COMPUTED_VALUE"""),"رشت")</f>
        <v>رشت</v>
      </c>
      <c r="F1278" s="5"/>
      <c r="G1278" s="5"/>
      <c r="H1278" s="6" t="str">
        <f>IFERROR(__xludf.DUMMYFUNCTION("""COMPUTED_VALUE"""),"https://www.instagram.com/heyat_ghaemie_rasht/")</f>
        <v>https://www.instagram.com/heyat_ghaemie_rasht/</v>
      </c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</row>
    <row r="1279">
      <c r="A1279" s="5"/>
      <c r="B1279" s="5" t="str">
        <f>IFERROR(__xludf.DUMMYFUNCTION("""COMPUTED_VALUE"""),"هیأت")</f>
        <v>هیأت</v>
      </c>
      <c r="C1279" s="5" t="str">
        <f>IFERROR(__xludf.DUMMYFUNCTION("""COMPUTED_VALUE"""),"روضة الزهرا")</f>
        <v>روضة الزهرا</v>
      </c>
      <c r="D1279" s="5" t="str">
        <f>IFERROR(__xludf.DUMMYFUNCTION("""COMPUTED_VALUE"""),"گیلان")</f>
        <v>گیلان</v>
      </c>
      <c r="E1279" s="5" t="str">
        <f>IFERROR(__xludf.DUMMYFUNCTION("""COMPUTED_VALUE"""),"رشت")</f>
        <v>رشت</v>
      </c>
      <c r="F1279" s="5"/>
      <c r="G1279" s="5"/>
      <c r="H1279" s="6" t="str">
        <f>IFERROR(__xludf.DUMMYFUNCTION("""COMPUTED_VALUE"""),"https://www.instagram.com/rozatazahra/")</f>
        <v>https://www.instagram.com/rozatazahra/</v>
      </c>
      <c r="I1279" s="6" t="str">
        <f>IFERROR(__xludf.DUMMYFUNCTION("""COMPUTED_VALUE"""),"https://t.me/rozatazahra_ir")</f>
        <v>https://t.me/rozatazahra_ir</v>
      </c>
      <c r="J1279" s="6" t="str">
        <f>IFERROR(__xludf.DUMMYFUNCTION("""COMPUTED_VALUE"""),"https://eitaa.com/rozatoozahra")</f>
        <v>https://eitaa.com/rozatoozahra</v>
      </c>
      <c r="K1279" s="5"/>
      <c r="L1279" s="5"/>
      <c r="M1279" s="5"/>
      <c r="N1279" s="5"/>
      <c r="O1279" s="5"/>
      <c r="P1279" s="5"/>
      <c r="Q1279" s="5"/>
      <c r="R1279" s="5"/>
      <c r="S1279" s="5"/>
    </row>
    <row r="1280">
      <c r="A1280" s="5"/>
      <c r="B1280" s="5" t="str">
        <f>IFERROR(__xludf.DUMMYFUNCTION("""COMPUTED_VALUE"""),"هیأت")</f>
        <v>هیأت</v>
      </c>
      <c r="C1280" s="5" t="str">
        <f>IFERROR(__xludf.DUMMYFUNCTION("""COMPUTED_VALUE"""),"فاطمة الزهرا")</f>
        <v>فاطمة الزهرا</v>
      </c>
      <c r="D1280" s="5" t="str">
        <f>IFERROR(__xludf.DUMMYFUNCTION("""COMPUTED_VALUE"""),"گیلان")</f>
        <v>گیلان</v>
      </c>
      <c r="E1280" s="5" t="str">
        <f>IFERROR(__xludf.DUMMYFUNCTION("""COMPUTED_VALUE"""),"رشت")</f>
        <v>رشت</v>
      </c>
      <c r="F1280" s="5"/>
      <c r="G1280" s="5"/>
      <c r="H1280" s="6" t="str">
        <f>IFERROR(__xludf.DUMMYFUNCTION("""COMPUTED_VALUE"""),"https://www.instagram.com/fatematazahra_ir/")</f>
        <v>https://www.instagram.com/fatematazahra_ir/</v>
      </c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</row>
    <row r="1281">
      <c r="A1281" s="5"/>
      <c r="B1281" s="5" t="str">
        <f>IFERROR(__xludf.DUMMYFUNCTION("""COMPUTED_VALUE"""),"هیأت")</f>
        <v>هیأت</v>
      </c>
      <c r="C1281" s="5" t="str">
        <f>IFERROR(__xludf.DUMMYFUNCTION("""COMPUTED_VALUE"""),"بنت الحسین")</f>
        <v>بنت الحسین</v>
      </c>
      <c r="D1281" s="5" t="str">
        <f>IFERROR(__xludf.DUMMYFUNCTION("""COMPUTED_VALUE"""),"گیلان")</f>
        <v>گیلان</v>
      </c>
      <c r="E1281" s="5" t="str">
        <f>IFERROR(__xludf.DUMMYFUNCTION("""COMPUTED_VALUE"""),"رشت")</f>
        <v>رشت</v>
      </c>
      <c r="F1281" s="5" t="str">
        <f>IFERROR(__xludf.DUMMYFUNCTION("""COMPUTED_VALUE"""),"لشت نشاء")</f>
        <v>لشت نشاء</v>
      </c>
      <c r="G1281" s="5"/>
      <c r="H1281" s="6" t="str">
        <f>IFERROR(__xludf.DUMMYFUNCTION("""COMPUTED_VALUE"""),"https://www.instagram.com/bentol_hossein1403/")</f>
        <v>https://www.instagram.com/bentol_hossein1403/</v>
      </c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</row>
    <row r="1282">
      <c r="A1282" s="5"/>
      <c r="B1282" s="5" t="str">
        <f>IFERROR(__xludf.DUMMYFUNCTION("""COMPUTED_VALUE"""),"هیأت")</f>
        <v>هیأت</v>
      </c>
      <c r="C1282" s="5" t="str">
        <f>IFERROR(__xludf.DUMMYFUNCTION("""COMPUTED_VALUE"""),"عشاق المهدی")</f>
        <v>عشاق المهدی</v>
      </c>
      <c r="D1282" s="5" t="str">
        <f>IFERROR(__xludf.DUMMYFUNCTION("""COMPUTED_VALUE"""),"گیلان")</f>
        <v>گیلان</v>
      </c>
      <c r="E1282" s="5" t="str">
        <f>IFERROR(__xludf.DUMMYFUNCTION("""COMPUTED_VALUE"""),"رشت")</f>
        <v>رشت</v>
      </c>
      <c r="F1282" s="5"/>
      <c r="G1282" s="5"/>
      <c r="H1282" s="6" t="str">
        <f>IFERROR(__xludf.DUMMYFUNCTION("""COMPUTED_VALUE"""),"https://www.instagram.com/oshagh.media/")</f>
        <v>https://www.instagram.com/oshagh.media/</v>
      </c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</row>
    <row r="1283">
      <c r="A1283" s="5"/>
      <c r="B1283" s="5" t="str">
        <f>IFERROR(__xludf.DUMMYFUNCTION("""COMPUTED_VALUE"""),"هیأت")</f>
        <v>هیأت</v>
      </c>
      <c r="C1283" s="5" t="str">
        <f>IFERROR(__xludf.DUMMYFUNCTION("""COMPUTED_VALUE"""),"یازهرا ")</f>
        <v>یازهرا </v>
      </c>
      <c r="D1283" s="5" t="str">
        <f>IFERROR(__xludf.DUMMYFUNCTION("""COMPUTED_VALUE"""),"گیلان")</f>
        <v>گیلان</v>
      </c>
      <c r="E1283" s="5" t="str">
        <f>IFERROR(__xludf.DUMMYFUNCTION("""COMPUTED_VALUE"""),"رشت")</f>
        <v>رشت</v>
      </c>
      <c r="F1283" s="5" t="str">
        <f>IFERROR(__xludf.DUMMYFUNCTION("""COMPUTED_VALUE"""),"خشکبیجار")</f>
        <v>خشکبیجار</v>
      </c>
      <c r="G1283" s="5"/>
      <c r="H1283" s="6" t="str">
        <f>IFERROR(__xludf.DUMMYFUNCTION("""COMPUTED_VALUE"""),"https://www.instagram.com/yazaahra_ir/")</f>
        <v>https://www.instagram.com/yazaahra_ir/</v>
      </c>
      <c r="I1283" s="6" t="str">
        <f>IFERROR(__xludf.DUMMYFUNCTION("""COMPUTED_VALUE"""),"https://t.me/yazaahra_ir")</f>
        <v>https://t.me/yazaahra_ir</v>
      </c>
      <c r="J1283" s="5"/>
      <c r="K1283" s="5"/>
      <c r="L1283" s="5"/>
      <c r="M1283" s="5"/>
      <c r="N1283" s="5"/>
      <c r="O1283" s="5"/>
      <c r="P1283" s="5"/>
      <c r="Q1283" s="5"/>
      <c r="R1283" s="5"/>
      <c r="S1283" s="5"/>
    </row>
    <row r="1284">
      <c r="A1284" s="5"/>
      <c r="B1284" s="5" t="str">
        <f>IFERROR(__xludf.DUMMYFUNCTION("""COMPUTED_VALUE"""),"هیأت")</f>
        <v>هیأت</v>
      </c>
      <c r="C1284" s="5" t="str">
        <f>IFERROR(__xludf.DUMMYFUNCTION("""COMPUTED_VALUE"""),"رقیة الحسین")</f>
        <v>رقیة الحسین</v>
      </c>
      <c r="D1284" s="5" t="str">
        <f>IFERROR(__xludf.DUMMYFUNCTION("""COMPUTED_VALUE"""),"گیلان")</f>
        <v>گیلان</v>
      </c>
      <c r="E1284" s="5" t="str">
        <f>IFERROR(__xludf.DUMMYFUNCTION("""COMPUTED_VALUE"""),"رشت")</f>
        <v>رشت</v>
      </c>
      <c r="F1284" s="5"/>
      <c r="G1284" s="5"/>
      <c r="H1284" s="6" t="str">
        <f>IFERROR(__xludf.DUMMYFUNCTION("""COMPUTED_VALUE"""),"https://www.instagram.com/roghayeeh_315/")</f>
        <v>https://www.instagram.com/roghayeeh_315/</v>
      </c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</row>
    <row r="1285">
      <c r="A1285" s="5"/>
      <c r="B1285" s="5" t="str">
        <f>IFERROR(__xludf.DUMMYFUNCTION("""COMPUTED_VALUE"""),"هیأت")</f>
        <v>هیأت</v>
      </c>
      <c r="C1285" s="5" t="str">
        <f>IFERROR(__xludf.DUMMYFUNCTION("""COMPUTED_VALUE"""),"روضة الامیر")</f>
        <v>روضة الامیر</v>
      </c>
      <c r="D1285" s="5" t="str">
        <f>IFERROR(__xludf.DUMMYFUNCTION("""COMPUTED_VALUE"""),"گیلان")</f>
        <v>گیلان</v>
      </c>
      <c r="E1285" s="5" t="str">
        <f>IFERROR(__xludf.DUMMYFUNCTION("""COMPUTED_VALUE"""),"رشت")</f>
        <v>رشت</v>
      </c>
      <c r="F1285" s="5"/>
      <c r="G1285" s="5"/>
      <c r="H1285" s="6" t="str">
        <f>IFERROR(__xludf.DUMMYFUNCTION("""COMPUTED_VALUE"""),"https://www.instagram.com/rozatolamirrasht_ir/")</f>
        <v>https://www.instagram.com/rozatolamirrasht_ir/</v>
      </c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</row>
    <row r="1286">
      <c r="A1286" s="5"/>
      <c r="B1286" s="5" t="str">
        <f>IFERROR(__xludf.DUMMYFUNCTION("""COMPUTED_VALUE"""),"هیأت")</f>
        <v>هیأت</v>
      </c>
      <c r="C1286" s="5" t="str">
        <f>IFERROR(__xludf.DUMMYFUNCTION("""COMPUTED_VALUE"""),"صاحب الزمان")</f>
        <v>صاحب الزمان</v>
      </c>
      <c r="D1286" s="5" t="str">
        <f>IFERROR(__xludf.DUMMYFUNCTION("""COMPUTED_VALUE"""),"گیلان")</f>
        <v>گیلان</v>
      </c>
      <c r="E1286" s="5" t="str">
        <f>IFERROR(__xludf.DUMMYFUNCTION("""COMPUTED_VALUE"""),"رشت")</f>
        <v>رشت</v>
      </c>
      <c r="F1286" s="5"/>
      <c r="G1286" s="5"/>
      <c r="H1286" s="6" t="str">
        <f>IFERROR(__xludf.DUMMYFUNCTION("""COMPUTED_VALUE"""),"https://www.instagram.com/montazeransahebazaman/")</f>
        <v>https://www.instagram.com/montazeransahebazaman/</v>
      </c>
      <c r="I1286" s="6" t="str">
        <f>IFERROR(__xludf.DUMMYFUNCTION("""COMPUTED_VALUE"""),"https://t.me/montazeransahebazaman313")</f>
        <v>https://t.me/montazeransahebazaman313</v>
      </c>
      <c r="J1286" s="5"/>
      <c r="K1286" s="5"/>
      <c r="L1286" s="5"/>
      <c r="M1286" s="5"/>
      <c r="N1286" s="5"/>
      <c r="O1286" s="5"/>
      <c r="P1286" s="5"/>
      <c r="Q1286" s="5"/>
      <c r="R1286" s="5"/>
      <c r="S1286" s="5"/>
    </row>
    <row r="1287">
      <c r="A1287" s="5"/>
      <c r="B1287" s="5" t="str">
        <f>IFERROR(__xludf.DUMMYFUNCTION("""COMPUTED_VALUE"""),"هیأت")</f>
        <v>هیأت</v>
      </c>
      <c r="C1287" s="5" t="str">
        <f>IFERROR(__xludf.DUMMYFUNCTION("""COMPUTED_VALUE"""),"جنت الزینب")</f>
        <v>جنت الزینب</v>
      </c>
      <c r="D1287" s="5" t="str">
        <f>IFERROR(__xludf.DUMMYFUNCTION("""COMPUTED_VALUE"""),"گیلان")</f>
        <v>گیلان</v>
      </c>
      <c r="E1287" s="5" t="str">
        <f>IFERROR(__xludf.DUMMYFUNCTION("""COMPUTED_VALUE"""),"رشت")</f>
        <v>رشت</v>
      </c>
      <c r="F1287" s="5"/>
      <c r="G1287" s="5"/>
      <c r="H1287" s="6" t="str">
        <f>IFERROR(__xludf.DUMMYFUNCTION("""COMPUTED_VALUE"""),"https://www.instagram.com/janatezeynab.ir/")</f>
        <v>https://www.instagram.com/janatezeynab.ir/</v>
      </c>
      <c r="I1287" s="6" t="str">
        <f>IFERROR(__xludf.DUMMYFUNCTION("""COMPUTED_VALUE"""),"https://t.me/janate_zeynab")</f>
        <v>https://t.me/janate_zeynab</v>
      </c>
      <c r="J1287" s="5"/>
      <c r="K1287" s="5"/>
      <c r="L1287" s="5"/>
      <c r="M1287" s="5"/>
      <c r="N1287" s="5"/>
      <c r="O1287" s="5"/>
      <c r="P1287" s="5"/>
      <c r="Q1287" s="5"/>
      <c r="R1287" s="5"/>
      <c r="S1287" s="5"/>
    </row>
    <row r="1288">
      <c r="A1288" s="5"/>
      <c r="B1288" s="5" t="str">
        <f>IFERROR(__xludf.DUMMYFUNCTION("""COMPUTED_VALUE"""),"هیأت")</f>
        <v>هیأت</v>
      </c>
      <c r="C1288" s="5" t="str">
        <f>IFERROR(__xludf.DUMMYFUNCTION("""COMPUTED_VALUE"""),"ابوالفضل العباس")</f>
        <v>ابوالفضل العباس</v>
      </c>
      <c r="D1288" s="5" t="str">
        <f>IFERROR(__xludf.DUMMYFUNCTION("""COMPUTED_VALUE"""),"گیلان")</f>
        <v>گیلان</v>
      </c>
      <c r="E1288" s="5" t="str">
        <f>IFERROR(__xludf.DUMMYFUNCTION("""COMPUTED_VALUE"""),"رشت")</f>
        <v>رشت</v>
      </c>
      <c r="F1288" s="5"/>
      <c r="G1288" s="5"/>
      <c r="H1288" s="6" t="str">
        <f>IFERROR(__xludf.DUMMYFUNCTION("""COMPUTED_VALUE"""),"https://www.instagram.com/heyat_abolfazl.abbas/")</f>
        <v>https://www.instagram.com/heyat_abolfazl.abbas/</v>
      </c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</row>
    <row r="1289">
      <c r="A1289" s="5"/>
      <c r="B1289" s="5" t="str">
        <f>IFERROR(__xludf.DUMMYFUNCTION("""COMPUTED_VALUE"""),"هیأت")</f>
        <v>هیأت</v>
      </c>
      <c r="C1289" s="5" t="str">
        <f>IFERROR(__xludf.DUMMYFUNCTION("""COMPUTED_VALUE"""),"حضرت ابوالفضل")</f>
        <v>حضرت ابوالفضل</v>
      </c>
      <c r="D1289" s="5" t="str">
        <f>IFERROR(__xludf.DUMMYFUNCTION("""COMPUTED_VALUE"""),"گیلان")</f>
        <v>گیلان</v>
      </c>
      <c r="E1289" s="5" t="str">
        <f>IFERROR(__xludf.DUMMYFUNCTION("""COMPUTED_VALUE"""),"رشت")</f>
        <v>رشت</v>
      </c>
      <c r="F1289" s="5" t="str">
        <f>IFERROR(__xludf.DUMMYFUNCTION("""COMPUTED_VALUE"""),"خشکبیجار، تمل")</f>
        <v>خشکبیجار، تمل</v>
      </c>
      <c r="G1289" s="5"/>
      <c r="H1289" s="6" t="str">
        <f>IFERROR(__xludf.DUMMYFUNCTION("""COMPUTED_VALUE"""),"https://www.instagram.com/heiyat.hazrat.abalfazl.tamal/")</f>
        <v>https://www.instagram.com/heiyat.hazrat.abalfazl.tamal/</v>
      </c>
      <c r="I1289" s="6" t="str">
        <f>IFERROR(__xludf.DUMMYFUNCTION("""COMPUTED_VALUE"""),"https://t.me/masjed_jamee_tamal")</f>
        <v>https://t.me/masjed_jamee_tamal</v>
      </c>
      <c r="J1289" s="5"/>
      <c r="K1289" s="5"/>
      <c r="L1289" s="5"/>
      <c r="M1289" s="5"/>
      <c r="N1289" s="5"/>
      <c r="O1289" s="5"/>
      <c r="P1289" s="5"/>
      <c r="Q1289" s="5"/>
      <c r="R1289" s="5"/>
      <c r="S1289" s="5"/>
    </row>
    <row r="1290">
      <c r="A1290" s="5"/>
      <c r="B1290" s="5" t="str">
        <f>IFERROR(__xludf.DUMMYFUNCTION("""COMPUTED_VALUE"""),"هیأت")</f>
        <v>هیأت</v>
      </c>
      <c r="C1290" s="5" t="str">
        <f>IFERROR(__xludf.DUMMYFUNCTION("""COMPUTED_VALUE"""),"ریحانة الرسول")</f>
        <v>ریحانة الرسول</v>
      </c>
      <c r="D1290" s="5" t="str">
        <f>IFERROR(__xludf.DUMMYFUNCTION("""COMPUTED_VALUE"""),"گیلان")</f>
        <v>گیلان</v>
      </c>
      <c r="E1290" s="5" t="str">
        <f>IFERROR(__xludf.DUMMYFUNCTION("""COMPUTED_VALUE"""),"رشت")</f>
        <v>رشت</v>
      </c>
      <c r="F1290" s="5"/>
      <c r="G1290" s="5"/>
      <c r="H1290" s="6" t="str">
        <f>IFERROR(__xludf.DUMMYFUNCTION("""COMPUTED_VALUE"""),"https://www.instagram.com/reyhanatorrasoul/")</f>
        <v>https://www.instagram.com/reyhanatorrasoul/</v>
      </c>
      <c r="I1290" s="5"/>
      <c r="J1290" s="6" t="str">
        <f>IFERROR(__xludf.DUMMYFUNCTION("""COMPUTED_VALUE"""),"https://eitaa.com/reihanatorasoul")</f>
        <v>https://eitaa.com/reihanatorasoul</v>
      </c>
      <c r="K1290" s="5"/>
      <c r="L1290" s="5"/>
      <c r="M1290" s="5"/>
      <c r="N1290" s="5"/>
      <c r="O1290" s="5"/>
      <c r="P1290" s="5"/>
      <c r="Q1290" s="5"/>
      <c r="R1290" s="5"/>
      <c r="S1290" s="5"/>
    </row>
    <row r="1291">
      <c r="A1291" s="5"/>
      <c r="B1291" s="5" t="str">
        <f>IFERROR(__xludf.DUMMYFUNCTION("""COMPUTED_VALUE"""),"هیأت")</f>
        <v>هیأت</v>
      </c>
      <c r="C1291" s="5" t="str">
        <f>IFERROR(__xludf.DUMMYFUNCTION("""COMPUTED_VALUE"""),"خادمین الزهرا")</f>
        <v>خادمین الزهرا</v>
      </c>
      <c r="D1291" s="5" t="str">
        <f>IFERROR(__xludf.DUMMYFUNCTION("""COMPUTED_VALUE"""),"گیلان")</f>
        <v>گیلان</v>
      </c>
      <c r="E1291" s="5" t="str">
        <f>IFERROR(__xludf.DUMMYFUNCTION("""COMPUTED_VALUE"""),"رشت")</f>
        <v>رشت</v>
      </c>
      <c r="F1291" s="6" t="str">
        <f>IFERROR(__xludf.DUMMYFUNCTION("""COMPUTED_VALUE"""),"https://www.instagram.com/khademin__alzahra/")</f>
        <v>https://www.instagram.com/khademin__alzahra/</v>
      </c>
      <c r="G1291" s="5"/>
      <c r="H1291" s="6" t="str">
        <f>IFERROR(__xludf.DUMMYFUNCTION("""COMPUTED_VALUE"""),"https://www.instagram.com/khademin__info/")</f>
        <v>https://www.instagram.com/khademin__info/</v>
      </c>
      <c r="I1291" s="6" t="str">
        <f>IFERROR(__xludf.DUMMYFUNCTION("""COMPUTED_VALUE"""),"https://t.me/khademin_135")</f>
        <v>https://t.me/khademin_135</v>
      </c>
      <c r="J1291" s="5"/>
      <c r="K1291" s="5"/>
      <c r="L1291" s="5"/>
      <c r="M1291" s="5"/>
      <c r="N1291" s="5"/>
      <c r="O1291" s="5"/>
      <c r="P1291" s="5"/>
      <c r="Q1291" s="5"/>
      <c r="R1291" s="5"/>
      <c r="S1291" s="5"/>
    </row>
    <row r="1292">
      <c r="A1292" s="5"/>
      <c r="B1292" s="5" t="str">
        <f>IFERROR(__xludf.DUMMYFUNCTION("""COMPUTED_VALUE"""),"هیأت")</f>
        <v>هیأت</v>
      </c>
      <c r="C1292" s="5" t="str">
        <f>IFERROR(__xludf.DUMMYFUNCTION("""COMPUTED_VALUE"""),"پایگاه المهدی")</f>
        <v>پایگاه المهدی</v>
      </c>
      <c r="D1292" s="5" t="str">
        <f>IFERROR(__xludf.DUMMYFUNCTION("""COMPUTED_VALUE"""),"گیلان")</f>
        <v>گیلان</v>
      </c>
      <c r="E1292" s="5" t="str">
        <f>IFERROR(__xludf.DUMMYFUNCTION("""COMPUTED_VALUE"""),"رشت")</f>
        <v>رشت</v>
      </c>
      <c r="F1292" s="5"/>
      <c r="G1292" s="5"/>
      <c r="H1292" s="6" t="str">
        <f>IFERROR(__xludf.DUMMYFUNCTION("""COMPUTED_VALUE"""),"https://www.instagram.com/payegahealmahdi/")</f>
        <v>https://www.instagram.com/payegahealmahdi/</v>
      </c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</row>
    <row r="1293">
      <c r="A1293" s="5"/>
      <c r="B1293" s="5" t="str">
        <f>IFERROR(__xludf.DUMMYFUNCTION("""COMPUTED_VALUE"""),"هیأت")</f>
        <v>هیأت</v>
      </c>
      <c r="C1293" s="5" t="str">
        <f>IFERROR(__xludf.DUMMYFUNCTION("""COMPUTED_VALUE"""),"الزهرا")</f>
        <v>الزهرا</v>
      </c>
      <c r="D1293" s="5" t="str">
        <f>IFERROR(__xludf.DUMMYFUNCTION("""COMPUTED_VALUE"""),"گیلان")</f>
        <v>گیلان</v>
      </c>
      <c r="E1293" s="5" t="str">
        <f>IFERROR(__xludf.DUMMYFUNCTION("""COMPUTED_VALUE"""),"رشت")</f>
        <v>رشت</v>
      </c>
      <c r="F1293" s="5"/>
      <c r="G1293" s="5"/>
      <c r="H1293" s="6" t="str">
        <f>IFERROR(__xludf.DUMMYFUNCTION("""COMPUTED_VALUE"""),"https://www.instagram.com/khonemadari_135/")</f>
        <v>https://www.instagram.com/khonemadari_135/</v>
      </c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</row>
    <row r="1294">
      <c r="A1294" s="5"/>
      <c r="B1294" s="5" t="str">
        <f>IFERROR(__xludf.DUMMYFUNCTION("""COMPUTED_VALUE"""),"هیأت")</f>
        <v>هیأت</v>
      </c>
      <c r="C1294" s="5" t="str">
        <f>IFERROR(__xludf.DUMMYFUNCTION("""COMPUTED_VALUE"""),"جنة المهدی")</f>
        <v>جنة المهدی</v>
      </c>
      <c r="D1294" s="5" t="str">
        <f>IFERROR(__xludf.DUMMYFUNCTION("""COMPUTED_VALUE"""),"گیلان")</f>
        <v>گیلان</v>
      </c>
      <c r="E1294" s="5" t="str">
        <f>IFERROR(__xludf.DUMMYFUNCTION("""COMPUTED_VALUE"""),"رشت")</f>
        <v>رشت</v>
      </c>
      <c r="F1294" s="5"/>
      <c r="G1294" s="5"/>
      <c r="H1294" s="6" t="str">
        <f>IFERROR(__xludf.DUMMYFUNCTION("""COMPUTED_VALUE"""),"https://www.instagram.com/janat.ir/")</f>
        <v>https://www.instagram.com/janat.ir/</v>
      </c>
      <c r="I1294" s="6" t="str">
        <f>IFERROR(__xludf.DUMMYFUNCTION("""COMPUTED_VALUE"""),"https://t.me/heyatjanat")</f>
        <v>https://t.me/heyatjanat</v>
      </c>
      <c r="J1294" s="6" t="str">
        <f>IFERROR(__xludf.DUMMYFUNCTION("""COMPUTED_VALUE"""),"https://eitaa.com/heyatjanat")</f>
        <v>https://eitaa.com/heyatjanat</v>
      </c>
      <c r="K1294" s="5"/>
      <c r="L1294" s="5"/>
      <c r="M1294" s="5"/>
      <c r="N1294" s="5"/>
      <c r="O1294" s="5"/>
      <c r="P1294" s="5"/>
      <c r="Q1294" s="5"/>
      <c r="R1294" s="5"/>
      <c r="S1294" s="5"/>
    </row>
    <row r="1295">
      <c r="A1295" s="5"/>
      <c r="B1295" s="5" t="str">
        <f>IFERROR(__xludf.DUMMYFUNCTION("""COMPUTED_VALUE"""),"هیأت")</f>
        <v>هیأت</v>
      </c>
      <c r="C1295" s="5" t="str">
        <f>IFERROR(__xludf.DUMMYFUNCTION("""COMPUTED_VALUE"""),"منتظران منجی")</f>
        <v>منتظران منجی</v>
      </c>
      <c r="D1295" s="5" t="str">
        <f>IFERROR(__xludf.DUMMYFUNCTION("""COMPUTED_VALUE"""),"گیلان")</f>
        <v>گیلان</v>
      </c>
      <c r="E1295" s="5" t="str">
        <f>IFERROR(__xludf.DUMMYFUNCTION("""COMPUTED_VALUE"""),"رشت")</f>
        <v>رشت</v>
      </c>
      <c r="F1295" s="5"/>
      <c r="G1295" s="5"/>
      <c r="H1295" s="6" t="str">
        <f>IFERROR(__xludf.DUMMYFUNCTION("""COMPUTED_VALUE"""),"https://www.instagram.com/montazeran_monji_rasht/")</f>
        <v>https://www.instagram.com/montazeran_monji_rasht/</v>
      </c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</row>
    <row r="1296">
      <c r="A1296" s="5"/>
      <c r="B1296" s="5" t="str">
        <f>IFERROR(__xludf.DUMMYFUNCTION("""COMPUTED_VALUE"""),"هیأت")</f>
        <v>هیأت</v>
      </c>
      <c r="C1296" s="5" t="str">
        <f>IFERROR(__xludf.DUMMYFUNCTION("""COMPUTED_VALUE"""),"منتظران بقیة الله")</f>
        <v>منتظران بقیة الله</v>
      </c>
      <c r="D1296" s="5" t="str">
        <f>IFERROR(__xludf.DUMMYFUNCTION("""COMPUTED_VALUE"""),"گیلان")</f>
        <v>گیلان</v>
      </c>
      <c r="E1296" s="5" t="str">
        <f>IFERROR(__xludf.DUMMYFUNCTION("""COMPUTED_VALUE"""),"رشت")</f>
        <v>رشت</v>
      </c>
      <c r="F1296" s="5"/>
      <c r="G1296" s="5"/>
      <c r="H1296" s="6" t="str">
        <f>IFERROR(__xludf.DUMMYFUNCTION("""COMPUTED_VALUE"""),"https://www.instagram.com/montazeran_rasht313/")</f>
        <v>https://www.instagram.com/montazeran_rasht313/</v>
      </c>
      <c r="I1296" s="6" t="str">
        <f>IFERROR(__xludf.DUMMYFUNCTION("""COMPUTED_VALUE"""),"https://t.me/montazeran_rasht313")</f>
        <v>https://t.me/montazeran_rasht313</v>
      </c>
      <c r="J1296" s="5"/>
      <c r="K1296" s="5"/>
      <c r="L1296" s="5"/>
      <c r="M1296" s="5"/>
      <c r="N1296" s="5"/>
      <c r="O1296" s="5"/>
      <c r="P1296" s="5"/>
      <c r="Q1296" s="5"/>
      <c r="R1296" s="5"/>
      <c r="S1296" s="5"/>
    </row>
    <row r="1297">
      <c r="A1297" s="5"/>
      <c r="B1297" s="5" t="str">
        <f>IFERROR(__xludf.DUMMYFUNCTION("""COMPUTED_VALUE"""),"هیأت")</f>
        <v>هیأت</v>
      </c>
      <c r="C1297" s="5" t="str">
        <f>IFERROR(__xludf.DUMMYFUNCTION("""COMPUTED_VALUE"""),"خیمة الحیدر")</f>
        <v>خیمة الحیدر</v>
      </c>
      <c r="D1297" s="5" t="str">
        <f>IFERROR(__xludf.DUMMYFUNCTION("""COMPUTED_VALUE"""),"گیلان")</f>
        <v>گیلان</v>
      </c>
      <c r="E1297" s="5" t="str">
        <f>IFERROR(__xludf.DUMMYFUNCTION("""COMPUTED_VALUE"""),"رشت")</f>
        <v>رشت</v>
      </c>
      <c r="F1297" s="5"/>
      <c r="G1297" s="5"/>
      <c r="H1297" s="6" t="str">
        <f>IFERROR(__xludf.DUMMYFUNCTION("""COMPUTED_VALUE"""),"https://www.instagram.com/khaymatolhaydar/")</f>
        <v>https://www.instagram.com/khaymatolhaydar/</v>
      </c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</row>
    <row r="1298">
      <c r="A1298" s="5"/>
      <c r="B1298" s="5" t="str">
        <f>IFERROR(__xludf.DUMMYFUNCTION("""COMPUTED_VALUE"""),"هیأت")</f>
        <v>هیأت</v>
      </c>
      <c r="C1298" s="5" t="str">
        <f>IFERROR(__xludf.DUMMYFUNCTION("""COMPUTED_VALUE"""),"مولا علی")</f>
        <v>مولا علی</v>
      </c>
      <c r="D1298" s="5" t="str">
        <f>IFERROR(__xludf.DUMMYFUNCTION("""COMPUTED_VALUE"""),"گیلان")</f>
        <v>گیلان</v>
      </c>
      <c r="E1298" s="5" t="str">
        <f>IFERROR(__xludf.DUMMYFUNCTION("""COMPUTED_VALUE"""),"رشت")</f>
        <v>رشت</v>
      </c>
      <c r="F1298" s="5"/>
      <c r="G1298" s="5"/>
      <c r="H1298" s="6" t="str">
        <f>IFERROR(__xludf.DUMMYFUNCTION("""COMPUTED_VALUE"""),"https://www.instagram.com/heyatmowlaali/")</f>
        <v>https://www.instagram.com/heyatmowlaali/</v>
      </c>
      <c r="I1298" s="6" t="str">
        <f>IFERROR(__xludf.DUMMYFUNCTION("""COMPUTED_VALUE"""),"https://t.me/heyatmowlaali")</f>
        <v>https://t.me/heyatmowlaali</v>
      </c>
      <c r="J1298" s="5"/>
      <c r="K1298" s="5"/>
      <c r="L1298" s="5"/>
      <c r="M1298" s="5"/>
      <c r="N1298" s="5"/>
      <c r="O1298" s="5"/>
      <c r="P1298" s="5"/>
      <c r="Q1298" s="5"/>
      <c r="R1298" s="5"/>
      <c r="S1298" s="5"/>
    </row>
    <row r="1299">
      <c r="A1299" s="5"/>
      <c r="B1299" s="5" t="str">
        <f>IFERROR(__xludf.DUMMYFUNCTION("""COMPUTED_VALUE"""),"هیأت")</f>
        <v>هیأت</v>
      </c>
      <c r="C1299" s="5" t="str">
        <f>IFERROR(__xludf.DUMMYFUNCTION("""COMPUTED_VALUE"""),"عاشقان ثارالله")</f>
        <v>عاشقان ثارالله</v>
      </c>
      <c r="D1299" s="5" t="str">
        <f>IFERROR(__xludf.DUMMYFUNCTION("""COMPUTED_VALUE"""),"گیلان")</f>
        <v>گیلان</v>
      </c>
      <c r="E1299" s="5" t="str">
        <f>IFERROR(__xludf.DUMMYFUNCTION("""COMPUTED_VALUE"""),"رشت")</f>
        <v>رشت</v>
      </c>
      <c r="F1299" s="5"/>
      <c r="G1299" s="5"/>
      <c r="H1299" s="6" t="str">
        <f>IFERROR(__xludf.DUMMYFUNCTION("""COMPUTED_VALUE"""),"https://www.instagram.com/heyat_bahonar/")</f>
        <v>https://www.instagram.com/heyat_bahonar/</v>
      </c>
      <c r="I1299" s="6" t="str">
        <f>IFERROR(__xludf.DUMMYFUNCTION("""COMPUTED_VALUE"""),"https://t.me/heyat_bahonar")</f>
        <v>https://t.me/heyat_bahonar</v>
      </c>
      <c r="J1299" s="5"/>
      <c r="K1299" s="5"/>
      <c r="L1299" s="5"/>
      <c r="M1299" s="5"/>
      <c r="N1299" s="5"/>
      <c r="O1299" s="5"/>
      <c r="P1299" s="5"/>
      <c r="Q1299" s="5"/>
      <c r="R1299" s="5"/>
      <c r="S1299" s="5"/>
    </row>
    <row r="1300">
      <c r="A1300" s="5"/>
      <c r="B1300" s="5" t="str">
        <f>IFERROR(__xludf.DUMMYFUNCTION("""COMPUTED_VALUE"""),"هیأت")</f>
        <v>هیأت</v>
      </c>
      <c r="C1300" s="5" t="str">
        <f>IFERROR(__xludf.DUMMYFUNCTION("""COMPUTED_VALUE"""),"محبین اهل بیت")</f>
        <v>محبین اهل بیت</v>
      </c>
      <c r="D1300" s="5" t="str">
        <f>IFERROR(__xludf.DUMMYFUNCTION("""COMPUTED_VALUE"""),"گیلان")</f>
        <v>گیلان</v>
      </c>
      <c r="E1300" s="5" t="str">
        <f>IFERROR(__xludf.DUMMYFUNCTION("""COMPUTED_VALUE"""),"رشت")</f>
        <v>رشت</v>
      </c>
      <c r="F1300" s="5"/>
      <c r="G1300" s="5"/>
      <c r="H1300" s="6" t="str">
        <f>IFERROR(__xludf.DUMMYFUNCTION("""COMPUTED_VALUE"""),"https://www.instagram.com/mohebin_com/")</f>
        <v>https://www.instagram.com/mohebin_com/</v>
      </c>
      <c r="I1300" s="6" t="str">
        <f>IFERROR(__xludf.DUMMYFUNCTION("""COMPUTED_VALUE"""),"https://t.me/Mohebin_AhlalBayt")</f>
        <v>https://t.me/Mohebin_AhlalBayt</v>
      </c>
      <c r="J1300" s="5"/>
      <c r="K1300" s="5"/>
      <c r="L1300" s="5"/>
      <c r="M1300" s="5"/>
      <c r="N1300" s="5"/>
      <c r="O1300" s="5"/>
      <c r="P1300" s="5"/>
      <c r="Q1300" s="5"/>
      <c r="R1300" s="5"/>
      <c r="S1300" s="5"/>
    </row>
    <row r="1301">
      <c r="A1301" s="5"/>
      <c r="B1301" s="5" t="str">
        <f>IFERROR(__xludf.DUMMYFUNCTION("""COMPUTED_VALUE"""),"هیأت")</f>
        <v>هیأت</v>
      </c>
      <c r="C1301" s="5" t="str">
        <f>IFERROR(__xludf.DUMMYFUNCTION("""COMPUTED_VALUE"""),"عاشقان اهل بیت")</f>
        <v>عاشقان اهل بیت</v>
      </c>
      <c r="D1301" s="5" t="str">
        <f>IFERROR(__xludf.DUMMYFUNCTION("""COMPUTED_VALUE"""),"گیلان")</f>
        <v>گیلان</v>
      </c>
      <c r="E1301" s="5" t="str">
        <f>IFERROR(__xludf.DUMMYFUNCTION("""COMPUTED_VALUE"""),"رشت")</f>
        <v>رشت</v>
      </c>
      <c r="F1301" s="5"/>
      <c r="G1301" s="5"/>
      <c r="H1301" s="6" t="str">
        <f>IFERROR(__xludf.DUMMYFUNCTION("""COMPUTED_VALUE"""),"https://www.instagram.com/ashk_info/")</f>
        <v>https://www.instagram.com/ashk_info/</v>
      </c>
      <c r="I1301" s="6" t="str">
        <f>IFERROR(__xludf.DUMMYFUNCTION("""COMPUTED_VALUE"""),"https://t.me/ashk_info")</f>
        <v>https://t.me/ashk_info</v>
      </c>
      <c r="J1301" s="5"/>
      <c r="K1301" s="5"/>
      <c r="L1301" s="5"/>
      <c r="M1301" s="5"/>
      <c r="N1301" s="5"/>
      <c r="O1301" s="5"/>
      <c r="P1301" s="5"/>
      <c r="Q1301" s="5"/>
      <c r="R1301" s="5"/>
      <c r="S1301" s="5"/>
    </row>
    <row r="1302">
      <c r="A1302" s="5"/>
      <c r="B1302" s="5" t="str">
        <f>IFERROR(__xludf.DUMMYFUNCTION("""COMPUTED_VALUE"""),"هیأت")</f>
        <v>هیأت</v>
      </c>
      <c r="C1302" s="5" t="str">
        <f>IFERROR(__xludf.DUMMYFUNCTION("""COMPUTED_VALUE"""),"اخت الرضا")</f>
        <v>اخت الرضا</v>
      </c>
      <c r="D1302" s="5" t="str">
        <f>IFERROR(__xludf.DUMMYFUNCTION("""COMPUTED_VALUE"""),"گیلان")</f>
        <v>گیلان</v>
      </c>
      <c r="E1302" s="5" t="str">
        <f>IFERROR(__xludf.DUMMYFUNCTION("""COMPUTED_VALUE"""),"رشت")</f>
        <v>رشت</v>
      </c>
      <c r="F1302" s="5"/>
      <c r="G1302" s="5"/>
      <c r="H1302" s="6" t="str">
        <f>IFERROR(__xludf.DUMMYFUNCTION("""COMPUTED_VALUE"""),"https://www.instagram.com/ukhtalreza_101/")</f>
        <v>https://www.instagram.com/ukhtalreza_101/</v>
      </c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</row>
    <row r="1303">
      <c r="A1303" s="5"/>
      <c r="B1303" s="5" t="str">
        <f>IFERROR(__xludf.DUMMYFUNCTION("""COMPUTED_VALUE"""),"هیأت")</f>
        <v>هیأت</v>
      </c>
      <c r="C1303" s="5" t="str">
        <f>IFERROR(__xludf.DUMMYFUNCTION("""COMPUTED_VALUE"""),"عشاق المهدی")</f>
        <v>عشاق المهدی</v>
      </c>
      <c r="D1303" s="5" t="str">
        <f>IFERROR(__xludf.DUMMYFUNCTION("""COMPUTED_VALUE"""),"گیلان")</f>
        <v>گیلان</v>
      </c>
      <c r="E1303" s="5" t="str">
        <f>IFERROR(__xludf.DUMMYFUNCTION("""COMPUTED_VALUE"""),"رشت")</f>
        <v>رشت</v>
      </c>
      <c r="F1303" s="5"/>
      <c r="G1303" s="5"/>
      <c r="H1303" s="6" t="str">
        <f>IFERROR(__xludf.DUMMYFUNCTION("""COMPUTED_VALUE"""),"https://www.instagram.com/oshagh_mahdi_/")</f>
        <v>https://www.instagram.com/oshagh_mahdi_/</v>
      </c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</row>
    <row r="1304">
      <c r="A1304" s="5"/>
      <c r="B1304" s="5" t="str">
        <f>IFERROR(__xludf.DUMMYFUNCTION("""COMPUTED_VALUE"""),"هیأت")</f>
        <v>هیأت</v>
      </c>
      <c r="C1304" s="5" t="str">
        <f>IFERROR(__xludf.DUMMYFUNCTION("""COMPUTED_VALUE"""),"بنی الزهرا")</f>
        <v>بنی الزهرا</v>
      </c>
      <c r="D1304" s="5" t="str">
        <f>IFERROR(__xludf.DUMMYFUNCTION("""COMPUTED_VALUE"""),"گیلان")</f>
        <v>گیلان</v>
      </c>
      <c r="E1304" s="5" t="str">
        <f>IFERROR(__xludf.DUMMYFUNCTION("""COMPUTED_VALUE"""),"رشت")</f>
        <v>رشت</v>
      </c>
      <c r="F1304" s="5"/>
      <c r="G1304" s="5"/>
      <c r="H1304" s="6" t="str">
        <f>IFERROR(__xludf.DUMMYFUNCTION("""COMPUTED_VALUE"""),"https://www.instagram.com/sadid.heiat/")</f>
        <v>https://www.instagram.com/sadid.heiat/</v>
      </c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</row>
    <row r="1305">
      <c r="A1305" s="5"/>
      <c r="B1305" s="5" t="str">
        <f>IFERROR(__xludf.DUMMYFUNCTION("""COMPUTED_VALUE"""),"هیأت")</f>
        <v>هیأت</v>
      </c>
      <c r="C1305" s="5" t="str">
        <f>IFERROR(__xludf.DUMMYFUNCTION("""COMPUTED_VALUE"""),"مصباح الحسین")</f>
        <v>مصباح الحسین</v>
      </c>
      <c r="D1305" s="5" t="str">
        <f>IFERROR(__xludf.DUMMYFUNCTION("""COMPUTED_VALUE"""),"گیلان")</f>
        <v>گیلان</v>
      </c>
      <c r="E1305" s="5" t="str">
        <f>IFERROR(__xludf.DUMMYFUNCTION("""COMPUTED_VALUE"""),"رشت")</f>
        <v>رشت</v>
      </c>
      <c r="F1305" s="5"/>
      <c r="G1305" s="5"/>
      <c r="H1305" s="6" t="str">
        <f>IFERROR(__xludf.DUMMYFUNCTION("""COMPUTED_VALUE"""),"https://www.instagram.com/mesbaholhossein_org/")</f>
        <v>https://www.instagram.com/mesbaholhossein_org/</v>
      </c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</row>
    <row r="1306">
      <c r="A1306" s="5"/>
      <c r="B1306" s="5" t="str">
        <f>IFERROR(__xludf.DUMMYFUNCTION("""COMPUTED_VALUE"""),"هیأت")</f>
        <v>هیأت</v>
      </c>
      <c r="C1306" s="5" t="str">
        <f>IFERROR(__xludf.DUMMYFUNCTION("""COMPUTED_VALUE"""),"غمخانه بنت علی")</f>
        <v>غمخانه بنت علی</v>
      </c>
      <c r="D1306" s="5" t="str">
        <f>IFERROR(__xludf.DUMMYFUNCTION("""COMPUTED_VALUE"""),"گیلان")</f>
        <v>گیلان</v>
      </c>
      <c r="E1306" s="5" t="str">
        <f>IFERROR(__xludf.DUMMYFUNCTION("""COMPUTED_VALUE"""),"رشت")</f>
        <v>رشت</v>
      </c>
      <c r="F1306" s="5"/>
      <c r="G1306" s="5"/>
      <c r="H1306" s="6" t="str">
        <f>IFERROR(__xludf.DUMMYFUNCTION("""COMPUTED_VALUE"""),"https://www.instagram.com/ghamkhanehbentali/")</f>
        <v>https://www.instagram.com/ghamkhanehbentali/</v>
      </c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</row>
    <row r="1307">
      <c r="A1307" s="5"/>
      <c r="B1307" s="5" t="str">
        <f>IFERROR(__xludf.DUMMYFUNCTION("""COMPUTED_VALUE"""),"موکب")</f>
        <v>موکب</v>
      </c>
      <c r="C1307" s="5" t="str">
        <f>IFERROR(__xludf.DUMMYFUNCTION("""COMPUTED_VALUE"""),"خدام العتره")</f>
        <v>خدام العتره</v>
      </c>
      <c r="D1307" s="5" t="str">
        <f>IFERROR(__xludf.DUMMYFUNCTION("""COMPUTED_VALUE"""),"گیلان")</f>
        <v>گیلان</v>
      </c>
      <c r="E1307" s="5" t="str">
        <f>IFERROR(__xludf.DUMMYFUNCTION("""COMPUTED_VALUE"""),"رشت")</f>
        <v>رشت</v>
      </c>
      <c r="F1307" s="5"/>
      <c r="G1307" s="5"/>
      <c r="H1307" s="6" t="str">
        <f>IFERROR(__xludf.DUMMYFUNCTION("""COMPUTED_VALUE"""),"https://www.instagram.com/khoddamoletra/")</f>
        <v>https://www.instagram.com/khoddamoletra/</v>
      </c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</row>
    <row r="1308">
      <c r="A1308" s="5"/>
      <c r="B1308" s="5" t="str">
        <f>IFERROR(__xludf.DUMMYFUNCTION("""COMPUTED_VALUE"""),"هیأت")</f>
        <v>هیأت</v>
      </c>
      <c r="C1308" s="5" t="str">
        <f>IFERROR(__xludf.DUMMYFUNCTION("""COMPUTED_VALUE"""),"رزمندگان اسلام")</f>
        <v>رزمندگان اسلام</v>
      </c>
      <c r="D1308" s="5" t="str">
        <f>IFERROR(__xludf.DUMMYFUNCTION("""COMPUTED_VALUE"""),"گیلان")</f>
        <v>گیلان</v>
      </c>
      <c r="E1308" s="5" t="str">
        <f>IFERROR(__xludf.DUMMYFUNCTION("""COMPUTED_VALUE"""),"رشت")</f>
        <v>رشت</v>
      </c>
      <c r="F1308" s="5"/>
      <c r="G1308" s="5"/>
      <c r="H1308" s="6" t="str">
        <f>IFERROR(__xludf.DUMMYFUNCTION("""COMPUTED_VALUE"""),"https://www.instagram.com/heyat.razmandegan.gilan/")</f>
        <v>https://www.instagram.com/heyat.razmandegan.gilan/</v>
      </c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</row>
    <row r="1309">
      <c r="A1309" s="5"/>
      <c r="B1309" s="5" t="str">
        <f>IFERROR(__xludf.DUMMYFUNCTION("""COMPUTED_VALUE"""),"هیأت")</f>
        <v>هیأت</v>
      </c>
      <c r="C1309" s="5" t="str">
        <f>IFERROR(__xludf.DUMMYFUNCTION("""COMPUTED_VALUE"""),"روضات العباس")</f>
        <v>روضات العباس</v>
      </c>
      <c r="D1309" s="5" t="str">
        <f>IFERROR(__xludf.DUMMYFUNCTION("""COMPUTED_VALUE"""),"گیلان")</f>
        <v>گیلان</v>
      </c>
      <c r="E1309" s="5" t="str">
        <f>IFERROR(__xludf.DUMMYFUNCTION("""COMPUTED_VALUE"""),"رشت")</f>
        <v>رشت</v>
      </c>
      <c r="F1309" s="5"/>
      <c r="G1309" s="5"/>
      <c r="H1309" s="6" t="str">
        <f>IFERROR(__xludf.DUMMYFUNCTION("""COMPUTED_VALUE"""),"https://www.instagram.com/rozat_133/")</f>
        <v>https://www.instagram.com/rozat_133/</v>
      </c>
      <c r="I1309" s="6" t="str">
        <f>IFERROR(__xludf.DUMMYFUNCTION("""COMPUTED_VALUE"""),"https://t.me/rozat_133")</f>
        <v>https://t.me/rozat_133</v>
      </c>
      <c r="J1309" s="5"/>
      <c r="K1309" s="5"/>
      <c r="L1309" s="5"/>
      <c r="M1309" s="5"/>
      <c r="N1309" s="5"/>
      <c r="O1309" s="5"/>
      <c r="P1309" s="5"/>
      <c r="Q1309" s="5"/>
      <c r="R1309" s="5"/>
      <c r="S1309" s="5"/>
    </row>
    <row r="1310">
      <c r="A1310" s="5"/>
      <c r="B1310" s="5" t="str">
        <f>IFERROR(__xludf.DUMMYFUNCTION("""COMPUTED_VALUE"""),"هیأت")</f>
        <v>هیأت</v>
      </c>
      <c r="C1310" s="5" t="str">
        <f>IFERROR(__xludf.DUMMYFUNCTION("""COMPUTED_VALUE"""),"محبان الحسین")</f>
        <v>محبان الحسین</v>
      </c>
      <c r="D1310" s="5" t="str">
        <f>IFERROR(__xludf.DUMMYFUNCTION("""COMPUTED_VALUE"""),"گیلان")</f>
        <v>گیلان</v>
      </c>
      <c r="E1310" s="5" t="str">
        <f>IFERROR(__xludf.DUMMYFUNCTION("""COMPUTED_VALUE"""),"رشت")</f>
        <v>رشت</v>
      </c>
      <c r="F1310" s="5"/>
      <c r="G1310" s="5"/>
      <c r="H1310" s="6" t="str">
        <f>IFERROR(__xludf.DUMMYFUNCTION("""COMPUTED_VALUE"""),"https://www.instagram.com/moheban.al.hosein/")</f>
        <v>https://www.instagram.com/moheban.al.hosein/</v>
      </c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</row>
    <row r="1311">
      <c r="A1311" s="5"/>
      <c r="B1311" s="5" t="str">
        <f>IFERROR(__xludf.DUMMYFUNCTION("""COMPUTED_VALUE"""),"هیأت")</f>
        <v>هیأت</v>
      </c>
      <c r="C1311" s="5" t="str">
        <f>IFERROR(__xludf.DUMMYFUNCTION("""COMPUTED_VALUE"""),"حضرت بنت الحیدر")</f>
        <v>حضرت بنت الحیدر</v>
      </c>
      <c r="D1311" s="5" t="str">
        <f>IFERROR(__xludf.DUMMYFUNCTION("""COMPUTED_VALUE"""),"گیلان")</f>
        <v>گیلان</v>
      </c>
      <c r="E1311" s="5" t="str">
        <f>IFERROR(__xludf.DUMMYFUNCTION("""COMPUTED_VALUE"""),"رشت")</f>
        <v>رشت</v>
      </c>
      <c r="F1311" s="5"/>
      <c r="G1311" s="5"/>
      <c r="H1311" s="6" t="str">
        <f>IFERROR(__xludf.DUMMYFUNCTION("""COMPUTED_VALUE"""),"https://www.instagram.com/bentolheydar_ir/")</f>
        <v>https://www.instagram.com/bentolheydar_ir/</v>
      </c>
      <c r="I1311" s="6" t="str">
        <f>IFERROR(__xludf.DUMMYFUNCTION("""COMPUTED_VALUE"""),"https://t.me/bentolheydar")</f>
        <v>https://t.me/bentolheydar</v>
      </c>
      <c r="J1311" s="5"/>
      <c r="K1311" s="5"/>
      <c r="L1311" s="5"/>
      <c r="M1311" s="5"/>
      <c r="N1311" s="5"/>
      <c r="O1311" s="5"/>
      <c r="P1311" s="5"/>
      <c r="Q1311" s="5"/>
      <c r="R1311" s="5"/>
      <c r="S1311" s="5"/>
    </row>
    <row r="1312">
      <c r="A1312" s="5"/>
      <c r="B1312" s="5" t="str">
        <f>IFERROR(__xludf.DUMMYFUNCTION("""COMPUTED_VALUE"""),"هیأت")</f>
        <v>هیأت</v>
      </c>
      <c r="C1312" s="5" t="str">
        <f>IFERROR(__xludf.DUMMYFUNCTION("""COMPUTED_VALUE"""),"محبین الرضا")</f>
        <v>محبین الرضا</v>
      </c>
      <c r="D1312" s="5" t="str">
        <f>IFERROR(__xludf.DUMMYFUNCTION("""COMPUTED_VALUE"""),"گیلان")</f>
        <v>گیلان</v>
      </c>
      <c r="E1312" s="5" t="str">
        <f>IFERROR(__xludf.DUMMYFUNCTION("""COMPUTED_VALUE"""),"رشت")</f>
        <v>رشت</v>
      </c>
      <c r="F1312" s="5" t="str">
        <f>IFERROR(__xludf.DUMMYFUNCTION("""COMPUTED_VALUE"""),"سنگر")</f>
        <v>سنگر</v>
      </c>
      <c r="G1312" s="5"/>
      <c r="H1312" s="6" t="str">
        <f>IFERROR(__xludf.DUMMYFUNCTION("""COMPUTED_VALUE"""),"https://www.instagram.com/mohebbinoreza/")</f>
        <v>https://www.instagram.com/mohebbinoreza/</v>
      </c>
      <c r="I1312" s="6" t="str">
        <f>IFERROR(__xludf.DUMMYFUNCTION("""COMPUTED_VALUE"""),"http://t.me/mohebbinoreza")</f>
        <v>http://t.me/mohebbinoreza</v>
      </c>
      <c r="J1312" s="6" t="str">
        <f>IFERROR(__xludf.DUMMYFUNCTION("""COMPUTED_VALUE"""),"https://eitaa.com/mohebbinoreza")</f>
        <v>https://eitaa.com/mohebbinoreza</v>
      </c>
      <c r="K1312" s="5"/>
      <c r="L1312" s="5"/>
      <c r="M1312" s="5"/>
      <c r="N1312" s="5"/>
      <c r="O1312" s="5"/>
      <c r="P1312" s="5"/>
      <c r="Q1312" s="5"/>
      <c r="R1312" s="5"/>
      <c r="S1312" s="5"/>
    </row>
    <row r="1313">
      <c r="A1313" s="5"/>
      <c r="B1313" s="5" t="str">
        <f>IFERROR(__xludf.DUMMYFUNCTION("""COMPUTED_VALUE"""),"مهدیه")</f>
        <v>مهدیه</v>
      </c>
      <c r="C1313" s="5" t="str">
        <f>IFERROR(__xludf.DUMMYFUNCTION("""COMPUTED_VALUE"""),"انصارالمهدی مهدیه")</f>
        <v>انصارالمهدی مهدیه</v>
      </c>
      <c r="D1313" s="5" t="str">
        <f>IFERROR(__xludf.DUMMYFUNCTION("""COMPUTED_VALUE"""),"گیلان")</f>
        <v>گیلان</v>
      </c>
      <c r="E1313" s="5" t="str">
        <f>IFERROR(__xludf.DUMMYFUNCTION("""COMPUTED_VALUE"""),"رشت")</f>
        <v>رشت</v>
      </c>
      <c r="F1313" s="5"/>
      <c r="G1313" s="5"/>
      <c r="H1313" s="6" t="str">
        <f>IFERROR(__xludf.DUMMYFUNCTION("""COMPUTED_VALUE"""),"https://www.instagram.com/mahdieh_rasht/")</f>
        <v>https://www.instagram.com/mahdieh_rasht/</v>
      </c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</row>
    <row r="1314">
      <c r="A1314" s="5"/>
      <c r="B1314" s="5" t="str">
        <f>IFERROR(__xludf.DUMMYFUNCTION("""COMPUTED_VALUE"""),"هیأت")</f>
        <v>هیأت</v>
      </c>
      <c r="C1314" s="5" t="str">
        <f>IFERROR(__xludf.DUMMYFUNCTION("""COMPUTED_VALUE"""),"تکیه گاه امام هادی")</f>
        <v>تکیه گاه امام هادی</v>
      </c>
      <c r="D1314" s="5" t="str">
        <f>IFERROR(__xludf.DUMMYFUNCTION("""COMPUTED_VALUE"""),"گیلان")</f>
        <v>گیلان</v>
      </c>
      <c r="E1314" s="5" t="str">
        <f>IFERROR(__xludf.DUMMYFUNCTION("""COMPUTED_VALUE"""),"رشت")</f>
        <v>رشت</v>
      </c>
      <c r="F1314" s="5"/>
      <c r="G1314" s="5"/>
      <c r="H1314" s="6" t="str">
        <f>IFERROR(__xludf.DUMMYFUNCTION("""COMPUTED_VALUE"""),"https://www.instagram.com/tekyegahemamhadi/")</f>
        <v>https://www.instagram.com/tekyegahemamhadi/</v>
      </c>
      <c r="I1314" s="6" t="str">
        <f>IFERROR(__xludf.DUMMYFUNCTION("""COMPUTED_VALUE"""),"https://t.me/e_hadi_ir")</f>
        <v>https://t.me/e_hadi_ir</v>
      </c>
      <c r="J1314" s="6" t="str">
        <f>IFERROR(__xludf.DUMMYFUNCTION("""COMPUTED_VALUE"""),"https://eitaa.com/Emamhadirasht")</f>
        <v>https://eitaa.com/Emamhadirasht</v>
      </c>
      <c r="K1314" s="5"/>
      <c r="L1314" s="5"/>
      <c r="M1314" s="5"/>
      <c r="N1314" s="5"/>
      <c r="O1314" s="5"/>
      <c r="P1314" s="5"/>
      <c r="Q1314" s="5"/>
      <c r="R1314" s="5"/>
      <c r="S1314" s="5"/>
    </row>
    <row r="1315">
      <c r="A1315" s="5"/>
      <c r="B1315" s="5" t="str">
        <f>IFERROR(__xludf.DUMMYFUNCTION("""COMPUTED_VALUE"""),"هیأت")</f>
        <v>هیأت</v>
      </c>
      <c r="C1315" s="5" t="str">
        <f>IFERROR(__xludf.DUMMYFUNCTION("""COMPUTED_VALUE"""),"محبان اهل بیت")</f>
        <v>محبان اهل بیت</v>
      </c>
      <c r="D1315" s="5" t="str">
        <f>IFERROR(__xludf.DUMMYFUNCTION("""COMPUTED_VALUE"""),"گیلان")</f>
        <v>گیلان</v>
      </c>
      <c r="E1315" s="5" t="str">
        <f>IFERROR(__xludf.DUMMYFUNCTION("""COMPUTED_VALUE"""),"رشت")</f>
        <v>رشت</v>
      </c>
      <c r="F1315" s="5"/>
      <c r="G1315" s="5"/>
      <c r="H1315" s="6" t="str">
        <f>IFERROR(__xludf.DUMMYFUNCTION("""COMPUTED_VALUE"""),"https://www.instagram.com/mohebban.info/")</f>
        <v>https://www.instagram.com/mohebban.info/</v>
      </c>
      <c r="I1315" s="6" t="str">
        <f>IFERROR(__xludf.DUMMYFUNCTION("""COMPUTED_VALUE"""),"https://t.me/araf313")</f>
        <v>https://t.me/araf313</v>
      </c>
      <c r="J1315" s="5"/>
      <c r="K1315" s="5"/>
      <c r="L1315" s="5"/>
      <c r="M1315" s="5"/>
      <c r="N1315" s="5"/>
      <c r="O1315" s="5"/>
      <c r="P1315" s="5"/>
      <c r="Q1315" s="5"/>
      <c r="R1315" s="5"/>
      <c r="S1315" s="5"/>
    </row>
    <row r="1316">
      <c r="A1316" s="5"/>
      <c r="B1316" s="5" t="str">
        <f>IFERROR(__xludf.DUMMYFUNCTION("""COMPUTED_VALUE"""),"هیأت")</f>
        <v>هیأت</v>
      </c>
      <c r="C1316" s="5" t="str">
        <f>IFERROR(__xludf.DUMMYFUNCTION("""COMPUTED_VALUE"""),"انصارالمهدی")</f>
        <v>انصارالمهدی</v>
      </c>
      <c r="D1316" s="5" t="str">
        <f>IFERROR(__xludf.DUMMYFUNCTION("""COMPUTED_VALUE"""),"گیلان")</f>
        <v>گیلان</v>
      </c>
      <c r="E1316" s="5" t="str">
        <f>IFERROR(__xludf.DUMMYFUNCTION("""COMPUTED_VALUE"""),"رشت")</f>
        <v>رشت</v>
      </c>
      <c r="F1316" s="5"/>
      <c r="G1316" s="5"/>
      <c r="H1316" s="6" t="str">
        <f>IFERROR(__xludf.DUMMYFUNCTION("""COMPUTED_VALUE"""),"https://www.instagram.com/ansar_rasht/")</f>
        <v>https://www.instagram.com/ansar_rasht/</v>
      </c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</row>
    <row r="1317">
      <c r="A1317" s="5"/>
      <c r="B1317" s="5" t="str">
        <f>IFERROR(__xludf.DUMMYFUNCTION("""COMPUTED_VALUE"""),"هیأت")</f>
        <v>هیأت</v>
      </c>
      <c r="C1317" s="5" t="str">
        <f>IFERROR(__xludf.DUMMYFUNCTION("""COMPUTED_VALUE"""),"فاطمیون")</f>
        <v>فاطمیون</v>
      </c>
      <c r="D1317" s="5" t="str">
        <f>IFERROR(__xludf.DUMMYFUNCTION("""COMPUTED_VALUE"""),"گیلان")</f>
        <v>گیلان</v>
      </c>
      <c r="E1317" s="5" t="str">
        <f>IFERROR(__xludf.DUMMYFUNCTION("""COMPUTED_VALUE"""),"رشت")</f>
        <v>رشت</v>
      </c>
      <c r="F1317" s="5"/>
      <c r="G1317" s="5"/>
      <c r="H1317" s="6" t="str">
        <f>IFERROR(__xludf.DUMMYFUNCTION("""COMPUTED_VALUE"""),"https://www.instagram.com/fatemiyon_rasht/")</f>
        <v>https://www.instagram.com/fatemiyon_rasht/</v>
      </c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</row>
    <row r="1318">
      <c r="A1318" s="5"/>
      <c r="B1318" s="5" t="str">
        <f>IFERROR(__xludf.DUMMYFUNCTION("""COMPUTED_VALUE"""),"هیأت")</f>
        <v>هیأت</v>
      </c>
      <c r="C1318" s="5" t="str">
        <f>IFERROR(__xludf.DUMMYFUNCTION("""COMPUTED_VALUE"""),"امام حسن مجتبی")</f>
        <v>امام حسن مجتبی</v>
      </c>
      <c r="D1318" s="5" t="str">
        <f>IFERROR(__xludf.DUMMYFUNCTION("""COMPUTED_VALUE"""),"گیلان")</f>
        <v>گیلان</v>
      </c>
      <c r="E1318" s="5" t="str">
        <f>IFERROR(__xludf.DUMMYFUNCTION("""COMPUTED_VALUE"""),"رشت")</f>
        <v>رشت</v>
      </c>
      <c r="F1318" s="5"/>
      <c r="G1318" s="5"/>
      <c r="H1318" s="6" t="str">
        <f>IFERROR(__xludf.DUMMYFUNCTION("""COMPUTED_VALUE"""),"https://www.instagram.com/mahfelll")</f>
        <v>https://www.instagram.com/mahfelll</v>
      </c>
      <c r="I1318" s="6" t="str">
        <f>IFERROR(__xludf.DUMMYFUNCTION("""COMPUTED_VALUE"""),"https://t.me/mahfelll")</f>
        <v>https://t.me/mahfelll</v>
      </c>
      <c r="J1318" s="5"/>
      <c r="K1318" s="5"/>
      <c r="L1318" s="5"/>
      <c r="M1318" s="5"/>
      <c r="N1318" s="5"/>
      <c r="O1318" s="5"/>
      <c r="P1318" s="5"/>
      <c r="Q1318" s="5"/>
      <c r="R1318" s="5"/>
      <c r="S1318" s="5"/>
    </row>
    <row r="1319">
      <c r="A1319" s="5"/>
      <c r="B1319" s="5" t="str">
        <f>IFERROR(__xludf.DUMMYFUNCTION("""COMPUTED_VALUE"""),"هیأت")</f>
        <v>هیأت</v>
      </c>
      <c r="C1319" s="5" t="str">
        <f>IFERROR(__xludf.DUMMYFUNCTION("""COMPUTED_VALUE"""),"مکتب الزهرا")</f>
        <v>مکتب الزهرا</v>
      </c>
      <c r="D1319" s="5" t="str">
        <f>IFERROR(__xludf.DUMMYFUNCTION("""COMPUTED_VALUE"""),"گیلان")</f>
        <v>گیلان</v>
      </c>
      <c r="E1319" s="5" t="str">
        <f>IFERROR(__xludf.DUMMYFUNCTION("""COMPUTED_VALUE"""),"رودبار")</f>
        <v>رودبار</v>
      </c>
      <c r="F1319" s="5" t="str">
        <f>IFERROR(__xludf.DUMMYFUNCTION("""COMPUTED_VALUE"""),"لوشان")</f>
        <v>لوشان</v>
      </c>
      <c r="G1319" s="5"/>
      <c r="H1319" s="6" t="str">
        <f>IFERROR(__xludf.DUMMYFUNCTION("""COMPUTED_VALUE"""),"https://www.instagram.com/maktab.alzahra1420/")</f>
        <v>https://www.instagram.com/maktab.alzahra1420/</v>
      </c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</row>
    <row r="1320">
      <c r="A1320" s="5"/>
      <c r="B1320" s="5" t="str">
        <f>IFERROR(__xludf.DUMMYFUNCTION("""COMPUTED_VALUE"""),"هیأت")</f>
        <v>هیأت</v>
      </c>
      <c r="C1320" s="5" t="str">
        <f>IFERROR(__xludf.DUMMYFUNCTION("""COMPUTED_VALUE"""),"ریحانة النبی")</f>
        <v>ریحانة النبی</v>
      </c>
      <c r="D1320" s="5" t="str">
        <f>IFERROR(__xludf.DUMMYFUNCTION("""COMPUTED_VALUE"""),"گیلان")</f>
        <v>گیلان</v>
      </c>
      <c r="E1320" s="5" t="str">
        <f>IFERROR(__xludf.DUMMYFUNCTION("""COMPUTED_VALUE"""),"رودسر")</f>
        <v>رودسر</v>
      </c>
      <c r="F1320" s="5" t="str">
        <f>IFERROR(__xludf.DUMMYFUNCTION("""COMPUTED_VALUE"""),"کلاچای")</f>
        <v>کلاچای</v>
      </c>
      <c r="G1320" s="5"/>
      <c r="H1320" s="6" t="str">
        <f>IFERROR(__xludf.DUMMYFUNCTION("""COMPUTED_VALUE"""),"https://www.instagram.com/h.reyhanatonaby/")</f>
        <v>https://www.instagram.com/h.reyhanatonaby/</v>
      </c>
      <c r="I1320" s="6" t="str">
        <f>IFERROR(__xludf.DUMMYFUNCTION("""COMPUTED_VALUE"""),"https://t.me/hreyhanatonabi")</f>
        <v>https://t.me/hreyhanatonabi</v>
      </c>
      <c r="J1320" s="6" t="str">
        <f>IFERROR(__xludf.DUMMYFUNCTION("""COMPUTED_VALUE"""),"https://eitaa.com/hreyhanatonabi")</f>
        <v>https://eitaa.com/hreyhanatonabi</v>
      </c>
      <c r="K1320" s="5"/>
      <c r="L1320" s="5"/>
      <c r="M1320" s="5"/>
      <c r="N1320" s="5"/>
      <c r="O1320" s="5"/>
      <c r="P1320" s="5"/>
      <c r="Q1320" s="5"/>
      <c r="R1320" s="5"/>
      <c r="S1320" s="5"/>
    </row>
    <row r="1321">
      <c r="A1321" s="5"/>
      <c r="B1321" s="5" t="str">
        <f>IFERROR(__xludf.DUMMYFUNCTION("""COMPUTED_VALUE"""),"هیأت")</f>
        <v>هیأت</v>
      </c>
      <c r="C1321" s="5" t="str">
        <f>IFERROR(__xludf.DUMMYFUNCTION("""COMPUTED_VALUE"""),"ثارالله")</f>
        <v>ثارالله</v>
      </c>
      <c r="D1321" s="5" t="str">
        <f>IFERROR(__xludf.DUMMYFUNCTION("""COMPUTED_VALUE"""),"گیلان")</f>
        <v>گیلان</v>
      </c>
      <c r="E1321" s="5" t="str">
        <f>IFERROR(__xludf.DUMMYFUNCTION("""COMPUTED_VALUE"""),"رودسر")</f>
        <v>رودسر</v>
      </c>
      <c r="F1321" s="5" t="str">
        <f>IFERROR(__xludf.DUMMYFUNCTION("""COMPUTED_VALUE"""),"کلاچای")</f>
        <v>کلاچای</v>
      </c>
      <c r="G1321" s="5"/>
      <c r="H1321" s="6" t="str">
        <f>IFERROR(__xludf.DUMMYFUNCTION("""COMPUTED_VALUE"""),"https://www.instagram.com/h.saralah_kelachay/")</f>
        <v>https://www.instagram.com/h.saralah_kelachay/</v>
      </c>
      <c r="I1321" s="6" t="str">
        <f>IFERROR(__xludf.DUMMYFUNCTION("""COMPUTED_VALUE"""),"https://t.me/hsaralahkelachay")</f>
        <v>https://t.me/hsaralahkelachay</v>
      </c>
      <c r="J1321" s="5"/>
      <c r="K1321" s="5"/>
      <c r="L1321" s="5"/>
      <c r="M1321" s="5"/>
      <c r="N1321" s="5"/>
      <c r="O1321" s="5"/>
      <c r="P1321" s="5"/>
      <c r="Q1321" s="5"/>
      <c r="R1321" s="5"/>
      <c r="S1321" s="5"/>
    </row>
    <row r="1322">
      <c r="A1322" s="5"/>
      <c r="B1322" s="5" t="str">
        <f>IFERROR(__xludf.DUMMYFUNCTION("""COMPUTED_VALUE"""),"هیأت")</f>
        <v>هیأت</v>
      </c>
      <c r="C1322" s="5" t="str">
        <f>IFERROR(__xludf.DUMMYFUNCTION("""COMPUTED_VALUE"""),"ثارالله")</f>
        <v>ثارالله</v>
      </c>
      <c r="D1322" s="5" t="str">
        <f>IFERROR(__xludf.DUMMYFUNCTION("""COMPUTED_VALUE"""),"گیلان")</f>
        <v>گیلان</v>
      </c>
      <c r="E1322" s="5" t="str">
        <f>IFERROR(__xludf.DUMMYFUNCTION("""COMPUTED_VALUE"""),"رودسر")</f>
        <v>رودسر</v>
      </c>
      <c r="F1322" s="5"/>
      <c r="G1322" s="5"/>
      <c r="H1322" s="6" t="str">
        <f>IFERROR(__xludf.DUMMYFUNCTION("""COMPUTED_VALUE"""),"https://www.instagram.com/htsarallah/")</f>
        <v>https://www.instagram.com/htsarallah/</v>
      </c>
      <c r="I1322" s="6" t="str">
        <f>IFERROR(__xludf.DUMMYFUNCTION("""COMPUTED_VALUE"""),"https://t.me/sarallahfouman")</f>
        <v>https://t.me/sarallahfouman</v>
      </c>
      <c r="J1322" s="6" t="str">
        <f>IFERROR(__xludf.DUMMYFUNCTION("""COMPUTED_VALUE"""),"https://eitaa.com/sarallah_kanon")</f>
        <v>https://eitaa.com/sarallah_kanon</v>
      </c>
      <c r="K1322" s="5"/>
      <c r="L1322" s="5"/>
      <c r="M1322" s="5"/>
      <c r="N1322" s="5"/>
      <c r="O1322" s="5"/>
      <c r="P1322" s="5"/>
      <c r="Q1322" s="5"/>
      <c r="R1322" s="5"/>
      <c r="S1322" s="5"/>
    </row>
    <row r="1323">
      <c r="A1323" s="5"/>
      <c r="B1323" s="5" t="str">
        <f>IFERROR(__xludf.DUMMYFUNCTION("""COMPUTED_VALUE"""),"هیأت")</f>
        <v>هیأت</v>
      </c>
      <c r="C1323" s="5" t="str">
        <f>IFERROR(__xludf.DUMMYFUNCTION("""COMPUTED_VALUE"""),"علی اصغر")</f>
        <v>علی اصغر</v>
      </c>
      <c r="D1323" s="5" t="str">
        <f>IFERROR(__xludf.DUMMYFUNCTION("""COMPUTED_VALUE"""),"گیلان")</f>
        <v>گیلان</v>
      </c>
      <c r="E1323" s="5" t="str">
        <f>IFERROR(__xludf.DUMMYFUNCTION("""COMPUTED_VALUE"""),"رودسر")</f>
        <v>رودسر</v>
      </c>
      <c r="F1323" s="5"/>
      <c r="G1323" s="5"/>
      <c r="H1323" s="6" t="str">
        <f>IFERROR(__xludf.DUMMYFUNCTION("""COMPUTED_VALUE"""),"https://www.instagram.com/heyat_aliasghar1401/")</f>
        <v>https://www.instagram.com/heyat_aliasghar1401/</v>
      </c>
      <c r="I1323" s="6" t="str">
        <f>IFERROR(__xludf.DUMMYFUNCTION("""COMPUTED_VALUE"""),"https://t.me/heyat_aliasghar1401")</f>
        <v>https://t.me/heyat_aliasghar1401</v>
      </c>
      <c r="J1323" s="5"/>
      <c r="K1323" s="5"/>
      <c r="L1323" s="5"/>
      <c r="M1323" s="5"/>
      <c r="N1323" s="5"/>
      <c r="O1323" s="5"/>
      <c r="P1323" s="5"/>
      <c r="Q1323" s="5"/>
      <c r="R1323" s="5"/>
      <c r="S1323" s="5"/>
    </row>
    <row r="1324">
      <c r="A1324" s="5"/>
      <c r="B1324" s="5" t="str">
        <f>IFERROR(__xludf.DUMMYFUNCTION("""COMPUTED_VALUE"""),"هیأت")</f>
        <v>هیأت</v>
      </c>
      <c r="C1324" s="5" t="str">
        <f>IFERROR(__xludf.DUMMYFUNCTION("""COMPUTED_VALUE"""),"فاطمیون")</f>
        <v>فاطمیون</v>
      </c>
      <c r="D1324" s="5" t="str">
        <f>IFERROR(__xludf.DUMMYFUNCTION("""COMPUTED_VALUE"""),"گیلان")</f>
        <v>گیلان</v>
      </c>
      <c r="E1324" s="5" t="str">
        <f>IFERROR(__xludf.DUMMYFUNCTION("""COMPUTED_VALUE"""),"رودسر")</f>
        <v>رودسر</v>
      </c>
      <c r="F1324" s="5"/>
      <c r="G1324" s="5"/>
      <c r="H1324" s="6" t="str">
        <f>IFERROR(__xludf.DUMMYFUNCTION("""COMPUTED_VALUE"""),"https://www.instagram.com/hfatemiyoun.ir/")</f>
        <v>https://www.instagram.com/hfatemiyoun.ir/</v>
      </c>
      <c r="I1324" s="6" t="str">
        <f>IFERROR(__xludf.DUMMYFUNCTION("""COMPUTED_VALUE"""),"https://t.me/HFatemiyoun")</f>
        <v>https://t.me/HFatemiyoun</v>
      </c>
      <c r="J1324" s="6" t="str">
        <f>IFERROR(__xludf.DUMMYFUNCTION("""COMPUTED_VALUE"""),"https://eitaa.com/HFatemiyoun")</f>
        <v>https://eitaa.com/HFatemiyoun</v>
      </c>
      <c r="K1324" s="5"/>
      <c r="L1324" s="5"/>
      <c r="M1324" s="5"/>
      <c r="N1324" s="5"/>
      <c r="O1324" s="5"/>
      <c r="P1324" s="5"/>
      <c r="Q1324" s="5"/>
      <c r="R1324" s="5"/>
      <c r="S1324" s="5"/>
    </row>
    <row r="1325">
      <c r="A1325" s="5"/>
      <c r="B1325" s="5" t="str">
        <f>IFERROR(__xludf.DUMMYFUNCTION("""COMPUTED_VALUE"""),"هیأت")</f>
        <v>هیأت</v>
      </c>
      <c r="C1325" s="5" t="str">
        <f>IFERROR(__xludf.DUMMYFUNCTION("""COMPUTED_VALUE"""),"هیأت برپایی خیام اباعبدالله الحسین")</f>
        <v>هیأت برپایی خیام اباعبدالله الحسین</v>
      </c>
      <c r="D1325" s="5" t="str">
        <f>IFERROR(__xludf.DUMMYFUNCTION("""COMPUTED_VALUE"""),"گیلان")</f>
        <v>گیلان</v>
      </c>
      <c r="E1325" s="5" t="str">
        <f>IFERROR(__xludf.DUMMYFUNCTION("""COMPUTED_VALUE"""),"رودسر")</f>
        <v>رودسر</v>
      </c>
      <c r="F1325" s="5" t="str">
        <f>IFERROR(__xludf.DUMMYFUNCTION("""COMPUTED_VALUE"""),"کومله")</f>
        <v>کومله</v>
      </c>
      <c r="G1325" s="5"/>
      <c r="H1325" s="6" t="str">
        <f>IFERROR(__xludf.DUMMYFUNCTION("""COMPUTED_VALUE"""),"https://www.instagram.com/heyat_khiam/")</f>
        <v>https://www.instagram.com/heyat_khiam/</v>
      </c>
      <c r="I1325" s="6" t="str">
        <f>IFERROR(__xludf.DUMMYFUNCTION("""COMPUTED_VALUE"""),"https://t.me/khiamkomleh")</f>
        <v>https://t.me/khiamkomleh</v>
      </c>
      <c r="J1325" s="6" t="str">
        <f>IFERROR(__xludf.DUMMYFUNCTION("""COMPUTED_VALUE"""),"https://eitaa.com/khiyamkomleh")</f>
        <v>https://eitaa.com/khiyamkomleh</v>
      </c>
      <c r="K1325" s="5"/>
      <c r="L1325" s="5"/>
      <c r="M1325" s="5"/>
      <c r="N1325" s="5"/>
      <c r="O1325" s="5"/>
      <c r="P1325" s="5"/>
      <c r="Q1325" s="5"/>
      <c r="R1325" s="5"/>
      <c r="S1325" s="5"/>
    </row>
    <row r="1326">
      <c r="A1326" s="5"/>
      <c r="B1326" s="5" t="str">
        <f>IFERROR(__xludf.DUMMYFUNCTION("""COMPUTED_VALUE"""),"هیأت")</f>
        <v>هیأت</v>
      </c>
      <c r="C1326" s="5" t="str">
        <f>IFERROR(__xludf.DUMMYFUNCTION("""COMPUTED_VALUE"""),"الحسین")</f>
        <v>الحسین</v>
      </c>
      <c r="D1326" s="5" t="str">
        <f>IFERROR(__xludf.DUMMYFUNCTION("""COMPUTED_VALUE"""),"گیلان")</f>
        <v>گیلان</v>
      </c>
      <c r="E1326" s="5" t="str">
        <f>IFERROR(__xludf.DUMMYFUNCTION("""COMPUTED_VALUE"""),"شفت")</f>
        <v>شفت</v>
      </c>
      <c r="F1326" s="5" t="str">
        <f>IFERROR(__xludf.DUMMYFUNCTION("""COMPUTED_VALUE"""),"نصیرمحله")</f>
        <v>نصیرمحله</v>
      </c>
      <c r="G1326" s="5"/>
      <c r="H1326" s="6" t="str">
        <f>IFERROR(__xludf.DUMMYFUNCTION("""COMPUTED_VALUE"""),"https://www.instagram.com/heyatolhosein_69/")</f>
        <v>https://www.instagram.com/heyatolhosein_69/</v>
      </c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</row>
    <row r="1327">
      <c r="A1327" s="5"/>
      <c r="B1327" s="5" t="str">
        <f>IFERROR(__xludf.DUMMYFUNCTION("""COMPUTED_VALUE"""),"هیأت")</f>
        <v>هیأت</v>
      </c>
      <c r="C1327" s="5" t="str">
        <f>IFERROR(__xludf.DUMMYFUNCTION("""COMPUTED_VALUE"""),"بقیة الله")</f>
        <v>بقیة الله</v>
      </c>
      <c r="D1327" s="5" t="str">
        <f>IFERROR(__xludf.DUMMYFUNCTION("""COMPUTED_VALUE"""),"گیلان")</f>
        <v>گیلان</v>
      </c>
      <c r="E1327" s="5" t="str">
        <f>IFERROR(__xludf.DUMMYFUNCTION("""COMPUTED_VALUE"""),"شفت")</f>
        <v>شفت</v>
      </c>
      <c r="F1327" s="5"/>
      <c r="G1327" s="5"/>
      <c r="H1327" s="6" t="str">
        <f>IFERROR(__xludf.DUMMYFUNCTION("""COMPUTED_VALUE"""),"https://www.instagram.com/heiat_baghiyatallah/")</f>
        <v>https://www.instagram.com/heiat_baghiyatallah/</v>
      </c>
      <c r="I1327" s="6" t="str">
        <f>IFERROR(__xludf.DUMMYFUNCTION("""COMPUTED_VALUE"""),"https://t.me/heiat_baghiyatallah")</f>
        <v>https://t.me/heiat_baghiyatallah</v>
      </c>
      <c r="J1327" s="5"/>
      <c r="K1327" s="5"/>
      <c r="L1327" s="5"/>
      <c r="M1327" s="5"/>
      <c r="N1327" s="5"/>
      <c r="O1327" s="5"/>
      <c r="P1327" s="5"/>
      <c r="Q1327" s="5"/>
      <c r="R1327" s="5"/>
      <c r="S1327" s="5"/>
    </row>
    <row r="1328">
      <c r="A1328" s="5"/>
      <c r="B1328" s="5" t="str">
        <f>IFERROR(__xludf.DUMMYFUNCTION("""COMPUTED_VALUE"""),"هیأت")</f>
        <v>هیأت</v>
      </c>
      <c r="C1328" s="5" t="str">
        <f>IFERROR(__xludf.DUMMYFUNCTION("""COMPUTED_VALUE"""),"رهروان شهدا")</f>
        <v>رهروان شهدا</v>
      </c>
      <c r="D1328" s="5" t="str">
        <f>IFERROR(__xludf.DUMMYFUNCTION("""COMPUTED_VALUE"""),"گیلان")</f>
        <v>گیلان</v>
      </c>
      <c r="E1328" s="5" t="str">
        <f>IFERROR(__xludf.DUMMYFUNCTION("""COMPUTED_VALUE"""),"شفت")</f>
        <v>شفت</v>
      </c>
      <c r="F1328" s="5"/>
      <c r="G1328" s="5"/>
      <c r="H1328" s="6" t="str">
        <f>IFERROR(__xludf.DUMMYFUNCTION("""COMPUTED_VALUE"""),"https://www.instagram.com/heiat_rahrovan/")</f>
        <v>https://www.instagram.com/heiat_rahrovan/</v>
      </c>
      <c r="I1328" s="6" t="str">
        <f>IFERROR(__xludf.DUMMYFUNCTION("""COMPUTED_VALUE"""),"https://t.me/rahrovan_shaft")</f>
        <v>https://t.me/rahrovan_shaft</v>
      </c>
      <c r="J1328" s="6" t="str">
        <f>IFERROR(__xludf.DUMMYFUNCTION("""COMPUTED_VALUE"""),"https://eitaa.com/rahrovan_shohada_shaft")</f>
        <v>https://eitaa.com/rahrovan_shohada_shaft</v>
      </c>
      <c r="K1328" s="5"/>
      <c r="L1328" s="5"/>
      <c r="M1328" s="5"/>
      <c r="N1328" s="5"/>
      <c r="O1328" s="5"/>
      <c r="P1328" s="5"/>
      <c r="Q1328" s="5"/>
      <c r="R1328" s="5"/>
      <c r="S1328" s="5"/>
    </row>
    <row r="1329">
      <c r="A1329" s="5"/>
      <c r="B1329" s="5" t="str">
        <f>IFERROR(__xludf.DUMMYFUNCTION("""COMPUTED_VALUE"""),"هیأت")</f>
        <v>هیأت</v>
      </c>
      <c r="C1329" s="5" t="str">
        <f>IFERROR(__xludf.DUMMYFUNCTION("""COMPUTED_VALUE"""),"پنج تن آل عبا")</f>
        <v>پنج تن آل عبا</v>
      </c>
      <c r="D1329" s="5" t="str">
        <f>IFERROR(__xludf.DUMMYFUNCTION("""COMPUTED_VALUE"""),"گیلان")</f>
        <v>گیلان</v>
      </c>
      <c r="E1329" s="5" t="str">
        <f>IFERROR(__xludf.DUMMYFUNCTION("""COMPUTED_VALUE"""),"شفت")</f>
        <v>شفت</v>
      </c>
      <c r="F1329" s="5"/>
      <c r="G1329" s="5"/>
      <c r="H1329" s="6" t="str">
        <f>IFERROR(__xludf.DUMMYFUNCTION("""COMPUTED_VALUE"""),"https://www.instagram.com/panjtan_shaft/")</f>
        <v>https://www.instagram.com/panjtan_shaft/</v>
      </c>
      <c r="I1329" s="6" t="str">
        <f>IFERROR(__xludf.DUMMYFUNCTION("""COMPUTED_VALUE"""),"https://t.me/panjtan_shaft")</f>
        <v>https://t.me/panjtan_shaft</v>
      </c>
      <c r="J1329" s="5"/>
      <c r="K1329" s="5"/>
      <c r="L1329" s="5"/>
      <c r="M1329" s="5"/>
      <c r="N1329" s="5"/>
      <c r="O1329" s="5"/>
      <c r="P1329" s="5"/>
      <c r="Q1329" s="5"/>
      <c r="R1329" s="5"/>
      <c r="S1329" s="5"/>
    </row>
    <row r="1330">
      <c r="A1330" s="5"/>
      <c r="B1330" s="5" t="str">
        <f>IFERROR(__xludf.DUMMYFUNCTION("""COMPUTED_VALUE"""),"هیأت")</f>
        <v>هیأت</v>
      </c>
      <c r="C1330" s="5" t="str">
        <f>IFERROR(__xludf.DUMMYFUNCTION("""COMPUTED_VALUE"""),"شهدای گمنام ")</f>
        <v>شهدای گمنام </v>
      </c>
      <c r="D1330" s="5" t="str">
        <f>IFERROR(__xludf.DUMMYFUNCTION("""COMPUTED_VALUE"""),"گیلان")</f>
        <v>گیلان</v>
      </c>
      <c r="E1330" s="5" t="str">
        <f>IFERROR(__xludf.DUMMYFUNCTION("""COMPUTED_VALUE"""),"صومعه سرا")</f>
        <v>صومعه سرا</v>
      </c>
      <c r="F1330" s="5"/>
      <c r="G1330" s="5"/>
      <c r="H1330" s="6" t="str">
        <f>IFERROR(__xludf.DUMMYFUNCTION("""COMPUTED_VALUE"""),"https://www.instagram.com/shgomnam.ir/")</f>
        <v>https://www.instagram.com/shgomnam.ir/</v>
      </c>
      <c r="I1330" s="6" t="str">
        <f>IFERROR(__xludf.DUMMYFUNCTION("""COMPUTED_VALUE"""),"https://t.me/h_shgomnam")</f>
        <v>https://t.me/h_shgomnam</v>
      </c>
      <c r="J1330" s="5"/>
      <c r="K1330" s="5"/>
      <c r="L1330" s="5"/>
      <c r="M1330" s="5"/>
      <c r="N1330" s="5"/>
      <c r="O1330" s="5"/>
      <c r="P1330" s="5"/>
      <c r="Q1330" s="5"/>
      <c r="R1330" s="5"/>
      <c r="S1330" s="5"/>
    </row>
    <row r="1331">
      <c r="A1331" s="5"/>
      <c r="B1331" s="5" t="str">
        <f>IFERROR(__xludf.DUMMYFUNCTION("""COMPUTED_VALUE"""),"هیأت")</f>
        <v>هیأت</v>
      </c>
      <c r="C1331" s="5" t="str">
        <f>IFERROR(__xludf.DUMMYFUNCTION("""COMPUTED_VALUE"""),"رزمندگان اسلام")</f>
        <v>رزمندگان اسلام</v>
      </c>
      <c r="D1331" s="5" t="str">
        <f>IFERROR(__xludf.DUMMYFUNCTION("""COMPUTED_VALUE"""),"گیلان")</f>
        <v>گیلان</v>
      </c>
      <c r="E1331" s="5" t="str">
        <f>IFERROR(__xludf.DUMMYFUNCTION("""COMPUTED_VALUE"""),"صومعه سرا")</f>
        <v>صومعه سرا</v>
      </c>
      <c r="F1331" s="5"/>
      <c r="G1331" s="5"/>
      <c r="H1331" s="6" t="str">
        <f>IFERROR(__xludf.DUMMYFUNCTION("""COMPUTED_VALUE"""),"https://www.instagram.com/hrsoomesara/")</f>
        <v>https://www.instagram.com/hrsoomesara/</v>
      </c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</row>
    <row r="1332">
      <c r="A1332" s="5"/>
      <c r="B1332" s="5" t="str">
        <f>IFERROR(__xludf.DUMMYFUNCTION("""COMPUTED_VALUE"""),"هیأت")</f>
        <v>هیأت</v>
      </c>
      <c r="C1332" s="5" t="str">
        <f>IFERROR(__xludf.DUMMYFUNCTION("""COMPUTED_VALUE"""),"رقیه جان")</f>
        <v>رقیه جان</v>
      </c>
      <c r="D1332" s="5" t="str">
        <f>IFERROR(__xludf.DUMMYFUNCTION("""COMPUTED_VALUE"""),"گیلان")</f>
        <v>گیلان</v>
      </c>
      <c r="E1332" s="5" t="str">
        <f>IFERROR(__xludf.DUMMYFUNCTION("""COMPUTED_VALUE"""),"صومعه سرا")</f>
        <v>صومعه سرا</v>
      </c>
      <c r="F1332" s="5" t="str">
        <f>IFERROR(__xludf.DUMMYFUNCTION("""COMPUTED_VALUE"""),"گوراب زرمیخ")</f>
        <v>گوراب زرمیخ</v>
      </c>
      <c r="G1332" s="5"/>
      <c r="H1332" s="6" t="str">
        <f>IFERROR(__xludf.DUMMYFUNCTION("""COMPUTED_VALUE"""),"https://www.instagram.com/h_roghayejan_315/")</f>
        <v>https://www.instagram.com/h_roghayejan_315/</v>
      </c>
      <c r="I1332" s="6" t="str">
        <f>IFERROR(__xludf.DUMMYFUNCTION("""COMPUTED_VALUE"""),"https://t.me/roghaye_jan315")</f>
        <v>https://t.me/roghaye_jan315</v>
      </c>
      <c r="J1332" s="5"/>
      <c r="K1332" s="5"/>
      <c r="L1332" s="5"/>
      <c r="M1332" s="5"/>
      <c r="N1332" s="5"/>
      <c r="O1332" s="5"/>
      <c r="P1332" s="5"/>
      <c r="Q1332" s="5"/>
      <c r="R1332" s="5"/>
      <c r="S1332" s="5"/>
    </row>
    <row r="1333">
      <c r="A1333" s="5"/>
      <c r="B1333" s="5" t="str">
        <f>IFERROR(__xludf.DUMMYFUNCTION("""COMPUTED_VALUE"""),"هیأت")</f>
        <v>هیأت</v>
      </c>
      <c r="C1333" s="5" t="str">
        <f>IFERROR(__xludf.DUMMYFUNCTION("""COMPUTED_VALUE"""),"فاطمیون")</f>
        <v>فاطمیون</v>
      </c>
      <c r="D1333" s="5" t="str">
        <f>IFERROR(__xludf.DUMMYFUNCTION("""COMPUTED_VALUE"""),"گیلان")</f>
        <v>گیلان</v>
      </c>
      <c r="E1333" s="5" t="str">
        <f>IFERROR(__xludf.DUMMYFUNCTION("""COMPUTED_VALUE"""),"صومعه سرا")</f>
        <v>صومعه سرا</v>
      </c>
      <c r="F1333" s="5"/>
      <c r="G1333" s="5"/>
      <c r="H1333" s="6" t="str">
        <f>IFERROR(__xludf.DUMMYFUNCTION("""COMPUTED_VALUE"""),"https://www.instagram.com/h_fatemiyon_s/")</f>
        <v>https://www.instagram.com/h_fatemiyon_s/</v>
      </c>
      <c r="I1333" s="6" t="str">
        <f>IFERROR(__xludf.DUMMYFUNCTION("""COMPUTED_VALUE"""),"https://t.me/hfs135")</f>
        <v>https://t.me/hfs135</v>
      </c>
      <c r="J1333" s="5"/>
      <c r="K1333" s="5"/>
      <c r="L1333" s="5"/>
      <c r="M1333" s="5"/>
      <c r="N1333" s="5"/>
      <c r="O1333" s="5"/>
      <c r="P1333" s="5"/>
      <c r="Q1333" s="5"/>
      <c r="R1333" s="5"/>
      <c r="S1333" s="5"/>
    </row>
    <row r="1334">
      <c r="A1334" s="5"/>
      <c r="B1334" s="5" t="str">
        <f>IFERROR(__xludf.DUMMYFUNCTION("""COMPUTED_VALUE"""),"هیأت")</f>
        <v>هیأت</v>
      </c>
      <c r="C1334" s="5" t="str">
        <f>IFERROR(__xludf.DUMMYFUNCTION("""COMPUTED_VALUE"""),"مکتب المهدی")</f>
        <v>مکتب المهدی</v>
      </c>
      <c r="D1334" s="5" t="str">
        <f>IFERROR(__xludf.DUMMYFUNCTION("""COMPUTED_VALUE"""),"گیلان")</f>
        <v>گیلان</v>
      </c>
      <c r="E1334" s="5" t="str">
        <f>IFERROR(__xludf.DUMMYFUNCTION("""COMPUTED_VALUE"""),"صومعه سرا")</f>
        <v>صومعه سرا</v>
      </c>
      <c r="F1334" s="5"/>
      <c r="G1334" s="5"/>
      <c r="H1334" s="6" t="str">
        <f>IFERROR(__xludf.DUMMYFUNCTION("""COMPUTED_VALUE"""),"https://www.instagram.com/h.ansaralmahdi.s/")</f>
        <v>https://www.instagram.com/h.ansaralmahdi.s/</v>
      </c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</row>
    <row r="1335">
      <c r="A1335" s="5"/>
      <c r="B1335" s="5" t="str">
        <f>IFERROR(__xludf.DUMMYFUNCTION("""COMPUTED_VALUE"""),"هیأت")</f>
        <v>هیأت</v>
      </c>
      <c r="C1335" s="5" t="str">
        <f>IFERROR(__xludf.DUMMYFUNCTION("""COMPUTED_VALUE"""),"رایة العباس")</f>
        <v>رایة العباس</v>
      </c>
      <c r="D1335" s="5" t="str">
        <f>IFERROR(__xludf.DUMMYFUNCTION("""COMPUTED_VALUE"""),"گیلان")</f>
        <v>گیلان</v>
      </c>
      <c r="E1335" s="5" t="str">
        <f>IFERROR(__xludf.DUMMYFUNCTION("""COMPUTED_VALUE"""),"فومن")</f>
        <v>فومن</v>
      </c>
      <c r="F1335" s="5"/>
      <c r="G1335" s="5"/>
      <c r="H1335" s="6" t="str">
        <f>IFERROR(__xludf.DUMMYFUNCTION("""COMPUTED_VALUE"""),"https://www.instagram.com/rayatalabbas_fuoman/")</f>
        <v>https://www.instagram.com/rayatalabbas_fuoman/</v>
      </c>
      <c r="I1335" s="6" t="str">
        <f>IFERROR(__xludf.DUMMYFUNCTION("""COMPUTED_VALUE"""),"https://t.me/rayatalabbas_fuman")</f>
        <v>https://t.me/rayatalabbas_fuman</v>
      </c>
      <c r="J1335" s="5"/>
      <c r="K1335" s="5"/>
      <c r="L1335" s="5"/>
      <c r="M1335" s="5"/>
      <c r="N1335" s="5"/>
      <c r="O1335" s="5"/>
      <c r="P1335" s="5"/>
      <c r="Q1335" s="5"/>
      <c r="R1335" s="5"/>
      <c r="S1335" s="5"/>
    </row>
    <row r="1336">
      <c r="A1336" s="5"/>
      <c r="B1336" s="5" t="str">
        <f>IFERROR(__xludf.DUMMYFUNCTION("""COMPUTED_VALUE"""),"هیأت")</f>
        <v>هیأت</v>
      </c>
      <c r="C1336" s="5" t="str">
        <f>IFERROR(__xludf.DUMMYFUNCTION("""COMPUTED_VALUE"""),"محبان فاطمه سلام الله علیها")</f>
        <v>محبان فاطمه سلام الله علیها</v>
      </c>
      <c r="D1336" s="5" t="str">
        <f>IFERROR(__xludf.DUMMYFUNCTION("""COMPUTED_VALUE"""),"گیلان")</f>
        <v>گیلان</v>
      </c>
      <c r="E1336" s="5" t="str">
        <f>IFERROR(__xludf.DUMMYFUNCTION("""COMPUTED_VALUE"""),"فومن")</f>
        <v>فومن</v>
      </c>
      <c r="F1336" s="5"/>
      <c r="G1336" s="5"/>
      <c r="H1336" s="6" t="str">
        <f>IFERROR(__xludf.DUMMYFUNCTION("""COMPUTED_VALUE"""),"https://www.instagram.com/mohebbane_fatemeh/")</f>
        <v>https://www.instagram.com/mohebbane_fatemeh/</v>
      </c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</row>
    <row r="1337">
      <c r="A1337" s="5"/>
      <c r="B1337" s="5" t="str">
        <f>IFERROR(__xludf.DUMMYFUNCTION("""COMPUTED_VALUE"""),"هیأت")</f>
        <v>هیأت</v>
      </c>
      <c r="C1337" s="5" t="str">
        <f>IFERROR(__xludf.DUMMYFUNCTION("""COMPUTED_VALUE"""),"ثارالله")</f>
        <v>ثارالله</v>
      </c>
      <c r="D1337" s="5" t="str">
        <f>IFERROR(__xludf.DUMMYFUNCTION("""COMPUTED_VALUE"""),"گیلان")</f>
        <v>گیلان</v>
      </c>
      <c r="E1337" s="5" t="str">
        <f>IFERROR(__xludf.DUMMYFUNCTION("""COMPUTED_VALUE"""),"فومن")</f>
        <v>فومن</v>
      </c>
      <c r="F1337" s="5"/>
      <c r="G1337" s="5"/>
      <c r="H1337" s="6" t="str">
        <f>IFERROR(__xludf.DUMMYFUNCTION("""COMPUTED_VALUE"""),"https://www.instagram.com/sarallah__info/")</f>
        <v>https://www.instagram.com/sarallah__info/</v>
      </c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</row>
    <row r="1338">
      <c r="A1338" s="5"/>
      <c r="B1338" s="5" t="str">
        <f>IFERROR(__xludf.DUMMYFUNCTION("""COMPUTED_VALUE"""),"هیأت")</f>
        <v>هیأت</v>
      </c>
      <c r="C1338" s="5" t="str">
        <f>IFERROR(__xludf.DUMMYFUNCTION("""COMPUTED_VALUE"""),"الزهرا")</f>
        <v>الزهرا</v>
      </c>
      <c r="D1338" s="5" t="str">
        <f>IFERROR(__xludf.DUMMYFUNCTION("""COMPUTED_VALUE"""),"گیلان")</f>
        <v>گیلان</v>
      </c>
      <c r="E1338" s="5" t="str">
        <f>IFERROR(__xludf.DUMMYFUNCTION("""COMPUTED_VALUE"""),"فومن")</f>
        <v>فومن</v>
      </c>
      <c r="F1338" s="5"/>
      <c r="G1338" s="5"/>
      <c r="H1338" s="6" t="str">
        <f>IFERROR(__xludf.DUMMYFUNCTION("""COMPUTED_VALUE"""),"https://www.instagram.com/alzahra.info/")</f>
        <v>https://www.instagram.com/alzahra.info/</v>
      </c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</row>
    <row r="1339">
      <c r="A1339" s="5"/>
      <c r="B1339" s="5" t="str">
        <f>IFERROR(__xludf.DUMMYFUNCTION("""COMPUTED_VALUE"""),"هیأت")</f>
        <v>هیأت</v>
      </c>
      <c r="C1339" s="5" t="str">
        <f>IFERROR(__xludf.DUMMYFUNCTION("""COMPUTED_VALUE"""),"انصارالحسین")</f>
        <v>انصارالحسین</v>
      </c>
      <c r="D1339" s="5" t="str">
        <f>IFERROR(__xludf.DUMMYFUNCTION("""COMPUTED_VALUE"""),"گیلان")</f>
        <v>گیلان</v>
      </c>
      <c r="E1339" s="5" t="str">
        <f>IFERROR(__xludf.DUMMYFUNCTION("""COMPUTED_VALUE"""),"فومن")</f>
        <v>فومن</v>
      </c>
      <c r="F1339" s="5"/>
      <c r="G1339" s="5"/>
      <c r="H1339" s="6" t="str">
        <f>IFERROR(__xludf.DUMMYFUNCTION("""COMPUTED_VALUE"""),"https://www.instagram.com/ansar.info/")</f>
        <v>https://www.instagram.com/ansar.info/</v>
      </c>
      <c r="I1339" s="6" t="str">
        <f>IFERROR(__xludf.DUMMYFUNCTION("""COMPUTED_VALUE"""),"https://t.me/ansar_alhussain_fuman")</f>
        <v>https://t.me/ansar_alhussain_fuman</v>
      </c>
      <c r="J1339" s="6" t="str">
        <f>IFERROR(__xludf.DUMMYFUNCTION("""COMPUTED_VALUE"""),"https://eitaa.com/ansar_info")</f>
        <v>https://eitaa.com/ansar_info</v>
      </c>
      <c r="K1339" s="5"/>
      <c r="L1339" s="5"/>
      <c r="M1339" s="5"/>
      <c r="N1339" s="5"/>
      <c r="O1339" s="5"/>
      <c r="P1339" s="5"/>
      <c r="Q1339" s="5"/>
      <c r="R1339" s="5"/>
      <c r="S1339" s="5"/>
    </row>
    <row r="1340">
      <c r="A1340" s="5"/>
      <c r="B1340" s="5" t="str">
        <f>IFERROR(__xludf.DUMMYFUNCTION("""COMPUTED_VALUE"""),"هیأت")</f>
        <v>هیأت</v>
      </c>
      <c r="C1340" s="5" t="str">
        <f>IFERROR(__xludf.DUMMYFUNCTION("""COMPUTED_VALUE"""),"فدائیان امیرالمومنین")</f>
        <v>فدائیان امیرالمومنین</v>
      </c>
      <c r="D1340" s="5" t="str">
        <f>IFERROR(__xludf.DUMMYFUNCTION("""COMPUTED_VALUE"""),"گیلان")</f>
        <v>گیلان</v>
      </c>
      <c r="E1340" s="5" t="str">
        <f>IFERROR(__xludf.DUMMYFUNCTION("""COMPUTED_VALUE"""),"لاهیجان")</f>
        <v>لاهیجان</v>
      </c>
      <c r="F1340" s="5"/>
      <c r="G1340" s="5"/>
      <c r="H1340" s="6" t="str">
        <f>IFERROR(__xludf.DUMMYFUNCTION("""COMPUTED_VALUE"""),"https://www.instagram.com/mahfel_fadaeiyan110/")</f>
        <v>https://www.instagram.com/mahfel_fadaeiyan110/</v>
      </c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</row>
    <row r="1341">
      <c r="A1341" s="5"/>
      <c r="B1341" s="5" t="str">
        <f>IFERROR(__xludf.DUMMYFUNCTION("""COMPUTED_VALUE"""),"هیأت")</f>
        <v>هیأت</v>
      </c>
      <c r="C1341" s="5" t="str">
        <f>IFERROR(__xludf.DUMMYFUNCTION("""COMPUTED_VALUE"""),"منتظران امام زمان")</f>
        <v>منتظران امام زمان</v>
      </c>
      <c r="D1341" s="5" t="str">
        <f>IFERROR(__xludf.DUMMYFUNCTION("""COMPUTED_VALUE"""),"گیلان")</f>
        <v>گیلان</v>
      </c>
      <c r="E1341" s="5" t="str">
        <f>IFERROR(__xludf.DUMMYFUNCTION("""COMPUTED_VALUE"""),"لاهیجان")</f>
        <v>لاهیجان</v>
      </c>
      <c r="F1341" s="5"/>
      <c r="G1341" s="5"/>
      <c r="H1341" s="6" t="str">
        <f>IFERROR(__xludf.DUMMYFUNCTION("""COMPUTED_VALUE"""),"https://www.instagram.com/montazeran_emam_zaman_lahijan/")</f>
        <v>https://www.instagram.com/montazeran_emam_zaman_lahijan/</v>
      </c>
      <c r="I1341" s="6" t="str">
        <f>IFERROR(__xludf.DUMMYFUNCTION("""COMPUTED_VALUE"""),"https://t.me/montazeran_emam_zaman")</f>
        <v>https://t.me/montazeran_emam_zaman</v>
      </c>
      <c r="J1341" s="6" t="str">
        <f>IFERROR(__xludf.DUMMYFUNCTION("""COMPUTED_VALUE"""),"https://eitaa.com/montazeran_emam_zaman")</f>
        <v>https://eitaa.com/montazeran_emam_zaman</v>
      </c>
      <c r="K1341" s="5"/>
      <c r="L1341" s="5"/>
      <c r="M1341" s="5"/>
      <c r="N1341" s="5"/>
      <c r="O1341" s="5"/>
      <c r="P1341" s="5"/>
      <c r="Q1341" s="5"/>
      <c r="R1341" s="5"/>
      <c r="S1341" s="5"/>
    </row>
    <row r="1342">
      <c r="A1342" s="5"/>
      <c r="B1342" s="5" t="str">
        <f>IFERROR(__xludf.DUMMYFUNCTION("""COMPUTED_VALUE"""),"هیأت")</f>
        <v>هیأت</v>
      </c>
      <c r="C1342" s="5" t="str">
        <f>IFERROR(__xludf.DUMMYFUNCTION("""COMPUTED_VALUE"""),"مکتب الجواد")</f>
        <v>مکتب الجواد</v>
      </c>
      <c r="D1342" s="5" t="str">
        <f>IFERROR(__xludf.DUMMYFUNCTION("""COMPUTED_VALUE"""),"گیلان")</f>
        <v>گیلان</v>
      </c>
      <c r="E1342" s="5" t="str">
        <f>IFERROR(__xludf.DUMMYFUNCTION("""COMPUTED_VALUE"""),"لاهیجان")</f>
        <v>لاهیجان</v>
      </c>
      <c r="F1342" s="5"/>
      <c r="G1342" s="5"/>
      <c r="H1342" s="6" t="str">
        <f>IFERROR(__xludf.DUMMYFUNCTION("""COMPUTED_VALUE"""),"https://www.instagram.com/maktaboljavadd/")</f>
        <v>https://www.instagram.com/maktaboljavadd/</v>
      </c>
      <c r="I1342" s="6" t="str">
        <f>IFERROR(__xludf.DUMMYFUNCTION("""COMPUTED_VALUE"""),"https://t.me/maktaboljavadd")</f>
        <v>https://t.me/maktaboljavadd</v>
      </c>
      <c r="J1342" s="5"/>
      <c r="K1342" s="5"/>
      <c r="L1342" s="5"/>
      <c r="M1342" s="5"/>
      <c r="N1342" s="5"/>
      <c r="O1342" s="5"/>
      <c r="P1342" s="5"/>
      <c r="Q1342" s="5"/>
      <c r="R1342" s="5"/>
      <c r="S1342" s="5"/>
    </row>
    <row r="1343">
      <c r="A1343" s="5"/>
      <c r="B1343" s="5" t="str">
        <f>IFERROR(__xludf.DUMMYFUNCTION("""COMPUTED_VALUE"""),"هیأت")</f>
        <v>هیأت</v>
      </c>
      <c r="C1343" s="5" t="str">
        <f>IFERROR(__xludf.DUMMYFUNCTION("""COMPUTED_VALUE"""),"عقیلة العرب")</f>
        <v>عقیلة العرب</v>
      </c>
      <c r="D1343" s="5" t="str">
        <f>IFERROR(__xludf.DUMMYFUNCTION("""COMPUTED_VALUE"""),"گیلان")</f>
        <v>گیلان</v>
      </c>
      <c r="E1343" s="5" t="str">
        <f>IFERROR(__xludf.DUMMYFUNCTION("""COMPUTED_VALUE"""),"لاهیجان")</f>
        <v>لاهیجان</v>
      </c>
      <c r="F1343" s="5"/>
      <c r="G1343" s="5"/>
      <c r="H1343" s="6" t="str">
        <f>IFERROR(__xludf.DUMMYFUNCTION("""COMPUTED_VALUE"""),"https://www.instagram.com/aghilatolarab.lahijan/")</f>
        <v>https://www.instagram.com/aghilatolarab.lahijan/</v>
      </c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</row>
    <row r="1344">
      <c r="A1344" s="5"/>
      <c r="B1344" s="5" t="str">
        <f>IFERROR(__xludf.DUMMYFUNCTION("""COMPUTED_VALUE"""),"هیأت")</f>
        <v>هیأت</v>
      </c>
      <c r="C1344" s="5" t="str">
        <f>IFERROR(__xludf.DUMMYFUNCTION("""COMPUTED_VALUE"""),"جنت الحسین")</f>
        <v>جنت الحسین</v>
      </c>
      <c r="D1344" s="5" t="str">
        <f>IFERROR(__xludf.DUMMYFUNCTION("""COMPUTED_VALUE"""),"گیلان")</f>
        <v>گیلان</v>
      </c>
      <c r="E1344" s="5" t="str">
        <f>IFERROR(__xludf.DUMMYFUNCTION("""COMPUTED_VALUE"""),"لاهیجان")</f>
        <v>لاهیجان</v>
      </c>
      <c r="F1344" s="5"/>
      <c r="G1344" s="5"/>
      <c r="H1344" s="6" t="str">
        <f>IFERROR(__xludf.DUMMYFUNCTION("""COMPUTED_VALUE"""),"https://www.instagram.com/heyatjanatolhosein/")</f>
        <v>https://www.instagram.com/heyatjanatolhosein/</v>
      </c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</row>
    <row r="1345">
      <c r="A1345" s="5"/>
      <c r="B1345" s="5" t="str">
        <f>IFERROR(__xludf.DUMMYFUNCTION("""COMPUTED_VALUE"""),"هیأت")</f>
        <v>هیأت</v>
      </c>
      <c r="C1345" s="5" t="str">
        <f>IFERROR(__xludf.DUMMYFUNCTION("""COMPUTED_VALUE"""),"حسین جان")</f>
        <v>حسین جان</v>
      </c>
      <c r="D1345" s="5" t="str">
        <f>IFERROR(__xludf.DUMMYFUNCTION("""COMPUTED_VALUE"""),"گیلان")</f>
        <v>گیلان</v>
      </c>
      <c r="E1345" s="5" t="str">
        <f>IFERROR(__xludf.DUMMYFUNCTION("""COMPUTED_VALUE"""),"لاهیجان")</f>
        <v>لاهیجان</v>
      </c>
      <c r="F1345" s="5"/>
      <c r="G1345" s="5"/>
      <c r="H1345" s="6" t="str">
        <f>IFERROR(__xludf.DUMMYFUNCTION("""COMPUTED_VALUE"""),"https://www.instagram.com/hossein_jan_lahijan/")</f>
        <v>https://www.instagram.com/hossein_jan_lahijan/</v>
      </c>
      <c r="I1345" s="6" t="str">
        <f>IFERROR(__xludf.DUMMYFUNCTION("""COMPUTED_VALUE"""),"https://eitaa.com/hossein_jan_lahijan")</f>
        <v>https://eitaa.com/hossein_jan_lahijan</v>
      </c>
      <c r="J1345" s="5"/>
      <c r="K1345" s="5"/>
      <c r="L1345" s="5"/>
      <c r="M1345" s="5"/>
      <c r="N1345" s="5"/>
      <c r="O1345" s="5"/>
      <c r="P1345" s="5"/>
      <c r="Q1345" s="5"/>
      <c r="R1345" s="5"/>
      <c r="S1345" s="5"/>
    </row>
    <row r="1346">
      <c r="A1346" s="5"/>
      <c r="B1346" s="5" t="str">
        <f>IFERROR(__xludf.DUMMYFUNCTION("""COMPUTED_VALUE"""),"هیأت")</f>
        <v>هیأت</v>
      </c>
      <c r="C1346" s="5" t="str">
        <f>IFERROR(__xludf.DUMMYFUNCTION("""COMPUTED_VALUE"""),"محبین ولایت")</f>
        <v>محبین ولایت</v>
      </c>
      <c r="D1346" s="5" t="str">
        <f>IFERROR(__xludf.DUMMYFUNCTION("""COMPUTED_VALUE"""),"گیلان")</f>
        <v>گیلان</v>
      </c>
      <c r="E1346" s="5" t="str">
        <f>IFERROR(__xludf.DUMMYFUNCTION("""COMPUTED_VALUE"""),"لاهیجان")</f>
        <v>لاهیجان</v>
      </c>
      <c r="F1346" s="5"/>
      <c r="G1346" s="5"/>
      <c r="H1346" s="6" t="str">
        <f>IFERROR(__xludf.DUMMYFUNCTION("""COMPUTED_VALUE"""),"https://www.instagram.com/mohebbin_velayat_lahijan/")</f>
        <v>https://www.instagram.com/mohebbin_velayat_lahijan/</v>
      </c>
      <c r="I1346" s="6" t="str">
        <f>IFERROR(__xludf.DUMMYFUNCTION("""COMPUTED_VALUE"""),"https://t.me/mohebbin_velayat_lahijan")</f>
        <v>https://t.me/mohebbin_velayat_lahijan</v>
      </c>
      <c r="J1346" s="5"/>
      <c r="K1346" s="5"/>
      <c r="L1346" s="5"/>
      <c r="M1346" s="5"/>
      <c r="N1346" s="5"/>
      <c r="O1346" s="5"/>
      <c r="P1346" s="5"/>
      <c r="Q1346" s="5"/>
      <c r="R1346" s="5"/>
      <c r="S1346" s="5"/>
    </row>
    <row r="1347">
      <c r="A1347" s="5"/>
      <c r="B1347" s="5" t="str">
        <f>IFERROR(__xludf.DUMMYFUNCTION("""COMPUTED_VALUE"""),"هیأت")</f>
        <v>هیأت</v>
      </c>
      <c r="C1347" s="5" t="str">
        <f>IFERROR(__xludf.DUMMYFUNCTION("""COMPUTED_VALUE"""),"رزمندگان اسلام")</f>
        <v>رزمندگان اسلام</v>
      </c>
      <c r="D1347" s="5" t="str">
        <f>IFERROR(__xludf.DUMMYFUNCTION("""COMPUTED_VALUE"""),"گیلان")</f>
        <v>گیلان</v>
      </c>
      <c r="E1347" s="5" t="str">
        <f>IFERROR(__xludf.DUMMYFUNCTION("""COMPUTED_VALUE"""),"لاهیجان")</f>
        <v>لاهیجان</v>
      </c>
      <c r="F1347" s="5"/>
      <c r="G1347" s="5"/>
      <c r="H1347" s="6" t="str">
        <f>IFERROR(__xludf.DUMMYFUNCTION("""COMPUTED_VALUE"""),"https://www.instagram.com/razmandegan_eslam_lahijan/")</f>
        <v>https://www.instagram.com/razmandegan_eslam_lahijan/</v>
      </c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</row>
    <row r="1348">
      <c r="A1348" s="5"/>
      <c r="B1348" s="5" t="str">
        <f>IFERROR(__xludf.DUMMYFUNCTION("""COMPUTED_VALUE"""),"هیأت")</f>
        <v>هیأت</v>
      </c>
      <c r="C1348" s="5" t="str">
        <f>IFERROR(__xludf.DUMMYFUNCTION("""COMPUTED_VALUE"""),"منتظران موعود")</f>
        <v>منتظران موعود</v>
      </c>
      <c r="D1348" s="5" t="str">
        <f>IFERROR(__xludf.DUMMYFUNCTION("""COMPUTED_VALUE"""),"گیلان")</f>
        <v>گیلان</v>
      </c>
      <c r="E1348" s="5" t="str">
        <f>IFERROR(__xludf.DUMMYFUNCTION("""COMPUTED_VALUE"""),"لاهیجان")</f>
        <v>لاهیجان</v>
      </c>
      <c r="F1348" s="5"/>
      <c r="G1348" s="5"/>
      <c r="H1348" s="6" t="str">
        <f>IFERROR(__xludf.DUMMYFUNCTION("""COMPUTED_VALUE"""),"https://www.instagram.com/montazeranmouod/")</f>
        <v>https://www.instagram.com/montazeranmouod/</v>
      </c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</row>
    <row r="1349">
      <c r="A1349" s="5"/>
      <c r="B1349" s="5" t="str">
        <f>IFERROR(__xludf.DUMMYFUNCTION("""COMPUTED_VALUE"""),"هیأت")</f>
        <v>هیأت</v>
      </c>
      <c r="C1349" s="5" t="str">
        <f>IFERROR(__xludf.DUMMYFUNCTION("""COMPUTED_VALUE"""),"جنت الحسین")</f>
        <v>جنت الحسین</v>
      </c>
      <c r="D1349" s="5" t="str">
        <f>IFERROR(__xludf.DUMMYFUNCTION("""COMPUTED_VALUE"""),"گیلان")</f>
        <v>گیلان</v>
      </c>
      <c r="E1349" s="5" t="str">
        <f>IFERROR(__xludf.DUMMYFUNCTION("""COMPUTED_VALUE"""),"لاهیجان")</f>
        <v>لاهیجان</v>
      </c>
      <c r="F1349" s="5"/>
      <c r="G1349" s="5"/>
      <c r="H1349" s="6" t="str">
        <f>IFERROR(__xludf.DUMMYFUNCTION("""COMPUTED_VALUE"""),"https://www.instagram.com/m_jhosein/")</f>
        <v>https://www.instagram.com/m_jhosein/</v>
      </c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</row>
    <row r="1350">
      <c r="A1350" s="5"/>
      <c r="B1350" s="5" t="str">
        <f>IFERROR(__xludf.DUMMYFUNCTION("""COMPUTED_VALUE"""),"هیأت")</f>
        <v>هیأت</v>
      </c>
      <c r="C1350" s="5" t="str">
        <f>IFERROR(__xludf.DUMMYFUNCTION("""COMPUTED_VALUE"""),"عاشقان ولایت")</f>
        <v>عاشقان ولایت</v>
      </c>
      <c r="D1350" s="5" t="str">
        <f>IFERROR(__xludf.DUMMYFUNCTION("""COMPUTED_VALUE"""),"گیلان")</f>
        <v>گیلان</v>
      </c>
      <c r="E1350" s="5" t="str">
        <f>IFERROR(__xludf.DUMMYFUNCTION("""COMPUTED_VALUE"""),"لنگرود")</f>
        <v>لنگرود</v>
      </c>
      <c r="F1350" s="5"/>
      <c r="G1350" s="5"/>
      <c r="H1350" s="5"/>
      <c r="I1350" s="5"/>
      <c r="J1350" s="6" t="str">
        <f>IFERROR(__xludf.DUMMYFUNCTION("""COMPUTED_VALUE"""),"https://eitaa.com/A_velayat")</f>
        <v>https://eitaa.com/A_velayat</v>
      </c>
      <c r="K1350" s="5"/>
      <c r="L1350" s="5"/>
      <c r="M1350" s="5"/>
      <c r="N1350" s="5"/>
      <c r="O1350" s="5"/>
      <c r="P1350" s="5"/>
      <c r="Q1350" s="5"/>
      <c r="R1350" s="5"/>
      <c r="S1350" s="5"/>
    </row>
    <row r="1351">
      <c r="A1351" s="5"/>
      <c r="B1351" s="5" t="str">
        <f>IFERROR(__xludf.DUMMYFUNCTION("""COMPUTED_VALUE"""),"هیأت")</f>
        <v>هیأت</v>
      </c>
      <c r="C1351" s="5" t="str">
        <f>IFERROR(__xludf.DUMMYFUNCTION("""COMPUTED_VALUE"""),"مکتب الحسین")</f>
        <v>مکتب الحسین</v>
      </c>
      <c r="D1351" s="5" t="str">
        <f>IFERROR(__xludf.DUMMYFUNCTION("""COMPUTED_VALUE"""),"گیلان")</f>
        <v>گیلان</v>
      </c>
      <c r="E1351" s="5" t="str">
        <f>IFERROR(__xludf.DUMMYFUNCTION("""COMPUTED_VALUE"""),"لنگرود")</f>
        <v>لنگرود</v>
      </c>
      <c r="F1351" s="5"/>
      <c r="G1351" s="5"/>
      <c r="H1351" s="6" t="str">
        <f>IFERROR(__xludf.DUMMYFUNCTION("""COMPUTED_VALUE"""),"https://www.instagram.com/khazra_info/")</f>
        <v>https://www.instagram.com/khazra_info/</v>
      </c>
      <c r="I1351" s="6" t="str">
        <f>IFERROR(__xludf.DUMMYFUNCTION("""COMPUTED_VALUE"""),"https://t.me/khazra_info")</f>
        <v>https://t.me/khazra_info</v>
      </c>
      <c r="J1351" s="5"/>
      <c r="K1351" s="5"/>
      <c r="L1351" s="5"/>
      <c r="M1351" s="5"/>
      <c r="N1351" s="5"/>
      <c r="O1351" s="5"/>
      <c r="P1351" s="5"/>
      <c r="Q1351" s="5"/>
      <c r="R1351" s="5"/>
      <c r="S1351" s="5"/>
    </row>
    <row r="1352">
      <c r="A1352" s="5"/>
      <c r="B1352" s="5" t="str">
        <f>IFERROR(__xludf.DUMMYFUNCTION("""COMPUTED_VALUE"""),"هیأت")</f>
        <v>هیأت</v>
      </c>
      <c r="C1352" s="5" t="str">
        <f>IFERROR(__xludf.DUMMYFUNCTION("""COMPUTED_VALUE"""),"عاشقان ثارالله")</f>
        <v>عاشقان ثارالله</v>
      </c>
      <c r="D1352" s="5" t="str">
        <f>IFERROR(__xludf.DUMMYFUNCTION("""COMPUTED_VALUE"""),"گیلان")</f>
        <v>گیلان</v>
      </c>
      <c r="E1352" s="5" t="str">
        <f>IFERROR(__xludf.DUMMYFUNCTION("""COMPUTED_VALUE"""),"لنگرود")</f>
        <v>لنگرود</v>
      </c>
      <c r="F1352" s="5"/>
      <c r="G1352" s="5"/>
      <c r="H1352" s="6" t="str">
        <f>IFERROR(__xludf.DUMMYFUNCTION("""COMPUTED_VALUE"""),"https://www.instagram.com/asheghan_saralah_langarud/")</f>
        <v>https://www.instagram.com/asheghan_saralah_langarud/</v>
      </c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</row>
    <row r="1353">
      <c r="A1353" s="5"/>
      <c r="B1353" s="5" t="str">
        <f>IFERROR(__xludf.DUMMYFUNCTION("""COMPUTED_VALUE"""),"هیأت")</f>
        <v>هیأت</v>
      </c>
      <c r="C1353" s="5" t="str">
        <f>IFERROR(__xludf.DUMMYFUNCTION("""COMPUTED_VALUE"""),"سیدالشهدا")</f>
        <v>سیدالشهدا</v>
      </c>
      <c r="D1353" s="5" t="str">
        <f>IFERROR(__xludf.DUMMYFUNCTION("""COMPUTED_VALUE"""),"گیلان")</f>
        <v>گیلان</v>
      </c>
      <c r="E1353" s="5" t="str">
        <f>IFERROR(__xludf.DUMMYFUNCTION("""COMPUTED_VALUE"""),"لنگرود")</f>
        <v>لنگرود</v>
      </c>
      <c r="F1353" s="5"/>
      <c r="G1353" s="5"/>
      <c r="H1353" s="6" t="str">
        <f>IFERROR(__xludf.DUMMYFUNCTION("""COMPUTED_VALUE"""),"https://www.instagram.com/heyat_s.ir/")</f>
        <v>https://www.instagram.com/heyat_s.ir/</v>
      </c>
      <c r="I1353" s="6" t="str">
        <f>IFERROR(__xludf.DUMMYFUNCTION("""COMPUTED_VALUE"""),"https://t.me/heyat_s")</f>
        <v>https://t.me/heyat_s</v>
      </c>
      <c r="J1353" s="5"/>
      <c r="K1353" s="5"/>
      <c r="L1353" s="5"/>
      <c r="M1353" s="5"/>
      <c r="N1353" s="5"/>
      <c r="O1353" s="5"/>
      <c r="P1353" s="5"/>
      <c r="Q1353" s="5"/>
      <c r="R1353" s="5"/>
      <c r="S1353" s="5"/>
    </row>
    <row r="1354">
      <c r="A1354" s="5"/>
      <c r="B1354" s="5" t="str">
        <f>IFERROR(__xludf.DUMMYFUNCTION("""COMPUTED_VALUE"""),"هیأت")</f>
        <v>هیأت</v>
      </c>
      <c r="C1354" s="5" t="str">
        <f>IFERROR(__xludf.DUMMYFUNCTION("""COMPUTED_VALUE"""),"عاشقان ولایت")</f>
        <v>عاشقان ولایت</v>
      </c>
      <c r="D1354" s="5" t="str">
        <f>IFERROR(__xludf.DUMMYFUNCTION("""COMPUTED_VALUE"""),"گیلان")</f>
        <v>گیلان</v>
      </c>
      <c r="E1354" s="5" t="str">
        <f>IFERROR(__xludf.DUMMYFUNCTION("""COMPUTED_VALUE"""),"لنگرود")</f>
        <v>لنگرود</v>
      </c>
      <c r="F1354" s="5"/>
      <c r="G1354" s="5"/>
      <c r="H1354" s="6" t="str">
        <f>IFERROR(__xludf.DUMMYFUNCTION("""COMPUTED_VALUE"""),"https://www.instagram.com/a_velayat/")</f>
        <v>https://www.instagram.com/a_velayat/</v>
      </c>
      <c r="I1354" s="5"/>
      <c r="J1354" s="6" t="str">
        <f>IFERROR(__xludf.DUMMYFUNCTION("""COMPUTED_VALUE"""),"https://eitaa.com/a_velayat")</f>
        <v>https://eitaa.com/a_velayat</v>
      </c>
      <c r="K1354" s="5"/>
      <c r="L1354" s="5"/>
      <c r="M1354" s="5"/>
      <c r="N1354" s="5"/>
      <c r="O1354" s="5"/>
      <c r="P1354" s="5"/>
      <c r="Q1354" s="5"/>
      <c r="R1354" s="5"/>
      <c r="S1354" s="5"/>
    </row>
    <row r="1355">
      <c r="A1355" s="5"/>
      <c r="B1355" s="5" t="str">
        <f>IFERROR(__xludf.DUMMYFUNCTION("""COMPUTED_VALUE"""),"هیأت")</f>
        <v>هیأت</v>
      </c>
      <c r="C1355" s="5" t="str">
        <f>IFERROR(__xludf.DUMMYFUNCTION("""COMPUTED_VALUE"""),"مجمع الذاکرین")</f>
        <v>مجمع الذاکرین</v>
      </c>
      <c r="D1355" s="5" t="str">
        <f>IFERROR(__xludf.DUMMYFUNCTION("""COMPUTED_VALUE"""),"گیلان")</f>
        <v>گیلان</v>
      </c>
      <c r="E1355" s="5" t="str">
        <f>IFERROR(__xludf.DUMMYFUNCTION("""COMPUTED_VALUE"""),"لنگرود")</f>
        <v>لنگرود</v>
      </c>
      <c r="F1355" s="5" t="str">
        <f>IFERROR(__xludf.DUMMYFUNCTION("""COMPUTED_VALUE"""),"دریاکنار")</f>
        <v>دریاکنار</v>
      </c>
      <c r="G1355" s="5"/>
      <c r="H1355" s="6" t="str">
        <f>IFERROR(__xludf.DUMMYFUNCTION("""COMPUTED_VALUE"""),"https://www.instagram.com/majma_o_zakerin/")</f>
        <v>https://www.instagram.com/majma_o_zakerin/</v>
      </c>
      <c r="I1355" s="6" t="str">
        <f>IFERROR(__xludf.DUMMYFUNCTION("""COMPUTED_VALUE"""),"https://t.me/majma_o_zakerin_daryakenar")</f>
        <v>https://t.me/majma_o_zakerin_daryakenar</v>
      </c>
      <c r="J1355" s="5"/>
      <c r="K1355" s="5"/>
      <c r="L1355" s="5"/>
      <c r="M1355" s="5"/>
      <c r="N1355" s="5"/>
      <c r="O1355" s="5"/>
      <c r="P1355" s="5"/>
      <c r="Q1355" s="5"/>
      <c r="R1355" s="5"/>
      <c r="S1355" s="5"/>
    </row>
    <row r="1356">
      <c r="A1356" s="5"/>
      <c r="B1356" s="5" t="str">
        <f>IFERROR(__xludf.DUMMYFUNCTION("""COMPUTED_VALUE"""),"هیأت")</f>
        <v>هیأت</v>
      </c>
      <c r="C1356" s="5" t="str">
        <f>IFERROR(__xludf.DUMMYFUNCTION("""COMPUTED_VALUE"""),"حب العباس")</f>
        <v>حب العباس</v>
      </c>
      <c r="D1356" s="5" t="str">
        <f>IFERROR(__xludf.DUMMYFUNCTION("""COMPUTED_VALUE"""),"گیلان")</f>
        <v>گیلان</v>
      </c>
      <c r="E1356" s="5" t="str">
        <f>IFERROR(__xludf.DUMMYFUNCTION("""COMPUTED_VALUE"""),"لنگرود")</f>
        <v>لنگرود</v>
      </c>
      <c r="F1356" s="5" t="str">
        <f>IFERROR(__xludf.DUMMYFUNCTION("""COMPUTED_VALUE"""),"سیگارود")</f>
        <v>سیگارود</v>
      </c>
      <c r="G1356" s="5"/>
      <c r="H1356" s="6" t="str">
        <f>IFERROR(__xludf.DUMMYFUNCTION("""COMPUTED_VALUE"""),"https://www.instagram.com/heyat_hobe_abas/")</f>
        <v>https://www.instagram.com/heyat_hobe_abas/</v>
      </c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</row>
    <row r="1357">
      <c r="A1357" s="5"/>
      <c r="B1357" s="5" t="str">
        <f>IFERROR(__xludf.DUMMYFUNCTION("""COMPUTED_VALUE"""),"هیأت")</f>
        <v>هیأت</v>
      </c>
      <c r="C1357" s="5" t="str">
        <f>IFERROR(__xludf.DUMMYFUNCTION("""COMPUTED_VALUE"""),"صاحب الزمان")</f>
        <v>صاحب الزمان</v>
      </c>
      <c r="D1357" s="5" t="str">
        <f>IFERROR(__xludf.DUMMYFUNCTION("""COMPUTED_VALUE"""),"گیلان")</f>
        <v>گیلان</v>
      </c>
      <c r="E1357" s="5" t="str">
        <f>IFERROR(__xludf.DUMMYFUNCTION("""COMPUTED_VALUE"""),"لنگرود")</f>
        <v>لنگرود</v>
      </c>
      <c r="F1357" s="5"/>
      <c r="G1357" s="5"/>
      <c r="H1357" s="6" t="str">
        <f>IFERROR(__xludf.DUMMYFUNCTION("""COMPUTED_VALUE"""),"https://www.instagram.com/h_sahebalzaman_lan/")</f>
        <v>https://www.instagram.com/h_sahebalzaman_lan/</v>
      </c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</row>
    <row r="1358">
      <c r="A1358" s="5"/>
      <c r="B1358" s="5" t="str">
        <f>IFERROR(__xludf.DUMMYFUNCTION("""COMPUTED_VALUE"""),"هیأت")</f>
        <v>هیأت</v>
      </c>
      <c r="C1358" s="5" t="str">
        <f>IFERROR(__xludf.DUMMYFUNCTION("""COMPUTED_VALUE"""),"معراج الشهدا")</f>
        <v>معراج الشهدا</v>
      </c>
      <c r="D1358" s="5" t="str">
        <f>IFERROR(__xludf.DUMMYFUNCTION("""COMPUTED_VALUE"""),"گیلان")</f>
        <v>گیلان</v>
      </c>
      <c r="E1358" s="5" t="str">
        <f>IFERROR(__xludf.DUMMYFUNCTION("""COMPUTED_VALUE"""),"لنگرود")</f>
        <v>لنگرود</v>
      </c>
      <c r="F1358" s="5"/>
      <c r="G1358" s="5"/>
      <c r="H1358" s="6" t="str">
        <f>IFERROR(__xludf.DUMMYFUNCTION("""COMPUTED_VALUE"""),"https://www.instagram.com/heyat_meraj/")</f>
        <v>https://www.instagram.com/heyat_meraj/</v>
      </c>
      <c r="I1358" s="6" t="str">
        <f>IFERROR(__xludf.DUMMYFUNCTION("""COMPUTED_VALUE"""),"https://t.me/meraj_alshohada")</f>
        <v>https://t.me/meraj_alshohada</v>
      </c>
      <c r="J1358" s="6" t="str">
        <f>IFERROR(__xludf.DUMMYFUNCTION("""COMPUTED_VALUE"""),"https://eitaa.com/Merajalshohada313")</f>
        <v>https://eitaa.com/Merajalshohada313</v>
      </c>
      <c r="K1358" s="5"/>
      <c r="L1358" s="5"/>
      <c r="M1358" s="5"/>
      <c r="N1358" s="5"/>
      <c r="O1358" s="5"/>
      <c r="P1358" s="5"/>
      <c r="Q1358" s="5"/>
      <c r="R1358" s="5"/>
      <c r="S1358" s="5"/>
    </row>
    <row r="1359">
      <c r="A1359" s="5"/>
      <c r="B1359" s="5" t="str">
        <f>IFERROR(__xludf.DUMMYFUNCTION("""COMPUTED_VALUE"""),"موکب")</f>
        <v>موکب</v>
      </c>
      <c r="C1359" s="5" t="str">
        <f>IFERROR(__xludf.DUMMYFUNCTION("""COMPUTED_VALUE"""),"حضرت ولی عصر")</f>
        <v>حضرت ولی عصر</v>
      </c>
      <c r="D1359" s="5" t="str">
        <f>IFERROR(__xludf.DUMMYFUNCTION("""COMPUTED_VALUE"""),"گیلان")</f>
        <v>گیلان</v>
      </c>
      <c r="E1359" s="5" t="str">
        <f>IFERROR(__xludf.DUMMYFUNCTION("""COMPUTED_VALUE"""),"لنگرود")</f>
        <v>لنگرود</v>
      </c>
      <c r="F1359" s="5"/>
      <c r="G1359" s="5"/>
      <c r="H1359" s="6" t="str">
        <f>IFERROR(__xludf.DUMMYFUNCTION("""COMPUTED_VALUE"""),"https://www.instagram.com/moukeb_valiasr_langarud/")</f>
        <v>https://www.instagram.com/moukeb_valiasr_langarud/</v>
      </c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</row>
    <row r="1360">
      <c r="A1360" s="5"/>
      <c r="B1360" s="5" t="str">
        <f>IFERROR(__xludf.DUMMYFUNCTION("""COMPUTED_VALUE"""),"هیأت")</f>
        <v>هیأت</v>
      </c>
      <c r="C1360" s="5" t="str">
        <f>IFERROR(__xludf.DUMMYFUNCTION("""COMPUTED_VALUE"""),"سیدالشهداء")</f>
        <v>سیدالشهداء</v>
      </c>
      <c r="D1360" s="5" t="str">
        <f>IFERROR(__xludf.DUMMYFUNCTION("""COMPUTED_VALUE"""),"گیلان")</f>
        <v>گیلان</v>
      </c>
      <c r="E1360" s="5" t="str">
        <f>IFERROR(__xludf.DUMMYFUNCTION("""COMPUTED_VALUE"""),"لنگرود")</f>
        <v>لنگرود</v>
      </c>
      <c r="F1360" s="5"/>
      <c r="G1360" s="5"/>
      <c r="H1360" s="6" t="str">
        <f>IFERROR(__xludf.DUMMYFUNCTION("""COMPUTED_VALUE"""),"https://www.instagram.com/heyat_s.ir/")</f>
        <v>https://www.instagram.com/heyat_s.ir/</v>
      </c>
      <c r="I1360" s="6" t="str">
        <f>IFERROR(__xludf.DUMMYFUNCTION("""COMPUTED_VALUE"""),"https://t.me/heyat_s")</f>
        <v>https://t.me/heyat_s</v>
      </c>
      <c r="J1360" s="5"/>
      <c r="K1360" s="5"/>
      <c r="L1360" s="5"/>
      <c r="M1360" s="5"/>
      <c r="N1360" s="5"/>
      <c r="O1360" s="5"/>
      <c r="P1360" s="5"/>
      <c r="Q1360" s="5"/>
      <c r="R1360" s="5"/>
      <c r="S1360" s="5"/>
    </row>
    <row r="1361">
      <c r="A1361" s="5"/>
      <c r="B1361" s="5" t="str">
        <f>IFERROR(__xludf.DUMMYFUNCTION("""COMPUTED_VALUE"""),"هیأت")</f>
        <v>هیأت</v>
      </c>
      <c r="C1361" s="5" t="str">
        <f>IFERROR(__xludf.DUMMYFUNCTION("""COMPUTED_VALUE"""),"قمربنی هاشم")</f>
        <v>قمربنی هاشم</v>
      </c>
      <c r="D1361" s="5" t="str">
        <f>IFERROR(__xludf.DUMMYFUNCTION("""COMPUTED_VALUE"""),"گیلان")</f>
        <v>گیلان</v>
      </c>
      <c r="E1361" s="5" t="str">
        <f>IFERROR(__xludf.DUMMYFUNCTION("""COMPUTED_VALUE"""),"لنگرود")</f>
        <v>لنگرود</v>
      </c>
      <c r="F1361" s="5" t="str">
        <f>IFERROR(__xludf.DUMMYFUNCTION("""COMPUTED_VALUE"""),"شلمان")</f>
        <v>شلمان</v>
      </c>
      <c r="G1361" s="5"/>
      <c r="H1361" s="6" t="str">
        <f>IFERROR(__xludf.DUMMYFUNCTION("""COMPUTED_VALUE"""),"https://www.instagram.com/ghamar_____133/")</f>
        <v>https://www.instagram.com/ghamar_____133/</v>
      </c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</row>
    <row r="1362">
      <c r="A1362" s="5">
        <f>IFERROR(__xludf.DUMMYFUNCTION("""COMPUTED_VALUE"""),19897.0)</f>
        <v>19897</v>
      </c>
      <c r="B1362" s="5" t="str">
        <f>IFERROR(__xludf.DUMMYFUNCTION("""COMPUTED_VALUE"""),"هیأت")</f>
        <v>هیأت</v>
      </c>
      <c r="C1362" s="5" t="str">
        <f>IFERROR(__xludf.DUMMYFUNCTION("""COMPUTED_VALUE"""),"محبین ولایت")</f>
        <v>محبین ولایت</v>
      </c>
      <c r="D1362" s="5" t="str">
        <f>IFERROR(__xludf.DUMMYFUNCTION("""COMPUTED_VALUE"""),"گیلان")</f>
        <v>گیلان</v>
      </c>
      <c r="E1362" s="5" t="str">
        <f>IFERROR(__xludf.DUMMYFUNCTION("""COMPUTED_VALUE"""),"ماسال")</f>
        <v>ماسال</v>
      </c>
      <c r="F1362" s="5"/>
      <c r="G1362" s="5"/>
      <c r="H1362" s="6" t="str">
        <f>IFERROR(__xludf.DUMMYFUNCTION("""COMPUTED_VALUE"""),"https://www.instagram.com/hmv_ir/")</f>
        <v>https://www.instagram.com/hmv_ir/</v>
      </c>
      <c r="I1362" s="6" t="str">
        <f>IFERROR(__xludf.DUMMYFUNCTION("""COMPUTED_VALUE"""),"https://t.me/Hmv_ir")</f>
        <v>https://t.me/Hmv_ir</v>
      </c>
      <c r="J1362" s="5"/>
      <c r="K1362" s="5"/>
      <c r="L1362" s="5"/>
      <c r="M1362" s="5"/>
      <c r="N1362" s="5"/>
      <c r="O1362" s="5"/>
      <c r="P1362" s="5"/>
      <c r="Q1362" s="5"/>
      <c r="R1362" s="5"/>
      <c r="S1362" s="5"/>
    </row>
    <row r="1363">
      <c r="A1363" s="5">
        <f>IFERROR(__xludf.DUMMYFUNCTION("""COMPUTED_VALUE"""),13906.0)</f>
        <v>13906</v>
      </c>
      <c r="B1363" s="5" t="str">
        <f>IFERROR(__xludf.DUMMYFUNCTION("""COMPUTED_VALUE"""),"هیأت")</f>
        <v>هیأت</v>
      </c>
      <c r="C1363" s="5" t="str">
        <f>IFERROR(__xludf.DUMMYFUNCTION("""COMPUTED_VALUE"""),"روضة الحسین")</f>
        <v>روضة الحسین</v>
      </c>
      <c r="D1363" s="5" t="str">
        <f>IFERROR(__xludf.DUMMYFUNCTION("""COMPUTED_VALUE"""),"گیلان")</f>
        <v>گیلان</v>
      </c>
      <c r="E1363" s="5" t="str">
        <f>IFERROR(__xludf.DUMMYFUNCTION("""COMPUTED_VALUE"""),"ماسال")</f>
        <v>ماسال</v>
      </c>
      <c r="F1363" s="5"/>
      <c r="G1363" s="5">
        <f>IFERROR(__xludf.DUMMYFUNCTION("""COMPUTED_VALUE"""),5.0)</f>
        <v>5</v>
      </c>
      <c r="H1363" s="6" t="str">
        <f>IFERROR(__xludf.DUMMYFUNCTION("""COMPUTED_VALUE"""),"https://www.instagram.com/panaheharam.masal/")</f>
        <v>https://www.instagram.com/panaheharam.masal/</v>
      </c>
      <c r="I1363" s="6" t="str">
        <f>IFERROR(__xludf.DUMMYFUNCTION("""COMPUTED_VALUE"""),"https://t.me/panaheharam")</f>
        <v>https://t.me/panaheharam</v>
      </c>
      <c r="J1363" s="5"/>
      <c r="K1363" s="5"/>
      <c r="L1363" s="5"/>
      <c r="M1363" s="5"/>
      <c r="N1363" s="5"/>
      <c r="O1363" s="5"/>
      <c r="P1363" s="5"/>
      <c r="Q1363" s="5"/>
      <c r="R1363" s="5"/>
      <c r="S1363" s="5"/>
    </row>
    <row r="1364">
      <c r="A1364" s="5"/>
      <c r="B1364" s="5" t="str">
        <f>IFERROR(__xludf.DUMMYFUNCTION("""COMPUTED_VALUE"""),"هیأت")</f>
        <v>هیأت</v>
      </c>
      <c r="C1364" s="5" t="str">
        <f>IFERROR(__xludf.DUMMYFUNCTION("""COMPUTED_VALUE"""),"رزمندگان اسلام")</f>
        <v>رزمندگان اسلام</v>
      </c>
      <c r="D1364" s="5" t="str">
        <f>IFERROR(__xludf.DUMMYFUNCTION("""COMPUTED_VALUE"""),"گیلان")</f>
        <v>گیلان</v>
      </c>
      <c r="E1364" s="5" t="str">
        <f>IFERROR(__xludf.DUMMYFUNCTION("""COMPUTED_VALUE"""),"ماسال")</f>
        <v>ماسال</v>
      </c>
      <c r="F1364" s="5"/>
      <c r="G1364" s="5"/>
      <c r="H1364" s="5"/>
      <c r="I1364" s="5"/>
      <c r="J1364" s="6" t="str">
        <f>IFERROR(__xludf.DUMMYFUNCTION("""COMPUTED_VALUE"""),"https://eitaa.com/mheyat")</f>
        <v>https://eitaa.com/mheyat</v>
      </c>
      <c r="K1364" s="5"/>
      <c r="L1364" s="5"/>
      <c r="M1364" s="5"/>
      <c r="N1364" s="5"/>
      <c r="O1364" s="5"/>
      <c r="P1364" s="5"/>
      <c r="Q1364" s="5"/>
      <c r="R1364" s="5"/>
      <c r="S1364" s="5"/>
    </row>
    <row r="1365">
      <c r="A1365" s="5">
        <f>IFERROR(__xludf.DUMMYFUNCTION("""COMPUTED_VALUE"""),13775.0)</f>
        <v>13775</v>
      </c>
      <c r="B1365" s="5" t="str">
        <f>IFERROR(__xludf.DUMMYFUNCTION("""COMPUTED_VALUE"""),"هیأت")</f>
        <v>هیأت</v>
      </c>
      <c r="C1365" s="5" t="str">
        <f>IFERROR(__xludf.DUMMYFUNCTION("""COMPUTED_VALUE"""),"مسجد جامع ماسال")</f>
        <v>مسجد جامع ماسال</v>
      </c>
      <c r="D1365" s="5" t="str">
        <f>IFERROR(__xludf.DUMMYFUNCTION("""COMPUTED_VALUE"""),"گیلان")</f>
        <v>گیلان</v>
      </c>
      <c r="E1365" s="5" t="str">
        <f>IFERROR(__xludf.DUMMYFUNCTION("""COMPUTED_VALUE"""),"ماسال")</f>
        <v>ماسال</v>
      </c>
      <c r="F1365" s="5"/>
      <c r="G1365" s="5"/>
      <c r="H1365" s="6" t="str">
        <f>IFERROR(__xludf.DUMMYFUNCTION("""COMPUTED_VALUE"""),"https://www.instagram.com/masjed_jame_masal")</f>
        <v>https://www.instagram.com/masjed_jame_masal</v>
      </c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</row>
    <row r="1366">
      <c r="A1366" s="5">
        <f>IFERROR(__xludf.DUMMYFUNCTION("""COMPUTED_VALUE"""),13688.0)</f>
        <v>13688</v>
      </c>
      <c r="B1366" s="5" t="str">
        <f>IFERROR(__xludf.DUMMYFUNCTION("""COMPUTED_VALUE"""),"هیأت")</f>
        <v>هیأت</v>
      </c>
      <c r="C1366" s="5" t="str">
        <f>IFERROR(__xludf.DUMMYFUNCTION("""COMPUTED_VALUE"""),"محبان قمر بنی هاشم")</f>
        <v>محبان قمر بنی هاشم</v>
      </c>
      <c r="D1366" s="5" t="str">
        <f>IFERROR(__xludf.DUMMYFUNCTION("""COMPUTED_VALUE"""),"گیلان")</f>
        <v>گیلان</v>
      </c>
      <c r="E1366" s="5" t="str">
        <f>IFERROR(__xludf.DUMMYFUNCTION("""COMPUTED_VALUE"""),"ماسال")</f>
        <v>ماسال</v>
      </c>
      <c r="F1366" s="5"/>
      <c r="G1366" s="5"/>
      <c r="H1366" s="6" t="str">
        <f>IFERROR(__xludf.DUMMYFUNCTION("""COMPUTED_VALUE"""),"https://www.instagram.com/saghy313")</f>
        <v>https://www.instagram.com/saghy313</v>
      </c>
      <c r="I1366" s="5"/>
      <c r="J1366" s="6" t="str">
        <f>IFERROR(__xludf.DUMMYFUNCTION("""COMPUTED_VALUE"""),"https://eitaa.com/Saghy313")</f>
        <v>https://eitaa.com/Saghy313</v>
      </c>
      <c r="K1366" s="5"/>
      <c r="L1366" s="5"/>
      <c r="M1366" s="5"/>
      <c r="N1366" s="5"/>
      <c r="O1366" s="5"/>
      <c r="P1366" s="5"/>
      <c r="Q1366" s="5"/>
      <c r="R1366" s="5"/>
      <c r="S1366" s="5"/>
    </row>
    <row r="1367">
      <c r="A1367" s="5"/>
      <c r="B1367" s="5" t="str">
        <f>IFERROR(__xludf.DUMMYFUNCTION("""COMPUTED_VALUE"""),"هیأت")</f>
        <v>هیأت</v>
      </c>
      <c r="C1367" s="5" t="str">
        <f>IFERROR(__xludf.DUMMYFUNCTION("""COMPUTED_VALUE"""),"رزمندگان اسلام")</f>
        <v>رزمندگان اسلام</v>
      </c>
      <c r="D1367" s="5" t="str">
        <f>IFERROR(__xludf.DUMMYFUNCTION("""COMPUTED_VALUE"""),"گیلان")</f>
        <v>گیلان</v>
      </c>
      <c r="E1367" s="5" t="str">
        <f>IFERROR(__xludf.DUMMYFUNCTION("""COMPUTED_VALUE"""),"لاهیجان")</f>
        <v>لاهیجان</v>
      </c>
      <c r="F1367" s="5"/>
      <c r="G1367" s="5"/>
      <c r="H1367" s="5"/>
      <c r="I1367" s="5"/>
      <c r="J1367" s="6" t="str">
        <f>IFERROR(__xludf.DUMMYFUNCTION("""COMPUTED_VALUE"""),"https://eitaa.com/razmandegan_eslam_lahijan")</f>
        <v>https://eitaa.com/razmandegan_eslam_lahijan</v>
      </c>
      <c r="K1367" s="5"/>
      <c r="L1367" s="5"/>
      <c r="M1367" s="5"/>
      <c r="N1367" s="5"/>
      <c r="O1367" s="5"/>
      <c r="P1367" s="5"/>
      <c r="Q1367" s="5"/>
      <c r="R1367" s="5"/>
      <c r="S1367" s="5"/>
    </row>
    <row r="1368">
      <c r="A1368" s="5"/>
      <c r="B1368" s="5" t="str">
        <f>IFERROR(__xludf.DUMMYFUNCTION("""COMPUTED_VALUE"""),"هیأت")</f>
        <v>هیأت</v>
      </c>
      <c r="C1368" s="5" t="str">
        <f>IFERROR(__xludf.DUMMYFUNCTION("""COMPUTED_VALUE"""),"خدام الحسین")</f>
        <v>خدام الحسین</v>
      </c>
      <c r="D1368" s="5" t="str">
        <f>IFERROR(__xludf.DUMMYFUNCTION("""COMPUTED_VALUE"""),"خراسان رضوی")</f>
        <v>خراسان رضوی</v>
      </c>
      <c r="E1368" s="5" t="str">
        <f>IFERROR(__xludf.DUMMYFUNCTION("""COMPUTED_VALUE"""),"مشهد")</f>
        <v>مشهد</v>
      </c>
      <c r="F1368" s="5"/>
      <c r="G1368" s="5">
        <f>IFERROR(__xludf.DUMMYFUNCTION("""COMPUTED_VALUE"""),1.0)</f>
        <v>1</v>
      </c>
      <c r="H1368" s="6" t="str">
        <f>IFERROR(__xludf.DUMMYFUNCTION("""COMPUTED_VALUE"""),"https://www.instagram.com/hyatt_khoddamoalhasan")</f>
        <v>https://www.instagram.com/hyatt_khoddamoalhasan</v>
      </c>
      <c r="I1368" s="6" t="str">
        <f>IFERROR(__xludf.DUMMYFUNCTION("""COMPUTED_VALUE"""),"https://t.me/sadeghsabbagh110")</f>
        <v>https://t.me/sadeghsabbagh110</v>
      </c>
      <c r="J1368" s="5"/>
      <c r="K1368" s="5"/>
      <c r="L1368" s="5"/>
      <c r="M1368" s="5"/>
      <c r="N1368" s="5"/>
      <c r="O1368" s="5"/>
      <c r="P1368" s="5"/>
      <c r="Q1368" s="5"/>
      <c r="R1368" s="5"/>
      <c r="S1368" s="5"/>
    </row>
    <row r="1369">
      <c r="A1369" s="5"/>
      <c r="B1369" s="5" t="str">
        <f>IFERROR(__xludf.DUMMYFUNCTION("""COMPUTED_VALUE"""),"هیأت")</f>
        <v>هیأت</v>
      </c>
      <c r="C1369" s="5" t="str">
        <f>IFERROR(__xludf.DUMMYFUNCTION("""COMPUTED_VALUE"""),"رقیه جان")</f>
        <v>رقیه جان</v>
      </c>
      <c r="D1369" s="5" t="str">
        <f>IFERROR(__xludf.DUMMYFUNCTION("""COMPUTED_VALUE"""),"خراسان رضوی")</f>
        <v>خراسان رضوی</v>
      </c>
      <c r="E1369" s="5" t="str">
        <f>IFERROR(__xludf.DUMMYFUNCTION("""COMPUTED_VALUE"""),"مشهد")</f>
        <v>مشهد</v>
      </c>
      <c r="F1369" s="5"/>
      <c r="G1369" s="5">
        <f>IFERROR(__xludf.DUMMYFUNCTION("""COMPUTED_VALUE"""),1.0)</f>
        <v>1</v>
      </c>
      <c r="H1369" s="6" t="str">
        <f>IFERROR(__xludf.DUMMYFUNCTION("""COMPUTED_VALUE"""),"https://www.instagram.com/heyat.roghayehjan")</f>
        <v>https://www.instagram.com/heyat.roghayehjan</v>
      </c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</row>
    <row r="1370">
      <c r="A1370" s="5"/>
      <c r="B1370" s="5" t="str">
        <f>IFERROR(__xludf.DUMMYFUNCTION("""COMPUTED_VALUE"""),"هیأت")</f>
        <v>هیأت</v>
      </c>
      <c r="C1370" s="5" t="str">
        <f>IFERROR(__xludf.DUMMYFUNCTION("""COMPUTED_VALUE"""),"عاشقان بقیة الله")</f>
        <v>عاشقان بقیة الله</v>
      </c>
      <c r="D1370" s="5" t="str">
        <f>IFERROR(__xludf.DUMMYFUNCTION("""COMPUTED_VALUE"""),"خراسان رضوی ")</f>
        <v>خراسان رضوی </v>
      </c>
      <c r="E1370" s="5" t="str">
        <f>IFERROR(__xludf.DUMMYFUNCTION("""COMPUTED_VALUE"""),"مشهد")</f>
        <v>مشهد</v>
      </c>
      <c r="F1370" s="5"/>
      <c r="G1370" s="5">
        <f>IFERROR(__xludf.DUMMYFUNCTION("""COMPUTED_VALUE"""),1.0)</f>
        <v>1</v>
      </c>
      <c r="H1370" s="6" t="str">
        <f>IFERROR(__xludf.DUMMYFUNCTION("""COMPUTED_VALUE"""),"https://www.instagram.com/asheeghan313")</f>
        <v>https://www.instagram.com/asheeghan313</v>
      </c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</row>
    <row r="1371">
      <c r="A1371" s="5"/>
      <c r="B1371" s="5" t="str">
        <f>IFERROR(__xludf.DUMMYFUNCTION("""COMPUTED_VALUE"""),"هیأت")</f>
        <v>هیأت</v>
      </c>
      <c r="C1371" s="5" t="str">
        <f>IFERROR(__xludf.DUMMYFUNCTION("""COMPUTED_VALUE"""),"نور الشهدا")</f>
        <v>نور الشهدا</v>
      </c>
      <c r="D1371" s="5" t="str">
        <f>IFERROR(__xludf.DUMMYFUNCTION("""COMPUTED_VALUE"""),"خراسان رضوی")</f>
        <v>خراسان رضوی</v>
      </c>
      <c r="E1371" s="5" t="str">
        <f>IFERROR(__xludf.DUMMYFUNCTION("""COMPUTED_VALUE"""),"مشهد")</f>
        <v>مشهد</v>
      </c>
      <c r="F1371" s="5"/>
      <c r="G1371" s="5">
        <f>IFERROR(__xludf.DUMMYFUNCTION("""COMPUTED_VALUE"""),1.0)</f>
        <v>1</v>
      </c>
      <c r="H1371" s="6" t="str">
        <f>IFERROR(__xludf.DUMMYFUNCTION("""COMPUTED_VALUE"""),"https://www.instagram.com/heyat.noroshohada")</f>
        <v>https://www.instagram.com/heyat.noroshohada</v>
      </c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</row>
    <row r="1372">
      <c r="A1372" s="5"/>
      <c r="B1372" s="5" t="str">
        <f>IFERROR(__xludf.DUMMYFUNCTION("""COMPUTED_VALUE"""),"هیأت")</f>
        <v>هیأت</v>
      </c>
      <c r="C1372" s="5" t="str">
        <f>IFERROR(__xludf.DUMMYFUNCTION("""COMPUTED_VALUE"""),"عاشوراییان")</f>
        <v>عاشوراییان</v>
      </c>
      <c r="D1372" s="5" t="str">
        <f>IFERROR(__xludf.DUMMYFUNCTION("""COMPUTED_VALUE"""),"خراسان رضوی")</f>
        <v>خراسان رضوی</v>
      </c>
      <c r="E1372" s="5" t="str">
        <f>IFERROR(__xludf.DUMMYFUNCTION("""COMPUTED_VALUE"""),"مشهد")</f>
        <v>مشهد</v>
      </c>
      <c r="F1372" s="5"/>
      <c r="G1372" s="5">
        <f>IFERROR(__xludf.DUMMYFUNCTION("""COMPUTED_VALUE"""),1.0)</f>
        <v>1</v>
      </c>
      <c r="H1372" s="6" t="str">
        <f>IFERROR(__xludf.DUMMYFUNCTION("""COMPUTED_VALUE"""),"https://www.instagram.com/heyat.ashoraiyan")</f>
        <v>https://www.instagram.com/heyat.ashoraiyan</v>
      </c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</row>
    <row r="1373">
      <c r="A1373" s="5"/>
      <c r="B1373" s="5" t="str">
        <f>IFERROR(__xludf.DUMMYFUNCTION("""COMPUTED_VALUE"""),"هیأت")</f>
        <v>هیأت</v>
      </c>
      <c r="C1373" s="5" t="str">
        <f>IFERROR(__xludf.DUMMYFUNCTION("""COMPUTED_VALUE"""),"آل طه و یاسین")</f>
        <v>آل طه و یاسین</v>
      </c>
      <c r="D1373" s="5" t="str">
        <f>IFERROR(__xludf.DUMMYFUNCTION("""COMPUTED_VALUE"""),"خراسان رضوی")</f>
        <v>خراسان رضوی</v>
      </c>
      <c r="E1373" s="5" t="str">
        <f>IFERROR(__xludf.DUMMYFUNCTION("""COMPUTED_VALUE"""),"مشهد")</f>
        <v>مشهد</v>
      </c>
      <c r="F1373" s="5"/>
      <c r="G1373" s="5">
        <f>IFERROR(__xludf.DUMMYFUNCTION("""COMPUTED_VALUE"""),1.0)</f>
        <v>1</v>
      </c>
      <c r="H1373" s="6" t="str">
        <f>IFERROR(__xludf.DUMMYFUNCTION("""COMPUTED_VALUE"""),"https://www.instagram.com/heiat_aletahayasin")</f>
        <v>https://www.instagram.com/heiat_aletahayasin</v>
      </c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</row>
    <row r="1374">
      <c r="A1374" s="5"/>
      <c r="B1374" s="5" t="str">
        <f>IFERROR(__xludf.DUMMYFUNCTION("""COMPUTED_VALUE"""),"هیأت")</f>
        <v>هیأت</v>
      </c>
      <c r="C1374" s="5" t="str">
        <f>IFERROR(__xludf.DUMMYFUNCTION("""COMPUTED_VALUE""")," امام علی مدافعان ولایت")</f>
        <v> امام علی مدافعان ولایت</v>
      </c>
      <c r="D1374" s="5" t="str">
        <f>IFERROR(__xludf.DUMMYFUNCTION("""COMPUTED_VALUE"""),"خراسان رضوی")</f>
        <v>خراسان رضوی</v>
      </c>
      <c r="E1374" s="5" t="str">
        <f>IFERROR(__xludf.DUMMYFUNCTION("""COMPUTED_VALUE"""),"مشهد")</f>
        <v>مشهد</v>
      </c>
      <c r="F1374" s="5"/>
      <c r="G1374" s="5">
        <f>IFERROR(__xludf.DUMMYFUNCTION("""COMPUTED_VALUE"""),1.0)</f>
        <v>1</v>
      </c>
      <c r="H1374" s="6" t="str">
        <f>IFERROR(__xludf.DUMMYFUNCTION("""COMPUTED_VALUE"""),"https://www.instagram.com/imamali86")</f>
        <v>https://www.instagram.com/imamali86</v>
      </c>
      <c r="I1374" s="6" t="str">
        <f>IFERROR(__xludf.DUMMYFUNCTION("""COMPUTED_VALUE"""),"https://t.me/heiat_emamAli")</f>
        <v>https://t.me/heiat_emamAli</v>
      </c>
      <c r="J1374" s="6" t="str">
        <f>IFERROR(__xludf.DUMMYFUNCTION("""COMPUTED_VALUE"""),"https://eitaa.com/heiat_imamAli")</f>
        <v>https://eitaa.com/heiat_imamAli</v>
      </c>
      <c r="K1374" s="5"/>
      <c r="L1374" s="5"/>
      <c r="M1374" s="5"/>
      <c r="N1374" s="5"/>
      <c r="O1374" s="5"/>
      <c r="P1374" s="5"/>
      <c r="Q1374" s="5"/>
      <c r="R1374" s="5"/>
      <c r="S1374" s="5"/>
    </row>
    <row r="1375">
      <c r="A1375" s="5"/>
      <c r="B1375" s="5" t="str">
        <f>IFERROR(__xludf.DUMMYFUNCTION("""COMPUTED_VALUE"""),"هیأت دانشجویی")</f>
        <v>هیأت دانشجویی</v>
      </c>
      <c r="C1375" s="5" t="str">
        <f>IFERROR(__xludf.DUMMYFUNCTION("""COMPUTED_VALUE"""),"امام محمد باقر")</f>
        <v>امام محمد باقر</v>
      </c>
      <c r="D1375" s="5" t="str">
        <f>IFERROR(__xludf.DUMMYFUNCTION("""COMPUTED_VALUE"""),"خراسان رضوی")</f>
        <v>خراسان رضوی</v>
      </c>
      <c r="E1375" s="5" t="str">
        <f>IFERROR(__xludf.DUMMYFUNCTION("""COMPUTED_VALUE"""),"مشهد")</f>
        <v>مشهد</v>
      </c>
      <c r="F1375" s="5" t="str">
        <f>IFERROR(__xludf.DUMMYFUNCTION("""COMPUTED_VALUE"""),"دانشگاه بیرجند")</f>
        <v>دانشگاه بیرجند</v>
      </c>
      <c r="G1375" s="5">
        <f>IFERROR(__xludf.DUMMYFUNCTION("""COMPUTED_VALUE"""),1.0)</f>
        <v>1</v>
      </c>
      <c r="H1375" s="6" t="str">
        <f>IFERROR(__xludf.DUMMYFUNCTION("""COMPUTED_VALUE"""),"https://www.instagram.com/heyat_danesh")</f>
        <v>https://www.instagram.com/heyat_danesh</v>
      </c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</row>
    <row r="1376">
      <c r="A1376" s="5"/>
      <c r="B1376" s="5" t="str">
        <f>IFERROR(__xludf.DUMMYFUNCTION("""COMPUTED_VALUE"""),"هیأت")</f>
        <v>هیأت</v>
      </c>
      <c r="C1376" s="5" t="str">
        <f>IFERROR(__xludf.DUMMYFUNCTION("""COMPUTED_VALUE"""),"انصار الزینب ")</f>
        <v>انصار الزینب </v>
      </c>
      <c r="D1376" s="5" t="str">
        <f>IFERROR(__xludf.DUMMYFUNCTION("""COMPUTED_VALUE"""),"خراسان رضوی")</f>
        <v>خراسان رضوی</v>
      </c>
      <c r="E1376" s="5" t="str">
        <f>IFERROR(__xludf.DUMMYFUNCTION("""COMPUTED_VALUE"""),"مشهد")</f>
        <v>مشهد</v>
      </c>
      <c r="F1376" s="5"/>
      <c r="G1376" s="5">
        <f>IFERROR(__xludf.DUMMYFUNCTION("""COMPUTED_VALUE"""),1.0)</f>
        <v>1</v>
      </c>
      <c r="H1376" s="6" t="str">
        <f>IFERROR(__xludf.DUMMYFUNCTION("""COMPUTED_VALUE"""),"https://www.instagram.com/ansar_al_zynaab")</f>
        <v>https://www.instagram.com/ansar_al_zynaab</v>
      </c>
      <c r="I1376" s="6" t="str">
        <f>IFERROR(__xludf.DUMMYFUNCTION("""COMPUTED_VALUE"""),"https://t.me/ansar_al_zynaab")</f>
        <v>https://t.me/ansar_al_zynaab</v>
      </c>
      <c r="J1376" s="5"/>
      <c r="K1376" s="5"/>
      <c r="L1376" s="5"/>
      <c r="M1376" s="5"/>
      <c r="N1376" s="5"/>
      <c r="O1376" s="5"/>
      <c r="P1376" s="5"/>
      <c r="Q1376" s="5"/>
      <c r="R1376" s="5"/>
      <c r="S1376" s="5"/>
    </row>
    <row r="1377">
      <c r="A1377" s="5"/>
      <c r="B1377" s="5" t="str">
        <f>IFERROR(__xludf.DUMMYFUNCTION("""COMPUTED_VALUE"""),"هیأت")</f>
        <v>هیأت</v>
      </c>
      <c r="C1377" s="5" t="str">
        <f>IFERROR(__xludf.DUMMYFUNCTION("""COMPUTED_VALUE"""),"شیفتگان اهلبیت")</f>
        <v>شیفتگان اهلبیت</v>
      </c>
      <c r="D1377" s="5" t="str">
        <f>IFERROR(__xludf.DUMMYFUNCTION("""COMPUTED_VALUE"""),"خراسان رضوی")</f>
        <v>خراسان رضوی</v>
      </c>
      <c r="E1377" s="5" t="str">
        <f>IFERROR(__xludf.DUMMYFUNCTION("""COMPUTED_VALUE"""),"مشهد")</f>
        <v>مشهد</v>
      </c>
      <c r="F1377" s="5"/>
      <c r="G1377" s="5">
        <f>IFERROR(__xludf.DUMMYFUNCTION("""COMPUTED_VALUE"""),1.0)</f>
        <v>1</v>
      </c>
      <c r="H1377" s="6" t="str">
        <f>IFERROR(__xludf.DUMMYFUNCTION("""COMPUTED_VALUE"""),"https://www.instagram.com/shifteganahlebeyt")</f>
        <v>https://www.instagram.com/shifteganahlebeyt</v>
      </c>
      <c r="I1377" s="6" t="str">
        <f>IFERROR(__xludf.DUMMYFUNCTION("""COMPUTED_VALUE"""),"https://t.me/shifteganahlebeyt")</f>
        <v>https://t.me/shifteganahlebeyt</v>
      </c>
      <c r="J1377" s="5"/>
      <c r="K1377" s="5"/>
      <c r="L1377" s="5"/>
      <c r="M1377" s="5"/>
      <c r="N1377" s="5"/>
      <c r="O1377" s="5"/>
      <c r="P1377" s="5"/>
      <c r="Q1377" s="5"/>
      <c r="R1377" s="5"/>
      <c r="S1377" s="5"/>
    </row>
    <row r="1378">
      <c r="A1378" s="5"/>
      <c r="B1378" s="5" t="str">
        <f>IFERROR(__xludf.DUMMYFUNCTION("""COMPUTED_VALUE"""),"هیأت")</f>
        <v>هیأت</v>
      </c>
      <c r="C1378" s="5" t="str">
        <f>IFERROR(__xludf.DUMMYFUNCTION("""COMPUTED_VALUE""")," انصارالحجه")</f>
        <v> انصارالحجه</v>
      </c>
      <c r="D1378" s="5" t="str">
        <f>IFERROR(__xludf.DUMMYFUNCTION("""COMPUTED_VALUE"""),"خراسان رضوی")</f>
        <v>خراسان رضوی</v>
      </c>
      <c r="E1378" s="5" t="str">
        <f>IFERROR(__xludf.DUMMYFUNCTION("""COMPUTED_VALUE"""),"مشهد")</f>
        <v>مشهد</v>
      </c>
      <c r="F1378" s="5"/>
      <c r="G1378" s="5">
        <f>IFERROR(__xludf.DUMMYFUNCTION("""COMPUTED_VALUE"""),9.0)</f>
        <v>9</v>
      </c>
      <c r="H1378" s="6" t="str">
        <f>IFERROR(__xludf.DUMMYFUNCTION("""COMPUTED_VALUE"""),"https://www.instagram.com/ansarolhojah")</f>
        <v>https://www.instagram.com/ansarolhojah</v>
      </c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</row>
    <row r="1379">
      <c r="A1379" s="5"/>
      <c r="B1379" s="5" t="str">
        <f>IFERROR(__xludf.DUMMYFUNCTION("""COMPUTED_VALUE"""),"هیأت")</f>
        <v>هیأت</v>
      </c>
      <c r="C1379" s="5" t="str">
        <f>IFERROR(__xludf.DUMMYFUNCTION("""COMPUTED_VALUE"""),"کربلا")</f>
        <v>کربلا</v>
      </c>
      <c r="D1379" s="5" t="str">
        <f>IFERROR(__xludf.DUMMYFUNCTION("""COMPUTED_VALUE"""),"خراسان رضوی")</f>
        <v>خراسان رضوی</v>
      </c>
      <c r="E1379" s="5" t="str">
        <f>IFERROR(__xludf.DUMMYFUNCTION("""COMPUTED_VALUE"""),"مشهد")</f>
        <v>مشهد</v>
      </c>
      <c r="F1379" s="5"/>
      <c r="G1379" s="5"/>
      <c r="H1379" s="6" t="str">
        <f>IFERROR(__xludf.DUMMYFUNCTION("""COMPUTED_VALUE"""),"https://www.instagram.com/heyatekarbala128/")</f>
        <v>https://www.instagram.com/heyatekarbala128/</v>
      </c>
      <c r="I1379" s="6" t="str">
        <f>IFERROR(__xludf.DUMMYFUNCTION("""COMPUTED_VALUE"""),"https://t.me/heyatekarbala128")</f>
        <v>https://t.me/heyatekarbala128</v>
      </c>
      <c r="J1379" s="6" t="str">
        <f>IFERROR(__xludf.DUMMYFUNCTION("""COMPUTED_VALUE"""),"https://eitaa.com/heyatekarbala128")</f>
        <v>https://eitaa.com/heyatekarbala128</v>
      </c>
      <c r="K1379" s="5"/>
      <c r="L1379" s="6" t="str">
        <f>IFERROR(__xludf.DUMMYFUNCTION("""COMPUTED_VALUE"""),"https://heyatekarbala.ir/")</f>
        <v>https://heyatekarbala.ir/</v>
      </c>
      <c r="M1379" s="5"/>
      <c r="N1379" s="5"/>
      <c r="O1379" s="5"/>
      <c r="P1379" s="5"/>
      <c r="Q1379" s="5"/>
      <c r="R1379" s="5"/>
      <c r="S1379" s="5"/>
    </row>
    <row r="1380">
      <c r="A1380" s="5"/>
      <c r="B1380" s="5" t="str">
        <f>IFERROR(__xludf.DUMMYFUNCTION("""COMPUTED_VALUE"""),"حسینیه")</f>
        <v>حسینیه</v>
      </c>
      <c r="C1380" s="5" t="str">
        <f>IFERROR(__xludf.DUMMYFUNCTION("""COMPUTED_VALUE"""),"آل یاسین")</f>
        <v>آل یاسین</v>
      </c>
      <c r="D1380" s="5" t="str">
        <f>IFERROR(__xludf.DUMMYFUNCTION("""COMPUTED_VALUE"""),"خراسان رضوی")</f>
        <v>خراسان رضوی</v>
      </c>
      <c r="E1380" s="5" t="str">
        <f>IFERROR(__xludf.DUMMYFUNCTION("""COMPUTED_VALUE"""),"مشهد")</f>
        <v>مشهد</v>
      </c>
      <c r="F1380" s="5"/>
      <c r="G1380" s="5"/>
      <c r="H1380" s="6" t="str">
        <f>IFERROR(__xludf.DUMMYFUNCTION("""COMPUTED_VALUE"""),"https://www.instagram.com/aleyasinhusainie/")</f>
        <v>https://www.instagram.com/aleyasinhusainie/</v>
      </c>
      <c r="I1380" s="6" t="str">
        <f>IFERROR(__xludf.DUMMYFUNCTION("""COMPUTED_VALUE"""),"https://t.me/aleyasinhusainie")</f>
        <v>https://t.me/aleyasinhusainie</v>
      </c>
      <c r="J1380" s="6" t="str">
        <f>IFERROR(__xludf.DUMMYFUNCTION("""COMPUTED_VALUE"""),"https://eitaa.com/aleyasinhusainie")</f>
        <v>https://eitaa.com/aleyasinhusainie</v>
      </c>
      <c r="K1380" s="5"/>
      <c r="L1380" s="5"/>
      <c r="M1380" s="5"/>
      <c r="N1380" s="5"/>
      <c r="O1380" s="5"/>
      <c r="P1380" s="5"/>
      <c r="Q1380" s="5"/>
      <c r="R1380" s="5"/>
      <c r="S1380" s="5"/>
    </row>
    <row r="1381">
      <c r="A1381" s="5"/>
      <c r="B1381" s="5" t="str">
        <f>IFERROR(__xludf.DUMMYFUNCTION("""COMPUTED_VALUE"""),"هیأت")</f>
        <v>هیأت</v>
      </c>
      <c r="C1381" s="5" t="str">
        <f>IFERROR(__xludf.DUMMYFUNCTION("""COMPUTED_VALUE"""),"محبان الزینب")</f>
        <v>محبان الزینب</v>
      </c>
      <c r="D1381" s="5" t="str">
        <f>IFERROR(__xludf.DUMMYFUNCTION("""COMPUTED_VALUE"""),"خراسان رضوی")</f>
        <v>خراسان رضوی</v>
      </c>
      <c r="E1381" s="5" t="str">
        <f>IFERROR(__xludf.DUMMYFUNCTION("""COMPUTED_VALUE"""),"مشهد")</f>
        <v>مشهد</v>
      </c>
      <c r="F1381" s="5"/>
      <c r="G1381" s="5"/>
      <c r="H1381" s="6" t="str">
        <f>IFERROR(__xludf.DUMMYFUNCTION("""COMPUTED_VALUE"""),"https://www.instagram.com/moheban_zeinab1376/")</f>
        <v>https://www.instagram.com/moheban_zeinab1376/</v>
      </c>
      <c r="I1381" s="6" t="str">
        <f>IFERROR(__xludf.DUMMYFUNCTION("""COMPUTED_VALUE"""),"https://t.me/moheban_zeinab1376")</f>
        <v>https://t.me/moheban_zeinab1376</v>
      </c>
      <c r="J1381" s="6" t="str">
        <f>IFERROR(__xludf.DUMMYFUNCTION("""COMPUTED_VALUE"""),"https://eitaa.com/moheban_zeinab1376")</f>
        <v>https://eitaa.com/moheban_zeinab1376</v>
      </c>
      <c r="K1381" s="5"/>
      <c r="L1381" s="5"/>
      <c r="M1381" s="5"/>
      <c r="N1381" s="5"/>
      <c r="O1381" s="5"/>
      <c r="P1381" s="5"/>
      <c r="Q1381" s="5"/>
      <c r="R1381" s="5"/>
      <c r="S1381" s="5"/>
    </row>
    <row r="1382">
      <c r="A1382" s="5"/>
      <c r="B1382" s="5" t="str">
        <f>IFERROR(__xludf.DUMMYFUNCTION("""COMPUTED_VALUE"""),"هیأت")</f>
        <v>هیأت</v>
      </c>
      <c r="C1382" s="5" t="str">
        <f>IFERROR(__xludf.DUMMYFUNCTION("""COMPUTED_VALUE"""),"جان نثاران امام زمان")</f>
        <v>جان نثاران امام زمان</v>
      </c>
      <c r="D1382" s="5" t="str">
        <f>IFERROR(__xludf.DUMMYFUNCTION("""COMPUTED_VALUE"""),"خراسان رضوی")</f>
        <v>خراسان رضوی</v>
      </c>
      <c r="E1382" s="5" t="str">
        <f>IFERROR(__xludf.DUMMYFUNCTION("""COMPUTED_VALUE"""),"مشهد")</f>
        <v>مشهد</v>
      </c>
      <c r="F1382" s="5"/>
      <c r="G1382" s="5"/>
      <c r="H1382" s="6" t="str">
        <f>IFERROR(__xludf.DUMMYFUNCTION("""COMPUTED_VALUE"""),"https://www.instagram.com/jannesaran_59/")</f>
        <v>https://www.instagram.com/jannesaran_59/</v>
      </c>
      <c r="I1382" s="6" t="str">
        <f>IFERROR(__xludf.DUMMYFUNCTION("""COMPUTED_VALUE"""),"https://t.me/jannesaran_59")</f>
        <v>https://t.me/jannesaran_59</v>
      </c>
      <c r="J1382" s="5"/>
      <c r="K1382" s="5"/>
      <c r="L1382" s="5"/>
      <c r="M1382" s="5"/>
      <c r="N1382" s="5"/>
      <c r="O1382" s="5"/>
      <c r="P1382" s="5"/>
      <c r="Q1382" s="5"/>
      <c r="R1382" s="5"/>
      <c r="S1382" s="5"/>
    </row>
    <row r="1383">
      <c r="A1383" s="5"/>
      <c r="B1383" s="5" t="str">
        <f>IFERROR(__xludf.DUMMYFUNCTION("""COMPUTED_VALUE"""),"هیأت")</f>
        <v>هیأت</v>
      </c>
      <c r="C1383" s="5" t="str">
        <f>IFERROR(__xludf.DUMMYFUNCTION("""COMPUTED_VALUE"""),"روضة الحسین")</f>
        <v>روضة الحسین</v>
      </c>
      <c r="D1383" s="5" t="str">
        <f>IFERROR(__xludf.DUMMYFUNCTION("""COMPUTED_VALUE"""),"خراسان رضوی")</f>
        <v>خراسان رضوی</v>
      </c>
      <c r="E1383" s="5" t="str">
        <f>IFERROR(__xludf.DUMMYFUNCTION("""COMPUTED_VALUE"""),"مشهد")</f>
        <v>مشهد</v>
      </c>
      <c r="F1383" s="5"/>
      <c r="G1383" s="5"/>
      <c r="H1383" s="6" t="str">
        <f>IFERROR(__xludf.DUMMYFUNCTION("""COMPUTED_VALUE"""),"https://www.instagram.com/rozatolhosein.ir/")</f>
        <v>https://www.instagram.com/rozatolhosein.ir/</v>
      </c>
      <c r="I1383" s="6" t="str">
        <f>IFERROR(__xludf.DUMMYFUNCTION("""COMPUTED_VALUE"""),"https://t.me/heiaterozatolhossein")</f>
        <v>https://t.me/heiaterozatolhossein</v>
      </c>
      <c r="J1383" s="5"/>
      <c r="K1383" s="5"/>
      <c r="L1383" s="5"/>
      <c r="M1383" s="5"/>
      <c r="N1383" s="5"/>
      <c r="O1383" s="5"/>
      <c r="P1383" s="5"/>
      <c r="Q1383" s="5"/>
      <c r="R1383" s="5"/>
      <c r="S1383" s="5"/>
    </row>
    <row r="1384">
      <c r="A1384" s="5"/>
      <c r="B1384" s="5" t="str">
        <f>IFERROR(__xludf.DUMMYFUNCTION("""COMPUTED_VALUE"""),"هیأت")</f>
        <v>هیأت</v>
      </c>
      <c r="C1384" s="5" t="str">
        <f>IFERROR(__xludf.DUMMYFUNCTION("""COMPUTED_VALUE"""),"مکتب الزهرا")</f>
        <v>مکتب الزهرا</v>
      </c>
      <c r="D1384" s="5" t="str">
        <f>IFERROR(__xludf.DUMMYFUNCTION("""COMPUTED_VALUE"""),"خراسان رضوی")</f>
        <v>خراسان رضوی</v>
      </c>
      <c r="E1384" s="5" t="str">
        <f>IFERROR(__xludf.DUMMYFUNCTION("""COMPUTED_VALUE"""),"مشهد")</f>
        <v>مشهد</v>
      </c>
      <c r="F1384" s="5"/>
      <c r="G1384" s="5"/>
      <c r="H1384" s="6" t="str">
        <f>IFERROR(__xludf.DUMMYFUNCTION("""COMPUTED_VALUE"""),"https://www.instagram.com/maktabalzahra313/")</f>
        <v>https://www.instagram.com/maktabalzahra313/</v>
      </c>
      <c r="I1384" s="6" t="str">
        <f>IFERROR(__xludf.DUMMYFUNCTION("""COMPUTED_VALUE"""),"https://t.me/maktabalzahra39")</f>
        <v>https://t.me/maktabalzahra39</v>
      </c>
      <c r="J1384" s="5"/>
      <c r="K1384" s="5"/>
      <c r="L1384" s="5"/>
      <c r="M1384" s="5"/>
      <c r="N1384" s="5"/>
      <c r="O1384" s="5"/>
      <c r="P1384" s="5"/>
      <c r="Q1384" s="5"/>
      <c r="R1384" s="5"/>
      <c r="S1384" s="5"/>
    </row>
    <row r="1385">
      <c r="A1385" s="5"/>
      <c r="B1385" s="5" t="str">
        <f>IFERROR(__xludf.DUMMYFUNCTION("""COMPUTED_VALUE"""),"هیأت")</f>
        <v>هیأت</v>
      </c>
      <c r="C1385" s="5" t="str">
        <f>IFERROR(__xludf.DUMMYFUNCTION("""COMPUTED_VALUE"""),"بقیهة الله الاعظم")</f>
        <v>بقیهة الله الاعظم</v>
      </c>
      <c r="D1385" s="5" t="str">
        <f>IFERROR(__xludf.DUMMYFUNCTION("""COMPUTED_VALUE"""),"خراسان رضوی")</f>
        <v>خراسان رضوی</v>
      </c>
      <c r="E1385" s="5" t="str">
        <f>IFERROR(__xludf.DUMMYFUNCTION("""COMPUTED_VALUE"""),"مشهد")</f>
        <v>مشهد</v>
      </c>
      <c r="F1385" s="5"/>
      <c r="G1385" s="5"/>
      <c r="H1385" s="6" t="str">
        <f>IFERROR(__xludf.DUMMYFUNCTION("""COMPUTED_VALUE"""),"https://www.instagram.com/baqiatollah_ir/")</f>
        <v>https://www.instagram.com/baqiatollah_ir/</v>
      </c>
      <c r="I1385" s="6" t="str">
        <f>IFERROR(__xludf.DUMMYFUNCTION("""COMPUTED_VALUE"""),"https://t.me/baqiatollah_ir")</f>
        <v>https://t.me/baqiatollah_ir</v>
      </c>
      <c r="J1385" s="5"/>
      <c r="K1385" s="5"/>
      <c r="L1385" s="5"/>
      <c r="M1385" s="5"/>
      <c r="N1385" s="5"/>
      <c r="O1385" s="5"/>
      <c r="P1385" s="5"/>
      <c r="Q1385" s="5"/>
      <c r="R1385" s="5"/>
      <c r="S1385" s="5"/>
    </row>
    <row r="1386">
      <c r="A1386" s="5"/>
      <c r="B1386" s="5" t="str">
        <f>IFERROR(__xludf.DUMMYFUNCTION("""COMPUTED_VALUE"""),"هیأت")</f>
        <v>هیأت</v>
      </c>
      <c r="C1386" s="5" t="str">
        <f>IFERROR(__xludf.DUMMYFUNCTION("""COMPUTED_VALUE"""),"محبی الزهرا")</f>
        <v>محبی الزهرا</v>
      </c>
      <c r="D1386" s="5" t="str">
        <f>IFERROR(__xludf.DUMMYFUNCTION("""COMPUTED_VALUE"""),"خراسان رضوی")</f>
        <v>خراسان رضوی</v>
      </c>
      <c r="E1386" s="5" t="str">
        <f>IFERROR(__xludf.DUMMYFUNCTION("""COMPUTED_VALUE"""),"مشهد")</f>
        <v>مشهد</v>
      </c>
      <c r="F1386" s="5"/>
      <c r="G1386" s="5"/>
      <c r="H1386" s="6" t="str">
        <f>IFERROR(__xludf.DUMMYFUNCTION("""COMPUTED_VALUE"""),"https://www.instagram.com/hosseinie_alzahra/")</f>
        <v>https://www.instagram.com/hosseinie_alzahra/</v>
      </c>
      <c r="I1386" s="6" t="str">
        <f>IFERROR(__xludf.DUMMYFUNCTION("""COMPUTED_VALUE"""),"https://t.me/hosseinie_mohebiolzahra")</f>
        <v>https://t.me/hosseinie_mohebiolzahra</v>
      </c>
      <c r="J1386" s="5"/>
      <c r="K1386" s="5"/>
      <c r="L1386" s="5"/>
      <c r="M1386" s="5"/>
      <c r="N1386" s="5"/>
      <c r="O1386" s="5"/>
      <c r="P1386" s="5"/>
      <c r="Q1386" s="5"/>
      <c r="R1386" s="5"/>
      <c r="S1386" s="5"/>
    </row>
    <row r="1387">
      <c r="A1387" s="5"/>
      <c r="B1387" s="5" t="str">
        <f>IFERROR(__xludf.DUMMYFUNCTION("""COMPUTED_VALUE"""),"هیأت")</f>
        <v>هیأت</v>
      </c>
      <c r="C1387" s="5" t="str">
        <f>IFERROR(__xludf.DUMMYFUNCTION("""COMPUTED_VALUE"""),"خیمة الزینب")</f>
        <v>خیمة الزینب</v>
      </c>
      <c r="D1387" s="5" t="str">
        <f>IFERROR(__xludf.DUMMYFUNCTION("""COMPUTED_VALUE"""),"خراسان رضوی")</f>
        <v>خراسان رضوی</v>
      </c>
      <c r="E1387" s="5" t="str">
        <f>IFERROR(__xludf.DUMMYFUNCTION("""COMPUTED_VALUE"""),"مشهد")</f>
        <v>مشهد</v>
      </c>
      <c r="F1387" s="5"/>
      <c r="G1387" s="5"/>
      <c r="H1387" s="6" t="str">
        <f>IFERROR(__xludf.DUMMYFUNCTION("""COMPUTED_VALUE"""),"https://www.instagram.com/kheyme_69/")</f>
        <v>https://www.instagram.com/kheyme_69/</v>
      </c>
      <c r="I1387" s="6" t="str">
        <f>IFERROR(__xludf.DUMMYFUNCTION("""COMPUTED_VALUE"""),"https://t.me/kheyme69")</f>
        <v>https://t.me/kheyme69</v>
      </c>
      <c r="J1387" s="6" t="str">
        <f>IFERROR(__xludf.DUMMYFUNCTION("""COMPUTED_VALUE"""),"https://eitaa.com/kheyme69")</f>
        <v>https://eitaa.com/kheyme69</v>
      </c>
      <c r="K1387" s="5"/>
      <c r="L1387" s="5"/>
      <c r="M1387" s="5"/>
      <c r="N1387" s="5"/>
      <c r="O1387" s="5"/>
      <c r="P1387" s="5"/>
      <c r="Q1387" s="5"/>
      <c r="R1387" s="5"/>
      <c r="S1387" s="5"/>
    </row>
    <row r="1388">
      <c r="A1388" s="5"/>
      <c r="B1388" s="5" t="str">
        <f>IFERROR(__xludf.DUMMYFUNCTION("""COMPUTED_VALUE"""),"هیأت")</f>
        <v>هیأت</v>
      </c>
      <c r="C1388" s="5" t="str">
        <f>IFERROR(__xludf.DUMMYFUNCTION("""COMPUTED_VALUE"""),"عشاق الزهرا")</f>
        <v>عشاق الزهرا</v>
      </c>
      <c r="D1388" s="5" t="str">
        <f>IFERROR(__xludf.DUMMYFUNCTION("""COMPUTED_VALUE"""),"خراسان رضوی")</f>
        <v>خراسان رضوی</v>
      </c>
      <c r="E1388" s="5" t="str">
        <f>IFERROR(__xludf.DUMMYFUNCTION("""COMPUTED_VALUE"""),"مشهد")</f>
        <v>مشهد</v>
      </c>
      <c r="F1388" s="5"/>
      <c r="G1388" s="5"/>
      <c r="H1388" s="6" t="str">
        <f>IFERROR(__xludf.DUMMYFUNCTION("""COMPUTED_VALUE"""),"https://www.instagram.com/oshagh_alzahra_s/")</f>
        <v>https://www.instagram.com/oshagh_alzahra_s/</v>
      </c>
      <c r="I1388" s="6" t="str">
        <f>IFERROR(__xludf.DUMMYFUNCTION("""COMPUTED_VALUE"""),"https://t.me/oshaghzahras")</f>
        <v>https://t.me/oshaghzahras</v>
      </c>
      <c r="J1388" s="5"/>
      <c r="K1388" s="5"/>
      <c r="L1388" s="5"/>
      <c r="M1388" s="5"/>
      <c r="N1388" s="5"/>
      <c r="O1388" s="5"/>
      <c r="P1388" s="5"/>
      <c r="Q1388" s="5"/>
      <c r="R1388" s="5"/>
      <c r="S1388" s="5"/>
    </row>
    <row r="1389">
      <c r="A1389" s="5"/>
      <c r="B1389" s="5" t="str">
        <f>IFERROR(__xludf.DUMMYFUNCTION("""COMPUTED_VALUE"""),"هیأت")</f>
        <v>هیأت</v>
      </c>
      <c r="C1389" s="5" t="str">
        <f>IFERROR(__xludf.DUMMYFUNCTION("""COMPUTED_VALUE"""),"روضة العطش")</f>
        <v>روضة العطش</v>
      </c>
      <c r="D1389" s="5" t="str">
        <f>IFERROR(__xludf.DUMMYFUNCTION("""COMPUTED_VALUE"""),"خراسان رضوی")</f>
        <v>خراسان رضوی</v>
      </c>
      <c r="E1389" s="5" t="str">
        <f>IFERROR(__xludf.DUMMYFUNCTION("""COMPUTED_VALUE"""),"مشهد")</f>
        <v>مشهد</v>
      </c>
      <c r="F1389" s="5"/>
      <c r="G1389" s="5"/>
      <c r="H1389" s="6" t="str">
        <f>IFERROR(__xludf.DUMMYFUNCTION("""COMPUTED_VALUE"""),"https://www.instagram.com/r_alatash/")</f>
        <v>https://www.instagram.com/r_alatash/</v>
      </c>
      <c r="I1389" s="6" t="str">
        <f>IFERROR(__xludf.DUMMYFUNCTION("""COMPUTED_VALUE"""),"https://t.me/rozatolatash")</f>
        <v>https://t.me/rozatolatash</v>
      </c>
      <c r="J1389" s="5"/>
      <c r="K1389" s="5"/>
      <c r="L1389" s="5"/>
      <c r="M1389" s="5"/>
      <c r="N1389" s="5"/>
      <c r="O1389" s="5"/>
      <c r="P1389" s="5"/>
      <c r="Q1389" s="5"/>
      <c r="R1389" s="5"/>
      <c r="S1389" s="5"/>
    </row>
    <row r="1390">
      <c r="A1390" s="5"/>
      <c r="B1390" s="5" t="str">
        <f>IFERROR(__xludf.DUMMYFUNCTION("""COMPUTED_VALUE"""),"هیأت")</f>
        <v>هیأت</v>
      </c>
      <c r="C1390" s="5" t="str">
        <f>IFERROR(__xludf.DUMMYFUNCTION("""COMPUTED_VALUE"""),"أئمه اطهار مشهد مقدس")</f>
        <v>أئمه اطهار مشهد مقدس</v>
      </c>
      <c r="D1390" s="5" t="str">
        <f>IFERROR(__xludf.DUMMYFUNCTION("""COMPUTED_VALUE"""),"خراسان رضوی")</f>
        <v>خراسان رضوی</v>
      </c>
      <c r="E1390" s="5" t="str">
        <f>IFERROR(__xludf.DUMMYFUNCTION("""COMPUTED_VALUE"""),"مشهد ")</f>
        <v>مشهد </v>
      </c>
      <c r="F1390" s="5"/>
      <c r="G1390" s="5"/>
      <c r="H1390" s="6" t="str">
        <f>IFERROR(__xludf.DUMMYFUNCTION("""COMPUTED_VALUE"""),"https://www.instagram.com/aemme.athar86")</f>
        <v>https://www.instagram.com/aemme.athar86</v>
      </c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</row>
    <row r="1391">
      <c r="A1391" s="5"/>
      <c r="B1391" s="5" t="str">
        <f>IFERROR(__xludf.DUMMYFUNCTION("""COMPUTED_VALUE"""),"هیأت")</f>
        <v>هیأت</v>
      </c>
      <c r="C1391" s="5" t="str">
        <f>IFERROR(__xludf.DUMMYFUNCTION("""COMPUTED_VALUE"""),"بقیة الله مشهد")</f>
        <v>بقیة الله مشهد</v>
      </c>
      <c r="D1391" s="5" t="str">
        <f>IFERROR(__xludf.DUMMYFUNCTION("""COMPUTED_VALUE"""),"خراسان رضوی")</f>
        <v>خراسان رضوی</v>
      </c>
      <c r="E1391" s="5" t="str">
        <f>IFERROR(__xludf.DUMMYFUNCTION("""COMPUTED_VALUE"""),"مشهد")</f>
        <v>مشهد</v>
      </c>
      <c r="F1391" s="5"/>
      <c r="G1391" s="5"/>
      <c r="H1391" s="6" t="str">
        <f>IFERROR(__xludf.DUMMYFUNCTION("""COMPUTED_VALUE"""),"https://www.instagram.com/heyatbaghiatallah")</f>
        <v>https://www.instagram.com/heyatbaghiatallah</v>
      </c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</row>
    <row r="1392">
      <c r="A1392" s="5"/>
      <c r="B1392" s="5" t="str">
        <f>IFERROR(__xludf.DUMMYFUNCTION("""COMPUTED_VALUE"""),"هیأت")</f>
        <v>هیأت</v>
      </c>
      <c r="C1392" s="5" t="str">
        <f>IFERROR(__xludf.DUMMYFUNCTION("""COMPUTED_VALUE"""),"غریب سامراء")</f>
        <v>غریب سامراء</v>
      </c>
      <c r="D1392" s="5" t="str">
        <f>IFERROR(__xludf.DUMMYFUNCTION("""COMPUTED_VALUE"""),"خراسان رضوی")</f>
        <v>خراسان رضوی</v>
      </c>
      <c r="E1392" s="5" t="str">
        <f>IFERROR(__xludf.DUMMYFUNCTION("""COMPUTED_VALUE"""),"مشهد")</f>
        <v>مشهد</v>
      </c>
      <c r="F1392" s="5"/>
      <c r="G1392" s="5"/>
      <c r="H1392" s="6" t="str">
        <f>IFERROR(__xludf.DUMMYFUNCTION("""COMPUTED_VALUE"""),"https://www.instagram.com/gharibsameraa")</f>
        <v>https://www.instagram.com/gharibsameraa</v>
      </c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</row>
    <row r="1393">
      <c r="A1393" s="5"/>
      <c r="B1393" s="5" t="str">
        <f>IFERROR(__xludf.DUMMYFUNCTION("""COMPUTED_VALUE"""),"هیأت")</f>
        <v>هیأت</v>
      </c>
      <c r="C1393" s="5" t="str">
        <f>IFERROR(__xludf.DUMMYFUNCTION("""COMPUTED_VALUE"""),"عشاق الحسین")</f>
        <v>عشاق الحسین</v>
      </c>
      <c r="D1393" s="5" t="str">
        <f>IFERROR(__xludf.DUMMYFUNCTION("""COMPUTED_VALUE"""),"خراسان رضوی")</f>
        <v>خراسان رضوی</v>
      </c>
      <c r="E1393" s="5" t="str">
        <f>IFERROR(__xludf.DUMMYFUNCTION("""COMPUTED_VALUE"""),"مشهد")</f>
        <v>مشهد</v>
      </c>
      <c r="F1393" s="5"/>
      <c r="G1393" s="5"/>
      <c r="H1393" s="6" t="str">
        <f>IFERROR(__xludf.DUMMYFUNCTION("""COMPUTED_VALUE"""),"https://www.instagram.com/oshagh.al.hosein")</f>
        <v>https://www.instagram.com/oshagh.al.hosein</v>
      </c>
      <c r="I1393" s="6" t="str">
        <f>IFERROR(__xludf.DUMMYFUNCTION("""COMPUTED_VALUE"""),"https://t.me/oshagh_al_hosein315")</f>
        <v>https://t.me/oshagh_al_hosein315</v>
      </c>
      <c r="J1393" s="5"/>
      <c r="K1393" s="5"/>
      <c r="L1393" s="5"/>
      <c r="M1393" s="5"/>
      <c r="N1393" s="5"/>
      <c r="O1393" s="5"/>
      <c r="P1393" s="5"/>
      <c r="Q1393" s="5"/>
      <c r="R1393" s="5"/>
      <c r="S1393" s="5"/>
    </row>
    <row r="1394">
      <c r="A1394" s="5"/>
      <c r="B1394" s="5" t="str">
        <f>IFERROR(__xludf.DUMMYFUNCTION("""COMPUTED_VALUE"""),"هیأت")</f>
        <v>هیأت</v>
      </c>
      <c r="C1394" s="5" t="str">
        <f>IFERROR(__xludf.DUMMYFUNCTION("""COMPUTED_VALUE"""),"بین الحرمین")</f>
        <v>بین الحرمین</v>
      </c>
      <c r="D1394" s="5" t="str">
        <f>IFERROR(__xludf.DUMMYFUNCTION("""COMPUTED_VALUE"""),"خراسان رضوی")</f>
        <v>خراسان رضوی</v>
      </c>
      <c r="E1394" s="5" t="str">
        <f>IFERROR(__xludf.DUMMYFUNCTION("""COMPUTED_VALUE"""),"مشهد ")</f>
        <v>مشهد </v>
      </c>
      <c r="F1394" s="5"/>
      <c r="G1394" s="5"/>
      <c r="H1394" s="6" t="str">
        <f>IFERROR(__xludf.DUMMYFUNCTION("""COMPUTED_VALUE"""),"https://www.instagram.com/beynolharamayn133_128")</f>
        <v>https://www.instagram.com/beynolharamayn133_128</v>
      </c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</row>
    <row r="1395">
      <c r="A1395" s="5"/>
      <c r="B1395" s="5" t="str">
        <f>IFERROR(__xludf.DUMMYFUNCTION("""COMPUTED_VALUE"""),"هیأت")</f>
        <v>هیأت</v>
      </c>
      <c r="C1395" s="5" t="str">
        <f>IFERROR(__xludf.DUMMYFUNCTION("""COMPUTED_VALUE"""),"جوانان محرم مشهد")</f>
        <v>جوانان محرم مشهد</v>
      </c>
      <c r="D1395" s="5" t="str">
        <f>IFERROR(__xludf.DUMMYFUNCTION("""COMPUTED_VALUE"""),"خراسان رضوی")</f>
        <v>خراسان رضوی</v>
      </c>
      <c r="E1395" s="5" t="str">
        <f>IFERROR(__xludf.DUMMYFUNCTION("""COMPUTED_VALUE"""),"مشهد")</f>
        <v>مشهد</v>
      </c>
      <c r="F1395" s="5"/>
      <c r="G1395" s="5"/>
      <c r="H1395" s="6" t="str">
        <f>IFERROR(__xludf.DUMMYFUNCTION("""COMPUTED_VALUE"""),"https://www.instagram.com/javanan_moharam")</f>
        <v>https://www.instagram.com/javanan_moharam</v>
      </c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</row>
    <row r="1396">
      <c r="A1396" s="5"/>
      <c r="B1396" s="5" t="str">
        <f>IFERROR(__xludf.DUMMYFUNCTION("""COMPUTED_VALUE"""),"هیأت")</f>
        <v>هیأت</v>
      </c>
      <c r="C1396" s="5" t="str">
        <f>IFERROR(__xludf.DUMMYFUNCTION("""COMPUTED_VALUE"""),"جوانان انصار الحسین")</f>
        <v>جوانان انصار الحسین</v>
      </c>
      <c r="D1396" s="5" t="str">
        <f>IFERROR(__xludf.DUMMYFUNCTION("""COMPUTED_VALUE"""),"خراسان رضوی")</f>
        <v>خراسان رضوی</v>
      </c>
      <c r="E1396" s="5" t="str">
        <f>IFERROR(__xludf.DUMMYFUNCTION("""COMPUTED_VALUE"""),"مشهد")</f>
        <v>مشهد</v>
      </c>
      <c r="F1396" s="5"/>
      <c r="G1396" s="5"/>
      <c r="H1396" s="5"/>
      <c r="I1396" s="5"/>
      <c r="J1396" s="6" t="str">
        <f>IFERROR(__xludf.DUMMYFUNCTION("""COMPUTED_VALUE"""),"https://eitaa.com/javanan_ansarol_hosein")</f>
        <v>https://eitaa.com/javanan_ansarol_hosein</v>
      </c>
      <c r="K1396" s="5"/>
      <c r="L1396" s="5"/>
      <c r="M1396" s="5"/>
      <c r="N1396" s="5"/>
      <c r="O1396" s="5"/>
      <c r="P1396" s="5"/>
      <c r="Q1396" s="5"/>
      <c r="R1396" s="5"/>
      <c r="S1396" s="5"/>
    </row>
    <row r="1397">
      <c r="A1397" s="5"/>
      <c r="B1397" s="5" t="str">
        <f>IFERROR(__xludf.DUMMYFUNCTION("""COMPUTED_VALUE"""),"هیأت")</f>
        <v>هیأت</v>
      </c>
      <c r="C1397" s="5" t="str">
        <f>IFERROR(__xludf.DUMMYFUNCTION("""COMPUTED_VALUE"""),"جوانان محبان الرقیه")</f>
        <v>جوانان محبان الرقیه</v>
      </c>
      <c r="D1397" s="5" t="str">
        <f>IFERROR(__xludf.DUMMYFUNCTION("""COMPUTED_VALUE"""),"خراسان رضوی ")</f>
        <v>خراسان رضوی </v>
      </c>
      <c r="E1397" s="5" t="str">
        <f>IFERROR(__xludf.DUMMYFUNCTION("""COMPUTED_VALUE"""),"مشهد")</f>
        <v>مشهد</v>
      </c>
      <c r="F1397" s="5"/>
      <c r="G1397" s="5"/>
      <c r="H1397" s="6" t="str">
        <f>IFERROR(__xludf.DUMMYFUNCTION("""COMPUTED_VALUE"""),"https://www.instagram.com/moheban_al_roghaye")</f>
        <v>https://www.instagram.com/moheban_al_roghaye</v>
      </c>
      <c r="I1397" s="6" t="str">
        <f>IFERROR(__xludf.DUMMYFUNCTION("""COMPUTED_VALUE"""),"https://t.me/MohebanAlroghay")</f>
        <v>https://t.me/MohebanAlroghay</v>
      </c>
      <c r="J1397" s="5"/>
      <c r="K1397" s="5"/>
      <c r="L1397" s="5"/>
      <c r="M1397" s="5"/>
      <c r="N1397" s="5"/>
      <c r="O1397" s="5"/>
      <c r="P1397" s="5"/>
      <c r="Q1397" s="5"/>
      <c r="R1397" s="5"/>
      <c r="S1397" s="5"/>
    </row>
    <row r="1398">
      <c r="A1398" s="5"/>
      <c r="B1398" s="5" t="str">
        <f>IFERROR(__xludf.DUMMYFUNCTION("""COMPUTED_VALUE"""),"هیأت")</f>
        <v>هیأت</v>
      </c>
      <c r="C1398" s="5" t="str">
        <f>IFERROR(__xludf.DUMMYFUNCTION("""COMPUTED_VALUE"""),"جوانان آل یاسین سبزه مشهد")</f>
        <v>جوانان آل یاسین سبزه مشهد</v>
      </c>
      <c r="D1398" s="5" t="str">
        <f>IFERROR(__xludf.DUMMYFUNCTION("""COMPUTED_VALUE"""),"خراسان رضوی")</f>
        <v>خراسان رضوی</v>
      </c>
      <c r="E1398" s="5" t="str">
        <f>IFERROR(__xludf.DUMMYFUNCTION("""COMPUTED_VALUE"""),"مشهد")</f>
        <v>مشهد</v>
      </c>
      <c r="F1398" s="5"/>
      <c r="G1398" s="5"/>
      <c r="H1398" s="6" t="str">
        <f>IFERROR(__xludf.DUMMYFUNCTION("""COMPUTED_VALUE"""),"https://www.instagram.com/javananaleyasin")</f>
        <v>https://www.instagram.com/javananaleyasin</v>
      </c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</row>
    <row r="1399">
      <c r="A1399" s="5"/>
      <c r="B1399" s="5" t="str">
        <f>IFERROR(__xludf.DUMMYFUNCTION("""COMPUTED_VALUE"""),"هیأت")</f>
        <v>هیأت</v>
      </c>
      <c r="C1399" s="5" t="str">
        <f>IFERROR(__xludf.DUMMYFUNCTION("""COMPUTED_VALUE"""),"فاطمیون")</f>
        <v>فاطمیون</v>
      </c>
      <c r="D1399" s="5" t="str">
        <f>IFERROR(__xludf.DUMMYFUNCTION("""COMPUTED_VALUE"""),"خراسان رضوی")</f>
        <v>خراسان رضوی</v>
      </c>
      <c r="E1399" s="5" t="str">
        <f>IFERROR(__xludf.DUMMYFUNCTION("""COMPUTED_VALUE"""),"مشهد")</f>
        <v>مشهد</v>
      </c>
      <c r="F1399" s="5"/>
      <c r="G1399" s="5"/>
      <c r="H1399" s="6" t="str">
        <f>IFERROR(__xludf.DUMMYFUNCTION("""COMPUTED_VALUE"""),"https://www.instagram.com/fatemiuonmashhad_313")</f>
        <v>https://www.instagram.com/fatemiuonmashhad_313</v>
      </c>
      <c r="I1399" s="6" t="str">
        <f>IFERROR(__xludf.DUMMYFUNCTION("""COMPUTED_VALUE"""),"https://t.me/Fatemiuon_mashhad")</f>
        <v>https://t.me/Fatemiuon_mashhad</v>
      </c>
      <c r="J1399" s="5"/>
      <c r="K1399" s="5"/>
      <c r="L1399" s="5"/>
      <c r="M1399" s="5"/>
      <c r="N1399" s="5"/>
      <c r="O1399" s="5"/>
      <c r="P1399" s="5"/>
      <c r="Q1399" s="5"/>
      <c r="R1399" s="5"/>
      <c r="S1399" s="5"/>
    </row>
    <row r="1400">
      <c r="A1400" s="5"/>
      <c r="B1400" s="5" t="str">
        <f>IFERROR(__xludf.DUMMYFUNCTION("""COMPUTED_VALUE"""),"هیأت")</f>
        <v>هیأت</v>
      </c>
      <c r="C1400" s="5" t="str">
        <f>IFERROR(__xludf.DUMMYFUNCTION("""COMPUTED_VALUE"""),"مطیع أمر رهبر")</f>
        <v>مطیع أمر رهبر</v>
      </c>
      <c r="D1400" s="5" t="str">
        <f>IFERROR(__xludf.DUMMYFUNCTION("""COMPUTED_VALUE"""),"خراسان رضوی")</f>
        <v>خراسان رضوی</v>
      </c>
      <c r="E1400" s="5" t="str">
        <f>IFERROR(__xludf.DUMMYFUNCTION("""COMPUTED_VALUE"""),"مشهد")</f>
        <v>مشهد</v>
      </c>
      <c r="F1400" s="5"/>
      <c r="G1400" s="5"/>
      <c r="H1400" s="6" t="str">
        <f>IFERROR(__xludf.DUMMYFUNCTION("""COMPUTED_VALUE"""),"https://www.instagram.com/motie_amr")</f>
        <v>https://www.instagram.com/motie_amr</v>
      </c>
      <c r="I1400" s="6" t="str">
        <f>IFERROR(__xludf.DUMMYFUNCTION("""COMPUTED_VALUE"""),"https://t.me/motie_amr")</f>
        <v>https://t.me/motie_amr</v>
      </c>
      <c r="J1400" s="5"/>
      <c r="K1400" s="5"/>
      <c r="L1400" s="5"/>
      <c r="M1400" s="5"/>
      <c r="N1400" s="5"/>
      <c r="O1400" s="5"/>
      <c r="P1400" s="5"/>
      <c r="Q1400" s="5"/>
      <c r="R1400" s="5"/>
      <c r="S1400" s="5"/>
    </row>
    <row r="1401">
      <c r="A1401" s="5"/>
      <c r="B1401" s="5" t="str">
        <f>IFERROR(__xludf.DUMMYFUNCTION("""COMPUTED_VALUE"""),"هیأت")</f>
        <v>هیأت</v>
      </c>
      <c r="C1401" s="5" t="str">
        <f>IFERROR(__xludf.DUMMYFUNCTION("""COMPUTED_VALUE"""),"جوانان صراط الحسین")</f>
        <v>جوانان صراط الحسین</v>
      </c>
      <c r="D1401" s="5" t="str">
        <f>IFERROR(__xludf.DUMMYFUNCTION("""COMPUTED_VALUE"""),"خراسان رضوی")</f>
        <v>خراسان رضوی</v>
      </c>
      <c r="E1401" s="5" t="str">
        <f>IFERROR(__xludf.DUMMYFUNCTION("""COMPUTED_VALUE"""),"مشهد ")</f>
        <v>مشهد </v>
      </c>
      <c r="F1401" s="5"/>
      <c r="G1401" s="5"/>
      <c r="H1401" s="6" t="str">
        <f>IFERROR(__xludf.DUMMYFUNCTION("""COMPUTED_VALUE"""),"https://www.instagram.com/nojavanansratalhossein_ir")</f>
        <v>https://www.instagram.com/nojavanansratalhossein_ir</v>
      </c>
      <c r="I1401" s="6" t="str">
        <f>IFERROR(__xludf.DUMMYFUNCTION("""COMPUTED_VALUE"""),"https://t.me/nojavananalhosein")</f>
        <v>https://t.me/nojavananalhosein</v>
      </c>
      <c r="J1401" s="6" t="str">
        <f>IFERROR(__xludf.DUMMYFUNCTION("""COMPUTED_VALUE"""),"https://eitaa.com/nojavananalhosein")</f>
        <v>https://eitaa.com/nojavananalhosein</v>
      </c>
      <c r="K1401" s="5"/>
      <c r="L1401" s="5"/>
      <c r="M1401" s="5"/>
      <c r="N1401" s="5"/>
      <c r="O1401" s="5"/>
      <c r="P1401" s="5"/>
      <c r="Q1401" s="5"/>
      <c r="R1401" s="5"/>
      <c r="S1401" s="5"/>
    </row>
    <row r="1402">
      <c r="A1402" s="5"/>
      <c r="B1402" s="5" t="str">
        <f>IFERROR(__xludf.DUMMYFUNCTION("""COMPUTED_VALUE"""),"هیأت")</f>
        <v>هیأت</v>
      </c>
      <c r="C1402" s="5" t="str">
        <f>IFERROR(__xludf.DUMMYFUNCTION("""COMPUTED_VALUE"""),"مکتب البکاء")</f>
        <v>مکتب البکاء</v>
      </c>
      <c r="D1402" s="5" t="str">
        <f>IFERROR(__xludf.DUMMYFUNCTION("""COMPUTED_VALUE"""),"خراسان رضوی")</f>
        <v>خراسان رضوی</v>
      </c>
      <c r="E1402" s="5" t="str">
        <f>IFERROR(__xludf.DUMMYFUNCTION("""COMPUTED_VALUE"""),"مشهد")</f>
        <v>مشهد</v>
      </c>
      <c r="F1402" s="5"/>
      <c r="G1402" s="5"/>
      <c r="H1402" s="6" t="str">
        <f>IFERROR(__xludf.DUMMYFUNCTION("""COMPUTED_VALUE"""),"https://www.instagram.com/alemehinfo")</f>
        <v>https://www.instagram.com/alemehinfo</v>
      </c>
      <c r="I1402" s="6" t="str">
        <f>IFERROR(__xludf.DUMMYFUNCTION("""COMPUTED_VALUE"""),"https://t.me/alemehinfo")</f>
        <v>https://t.me/alemehinfo</v>
      </c>
      <c r="J1402" s="5"/>
      <c r="K1402" s="5"/>
      <c r="L1402" s="5"/>
      <c r="M1402" s="5"/>
      <c r="N1402" s="5"/>
      <c r="O1402" s="5"/>
      <c r="P1402" s="5"/>
      <c r="Q1402" s="5"/>
      <c r="R1402" s="5"/>
      <c r="S1402" s="5"/>
    </row>
    <row r="1403">
      <c r="A1403" s="5"/>
      <c r="B1403" s="5" t="str">
        <f>IFERROR(__xludf.DUMMYFUNCTION("""COMPUTED_VALUE"""),"هیأت")</f>
        <v>هیأت</v>
      </c>
      <c r="C1403" s="5" t="str">
        <f>IFERROR(__xludf.DUMMYFUNCTION("""COMPUTED_VALUE"""),"اباعبدالله الحسین ")</f>
        <v>اباعبدالله الحسین </v>
      </c>
      <c r="D1403" s="5" t="str">
        <f>IFERROR(__xludf.DUMMYFUNCTION("""COMPUTED_VALUE"""),"خراسان رضوی")</f>
        <v>خراسان رضوی</v>
      </c>
      <c r="E1403" s="5" t="str">
        <f>IFERROR(__xludf.DUMMYFUNCTION("""COMPUTED_VALUE"""),"مشهد")</f>
        <v>مشهد</v>
      </c>
      <c r="F1403" s="5"/>
      <c r="G1403" s="5"/>
      <c r="H1403" s="5"/>
      <c r="I1403" s="6" t="str">
        <f>IFERROR(__xludf.DUMMYFUNCTION("""COMPUTED_VALUE"""),"https://t.me/h_asheqan")</f>
        <v>https://t.me/h_asheqan</v>
      </c>
      <c r="J1403" s="6" t="str">
        <f>IFERROR(__xludf.DUMMYFUNCTION("""COMPUTED_VALUE"""),"https://eitaa.com/ashegan313")</f>
        <v>https://eitaa.com/ashegan313</v>
      </c>
      <c r="K1403" s="5"/>
      <c r="L1403" s="5"/>
      <c r="M1403" s="5"/>
      <c r="N1403" s="5"/>
      <c r="O1403" s="5"/>
      <c r="P1403" s="5"/>
      <c r="Q1403" s="5"/>
      <c r="R1403" s="5"/>
      <c r="S1403" s="5"/>
    </row>
    <row r="1404">
      <c r="A1404" s="5"/>
      <c r="B1404" s="5" t="str">
        <f>IFERROR(__xludf.DUMMYFUNCTION("""COMPUTED_VALUE"""),"هیأت")</f>
        <v>هیأت</v>
      </c>
      <c r="C1404" s="5" t="str">
        <f>IFERROR(__xludf.DUMMYFUNCTION("""COMPUTED_VALUE"""),"ابوالفضلی ")</f>
        <v>ابوالفضلی </v>
      </c>
      <c r="D1404" s="5" t="str">
        <f>IFERROR(__xludf.DUMMYFUNCTION("""COMPUTED_VALUE"""),"خراسان رضوی")</f>
        <v>خراسان رضوی</v>
      </c>
      <c r="E1404" s="5" t="str">
        <f>IFERROR(__xludf.DUMMYFUNCTION("""COMPUTED_VALUE"""),"مشهد")</f>
        <v>مشهد</v>
      </c>
      <c r="F1404" s="5"/>
      <c r="G1404" s="5"/>
      <c r="H1404" s="6" t="str">
        <f>IFERROR(__xludf.DUMMYFUNCTION("""COMPUTED_VALUE"""),"https://www.instagram.com/hoseiniyemashhad")</f>
        <v>https://www.instagram.com/hoseiniyemashhad</v>
      </c>
      <c r="I1404" s="6" t="str">
        <f>IFERROR(__xludf.DUMMYFUNCTION("""COMPUTED_VALUE"""),"https://t.me/hoseiniyemashhad")</f>
        <v>https://t.me/hoseiniyemashhad</v>
      </c>
      <c r="J1404" s="6" t="str">
        <f>IFERROR(__xludf.DUMMYFUNCTION("""COMPUTED_VALUE"""),"https://eitaa.com/hoseiniyemashhad1")</f>
        <v>https://eitaa.com/hoseiniyemashhad1</v>
      </c>
      <c r="K1404" s="5"/>
      <c r="L1404" s="5"/>
      <c r="M1404" s="5"/>
      <c r="N1404" s="5"/>
      <c r="O1404" s="5"/>
      <c r="P1404" s="5"/>
      <c r="Q1404" s="5"/>
      <c r="R1404" s="5"/>
      <c r="S1404" s="5"/>
    </row>
    <row r="1405">
      <c r="A1405" s="5"/>
      <c r="B1405" s="5" t="str">
        <f>IFERROR(__xludf.DUMMYFUNCTION("""COMPUTED_VALUE"""),"هیأت دانشجویی")</f>
        <v>هیأت دانشجویی</v>
      </c>
      <c r="C1405" s="5" t="str">
        <f>IFERROR(__xludf.DUMMYFUNCTION("""COMPUTED_VALUE"""),"أبناء الزهرا")</f>
        <v>أبناء الزهرا</v>
      </c>
      <c r="D1405" s="5" t="str">
        <f>IFERROR(__xludf.DUMMYFUNCTION("""COMPUTED_VALUE"""),"خراسان رضوی")</f>
        <v>خراسان رضوی</v>
      </c>
      <c r="E1405" s="5" t="str">
        <f>IFERROR(__xludf.DUMMYFUNCTION("""COMPUTED_VALUE"""),"مشهد")</f>
        <v>مشهد</v>
      </c>
      <c r="F1405" s="5"/>
      <c r="G1405" s="5"/>
      <c r="H1405" s="6" t="str">
        <f>IFERROR(__xludf.DUMMYFUNCTION("""COMPUTED_VALUE"""),"http://Instagram.com/heyatabna")</f>
        <v>http://Instagram.com/heyatabna</v>
      </c>
      <c r="I1405" s="6" t="str">
        <f>IFERROR(__xludf.DUMMYFUNCTION("""COMPUTED_VALUE"""),"https://t.me/heyatabna")</f>
        <v>https://t.me/heyatabna</v>
      </c>
      <c r="J1405" s="6" t="str">
        <f>IFERROR(__xludf.DUMMYFUNCTION("""COMPUTED_VALUE"""),"https://eitaa.com/heyatabna")</f>
        <v>https://eitaa.com/heyatabna</v>
      </c>
      <c r="K1405" s="5"/>
      <c r="L1405" s="5"/>
      <c r="M1405" s="5"/>
      <c r="N1405" s="5"/>
      <c r="O1405" s="5"/>
      <c r="P1405" s="5"/>
      <c r="Q1405" s="5"/>
      <c r="R1405" s="5"/>
      <c r="S1405" s="5"/>
    </row>
    <row r="1406">
      <c r="A1406" s="5"/>
      <c r="B1406" s="5" t="str">
        <f>IFERROR(__xludf.DUMMYFUNCTION("""COMPUTED_VALUE"""),"هیأت")</f>
        <v>هیأت</v>
      </c>
      <c r="C1406" s="5" t="str">
        <f>IFERROR(__xludf.DUMMYFUNCTION("""COMPUTED_VALUE"""),"أبنا الرسول")</f>
        <v>أبنا الرسول</v>
      </c>
      <c r="D1406" s="5" t="str">
        <f>IFERROR(__xludf.DUMMYFUNCTION("""COMPUTED_VALUE"""),"خراسان رضوی")</f>
        <v>خراسان رضوی</v>
      </c>
      <c r="E1406" s="5" t="str">
        <f>IFERROR(__xludf.DUMMYFUNCTION("""COMPUTED_VALUE"""),"مشهد")</f>
        <v>مشهد</v>
      </c>
      <c r="F1406" s="5"/>
      <c r="G1406" s="5"/>
      <c r="H1406" s="6" t="str">
        <f>IFERROR(__xludf.DUMMYFUNCTION("""COMPUTED_VALUE"""),"https://www.instagram.com/heyatalrasool")</f>
        <v>https://www.instagram.com/heyatalrasool</v>
      </c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</row>
    <row r="1407">
      <c r="A1407" s="5"/>
      <c r="B1407" s="5" t="str">
        <f>IFERROR(__xludf.DUMMYFUNCTION("""COMPUTED_VALUE"""),"هیأت")</f>
        <v>هیأت</v>
      </c>
      <c r="C1407" s="5" t="str">
        <f>IFERROR(__xludf.DUMMYFUNCTION("""COMPUTED_VALUE"""),"احباب رضا")</f>
        <v>احباب رضا</v>
      </c>
      <c r="D1407" s="5" t="str">
        <f>IFERROR(__xludf.DUMMYFUNCTION("""COMPUTED_VALUE"""),"خراسان رضوی")</f>
        <v>خراسان رضوی</v>
      </c>
      <c r="E1407" s="5" t="str">
        <f>IFERROR(__xludf.DUMMYFUNCTION("""COMPUTED_VALUE"""),"مشهد")</f>
        <v>مشهد</v>
      </c>
      <c r="F1407" s="5"/>
      <c r="G1407" s="5"/>
      <c r="H1407" s="5"/>
      <c r="I1407" s="5"/>
      <c r="J1407" s="6" t="str">
        <f>IFERROR(__xludf.DUMMYFUNCTION("""COMPUTED_VALUE"""),"https://eitaa.com/ahbab_alrezaa")</f>
        <v>https://eitaa.com/ahbab_alrezaa</v>
      </c>
      <c r="K1407" s="5"/>
      <c r="L1407" s="6" t="str">
        <f>IFERROR(__xludf.DUMMYFUNCTION("""COMPUTED_VALUE"""),"https://zil.ink/ahbab_alrezaa")</f>
        <v>https://zil.ink/ahbab_alrezaa</v>
      </c>
      <c r="M1407" s="5"/>
      <c r="N1407" s="5"/>
      <c r="O1407" s="5"/>
      <c r="P1407" s="5"/>
      <c r="Q1407" s="5"/>
      <c r="R1407" s="5"/>
      <c r="S1407" s="5"/>
    </row>
    <row r="1408">
      <c r="A1408" s="5"/>
      <c r="B1408" s="5" t="str">
        <f>IFERROR(__xludf.DUMMYFUNCTION("""COMPUTED_VALUE"""),"هیأت")</f>
        <v>هیأت</v>
      </c>
      <c r="C1408" s="5" t="str">
        <f>IFERROR(__xludf.DUMMYFUNCTION("""COMPUTED_VALUE""")," ارادتمندان حضرت زهرا")</f>
        <v> ارادتمندان حضرت زهرا</v>
      </c>
      <c r="D1408" s="5" t="str">
        <f>IFERROR(__xludf.DUMMYFUNCTION("""COMPUTED_VALUE"""),"خراسان رضوی")</f>
        <v>خراسان رضوی</v>
      </c>
      <c r="E1408" s="5" t="str">
        <f>IFERROR(__xludf.DUMMYFUNCTION("""COMPUTED_VALUE"""),"مشهد")</f>
        <v>مشهد</v>
      </c>
      <c r="F1408" s="5"/>
      <c r="G1408" s="5"/>
      <c r="H1408" s="6" t="str">
        <f>IFERROR(__xludf.DUMMYFUNCTION("""COMPUTED_VALUE"""),"https://www.instagram.com/eradatmandan_135")</f>
        <v>https://www.instagram.com/eradatmandan_135</v>
      </c>
      <c r="I1408" s="6" t="str">
        <f>IFERROR(__xludf.DUMMYFUNCTION("""COMPUTED_VALUE"""),"https://t.me/alirezajafari_chanel")</f>
        <v>https://t.me/alirezajafari_chanel</v>
      </c>
      <c r="J1408" s="5"/>
      <c r="K1408" s="5"/>
      <c r="L1408" s="5"/>
      <c r="M1408" s="5"/>
      <c r="N1408" s="5"/>
      <c r="O1408" s="5"/>
      <c r="P1408" s="5"/>
      <c r="Q1408" s="5"/>
      <c r="R1408" s="5"/>
      <c r="S1408" s="5"/>
    </row>
    <row r="1409">
      <c r="A1409" s="5"/>
      <c r="B1409" s="5" t="str">
        <f>IFERROR(__xludf.DUMMYFUNCTION("""COMPUTED_VALUE"""),"هیأت")</f>
        <v>هیأت</v>
      </c>
      <c r="C1409" s="5" t="str">
        <f>IFERROR(__xludf.DUMMYFUNCTION("""COMPUTED_VALUE""")," ام ابیها")</f>
        <v> ام ابیها</v>
      </c>
      <c r="D1409" s="5" t="str">
        <f>IFERROR(__xludf.DUMMYFUNCTION("""COMPUTED_VALUE"""),"خراسان رضوی")</f>
        <v>خراسان رضوی</v>
      </c>
      <c r="E1409" s="5" t="str">
        <f>IFERROR(__xludf.DUMMYFUNCTION("""COMPUTED_VALUE"""),"مشهد")</f>
        <v>مشهد</v>
      </c>
      <c r="F1409" s="5"/>
      <c r="G1409" s="5"/>
      <c r="H1409" s="6" t="str">
        <f>IFERROR(__xludf.DUMMYFUNCTION("""COMPUTED_VALUE"""),"https://www.instagram.com/ome_abiha213")</f>
        <v>https://www.instagram.com/ome_abiha213</v>
      </c>
      <c r="I1409" s="6" t="str">
        <f>IFERROR(__xludf.DUMMYFUNCTION("""COMPUTED_VALUE"""),"https://t.me/Ome_Abiha213")</f>
        <v>https://t.me/Ome_Abiha213</v>
      </c>
      <c r="J1409" s="6" t="str">
        <f>IFERROR(__xludf.DUMMYFUNCTION("""COMPUTED_VALUE"""),"https://eitaa.com/ome_abiha213")</f>
        <v>https://eitaa.com/ome_abiha213</v>
      </c>
      <c r="K1409" s="5"/>
      <c r="L1409" s="5"/>
      <c r="M1409" s="5"/>
      <c r="N1409" s="5"/>
      <c r="O1409" s="5"/>
      <c r="P1409" s="5"/>
      <c r="Q1409" s="5"/>
      <c r="R1409" s="5"/>
      <c r="S1409" s="5"/>
    </row>
    <row r="1410">
      <c r="A1410" s="5"/>
      <c r="B1410" s="5" t="str">
        <f>IFERROR(__xludf.DUMMYFUNCTION("""COMPUTED_VALUE"""),"هیأت")</f>
        <v>هیأت</v>
      </c>
      <c r="C1410" s="5" t="str">
        <f>IFERROR(__xludf.DUMMYFUNCTION("""COMPUTED_VALUE"""),"بیت الصاذق")</f>
        <v>بیت الصاذق</v>
      </c>
      <c r="D1410" s="5" t="str">
        <f>IFERROR(__xludf.DUMMYFUNCTION("""COMPUTED_VALUE"""),"خراسان رضوی")</f>
        <v>خراسان رضوی</v>
      </c>
      <c r="E1410" s="5" t="str">
        <f>IFERROR(__xludf.DUMMYFUNCTION("""COMPUTED_VALUE"""),"مشهد")</f>
        <v>مشهد</v>
      </c>
      <c r="F1410" s="5"/>
      <c r="G1410" s="5"/>
      <c r="H1410" s="6" t="str">
        <f>IFERROR(__xludf.DUMMYFUNCTION("""COMPUTED_VALUE"""),"https://www.instagram.com/_beyt_ol_sadegh")</f>
        <v>https://www.instagram.com/_beyt_ol_sadegh</v>
      </c>
      <c r="I1410" s="6" t="str">
        <f>IFERROR(__xludf.DUMMYFUNCTION("""COMPUTED_VALUE"""),"https://t.me/beyt_sadegh_mashhad")</f>
        <v>https://t.me/beyt_sadegh_mashhad</v>
      </c>
      <c r="J1410" s="5"/>
      <c r="K1410" s="5"/>
      <c r="L1410" s="5"/>
      <c r="M1410" s="5"/>
      <c r="N1410" s="5"/>
      <c r="O1410" s="5"/>
      <c r="P1410" s="5"/>
      <c r="Q1410" s="5"/>
      <c r="R1410" s="5"/>
      <c r="S1410" s="5"/>
    </row>
    <row r="1411">
      <c r="A1411" s="5"/>
      <c r="B1411" s="5" t="str">
        <f>IFERROR(__xludf.DUMMYFUNCTION("""COMPUTED_VALUE"""),"هیأت")</f>
        <v>هیأت</v>
      </c>
      <c r="C1411" s="5" t="str">
        <f>IFERROR(__xludf.DUMMYFUNCTION("""COMPUTED_VALUE"""),"امام رضا ")</f>
        <v>امام رضا </v>
      </c>
      <c r="D1411" s="5" t="str">
        <f>IFERROR(__xludf.DUMMYFUNCTION("""COMPUTED_VALUE"""),"خراسان رضوی")</f>
        <v>خراسان رضوی</v>
      </c>
      <c r="E1411" s="5" t="str">
        <f>IFERROR(__xludf.DUMMYFUNCTION("""COMPUTED_VALUE"""),"مشهد")</f>
        <v>مشهد</v>
      </c>
      <c r="F1411" s="5"/>
      <c r="G1411" s="5"/>
      <c r="H1411" s="5"/>
      <c r="I1411" s="6" t="str">
        <f>IFERROR(__xludf.DUMMYFUNCTION("""COMPUTED_VALUE"""),"https://t.me/heiatemamreza")</f>
        <v>https://t.me/heiatemamreza</v>
      </c>
      <c r="J1411" s="5"/>
      <c r="K1411" s="5"/>
      <c r="L1411" s="5"/>
      <c r="M1411" s="5"/>
      <c r="N1411" s="5"/>
      <c r="O1411" s="5"/>
      <c r="P1411" s="5"/>
      <c r="Q1411" s="5"/>
      <c r="R1411" s="5"/>
      <c r="S1411" s="5"/>
    </row>
    <row r="1412">
      <c r="A1412" s="5"/>
      <c r="B1412" s="5" t="str">
        <f>IFERROR(__xludf.DUMMYFUNCTION("""COMPUTED_VALUE"""),"هیأت ")</f>
        <v>هیأت </v>
      </c>
      <c r="C1412" s="5" t="str">
        <f>IFERROR(__xludf.DUMMYFUNCTION("""COMPUTED_VALUE"""),"امام سجاد")</f>
        <v>امام سجاد</v>
      </c>
      <c r="D1412" s="5" t="str">
        <f>IFERROR(__xludf.DUMMYFUNCTION("""COMPUTED_VALUE"""),"خراسان رضوی")</f>
        <v>خراسان رضوی</v>
      </c>
      <c r="E1412" s="5" t="str">
        <f>IFERROR(__xludf.DUMMYFUNCTION("""COMPUTED_VALUE"""),"مشهد")</f>
        <v>مشهد</v>
      </c>
      <c r="F1412" s="5"/>
      <c r="G1412" s="5"/>
      <c r="H1412" s="5"/>
      <c r="I1412" s="5"/>
      <c r="J1412" s="6" t="str">
        <f>IFERROR(__xludf.DUMMYFUNCTION("""COMPUTED_VALUE"""),"https://eitaa.com/imamsajjad1391")</f>
        <v>https://eitaa.com/imamsajjad1391</v>
      </c>
      <c r="K1412" s="5"/>
      <c r="L1412" s="5"/>
      <c r="M1412" s="5"/>
      <c r="N1412" s="5"/>
      <c r="O1412" s="5"/>
      <c r="P1412" s="5"/>
      <c r="Q1412" s="5"/>
      <c r="R1412" s="5"/>
      <c r="S1412" s="5"/>
    </row>
    <row r="1413">
      <c r="A1413" s="5"/>
      <c r="B1413" s="5" t="str">
        <f>IFERROR(__xludf.DUMMYFUNCTION("""COMPUTED_VALUE"""),"هیأت")</f>
        <v>هیأت</v>
      </c>
      <c r="C1413" s="5" t="str">
        <f>IFERROR(__xludf.DUMMYFUNCTION("""COMPUTED_VALUE"""),"انصار الحسین ")</f>
        <v>انصار الحسین </v>
      </c>
      <c r="D1413" s="5" t="str">
        <f>IFERROR(__xludf.DUMMYFUNCTION("""COMPUTED_VALUE"""),"خراسان رضوی ")</f>
        <v>خراسان رضوی </v>
      </c>
      <c r="E1413" s="5" t="str">
        <f>IFERROR(__xludf.DUMMYFUNCTION("""COMPUTED_VALUE"""),"مشهد")</f>
        <v>مشهد</v>
      </c>
      <c r="F1413" s="5"/>
      <c r="G1413" s="5"/>
      <c r="H1413" s="6" t="str">
        <f>IFERROR(__xludf.DUMMYFUNCTION("""COMPUTED_VALUE"""),"https://www.instagram.com/ansaralhosein1382")</f>
        <v>https://www.instagram.com/ansaralhosein1382</v>
      </c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</row>
    <row r="1414">
      <c r="A1414" s="5"/>
      <c r="B1414" s="5" t="str">
        <f>IFERROR(__xludf.DUMMYFUNCTION("""COMPUTED_VALUE"""),"هیأت")</f>
        <v>هیأت</v>
      </c>
      <c r="C1414" s="5" t="str">
        <f>IFERROR(__xludf.DUMMYFUNCTION("""COMPUTED_VALUE"""),"انصار القائم")</f>
        <v>انصار القائم</v>
      </c>
      <c r="D1414" s="5" t="str">
        <f>IFERROR(__xludf.DUMMYFUNCTION("""COMPUTED_VALUE"""),"خراسان رضوی")</f>
        <v>خراسان رضوی</v>
      </c>
      <c r="E1414" s="5" t="str">
        <f>IFERROR(__xludf.DUMMYFUNCTION("""COMPUTED_VALUE"""),"مشهد")</f>
        <v>مشهد</v>
      </c>
      <c r="F1414" s="5"/>
      <c r="G1414" s="5"/>
      <c r="H1414" s="5"/>
      <c r="I1414" s="5"/>
      <c r="J1414" s="6" t="str">
        <f>IFERROR(__xludf.DUMMYFUNCTION("""COMPUTED_VALUE"""),"https://eitaa.com/ansar313ir")</f>
        <v>https://eitaa.com/ansar313ir</v>
      </c>
      <c r="K1414" s="5"/>
      <c r="L1414" s="5"/>
      <c r="M1414" s="5"/>
      <c r="N1414" s="5"/>
      <c r="O1414" s="5"/>
      <c r="P1414" s="5"/>
      <c r="Q1414" s="5"/>
      <c r="R1414" s="5"/>
      <c r="S1414" s="5"/>
    </row>
    <row r="1415">
      <c r="A1415" s="5"/>
      <c r="B1415" s="5" t="str">
        <f>IFERROR(__xludf.DUMMYFUNCTION("""COMPUTED_VALUE"""),"هیأت")</f>
        <v>هیأت</v>
      </c>
      <c r="C1415" s="5" t="str">
        <f>IFERROR(__xludf.DUMMYFUNCTION("""COMPUTED_VALUE"""),"انصار الأئمه ")</f>
        <v>انصار الأئمه </v>
      </c>
      <c r="D1415" s="5" t="str">
        <f>IFERROR(__xludf.DUMMYFUNCTION("""COMPUTED_VALUE"""),"خراسان رضوی ")</f>
        <v>خراسان رضوی </v>
      </c>
      <c r="E1415" s="5" t="str">
        <f>IFERROR(__xludf.DUMMYFUNCTION("""COMPUTED_VALUE"""),"مشهد")</f>
        <v>مشهد</v>
      </c>
      <c r="F1415" s="5"/>
      <c r="G1415" s="5"/>
      <c r="H1415" s="5"/>
      <c r="I1415" s="5"/>
      <c r="J1415" s="6" t="str">
        <f>IFERROR(__xludf.DUMMYFUNCTION("""COMPUTED_VALUE"""),"https://eitaa.com/ansarheyat313")</f>
        <v>https://eitaa.com/ansarheyat313</v>
      </c>
      <c r="K1415" s="5"/>
      <c r="L1415" s="5"/>
      <c r="M1415" s="5"/>
      <c r="N1415" s="5"/>
      <c r="O1415" s="5"/>
      <c r="P1415" s="5"/>
      <c r="Q1415" s="5"/>
      <c r="R1415" s="5"/>
      <c r="S1415" s="5"/>
    </row>
    <row r="1416">
      <c r="A1416" s="5"/>
      <c r="B1416" s="5" t="str">
        <f>IFERROR(__xludf.DUMMYFUNCTION("""COMPUTED_VALUE"""),"هیأت")</f>
        <v>هیأت</v>
      </c>
      <c r="C1416" s="5" t="str">
        <f>IFERROR(__xludf.DUMMYFUNCTION("""COMPUTED_VALUE""")," انصارالجواد")</f>
        <v> انصارالجواد</v>
      </c>
      <c r="D1416" s="5" t="str">
        <f>IFERROR(__xludf.DUMMYFUNCTION("""COMPUTED_VALUE"""),"خراسان رضوی")</f>
        <v>خراسان رضوی</v>
      </c>
      <c r="E1416" s="5" t="str">
        <f>IFERROR(__xludf.DUMMYFUNCTION("""COMPUTED_VALUE"""),"مشهد")</f>
        <v>مشهد</v>
      </c>
      <c r="F1416" s="5"/>
      <c r="G1416" s="5"/>
      <c r="H1416" s="5"/>
      <c r="I1416" s="5"/>
      <c r="J1416" s="6" t="str">
        <f>IFERROR(__xludf.DUMMYFUNCTION("""COMPUTED_VALUE"""),"https://eitaa.com/ansaroljavad")</f>
        <v>https://eitaa.com/ansaroljavad</v>
      </c>
      <c r="K1416" s="5"/>
      <c r="L1416" s="5"/>
      <c r="M1416" s="5"/>
      <c r="N1416" s="5"/>
      <c r="O1416" s="5"/>
      <c r="P1416" s="5"/>
      <c r="Q1416" s="5"/>
      <c r="R1416" s="5"/>
      <c r="S1416" s="5"/>
    </row>
    <row r="1417">
      <c r="A1417" s="5"/>
      <c r="B1417" s="5" t="str">
        <f>IFERROR(__xludf.DUMMYFUNCTION("""COMPUTED_VALUE"""),"هیأت")</f>
        <v>هیأت</v>
      </c>
      <c r="C1417" s="5" t="str">
        <f>IFERROR(__xludf.DUMMYFUNCTION("""COMPUTED_VALUE""")," انصارالحیدر")</f>
        <v> انصارالحیدر</v>
      </c>
      <c r="D1417" s="5" t="str">
        <f>IFERROR(__xludf.DUMMYFUNCTION("""COMPUTED_VALUE"""),"خراسان رضوی")</f>
        <v>خراسان رضوی</v>
      </c>
      <c r="E1417" s="5" t="str">
        <f>IFERROR(__xludf.DUMMYFUNCTION("""COMPUTED_VALUE"""),"مشهد")</f>
        <v>مشهد</v>
      </c>
      <c r="F1417" s="5"/>
      <c r="G1417" s="5"/>
      <c r="H1417" s="5"/>
      <c r="I1417" s="5"/>
      <c r="J1417" s="6" t="str">
        <f>IFERROR(__xludf.DUMMYFUNCTION("""COMPUTED_VALUE"""),"https://eitaa.com/ansaralhaydar")</f>
        <v>https://eitaa.com/ansaralhaydar</v>
      </c>
      <c r="K1417" s="5"/>
      <c r="L1417" s="5"/>
      <c r="M1417" s="5"/>
      <c r="N1417" s="5"/>
      <c r="O1417" s="5"/>
      <c r="P1417" s="5"/>
      <c r="Q1417" s="5"/>
      <c r="R1417" s="5"/>
      <c r="S1417" s="5"/>
    </row>
    <row r="1418">
      <c r="A1418" s="5"/>
      <c r="B1418" s="5" t="str">
        <f>IFERROR(__xludf.DUMMYFUNCTION("""COMPUTED_VALUE"""),"هیأت")</f>
        <v>هیأت</v>
      </c>
      <c r="C1418" s="5" t="str">
        <f>IFERROR(__xludf.DUMMYFUNCTION("""COMPUTED_VALUE""")," انصارالرقیه")</f>
        <v> انصارالرقیه</v>
      </c>
      <c r="D1418" s="5" t="str">
        <f>IFERROR(__xludf.DUMMYFUNCTION("""COMPUTED_VALUE"""),"خراسان رضوی")</f>
        <v>خراسان رضوی</v>
      </c>
      <c r="E1418" s="5" t="str">
        <f>IFERROR(__xludf.DUMMYFUNCTION("""COMPUTED_VALUE"""),"مشهد")</f>
        <v>مشهد</v>
      </c>
      <c r="F1418" s="5"/>
      <c r="G1418" s="5"/>
      <c r="H1418" s="6" t="str">
        <f>IFERROR(__xludf.DUMMYFUNCTION("""COMPUTED_VALUE"""),"https://www.instagram.com/ansar_alroqaye")</f>
        <v>https://www.instagram.com/ansar_alroqaye</v>
      </c>
      <c r="I1418" s="6" t="str">
        <f>IFERROR(__xludf.DUMMYFUNCTION("""COMPUTED_VALUE"""),"https://t.me/ansaralroqaye")</f>
        <v>https://t.me/ansaralroqaye</v>
      </c>
      <c r="J1418" s="5"/>
      <c r="K1418" s="5"/>
      <c r="L1418" s="5"/>
      <c r="M1418" s="5"/>
      <c r="N1418" s="5"/>
      <c r="O1418" s="5"/>
      <c r="P1418" s="5"/>
      <c r="Q1418" s="5"/>
      <c r="R1418" s="5"/>
      <c r="S1418" s="5"/>
    </row>
    <row r="1419">
      <c r="A1419" s="5"/>
      <c r="B1419" s="5" t="str">
        <f>IFERROR(__xludf.DUMMYFUNCTION("""COMPUTED_VALUE"""),"هیأت")</f>
        <v>هیأت</v>
      </c>
      <c r="C1419" s="5" t="str">
        <f>IFERROR(__xludf.DUMMYFUNCTION("""COMPUTED_VALUE""")," انصارالمهدی")</f>
        <v> انصارالمهدی</v>
      </c>
      <c r="D1419" s="5" t="str">
        <f>IFERROR(__xludf.DUMMYFUNCTION("""COMPUTED_VALUE"""),"خراسان رضوی")</f>
        <v>خراسان رضوی</v>
      </c>
      <c r="E1419" s="5" t="str">
        <f>IFERROR(__xludf.DUMMYFUNCTION("""COMPUTED_VALUE"""),"مشهد")</f>
        <v>مشهد</v>
      </c>
      <c r="F1419" s="5"/>
      <c r="G1419" s="5"/>
      <c r="H1419" s="6" t="str">
        <f>IFERROR(__xludf.DUMMYFUNCTION("""COMPUTED_VALUE"""),"https://www.instagram.com/ansaralmahdi_mashhad")</f>
        <v>https://www.instagram.com/ansaralmahdi_mashhad</v>
      </c>
      <c r="I1419" s="6" t="str">
        <f>IFERROR(__xludf.DUMMYFUNCTION("""COMPUTED_VALUE"""),"https://t.me/ansaralmahdi_mashhad")</f>
        <v>https://t.me/ansaralmahdi_mashhad</v>
      </c>
      <c r="J1419" s="5"/>
      <c r="K1419" s="5"/>
      <c r="L1419" s="5"/>
      <c r="M1419" s="5"/>
      <c r="N1419" s="5"/>
      <c r="O1419" s="5"/>
      <c r="P1419" s="5"/>
      <c r="Q1419" s="5"/>
      <c r="R1419" s="5"/>
      <c r="S1419" s="5"/>
    </row>
    <row r="1420">
      <c r="A1420" s="5"/>
      <c r="B1420" s="5" t="str">
        <f>IFERROR(__xludf.DUMMYFUNCTION("""COMPUTED_VALUE"""),"هیأت")</f>
        <v>هیأت</v>
      </c>
      <c r="C1420" s="5" t="str">
        <f>IFERROR(__xludf.DUMMYFUNCTION("""COMPUTED_VALUE""")," انصارالهادی")</f>
        <v> انصارالهادی</v>
      </c>
      <c r="D1420" s="5" t="str">
        <f>IFERROR(__xludf.DUMMYFUNCTION("""COMPUTED_VALUE"""),"خراسان رضوی")</f>
        <v>خراسان رضوی</v>
      </c>
      <c r="E1420" s="5" t="str">
        <f>IFERROR(__xludf.DUMMYFUNCTION("""COMPUTED_VALUE"""),"مشهد")</f>
        <v>مشهد</v>
      </c>
      <c r="F1420" s="5"/>
      <c r="G1420" s="5"/>
      <c r="H1420" s="6" t="str">
        <f>IFERROR(__xludf.DUMMYFUNCTION("""COMPUTED_VALUE"""),"https://www.instagram.com/ansarolhadi_mashhad_315")</f>
        <v>https://www.instagram.com/ansarolhadi_mashhad_315</v>
      </c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</row>
    <row r="1421">
      <c r="A1421" s="5"/>
      <c r="B1421" s="5" t="str">
        <f>IFERROR(__xludf.DUMMYFUNCTION("""COMPUTED_VALUE"""),"هیأت")</f>
        <v>هیأت</v>
      </c>
      <c r="C1421" s="5" t="str">
        <f>IFERROR(__xludf.DUMMYFUNCTION("""COMPUTED_VALUE"""),"انقلابیون مشهد")</f>
        <v>انقلابیون مشهد</v>
      </c>
      <c r="D1421" s="5" t="str">
        <f>IFERROR(__xludf.DUMMYFUNCTION("""COMPUTED_VALUE"""),"خراسان رضوی ")</f>
        <v>خراسان رضوی </v>
      </c>
      <c r="E1421" s="5" t="str">
        <f>IFERROR(__xludf.DUMMYFUNCTION("""COMPUTED_VALUE"""),"مشهد")</f>
        <v>مشهد</v>
      </c>
      <c r="F1421" s="5"/>
      <c r="G1421" s="5"/>
      <c r="H1421" s="5"/>
      <c r="I1421" s="5"/>
      <c r="J1421" s="6" t="str">
        <f>IFERROR(__xludf.DUMMYFUNCTION("""COMPUTED_VALUE"""),"https://eitaa.com/M_Enghelabion")</f>
        <v>https://eitaa.com/M_Enghelabion</v>
      </c>
      <c r="K1421" s="5"/>
      <c r="L1421" s="5"/>
      <c r="M1421" s="5"/>
      <c r="N1421" s="5"/>
      <c r="O1421" s="5"/>
      <c r="P1421" s="5"/>
      <c r="Q1421" s="5"/>
      <c r="R1421" s="5"/>
      <c r="S1421" s="5"/>
    </row>
    <row r="1422">
      <c r="A1422" s="5"/>
      <c r="B1422" s="5" t="str">
        <f>IFERROR(__xludf.DUMMYFUNCTION("""COMPUTED_VALUE"""),"هیأت")</f>
        <v>هیأت</v>
      </c>
      <c r="C1422" s="5" t="str">
        <f>IFERROR(__xludf.DUMMYFUNCTION("""COMPUTED_VALUE"""),"مجنون الحسین")</f>
        <v>مجنون الحسین</v>
      </c>
      <c r="D1422" s="5" t="str">
        <f>IFERROR(__xludf.DUMMYFUNCTION("""COMPUTED_VALUE"""),"خراسان رضوی")</f>
        <v>خراسان رضوی</v>
      </c>
      <c r="E1422" s="5" t="str">
        <f>IFERROR(__xludf.DUMMYFUNCTION("""COMPUTED_VALUE"""),"مشهد")</f>
        <v>مشهد</v>
      </c>
      <c r="F1422" s="5"/>
      <c r="G1422" s="5"/>
      <c r="H1422" s="6" t="str">
        <f>IFERROR(__xludf.DUMMYFUNCTION("""COMPUTED_VALUE"""),"https://www.instagram.com/majnonalhosein/")</f>
        <v>https://www.instagram.com/majnonalhosein/</v>
      </c>
      <c r="I1422" s="6" t="str">
        <f>IFERROR(__xludf.DUMMYFUNCTION("""COMPUTED_VALUE"""),"https://t.me/majnonalhosein")</f>
        <v>https://t.me/majnonalhosein</v>
      </c>
      <c r="J1422" s="5"/>
      <c r="K1422" s="6" t="str">
        <f>IFERROR(__xludf.DUMMYFUNCTION("""COMPUTED_VALUE"""),"https://www.youtube.com/c/majnonalhosein")</f>
        <v>https://www.youtube.com/c/majnonalhosein</v>
      </c>
      <c r="L1422" s="5"/>
      <c r="M1422" s="5"/>
      <c r="N1422" s="5"/>
      <c r="O1422" s="5"/>
      <c r="P1422" s="5"/>
      <c r="Q1422" s="5"/>
      <c r="R1422" s="5"/>
      <c r="S1422" s="5"/>
    </row>
    <row r="1423">
      <c r="A1423" s="5"/>
      <c r="B1423" s="5" t="str">
        <f>IFERROR(__xludf.DUMMYFUNCTION("""COMPUTED_VALUE"""),"هیأت")</f>
        <v>هیأت</v>
      </c>
      <c r="C1423" s="5" t="str">
        <f>IFERROR(__xludf.DUMMYFUNCTION("""COMPUTED_VALUE"""),"بین الحرمین")</f>
        <v>بین الحرمین</v>
      </c>
      <c r="D1423" s="5" t="str">
        <f>IFERROR(__xludf.DUMMYFUNCTION("""COMPUTED_VALUE"""),"خراسان رضوی")</f>
        <v>خراسان رضوی</v>
      </c>
      <c r="E1423" s="5" t="str">
        <f>IFERROR(__xludf.DUMMYFUNCTION("""COMPUTED_VALUE"""),"مشهد")</f>
        <v>مشهد</v>
      </c>
      <c r="F1423" s="5"/>
      <c r="G1423" s="5"/>
      <c r="H1423" s="6" t="str">
        <f>IFERROR(__xludf.DUMMYFUNCTION("""COMPUTED_VALUE"""),"https://www.youtube.com/c/majnonalhosein")</f>
        <v>https://www.youtube.com/c/majnonalhosein</v>
      </c>
      <c r="I1423" s="6" t="str">
        <f>IFERROR(__xludf.DUMMYFUNCTION("""COMPUTED_VALUE"""),"https://t.me/h_beynolharameyn")</f>
        <v>https://t.me/h_beynolharameyn</v>
      </c>
      <c r="J1423" s="6" t="str">
        <f>IFERROR(__xludf.DUMMYFUNCTION("""COMPUTED_VALUE"""),"https://eitaa.com/hbeynolharameyn")</f>
        <v>https://eitaa.com/hbeynolharameyn</v>
      </c>
      <c r="K1423" s="5"/>
      <c r="L1423" s="5"/>
      <c r="M1423" s="5"/>
      <c r="N1423" s="5"/>
      <c r="O1423" s="5"/>
      <c r="P1423" s="5"/>
      <c r="Q1423" s="5"/>
      <c r="R1423" s="5"/>
      <c r="S1423" s="5"/>
    </row>
    <row r="1424">
      <c r="A1424" s="5"/>
      <c r="B1424" s="5" t="str">
        <f>IFERROR(__xludf.DUMMYFUNCTION("""COMPUTED_VALUE"""),"هیأت")</f>
        <v>هیأت</v>
      </c>
      <c r="C1424" s="5" t="str">
        <f>IFERROR(__xludf.DUMMYFUNCTION("""COMPUTED_VALUE"""),"سیدالشهداء")</f>
        <v>سیدالشهداء</v>
      </c>
      <c r="D1424" s="5" t="str">
        <f>IFERROR(__xludf.DUMMYFUNCTION("""COMPUTED_VALUE"""),"خراسان رضوی")</f>
        <v>خراسان رضوی</v>
      </c>
      <c r="E1424" s="5" t="str">
        <f>IFERROR(__xludf.DUMMYFUNCTION("""COMPUTED_VALUE"""),"مشهد")</f>
        <v>مشهد</v>
      </c>
      <c r="F1424" s="5"/>
      <c r="G1424" s="5"/>
      <c r="H1424" s="6" t="str">
        <f>IFERROR(__xludf.DUMMYFUNCTION("""COMPUTED_VALUE"""),"https://www.instagram.com/seyyedalshohada_ir/")</f>
        <v>https://www.instagram.com/seyyedalshohada_ir/</v>
      </c>
      <c r="I1424" s="6" t="str">
        <f>IFERROR(__xludf.DUMMYFUNCTION("""COMPUTED_VALUE"""),"https://t.me/seyyedalshohada_ir")</f>
        <v>https://t.me/seyyedalshohada_ir</v>
      </c>
      <c r="J1424" s="5"/>
      <c r="K1424" s="5"/>
      <c r="L1424" s="5"/>
      <c r="M1424" s="5"/>
      <c r="N1424" s="5"/>
      <c r="O1424" s="5"/>
      <c r="P1424" s="5"/>
      <c r="Q1424" s="5"/>
      <c r="R1424" s="5"/>
      <c r="S1424" s="5"/>
    </row>
    <row r="1425">
      <c r="A1425" s="5"/>
      <c r="B1425" s="5" t="str">
        <f>IFERROR(__xludf.DUMMYFUNCTION("""COMPUTED_VALUE"""),"هیأت دانشجویی")</f>
        <v>هیأت دانشجویی</v>
      </c>
      <c r="C1425" s="5" t="str">
        <f>IFERROR(__xludf.DUMMYFUNCTION("""COMPUTED_VALUE"""),"میثاق با ولایت")</f>
        <v>میثاق با ولایت</v>
      </c>
      <c r="D1425" s="5" t="str">
        <f>IFERROR(__xludf.DUMMYFUNCTION("""COMPUTED_VALUE"""),"خراسان رضوی")</f>
        <v>خراسان رضوی</v>
      </c>
      <c r="E1425" s="5" t="str">
        <f>IFERROR(__xludf.DUMMYFUNCTION("""COMPUTED_VALUE"""),"مشهد")</f>
        <v>مشهد</v>
      </c>
      <c r="F1425" s="5" t="str">
        <f>IFERROR(__xludf.DUMMYFUNCTION("""COMPUTED_VALUE"""),"دانشگاه علوم اسلامی رضوی")</f>
        <v>دانشگاه علوم اسلامی رضوی</v>
      </c>
      <c r="G1425" s="5"/>
      <c r="H1425" s="6" t="str">
        <f>IFERROR(__xludf.DUMMYFUNCTION("""COMPUTED_VALUE"""),"https://www.instagram.com/misaq_razavi/")</f>
        <v>https://www.instagram.com/misaq_razavi/</v>
      </c>
      <c r="I1425" s="5"/>
      <c r="J1425" s="6" t="str">
        <f>IFERROR(__xludf.DUMMYFUNCTION("""COMPUTED_VALUE"""),"eitaa.com/misagh_bavelayat")</f>
        <v>eitaa.com/misagh_bavelayat</v>
      </c>
      <c r="K1425" s="5"/>
      <c r="L1425" s="5"/>
      <c r="M1425" s="5"/>
      <c r="N1425" s="5"/>
      <c r="O1425" s="5"/>
      <c r="P1425" s="5"/>
      <c r="Q1425" s="5"/>
      <c r="R1425" s="5"/>
      <c r="S1425" s="5"/>
    </row>
    <row r="1426">
      <c r="A1426" s="5"/>
      <c r="B1426" s="5" t="str">
        <f>IFERROR(__xludf.DUMMYFUNCTION("""COMPUTED_VALUE"""),"هیأت")</f>
        <v>هیأت</v>
      </c>
      <c r="C1426" s="5" t="str">
        <f>IFERROR(__xludf.DUMMYFUNCTION("""COMPUTED_VALUE"""),"حیدریون")</f>
        <v>حیدریون</v>
      </c>
      <c r="D1426" s="5" t="str">
        <f>IFERROR(__xludf.DUMMYFUNCTION("""COMPUTED_VALUE"""),"خراسان رضوی")</f>
        <v>خراسان رضوی</v>
      </c>
      <c r="E1426" s="5" t="str">
        <f>IFERROR(__xludf.DUMMYFUNCTION("""COMPUTED_VALUE"""),"مشهد")</f>
        <v>مشهد</v>
      </c>
      <c r="F1426" s="5" t="str">
        <f>IFERROR(__xludf.DUMMYFUNCTION("""COMPUTED_VALUE"""),"روار")</f>
        <v>روار</v>
      </c>
      <c r="G1426" s="5"/>
      <c r="H1426" s="6" t="str">
        <f>IFERROR(__xludf.DUMMYFUNCTION("""COMPUTED_VALUE"""),"https://www.instagram.com/heydrion_ravar/")</f>
        <v>https://www.instagram.com/heydrion_ravar/</v>
      </c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</row>
    <row r="1427">
      <c r="A1427" s="5"/>
      <c r="B1427" s="5" t="str">
        <f>IFERROR(__xludf.DUMMYFUNCTION("""COMPUTED_VALUE"""),"هیأت")</f>
        <v>هیأت</v>
      </c>
      <c r="C1427" s="5" t="str">
        <f>IFERROR(__xludf.DUMMYFUNCTION("""COMPUTED_VALUE"""),"باب السدره")</f>
        <v>باب السدره</v>
      </c>
      <c r="D1427" s="5" t="str">
        <f>IFERROR(__xludf.DUMMYFUNCTION("""COMPUTED_VALUE"""),"خراسان رضوی")</f>
        <v>خراسان رضوی</v>
      </c>
      <c r="E1427" s="5" t="str">
        <f>IFERROR(__xludf.DUMMYFUNCTION("""COMPUTED_VALUE"""),"مشهد")</f>
        <v>مشهد</v>
      </c>
      <c r="F1427" s="5"/>
      <c r="G1427" s="5"/>
      <c r="H1427" s="6" t="str">
        <f>IFERROR(__xludf.DUMMYFUNCTION("""COMPUTED_VALUE"""),"https://www.instagram.com/bab_sedre/")</f>
        <v>https://www.instagram.com/bab_sedre/</v>
      </c>
      <c r="I1427" s="6" t="str">
        <f>IFERROR(__xludf.DUMMYFUNCTION("""COMPUTED_VALUE"""),"https://t.me/bab_sedre_mashhad")</f>
        <v>https://t.me/bab_sedre_mashhad</v>
      </c>
      <c r="J1427" s="5"/>
      <c r="K1427" s="5"/>
      <c r="L1427" s="5"/>
      <c r="M1427" s="5"/>
      <c r="N1427" s="5"/>
      <c r="O1427" s="5"/>
      <c r="P1427" s="5"/>
      <c r="Q1427" s="5"/>
      <c r="R1427" s="5"/>
      <c r="S1427" s="5"/>
    </row>
    <row r="1428">
      <c r="A1428" s="5"/>
      <c r="B1428" s="5" t="str">
        <f>IFERROR(__xludf.DUMMYFUNCTION("""COMPUTED_VALUE"""),"هیأت")</f>
        <v>هیأت</v>
      </c>
      <c r="C1428" s="5" t="str">
        <f>IFERROR(__xludf.DUMMYFUNCTION("""COMPUTED_VALUE"""),"محفل امام حسن")</f>
        <v>محفل امام حسن</v>
      </c>
      <c r="D1428" s="5" t="str">
        <f>IFERROR(__xludf.DUMMYFUNCTION("""COMPUTED_VALUE"""),"خراسان رضوی")</f>
        <v>خراسان رضوی</v>
      </c>
      <c r="E1428" s="5" t="str">
        <f>IFERROR(__xludf.DUMMYFUNCTION("""COMPUTED_VALUE"""),"مشهد")</f>
        <v>مشهد</v>
      </c>
      <c r="F1428" s="5"/>
      <c r="G1428" s="5"/>
      <c r="H1428" s="6" t="str">
        <f>IFERROR(__xludf.DUMMYFUNCTION("""COMPUTED_VALUE"""),"https://www.instagram.com/emamhasan118_ir/")</f>
        <v>https://www.instagram.com/emamhasan118_ir/</v>
      </c>
      <c r="I1428" s="6" t="str">
        <f>IFERROR(__xludf.DUMMYFUNCTION("""COMPUTED_VALUE"""),"https://t.me/emamhasan118_ir")</f>
        <v>https://t.me/emamhasan118_ir</v>
      </c>
      <c r="J1428" s="6" t="str">
        <f>IFERROR(__xludf.DUMMYFUNCTION("""COMPUTED_VALUE"""),"https://eitaa.com/emamhasan118_ir")</f>
        <v>https://eitaa.com/emamhasan118_ir</v>
      </c>
      <c r="K1428" s="5"/>
      <c r="L1428" s="5"/>
      <c r="M1428" s="5"/>
      <c r="N1428" s="5"/>
      <c r="O1428" s="5"/>
      <c r="P1428" s="5"/>
      <c r="Q1428" s="5"/>
      <c r="R1428" s="5"/>
      <c r="S1428" s="5"/>
    </row>
    <row r="1429">
      <c r="A1429" s="5"/>
      <c r="B1429" s="5" t="str">
        <f>IFERROR(__xludf.DUMMYFUNCTION("""COMPUTED_VALUE"""),"هیأت")</f>
        <v>هیأت</v>
      </c>
      <c r="C1429" s="5" t="str">
        <f>IFERROR(__xludf.DUMMYFUNCTION("""COMPUTED_VALUE"""),"فدویان پنج باب الحوائج")</f>
        <v>فدویان پنج باب الحوائج</v>
      </c>
      <c r="D1429" s="5" t="str">
        <f>IFERROR(__xludf.DUMMYFUNCTION("""COMPUTED_VALUE"""),"خراسان رضوی")</f>
        <v>خراسان رضوی</v>
      </c>
      <c r="E1429" s="5" t="str">
        <f>IFERROR(__xludf.DUMMYFUNCTION("""COMPUTED_VALUE"""),"مشهد")</f>
        <v>مشهد</v>
      </c>
      <c r="F1429" s="5"/>
      <c r="G1429" s="5"/>
      <c r="H1429" s="6" t="str">
        <f>IFERROR(__xludf.DUMMYFUNCTION("""COMPUTED_VALUE"""),"https://www.instagram.com/heatfadavian/")</f>
        <v>https://www.instagram.com/heatfadavian/</v>
      </c>
      <c r="I1429" s="6" t="str">
        <f>IFERROR(__xludf.DUMMYFUNCTION("""COMPUTED_VALUE"""),"https://t.me/heatfadavian")</f>
        <v>https://t.me/heatfadavian</v>
      </c>
      <c r="J1429" s="5"/>
      <c r="K1429" s="5"/>
      <c r="L1429" s="5"/>
      <c r="M1429" s="5"/>
      <c r="N1429" s="5"/>
      <c r="O1429" s="5"/>
      <c r="P1429" s="5"/>
      <c r="Q1429" s="5"/>
      <c r="R1429" s="5"/>
      <c r="S1429" s="5"/>
    </row>
    <row r="1430">
      <c r="A1430" s="5"/>
      <c r="B1430" s="5" t="str">
        <f>IFERROR(__xludf.DUMMYFUNCTION("""COMPUTED_VALUE"""),"مسجد")</f>
        <v>مسجد</v>
      </c>
      <c r="C1430" s="5" t="str">
        <f>IFERROR(__xludf.DUMMYFUNCTION("""COMPUTED_VALUE"""),"سیدالشهداء")</f>
        <v>سیدالشهداء</v>
      </c>
      <c r="D1430" s="5" t="str">
        <f>IFERROR(__xludf.DUMMYFUNCTION("""COMPUTED_VALUE"""),"خراسان رضوی")</f>
        <v>خراسان رضوی</v>
      </c>
      <c r="E1430" s="5" t="str">
        <f>IFERROR(__xludf.DUMMYFUNCTION("""COMPUTED_VALUE"""),"مشهد")</f>
        <v>مشهد</v>
      </c>
      <c r="F1430" s="5"/>
      <c r="G1430" s="5"/>
      <c r="H1430" s="6" t="str">
        <f>IFERROR(__xludf.DUMMYFUNCTION("""COMPUTED_VALUE"""),"https://www.instagram.com/m_seyedoshohadaa/")</f>
        <v>https://www.instagram.com/m_seyedoshohadaa/</v>
      </c>
      <c r="I1430" s="6" t="str">
        <f>IFERROR(__xludf.DUMMYFUNCTION("""COMPUTED_VALUE"""),"https://t.me/m_seyedoshohadaa")</f>
        <v>https://t.me/m_seyedoshohadaa</v>
      </c>
      <c r="J1430" s="6" t="str">
        <f>IFERROR(__xludf.DUMMYFUNCTION("""COMPUTED_VALUE"""),"https://eitaa.com/n_seyedoshohada")</f>
        <v>https://eitaa.com/n_seyedoshohada</v>
      </c>
      <c r="K1430" s="5"/>
      <c r="L1430" s="5"/>
      <c r="M1430" s="5"/>
      <c r="N1430" s="5"/>
      <c r="O1430" s="5"/>
      <c r="P1430" s="5"/>
      <c r="Q1430" s="5"/>
      <c r="R1430" s="5"/>
      <c r="S1430" s="5"/>
    </row>
    <row r="1431">
      <c r="A1431" s="5"/>
      <c r="B1431" s="5" t="str">
        <f>IFERROR(__xludf.DUMMYFUNCTION("""COMPUTED_VALUE"""),"هیأت")</f>
        <v>هیأت</v>
      </c>
      <c r="C1431" s="5" t="str">
        <f>IFERROR(__xludf.DUMMYFUNCTION("""COMPUTED_VALUE"""),"بیت الجواد")</f>
        <v>بیت الجواد</v>
      </c>
      <c r="D1431" s="5" t="str">
        <f>IFERROR(__xludf.DUMMYFUNCTION("""COMPUTED_VALUE"""),"خراسان رضوی")</f>
        <v>خراسان رضوی</v>
      </c>
      <c r="E1431" s="5" t="str">
        <f>IFERROR(__xludf.DUMMYFUNCTION("""COMPUTED_VALUE"""),"مشهد")</f>
        <v>مشهد</v>
      </c>
      <c r="F1431" s="5"/>
      <c r="G1431" s="5"/>
      <c r="H1431" s="6" t="str">
        <f>IFERROR(__xludf.DUMMYFUNCTION("""COMPUTED_VALUE"""),"https://www.instagram.com/beytoljavad_80_mashhad/")</f>
        <v>https://www.instagram.com/beytoljavad_80_mashhad/</v>
      </c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</row>
    <row r="1432">
      <c r="A1432" s="5"/>
      <c r="B1432" s="5" t="str">
        <f>IFERROR(__xludf.DUMMYFUNCTION("""COMPUTED_VALUE"""),"هیأت")</f>
        <v>هیأت</v>
      </c>
      <c r="C1432" s="5" t="str">
        <f>IFERROR(__xludf.DUMMYFUNCTION("""COMPUTED_VALUE"""),"متوسلین به حضرت عباس")</f>
        <v>متوسلین به حضرت عباس</v>
      </c>
      <c r="D1432" s="5" t="str">
        <f>IFERROR(__xludf.DUMMYFUNCTION("""COMPUTED_VALUE"""),"خراسان رضوی")</f>
        <v>خراسان رضوی</v>
      </c>
      <c r="E1432" s="5" t="str">
        <f>IFERROR(__xludf.DUMMYFUNCTION("""COMPUTED_VALUE"""),"مشهد")</f>
        <v>مشهد</v>
      </c>
      <c r="F1432" s="5"/>
      <c r="G1432" s="5"/>
      <c r="H1432" s="6" t="str">
        <f>IFERROR(__xludf.DUMMYFUNCTION("""COMPUTED_VALUE"""),"https://www.instagram.com/motevasselin133/")</f>
        <v>https://www.instagram.com/motevasselin133/</v>
      </c>
      <c r="I1432" s="6" t="str">
        <f>IFERROR(__xludf.DUMMYFUNCTION("""COMPUTED_VALUE"""),"https://t.me/motevasselin133")</f>
        <v>https://t.me/motevasselin133</v>
      </c>
      <c r="J1432" s="6" t="str">
        <f>IFERROR(__xludf.DUMMYFUNCTION("""COMPUTED_VALUE"""),"https://eitaa.com/motevasselin133")</f>
        <v>https://eitaa.com/motevasselin133</v>
      </c>
      <c r="K1432" s="5"/>
      <c r="L1432" s="5"/>
      <c r="M1432" s="5"/>
      <c r="N1432" s="5"/>
      <c r="O1432" s="5"/>
      <c r="P1432" s="5"/>
      <c r="Q1432" s="5"/>
      <c r="R1432" s="5"/>
      <c r="S1432" s="5"/>
    </row>
    <row r="1433">
      <c r="A1433" s="5"/>
      <c r="B1433" s="5" t="str">
        <f>IFERROR(__xludf.DUMMYFUNCTION("""COMPUTED_VALUE"""),"هیأت")</f>
        <v>هیأت</v>
      </c>
      <c r="C1433" s="5" t="str">
        <f>IFERROR(__xludf.DUMMYFUNCTION("""COMPUTED_VALUE"""),"محبان الحسن")</f>
        <v>محبان الحسن</v>
      </c>
      <c r="D1433" s="5" t="str">
        <f>IFERROR(__xludf.DUMMYFUNCTION("""COMPUTED_VALUE"""),"خراسان رضوی")</f>
        <v>خراسان رضوی</v>
      </c>
      <c r="E1433" s="5" t="str">
        <f>IFERROR(__xludf.DUMMYFUNCTION("""COMPUTED_VALUE"""),"مشهد")</f>
        <v>مشهد</v>
      </c>
      <c r="F1433" s="5"/>
      <c r="G1433" s="5"/>
      <c r="H1433" s="6" t="str">
        <f>IFERROR(__xludf.DUMMYFUNCTION("""COMPUTED_VALUE"""),"https://www.instagram.com/moheban_hasan118/")</f>
        <v>https://www.instagram.com/moheban_hasan118/</v>
      </c>
      <c r="I1433" s="6" t="str">
        <f>IFERROR(__xludf.DUMMYFUNCTION("""COMPUTED_VALUE"""),"https://t.me/moheban_hasan")</f>
        <v>https://t.me/moheban_hasan</v>
      </c>
      <c r="J1433" s="5"/>
      <c r="K1433" s="5"/>
      <c r="L1433" s="5"/>
      <c r="M1433" s="5"/>
      <c r="N1433" s="5"/>
      <c r="O1433" s="5"/>
      <c r="P1433" s="5"/>
      <c r="Q1433" s="5"/>
      <c r="R1433" s="5"/>
      <c r="S1433" s="5"/>
    </row>
    <row r="1434">
      <c r="A1434" s="5"/>
      <c r="B1434" s="5" t="str">
        <f>IFERROR(__xludf.DUMMYFUNCTION("""COMPUTED_VALUE"""),"هیأت")</f>
        <v>هیأت</v>
      </c>
      <c r="C1434" s="5" t="str">
        <f>IFERROR(__xludf.DUMMYFUNCTION("""COMPUTED_VALUE"""),"محبین الحسین")</f>
        <v>محبین الحسین</v>
      </c>
      <c r="D1434" s="5" t="str">
        <f>IFERROR(__xludf.DUMMYFUNCTION("""COMPUTED_VALUE"""),"خراسان رضوی")</f>
        <v>خراسان رضوی</v>
      </c>
      <c r="E1434" s="5" t="str">
        <f>IFERROR(__xludf.DUMMYFUNCTION("""COMPUTED_VALUE"""),"مشهد")</f>
        <v>مشهد</v>
      </c>
      <c r="F1434" s="5"/>
      <c r="G1434" s="5"/>
      <c r="H1434" s="6" t="str">
        <f>IFERROR(__xludf.DUMMYFUNCTION("""COMPUTED_VALUE"""),"https://www.instagram.com/mohebinalhosein/")</f>
        <v>https://www.instagram.com/mohebinalhosein/</v>
      </c>
      <c r="I1434" s="6" t="str">
        <f>IFERROR(__xludf.DUMMYFUNCTION("""COMPUTED_VALUE"""),"https://t.me/mohebbinalhoseinmashhad")</f>
        <v>https://t.me/mohebbinalhoseinmashhad</v>
      </c>
      <c r="J1434" s="5"/>
      <c r="K1434" s="5"/>
      <c r="L1434" s="5"/>
      <c r="M1434" s="5"/>
      <c r="N1434" s="5"/>
      <c r="O1434" s="5"/>
      <c r="P1434" s="5"/>
      <c r="Q1434" s="5"/>
      <c r="R1434" s="5"/>
      <c r="S1434" s="5"/>
    </row>
    <row r="1435">
      <c r="A1435" s="5"/>
      <c r="B1435" s="5" t="str">
        <f>IFERROR(__xludf.DUMMYFUNCTION("""COMPUTED_VALUE"""),"هیأت")</f>
        <v>هیأت</v>
      </c>
      <c r="C1435" s="5" t="str">
        <f>IFERROR(__xludf.DUMMYFUNCTION("""COMPUTED_VALUE"""),"خیمة الحسین")</f>
        <v>خیمة الحسین</v>
      </c>
      <c r="D1435" s="5" t="str">
        <f>IFERROR(__xludf.DUMMYFUNCTION("""COMPUTED_VALUE"""),"خراسان رضوی")</f>
        <v>خراسان رضوی</v>
      </c>
      <c r="E1435" s="5" t="str">
        <f>IFERROR(__xludf.DUMMYFUNCTION("""COMPUTED_VALUE"""),"مشهد")</f>
        <v>مشهد</v>
      </c>
      <c r="F1435" s="5"/>
      <c r="G1435" s="5"/>
      <c r="H1435" s="6" t="str">
        <f>IFERROR(__xludf.DUMMYFUNCTION("""COMPUTED_VALUE"""),"https://www.instagram.com/kheimatoalhossein110/")</f>
        <v>https://www.instagram.com/kheimatoalhossein110/</v>
      </c>
      <c r="I1435" s="6" t="str">
        <f>IFERROR(__xludf.DUMMYFUNCTION("""COMPUTED_VALUE"""),"https://t.me/kheimatoalhossein110")</f>
        <v>https://t.me/kheimatoalhossein110</v>
      </c>
      <c r="J1435" s="5"/>
      <c r="K1435" s="5"/>
      <c r="L1435" s="5"/>
      <c r="M1435" s="5"/>
      <c r="N1435" s="5"/>
      <c r="O1435" s="5"/>
      <c r="P1435" s="5"/>
      <c r="Q1435" s="5"/>
      <c r="R1435" s="5"/>
      <c r="S1435" s="5"/>
    </row>
    <row r="1436">
      <c r="A1436" s="5"/>
      <c r="B1436" s="5" t="str">
        <f>IFERROR(__xludf.DUMMYFUNCTION("""COMPUTED_VALUE"""),"هیأت")</f>
        <v>هیأت</v>
      </c>
      <c r="C1436" s="5" t="str">
        <f>IFERROR(__xludf.DUMMYFUNCTION("""COMPUTED_VALUE"""),"محبان الزهرا")</f>
        <v>محبان الزهرا</v>
      </c>
      <c r="D1436" s="5" t="str">
        <f>IFERROR(__xludf.DUMMYFUNCTION("""COMPUTED_VALUE"""),"خراسان رضوی")</f>
        <v>خراسان رضوی</v>
      </c>
      <c r="E1436" s="5" t="str">
        <f>IFERROR(__xludf.DUMMYFUNCTION("""COMPUTED_VALUE"""),"مشهد")</f>
        <v>مشهد</v>
      </c>
      <c r="F1436" s="5"/>
      <c r="G1436" s="5"/>
      <c r="H1436" s="6" t="str">
        <f>IFERROR(__xludf.DUMMYFUNCTION("""COMPUTED_VALUE"""),"https://www.instagram.com/mohebanalzahra5998/")</f>
        <v>https://www.instagram.com/mohebanalzahra5998/</v>
      </c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</row>
    <row r="1437">
      <c r="A1437" s="5"/>
      <c r="B1437" s="5" t="str">
        <f>IFERROR(__xludf.DUMMYFUNCTION("""COMPUTED_VALUE"""),"هیأت")</f>
        <v>هیأت</v>
      </c>
      <c r="C1437" s="5" t="str">
        <f>IFERROR(__xludf.DUMMYFUNCTION("""COMPUTED_VALUE"""),"ام الائمه")</f>
        <v>ام الائمه</v>
      </c>
      <c r="D1437" s="5" t="str">
        <f>IFERROR(__xludf.DUMMYFUNCTION("""COMPUTED_VALUE"""),"خراسان رضوی")</f>
        <v>خراسان رضوی</v>
      </c>
      <c r="E1437" s="5" t="str">
        <f>IFERROR(__xludf.DUMMYFUNCTION("""COMPUTED_VALUE"""),"مشهد")</f>
        <v>مشهد</v>
      </c>
      <c r="F1437" s="5"/>
      <c r="G1437" s="5"/>
      <c r="H1437" s="6" t="str">
        <f>IFERROR(__xludf.DUMMYFUNCTION("""COMPUTED_VALUE"""),"https://www.instagram.com/omolayama/")</f>
        <v>https://www.instagram.com/omolayama/</v>
      </c>
      <c r="I1437" s="5"/>
      <c r="J1437" s="6" t="str">
        <f>IFERROR(__xludf.DUMMYFUNCTION("""COMPUTED_VALUE"""),"https://eitaa.com/Omolayama")</f>
        <v>https://eitaa.com/Omolayama</v>
      </c>
      <c r="K1437" s="5"/>
      <c r="L1437" s="5"/>
      <c r="M1437" s="5"/>
      <c r="N1437" s="5"/>
      <c r="O1437" s="5"/>
      <c r="P1437" s="5"/>
      <c r="Q1437" s="5"/>
      <c r="R1437" s="5"/>
      <c r="S1437" s="5"/>
    </row>
    <row r="1438">
      <c r="A1438" s="5"/>
      <c r="B1438" s="5" t="str">
        <f>IFERROR(__xludf.DUMMYFUNCTION("""COMPUTED_VALUE"""),"هیأت")</f>
        <v>هیأت</v>
      </c>
      <c r="C1438" s="5" t="str">
        <f>IFERROR(__xludf.DUMMYFUNCTION("""COMPUTED_VALUE"""),"روضة المهدی")</f>
        <v>روضة المهدی</v>
      </c>
      <c r="D1438" s="5" t="str">
        <f>IFERROR(__xludf.DUMMYFUNCTION("""COMPUTED_VALUE"""),"خراسان رضوی")</f>
        <v>خراسان رضوی</v>
      </c>
      <c r="E1438" s="5" t="str">
        <f>IFERROR(__xludf.DUMMYFUNCTION("""COMPUTED_VALUE"""),"مشهد")</f>
        <v>مشهد</v>
      </c>
      <c r="F1438" s="5"/>
      <c r="G1438" s="5"/>
      <c r="H1438" s="6" t="str">
        <f>IFERROR(__xludf.DUMMYFUNCTION("""COMPUTED_VALUE"""),"https://www.instagram.com/rowzatolmahdi/")</f>
        <v>https://www.instagram.com/rowzatolmahdi/</v>
      </c>
      <c r="I1438" s="6" t="str">
        <f>IFERROR(__xludf.DUMMYFUNCTION("""COMPUTED_VALUE"""),"https://t.me/rowzatolmahdi")</f>
        <v>https://t.me/rowzatolmahdi</v>
      </c>
      <c r="J1438" s="6" t="str">
        <f>IFERROR(__xludf.DUMMYFUNCTION("""COMPUTED_VALUE"""),"https://eitaa.com/rowzatolmahdi1")</f>
        <v>https://eitaa.com/rowzatolmahdi1</v>
      </c>
      <c r="K1438" s="5"/>
      <c r="L1438" s="5"/>
      <c r="M1438" s="5"/>
      <c r="N1438" s="5"/>
      <c r="O1438" s="5"/>
      <c r="P1438" s="5"/>
      <c r="Q1438" s="5"/>
      <c r="R1438" s="5"/>
      <c r="S1438" s="5"/>
    </row>
    <row r="1439">
      <c r="A1439" s="5"/>
      <c r="B1439" s="5" t="str">
        <f>IFERROR(__xludf.DUMMYFUNCTION("""COMPUTED_VALUE"""),"هیأت")</f>
        <v>هیأت</v>
      </c>
      <c r="C1439" s="5" t="str">
        <f>IFERROR(__xludf.DUMMYFUNCTION("""COMPUTED_VALUE"""),"ذبیج العطشان")</f>
        <v>ذبیج العطشان</v>
      </c>
      <c r="D1439" s="5" t="str">
        <f>IFERROR(__xludf.DUMMYFUNCTION("""COMPUTED_VALUE"""),"خراسان رضوی")</f>
        <v>خراسان رضوی</v>
      </c>
      <c r="E1439" s="5" t="str">
        <f>IFERROR(__xludf.DUMMYFUNCTION("""COMPUTED_VALUE"""),"مشهد")</f>
        <v>مشهد</v>
      </c>
      <c r="F1439" s="5"/>
      <c r="G1439" s="5"/>
      <c r="H1439" s="6" t="str">
        <f>IFERROR(__xludf.DUMMYFUNCTION("""COMPUTED_VALUE"""),"https://www.instagram.com/zabih_alatshan/")</f>
        <v>https://www.instagram.com/zabih_alatshan/</v>
      </c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</row>
    <row r="1440">
      <c r="A1440" s="5"/>
      <c r="B1440" s="5" t="str">
        <f>IFERROR(__xludf.DUMMYFUNCTION("""COMPUTED_VALUE"""),"هیأت")</f>
        <v>هیأت</v>
      </c>
      <c r="C1440" s="5" t="str">
        <f>IFERROR(__xludf.DUMMYFUNCTION("""COMPUTED_VALUE"""),"یالثارات الحسین")</f>
        <v>یالثارات الحسین</v>
      </c>
      <c r="D1440" s="5" t="str">
        <f>IFERROR(__xludf.DUMMYFUNCTION("""COMPUTED_VALUE"""),"خراسان رضوی")</f>
        <v>خراسان رضوی</v>
      </c>
      <c r="E1440" s="5" t="str">
        <f>IFERROR(__xludf.DUMMYFUNCTION("""COMPUTED_VALUE"""),"مشهد")</f>
        <v>مشهد</v>
      </c>
      <c r="F1440" s="5"/>
      <c r="G1440" s="5"/>
      <c r="H1440" s="6" t="str">
        <f>IFERROR(__xludf.DUMMYFUNCTION("""COMPUTED_VALUE"""),"https://www.instagram.com/lesaratelhossain/")</f>
        <v>https://www.instagram.com/lesaratelhossain/</v>
      </c>
      <c r="I1440" s="6" t="str">
        <f>IFERROR(__xludf.DUMMYFUNCTION("""COMPUTED_VALUE"""),"https://t.me/lesaratelhossain")</f>
        <v>https://t.me/lesaratelhossain</v>
      </c>
      <c r="J1440" s="6" t="str">
        <f>IFERROR(__xludf.DUMMYFUNCTION("""COMPUTED_VALUE"""),"https://eitaa.com/lesaratelhossain")</f>
        <v>https://eitaa.com/lesaratelhossain</v>
      </c>
      <c r="K1440" s="5"/>
      <c r="L1440" s="5"/>
      <c r="M1440" s="5"/>
      <c r="N1440" s="5"/>
      <c r="O1440" s="5"/>
      <c r="P1440" s="5"/>
      <c r="Q1440" s="5"/>
      <c r="R1440" s="5"/>
      <c r="S1440" s="5"/>
    </row>
    <row r="1441">
      <c r="A1441" s="5"/>
      <c r="B1441" s="5" t="str">
        <f>IFERROR(__xludf.DUMMYFUNCTION("""COMPUTED_VALUE"""),"هیأت")</f>
        <v>هیأت</v>
      </c>
      <c r="C1441" s="5" t="str">
        <f>IFERROR(__xludf.DUMMYFUNCTION("""COMPUTED_VALUE"""),"مکتب الحسین")</f>
        <v>مکتب الحسین</v>
      </c>
      <c r="D1441" s="5" t="str">
        <f>IFERROR(__xludf.DUMMYFUNCTION("""COMPUTED_VALUE"""),"خراسان رضوی")</f>
        <v>خراسان رضوی</v>
      </c>
      <c r="E1441" s="5" t="str">
        <f>IFERROR(__xludf.DUMMYFUNCTION("""COMPUTED_VALUE"""),"مشهد")</f>
        <v>مشهد</v>
      </c>
      <c r="F1441" s="5"/>
      <c r="G1441" s="5"/>
      <c r="H1441" s="6" t="str">
        <f>IFERROR(__xludf.DUMMYFUNCTION("""COMPUTED_VALUE"""),"https://www.instagram.com/maktabolhoseinmashhad/")</f>
        <v>https://www.instagram.com/maktabolhoseinmashhad/</v>
      </c>
      <c r="I1441" s="6" t="str">
        <f>IFERROR(__xludf.DUMMYFUNCTION("""COMPUTED_VALUE"""),"https://t.ME/Maktabolhoseinmashhad")</f>
        <v>https://t.ME/Maktabolhoseinmashhad</v>
      </c>
      <c r="J1441" s="5"/>
      <c r="K1441" s="5"/>
      <c r="L1441" s="5"/>
      <c r="M1441" s="5"/>
      <c r="N1441" s="5"/>
      <c r="O1441" s="5"/>
      <c r="P1441" s="5"/>
      <c r="Q1441" s="5"/>
      <c r="R1441" s="5"/>
      <c r="S1441" s="5"/>
    </row>
    <row r="1442">
      <c r="A1442" s="5"/>
      <c r="B1442" s="5" t="str">
        <f>IFERROR(__xludf.DUMMYFUNCTION("""COMPUTED_VALUE"""),"حسینیه")</f>
        <v>حسینیه</v>
      </c>
      <c r="C1442" s="5" t="str">
        <f>IFERROR(__xludf.DUMMYFUNCTION("""COMPUTED_VALUE"""),"هاشمی شاهرودی")</f>
        <v>هاشمی شاهرودی</v>
      </c>
      <c r="D1442" s="5" t="str">
        <f>IFERROR(__xludf.DUMMYFUNCTION("""COMPUTED_VALUE"""),"خراسان رضوی")</f>
        <v>خراسان رضوی</v>
      </c>
      <c r="E1442" s="5" t="str">
        <f>IFERROR(__xludf.DUMMYFUNCTION("""COMPUTED_VALUE"""),"مشهد")</f>
        <v>مشهد</v>
      </c>
      <c r="F1442" s="5"/>
      <c r="G1442" s="5"/>
      <c r="H1442" s="6" t="str">
        <f>IFERROR(__xludf.DUMMYFUNCTION("""COMPUTED_VALUE"""),"https://www.instagram.com/h_shahroudi")</f>
        <v>https://www.instagram.com/h_shahroudi</v>
      </c>
      <c r="I1442" s="6" t="str">
        <f>IFERROR(__xludf.DUMMYFUNCTION("""COMPUTED_VALUE"""),"https://t.me/h_shahroudi")</f>
        <v>https://t.me/h_shahroudi</v>
      </c>
      <c r="J1442" s="6" t="str">
        <f>IFERROR(__xludf.DUMMYFUNCTION("""COMPUTED_VALUE"""),"https://ble.ir/saralahnet")</f>
        <v>https://ble.ir/saralahnet</v>
      </c>
      <c r="K1442" s="5"/>
      <c r="L1442" s="5"/>
      <c r="M1442" s="5"/>
      <c r="N1442" s="5"/>
      <c r="O1442" s="5"/>
      <c r="P1442" s="5"/>
      <c r="Q1442" s="5"/>
      <c r="R1442" s="5"/>
      <c r="S1442" s="5"/>
    </row>
    <row r="1443">
      <c r="A1443" s="5"/>
      <c r="B1443" s="5" t="str">
        <f>IFERROR(__xludf.DUMMYFUNCTION("""COMPUTED_VALUE"""),"هیأت")</f>
        <v>هیأت</v>
      </c>
      <c r="C1443" s="5" t="str">
        <f>IFERROR(__xludf.DUMMYFUNCTION("""COMPUTED_VALUE"""),"روضة الرقیه")</f>
        <v>روضة الرقیه</v>
      </c>
      <c r="D1443" s="5" t="str">
        <f>IFERROR(__xludf.DUMMYFUNCTION("""COMPUTED_VALUE"""),"خراسان رضوی")</f>
        <v>خراسان رضوی</v>
      </c>
      <c r="E1443" s="5" t="str">
        <f>IFERROR(__xludf.DUMMYFUNCTION("""COMPUTED_VALUE"""),"مشهد")</f>
        <v>مشهد</v>
      </c>
      <c r="F1443" s="5"/>
      <c r="G1443" s="5"/>
      <c r="H1443" s="6" t="str">
        <f>IFERROR(__xludf.DUMMYFUNCTION("""COMPUTED_VALUE"""),"https://www.instagram.com/rozatolroghaye_mashhad/")</f>
        <v>https://www.instagram.com/rozatolroghaye_mashhad/</v>
      </c>
      <c r="I1443" s="6" t="str">
        <f>IFERROR(__xludf.DUMMYFUNCTION("""COMPUTED_VALUE"""),"https://t.me/rozatolroghaye1")</f>
        <v>https://t.me/rozatolroghaye1</v>
      </c>
      <c r="J1443" s="5"/>
      <c r="K1443" s="5"/>
      <c r="L1443" s="5"/>
      <c r="M1443" s="5"/>
      <c r="N1443" s="5"/>
      <c r="O1443" s="5"/>
      <c r="P1443" s="5"/>
      <c r="Q1443" s="5"/>
      <c r="R1443" s="5"/>
      <c r="S1443" s="5"/>
    </row>
    <row r="1444">
      <c r="A1444" s="5"/>
      <c r="B1444" s="5" t="str">
        <f>IFERROR(__xludf.DUMMYFUNCTION("""COMPUTED_VALUE"""),"هیأت")</f>
        <v>هیأت</v>
      </c>
      <c r="C1444" s="5" t="str">
        <f>IFERROR(__xludf.DUMMYFUNCTION("""COMPUTED_VALUE"""),"عزاداران حسین مظلوم")</f>
        <v>عزاداران حسین مظلوم</v>
      </c>
      <c r="D1444" s="5" t="str">
        <f>IFERROR(__xludf.DUMMYFUNCTION("""COMPUTED_VALUE"""),"خراسان رضوی")</f>
        <v>خراسان رضوی</v>
      </c>
      <c r="E1444" s="5" t="str">
        <f>IFERROR(__xludf.DUMMYFUNCTION("""COMPUTED_VALUE"""),"مشهد")</f>
        <v>مشهد</v>
      </c>
      <c r="F1444" s="5"/>
      <c r="G1444" s="5"/>
      <c r="H1444" s="6" t="str">
        <f>IFERROR(__xludf.DUMMYFUNCTION("""COMPUTED_VALUE"""),"https://www.instagram.com/hosein.mazloom/")</f>
        <v>https://www.instagram.com/hosein.mazloom/</v>
      </c>
      <c r="I1444" s="6" t="str">
        <f>IFERROR(__xludf.DUMMYFUNCTION("""COMPUTED_VALUE"""),"https://t.me/hoseinmazloom")</f>
        <v>https://t.me/hoseinmazloom</v>
      </c>
      <c r="J1444" s="5"/>
      <c r="K1444" s="5"/>
      <c r="L1444" s="5"/>
      <c r="M1444" s="5"/>
      <c r="N1444" s="5"/>
      <c r="O1444" s="5"/>
      <c r="P1444" s="5"/>
      <c r="Q1444" s="5"/>
      <c r="R1444" s="5"/>
      <c r="S1444" s="5"/>
    </row>
    <row r="1445">
      <c r="A1445" s="5"/>
      <c r="B1445" s="5" t="str">
        <f>IFERROR(__xludf.DUMMYFUNCTION("""COMPUTED_VALUE"""),"هیأت")</f>
        <v>هیأت</v>
      </c>
      <c r="C1445" s="5" t="str">
        <f>IFERROR(__xludf.DUMMYFUNCTION("""COMPUTED_VALUE"""),"علی اکبریها")</f>
        <v>علی اکبریها</v>
      </c>
      <c r="D1445" s="5" t="str">
        <f>IFERROR(__xludf.DUMMYFUNCTION("""COMPUTED_VALUE"""),"خراسان رضوی")</f>
        <v>خراسان رضوی</v>
      </c>
      <c r="E1445" s="5" t="str">
        <f>IFERROR(__xludf.DUMMYFUNCTION("""COMPUTED_VALUE"""),"مشهد")</f>
        <v>مشهد</v>
      </c>
      <c r="F1445" s="5" t="str">
        <f>IFERROR(__xludf.DUMMYFUNCTION("""COMPUTED_VALUE"""),"نوغان")</f>
        <v>نوغان</v>
      </c>
      <c r="G1445" s="5"/>
      <c r="H1445" s="6" t="str">
        <f>IFERROR(__xludf.DUMMYFUNCTION("""COMPUTED_VALUE"""),"https://www.instagram.com/heyat_aliakbariha/")</f>
        <v>https://www.instagram.com/heyat_aliakbariha/</v>
      </c>
      <c r="I1445" s="6" t="str">
        <f>IFERROR(__xludf.DUMMYFUNCTION("""COMPUTED_VALUE"""),"https://t.me/mohebbanaliakbar")</f>
        <v>https://t.me/mohebbanaliakbar</v>
      </c>
      <c r="J1445" s="5"/>
      <c r="K1445" s="5"/>
      <c r="L1445" s="5"/>
      <c r="M1445" s="5"/>
      <c r="N1445" s="5"/>
      <c r="O1445" s="5"/>
      <c r="P1445" s="5"/>
      <c r="Q1445" s="5"/>
      <c r="R1445" s="5"/>
      <c r="S1445" s="5"/>
    </row>
    <row r="1446">
      <c r="A1446" s="5"/>
      <c r="B1446" s="5" t="str">
        <f>IFERROR(__xludf.DUMMYFUNCTION("""COMPUTED_VALUE"""),"هیأت")</f>
        <v>هیأت</v>
      </c>
      <c r="C1446" s="5" t="str">
        <f>IFERROR(__xludf.DUMMYFUNCTION("""COMPUTED_VALUE""")," باب الحسین")</f>
        <v> باب الحسین</v>
      </c>
      <c r="D1446" s="5" t="str">
        <f>IFERROR(__xludf.DUMMYFUNCTION("""COMPUTED_VALUE"""),"خراسان رضوی")</f>
        <v>خراسان رضوی</v>
      </c>
      <c r="E1446" s="5" t="str">
        <f>IFERROR(__xludf.DUMMYFUNCTION("""COMPUTED_VALUE"""),"مشهد")</f>
        <v>مشهد</v>
      </c>
      <c r="F1446" s="5"/>
      <c r="G1446" s="5"/>
      <c r="H1446" s="6" t="str">
        <f>IFERROR(__xludf.DUMMYFUNCTION("""COMPUTED_VALUE"""),"https://www.instagram.com/heiat_bab_alhosein")</f>
        <v>https://www.instagram.com/heiat_bab_alhosein</v>
      </c>
      <c r="I1446" s="6" t="str">
        <f>IFERROR(__xludf.DUMMYFUNCTION("""COMPUTED_VALUE"""),"https://t.me/heiat_bab_alhosein")</f>
        <v>https://t.me/heiat_bab_alhosein</v>
      </c>
      <c r="J1446" s="6" t="str">
        <f>IFERROR(__xludf.DUMMYFUNCTION("""COMPUTED_VALUE"""),"https://eitaa.com/heiat_bab_alhosein")</f>
        <v>https://eitaa.com/heiat_bab_alhosein</v>
      </c>
      <c r="K1446" s="5"/>
      <c r="L1446" s="5"/>
      <c r="M1446" s="5"/>
      <c r="N1446" s="5"/>
      <c r="O1446" s="5"/>
      <c r="P1446" s="5"/>
      <c r="Q1446" s="5"/>
      <c r="R1446" s="5"/>
      <c r="S1446" s="5"/>
    </row>
    <row r="1447">
      <c r="A1447" s="5"/>
      <c r="B1447" s="5" t="str">
        <f>IFERROR(__xludf.DUMMYFUNCTION("""COMPUTED_VALUE"""),"هیأت")</f>
        <v>هیأت</v>
      </c>
      <c r="C1447" s="5" t="str">
        <f>IFERROR(__xludf.DUMMYFUNCTION("""COMPUTED_VALUE""")," باب الهدی")</f>
        <v> باب الهدی</v>
      </c>
      <c r="D1447" s="5" t="str">
        <f>IFERROR(__xludf.DUMMYFUNCTION("""COMPUTED_VALUE"""),"خراسان رضوی")</f>
        <v>خراسان رضوی</v>
      </c>
      <c r="E1447" s="5" t="str">
        <f>IFERROR(__xludf.DUMMYFUNCTION("""COMPUTED_VALUE"""),"مشهد ")</f>
        <v>مشهد </v>
      </c>
      <c r="F1447" s="5"/>
      <c r="G1447" s="5"/>
      <c r="H1447" s="6" t="str">
        <f>IFERROR(__xludf.DUMMYFUNCTION("""COMPUTED_VALUE"""),"https://www.instagram.com/mesbaholhoda8")</f>
        <v>https://www.instagram.com/mesbaholhoda8</v>
      </c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</row>
    <row r="1448">
      <c r="A1448" s="5"/>
      <c r="B1448" s="5" t="str">
        <f>IFERROR(__xludf.DUMMYFUNCTION("""COMPUTED_VALUE"""),"هیأت")</f>
        <v>هیأت</v>
      </c>
      <c r="C1448" s="5" t="str">
        <f>IFERROR(__xludf.DUMMYFUNCTION("""COMPUTED_VALUE"""),"عمه سادات")</f>
        <v>عمه سادات</v>
      </c>
      <c r="D1448" s="5" t="str">
        <f>IFERROR(__xludf.DUMMYFUNCTION("""COMPUTED_VALUE"""),"خراسان رضوی")</f>
        <v>خراسان رضوی</v>
      </c>
      <c r="E1448" s="5" t="str">
        <f>IFERROR(__xludf.DUMMYFUNCTION("""COMPUTED_VALUE"""),"مشهد ")</f>
        <v>مشهد </v>
      </c>
      <c r="F1448" s="5"/>
      <c r="G1448" s="5"/>
      <c r="H1448" s="6" t="str">
        <f>IFERROR(__xludf.DUMMYFUNCTION("""COMPUTED_VALUE"""),"https://www.instagram.com/alemeh.ir/")</f>
        <v>https://www.instagram.com/alemeh.ir/</v>
      </c>
      <c r="I1448" s="6" t="str">
        <f>IFERROR(__xludf.DUMMYFUNCTION("""COMPUTED_VALUE"""),"https://t.me/alemeh.ir")</f>
        <v>https://t.me/alemeh.ir</v>
      </c>
      <c r="J1448" s="5"/>
      <c r="K1448" s="5"/>
      <c r="L1448" s="5"/>
      <c r="M1448" s="5"/>
      <c r="N1448" s="5"/>
      <c r="O1448" s="5"/>
      <c r="P1448" s="5"/>
      <c r="Q1448" s="5"/>
      <c r="R1448" s="5"/>
      <c r="S1448" s="5"/>
    </row>
    <row r="1449">
      <c r="A1449" s="5"/>
      <c r="B1449" s="5" t="str">
        <f>IFERROR(__xludf.DUMMYFUNCTION("""COMPUTED_VALUE"""),"هیأت")</f>
        <v>هیأت</v>
      </c>
      <c r="C1449" s="5" t="str">
        <f>IFERROR(__xludf.DUMMYFUNCTION("""COMPUTED_VALUE"""),"علمدار")</f>
        <v>علمدار</v>
      </c>
      <c r="D1449" s="5" t="str">
        <f>IFERROR(__xludf.DUMMYFUNCTION("""COMPUTED_VALUE"""),"خراسان رضوی")</f>
        <v>خراسان رضوی</v>
      </c>
      <c r="E1449" s="5" t="str">
        <f>IFERROR(__xludf.DUMMYFUNCTION("""COMPUTED_VALUE"""),"مشهد ")</f>
        <v>مشهد </v>
      </c>
      <c r="F1449" s="5"/>
      <c r="G1449" s="5"/>
      <c r="H1449" s="6" t="str">
        <f>IFERROR(__xludf.DUMMYFUNCTION("""COMPUTED_VALUE"""),"https://www.instagram.com/alam_dar.ir")</f>
        <v>https://www.instagram.com/alam_dar.ir</v>
      </c>
      <c r="I1449" s="6" t="str">
        <f>IFERROR(__xludf.DUMMYFUNCTION("""COMPUTED_VALUE"""),"https://t.me/heiateALAMDAR")</f>
        <v>https://t.me/heiateALAMDAR</v>
      </c>
      <c r="J1449" s="6" t="str">
        <f>IFERROR(__xludf.DUMMYFUNCTION("""COMPUTED_VALUE"""),"https://eitaa.com/heiatealamdar")</f>
        <v>https://eitaa.com/heiatealamdar</v>
      </c>
      <c r="K1449" s="6" t="str">
        <f>IFERROR(__xludf.DUMMYFUNCTION("""COMPUTED_VALUE"""),"https://www.youtube.com/@heiatealamdar")</f>
        <v>https://www.youtube.com/@heiatealamdar</v>
      </c>
      <c r="L1449" s="5"/>
      <c r="M1449" s="5"/>
      <c r="N1449" s="5"/>
      <c r="O1449" s="5"/>
      <c r="P1449" s="5"/>
      <c r="Q1449" s="5"/>
      <c r="R1449" s="5"/>
      <c r="S1449" s="5"/>
    </row>
    <row r="1450">
      <c r="A1450" s="5"/>
      <c r="B1450" s="5" t="str">
        <f>IFERROR(__xludf.DUMMYFUNCTION("""COMPUTED_VALUE"""),"هیأت")</f>
        <v>هیأت</v>
      </c>
      <c r="C1450" s="5" t="str">
        <f>IFERROR(__xludf.DUMMYFUNCTION("""COMPUTED_VALUE"""),"محبان الائمه")</f>
        <v>محبان الائمه</v>
      </c>
      <c r="D1450" s="5" t="str">
        <f>IFERROR(__xludf.DUMMYFUNCTION("""COMPUTED_VALUE"""),"خراسان رضوی")</f>
        <v>خراسان رضوی</v>
      </c>
      <c r="E1450" s="5" t="str">
        <f>IFERROR(__xludf.DUMMYFUNCTION("""COMPUTED_VALUE"""),"مشهد ")</f>
        <v>مشهد </v>
      </c>
      <c r="F1450" s="5"/>
      <c r="G1450" s="5"/>
      <c r="H1450" s="6" t="str">
        <f>IFERROR(__xludf.DUMMYFUNCTION("""COMPUTED_VALUE"""),"https://www.instagram.com/alsebt_com")</f>
        <v>https://www.instagram.com/alsebt_com</v>
      </c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</row>
    <row r="1451">
      <c r="A1451" s="5"/>
      <c r="B1451" s="5" t="str">
        <f>IFERROR(__xludf.DUMMYFUNCTION("""COMPUTED_VALUE"""),"هیأت")</f>
        <v>هیأت</v>
      </c>
      <c r="C1451" s="5" t="str">
        <f>IFERROR(__xludf.DUMMYFUNCTION("""COMPUTED_VALUE"""),"انصالرالعباس")</f>
        <v>انصالرالعباس</v>
      </c>
      <c r="D1451" s="5" t="str">
        <f>IFERROR(__xludf.DUMMYFUNCTION("""COMPUTED_VALUE"""),"خراسان رضوی")</f>
        <v>خراسان رضوی</v>
      </c>
      <c r="E1451" s="5" t="str">
        <f>IFERROR(__xludf.DUMMYFUNCTION("""COMPUTED_VALUE"""),"مشهد ")</f>
        <v>مشهد </v>
      </c>
      <c r="F1451" s="5"/>
      <c r="G1451" s="5"/>
      <c r="H1451" s="6" t="str">
        <f>IFERROR(__xludf.DUMMYFUNCTION("""COMPUTED_VALUE"""),"https://www.instagram.com/ansar73")</f>
        <v>https://www.instagram.com/ansar73</v>
      </c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</row>
    <row r="1452">
      <c r="A1452" s="5"/>
      <c r="B1452" s="5" t="str">
        <f>IFERROR(__xludf.DUMMYFUNCTION("""COMPUTED_VALUE"""),"هیأت")</f>
        <v>هیأت</v>
      </c>
      <c r="C1452" s="5" t="str">
        <f>IFERROR(__xludf.DUMMYFUNCTION("""COMPUTED_VALUE"""),"عشاق العباس")</f>
        <v>عشاق العباس</v>
      </c>
      <c r="D1452" s="5" t="str">
        <f>IFERROR(__xludf.DUMMYFUNCTION("""COMPUTED_VALUE"""),"خراسان رضوی")</f>
        <v>خراسان رضوی</v>
      </c>
      <c r="E1452" s="5" t="str">
        <f>IFERROR(__xludf.DUMMYFUNCTION("""COMPUTED_VALUE"""),"مشهد ")</f>
        <v>مشهد </v>
      </c>
      <c r="F1452" s="5"/>
      <c r="G1452" s="5"/>
      <c r="H1452" s="6" t="str">
        <f>IFERROR(__xludf.DUMMYFUNCTION("""COMPUTED_VALUE"""),"https://www.instagram.com/oshagh_alabbas_mashhad")</f>
        <v>https://www.instagram.com/oshagh_alabbas_mashhad</v>
      </c>
      <c r="I1452" s="6" t="str">
        <f>IFERROR(__xludf.DUMMYFUNCTION("""COMPUTED_VALUE"""),"https://t.me/oshagh_alabas_mashhad110")</f>
        <v>https://t.me/oshagh_alabas_mashhad110</v>
      </c>
      <c r="J1452" s="5"/>
      <c r="K1452" s="5"/>
      <c r="L1452" s="5"/>
      <c r="M1452" s="5"/>
      <c r="N1452" s="5"/>
      <c r="O1452" s="5"/>
      <c r="P1452" s="5"/>
      <c r="Q1452" s="5"/>
      <c r="R1452" s="5"/>
      <c r="S1452" s="5"/>
    </row>
    <row r="1453">
      <c r="A1453" s="5"/>
      <c r="B1453" s="5" t="str">
        <f>IFERROR(__xludf.DUMMYFUNCTION("""COMPUTED_VALUE"""),"هیأت")</f>
        <v>هیأت</v>
      </c>
      <c r="C1453" s="5" t="str">
        <f>IFERROR(__xludf.DUMMYFUNCTION("""COMPUTED_VALUE"""),"ریحانة الحسین")</f>
        <v>ریحانة الحسین</v>
      </c>
      <c r="D1453" s="5" t="str">
        <f>IFERROR(__xludf.DUMMYFUNCTION("""COMPUTED_VALUE"""),"خراسان رضوی")</f>
        <v>خراسان رضوی</v>
      </c>
      <c r="E1453" s="5" t="str">
        <f>IFERROR(__xludf.DUMMYFUNCTION("""COMPUTED_VALUE"""),"مشهد ")</f>
        <v>مشهد </v>
      </c>
      <c r="F1453" s="5"/>
      <c r="G1453" s="5"/>
      <c r="H1453" s="6" t="str">
        <f>IFERROR(__xludf.DUMMYFUNCTION("""COMPUTED_VALUE"""),"https://www.instagram.com/mahfelreyhana315")</f>
        <v>https://www.instagram.com/mahfelreyhana315</v>
      </c>
      <c r="I1453" s="6" t="str">
        <f>IFERROR(__xludf.DUMMYFUNCTION("""COMPUTED_VALUE"""),"https://t.me/mahfelreyhana315")</f>
        <v>https://t.me/mahfelreyhana315</v>
      </c>
      <c r="J1453" s="5"/>
      <c r="K1453" s="5"/>
      <c r="L1453" s="5"/>
      <c r="M1453" s="5"/>
      <c r="N1453" s="5"/>
      <c r="O1453" s="5"/>
      <c r="P1453" s="5"/>
      <c r="Q1453" s="5"/>
      <c r="R1453" s="5"/>
      <c r="S1453" s="5"/>
    </row>
    <row r="1454">
      <c r="A1454" s="5"/>
      <c r="B1454" s="5" t="str">
        <f>IFERROR(__xludf.DUMMYFUNCTION("""COMPUTED_VALUE"""),"هیأت")</f>
        <v>هیأت</v>
      </c>
      <c r="C1454" s="5" t="str">
        <f>IFERROR(__xludf.DUMMYFUNCTION("""COMPUTED_VALUE"""),"الحسن")</f>
        <v>الحسن</v>
      </c>
      <c r="D1454" s="5" t="str">
        <f>IFERROR(__xludf.DUMMYFUNCTION("""COMPUTED_VALUE"""),"خراسان رضوی")</f>
        <v>خراسان رضوی</v>
      </c>
      <c r="E1454" s="5" t="str">
        <f>IFERROR(__xludf.DUMMYFUNCTION("""COMPUTED_VALUE"""),"مشهد ")</f>
        <v>مشهد </v>
      </c>
      <c r="F1454" s="5"/>
      <c r="G1454" s="5"/>
      <c r="H1454" s="6" t="str">
        <f>IFERROR(__xludf.DUMMYFUNCTION("""COMPUTED_VALUE"""),"https://www.instagram.com/_heyatolhasan_")</f>
        <v>https://www.instagram.com/_heyatolhasan_</v>
      </c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</row>
    <row r="1455">
      <c r="A1455" s="5"/>
      <c r="B1455" s="5" t="str">
        <f>IFERROR(__xludf.DUMMYFUNCTION("""COMPUTED_VALUE"""),"هیأت")</f>
        <v>هیأت</v>
      </c>
      <c r="C1455" s="5" t="str">
        <f>IFERROR(__xludf.DUMMYFUNCTION("""COMPUTED_VALUE"""),"روضة الزهرا")</f>
        <v>روضة الزهرا</v>
      </c>
      <c r="D1455" s="5" t="str">
        <f>IFERROR(__xludf.DUMMYFUNCTION("""COMPUTED_VALUE"""),"خراسان رضوی")</f>
        <v>خراسان رضوی</v>
      </c>
      <c r="E1455" s="5" t="str">
        <f>IFERROR(__xludf.DUMMYFUNCTION("""COMPUTED_VALUE"""),"مشهد ")</f>
        <v>مشهد </v>
      </c>
      <c r="F1455" s="5"/>
      <c r="G1455" s="5"/>
      <c r="H1455" s="6" t="str">
        <f>IFERROR(__xludf.DUMMYFUNCTION("""COMPUTED_VALUE"""),"https://www.instagram.com/rozato.zahra")</f>
        <v>https://www.instagram.com/rozato.zahra</v>
      </c>
      <c r="I1455" s="6" t="str">
        <f>IFERROR(__xludf.DUMMYFUNCTION("""COMPUTED_VALUE"""),"https://t.me/seyedhojjat128")</f>
        <v>https://t.me/seyedhojjat128</v>
      </c>
      <c r="J1455" s="5"/>
      <c r="K1455" s="5"/>
      <c r="L1455" s="5"/>
      <c r="M1455" s="5"/>
      <c r="N1455" s="5"/>
      <c r="O1455" s="5"/>
      <c r="P1455" s="5"/>
      <c r="Q1455" s="5"/>
      <c r="R1455" s="5"/>
      <c r="S1455" s="5"/>
    </row>
    <row r="1456">
      <c r="A1456" s="5"/>
      <c r="B1456" s="5" t="str">
        <f>IFERROR(__xludf.DUMMYFUNCTION("""COMPUTED_VALUE"""),"هیأت")</f>
        <v>هیأت</v>
      </c>
      <c r="C1456" s="5" t="str">
        <f>IFERROR(__xludf.DUMMYFUNCTION("""COMPUTED_VALUE"""),"بنت الحسین")</f>
        <v>بنت الحسین</v>
      </c>
      <c r="D1456" s="5" t="str">
        <f>IFERROR(__xludf.DUMMYFUNCTION("""COMPUTED_VALUE"""),"خراسان رضوی")</f>
        <v>خراسان رضوی</v>
      </c>
      <c r="E1456" s="5" t="str">
        <f>IFERROR(__xludf.DUMMYFUNCTION("""COMPUTED_VALUE"""),"مشهد ")</f>
        <v>مشهد </v>
      </c>
      <c r="F1456" s="5"/>
      <c r="G1456" s="5"/>
      <c r="H1456" s="6" t="str">
        <f>IFERROR(__xludf.DUMMYFUNCTION("""COMPUTED_VALUE"""),"https://www.instagram.com/bentolhosein_ir")</f>
        <v>https://www.instagram.com/bentolhosein_ir</v>
      </c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</row>
    <row r="1457">
      <c r="A1457" s="5"/>
      <c r="B1457" s="5" t="str">
        <f>IFERROR(__xludf.DUMMYFUNCTION("""COMPUTED_VALUE"""),"هیأت")</f>
        <v>هیأت</v>
      </c>
      <c r="C1457" s="5" t="str">
        <f>IFERROR(__xludf.DUMMYFUNCTION("""COMPUTED_VALUE""")," بیت الاحزان")</f>
        <v> بیت الاحزان</v>
      </c>
      <c r="D1457" s="5" t="str">
        <f>IFERROR(__xludf.DUMMYFUNCTION("""COMPUTED_VALUE"""),"خراسان رضوی ")</f>
        <v>خراسان رضوی </v>
      </c>
      <c r="E1457" s="5" t="str">
        <f>IFERROR(__xludf.DUMMYFUNCTION("""COMPUTED_VALUE"""),"مشهد")</f>
        <v>مشهد</v>
      </c>
      <c r="F1457" s="5"/>
      <c r="G1457" s="5">
        <f>IFERROR(__xludf.DUMMYFUNCTION("""COMPUTED_VALUE"""),1.0)</f>
        <v>1</v>
      </c>
      <c r="H1457" s="6" t="str">
        <f>IFERROR(__xludf.DUMMYFUNCTION("""COMPUTED_VALUE"""),"https://www.instagram.com/beitolahzan315")</f>
        <v>https://www.instagram.com/beitolahzan315</v>
      </c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</row>
    <row r="1458">
      <c r="A1458" s="5"/>
      <c r="B1458" s="5" t="str">
        <f>IFERROR(__xludf.DUMMYFUNCTION("""COMPUTED_VALUE"""),"کانون فرهنگی")</f>
        <v>کانون فرهنگی</v>
      </c>
      <c r="C1458" s="5" t="str">
        <f>IFERROR(__xludf.DUMMYFUNCTION("""COMPUTED_VALUE""")," بیت الثقلین")</f>
        <v> بیت الثقلین</v>
      </c>
      <c r="D1458" s="5" t="str">
        <f>IFERROR(__xludf.DUMMYFUNCTION("""COMPUTED_VALUE"""),"خراسان رضوی")</f>
        <v>خراسان رضوی</v>
      </c>
      <c r="E1458" s="5" t="str">
        <f>IFERROR(__xludf.DUMMYFUNCTION("""COMPUTED_VALUE"""),"مشهد")</f>
        <v>مشهد</v>
      </c>
      <c r="F1458" s="5"/>
      <c r="G1458" s="5">
        <f>IFERROR(__xludf.DUMMYFUNCTION("""COMPUTED_VALUE"""),3.0)</f>
        <v>3</v>
      </c>
      <c r="H1458" s="6" t="str">
        <f>IFERROR(__xludf.DUMMYFUNCTION("""COMPUTED_VALUE"""),"https://www.instagram.com/beytalsaghalein")</f>
        <v>https://www.instagram.com/beytalsaghalein</v>
      </c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</row>
    <row r="1459">
      <c r="A1459" s="5"/>
      <c r="B1459" s="5" t="str">
        <f>IFERROR(__xludf.DUMMYFUNCTION("""COMPUTED_VALUE"""),"هیأت")</f>
        <v>هیأت</v>
      </c>
      <c r="C1459" s="5" t="str">
        <f>IFERROR(__xludf.DUMMYFUNCTION("""COMPUTED_VALUE""")," بیت الحسین")</f>
        <v> بیت الحسین</v>
      </c>
      <c r="D1459" s="5" t="str">
        <f>IFERROR(__xludf.DUMMYFUNCTION("""COMPUTED_VALUE"""),"خراسان رضوی")</f>
        <v>خراسان رضوی</v>
      </c>
      <c r="E1459" s="5" t="str">
        <f>IFERROR(__xludf.DUMMYFUNCTION("""COMPUTED_VALUE"""),"مشهد")</f>
        <v>مشهد</v>
      </c>
      <c r="F1459" s="5"/>
      <c r="G1459" s="5">
        <f>IFERROR(__xludf.DUMMYFUNCTION("""COMPUTED_VALUE"""),4.0)</f>
        <v>4</v>
      </c>
      <c r="H1459" s="6" t="str">
        <f>IFERROR(__xludf.DUMMYFUNCTION("""COMPUTED_VALUE"""),"https://www.instagram.com/beit_133")</f>
        <v>https://www.instagram.com/beit_133</v>
      </c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</row>
    <row r="1460">
      <c r="A1460" s="5"/>
      <c r="B1460" s="5" t="str">
        <f>IFERROR(__xludf.DUMMYFUNCTION("""COMPUTED_VALUE"""),"هیأت")</f>
        <v>هیأت</v>
      </c>
      <c r="C1460" s="5" t="str">
        <f>IFERROR(__xludf.DUMMYFUNCTION("""COMPUTED_VALUE""")," بیت الرضا")</f>
        <v> بیت الرضا</v>
      </c>
      <c r="D1460" s="5" t="str">
        <f>IFERROR(__xludf.DUMMYFUNCTION("""COMPUTED_VALUE"""),"خراسان رضوی")</f>
        <v>خراسان رضوی</v>
      </c>
      <c r="E1460" s="5" t="str">
        <f>IFERROR(__xludf.DUMMYFUNCTION("""COMPUTED_VALUE"""),"مشهد")</f>
        <v>مشهد</v>
      </c>
      <c r="F1460" s="5"/>
      <c r="G1460" s="5">
        <f>IFERROR(__xludf.DUMMYFUNCTION("""COMPUTED_VALUE"""),5.0)</f>
        <v>5</v>
      </c>
      <c r="H1460" s="6" t="str">
        <f>IFERROR(__xludf.DUMMYFUNCTION("""COMPUTED_VALUE"""),"https://www.instagram.com/beytolreza.info")</f>
        <v>https://www.instagram.com/beytolreza.info</v>
      </c>
      <c r="I1460" s="6" t="str">
        <f>IFERROR(__xludf.DUMMYFUNCTION("""COMPUTED_VALUE"""),"https://t.me/beytolreza1001")</f>
        <v>https://t.me/beytolreza1001</v>
      </c>
      <c r="J1460" s="5"/>
      <c r="K1460" s="5"/>
      <c r="L1460" s="5"/>
      <c r="M1460" s="5"/>
      <c r="N1460" s="5"/>
      <c r="O1460" s="5"/>
      <c r="P1460" s="5"/>
      <c r="Q1460" s="5"/>
      <c r="R1460" s="5"/>
      <c r="S1460" s="5"/>
    </row>
    <row r="1461">
      <c r="A1461" s="5"/>
      <c r="B1461" s="5" t="str">
        <f>IFERROR(__xludf.DUMMYFUNCTION("""COMPUTED_VALUE"""),"هیأت")</f>
        <v>هیأت</v>
      </c>
      <c r="C1461" s="5" t="str">
        <f>IFERROR(__xludf.DUMMYFUNCTION("""COMPUTED_VALUE""")," بیت الزهرا")</f>
        <v> بیت الزهرا</v>
      </c>
      <c r="D1461" s="5" t="str">
        <f>IFERROR(__xludf.DUMMYFUNCTION("""COMPUTED_VALUE"""),"خراسان رضوی")</f>
        <v>خراسان رضوی</v>
      </c>
      <c r="E1461" s="5" t="str">
        <f>IFERROR(__xludf.DUMMYFUNCTION("""COMPUTED_VALUE"""),"مشهد")</f>
        <v>مشهد</v>
      </c>
      <c r="F1461" s="5"/>
      <c r="G1461" s="5">
        <f>IFERROR(__xludf.DUMMYFUNCTION("""COMPUTED_VALUE"""),5.0)</f>
        <v>5</v>
      </c>
      <c r="H1461" s="6" t="str">
        <f>IFERROR(__xludf.DUMMYFUNCTION("""COMPUTED_VALUE"""),"https://www.instagram.com/beyto_zahra68")</f>
        <v>https://www.instagram.com/beyto_zahra68</v>
      </c>
      <c r="I1461" s="5"/>
      <c r="J1461" s="6" t="str">
        <f>IFERROR(__xludf.DUMMYFUNCTION("""COMPUTED_VALUE"""),"https://eitaa.com/beytozahrasalamollahalayha")</f>
        <v>https://eitaa.com/beytozahrasalamollahalayha</v>
      </c>
      <c r="K1461" s="5"/>
      <c r="L1461" s="5"/>
      <c r="M1461" s="5"/>
      <c r="N1461" s="5"/>
      <c r="O1461" s="5"/>
      <c r="P1461" s="5"/>
      <c r="Q1461" s="5"/>
      <c r="R1461" s="5"/>
      <c r="S1461" s="5"/>
    </row>
    <row r="1462">
      <c r="A1462" s="5"/>
      <c r="B1462" s="5" t="str">
        <f>IFERROR(__xludf.DUMMYFUNCTION("""COMPUTED_VALUE"""),"هیأت")</f>
        <v>هیأت</v>
      </c>
      <c r="C1462" s="5" t="str">
        <f>IFERROR(__xludf.DUMMYFUNCTION("""COMPUTED_VALUE""")," بیت الاحزان حضرت زینب")</f>
        <v> بیت الاحزان حضرت زینب</v>
      </c>
      <c r="D1462" s="5" t="str">
        <f>IFERROR(__xludf.DUMMYFUNCTION("""COMPUTED_VALUE"""),"خراسان رضوی")</f>
        <v>خراسان رضوی</v>
      </c>
      <c r="E1462" s="5" t="str">
        <f>IFERROR(__xludf.DUMMYFUNCTION("""COMPUTED_VALUE"""),"مشهد")</f>
        <v>مشهد</v>
      </c>
      <c r="F1462" s="5"/>
      <c r="G1462" s="5">
        <f>IFERROR(__xludf.DUMMYFUNCTION("""COMPUTED_VALUE"""),5.0)</f>
        <v>5</v>
      </c>
      <c r="H1462" s="6" t="str">
        <f>IFERROR(__xludf.DUMMYFUNCTION("""COMPUTED_VALUE"""),"https://www.instagram.com/beytolahzan.official/")</f>
        <v>https://www.instagram.com/beytolahzan.official/</v>
      </c>
      <c r="I1462" s="6" t="str">
        <f>IFERROR(__xludf.DUMMYFUNCTION("""COMPUTED_VALUE"""),"https://www.instagram.com/beytolahzan_video")</f>
        <v>https://www.instagram.com/beytolahzan_video</v>
      </c>
      <c r="J1462" s="5"/>
      <c r="K1462" s="5"/>
      <c r="L1462" s="5"/>
      <c r="M1462" s="5"/>
      <c r="N1462" s="5"/>
      <c r="O1462" s="5"/>
      <c r="P1462" s="5"/>
      <c r="Q1462" s="5"/>
      <c r="R1462" s="5"/>
      <c r="S1462" s="5"/>
    </row>
    <row r="1463">
      <c r="A1463" s="5"/>
      <c r="B1463" s="5" t="str">
        <f>IFERROR(__xludf.DUMMYFUNCTION("""COMPUTED_VALUE"""),"هیأت")</f>
        <v>هیأت</v>
      </c>
      <c r="C1463" s="5" t="str">
        <f>IFERROR(__xludf.DUMMYFUNCTION("""COMPUTED_VALUE""")," بیت الشهدا")</f>
        <v> بیت الشهدا</v>
      </c>
      <c r="D1463" s="5" t="str">
        <f>IFERROR(__xludf.DUMMYFUNCTION("""COMPUTED_VALUE"""),"خراسان رضوی")</f>
        <v>خراسان رضوی</v>
      </c>
      <c r="E1463" s="5" t="str">
        <f>IFERROR(__xludf.DUMMYFUNCTION("""COMPUTED_VALUE"""),"مشهد")</f>
        <v>مشهد</v>
      </c>
      <c r="F1463" s="5"/>
      <c r="G1463" s="5">
        <f>IFERROR(__xludf.DUMMYFUNCTION("""COMPUTED_VALUE"""),5.0)</f>
        <v>5</v>
      </c>
      <c r="H1463" s="6" t="str">
        <f>IFERROR(__xludf.DUMMYFUNCTION("""COMPUTED_VALUE"""),"https://www.instagram.com/beytoshohada110")</f>
        <v>https://www.instagram.com/beytoshohada110</v>
      </c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</row>
    <row r="1464">
      <c r="A1464" s="5"/>
      <c r="B1464" s="5" t="str">
        <f>IFERROR(__xludf.DUMMYFUNCTION("""COMPUTED_VALUE"""),"هیأت")</f>
        <v>هیأت</v>
      </c>
      <c r="C1464" s="5" t="str">
        <f>IFERROR(__xludf.DUMMYFUNCTION("""COMPUTED_VALUE"""),"جوانان  بیت العباس")</f>
        <v>جوانان  بیت العباس</v>
      </c>
      <c r="D1464" s="5" t="str">
        <f>IFERROR(__xludf.DUMMYFUNCTION("""COMPUTED_VALUE"""),"خراسان رضوی")</f>
        <v>خراسان رضوی</v>
      </c>
      <c r="E1464" s="5" t="str">
        <f>IFERROR(__xludf.DUMMYFUNCTION("""COMPUTED_VALUE"""),"مشهد")</f>
        <v>مشهد</v>
      </c>
      <c r="F1464" s="5"/>
      <c r="G1464" s="5">
        <f>IFERROR(__xludf.DUMMYFUNCTION("""COMPUTED_VALUE"""),1.0)</f>
        <v>1</v>
      </c>
      <c r="H1464" s="6" t="str">
        <f>IFERROR(__xludf.DUMMYFUNCTION("""COMPUTED_VALUE"""),"https://www.instagram.com/beytolabbass_haram1")</f>
        <v>https://www.instagram.com/beytolabbass_haram1</v>
      </c>
      <c r="I1464" s="6" t="str">
        <f>IFERROR(__xludf.DUMMYFUNCTION("""COMPUTED_VALUE"""),"https://t.me/haram1")</f>
        <v>https://t.me/haram1</v>
      </c>
      <c r="J1464" s="5"/>
      <c r="K1464" s="5"/>
      <c r="L1464" s="5"/>
      <c r="M1464" s="5"/>
      <c r="N1464" s="5"/>
      <c r="O1464" s="5"/>
      <c r="P1464" s="5"/>
      <c r="Q1464" s="5"/>
      <c r="R1464" s="5"/>
      <c r="S1464" s="5"/>
    </row>
    <row r="1465">
      <c r="A1465" s="5"/>
      <c r="B1465" s="5" t="str">
        <f>IFERROR(__xludf.DUMMYFUNCTION("""COMPUTED_VALUE"""),"هیأت")</f>
        <v>هیأت</v>
      </c>
      <c r="C1465" s="5" t="str">
        <f>IFERROR(__xludf.DUMMYFUNCTION("""COMPUTED_VALUE"""),"منتظران ظهور")</f>
        <v>منتظران ظهور</v>
      </c>
      <c r="D1465" s="5" t="str">
        <f>IFERROR(__xludf.DUMMYFUNCTION("""COMPUTED_VALUE"""),"خراسان رضوی")</f>
        <v>خراسان رضوی</v>
      </c>
      <c r="E1465" s="5" t="str">
        <f>IFERROR(__xludf.DUMMYFUNCTION("""COMPUTED_VALUE"""),"مشهد")</f>
        <v>مشهد</v>
      </c>
      <c r="F1465" s="5"/>
      <c r="G1465" s="5">
        <f>IFERROR(__xludf.DUMMYFUNCTION("""COMPUTED_VALUE"""),5.0)</f>
        <v>5</v>
      </c>
      <c r="H1465" s="6" t="str">
        <f>IFERROR(__xludf.DUMMYFUNCTION("""COMPUTED_VALUE"""),"https://www.instagram.com/montazeranzohour__313")</f>
        <v>https://www.instagram.com/montazeranzohour__313</v>
      </c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</row>
    <row r="1466">
      <c r="A1466" s="5"/>
      <c r="B1466" s="5" t="str">
        <f>IFERROR(__xludf.DUMMYFUNCTION("""COMPUTED_VALUE"""),"هیأت")</f>
        <v>هیأت</v>
      </c>
      <c r="C1466" s="5" t="str">
        <f>IFERROR(__xludf.DUMMYFUNCTION("""COMPUTED_VALUE"""),"رهروان شهدا ")</f>
        <v>رهروان شهدا </v>
      </c>
      <c r="D1466" s="5" t="str">
        <f>IFERROR(__xludf.DUMMYFUNCTION("""COMPUTED_VALUE"""),"خراسان رضوی")</f>
        <v>خراسان رضوی</v>
      </c>
      <c r="E1466" s="5" t="str">
        <f>IFERROR(__xludf.DUMMYFUNCTION("""COMPUTED_VALUE"""),"مشهد")</f>
        <v>مشهد</v>
      </c>
      <c r="F1466" s="5"/>
      <c r="G1466" s="5">
        <f>IFERROR(__xludf.DUMMYFUNCTION("""COMPUTED_VALUE"""),1.0)</f>
        <v>1</v>
      </c>
      <c r="H1466" s="6" t="str">
        <f>IFERROR(__xludf.DUMMYFUNCTION("""COMPUTED_VALUE"""),"https://www.instagram.com/r_shohada313")</f>
        <v>https://www.instagram.com/r_shohada313</v>
      </c>
      <c r="I1466" s="6" t="str">
        <f>IFERROR(__xludf.DUMMYFUNCTION("""COMPUTED_VALUE"""),"https://t.me/fanos1357")</f>
        <v>https://t.me/fanos1357</v>
      </c>
      <c r="J1466" s="5"/>
      <c r="K1466" s="5"/>
      <c r="L1466" s="5"/>
      <c r="M1466" s="5"/>
      <c r="N1466" s="5"/>
      <c r="O1466" s="5"/>
      <c r="P1466" s="5"/>
      <c r="Q1466" s="5"/>
      <c r="R1466" s="5"/>
      <c r="S1466" s="5"/>
    </row>
    <row r="1467">
      <c r="A1467" s="5"/>
      <c r="B1467" s="5" t="str">
        <f>IFERROR(__xludf.DUMMYFUNCTION("""COMPUTED_VALUE"""),"هیأت")</f>
        <v>هیأت</v>
      </c>
      <c r="C1467" s="5" t="str">
        <f>IFERROR(__xludf.DUMMYFUNCTION("""COMPUTED_VALUE"""),"محبان قائم آل محمد ")</f>
        <v>محبان قائم آل محمد </v>
      </c>
      <c r="D1467" s="5" t="str">
        <f>IFERROR(__xludf.DUMMYFUNCTION("""COMPUTED_VALUE"""),"خراسان رضوی")</f>
        <v>خراسان رضوی</v>
      </c>
      <c r="E1467" s="5" t="str">
        <f>IFERROR(__xludf.DUMMYFUNCTION("""COMPUTED_VALUE"""),"مشهد")</f>
        <v>مشهد</v>
      </c>
      <c r="F1467" s="5"/>
      <c r="G1467" s="5">
        <f>IFERROR(__xludf.DUMMYFUNCTION("""COMPUTED_VALUE"""),3.0)</f>
        <v>3</v>
      </c>
      <c r="H1467" s="6" t="str">
        <f>IFERROR(__xludf.DUMMYFUNCTION("""COMPUTED_VALUE"""),"https://www.instagram.com/moheban_75")</f>
        <v>https://www.instagram.com/moheban_75</v>
      </c>
      <c r="I1467" s="5"/>
      <c r="J1467" s="6" t="str">
        <f>IFERROR(__xludf.DUMMYFUNCTION("""COMPUTED_VALUE"""),"https://eitaa.com/heydarieh_ir")</f>
        <v>https://eitaa.com/heydarieh_ir</v>
      </c>
      <c r="K1467" s="5"/>
      <c r="L1467" s="5"/>
      <c r="M1467" s="6" t="str">
        <f>IFERROR(__xludf.DUMMYFUNCTION("""COMPUTED_VALUE"""),"https://www.aparat.com/v/ighr5vj")</f>
        <v>https://www.aparat.com/v/ighr5vj</v>
      </c>
      <c r="N1467" s="5"/>
      <c r="O1467" s="5"/>
      <c r="P1467" s="5"/>
      <c r="Q1467" s="5"/>
      <c r="R1467" s="5"/>
      <c r="S1467" s="5"/>
    </row>
    <row r="1468">
      <c r="A1468" s="5"/>
      <c r="B1468" s="5" t="str">
        <f>IFERROR(__xludf.DUMMYFUNCTION("""COMPUTED_VALUE"""),"هیأت")</f>
        <v>هیأت</v>
      </c>
      <c r="C1468" s="5" t="str">
        <f>IFERROR(__xludf.DUMMYFUNCTION("""COMPUTED_VALUE"""),"تشنگان علقمه")</f>
        <v>تشنگان علقمه</v>
      </c>
      <c r="D1468" s="5" t="str">
        <f>IFERROR(__xludf.DUMMYFUNCTION("""COMPUTED_VALUE"""),"خراسان رضوی")</f>
        <v>خراسان رضوی</v>
      </c>
      <c r="E1468" s="5" t="str">
        <f>IFERROR(__xludf.DUMMYFUNCTION("""COMPUTED_VALUE"""),"مشهد")</f>
        <v>مشهد</v>
      </c>
      <c r="F1468" s="5"/>
      <c r="G1468" s="5"/>
      <c r="H1468" s="5"/>
      <c r="I1468" s="6" t="str">
        <f>IFERROR(__xludf.DUMMYFUNCTION("""COMPUTED_VALUE"""),"https://t.me/teshnegane_alghame")</f>
        <v>https://t.me/teshnegane_alghame</v>
      </c>
      <c r="J1468" s="5"/>
      <c r="K1468" s="5"/>
      <c r="L1468" s="5"/>
      <c r="M1468" s="5"/>
      <c r="N1468" s="5"/>
      <c r="O1468" s="5"/>
      <c r="P1468" s="5"/>
      <c r="Q1468" s="5"/>
      <c r="R1468" s="5"/>
      <c r="S1468" s="5"/>
    </row>
    <row r="1469">
      <c r="A1469" s="5"/>
      <c r="B1469" s="5" t="str">
        <f>IFERROR(__xludf.DUMMYFUNCTION("""COMPUTED_VALUE"""),"هیأت")</f>
        <v>هیأت</v>
      </c>
      <c r="C1469" s="5" t="str">
        <f>IFERROR(__xludf.DUMMYFUNCTION("""COMPUTED_VALUE"""),"ثارالله")</f>
        <v>ثارالله</v>
      </c>
      <c r="D1469" s="5" t="str">
        <f>IFERROR(__xludf.DUMMYFUNCTION("""COMPUTED_VALUE"""),"خراسان رضوی")</f>
        <v>خراسان رضوی</v>
      </c>
      <c r="E1469" s="5" t="str">
        <f>IFERROR(__xludf.DUMMYFUNCTION("""COMPUTED_VALUE"""),"مشهد")</f>
        <v>مشهد</v>
      </c>
      <c r="F1469" s="5"/>
      <c r="G1469" s="5"/>
      <c r="H1469" s="5"/>
      <c r="I1469" s="5"/>
      <c r="J1469" s="5"/>
      <c r="K1469" s="5"/>
      <c r="L1469" s="6" t="str">
        <f>IFERROR(__xludf.DUMMYFUNCTION("""COMPUTED_VALUE"""),"https://sarallah1.blog.ir/")</f>
        <v>https://sarallah1.blog.ir/</v>
      </c>
      <c r="M1469" s="5"/>
      <c r="N1469" s="5"/>
      <c r="O1469" s="5"/>
      <c r="P1469" s="5"/>
      <c r="Q1469" s="5"/>
      <c r="R1469" s="5"/>
      <c r="S1469" s="5"/>
    </row>
    <row r="1470">
      <c r="A1470" s="5"/>
      <c r="B1470" s="5" t="str">
        <f>IFERROR(__xludf.DUMMYFUNCTION("""COMPUTED_VALUE"""),"هیأت")</f>
        <v>هیأت</v>
      </c>
      <c r="C1470" s="5" t="str">
        <f>IFERROR(__xludf.DUMMYFUNCTION("""COMPUTED_VALUE"""),"ثامن الأئمه ")</f>
        <v>ثامن الأئمه </v>
      </c>
      <c r="D1470" s="5" t="str">
        <f>IFERROR(__xludf.DUMMYFUNCTION("""COMPUTED_VALUE"""),"خراسان رضوی")</f>
        <v>خراسان رضوی</v>
      </c>
      <c r="E1470" s="5" t="str">
        <f>IFERROR(__xludf.DUMMYFUNCTION("""COMPUTED_VALUE"""),"مشهد")</f>
        <v>مشهد</v>
      </c>
      <c r="F1470" s="5"/>
      <c r="G1470" s="5">
        <f>IFERROR(__xludf.DUMMYFUNCTION("""COMPUTED_VALUE"""),1.0)</f>
        <v>1</v>
      </c>
      <c r="H1470" s="6" t="str">
        <f>IFERROR(__xludf.DUMMYFUNCTION("""COMPUTED_VALUE"""),"https://www.instagram.com/heyat_samen1379")</f>
        <v>https://www.instagram.com/heyat_samen1379</v>
      </c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</row>
    <row r="1471">
      <c r="A1471" s="5"/>
      <c r="B1471" s="5" t="str">
        <f>IFERROR(__xludf.DUMMYFUNCTION("""COMPUTED_VALUE"""),"هیأت")</f>
        <v>هیأت</v>
      </c>
      <c r="C1471" s="5" t="str">
        <f>IFERROR(__xludf.DUMMYFUNCTION("""COMPUTED_VALUE""")," ثامن الحجج")</f>
        <v> ثامن الحجج</v>
      </c>
      <c r="D1471" s="5" t="str">
        <f>IFERROR(__xludf.DUMMYFUNCTION("""COMPUTED_VALUE"""),"خراسان رضوی")</f>
        <v>خراسان رضوی</v>
      </c>
      <c r="E1471" s="5" t="str">
        <f>IFERROR(__xludf.DUMMYFUNCTION("""COMPUTED_VALUE"""),"مشهد")</f>
        <v>مشهد</v>
      </c>
      <c r="F1471" s="5"/>
      <c r="G1471" s="5">
        <f>IFERROR(__xludf.DUMMYFUNCTION("""COMPUTED_VALUE"""),45660.0)</f>
        <v>45660</v>
      </c>
      <c r="H1471" s="6" t="str">
        <f>IFERROR(__xludf.DUMMYFUNCTION("""COMPUTED_VALUE"""),"https://www.instagram.com/samen_alhojaj1376")</f>
        <v>https://www.instagram.com/samen_alhojaj1376</v>
      </c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</row>
    <row r="1472">
      <c r="A1472" s="5"/>
      <c r="B1472" s="5" t="str">
        <f>IFERROR(__xludf.DUMMYFUNCTION("""COMPUTED_VALUE"""),"هیأت")</f>
        <v>هیأت</v>
      </c>
      <c r="C1472" s="5" t="str">
        <f>IFERROR(__xludf.DUMMYFUNCTION("""COMPUTED_VALUE""")," جامعة الحسین")</f>
        <v> جامعة الحسین</v>
      </c>
      <c r="D1472" s="5" t="str">
        <f>IFERROR(__xludf.DUMMYFUNCTION("""COMPUTED_VALUE"""),"خراسان رضوی")</f>
        <v>خراسان رضوی</v>
      </c>
      <c r="E1472" s="5" t="str">
        <f>IFERROR(__xludf.DUMMYFUNCTION("""COMPUTED_VALUE"""),"مشهد")</f>
        <v>مشهد</v>
      </c>
      <c r="F1472" s="5"/>
      <c r="G1472" s="5">
        <f>IFERROR(__xludf.DUMMYFUNCTION("""COMPUTED_VALUE"""),45660.0)</f>
        <v>45660</v>
      </c>
      <c r="H1472" s="6" t="str">
        <f>IFERROR(__xludf.DUMMYFUNCTION("""COMPUTED_VALUE"""),"https://www.instagram.com/ahraar_ir")</f>
        <v>https://www.instagram.com/ahraar_ir</v>
      </c>
      <c r="I1472" s="5"/>
      <c r="J1472" s="6" t="str">
        <f>IFERROR(__xludf.DUMMYFUNCTION("""COMPUTED_VALUE"""),"https://eitaa.com/jameatolhosayn")</f>
        <v>https://eitaa.com/jameatolhosayn</v>
      </c>
      <c r="K1472" s="5"/>
      <c r="L1472" s="5"/>
      <c r="M1472" s="5"/>
      <c r="N1472" s="5"/>
      <c r="O1472" s="5"/>
      <c r="P1472" s="5"/>
      <c r="Q1472" s="5"/>
      <c r="R1472" s="5"/>
      <c r="S1472" s="5"/>
    </row>
    <row r="1473">
      <c r="A1473" s="5"/>
      <c r="B1473" s="5" t="str">
        <f>IFERROR(__xludf.DUMMYFUNCTION("""COMPUTED_VALUE"""),"هیأت")</f>
        <v>هیأت</v>
      </c>
      <c r="C1473" s="5" t="str">
        <f>IFERROR(__xludf.DUMMYFUNCTION("""COMPUTED_VALUE""")," جامعه الشهدا")</f>
        <v> جامعه الشهدا</v>
      </c>
      <c r="D1473" s="5" t="str">
        <f>IFERROR(__xludf.DUMMYFUNCTION("""COMPUTED_VALUE"""),"خراسان رضوی")</f>
        <v>خراسان رضوی</v>
      </c>
      <c r="E1473" s="5" t="str">
        <f>IFERROR(__xludf.DUMMYFUNCTION("""COMPUTED_VALUE"""),"مشهد")</f>
        <v>مشهد</v>
      </c>
      <c r="F1473" s="5"/>
      <c r="G1473" s="5">
        <f>IFERROR(__xludf.DUMMYFUNCTION("""COMPUTED_VALUE"""),3.0)</f>
        <v>3</v>
      </c>
      <c r="H1473" s="6" t="str">
        <f>IFERROR(__xludf.DUMMYFUNCTION("""COMPUTED_VALUE"""),"https://www.instagram.com/jameato_shohada")</f>
        <v>https://www.instagram.com/jameato_shohada</v>
      </c>
      <c r="I1473" s="6" t="str">
        <f>IFERROR(__xludf.DUMMYFUNCTION("""COMPUTED_VALUE"""),"https://t.me/Jameato_shohada")</f>
        <v>https://t.me/Jameato_shohada</v>
      </c>
      <c r="J1473" s="6" t="str">
        <f>IFERROR(__xludf.DUMMYFUNCTION("""COMPUTED_VALUE"""),"https://eitaa.com/jameato_shohada")</f>
        <v>https://eitaa.com/jameato_shohada</v>
      </c>
      <c r="K1473" s="5"/>
      <c r="L1473" s="5"/>
      <c r="M1473" s="5"/>
      <c r="N1473" s="5"/>
      <c r="O1473" s="5"/>
      <c r="P1473" s="5"/>
      <c r="Q1473" s="5"/>
      <c r="R1473" s="5"/>
      <c r="S1473" s="5"/>
    </row>
    <row r="1474">
      <c r="A1474" s="5"/>
      <c r="B1474" s="5" t="str">
        <f>IFERROR(__xludf.DUMMYFUNCTION("""COMPUTED_VALUE"""),"هیأت")</f>
        <v>هیأت</v>
      </c>
      <c r="C1474" s="5" t="str">
        <f>IFERROR(__xludf.DUMMYFUNCTION("""COMPUTED_VALUE""")," جامعه المهدی")</f>
        <v> جامعه المهدی</v>
      </c>
      <c r="D1474" s="5" t="str">
        <f>IFERROR(__xludf.DUMMYFUNCTION("""COMPUTED_VALUE"""),"خراسان رضوی")</f>
        <v>خراسان رضوی</v>
      </c>
      <c r="E1474" s="5" t="str">
        <f>IFERROR(__xludf.DUMMYFUNCTION("""COMPUTED_VALUE"""),"مشهد")</f>
        <v>مشهد</v>
      </c>
      <c r="F1474" s="5"/>
      <c r="G1474" s="5">
        <f>IFERROR(__xludf.DUMMYFUNCTION("""COMPUTED_VALUE"""),5.0)</f>
        <v>5</v>
      </c>
      <c r="H1474" s="6" t="str">
        <f>IFERROR(__xludf.DUMMYFUNCTION("""COMPUTED_VALUE"""),"https://www.instagram.com/jameatol_mahdi59")</f>
        <v>https://www.instagram.com/jameatol_mahdi59</v>
      </c>
      <c r="I1474" s="6" t="str">
        <f>IFERROR(__xludf.DUMMYFUNCTION("""COMPUTED_VALUE"""),"https://t.me/jameatol_mahdi59")</f>
        <v>https://t.me/jameatol_mahdi59</v>
      </c>
      <c r="J1474" s="5"/>
      <c r="K1474" s="5"/>
      <c r="L1474" s="5"/>
      <c r="M1474" s="5"/>
      <c r="N1474" s="5"/>
      <c r="O1474" s="5"/>
      <c r="P1474" s="5"/>
      <c r="Q1474" s="5"/>
      <c r="R1474" s="5"/>
      <c r="S1474" s="5"/>
    </row>
    <row r="1475">
      <c r="A1475" s="5"/>
      <c r="B1475" s="5" t="str">
        <f>IFERROR(__xludf.DUMMYFUNCTION("""COMPUTED_VALUE"""),"هیأت")</f>
        <v>هیأت</v>
      </c>
      <c r="C1475" s="5" t="str">
        <f>IFERROR(__xludf.DUMMYFUNCTION("""COMPUTED_VALUE""")," جان نثاران")</f>
        <v> جان نثاران</v>
      </c>
      <c r="D1475" s="5" t="str">
        <f>IFERROR(__xludf.DUMMYFUNCTION("""COMPUTED_VALUE"""),"خراسان رضوی")</f>
        <v>خراسان رضوی</v>
      </c>
      <c r="E1475" s="5" t="str">
        <f>IFERROR(__xludf.DUMMYFUNCTION("""COMPUTED_VALUE"""),"مشهد")</f>
        <v>مشهد</v>
      </c>
      <c r="F1475" s="5"/>
      <c r="G1475" s="5">
        <f>IFERROR(__xludf.DUMMYFUNCTION("""COMPUTED_VALUE"""),5.0)</f>
        <v>5</v>
      </c>
      <c r="H1475" s="6" t="str">
        <f>IFERROR(__xludf.DUMMYFUNCTION("""COMPUTED_VALUE"""),"https://www.instagram.com/jannesaran_59")</f>
        <v>https://www.instagram.com/jannesaran_59</v>
      </c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</row>
    <row r="1476">
      <c r="A1476" s="5"/>
      <c r="B1476" s="5" t="str">
        <f>IFERROR(__xludf.DUMMYFUNCTION("""COMPUTED_VALUE"""),"هیأت")</f>
        <v>هیأت</v>
      </c>
      <c r="C1476" s="5" t="str">
        <f>IFERROR(__xludf.DUMMYFUNCTION("""COMPUTED_VALUE""")," جنت الحسین")</f>
        <v> جنت الحسین</v>
      </c>
      <c r="D1476" s="5" t="str">
        <f>IFERROR(__xludf.DUMMYFUNCTION("""COMPUTED_VALUE"""),"خراسان رضوی ")</f>
        <v>خراسان رضوی </v>
      </c>
      <c r="E1476" s="5" t="str">
        <f>IFERROR(__xludf.DUMMYFUNCTION("""COMPUTED_VALUE"""),"مشهد")</f>
        <v>مشهد</v>
      </c>
      <c r="F1476" s="5"/>
      <c r="G1476" s="5">
        <f>IFERROR(__xludf.DUMMYFUNCTION("""COMPUTED_VALUE"""),7.0)</f>
        <v>7</v>
      </c>
      <c r="H1476" s="6" t="str">
        <f>IFERROR(__xludf.DUMMYFUNCTION("""COMPUTED_VALUE"""),"https://www.instagram.com/heyatejannatolhossein")</f>
        <v>https://www.instagram.com/heyatejannatolhossein</v>
      </c>
      <c r="I1476" s="6" t="str">
        <f>IFERROR(__xludf.DUMMYFUNCTION("""COMPUTED_VALUE"""),"https://t.me/heyatejannatolhossein")</f>
        <v>https://t.me/heyatejannatolhossein</v>
      </c>
      <c r="J1476" s="6" t="str">
        <f>IFERROR(__xludf.DUMMYFUNCTION("""COMPUTED_VALUE"""),"https://eitaa.com/jannat_al_hosseinn")</f>
        <v>https://eitaa.com/jannat_al_hosseinn</v>
      </c>
      <c r="K1476" s="5"/>
      <c r="L1476" s="5"/>
      <c r="M1476" s="5"/>
      <c r="N1476" s="5"/>
      <c r="O1476" s="5"/>
      <c r="P1476" s="5"/>
      <c r="Q1476" s="5"/>
      <c r="R1476" s="5"/>
      <c r="S1476" s="5"/>
    </row>
    <row r="1477">
      <c r="A1477" s="5"/>
      <c r="B1477" s="5" t="str">
        <f>IFERROR(__xludf.DUMMYFUNCTION("""COMPUTED_VALUE"""),"هیأت")</f>
        <v>هیأت</v>
      </c>
      <c r="C1477" s="5" t="str">
        <f>IFERROR(__xludf.DUMMYFUNCTION("""COMPUTED_VALUE""")," جنت الزهرا")</f>
        <v> جنت الزهرا</v>
      </c>
      <c r="D1477" s="5" t="str">
        <f>IFERROR(__xludf.DUMMYFUNCTION("""COMPUTED_VALUE"""),"خراسان رضوی ")</f>
        <v>خراسان رضوی </v>
      </c>
      <c r="E1477" s="5" t="str">
        <f>IFERROR(__xludf.DUMMYFUNCTION("""COMPUTED_VALUE"""),"مشهد")</f>
        <v>مشهد</v>
      </c>
      <c r="F1477" s="5"/>
      <c r="G1477" s="5">
        <f>IFERROR(__xludf.DUMMYFUNCTION("""COMPUTED_VALUE"""),3.0)</f>
        <v>3</v>
      </c>
      <c r="H1477" s="6" t="str">
        <f>IFERROR(__xludf.DUMMYFUNCTION("""COMPUTED_VALUE"""),"https://www.instagram.com/jannatolzahra")</f>
        <v>https://www.instagram.com/jannatolzahra</v>
      </c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</row>
    <row r="1478">
      <c r="A1478" s="5"/>
      <c r="B1478" s="5" t="str">
        <f>IFERROR(__xludf.DUMMYFUNCTION("""COMPUTED_VALUE"""),"هیأت")</f>
        <v>هیأت</v>
      </c>
      <c r="C1478" s="5" t="str">
        <f>IFERROR(__xludf.DUMMYFUNCTION("""COMPUTED_VALUE""")," جوادالائمه")</f>
        <v> جوادالائمه</v>
      </c>
      <c r="D1478" s="5" t="str">
        <f>IFERROR(__xludf.DUMMYFUNCTION("""COMPUTED_VALUE"""),"خراسان رضوی")</f>
        <v>خراسان رضوی</v>
      </c>
      <c r="E1478" s="5" t="str">
        <f>IFERROR(__xludf.DUMMYFUNCTION("""COMPUTED_VALUE"""),"مشهد ")</f>
        <v>مشهد </v>
      </c>
      <c r="F1478" s="5"/>
      <c r="G1478" s="5">
        <f>IFERROR(__xludf.DUMMYFUNCTION("""COMPUTED_VALUE"""),3.0)</f>
        <v>3</v>
      </c>
      <c r="H1478" s="6" t="str">
        <f>IFERROR(__xludf.DUMMYFUNCTION("""COMPUTED_VALUE"""),"https://www.instagram.com/emamjavad_mashhad")</f>
        <v>https://www.instagram.com/emamjavad_mashhad</v>
      </c>
      <c r="I1478" s="6" t="str">
        <f>IFERROR(__xludf.DUMMYFUNCTION("""COMPUTED_VALUE"""),"https://t.me/EMAMJAVAD_MASHHAD")</f>
        <v>https://t.me/EMAMJAVAD_MASHHAD</v>
      </c>
      <c r="J1478" s="6" t="str">
        <f>IFERROR(__xludf.DUMMYFUNCTION("""COMPUTED_VALUE"""),"https://eitaa.com/mokebehazratejavadolaememashhad")</f>
        <v>https://eitaa.com/mokebehazratejavadolaememashhad</v>
      </c>
      <c r="K1478" s="5"/>
      <c r="L1478" s="5"/>
      <c r="M1478" s="5"/>
      <c r="N1478" s="5"/>
      <c r="O1478" s="5"/>
      <c r="P1478" s="5"/>
      <c r="Q1478" s="5"/>
      <c r="R1478" s="5"/>
      <c r="S1478" s="5"/>
    </row>
    <row r="1479">
      <c r="A1479" s="5"/>
      <c r="B1479" s="5" t="str">
        <f>IFERROR(__xludf.DUMMYFUNCTION("""COMPUTED_VALUE"""),"هیأت")</f>
        <v>هیأت</v>
      </c>
      <c r="C1479" s="5" t="str">
        <f>IFERROR(__xludf.DUMMYFUNCTION("""COMPUTED_VALUE""")," جوانان امیرالمومنین")</f>
        <v> جوانان امیرالمومنین</v>
      </c>
      <c r="D1479" s="5" t="str">
        <f>IFERROR(__xludf.DUMMYFUNCTION("""COMPUTED_VALUE"""),"خراسان رضوی")</f>
        <v>خراسان رضوی</v>
      </c>
      <c r="E1479" s="5" t="str">
        <f>IFERROR(__xludf.DUMMYFUNCTION("""COMPUTED_VALUE"""),"مشهد")</f>
        <v>مشهد</v>
      </c>
      <c r="F1479" s="5"/>
      <c r="G1479" s="5"/>
      <c r="H1479" s="6" t="str">
        <f>IFERROR(__xludf.DUMMYFUNCTION("""COMPUTED_VALUE"""),"https://www.instagram.com/javanan_110")</f>
        <v>https://www.instagram.com/javanan_110</v>
      </c>
      <c r="I1479" s="6" t="str">
        <f>IFERROR(__xludf.DUMMYFUNCTION("""COMPUTED_VALUE"""),"https://t.me/javanan_110")</f>
        <v>https://t.me/javanan_110</v>
      </c>
      <c r="J1479" s="5"/>
      <c r="K1479" s="5"/>
      <c r="L1479" s="5"/>
      <c r="M1479" s="5"/>
      <c r="N1479" s="5"/>
      <c r="O1479" s="5"/>
      <c r="P1479" s="5"/>
      <c r="Q1479" s="5"/>
      <c r="R1479" s="5"/>
      <c r="S1479" s="5"/>
    </row>
    <row r="1480">
      <c r="A1480" s="5"/>
      <c r="B1480" s="5" t="str">
        <f>IFERROR(__xludf.DUMMYFUNCTION("""COMPUTED_VALUE"""),"هیأت")</f>
        <v>هیأت</v>
      </c>
      <c r="C1480" s="5" t="str">
        <f>IFERROR(__xludf.DUMMYFUNCTION("""COMPUTED_VALUE"""),"هیأت جوانان بنی هاشم")</f>
        <v>هیأت جوانان بنی هاشم</v>
      </c>
      <c r="D1480" s="5" t="str">
        <f>IFERROR(__xludf.DUMMYFUNCTION("""COMPUTED_VALUE"""),"خراسان رضوی ")</f>
        <v>خراسان رضوی </v>
      </c>
      <c r="E1480" s="5" t="str">
        <f>IFERROR(__xludf.DUMMYFUNCTION("""COMPUTED_VALUE"""),"مشهد")</f>
        <v>مشهد</v>
      </c>
      <c r="F1480" s="5"/>
      <c r="G1480" s="5"/>
      <c r="H1480" s="5"/>
      <c r="I1480" s="5"/>
      <c r="J1480" s="6" t="str">
        <f>IFERROR(__xludf.DUMMYFUNCTION("""COMPUTED_VALUE"""),"https://eitaa.com/heyatjavananbanihahem")</f>
        <v>https://eitaa.com/heyatjavananbanihahem</v>
      </c>
      <c r="K1480" s="5"/>
      <c r="L1480" s="5"/>
      <c r="M1480" s="5"/>
      <c r="N1480" s="5"/>
      <c r="O1480" s="5"/>
      <c r="P1480" s="5"/>
      <c r="Q1480" s="5"/>
      <c r="R1480" s="5"/>
      <c r="S1480" s="5"/>
    </row>
    <row r="1481">
      <c r="A1481" s="5"/>
      <c r="B1481" s="5" t="str">
        <f>IFERROR(__xludf.DUMMYFUNCTION("""COMPUTED_VALUE"""),"هیأت")</f>
        <v>هیأت</v>
      </c>
      <c r="C1481" s="5" t="str">
        <f>IFERROR(__xludf.DUMMYFUNCTION("""COMPUTED_VALUE""")," جوانان جوادالائمه")</f>
        <v> جوانان جوادالائمه</v>
      </c>
      <c r="D1481" s="5" t="str">
        <f>IFERROR(__xludf.DUMMYFUNCTION("""COMPUTED_VALUE"""),"خراسان رضوی ")</f>
        <v>خراسان رضوی </v>
      </c>
      <c r="E1481" s="5" t="str">
        <f>IFERROR(__xludf.DUMMYFUNCTION("""COMPUTED_VALUE"""),"مشهد")</f>
        <v>مشهد</v>
      </c>
      <c r="F1481" s="5"/>
      <c r="G1481" s="5">
        <f>IFERROR(__xludf.DUMMYFUNCTION("""COMPUTED_VALUE"""),45659.0)</f>
        <v>45659</v>
      </c>
      <c r="H1481" s="6" t="str">
        <f>IFERROR(__xludf.DUMMYFUNCTION("""COMPUTED_VALUE"""),"https://www.instagram.com/mavali_ir")</f>
        <v>https://www.instagram.com/mavali_ir</v>
      </c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</row>
    <row r="1482">
      <c r="A1482" s="5"/>
      <c r="B1482" s="5" t="str">
        <f>IFERROR(__xludf.DUMMYFUNCTION("""COMPUTED_VALUE"""),"موسسه قرآنی ")</f>
        <v>موسسه قرآنی </v>
      </c>
      <c r="C1482" s="5" t="str">
        <f>IFERROR(__xludf.DUMMYFUNCTION("""COMPUTED_VALUE""")," جوانان خاتم الانبیاء")</f>
        <v> جوانان خاتم الانبیاء</v>
      </c>
      <c r="D1482" s="5" t="str">
        <f>IFERROR(__xludf.DUMMYFUNCTION("""COMPUTED_VALUE"""),"خراسان رضوی ")</f>
        <v>خراسان رضوی </v>
      </c>
      <c r="E1482" s="5" t="str">
        <f>IFERROR(__xludf.DUMMYFUNCTION("""COMPUTED_VALUE"""),"مشهد")</f>
        <v>مشهد</v>
      </c>
      <c r="F1482" s="5"/>
      <c r="G1482" s="5">
        <f>IFERROR(__xludf.DUMMYFUNCTION("""COMPUTED_VALUE"""),3.0)</f>
        <v>3</v>
      </c>
      <c r="H1482" s="6" t="str">
        <f>IFERROR(__xludf.DUMMYFUNCTION("""COMPUTED_VALUE"""),"https://www.instagram.com/mqkhatam.ir")</f>
        <v>https://www.instagram.com/mqkhatam.ir</v>
      </c>
      <c r="I1482" s="5"/>
      <c r="J1482" s="5"/>
      <c r="K1482" s="5"/>
      <c r="L1482" s="6" t="str">
        <f>IFERROR(__xludf.DUMMYFUNCTION("""COMPUTED_VALUE"""),"https://www.mqkhatam.ir/?fbclid=PAb21jcAN5eRFleHRuA2FlbQIxMQBzcnRjBmFwcF9pZA81NjcwNjczNDMzNTI0MjcAAafJ11Y9Sp_1SGMSPRT1G4-5d4h5SxtiBbaNSWXeqVKYP4uE-buS9djBiJfCcg_aem_w1ECBilSa6f_oGnZNRGUfw")</f>
        <v>https://www.mqkhatam.ir/?fbclid=PAb21jcAN5eRFleHRuA2FlbQIxMQBzcnRjBmFwcF9pZA81NjcwNjczNDMzNTI0MjcAAafJ11Y9Sp_1SGMSPRT1G4-5d4h5SxtiBbaNSWXeqVKYP4uE-buS9djBiJfCcg_aem_w1ECBilSa6f_oGnZNRGUfw</v>
      </c>
      <c r="M1482" s="5"/>
      <c r="N1482" s="5"/>
      <c r="O1482" s="5"/>
      <c r="P1482" s="5"/>
      <c r="Q1482" s="5"/>
      <c r="R1482" s="5"/>
      <c r="S1482" s="5"/>
    </row>
    <row r="1483">
      <c r="A1483" s="5"/>
      <c r="B1483" s="5" t="str">
        <f>IFERROR(__xludf.DUMMYFUNCTION("""COMPUTED_VALUE"""),"هیأت دختران")</f>
        <v>هیأت دختران</v>
      </c>
      <c r="C1483" s="5" t="str">
        <f>IFERROR(__xludf.DUMMYFUNCTION("""COMPUTED_VALUE"""),"روح و ریحان")</f>
        <v>روح و ریحان</v>
      </c>
      <c r="D1483" s="5" t="str">
        <f>IFERROR(__xludf.DUMMYFUNCTION("""COMPUTED_VALUE"""),"خراسان رضوی")</f>
        <v>خراسان رضوی</v>
      </c>
      <c r="E1483" s="5" t="str">
        <f>IFERROR(__xludf.DUMMYFUNCTION("""COMPUTED_VALUE"""),"مشهد")</f>
        <v>مشهد</v>
      </c>
      <c r="F1483" s="5"/>
      <c r="G1483" s="5"/>
      <c r="H1483" s="6" t="str">
        <f>IFERROR(__xludf.DUMMYFUNCTION("""COMPUTED_VALUE"""),"https://www.instagram.com/heiaaterohoreihan")</f>
        <v>https://www.instagram.com/heiaaterohoreihan</v>
      </c>
      <c r="I1483" s="5" t="str">
        <f>IFERROR(__xludf.DUMMYFUNCTION("""COMPUTED_VALUE"""),"-https://t.me/heiaaterohoreihan")</f>
        <v>-https://t.me/heiaaterohoreihan</v>
      </c>
      <c r="J1483" s="6" t="str">
        <f>IFERROR(__xludf.DUMMYFUNCTION("""COMPUTED_VALUE"""),"https://eitaa.com/heiaaterohoreihan")</f>
        <v>https://eitaa.com/heiaaterohoreihan</v>
      </c>
      <c r="K1483" s="5"/>
      <c r="L1483" s="6" t="str">
        <f>IFERROR(__xludf.DUMMYFUNCTION("""COMPUTED_VALUE"""),"https://rohoreihan.com/")</f>
        <v>https://rohoreihan.com/</v>
      </c>
      <c r="M1483" s="5"/>
      <c r="N1483" s="5"/>
      <c r="O1483" s="5"/>
      <c r="P1483" s="5"/>
      <c r="Q1483" s="5"/>
      <c r="R1483" s="5"/>
      <c r="S1483" s="5"/>
    </row>
    <row r="1484">
      <c r="A1484" s="5"/>
      <c r="B1484" s="5" t="str">
        <f>IFERROR(__xludf.DUMMYFUNCTION("""COMPUTED_VALUE"""),"هیأت")</f>
        <v>هیأت</v>
      </c>
      <c r="C1484" s="5" t="str">
        <f>IFERROR(__xludf.DUMMYFUNCTION("""COMPUTED_VALUE""")," جوانان قاسم بن الحسن")</f>
        <v> جوانان قاسم بن الحسن</v>
      </c>
      <c r="D1484" s="5" t="str">
        <f>IFERROR(__xludf.DUMMYFUNCTION("""COMPUTED_VALUE"""),"خراسان رضوی ")</f>
        <v>خراسان رضوی </v>
      </c>
      <c r="E1484" s="5" t="str">
        <f>IFERROR(__xludf.DUMMYFUNCTION("""COMPUTED_VALUE"""),"مشهد")</f>
        <v>مشهد</v>
      </c>
      <c r="F1484" s="5"/>
      <c r="G1484" s="5"/>
      <c r="H1484" s="5"/>
      <c r="I1484" s="5"/>
      <c r="J1484" s="6" t="str">
        <f>IFERROR(__xludf.DUMMYFUNCTION("""COMPUTED_VALUE"""),"https://eitaa.com/ghasem_ebn_alhasan_110")</f>
        <v>https://eitaa.com/ghasem_ebn_alhasan_110</v>
      </c>
      <c r="K1484" s="5"/>
      <c r="L1484" s="5"/>
      <c r="M1484" s="5"/>
      <c r="N1484" s="5"/>
      <c r="O1484" s="5"/>
      <c r="P1484" s="5"/>
      <c r="Q1484" s="5"/>
      <c r="R1484" s="5"/>
      <c r="S1484" s="5"/>
    </row>
    <row r="1485">
      <c r="A1485" s="5"/>
      <c r="B1485" s="5" t="str">
        <f>IFERROR(__xludf.DUMMYFUNCTION("""COMPUTED_VALUE"""),"هیأت")</f>
        <v>هیأت</v>
      </c>
      <c r="C1485" s="5" t="str">
        <f>IFERROR(__xludf.DUMMYFUNCTION("""COMPUTED_VALUE""")," جوانان مکتب الرضا")</f>
        <v> جوانان مکتب الرضا</v>
      </c>
      <c r="D1485" s="5" t="str">
        <f>IFERROR(__xludf.DUMMYFUNCTION("""COMPUTED_VALUE"""),"خراسان رضوی")</f>
        <v>خراسان رضوی</v>
      </c>
      <c r="E1485" s="5" t="str">
        <f>IFERROR(__xludf.DUMMYFUNCTION("""COMPUTED_VALUE"""),"مشهد")</f>
        <v>مشهد</v>
      </c>
      <c r="F1485" s="5"/>
      <c r="G1485" s="5">
        <f>IFERROR(__xludf.DUMMYFUNCTION("""COMPUTED_VALUE"""),3.0)</f>
        <v>3</v>
      </c>
      <c r="H1485" s="6" t="str">
        <f>IFERROR(__xludf.DUMMYFUNCTION("""COMPUTED_VALUE"""),"https://www.instagram.com/maktabrezaa")</f>
        <v>https://www.instagram.com/maktabrezaa</v>
      </c>
      <c r="I1485" s="5"/>
      <c r="J1485" s="6" t="str">
        <f>IFERROR(__xludf.DUMMYFUNCTION("""COMPUTED_VALUE"""),"https://eitaa.com/maktabreza")</f>
        <v>https://eitaa.com/maktabreza</v>
      </c>
      <c r="K1485" s="5"/>
      <c r="L1485" s="5"/>
      <c r="M1485" s="5"/>
      <c r="N1485" s="5"/>
      <c r="O1485" s="5"/>
      <c r="P1485" s="5"/>
      <c r="Q1485" s="5"/>
      <c r="R1485" s="5"/>
      <c r="S1485" s="5"/>
    </row>
    <row r="1486">
      <c r="A1486" s="5"/>
      <c r="B1486" s="5" t="str">
        <f>IFERROR(__xludf.DUMMYFUNCTION("""COMPUTED_VALUE"""),"رسانه")</f>
        <v>رسانه</v>
      </c>
      <c r="C1486" s="5" t="str">
        <f>IFERROR(__xludf.DUMMYFUNCTION("""COMPUTED_VALUE"""),"الست مدیا")</f>
        <v>الست مدیا</v>
      </c>
      <c r="D1486" s="5" t="str">
        <f>IFERROR(__xludf.DUMMYFUNCTION("""COMPUTED_VALUE"""),"خراسان رضوی")</f>
        <v>خراسان رضوی</v>
      </c>
      <c r="E1486" s="5" t="str">
        <f>IFERROR(__xludf.DUMMYFUNCTION("""COMPUTED_VALUE"""),"مشهد")</f>
        <v>مشهد</v>
      </c>
      <c r="F1486" s="5"/>
      <c r="G1486" s="5"/>
      <c r="H1486" s="6" t="str">
        <f>IFERROR(__xludf.DUMMYFUNCTION("""COMPUTED_VALUE"""),"https://www.instagram.com/alast_media/")</f>
        <v>https://www.instagram.com/alast_media/</v>
      </c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</row>
    <row r="1487">
      <c r="A1487" s="5"/>
      <c r="B1487" s="5" t="str">
        <f>IFERROR(__xludf.DUMMYFUNCTION("""COMPUTED_VALUE"""),"هیأت")</f>
        <v>هیأت</v>
      </c>
      <c r="C1487" s="5" t="str">
        <f>IFERROR(__xludf.DUMMYFUNCTION("""COMPUTED_VALUE"""),"شهدای گمنام")</f>
        <v>شهدای گمنام</v>
      </c>
      <c r="D1487" s="5" t="str">
        <f>IFERROR(__xludf.DUMMYFUNCTION("""COMPUTED_VALUE"""),"خرسان رضوی")</f>
        <v>خرسان رضوی</v>
      </c>
      <c r="E1487" s="5" t="str">
        <f>IFERROR(__xludf.DUMMYFUNCTION("""COMPUTED_VALUE"""),"مشهد")</f>
        <v>مشهد</v>
      </c>
      <c r="F1487" s="5"/>
      <c r="G1487" s="5"/>
      <c r="H1487" s="6" t="str">
        <f>IFERROR(__xludf.DUMMYFUNCTION("""COMPUTED_VALUE"""),"https://www.instagram.com/shohadaygomnam_ir/")</f>
        <v>https://www.instagram.com/shohadaygomnam_ir/</v>
      </c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</row>
    <row r="1488">
      <c r="A1488" s="5"/>
      <c r="B1488" s="5" t="str">
        <f>IFERROR(__xludf.DUMMYFUNCTION("""COMPUTED_VALUE"""),"هیأت")</f>
        <v>هیأت</v>
      </c>
      <c r="C1488" s="5" t="str">
        <f>IFERROR(__xludf.DUMMYFUNCTION("""COMPUTED_VALUE"""),"سه شنبه های مهدوی")</f>
        <v>سه شنبه های مهدوی</v>
      </c>
      <c r="D1488" s="5" t="str">
        <f>IFERROR(__xludf.DUMMYFUNCTION("""COMPUTED_VALUE"""),"خرسان رضوی")</f>
        <v>خرسان رضوی</v>
      </c>
      <c r="E1488" s="5" t="str">
        <f>IFERROR(__xludf.DUMMYFUNCTION("""COMPUTED_VALUE"""),"سبزوار")</f>
        <v>سبزوار</v>
      </c>
      <c r="F1488" s="5"/>
      <c r="G1488" s="5"/>
      <c r="H1488" s="6" t="str">
        <f>IFERROR(__xludf.DUMMYFUNCTION("""COMPUTED_VALUE"""),"https://www.instagram.com/seshanbeh_mahdavi_sbz/")</f>
        <v>https://www.instagram.com/seshanbeh_mahdavi_sbz/</v>
      </c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</row>
    <row r="1489">
      <c r="A1489" s="5"/>
      <c r="B1489" s="5" t="str">
        <f>IFERROR(__xludf.DUMMYFUNCTION("""COMPUTED_VALUE"""),"هیأت")</f>
        <v>هیأت</v>
      </c>
      <c r="C1489" s="5" t="str">
        <f>IFERROR(__xludf.DUMMYFUNCTION("""COMPUTED_VALUE"""),"محب الزهرا")</f>
        <v>محب الزهرا</v>
      </c>
      <c r="D1489" s="5" t="str">
        <f>IFERROR(__xludf.DUMMYFUNCTION("""COMPUTED_VALUE"""),"خرسان رضوی")</f>
        <v>خرسان رضوی</v>
      </c>
      <c r="E1489" s="5" t="str">
        <f>IFERROR(__xludf.DUMMYFUNCTION("""COMPUTED_VALUE"""),"تربت حیدریه")</f>
        <v>تربت حیدریه</v>
      </c>
      <c r="F1489" s="5"/>
      <c r="G1489" s="5"/>
      <c r="H1489" s="6" t="str">
        <f>IFERROR(__xludf.DUMMYFUNCTION("""COMPUTED_VALUE"""),"https://www.instagram.com/mohebozahra.torbate.heydariyeh/")</f>
        <v>https://www.instagram.com/mohebozahra.torbate.heydariyeh/</v>
      </c>
      <c r="I1489" s="6" t="str">
        <f>IFERROR(__xludf.DUMMYFUNCTION("""COMPUTED_VALUE"""),"telegram.me/mohebozahra1")</f>
        <v>telegram.me/mohebozahra1</v>
      </c>
      <c r="J1489" s="5"/>
      <c r="K1489" s="5"/>
      <c r="L1489" s="5"/>
      <c r="M1489" s="5"/>
      <c r="N1489" s="5"/>
      <c r="O1489" s="5"/>
      <c r="P1489" s="5"/>
      <c r="Q1489" s="5"/>
      <c r="R1489" s="5"/>
      <c r="S1489" s="5"/>
    </row>
    <row r="1490">
      <c r="A1490" s="5"/>
      <c r="B1490" s="5" t="str">
        <f>IFERROR(__xludf.DUMMYFUNCTION("""COMPUTED_VALUE"""),"هیأت")</f>
        <v>هیأت</v>
      </c>
      <c r="C1490" s="5" t="str">
        <f>IFERROR(__xludf.DUMMYFUNCTION("""COMPUTED_VALUE"""),"رایه الشهدا")</f>
        <v>رایه الشهدا</v>
      </c>
      <c r="D1490" s="5" t="str">
        <f>IFERROR(__xludf.DUMMYFUNCTION("""COMPUTED_VALUE"""),"خرسان رضوی")</f>
        <v>خرسان رضوی</v>
      </c>
      <c r="E1490" s="5" t="str">
        <f>IFERROR(__xludf.DUMMYFUNCTION("""COMPUTED_VALUE"""),"گناباد")</f>
        <v>گناباد</v>
      </c>
      <c r="F1490" s="5"/>
      <c r="G1490" s="5"/>
      <c r="H1490" s="6" t="str">
        <f>IFERROR(__xludf.DUMMYFUNCTION("""COMPUTED_VALUE"""),"https://www.instagram.com/rayat_shohada_g/")</f>
        <v>https://www.instagram.com/rayat_shohada_g/</v>
      </c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</row>
    <row r="1491">
      <c r="A1491" s="5"/>
      <c r="B1491" s="5" t="str">
        <f>IFERROR(__xludf.DUMMYFUNCTION("""COMPUTED_VALUE"""),"هیأت")</f>
        <v>هیأت</v>
      </c>
      <c r="C1491" s="5" t="str">
        <f>IFERROR(__xludf.DUMMYFUNCTION("""COMPUTED_VALUE"""),"عاشقان مهدی (عج)")</f>
        <v>عاشقان مهدی (عج)</v>
      </c>
      <c r="D1491" s="5" t="str">
        <f>IFERROR(__xludf.DUMMYFUNCTION("""COMPUTED_VALUE"""),"خرسان رضوی")</f>
        <v>خرسان رضوی</v>
      </c>
      <c r="E1491" s="5" t="str">
        <f>IFERROR(__xludf.DUMMYFUNCTION("""COMPUTED_VALUE"""),"نیشابور")</f>
        <v>نیشابور</v>
      </c>
      <c r="F1491" s="5"/>
      <c r="G1491" s="5"/>
      <c r="H1491" s="6" t="str">
        <f>IFERROR(__xludf.DUMMYFUNCTION("""COMPUTED_VALUE"""),"https://www.instagram.com/heyat_asheghan_mahdi313/")</f>
        <v>https://www.instagram.com/heyat_asheghan_mahdi313/</v>
      </c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</row>
    <row r="1492">
      <c r="A1492" s="5"/>
      <c r="B1492" s="5" t="str">
        <f>IFERROR(__xludf.DUMMYFUNCTION("""COMPUTED_VALUE"""),"هیأت")</f>
        <v>هیأت</v>
      </c>
      <c r="C1492" s="5" t="str">
        <f>IFERROR(__xludf.DUMMYFUNCTION("""COMPUTED_VALUE"""),"محفل ریحانة الحسین")</f>
        <v>محفل ریحانة الحسین</v>
      </c>
      <c r="D1492" s="5" t="str">
        <f>IFERROR(__xludf.DUMMYFUNCTION("""COMPUTED_VALUE"""),"خرسان رضوی")</f>
        <v>خرسان رضوی</v>
      </c>
      <c r="E1492" s="5" t="str">
        <f>IFERROR(__xludf.DUMMYFUNCTION("""COMPUTED_VALUE"""),"مشهد")</f>
        <v>مشهد</v>
      </c>
      <c r="F1492" s="5"/>
      <c r="G1492" s="5"/>
      <c r="H1492" s="5"/>
      <c r="I1492" s="5"/>
      <c r="J1492" s="6" t="str">
        <f>IFERROR(__xludf.DUMMYFUNCTION("""COMPUTED_VALUE"""),"https://eitaa.com/mahfelreyhana315")</f>
        <v>https://eitaa.com/mahfelreyhana315</v>
      </c>
      <c r="K1492" s="5"/>
      <c r="L1492" s="5"/>
      <c r="M1492" s="5"/>
      <c r="N1492" s="5"/>
      <c r="O1492" s="5"/>
      <c r="P1492" s="5"/>
      <c r="Q1492" s="5"/>
      <c r="R1492" s="5"/>
      <c r="S1492" s="5"/>
    </row>
    <row r="1493">
      <c r="A1493" s="5"/>
      <c r="B1493" s="5" t="str">
        <f>IFERROR(__xludf.DUMMYFUNCTION("""COMPUTED_VALUE"""),"هیأت")</f>
        <v>هیأت</v>
      </c>
      <c r="C1493" s="5" t="str">
        <f>IFERROR(__xludf.DUMMYFUNCTION("""COMPUTED_VALUE"""),"لبیک")</f>
        <v>لبیک</v>
      </c>
      <c r="D1493" s="5" t="str">
        <f>IFERROR(__xludf.DUMMYFUNCTION("""COMPUTED_VALUE"""),"خرسان رضوی")</f>
        <v>خرسان رضوی</v>
      </c>
      <c r="E1493" s="5" t="str">
        <f>IFERROR(__xludf.DUMMYFUNCTION("""COMPUTED_VALUE"""),"مشهد")</f>
        <v>مشهد</v>
      </c>
      <c r="F1493" s="5"/>
      <c r="G1493" s="5"/>
      <c r="H1493" s="5"/>
      <c r="I1493" s="5"/>
      <c r="J1493" s="6" t="str">
        <f>IFERROR(__xludf.DUMMYFUNCTION("""COMPUTED_VALUE"""),"https://eitaa.com/Heiat_Labbayk")</f>
        <v>https://eitaa.com/Heiat_Labbayk</v>
      </c>
      <c r="K1493" s="5"/>
      <c r="L1493" s="5"/>
      <c r="M1493" s="5"/>
      <c r="N1493" s="5"/>
      <c r="O1493" s="5"/>
      <c r="P1493" s="5"/>
      <c r="Q1493" s="5"/>
      <c r="R1493" s="5"/>
      <c r="S1493" s="5"/>
    </row>
    <row r="1494">
      <c r="A1494" s="5"/>
      <c r="B1494" s="5" t="str">
        <f>IFERROR(__xludf.DUMMYFUNCTION("""COMPUTED_VALUE"""),"هیأت")</f>
        <v>هیأت</v>
      </c>
      <c r="C1494" s="5" t="str">
        <f>IFERROR(__xludf.DUMMYFUNCTION("""COMPUTED_VALUE"""),"باب الرجا")</f>
        <v>باب الرجا</v>
      </c>
      <c r="D1494" s="5" t="str">
        <f>IFERROR(__xludf.DUMMYFUNCTION("""COMPUTED_VALUE"""),"خرسان رضوی")</f>
        <v>خرسان رضوی</v>
      </c>
      <c r="E1494" s="5" t="str">
        <f>IFERROR(__xludf.DUMMYFUNCTION("""COMPUTED_VALUE"""),"مشهد")</f>
        <v>مشهد</v>
      </c>
      <c r="F1494" s="5"/>
      <c r="G1494" s="5"/>
      <c r="H1494" s="6" t="str">
        <f>IFERROR(__xludf.DUMMYFUNCTION("""COMPUTED_VALUE"""),"https://www.instagram.com/heyatbaboraja/")</f>
        <v>https://www.instagram.com/heyatbaboraja/</v>
      </c>
      <c r="I1494" s="5"/>
      <c r="J1494" s="6" t="str">
        <f>IFERROR(__xludf.DUMMYFUNCTION("""COMPUTED_VALUE"""),"eitaa.com/heyatbaboraja")</f>
        <v>eitaa.com/heyatbaboraja</v>
      </c>
      <c r="K1494" s="5"/>
      <c r="L1494" s="5"/>
      <c r="M1494" s="5"/>
      <c r="N1494" s="5"/>
      <c r="O1494" s="5"/>
      <c r="P1494" s="5"/>
      <c r="Q1494" s="5"/>
      <c r="R1494" s="5"/>
      <c r="S1494" s="5"/>
    </row>
    <row r="1495">
      <c r="A1495" s="5"/>
      <c r="B1495" s="5" t="str">
        <f>IFERROR(__xludf.DUMMYFUNCTION("""COMPUTED_VALUE"""),"هیأت")</f>
        <v>هیأت</v>
      </c>
      <c r="C1495" s="5" t="str">
        <f>IFERROR(__xludf.DUMMYFUNCTION("""COMPUTED_VALUE"""),"محبان الحسین")</f>
        <v>محبان الحسین</v>
      </c>
      <c r="D1495" s="5" t="str">
        <f>IFERROR(__xludf.DUMMYFUNCTION("""COMPUTED_VALUE"""),"خرسان رضوی")</f>
        <v>خرسان رضوی</v>
      </c>
      <c r="E1495" s="5" t="str">
        <f>IFERROR(__xludf.DUMMYFUNCTION("""COMPUTED_VALUE"""),"قوچان")</f>
        <v>قوچان</v>
      </c>
      <c r="F1495" s="5"/>
      <c r="G1495" s="5"/>
      <c r="H1495" s="6" t="str">
        <f>IFERROR(__xludf.DUMMYFUNCTION("""COMPUTED_VALUE"""),"https://www.instagram.com/heyatmohebanolhossein.quchan/")</f>
        <v>https://www.instagram.com/heyatmohebanolhossein.quchan/</v>
      </c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</row>
    <row r="1496">
      <c r="A1496" s="5"/>
      <c r="B1496" s="5" t="str">
        <f>IFERROR(__xludf.DUMMYFUNCTION("""COMPUTED_VALUE"""),"هیأت")</f>
        <v>هیأت</v>
      </c>
      <c r="C1496" s="5" t="str">
        <f>IFERROR(__xludf.DUMMYFUNCTION("""COMPUTED_VALUE"""),"عزاداران سیده زینب (ع)")</f>
        <v>عزاداران سیده زینب (ع)</v>
      </c>
      <c r="D1496" s="5" t="str">
        <f>IFERROR(__xludf.DUMMYFUNCTION("""COMPUTED_VALUE"""),"خرسان رضوی")</f>
        <v>خرسان رضوی</v>
      </c>
      <c r="E1496" s="5" t="str">
        <f>IFERROR(__xludf.DUMMYFUNCTION("""COMPUTED_VALUE"""),"تربت حیدریه")</f>
        <v>تربت حیدریه</v>
      </c>
      <c r="F1496" s="5"/>
      <c r="G1496" s="5"/>
      <c r="H1496" s="6" t="str">
        <f>IFERROR(__xludf.DUMMYFUNCTION("""COMPUTED_VALUE"""),"https://www.instagram.com/seyedezeynab.th/")</f>
        <v>https://www.instagram.com/seyedezeynab.th/</v>
      </c>
      <c r="I1496" s="6" t="str">
        <f>IFERROR(__xludf.DUMMYFUNCTION("""COMPUTED_VALUE"""),"t.me/seyedezeynab_th")</f>
        <v>t.me/seyedezeynab_th</v>
      </c>
      <c r="J1496" s="5"/>
      <c r="K1496" s="5"/>
      <c r="L1496" s="5"/>
      <c r="M1496" s="5"/>
      <c r="N1496" s="5"/>
      <c r="O1496" s="5"/>
      <c r="P1496" s="5"/>
      <c r="Q1496" s="5"/>
      <c r="R1496" s="5"/>
      <c r="S1496" s="5"/>
    </row>
    <row r="1497">
      <c r="A1497" s="5"/>
      <c r="B1497" s="5" t="str">
        <f>IFERROR(__xludf.DUMMYFUNCTION("""COMPUTED_VALUE"""),"هیأت")</f>
        <v>هیأت</v>
      </c>
      <c r="C1497" s="5" t="str">
        <f>IFERROR(__xludf.DUMMYFUNCTION("""COMPUTED_VALUE"""),"کف العباس (ع)")</f>
        <v>کف العباس (ع)</v>
      </c>
      <c r="D1497" s="5" t="str">
        <f>IFERROR(__xludf.DUMMYFUNCTION("""COMPUTED_VALUE"""),"خرسان رضوی")</f>
        <v>خرسان رضوی</v>
      </c>
      <c r="E1497" s="5" t="str">
        <f>IFERROR(__xludf.DUMMYFUNCTION("""COMPUTED_VALUE"""),"سبزوار")</f>
        <v>سبزوار</v>
      </c>
      <c r="F1497" s="5"/>
      <c r="G1497" s="5"/>
      <c r="H1497" s="5"/>
      <c r="I1497" s="6" t="str">
        <f>IFERROR(__xludf.DUMMYFUNCTION("""COMPUTED_VALUE"""),"https://t.me/heyat_kaffolabbas")</f>
        <v>https://t.me/heyat_kaffolabbas</v>
      </c>
      <c r="J1497" s="5"/>
      <c r="K1497" s="5"/>
      <c r="L1497" s="5"/>
      <c r="M1497" s="5"/>
      <c r="N1497" s="5"/>
      <c r="O1497" s="5"/>
      <c r="P1497" s="5"/>
      <c r="Q1497" s="5"/>
      <c r="R1497" s="5"/>
      <c r="S1497" s="5"/>
    </row>
    <row r="1498">
      <c r="A1498" s="5"/>
      <c r="B1498" s="5" t="str">
        <f>IFERROR(__xludf.DUMMYFUNCTION("""COMPUTED_VALUE"""),"هیأت")</f>
        <v>هیأت</v>
      </c>
      <c r="C1498" s="5" t="str">
        <f>IFERROR(__xludf.DUMMYFUNCTION("""COMPUTED_VALUE"""),"آستان مقدس شهیدان ")</f>
        <v>آستان مقدس شهیدان </v>
      </c>
      <c r="D1498" s="5" t="str">
        <f>IFERROR(__xludf.DUMMYFUNCTION("""COMPUTED_VALUE"""),"خرسان رضوی")</f>
        <v>خرسان رضوی</v>
      </c>
      <c r="E1498" s="5" t="str">
        <f>IFERROR(__xludf.DUMMYFUNCTION("""COMPUTED_VALUE"""),"سبزوار")</f>
        <v>سبزوار</v>
      </c>
      <c r="F1498" s="5"/>
      <c r="G1498" s="5"/>
      <c r="H1498" s="6" t="str">
        <f>IFERROR(__xludf.DUMMYFUNCTION("""COMPUTED_VALUE"""),"https://www.instagram.com/astane_shahidane_sabzevar_/")</f>
        <v>https://www.instagram.com/astane_shahidane_sabzevar_/</v>
      </c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</row>
    <row r="1499">
      <c r="A1499" s="5"/>
      <c r="B1499" s="5" t="str">
        <f>IFERROR(__xludf.DUMMYFUNCTION("""COMPUTED_VALUE"""),"هیأت")</f>
        <v>هیأت</v>
      </c>
      <c r="C1499" s="5" t="str">
        <f>IFERROR(__xludf.DUMMYFUNCTION("""COMPUTED_VALUE"""),"متوسلین به قمر بنی هاشم")</f>
        <v>متوسلین به قمر بنی هاشم</v>
      </c>
      <c r="D1499" s="5" t="str">
        <f>IFERROR(__xludf.DUMMYFUNCTION("""COMPUTED_VALUE"""),"خرسان رضوی")</f>
        <v>خرسان رضوی</v>
      </c>
      <c r="E1499" s="5" t="str">
        <f>IFERROR(__xludf.DUMMYFUNCTION("""COMPUTED_VALUE"""),"مشهد")</f>
        <v>مشهد</v>
      </c>
      <c r="F1499" s="5"/>
      <c r="G1499" s="5"/>
      <c r="H1499" s="6" t="str">
        <f>IFERROR(__xludf.DUMMYFUNCTION("""COMPUTED_VALUE"""),"https://www.instagram.com/heyat_motevaselin_b/")</f>
        <v>https://www.instagram.com/heyat_motevaselin_b/</v>
      </c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</row>
    <row r="1500">
      <c r="A1500" s="5"/>
      <c r="B1500" s="5" t="str">
        <f>IFERROR(__xludf.DUMMYFUNCTION("""COMPUTED_VALUE"""),"هیأت")</f>
        <v>هیأت</v>
      </c>
      <c r="C1500" s="5" t="str">
        <f>IFERROR(__xludf.DUMMYFUNCTION("""COMPUTED_VALUE"""),"بین الحرمین")</f>
        <v>بین الحرمین</v>
      </c>
      <c r="D1500" s="5" t="str">
        <f>IFERROR(__xludf.DUMMYFUNCTION("""COMPUTED_VALUE"""),"خرسان رضوی")</f>
        <v>خرسان رضوی</v>
      </c>
      <c r="E1500" s="5" t="str">
        <f>IFERROR(__xludf.DUMMYFUNCTION("""COMPUTED_VALUE"""),"مشهد")</f>
        <v>مشهد</v>
      </c>
      <c r="F1500" s="5"/>
      <c r="G1500" s="5"/>
      <c r="H1500" s="6" t="str">
        <f>IFERROR(__xludf.DUMMYFUNCTION("""COMPUTED_VALUE"""),"https://www.instagram.com/beynolharameyn.live/")</f>
        <v>https://www.instagram.com/beynolharameyn.live/</v>
      </c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</row>
    <row r="1501">
      <c r="A1501" s="5"/>
      <c r="B1501" s="5" t="str">
        <f>IFERROR(__xludf.DUMMYFUNCTION("""COMPUTED_VALUE"""),"هیأت")</f>
        <v>هیأت</v>
      </c>
      <c r="C1501" s="5" t="str">
        <f>IFERROR(__xludf.DUMMYFUNCTION("""COMPUTED_VALUE"""),"هیأت شباب الرضا")</f>
        <v>هیأت شباب الرضا</v>
      </c>
      <c r="D1501" s="5" t="str">
        <f>IFERROR(__xludf.DUMMYFUNCTION("""COMPUTED_VALUE"""),"خرسان رضوی")</f>
        <v>خرسان رضوی</v>
      </c>
      <c r="E1501" s="5" t="str">
        <f>IFERROR(__xludf.DUMMYFUNCTION("""COMPUTED_VALUE"""),"مشهد")</f>
        <v>مشهد</v>
      </c>
      <c r="F1501" s="5"/>
      <c r="G1501" s="5"/>
      <c r="H1501" s="6" t="str">
        <f>IFERROR(__xludf.DUMMYFUNCTION("""COMPUTED_VALUE"""),"https://www.instagram.com/shababolreza")</f>
        <v>https://www.instagram.com/shababolreza</v>
      </c>
      <c r="I1501" s="5"/>
      <c r="J1501" s="6" t="str">
        <f>IFERROR(__xludf.DUMMYFUNCTION("""COMPUTED_VALUE"""),"https://eitaa.com/shababolreza")</f>
        <v>https://eitaa.com/shababolreza</v>
      </c>
      <c r="K1501" s="5"/>
      <c r="L1501" s="5"/>
      <c r="M1501" s="5"/>
      <c r="N1501" s="5"/>
      <c r="O1501" s="5"/>
      <c r="P1501" s="5"/>
      <c r="Q1501" s="5"/>
      <c r="R1501" s="5"/>
      <c r="S1501" s="5"/>
    </row>
    <row r="1502">
      <c r="A1502" s="5"/>
      <c r="B1502" s="5" t="str">
        <f>IFERROR(__xludf.DUMMYFUNCTION("""COMPUTED_VALUE"""),"هیأت")</f>
        <v>هیأت</v>
      </c>
      <c r="C1502" s="5" t="str">
        <f>IFERROR(__xludf.DUMMYFUNCTION("""COMPUTED_VALUE"""),"هیأت مجنون الحسین")</f>
        <v>هیأت مجنون الحسین</v>
      </c>
      <c r="D1502" s="5" t="str">
        <f>IFERROR(__xludf.DUMMYFUNCTION("""COMPUTED_VALUE"""),"خرسان رضوی")</f>
        <v>خرسان رضوی</v>
      </c>
      <c r="E1502" s="5" t="str">
        <f>IFERROR(__xludf.DUMMYFUNCTION("""COMPUTED_VALUE"""),"مشهد")</f>
        <v>مشهد</v>
      </c>
      <c r="F1502" s="5"/>
      <c r="G1502" s="5"/>
      <c r="H1502" s="5"/>
      <c r="I1502" s="5"/>
      <c r="J1502" s="6" t="str">
        <f>IFERROR(__xludf.DUMMYFUNCTION("""COMPUTED_VALUE"""),"https://eitaa.com/majnonalhosein")</f>
        <v>https://eitaa.com/majnonalhosein</v>
      </c>
      <c r="K1502" s="5"/>
      <c r="L1502" s="5"/>
      <c r="M1502" s="5"/>
      <c r="N1502" s="5"/>
      <c r="O1502" s="5"/>
      <c r="P1502" s="5"/>
      <c r="Q1502" s="5"/>
      <c r="R1502" s="5"/>
      <c r="S1502" s="5"/>
    </row>
    <row r="1503">
      <c r="A1503" s="5"/>
      <c r="B1503" s="5" t="str">
        <f>IFERROR(__xludf.DUMMYFUNCTION("""COMPUTED_VALUE"""),"هیأت")</f>
        <v>هیأت</v>
      </c>
      <c r="C1503" s="5" t="str">
        <f>IFERROR(__xludf.DUMMYFUNCTION("""COMPUTED_VALUE"""),"مسجد و حسینیه اللــهُ اَکْبَــر")</f>
        <v>مسجد و حسینیه اللــهُ اَکْبَــر</v>
      </c>
      <c r="D1503" s="5" t="str">
        <f>IFERROR(__xludf.DUMMYFUNCTION("""COMPUTED_VALUE"""),"خرسان رضوی")</f>
        <v>خرسان رضوی</v>
      </c>
      <c r="E1503" s="5" t="str">
        <f>IFERROR(__xludf.DUMMYFUNCTION("""COMPUTED_VALUE"""),"مشهد")</f>
        <v>مشهد</v>
      </c>
      <c r="F1503" s="5"/>
      <c r="G1503" s="5"/>
      <c r="H1503" s="5"/>
      <c r="I1503" s="5"/>
      <c r="J1503" s="6" t="str">
        <f>IFERROR(__xludf.DUMMYFUNCTION("""COMPUTED_VALUE"""),"https://eitaa.com/MASJED_ALLAHAKBAR")</f>
        <v>https://eitaa.com/MASJED_ALLAHAKBAR</v>
      </c>
      <c r="K1503" s="5"/>
      <c r="L1503" s="5"/>
      <c r="M1503" s="5"/>
      <c r="N1503" s="5"/>
      <c r="O1503" s="5"/>
      <c r="P1503" s="5"/>
      <c r="Q1503" s="5"/>
      <c r="R1503" s="5"/>
      <c r="S1503" s="5"/>
    </row>
    <row r="1504">
      <c r="A1504" s="5"/>
      <c r="B1504" s="5" t="str">
        <f>IFERROR(__xludf.DUMMYFUNCTION("""COMPUTED_VALUE"""),"هیأت")</f>
        <v>هیأت</v>
      </c>
      <c r="C1504" s="5" t="str">
        <f>IFERROR(__xludf.DUMMYFUNCTION("""COMPUTED_VALUE"""),"رایت العباس")</f>
        <v>رایت العباس</v>
      </c>
      <c r="D1504" s="5" t="str">
        <f>IFERROR(__xludf.DUMMYFUNCTION("""COMPUTED_VALUE"""),"خرسان رضوی")</f>
        <v>خرسان رضوی</v>
      </c>
      <c r="E1504" s="5" t="str">
        <f>IFERROR(__xludf.DUMMYFUNCTION("""COMPUTED_VALUE"""),"مشهد")</f>
        <v>مشهد</v>
      </c>
      <c r="F1504" s="5"/>
      <c r="G1504" s="5"/>
      <c r="H1504" s="6" t="str">
        <f>IFERROR(__xludf.DUMMYFUNCTION("""COMPUTED_VALUE"""),"https://www.instagram.com/rayat_113/")</f>
        <v>https://www.instagram.com/rayat_113/</v>
      </c>
      <c r="I1504" s="6" t="str">
        <f>IFERROR(__xludf.DUMMYFUNCTION("""COMPUTED_VALUE"""),"t.me/rayatalabbasmashhad")</f>
        <v>t.me/rayatalabbasmashhad</v>
      </c>
      <c r="J1504" s="5"/>
      <c r="K1504" s="5"/>
      <c r="L1504" s="5"/>
      <c r="M1504" s="5"/>
      <c r="N1504" s="5"/>
      <c r="O1504" s="5"/>
      <c r="P1504" s="5"/>
      <c r="Q1504" s="5"/>
      <c r="R1504" s="5"/>
      <c r="S1504" s="5"/>
    </row>
    <row r="1505">
      <c r="A1505" s="5"/>
      <c r="B1505" s="5" t="str">
        <f>IFERROR(__xludf.DUMMYFUNCTION("""COMPUTED_VALUE"""),"مسجد")</f>
        <v>مسجد</v>
      </c>
      <c r="C1505" s="5" t="str">
        <f>IFERROR(__xludf.DUMMYFUNCTION("""COMPUTED_VALUE"""),"قدس")</f>
        <v>قدس</v>
      </c>
      <c r="D1505" s="5" t="str">
        <f>IFERROR(__xludf.DUMMYFUNCTION("""COMPUTED_VALUE"""),"خرسان رضوی")</f>
        <v>خرسان رضوی</v>
      </c>
      <c r="E1505" s="5" t="str">
        <f>IFERROR(__xludf.DUMMYFUNCTION("""COMPUTED_VALUE"""),"نیشابور")</f>
        <v>نیشابور</v>
      </c>
      <c r="F1505" s="5"/>
      <c r="G1505" s="5"/>
      <c r="H1505" s="6" t="str">
        <f>IFERROR(__xludf.DUMMYFUNCTION("""COMPUTED_VALUE"""),"https://www.instagram.com/masjede_ghods/")</f>
        <v>https://www.instagram.com/masjede_ghods/</v>
      </c>
      <c r="I1505" s="6" t="str">
        <f>IFERROR(__xludf.DUMMYFUNCTION("""COMPUTED_VALUE"""),"t.me/masjede_ghods")</f>
        <v>t.me/masjede_ghods</v>
      </c>
      <c r="J1505" s="5"/>
      <c r="K1505" s="5"/>
      <c r="L1505" s="5"/>
      <c r="M1505" s="5"/>
      <c r="N1505" s="5"/>
      <c r="O1505" s="5"/>
      <c r="P1505" s="5"/>
      <c r="Q1505" s="5"/>
      <c r="R1505" s="5"/>
      <c r="S1505" s="5"/>
    </row>
    <row r="1506">
      <c r="A1506" s="5"/>
      <c r="B1506" s="5" t="str">
        <f>IFERROR(__xludf.DUMMYFUNCTION("""COMPUTED_VALUE"""),"هیأت")</f>
        <v>هیأت</v>
      </c>
      <c r="C1506" s="5" t="str">
        <f>IFERROR(__xludf.DUMMYFUNCTION("""COMPUTED_VALUE"""),"شاهزاده علی اکبر (ع)")</f>
        <v>شاهزاده علی اکبر (ع)</v>
      </c>
      <c r="D1506" s="5" t="str">
        <f>IFERROR(__xludf.DUMMYFUNCTION("""COMPUTED_VALUE"""),"خرسان رضوی")</f>
        <v>خرسان رضوی</v>
      </c>
      <c r="E1506" s="5" t="str">
        <f>IFERROR(__xludf.DUMMYFUNCTION("""COMPUTED_VALUE"""),"نیشابور")</f>
        <v>نیشابور</v>
      </c>
      <c r="F1506" s="5"/>
      <c r="G1506" s="5"/>
      <c r="H1506" s="6" t="str">
        <f>IFERROR(__xludf.DUMMYFUNCTION("""COMPUTED_VALUE"""),"https://www.instagram.com/aliakbari_ney/")</f>
        <v>https://www.instagram.com/aliakbari_ney/</v>
      </c>
      <c r="I1506" s="6" t="str">
        <f>IFERROR(__xludf.DUMMYFUNCTION("""COMPUTED_VALUE"""),"t.me/aliakbari_ney")</f>
        <v>t.me/aliakbari_ney</v>
      </c>
      <c r="J1506" s="5"/>
      <c r="K1506" s="5"/>
      <c r="L1506" s="5"/>
      <c r="M1506" s="5"/>
      <c r="N1506" s="5"/>
      <c r="O1506" s="5"/>
      <c r="P1506" s="5"/>
      <c r="Q1506" s="5"/>
      <c r="R1506" s="5"/>
      <c r="S1506" s="5"/>
    </row>
    <row r="1507">
      <c r="A1507" s="5"/>
      <c r="B1507" s="5" t="str">
        <f>IFERROR(__xludf.DUMMYFUNCTION("""COMPUTED_VALUE"""),"هیأت")</f>
        <v>هیأت</v>
      </c>
      <c r="C1507" s="5" t="str">
        <f>IFERROR(__xludf.DUMMYFUNCTION("""COMPUTED_VALUE"""),"خدام الحسین")</f>
        <v>خدام الحسین</v>
      </c>
      <c r="D1507" s="5" t="str">
        <f>IFERROR(__xludf.DUMMYFUNCTION("""COMPUTED_VALUE"""),"خرسان رضوی")</f>
        <v>خرسان رضوی</v>
      </c>
      <c r="E1507" s="5" t="str">
        <f>IFERROR(__xludf.DUMMYFUNCTION("""COMPUTED_VALUE"""),"مشهد")</f>
        <v>مشهد</v>
      </c>
      <c r="F1507" s="5"/>
      <c r="G1507" s="5"/>
      <c r="H1507" s="6" t="str">
        <f>IFERROR(__xludf.DUMMYFUNCTION("""COMPUTED_VALUE"""),"https://www.instagram.com/khoddam_ir/")</f>
        <v>https://www.instagram.com/khoddam_ir/</v>
      </c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</row>
    <row r="1508">
      <c r="A1508" s="5"/>
      <c r="B1508" s="5" t="str">
        <f>IFERROR(__xludf.DUMMYFUNCTION("""COMPUTED_VALUE"""),"هیأت")</f>
        <v>هیأت</v>
      </c>
      <c r="C1508" s="5" t="str">
        <f>IFERROR(__xludf.DUMMYFUNCTION("""COMPUTED_VALUE"""),"رزمندگان اسلام")</f>
        <v>رزمندگان اسلام</v>
      </c>
      <c r="D1508" s="5" t="str">
        <f>IFERROR(__xludf.DUMMYFUNCTION("""COMPUTED_VALUE"""),"خرسان رضوی")</f>
        <v>خرسان رضوی</v>
      </c>
      <c r="E1508" s="5" t="str">
        <f>IFERROR(__xludf.DUMMYFUNCTION("""COMPUTED_VALUE"""),"کاشمر")</f>
        <v>کاشمر</v>
      </c>
      <c r="F1508" s="5"/>
      <c r="G1508" s="5"/>
      <c r="H1508" s="6" t="str">
        <f>IFERROR(__xludf.DUMMYFUNCTION("""COMPUTED_VALUE"""),"https://www.instagram.com/heyatrazmandegan_kashmar/")</f>
        <v>https://www.instagram.com/heyatrazmandegan_kashmar/</v>
      </c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</row>
    <row r="1509">
      <c r="A1509" s="5">
        <f>IFERROR(__xludf.DUMMYFUNCTION("""COMPUTED_VALUE"""),32253.0)</f>
        <v>32253</v>
      </c>
      <c r="B1509" s="5" t="str">
        <f>IFERROR(__xludf.DUMMYFUNCTION("""COMPUTED_VALUE"""),"هیأت")</f>
        <v>هیأت</v>
      </c>
      <c r="C1509" s="5" t="str">
        <f>IFERROR(__xludf.DUMMYFUNCTION("""COMPUTED_VALUE"""),"چهارده معصوم متوسل به حضرت علی اصغر")</f>
        <v>چهارده معصوم متوسل به حضرت علی اصغر</v>
      </c>
      <c r="D1509" s="5" t="str">
        <f>IFERROR(__xludf.DUMMYFUNCTION("""COMPUTED_VALUE"""),"خرسان رضوی")</f>
        <v>خرسان رضوی</v>
      </c>
      <c r="E1509" s="5" t="str">
        <f>IFERROR(__xludf.DUMMYFUNCTION("""COMPUTED_VALUE"""),"طرقبه")</f>
        <v>طرقبه</v>
      </c>
      <c r="F1509" s="5"/>
      <c r="G1509" s="5"/>
      <c r="H1509" s="6" t="str">
        <f>IFERROR(__xludf.DUMMYFUNCTION("""COMPUTED_VALUE"""),"https://www.instagram.com/heyatshandiz/")</f>
        <v>https://www.instagram.com/heyatshandiz/</v>
      </c>
      <c r="I1509" s="6" t="str">
        <f>IFERROR(__xludf.DUMMYFUNCTION("""COMPUTED_VALUE"""),"t.me/heyatshandiz")</f>
        <v>t.me/heyatshandiz</v>
      </c>
      <c r="J1509" s="5"/>
      <c r="K1509" s="5"/>
      <c r="L1509" s="5"/>
      <c r="M1509" s="5"/>
      <c r="N1509" s="5"/>
      <c r="O1509" s="5"/>
      <c r="P1509" s="5"/>
      <c r="Q1509" s="5"/>
      <c r="R1509" s="5"/>
      <c r="S1509" s="5"/>
    </row>
    <row r="1510">
      <c r="A1510" s="5"/>
      <c r="B1510" s="5" t="str">
        <f>IFERROR(__xludf.DUMMYFUNCTION("""COMPUTED_VALUE"""),"مسجد")</f>
        <v>مسجد</v>
      </c>
      <c r="C1510" s="5" t="str">
        <f>IFERROR(__xludf.DUMMYFUNCTION("""COMPUTED_VALUE"""),"الزهرا")</f>
        <v>الزهرا</v>
      </c>
      <c r="D1510" s="5" t="str">
        <f>IFERROR(__xludf.DUMMYFUNCTION("""COMPUTED_VALUE"""),"خرسان رضوی")</f>
        <v>خرسان رضوی</v>
      </c>
      <c r="E1510" s="5" t="str">
        <f>IFERROR(__xludf.DUMMYFUNCTION("""COMPUTED_VALUE"""),"مشهد")</f>
        <v>مشهد</v>
      </c>
      <c r="F1510" s="5"/>
      <c r="G1510" s="5"/>
      <c r="H1510" s="6" t="str">
        <f>IFERROR(__xludf.DUMMYFUNCTION("""COMPUTED_VALUE"""),"https://www.instagram.com/alzahramasjed_ir/")</f>
        <v>https://www.instagram.com/alzahramasjed_ir/</v>
      </c>
      <c r="I1510" s="5"/>
      <c r="J1510" s="6" t="str">
        <f>IFERROR(__xludf.DUMMYFUNCTION("""COMPUTED_VALUE"""),"eitaa.com/alzahramasjed_ir")</f>
        <v>eitaa.com/alzahramasjed_ir</v>
      </c>
      <c r="K1510" s="5"/>
      <c r="L1510" s="5"/>
      <c r="M1510" s="5"/>
      <c r="N1510" s="5"/>
      <c r="O1510" s="5"/>
      <c r="P1510" s="5"/>
      <c r="Q1510" s="5"/>
      <c r="R1510" s="5"/>
      <c r="S1510" s="5"/>
    </row>
    <row r="1511">
      <c r="A1511" s="5">
        <f>IFERROR(__xludf.DUMMYFUNCTION("""COMPUTED_VALUE"""),32153.0)</f>
        <v>32153</v>
      </c>
      <c r="B1511" s="5" t="str">
        <f>IFERROR(__xludf.DUMMYFUNCTION("""COMPUTED_VALUE"""),"هیأت دانشجویی")</f>
        <v>هیأت دانشجویی</v>
      </c>
      <c r="C1511" s="5" t="str">
        <f>IFERROR(__xludf.DUMMYFUNCTION("""COMPUTED_VALUE"""),"رایة الهدی")</f>
        <v>رایة الهدی</v>
      </c>
      <c r="D1511" s="5" t="str">
        <f>IFERROR(__xludf.DUMMYFUNCTION("""COMPUTED_VALUE"""),"خرسان رضوی")</f>
        <v>خرسان رضوی</v>
      </c>
      <c r="E1511" s="5" t="str">
        <f>IFERROR(__xludf.DUMMYFUNCTION("""COMPUTED_VALUE"""),"مشهد")</f>
        <v>مشهد</v>
      </c>
      <c r="F1511" s="5"/>
      <c r="G1511" s="5"/>
      <c r="H1511" s="6" t="str">
        <f>IFERROR(__xludf.DUMMYFUNCTION("""COMPUTED_VALUE"""),"https://www.instagram.com/rayat_alhoda_313/")</f>
        <v>https://www.instagram.com/rayat_alhoda_313/</v>
      </c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</row>
    <row r="1512">
      <c r="A1512" s="5"/>
      <c r="B1512" s="5" t="str">
        <f>IFERROR(__xludf.DUMMYFUNCTION("""COMPUTED_VALUE"""),"هیأت")</f>
        <v>هیأت</v>
      </c>
      <c r="C1512" s="5" t="str">
        <f>IFERROR(__xludf.DUMMYFUNCTION("""COMPUTED_VALUE"""),"عزاداران حضرت ابالفضل")</f>
        <v>عزاداران حضرت ابالفضل</v>
      </c>
      <c r="D1512" s="5" t="str">
        <f>IFERROR(__xludf.DUMMYFUNCTION("""COMPUTED_VALUE"""),"خرسان رضوی")</f>
        <v>خرسان رضوی</v>
      </c>
      <c r="E1512" s="5" t="str">
        <f>IFERROR(__xludf.DUMMYFUNCTION("""COMPUTED_VALUE"""),"دولت آباد")</f>
        <v>دولت آباد</v>
      </c>
      <c r="F1512" s="5"/>
      <c r="G1512" s="5"/>
      <c r="H1512" s="5"/>
      <c r="I1512" s="6" t="str">
        <f>IFERROR(__xludf.DUMMYFUNCTION("""COMPUTED_VALUE"""),"https://t.me/heatabolfazl")</f>
        <v>https://t.me/heatabolfazl</v>
      </c>
      <c r="J1512" s="5"/>
      <c r="K1512" s="5"/>
      <c r="L1512" s="5"/>
      <c r="M1512" s="5"/>
      <c r="N1512" s="5"/>
      <c r="O1512" s="5"/>
      <c r="P1512" s="5"/>
      <c r="Q1512" s="5"/>
      <c r="R1512" s="5"/>
      <c r="S1512" s="5"/>
    </row>
    <row r="1513">
      <c r="A1513" s="5"/>
      <c r="B1513" s="5" t="str">
        <f>IFERROR(__xludf.DUMMYFUNCTION("""COMPUTED_VALUE"""),"هیأت")</f>
        <v>هیأت</v>
      </c>
      <c r="C1513" s="5" t="str">
        <f>IFERROR(__xludf.DUMMYFUNCTION("""COMPUTED_VALUE"""),"جوانان جوادالائمه (ع)")</f>
        <v>جوانان جوادالائمه (ع)</v>
      </c>
      <c r="D1513" s="5" t="str">
        <f>IFERROR(__xludf.DUMMYFUNCTION("""COMPUTED_VALUE"""),"خرسان رضوی")</f>
        <v>خرسان رضوی</v>
      </c>
      <c r="E1513" s="5" t="str">
        <f>IFERROR(__xludf.DUMMYFUNCTION("""COMPUTED_VALUE"""),"مشهد")</f>
        <v>مشهد</v>
      </c>
      <c r="F1513" s="5"/>
      <c r="G1513" s="5"/>
      <c r="H1513" s="6" t="str">
        <f>IFERROR(__xludf.DUMMYFUNCTION("""COMPUTED_VALUE"""),"https://www.instagram.com/www_3raj_ir/")</f>
        <v>https://www.instagram.com/www_3raj_ir/</v>
      </c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</row>
    <row r="1514">
      <c r="A1514" s="5"/>
      <c r="B1514" s="5" t="str">
        <f>IFERROR(__xludf.DUMMYFUNCTION("""COMPUTED_VALUE"""),"هیأت")</f>
        <v>هیأت</v>
      </c>
      <c r="C1514" s="5" t="str">
        <f>IFERROR(__xludf.DUMMYFUNCTION("""COMPUTED_VALUE"""),"الشهدا")</f>
        <v>الشهدا</v>
      </c>
      <c r="D1514" s="5" t="str">
        <f>IFERROR(__xludf.DUMMYFUNCTION("""COMPUTED_VALUE"""),"خرسان رضوی")</f>
        <v>خرسان رضوی</v>
      </c>
      <c r="E1514" s="5" t="str">
        <f>IFERROR(__xludf.DUMMYFUNCTION("""COMPUTED_VALUE"""),"مشهد")</f>
        <v>مشهد</v>
      </c>
      <c r="F1514" s="5"/>
      <c r="G1514" s="5"/>
      <c r="H1514" s="6" t="str">
        <f>IFERROR(__xludf.DUMMYFUNCTION("""COMPUTED_VALUE"""),"https://www.instagram.com/heyat_shohada_mashhad/")</f>
        <v>https://www.instagram.com/heyat_shohada_mashhad/</v>
      </c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</row>
    <row r="1515">
      <c r="A1515" s="5">
        <f>IFERROR(__xludf.DUMMYFUNCTION("""COMPUTED_VALUE"""),31437.0)</f>
        <v>31437</v>
      </c>
      <c r="B1515" s="5" t="str">
        <f>IFERROR(__xludf.DUMMYFUNCTION("""COMPUTED_VALUE"""),"هیأت")</f>
        <v>هیأت</v>
      </c>
      <c r="C1515" s="5" t="str">
        <f>IFERROR(__xludf.DUMMYFUNCTION("""COMPUTED_VALUE"""),"محبان مهدی (س)")</f>
        <v>محبان مهدی (س)</v>
      </c>
      <c r="D1515" s="5" t="str">
        <f>IFERROR(__xludf.DUMMYFUNCTION("""COMPUTED_VALUE"""),"خرسان رضوی")</f>
        <v>خرسان رضوی</v>
      </c>
      <c r="E1515" s="5" t="str">
        <f>IFERROR(__xludf.DUMMYFUNCTION("""COMPUTED_VALUE"""),"مشهد")</f>
        <v>مشهد</v>
      </c>
      <c r="F1515" s="5"/>
      <c r="G1515" s="5"/>
      <c r="H1515" s="6" t="str">
        <f>IFERROR(__xludf.DUMMYFUNCTION("""COMPUTED_VALUE"""),"https://www.instagram.com/moheban_mahdi_aj77/")</f>
        <v>https://www.instagram.com/moheban_mahdi_aj77/</v>
      </c>
      <c r="I1515" s="6" t="str">
        <f>IFERROR(__xludf.DUMMYFUNCTION("""COMPUTED_VALUE"""),"t.me/mohebanmahdi_aj313")</f>
        <v>t.me/mohebanmahdi_aj313</v>
      </c>
      <c r="J1515" s="5"/>
      <c r="K1515" s="5"/>
      <c r="L1515" s="5"/>
      <c r="M1515" s="5"/>
      <c r="N1515" s="5"/>
      <c r="O1515" s="5"/>
      <c r="P1515" s="5"/>
      <c r="Q1515" s="5"/>
      <c r="R1515" s="5"/>
      <c r="S1515" s="5"/>
    </row>
    <row r="1516">
      <c r="A1516" s="5">
        <f>IFERROR(__xludf.DUMMYFUNCTION("""COMPUTED_VALUE"""),31208.0)</f>
        <v>31208</v>
      </c>
      <c r="B1516" s="5" t="str">
        <f>IFERROR(__xludf.DUMMYFUNCTION("""COMPUTED_VALUE"""),"هیأت")</f>
        <v>هیأت</v>
      </c>
      <c r="C1516" s="5" t="str">
        <f>IFERROR(__xludf.DUMMYFUNCTION("""COMPUTED_VALUE"""),"ابالفضلی")</f>
        <v>ابالفضلی</v>
      </c>
      <c r="D1516" s="5" t="str">
        <f>IFERROR(__xludf.DUMMYFUNCTION("""COMPUTED_VALUE"""),"خرسان رضوی")</f>
        <v>خرسان رضوی</v>
      </c>
      <c r="E1516" s="5" t="str">
        <f>IFERROR(__xludf.DUMMYFUNCTION("""COMPUTED_VALUE"""),"مشهد")</f>
        <v>مشهد</v>
      </c>
      <c r="F1516" s="5"/>
      <c r="G1516" s="5"/>
      <c r="H1516" s="6" t="str">
        <f>IFERROR(__xludf.DUMMYFUNCTION("""COMPUTED_VALUE"""),"https://www.instagram.com/heiatabalfazli92/")</f>
        <v>https://www.instagram.com/heiatabalfazli92/</v>
      </c>
      <c r="I1516" s="6" t="str">
        <f>IFERROR(__xludf.DUMMYFUNCTION("""COMPUTED_VALUE"""),"t.me/heiatabalfazli92")</f>
        <v>t.me/heiatabalfazli92</v>
      </c>
      <c r="J1516" s="5"/>
      <c r="K1516" s="5"/>
      <c r="L1516" s="5"/>
      <c r="M1516" s="5"/>
      <c r="N1516" s="5"/>
      <c r="O1516" s="5"/>
      <c r="P1516" s="5"/>
      <c r="Q1516" s="5"/>
      <c r="R1516" s="5"/>
      <c r="S1516" s="5"/>
    </row>
    <row r="1517">
      <c r="A1517" s="5"/>
      <c r="B1517" s="5" t="str">
        <f>IFERROR(__xludf.DUMMYFUNCTION("""COMPUTED_VALUE"""),"هیأت")</f>
        <v>هیأت</v>
      </c>
      <c r="C1517" s="5" t="str">
        <f>IFERROR(__xludf.DUMMYFUNCTION("""COMPUTED_VALUE"""),"دوام ثامن")</f>
        <v>دوام ثامن</v>
      </c>
      <c r="D1517" s="5" t="str">
        <f>IFERROR(__xludf.DUMMYFUNCTION("""COMPUTED_VALUE"""),"خرسان رضوی")</f>
        <v>خرسان رضوی</v>
      </c>
      <c r="E1517" s="5" t="str">
        <f>IFERROR(__xludf.DUMMYFUNCTION("""COMPUTED_VALUE"""),"مشهد")</f>
        <v>مشهد</v>
      </c>
      <c r="F1517" s="5"/>
      <c r="G1517" s="5"/>
      <c r="H1517" s="6" t="str">
        <f>IFERROR(__xludf.DUMMYFUNCTION("""COMPUTED_VALUE"""),"https://www.instagram.com/davamsamen/")</f>
        <v>https://www.instagram.com/davamsamen/</v>
      </c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</row>
    <row r="1518">
      <c r="A1518" s="5"/>
      <c r="B1518" s="5" t="str">
        <f>IFERROR(__xludf.DUMMYFUNCTION("""COMPUTED_VALUE"""),"هیأت")</f>
        <v>هیأت</v>
      </c>
      <c r="C1518" s="5" t="str">
        <f>IFERROR(__xludf.DUMMYFUNCTION("""COMPUTED_VALUE"""),"کریم اهل بیت")</f>
        <v>کریم اهل بیت</v>
      </c>
      <c r="D1518" s="5" t="str">
        <f>IFERROR(__xludf.DUMMYFUNCTION("""COMPUTED_VALUE"""),"خرسان رضوی")</f>
        <v>خرسان رضوی</v>
      </c>
      <c r="E1518" s="5" t="str">
        <f>IFERROR(__xludf.DUMMYFUNCTION("""COMPUTED_VALUE"""),"چناران")</f>
        <v>چناران</v>
      </c>
      <c r="F1518" s="5"/>
      <c r="G1518" s="5"/>
      <c r="H1518" s="5"/>
      <c r="I1518" s="5"/>
      <c r="J1518" s="6" t="str">
        <f>IFERROR(__xludf.DUMMYFUNCTION("""COMPUTED_VALUE"""),"https://eitaa.com/Karimahlebeyt_118")</f>
        <v>https://eitaa.com/Karimahlebeyt_118</v>
      </c>
      <c r="K1518" s="5"/>
      <c r="L1518" s="5"/>
      <c r="M1518" s="5"/>
      <c r="N1518" s="5"/>
      <c r="O1518" s="5"/>
      <c r="P1518" s="5"/>
      <c r="Q1518" s="5"/>
      <c r="R1518" s="5"/>
      <c r="S1518" s="5"/>
    </row>
    <row r="1519">
      <c r="A1519" s="5"/>
      <c r="B1519" s="5" t="str">
        <f>IFERROR(__xludf.DUMMYFUNCTION("""COMPUTED_VALUE"""),"هیأت")</f>
        <v>هیأت</v>
      </c>
      <c r="C1519" s="5" t="str">
        <f>IFERROR(__xludf.DUMMYFUNCTION("""COMPUTED_VALUE"""),"رایت العباس")</f>
        <v>رایت العباس</v>
      </c>
      <c r="D1519" s="5" t="str">
        <f>IFERROR(__xludf.DUMMYFUNCTION("""COMPUTED_VALUE"""),"خرسان رضوی")</f>
        <v>خرسان رضوی</v>
      </c>
      <c r="E1519" s="5" t="str">
        <f>IFERROR(__xludf.DUMMYFUNCTION("""COMPUTED_VALUE"""),"مشهد")</f>
        <v>مشهد</v>
      </c>
      <c r="F1519" s="5"/>
      <c r="G1519" s="5"/>
      <c r="H1519" s="6" t="str">
        <f>IFERROR(__xludf.DUMMYFUNCTION("""COMPUTED_VALUE"""),"https://www.instagram.com/rayatallabbas/")</f>
        <v>https://www.instagram.com/rayatallabbas/</v>
      </c>
      <c r="I1519" s="6" t="str">
        <f>IFERROR(__xludf.DUMMYFUNCTION("""COMPUTED_VALUE"""),"t.me/rayatallabbas")</f>
        <v>t.me/rayatallabbas</v>
      </c>
      <c r="J1519" s="5"/>
      <c r="K1519" s="5"/>
      <c r="L1519" s="5"/>
      <c r="M1519" s="5"/>
      <c r="N1519" s="5"/>
      <c r="O1519" s="5"/>
      <c r="P1519" s="5"/>
      <c r="Q1519" s="5"/>
      <c r="R1519" s="5"/>
      <c r="S1519" s="5"/>
    </row>
    <row r="1520">
      <c r="A1520" s="5"/>
      <c r="B1520" s="5" t="str">
        <f>IFERROR(__xludf.DUMMYFUNCTION("""COMPUTED_VALUE"""),"هیأت")</f>
        <v>هیأت</v>
      </c>
      <c r="C1520" s="5" t="str">
        <f>IFERROR(__xludf.DUMMYFUNCTION("""COMPUTED_VALUE"""),"فاطمیون")</f>
        <v>فاطمیون</v>
      </c>
      <c r="D1520" s="5" t="str">
        <f>IFERROR(__xludf.DUMMYFUNCTION("""COMPUTED_VALUE"""),"خرسان رضوی")</f>
        <v>خرسان رضوی</v>
      </c>
      <c r="E1520" s="5" t="str">
        <f>IFERROR(__xludf.DUMMYFUNCTION("""COMPUTED_VALUE"""),"سبزوار")</f>
        <v>سبزوار</v>
      </c>
      <c r="F1520" s="5"/>
      <c r="G1520" s="5"/>
      <c r="H1520" s="6" t="str">
        <f>IFERROR(__xludf.DUMMYFUNCTION("""COMPUTED_VALUE"""),"https://www.instagram.com/fatemiyon_sbz/")</f>
        <v>https://www.instagram.com/fatemiyon_sbz/</v>
      </c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</row>
    <row r="1521">
      <c r="A1521" s="5"/>
      <c r="B1521" s="5" t="str">
        <f>IFERROR(__xludf.DUMMYFUNCTION("""COMPUTED_VALUE"""),"هیأت")</f>
        <v>هیأت</v>
      </c>
      <c r="C1521" s="5" t="str">
        <f>IFERROR(__xludf.DUMMYFUNCTION("""COMPUTED_VALUE"""),"عاشقان ثارالله")</f>
        <v>عاشقان ثارالله</v>
      </c>
      <c r="D1521" s="5" t="str">
        <f>IFERROR(__xludf.DUMMYFUNCTION("""COMPUTED_VALUE"""),"خرسان رضوی")</f>
        <v>خرسان رضوی</v>
      </c>
      <c r="E1521" s="5" t="str">
        <f>IFERROR(__xludf.DUMMYFUNCTION("""COMPUTED_VALUE"""),"مشهد")</f>
        <v>مشهد</v>
      </c>
      <c r="F1521" s="5"/>
      <c r="G1521" s="5"/>
      <c r="H1521" s="6" t="str">
        <f>IFERROR(__xludf.DUMMYFUNCTION("""COMPUTED_VALUE"""),"https://www.instagram.com/asheghanmedia313/")</f>
        <v>https://www.instagram.com/asheghanmedia313/</v>
      </c>
      <c r="I1521" s="6" t="str">
        <f>IFERROR(__xludf.DUMMYFUNCTION("""COMPUTED_VALUE"""),"t.me/asheghanmedia")</f>
        <v>t.me/asheghanmedia</v>
      </c>
      <c r="J1521" s="5"/>
      <c r="K1521" s="5"/>
      <c r="L1521" s="5"/>
      <c r="M1521" s="5"/>
      <c r="N1521" s="5"/>
      <c r="O1521" s="5"/>
      <c r="P1521" s="5"/>
      <c r="Q1521" s="5"/>
      <c r="R1521" s="5"/>
      <c r="S1521" s="5"/>
    </row>
    <row r="1522">
      <c r="A1522" s="5"/>
      <c r="B1522" s="5" t="str">
        <f>IFERROR(__xludf.DUMMYFUNCTION("""COMPUTED_VALUE"""),"هیأت")</f>
        <v>هیأت</v>
      </c>
      <c r="C1522" s="5" t="str">
        <f>IFERROR(__xludf.DUMMYFUNCTION("""COMPUTED_VALUE"""),"محبان الجواد (ع)")</f>
        <v>محبان الجواد (ع)</v>
      </c>
      <c r="D1522" s="5" t="str">
        <f>IFERROR(__xludf.DUMMYFUNCTION("""COMPUTED_VALUE"""),"خرسان رضوی")</f>
        <v>خرسان رضوی</v>
      </c>
      <c r="E1522" s="5" t="str">
        <f>IFERROR(__xludf.DUMMYFUNCTION("""COMPUTED_VALUE"""),"گناباد")</f>
        <v>گناباد</v>
      </c>
      <c r="F1522" s="5"/>
      <c r="G1522" s="5"/>
      <c r="H1522" s="6" t="str">
        <f>IFERROR(__xludf.DUMMYFUNCTION("""COMPUTED_VALUE"""),"https://www.instagram.com/mohebanaljavad/")</f>
        <v>https://www.instagram.com/mohebanaljavad/</v>
      </c>
      <c r="I1522" s="6" t="str">
        <f>IFERROR(__xludf.DUMMYFUNCTION("""COMPUTED_VALUE"""),"https://t.me/mohebanaljavad")</f>
        <v>https://t.me/mohebanaljavad</v>
      </c>
      <c r="J1522" s="5"/>
      <c r="K1522" s="5"/>
      <c r="L1522" s="5"/>
      <c r="M1522" s="5"/>
      <c r="N1522" s="5"/>
      <c r="O1522" s="5"/>
      <c r="P1522" s="5"/>
      <c r="Q1522" s="5"/>
      <c r="R1522" s="5"/>
      <c r="S1522" s="5"/>
    </row>
    <row r="1523">
      <c r="A1523" s="5"/>
      <c r="B1523" s="5" t="str">
        <f>IFERROR(__xludf.DUMMYFUNCTION("""COMPUTED_VALUE"""),"هیأت")</f>
        <v>هیأت</v>
      </c>
      <c r="C1523" s="5" t="str">
        <f>IFERROR(__xludf.DUMMYFUNCTION("""COMPUTED_VALUE"""),"هیئت خواهران طلبه 👈یک دقیقه تأمل🧐")</f>
        <v>هیئت خواهران طلبه 👈یک دقیقه تأمل🧐</v>
      </c>
      <c r="D1523" s="5" t="str">
        <f>IFERROR(__xludf.DUMMYFUNCTION("""COMPUTED_VALUE"""),"خرسان رضوی")</f>
        <v>خرسان رضوی</v>
      </c>
      <c r="E1523" s="5" t="str">
        <f>IFERROR(__xludf.DUMMYFUNCTION("""COMPUTED_VALUE"""),"مشهد")</f>
        <v>مشهد</v>
      </c>
      <c r="F1523" s="5"/>
      <c r="G1523" s="5"/>
      <c r="H1523" s="5"/>
      <c r="I1523" s="5"/>
      <c r="J1523" s="6" t="str">
        <f>IFERROR(__xludf.DUMMYFUNCTION("""COMPUTED_VALUE"""),"https://eitaa.com/heyat_kh_talabe_mashhad")</f>
        <v>https://eitaa.com/heyat_kh_talabe_mashhad</v>
      </c>
      <c r="K1523" s="5"/>
      <c r="L1523" s="5"/>
      <c r="M1523" s="5"/>
      <c r="N1523" s="5"/>
      <c r="O1523" s="5"/>
      <c r="P1523" s="5"/>
      <c r="Q1523" s="5"/>
      <c r="R1523" s="5"/>
      <c r="S1523" s="5"/>
    </row>
    <row r="1524">
      <c r="A1524" s="5"/>
      <c r="B1524" s="5" t="str">
        <f>IFERROR(__xludf.DUMMYFUNCTION("""COMPUTED_VALUE"""),"حسینیه")</f>
        <v>حسینیه</v>
      </c>
      <c r="C1524" s="5" t="str">
        <f>IFERROR(__xludf.DUMMYFUNCTION("""COMPUTED_VALUE"""),"کرامت")</f>
        <v>کرامت</v>
      </c>
      <c r="D1524" s="5" t="str">
        <f>IFERROR(__xludf.DUMMYFUNCTION("""COMPUTED_VALUE"""),"خرسان رضوی")</f>
        <v>خرسان رضوی</v>
      </c>
      <c r="E1524" s="5" t="str">
        <f>IFERROR(__xludf.DUMMYFUNCTION("""COMPUTED_VALUE"""),"مشهد")</f>
        <v>مشهد</v>
      </c>
      <c r="F1524" s="5"/>
      <c r="G1524" s="5"/>
      <c r="H1524" s="5"/>
      <c r="I1524" s="5"/>
      <c r="J1524" s="6" t="str">
        <f>IFERROR(__xludf.DUMMYFUNCTION("""COMPUTED_VALUE"""),"https://eitaa.com/keramat_mashhad")</f>
        <v>https://eitaa.com/keramat_mashhad</v>
      </c>
      <c r="K1524" s="5"/>
      <c r="L1524" s="5"/>
      <c r="M1524" s="5"/>
      <c r="N1524" s="5"/>
      <c r="O1524" s="5"/>
      <c r="P1524" s="5"/>
      <c r="Q1524" s="5"/>
      <c r="R1524" s="5"/>
      <c r="S1524" s="5"/>
    </row>
    <row r="1525">
      <c r="A1525" s="5"/>
      <c r="B1525" s="5" t="str">
        <f>IFERROR(__xludf.DUMMYFUNCTION("""COMPUTED_VALUE"""),"مسجد")</f>
        <v>مسجد</v>
      </c>
      <c r="C1525" s="5" t="str">
        <f>IFERROR(__xludf.DUMMYFUNCTION("""COMPUTED_VALUE"""),"امام حسن مجتبی (ع)")</f>
        <v>امام حسن مجتبی (ع)</v>
      </c>
      <c r="D1525" s="5" t="str">
        <f>IFERROR(__xludf.DUMMYFUNCTION("""COMPUTED_VALUE"""),"خرسان رضوی")</f>
        <v>خرسان رضوی</v>
      </c>
      <c r="E1525" s="5" t="str">
        <f>IFERROR(__xludf.DUMMYFUNCTION("""COMPUTED_VALUE"""),"سبزوار")</f>
        <v>سبزوار</v>
      </c>
      <c r="F1525" s="5"/>
      <c r="G1525" s="5"/>
      <c r="H1525" s="6" t="str">
        <f>IFERROR(__xludf.DUMMYFUNCTION("""COMPUTED_VALUE"""),"https://www.instagram.com/masjed_emam_hassan/")</f>
        <v>https://www.instagram.com/masjed_emam_hassan/</v>
      </c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</row>
    <row r="1526">
      <c r="A1526" s="5"/>
      <c r="B1526" s="5" t="str">
        <f>IFERROR(__xludf.DUMMYFUNCTION("""COMPUTED_VALUE"""),"هیأت")</f>
        <v>هیأت</v>
      </c>
      <c r="C1526" s="5" t="str">
        <f>IFERROR(__xludf.DUMMYFUNCTION("""COMPUTED_VALUE"""),"روضه الحسین (ع)")</f>
        <v>روضه الحسین (ع)</v>
      </c>
      <c r="D1526" s="5" t="str">
        <f>IFERROR(__xludf.DUMMYFUNCTION("""COMPUTED_VALUE"""),"خرسان رضوی")</f>
        <v>خرسان رضوی</v>
      </c>
      <c r="E1526" s="5" t="str">
        <f>IFERROR(__xludf.DUMMYFUNCTION("""COMPUTED_VALUE"""),"نیشابور")</f>
        <v>نیشابور</v>
      </c>
      <c r="F1526" s="5"/>
      <c r="G1526" s="5"/>
      <c r="H1526" s="6" t="str">
        <f>IFERROR(__xludf.DUMMYFUNCTION("""COMPUTED_VALUE"""),"https://www.instagram.com/heyat_rozatlhosin.ney/")</f>
        <v>https://www.instagram.com/heyat_rozatlhosin.ney/</v>
      </c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</row>
    <row r="1527">
      <c r="A1527" s="5"/>
      <c r="B1527" s="5" t="str">
        <f>IFERROR(__xludf.DUMMYFUNCTION("""COMPUTED_VALUE"""),"هیأت")</f>
        <v>هیأت</v>
      </c>
      <c r="C1527" s="5" t="str">
        <f>IFERROR(__xludf.DUMMYFUNCTION("""COMPUTED_VALUE"""),"هیئت‌دخترانه‌فاطمه‌الزهراسلام‌الله‌علیها")</f>
        <v>هیئت‌دخترانه‌فاطمه‌الزهراسلام‌الله‌علیها</v>
      </c>
      <c r="D1527" s="5" t="str">
        <f>IFERROR(__xludf.DUMMYFUNCTION("""COMPUTED_VALUE"""),"خرسان رضوی")</f>
        <v>خرسان رضوی</v>
      </c>
      <c r="E1527" s="5" t="str">
        <f>IFERROR(__xludf.DUMMYFUNCTION("""COMPUTED_VALUE"""),"مشهد")</f>
        <v>مشهد</v>
      </c>
      <c r="F1527" s="5"/>
      <c r="G1527" s="5"/>
      <c r="H1527" s="5"/>
      <c r="I1527" s="5"/>
      <c r="J1527" s="6" t="str">
        <f>IFERROR(__xludf.DUMMYFUNCTION("""COMPUTED_VALUE"""),"https://eitaa.com/aqrj_heyat")</f>
        <v>https://eitaa.com/aqrj_heyat</v>
      </c>
      <c r="K1527" s="5"/>
      <c r="L1527" s="5"/>
      <c r="M1527" s="5"/>
      <c r="N1527" s="5"/>
      <c r="O1527" s="5"/>
      <c r="P1527" s="5"/>
      <c r="Q1527" s="5"/>
      <c r="R1527" s="5"/>
      <c r="S1527" s="5"/>
    </row>
    <row r="1528">
      <c r="A1528" s="5"/>
      <c r="B1528" s="5" t="str">
        <f>IFERROR(__xludf.DUMMYFUNCTION("""COMPUTED_VALUE"""),"هیأت")</f>
        <v>هیأت</v>
      </c>
      <c r="C1528" s="5" t="str">
        <f>IFERROR(__xludf.DUMMYFUNCTION("""COMPUTED_VALUE"""),"مجموعه فرهنگی و تربیتی هیئتُ المهدی (عج)")</f>
        <v>مجموعه فرهنگی و تربیتی هیئتُ المهدی (عج)</v>
      </c>
      <c r="D1528" s="5" t="str">
        <f>IFERROR(__xludf.DUMMYFUNCTION("""COMPUTED_VALUE"""),"خرسان رضوی")</f>
        <v>خرسان رضوی</v>
      </c>
      <c r="E1528" s="5" t="str">
        <f>IFERROR(__xludf.DUMMYFUNCTION("""COMPUTED_VALUE"""),"مشهد")</f>
        <v>مشهد</v>
      </c>
      <c r="F1528" s="5"/>
      <c r="G1528" s="5"/>
      <c r="H1528" s="5"/>
      <c r="I1528" s="5"/>
      <c r="J1528" s="6" t="str">
        <f>IFERROR(__xludf.DUMMYFUNCTION("""COMPUTED_VALUE"""),"https://eitaa.com/heyatolmahdi313")</f>
        <v>https://eitaa.com/heyatolmahdi313</v>
      </c>
      <c r="K1528" s="5"/>
      <c r="L1528" s="5"/>
      <c r="M1528" s="5"/>
      <c r="N1528" s="5"/>
      <c r="O1528" s="5"/>
      <c r="P1528" s="5"/>
      <c r="Q1528" s="5"/>
      <c r="R1528" s="5"/>
      <c r="S1528" s="5"/>
    </row>
    <row r="1529">
      <c r="A1529" s="5"/>
      <c r="B1529" s="5" t="str">
        <f>IFERROR(__xludf.DUMMYFUNCTION("""COMPUTED_VALUE"""),"هیأت")</f>
        <v>هیأت</v>
      </c>
      <c r="C1529" s="5" t="str">
        <f>IFERROR(__xludf.DUMMYFUNCTION("""COMPUTED_VALUE"""),"الساجدین")</f>
        <v>الساجدین</v>
      </c>
      <c r="D1529" s="5" t="str">
        <f>IFERROR(__xludf.DUMMYFUNCTION("""COMPUTED_VALUE"""),"خرسان رضوی")</f>
        <v>خرسان رضوی</v>
      </c>
      <c r="E1529" s="5" t="str">
        <f>IFERROR(__xludf.DUMMYFUNCTION("""COMPUTED_VALUE"""),"مشهد")</f>
        <v>مشهد</v>
      </c>
      <c r="F1529" s="5"/>
      <c r="G1529" s="5"/>
      <c r="H1529" s="6" t="str">
        <f>IFERROR(__xludf.DUMMYFUNCTION("""COMPUTED_VALUE"""),"https://www.instagram.com/heyatsajedeen/")</f>
        <v>https://www.instagram.com/heyatsajedeen/</v>
      </c>
      <c r="I1529" s="6" t="str">
        <f>IFERROR(__xludf.DUMMYFUNCTION("""COMPUTED_VALUE"""),"t.me/heyatsajedeen")</f>
        <v>t.me/heyatsajedeen</v>
      </c>
      <c r="J1529" s="5"/>
      <c r="K1529" s="5"/>
      <c r="L1529" s="5"/>
      <c r="M1529" s="5"/>
      <c r="N1529" s="5"/>
      <c r="O1529" s="5"/>
      <c r="P1529" s="5"/>
      <c r="Q1529" s="5"/>
      <c r="R1529" s="5"/>
      <c r="S1529" s="5"/>
    </row>
    <row r="1530">
      <c r="A1530" s="5"/>
      <c r="B1530" s="5" t="str">
        <f>IFERROR(__xludf.DUMMYFUNCTION("""COMPUTED_VALUE"""),"هیأت")</f>
        <v>هیأت</v>
      </c>
      <c r="C1530" s="5" t="str">
        <f>IFERROR(__xludf.DUMMYFUNCTION("""COMPUTED_VALUE"""),"خادمین اربعین حسینی")</f>
        <v>خادمین اربعین حسینی</v>
      </c>
      <c r="D1530" s="5" t="str">
        <f>IFERROR(__xludf.DUMMYFUNCTION("""COMPUTED_VALUE"""),"خرسان رضوی")</f>
        <v>خرسان رضوی</v>
      </c>
      <c r="E1530" s="5" t="str">
        <f>IFERROR(__xludf.DUMMYFUNCTION("""COMPUTED_VALUE"""),"مشهد")</f>
        <v>مشهد</v>
      </c>
      <c r="F1530" s="5"/>
      <c r="G1530" s="5"/>
      <c r="H1530" s="6" t="str">
        <f>IFERROR(__xludf.DUMMYFUNCTION("""COMPUTED_VALUE"""),"https://www.instagram.com/khademinarbaien/")</f>
        <v>https://www.instagram.com/khademinarbaien/</v>
      </c>
      <c r="I1530" s="6" t="str">
        <f>IFERROR(__xludf.DUMMYFUNCTION("""COMPUTED_VALUE"""),"t.me/khademinarbaien")</f>
        <v>t.me/khademinarbaien</v>
      </c>
      <c r="J1530" s="5"/>
      <c r="K1530" s="5"/>
      <c r="L1530" s="5"/>
      <c r="M1530" s="5"/>
      <c r="N1530" s="5"/>
      <c r="O1530" s="5"/>
      <c r="P1530" s="5"/>
      <c r="Q1530" s="5"/>
      <c r="R1530" s="5"/>
      <c r="S1530" s="5"/>
    </row>
    <row r="1531">
      <c r="A1531" s="5"/>
      <c r="B1531" s="5" t="str">
        <f>IFERROR(__xludf.DUMMYFUNCTION("""COMPUTED_VALUE"""),"حسینیه ")</f>
        <v>حسینیه </v>
      </c>
      <c r="C1531" s="5" t="str">
        <f>IFERROR(__xludf.DUMMYFUNCTION("""COMPUTED_VALUE"""),"فاطمیه")</f>
        <v>فاطمیه</v>
      </c>
      <c r="D1531" s="5" t="str">
        <f>IFERROR(__xludf.DUMMYFUNCTION("""COMPUTED_VALUE"""),"خرسان رضوی")</f>
        <v>خرسان رضوی</v>
      </c>
      <c r="E1531" s="5" t="str">
        <f>IFERROR(__xludf.DUMMYFUNCTION("""COMPUTED_VALUE"""),"مشهد")</f>
        <v>مشهد</v>
      </c>
      <c r="F1531" s="5"/>
      <c r="G1531" s="5"/>
      <c r="H1531" s="6" t="str">
        <f>IFERROR(__xludf.DUMMYFUNCTION("""COMPUTED_VALUE"""),"https://www.instagram.com/hosseinieh_fatemieh1393/")</f>
        <v>https://www.instagram.com/hosseinieh_fatemieh1393/</v>
      </c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</row>
    <row r="1532">
      <c r="A1532" s="5"/>
      <c r="B1532" s="5" t="str">
        <f>IFERROR(__xludf.DUMMYFUNCTION("""COMPUTED_VALUE"""),"هیأت")</f>
        <v>هیأت</v>
      </c>
      <c r="C1532" s="5" t="str">
        <f>IFERROR(__xludf.DUMMYFUNCTION("""COMPUTED_VALUE"""),"قائم آل محمد (عج)")</f>
        <v>قائم آل محمد (عج)</v>
      </c>
      <c r="D1532" s="5" t="str">
        <f>IFERROR(__xludf.DUMMYFUNCTION("""COMPUTED_VALUE"""),"خرسان رضوی")</f>
        <v>خرسان رضوی</v>
      </c>
      <c r="E1532" s="5" t="str">
        <f>IFERROR(__xludf.DUMMYFUNCTION("""COMPUTED_VALUE"""),"مشهد")</f>
        <v>مشهد</v>
      </c>
      <c r="F1532" s="5"/>
      <c r="G1532" s="5"/>
      <c r="H1532" s="6" t="str">
        <f>IFERROR(__xludf.DUMMYFUNCTION("""COMPUTED_VALUE"""),"https://www.instagram.com/qaeem_al_mohammad_135/")</f>
        <v>https://www.instagram.com/qaeem_al_mohammad_135/</v>
      </c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</row>
    <row r="1533">
      <c r="A1533" s="5"/>
      <c r="B1533" s="5" t="str">
        <f>IFERROR(__xludf.DUMMYFUNCTION("""COMPUTED_VALUE"""),"حسینیه")</f>
        <v>حسینیه</v>
      </c>
      <c r="C1533" s="5" t="str">
        <f>IFERROR(__xludf.DUMMYFUNCTION("""COMPUTED_VALUE"""),"ثارالله")</f>
        <v>ثارالله</v>
      </c>
      <c r="D1533" s="5" t="str">
        <f>IFERROR(__xludf.DUMMYFUNCTION("""COMPUTED_VALUE"""),"خرسان رضوی")</f>
        <v>خرسان رضوی</v>
      </c>
      <c r="E1533" s="5" t="str">
        <f>IFERROR(__xludf.DUMMYFUNCTION("""COMPUTED_VALUE"""),"مشهد")</f>
        <v>مشهد</v>
      </c>
      <c r="F1533" s="5"/>
      <c r="G1533" s="5"/>
      <c r="H1533" s="6" t="str">
        <f>IFERROR(__xludf.DUMMYFUNCTION("""COMPUTED_VALUE"""),"https://www.instagram.com/sarallahkosar/")</f>
        <v>https://www.instagram.com/sarallahkosar/</v>
      </c>
      <c r="I1533" s="6" t="str">
        <f>IFERROR(__xludf.DUMMYFUNCTION("""COMPUTED_VALUE"""),"t.me/sarallahkosar")</f>
        <v>t.me/sarallahkosar</v>
      </c>
      <c r="J1533" s="5"/>
      <c r="K1533" s="5"/>
      <c r="L1533" s="5"/>
      <c r="M1533" s="5"/>
      <c r="N1533" s="5"/>
      <c r="O1533" s="5"/>
      <c r="P1533" s="5"/>
      <c r="Q1533" s="5"/>
      <c r="R1533" s="5"/>
      <c r="S1533" s="5"/>
    </row>
    <row r="1534">
      <c r="A1534" s="5"/>
      <c r="B1534" s="5" t="str">
        <f>IFERROR(__xludf.DUMMYFUNCTION("""COMPUTED_VALUE"""),"هیأت")</f>
        <v>هیأت</v>
      </c>
      <c r="C1534" s="5" t="str">
        <f>IFERROR(__xludf.DUMMYFUNCTION("""COMPUTED_VALUE"""),"شیفتگان امام حسین (ع)")</f>
        <v>شیفتگان امام حسین (ع)</v>
      </c>
      <c r="D1534" s="5" t="str">
        <f>IFERROR(__xludf.DUMMYFUNCTION("""COMPUTED_VALUE"""),"خرسان رضوی")</f>
        <v>خرسان رضوی</v>
      </c>
      <c r="E1534" s="5" t="str">
        <f>IFERROR(__xludf.DUMMYFUNCTION("""COMPUTED_VALUE"""),"مشهد")</f>
        <v>مشهد</v>
      </c>
      <c r="F1534" s="5"/>
      <c r="G1534" s="5"/>
      <c r="H1534" s="6" t="str">
        <f>IFERROR(__xludf.DUMMYFUNCTION("""COMPUTED_VALUE"""),"https://www.instagram.com/shiftegan.ir/")</f>
        <v>https://www.instagram.com/shiftegan.ir/</v>
      </c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</row>
    <row r="1535">
      <c r="A1535" s="5"/>
      <c r="B1535" s="5" t="str">
        <f>IFERROR(__xludf.DUMMYFUNCTION("""COMPUTED_VALUE"""),"هیأت")</f>
        <v>هیأت</v>
      </c>
      <c r="C1535" s="5" t="str">
        <f>IFERROR(__xludf.DUMMYFUNCTION("""COMPUTED_VALUE"""),"امیرالمؤمنین")</f>
        <v>امیرالمؤمنین</v>
      </c>
      <c r="D1535" s="5" t="str">
        <f>IFERROR(__xludf.DUMMYFUNCTION("""COMPUTED_VALUE"""),"خرسان رضوی")</f>
        <v>خرسان رضوی</v>
      </c>
      <c r="E1535" s="5" t="str">
        <f>IFERROR(__xludf.DUMMYFUNCTION("""COMPUTED_VALUE"""),"مشهد")</f>
        <v>مشهد</v>
      </c>
      <c r="F1535" s="5"/>
      <c r="G1535" s="5"/>
      <c r="H1535" s="6" t="str">
        <f>IFERROR(__xludf.DUMMYFUNCTION("""COMPUTED_VALUE"""),"https://www.instagram.com/heyateamiralmomenin110/")</f>
        <v>https://www.instagram.com/heyateamiralmomenin110/</v>
      </c>
      <c r="I1535" s="6" t="str">
        <f>IFERROR(__xludf.DUMMYFUNCTION("""COMPUTED_VALUE"""),"t.me/heyateamiralmomnin")</f>
        <v>t.me/heyateamiralmomnin</v>
      </c>
      <c r="J1535" s="5"/>
      <c r="K1535" s="5"/>
      <c r="L1535" s="5"/>
      <c r="M1535" s="5"/>
      <c r="N1535" s="5"/>
      <c r="O1535" s="5"/>
      <c r="P1535" s="5"/>
      <c r="Q1535" s="5"/>
      <c r="R1535" s="5"/>
      <c r="S1535" s="5"/>
    </row>
    <row r="1536">
      <c r="A1536" s="5"/>
      <c r="B1536" s="5" t="str">
        <f>IFERROR(__xludf.DUMMYFUNCTION("""COMPUTED_VALUE"""),"هیأت")</f>
        <v>هیأت</v>
      </c>
      <c r="C1536" s="5" t="str">
        <f>IFERROR(__xludf.DUMMYFUNCTION("""COMPUTED_VALUE"""),"نوجوانان فاطمیون")</f>
        <v>نوجوانان فاطمیون</v>
      </c>
      <c r="D1536" s="5" t="str">
        <f>IFERROR(__xludf.DUMMYFUNCTION("""COMPUTED_VALUE"""),"خرسان رضوی")</f>
        <v>خرسان رضوی</v>
      </c>
      <c r="E1536" s="5" t="str">
        <f>IFERROR(__xludf.DUMMYFUNCTION("""COMPUTED_VALUE"""),"بردسکن")</f>
        <v>بردسکن</v>
      </c>
      <c r="F1536" s="5"/>
      <c r="G1536" s="5"/>
      <c r="H1536" s="6" t="str">
        <f>IFERROR(__xludf.DUMMYFUNCTION("""COMPUTED_VALUE"""),"https://www.instagram.com/fatemiyon_bist_litriha/")</f>
        <v>https://www.instagram.com/fatemiyon_bist_litriha/</v>
      </c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</row>
    <row r="1537">
      <c r="A1537" s="5"/>
      <c r="B1537" s="5" t="str">
        <f>IFERROR(__xludf.DUMMYFUNCTION("""COMPUTED_VALUE"""),"هیأت")</f>
        <v>هیأت</v>
      </c>
      <c r="C1537" s="5" t="str">
        <f>IFERROR(__xludf.DUMMYFUNCTION("""COMPUTED_VALUE"""),"جامعة الشهدا")</f>
        <v>جامعة الشهدا</v>
      </c>
      <c r="D1537" s="5" t="str">
        <f>IFERROR(__xludf.DUMMYFUNCTION("""COMPUTED_VALUE"""),"خرسان رضوی")</f>
        <v>خرسان رضوی</v>
      </c>
      <c r="E1537" s="5" t="str">
        <f>IFERROR(__xludf.DUMMYFUNCTION("""COMPUTED_VALUE"""),"گلبهار")</f>
        <v>گلبهار</v>
      </c>
      <c r="F1537" s="5"/>
      <c r="G1537" s="5"/>
      <c r="H1537" s="6" t="str">
        <f>IFERROR(__xludf.DUMMYFUNCTION("""COMPUTED_VALUE"""),"https://www.instagram.com/jamatoalshohada/")</f>
        <v>https://www.instagram.com/jamatoalshohada/</v>
      </c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</row>
    <row r="1538">
      <c r="A1538" s="5"/>
      <c r="B1538" s="5" t="str">
        <f>IFERROR(__xludf.DUMMYFUNCTION("""COMPUTED_VALUE"""),"هیأت")</f>
        <v>هیأت</v>
      </c>
      <c r="C1538" s="5" t="str">
        <f>IFERROR(__xludf.DUMMYFUNCTION("""COMPUTED_VALUE"""),"منتظران مهدی (عج)")</f>
        <v>منتظران مهدی (عج)</v>
      </c>
      <c r="D1538" s="5" t="str">
        <f>IFERROR(__xludf.DUMMYFUNCTION("""COMPUTED_VALUE"""),"خرسان رضوی")</f>
        <v>خرسان رضوی</v>
      </c>
      <c r="E1538" s="5" t="str">
        <f>IFERROR(__xludf.DUMMYFUNCTION("""COMPUTED_VALUE"""),"مشهد")</f>
        <v>مشهد</v>
      </c>
      <c r="F1538" s="5"/>
      <c r="G1538" s="5"/>
      <c r="H1538" s="6" t="str">
        <f>IFERROR(__xludf.DUMMYFUNCTION("""COMPUTED_VALUE"""),"https://www.instagram.com/montazeran_mahdi_org/")</f>
        <v>https://www.instagram.com/montazeran_mahdi_org/</v>
      </c>
      <c r="I1538" s="6" t="str">
        <f>IFERROR(__xludf.DUMMYFUNCTION("""COMPUTED_VALUE"""),"t.me/Motazeranmahdi_31")</f>
        <v>t.me/Motazeranmahdi_31</v>
      </c>
      <c r="J1538" s="5"/>
      <c r="K1538" s="5"/>
      <c r="L1538" s="5"/>
      <c r="M1538" s="5"/>
      <c r="N1538" s="5"/>
      <c r="O1538" s="5"/>
      <c r="P1538" s="5"/>
      <c r="Q1538" s="5"/>
      <c r="R1538" s="5"/>
      <c r="S1538" s="5"/>
    </row>
    <row r="1539">
      <c r="A1539" s="5"/>
      <c r="B1539" s="5" t="str">
        <f>IFERROR(__xludf.DUMMYFUNCTION("""COMPUTED_VALUE"""),"هیأت")</f>
        <v>هیأت</v>
      </c>
      <c r="C1539" s="5" t="str">
        <f>IFERROR(__xludf.DUMMYFUNCTION("""COMPUTED_VALUE"""),"محبین الصادق")</f>
        <v>محبین الصادق</v>
      </c>
      <c r="D1539" s="5" t="str">
        <f>IFERROR(__xludf.DUMMYFUNCTION("""COMPUTED_VALUE"""),"خرسان رضوی")</f>
        <v>خرسان رضوی</v>
      </c>
      <c r="E1539" s="5" t="str">
        <f>IFERROR(__xludf.DUMMYFUNCTION("""COMPUTED_VALUE"""),"مشهد")</f>
        <v>مشهد</v>
      </c>
      <c r="F1539" s="5"/>
      <c r="G1539" s="5"/>
      <c r="H1539" s="5"/>
      <c r="I1539" s="5"/>
      <c r="J1539" s="6" t="str">
        <f>IFERROR(__xludf.DUMMYFUNCTION("""COMPUTED_VALUE"""),"https://eitaa.com/mohebinsadegh")</f>
        <v>https://eitaa.com/mohebinsadegh</v>
      </c>
      <c r="K1539" s="5"/>
      <c r="L1539" s="5"/>
      <c r="M1539" s="5"/>
      <c r="N1539" s="5"/>
      <c r="O1539" s="5"/>
      <c r="P1539" s="5"/>
      <c r="Q1539" s="5"/>
      <c r="R1539" s="5"/>
      <c r="S1539" s="5"/>
    </row>
    <row r="1540">
      <c r="A1540" s="5"/>
      <c r="B1540" s="5" t="str">
        <f>IFERROR(__xludf.DUMMYFUNCTION("""COMPUTED_VALUE"""),"هیأت")</f>
        <v>هیأت</v>
      </c>
      <c r="C1540" s="5" t="str">
        <f>IFERROR(__xludf.DUMMYFUNCTION("""COMPUTED_VALUE"""),"متوسلین به حضرت ولی عصر ارواحنافداه")</f>
        <v>متوسلین به حضرت ولی عصر ارواحنافداه</v>
      </c>
      <c r="D1540" s="5" t="str">
        <f>IFERROR(__xludf.DUMMYFUNCTION("""COMPUTED_VALUE"""),"خرسان رضوی")</f>
        <v>خرسان رضوی</v>
      </c>
      <c r="E1540" s="5" t="str">
        <f>IFERROR(__xludf.DUMMYFUNCTION("""COMPUTED_VALUE"""),"مشهد")</f>
        <v>مشهد</v>
      </c>
      <c r="F1540" s="5"/>
      <c r="G1540" s="5"/>
      <c r="H1540" s="6" t="str">
        <f>IFERROR(__xludf.DUMMYFUNCTION("""COMPUTED_VALUE"""),"https://www.instagram.com/motvaslin1379")</f>
        <v>https://www.instagram.com/motvaslin1379</v>
      </c>
      <c r="I1540" s="5"/>
      <c r="J1540" s="6" t="str">
        <f>IFERROR(__xludf.DUMMYFUNCTION("""COMPUTED_VALUE"""),"https://eitaa.com/motvaslin")</f>
        <v>https://eitaa.com/motvaslin</v>
      </c>
      <c r="K1540" s="5"/>
      <c r="L1540" s="5"/>
      <c r="M1540" s="5"/>
      <c r="N1540" s="5"/>
      <c r="O1540" s="5"/>
      <c r="P1540" s="5"/>
      <c r="Q1540" s="5"/>
      <c r="R1540" s="5"/>
      <c r="S1540" s="5"/>
    </row>
    <row r="1541">
      <c r="A1541" s="5"/>
      <c r="B1541" s="5" t="str">
        <f>IFERROR(__xludf.DUMMYFUNCTION("""COMPUTED_VALUE"""),"موکب")</f>
        <v>موکب</v>
      </c>
      <c r="C1541" s="5" t="str">
        <f>IFERROR(__xludf.DUMMYFUNCTION("""COMPUTED_VALUE"""),"الامام الرضا")</f>
        <v>الامام الرضا</v>
      </c>
      <c r="D1541" s="5" t="str">
        <f>IFERROR(__xludf.DUMMYFUNCTION("""COMPUTED_VALUE"""),"خرسان رضوی")</f>
        <v>خرسان رضوی</v>
      </c>
      <c r="E1541" s="5" t="str">
        <f>IFERROR(__xludf.DUMMYFUNCTION("""COMPUTED_VALUE"""),"مشهد")</f>
        <v>مشهد</v>
      </c>
      <c r="F1541" s="5"/>
      <c r="G1541" s="5"/>
      <c r="H1541" s="5"/>
      <c r="I1541" s="5"/>
      <c r="J1541" s="6" t="str">
        <f>IFERROR(__xludf.DUMMYFUNCTION("""COMPUTED_VALUE"""),"https://eitaa.com/mokeb_imamareza")</f>
        <v>https://eitaa.com/mokeb_imamareza</v>
      </c>
      <c r="K1541" s="5"/>
      <c r="L1541" s="5"/>
      <c r="M1541" s="5"/>
      <c r="N1541" s="5"/>
      <c r="O1541" s="5"/>
      <c r="P1541" s="5"/>
      <c r="Q1541" s="5"/>
      <c r="R1541" s="5"/>
      <c r="S1541" s="5"/>
    </row>
    <row r="1542">
      <c r="A1542" s="5"/>
      <c r="B1542" s="5" t="str">
        <f>IFERROR(__xludf.DUMMYFUNCTION("""COMPUTED_VALUE"""),"مسجد")</f>
        <v>مسجد</v>
      </c>
      <c r="C1542" s="5" t="str">
        <f>IFERROR(__xludf.DUMMYFUNCTION("""COMPUTED_VALUE"""),"مسجد امام حسین (محبان المهدی)")</f>
        <v>مسجد امام حسین (محبان المهدی)</v>
      </c>
      <c r="D1542" s="5" t="str">
        <f>IFERROR(__xludf.DUMMYFUNCTION("""COMPUTED_VALUE"""),"خرسان رضوی")</f>
        <v>خرسان رضوی</v>
      </c>
      <c r="E1542" s="5" t="str">
        <f>IFERROR(__xludf.DUMMYFUNCTION("""COMPUTED_VALUE"""),"مشهد")</f>
        <v>مشهد</v>
      </c>
      <c r="F1542" s="5"/>
      <c r="G1542" s="5"/>
      <c r="H1542" s="5"/>
      <c r="I1542" s="5"/>
      <c r="J1542" s="6" t="str">
        <f>IFERROR(__xludf.DUMMYFUNCTION("""COMPUTED_VALUE"""),"https://eitaa.com/Mohebbanalmahdi73")</f>
        <v>https://eitaa.com/Mohebbanalmahdi73</v>
      </c>
      <c r="K1542" s="5"/>
      <c r="L1542" s="5"/>
      <c r="M1542" s="5"/>
      <c r="N1542" s="5"/>
      <c r="O1542" s="5"/>
      <c r="P1542" s="5"/>
      <c r="Q1542" s="5"/>
      <c r="R1542" s="5"/>
      <c r="S1542" s="5"/>
    </row>
    <row r="1543">
      <c r="A1543" s="5"/>
      <c r="B1543" s="5" t="str">
        <f>IFERROR(__xludf.DUMMYFUNCTION("""COMPUTED_VALUE"""),"هیأت")</f>
        <v>هیأت</v>
      </c>
      <c r="C1543" s="5" t="str">
        <f>IFERROR(__xludf.DUMMYFUNCTION("""COMPUTED_VALUE"""),"روضه الحسین (ع) مشهد الرضا")</f>
        <v>روضه الحسین (ع) مشهد الرضا</v>
      </c>
      <c r="D1543" s="5" t="str">
        <f>IFERROR(__xludf.DUMMYFUNCTION("""COMPUTED_VALUE"""),"خرسان رضوی")</f>
        <v>خرسان رضوی</v>
      </c>
      <c r="E1543" s="5" t="str">
        <f>IFERROR(__xludf.DUMMYFUNCTION("""COMPUTED_VALUE"""),"مشهد")</f>
        <v>مشهد</v>
      </c>
      <c r="F1543" s="5"/>
      <c r="G1543" s="5"/>
      <c r="H1543" s="5"/>
      <c r="I1543" s="5"/>
      <c r="J1543" s="6" t="str">
        <f>IFERROR(__xludf.DUMMYFUNCTION("""COMPUTED_VALUE"""),"https://eitaa.com/rozatolhosein_mashhad")</f>
        <v>https://eitaa.com/rozatolhosein_mashhad</v>
      </c>
      <c r="K1543" s="5"/>
      <c r="L1543" s="5"/>
      <c r="M1543" s="5"/>
      <c r="N1543" s="5"/>
      <c r="O1543" s="5"/>
      <c r="P1543" s="5"/>
      <c r="Q1543" s="5"/>
      <c r="R1543" s="5"/>
      <c r="S1543" s="5"/>
    </row>
    <row r="1544">
      <c r="A1544" s="5"/>
      <c r="B1544" s="5" t="str">
        <f>IFERROR(__xludf.DUMMYFUNCTION("""COMPUTED_VALUE"""),"هیأت")</f>
        <v>هیأت</v>
      </c>
      <c r="C1544" s="5" t="str">
        <f>IFERROR(__xludf.DUMMYFUNCTION("""COMPUTED_VALUE"""),"حضرت اباالفضل علیه السلام دهسرخ")</f>
        <v>حضرت اباالفضل علیه السلام دهسرخ</v>
      </c>
      <c r="D1544" s="5" t="str">
        <f>IFERROR(__xludf.DUMMYFUNCTION("""COMPUTED_VALUE"""),"خرسان رضوی")</f>
        <v>خرسان رضوی</v>
      </c>
      <c r="E1544" s="5" t="str">
        <f>IFERROR(__xludf.DUMMYFUNCTION("""COMPUTED_VALUE"""),"مشهد")</f>
        <v>مشهد</v>
      </c>
      <c r="F1544" s="5"/>
      <c r="G1544" s="5"/>
      <c r="H1544" s="5"/>
      <c r="I1544" s="5"/>
      <c r="J1544" s="6" t="str">
        <f>IFERROR(__xludf.DUMMYFUNCTION("""COMPUTED_VALUE"""),"https://eitaa.com/heyat_abalfazl_dehsorkh")</f>
        <v>https://eitaa.com/heyat_abalfazl_dehsorkh</v>
      </c>
      <c r="K1544" s="5"/>
      <c r="L1544" s="5"/>
      <c r="M1544" s="5"/>
      <c r="N1544" s="5"/>
      <c r="O1544" s="5"/>
      <c r="P1544" s="5"/>
      <c r="Q1544" s="5"/>
      <c r="R1544" s="5"/>
      <c r="S1544" s="5"/>
    </row>
    <row r="1545">
      <c r="A1545" s="5"/>
      <c r="B1545" s="5" t="str">
        <f>IFERROR(__xludf.DUMMYFUNCTION("""COMPUTED_VALUE"""),"هیأت")</f>
        <v>هیأت</v>
      </c>
      <c r="C1545" s="5" t="str">
        <f>IFERROR(__xludf.DUMMYFUNCTION("""COMPUTED_VALUE"""),"منتظران ظهور")</f>
        <v>منتظران ظهور</v>
      </c>
      <c r="D1545" s="5" t="str">
        <f>IFERROR(__xludf.DUMMYFUNCTION("""COMPUTED_VALUE"""),"خرسان رضوی")</f>
        <v>خرسان رضوی</v>
      </c>
      <c r="E1545" s="5" t="str">
        <f>IFERROR(__xludf.DUMMYFUNCTION("""COMPUTED_VALUE"""),"نیشابور")</f>
        <v>نیشابور</v>
      </c>
      <c r="F1545" s="5"/>
      <c r="G1545" s="5"/>
      <c r="H1545" s="5"/>
      <c r="I1545" s="5"/>
      <c r="J1545" s="6" t="str">
        <f>IFERROR(__xludf.DUMMYFUNCTION("""COMPUTED_VALUE"""),"https://eitaa.com/montazeranzohor_n")</f>
        <v>https://eitaa.com/montazeranzohor_n</v>
      </c>
      <c r="K1545" s="5"/>
      <c r="L1545" s="5"/>
      <c r="M1545" s="5"/>
      <c r="N1545" s="5"/>
      <c r="O1545" s="5"/>
      <c r="P1545" s="5"/>
      <c r="Q1545" s="5"/>
      <c r="R1545" s="5"/>
      <c r="S1545" s="5"/>
    </row>
    <row r="1546">
      <c r="A1546" s="5"/>
      <c r="B1546" s="5" t="str">
        <f>IFERROR(__xludf.DUMMYFUNCTION("""COMPUTED_VALUE"""),"هیأت")</f>
        <v>هیأت</v>
      </c>
      <c r="C1546" s="5" t="str">
        <f>IFERROR(__xludf.DUMMYFUNCTION("""COMPUTED_VALUE"""),"کریم اهل بیت")</f>
        <v>کریم اهل بیت</v>
      </c>
      <c r="D1546" s="5" t="str">
        <f>IFERROR(__xludf.DUMMYFUNCTION("""COMPUTED_VALUE"""),"خرسان رضوی")</f>
        <v>خرسان رضوی</v>
      </c>
      <c r="E1546" s="5" t="str">
        <f>IFERROR(__xludf.DUMMYFUNCTION("""COMPUTED_VALUE"""),"مشهد")</f>
        <v>مشهد</v>
      </c>
      <c r="F1546" s="5"/>
      <c r="G1546" s="5"/>
      <c r="H1546" s="5"/>
      <c r="I1546" s="5"/>
      <c r="J1546" s="6" t="str">
        <f>IFERROR(__xludf.DUMMYFUNCTION("""COMPUTED_VALUE"""),"https://eitaa.com/karimahlebeet")</f>
        <v>https://eitaa.com/karimahlebeet</v>
      </c>
      <c r="K1546" s="5"/>
      <c r="L1546" s="5"/>
      <c r="M1546" s="5"/>
      <c r="N1546" s="5"/>
      <c r="O1546" s="5"/>
      <c r="P1546" s="5"/>
      <c r="Q1546" s="5"/>
      <c r="R1546" s="5"/>
      <c r="S1546" s="5"/>
    </row>
    <row r="1547">
      <c r="A1547" s="5"/>
      <c r="B1547" s="5" t="str">
        <f>IFERROR(__xludf.DUMMYFUNCTION("""COMPUTED_VALUE"""),"حسینیه")</f>
        <v>حسینیه</v>
      </c>
      <c r="C1547" s="5" t="str">
        <f>IFERROR(__xludf.DUMMYFUNCTION("""COMPUTED_VALUE"""),"امام رضا فروشانی ها مشهد مقدس")</f>
        <v>امام رضا فروشانی ها مشهد مقدس</v>
      </c>
      <c r="D1547" s="5" t="str">
        <f>IFERROR(__xludf.DUMMYFUNCTION("""COMPUTED_VALUE"""),"خرسان رضوی")</f>
        <v>خرسان رضوی</v>
      </c>
      <c r="E1547" s="5" t="str">
        <f>IFERROR(__xludf.DUMMYFUNCTION("""COMPUTED_VALUE"""),"مشهد")</f>
        <v>مشهد</v>
      </c>
      <c r="F1547" s="5"/>
      <c r="G1547" s="5"/>
      <c r="H1547" s="5"/>
      <c r="I1547" s="5"/>
      <c r="J1547" s="6" t="str">
        <f>IFERROR(__xludf.DUMMYFUNCTION("""COMPUTED_VALUE"""),"https://eitaa.com/Hosseinie_forushaniha_Mashhad")</f>
        <v>https://eitaa.com/Hosseinie_forushaniha_Mashhad</v>
      </c>
      <c r="K1547" s="5"/>
      <c r="L1547" s="5"/>
      <c r="M1547" s="5"/>
      <c r="N1547" s="5"/>
      <c r="O1547" s="5"/>
      <c r="P1547" s="5"/>
      <c r="Q1547" s="5"/>
      <c r="R1547" s="5"/>
      <c r="S1547" s="5"/>
    </row>
    <row r="1548">
      <c r="A1548" s="5"/>
      <c r="B1548" s="5" t="str">
        <f>IFERROR(__xludf.DUMMYFUNCTION("""COMPUTED_VALUE"""),"هیأت")</f>
        <v>هیأت</v>
      </c>
      <c r="C1548" s="5" t="str">
        <f>IFERROR(__xludf.DUMMYFUNCTION("""COMPUTED_VALUE"""),"انصار الحسین ")</f>
        <v>انصار الحسین </v>
      </c>
      <c r="D1548" s="5" t="str">
        <f>IFERROR(__xludf.DUMMYFUNCTION("""COMPUTED_VALUE"""),"خرسان رضوی")</f>
        <v>خرسان رضوی</v>
      </c>
      <c r="E1548" s="5" t="str">
        <f>IFERROR(__xludf.DUMMYFUNCTION("""COMPUTED_VALUE"""),"داورزن")</f>
        <v>داورزن</v>
      </c>
      <c r="F1548" s="5"/>
      <c r="G1548" s="5"/>
      <c r="H1548" s="5"/>
      <c r="I1548" s="5"/>
      <c r="J1548" s="6" t="str">
        <f>IFERROR(__xludf.DUMMYFUNCTION("""COMPUTED_VALUE"""),"https://eitaa.com/ansarhoseindavarzan")</f>
        <v>https://eitaa.com/ansarhoseindavarzan</v>
      </c>
      <c r="K1548" s="5"/>
      <c r="L1548" s="5"/>
      <c r="M1548" s="5"/>
      <c r="N1548" s="5"/>
      <c r="O1548" s="5"/>
      <c r="P1548" s="5"/>
      <c r="Q1548" s="5"/>
      <c r="R1548" s="5"/>
      <c r="S1548" s="5"/>
    </row>
    <row r="1549">
      <c r="A1549" s="5"/>
      <c r="B1549" s="5" t="str">
        <f>IFERROR(__xludf.DUMMYFUNCTION("""COMPUTED_VALUE"""),"هیأت")</f>
        <v>هیأت</v>
      </c>
      <c r="C1549" s="5" t="str">
        <f>IFERROR(__xludf.DUMMYFUNCTION("""COMPUTED_VALUE"""),"مجمع انصار الحسین")</f>
        <v>مجمع انصار الحسین</v>
      </c>
      <c r="D1549" s="5" t="str">
        <f>IFERROR(__xludf.DUMMYFUNCTION("""COMPUTED_VALUE"""),"خرسان رضوی")</f>
        <v>خرسان رضوی</v>
      </c>
      <c r="E1549" s="5" t="str">
        <f>IFERROR(__xludf.DUMMYFUNCTION("""COMPUTED_VALUE"""),"نیشابور")</f>
        <v>نیشابور</v>
      </c>
      <c r="F1549" s="5"/>
      <c r="G1549" s="5"/>
      <c r="H1549" s="5"/>
      <c r="I1549" s="5"/>
      <c r="J1549" s="6" t="str">
        <f>IFERROR(__xludf.DUMMYFUNCTION("""COMPUTED_VALUE"""),"https://eitaa.com/ansaralhoseinney")</f>
        <v>https://eitaa.com/ansaralhoseinney</v>
      </c>
      <c r="K1549" s="5"/>
      <c r="L1549" s="5"/>
      <c r="M1549" s="5"/>
      <c r="N1549" s="5"/>
      <c r="O1549" s="5"/>
      <c r="P1549" s="5"/>
      <c r="Q1549" s="5"/>
      <c r="R1549" s="5"/>
      <c r="S1549" s="5"/>
    </row>
    <row r="1550">
      <c r="A1550" s="5"/>
      <c r="B1550" s="5" t="str">
        <f>IFERROR(__xludf.DUMMYFUNCTION("""COMPUTED_VALUE"""),"هیأت")</f>
        <v>هیأت</v>
      </c>
      <c r="C1550" s="5" t="str">
        <f>IFERROR(__xludf.DUMMYFUNCTION("""COMPUTED_VALUE"""),"ابوالفضلی")</f>
        <v>ابوالفضلی</v>
      </c>
      <c r="D1550" s="5" t="str">
        <f>IFERROR(__xludf.DUMMYFUNCTION("""COMPUTED_VALUE"""),"خرسان رضوی")</f>
        <v>خرسان رضوی</v>
      </c>
      <c r="E1550" s="5" t="str">
        <f>IFERROR(__xludf.DUMMYFUNCTION("""COMPUTED_VALUE"""),"بردسکن")</f>
        <v>بردسکن</v>
      </c>
      <c r="F1550" s="5"/>
      <c r="G1550" s="5"/>
      <c r="H1550" s="6" t="str">
        <f>IFERROR(__xludf.DUMMYFUNCTION("""COMPUTED_VALUE"""),"https://www.instagram.com/abolfazli_bardaskan.1370/")</f>
        <v>https://www.instagram.com/abolfazli_bardaskan.1370/</v>
      </c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</row>
    <row r="1551">
      <c r="A1551" s="5"/>
      <c r="B1551" s="5" t="str">
        <f>IFERROR(__xludf.DUMMYFUNCTION("""COMPUTED_VALUE"""),"هیأت")</f>
        <v>هیأت</v>
      </c>
      <c r="C1551" s="5" t="str">
        <f>IFERROR(__xludf.DUMMYFUNCTION("""COMPUTED_VALUE"""),"خدمتگزاران")</f>
        <v>خدمتگزاران</v>
      </c>
      <c r="D1551" s="5" t="str">
        <f>IFERROR(__xludf.DUMMYFUNCTION("""COMPUTED_VALUE"""),"خرسان رضوی")</f>
        <v>خرسان رضوی</v>
      </c>
      <c r="E1551" s="5" t="str">
        <f>IFERROR(__xludf.DUMMYFUNCTION("""COMPUTED_VALUE"""),"مشهد")</f>
        <v>مشهد</v>
      </c>
      <c r="F1551" s="5"/>
      <c r="G1551" s="5"/>
      <c r="H1551" s="6" t="str">
        <f>IFERROR(__xludf.DUMMYFUNCTION("""COMPUTED_VALUE"""),"https://www.instagram.com/khedmatgozaran__shop/")</f>
        <v>https://www.instagram.com/khedmatgozaran__shop/</v>
      </c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</row>
    <row r="1552">
      <c r="A1552" s="5"/>
      <c r="B1552" s="5" t="str">
        <f>IFERROR(__xludf.DUMMYFUNCTION("""COMPUTED_VALUE"""),"هیأت")</f>
        <v>هیأت</v>
      </c>
      <c r="C1552" s="5" t="str">
        <f>IFERROR(__xludf.DUMMYFUNCTION("""COMPUTED_VALUE"""),"روضة الرقیه")</f>
        <v>روضة الرقیه</v>
      </c>
      <c r="D1552" s="5" t="str">
        <f>IFERROR(__xludf.DUMMYFUNCTION("""COMPUTED_VALUE"""),"خرسان رضوی")</f>
        <v>خرسان رضوی</v>
      </c>
      <c r="E1552" s="5" t="str">
        <f>IFERROR(__xludf.DUMMYFUNCTION("""COMPUTED_VALUE"""),"مشهد")</f>
        <v>مشهد</v>
      </c>
      <c r="F1552" s="5"/>
      <c r="G1552" s="5"/>
      <c r="H1552" s="6" t="str">
        <f>IFERROR(__xludf.DUMMYFUNCTION("""COMPUTED_VALUE"""),"https://www.instagram.com/rozatolroghaye/")</f>
        <v>https://www.instagram.com/rozatolroghaye/</v>
      </c>
      <c r="I1552" s="6" t="str">
        <f>IFERROR(__xludf.DUMMYFUNCTION("""COMPUTED_VALUE"""),"t.me/HarimEshgh")</f>
        <v>t.me/HarimEshgh</v>
      </c>
      <c r="J1552" s="5"/>
      <c r="K1552" s="5"/>
      <c r="L1552" s="5"/>
      <c r="M1552" s="5"/>
      <c r="N1552" s="5"/>
      <c r="O1552" s="5"/>
      <c r="P1552" s="5"/>
      <c r="Q1552" s="5"/>
      <c r="R1552" s="5"/>
      <c r="S1552" s="5"/>
    </row>
    <row r="1553">
      <c r="A1553" s="5"/>
      <c r="B1553" s="5" t="str">
        <f>IFERROR(__xludf.DUMMYFUNCTION("""COMPUTED_VALUE"""),"هیأت")</f>
        <v>هیأت</v>
      </c>
      <c r="C1553" s="5" t="str">
        <f>IFERROR(__xludf.DUMMYFUNCTION("""COMPUTED_VALUE"""),"بیت الزهرا")</f>
        <v>بیت الزهرا</v>
      </c>
      <c r="D1553" s="5" t="str">
        <f>IFERROR(__xludf.DUMMYFUNCTION("""COMPUTED_VALUE"""),"خرسان رضوی")</f>
        <v>خرسان رضوی</v>
      </c>
      <c r="E1553" s="5" t="str">
        <f>IFERROR(__xludf.DUMMYFUNCTION("""COMPUTED_VALUE"""),"مشهد")</f>
        <v>مشهد</v>
      </c>
      <c r="F1553" s="5"/>
      <c r="G1553" s="5"/>
      <c r="H1553" s="6" t="str">
        <f>IFERROR(__xludf.DUMMYFUNCTION("""COMPUTED_VALUE"""),"https://www.instagram.com/bey.tozahra/")</f>
        <v>https://www.instagram.com/bey.tozahra/</v>
      </c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</row>
    <row r="1554">
      <c r="A1554" s="5"/>
      <c r="B1554" s="5" t="str">
        <f>IFERROR(__xludf.DUMMYFUNCTION("""COMPUTED_VALUE"""),"هیأت")</f>
        <v>هیأت</v>
      </c>
      <c r="C1554" s="5" t="str">
        <f>IFERROR(__xludf.DUMMYFUNCTION("""COMPUTED_VALUE"""),"رزمندگان")</f>
        <v>رزمندگان</v>
      </c>
      <c r="D1554" s="5" t="str">
        <f>IFERROR(__xludf.DUMMYFUNCTION("""COMPUTED_VALUE"""),"خرسان رضوی")</f>
        <v>خرسان رضوی</v>
      </c>
      <c r="E1554" s="5" t="str">
        <f>IFERROR(__xludf.DUMMYFUNCTION("""COMPUTED_VALUE"""),"مه ولات")</f>
        <v>مه ولات</v>
      </c>
      <c r="F1554" s="5"/>
      <c r="G1554" s="5"/>
      <c r="H1554" s="6" t="str">
        <f>IFERROR(__xludf.DUMMYFUNCTION("""COMPUTED_VALUE"""),"https://www.instagram.com/razmandegan.mahvelat/")</f>
        <v>https://www.instagram.com/razmandegan.mahvelat/</v>
      </c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</row>
    <row r="1555">
      <c r="A1555" s="5"/>
      <c r="B1555" s="5" t="str">
        <f>IFERROR(__xludf.DUMMYFUNCTION("""COMPUTED_VALUE"""),"هیأت")</f>
        <v>هیأت</v>
      </c>
      <c r="C1555" s="5" t="str">
        <f>IFERROR(__xludf.DUMMYFUNCTION("""COMPUTED_VALUE"""),"ابوالفضلی (ع)")</f>
        <v>ابوالفضلی (ع)</v>
      </c>
      <c r="D1555" s="5" t="str">
        <f>IFERROR(__xludf.DUMMYFUNCTION("""COMPUTED_VALUE"""),"خرسان رضوی")</f>
        <v>خرسان رضوی</v>
      </c>
      <c r="E1555" s="5" t="str">
        <f>IFERROR(__xludf.DUMMYFUNCTION("""COMPUTED_VALUE"""),"قوچان")</f>
        <v>قوچان</v>
      </c>
      <c r="F1555" s="5"/>
      <c r="G1555" s="5"/>
      <c r="H1555" s="6" t="str">
        <f>IFERROR(__xludf.DUMMYFUNCTION("""COMPUTED_VALUE"""),"https://www.instagram.com/musavi_quchani/")</f>
        <v>https://www.instagram.com/musavi_quchani/</v>
      </c>
      <c r="I1555" s="5"/>
      <c r="J1555" s="6" t="str">
        <f>IFERROR(__xludf.DUMMYFUNCTION("""COMPUTED_VALUE"""),"rubika.ir/musavi_quchani")</f>
        <v>rubika.ir/musavi_quchani</v>
      </c>
      <c r="K1555" s="5"/>
      <c r="L1555" s="5"/>
      <c r="M1555" s="5"/>
      <c r="N1555" s="5"/>
      <c r="O1555" s="5"/>
      <c r="P1555" s="5"/>
      <c r="Q1555" s="5"/>
      <c r="R1555" s="5"/>
      <c r="S1555" s="5"/>
    </row>
    <row r="1556">
      <c r="A1556" s="5"/>
      <c r="B1556" s="5" t="str">
        <f>IFERROR(__xludf.DUMMYFUNCTION("""COMPUTED_VALUE"""),"هیأت")</f>
        <v>هیأت</v>
      </c>
      <c r="C1556" s="5" t="str">
        <f>IFERROR(__xludf.DUMMYFUNCTION("""COMPUTED_VALUE"""),"بین الحرمین")</f>
        <v>بین الحرمین</v>
      </c>
      <c r="D1556" s="5" t="str">
        <f>IFERROR(__xludf.DUMMYFUNCTION("""COMPUTED_VALUE"""),"خرسان رضوی")</f>
        <v>خرسان رضوی</v>
      </c>
      <c r="E1556" s="5" t="str">
        <f>IFERROR(__xludf.DUMMYFUNCTION("""COMPUTED_VALUE"""),"نیشابور")</f>
        <v>نیشابور</v>
      </c>
      <c r="F1556" s="5"/>
      <c r="G1556" s="5"/>
      <c r="H1556" s="6" t="str">
        <f>IFERROR(__xludf.DUMMYFUNCTION("""COMPUTED_VALUE"""),"https://www.instagram.com/beynalharamein_ney/")</f>
        <v>https://www.instagram.com/beynalharamein_ney/</v>
      </c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</row>
    <row r="1557">
      <c r="A1557" s="5"/>
      <c r="B1557" s="5" t="str">
        <f>IFERROR(__xludf.DUMMYFUNCTION("""COMPUTED_VALUE"""),"هیأت")</f>
        <v>هیأت</v>
      </c>
      <c r="C1557" s="5" t="str">
        <f>IFERROR(__xludf.DUMMYFUNCTION("""COMPUTED_VALUE"""),"حضرت رسول")</f>
        <v>حضرت رسول</v>
      </c>
      <c r="D1557" s="5" t="str">
        <f>IFERROR(__xludf.DUMMYFUNCTION("""COMPUTED_VALUE"""),"خرسان رضوی")</f>
        <v>خرسان رضوی</v>
      </c>
      <c r="E1557" s="5" t="str">
        <f>IFERROR(__xludf.DUMMYFUNCTION("""COMPUTED_VALUE"""),"نیشابور")</f>
        <v>نیشابور</v>
      </c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</row>
    <row r="1558">
      <c r="A1558" s="5"/>
      <c r="B1558" s="5" t="str">
        <f>IFERROR(__xludf.DUMMYFUNCTION("""COMPUTED_VALUE"""),"هیأت")</f>
        <v>هیأت</v>
      </c>
      <c r="C1558" s="5" t="str">
        <f>IFERROR(__xludf.DUMMYFUNCTION("""COMPUTED_VALUE"""),"حیدریون")</f>
        <v>حیدریون</v>
      </c>
      <c r="D1558" s="5" t="str">
        <f>IFERROR(__xludf.DUMMYFUNCTION("""COMPUTED_VALUE"""),"خرسان رضوی")</f>
        <v>خرسان رضوی</v>
      </c>
      <c r="E1558" s="5" t="str">
        <f>IFERROR(__xludf.DUMMYFUNCTION("""COMPUTED_VALUE"""),"مشهد")</f>
        <v>مشهد</v>
      </c>
      <c r="F1558" s="5"/>
      <c r="G1558" s="5"/>
      <c r="H1558" s="6" t="str">
        <f>IFERROR(__xludf.DUMMYFUNCTION("""COMPUTED_VALUE"""),"https://www.instagram.com/heydarion_mashhad/")</f>
        <v>https://www.instagram.com/heydarion_mashhad/</v>
      </c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</row>
    <row r="1559">
      <c r="A1559" s="5"/>
      <c r="B1559" s="5" t="str">
        <f>IFERROR(__xludf.DUMMYFUNCTION("""COMPUTED_VALUE"""),"هیأت")</f>
        <v>هیأت</v>
      </c>
      <c r="C1559" s="5" t="str">
        <f>IFERROR(__xludf.DUMMYFUNCTION("""COMPUTED_VALUE"""),"نورالثقلین")</f>
        <v>نورالثقلین</v>
      </c>
      <c r="D1559" s="5" t="str">
        <f>IFERROR(__xludf.DUMMYFUNCTION("""COMPUTED_VALUE"""),"خرسان رضوی")</f>
        <v>خرسان رضوی</v>
      </c>
      <c r="E1559" s="5" t="str">
        <f>IFERROR(__xludf.DUMMYFUNCTION("""COMPUTED_VALUE"""),"مشهد")</f>
        <v>مشهد</v>
      </c>
      <c r="F1559" s="5"/>
      <c r="G1559" s="5"/>
      <c r="H1559" s="6" t="str">
        <f>IFERROR(__xludf.DUMMYFUNCTION("""COMPUTED_VALUE"""),"https://www.instagram.com/noorosaghaleinn/")</f>
        <v>https://www.instagram.com/noorosaghaleinn/</v>
      </c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</row>
    <row r="1560">
      <c r="A1560" s="5"/>
      <c r="B1560" s="5" t="str">
        <f>IFERROR(__xludf.DUMMYFUNCTION("""COMPUTED_VALUE"""),"هیأت")</f>
        <v>هیأت</v>
      </c>
      <c r="C1560" s="5" t="str">
        <f>IFERROR(__xludf.DUMMYFUNCTION("""COMPUTED_VALUE"""),"محب الزهرا")</f>
        <v>محب الزهرا</v>
      </c>
      <c r="D1560" s="5" t="str">
        <f>IFERROR(__xludf.DUMMYFUNCTION("""COMPUTED_VALUE"""),"خرسان رضوی")</f>
        <v>خرسان رضوی</v>
      </c>
      <c r="E1560" s="5" t="str">
        <f>IFERROR(__xludf.DUMMYFUNCTION("""COMPUTED_VALUE"""),"تربت حیدریه")</f>
        <v>تربت حیدریه</v>
      </c>
      <c r="F1560" s="5"/>
      <c r="G1560" s="5"/>
      <c r="H1560" s="6" t="str">
        <f>IFERROR(__xludf.DUMMYFUNCTION("""COMPUTED_VALUE"""),"https://www.instagram.com/mohebozahra.info/")</f>
        <v>https://www.instagram.com/mohebozahra.info/</v>
      </c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</row>
    <row r="1561">
      <c r="A1561" s="5"/>
      <c r="B1561" s="5" t="str">
        <f>IFERROR(__xludf.DUMMYFUNCTION("""COMPUTED_VALUE"""),"هیأت")</f>
        <v>هیأت</v>
      </c>
      <c r="C1561" s="5" t="str">
        <f>IFERROR(__xludf.DUMMYFUNCTION("""COMPUTED_VALUE"""),"جوانان مسجد ولیعصر")</f>
        <v>جوانان مسجد ولیعصر</v>
      </c>
      <c r="D1561" s="5" t="str">
        <f>IFERROR(__xludf.DUMMYFUNCTION("""COMPUTED_VALUE"""),"خرسان رضوی")</f>
        <v>خرسان رضوی</v>
      </c>
      <c r="E1561" s="5" t="str">
        <f>IFERROR(__xludf.DUMMYFUNCTION("""COMPUTED_VALUE"""),"مشهد")</f>
        <v>مشهد</v>
      </c>
      <c r="F1561" s="5"/>
      <c r="G1561" s="5"/>
      <c r="H1561" s="6" t="str">
        <f>IFERROR(__xludf.DUMMYFUNCTION("""COMPUTED_VALUE"""),"https://www.instagram.com/javanan_valiasr74")</f>
        <v>https://www.instagram.com/javanan_valiasr74</v>
      </c>
      <c r="I1561" s="5"/>
      <c r="J1561" s="6" t="str">
        <f>IFERROR(__xludf.DUMMYFUNCTION("""COMPUTED_VALUE"""),"https://eitaa.com/javananvaliasr74/")</f>
        <v>https://eitaa.com/javananvaliasr74/</v>
      </c>
      <c r="K1561" s="5"/>
      <c r="L1561" s="5"/>
      <c r="M1561" s="5"/>
      <c r="N1561" s="5"/>
      <c r="O1561" s="5"/>
      <c r="P1561" s="5"/>
      <c r="Q1561" s="5"/>
      <c r="R1561" s="5"/>
      <c r="S1561" s="5"/>
    </row>
    <row r="1562">
      <c r="A1562" s="5"/>
      <c r="B1562" s="5" t="str">
        <f>IFERROR(__xludf.DUMMYFUNCTION("""COMPUTED_VALUE"""),"هیأت")</f>
        <v>هیأت</v>
      </c>
      <c r="C1562" s="5" t="str">
        <f>IFERROR(__xludf.DUMMYFUNCTION("""COMPUTED_VALUE"""),"کریم آل الله ")</f>
        <v>کریم آل الله </v>
      </c>
      <c r="D1562" s="5" t="str">
        <f>IFERROR(__xludf.DUMMYFUNCTION("""COMPUTED_VALUE"""),"خرسان رضوی")</f>
        <v>خرسان رضوی</v>
      </c>
      <c r="E1562" s="5" t="str">
        <f>IFERROR(__xludf.DUMMYFUNCTION("""COMPUTED_VALUE"""),"جوین")</f>
        <v>جوین</v>
      </c>
      <c r="F1562" s="5"/>
      <c r="G1562" s="5"/>
      <c r="H1562" s="6" t="str">
        <f>IFERROR(__xludf.DUMMYFUNCTION("""COMPUTED_VALUE"""),"https://www.instagram.com/karim.al.allah/")</f>
        <v>https://www.instagram.com/karim.al.allah/</v>
      </c>
      <c r="I1562" s="6" t="str">
        <f>IFERROR(__xludf.DUMMYFUNCTION("""COMPUTED_VALUE"""),"t.me/karim_al_allah_jovein")</f>
        <v>t.me/karim_al_allah_jovein</v>
      </c>
      <c r="J1562" s="5"/>
      <c r="K1562" s="5"/>
      <c r="L1562" s="5"/>
      <c r="M1562" s="5"/>
      <c r="N1562" s="5"/>
      <c r="O1562" s="5"/>
      <c r="P1562" s="5"/>
      <c r="Q1562" s="5"/>
      <c r="R1562" s="5"/>
      <c r="S1562" s="5"/>
    </row>
    <row r="1563">
      <c r="A1563" s="5"/>
      <c r="B1563" s="5" t="str">
        <f>IFERROR(__xludf.DUMMYFUNCTION("""COMPUTED_VALUE"""),"هیأت")</f>
        <v>هیأت</v>
      </c>
      <c r="C1563" s="5" t="str">
        <f>IFERROR(__xludf.DUMMYFUNCTION("""COMPUTED_VALUE"""),"هادویون")</f>
        <v>هادویون</v>
      </c>
      <c r="D1563" s="5" t="str">
        <f>IFERROR(__xludf.DUMMYFUNCTION("""COMPUTED_VALUE"""),"خرسان رضوی")</f>
        <v>خرسان رضوی</v>
      </c>
      <c r="E1563" s="5" t="str">
        <f>IFERROR(__xludf.DUMMYFUNCTION("""COMPUTED_VALUE"""),"سبزوار")</f>
        <v>سبزوار</v>
      </c>
      <c r="F1563" s="5"/>
      <c r="G1563" s="5"/>
      <c r="H1563" s="6" t="str">
        <f>IFERROR(__xludf.DUMMYFUNCTION("""COMPUTED_VALUE"""),"https://www.instagram.com/hadavion_sbz/")</f>
        <v>https://www.instagram.com/hadavion_sbz/</v>
      </c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</row>
    <row r="1564">
      <c r="A1564" s="5"/>
      <c r="B1564" s="5" t="str">
        <f>IFERROR(__xludf.DUMMYFUNCTION("""COMPUTED_VALUE"""),"هیأت")</f>
        <v>هیأت</v>
      </c>
      <c r="C1564" s="5" t="str">
        <f>IFERROR(__xludf.DUMMYFUNCTION("""COMPUTED_VALUE"""),"محبان الزهرا")</f>
        <v>محبان الزهرا</v>
      </c>
      <c r="D1564" s="5" t="str">
        <f>IFERROR(__xludf.DUMMYFUNCTION("""COMPUTED_VALUE"""),"خرسان رضوی")</f>
        <v>خرسان رضوی</v>
      </c>
      <c r="E1564" s="5" t="str">
        <f>IFERROR(__xludf.DUMMYFUNCTION("""COMPUTED_VALUE"""),"جغتای")</f>
        <v>جغتای</v>
      </c>
      <c r="F1564" s="5"/>
      <c r="G1564" s="5"/>
      <c r="H1564" s="6" t="str">
        <f>IFERROR(__xludf.DUMMYFUNCTION("""COMPUTED_VALUE"""),"https://www.instagram.com/hmz_joghatay/")</f>
        <v>https://www.instagram.com/hmz_joghatay/</v>
      </c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</row>
    <row r="1565">
      <c r="A1565" s="5"/>
      <c r="B1565" s="5" t="str">
        <f>IFERROR(__xludf.DUMMYFUNCTION("""COMPUTED_VALUE"""),"هیأت")</f>
        <v>هیأت</v>
      </c>
      <c r="C1565" s="5" t="str">
        <f>IFERROR(__xludf.DUMMYFUNCTION("""COMPUTED_VALUE"""),"جوانان قمر بنی هاشم")</f>
        <v>جوانان قمر بنی هاشم</v>
      </c>
      <c r="D1565" s="5" t="str">
        <f>IFERROR(__xludf.DUMMYFUNCTION("""COMPUTED_VALUE"""),"خرسان رضوی")</f>
        <v>خرسان رضوی</v>
      </c>
      <c r="E1565" s="5" t="str">
        <f>IFERROR(__xludf.DUMMYFUNCTION("""COMPUTED_VALUE"""),"مه ولات")</f>
        <v>مه ولات</v>
      </c>
      <c r="F1565" s="5"/>
      <c r="G1565" s="5"/>
      <c r="H1565" s="6" t="str">
        <f>IFERROR(__xludf.DUMMYFUNCTION("""COMPUTED_VALUE"""),"https://www.instagram.com/h_ghamarbanihashem/")</f>
        <v>https://www.instagram.com/h_ghamarbanihashem/</v>
      </c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</row>
    <row r="1566">
      <c r="A1566" s="5"/>
      <c r="B1566" s="5" t="str">
        <f>IFERROR(__xludf.DUMMYFUNCTION("""COMPUTED_VALUE"""),"هیأت")</f>
        <v>هیأت</v>
      </c>
      <c r="C1566" s="5" t="str">
        <f>IFERROR(__xludf.DUMMYFUNCTION("""COMPUTED_VALUE"""),"فاطمیه")</f>
        <v>فاطمیه</v>
      </c>
      <c r="D1566" s="5" t="str">
        <f>IFERROR(__xludf.DUMMYFUNCTION("""COMPUTED_VALUE"""),"خرسان رضوی")</f>
        <v>خرسان رضوی</v>
      </c>
      <c r="E1566" s="5" t="str">
        <f>IFERROR(__xludf.DUMMYFUNCTION("""COMPUTED_VALUE"""),"گناباد")</f>
        <v>گناباد</v>
      </c>
      <c r="F1566" s="5"/>
      <c r="G1566" s="5"/>
      <c r="H1566" s="6" t="str">
        <f>IFERROR(__xludf.DUMMYFUNCTION("""COMPUTED_VALUE"""),"https://www.instagram.com/fatemye_gonabad/")</f>
        <v>https://www.instagram.com/fatemye_gonabad/</v>
      </c>
      <c r="I1566" s="6" t="str">
        <f>IFERROR(__xludf.DUMMYFUNCTION("""COMPUTED_VALUE"""),"t.me/fatemye_gonabad")</f>
        <v>t.me/fatemye_gonabad</v>
      </c>
      <c r="J1566" s="5"/>
      <c r="K1566" s="5"/>
      <c r="L1566" s="5"/>
      <c r="M1566" s="5"/>
      <c r="N1566" s="5"/>
      <c r="O1566" s="5"/>
      <c r="P1566" s="5"/>
      <c r="Q1566" s="5"/>
      <c r="R1566" s="5"/>
      <c r="S1566" s="5"/>
    </row>
    <row r="1567">
      <c r="A1567" s="5"/>
      <c r="B1567" s="5" t="str">
        <f>IFERROR(__xludf.DUMMYFUNCTION("""COMPUTED_VALUE"""),"هیأت")</f>
        <v>هیأت</v>
      </c>
      <c r="C1567" s="5" t="str">
        <f>IFERROR(__xludf.DUMMYFUNCTION("""COMPUTED_VALUE"""),"کریم اهل بیت")</f>
        <v>کریم اهل بیت</v>
      </c>
      <c r="D1567" s="5" t="str">
        <f>IFERROR(__xludf.DUMMYFUNCTION("""COMPUTED_VALUE"""),"خرسان رضوی")</f>
        <v>خرسان رضوی</v>
      </c>
      <c r="E1567" s="5" t="str">
        <f>IFERROR(__xludf.DUMMYFUNCTION("""COMPUTED_VALUE"""),"جغتای")</f>
        <v>جغتای</v>
      </c>
      <c r="F1567" s="5"/>
      <c r="G1567" s="5"/>
      <c r="H1567" s="6" t="str">
        <f>IFERROR(__xludf.DUMMYFUNCTION("""COMPUTED_VALUE"""),"https://www.instagram.com/heiat_karime_ahlebeit/")</f>
        <v>https://www.instagram.com/heiat_karime_ahlebeit/</v>
      </c>
      <c r="I1567" s="6" t="str">
        <f>IFERROR(__xludf.DUMMYFUNCTION("""COMPUTED_VALUE"""),"t.me/heiat_karime_ahlebeit_joghatay")</f>
        <v>t.me/heiat_karime_ahlebeit_joghatay</v>
      </c>
      <c r="J1567" s="5"/>
      <c r="K1567" s="5"/>
      <c r="L1567" s="5"/>
      <c r="M1567" s="5"/>
      <c r="N1567" s="5"/>
      <c r="O1567" s="5"/>
      <c r="P1567" s="5"/>
      <c r="Q1567" s="5"/>
      <c r="R1567" s="5"/>
      <c r="S1567" s="5"/>
    </row>
    <row r="1568">
      <c r="A1568" s="5"/>
      <c r="B1568" s="5" t="str">
        <f>IFERROR(__xludf.DUMMYFUNCTION("""COMPUTED_VALUE"""),"هیأت")</f>
        <v>هیأت</v>
      </c>
      <c r="C1568" s="5" t="str">
        <f>IFERROR(__xludf.DUMMYFUNCTION("""COMPUTED_VALUE"""),"جوانان قمر بنی هاشم")</f>
        <v>جوانان قمر بنی هاشم</v>
      </c>
      <c r="D1568" s="5" t="str">
        <f>IFERROR(__xludf.DUMMYFUNCTION("""COMPUTED_VALUE"""),"خرسان رضوی")</f>
        <v>خرسان رضوی</v>
      </c>
      <c r="E1568" s="5" t="str">
        <f>IFERROR(__xludf.DUMMYFUNCTION("""COMPUTED_VALUE"""),"تربت حیدریه")</f>
        <v>تربت حیدریه</v>
      </c>
      <c r="F1568" s="5"/>
      <c r="G1568" s="5"/>
      <c r="H1568" s="6" t="str">
        <f>IFERROR(__xludf.DUMMYFUNCTION("""COMPUTED_VALUE"""),"https://www.instagram.com/beito_labbas/")</f>
        <v>https://www.instagram.com/beito_labbas/</v>
      </c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</row>
    <row r="1569">
      <c r="A1569" s="5"/>
      <c r="B1569" s="5" t="str">
        <f>IFERROR(__xludf.DUMMYFUNCTION("""COMPUTED_VALUE"""),"هیأت")</f>
        <v>هیأت</v>
      </c>
      <c r="C1569" s="5" t="str">
        <f>IFERROR(__xludf.DUMMYFUNCTION("""COMPUTED_VALUE"""),"بین الحرمین")</f>
        <v>بین الحرمین</v>
      </c>
      <c r="D1569" s="5" t="str">
        <f>IFERROR(__xludf.DUMMYFUNCTION("""COMPUTED_VALUE"""),"خرسان رضوی")</f>
        <v>خرسان رضوی</v>
      </c>
      <c r="E1569" s="5" t="str">
        <f>IFERROR(__xludf.DUMMYFUNCTION("""COMPUTED_VALUE"""),"گناباد")</f>
        <v>گناباد</v>
      </c>
      <c r="F1569" s="5"/>
      <c r="G1569" s="5"/>
      <c r="H1569" s="5"/>
      <c r="I1569" s="5"/>
      <c r="J1569" s="6" t="str">
        <f>IFERROR(__xludf.DUMMYFUNCTION("""COMPUTED_VALUE"""),"https://eitaa.com/binolharamingonabad")</f>
        <v>https://eitaa.com/binolharamingonabad</v>
      </c>
      <c r="K1569" s="5"/>
      <c r="L1569" s="5"/>
      <c r="M1569" s="5"/>
      <c r="N1569" s="5"/>
      <c r="O1569" s="5"/>
      <c r="P1569" s="5"/>
      <c r="Q1569" s="5"/>
      <c r="R1569" s="5"/>
      <c r="S1569" s="5"/>
    </row>
    <row r="1570">
      <c r="A1570" s="5"/>
      <c r="B1570" s="5" t="str">
        <f>IFERROR(__xludf.DUMMYFUNCTION("""COMPUTED_VALUE"""),"هیأت")</f>
        <v>هیأت</v>
      </c>
      <c r="C1570" s="5" t="str">
        <f>IFERROR(__xludf.DUMMYFUNCTION("""COMPUTED_VALUE"""),"الشهدا امام زمان (عج)")</f>
        <v>الشهدا امام زمان (عج)</v>
      </c>
      <c r="D1570" s="5" t="str">
        <f>IFERROR(__xludf.DUMMYFUNCTION("""COMPUTED_VALUE"""),"خرسان رضوی")</f>
        <v>خرسان رضوی</v>
      </c>
      <c r="E1570" s="5" t="str">
        <f>IFERROR(__xludf.DUMMYFUNCTION("""COMPUTED_VALUE"""),"نیشابور")</f>
        <v>نیشابور</v>
      </c>
      <c r="F1570" s="5"/>
      <c r="G1570" s="5"/>
      <c r="H1570" s="5"/>
      <c r="I1570" s="5"/>
      <c r="J1570" s="6" t="str">
        <f>IFERROR(__xludf.DUMMYFUNCTION("""COMPUTED_VALUE"""),"https://eitaa.com/zarih_8")</f>
        <v>https://eitaa.com/zarih_8</v>
      </c>
      <c r="K1570" s="5"/>
      <c r="L1570" s="5"/>
      <c r="M1570" s="5"/>
      <c r="N1570" s="5"/>
      <c r="O1570" s="5"/>
      <c r="P1570" s="5"/>
      <c r="Q1570" s="5"/>
      <c r="R1570" s="5"/>
      <c r="S1570" s="5"/>
    </row>
    <row r="1571">
      <c r="A1571" s="5"/>
      <c r="B1571" s="5" t="str">
        <f>IFERROR(__xludf.DUMMYFUNCTION("""COMPUTED_VALUE"""),"هیأت")</f>
        <v>هیأت</v>
      </c>
      <c r="C1571" s="5" t="str">
        <f>IFERROR(__xludf.DUMMYFUNCTION("""COMPUTED_VALUE"""),"شهدای امنیت ")</f>
        <v>شهدای امنیت </v>
      </c>
      <c r="D1571" s="5" t="str">
        <f>IFERROR(__xludf.DUMMYFUNCTION("""COMPUTED_VALUE"""),"خرسان رضوی")</f>
        <v>خرسان رضوی</v>
      </c>
      <c r="E1571" s="5" t="str">
        <f>IFERROR(__xludf.DUMMYFUNCTION("""COMPUTED_VALUE"""),"مشهد")</f>
        <v>مشهد</v>
      </c>
      <c r="F1571" s="5"/>
      <c r="G1571" s="5"/>
      <c r="H1571" s="6" t="str">
        <f>IFERROR(__xludf.DUMMYFUNCTION("""COMPUTED_VALUE"""),"https://www.instagram.com/shohada_amniyat_mashhad/")</f>
        <v>https://www.instagram.com/shohada_amniyat_mashhad/</v>
      </c>
      <c r="I1571" s="6" t="str">
        <f>IFERROR(__xludf.DUMMYFUNCTION("""COMPUTED_VALUE"""),"eitaa.com/shohada_amniyat_mashhad")</f>
        <v>eitaa.com/shohada_amniyat_mashhad</v>
      </c>
      <c r="J1571" s="5"/>
      <c r="K1571" s="5"/>
      <c r="L1571" s="5"/>
      <c r="M1571" s="5"/>
      <c r="N1571" s="5"/>
      <c r="O1571" s="5"/>
      <c r="P1571" s="5"/>
      <c r="Q1571" s="5"/>
      <c r="R1571" s="5"/>
      <c r="S1571" s="5"/>
    </row>
    <row r="1572">
      <c r="A1572" s="5"/>
      <c r="B1572" s="5" t="str">
        <f>IFERROR(__xludf.DUMMYFUNCTION("""COMPUTED_VALUE"""),"مسجد")</f>
        <v>مسجد</v>
      </c>
      <c r="C1572" s="5" t="str">
        <f>IFERROR(__xludf.DUMMYFUNCTION("""COMPUTED_VALUE"""),"حضرت ابوالفضل")</f>
        <v>حضرت ابوالفضل</v>
      </c>
      <c r="D1572" s="5" t="str">
        <f>IFERROR(__xludf.DUMMYFUNCTION("""COMPUTED_VALUE"""),"خرسان رضوی")</f>
        <v>خرسان رضوی</v>
      </c>
      <c r="E1572" s="5" t="str">
        <f>IFERROR(__xludf.DUMMYFUNCTION("""COMPUTED_VALUE"""),"جغتای")</f>
        <v>جغتای</v>
      </c>
      <c r="F1572" s="5"/>
      <c r="G1572" s="5"/>
      <c r="H1572" s="6" t="str">
        <f>IFERROR(__xludf.DUMMYFUNCTION("""COMPUTED_VALUE"""),"https://www.instagram.com/heyateabalfazl_joghatay/")</f>
        <v>https://www.instagram.com/heyateabalfazl_joghatay/</v>
      </c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</row>
    <row r="1573">
      <c r="A1573" s="5"/>
      <c r="B1573" s="5" t="str">
        <f>IFERROR(__xludf.DUMMYFUNCTION("""COMPUTED_VALUE"""),"هیأت")</f>
        <v>هیأت</v>
      </c>
      <c r="C1573" s="5" t="str">
        <f>IFERROR(__xludf.DUMMYFUNCTION("""COMPUTED_VALUE"""),"علمداران ثارالله")</f>
        <v>علمداران ثارالله</v>
      </c>
      <c r="D1573" s="5" t="str">
        <f>IFERROR(__xludf.DUMMYFUNCTION("""COMPUTED_VALUE"""),"خرسان رضوی")</f>
        <v>خرسان رضوی</v>
      </c>
      <c r="E1573" s="5" t="str">
        <f>IFERROR(__xludf.DUMMYFUNCTION("""COMPUTED_VALUE"""),"تایباد")</f>
        <v>تایباد</v>
      </c>
      <c r="F1573" s="5"/>
      <c r="G1573" s="5"/>
      <c r="H1573" s="6" t="str">
        <f>IFERROR(__xludf.DUMMYFUNCTION("""COMPUTED_VALUE"""),"https://www.instagram.com/alamdaran_taybad/")</f>
        <v>https://www.instagram.com/alamdaran_taybad/</v>
      </c>
      <c r="I1573" s="6" t="str">
        <f>IFERROR(__xludf.DUMMYFUNCTION("""COMPUTED_VALUE"""),"t.me/alamdaransaralahtaybad")</f>
        <v>t.me/alamdaransaralahtaybad</v>
      </c>
      <c r="J1573" s="5"/>
      <c r="K1573" s="5"/>
      <c r="L1573" s="5"/>
      <c r="M1573" s="5"/>
      <c r="N1573" s="5"/>
      <c r="O1573" s="5"/>
      <c r="P1573" s="5"/>
      <c r="Q1573" s="5"/>
      <c r="R1573" s="5"/>
      <c r="S1573" s="5"/>
    </row>
    <row r="1574">
      <c r="A1574" s="5"/>
      <c r="B1574" s="5" t="str">
        <f>IFERROR(__xludf.DUMMYFUNCTION("""COMPUTED_VALUE"""),"مسجد")</f>
        <v>مسجد</v>
      </c>
      <c r="C1574" s="5" t="str">
        <f>IFERROR(__xludf.DUMMYFUNCTION("""COMPUTED_VALUE"""),"امام حسن مجتبی (ع)")</f>
        <v>امام حسن مجتبی (ع)</v>
      </c>
      <c r="D1574" s="5" t="str">
        <f>IFERROR(__xludf.DUMMYFUNCTION("""COMPUTED_VALUE"""),"خرسان رضوی")</f>
        <v>خرسان رضوی</v>
      </c>
      <c r="E1574" s="5" t="str">
        <f>IFERROR(__xludf.DUMMYFUNCTION("""COMPUTED_VALUE"""),"سلطان آباد")</f>
        <v>سلطان آباد</v>
      </c>
      <c r="F1574" s="5"/>
      <c r="G1574" s="5"/>
      <c r="H1574" s="6" t="str">
        <f>IFERROR(__xludf.DUMMYFUNCTION("""COMPUTED_VALUE"""),"https://www.instagram.com/meimam_hassan_mojtaba/")</f>
        <v>https://www.instagram.com/meimam_hassan_mojtaba/</v>
      </c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</row>
    <row r="1575">
      <c r="A1575" s="5"/>
      <c r="B1575" s="5" t="str">
        <f>IFERROR(__xludf.DUMMYFUNCTION("""COMPUTED_VALUE"""),"هیأت")</f>
        <v>هیأت</v>
      </c>
      <c r="C1575" s="5" t="str">
        <f>IFERROR(__xludf.DUMMYFUNCTION("""COMPUTED_VALUE"""),"بیت الحسین (ع)")</f>
        <v>بیت الحسین (ع)</v>
      </c>
      <c r="D1575" s="5" t="str">
        <f>IFERROR(__xludf.DUMMYFUNCTION("""COMPUTED_VALUE"""),"خرسان رضوی")</f>
        <v>خرسان رضوی</v>
      </c>
      <c r="E1575" s="5" t="str">
        <f>IFERROR(__xludf.DUMMYFUNCTION("""COMPUTED_VALUE"""),"مشهد")</f>
        <v>مشهد</v>
      </c>
      <c r="F1575" s="5"/>
      <c r="G1575" s="5"/>
      <c r="H1575" s="6" t="str">
        <f>IFERROR(__xludf.DUMMYFUNCTION("""COMPUTED_VALUE"""),"https://www.instagram.com/beittollhossein/")</f>
        <v>https://www.instagram.com/beittollhossein/</v>
      </c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</row>
    <row r="1576">
      <c r="A1576" s="5"/>
      <c r="B1576" s="5" t="str">
        <f>IFERROR(__xludf.DUMMYFUNCTION("""COMPUTED_VALUE"""),"هیأت")</f>
        <v>هیأت</v>
      </c>
      <c r="C1576" s="5" t="str">
        <f>IFERROR(__xludf.DUMMYFUNCTION("""COMPUTED_VALUE"""),"جوانان بنی هاشم(ع)")</f>
        <v>جوانان بنی هاشم(ع)</v>
      </c>
      <c r="D1576" s="5" t="str">
        <f>IFERROR(__xludf.DUMMYFUNCTION("""COMPUTED_VALUE"""),"خرسان رضوی")</f>
        <v>خرسان رضوی</v>
      </c>
      <c r="E1576" s="5" t="str">
        <f>IFERROR(__xludf.DUMMYFUNCTION("""COMPUTED_VALUE"""),"سبزوار")</f>
        <v>سبزوار</v>
      </c>
      <c r="F1576" s="5"/>
      <c r="G1576" s="5"/>
      <c r="H1576" s="6" t="str">
        <f>IFERROR(__xludf.DUMMYFUNCTION("""COMPUTED_VALUE"""),"https://www.instagram.com/ghamar_banihashem_1383/")</f>
        <v>https://www.instagram.com/ghamar_banihashem_1383/</v>
      </c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</row>
    <row r="1577">
      <c r="A1577" s="5"/>
      <c r="B1577" s="5" t="str">
        <f>IFERROR(__xludf.DUMMYFUNCTION("""COMPUTED_VALUE"""),"هیأت")</f>
        <v>هیأت</v>
      </c>
      <c r="C1577" s="5" t="str">
        <f>IFERROR(__xludf.DUMMYFUNCTION("""COMPUTED_VALUE"""),"شیفتگان قاسم ابن الحسن (ع)")</f>
        <v>شیفتگان قاسم ابن الحسن (ع)</v>
      </c>
      <c r="D1577" s="5" t="str">
        <f>IFERROR(__xludf.DUMMYFUNCTION("""COMPUTED_VALUE"""),"خرسان رضوی")</f>
        <v>خرسان رضوی</v>
      </c>
      <c r="E1577" s="5" t="str">
        <f>IFERROR(__xludf.DUMMYFUNCTION("""COMPUTED_VALUE"""),"مشهد")</f>
        <v>مشهد</v>
      </c>
      <c r="F1577" s="5"/>
      <c r="G1577" s="5"/>
      <c r="H1577" s="6" t="str">
        <f>IFERROR(__xludf.DUMMYFUNCTION("""COMPUTED_VALUE"""),"https://www.instagram.com/shiftegan_ghasem_ebne_hasan/")</f>
        <v>https://www.instagram.com/shiftegan_ghasem_ebne_hasan/</v>
      </c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</row>
    <row r="1578">
      <c r="A1578" s="5"/>
      <c r="B1578" s="5" t="str">
        <f>IFERROR(__xludf.DUMMYFUNCTION("""COMPUTED_VALUE"""),"هیأت")</f>
        <v>هیأت</v>
      </c>
      <c r="C1578" s="5" t="str">
        <f>IFERROR(__xludf.DUMMYFUNCTION("""COMPUTED_VALUE"""),"عشاق العباس (ع)")</f>
        <v>عشاق العباس (ع)</v>
      </c>
      <c r="D1578" s="5" t="str">
        <f>IFERROR(__xludf.DUMMYFUNCTION("""COMPUTED_VALUE"""),"خرسان رضوی")</f>
        <v>خرسان رضوی</v>
      </c>
      <c r="E1578" s="5" t="str">
        <f>IFERROR(__xludf.DUMMYFUNCTION("""COMPUTED_VALUE"""),"مشهد")</f>
        <v>مشهد</v>
      </c>
      <c r="F1578" s="5"/>
      <c r="G1578" s="5"/>
      <c r="H1578" s="6" t="str">
        <f>IFERROR(__xludf.DUMMYFUNCTION("""COMPUTED_VALUE"""),"https://www.instagram.com/oshagholabbass_133/")</f>
        <v>https://www.instagram.com/oshagholabbass_133/</v>
      </c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</row>
    <row r="1579">
      <c r="A1579" s="5"/>
      <c r="B1579" s="5" t="str">
        <f>IFERROR(__xludf.DUMMYFUNCTION("""COMPUTED_VALUE"""),"هیأت")</f>
        <v>هیأت</v>
      </c>
      <c r="C1579" s="5" t="str">
        <f>IFERROR(__xludf.DUMMYFUNCTION("""COMPUTED_VALUE"""),"محبان الرضا (ع)")</f>
        <v>محبان الرضا (ع)</v>
      </c>
      <c r="D1579" s="5" t="str">
        <f>IFERROR(__xludf.DUMMYFUNCTION("""COMPUTED_VALUE"""),"خرسان رضوی")</f>
        <v>خرسان رضوی</v>
      </c>
      <c r="E1579" s="5" t="str">
        <f>IFERROR(__xludf.DUMMYFUNCTION("""COMPUTED_VALUE"""),"بیدخت")</f>
        <v>بیدخت</v>
      </c>
      <c r="F1579" s="5"/>
      <c r="G1579" s="5"/>
      <c r="H1579" s="5"/>
      <c r="I1579" s="5"/>
      <c r="J1579" s="6" t="str">
        <f>IFERROR(__xludf.DUMMYFUNCTION("""COMPUTED_VALUE"""),"https://eitaa.com/mohebanrezab")</f>
        <v>https://eitaa.com/mohebanrezab</v>
      </c>
      <c r="K1579" s="5"/>
      <c r="L1579" s="5"/>
      <c r="M1579" s="5"/>
      <c r="N1579" s="5"/>
      <c r="O1579" s="5"/>
      <c r="P1579" s="5"/>
      <c r="Q1579" s="5"/>
      <c r="R1579" s="5"/>
      <c r="S1579" s="5"/>
    </row>
    <row r="1580">
      <c r="A1580" s="5"/>
      <c r="B1580" s="5" t="str">
        <f>IFERROR(__xludf.DUMMYFUNCTION("""COMPUTED_VALUE"""),"هیأت")</f>
        <v>هیأت</v>
      </c>
      <c r="C1580" s="5" t="str">
        <f>IFERROR(__xludf.DUMMYFUNCTION("""COMPUTED_VALUE"""),"میثاق با ولایت")</f>
        <v>میثاق با ولایت</v>
      </c>
      <c r="D1580" s="5" t="str">
        <f>IFERROR(__xludf.DUMMYFUNCTION("""COMPUTED_VALUE"""),"خرسان رضوی")</f>
        <v>خرسان رضوی</v>
      </c>
      <c r="E1580" s="5" t="str">
        <f>IFERROR(__xludf.DUMMYFUNCTION("""COMPUTED_VALUE"""),"مشهد")</f>
        <v>مشهد</v>
      </c>
      <c r="F1580" s="5"/>
      <c r="G1580" s="5"/>
      <c r="H1580" s="6" t="str">
        <f>IFERROR(__xludf.DUMMYFUNCTION("""COMPUTED_VALUE"""),"https://www.instagram.com/misagh_bavelayat/")</f>
        <v>https://www.instagram.com/misagh_bavelayat/</v>
      </c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</row>
    <row r="1581">
      <c r="A1581" s="5"/>
      <c r="B1581" s="5" t="str">
        <f>IFERROR(__xludf.DUMMYFUNCTION("""COMPUTED_VALUE"""),"هیأت")</f>
        <v>هیأت</v>
      </c>
      <c r="C1581" s="5" t="str">
        <f>IFERROR(__xludf.DUMMYFUNCTION("""COMPUTED_VALUE"""),"دعای ندبه")</f>
        <v>دعای ندبه</v>
      </c>
      <c r="D1581" s="5" t="str">
        <f>IFERROR(__xludf.DUMMYFUNCTION("""COMPUTED_VALUE"""),"خرسان رضوی")</f>
        <v>خرسان رضوی</v>
      </c>
      <c r="E1581" s="5" t="str">
        <f>IFERROR(__xludf.DUMMYFUNCTION("""COMPUTED_VALUE"""),"چناران")</f>
        <v>چناران</v>
      </c>
      <c r="F1581" s="5"/>
      <c r="G1581" s="5"/>
      <c r="H1581" s="6" t="str">
        <f>IFERROR(__xludf.DUMMYFUNCTION("""COMPUTED_VALUE"""),"https://www.instagram.com/nodbe_chenaran/")</f>
        <v>https://www.instagram.com/nodbe_chenaran/</v>
      </c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</row>
    <row r="1582">
      <c r="A1582" s="5"/>
      <c r="B1582" s="5" t="str">
        <f>IFERROR(__xludf.DUMMYFUNCTION("""COMPUTED_VALUE"""),"هیأت")</f>
        <v>هیأت</v>
      </c>
      <c r="C1582" s="5" t="str">
        <f>IFERROR(__xludf.DUMMYFUNCTION("""COMPUTED_VALUE"""),"دلسوختگان اهل بیت (ع)")</f>
        <v>دلسوختگان اهل بیت (ع)</v>
      </c>
      <c r="D1582" s="5" t="str">
        <f>IFERROR(__xludf.DUMMYFUNCTION("""COMPUTED_VALUE"""),"خرسان رضوی")</f>
        <v>خرسان رضوی</v>
      </c>
      <c r="E1582" s="5" t="str">
        <f>IFERROR(__xludf.DUMMYFUNCTION("""COMPUTED_VALUE"""),"تربت حیدریه")</f>
        <v>تربت حیدریه</v>
      </c>
      <c r="F1582" s="5"/>
      <c r="G1582" s="5"/>
      <c r="H1582" s="6" t="str">
        <f>IFERROR(__xludf.DUMMYFUNCTION("""COMPUTED_VALUE"""),"https://www.instagram.com/delsukhtegan_th/")</f>
        <v>https://www.instagram.com/delsukhtegan_th/</v>
      </c>
      <c r="I1582" s="6" t="str">
        <f>IFERROR(__xludf.DUMMYFUNCTION("""COMPUTED_VALUE"""),"t.me/delsukhtegan_th")</f>
        <v>t.me/delsukhtegan_th</v>
      </c>
      <c r="J1582" s="5"/>
      <c r="K1582" s="5"/>
      <c r="L1582" s="5"/>
      <c r="M1582" s="5"/>
      <c r="N1582" s="5"/>
      <c r="O1582" s="5"/>
      <c r="P1582" s="5"/>
      <c r="Q1582" s="5"/>
      <c r="R1582" s="5"/>
      <c r="S1582" s="5"/>
    </row>
    <row r="1583">
      <c r="A1583" s="5"/>
      <c r="B1583" s="5" t="str">
        <f>IFERROR(__xludf.DUMMYFUNCTION("""COMPUTED_VALUE"""),"هیأت")</f>
        <v>هیأت</v>
      </c>
      <c r="C1583" s="5" t="str">
        <f>IFERROR(__xludf.DUMMYFUNCTION("""COMPUTED_VALUE"""),"محبان الزهرا (س)")</f>
        <v>محبان الزهرا (س)</v>
      </c>
      <c r="D1583" s="5" t="str">
        <f>IFERROR(__xludf.DUMMYFUNCTION("""COMPUTED_VALUE"""),"خرسان رضوی")</f>
        <v>خرسان رضوی</v>
      </c>
      <c r="E1583" s="5" t="str">
        <f>IFERROR(__xludf.DUMMYFUNCTION("""COMPUTED_VALUE"""),"مشهد")</f>
        <v>مشهد</v>
      </c>
      <c r="F1583" s="5"/>
      <c r="G1583" s="5"/>
      <c r="H1583" s="6" t="str">
        <f>IFERROR(__xludf.DUMMYFUNCTION("""COMPUTED_VALUE"""),"https://www.instagram.com/mohebanazzahra_mashhad/")</f>
        <v>https://www.instagram.com/mohebanazzahra_mashhad/</v>
      </c>
      <c r="I1583" s="6" t="str">
        <f>IFERROR(__xludf.DUMMYFUNCTION("""COMPUTED_VALUE"""),"t.me/mohebanazzahra")</f>
        <v>t.me/mohebanazzahra</v>
      </c>
      <c r="J1583" s="5"/>
      <c r="K1583" s="5"/>
      <c r="L1583" s="5"/>
      <c r="M1583" s="5"/>
      <c r="N1583" s="5"/>
      <c r="O1583" s="5"/>
      <c r="P1583" s="5"/>
      <c r="Q1583" s="5"/>
      <c r="R1583" s="5"/>
      <c r="S1583" s="5"/>
    </row>
    <row r="1584">
      <c r="A1584" s="5"/>
      <c r="B1584" s="5" t="str">
        <f>IFERROR(__xludf.DUMMYFUNCTION("""COMPUTED_VALUE"""),"هیأت")</f>
        <v>هیأت</v>
      </c>
      <c r="C1584" s="5" t="str">
        <f>IFERROR(__xludf.DUMMYFUNCTION("""COMPUTED_VALUE"""),"علمدار")</f>
        <v>علمدار</v>
      </c>
      <c r="D1584" s="5" t="str">
        <f>IFERROR(__xludf.DUMMYFUNCTION("""COMPUTED_VALUE"""),"خرسان رضوی")</f>
        <v>خرسان رضوی</v>
      </c>
      <c r="E1584" s="5" t="str">
        <f>IFERROR(__xludf.DUMMYFUNCTION("""COMPUTED_VALUE"""),"درگز")</f>
        <v>درگز</v>
      </c>
      <c r="F1584" s="5"/>
      <c r="G1584" s="5"/>
      <c r="H1584" s="5"/>
      <c r="I1584" s="5"/>
      <c r="J1584" s="6" t="str">
        <f>IFERROR(__xludf.DUMMYFUNCTION("""COMPUTED_VALUE"""),"https://eitaa.com/alamdardaregaz")</f>
        <v>https://eitaa.com/alamdardaregaz</v>
      </c>
      <c r="K1584" s="5"/>
      <c r="L1584" s="5"/>
      <c r="M1584" s="5"/>
      <c r="N1584" s="5"/>
      <c r="O1584" s="5"/>
      <c r="P1584" s="5"/>
      <c r="Q1584" s="5"/>
      <c r="R1584" s="5"/>
      <c r="S1584" s="5"/>
    </row>
    <row r="1585">
      <c r="A1585" s="5"/>
      <c r="B1585" s="5" t="str">
        <f>IFERROR(__xludf.DUMMYFUNCTION("""COMPUTED_VALUE"""),"هیأت")</f>
        <v>هیأت</v>
      </c>
      <c r="C1585" s="5" t="str">
        <f>IFERROR(__xludf.DUMMYFUNCTION("""COMPUTED_VALUE"""),"منتظران ظهور")</f>
        <v>منتظران ظهور</v>
      </c>
      <c r="D1585" s="5" t="str">
        <f>IFERROR(__xludf.DUMMYFUNCTION("""COMPUTED_VALUE"""),"خرسان رضوی")</f>
        <v>خرسان رضوی</v>
      </c>
      <c r="E1585" s="5" t="str">
        <f>IFERROR(__xludf.DUMMYFUNCTION("""COMPUTED_VALUE"""),"نیشابور")</f>
        <v>نیشابور</v>
      </c>
      <c r="F1585" s="5"/>
      <c r="G1585" s="5"/>
      <c r="H1585" s="6" t="str">
        <f>IFERROR(__xludf.DUMMYFUNCTION("""COMPUTED_VALUE"""),"https://www.instagram.com/heyat_montazeran_zohur/")</f>
        <v>https://www.instagram.com/heyat_montazeran_zohur/</v>
      </c>
      <c r="I1585" s="6" t="str">
        <f>IFERROR(__xludf.DUMMYFUNCTION("""COMPUTED_VALUE"""),"t.me/n_montazeran")</f>
        <v>t.me/n_montazeran</v>
      </c>
      <c r="J1585" s="5"/>
      <c r="K1585" s="5"/>
      <c r="L1585" s="5"/>
      <c r="M1585" s="5"/>
      <c r="N1585" s="5"/>
      <c r="O1585" s="5"/>
      <c r="P1585" s="5"/>
      <c r="Q1585" s="5"/>
      <c r="R1585" s="5"/>
      <c r="S1585" s="5"/>
    </row>
    <row r="1586">
      <c r="A1586" s="5"/>
      <c r="B1586" s="5" t="str">
        <f>IFERROR(__xludf.DUMMYFUNCTION("""COMPUTED_VALUE"""),"هیأت")</f>
        <v>هیأت</v>
      </c>
      <c r="C1586" s="5" t="str">
        <f>IFERROR(__xludf.DUMMYFUNCTION("""COMPUTED_VALUE"""),"جان نثاران صاحب الزمان (عج)")</f>
        <v>جان نثاران صاحب الزمان (عج)</v>
      </c>
      <c r="D1586" s="5" t="str">
        <f>IFERROR(__xludf.DUMMYFUNCTION("""COMPUTED_VALUE"""),"خرسان رضوی")</f>
        <v>خرسان رضوی</v>
      </c>
      <c r="E1586" s="5" t="str">
        <f>IFERROR(__xludf.DUMMYFUNCTION("""COMPUTED_VALUE"""),"مشهد")</f>
        <v>مشهد</v>
      </c>
      <c r="F1586" s="5"/>
      <c r="G1586" s="5"/>
      <c r="H1586" s="6" t="str">
        <f>IFERROR(__xludf.DUMMYFUNCTION("""COMPUTED_VALUE"""),"https://www.instagram.com/jannesaran.59.ir/")</f>
        <v>https://www.instagram.com/jannesaran.59.ir/</v>
      </c>
      <c r="I1586" s="6" t="str">
        <f>IFERROR(__xludf.DUMMYFUNCTION("""COMPUTED_VALUE"""),"t.me/janesaran59")</f>
        <v>t.me/janesaran59</v>
      </c>
      <c r="J1586" s="5"/>
      <c r="K1586" s="5"/>
      <c r="L1586" s="5"/>
      <c r="M1586" s="5"/>
      <c r="N1586" s="5"/>
      <c r="O1586" s="5"/>
      <c r="P1586" s="5"/>
      <c r="Q1586" s="5"/>
      <c r="R1586" s="5"/>
      <c r="S1586" s="5"/>
    </row>
    <row r="1587">
      <c r="A1587" s="5"/>
      <c r="B1587" s="5" t="str">
        <f>IFERROR(__xludf.DUMMYFUNCTION("""COMPUTED_VALUE"""),"هیأت")</f>
        <v>هیأت</v>
      </c>
      <c r="C1587" s="5" t="str">
        <f>IFERROR(__xludf.DUMMYFUNCTION("""COMPUTED_VALUE"""),"محفل روضه الرقیه (س)")</f>
        <v>محفل روضه الرقیه (س)</v>
      </c>
      <c r="D1587" s="5" t="str">
        <f>IFERROR(__xludf.DUMMYFUNCTION("""COMPUTED_VALUE"""),"خرسان رضوی")</f>
        <v>خرسان رضوی</v>
      </c>
      <c r="E1587" s="5" t="str">
        <f>IFERROR(__xludf.DUMMYFUNCTION("""COMPUTED_VALUE"""),"گناباد")</f>
        <v>گناباد</v>
      </c>
      <c r="F1587" s="5"/>
      <c r="G1587" s="5"/>
      <c r="H1587" s="6" t="str">
        <f>IFERROR(__xludf.DUMMYFUNCTION("""COMPUTED_VALUE"""),"https://www.instagram.com/resane_mahfel/")</f>
        <v>https://www.instagram.com/resane_mahfel/</v>
      </c>
      <c r="I1587" s="6" t="str">
        <f>IFERROR(__xludf.DUMMYFUNCTION("""COMPUTED_VALUE"""),"tlgrm.me/resane3mahfel")</f>
        <v>tlgrm.me/resane3mahfel</v>
      </c>
      <c r="J1587" s="5"/>
      <c r="K1587" s="5"/>
      <c r="L1587" s="5"/>
      <c r="M1587" s="5"/>
      <c r="N1587" s="5"/>
      <c r="O1587" s="5"/>
      <c r="P1587" s="5"/>
      <c r="Q1587" s="5"/>
      <c r="R1587" s="5"/>
      <c r="S1587" s="5"/>
    </row>
    <row r="1588">
      <c r="A1588" s="5"/>
      <c r="B1588" s="5" t="str">
        <f>IFERROR(__xludf.DUMMYFUNCTION("""COMPUTED_VALUE"""),"هیأت")</f>
        <v>هیأت</v>
      </c>
      <c r="C1588" s="5" t="str">
        <f>IFERROR(__xludf.DUMMYFUNCTION("""COMPUTED_VALUE"""),"جوانان امام سجاد (ع)")</f>
        <v>جوانان امام سجاد (ع)</v>
      </c>
      <c r="D1588" s="5" t="str">
        <f>IFERROR(__xludf.DUMMYFUNCTION("""COMPUTED_VALUE"""),"خرسان رضوی")</f>
        <v>خرسان رضوی</v>
      </c>
      <c r="E1588" s="5" t="str">
        <f>IFERROR(__xludf.DUMMYFUNCTION("""COMPUTED_VALUE"""),"نیشابور")</f>
        <v>نیشابور</v>
      </c>
      <c r="F1588" s="5"/>
      <c r="G1588" s="5"/>
      <c r="H1588" s="5"/>
      <c r="I1588" s="5"/>
      <c r="J1588" s="6" t="str">
        <f>IFERROR(__xludf.DUMMYFUNCTION("""COMPUTED_VALUE"""),"https://eitaa.com/sayedsajedin")</f>
        <v>https://eitaa.com/sayedsajedin</v>
      </c>
      <c r="K1588" s="5"/>
      <c r="L1588" s="5"/>
      <c r="M1588" s="5"/>
      <c r="N1588" s="5"/>
      <c r="O1588" s="5"/>
      <c r="P1588" s="5"/>
      <c r="Q1588" s="5"/>
      <c r="R1588" s="5"/>
      <c r="S1588" s="5"/>
    </row>
    <row r="1589">
      <c r="A1589" s="5"/>
      <c r="B1589" s="5" t="str">
        <f>IFERROR(__xludf.DUMMYFUNCTION("""COMPUTED_VALUE"""),"هیأت")</f>
        <v>هیأت</v>
      </c>
      <c r="C1589" s="5" t="str">
        <f>IFERROR(__xludf.DUMMYFUNCTION("""COMPUTED_VALUE"""),"دانشگاه فردوسی")</f>
        <v>دانشگاه فردوسی</v>
      </c>
      <c r="D1589" s="5" t="str">
        <f>IFERROR(__xludf.DUMMYFUNCTION("""COMPUTED_VALUE"""),"خرسان رضوی")</f>
        <v>خرسان رضوی</v>
      </c>
      <c r="E1589" s="5" t="str">
        <f>IFERROR(__xludf.DUMMYFUNCTION("""COMPUTED_VALUE"""),"مشهد")</f>
        <v>مشهد</v>
      </c>
      <c r="F1589" s="5"/>
      <c r="G1589" s="5"/>
      <c r="H1589" s="6" t="str">
        <f>IFERROR(__xludf.DUMMYFUNCTION("""COMPUTED_VALUE"""),"https://www.instagram.com/khatekhoon/")</f>
        <v>https://www.instagram.com/khatekhoon/</v>
      </c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</row>
    <row r="1590">
      <c r="A1590" s="5"/>
      <c r="B1590" s="5" t="str">
        <f>IFERROR(__xludf.DUMMYFUNCTION("""COMPUTED_VALUE"""),"هیأت")</f>
        <v>هیأت</v>
      </c>
      <c r="C1590" s="5" t="str">
        <f>IFERROR(__xludf.DUMMYFUNCTION("""COMPUTED_VALUE"""),"علی اکبری")</f>
        <v>علی اکبری</v>
      </c>
      <c r="D1590" s="5" t="str">
        <f>IFERROR(__xludf.DUMMYFUNCTION("""COMPUTED_VALUE"""),"خرسان رضوی")</f>
        <v>خرسان رضوی</v>
      </c>
      <c r="E1590" s="5" t="str">
        <f>IFERROR(__xludf.DUMMYFUNCTION("""COMPUTED_VALUE"""),"کاشمر")</f>
        <v>کاشمر</v>
      </c>
      <c r="F1590" s="5"/>
      <c r="G1590" s="5"/>
      <c r="H1590" s="6" t="str">
        <f>IFERROR(__xludf.DUMMYFUNCTION("""COMPUTED_VALUE"""),"https://www.instagram.com/aliakbari_k/")</f>
        <v>https://www.instagram.com/aliakbari_k/</v>
      </c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</row>
    <row r="1591">
      <c r="A1591" s="5"/>
      <c r="B1591" s="5" t="str">
        <f>IFERROR(__xludf.DUMMYFUNCTION("""COMPUTED_VALUE"""),"هیأت")</f>
        <v>هیأت</v>
      </c>
      <c r="C1591" s="5" t="str">
        <f>IFERROR(__xludf.DUMMYFUNCTION("""COMPUTED_VALUE"""),"انصار المهدی (عج)")</f>
        <v>انصار المهدی (عج)</v>
      </c>
      <c r="D1591" s="5" t="str">
        <f>IFERROR(__xludf.DUMMYFUNCTION("""COMPUTED_VALUE"""),"خرسان رضوی")</f>
        <v>خرسان رضوی</v>
      </c>
      <c r="E1591" s="5" t="str">
        <f>IFERROR(__xludf.DUMMYFUNCTION("""COMPUTED_VALUE"""),"گناباد")</f>
        <v>گناباد</v>
      </c>
      <c r="F1591" s="5"/>
      <c r="G1591" s="5"/>
      <c r="H1591" s="6" t="str">
        <f>IFERROR(__xludf.DUMMYFUNCTION("""COMPUTED_VALUE"""),"https://www.instagram.com/ansarmahdi.gonabad")</f>
        <v>https://www.instagram.com/ansarmahdi.gonabad</v>
      </c>
      <c r="I1591" s="6" t="str">
        <f>IFERROR(__xludf.DUMMYFUNCTION("""COMPUTED_VALUE"""),"t.me/ansaralmahdi82gonabad")</f>
        <v>t.me/ansaralmahdi82gonabad</v>
      </c>
      <c r="J1591" s="5"/>
      <c r="K1591" s="5"/>
      <c r="L1591" s="5"/>
      <c r="M1591" s="5"/>
      <c r="N1591" s="5"/>
      <c r="O1591" s="5"/>
      <c r="P1591" s="5"/>
      <c r="Q1591" s="5"/>
      <c r="R1591" s="5"/>
      <c r="S1591" s="5"/>
    </row>
    <row r="1592">
      <c r="A1592" s="5"/>
      <c r="B1592" s="5" t="str">
        <f>IFERROR(__xludf.DUMMYFUNCTION("""COMPUTED_VALUE"""),"هیأت")</f>
        <v>هیأت</v>
      </c>
      <c r="C1592" s="5" t="str">
        <f>IFERROR(__xludf.DUMMYFUNCTION("""COMPUTED_VALUE"""),"خادمین چهارده معصوم")</f>
        <v>خادمین چهارده معصوم</v>
      </c>
      <c r="D1592" s="5" t="str">
        <f>IFERROR(__xludf.DUMMYFUNCTION("""COMPUTED_VALUE"""),"خرسان رضوی")</f>
        <v>خرسان رضوی</v>
      </c>
      <c r="E1592" s="5" t="str">
        <f>IFERROR(__xludf.DUMMYFUNCTION("""COMPUTED_VALUE"""),"مشهد")</f>
        <v>مشهد</v>
      </c>
      <c r="F1592" s="5"/>
      <c r="G1592" s="5"/>
      <c r="H1592" s="6" t="str">
        <f>IFERROR(__xludf.DUMMYFUNCTION("""COMPUTED_VALUE"""),"https://www.instagram.com/khademine_14/")</f>
        <v>https://www.instagram.com/khademine_14/</v>
      </c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</row>
    <row r="1593">
      <c r="A1593" s="5"/>
      <c r="B1593" s="5" t="str">
        <f>IFERROR(__xludf.DUMMYFUNCTION("""COMPUTED_VALUE"""),"هیأت")</f>
        <v>هیأت</v>
      </c>
      <c r="C1593" s="5" t="str">
        <f>IFERROR(__xludf.DUMMYFUNCTION("""COMPUTED_VALUE"""),"آستان مقدس شهیدان")</f>
        <v>آستان مقدس شهیدان</v>
      </c>
      <c r="D1593" s="5" t="str">
        <f>IFERROR(__xludf.DUMMYFUNCTION("""COMPUTED_VALUE"""),"خرسان رضوی")</f>
        <v>خرسان رضوی</v>
      </c>
      <c r="E1593" s="5" t="str">
        <f>IFERROR(__xludf.DUMMYFUNCTION("""COMPUTED_VALUE"""),"سبزوار")</f>
        <v>سبزوار</v>
      </c>
      <c r="F1593" s="5"/>
      <c r="G1593" s="5"/>
      <c r="H1593" s="5"/>
      <c r="I1593" s="5"/>
      <c r="J1593" s="6" t="str">
        <f>IFERROR(__xludf.DUMMYFUNCTION("""COMPUTED_VALUE"""),"https://eitaa.com/Astane_shahidane_sabzevar")</f>
        <v>https://eitaa.com/Astane_shahidane_sabzevar</v>
      </c>
      <c r="K1593" s="5"/>
      <c r="L1593" s="5"/>
      <c r="M1593" s="5"/>
      <c r="N1593" s="5"/>
      <c r="O1593" s="5"/>
      <c r="P1593" s="5"/>
      <c r="Q1593" s="5"/>
      <c r="R1593" s="5"/>
      <c r="S1593" s="5"/>
    </row>
    <row r="1594">
      <c r="A1594" s="5"/>
      <c r="B1594" s="5" t="str">
        <f>IFERROR(__xludf.DUMMYFUNCTION("""COMPUTED_VALUE"""),"هیأت")</f>
        <v>هیأت</v>
      </c>
      <c r="C1594" s="5" t="str">
        <f>IFERROR(__xludf.DUMMYFUNCTION("""COMPUTED_VALUE"""),"انصارالحسین (ع)")</f>
        <v>انصارالحسین (ع)</v>
      </c>
      <c r="D1594" s="5" t="str">
        <f>IFERROR(__xludf.DUMMYFUNCTION("""COMPUTED_VALUE"""),"خرسان رضوی")</f>
        <v>خرسان رضوی</v>
      </c>
      <c r="E1594" s="5" t="str">
        <f>IFERROR(__xludf.DUMMYFUNCTION("""COMPUTED_VALUE"""),"سبزوار")</f>
        <v>سبزوار</v>
      </c>
      <c r="F1594" s="5"/>
      <c r="G1594" s="5"/>
      <c r="H1594" s="6" t="str">
        <f>IFERROR(__xludf.DUMMYFUNCTION("""COMPUTED_VALUE"""),"https://www.instagram.com/ansar_hosein_sbz/")</f>
        <v>https://www.instagram.com/ansar_hosein_sbz/</v>
      </c>
      <c r="I1594" s="5"/>
      <c r="J1594" s="6" t="str">
        <f>IFERROR(__xludf.DUMMYFUNCTION("""COMPUTED_VALUE"""),"eitaa.com/ansarhosseinim")</f>
        <v>eitaa.com/ansarhosseinim</v>
      </c>
      <c r="K1594" s="5"/>
      <c r="L1594" s="5"/>
      <c r="M1594" s="5"/>
      <c r="N1594" s="5"/>
      <c r="O1594" s="5"/>
      <c r="P1594" s="5"/>
      <c r="Q1594" s="5"/>
      <c r="R1594" s="5"/>
      <c r="S1594" s="5"/>
    </row>
    <row r="1595">
      <c r="A1595" s="5"/>
      <c r="B1595" s="5" t="str">
        <f>IFERROR(__xludf.DUMMYFUNCTION("""COMPUTED_VALUE"""),"هیأت")</f>
        <v>هیأت</v>
      </c>
      <c r="C1595" s="5" t="str">
        <f>IFERROR(__xludf.DUMMYFUNCTION("""COMPUTED_VALUE"""),"رهروان حضرت قاسم (ع)")</f>
        <v>رهروان حضرت قاسم (ع)</v>
      </c>
      <c r="D1595" s="5" t="str">
        <f>IFERROR(__xludf.DUMMYFUNCTION("""COMPUTED_VALUE"""),"خرسان رضوی")</f>
        <v>خرسان رضوی</v>
      </c>
      <c r="E1595" s="5" t="str">
        <f>IFERROR(__xludf.DUMMYFUNCTION("""COMPUTED_VALUE"""),"فریمان")</f>
        <v>فریمان</v>
      </c>
      <c r="F1595" s="5"/>
      <c r="G1595" s="5"/>
      <c r="H1595" s="6" t="str">
        <f>IFERROR(__xludf.DUMMYFUNCTION("""COMPUTED_VALUE"""),"https://www.instagram.com/rahrovan_ghasem_f/")</f>
        <v>https://www.instagram.com/rahrovan_ghasem_f/</v>
      </c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</row>
    <row r="1596">
      <c r="A1596" s="5"/>
      <c r="B1596" s="5" t="str">
        <f>IFERROR(__xludf.DUMMYFUNCTION("""COMPUTED_VALUE"""),"هیأت")</f>
        <v>هیأت</v>
      </c>
      <c r="C1596" s="5" t="str">
        <f>IFERROR(__xludf.DUMMYFUNCTION("""COMPUTED_VALUE"""),"جوانان عاشورایی")</f>
        <v>جوانان عاشورایی</v>
      </c>
      <c r="D1596" s="5" t="str">
        <f>IFERROR(__xludf.DUMMYFUNCTION("""COMPUTED_VALUE"""),"خرسان رضوی")</f>
        <v>خرسان رضوی</v>
      </c>
      <c r="E1596" s="5" t="str">
        <f>IFERROR(__xludf.DUMMYFUNCTION("""COMPUTED_VALUE"""),"خواف")</f>
        <v>خواف</v>
      </c>
      <c r="F1596" s="5" t="str">
        <f>IFERROR(__xludf.DUMMYFUNCTION("""COMPUTED_VALUE"""),"‍‍")</f>
        <v>‍‍</v>
      </c>
      <c r="G1596" s="5"/>
      <c r="H1596" s="6" t="str">
        <f>IFERROR(__xludf.DUMMYFUNCTION("""COMPUTED_VALUE"""),"https://www.instagram.com/heyate_javanan_salami/")</f>
        <v>https://www.instagram.com/heyate_javanan_salami/</v>
      </c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</row>
    <row r="1597">
      <c r="A1597" s="5"/>
      <c r="B1597" s="5" t="str">
        <f>IFERROR(__xludf.DUMMYFUNCTION("""COMPUTED_VALUE"""),"هیأت")</f>
        <v>هیأت</v>
      </c>
      <c r="C1597" s="5" t="str">
        <f>IFERROR(__xludf.DUMMYFUNCTION("""COMPUTED_VALUE"""),"جوانان صاحب الزمانی (عج)")</f>
        <v>جوانان صاحب الزمانی (عج)</v>
      </c>
      <c r="D1597" s="5" t="str">
        <f>IFERROR(__xludf.DUMMYFUNCTION("""COMPUTED_VALUE"""),"خرسان رضوی")</f>
        <v>خرسان رضوی</v>
      </c>
      <c r="E1597" s="5" t="str">
        <f>IFERROR(__xludf.DUMMYFUNCTION("""COMPUTED_VALUE"""),"جغتای")</f>
        <v>جغتای</v>
      </c>
      <c r="F1597" s="5"/>
      <c r="G1597" s="5"/>
      <c r="H1597" s="6" t="str">
        <f>IFERROR(__xludf.DUMMYFUNCTION("""COMPUTED_VALUE"""),"https://www.instagram.com/joghatay_heyat/")</f>
        <v>https://www.instagram.com/joghatay_heyat/</v>
      </c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</row>
    <row r="1598">
      <c r="A1598" s="5"/>
      <c r="B1598" s="5" t="str">
        <f>IFERROR(__xludf.DUMMYFUNCTION("""COMPUTED_VALUE"""),"هیأت")</f>
        <v>هیأت</v>
      </c>
      <c r="C1598" s="5" t="str">
        <f>IFERROR(__xludf.DUMMYFUNCTION("""COMPUTED_VALUE"""),"عشاق المهدی")</f>
        <v>عشاق المهدی</v>
      </c>
      <c r="D1598" s="5" t="str">
        <f>IFERROR(__xludf.DUMMYFUNCTION("""COMPUTED_VALUE"""),"خرسان رضوی")</f>
        <v>خرسان رضوی</v>
      </c>
      <c r="E1598" s="5" t="str">
        <f>IFERROR(__xludf.DUMMYFUNCTION("""COMPUTED_VALUE"""),"مشهد")</f>
        <v>مشهد</v>
      </c>
      <c r="F1598" s="5"/>
      <c r="G1598" s="5"/>
      <c r="H1598" s="6" t="str">
        <f>IFERROR(__xludf.DUMMYFUNCTION("""COMPUTED_VALUE"""),"https://www.instagram.com/nokarha_315/")</f>
        <v>https://www.instagram.com/nokarha_315/</v>
      </c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</row>
    <row r="1599">
      <c r="A1599" s="5"/>
      <c r="B1599" s="5" t="str">
        <f>IFERROR(__xludf.DUMMYFUNCTION("""COMPUTED_VALUE"""),"هیأت")</f>
        <v>هیأت</v>
      </c>
      <c r="C1599" s="5" t="str">
        <f>IFERROR(__xludf.DUMMYFUNCTION("""COMPUTED_VALUE"""),"الشهدا")</f>
        <v>الشهدا</v>
      </c>
      <c r="D1599" s="5" t="str">
        <f>IFERROR(__xludf.DUMMYFUNCTION("""COMPUTED_VALUE"""),"خرسان رضوی")</f>
        <v>خرسان رضوی</v>
      </c>
      <c r="E1599" s="5" t="str">
        <f>IFERROR(__xludf.DUMMYFUNCTION("""COMPUTED_VALUE"""),"نیشابور")</f>
        <v>نیشابور</v>
      </c>
      <c r="F1599" s="5"/>
      <c r="G1599" s="5"/>
      <c r="H1599" s="6" t="str">
        <f>IFERROR(__xludf.DUMMYFUNCTION("""COMPUTED_VALUE"""),"https://www.instagram.com/zarih_8/")</f>
        <v>https://www.instagram.com/zarih_8/</v>
      </c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</row>
    <row r="1600">
      <c r="A1600" s="5"/>
      <c r="B1600" s="5" t="str">
        <f>IFERROR(__xludf.DUMMYFUNCTION("""COMPUTED_VALUE"""),"هیأت")</f>
        <v>هیأت</v>
      </c>
      <c r="C1600" s="5" t="str">
        <f>IFERROR(__xludf.DUMMYFUNCTION("""COMPUTED_VALUE"""),"عقیلة العرب")</f>
        <v>عقیلة العرب</v>
      </c>
      <c r="D1600" s="5" t="str">
        <f>IFERROR(__xludf.DUMMYFUNCTION("""COMPUTED_VALUE"""),"خرسان رضوی")</f>
        <v>خرسان رضوی</v>
      </c>
      <c r="E1600" s="5" t="str">
        <f>IFERROR(__xludf.DUMMYFUNCTION("""COMPUTED_VALUE"""),"گناباد")</f>
        <v>گناباد</v>
      </c>
      <c r="F1600" s="5"/>
      <c r="G1600" s="5"/>
      <c r="H1600" s="5"/>
      <c r="I1600" s="5"/>
      <c r="J1600" s="6" t="str">
        <f>IFERROR(__xludf.DUMMYFUNCTION("""COMPUTED_VALUE"""),"https://eitaa.com/aghilatolarabgonabad")</f>
        <v>https://eitaa.com/aghilatolarabgonabad</v>
      </c>
      <c r="K1600" s="5"/>
      <c r="L1600" s="5"/>
      <c r="M1600" s="5"/>
      <c r="N1600" s="5"/>
      <c r="O1600" s="5"/>
      <c r="P1600" s="5"/>
      <c r="Q1600" s="5"/>
      <c r="R1600" s="5"/>
      <c r="S1600" s="5"/>
    </row>
    <row r="1601">
      <c r="A1601" s="5"/>
      <c r="B1601" s="5" t="str">
        <f>IFERROR(__xludf.DUMMYFUNCTION("""COMPUTED_VALUE"""),"حسینیه")</f>
        <v>حسینیه</v>
      </c>
      <c r="C1601" s="5" t="str">
        <f>IFERROR(__xludf.DUMMYFUNCTION("""COMPUTED_VALUE"""),"متحده ابوالفضلی ")</f>
        <v>متحده ابوالفضلی </v>
      </c>
      <c r="D1601" s="5" t="str">
        <f>IFERROR(__xludf.DUMMYFUNCTION("""COMPUTED_VALUE"""),"خرسان رضوی")</f>
        <v>خرسان رضوی</v>
      </c>
      <c r="E1601" s="5" t="str">
        <f>IFERROR(__xludf.DUMMYFUNCTION("""COMPUTED_VALUE"""),"کاشمر")</f>
        <v>کاشمر</v>
      </c>
      <c r="F1601" s="5"/>
      <c r="G1601" s="5"/>
      <c r="H1601" s="6" t="str">
        <f>IFERROR(__xludf.DUMMYFUNCTION("""COMPUTED_VALUE"""),"https://www.instagram.com/abolfazli.kashmar/")</f>
        <v>https://www.instagram.com/abolfazli.kashmar/</v>
      </c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</row>
    <row r="1602">
      <c r="A1602" s="5"/>
      <c r="B1602" s="5" t="str">
        <f>IFERROR(__xludf.DUMMYFUNCTION("""COMPUTED_VALUE"""),"هیأت")</f>
        <v>هیأت</v>
      </c>
      <c r="C1602" s="5" t="str">
        <f>IFERROR(__xludf.DUMMYFUNCTION("""COMPUTED_VALUE"""),"جوادالائمه(ع)")</f>
        <v>جوادالائمه(ع)</v>
      </c>
      <c r="D1602" s="5" t="str">
        <f>IFERROR(__xludf.DUMMYFUNCTION("""COMPUTED_VALUE"""),"خرسان رضوی")</f>
        <v>خرسان رضوی</v>
      </c>
      <c r="E1602" s="5" t="str">
        <f>IFERROR(__xludf.DUMMYFUNCTION("""COMPUTED_VALUE"""),"طرقبه")</f>
        <v>طرقبه</v>
      </c>
      <c r="F1602" s="5"/>
      <c r="G1602" s="5"/>
      <c r="H1602" s="6" t="str">
        <f>IFERROR(__xludf.DUMMYFUNCTION("""COMPUTED_VALUE"""),"https://www.instagram.com/heyat_javadallaemeh_hesar/")</f>
        <v>https://www.instagram.com/heyat_javadallaemeh_hesar/</v>
      </c>
      <c r="I1602" s="6" t="str">
        <f>IFERROR(__xludf.DUMMYFUNCTION("""COMPUTED_VALUE"""),"t.me/hyate_javadallaemeh_hesark")</f>
        <v>t.me/hyate_javadallaemeh_hesark</v>
      </c>
      <c r="J1602" s="5"/>
      <c r="K1602" s="5"/>
      <c r="L1602" s="5"/>
      <c r="M1602" s="5"/>
      <c r="N1602" s="5"/>
      <c r="O1602" s="5"/>
      <c r="P1602" s="5"/>
      <c r="Q1602" s="5"/>
      <c r="R1602" s="5"/>
      <c r="S1602" s="5"/>
    </row>
    <row r="1603">
      <c r="A1603" s="5"/>
      <c r="B1603" s="5" t="str">
        <f>IFERROR(__xludf.DUMMYFUNCTION("""COMPUTED_VALUE"""),"هیأت دانشجویی")</f>
        <v>هیأت دانشجویی</v>
      </c>
      <c r="C1603" s="5" t="str">
        <f>IFERROR(__xludf.DUMMYFUNCTION("""COMPUTED_VALUE"""),"یوسف زهرا (س)")</f>
        <v>یوسف زهرا (س)</v>
      </c>
      <c r="D1603" s="5" t="str">
        <f>IFERROR(__xludf.DUMMYFUNCTION("""COMPUTED_VALUE"""),"خرسان رضوی")</f>
        <v>خرسان رضوی</v>
      </c>
      <c r="E1603" s="5" t="str">
        <f>IFERROR(__xludf.DUMMYFUNCTION("""COMPUTED_VALUE"""),"سبزوار")</f>
        <v>سبزوار</v>
      </c>
      <c r="F1603" s="5"/>
      <c r="G1603" s="5"/>
      <c r="H1603" s="6" t="str">
        <f>IFERROR(__xludf.DUMMYFUNCTION("""COMPUTED_VALUE"""),"https://www.instagram.com/heyat.yosef.zahra/")</f>
        <v>https://www.instagram.com/heyat.yosef.zahra/</v>
      </c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</row>
    <row r="1604">
      <c r="A1604" s="5"/>
      <c r="B1604" s="5" t="str">
        <f>IFERROR(__xludf.DUMMYFUNCTION("""COMPUTED_VALUE"""),"هیأت")</f>
        <v>هیأت</v>
      </c>
      <c r="C1604" s="5" t="str">
        <f>IFERROR(__xludf.DUMMYFUNCTION("""COMPUTED_VALUE"""),"عاشقان ثارالله")</f>
        <v>عاشقان ثارالله</v>
      </c>
      <c r="D1604" s="5" t="str">
        <f>IFERROR(__xludf.DUMMYFUNCTION("""COMPUTED_VALUE"""),"خرسان رضوی")</f>
        <v>خرسان رضوی</v>
      </c>
      <c r="E1604" s="5" t="str">
        <f>IFERROR(__xludf.DUMMYFUNCTION("""COMPUTED_VALUE"""),"تربت حیدریه")</f>
        <v>تربت حیدریه</v>
      </c>
      <c r="F1604" s="5"/>
      <c r="G1604" s="5"/>
      <c r="H1604" s="5"/>
      <c r="I1604" s="6" t="str">
        <f>IFERROR(__xludf.DUMMYFUNCTION("""COMPUTED_VALUE"""),"https://t.me/sarall36")</f>
        <v>https://t.me/sarall36</v>
      </c>
      <c r="J1604" s="5"/>
      <c r="K1604" s="5"/>
      <c r="L1604" s="5"/>
      <c r="M1604" s="5"/>
      <c r="N1604" s="5"/>
      <c r="O1604" s="5"/>
      <c r="P1604" s="5"/>
      <c r="Q1604" s="5"/>
      <c r="R1604" s="5"/>
      <c r="S1604" s="5"/>
    </row>
    <row r="1605">
      <c r="A1605" s="5"/>
      <c r="B1605" s="5" t="str">
        <f>IFERROR(__xludf.DUMMYFUNCTION("""COMPUTED_VALUE"""),"هیأت")</f>
        <v>هیأت</v>
      </c>
      <c r="C1605" s="5" t="str">
        <f>IFERROR(__xludf.DUMMYFUNCTION("""COMPUTED_VALUE"""),"عزیزالزهرا (متوسلین به مادر سادات) (س)")</f>
        <v>عزیزالزهرا (متوسلین به مادر سادات) (س)</v>
      </c>
      <c r="D1605" s="5" t="str">
        <f>IFERROR(__xludf.DUMMYFUNCTION("""COMPUTED_VALUE"""),"خرسان رضوی")</f>
        <v>خرسان رضوی</v>
      </c>
      <c r="E1605" s="5" t="str">
        <f>IFERROR(__xludf.DUMMYFUNCTION("""COMPUTED_VALUE"""),"مشهد")</f>
        <v>مشهد</v>
      </c>
      <c r="F1605" s="5"/>
      <c r="G1605" s="5"/>
      <c r="H1605" s="6" t="str">
        <f>IFERROR(__xludf.DUMMYFUNCTION("""COMPUTED_VALUE"""),"https://www.instagram.com/heyat_azizo_zahra/")</f>
        <v>https://www.instagram.com/heyat_azizo_zahra/</v>
      </c>
      <c r="I1605" s="6" t="str">
        <f>IFERROR(__xludf.DUMMYFUNCTION("""COMPUTED_VALUE"""),"https://t.me/Motahari1400")</f>
        <v>https://t.me/Motahari1400</v>
      </c>
      <c r="J1605" s="5"/>
      <c r="K1605" s="5"/>
      <c r="L1605" s="5"/>
      <c r="M1605" s="5"/>
      <c r="N1605" s="5"/>
      <c r="O1605" s="5"/>
      <c r="P1605" s="5"/>
      <c r="Q1605" s="5"/>
      <c r="R1605" s="5"/>
      <c r="S1605" s="5"/>
    </row>
    <row r="1606">
      <c r="A1606" s="5"/>
      <c r="B1606" s="5" t="str">
        <f>IFERROR(__xludf.DUMMYFUNCTION("""COMPUTED_VALUE"""),"حسینیه")</f>
        <v>حسینیه</v>
      </c>
      <c r="C1606" s="5" t="str">
        <f>IFERROR(__xludf.DUMMYFUNCTION("""COMPUTED_VALUE"""),"ثارالله")</f>
        <v>ثارالله</v>
      </c>
      <c r="D1606" s="5" t="str">
        <f>IFERROR(__xludf.DUMMYFUNCTION("""COMPUTED_VALUE"""),"خرسان رضوی")</f>
        <v>خرسان رضوی</v>
      </c>
      <c r="E1606" s="5" t="str">
        <f>IFERROR(__xludf.DUMMYFUNCTION("""COMPUTED_VALUE"""),"گناباد")</f>
        <v>گناباد</v>
      </c>
      <c r="F1606" s="5"/>
      <c r="G1606" s="5"/>
      <c r="H1606" s="6" t="str">
        <f>IFERROR(__xludf.DUMMYFUNCTION("""COMPUTED_VALUE"""),"https://www.instagram.com/rayatolabbas_gh/")</f>
        <v>https://www.instagram.com/rayatolabbas_gh/</v>
      </c>
      <c r="I1606" s="6" t="str">
        <f>IFERROR(__xludf.DUMMYFUNCTION("""COMPUTED_VALUE"""),"t.me/rayatolabbas_gh")</f>
        <v>t.me/rayatolabbas_gh</v>
      </c>
      <c r="J1606" s="5"/>
      <c r="K1606" s="5"/>
      <c r="L1606" s="5"/>
      <c r="M1606" s="5"/>
      <c r="N1606" s="5"/>
      <c r="O1606" s="5"/>
      <c r="P1606" s="5"/>
      <c r="Q1606" s="5"/>
      <c r="R1606" s="5"/>
      <c r="S1606" s="5"/>
    </row>
    <row r="1607">
      <c r="A1607" s="5"/>
      <c r="B1607" s="5" t="str">
        <f>IFERROR(__xludf.DUMMYFUNCTION("""COMPUTED_VALUE"""),"هیأت")</f>
        <v>هیأت</v>
      </c>
      <c r="C1607" s="5" t="str">
        <f>IFERROR(__xludf.DUMMYFUNCTION("""COMPUTED_VALUE"""),"مکتب النبی(ص)")</f>
        <v>مکتب النبی(ص)</v>
      </c>
      <c r="D1607" s="5" t="str">
        <f>IFERROR(__xludf.DUMMYFUNCTION("""COMPUTED_VALUE"""),"خرسان رضوی")</f>
        <v>خرسان رضوی</v>
      </c>
      <c r="E1607" s="5" t="str">
        <f>IFERROR(__xludf.DUMMYFUNCTION("""COMPUTED_VALUE"""),"مشهد")</f>
        <v>مشهد</v>
      </c>
      <c r="F1607" s="5"/>
      <c r="G1607" s="5"/>
      <c r="H1607" s="6" t="str">
        <f>IFERROR(__xludf.DUMMYFUNCTION("""COMPUTED_VALUE"""),"https://www.instagram.com/maktab_nabi/")</f>
        <v>https://www.instagram.com/maktab_nabi/</v>
      </c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</row>
    <row r="1608">
      <c r="A1608" s="5"/>
      <c r="B1608" s="5" t="str">
        <f>IFERROR(__xludf.DUMMYFUNCTION("""COMPUTED_VALUE"""),"هیأت")</f>
        <v>هیأت</v>
      </c>
      <c r="C1608" s="5" t="str">
        <f>IFERROR(__xludf.DUMMYFUNCTION("""COMPUTED_VALUE"""),"محبان الحسین (ع)")</f>
        <v>محبان الحسین (ع)</v>
      </c>
      <c r="D1608" s="5" t="str">
        <f>IFERROR(__xludf.DUMMYFUNCTION("""COMPUTED_VALUE"""),"خرسان رضوی")</f>
        <v>خرسان رضوی</v>
      </c>
      <c r="E1608" s="5" t="str">
        <f>IFERROR(__xludf.DUMMYFUNCTION("""COMPUTED_VALUE"""),"بردسکن")</f>
        <v>بردسکن</v>
      </c>
      <c r="F1608" s="5"/>
      <c r="G1608" s="5"/>
      <c r="H1608" s="6" t="str">
        <f>IFERROR(__xludf.DUMMYFUNCTION("""COMPUTED_VALUE"""),"https://www.instagram.com/mohebbanolhosseinn/")</f>
        <v>https://www.instagram.com/mohebbanolhosseinn/</v>
      </c>
      <c r="I1608" s="6" t="str">
        <f>IFERROR(__xludf.DUMMYFUNCTION("""COMPUTED_VALUE"""),"t.me/mohebbanalhosin")</f>
        <v>t.me/mohebbanalhosin</v>
      </c>
      <c r="J1608" s="5"/>
      <c r="K1608" s="5"/>
      <c r="L1608" s="5"/>
      <c r="M1608" s="5"/>
      <c r="N1608" s="5"/>
      <c r="O1608" s="5"/>
      <c r="P1608" s="5"/>
      <c r="Q1608" s="5"/>
      <c r="R1608" s="5"/>
      <c r="S1608" s="5"/>
    </row>
    <row r="1609">
      <c r="A1609" s="5"/>
      <c r="B1609" s="5" t="str">
        <f>IFERROR(__xludf.DUMMYFUNCTION("""COMPUTED_VALUE"""),"هیأت")</f>
        <v>هیأت</v>
      </c>
      <c r="C1609" s="5" t="str">
        <f>IFERROR(__xludf.DUMMYFUNCTION("""COMPUTED_VALUE"""),"محبان اهل بیت ")</f>
        <v>محبان اهل بیت </v>
      </c>
      <c r="D1609" s="5" t="str">
        <f>IFERROR(__xludf.DUMMYFUNCTION("""COMPUTED_VALUE"""),"خرسان رضوی")</f>
        <v>خرسان رضوی</v>
      </c>
      <c r="E1609" s="5" t="str">
        <f>IFERROR(__xludf.DUMMYFUNCTION("""COMPUTED_VALUE"""),"مشهد")</f>
        <v>مشهد</v>
      </c>
      <c r="F1609" s="5"/>
      <c r="G1609" s="5"/>
      <c r="H1609" s="6" t="str">
        <f>IFERROR(__xludf.DUMMYFUNCTION("""COMPUTED_VALUE"""),"https://www.instagram.com/m_ahlebeit/")</f>
        <v>https://www.instagram.com/m_ahlebeit/</v>
      </c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</row>
    <row r="1610">
      <c r="A1610" s="5"/>
      <c r="B1610" s="5" t="str">
        <f>IFERROR(__xludf.DUMMYFUNCTION("""COMPUTED_VALUE"""),"هیأت")</f>
        <v>هیأت</v>
      </c>
      <c r="C1610" s="5" t="str">
        <f>IFERROR(__xludf.DUMMYFUNCTION("""COMPUTED_VALUE"""),"شهدای گمنام")</f>
        <v>شهدای گمنام</v>
      </c>
      <c r="D1610" s="5" t="str">
        <f>IFERROR(__xludf.DUMMYFUNCTION("""COMPUTED_VALUE"""),"خرسان رضوی")</f>
        <v>خرسان رضوی</v>
      </c>
      <c r="E1610" s="5" t="str">
        <f>IFERROR(__xludf.DUMMYFUNCTION("""COMPUTED_VALUE"""),"مشهد")</f>
        <v>مشهد</v>
      </c>
      <c r="F1610" s="5"/>
      <c r="G1610" s="5"/>
      <c r="H1610" s="6" t="str">
        <f>IFERROR(__xludf.DUMMYFUNCTION("""COMPUTED_VALUE"""),"https://www.instagram.com/heyate_shohadaye_gomnam_kh/")</f>
        <v>https://www.instagram.com/heyate_shohadaye_gomnam_kh/</v>
      </c>
      <c r="I1610" s="6" t="str">
        <f>IFERROR(__xludf.DUMMYFUNCTION("""COMPUTED_VALUE"""),"t.me/heyate_shohadaye_gomnam_kh")</f>
        <v>t.me/heyate_shohadaye_gomnam_kh</v>
      </c>
      <c r="J1610" s="5"/>
      <c r="K1610" s="5"/>
      <c r="L1610" s="5"/>
      <c r="M1610" s="5"/>
      <c r="N1610" s="5"/>
      <c r="O1610" s="5"/>
      <c r="P1610" s="5"/>
      <c r="Q1610" s="5"/>
      <c r="R1610" s="5"/>
      <c r="S1610" s="5"/>
    </row>
    <row r="1611">
      <c r="A1611" s="5"/>
      <c r="B1611" s="5" t="str">
        <f>IFERROR(__xludf.DUMMYFUNCTION("""COMPUTED_VALUE"""),"هیأت")</f>
        <v>هیأت</v>
      </c>
      <c r="C1611" s="5" t="str">
        <f>IFERROR(__xludf.DUMMYFUNCTION("""COMPUTED_VALUE"""),"محبان ابوالفضل(ع)")</f>
        <v>محبان ابوالفضل(ع)</v>
      </c>
      <c r="D1611" s="5" t="str">
        <f>IFERROR(__xludf.DUMMYFUNCTION("""COMPUTED_VALUE"""),"خرسان رضوی")</f>
        <v>خرسان رضوی</v>
      </c>
      <c r="E1611" s="5" t="str">
        <f>IFERROR(__xludf.DUMMYFUNCTION("""COMPUTED_VALUE"""),"مشهد")</f>
        <v>مشهد</v>
      </c>
      <c r="F1611" s="5"/>
      <c r="G1611" s="5"/>
      <c r="H1611" s="6" t="str">
        <f>IFERROR(__xludf.DUMMYFUNCTION("""COMPUTED_VALUE"""),"https://www.instagram.com/moheban_abalfazll/")</f>
        <v>https://www.instagram.com/moheban_abalfazll/</v>
      </c>
      <c r="I1611" s="6" t="str">
        <f>IFERROR(__xludf.DUMMYFUNCTION("""COMPUTED_VALUE"""),"t.me/moheban_abalfazll")</f>
        <v>t.me/moheban_abalfazll</v>
      </c>
      <c r="J1611" s="5"/>
      <c r="K1611" s="5"/>
      <c r="L1611" s="5"/>
      <c r="M1611" s="5"/>
      <c r="N1611" s="5"/>
      <c r="O1611" s="5"/>
      <c r="P1611" s="5"/>
      <c r="Q1611" s="5"/>
      <c r="R1611" s="5"/>
      <c r="S1611" s="5"/>
    </row>
    <row r="1612">
      <c r="A1612" s="5"/>
      <c r="B1612" s="5" t="str">
        <f>IFERROR(__xludf.DUMMYFUNCTION("""COMPUTED_VALUE"""),"هیأت")</f>
        <v>هیأت</v>
      </c>
      <c r="C1612" s="5" t="str">
        <f>IFERROR(__xludf.DUMMYFUNCTION("""COMPUTED_VALUE"""),"انصار الحسین ")</f>
        <v>انصار الحسین </v>
      </c>
      <c r="D1612" s="5" t="str">
        <f>IFERROR(__xludf.DUMMYFUNCTION("""COMPUTED_VALUE"""),"خرسان رضوی")</f>
        <v>خرسان رضوی</v>
      </c>
      <c r="E1612" s="5" t="str">
        <f>IFERROR(__xludf.DUMMYFUNCTION("""COMPUTED_VALUE"""),"گناباد")</f>
        <v>گناباد</v>
      </c>
      <c r="F1612" s="5"/>
      <c r="G1612" s="5"/>
      <c r="H1612" s="6" t="str">
        <f>IFERROR(__xludf.DUMMYFUNCTION("""COMPUTED_VALUE"""),"https://www.instagram.com/ansargonabad/")</f>
        <v>https://www.instagram.com/ansargonabad/</v>
      </c>
      <c r="I1612" s="6" t="str">
        <f>IFERROR(__xludf.DUMMYFUNCTION("""COMPUTED_VALUE"""),"t.me/ansargonabad")</f>
        <v>t.me/ansargonabad</v>
      </c>
      <c r="J1612" s="5"/>
      <c r="K1612" s="5"/>
      <c r="L1612" s="5"/>
      <c r="M1612" s="5"/>
      <c r="N1612" s="5"/>
      <c r="O1612" s="5"/>
      <c r="P1612" s="5"/>
      <c r="Q1612" s="5"/>
      <c r="R1612" s="5"/>
      <c r="S1612" s="5"/>
    </row>
    <row r="1613">
      <c r="A1613" s="5"/>
      <c r="B1613" s="5" t="str">
        <f>IFERROR(__xludf.DUMMYFUNCTION("""COMPUTED_VALUE"""),"هیأت")</f>
        <v>هیأت</v>
      </c>
      <c r="C1613" s="5" t="str">
        <f>IFERROR(__xludf.DUMMYFUNCTION("""COMPUTED_VALUE"""),"خادمین ائمه اطهار(ع)")</f>
        <v>خادمین ائمه اطهار(ع)</v>
      </c>
      <c r="D1613" s="5" t="str">
        <f>IFERROR(__xludf.DUMMYFUNCTION("""COMPUTED_VALUE"""),"خرسان رضوی")</f>
        <v>خرسان رضوی</v>
      </c>
      <c r="E1613" s="5" t="str">
        <f>IFERROR(__xludf.DUMMYFUNCTION("""COMPUTED_VALUE"""),"مشهد")</f>
        <v>مشهد</v>
      </c>
      <c r="F1613" s="5"/>
      <c r="G1613" s="5"/>
      <c r="H1613" s="6" t="str">
        <f>IFERROR(__xludf.DUMMYFUNCTION("""COMPUTED_VALUE"""),"https://www.instagram.com/m_khademin/")</f>
        <v>https://www.instagram.com/m_khademin/</v>
      </c>
      <c r="I1613" s="6" t="str">
        <f>IFERROR(__xludf.DUMMYFUNCTION("""COMPUTED_VALUE"""),"t.me/M_khademin")</f>
        <v>t.me/M_khademin</v>
      </c>
      <c r="J1613" s="5"/>
      <c r="K1613" s="5"/>
      <c r="L1613" s="5"/>
      <c r="M1613" s="5"/>
      <c r="N1613" s="5"/>
      <c r="O1613" s="5"/>
      <c r="P1613" s="5"/>
      <c r="Q1613" s="5"/>
      <c r="R1613" s="5"/>
      <c r="S1613" s="5"/>
    </row>
    <row r="1614">
      <c r="A1614" s="5"/>
      <c r="B1614" s="5" t="str">
        <f>IFERROR(__xludf.DUMMYFUNCTION("""COMPUTED_VALUE"""),"هیأت")</f>
        <v>هیأت</v>
      </c>
      <c r="C1614" s="5" t="str">
        <f>IFERROR(__xludf.DUMMYFUNCTION("""COMPUTED_VALUE"""),"والامقام کف العباس")</f>
        <v>والامقام کف العباس</v>
      </c>
      <c r="D1614" s="5" t="str">
        <f>IFERROR(__xludf.DUMMYFUNCTION("""COMPUTED_VALUE"""),"خرسان رضوی")</f>
        <v>خرسان رضوی</v>
      </c>
      <c r="E1614" s="5" t="str">
        <f>IFERROR(__xludf.DUMMYFUNCTION("""COMPUTED_VALUE"""),"سبزوار")</f>
        <v>سبزوار</v>
      </c>
      <c r="F1614" s="5"/>
      <c r="G1614" s="5"/>
      <c r="H1614" s="6" t="str">
        <f>IFERROR(__xludf.DUMMYFUNCTION("""COMPUTED_VALUE"""),"https://www.instagram.com/kafol.abbas.sabzevar/")</f>
        <v>https://www.instagram.com/kafol.abbas.sabzevar/</v>
      </c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</row>
    <row r="1615">
      <c r="A1615" s="5"/>
      <c r="B1615" s="5" t="str">
        <f>IFERROR(__xludf.DUMMYFUNCTION("""COMPUTED_VALUE"""),"هیأت")</f>
        <v>هیأت</v>
      </c>
      <c r="C1615" s="5" t="str">
        <f>IFERROR(__xludf.DUMMYFUNCTION("""COMPUTED_VALUE"""),"انصارالمهدی (عج) (دانش آموزی)")</f>
        <v>انصارالمهدی (عج) (دانش آموزی)</v>
      </c>
      <c r="D1615" s="5" t="str">
        <f>IFERROR(__xludf.DUMMYFUNCTION("""COMPUTED_VALUE"""),"خرسان رضوی")</f>
        <v>خرسان رضوی</v>
      </c>
      <c r="E1615" s="5" t="str">
        <f>IFERROR(__xludf.DUMMYFUNCTION("""COMPUTED_VALUE"""),"قوچان")</f>
        <v>قوچان</v>
      </c>
      <c r="F1615" s="5"/>
      <c r="G1615" s="5"/>
      <c r="H1615" s="6" t="str">
        <f>IFERROR(__xludf.DUMMYFUNCTION("""COMPUTED_VALUE"""),"https://www.instagram.com/ansarolmahdi_quchan/")</f>
        <v>https://www.instagram.com/ansarolmahdi_quchan/</v>
      </c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</row>
    <row r="1616">
      <c r="A1616" s="5"/>
      <c r="B1616" s="5" t="str">
        <f>IFERROR(__xludf.DUMMYFUNCTION("""COMPUTED_VALUE"""),"هیأت")</f>
        <v>هیأت</v>
      </c>
      <c r="C1616" s="5" t="str">
        <f>IFERROR(__xludf.DUMMYFUNCTION("""COMPUTED_VALUE"""),"عاشقان اباعبدالله(ع)")</f>
        <v>عاشقان اباعبدالله(ع)</v>
      </c>
      <c r="D1616" s="5" t="str">
        <f>IFERROR(__xludf.DUMMYFUNCTION("""COMPUTED_VALUE"""),"خرسان رضوی")</f>
        <v>خرسان رضوی</v>
      </c>
      <c r="E1616" s="5" t="str">
        <f>IFERROR(__xludf.DUMMYFUNCTION("""COMPUTED_VALUE"""),"مشهد")</f>
        <v>مشهد</v>
      </c>
      <c r="F1616" s="5"/>
      <c r="G1616" s="5"/>
      <c r="H1616" s="6" t="str">
        <f>IFERROR(__xludf.DUMMYFUNCTION("""COMPUTED_VALUE"""),"https://www.instagram.com/a_abaabdellah/")</f>
        <v>https://www.instagram.com/a_abaabdellah/</v>
      </c>
      <c r="I1616" s="6" t="str">
        <f>IFERROR(__xludf.DUMMYFUNCTION("""COMPUTED_VALUE"""),"t.me/a_abaabdellah")</f>
        <v>t.me/a_abaabdellah</v>
      </c>
      <c r="J1616" s="5"/>
      <c r="K1616" s="5"/>
      <c r="L1616" s="5"/>
      <c r="M1616" s="5"/>
      <c r="N1616" s="5"/>
      <c r="O1616" s="5"/>
      <c r="P1616" s="5"/>
      <c r="Q1616" s="5"/>
      <c r="R1616" s="5"/>
      <c r="S1616" s="5"/>
    </row>
    <row r="1617">
      <c r="A1617" s="5"/>
      <c r="B1617" s="5" t="str">
        <f>IFERROR(__xludf.DUMMYFUNCTION("""COMPUTED_VALUE"""),"هیأت")</f>
        <v>هیأت</v>
      </c>
      <c r="C1617" s="5" t="str">
        <f>IFERROR(__xludf.DUMMYFUNCTION("""COMPUTED_VALUE"""),"متوسلین به چهارده معصوم")</f>
        <v>متوسلین به چهارده معصوم</v>
      </c>
      <c r="D1617" s="5" t="str">
        <f>IFERROR(__xludf.DUMMYFUNCTION("""COMPUTED_VALUE"""),"خرسان رضوی")</f>
        <v>خرسان رضوی</v>
      </c>
      <c r="E1617" s="5" t="str">
        <f>IFERROR(__xludf.DUMMYFUNCTION("""COMPUTED_VALUE"""),"مشهد")</f>
        <v>مشهد</v>
      </c>
      <c r="F1617" s="5"/>
      <c r="G1617" s="5"/>
      <c r="H1617" s="6" t="str">
        <f>IFERROR(__xludf.DUMMYFUNCTION("""COMPUTED_VALUE"""),"https://www.instagram.com/chardahmassom/")</f>
        <v>https://www.instagram.com/chardahmassom/</v>
      </c>
      <c r="I1617" s="6" t="str">
        <f>IFERROR(__xludf.DUMMYFUNCTION("""COMPUTED_VALUE"""),"t.me/chardahmassom")</f>
        <v>t.me/chardahmassom</v>
      </c>
      <c r="J1617" s="5"/>
      <c r="K1617" s="5"/>
      <c r="L1617" s="5"/>
      <c r="M1617" s="5"/>
      <c r="N1617" s="5"/>
      <c r="O1617" s="5"/>
      <c r="P1617" s="5"/>
      <c r="Q1617" s="5"/>
      <c r="R1617" s="5"/>
      <c r="S1617" s="5"/>
    </row>
    <row r="1618">
      <c r="A1618" s="5"/>
      <c r="B1618" s="5" t="str">
        <f>IFERROR(__xludf.DUMMYFUNCTION("""COMPUTED_VALUE"""),"هیأت")</f>
        <v>هیأت</v>
      </c>
      <c r="C1618" s="5" t="str">
        <f>IFERROR(__xludf.DUMMYFUNCTION("""COMPUTED_VALUE"""),"فاطمیون یاران خراسانی")</f>
        <v>فاطمیون یاران خراسانی</v>
      </c>
      <c r="D1618" s="5" t="str">
        <f>IFERROR(__xludf.DUMMYFUNCTION("""COMPUTED_VALUE"""),"خرسان رضوی")</f>
        <v>خرسان رضوی</v>
      </c>
      <c r="E1618" s="5" t="str">
        <f>IFERROR(__xludf.DUMMYFUNCTION("""COMPUTED_VALUE"""),"مشهد")</f>
        <v>مشهد</v>
      </c>
      <c r="F1618" s="5"/>
      <c r="G1618" s="5"/>
      <c r="H1618" s="6" t="str">
        <f>IFERROR(__xludf.DUMMYFUNCTION("""COMPUTED_VALUE"""),"https://www.instagram.com/fatemiun_mashhad313/")</f>
        <v>https://www.instagram.com/fatemiun_mashhad313/</v>
      </c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</row>
    <row r="1619">
      <c r="A1619" s="5"/>
      <c r="B1619" s="5" t="str">
        <f>IFERROR(__xludf.DUMMYFUNCTION("""COMPUTED_VALUE"""),"هیأت")</f>
        <v>هیأت</v>
      </c>
      <c r="C1619" s="5" t="str">
        <f>IFERROR(__xludf.DUMMYFUNCTION("""COMPUTED_VALUE"""),"محبان امیرالمومنین(ع)")</f>
        <v>محبان امیرالمومنین(ع)</v>
      </c>
      <c r="D1619" s="5" t="str">
        <f>IFERROR(__xludf.DUMMYFUNCTION("""COMPUTED_VALUE"""),"خرسان رضوی")</f>
        <v>خرسان رضوی</v>
      </c>
      <c r="E1619" s="5" t="str">
        <f>IFERROR(__xludf.DUMMYFUNCTION("""COMPUTED_VALUE"""),"مشهد")</f>
        <v>مشهد</v>
      </c>
      <c r="F1619" s="5"/>
      <c r="G1619" s="5"/>
      <c r="H1619" s="6" t="str">
        <f>IFERROR(__xludf.DUMMYFUNCTION("""COMPUTED_VALUE"""),"https://www.instagram.com/mohebaneali/")</f>
        <v>https://www.instagram.com/mohebaneali/</v>
      </c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</row>
    <row r="1620">
      <c r="A1620" s="5"/>
      <c r="B1620" s="5" t="str">
        <f>IFERROR(__xludf.DUMMYFUNCTION("""COMPUTED_VALUE"""),"حسینیه")</f>
        <v>حسینیه</v>
      </c>
      <c r="C1620" s="5" t="str">
        <f>IFERROR(__xludf.DUMMYFUNCTION("""COMPUTED_VALUE"""),"سید الشهدا (ع)")</f>
        <v>سید الشهدا (ع)</v>
      </c>
      <c r="D1620" s="5" t="str">
        <f>IFERROR(__xludf.DUMMYFUNCTION("""COMPUTED_VALUE"""),"خرسان رضوی")</f>
        <v>خرسان رضوی</v>
      </c>
      <c r="E1620" s="5" t="str">
        <f>IFERROR(__xludf.DUMMYFUNCTION("""COMPUTED_VALUE"""),"مشهد")</f>
        <v>مشهد</v>
      </c>
      <c r="F1620" s="5"/>
      <c r="G1620" s="5"/>
      <c r="H1620" s="6" t="str">
        <f>IFERROR(__xludf.DUMMYFUNCTION("""COMPUTED_VALUE"""),"https://www.instagram.com/pooyeshparcham8/")</f>
        <v>https://www.instagram.com/pooyeshparcham8/</v>
      </c>
      <c r="I1620" s="6" t="str">
        <f>IFERROR(__xludf.DUMMYFUNCTION("""COMPUTED_VALUE"""),"eitaa.com/pooyeshparcham8")</f>
        <v>eitaa.com/pooyeshparcham8</v>
      </c>
      <c r="J1620" s="5"/>
      <c r="K1620" s="5"/>
      <c r="L1620" s="5"/>
      <c r="M1620" s="5"/>
      <c r="N1620" s="5"/>
      <c r="O1620" s="5"/>
      <c r="P1620" s="5"/>
      <c r="Q1620" s="5"/>
      <c r="R1620" s="5"/>
      <c r="S1620" s="5"/>
    </row>
    <row r="1621">
      <c r="A1621" s="5"/>
      <c r="B1621" s="5" t="str">
        <f>IFERROR(__xludf.DUMMYFUNCTION("""COMPUTED_VALUE"""),"حسینیه")</f>
        <v>حسینیه</v>
      </c>
      <c r="C1621" s="5" t="str">
        <f>IFERROR(__xludf.DUMMYFUNCTION("""COMPUTED_VALUE"""),"مسلم بن عقیل(ع)")</f>
        <v>مسلم بن عقیل(ع)</v>
      </c>
      <c r="D1621" s="5" t="str">
        <f>IFERROR(__xludf.DUMMYFUNCTION("""COMPUTED_VALUE"""),"خرسان رضوی")</f>
        <v>خرسان رضوی</v>
      </c>
      <c r="E1621" s="5" t="str">
        <f>IFERROR(__xludf.DUMMYFUNCTION("""COMPUTED_VALUE"""),"سبزوار")</f>
        <v>سبزوار</v>
      </c>
      <c r="F1621" s="5"/>
      <c r="G1621" s="5"/>
      <c r="H1621" s="6" t="str">
        <f>IFERROR(__xludf.DUMMYFUNCTION("""COMPUTED_VALUE"""),"https://www.instagram.com/moslemebneaghil_sabzevar/")</f>
        <v>https://www.instagram.com/moslemebneaghil_sabzevar/</v>
      </c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</row>
    <row r="1622">
      <c r="A1622" s="5"/>
      <c r="B1622" s="5" t="str">
        <f>IFERROR(__xludf.DUMMYFUNCTION("""COMPUTED_VALUE"""),"هیأت")</f>
        <v>هیأت</v>
      </c>
      <c r="C1622" s="5" t="str">
        <f>IFERROR(__xludf.DUMMYFUNCTION("""COMPUTED_VALUE"""),"علمدار کربلا")</f>
        <v>علمدار کربلا</v>
      </c>
      <c r="D1622" s="5" t="str">
        <f>IFERROR(__xludf.DUMMYFUNCTION("""COMPUTED_VALUE"""),"خرسان رضوی")</f>
        <v>خرسان رضوی</v>
      </c>
      <c r="E1622" s="5" t="str">
        <f>IFERROR(__xludf.DUMMYFUNCTION("""COMPUTED_VALUE"""),"بردسکن")</f>
        <v>بردسکن</v>
      </c>
      <c r="F1622" s="5"/>
      <c r="G1622" s="5"/>
      <c r="H1622" s="6" t="str">
        <f>IFERROR(__xludf.DUMMYFUNCTION("""COMPUTED_VALUE"""),"https://www.instagram.com/alamdar_brd/")</f>
        <v>https://www.instagram.com/alamdar_brd/</v>
      </c>
      <c r="I1622" s="6" t="str">
        <f>IFERROR(__xludf.DUMMYFUNCTION("""COMPUTED_VALUE"""),"https://t.me/alamdarbrd98")</f>
        <v>https://t.me/alamdarbrd98</v>
      </c>
      <c r="J1622" s="5"/>
      <c r="K1622" s="5"/>
      <c r="L1622" s="5"/>
      <c r="M1622" s="5"/>
      <c r="N1622" s="5"/>
      <c r="O1622" s="5"/>
      <c r="P1622" s="5"/>
      <c r="Q1622" s="5"/>
      <c r="R1622" s="5"/>
      <c r="S1622" s="5"/>
    </row>
    <row r="1623">
      <c r="A1623" s="5"/>
      <c r="B1623" s="5" t="str">
        <f>IFERROR(__xludf.DUMMYFUNCTION("""COMPUTED_VALUE"""),"حسینیه ")</f>
        <v>حسینیه </v>
      </c>
      <c r="C1623" s="5" t="str">
        <f>IFERROR(__xludf.DUMMYFUNCTION("""COMPUTED_VALUE"""),"محبان الزهرا")</f>
        <v>محبان الزهرا</v>
      </c>
      <c r="D1623" s="5" t="str">
        <f>IFERROR(__xludf.DUMMYFUNCTION("""COMPUTED_VALUE"""),"خرسان رضوی")</f>
        <v>خرسان رضوی</v>
      </c>
      <c r="E1623" s="5" t="str">
        <f>IFERROR(__xludf.DUMMYFUNCTION("""COMPUTED_VALUE"""),"مشهد")</f>
        <v>مشهد</v>
      </c>
      <c r="F1623" s="5"/>
      <c r="G1623" s="5"/>
      <c r="H1623" s="6" t="str">
        <f>IFERROR(__xludf.DUMMYFUNCTION("""COMPUTED_VALUE"""),"https://www.instagram.com/mohebban_27/")</f>
        <v>https://www.instagram.com/mohebban_27/</v>
      </c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</row>
    <row r="1624">
      <c r="A1624" s="5"/>
      <c r="B1624" s="5" t="str">
        <f>IFERROR(__xludf.DUMMYFUNCTION("""COMPUTED_VALUE"""),"هیأت")</f>
        <v>هیأت</v>
      </c>
      <c r="C1624" s="5" t="str">
        <f>IFERROR(__xludf.DUMMYFUNCTION("""COMPUTED_VALUE"""),"عشاق الحسین(ع)")</f>
        <v>عشاق الحسین(ع)</v>
      </c>
      <c r="D1624" s="5" t="str">
        <f>IFERROR(__xludf.DUMMYFUNCTION("""COMPUTED_VALUE"""),"خرسان رضوی")</f>
        <v>خرسان رضوی</v>
      </c>
      <c r="E1624" s="5" t="str">
        <f>IFERROR(__xludf.DUMMYFUNCTION("""COMPUTED_VALUE"""),"مشهد")</f>
        <v>مشهد</v>
      </c>
      <c r="F1624" s="5"/>
      <c r="G1624" s="5"/>
      <c r="H1624" s="6" t="str">
        <f>IFERROR(__xludf.DUMMYFUNCTION("""COMPUTED_VALUE"""),"https://www.instagram.com/oshaghalhossayn/")</f>
        <v>https://www.instagram.com/oshaghalhossayn/</v>
      </c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</row>
    <row r="1625">
      <c r="A1625" s="5"/>
      <c r="B1625" s="5" t="str">
        <f>IFERROR(__xludf.DUMMYFUNCTION("""COMPUTED_VALUE"""),"هیأت")</f>
        <v>هیأت</v>
      </c>
      <c r="C1625" s="5" t="str">
        <f>IFERROR(__xludf.DUMMYFUNCTION("""COMPUTED_VALUE"""),"سائلان حیدر کرار(ع)")</f>
        <v>سائلان حیدر کرار(ع)</v>
      </c>
      <c r="D1625" s="5" t="str">
        <f>IFERROR(__xludf.DUMMYFUNCTION("""COMPUTED_VALUE"""),"خرسان رضوی")</f>
        <v>خرسان رضوی</v>
      </c>
      <c r="E1625" s="5" t="str">
        <f>IFERROR(__xludf.DUMMYFUNCTION("""COMPUTED_VALUE"""),"مشهد")</f>
        <v>مشهد</v>
      </c>
      <c r="F1625" s="5"/>
      <c r="G1625" s="5"/>
      <c r="H1625" s="6" t="str">
        <f>IFERROR(__xludf.DUMMYFUNCTION("""COMPUTED_VALUE"""),"https://www.instagram.com/saelanheydar/")</f>
        <v>https://www.instagram.com/saelanheydar/</v>
      </c>
      <c r="I1625" s="6" t="str">
        <f>IFERROR(__xludf.DUMMYFUNCTION("""COMPUTED_VALUE"""),"tlgrm.me/saelanheydar")</f>
        <v>tlgrm.me/saelanheydar</v>
      </c>
      <c r="J1625" s="5"/>
      <c r="K1625" s="5"/>
      <c r="L1625" s="5"/>
      <c r="M1625" s="5"/>
      <c r="N1625" s="5"/>
      <c r="O1625" s="5"/>
      <c r="P1625" s="5"/>
      <c r="Q1625" s="5"/>
      <c r="R1625" s="5"/>
      <c r="S1625" s="5"/>
    </row>
    <row r="1626">
      <c r="A1626" s="5"/>
      <c r="B1626" s="5" t="str">
        <f>IFERROR(__xludf.DUMMYFUNCTION("""COMPUTED_VALUE"""),"هیأت")</f>
        <v>هیأت</v>
      </c>
      <c r="C1626" s="5" t="str">
        <f>IFERROR(__xludf.DUMMYFUNCTION("""COMPUTED_VALUE"""),"جلسه زیارت عاشورا")</f>
        <v>جلسه زیارت عاشورا</v>
      </c>
      <c r="D1626" s="5" t="str">
        <f>IFERROR(__xludf.DUMMYFUNCTION("""COMPUTED_VALUE"""),"خرسان رضوی")</f>
        <v>خرسان رضوی</v>
      </c>
      <c r="E1626" s="5" t="str">
        <f>IFERROR(__xludf.DUMMYFUNCTION("""COMPUTED_VALUE"""),"مشهد")</f>
        <v>مشهد</v>
      </c>
      <c r="F1626" s="5"/>
      <c r="G1626" s="5"/>
      <c r="H1626" s="6" t="str">
        <f>IFERROR(__xludf.DUMMYFUNCTION("""COMPUTED_VALUE"""),"https://www.instagram.com/ziarat_ashora/")</f>
        <v>https://www.instagram.com/ziarat_ashora/</v>
      </c>
      <c r="I1626" s="6" t="str">
        <f>IFERROR(__xludf.DUMMYFUNCTION("""COMPUTED_VALUE"""),"t.me/ziyarat69")</f>
        <v>t.me/ziyarat69</v>
      </c>
      <c r="J1626" s="5"/>
      <c r="K1626" s="5"/>
      <c r="L1626" s="5"/>
      <c r="M1626" s="5"/>
      <c r="N1626" s="5"/>
      <c r="O1626" s="5"/>
      <c r="P1626" s="5"/>
      <c r="Q1626" s="5"/>
      <c r="R1626" s="5"/>
      <c r="S1626" s="5"/>
    </row>
    <row r="1627">
      <c r="A1627" s="5"/>
      <c r="B1627" s="5" t="str">
        <f>IFERROR(__xludf.DUMMYFUNCTION("""COMPUTED_VALUE"""),"هیأت")</f>
        <v>هیأت</v>
      </c>
      <c r="C1627" s="5" t="str">
        <f>IFERROR(__xludf.DUMMYFUNCTION("""COMPUTED_VALUE"""),"آل طاها")</f>
        <v>آل طاها</v>
      </c>
      <c r="D1627" s="5" t="str">
        <f>IFERROR(__xludf.DUMMYFUNCTION("""COMPUTED_VALUE"""),"خرسان رضوی")</f>
        <v>خرسان رضوی</v>
      </c>
      <c r="E1627" s="5" t="str">
        <f>IFERROR(__xludf.DUMMYFUNCTION("""COMPUTED_VALUE"""),"مشهد")</f>
        <v>مشهد</v>
      </c>
      <c r="F1627" s="5"/>
      <c r="G1627" s="5"/>
      <c r="H1627" s="6" t="str">
        <f>IFERROR(__xludf.DUMMYFUNCTION("""COMPUTED_VALUE"""),"https://www.instagram.com/heyate_ale_taha/")</f>
        <v>https://www.instagram.com/heyate_ale_taha/</v>
      </c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</row>
    <row r="1628">
      <c r="A1628" s="5"/>
      <c r="B1628" s="5" t="str">
        <f>IFERROR(__xludf.DUMMYFUNCTION("""COMPUTED_VALUE"""),"هیأت")</f>
        <v>هیأت</v>
      </c>
      <c r="C1628" s="5" t="str">
        <f>IFERROR(__xludf.DUMMYFUNCTION("""COMPUTED_VALUE"""),"آل طه و یاسین")</f>
        <v>آل طه و یاسین</v>
      </c>
      <c r="D1628" s="5" t="str">
        <f>IFERROR(__xludf.DUMMYFUNCTION("""COMPUTED_VALUE"""),"خرسان رضوی")</f>
        <v>خرسان رضوی</v>
      </c>
      <c r="E1628" s="5" t="str">
        <f>IFERROR(__xludf.DUMMYFUNCTION("""COMPUTED_VALUE"""),"مشهد")</f>
        <v>مشهد</v>
      </c>
      <c r="F1628" s="5"/>
      <c r="G1628" s="5"/>
      <c r="H1628" s="6" t="str">
        <f>IFERROR(__xludf.DUMMYFUNCTION("""COMPUTED_VALUE"""),"https://www.instagram.com/ale_taha_yasin/")</f>
        <v>https://www.instagram.com/ale_taha_yasin/</v>
      </c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</row>
    <row r="1629">
      <c r="A1629" s="5"/>
      <c r="B1629" s="5" t="str">
        <f>IFERROR(__xludf.DUMMYFUNCTION("""COMPUTED_VALUE"""),"هیأت")</f>
        <v>هیأت</v>
      </c>
      <c r="C1629" s="5" t="str">
        <f>IFERROR(__xludf.DUMMYFUNCTION("""COMPUTED_VALUE"""),"محبان امیرالمومنین(ع)")</f>
        <v>محبان امیرالمومنین(ع)</v>
      </c>
      <c r="D1629" s="5" t="str">
        <f>IFERROR(__xludf.DUMMYFUNCTION("""COMPUTED_VALUE"""),"خرسان رضوی")</f>
        <v>خرسان رضوی</v>
      </c>
      <c r="E1629" s="5" t="str">
        <f>IFERROR(__xludf.DUMMYFUNCTION("""COMPUTED_VALUE"""),"مشهد")</f>
        <v>مشهد</v>
      </c>
      <c r="F1629" s="5"/>
      <c r="G1629" s="5"/>
      <c r="H1629" s="6" t="str">
        <f>IFERROR(__xludf.DUMMYFUNCTION("""COMPUTED_VALUE"""),"https://www.instagram.com/mokebabalfazl/")</f>
        <v>https://www.instagram.com/mokebabalfazl/</v>
      </c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</row>
    <row r="1630">
      <c r="A1630" s="5"/>
      <c r="B1630" s="5" t="str">
        <f>IFERROR(__xludf.DUMMYFUNCTION("""COMPUTED_VALUE"""),"هیأت")</f>
        <v>هیأت</v>
      </c>
      <c r="C1630" s="5" t="str">
        <f>IFERROR(__xludf.DUMMYFUNCTION("""COMPUTED_VALUE"""),"انصار المهدی رهروان شهدا")</f>
        <v>انصار المهدی رهروان شهدا</v>
      </c>
      <c r="D1630" s="5" t="str">
        <f>IFERROR(__xludf.DUMMYFUNCTION("""COMPUTED_VALUE"""),"خرسان رضوی")</f>
        <v>خرسان رضوی</v>
      </c>
      <c r="E1630" s="5" t="str">
        <f>IFERROR(__xludf.DUMMYFUNCTION("""COMPUTED_VALUE"""),"کاشمر")</f>
        <v>کاشمر</v>
      </c>
      <c r="F1630" s="5"/>
      <c r="G1630" s="5"/>
      <c r="H1630" s="5"/>
      <c r="I1630" s="5"/>
      <c r="J1630" s="6" t="str">
        <f>IFERROR(__xludf.DUMMYFUNCTION("""COMPUTED_VALUE"""),"https://eitaa.com/ansarolmahdi1431")</f>
        <v>https://eitaa.com/ansarolmahdi1431</v>
      </c>
      <c r="K1630" s="5"/>
      <c r="L1630" s="5"/>
      <c r="M1630" s="5"/>
      <c r="N1630" s="5"/>
      <c r="O1630" s="5"/>
      <c r="P1630" s="5"/>
      <c r="Q1630" s="5"/>
      <c r="R1630" s="5"/>
      <c r="S1630" s="5"/>
    </row>
    <row r="1631">
      <c r="A1631" s="5"/>
      <c r="B1631" s="5" t="str">
        <f>IFERROR(__xludf.DUMMYFUNCTION("""COMPUTED_VALUE"""),"هیأت")</f>
        <v>هیأت</v>
      </c>
      <c r="C1631" s="5" t="str">
        <f>IFERROR(__xludf.DUMMYFUNCTION("""COMPUTED_VALUE"""),"مذهبی ")</f>
        <v>مذهبی </v>
      </c>
      <c r="D1631" s="5" t="str">
        <f>IFERROR(__xludf.DUMMYFUNCTION("""COMPUTED_VALUE"""),"خرسان رضوی")</f>
        <v>خرسان رضوی</v>
      </c>
      <c r="E1631" s="5" t="str">
        <f>IFERROR(__xludf.DUMMYFUNCTION("""COMPUTED_VALUE"""),"گناباد")</f>
        <v>گناباد</v>
      </c>
      <c r="F1631" s="5"/>
      <c r="G1631" s="5"/>
      <c r="H1631" s="6" t="str">
        <f>IFERROR(__xludf.DUMMYFUNCTION("""COMPUTED_VALUE"""),"https://www.instagram.com/beyat_gonabad/")</f>
        <v>https://www.instagram.com/beyat_gonabad/</v>
      </c>
      <c r="I1631" s="6" t="str">
        <f>IFERROR(__xludf.DUMMYFUNCTION("""COMPUTED_VALUE"""),"t.me/Beyat_Gonabad")</f>
        <v>t.me/Beyat_Gonabad</v>
      </c>
      <c r="J1631" s="5"/>
      <c r="K1631" s="5"/>
      <c r="L1631" s="5"/>
      <c r="M1631" s="5"/>
      <c r="N1631" s="5"/>
      <c r="O1631" s="5"/>
      <c r="P1631" s="5"/>
      <c r="Q1631" s="5"/>
      <c r="R1631" s="5"/>
      <c r="S1631" s="5"/>
    </row>
    <row r="1632">
      <c r="A1632" s="5"/>
      <c r="B1632" s="5" t="str">
        <f>IFERROR(__xludf.DUMMYFUNCTION("""COMPUTED_VALUE"""),"هیأت")</f>
        <v>هیأت</v>
      </c>
      <c r="C1632" s="5" t="str">
        <f>IFERROR(__xludf.DUMMYFUNCTION("""COMPUTED_VALUE"""),"سید الشهدا (ع)")</f>
        <v>سید الشهدا (ع)</v>
      </c>
      <c r="D1632" s="5" t="str">
        <f>IFERROR(__xludf.DUMMYFUNCTION("""COMPUTED_VALUE"""),"خرسان رضوی")</f>
        <v>خرسان رضوی</v>
      </c>
      <c r="E1632" s="5" t="str">
        <f>IFERROR(__xludf.DUMMYFUNCTION("""COMPUTED_VALUE"""),"گناباد")</f>
        <v>گناباد</v>
      </c>
      <c r="F1632" s="5"/>
      <c r="G1632" s="5"/>
      <c r="H1632" s="6" t="str">
        <f>IFERROR(__xludf.DUMMYFUNCTION("""COMPUTED_VALUE"""),"https://www.instagram.com/sayedshohada128/")</f>
        <v>https://www.instagram.com/sayedshohada128/</v>
      </c>
      <c r="I1632" s="6" t="str">
        <f>IFERROR(__xludf.DUMMYFUNCTION("""COMPUTED_VALUE"""),"t.me/sayedshohada_128")</f>
        <v>t.me/sayedshohada_128</v>
      </c>
      <c r="J1632" s="5"/>
      <c r="K1632" s="5"/>
      <c r="L1632" s="5"/>
      <c r="M1632" s="5"/>
      <c r="N1632" s="5"/>
      <c r="O1632" s="5"/>
      <c r="P1632" s="5"/>
      <c r="Q1632" s="5"/>
      <c r="R1632" s="5"/>
      <c r="S1632" s="5"/>
    </row>
    <row r="1633">
      <c r="A1633" s="5"/>
      <c r="B1633" s="5" t="str">
        <f>IFERROR(__xludf.DUMMYFUNCTION("""COMPUTED_VALUE"""),"هیأت دانش آموزی")</f>
        <v>هیأت دانش آموزی</v>
      </c>
      <c r="C1633" s="5" t="str">
        <f>IFERROR(__xludf.DUMMYFUNCTION("""COMPUTED_VALUE"""),"احباب الرضا")</f>
        <v>احباب الرضا</v>
      </c>
      <c r="D1633" s="5" t="str">
        <f>IFERROR(__xludf.DUMMYFUNCTION("""COMPUTED_VALUE"""),"خرسان رضوی")</f>
        <v>خرسان رضوی</v>
      </c>
      <c r="E1633" s="5" t="str">
        <f>IFERROR(__xludf.DUMMYFUNCTION("""COMPUTED_VALUE"""),"مشهد")</f>
        <v>مشهد</v>
      </c>
      <c r="F1633" s="5"/>
      <c r="G1633" s="5"/>
      <c r="H1633" s="5"/>
      <c r="I1633" s="5"/>
      <c r="J1633" s="6" t="str">
        <f>IFERROR(__xludf.DUMMYFUNCTION("""COMPUTED_VALUE"""),"https://eitaa.com/hayyat_ahbab_alreza_susra")</f>
        <v>https://eitaa.com/hayyat_ahbab_alreza_susra</v>
      </c>
      <c r="K1633" s="5"/>
      <c r="L1633" s="5"/>
      <c r="M1633" s="5"/>
      <c r="N1633" s="5"/>
      <c r="O1633" s="5"/>
      <c r="P1633" s="5"/>
      <c r="Q1633" s="5"/>
      <c r="R1633" s="5"/>
      <c r="S1633" s="5"/>
    </row>
    <row r="1634">
      <c r="A1634" s="5"/>
      <c r="B1634" s="5" t="str">
        <f>IFERROR(__xludf.DUMMYFUNCTION("""COMPUTED_VALUE"""),"هیأت دانشجویی")</f>
        <v>هیأت دانشجویی</v>
      </c>
      <c r="C1634" s="5" t="str">
        <f>IFERROR(__xludf.DUMMYFUNCTION("""COMPUTED_VALUE"""),"محبان الحسن")</f>
        <v>محبان الحسن</v>
      </c>
      <c r="D1634" s="5" t="str">
        <f>IFERROR(__xludf.DUMMYFUNCTION("""COMPUTED_VALUE"""),"خرسان رضوی")</f>
        <v>خرسان رضوی</v>
      </c>
      <c r="E1634" s="5" t="str">
        <f>IFERROR(__xludf.DUMMYFUNCTION("""COMPUTED_VALUE"""),"سبزوار")</f>
        <v>سبزوار</v>
      </c>
      <c r="F1634" s="5"/>
      <c r="G1634" s="5"/>
      <c r="H1634" s="6" t="str">
        <f>IFERROR(__xludf.DUMMYFUNCTION("""COMPUTED_VALUE"""),"https://www.instagram.com/moheban_alhasan")</f>
        <v>https://www.instagram.com/moheban_alhasan</v>
      </c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</row>
    <row r="1635">
      <c r="A1635" s="5"/>
      <c r="B1635" s="5" t="str">
        <f>IFERROR(__xludf.DUMMYFUNCTION("""COMPUTED_VALUE"""),"مسجد")</f>
        <v>مسجد</v>
      </c>
      <c r="C1635" s="5" t="str">
        <f>IFERROR(__xludf.DUMMYFUNCTION("""COMPUTED_VALUE"""),"مهدیه")</f>
        <v>مهدیه</v>
      </c>
      <c r="D1635" s="5" t="str">
        <f>IFERROR(__xludf.DUMMYFUNCTION("""COMPUTED_VALUE"""),"خرسان رضوی")</f>
        <v>خرسان رضوی</v>
      </c>
      <c r="E1635" s="5" t="str">
        <f>IFERROR(__xludf.DUMMYFUNCTION("""COMPUTED_VALUE"""),"تربت حیدریه")</f>
        <v>تربت حیدریه</v>
      </c>
      <c r="F1635" s="5"/>
      <c r="G1635" s="5"/>
      <c r="H1635" s="6" t="str">
        <f>IFERROR(__xludf.DUMMYFUNCTION("""COMPUTED_VALUE"""),"https://www.instagram.com/mahdiehthr/")</f>
        <v>https://www.instagram.com/mahdiehthr/</v>
      </c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</row>
    <row r="1636">
      <c r="A1636" s="5"/>
      <c r="B1636" s="5" t="str">
        <f>IFERROR(__xludf.DUMMYFUNCTION("""COMPUTED_VALUE"""),"هیأت ")</f>
        <v>هیأت </v>
      </c>
      <c r="C1636" s="5" t="str">
        <f>IFERROR(__xludf.DUMMYFUNCTION("""COMPUTED_VALUE"""),"زینبیون")</f>
        <v>زینبیون</v>
      </c>
      <c r="D1636" s="5" t="str">
        <f>IFERROR(__xludf.DUMMYFUNCTION("""COMPUTED_VALUE"""),"خرسان رضوی")</f>
        <v>خرسان رضوی</v>
      </c>
      <c r="E1636" s="5" t="str">
        <f>IFERROR(__xludf.DUMMYFUNCTION("""COMPUTED_VALUE"""),"مشهد")</f>
        <v>مشهد</v>
      </c>
      <c r="F1636" s="5"/>
      <c r="G1636" s="5"/>
      <c r="H1636" s="6" t="str">
        <f>IFERROR(__xludf.DUMMYFUNCTION("""COMPUTED_VALUE"""),"https://www.instagram.com/zeynabiun1382/")</f>
        <v>https://www.instagram.com/zeynabiun1382/</v>
      </c>
      <c r="I1636" s="6" t="str">
        <f>IFERROR(__xludf.DUMMYFUNCTION("""COMPUTED_VALUE"""),"t.me/zeynabiuun69")</f>
        <v>t.me/zeynabiuun69</v>
      </c>
      <c r="J1636" s="5"/>
      <c r="K1636" s="5"/>
      <c r="L1636" s="5"/>
      <c r="M1636" s="5"/>
      <c r="N1636" s="5"/>
      <c r="O1636" s="5"/>
      <c r="P1636" s="5"/>
      <c r="Q1636" s="5"/>
      <c r="R1636" s="5"/>
      <c r="S1636" s="5"/>
    </row>
    <row r="1637">
      <c r="A1637" s="5"/>
      <c r="B1637" s="5" t="str">
        <f>IFERROR(__xludf.DUMMYFUNCTION("""COMPUTED_VALUE"""),"هیأت ")</f>
        <v>هیأت </v>
      </c>
      <c r="C1637" s="5" t="str">
        <f>IFERROR(__xludf.DUMMYFUNCTION("""COMPUTED_VALUE"""),"فاطمیون شاهد")</f>
        <v>فاطمیون شاهد</v>
      </c>
      <c r="D1637" s="5" t="str">
        <f>IFERROR(__xludf.DUMMYFUNCTION("""COMPUTED_VALUE"""),"خرسان رضوی")</f>
        <v>خرسان رضوی</v>
      </c>
      <c r="E1637" s="5" t="str">
        <f>IFERROR(__xludf.DUMMYFUNCTION("""COMPUTED_VALUE"""),"نیشابور")</f>
        <v>نیشابور</v>
      </c>
      <c r="F1637" s="5"/>
      <c r="G1637" s="5"/>
      <c r="H1637" s="6" t="str">
        <f>IFERROR(__xludf.DUMMYFUNCTION("""COMPUTED_VALUE"""),"https://www.instagram.com/fatemionshahed_ney/")</f>
        <v>https://www.instagram.com/fatemionshahed_ney/</v>
      </c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</row>
    <row r="1638">
      <c r="A1638" s="5"/>
      <c r="B1638" s="5" t="str">
        <f>IFERROR(__xludf.DUMMYFUNCTION("""COMPUTED_VALUE"""),"هیأت ")</f>
        <v>هیأت </v>
      </c>
      <c r="C1638" s="5" t="str">
        <f>IFERROR(__xludf.DUMMYFUNCTION("""COMPUTED_VALUE"""),"غریب مدینه")</f>
        <v>غریب مدینه</v>
      </c>
      <c r="D1638" s="5" t="str">
        <f>IFERROR(__xludf.DUMMYFUNCTION("""COMPUTED_VALUE"""),"خرسان رضوی")</f>
        <v>خرسان رضوی</v>
      </c>
      <c r="E1638" s="5" t="str">
        <f>IFERROR(__xludf.DUMMYFUNCTION("""COMPUTED_VALUE"""),"مشهد")</f>
        <v>مشهد</v>
      </c>
      <c r="F1638" s="5"/>
      <c r="G1638" s="5"/>
      <c r="H1638" s="6" t="str">
        <f>IFERROR(__xludf.DUMMYFUNCTION("""COMPUTED_VALUE"""),"https://www.instagram.com/gharibemadine_mashhad/")</f>
        <v>https://www.instagram.com/gharibemadine_mashhad/</v>
      </c>
      <c r="I1638" s="6" t="str">
        <f>IFERROR(__xludf.DUMMYFUNCTION("""COMPUTED_VALUE"""),"t.me/gharibemadine113")</f>
        <v>t.me/gharibemadine113</v>
      </c>
      <c r="J1638" s="5"/>
      <c r="K1638" s="5"/>
      <c r="L1638" s="5"/>
      <c r="M1638" s="5"/>
      <c r="N1638" s="5"/>
      <c r="O1638" s="5"/>
      <c r="P1638" s="5"/>
      <c r="Q1638" s="5"/>
      <c r="R1638" s="5"/>
      <c r="S1638" s="5"/>
    </row>
    <row r="1639">
      <c r="A1639" s="5"/>
      <c r="B1639" s="5" t="str">
        <f>IFERROR(__xludf.DUMMYFUNCTION("""COMPUTED_VALUE"""),"هیأت ")</f>
        <v>هیأت </v>
      </c>
      <c r="C1639" s="5" t="str">
        <f>IFERROR(__xludf.DUMMYFUNCTION("""COMPUTED_VALUE"""),"پیشمرگان بقیه الله")</f>
        <v>پیشمرگان بقیه الله</v>
      </c>
      <c r="D1639" s="5" t="str">
        <f>IFERROR(__xludf.DUMMYFUNCTION("""COMPUTED_VALUE"""),"خرسان رضوی")</f>
        <v>خرسان رضوی</v>
      </c>
      <c r="E1639" s="5" t="str">
        <f>IFERROR(__xludf.DUMMYFUNCTION("""COMPUTED_VALUE"""),"قروه")</f>
        <v>قروه</v>
      </c>
      <c r="F1639" s="5"/>
      <c r="G1639" s="5"/>
      <c r="H1639" s="6" t="str">
        <f>IFERROR(__xludf.DUMMYFUNCTION("""COMPUTED_VALUE"""),"https://www.instagram.com/peshmerg313/")</f>
        <v>https://www.instagram.com/peshmerg313/</v>
      </c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</row>
    <row r="1640">
      <c r="A1640" s="5"/>
      <c r="B1640" s="5" t="str">
        <f>IFERROR(__xludf.DUMMYFUNCTION("""COMPUTED_VALUE"""),"هیأت ")</f>
        <v>هیأت </v>
      </c>
      <c r="C1640" s="5" t="str">
        <f>IFERROR(__xludf.DUMMYFUNCTION("""COMPUTED_VALUE"""),"احباب الحسن")</f>
        <v>احباب الحسن</v>
      </c>
      <c r="D1640" s="5" t="str">
        <f>IFERROR(__xludf.DUMMYFUNCTION("""COMPUTED_VALUE"""),"خرسان رضوی")</f>
        <v>خرسان رضوی</v>
      </c>
      <c r="E1640" s="5" t="str">
        <f>IFERROR(__xludf.DUMMYFUNCTION("""COMPUTED_VALUE"""),"مشهد")</f>
        <v>مشهد</v>
      </c>
      <c r="F1640" s="5"/>
      <c r="G1640" s="5"/>
      <c r="H1640" s="6" t="str">
        <f>IFERROR(__xludf.DUMMYFUNCTION("""COMPUTED_VALUE"""),"https://www.instagram.com/ahbab_m/")</f>
        <v>https://www.instagram.com/ahbab_m/</v>
      </c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</row>
    <row r="1641">
      <c r="A1641" s="5"/>
      <c r="B1641" s="5" t="str">
        <f>IFERROR(__xludf.DUMMYFUNCTION("""COMPUTED_VALUE"""),"هیأت ")</f>
        <v>هیأت </v>
      </c>
      <c r="C1641" s="5" t="str">
        <f>IFERROR(__xludf.DUMMYFUNCTION("""COMPUTED_VALUE"""),"محبین اهل بیت ")</f>
        <v>محبین اهل بیت </v>
      </c>
      <c r="D1641" s="5" t="str">
        <f>IFERROR(__xludf.DUMMYFUNCTION("""COMPUTED_VALUE"""),"خرسان رضوی")</f>
        <v>خرسان رضوی</v>
      </c>
      <c r="E1641" s="5" t="str">
        <f>IFERROR(__xludf.DUMMYFUNCTION("""COMPUTED_VALUE"""),"خمینی شهر")</f>
        <v>خمینی شهر</v>
      </c>
      <c r="F1641" s="5"/>
      <c r="G1641" s="5"/>
      <c r="H1641" s="5"/>
      <c r="I1641" s="5"/>
      <c r="J1641" s="6" t="str">
        <f>IFERROR(__xludf.DUMMYFUNCTION("""COMPUTED_VALUE"""),"https://eitaa.com/mohebbinahlobeyt")</f>
        <v>https://eitaa.com/mohebbinahlobeyt</v>
      </c>
      <c r="K1641" s="5"/>
      <c r="L1641" s="5"/>
      <c r="M1641" s="5"/>
      <c r="N1641" s="5"/>
      <c r="O1641" s="5"/>
      <c r="P1641" s="5"/>
      <c r="Q1641" s="5"/>
      <c r="R1641" s="5"/>
      <c r="S1641" s="5"/>
    </row>
    <row r="1642">
      <c r="A1642" s="5"/>
      <c r="B1642" s="5" t="str">
        <f>IFERROR(__xludf.DUMMYFUNCTION("""COMPUTED_VALUE"""),"هیأت ")</f>
        <v>هیأت </v>
      </c>
      <c r="C1642" s="5" t="str">
        <f>IFERROR(__xludf.DUMMYFUNCTION("""COMPUTED_VALUE"""),"محبان حضرت علی اصغر")</f>
        <v>محبان حضرت علی اصغر</v>
      </c>
      <c r="D1642" s="5" t="str">
        <f>IFERROR(__xludf.DUMMYFUNCTION("""COMPUTED_VALUE"""),"خرسان رضوی")</f>
        <v>خرسان رضوی</v>
      </c>
      <c r="E1642" s="5" t="str">
        <f>IFERROR(__xludf.DUMMYFUNCTION("""COMPUTED_VALUE"""),"مشهد")</f>
        <v>مشهد</v>
      </c>
      <c r="F1642" s="5"/>
      <c r="G1642" s="5"/>
      <c r="H1642" s="5"/>
      <c r="I1642" s="5"/>
      <c r="J1642" s="6" t="str">
        <f>IFERROR(__xludf.DUMMYFUNCTION("""COMPUTED_VALUE"""),"https://eitaa.com/aliasghar535")</f>
        <v>https://eitaa.com/aliasghar535</v>
      </c>
      <c r="K1642" s="5"/>
      <c r="L1642" s="5"/>
      <c r="M1642" s="5"/>
      <c r="N1642" s="5"/>
      <c r="O1642" s="5"/>
      <c r="P1642" s="5"/>
      <c r="Q1642" s="5"/>
      <c r="R1642" s="5"/>
      <c r="S1642" s="5"/>
    </row>
    <row r="1643">
      <c r="A1643" s="5"/>
      <c r="B1643" s="5" t="str">
        <f>IFERROR(__xludf.DUMMYFUNCTION("""COMPUTED_VALUE"""),"هیأت ")</f>
        <v>هیأت </v>
      </c>
      <c r="C1643" s="5" t="str">
        <f>IFERROR(__xludf.DUMMYFUNCTION("""COMPUTED_VALUE"""),"فرهنگی مذهبی محبان الائمه")</f>
        <v>فرهنگی مذهبی محبان الائمه</v>
      </c>
      <c r="D1643" s="5" t="str">
        <f>IFERROR(__xludf.DUMMYFUNCTION("""COMPUTED_VALUE"""),"خرسان رضوی")</f>
        <v>خرسان رضوی</v>
      </c>
      <c r="E1643" s="5" t="str">
        <f>IFERROR(__xludf.DUMMYFUNCTION("""COMPUTED_VALUE"""),"مشهد")</f>
        <v>مشهد</v>
      </c>
      <c r="F1643" s="5"/>
      <c r="G1643" s="5"/>
      <c r="H1643" s="5"/>
      <c r="I1643" s="5"/>
      <c r="J1643" s="6" t="str">
        <f>IFERROR(__xludf.DUMMYFUNCTION("""COMPUTED_VALUE"""),"https://eitaa.com/mohebbanaeme")</f>
        <v>https://eitaa.com/mohebbanaeme</v>
      </c>
      <c r="K1643" s="5"/>
      <c r="L1643" s="5"/>
      <c r="M1643" s="5"/>
      <c r="N1643" s="5"/>
      <c r="O1643" s="5"/>
      <c r="P1643" s="5"/>
      <c r="Q1643" s="5"/>
      <c r="R1643" s="5"/>
      <c r="S1643" s="5"/>
    </row>
    <row r="1644">
      <c r="A1644" s="5"/>
      <c r="B1644" s="5" t="str">
        <f>IFERROR(__xludf.DUMMYFUNCTION("""COMPUTED_VALUE"""),"هیأت ")</f>
        <v>هیأت </v>
      </c>
      <c r="C1644" s="5" t="str">
        <f>IFERROR(__xludf.DUMMYFUNCTION("""COMPUTED_VALUE"""),"مذهبی مهاجرین افغانستانی خراسان رضوی")</f>
        <v>مذهبی مهاجرین افغانستانی خراسان رضوی</v>
      </c>
      <c r="D1644" s="5" t="str">
        <f>IFERROR(__xludf.DUMMYFUNCTION("""COMPUTED_VALUE"""),"خرسان رضوی")</f>
        <v>خرسان رضوی</v>
      </c>
      <c r="E1644" s="5" t="str">
        <f>IFERROR(__xludf.DUMMYFUNCTION("""COMPUTED_VALUE"""),"مشهد")</f>
        <v>مشهد</v>
      </c>
      <c r="F1644" s="5"/>
      <c r="G1644" s="5"/>
      <c r="H1644" s="5"/>
      <c r="I1644" s="5"/>
      <c r="J1644" s="6" t="str">
        <f>IFERROR(__xludf.DUMMYFUNCTION("""COMPUTED_VALUE"""),"https://eitaa.com/hayaat_mohajerin")</f>
        <v>https://eitaa.com/hayaat_mohajerin</v>
      </c>
      <c r="K1644" s="5"/>
      <c r="L1644" s="5"/>
      <c r="M1644" s="5"/>
      <c r="N1644" s="5"/>
      <c r="O1644" s="5"/>
      <c r="P1644" s="5"/>
      <c r="Q1644" s="5"/>
      <c r="R1644" s="5"/>
      <c r="S1644" s="5"/>
    </row>
    <row r="1645">
      <c r="A1645" s="5"/>
      <c r="B1645" s="5" t="str">
        <f>IFERROR(__xludf.DUMMYFUNCTION("""COMPUTED_VALUE"""),"هیأت ")</f>
        <v>هیأت </v>
      </c>
      <c r="C1645" s="5" t="str">
        <f>IFERROR(__xludf.DUMMYFUNCTION("""COMPUTED_VALUE"""),"مکتب الزهرا - پایگاه حضرت امیر")</f>
        <v>مکتب الزهرا - پایگاه حضرت امیر</v>
      </c>
      <c r="D1645" s="5" t="str">
        <f>IFERROR(__xludf.DUMMYFUNCTION("""COMPUTED_VALUE"""),"خرسان رضوی")</f>
        <v>خرسان رضوی</v>
      </c>
      <c r="E1645" s="5" t="str">
        <f>IFERROR(__xludf.DUMMYFUNCTION("""COMPUTED_VALUE"""),"مشهد")</f>
        <v>مشهد</v>
      </c>
      <c r="F1645" s="5"/>
      <c r="G1645" s="5"/>
      <c r="H1645" s="5"/>
      <c r="I1645" s="5"/>
      <c r="J1645" s="6" t="str">
        <f>IFERROR(__xludf.DUMMYFUNCTION("""COMPUTED_VALUE"""),"https://eitaa.com/maktabalzahra_brd")</f>
        <v>https://eitaa.com/maktabalzahra_brd</v>
      </c>
      <c r="K1645" s="5"/>
      <c r="L1645" s="5"/>
      <c r="M1645" s="5"/>
      <c r="N1645" s="5"/>
      <c r="O1645" s="5"/>
      <c r="P1645" s="5"/>
      <c r="Q1645" s="5"/>
      <c r="R1645" s="5"/>
      <c r="S1645" s="5"/>
    </row>
    <row r="1646">
      <c r="A1646" s="5"/>
      <c r="B1646" s="5" t="str">
        <f>IFERROR(__xludf.DUMMYFUNCTION("""COMPUTED_VALUE"""),"هیأت ")</f>
        <v>هیأت </v>
      </c>
      <c r="C1646" s="5" t="str">
        <f>IFERROR(__xludf.DUMMYFUNCTION("""COMPUTED_VALUE"""),"مذهبی رایه العباس")</f>
        <v>مذهبی رایه العباس</v>
      </c>
      <c r="D1646" s="5" t="str">
        <f>IFERROR(__xludf.DUMMYFUNCTION("""COMPUTED_VALUE"""),"خرسان رضوی")</f>
        <v>خرسان رضوی</v>
      </c>
      <c r="E1646" s="5" t="str">
        <f>IFERROR(__xludf.DUMMYFUNCTION("""COMPUTED_VALUE"""),"مشهد")</f>
        <v>مشهد</v>
      </c>
      <c r="F1646" s="5"/>
      <c r="G1646" s="5"/>
      <c r="H1646" s="5"/>
      <c r="I1646" s="5"/>
      <c r="J1646" s="6" t="str">
        <f>IFERROR(__xludf.DUMMYFUNCTION("""COMPUTED_VALUE"""),"https://eitaa.com/raytalabbasmashhad")</f>
        <v>https://eitaa.com/raytalabbasmashhad</v>
      </c>
      <c r="K1646" s="5"/>
      <c r="L1646" s="5"/>
      <c r="M1646" s="5"/>
      <c r="N1646" s="5"/>
      <c r="O1646" s="5"/>
      <c r="P1646" s="5"/>
      <c r="Q1646" s="5"/>
      <c r="R1646" s="5"/>
      <c r="S1646" s="5"/>
    </row>
    <row r="1647">
      <c r="A1647" s="5"/>
      <c r="B1647" s="5" t="str">
        <f>IFERROR(__xludf.DUMMYFUNCTION("""COMPUTED_VALUE"""),"هیأت")</f>
        <v>هیأت</v>
      </c>
      <c r="C1647" s="5" t="str">
        <f>IFERROR(__xludf.DUMMYFUNCTION("""COMPUTED_VALUE"""),"سید الشهدا دانشگاه فردوسی - خط خون")</f>
        <v>سید الشهدا دانشگاه فردوسی - خط خون</v>
      </c>
      <c r="D1647" s="5" t="str">
        <f>IFERROR(__xludf.DUMMYFUNCTION("""COMPUTED_VALUE"""),"خراسان رضوی")</f>
        <v>خراسان رضوی</v>
      </c>
      <c r="E1647" s="5" t="str">
        <f>IFERROR(__xludf.DUMMYFUNCTION("""COMPUTED_VALUE"""),"مشهد")</f>
        <v>مشهد</v>
      </c>
      <c r="F1647" s="5"/>
      <c r="G1647" s="5"/>
      <c r="H1647" s="5"/>
      <c r="I1647" s="5"/>
      <c r="J1647" s="6" t="str">
        <f>IFERROR(__xludf.DUMMYFUNCTION("""COMPUTED_VALUE"""),"https://eitaa.com/khatekhoon")</f>
        <v>https://eitaa.com/khatekhoon</v>
      </c>
      <c r="K1647" s="5"/>
      <c r="L1647" s="5"/>
      <c r="M1647" s="5"/>
      <c r="N1647" s="5"/>
      <c r="O1647" s="5"/>
      <c r="P1647" s="5"/>
      <c r="Q1647" s="5"/>
      <c r="R1647" s="5"/>
      <c r="S1647" s="5"/>
    </row>
    <row r="1648">
      <c r="A1648" s="5"/>
      <c r="B1648" s="5" t="str">
        <f>IFERROR(__xludf.DUMMYFUNCTION("""COMPUTED_VALUE"""),"هیأت")</f>
        <v>هیأت</v>
      </c>
      <c r="C1648" s="5" t="str">
        <f>IFERROR(__xludf.DUMMYFUNCTION("""COMPUTED_VALUE"""),"ودیعه الحسین")</f>
        <v>ودیعه الحسین</v>
      </c>
      <c r="D1648" s="5" t="str">
        <f>IFERROR(__xludf.DUMMYFUNCTION("""COMPUTED_VALUE"""),"خراسان رضوی")</f>
        <v>خراسان رضوی</v>
      </c>
      <c r="E1648" s="5" t="str">
        <f>IFERROR(__xludf.DUMMYFUNCTION("""COMPUTED_VALUE"""),"مشهد")</f>
        <v>مشهد</v>
      </c>
      <c r="F1648" s="5"/>
      <c r="G1648" s="5"/>
      <c r="H1648" s="5"/>
      <c r="I1648" s="5"/>
      <c r="J1648" s="6" t="str">
        <f>IFERROR(__xludf.DUMMYFUNCTION("""COMPUTED_VALUE"""),"https://eitaa.com/vadieh_org")</f>
        <v>https://eitaa.com/vadieh_org</v>
      </c>
      <c r="K1648" s="5"/>
      <c r="L1648" s="5"/>
      <c r="M1648" s="5"/>
      <c r="N1648" s="5"/>
      <c r="O1648" s="5"/>
      <c r="P1648" s="5"/>
      <c r="Q1648" s="5"/>
      <c r="R1648" s="5"/>
      <c r="S1648" s="5"/>
    </row>
    <row r="1649">
      <c r="A1649" s="5"/>
      <c r="B1649" s="5" t="str">
        <f>IFERROR(__xludf.DUMMYFUNCTION("""COMPUTED_VALUE"""),"موکب")</f>
        <v>موکب</v>
      </c>
      <c r="C1649" s="5" t="str">
        <f>IFERROR(__xludf.DUMMYFUNCTION("""COMPUTED_VALUE"""),"امام حسن مجتبی (ع)")</f>
        <v>امام حسن مجتبی (ع)</v>
      </c>
      <c r="D1649" s="5" t="str">
        <f>IFERROR(__xludf.DUMMYFUNCTION("""COMPUTED_VALUE"""),"خراسان رضوی")</f>
        <v>خراسان رضوی</v>
      </c>
      <c r="E1649" s="5" t="str">
        <f>IFERROR(__xludf.DUMMYFUNCTION("""COMPUTED_VALUE"""),"مشهد")</f>
        <v>مشهد</v>
      </c>
      <c r="F1649" s="5"/>
      <c r="G1649" s="5"/>
      <c r="H1649" s="5"/>
      <c r="I1649" s="5"/>
      <c r="J1649" s="6" t="str">
        <f>IFERROR(__xludf.DUMMYFUNCTION("""COMPUTED_VALUE"""),"https://eitaa.com/mukebemamhasan")</f>
        <v>https://eitaa.com/mukebemamhasan</v>
      </c>
      <c r="K1649" s="5"/>
      <c r="L1649" s="5"/>
      <c r="M1649" s="5"/>
      <c r="N1649" s="5"/>
      <c r="O1649" s="5"/>
      <c r="P1649" s="5"/>
      <c r="Q1649" s="5"/>
      <c r="R1649" s="5"/>
      <c r="S1649" s="5"/>
    </row>
    <row r="1650">
      <c r="A1650" s="5"/>
      <c r="B1650" s="5" t="str">
        <f>IFERROR(__xludf.DUMMYFUNCTION("""COMPUTED_VALUE"""),"مسجد")</f>
        <v>مسجد</v>
      </c>
      <c r="C1650" s="5" t="str">
        <f>IFERROR(__xludf.DUMMYFUNCTION("""COMPUTED_VALUE"""),"کانال مسجد الزهرا وحسینیه کدکنی های مقیم مشهد و (هئیت ابوالفضلی )")</f>
        <v>کانال مسجد الزهرا وحسینیه کدکنی های مقیم مشهد و (هئیت ابوالفضلی )</v>
      </c>
      <c r="D1650" s="5" t="str">
        <f>IFERROR(__xludf.DUMMYFUNCTION("""COMPUTED_VALUE"""),"خراسان رضوی")</f>
        <v>خراسان رضوی</v>
      </c>
      <c r="E1650" s="5" t="str">
        <f>IFERROR(__xludf.DUMMYFUNCTION("""COMPUTED_VALUE"""),"مشهد")</f>
        <v>مشهد</v>
      </c>
      <c r="F1650" s="5"/>
      <c r="G1650" s="5"/>
      <c r="H1650" s="5"/>
      <c r="I1650" s="5"/>
      <c r="J1650" s="6" t="str">
        <f>IFERROR(__xludf.DUMMYFUNCTION("""COMPUTED_VALUE"""),"https://eitaa.com/masjedekadkaniha")</f>
        <v>https://eitaa.com/masjedekadkaniha</v>
      </c>
      <c r="K1650" s="5"/>
      <c r="L1650" s="5"/>
      <c r="M1650" s="5"/>
      <c r="N1650" s="5"/>
      <c r="O1650" s="5"/>
      <c r="P1650" s="5"/>
      <c r="Q1650" s="5"/>
      <c r="R1650" s="5"/>
      <c r="S1650" s="5"/>
    </row>
    <row r="1651">
      <c r="A1651" s="5"/>
      <c r="B1651" s="5" t="str">
        <f>IFERROR(__xludf.DUMMYFUNCTION("""COMPUTED_VALUE"""),"هیأت")</f>
        <v>هیأت</v>
      </c>
      <c r="C1651" s="5" t="str">
        <f>IFERROR(__xludf.DUMMYFUNCTION("""COMPUTED_VALUE"""),"عالم آل محمد")</f>
        <v>عالم آل محمد</v>
      </c>
      <c r="D1651" s="5" t="str">
        <f>IFERROR(__xludf.DUMMYFUNCTION("""COMPUTED_VALUE"""),"خراسان رضوی")</f>
        <v>خراسان رضوی</v>
      </c>
      <c r="E1651" s="5" t="str">
        <f>IFERROR(__xludf.DUMMYFUNCTION("""COMPUTED_VALUE"""),"مشهد")</f>
        <v>مشهد</v>
      </c>
      <c r="F1651" s="5"/>
      <c r="G1651" s="5"/>
      <c r="H1651" s="5"/>
      <c r="I1651" s="5"/>
      <c r="J1651" s="6" t="str">
        <f>IFERROR(__xludf.DUMMYFUNCTION("""COMPUTED_VALUE"""),"https://eitaa.com/heiateharam")</f>
        <v>https://eitaa.com/heiateharam</v>
      </c>
      <c r="K1651" s="5"/>
      <c r="L1651" s="5"/>
      <c r="M1651" s="5"/>
      <c r="N1651" s="5"/>
      <c r="O1651" s="5"/>
      <c r="P1651" s="5"/>
      <c r="Q1651" s="5"/>
      <c r="R1651" s="5"/>
      <c r="S1651" s="5"/>
    </row>
    <row r="1652">
      <c r="A1652" s="5">
        <f>IFERROR(__xludf.DUMMYFUNCTION("""COMPUTED_VALUE"""),72.0)</f>
        <v>72</v>
      </c>
      <c r="B1652" s="5" t="str">
        <f>IFERROR(__xludf.DUMMYFUNCTION("""COMPUTED_VALUE"""),"هیأت هفتگی")</f>
        <v>هیأت هفتگی</v>
      </c>
      <c r="C1652" s="5" t="str">
        <f>IFERROR(__xludf.DUMMYFUNCTION("""COMPUTED_VALUE"""),"مجمع جوانان انتظار / مهد قرآن و عترت")</f>
        <v>مجمع جوانان انتظار / مهد قرآن و عترت</v>
      </c>
      <c r="D1652" s="5" t="str">
        <f>IFERROR(__xludf.DUMMYFUNCTION("""COMPUTED_VALUE"""),"آذربایجان شرقی")</f>
        <v>آذربایجان شرقی</v>
      </c>
      <c r="E1652" s="5" t="str">
        <f>IFERROR(__xludf.DUMMYFUNCTION("""COMPUTED_VALUE"""),"آذرشهر")</f>
        <v>آذرشهر</v>
      </c>
      <c r="F1652" s="5"/>
      <c r="G1652" s="5"/>
      <c r="H1652" s="6" t="str">
        <f>IFERROR(__xludf.DUMMYFUNCTION("""COMPUTED_VALUE"""),"https://www.instagram.com/javanan_entezaar/")</f>
        <v>https://www.instagram.com/javanan_entezaar/</v>
      </c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</row>
    <row r="1653">
      <c r="A1653" s="5">
        <f>IFERROR(__xludf.DUMMYFUNCTION("""COMPUTED_VALUE"""),61.0)</f>
        <v>61</v>
      </c>
      <c r="B1653" s="5" t="str">
        <f>IFERROR(__xludf.DUMMYFUNCTION("""COMPUTED_VALUE"""),"هیأت هفتگی")</f>
        <v>هیأت هفتگی</v>
      </c>
      <c r="C1653" s="5" t="str">
        <f>IFERROR(__xludf.DUMMYFUNCTION("""COMPUTED_VALUE"""),"رزمندگان اسلام")</f>
        <v>رزمندگان اسلام</v>
      </c>
      <c r="D1653" s="5" t="str">
        <f>IFERROR(__xludf.DUMMYFUNCTION("""COMPUTED_VALUE"""),"آذربایجان شرقی")</f>
        <v>آذربایجان شرقی</v>
      </c>
      <c r="E1653" s="5" t="str">
        <f>IFERROR(__xludf.DUMMYFUNCTION("""COMPUTED_VALUE"""),"اسکو")</f>
        <v>اسکو</v>
      </c>
      <c r="F1653" s="5"/>
      <c r="G1653" s="5"/>
      <c r="H1653" s="6" t="str">
        <f>IFERROR(__xludf.DUMMYFUNCTION("""COMPUTED_VALUE"""),"https://www.instagram.com/heyat_razmandegan_osku")</f>
        <v>https://www.instagram.com/heyat_razmandegan_osku</v>
      </c>
      <c r="I1653" s="5"/>
      <c r="J1653" s="6" t="str">
        <f>IFERROR(__xludf.DUMMYFUNCTION("""COMPUTED_VALUE"""),"https://eitaa.com/heyat_razmandegan_osku1")</f>
        <v>https://eitaa.com/heyat_razmandegan_osku1</v>
      </c>
      <c r="K1653" s="5"/>
      <c r="L1653" s="5"/>
      <c r="M1653" s="5"/>
      <c r="N1653" s="5"/>
      <c r="O1653" s="5"/>
      <c r="P1653" s="5"/>
      <c r="Q1653" s="5"/>
      <c r="R1653" s="5"/>
      <c r="S1653" s="5"/>
    </row>
    <row r="1654">
      <c r="A1654" s="5">
        <f>IFERROR(__xludf.DUMMYFUNCTION("""COMPUTED_VALUE"""),32802.0)</f>
        <v>32802</v>
      </c>
      <c r="B1654" s="5" t="str">
        <f>IFERROR(__xludf.DUMMYFUNCTION("""COMPUTED_VALUE"""),"هیأت مناسبتی")</f>
        <v>هیأت مناسبتی</v>
      </c>
      <c r="C1654" s="5" t="str">
        <f>IFERROR(__xludf.DUMMYFUNCTION("""COMPUTED_VALUE"""),"فاطمه الزهرا (س)")</f>
        <v>فاطمه الزهرا (س)</v>
      </c>
      <c r="D1654" s="5" t="str">
        <f>IFERROR(__xludf.DUMMYFUNCTION("""COMPUTED_VALUE"""),"آذربایجان شرقی")</f>
        <v>آذربایجان شرقی</v>
      </c>
      <c r="E1654" s="5" t="str">
        <f>IFERROR(__xludf.DUMMYFUNCTION("""COMPUTED_VALUE"""),"تبریز")</f>
        <v>تبریز</v>
      </c>
      <c r="F1654" s="5"/>
      <c r="G1654" s="5"/>
      <c r="H1654" s="6" t="str">
        <f>IFERROR(__xludf.DUMMYFUNCTION("""COMPUTED_VALUE"""),"https://www.instagram.com/hazratfatemezahrabarogiyan/")</f>
        <v>https://www.instagram.com/hazratfatemezahrabarogiyan/</v>
      </c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</row>
    <row r="1655">
      <c r="A1655" s="5">
        <f>IFERROR(__xludf.DUMMYFUNCTION("""COMPUTED_VALUE"""),29806.0)</f>
        <v>29806</v>
      </c>
      <c r="B1655" s="5" t="str">
        <f>IFERROR(__xludf.DUMMYFUNCTION("""COMPUTED_VALUE"""),"هیأت هفتگی")</f>
        <v>هیأت هفتگی</v>
      </c>
      <c r="C1655" s="5" t="str">
        <f>IFERROR(__xludf.DUMMYFUNCTION("""COMPUTED_VALUE"""),"مکتب الزهرا (س)")</f>
        <v>مکتب الزهرا (س)</v>
      </c>
      <c r="D1655" s="5" t="str">
        <f>IFERROR(__xludf.DUMMYFUNCTION("""COMPUTED_VALUE"""),"آذربایجان شرقی")</f>
        <v>آذربایجان شرقی</v>
      </c>
      <c r="E1655" s="5" t="str">
        <f>IFERROR(__xludf.DUMMYFUNCTION("""COMPUTED_VALUE"""),"تبریز")</f>
        <v>تبریز</v>
      </c>
      <c r="F1655" s="5"/>
      <c r="G1655" s="5"/>
      <c r="H1655" s="6" t="str">
        <f>IFERROR(__xludf.DUMMYFUNCTION("""COMPUTED_VALUE"""),"https://www.instagram.com/maktabozzahra_tabriz/")</f>
        <v>https://www.instagram.com/maktabozzahra_tabriz/</v>
      </c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</row>
    <row r="1656">
      <c r="A1656" s="5">
        <f>IFERROR(__xludf.DUMMYFUNCTION("""COMPUTED_VALUE"""),26662.0)</f>
        <v>26662</v>
      </c>
      <c r="B1656" s="5" t="str">
        <f>IFERROR(__xludf.DUMMYFUNCTION("""COMPUTED_VALUE"""),"هیأت مناسبتی")</f>
        <v>هیأت مناسبتی</v>
      </c>
      <c r="C1656" s="5" t="str">
        <f>IFERROR(__xludf.DUMMYFUNCTION("""COMPUTED_VALUE"""),"چهارده معصوم (ع)")</f>
        <v>چهارده معصوم (ع)</v>
      </c>
      <c r="D1656" s="5" t="str">
        <f>IFERROR(__xludf.DUMMYFUNCTION("""COMPUTED_VALUE"""),"آذربایجان شرقی")</f>
        <v>آذربایجان شرقی</v>
      </c>
      <c r="E1656" s="5" t="str">
        <f>IFERROR(__xludf.DUMMYFUNCTION("""COMPUTED_VALUE"""),"تبریز")</f>
        <v>تبریز</v>
      </c>
      <c r="F1656" s="5"/>
      <c r="G1656" s="5"/>
      <c r="H1656" s="6" t="str">
        <f>IFERROR(__xludf.DUMMYFUNCTION("""COMPUTED_VALUE"""),"https://www.instagram.com/heyat14masoum.tabriz/")</f>
        <v>https://www.instagram.com/heyat14masoum.tabriz/</v>
      </c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</row>
    <row r="1657">
      <c r="A1657" s="5">
        <f>IFERROR(__xludf.DUMMYFUNCTION("""COMPUTED_VALUE"""),26636.0)</f>
        <v>26636</v>
      </c>
      <c r="B1657" s="5" t="str">
        <f>IFERROR(__xludf.DUMMYFUNCTION("""COMPUTED_VALUE"""),"هیأت هفتگی")</f>
        <v>هیأت هفتگی</v>
      </c>
      <c r="C1657" s="5" t="str">
        <f>IFERROR(__xludf.DUMMYFUNCTION("""COMPUTED_VALUE"""),"سینه زنان عرب")</f>
        <v>سینه زنان عرب</v>
      </c>
      <c r="D1657" s="5" t="str">
        <f>IFERROR(__xludf.DUMMYFUNCTION("""COMPUTED_VALUE"""),"آذربایجان شرقی")</f>
        <v>آذربایجان شرقی</v>
      </c>
      <c r="E1657" s="5" t="str">
        <f>IFERROR(__xludf.DUMMYFUNCTION("""COMPUTED_VALUE"""),"تبریز")</f>
        <v>تبریز</v>
      </c>
      <c r="F1657" s="5"/>
      <c r="G1657" s="5"/>
      <c r="H1657" s="6" t="str">
        <f>IFERROR(__xludf.DUMMYFUNCTION("""COMPUTED_VALUE"""),"https://www.instagram.com/arab_kuchebag_tabriz/")</f>
        <v>https://www.instagram.com/arab_kuchebag_tabriz/</v>
      </c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</row>
    <row r="1658">
      <c r="A1658" s="5">
        <f>IFERROR(__xludf.DUMMYFUNCTION("""COMPUTED_VALUE"""),26389.0)</f>
        <v>26389</v>
      </c>
      <c r="B1658" s="5" t="str">
        <f>IFERROR(__xludf.DUMMYFUNCTION("""COMPUTED_VALUE"""),"هیأت هفتگی")</f>
        <v>هیأت هفتگی</v>
      </c>
      <c r="C1658" s="5" t="str">
        <f>IFERROR(__xludf.DUMMYFUNCTION("""COMPUTED_VALUE"""),"یازهرا (س)")</f>
        <v>یازهرا (س)</v>
      </c>
      <c r="D1658" s="5" t="str">
        <f>IFERROR(__xludf.DUMMYFUNCTION("""COMPUTED_VALUE"""),"آذربایجان شرقی")</f>
        <v>آذربایجان شرقی</v>
      </c>
      <c r="E1658" s="5" t="str">
        <f>IFERROR(__xludf.DUMMYFUNCTION("""COMPUTED_VALUE"""),"تبریز")</f>
        <v>تبریز</v>
      </c>
      <c r="F1658" s="5"/>
      <c r="G1658" s="5"/>
      <c r="H1658" s="6" t="str">
        <f>IFERROR(__xludf.DUMMYFUNCTION("""COMPUTED_VALUE"""),"https://www.instagram.com/heyatealzahrayetabriz/")</f>
        <v>https://www.instagram.com/heyatealzahrayetabriz/</v>
      </c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</row>
    <row r="1659">
      <c r="A1659" s="5">
        <f>IFERROR(__xludf.DUMMYFUNCTION("""COMPUTED_VALUE"""),26388.0)</f>
        <v>26388</v>
      </c>
      <c r="B1659" s="5" t="str">
        <f>IFERROR(__xludf.DUMMYFUNCTION("""COMPUTED_VALUE"""),"هیأت هفتگی")</f>
        <v>هیأت هفتگی</v>
      </c>
      <c r="C1659" s="5" t="str">
        <f>IFERROR(__xludf.DUMMYFUNCTION("""COMPUTED_VALUE"""),"موسی بن جعفر (ع)")</f>
        <v>موسی بن جعفر (ع)</v>
      </c>
      <c r="D1659" s="5" t="str">
        <f>IFERROR(__xludf.DUMMYFUNCTION("""COMPUTED_VALUE"""),"آذربایجان شرقی")</f>
        <v>آذربایجان شرقی</v>
      </c>
      <c r="E1659" s="5" t="str">
        <f>IFERROR(__xludf.DUMMYFUNCTION("""COMPUTED_VALUE"""),"تبریز")</f>
        <v>تبریز</v>
      </c>
      <c r="F1659" s="5"/>
      <c r="G1659" s="5"/>
      <c r="H1659" s="6" t="str">
        <f>IFERROR(__xludf.DUMMYFUNCTION("""COMPUTED_VALUE"""),"https://www.instagram.com/mosabnjafar.tbz/")</f>
        <v>https://www.instagram.com/mosabnjafar.tbz/</v>
      </c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</row>
    <row r="1660">
      <c r="A1660" s="5">
        <f>IFERROR(__xludf.DUMMYFUNCTION("""COMPUTED_VALUE"""),26323.0)</f>
        <v>26323</v>
      </c>
      <c r="B1660" s="5" t="str">
        <f>IFERROR(__xludf.DUMMYFUNCTION("""COMPUTED_VALUE"""),"هیأت مناسبتی")</f>
        <v>هیأت مناسبتی</v>
      </c>
      <c r="C1660" s="5" t="str">
        <f>IFERROR(__xludf.DUMMYFUNCTION("""COMPUTED_VALUE"""),"مصباح الشیعه")</f>
        <v>مصباح الشیعه</v>
      </c>
      <c r="D1660" s="5" t="str">
        <f>IFERROR(__xludf.DUMMYFUNCTION("""COMPUTED_VALUE"""),"آذربایجان شرقی")</f>
        <v>آذربایجان شرقی</v>
      </c>
      <c r="E1660" s="5" t="str">
        <f>IFERROR(__xludf.DUMMYFUNCTION("""COMPUTED_VALUE"""),"تبریز")</f>
        <v>تبریز</v>
      </c>
      <c r="F1660" s="5"/>
      <c r="G1660" s="5"/>
      <c r="H1660" s="6" t="str">
        <f>IFERROR(__xludf.DUMMYFUNCTION("""COMPUTED_VALUE"""),"https://www.instagram.com/h_mesbaholshia/")</f>
        <v>https://www.instagram.com/h_mesbaholshia/</v>
      </c>
      <c r="I1660" s="5"/>
      <c r="J1660" s="6" t="str">
        <f>IFERROR(__xludf.DUMMYFUNCTION("""COMPUTED_VALUE"""),"rubika.ir/mesbaholshia")</f>
        <v>rubika.ir/mesbaholshia</v>
      </c>
      <c r="K1660" s="5"/>
      <c r="L1660" s="5"/>
      <c r="M1660" s="5"/>
      <c r="N1660" s="5"/>
      <c r="O1660" s="5"/>
      <c r="P1660" s="5"/>
      <c r="Q1660" s="5"/>
      <c r="R1660" s="5"/>
      <c r="S1660" s="5"/>
    </row>
    <row r="1661">
      <c r="A1661" s="5">
        <f>IFERROR(__xludf.DUMMYFUNCTION("""COMPUTED_VALUE"""),25238.0)</f>
        <v>25238</v>
      </c>
      <c r="B1661" s="5" t="str">
        <f>IFERROR(__xludf.DUMMYFUNCTION("""COMPUTED_VALUE"""),"هیأت مناسبتی")</f>
        <v>هیأت مناسبتی</v>
      </c>
      <c r="C1661" s="5" t="str">
        <f>IFERROR(__xludf.DUMMYFUNCTION("""COMPUTED_VALUE"""),"موکب عزادارن عرب بنی هاشم محله سرخاب")</f>
        <v>موکب عزادارن عرب بنی هاشم محله سرخاب</v>
      </c>
      <c r="D1661" s="5" t="str">
        <f>IFERROR(__xludf.DUMMYFUNCTION("""COMPUTED_VALUE"""),"آذربایجان شرقی")</f>
        <v>آذربایجان شرقی</v>
      </c>
      <c r="E1661" s="5" t="str">
        <f>IFERROR(__xludf.DUMMYFUNCTION("""COMPUTED_VALUE"""),"تبریز")</f>
        <v>تبریز</v>
      </c>
      <c r="F1661" s="5"/>
      <c r="G1661" s="5"/>
      <c r="H1661" s="6" t="str">
        <f>IFERROR(__xludf.DUMMYFUNCTION("""COMPUTED_VALUE"""),"https://www.instagram.com/mokabearabebanihashem/")</f>
        <v>https://www.instagram.com/mokabearabebanihashem/</v>
      </c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</row>
    <row r="1662">
      <c r="A1662" s="5">
        <f>IFERROR(__xludf.DUMMYFUNCTION("""COMPUTED_VALUE"""),25211.0)</f>
        <v>25211</v>
      </c>
      <c r="B1662" s="5" t="str">
        <f>IFERROR(__xludf.DUMMYFUNCTION("""COMPUTED_VALUE"""),"هیأت مناسبتی")</f>
        <v>هیأت مناسبتی</v>
      </c>
      <c r="C1662" s="5" t="str">
        <f>IFERROR(__xludf.DUMMYFUNCTION("""COMPUTED_VALUE"""),"سینه زنان شتربان تبریز (زنده یاد فخرالذاکرین)")</f>
        <v>سینه زنان شتربان تبریز (زنده یاد فخرالذاکرین)</v>
      </c>
      <c r="D1662" s="5" t="str">
        <f>IFERROR(__xludf.DUMMYFUNCTION("""COMPUTED_VALUE"""),"آذربایجان شرقی")</f>
        <v>آذربایجان شرقی</v>
      </c>
      <c r="E1662" s="5" t="str">
        <f>IFERROR(__xludf.DUMMYFUNCTION("""COMPUTED_VALUE"""),"تبریز")</f>
        <v>تبریز</v>
      </c>
      <c r="F1662" s="5"/>
      <c r="G1662" s="5"/>
      <c r="H1662" s="6" t="str">
        <f>IFERROR(__xludf.DUMMYFUNCTION("""COMPUTED_VALUE"""),"https://www.instagram.com/sinezanan_ir/")</f>
        <v>https://www.instagram.com/sinezanan_ir/</v>
      </c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</row>
    <row r="1663">
      <c r="A1663" s="5">
        <f>IFERROR(__xludf.DUMMYFUNCTION("""COMPUTED_VALUE"""),25116.0)</f>
        <v>25116</v>
      </c>
      <c r="B1663" s="5" t="str">
        <f>IFERROR(__xludf.DUMMYFUNCTION("""COMPUTED_VALUE"""),"هیأت هفتگی")</f>
        <v>هیأت هفتگی</v>
      </c>
      <c r="C1663" s="5" t="str">
        <f>IFERROR(__xludf.DUMMYFUNCTION("""COMPUTED_VALUE"""),"خیمه الرقیه (س)")</f>
        <v>خیمه الرقیه (س)</v>
      </c>
      <c r="D1663" s="5" t="str">
        <f>IFERROR(__xludf.DUMMYFUNCTION("""COMPUTED_VALUE"""),"آذربایجان شرقی")</f>
        <v>آذربایجان شرقی</v>
      </c>
      <c r="E1663" s="5" t="str">
        <f>IFERROR(__xludf.DUMMYFUNCTION("""COMPUTED_VALUE"""),"تبریز")</f>
        <v>تبریز</v>
      </c>
      <c r="F1663" s="5"/>
      <c r="G1663" s="5"/>
      <c r="H1663" s="6" t="str">
        <f>IFERROR(__xludf.DUMMYFUNCTION("""COMPUTED_VALUE"""),"https://www.instagram.com/kheyme_roghayeh/")</f>
        <v>https://www.instagram.com/kheyme_roghayeh/</v>
      </c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</row>
    <row r="1664">
      <c r="A1664" s="5">
        <f>IFERROR(__xludf.DUMMYFUNCTION("""COMPUTED_VALUE"""),25049.0)</f>
        <v>25049</v>
      </c>
      <c r="B1664" s="5" t="str">
        <f>IFERROR(__xludf.DUMMYFUNCTION("""COMPUTED_VALUE"""),"هیأت جوانان")</f>
        <v>هیأت جوانان</v>
      </c>
      <c r="C1664" s="5" t="str">
        <f>IFERROR(__xludf.DUMMYFUNCTION("""COMPUTED_VALUE"""),"أبناء الحسن (ع)")</f>
        <v>أبناء الحسن (ع)</v>
      </c>
      <c r="D1664" s="5" t="str">
        <f>IFERROR(__xludf.DUMMYFUNCTION("""COMPUTED_VALUE"""),"آذربایجان شرقی")</f>
        <v>آذربایجان شرقی</v>
      </c>
      <c r="E1664" s="5" t="str">
        <f>IFERROR(__xludf.DUMMYFUNCTION("""COMPUTED_VALUE"""),"تبریز")</f>
        <v>تبریز</v>
      </c>
      <c r="F1664" s="5"/>
      <c r="G1664" s="5"/>
      <c r="H1664" s="6" t="str">
        <f>IFERROR(__xludf.DUMMYFUNCTION("""COMPUTED_VALUE"""),"https://www.instagram.com/abna.alhasan.tabriz/")</f>
        <v>https://www.instagram.com/abna.alhasan.tabriz/</v>
      </c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</row>
    <row r="1665">
      <c r="A1665" s="5">
        <f>IFERROR(__xludf.DUMMYFUNCTION("""COMPUTED_VALUE"""),25047.0)</f>
        <v>25047</v>
      </c>
      <c r="B1665" s="5" t="str">
        <f>IFERROR(__xludf.DUMMYFUNCTION("""COMPUTED_VALUE"""),"هیأت هفتگی")</f>
        <v>هیأت هفتگی</v>
      </c>
      <c r="C1665" s="5" t="str">
        <f>IFERROR(__xludf.DUMMYFUNCTION("""COMPUTED_VALUE"""),"حمزه سیدالشهدا (ع)")</f>
        <v>حمزه سیدالشهدا (ع)</v>
      </c>
      <c r="D1665" s="5" t="str">
        <f>IFERROR(__xludf.DUMMYFUNCTION("""COMPUTED_VALUE"""),"آذربایجان شرقی")</f>
        <v>آذربایجان شرقی</v>
      </c>
      <c r="E1665" s="5" t="str">
        <f>IFERROR(__xludf.DUMMYFUNCTION("""COMPUTED_VALUE"""),"تبریز")</f>
        <v>تبریز</v>
      </c>
      <c r="F1665" s="5"/>
      <c r="G1665" s="5"/>
      <c r="H1665" s="6" t="str">
        <f>IFERROR(__xludf.DUMMYFUNCTION("""COMPUTED_VALUE"""),"https://www.instagram.com/hamze_seyad_alshohada/")</f>
        <v>https://www.instagram.com/hamze_seyad_alshohada/</v>
      </c>
      <c r="I1665" s="5"/>
      <c r="J1665" s="6" t="str">
        <f>IFERROR(__xludf.DUMMYFUNCTION("""COMPUTED_VALUE"""),"eitaa.com/hamze_seyedalshohada")</f>
        <v>eitaa.com/hamze_seyedalshohada</v>
      </c>
      <c r="K1665" s="5"/>
      <c r="L1665" s="5"/>
      <c r="M1665" s="5"/>
      <c r="N1665" s="5"/>
      <c r="O1665" s="5"/>
      <c r="P1665" s="5"/>
      <c r="Q1665" s="5"/>
      <c r="R1665" s="5"/>
      <c r="S1665" s="5"/>
    </row>
    <row r="1666">
      <c r="A1666" s="5">
        <f>IFERROR(__xludf.DUMMYFUNCTION("""COMPUTED_VALUE"""),23419.0)</f>
        <v>23419</v>
      </c>
      <c r="B1666" s="5" t="str">
        <f>IFERROR(__xludf.DUMMYFUNCTION("""COMPUTED_VALUE"""),"هیأت هفتگی")</f>
        <v>هیأت هفتگی</v>
      </c>
      <c r="C1666" s="5" t="str">
        <f>IFERROR(__xludf.DUMMYFUNCTION("""COMPUTED_VALUE"""),"شهدای کربلای محله نوبر")</f>
        <v>شهدای کربلای محله نوبر</v>
      </c>
      <c r="D1666" s="5" t="str">
        <f>IFERROR(__xludf.DUMMYFUNCTION("""COMPUTED_VALUE"""),"آذربایجان شرقی")</f>
        <v>آذربایجان شرقی</v>
      </c>
      <c r="E1666" s="5" t="str">
        <f>IFERROR(__xludf.DUMMYFUNCTION("""COMPUTED_VALUE"""),"تبریز")</f>
        <v>تبریز</v>
      </c>
      <c r="F1666" s="5"/>
      <c r="G1666" s="5"/>
      <c r="H1666" s="6" t="str">
        <f>IFERROR(__xludf.DUMMYFUNCTION("""COMPUTED_VALUE"""),"https://www.instagram.com/heat_shohadaye_karbala_nobar/")</f>
        <v>https://www.instagram.com/heat_shohadaye_karbala_nobar/</v>
      </c>
      <c r="I1666" s="5"/>
      <c r="J1666" s="6" t="str">
        <f>IFERROR(__xludf.DUMMYFUNCTION("""COMPUTED_VALUE"""),"t.me/Shohadayekarbala_Ht")</f>
        <v>t.me/Shohadayekarbala_Ht</v>
      </c>
      <c r="K1666" s="5"/>
      <c r="L1666" s="5"/>
      <c r="M1666" s="5"/>
      <c r="N1666" s="5"/>
      <c r="O1666" s="5"/>
      <c r="P1666" s="5"/>
      <c r="Q1666" s="5"/>
      <c r="R1666" s="5"/>
      <c r="S1666" s="5"/>
    </row>
    <row r="1667">
      <c r="A1667" s="5">
        <f>IFERROR(__xludf.DUMMYFUNCTION("""COMPUTED_VALUE"""),23216.0)</f>
        <v>23216</v>
      </c>
      <c r="B1667" s="5" t="str">
        <f>IFERROR(__xludf.DUMMYFUNCTION("""COMPUTED_VALUE"""),"هیأت هفتگی")</f>
        <v>هیأت هفتگی</v>
      </c>
      <c r="C1667" s="5" t="str">
        <f>IFERROR(__xludf.DUMMYFUNCTION("""COMPUTED_VALUE"""),"حضرت علی اکبر (ع)")</f>
        <v>حضرت علی اکبر (ع)</v>
      </c>
      <c r="D1667" s="5" t="str">
        <f>IFERROR(__xludf.DUMMYFUNCTION("""COMPUTED_VALUE"""),"آذربایجان شرقی")</f>
        <v>آذربایجان شرقی</v>
      </c>
      <c r="E1667" s="5" t="str">
        <f>IFERROR(__xludf.DUMMYFUNCTION("""COMPUTED_VALUE"""),"تبریز")</f>
        <v>تبریز</v>
      </c>
      <c r="F1667" s="5"/>
      <c r="G1667" s="5"/>
      <c r="H1667" s="6" t="str">
        <f>IFERROR(__xludf.DUMMYFUNCTION("""COMPUTED_VALUE"""),"https://www.instagram.com/mokabaliakbar/")</f>
        <v>https://www.instagram.com/mokabaliakbar/</v>
      </c>
      <c r="I1667" s="5"/>
      <c r="J1667" s="6" t="str">
        <f>IFERROR(__xludf.DUMMYFUNCTION("""COMPUTED_VALUE"""),"https://t.me/s/aliakbartabriz1")</f>
        <v>https://t.me/s/aliakbartabriz1</v>
      </c>
      <c r="K1667" s="5"/>
      <c r="L1667" s="5"/>
      <c r="M1667" s="5"/>
      <c r="N1667" s="5"/>
      <c r="O1667" s="5"/>
      <c r="P1667" s="5"/>
      <c r="Q1667" s="5"/>
      <c r="R1667" s="5"/>
      <c r="S1667" s="5"/>
    </row>
    <row r="1668">
      <c r="A1668" s="5">
        <f>IFERROR(__xludf.DUMMYFUNCTION("""COMPUTED_VALUE"""),23215.0)</f>
        <v>23215</v>
      </c>
      <c r="B1668" s="5" t="str">
        <f>IFERROR(__xludf.DUMMYFUNCTION("""COMPUTED_VALUE"""),"هیأت مناسبتی")</f>
        <v>هیأت مناسبتی</v>
      </c>
      <c r="C1668" s="5" t="str">
        <f>IFERROR(__xludf.DUMMYFUNCTION("""COMPUTED_VALUE"""),"رایه الحسین (ع)")</f>
        <v>رایه الحسین (ع)</v>
      </c>
      <c r="D1668" s="5" t="str">
        <f>IFERROR(__xludf.DUMMYFUNCTION("""COMPUTED_VALUE"""),"آذربایجان شرقی")</f>
        <v>آذربایجان شرقی</v>
      </c>
      <c r="E1668" s="5" t="str">
        <f>IFERROR(__xludf.DUMMYFUNCTION("""COMPUTED_VALUE"""),"تبریز")</f>
        <v>تبریز</v>
      </c>
      <c r="F1668" s="5"/>
      <c r="G1668" s="5"/>
      <c r="H1668" s="6" t="str">
        <f>IFERROR(__xludf.DUMMYFUNCTION("""COMPUTED_VALUE"""),"https://www.instagram.com/rayatolhossein_tabriz/")</f>
        <v>https://www.instagram.com/rayatolhossein_tabriz/</v>
      </c>
      <c r="I1668" s="5"/>
      <c r="J1668" s="6" t="str">
        <f>IFERROR(__xludf.DUMMYFUNCTION("""COMPUTED_VALUE"""),"t.me/rayatolhossein_tabriz")</f>
        <v>t.me/rayatolhossein_tabriz</v>
      </c>
      <c r="K1668" s="5"/>
      <c r="L1668" s="5"/>
      <c r="M1668" s="5"/>
      <c r="N1668" s="5"/>
      <c r="O1668" s="5"/>
      <c r="P1668" s="5"/>
      <c r="Q1668" s="5"/>
      <c r="R1668" s="5"/>
      <c r="S1668" s="5"/>
    </row>
    <row r="1669">
      <c r="A1669" s="5">
        <f>IFERROR(__xludf.DUMMYFUNCTION("""COMPUTED_VALUE"""),23201.0)</f>
        <v>23201</v>
      </c>
      <c r="B1669" s="5" t="str">
        <f>IFERROR(__xludf.DUMMYFUNCTION("""COMPUTED_VALUE"""),"هیأت مناسبتی")</f>
        <v>هیأت مناسبتی</v>
      </c>
      <c r="C1669" s="5" t="str">
        <f>IFERROR(__xludf.DUMMYFUNCTION("""COMPUTED_VALUE"""),"عزاداران عرب میرچوپان")</f>
        <v>عزاداران عرب میرچوپان</v>
      </c>
      <c r="D1669" s="5" t="str">
        <f>IFERROR(__xludf.DUMMYFUNCTION("""COMPUTED_VALUE"""),"آذربایجان شرقی")</f>
        <v>آذربایجان شرقی</v>
      </c>
      <c r="E1669" s="5" t="str">
        <f>IFERROR(__xludf.DUMMYFUNCTION("""COMPUTED_VALUE"""),"تبریز")</f>
        <v>تبریز</v>
      </c>
      <c r="F1669" s="5"/>
      <c r="G1669" s="5"/>
      <c r="H1669" s="6" t="str">
        <f>IFERROR(__xludf.DUMMYFUNCTION("""COMPUTED_VALUE"""),"https://www.instagram.com/heyaat.mirchoopan/")</f>
        <v>https://www.instagram.com/heyaat.mirchoopan/</v>
      </c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</row>
    <row r="1670">
      <c r="A1670" s="5">
        <f>IFERROR(__xludf.DUMMYFUNCTION("""COMPUTED_VALUE"""),21454.0)</f>
        <v>21454</v>
      </c>
      <c r="B1670" s="5" t="str">
        <f>IFERROR(__xludf.DUMMYFUNCTION("""COMPUTED_VALUE"""),"هیأت مناسبتی")</f>
        <v>هیأت مناسبتی</v>
      </c>
      <c r="C1670" s="5" t="str">
        <f>IFERROR(__xludf.DUMMYFUNCTION("""COMPUTED_VALUE"""),"باب الحسین (ع)")</f>
        <v>باب الحسین (ع)</v>
      </c>
      <c r="D1670" s="5" t="str">
        <f>IFERROR(__xludf.DUMMYFUNCTION("""COMPUTED_VALUE"""),"آذربایجان شرقی")</f>
        <v>آذربایجان شرقی</v>
      </c>
      <c r="E1670" s="5" t="str">
        <f>IFERROR(__xludf.DUMMYFUNCTION("""COMPUTED_VALUE"""),"تبریز")</f>
        <v>تبریز</v>
      </c>
      <c r="F1670" s="5"/>
      <c r="G1670" s="5"/>
      <c r="H1670" s="6" t="str">
        <f>IFERROR(__xludf.DUMMYFUNCTION("""COMPUTED_VALUE"""),"https://www.instagram.com/babolhosseintabriz/")</f>
        <v>https://www.instagram.com/babolhosseintabriz/</v>
      </c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</row>
    <row r="1671">
      <c r="A1671" s="5">
        <f>IFERROR(__xludf.DUMMYFUNCTION("""COMPUTED_VALUE"""),21132.0)</f>
        <v>21132</v>
      </c>
      <c r="B1671" s="5" t="str">
        <f>IFERROR(__xludf.DUMMYFUNCTION("""COMPUTED_VALUE"""),"هیأت هفتگی")</f>
        <v>هیأت هفتگی</v>
      </c>
      <c r="C1671" s="5" t="str">
        <f>IFERROR(__xludf.DUMMYFUNCTION("""COMPUTED_VALUE"""),"ثارالله (ع)")</f>
        <v>ثارالله (ع)</v>
      </c>
      <c r="D1671" s="5" t="str">
        <f>IFERROR(__xludf.DUMMYFUNCTION("""COMPUTED_VALUE"""),"آذربایجان شرقی")</f>
        <v>آذربایجان شرقی</v>
      </c>
      <c r="E1671" s="5" t="str">
        <f>IFERROR(__xludf.DUMMYFUNCTION("""COMPUTED_VALUE"""),"تبریز")</f>
        <v>تبریز</v>
      </c>
      <c r="F1671" s="5"/>
      <c r="G1671" s="5"/>
      <c r="H1671" s="6" t="str">
        <f>IFERROR(__xludf.DUMMYFUNCTION("""COMPUTED_VALUE"""),"https://www.instagram.com/tasnimsarallahh/")</f>
        <v>https://www.instagram.com/tasnimsarallahh/</v>
      </c>
      <c r="I1671" s="5"/>
      <c r="J1671" s="6" t="str">
        <f>IFERROR(__xludf.DUMMYFUNCTION("""COMPUTED_VALUE"""),"https://eitaa.com/tasnimsarallahh")</f>
        <v>https://eitaa.com/tasnimsarallahh</v>
      </c>
      <c r="K1671" s="5"/>
      <c r="L1671" s="5"/>
      <c r="M1671" s="5"/>
      <c r="N1671" s="5"/>
      <c r="O1671" s="5"/>
      <c r="P1671" s="5"/>
      <c r="Q1671" s="5"/>
      <c r="R1671" s="5"/>
      <c r="S1671" s="5"/>
    </row>
    <row r="1672">
      <c r="A1672" s="5">
        <f>IFERROR(__xludf.DUMMYFUNCTION("""COMPUTED_VALUE"""),20721.0)</f>
        <v>20721</v>
      </c>
      <c r="B1672" s="5" t="str">
        <f>IFERROR(__xludf.DUMMYFUNCTION("""COMPUTED_VALUE"""),"هیأت هفتگی")</f>
        <v>هیأت هفتگی</v>
      </c>
      <c r="C1672" s="5" t="str">
        <f>IFERROR(__xludf.DUMMYFUNCTION("""COMPUTED_VALUE"""),"الرضا (ع)")</f>
        <v>الرضا (ع)</v>
      </c>
      <c r="D1672" s="5" t="str">
        <f>IFERROR(__xludf.DUMMYFUNCTION("""COMPUTED_VALUE"""),"آذربایجان شرقی")</f>
        <v>آذربایجان شرقی</v>
      </c>
      <c r="E1672" s="5" t="str">
        <f>IFERROR(__xludf.DUMMYFUNCTION("""COMPUTED_VALUE"""),"تبریز")</f>
        <v>تبریز</v>
      </c>
      <c r="F1672" s="5"/>
      <c r="G1672" s="5"/>
      <c r="H1672" s="6" t="str">
        <f>IFERROR(__xludf.DUMMYFUNCTION("""COMPUTED_VALUE"""),"https://www.instagram.com/heyatolreza_/")</f>
        <v>https://www.instagram.com/heyatolreza_/</v>
      </c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</row>
    <row r="1673">
      <c r="A1673" s="5">
        <f>IFERROR(__xludf.DUMMYFUNCTION("""COMPUTED_VALUE"""),20720.0)</f>
        <v>20720</v>
      </c>
      <c r="B1673" s="5" t="str">
        <f>IFERROR(__xludf.DUMMYFUNCTION("""COMPUTED_VALUE"""),"مناسبتی")</f>
        <v>مناسبتی</v>
      </c>
      <c r="C1673" s="5" t="str">
        <f>IFERROR(__xludf.DUMMYFUNCTION("""COMPUTED_VALUE"""),"بیت الحیدر (ع)")</f>
        <v>بیت الحیدر (ع)</v>
      </c>
      <c r="D1673" s="5" t="str">
        <f>IFERROR(__xludf.DUMMYFUNCTION("""COMPUTED_VALUE"""),"آذربایجان شرقی")</f>
        <v>آذربایجان شرقی</v>
      </c>
      <c r="E1673" s="5" t="str">
        <f>IFERROR(__xludf.DUMMYFUNCTION("""COMPUTED_VALUE"""),"تبریز")</f>
        <v>تبریز</v>
      </c>
      <c r="F1673" s="5"/>
      <c r="G1673" s="5"/>
      <c r="H1673" s="6" t="str">
        <f>IFERROR(__xludf.DUMMYFUNCTION("""COMPUTED_VALUE"""),"https://www.instagram.com/mokeb.beytolheydar/")</f>
        <v>https://www.instagram.com/mokeb.beytolheydar/</v>
      </c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</row>
    <row r="1674">
      <c r="A1674" s="5">
        <f>IFERROR(__xludf.DUMMYFUNCTION("""COMPUTED_VALUE"""),20719.0)</f>
        <v>20719</v>
      </c>
      <c r="B1674" s="5" t="str">
        <f>IFERROR(__xludf.DUMMYFUNCTION("""COMPUTED_VALUE"""),"مناسبتی")</f>
        <v>مناسبتی</v>
      </c>
      <c r="C1674" s="5" t="str">
        <f>IFERROR(__xludf.DUMMYFUNCTION("""COMPUTED_VALUE"""),"هنر تبریز")</f>
        <v>هنر تبریز</v>
      </c>
      <c r="D1674" s="5" t="str">
        <f>IFERROR(__xludf.DUMMYFUNCTION("""COMPUTED_VALUE"""),"آذربایجان شرقی")</f>
        <v>آذربایجان شرقی</v>
      </c>
      <c r="E1674" s="5" t="str">
        <f>IFERROR(__xludf.DUMMYFUNCTION("""COMPUTED_VALUE"""),"تبریز")</f>
        <v>تبریز</v>
      </c>
      <c r="F1674" s="5"/>
      <c r="G1674" s="5"/>
      <c r="H1674" s="6" t="str">
        <f>IFERROR(__xludf.DUMMYFUNCTION("""COMPUTED_VALUE"""),"https://www.instagram.com/heyat.honar/")</f>
        <v>https://www.instagram.com/heyat.honar/</v>
      </c>
      <c r="I1674" s="5"/>
      <c r="J1674" s="6" t="str">
        <f>IFERROR(__xludf.DUMMYFUNCTION("""COMPUTED_VALUE"""),"t.me/heyathonartabriz")</f>
        <v>t.me/heyathonartabriz</v>
      </c>
      <c r="K1674" s="5"/>
      <c r="L1674" s="5"/>
      <c r="M1674" s="5"/>
      <c r="N1674" s="5"/>
      <c r="O1674" s="5"/>
      <c r="P1674" s="5"/>
      <c r="Q1674" s="5"/>
      <c r="R1674" s="5"/>
      <c r="S1674" s="5"/>
    </row>
    <row r="1675">
      <c r="A1675" s="5">
        <f>IFERROR(__xludf.DUMMYFUNCTION("""COMPUTED_VALUE"""),20414.0)</f>
        <v>20414</v>
      </c>
      <c r="B1675" s="5" t="str">
        <f>IFERROR(__xludf.DUMMYFUNCTION("""COMPUTED_VALUE"""),"مناسبتی")</f>
        <v>مناسبتی</v>
      </c>
      <c r="C1675" s="5" t="str">
        <f>IFERROR(__xludf.DUMMYFUNCTION("""COMPUTED_VALUE"""),"قاسمیه سرخاب")</f>
        <v>قاسمیه سرخاب</v>
      </c>
      <c r="D1675" s="5" t="str">
        <f>IFERROR(__xludf.DUMMYFUNCTION("""COMPUTED_VALUE"""),"آذربایجان شرقی")</f>
        <v>آذربایجان شرقی</v>
      </c>
      <c r="E1675" s="5" t="str">
        <f>IFERROR(__xludf.DUMMYFUNCTION("""COMPUTED_VALUE"""),"تبریز")</f>
        <v>تبریز</v>
      </c>
      <c r="F1675" s="5"/>
      <c r="G1675" s="5"/>
      <c r="H1675" s="6" t="str">
        <f>IFERROR(__xludf.DUMMYFUNCTION("""COMPUTED_VALUE"""),"https://www.instagram.com/ghasemiye_live/")</f>
        <v>https://www.instagram.com/ghasemiye_live/</v>
      </c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</row>
    <row r="1676">
      <c r="A1676" s="5">
        <f>IFERROR(__xludf.DUMMYFUNCTION("""COMPUTED_VALUE"""),20134.0)</f>
        <v>20134</v>
      </c>
      <c r="B1676" s="5" t="str">
        <f>IFERROR(__xludf.DUMMYFUNCTION("""COMPUTED_VALUE"""),"مناسبتی")</f>
        <v>مناسبتی</v>
      </c>
      <c r="C1676" s="5" t="str">
        <f>IFERROR(__xludf.DUMMYFUNCTION("""COMPUTED_VALUE"""),"منتظران موعود(عج)")</f>
        <v>منتظران موعود(عج)</v>
      </c>
      <c r="D1676" s="5" t="str">
        <f>IFERROR(__xludf.DUMMYFUNCTION("""COMPUTED_VALUE"""),"آذربایجان شرقی")</f>
        <v>آذربایجان شرقی</v>
      </c>
      <c r="E1676" s="5" t="str">
        <f>IFERROR(__xludf.DUMMYFUNCTION("""COMPUTED_VALUE"""),"تبریز")</f>
        <v>تبریز</v>
      </c>
      <c r="F1676" s="5"/>
      <c r="G1676" s="5"/>
      <c r="H1676" s="6" t="str">
        <f>IFERROR(__xludf.DUMMYFUNCTION("""COMPUTED_VALUE"""),"https://www.instagram.com/montazerane_moud/")</f>
        <v>https://www.instagram.com/montazerane_moud/</v>
      </c>
      <c r="I1676" s="5"/>
      <c r="J1676" s="6" t="str">
        <f>IFERROR(__xludf.DUMMYFUNCTION("""COMPUTED_VALUE"""),"eitaa.com/montazerane_moud")</f>
        <v>eitaa.com/montazerane_moud</v>
      </c>
      <c r="K1676" s="5"/>
      <c r="L1676" s="5"/>
      <c r="M1676" s="5"/>
      <c r="N1676" s="5"/>
      <c r="O1676" s="5"/>
      <c r="P1676" s="5"/>
      <c r="Q1676" s="5"/>
      <c r="R1676" s="5"/>
      <c r="S1676" s="5"/>
    </row>
    <row r="1677">
      <c r="A1677" s="5">
        <f>IFERROR(__xludf.DUMMYFUNCTION("""COMPUTED_VALUE"""),19770.0)</f>
        <v>19770</v>
      </c>
      <c r="B1677" s="5" t="str">
        <f>IFERROR(__xludf.DUMMYFUNCTION("""COMPUTED_VALUE"""),"هیأت هفتگی")</f>
        <v>هیأت هفتگی</v>
      </c>
      <c r="C1677" s="5" t="str">
        <f>IFERROR(__xludf.DUMMYFUNCTION("""COMPUTED_VALUE"""),"اصحاب الحسین (ع)")</f>
        <v>اصحاب الحسین (ع)</v>
      </c>
      <c r="D1677" s="5" t="str">
        <f>IFERROR(__xludf.DUMMYFUNCTION("""COMPUTED_VALUE"""),"آذربایجان شرقی")</f>
        <v>آذربایجان شرقی</v>
      </c>
      <c r="E1677" s="5" t="str">
        <f>IFERROR(__xludf.DUMMYFUNCTION("""COMPUTED_VALUE"""),"تبریز")</f>
        <v>تبریز</v>
      </c>
      <c r="F1677" s="5"/>
      <c r="G1677" s="5">
        <f>IFERROR(__xludf.DUMMYFUNCTION("""COMPUTED_VALUE"""),7.0)</f>
        <v>7</v>
      </c>
      <c r="H1677" s="6" t="str">
        <f>IFERROR(__xludf.DUMMYFUNCTION("""COMPUTED_VALUE"""),"https://www.instagram.com/heyat.ashabalhosein.tabriz/")</f>
        <v>https://www.instagram.com/heyat.ashabalhosein.tabriz/</v>
      </c>
      <c r="I1677" s="5"/>
      <c r="J1677" s="6" t="str">
        <f>IFERROR(__xludf.DUMMYFUNCTION("""COMPUTED_VALUE"""),"t.me/ashabalhoseintabriz")</f>
        <v>t.me/ashabalhoseintabriz</v>
      </c>
      <c r="K1677" s="5"/>
      <c r="L1677" s="5"/>
      <c r="M1677" s="5"/>
      <c r="N1677" s="5"/>
      <c r="O1677" s="5"/>
      <c r="P1677" s="5"/>
      <c r="Q1677" s="5"/>
      <c r="R1677" s="5"/>
      <c r="S1677" s="5"/>
    </row>
    <row r="1678">
      <c r="A1678" s="5">
        <f>IFERROR(__xludf.DUMMYFUNCTION("""COMPUTED_VALUE"""),19769.0)</f>
        <v>19769</v>
      </c>
      <c r="B1678" s="5" t="str">
        <f>IFERROR(__xludf.DUMMYFUNCTION("""COMPUTED_VALUE"""),"هیأت هفتگی")</f>
        <v>هیأت هفتگی</v>
      </c>
      <c r="C1678" s="5" t="str">
        <f>IFERROR(__xludf.DUMMYFUNCTION("""COMPUTED_VALUE"""),"الرقیه")</f>
        <v>الرقیه</v>
      </c>
      <c r="D1678" s="5" t="str">
        <f>IFERROR(__xludf.DUMMYFUNCTION("""COMPUTED_VALUE"""),"آذربایجان شرقی")</f>
        <v>آذربایجان شرقی</v>
      </c>
      <c r="E1678" s="5" t="str">
        <f>IFERROR(__xludf.DUMMYFUNCTION("""COMPUTED_VALUE"""),"تبریز")</f>
        <v>تبریز</v>
      </c>
      <c r="F1678" s="5"/>
      <c r="G1678" s="5"/>
      <c r="H1678" s="6" t="str">
        <f>IFERROR(__xludf.DUMMYFUNCTION("""COMPUTED_VALUE"""),"https://www.instagram.com/heyatolrogaye/")</f>
        <v>https://www.instagram.com/heyatolrogaye/</v>
      </c>
      <c r="I1678" s="5"/>
      <c r="J1678" s="6" t="str">
        <f>IFERROR(__xludf.DUMMYFUNCTION("""COMPUTED_VALUE"""),"t.me/heyatolrogaye")</f>
        <v>t.me/heyatolrogaye</v>
      </c>
      <c r="K1678" s="5"/>
      <c r="L1678" s="5"/>
      <c r="M1678" s="5"/>
      <c r="N1678" s="5"/>
      <c r="O1678" s="5"/>
      <c r="P1678" s="5"/>
      <c r="Q1678" s="5"/>
      <c r="R1678" s="5"/>
      <c r="S1678" s="5"/>
    </row>
    <row r="1679">
      <c r="A1679" s="5">
        <f>IFERROR(__xludf.DUMMYFUNCTION("""COMPUTED_VALUE"""),19766.0)</f>
        <v>19766</v>
      </c>
      <c r="B1679" s="5" t="str">
        <f>IFERROR(__xludf.DUMMYFUNCTION("""COMPUTED_VALUE"""),"هیأت ماهانه")</f>
        <v>هیأت ماهانه</v>
      </c>
      <c r="C1679" s="5" t="str">
        <f>IFERROR(__xludf.DUMMYFUNCTION("""COMPUTED_VALUE"""),"انصارالهادی (ع)")</f>
        <v>انصارالهادی (ع)</v>
      </c>
      <c r="D1679" s="5" t="str">
        <f>IFERROR(__xludf.DUMMYFUNCTION("""COMPUTED_VALUE"""),"آذربایجان شرقی")</f>
        <v>آذربایجان شرقی</v>
      </c>
      <c r="E1679" s="5" t="str">
        <f>IFERROR(__xludf.DUMMYFUNCTION("""COMPUTED_VALUE"""),"تبریز")</f>
        <v>تبریز</v>
      </c>
      <c r="F1679" s="5"/>
      <c r="G1679" s="5"/>
      <c r="H1679" s="6" t="str">
        <f>IFERROR(__xludf.DUMMYFUNCTION("""COMPUTED_VALUE"""),"https://www.instagram.com/ansarolhadi_tabriz/")</f>
        <v>https://www.instagram.com/ansarolhadi_tabriz/</v>
      </c>
      <c r="I1679" s="5"/>
      <c r="J1679" s="6" t="str">
        <f>IFERROR(__xludf.DUMMYFUNCTION("""COMPUTED_VALUE"""),"t.me/ansarolhadi_tabriz")</f>
        <v>t.me/ansarolhadi_tabriz</v>
      </c>
      <c r="K1679" s="5"/>
      <c r="L1679" s="5"/>
      <c r="M1679" s="5"/>
      <c r="N1679" s="5"/>
      <c r="O1679" s="5"/>
      <c r="P1679" s="5"/>
      <c r="Q1679" s="5"/>
      <c r="R1679" s="5"/>
      <c r="S1679" s="5"/>
    </row>
    <row r="1680">
      <c r="A1680" s="5">
        <f>IFERROR(__xludf.DUMMYFUNCTION("""COMPUTED_VALUE"""),19765.0)</f>
        <v>19765</v>
      </c>
      <c r="B1680" s="5" t="str">
        <f>IFERROR(__xludf.DUMMYFUNCTION("""COMPUTED_VALUE"""),"هیأت مناسبتی")</f>
        <v>هیأت مناسبتی</v>
      </c>
      <c r="C1680" s="5" t="str">
        <f>IFERROR(__xludf.DUMMYFUNCTION("""COMPUTED_VALUE"""),"مکتب سیدالشهدا(ع)")</f>
        <v>مکتب سیدالشهدا(ع)</v>
      </c>
      <c r="D1680" s="5" t="str">
        <f>IFERROR(__xludf.DUMMYFUNCTION("""COMPUTED_VALUE"""),"آذربایجان شرقی")</f>
        <v>آذربایجان شرقی</v>
      </c>
      <c r="E1680" s="5" t="str">
        <f>IFERROR(__xludf.DUMMYFUNCTION("""COMPUTED_VALUE"""),"تبریز")</f>
        <v>تبریز</v>
      </c>
      <c r="F1680" s="5"/>
      <c r="G1680" s="5"/>
      <c r="H1680" s="6" t="str">
        <f>IFERROR(__xludf.DUMMYFUNCTION("""COMPUTED_VALUE"""),"https://www.instagram.com/maktab_seyedolshohada/")</f>
        <v>https://www.instagram.com/maktab_seyedolshohada/</v>
      </c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</row>
    <row r="1681">
      <c r="A1681" s="5">
        <f>IFERROR(__xludf.DUMMYFUNCTION("""COMPUTED_VALUE"""),19764.0)</f>
        <v>19764</v>
      </c>
      <c r="B1681" s="5" t="str">
        <f>IFERROR(__xludf.DUMMYFUNCTION("""COMPUTED_VALUE"""),"هیأت هفتگی")</f>
        <v>هیأت هفتگی</v>
      </c>
      <c r="C1681" s="5" t="str">
        <f>IFERROR(__xludf.DUMMYFUNCTION("""COMPUTED_VALUE"""),"انصارالفاطمه (س)")</f>
        <v>انصارالفاطمه (س)</v>
      </c>
      <c r="D1681" s="5" t="str">
        <f>IFERROR(__xludf.DUMMYFUNCTION("""COMPUTED_VALUE"""),"آذربایجان شرقی")</f>
        <v>آذربایجان شرقی</v>
      </c>
      <c r="E1681" s="5" t="str">
        <f>IFERROR(__xludf.DUMMYFUNCTION("""COMPUTED_VALUE"""),"تبریز")</f>
        <v>تبریز</v>
      </c>
      <c r="F1681" s="5"/>
      <c r="G1681" s="5"/>
      <c r="H1681" s="6" t="str">
        <f>IFERROR(__xludf.DUMMYFUNCTION("""COMPUTED_VALUE"""),"https://www.instagram.com/ansarolfateme/")</f>
        <v>https://www.instagram.com/ansarolfateme/</v>
      </c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</row>
    <row r="1682">
      <c r="A1682" s="5">
        <f>IFERROR(__xludf.DUMMYFUNCTION("""COMPUTED_VALUE"""),19597.0)</f>
        <v>19597</v>
      </c>
      <c r="B1682" s="5" t="str">
        <f>IFERROR(__xludf.DUMMYFUNCTION("""COMPUTED_VALUE"""),"هیأت هفتگی")</f>
        <v>هیأت هفتگی</v>
      </c>
      <c r="C1682" s="5" t="str">
        <f>IFERROR(__xludf.DUMMYFUNCTION("""COMPUTED_VALUE"""),"زیارت عاشورا مدافعان حرم")</f>
        <v>زیارت عاشورا مدافعان حرم</v>
      </c>
      <c r="D1682" s="5" t="str">
        <f>IFERROR(__xludf.DUMMYFUNCTION("""COMPUTED_VALUE"""),"آذربایجان شرقی")</f>
        <v>آذربایجان شرقی</v>
      </c>
      <c r="E1682" s="5" t="str">
        <f>IFERROR(__xludf.DUMMYFUNCTION("""COMPUTED_VALUE"""),"تبریز")</f>
        <v>تبریز</v>
      </c>
      <c r="F1682" s="5"/>
      <c r="G1682" s="5"/>
      <c r="H1682" s="6" t="str">
        <f>IFERROR(__xludf.DUMMYFUNCTION("""COMPUTED_VALUE"""),"https://www.instagram.com/ziarat_ashura_tabriz/")</f>
        <v>https://www.instagram.com/ziarat_ashura_tabriz/</v>
      </c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</row>
    <row r="1683">
      <c r="A1683" s="5">
        <f>IFERROR(__xludf.DUMMYFUNCTION("""COMPUTED_VALUE"""),18979.0)</f>
        <v>18979</v>
      </c>
      <c r="B1683" s="5" t="str">
        <f>IFERROR(__xludf.DUMMYFUNCTION("""COMPUTED_VALUE"""),"هیأت هفتگی")</f>
        <v>هیأت هفتگی</v>
      </c>
      <c r="C1683" s="5" t="str">
        <f>IFERROR(__xludf.DUMMYFUNCTION("""COMPUTED_VALUE"""),"مدافعان حرم")</f>
        <v>مدافعان حرم</v>
      </c>
      <c r="D1683" s="5" t="str">
        <f>IFERROR(__xludf.DUMMYFUNCTION("""COMPUTED_VALUE"""),"آذربایجان شرقی")</f>
        <v>آذربایجان شرقی</v>
      </c>
      <c r="E1683" s="5" t="str">
        <f>IFERROR(__xludf.DUMMYFUNCTION("""COMPUTED_VALUE"""),"تبریز")</f>
        <v>تبریز</v>
      </c>
      <c r="F1683" s="5"/>
      <c r="G1683" s="5"/>
      <c r="H1683" s="6" t="str">
        <f>IFERROR(__xludf.DUMMYFUNCTION("""COMPUTED_VALUE"""),"https://www.instagram.com/modafana_haram_hzrata_zaynab/")</f>
        <v>https://www.instagram.com/modafana_haram_hzrata_zaynab/</v>
      </c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</row>
    <row r="1684">
      <c r="A1684" s="5">
        <f>IFERROR(__xludf.DUMMYFUNCTION("""COMPUTED_VALUE"""),18588.0)</f>
        <v>18588</v>
      </c>
      <c r="B1684" s="5" t="str">
        <f>IFERROR(__xludf.DUMMYFUNCTION("""COMPUTED_VALUE"""),"هیأت مناسبتی")</f>
        <v>هیأت مناسبتی</v>
      </c>
      <c r="C1684" s="5" t="str">
        <f>IFERROR(__xludf.DUMMYFUNCTION("""COMPUTED_VALUE"""),"نورالحسین (ع)")</f>
        <v>نورالحسین (ع)</v>
      </c>
      <c r="D1684" s="5" t="str">
        <f>IFERROR(__xludf.DUMMYFUNCTION("""COMPUTED_VALUE"""),"آذربایجان شرقی")</f>
        <v>آذربایجان شرقی</v>
      </c>
      <c r="E1684" s="5" t="str">
        <f>IFERROR(__xludf.DUMMYFUNCTION("""COMPUTED_VALUE"""),"تبریز")</f>
        <v>تبریز</v>
      </c>
      <c r="F1684" s="5"/>
      <c r="G1684" s="5"/>
      <c r="H1684" s="6" t="str">
        <f>IFERROR(__xludf.DUMMYFUNCTION("""COMPUTED_VALUE"""),"https://www.instagram.com/noorolhossein_ir/")</f>
        <v>https://www.instagram.com/noorolhossein_ir/</v>
      </c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</row>
    <row r="1685">
      <c r="A1685" s="5">
        <f>IFERROR(__xludf.DUMMYFUNCTION("""COMPUTED_VALUE"""),18381.0)</f>
        <v>18381</v>
      </c>
      <c r="B1685" s="5" t="str">
        <f>IFERROR(__xludf.DUMMYFUNCTION("""COMPUTED_VALUE"""),"هیأت هفتگی")</f>
        <v>هیأت هفتگی</v>
      </c>
      <c r="C1685" s="5" t="str">
        <f>IFERROR(__xludf.DUMMYFUNCTION("""COMPUTED_VALUE"""),"متوسلین حضرت مهدی(عج)")</f>
        <v>متوسلین حضرت مهدی(عج)</v>
      </c>
      <c r="D1685" s="5" t="str">
        <f>IFERROR(__xludf.DUMMYFUNCTION("""COMPUTED_VALUE"""),"آذربایجان شرقی")</f>
        <v>آذربایجان شرقی</v>
      </c>
      <c r="E1685" s="5" t="str">
        <f>IFERROR(__xludf.DUMMYFUNCTION("""COMPUTED_VALUE"""),"تبریز")</f>
        <v>تبریز</v>
      </c>
      <c r="F1685" s="5"/>
      <c r="G1685" s="5"/>
      <c r="H1685" s="6" t="str">
        <f>IFERROR(__xludf.DUMMYFUNCTION("""COMPUTED_VALUE"""),"https://www.instagram.com/gabas313/")</f>
        <v>https://www.instagram.com/gabas313/</v>
      </c>
      <c r="I1685" s="5"/>
      <c r="J1685" s="6" t="str">
        <f>IFERROR(__xludf.DUMMYFUNCTION("""COMPUTED_VALUE"""),"t.me/gabas313")</f>
        <v>t.me/gabas313</v>
      </c>
      <c r="K1685" s="5"/>
      <c r="L1685" s="5"/>
      <c r="M1685" s="5"/>
      <c r="N1685" s="5"/>
      <c r="O1685" s="5"/>
      <c r="P1685" s="5"/>
      <c r="Q1685" s="5"/>
      <c r="R1685" s="5"/>
      <c r="S1685" s="5"/>
    </row>
    <row r="1686">
      <c r="A1686" s="5">
        <f>IFERROR(__xludf.DUMMYFUNCTION("""COMPUTED_VALUE"""),18004.0)</f>
        <v>18004</v>
      </c>
      <c r="B1686" s="5" t="str">
        <f>IFERROR(__xludf.DUMMYFUNCTION("""COMPUTED_VALUE"""),"هیأت هفتگی")</f>
        <v>هیأت هفتگی</v>
      </c>
      <c r="C1686" s="5" t="str">
        <f>IFERROR(__xludf.DUMMYFUNCTION("""COMPUTED_VALUE"""),"مکتب الفائزون")</f>
        <v>مکتب الفائزون</v>
      </c>
      <c r="D1686" s="5" t="str">
        <f>IFERROR(__xludf.DUMMYFUNCTION("""COMPUTED_VALUE"""),"آذربایجان شرقی")</f>
        <v>آذربایجان شرقی</v>
      </c>
      <c r="E1686" s="5" t="str">
        <f>IFERROR(__xludf.DUMMYFUNCTION("""COMPUTED_VALUE"""),"تبریز")</f>
        <v>تبریز</v>
      </c>
      <c r="F1686" s="5"/>
      <c r="G1686" s="5"/>
      <c r="H1686" s="6" t="str">
        <f>IFERROR(__xludf.DUMMYFUNCTION("""COMPUTED_VALUE"""),"https://www.instagram.com/faezoun_tabriz/")</f>
        <v>https://www.instagram.com/faezoun_tabriz/</v>
      </c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</row>
    <row r="1687">
      <c r="A1687" s="5">
        <f>IFERROR(__xludf.DUMMYFUNCTION("""COMPUTED_VALUE"""),18002.0)</f>
        <v>18002</v>
      </c>
      <c r="B1687" s="5" t="str">
        <f>IFERROR(__xludf.DUMMYFUNCTION("""COMPUTED_VALUE"""),"هیأت مناسبتی")</f>
        <v>هیأت مناسبتی</v>
      </c>
      <c r="C1687" s="5" t="str">
        <f>IFERROR(__xludf.DUMMYFUNCTION("""COMPUTED_VALUE"""),"مکتب باقریه تبریز")</f>
        <v>مکتب باقریه تبریز</v>
      </c>
      <c r="D1687" s="5" t="str">
        <f>IFERROR(__xludf.DUMMYFUNCTION("""COMPUTED_VALUE"""),"آذربایجان شرقی")</f>
        <v>آذربایجان شرقی</v>
      </c>
      <c r="E1687" s="5" t="str">
        <f>IFERROR(__xludf.DUMMYFUNCTION("""COMPUTED_VALUE"""),"تبریز")</f>
        <v>تبریز</v>
      </c>
      <c r="F1687" s="5"/>
      <c r="G1687" s="5"/>
      <c r="H1687" s="6" t="str">
        <f>IFERROR(__xludf.DUMMYFUNCTION("""COMPUTED_VALUE"""),"https://www.instagram.com/bageriyetabriz/channel/")</f>
        <v>https://www.instagram.com/bageriyetabriz/channel/</v>
      </c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</row>
    <row r="1688">
      <c r="A1688" s="5">
        <f>IFERROR(__xludf.DUMMYFUNCTION("""COMPUTED_VALUE"""),18001.0)</f>
        <v>18001</v>
      </c>
      <c r="B1688" s="5" t="str">
        <f>IFERROR(__xludf.DUMMYFUNCTION("""COMPUTED_VALUE"""),"هیأت هفتگی")</f>
        <v>هیأت هفتگی</v>
      </c>
      <c r="C1688" s="5" t="str">
        <f>IFERROR(__xludf.DUMMYFUNCTION("""COMPUTED_VALUE"""),"شاهزاده علی اصغر(ع)")</f>
        <v>شاهزاده علی اصغر(ع)</v>
      </c>
      <c r="D1688" s="5" t="str">
        <f>IFERROR(__xludf.DUMMYFUNCTION("""COMPUTED_VALUE"""),"آذربایجان شرقی")</f>
        <v>آذربایجان شرقی</v>
      </c>
      <c r="E1688" s="5" t="str">
        <f>IFERROR(__xludf.DUMMYFUNCTION("""COMPUTED_VALUE"""),"تبریز")</f>
        <v>تبریز</v>
      </c>
      <c r="F1688" s="5"/>
      <c r="G1688" s="5"/>
      <c r="H1688" s="6" t="str">
        <f>IFERROR(__xludf.DUMMYFUNCTION("""COMPUTED_VALUE"""),"https://www.instagram.com/shahzade.aliasghar.tabriz/")</f>
        <v>https://www.instagram.com/shahzade.aliasghar.tabriz/</v>
      </c>
      <c r="I1688" s="5"/>
      <c r="J1688" s="6" t="str">
        <f>IFERROR(__xludf.DUMMYFUNCTION("""COMPUTED_VALUE"""),"t.me/shahzadealiasgar")</f>
        <v>t.me/shahzadealiasgar</v>
      </c>
      <c r="K1688" s="5"/>
      <c r="L1688" s="5"/>
      <c r="M1688" s="5"/>
      <c r="N1688" s="5"/>
      <c r="O1688" s="5"/>
      <c r="P1688" s="5"/>
      <c r="Q1688" s="5"/>
      <c r="R1688" s="5"/>
      <c r="S1688" s="5"/>
    </row>
    <row r="1689">
      <c r="A1689" s="5">
        <f>IFERROR(__xludf.DUMMYFUNCTION("""COMPUTED_VALUE"""),17994.0)</f>
        <v>17994</v>
      </c>
      <c r="B1689" s="5" t="str">
        <f>IFERROR(__xludf.DUMMYFUNCTION("""COMPUTED_VALUE"""),"هیأت هفتگی")</f>
        <v>هیأت هفتگی</v>
      </c>
      <c r="C1689" s="5" t="str">
        <f>IFERROR(__xludf.DUMMYFUNCTION("""COMPUTED_VALUE"""),"محبین عقیله العرب (س)")</f>
        <v>محبین عقیله العرب (س)</v>
      </c>
      <c r="D1689" s="5" t="str">
        <f>IFERROR(__xludf.DUMMYFUNCTION("""COMPUTED_VALUE"""),"آذربایجان شرقی")</f>
        <v>آذربایجان شرقی</v>
      </c>
      <c r="E1689" s="5" t="str">
        <f>IFERROR(__xludf.DUMMYFUNCTION("""COMPUTED_VALUE"""),"تبریز")</f>
        <v>تبریز</v>
      </c>
      <c r="F1689" s="5"/>
      <c r="G1689" s="5"/>
      <c r="H1689" s="6" t="str">
        <f>IFERROR(__xludf.DUMMYFUNCTION("""COMPUTED_VALUE"""),"https://www.instagram.com/aghilatalarab_tb/")</f>
        <v>https://www.instagram.com/aghilatalarab_tb/</v>
      </c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</row>
    <row r="1690">
      <c r="A1690" s="5">
        <f>IFERROR(__xludf.DUMMYFUNCTION("""COMPUTED_VALUE"""),431.0)</f>
        <v>431</v>
      </c>
      <c r="B1690" s="5" t="str">
        <f>IFERROR(__xludf.DUMMYFUNCTION("""COMPUTED_VALUE"""),"هیأت هفتگی")</f>
        <v>هیأت هفتگی</v>
      </c>
      <c r="C1690" s="5" t="str">
        <f>IFERROR(__xludf.DUMMYFUNCTION("""COMPUTED_VALUE"""),"قائم آل محمد (عج) - منتظران حضرت مهدی (عج)")</f>
        <v>قائم آل محمد (عج) - منتظران حضرت مهدی (عج)</v>
      </c>
      <c r="D1690" s="5" t="str">
        <f>IFERROR(__xludf.DUMMYFUNCTION("""COMPUTED_VALUE"""),"آذربایجان شرقی")</f>
        <v>آذربایجان شرقی</v>
      </c>
      <c r="E1690" s="5" t="str">
        <f>IFERROR(__xludf.DUMMYFUNCTION("""COMPUTED_VALUE"""),"تبریز")</f>
        <v>تبریز</v>
      </c>
      <c r="F1690" s="5"/>
      <c r="G1690" s="5"/>
      <c r="H1690" s="6" t="str">
        <f>IFERROR(__xludf.DUMMYFUNCTION("""COMPUTED_VALUE"""),"https://www.instagram.com/heiaat_gaem/")</f>
        <v>https://www.instagram.com/heiaat_gaem/</v>
      </c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</row>
    <row r="1691">
      <c r="A1691" s="5">
        <f>IFERROR(__xludf.DUMMYFUNCTION("""COMPUTED_VALUE"""),420.0)</f>
        <v>420</v>
      </c>
      <c r="B1691" s="5" t="str">
        <f>IFERROR(__xludf.DUMMYFUNCTION("""COMPUTED_VALUE"""),"هیأت هفتگی")</f>
        <v>هیأت هفتگی</v>
      </c>
      <c r="C1691" s="5" t="str">
        <f>IFERROR(__xludf.DUMMYFUNCTION("""COMPUTED_VALUE"""),"عاشقان حضرت علی اکبر (ع)")</f>
        <v>عاشقان حضرت علی اکبر (ع)</v>
      </c>
      <c r="D1691" s="5" t="str">
        <f>IFERROR(__xludf.DUMMYFUNCTION("""COMPUTED_VALUE"""),"آذربایجان شرقی")</f>
        <v>آذربایجان شرقی</v>
      </c>
      <c r="E1691" s="5" t="str">
        <f>IFERROR(__xludf.DUMMYFUNCTION("""COMPUTED_VALUE"""),"تبریز")</f>
        <v>تبریز</v>
      </c>
      <c r="F1691" s="5"/>
      <c r="G1691" s="5"/>
      <c r="H1691" s="6" t="str">
        <f>IFERROR(__xludf.DUMMYFUNCTION("""COMPUTED_VALUE"""),"https://www.instagram.com/asheganealiakbar79/")</f>
        <v>https://www.instagram.com/asheganealiakbar79/</v>
      </c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</row>
    <row r="1692">
      <c r="A1692" s="5">
        <f>IFERROR(__xludf.DUMMYFUNCTION("""COMPUTED_VALUE"""),409.0)</f>
        <v>409</v>
      </c>
      <c r="B1692" s="5" t="str">
        <f>IFERROR(__xludf.DUMMYFUNCTION("""COMPUTED_VALUE"""),"هیأت هفتگی")</f>
        <v>هیأت هفتگی</v>
      </c>
      <c r="C1692" s="5" t="str">
        <f>IFERROR(__xludf.DUMMYFUNCTION("""COMPUTED_VALUE"""),"عزاداران زینبیه خیابان آذربایجان")</f>
        <v>عزاداران زینبیه خیابان آذربایجان</v>
      </c>
      <c r="D1692" s="5" t="str">
        <f>IFERROR(__xludf.DUMMYFUNCTION("""COMPUTED_VALUE"""),"آذربایجان شرقی")</f>
        <v>آذربایجان شرقی</v>
      </c>
      <c r="E1692" s="5" t="str">
        <f>IFERROR(__xludf.DUMMYFUNCTION("""COMPUTED_VALUE"""),"تبریز")</f>
        <v>تبریز</v>
      </c>
      <c r="F1692" s="5"/>
      <c r="G1692" s="5"/>
      <c r="H1692" s="6" t="str">
        <f>IFERROR(__xludf.DUMMYFUNCTION("""COMPUTED_VALUE"""),"https://www.instagram.com/zeinabietabriz/")</f>
        <v>https://www.instagram.com/zeinabietabriz/</v>
      </c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</row>
    <row r="1693">
      <c r="A1693" s="5">
        <f>IFERROR(__xludf.DUMMYFUNCTION("""COMPUTED_VALUE"""),407.0)</f>
        <v>407</v>
      </c>
      <c r="B1693" s="5" t="str">
        <f>IFERROR(__xludf.DUMMYFUNCTION("""COMPUTED_VALUE"""),"هیأت هفتگی")</f>
        <v>هیأت هفتگی</v>
      </c>
      <c r="C1693" s="5" t="str">
        <f>IFERROR(__xludf.DUMMYFUNCTION("""COMPUTED_VALUE"""),"عزاداران حسین بن علی (ع)")</f>
        <v>عزاداران حسین بن علی (ع)</v>
      </c>
      <c r="D1693" s="5" t="str">
        <f>IFERROR(__xludf.DUMMYFUNCTION("""COMPUTED_VALUE"""),"آذربایجان شرقی")</f>
        <v>آذربایجان شرقی</v>
      </c>
      <c r="E1693" s="5" t="str">
        <f>IFERROR(__xludf.DUMMYFUNCTION("""COMPUTED_VALUE"""),"تبریز")</f>
        <v>تبریز</v>
      </c>
      <c r="F1693" s="5"/>
      <c r="G1693" s="5"/>
      <c r="H1693" s="6" t="str">
        <f>IFERROR(__xludf.DUMMYFUNCTION("""COMPUTED_VALUE"""),"https://www.instagram.com/hosseinebnali.ir/")</f>
        <v>https://www.instagram.com/hosseinebnali.ir/</v>
      </c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</row>
    <row r="1694">
      <c r="A1694" s="5">
        <f>IFERROR(__xludf.DUMMYFUNCTION("""COMPUTED_VALUE"""),402.0)</f>
        <v>402</v>
      </c>
      <c r="B1694" s="5" t="str">
        <f>IFERROR(__xludf.DUMMYFUNCTION("""COMPUTED_VALUE"""),"هیأت هفتگی")</f>
        <v>هیأت هفتگی</v>
      </c>
      <c r="C1694" s="5" t="str">
        <f>IFERROR(__xludf.DUMMYFUNCTION("""COMPUTED_VALUE"""),"ثامن الائمه (ع)")</f>
        <v>ثامن الائمه (ع)</v>
      </c>
      <c r="D1694" s="5" t="str">
        <f>IFERROR(__xludf.DUMMYFUNCTION("""COMPUTED_VALUE"""),"آذربایجان شرقی")</f>
        <v>آذربایجان شرقی</v>
      </c>
      <c r="E1694" s="5" t="str">
        <f>IFERROR(__xludf.DUMMYFUNCTION("""COMPUTED_VALUE"""),"تبریز")</f>
        <v>تبریز</v>
      </c>
      <c r="F1694" s="5"/>
      <c r="G1694" s="5"/>
      <c r="H1694" s="6" t="str">
        <f>IFERROR(__xludf.DUMMYFUNCTION("""COMPUTED_VALUE"""),"https://www.instagram.com/samenolaemeh1/")</f>
        <v>https://www.instagram.com/samenolaemeh1/</v>
      </c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</row>
    <row r="1695">
      <c r="A1695" s="5">
        <f>IFERROR(__xludf.DUMMYFUNCTION("""COMPUTED_VALUE"""),395.0)</f>
        <v>395</v>
      </c>
      <c r="B1695" s="5" t="str">
        <f>IFERROR(__xludf.DUMMYFUNCTION("""COMPUTED_VALUE"""),"هیأت مناسبتی")</f>
        <v>هیأت مناسبتی</v>
      </c>
      <c r="C1695" s="5" t="str">
        <f>IFERROR(__xludf.DUMMYFUNCTION("""COMPUTED_VALUE"""),"منتظران انصارالمهدی (عج)")</f>
        <v>منتظران انصارالمهدی (عج)</v>
      </c>
      <c r="D1695" s="5" t="str">
        <f>IFERROR(__xludf.DUMMYFUNCTION("""COMPUTED_VALUE"""),"آذربایجان شرقی")</f>
        <v>آذربایجان شرقی</v>
      </c>
      <c r="E1695" s="5" t="str">
        <f>IFERROR(__xludf.DUMMYFUNCTION("""COMPUTED_VALUE"""),"تبریز")</f>
        <v>تبریز</v>
      </c>
      <c r="F1695" s="5"/>
      <c r="G1695" s="5"/>
      <c r="H1695" s="6" t="str">
        <f>IFERROR(__xludf.DUMMYFUNCTION("""COMPUTED_VALUE"""),"https://www.instagram.com/heyat_ansarolmahditabriz/")</f>
        <v>https://www.instagram.com/heyat_ansarolmahditabriz/</v>
      </c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</row>
    <row r="1696">
      <c r="A1696" s="5">
        <f>IFERROR(__xludf.DUMMYFUNCTION("""COMPUTED_VALUE"""),341.0)</f>
        <v>341</v>
      </c>
      <c r="B1696" s="5" t="str">
        <f>IFERROR(__xludf.DUMMYFUNCTION("""COMPUTED_VALUE"""),"هیأت مناسبتی")</f>
        <v>هیأت مناسبتی</v>
      </c>
      <c r="C1696" s="5" t="str">
        <f>IFERROR(__xludf.DUMMYFUNCTION("""COMPUTED_VALUE"""),"صبح وصال")</f>
        <v>صبح وصال</v>
      </c>
      <c r="D1696" s="5" t="str">
        <f>IFERROR(__xludf.DUMMYFUNCTION("""COMPUTED_VALUE"""),"آذربایجان شرقی")</f>
        <v>آذربایجان شرقی</v>
      </c>
      <c r="E1696" s="5" t="str">
        <f>IFERROR(__xludf.DUMMYFUNCTION("""COMPUTED_VALUE"""),"تبریز")</f>
        <v>تبریز</v>
      </c>
      <c r="F1696" s="5"/>
      <c r="G1696" s="5"/>
      <c r="H1696" s="6" t="str">
        <f>IFERROR(__xludf.DUMMYFUNCTION("""COMPUTED_VALUE"""),"https://www.instagram.com/sobhevesal_ir/")</f>
        <v>https://www.instagram.com/sobhevesal_ir/</v>
      </c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</row>
    <row r="1697">
      <c r="A1697" s="5">
        <f>IFERROR(__xludf.DUMMYFUNCTION("""COMPUTED_VALUE"""),329.0)</f>
        <v>329</v>
      </c>
      <c r="B1697" s="5" t="str">
        <f>IFERROR(__xludf.DUMMYFUNCTION("""COMPUTED_VALUE"""),"مناسبتی")</f>
        <v>مناسبتی</v>
      </c>
      <c r="C1697" s="5" t="str">
        <f>IFERROR(__xludf.DUMMYFUNCTION("""COMPUTED_VALUE"""),"عاشقان ثارالله (ع) (جوانان عاشورایی رزمندگان اسلام)")</f>
        <v>عاشقان ثارالله (ع) (جوانان عاشورایی رزمندگان اسلام)</v>
      </c>
      <c r="D1697" s="5" t="str">
        <f>IFERROR(__xludf.DUMMYFUNCTION("""COMPUTED_VALUE"""),"آذربایجان شرقی")</f>
        <v>آذربایجان شرقی</v>
      </c>
      <c r="E1697" s="5" t="str">
        <f>IFERROR(__xludf.DUMMYFUNCTION("""COMPUTED_VALUE"""),"تبریز")</f>
        <v>تبریز</v>
      </c>
      <c r="F1697" s="5"/>
      <c r="G1697" s="5"/>
      <c r="H1697" s="6" t="str">
        <f>IFERROR(__xludf.DUMMYFUNCTION("""COMPUTED_VALUE"""),"https://www.instagram.com/sarallahm/")</f>
        <v>https://www.instagram.com/sarallahm/</v>
      </c>
      <c r="I1697" s="5"/>
      <c r="J1697" s="6" t="str">
        <f>IFERROR(__xludf.DUMMYFUNCTION("""COMPUTED_VALUE"""),"t.me/sarallahm")</f>
        <v>t.me/sarallahm</v>
      </c>
      <c r="K1697" s="5"/>
      <c r="L1697" s="5"/>
      <c r="M1697" s="5"/>
      <c r="N1697" s="5"/>
      <c r="O1697" s="5"/>
      <c r="P1697" s="5"/>
      <c r="Q1697" s="5"/>
      <c r="R1697" s="5"/>
      <c r="S1697" s="5"/>
    </row>
    <row r="1698">
      <c r="A1698" s="5">
        <f>IFERROR(__xludf.DUMMYFUNCTION("""COMPUTED_VALUE"""),301.0)</f>
        <v>301</v>
      </c>
      <c r="B1698" s="5" t="str">
        <f>IFERROR(__xludf.DUMMYFUNCTION("""COMPUTED_VALUE"""),"مناسبتی")</f>
        <v>مناسبتی</v>
      </c>
      <c r="C1698" s="5" t="str">
        <f>IFERROR(__xludf.DUMMYFUNCTION("""COMPUTED_VALUE"""),"رئوف آل طه (ع)")</f>
        <v>رئوف آل طه (ع)</v>
      </c>
      <c r="D1698" s="5" t="str">
        <f>IFERROR(__xludf.DUMMYFUNCTION("""COMPUTED_VALUE"""),"آذربایجان شرقی")</f>
        <v>آذربایجان شرقی</v>
      </c>
      <c r="E1698" s="5" t="str">
        <f>IFERROR(__xludf.DUMMYFUNCTION("""COMPUTED_VALUE"""),"تبریز")</f>
        <v>تبریز</v>
      </c>
      <c r="F1698" s="5"/>
      <c r="G1698" s="5"/>
      <c r="H1698" s="6" t="str">
        <f>IFERROR(__xludf.DUMMYFUNCTION("""COMPUTED_VALUE"""),"https://www.instagram.com/rauofealetaha_ir/")</f>
        <v>https://www.instagram.com/rauofealetaha_ir/</v>
      </c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</row>
    <row r="1699">
      <c r="A1699" s="5">
        <f>IFERROR(__xludf.DUMMYFUNCTION("""COMPUTED_VALUE"""),268.0)</f>
        <v>268</v>
      </c>
      <c r="B1699" s="5" t="str">
        <f>IFERROR(__xludf.DUMMYFUNCTION("""COMPUTED_VALUE"""),"هیأت هفتگی")</f>
        <v>هیأت هفتگی</v>
      </c>
      <c r="C1699" s="5" t="str">
        <f>IFERROR(__xludf.DUMMYFUNCTION("""COMPUTED_VALUE"""),"عاشقان ولایت")</f>
        <v>عاشقان ولایت</v>
      </c>
      <c r="D1699" s="5" t="str">
        <f>IFERROR(__xludf.DUMMYFUNCTION("""COMPUTED_VALUE"""),"آذربایجان شرقی")</f>
        <v>آذربایجان شرقی</v>
      </c>
      <c r="E1699" s="5" t="str">
        <f>IFERROR(__xludf.DUMMYFUNCTION("""COMPUTED_VALUE"""),"تبریز")</f>
        <v>تبریز</v>
      </c>
      <c r="F1699" s="5"/>
      <c r="G1699" s="5"/>
      <c r="H1699" s="6" t="str">
        <f>IFERROR(__xludf.DUMMYFUNCTION("""COMPUTED_VALUE"""),"https://www.instagram.com/ashegane_velayat_tabriz/")</f>
        <v>https://www.instagram.com/ashegane_velayat_tabriz/</v>
      </c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</row>
    <row r="1700">
      <c r="A1700" s="5">
        <f>IFERROR(__xludf.DUMMYFUNCTION("""COMPUTED_VALUE"""),172.0)</f>
        <v>172</v>
      </c>
      <c r="B1700" s="5" t="str">
        <f>IFERROR(__xludf.DUMMYFUNCTION("""COMPUTED_VALUE"""),"هیأت هفتگی")</f>
        <v>هیأت هفتگی</v>
      </c>
      <c r="C1700" s="5" t="str">
        <f>IFERROR(__xludf.DUMMYFUNCTION("""COMPUTED_VALUE"""),"بنت الحسین (س)")</f>
        <v>بنت الحسین (س)</v>
      </c>
      <c r="D1700" s="5" t="str">
        <f>IFERROR(__xludf.DUMMYFUNCTION("""COMPUTED_VALUE"""),"آذربایجان شرقی")</f>
        <v>آذربایجان شرقی</v>
      </c>
      <c r="E1700" s="5" t="str">
        <f>IFERROR(__xludf.DUMMYFUNCTION("""COMPUTED_VALUE"""),"تبریز")</f>
        <v>تبریز</v>
      </c>
      <c r="F1700" s="5"/>
      <c r="G1700" s="5"/>
      <c r="H1700" s="6" t="str">
        <f>IFERROR(__xludf.DUMMYFUNCTION("""COMPUTED_VALUE"""),"https://www.instagram.com/bentolhossein_tb/")</f>
        <v>https://www.instagram.com/bentolhossein_tb/</v>
      </c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</row>
    <row r="1701">
      <c r="A1701" s="5">
        <f>IFERROR(__xludf.DUMMYFUNCTION("""COMPUTED_VALUE"""),120.0)</f>
        <v>120</v>
      </c>
      <c r="B1701" s="5" t="str">
        <f>IFERROR(__xludf.DUMMYFUNCTION("""COMPUTED_VALUE"""),"هیأت هفتگی")</f>
        <v>هیأت هفتگی</v>
      </c>
      <c r="C1701" s="5" t="str">
        <f>IFERROR(__xludf.DUMMYFUNCTION("""COMPUTED_VALUE"""),"کانون منتظران حضرت مهدی (عج)")</f>
        <v>کانون منتظران حضرت مهدی (عج)</v>
      </c>
      <c r="D1701" s="5" t="str">
        <f>IFERROR(__xludf.DUMMYFUNCTION("""COMPUTED_VALUE"""),"آذربایجان شرقی")</f>
        <v>آذربایجان شرقی</v>
      </c>
      <c r="E1701" s="5" t="str">
        <f>IFERROR(__xludf.DUMMYFUNCTION("""COMPUTED_VALUE"""),"تبریز")</f>
        <v>تبریز</v>
      </c>
      <c r="F1701" s="5"/>
      <c r="G1701" s="5"/>
      <c r="H1701" s="6" t="str">
        <f>IFERROR(__xludf.DUMMYFUNCTION("""COMPUTED_VALUE"""),"https://www.instagram.com/montazeranemahdi.tb/")</f>
        <v>https://www.instagram.com/montazeranemahdi.tb/</v>
      </c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</row>
    <row r="1702">
      <c r="A1702" s="5">
        <f>IFERROR(__xludf.DUMMYFUNCTION("""COMPUTED_VALUE"""),113.0)</f>
        <v>113</v>
      </c>
      <c r="B1702" s="5" t="str">
        <f>IFERROR(__xludf.DUMMYFUNCTION("""COMPUTED_VALUE"""),"هیأت جوانان")</f>
        <v>هیأت جوانان</v>
      </c>
      <c r="C1702" s="5" t="str">
        <f>IFERROR(__xludf.DUMMYFUNCTION("""COMPUTED_VALUE"""),"رزمندگان اسلام")</f>
        <v>رزمندگان اسلام</v>
      </c>
      <c r="D1702" s="5" t="str">
        <f>IFERROR(__xludf.DUMMYFUNCTION("""COMPUTED_VALUE"""),"آذربایجان شرقی")</f>
        <v>آذربایجان شرقی</v>
      </c>
      <c r="E1702" s="5" t="str">
        <f>IFERROR(__xludf.DUMMYFUNCTION("""COMPUTED_VALUE"""),"تبریز")</f>
        <v>تبریز</v>
      </c>
      <c r="F1702" s="5"/>
      <c r="G1702" s="5"/>
      <c r="H1702" s="6" t="str">
        <f>IFERROR(__xludf.DUMMYFUNCTION("""COMPUTED_VALUE"""),"https://www.instagram.com/eheyat_azsh/")</f>
        <v>https://www.instagram.com/eheyat_azsh/</v>
      </c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</row>
    <row r="1703">
      <c r="A1703" s="5">
        <f>IFERROR(__xludf.DUMMYFUNCTION("""COMPUTED_VALUE"""),107.0)</f>
        <v>107</v>
      </c>
      <c r="B1703" s="5" t="str">
        <f>IFERROR(__xludf.DUMMYFUNCTION("""COMPUTED_VALUE"""),"هیأت هفتگی")</f>
        <v>هیأت هفتگی</v>
      </c>
      <c r="C1703" s="5" t="str">
        <f>IFERROR(__xludf.DUMMYFUNCTION("""COMPUTED_VALUE"""),"قمربنی هاشم (ع)")</f>
        <v>قمربنی هاشم (ع)</v>
      </c>
      <c r="D1703" s="5" t="str">
        <f>IFERROR(__xludf.DUMMYFUNCTION("""COMPUTED_VALUE"""),"آذربایجان شرقی")</f>
        <v>آذربایجان شرقی</v>
      </c>
      <c r="E1703" s="5" t="str">
        <f>IFERROR(__xludf.DUMMYFUNCTION("""COMPUTED_VALUE"""),"تبریز")</f>
        <v>تبریز</v>
      </c>
      <c r="F1703" s="5"/>
      <c r="G1703" s="5"/>
      <c r="H1703" s="6" t="str">
        <f>IFERROR(__xludf.DUMMYFUNCTION("""COMPUTED_VALUE"""),"https://www.instagram.com/heyat_ghamarbani_hashem_tabriz/")</f>
        <v>https://www.instagram.com/heyat_ghamarbani_hashem_tabriz/</v>
      </c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</row>
    <row r="1704">
      <c r="A1704" s="5">
        <f>IFERROR(__xludf.DUMMYFUNCTION("""COMPUTED_VALUE"""),92.0)</f>
        <v>92</v>
      </c>
      <c r="B1704" s="5" t="str">
        <f>IFERROR(__xludf.DUMMYFUNCTION("""COMPUTED_VALUE"""),"هیأت مناسبتی")</f>
        <v>هیأت مناسبتی</v>
      </c>
      <c r="C1704" s="5" t="str">
        <f>IFERROR(__xludf.DUMMYFUNCTION("""COMPUTED_VALUE"""),"عاشقان حضرت سیدالشهدا (ع)")</f>
        <v>عاشقان حضرت سیدالشهدا (ع)</v>
      </c>
      <c r="D1704" s="5" t="str">
        <f>IFERROR(__xludf.DUMMYFUNCTION("""COMPUTED_VALUE"""),"آذربایجان شرقی")</f>
        <v>آذربایجان شرقی</v>
      </c>
      <c r="E1704" s="5" t="str">
        <f>IFERROR(__xludf.DUMMYFUNCTION("""COMPUTED_VALUE"""),"تبریز")</f>
        <v>تبریز</v>
      </c>
      <c r="F1704" s="5"/>
      <c r="G1704" s="5"/>
      <c r="H1704" s="6" t="str">
        <f>IFERROR(__xludf.DUMMYFUNCTION("""COMPUTED_VALUE"""),"https://www.instagram.com/asheganeseidalshohada/")</f>
        <v>https://www.instagram.com/asheganeseidalshohada/</v>
      </c>
      <c r="I1704" s="6" t="str">
        <f>IFERROR(__xludf.DUMMYFUNCTION("""COMPUTED_VALUE"""),"telegram.me/AsheganeSeidAlshohada")</f>
        <v>telegram.me/AsheganeSeidAlshohada</v>
      </c>
      <c r="J1704" s="5"/>
      <c r="K1704" s="5"/>
      <c r="L1704" s="5"/>
      <c r="M1704" s="5"/>
      <c r="N1704" s="5"/>
      <c r="O1704" s="5"/>
      <c r="P1704" s="5"/>
      <c r="Q1704" s="5"/>
      <c r="R1704" s="5"/>
      <c r="S1704" s="5"/>
    </row>
    <row r="1705">
      <c r="A1705" s="5">
        <f>IFERROR(__xludf.DUMMYFUNCTION("""COMPUTED_VALUE"""),33.0)</f>
        <v>33</v>
      </c>
      <c r="B1705" s="5" t="str">
        <f>IFERROR(__xludf.DUMMYFUNCTION("""COMPUTED_VALUE"""),"هیأت مناسبتی")</f>
        <v>هیأت مناسبتی</v>
      </c>
      <c r="C1705" s="5" t="str">
        <f>IFERROR(__xludf.DUMMYFUNCTION("""COMPUTED_VALUE"""),"شهدای گمنام")</f>
        <v>شهدای گمنام</v>
      </c>
      <c r="D1705" s="5" t="str">
        <f>IFERROR(__xludf.DUMMYFUNCTION("""COMPUTED_VALUE"""),"آذربایجان شرقی")</f>
        <v>آذربایجان شرقی</v>
      </c>
      <c r="E1705" s="5" t="str">
        <f>IFERROR(__xludf.DUMMYFUNCTION("""COMPUTED_VALUE"""),"تبریز")</f>
        <v>تبریز</v>
      </c>
      <c r="F1705" s="5"/>
      <c r="G1705" s="5"/>
      <c r="H1705" s="6" t="str">
        <f>IFERROR(__xludf.DUMMYFUNCTION("""COMPUTED_VALUE"""),"https://www.instagram.com/shohadayegomnam.tabriz/")</f>
        <v>https://www.instagram.com/shohadayegomnam.tabriz/</v>
      </c>
      <c r="I1705" s="5"/>
      <c r="J1705" s="6" t="str">
        <f>IFERROR(__xludf.DUMMYFUNCTION("""COMPUTED_VALUE"""),"https://eitaa.com/shohadayeghomnamT")</f>
        <v>https://eitaa.com/shohadayeghomnamT</v>
      </c>
      <c r="K1705" s="5"/>
      <c r="L1705" s="5"/>
      <c r="M1705" s="5"/>
      <c r="N1705" s="5"/>
      <c r="O1705" s="5"/>
      <c r="P1705" s="5"/>
      <c r="Q1705" s="5"/>
      <c r="R1705" s="5"/>
      <c r="S1705" s="5"/>
    </row>
    <row r="1706">
      <c r="A1706" s="5">
        <f>IFERROR(__xludf.DUMMYFUNCTION("""COMPUTED_VALUE"""),28.0)</f>
        <v>28</v>
      </c>
      <c r="B1706" s="5" t="str">
        <f>IFERROR(__xludf.DUMMYFUNCTION("""COMPUTED_VALUE"""),"هیأت مناسبتی")</f>
        <v>هیأت مناسبتی</v>
      </c>
      <c r="C1706" s="5" t="str">
        <f>IFERROR(__xludf.DUMMYFUNCTION("""COMPUTED_VALUE"""),"عزاداران محمد رسول الله (ص)")</f>
        <v>عزاداران محمد رسول الله (ص)</v>
      </c>
      <c r="D1706" s="5" t="str">
        <f>IFERROR(__xludf.DUMMYFUNCTION("""COMPUTED_VALUE"""),"آذربایجان شرقی")</f>
        <v>آذربایجان شرقی</v>
      </c>
      <c r="E1706" s="5" t="str">
        <f>IFERROR(__xludf.DUMMYFUNCTION("""COMPUTED_VALUE"""),"تبریز")</f>
        <v>تبریز</v>
      </c>
      <c r="F1706" s="5"/>
      <c r="G1706" s="5"/>
      <c r="H1706" s="6" t="str">
        <f>IFERROR(__xludf.DUMMYFUNCTION("""COMPUTED_VALUE"""),"https://www.instagram.com/heyatemohammadrasolallah/")</f>
        <v>https://www.instagram.com/heyatemohammadrasolallah/</v>
      </c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</row>
    <row r="1707">
      <c r="A1707" s="5">
        <f>IFERROR(__xludf.DUMMYFUNCTION("""COMPUTED_VALUE"""),5.0)</f>
        <v>5</v>
      </c>
      <c r="B1707" s="5" t="str">
        <f>IFERROR(__xludf.DUMMYFUNCTION("""COMPUTED_VALUE"""),"هیأت مناسبتی")</f>
        <v>هیأت مناسبتی</v>
      </c>
      <c r="C1707" s="5" t="str">
        <f>IFERROR(__xludf.DUMMYFUNCTION("""COMPUTED_VALUE"""),"عزاداران انصارالحسین (ع)")</f>
        <v>عزاداران انصارالحسین (ع)</v>
      </c>
      <c r="D1707" s="5" t="str">
        <f>IFERROR(__xludf.DUMMYFUNCTION("""COMPUTED_VALUE"""),"آذربایجان شرقی")</f>
        <v>آذربایجان شرقی</v>
      </c>
      <c r="E1707" s="5" t="str">
        <f>IFERROR(__xludf.DUMMYFUNCTION("""COMPUTED_VALUE"""),"تبریز")</f>
        <v>تبریز</v>
      </c>
      <c r="F1707" s="5"/>
      <c r="G1707" s="5"/>
      <c r="H1707" s="6" t="str">
        <f>IFERROR(__xludf.DUMMYFUNCTION("""COMPUTED_VALUE"""),"https://www.instagram.com/ansaralhusseintabriz/")</f>
        <v>https://www.instagram.com/ansaralhusseintabriz/</v>
      </c>
      <c r="I1707" s="6" t="str">
        <f>IFERROR(__xludf.DUMMYFUNCTION("""COMPUTED_VALUE"""),"t.me/ansaralhussaintabriz")</f>
        <v>t.me/ansaralhussaintabriz</v>
      </c>
      <c r="J1707" s="5"/>
      <c r="K1707" s="5"/>
      <c r="L1707" s="5"/>
      <c r="M1707" s="5"/>
      <c r="N1707" s="5"/>
      <c r="O1707" s="5"/>
      <c r="P1707" s="5"/>
      <c r="Q1707" s="5"/>
      <c r="R1707" s="5"/>
      <c r="S1707" s="5"/>
    </row>
    <row r="1708">
      <c r="A1708" s="5"/>
      <c r="B1708" s="5" t="str">
        <f>IFERROR(__xludf.DUMMYFUNCTION("""COMPUTED_VALUE"""),"هیأت هفتگی")</f>
        <v>هیأت هفتگی</v>
      </c>
      <c r="C1708" s="5" t="str">
        <f>IFERROR(__xludf.DUMMYFUNCTION("""COMPUTED_VALUE"""),"حضرت المهدی (عج)")</f>
        <v>حضرت المهدی (عج)</v>
      </c>
      <c r="D1708" s="5" t="str">
        <f>IFERROR(__xludf.DUMMYFUNCTION("""COMPUTED_VALUE"""),"آذربایجان شرقی")</f>
        <v>آذربایجان شرقی</v>
      </c>
      <c r="E1708" s="5" t="str">
        <f>IFERROR(__xludf.DUMMYFUNCTION("""COMPUTED_VALUE"""),"تبریز")</f>
        <v>تبریز</v>
      </c>
      <c r="F1708" s="5"/>
      <c r="G1708" s="5"/>
      <c r="H1708" s="6" t="str">
        <f>IFERROR(__xludf.DUMMYFUNCTION("""COMPUTED_VALUE"""),"https://www.instagram.com/heyate_almahdi/")</f>
        <v>https://www.instagram.com/heyate_almahdi/</v>
      </c>
      <c r="I1708" s="6" t="str">
        <f>IFERROR(__xludf.DUMMYFUNCTION("""COMPUTED_VALUE"""),"t.me/heyateealmahdi")</f>
        <v>t.me/heyateealmahdi</v>
      </c>
      <c r="J1708" s="6" t="str">
        <f>IFERROR(__xludf.DUMMYFUNCTION("""COMPUTED_VALUE"""),"eitaa.com/heyatealmahdi")</f>
        <v>eitaa.com/heyatealmahdi</v>
      </c>
      <c r="K1708" s="5"/>
      <c r="L1708" s="5"/>
      <c r="M1708" s="5"/>
      <c r="N1708" s="5"/>
      <c r="O1708" s="5"/>
      <c r="P1708" s="5"/>
      <c r="Q1708" s="5"/>
      <c r="R1708" s="5"/>
      <c r="S1708" s="5"/>
    </row>
    <row r="1709">
      <c r="A1709" s="5"/>
      <c r="B1709" s="5" t="str">
        <f>IFERROR(__xludf.DUMMYFUNCTION("""COMPUTED_VALUE"""),"هیأت هفتگی")</f>
        <v>هیأت هفتگی</v>
      </c>
      <c r="C1709" s="5" t="str">
        <f>IFERROR(__xludf.DUMMYFUNCTION("""COMPUTED_VALUE"""),"وارثان ثارالله شاهد")</f>
        <v>وارثان ثارالله شاهد</v>
      </c>
      <c r="D1709" s="5" t="str">
        <f>IFERROR(__xludf.DUMMYFUNCTION("""COMPUTED_VALUE"""),"آذربایجان شرقی")</f>
        <v>آذربایجان شرقی</v>
      </c>
      <c r="E1709" s="5" t="str">
        <f>IFERROR(__xludf.DUMMYFUNCTION("""COMPUTED_VALUE"""),"تبریز")</f>
        <v>تبریز</v>
      </c>
      <c r="F1709" s="5"/>
      <c r="G1709" s="5"/>
      <c r="H1709" s="6" t="str">
        <f>IFERROR(__xludf.DUMMYFUNCTION("""COMPUTED_VALUE"""),"https://www.instagram.com/varesan_sarallah/")</f>
        <v>https://www.instagram.com/varesan_sarallah/</v>
      </c>
      <c r="I1709" s="5"/>
      <c r="J1709" s="6" t="str">
        <f>IFERROR(__xludf.DUMMYFUNCTION("""COMPUTED_VALUE"""),"eitaa.com/varesansarallah")</f>
        <v>eitaa.com/varesansarallah</v>
      </c>
      <c r="K1709" s="5"/>
      <c r="L1709" s="5"/>
      <c r="M1709" s="5"/>
      <c r="N1709" s="5"/>
      <c r="O1709" s="5"/>
      <c r="P1709" s="5"/>
      <c r="Q1709" s="5"/>
      <c r="R1709" s="5"/>
      <c r="S1709" s="5"/>
    </row>
    <row r="1710">
      <c r="A1710" s="5"/>
      <c r="B1710" s="5" t="str">
        <f>IFERROR(__xludf.DUMMYFUNCTION("""COMPUTED_VALUE"""),"هیأت هفتگی")</f>
        <v>هیأت هفتگی</v>
      </c>
      <c r="C1710" s="5" t="str">
        <f>IFERROR(__xludf.DUMMYFUNCTION("""COMPUTED_VALUE"""),"مکتب الشهداء")</f>
        <v>مکتب الشهداء</v>
      </c>
      <c r="D1710" s="5" t="str">
        <f>IFERROR(__xludf.DUMMYFUNCTION("""COMPUTED_VALUE"""),"آذربایجان شرقی")</f>
        <v>آذربایجان شرقی</v>
      </c>
      <c r="E1710" s="5" t="str">
        <f>IFERROR(__xludf.DUMMYFUNCTION("""COMPUTED_VALUE"""),"تبریز")</f>
        <v>تبریز</v>
      </c>
      <c r="F1710" s="5"/>
      <c r="G1710" s="5"/>
      <c r="H1710" s="6" t="str">
        <f>IFERROR(__xludf.DUMMYFUNCTION("""COMPUTED_VALUE"""),"https://www.instagram.com/maktabalshohada_tb/")</f>
        <v>https://www.instagram.com/maktabalshohada_tb/</v>
      </c>
      <c r="I1710" s="5"/>
      <c r="J1710" s="6" t="str">
        <f>IFERROR(__xludf.DUMMYFUNCTION("""COMPUTED_VALUE"""),"eitaa.com/maktab_alshouhada")</f>
        <v>eitaa.com/maktab_alshouhada</v>
      </c>
      <c r="K1710" s="5"/>
      <c r="L1710" s="5"/>
      <c r="M1710" s="5"/>
      <c r="N1710" s="5"/>
      <c r="O1710" s="5"/>
      <c r="P1710" s="5"/>
      <c r="Q1710" s="5"/>
      <c r="R1710" s="5"/>
      <c r="S1710" s="5"/>
    </row>
    <row r="1711">
      <c r="A1711" s="5"/>
      <c r="B1711" s="5" t="str">
        <f>IFERROR(__xludf.DUMMYFUNCTION("""COMPUTED_VALUE"""),"هیأت هفتگی")</f>
        <v>هیأت هفتگی</v>
      </c>
      <c r="C1711" s="5" t="str">
        <f>IFERROR(__xludf.DUMMYFUNCTION("""COMPUTED_VALUE"""),"عزاخانه اکبریه")</f>
        <v>عزاخانه اکبریه</v>
      </c>
      <c r="D1711" s="5" t="str">
        <f>IFERROR(__xludf.DUMMYFUNCTION("""COMPUTED_VALUE"""),"آذربایجان شرقی")</f>
        <v>آذربایجان شرقی</v>
      </c>
      <c r="E1711" s="5" t="str">
        <f>IFERROR(__xludf.DUMMYFUNCTION("""COMPUTED_VALUE"""),"تبریز")</f>
        <v>تبریز</v>
      </c>
      <c r="F1711" s="5"/>
      <c r="G1711" s="5"/>
      <c r="H1711" s="6" t="str">
        <f>IFERROR(__xludf.DUMMYFUNCTION("""COMPUTED_VALUE"""),"https://www.instagram.com/azakhane_akbariye/")</f>
        <v>https://www.instagram.com/azakhane_akbariye/</v>
      </c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</row>
    <row r="1712">
      <c r="A1712" s="5">
        <f>IFERROR(__xludf.DUMMYFUNCTION("""COMPUTED_VALUE"""),30471.0)</f>
        <v>30471</v>
      </c>
      <c r="B1712" s="5" t="str">
        <f>IFERROR(__xludf.DUMMYFUNCTION("""COMPUTED_VALUE"""),"هیأت مناسبتی")</f>
        <v>هیأت مناسبتی</v>
      </c>
      <c r="C1712" s="5" t="str">
        <f>IFERROR(__xludf.DUMMYFUNCTION("""COMPUTED_VALUE"""),"اکبریه خسروشاه")</f>
        <v>اکبریه خسروشاه</v>
      </c>
      <c r="D1712" s="5" t="str">
        <f>IFERROR(__xludf.DUMMYFUNCTION("""COMPUTED_VALUE"""),"آذربایجان شرقی")</f>
        <v>آذربایجان شرقی</v>
      </c>
      <c r="E1712" s="5" t="str">
        <f>IFERROR(__xludf.DUMMYFUNCTION("""COMPUTED_VALUE"""),"خسروشاه")</f>
        <v>خسروشاه</v>
      </c>
      <c r="F1712" s="5"/>
      <c r="G1712" s="5"/>
      <c r="H1712" s="6" t="str">
        <f>IFERROR(__xludf.DUMMYFUNCTION("""COMPUTED_VALUE"""),"https://www.instagram.com/akbarieh_khosrowshah/")</f>
        <v>https://www.instagram.com/akbarieh_khosrowshah/</v>
      </c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</row>
    <row r="1713">
      <c r="A1713" s="5">
        <f>IFERROR(__xludf.DUMMYFUNCTION("""COMPUTED_VALUE"""),24997.0)</f>
        <v>24997</v>
      </c>
      <c r="B1713" s="5" t="str">
        <f>IFERROR(__xludf.DUMMYFUNCTION("""COMPUTED_VALUE"""),"هیأت مناسبتی")</f>
        <v>هیأت مناسبتی</v>
      </c>
      <c r="C1713" s="5" t="str">
        <f>IFERROR(__xludf.DUMMYFUNCTION("""COMPUTED_VALUE"""),"الزهرا (س)")</f>
        <v>الزهرا (س)</v>
      </c>
      <c r="D1713" s="5" t="str">
        <f>IFERROR(__xludf.DUMMYFUNCTION("""COMPUTED_VALUE"""),"آذربایجان شرقی")</f>
        <v>آذربایجان شرقی</v>
      </c>
      <c r="E1713" s="5" t="str">
        <f>IFERROR(__xludf.DUMMYFUNCTION("""COMPUTED_VALUE"""),"مراغه")</f>
        <v>مراغه</v>
      </c>
      <c r="F1713" s="5"/>
      <c r="G1713" s="5"/>
      <c r="H1713" s="6" t="str">
        <f>IFERROR(__xludf.DUMMYFUNCTION("""COMPUTED_VALUE"""),"https://www.instagram.com/heyat_fatemeh_alzahra/")</f>
        <v>https://www.instagram.com/heyat_fatemeh_alzahra/</v>
      </c>
      <c r="I1713" s="5"/>
      <c r="J1713" s="6" t="str">
        <f>IFERROR(__xludf.DUMMYFUNCTION("""COMPUTED_VALUE"""),"t.me/heyat_gallery")</f>
        <v>t.me/heyat_gallery</v>
      </c>
      <c r="K1713" s="5"/>
      <c r="L1713" s="5"/>
      <c r="M1713" s="5"/>
      <c r="N1713" s="5"/>
      <c r="O1713" s="5"/>
      <c r="P1713" s="5"/>
      <c r="Q1713" s="5"/>
      <c r="R1713" s="5"/>
      <c r="S1713" s="5"/>
    </row>
    <row r="1714">
      <c r="A1714" s="5">
        <f>IFERROR(__xludf.DUMMYFUNCTION("""COMPUTED_VALUE"""),23019.0)</f>
        <v>23019</v>
      </c>
      <c r="B1714" s="5" t="str">
        <f>IFERROR(__xludf.DUMMYFUNCTION("""COMPUTED_VALUE"""),"هیأت هفتگی")</f>
        <v>هیأت هفتگی</v>
      </c>
      <c r="C1714" s="5" t="str">
        <f>IFERROR(__xludf.DUMMYFUNCTION("""COMPUTED_VALUE"""),"حسینی قرآنی عاشورائیان")</f>
        <v>حسینی قرآنی عاشورائیان</v>
      </c>
      <c r="D1714" s="5" t="str">
        <f>IFERROR(__xludf.DUMMYFUNCTION("""COMPUTED_VALUE"""),"آذربایجان شرقی")</f>
        <v>آذربایجان شرقی</v>
      </c>
      <c r="E1714" s="5" t="str">
        <f>IFERROR(__xludf.DUMMYFUNCTION("""COMPUTED_VALUE"""),"مراغه")</f>
        <v>مراغه</v>
      </c>
      <c r="F1714" s="5"/>
      <c r="G1714" s="5"/>
      <c r="H1714" s="6" t="str">
        <f>IFERROR(__xludf.DUMMYFUNCTION("""COMPUTED_VALUE"""),"https://www.instagram.com/ashuraeyan_maragheh2/")</f>
        <v>https://www.instagram.com/ashuraeyan_maragheh2/</v>
      </c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</row>
    <row r="1715">
      <c r="A1715" s="5"/>
      <c r="B1715" s="5" t="str">
        <f>IFERROR(__xludf.DUMMYFUNCTION("""COMPUTED_VALUE"""),"هیأت")</f>
        <v>هیأت</v>
      </c>
      <c r="C1715" s="5" t="str">
        <f>IFERROR(__xludf.DUMMYFUNCTION("""COMPUTED_VALUE"""),"رایة الرضا")</f>
        <v>رایة الرضا</v>
      </c>
      <c r="D1715" s="5" t="str">
        <f>IFERROR(__xludf.DUMMYFUNCTION("""COMPUTED_VALUE"""),"آذربایجان شرقی")</f>
        <v>آذربایجان شرقی</v>
      </c>
      <c r="E1715" s="5" t="str">
        <f>IFERROR(__xludf.DUMMYFUNCTION("""COMPUTED_VALUE"""),"تبریز")</f>
        <v>تبریز</v>
      </c>
      <c r="F1715" s="5"/>
      <c r="G1715" s="5"/>
      <c r="H1715" s="6" t="str">
        <f>IFERROR(__xludf.DUMMYFUNCTION("""COMPUTED_VALUE"""),"https://www.instagram.com/rayatolrezakondroud/")</f>
        <v>https://www.instagram.com/rayatolrezakondroud/</v>
      </c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</row>
    <row r="1716">
      <c r="A1716" s="5">
        <f>IFERROR(__xludf.DUMMYFUNCTION("""COMPUTED_VALUE"""),33250.0)</f>
        <v>33250</v>
      </c>
      <c r="B1716" s="5" t="str">
        <f>IFERROR(__xludf.DUMMYFUNCTION("""COMPUTED_VALUE"""),"هیأت")</f>
        <v>هیأت</v>
      </c>
      <c r="C1716" s="5" t="str">
        <f>IFERROR(__xludf.DUMMYFUNCTION("""COMPUTED_VALUE"""),"رزمندگان اسلام")</f>
        <v>رزمندگان اسلام</v>
      </c>
      <c r="D1716" s="5" t="str">
        <f>IFERROR(__xludf.DUMMYFUNCTION("""COMPUTED_VALUE"""),"آذربایجان شرقی")</f>
        <v>آذربایجان شرقی</v>
      </c>
      <c r="E1716" s="5" t="str">
        <f>IFERROR(__xludf.DUMMYFUNCTION("""COMPUTED_VALUE"""),"اسکو")</f>
        <v>اسکو</v>
      </c>
      <c r="F1716" s="5"/>
      <c r="G1716" s="5"/>
      <c r="H1716" s="5"/>
      <c r="I1716" s="5"/>
      <c r="J1716" s="6" t="str">
        <f>IFERROR(__xludf.DUMMYFUNCTION("""COMPUTED_VALUE"""),"https://eitaa.com/heyat_razmandegan_osku1")</f>
        <v>https://eitaa.com/heyat_razmandegan_osku1</v>
      </c>
      <c r="K1716" s="5"/>
      <c r="L1716" s="5"/>
      <c r="M1716" s="5"/>
      <c r="N1716" s="5"/>
      <c r="O1716" s="5"/>
      <c r="P1716" s="5"/>
      <c r="Q1716" s="5"/>
      <c r="R1716" s="5"/>
      <c r="S1716" s="5"/>
    </row>
    <row r="1717">
      <c r="A1717" s="5">
        <f>IFERROR(__xludf.DUMMYFUNCTION("""COMPUTED_VALUE"""),30711.0)</f>
        <v>30711</v>
      </c>
      <c r="B1717" s="5" t="str">
        <f>IFERROR(__xludf.DUMMYFUNCTION("""COMPUTED_VALUE"""),"هیأت")</f>
        <v>هیأت</v>
      </c>
      <c r="C1717" s="5" t="str">
        <f>IFERROR(__xludf.DUMMYFUNCTION("""COMPUTED_VALUE"""),"فاطمیون")</f>
        <v>فاطمیون</v>
      </c>
      <c r="D1717" s="5" t="str">
        <f>IFERROR(__xludf.DUMMYFUNCTION("""COMPUTED_VALUE"""),"آذربایجان شرقی")</f>
        <v>آذربایجان شرقی</v>
      </c>
      <c r="E1717" s="5" t="str">
        <f>IFERROR(__xludf.DUMMYFUNCTION("""COMPUTED_VALUE"""),"اسکو")</f>
        <v>اسکو</v>
      </c>
      <c r="F1717" s="5"/>
      <c r="G1717" s="5"/>
      <c r="H1717" s="6" t="str">
        <f>IFERROR(__xludf.DUMMYFUNCTION("""COMPUTED_VALUE"""),"https://www.instagram.com/mokebfatemiunosku")</f>
        <v>https://www.instagram.com/mokebfatemiunosku</v>
      </c>
      <c r="I1717" s="6" t="str">
        <f>IFERROR(__xludf.DUMMYFUNCTION("""COMPUTED_VALUE"""),"https://t.me/arbaeinosku")</f>
        <v>https://t.me/arbaeinosku</v>
      </c>
      <c r="J1717" s="5"/>
      <c r="K1717" s="5"/>
      <c r="L1717" s="5"/>
      <c r="M1717" s="5"/>
      <c r="N1717" s="5"/>
      <c r="O1717" s="5"/>
      <c r="P1717" s="5"/>
      <c r="Q1717" s="5"/>
      <c r="R1717" s="5"/>
      <c r="S1717" s="5"/>
    </row>
    <row r="1718">
      <c r="A1718" s="5">
        <f>IFERROR(__xludf.DUMMYFUNCTION("""COMPUTED_VALUE"""),23173.0)</f>
        <v>23173</v>
      </c>
      <c r="B1718" s="5" t="str">
        <f>IFERROR(__xludf.DUMMYFUNCTION("""COMPUTED_VALUE"""),"هیأت")</f>
        <v>هیأت</v>
      </c>
      <c r="C1718" s="5" t="str">
        <f>IFERROR(__xludf.DUMMYFUNCTION("""COMPUTED_VALUE"""),"ثامن الائمه (ع) چایکنار")</f>
        <v>ثامن الائمه (ع) چایکنار</v>
      </c>
      <c r="D1718" s="5" t="str">
        <f>IFERROR(__xludf.DUMMYFUNCTION("""COMPUTED_VALUE"""),"آذربایجان شرقی")</f>
        <v>آذربایجان شرقی</v>
      </c>
      <c r="E1718" s="5" t="str">
        <f>IFERROR(__xludf.DUMMYFUNCTION("""COMPUTED_VALUE"""),"اسکو")</f>
        <v>اسکو</v>
      </c>
      <c r="F1718" s="5"/>
      <c r="G1718" s="5"/>
      <c r="H1718" s="6" t="str">
        <f>IFERROR(__xludf.DUMMYFUNCTION("""COMPUTED_VALUE"""),"https://www.instagram.com/heiatesamen")</f>
        <v>https://www.instagram.com/heiatesamen</v>
      </c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</row>
    <row r="1719">
      <c r="A1719" s="5">
        <f>IFERROR(__xludf.DUMMYFUNCTION("""COMPUTED_VALUE"""),19653.0)</f>
        <v>19653</v>
      </c>
      <c r="B1719" s="5" t="str">
        <f>IFERROR(__xludf.DUMMYFUNCTION("""COMPUTED_VALUE"""),"هیأت")</f>
        <v>هیأت</v>
      </c>
      <c r="C1719" s="5" t="str">
        <f>IFERROR(__xludf.DUMMYFUNCTION("""COMPUTED_VALUE"""),"یاحسین مظلوم(ع)")</f>
        <v>یاحسین مظلوم(ع)</v>
      </c>
      <c r="D1719" s="5" t="str">
        <f>IFERROR(__xludf.DUMMYFUNCTION("""COMPUTED_VALUE"""),"آذربایجان شرقی")</f>
        <v>آذربایجان شرقی</v>
      </c>
      <c r="E1719" s="5" t="str">
        <f>IFERROR(__xludf.DUMMYFUNCTION("""COMPUTED_VALUE"""),"اسکو")</f>
        <v>اسکو</v>
      </c>
      <c r="F1719" s="5"/>
      <c r="G1719" s="5"/>
      <c r="H1719" s="6" t="str">
        <f>IFERROR(__xludf.DUMMYFUNCTION("""COMPUTED_VALUE"""),"https://www.instagram.com/heyat_yahosein_oskou")</f>
        <v>https://www.instagram.com/heyat_yahosein_oskou</v>
      </c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</row>
    <row r="1720">
      <c r="A1720" s="5">
        <f>IFERROR(__xludf.DUMMYFUNCTION("""COMPUTED_VALUE"""),326.0)</f>
        <v>326</v>
      </c>
      <c r="B1720" s="5" t="str">
        <f>IFERROR(__xludf.DUMMYFUNCTION("""COMPUTED_VALUE"""),"هیأت")</f>
        <v>هیأت</v>
      </c>
      <c r="C1720" s="5" t="str">
        <f>IFERROR(__xludf.DUMMYFUNCTION("""COMPUTED_VALUE"""),"عزاداران بسیج دانشجویی دانشگاه صنعتی سهند")</f>
        <v>عزاداران بسیج دانشجویی دانشگاه صنعتی سهند</v>
      </c>
      <c r="D1720" s="5" t="str">
        <f>IFERROR(__xludf.DUMMYFUNCTION("""COMPUTED_VALUE"""),"آذربایجان شرقی")</f>
        <v>آذربایجان شرقی</v>
      </c>
      <c r="E1720" s="5" t="str">
        <f>IFERROR(__xludf.DUMMYFUNCTION("""COMPUTED_VALUE"""),"اسکو")</f>
        <v>اسکو</v>
      </c>
      <c r="F1720" s="5"/>
      <c r="G1720" s="5"/>
      <c r="H1720" s="5"/>
      <c r="I1720" s="6" t="str">
        <f>IFERROR(__xludf.DUMMYFUNCTION("""COMPUTED_VALUE"""),"https://t.me/bdsut_ir")</f>
        <v>https://t.me/bdsut_ir</v>
      </c>
      <c r="J1720" s="5"/>
      <c r="K1720" s="5"/>
      <c r="L1720" s="5"/>
      <c r="M1720" s="5"/>
      <c r="N1720" s="5"/>
      <c r="O1720" s="5"/>
      <c r="P1720" s="5"/>
      <c r="Q1720" s="5"/>
      <c r="R1720" s="5"/>
      <c r="S1720" s="5"/>
    </row>
    <row r="1721">
      <c r="A1721" s="5">
        <f>IFERROR(__xludf.DUMMYFUNCTION("""COMPUTED_VALUE"""),279.0)</f>
        <v>279</v>
      </c>
      <c r="B1721" s="5" t="str">
        <f>IFERROR(__xludf.DUMMYFUNCTION("""COMPUTED_VALUE"""),"هیأت")</f>
        <v>هیأت</v>
      </c>
      <c r="C1721" s="5" t="str">
        <f>IFERROR(__xludf.DUMMYFUNCTION("""COMPUTED_VALUE"""),"محبان الزهرا (س) / دانشگاه صنعتی سهند")</f>
        <v>محبان الزهرا (س) / دانشگاه صنعتی سهند</v>
      </c>
      <c r="D1721" s="5" t="str">
        <f>IFERROR(__xludf.DUMMYFUNCTION("""COMPUTED_VALUE"""),"آذربایجان شرقی")</f>
        <v>آذربایجان شرقی</v>
      </c>
      <c r="E1721" s="5" t="str">
        <f>IFERROR(__xludf.DUMMYFUNCTION("""COMPUTED_VALUE"""),"اسکو")</f>
        <v>اسکو</v>
      </c>
      <c r="F1721" s="5"/>
      <c r="G1721" s="5"/>
      <c r="H1721" s="6" t="str">
        <f>IFERROR(__xludf.DUMMYFUNCTION("""COMPUTED_VALUE"""),"https://www.instagram.com/mohebban213_ir")</f>
        <v>https://www.instagram.com/mohebban213_ir</v>
      </c>
      <c r="I1721" s="6" t="str">
        <f>IFERROR(__xludf.DUMMYFUNCTION("""COMPUTED_VALUE"""),"https://t.me/mohebban213_ir")</f>
        <v>https://t.me/mohebban213_ir</v>
      </c>
      <c r="J1721" s="5"/>
      <c r="K1721" s="5"/>
      <c r="L1721" s="5"/>
      <c r="M1721" s="5"/>
      <c r="N1721" s="5"/>
      <c r="O1721" s="5"/>
      <c r="P1721" s="5"/>
      <c r="Q1721" s="5"/>
      <c r="R1721" s="5"/>
      <c r="S1721" s="5"/>
    </row>
    <row r="1722">
      <c r="A1722" s="5">
        <f>IFERROR(__xludf.DUMMYFUNCTION("""COMPUTED_VALUE"""),60.0)</f>
        <v>60</v>
      </c>
      <c r="B1722" s="5" t="str">
        <f>IFERROR(__xludf.DUMMYFUNCTION("""COMPUTED_VALUE"""),"هیأت")</f>
        <v>هیأت</v>
      </c>
      <c r="C1722" s="5" t="str">
        <f>IFERROR(__xludf.DUMMYFUNCTION("""COMPUTED_VALUE"""),"حضرت ابوالفضل العباس (ع) روستای بایرام")</f>
        <v>حضرت ابوالفضل العباس (ع) روستای بایرام</v>
      </c>
      <c r="D1722" s="5" t="str">
        <f>IFERROR(__xludf.DUMMYFUNCTION("""COMPUTED_VALUE"""),"آذربایجان شرقی")</f>
        <v>آذربایجان شرقی</v>
      </c>
      <c r="E1722" s="5" t="str">
        <f>IFERROR(__xludf.DUMMYFUNCTION("""COMPUTED_VALUE"""),"اسکو")</f>
        <v>اسکو</v>
      </c>
      <c r="F1722" s="5"/>
      <c r="G1722" s="5"/>
      <c r="H1722" s="6" t="str">
        <f>IFERROR(__xludf.DUMMYFUNCTION("""COMPUTED_VALUE"""),"https://www.instagram.com/heyat.abolfazl.bayram/")</f>
        <v>https://www.instagram.com/heyat.abolfazl.bayram/</v>
      </c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</row>
    <row r="1723">
      <c r="A1723" s="5">
        <f>IFERROR(__xludf.DUMMYFUNCTION("""COMPUTED_VALUE"""),17.0)</f>
        <v>17</v>
      </c>
      <c r="B1723" s="5" t="str">
        <f>IFERROR(__xludf.DUMMYFUNCTION("""COMPUTED_VALUE"""),"هیأت")</f>
        <v>هیأت</v>
      </c>
      <c r="C1723" s="5" t="str">
        <f>IFERROR(__xludf.DUMMYFUNCTION("""COMPUTED_VALUE"""),"محبین اهل بیت (ع)")</f>
        <v>محبین اهل بیت (ع)</v>
      </c>
      <c r="D1723" s="5" t="str">
        <f>IFERROR(__xludf.DUMMYFUNCTION("""COMPUTED_VALUE"""),"آذربایجان شرقی")</f>
        <v>آذربایجان شرقی</v>
      </c>
      <c r="E1723" s="5" t="str">
        <f>IFERROR(__xludf.DUMMYFUNCTION("""COMPUTED_VALUE"""),"اسکو")</f>
        <v>اسکو</v>
      </c>
      <c r="F1723" s="5"/>
      <c r="G1723" s="5"/>
      <c r="H1723" s="6" t="str">
        <f>IFERROR(__xludf.DUMMYFUNCTION("""COMPUTED_VALUE"""),"https://www.instagram.com/heyat_mohebin_sahand")</f>
        <v>https://www.instagram.com/heyat_mohebin_sahand</v>
      </c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</row>
    <row r="1724">
      <c r="A1724" s="5">
        <f>IFERROR(__xludf.DUMMYFUNCTION("""COMPUTED_VALUE"""),30671.0)</f>
        <v>30671</v>
      </c>
      <c r="B1724" s="5" t="str">
        <f>IFERROR(__xludf.DUMMYFUNCTION("""COMPUTED_VALUE"""),"هیأت")</f>
        <v>هیأت</v>
      </c>
      <c r="C1724" s="5" t="str">
        <f>IFERROR(__xludf.DUMMYFUNCTION("""COMPUTED_VALUE"""),"ثارالله الحسین (ع)")</f>
        <v>ثارالله الحسین (ع)</v>
      </c>
      <c r="D1724" s="5" t="str">
        <f>IFERROR(__xludf.DUMMYFUNCTION("""COMPUTED_VALUE"""),"آذربایجان شرقی")</f>
        <v>آذربایجان شرقی</v>
      </c>
      <c r="E1724" s="5" t="str">
        <f>IFERROR(__xludf.DUMMYFUNCTION("""COMPUTED_VALUE"""),"اهر")</f>
        <v>اهر</v>
      </c>
      <c r="F1724" s="5"/>
      <c r="G1724" s="5"/>
      <c r="H1724" s="6" t="str">
        <f>IFERROR(__xludf.DUMMYFUNCTION("""COMPUTED_VALUE"""),"https://www.instagram.com/saralahahar")</f>
        <v>https://www.instagram.com/saralahahar</v>
      </c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</row>
    <row r="1725">
      <c r="A1725" s="5">
        <f>IFERROR(__xludf.DUMMYFUNCTION("""COMPUTED_VALUE"""),26853.0)</f>
        <v>26853</v>
      </c>
      <c r="B1725" s="5" t="str">
        <f>IFERROR(__xludf.DUMMYFUNCTION("""COMPUTED_VALUE"""),"هیأت")</f>
        <v>هیأت</v>
      </c>
      <c r="C1725" s="5" t="str">
        <f>IFERROR(__xludf.DUMMYFUNCTION("""COMPUTED_VALUE"""),"منتظران ظهور")</f>
        <v>منتظران ظهور</v>
      </c>
      <c r="D1725" s="5" t="str">
        <f>IFERROR(__xludf.DUMMYFUNCTION("""COMPUTED_VALUE"""),"آذربایجان شرقی")</f>
        <v>آذربایجان شرقی</v>
      </c>
      <c r="E1725" s="5" t="str">
        <f>IFERROR(__xludf.DUMMYFUNCTION("""COMPUTED_VALUE"""),"اهر")</f>
        <v>اهر</v>
      </c>
      <c r="F1725" s="5"/>
      <c r="G1725" s="5"/>
      <c r="H1725" s="6" t="str">
        <f>IFERROR(__xludf.DUMMYFUNCTION("""COMPUTED_VALUE"""),"https://www.instagram.com/montazeran.zohur.ahar")</f>
        <v>https://www.instagram.com/montazeran.zohur.ahar</v>
      </c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</row>
    <row r="1726">
      <c r="A1726" s="5">
        <f>IFERROR(__xludf.DUMMYFUNCTION("""COMPUTED_VALUE"""),26852.0)</f>
        <v>26852</v>
      </c>
      <c r="B1726" s="5" t="str">
        <f>IFERROR(__xludf.DUMMYFUNCTION("""COMPUTED_VALUE"""),"هیأت")</f>
        <v>هیأت</v>
      </c>
      <c r="C1726" s="5" t="str">
        <f>IFERROR(__xludf.DUMMYFUNCTION("""COMPUTED_VALUE"""),"حضرت فاطمه الزهر س تشنگان کوثر اهر")</f>
        <v>حضرت فاطمه الزهر س تشنگان کوثر اهر</v>
      </c>
      <c r="D1726" s="5" t="str">
        <f>IFERROR(__xludf.DUMMYFUNCTION("""COMPUTED_VALUE"""),"آذربایجان شرقی")</f>
        <v>آذربایجان شرقی</v>
      </c>
      <c r="E1726" s="5" t="str">
        <f>IFERROR(__xludf.DUMMYFUNCTION("""COMPUTED_VALUE"""),"اهر")</f>
        <v>اهر</v>
      </c>
      <c r="F1726" s="5"/>
      <c r="G1726" s="5"/>
      <c r="H1726" s="6" t="str">
        <f>IFERROR(__xludf.DUMMYFUNCTION("""COMPUTED_VALUE"""),"https://www.instagram.com/tashnaganakosar.ahar")</f>
        <v>https://www.instagram.com/tashnaganakosar.ahar</v>
      </c>
      <c r="I1726" s="6" t="str">
        <f>IFERROR(__xludf.DUMMYFUNCTION("""COMPUTED_VALUE"""),"https://t.me/teshnganekosar")</f>
        <v>https://t.me/teshnganekosar</v>
      </c>
      <c r="J1726" s="5"/>
      <c r="K1726" s="5"/>
      <c r="L1726" s="5"/>
      <c r="M1726" s="5"/>
      <c r="N1726" s="5"/>
      <c r="O1726" s="5"/>
      <c r="P1726" s="5"/>
      <c r="Q1726" s="5"/>
      <c r="R1726" s="5"/>
      <c r="S1726" s="5"/>
    </row>
    <row r="1727">
      <c r="A1727" s="5">
        <f>IFERROR(__xludf.DUMMYFUNCTION("""COMPUTED_VALUE"""),21131.0)</f>
        <v>21131</v>
      </c>
      <c r="B1727" s="5" t="str">
        <f>IFERROR(__xludf.DUMMYFUNCTION("""COMPUTED_VALUE"""),"هیأت جوانان")</f>
        <v>هیأت جوانان</v>
      </c>
      <c r="C1727" s="5" t="str">
        <f>IFERROR(__xludf.DUMMYFUNCTION("""COMPUTED_VALUE"""),"سینه زنان جوانان مسجد موسی بن جعفر (ع)")</f>
        <v>سینه زنان جوانان مسجد موسی بن جعفر (ع)</v>
      </c>
      <c r="D1727" s="5" t="str">
        <f>IFERROR(__xludf.DUMMYFUNCTION("""COMPUTED_VALUE"""),"آذربایجان شرقی")</f>
        <v>آذربایجان شرقی</v>
      </c>
      <c r="E1727" s="5" t="str">
        <f>IFERROR(__xludf.DUMMYFUNCTION("""COMPUTED_VALUE"""),"اهر")</f>
        <v>اهر</v>
      </c>
      <c r="F1727" s="5"/>
      <c r="G1727" s="5"/>
      <c r="H1727" s="6" t="str">
        <f>IFERROR(__xludf.DUMMYFUNCTION("""COMPUTED_VALUE"""),"https://www.instagram.com/emame_mosabne_jafar")</f>
        <v>https://www.instagram.com/emame_mosabne_jafar</v>
      </c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</row>
    <row r="1728">
      <c r="A1728" s="5">
        <f>IFERROR(__xludf.DUMMYFUNCTION("""COMPUTED_VALUE"""),21129.0)</f>
        <v>21129</v>
      </c>
      <c r="B1728" s="5" t="str">
        <f>IFERROR(__xludf.DUMMYFUNCTION("""COMPUTED_VALUE"""),"هیأت")</f>
        <v>هیأت</v>
      </c>
      <c r="C1728" s="5" t="str">
        <f>IFERROR(__xludf.DUMMYFUNCTION("""COMPUTED_VALUE"""),"ماتمکده حضرت زینب (س)")</f>
        <v>ماتمکده حضرت زینب (س)</v>
      </c>
      <c r="D1728" s="5" t="str">
        <f>IFERROR(__xludf.DUMMYFUNCTION("""COMPUTED_VALUE"""),"آذربایجان شرقی")</f>
        <v>آذربایجان شرقی</v>
      </c>
      <c r="E1728" s="5" t="str">
        <f>IFERROR(__xludf.DUMMYFUNCTION("""COMPUTED_VALUE"""),"اهر")</f>
        <v>اهر</v>
      </c>
      <c r="F1728" s="5"/>
      <c r="G1728" s="5"/>
      <c r="H1728" s="6" t="str">
        <f>IFERROR(__xludf.DUMMYFUNCTION("""COMPUTED_VALUE"""),"https://www.instagram.com/matamkade_hazrat_zienab_ahar")</f>
        <v>https://www.instagram.com/matamkade_hazrat_zienab_ahar</v>
      </c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</row>
    <row r="1729">
      <c r="A1729" s="5">
        <f>IFERROR(__xludf.DUMMYFUNCTION("""COMPUTED_VALUE"""),20472.0)</f>
        <v>20472</v>
      </c>
      <c r="B1729" s="5" t="str">
        <f>IFERROR(__xludf.DUMMYFUNCTION("""COMPUTED_VALUE"""),"هیأت")</f>
        <v>هیأت</v>
      </c>
      <c r="C1729" s="5" t="str">
        <f>IFERROR(__xludf.DUMMYFUNCTION("""COMPUTED_VALUE"""),"مکتب الزهرا")</f>
        <v>مکتب الزهرا</v>
      </c>
      <c r="D1729" s="5" t="str">
        <f>IFERROR(__xludf.DUMMYFUNCTION("""COMPUTED_VALUE"""),"آذربایجان شرقی")</f>
        <v>آذربایجان شرقی</v>
      </c>
      <c r="E1729" s="5" t="str">
        <f>IFERROR(__xludf.DUMMYFUNCTION("""COMPUTED_VALUE"""),"اهر")</f>
        <v>اهر</v>
      </c>
      <c r="F1729" s="5"/>
      <c r="G1729" s="5"/>
      <c r="H1729" s="6" t="str">
        <f>IFERROR(__xludf.DUMMYFUNCTION("""COMPUTED_VALUE"""),"https://www.instagram.com/maktab.zahra.ahar")</f>
        <v>https://www.instagram.com/maktab.zahra.ahar</v>
      </c>
      <c r="I1729" s="6" t="str">
        <f>IFERROR(__xludf.DUMMYFUNCTION("""COMPUTED_VALUE"""),"https://t.me/maktabolzahra_ahar")</f>
        <v>https://t.me/maktabolzahra_ahar</v>
      </c>
      <c r="J1729" s="5"/>
      <c r="K1729" s="5"/>
      <c r="L1729" s="5"/>
      <c r="M1729" s="5"/>
      <c r="N1729" s="5"/>
      <c r="O1729" s="5"/>
      <c r="P1729" s="5"/>
      <c r="Q1729" s="5"/>
      <c r="R1729" s="5"/>
      <c r="S1729" s="5"/>
    </row>
    <row r="1730">
      <c r="A1730" s="5">
        <f>IFERROR(__xludf.DUMMYFUNCTION("""COMPUTED_VALUE"""),19638.0)</f>
        <v>19638</v>
      </c>
      <c r="B1730" s="5" t="str">
        <f>IFERROR(__xludf.DUMMYFUNCTION("""COMPUTED_VALUE"""),"حسینیه")</f>
        <v>حسینیه</v>
      </c>
      <c r="C1730" s="5" t="str">
        <f>IFERROR(__xludf.DUMMYFUNCTION("""COMPUTED_VALUE"""),"انصار سیدالشهدا(ع)")</f>
        <v>انصار سیدالشهدا(ع)</v>
      </c>
      <c r="D1730" s="5" t="str">
        <f>IFERROR(__xludf.DUMMYFUNCTION("""COMPUTED_VALUE"""),"آذربایجان شرقی")</f>
        <v>آذربایجان شرقی</v>
      </c>
      <c r="E1730" s="5" t="str">
        <f>IFERROR(__xludf.DUMMYFUNCTION("""COMPUTED_VALUE"""),"اهر")</f>
        <v>اهر</v>
      </c>
      <c r="F1730" s="5"/>
      <c r="G1730" s="5"/>
      <c r="H1730" s="6" t="str">
        <f>IFERROR(__xludf.DUMMYFUNCTION("""COMPUTED_VALUE"""),"https://www.instagram.com/hoseyniye_ansar.ahar")</f>
        <v>https://www.instagram.com/hoseyniye_ansar.ahar</v>
      </c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</row>
    <row r="1731">
      <c r="A1731" s="5">
        <f>IFERROR(__xludf.DUMMYFUNCTION("""COMPUTED_VALUE"""),19637.0)</f>
        <v>19637</v>
      </c>
      <c r="B1731" s="5" t="str">
        <f>IFERROR(__xludf.DUMMYFUNCTION("""COMPUTED_VALUE"""),"هیأت")</f>
        <v>هیأت</v>
      </c>
      <c r="C1731" s="5" t="str">
        <f>IFERROR(__xludf.DUMMYFUNCTION("""COMPUTED_VALUE"""),"لواء زینب")</f>
        <v>لواء زینب</v>
      </c>
      <c r="D1731" s="5" t="str">
        <f>IFERROR(__xludf.DUMMYFUNCTION("""COMPUTED_VALUE"""),"آذربایجان شرقی")</f>
        <v>آذربایجان شرقی</v>
      </c>
      <c r="E1731" s="5" t="str">
        <f>IFERROR(__xludf.DUMMYFUNCTION("""COMPUTED_VALUE"""),"اهر")</f>
        <v>اهر</v>
      </c>
      <c r="F1731" s="5"/>
      <c r="G1731" s="5"/>
      <c r="H1731" s="6" t="str">
        <f>IFERROR(__xludf.DUMMYFUNCTION("""COMPUTED_VALUE"""),"https://www.instagram.com/levazeynab_ahar")</f>
        <v>https://www.instagram.com/levazeynab_ahar</v>
      </c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</row>
    <row r="1732">
      <c r="A1732" s="5">
        <f>IFERROR(__xludf.DUMMYFUNCTION("""COMPUTED_VALUE"""),19634.0)</f>
        <v>19634</v>
      </c>
      <c r="B1732" s="5" t="str">
        <f>IFERROR(__xludf.DUMMYFUNCTION("""COMPUTED_VALUE"""),"هیأت")</f>
        <v>هیأت</v>
      </c>
      <c r="C1732" s="5" t="str">
        <f>IFERROR(__xludf.DUMMYFUNCTION("""COMPUTED_VALUE"""),"جنت الحسین (ع)")</f>
        <v>جنت الحسین (ع)</v>
      </c>
      <c r="D1732" s="5" t="str">
        <f>IFERROR(__xludf.DUMMYFUNCTION("""COMPUTED_VALUE"""),"آذربایجان شرقی")</f>
        <v>آذربایجان شرقی</v>
      </c>
      <c r="E1732" s="5" t="str">
        <f>IFERROR(__xludf.DUMMYFUNCTION("""COMPUTED_VALUE"""),"اهر")</f>
        <v>اهر</v>
      </c>
      <c r="F1732" s="5"/>
      <c r="G1732" s="5"/>
      <c r="H1732" s="6" t="str">
        <f>IFERROR(__xludf.DUMMYFUNCTION("""COMPUTED_VALUE"""),"https://www.instagram.com/jannatolhosein_ahar")</f>
        <v>https://www.instagram.com/jannatolhosein_ahar</v>
      </c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</row>
    <row r="1733">
      <c r="A1733" s="5">
        <f>IFERROR(__xludf.DUMMYFUNCTION("""COMPUTED_VALUE"""),19633.0)</f>
        <v>19633</v>
      </c>
      <c r="B1733" s="5" t="str">
        <f>IFERROR(__xludf.DUMMYFUNCTION("""COMPUTED_VALUE"""),"هیأت")</f>
        <v>هیأت</v>
      </c>
      <c r="C1733" s="5" t="str">
        <f>IFERROR(__xludf.DUMMYFUNCTION("""COMPUTED_VALUE"""),"سبزپوشان علوی")</f>
        <v>سبزپوشان علوی</v>
      </c>
      <c r="D1733" s="5" t="str">
        <f>IFERROR(__xludf.DUMMYFUNCTION("""COMPUTED_VALUE"""),"آذربایجان شرقی")</f>
        <v>آذربایجان شرقی</v>
      </c>
      <c r="E1733" s="5" t="str">
        <f>IFERROR(__xludf.DUMMYFUNCTION("""COMPUTED_VALUE"""),"اهر")</f>
        <v>اهر</v>
      </c>
      <c r="F1733" s="5"/>
      <c r="G1733" s="5"/>
      <c r="H1733" s="6" t="str">
        <f>IFERROR(__xludf.DUMMYFUNCTION("""COMPUTED_VALUE"""),"https://www.instagram.com/sabzposhanealavi.ahar")</f>
        <v>https://www.instagram.com/sabzposhanealavi.ahar</v>
      </c>
      <c r="I1733" s="6" t="str">
        <f>IFERROR(__xludf.DUMMYFUNCTION("""COMPUTED_VALUE"""),"https://t.me/sabzposhanalavi1385")</f>
        <v>https://t.me/sabzposhanalavi1385</v>
      </c>
      <c r="J1733" s="5"/>
      <c r="K1733" s="5"/>
      <c r="L1733" s="5"/>
      <c r="M1733" s="5"/>
      <c r="N1733" s="5"/>
      <c r="O1733" s="5"/>
      <c r="P1733" s="5"/>
      <c r="Q1733" s="5"/>
      <c r="R1733" s="5"/>
      <c r="S1733" s="5"/>
    </row>
    <row r="1734">
      <c r="A1734" s="5">
        <f>IFERROR(__xludf.DUMMYFUNCTION("""COMPUTED_VALUE"""),19632.0)</f>
        <v>19632</v>
      </c>
      <c r="B1734" s="5" t="str">
        <f>IFERROR(__xludf.DUMMYFUNCTION("""COMPUTED_VALUE"""),"هیأت")</f>
        <v>هیأت</v>
      </c>
      <c r="C1734" s="5" t="str">
        <f>IFERROR(__xludf.DUMMYFUNCTION("""COMPUTED_VALUE"""),"جان نثاران حضرت قاسم(ع)")</f>
        <v>جان نثاران حضرت قاسم(ع)</v>
      </c>
      <c r="D1734" s="5" t="str">
        <f>IFERROR(__xludf.DUMMYFUNCTION("""COMPUTED_VALUE"""),"آذربایجان شرقی")</f>
        <v>آذربایجان شرقی</v>
      </c>
      <c r="E1734" s="5" t="str">
        <f>IFERROR(__xludf.DUMMYFUNCTION("""COMPUTED_VALUE"""),"اهر")</f>
        <v>اهر</v>
      </c>
      <c r="F1734" s="5"/>
      <c r="G1734" s="5"/>
      <c r="H1734" s="6" t="str">
        <f>IFERROR(__xludf.DUMMYFUNCTION("""COMPUTED_VALUE"""),"https://www.instagram.com/jan_nsaran.ahr/")</f>
        <v>https://www.instagram.com/jan_nsaran.ahr/</v>
      </c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</row>
    <row r="1735">
      <c r="A1735" s="5">
        <f>IFERROR(__xludf.DUMMYFUNCTION("""COMPUTED_VALUE"""),19631.0)</f>
        <v>19631</v>
      </c>
      <c r="B1735" s="5" t="str">
        <f>IFERROR(__xludf.DUMMYFUNCTION("""COMPUTED_VALUE"""),"هیأت")</f>
        <v>هیأت</v>
      </c>
      <c r="C1735" s="5" t="str">
        <f>IFERROR(__xludf.DUMMYFUNCTION("""COMPUTED_VALUE"""),"امام سجاد(ع)")</f>
        <v>امام سجاد(ع)</v>
      </c>
      <c r="D1735" s="5" t="str">
        <f>IFERROR(__xludf.DUMMYFUNCTION("""COMPUTED_VALUE"""),"آذربایجان شرقی")</f>
        <v>آذربایجان شرقی</v>
      </c>
      <c r="E1735" s="5" t="str">
        <f>IFERROR(__xludf.DUMMYFUNCTION("""COMPUTED_VALUE"""),"اهر")</f>
        <v>اهر</v>
      </c>
      <c r="F1735" s="5"/>
      <c r="G1735" s="5"/>
      <c r="H1735" s="6" t="str">
        <f>IFERROR(__xludf.DUMMYFUNCTION("""COMPUTED_VALUE"""),"https://www.instagram.com/heyyateemamsajjad")</f>
        <v>https://www.instagram.com/heyyateemamsajjad</v>
      </c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</row>
    <row r="1736">
      <c r="A1736" s="5">
        <f>IFERROR(__xludf.DUMMYFUNCTION("""COMPUTED_VALUE"""),19629.0)</f>
        <v>19629</v>
      </c>
      <c r="B1736" s="5" t="str">
        <f>IFERROR(__xludf.DUMMYFUNCTION("""COMPUTED_VALUE"""),"هیأت")</f>
        <v>هیأت</v>
      </c>
      <c r="C1736" s="5" t="str">
        <f>IFERROR(__xludf.DUMMYFUNCTION("""COMPUTED_VALUE"""),"صاحب الزمان(عج)")</f>
        <v>صاحب الزمان(عج)</v>
      </c>
      <c r="D1736" s="5" t="str">
        <f>IFERROR(__xludf.DUMMYFUNCTION("""COMPUTED_VALUE"""),"آذربایجان شرقی")</f>
        <v>آذربایجان شرقی</v>
      </c>
      <c r="E1736" s="5" t="str">
        <f>IFERROR(__xludf.DUMMYFUNCTION("""COMPUTED_VALUE"""),"اهر")</f>
        <v>اهر</v>
      </c>
      <c r="F1736" s="5"/>
      <c r="G1736" s="5"/>
      <c r="H1736" s="6" t="str">
        <f>IFERROR(__xludf.DUMMYFUNCTION("""COMPUTED_VALUE"""),"https://www.instagram.com/heyat.sahebalzaman.ahar")</f>
        <v>https://www.instagram.com/heyat.sahebalzaman.ahar</v>
      </c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</row>
    <row r="1737">
      <c r="A1737" s="5">
        <f>IFERROR(__xludf.DUMMYFUNCTION("""COMPUTED_VALUE"""),310.0)</f>
        <v>310</v>
      </c>
      <c r="B1737" s="5" t="str">
        <f>IFERROR(__xludf.DUMMYFUNCTION("""COMPUTED_VALUE"""),"حسینیه")</f>
        <v>حسینیه</v>
      </c>
      <c r="C1737" s="5" t="str">
        <f>IFERROR(__xludf.DUMMYFUNCTION("""COMPUTED_VALUE"""),"اصغریه")</f>
        <v>اصغریه</v>
      </c>
      <c r="D1737" s="5" t="str">
        <f>IFERROR(__xludf.DUMMYFUNCTION("""COMPUTED_VALUE"""),"آذربایجان شرقی")</f>
        <v>آذربایجان شرقی</v>
      </c>
      <c r="E1737" s="5" t="str">
        <f>IFERROR(__xludf.DUMMYFUNCTION("""COMPUTED_VALUE"""),"اهر")</f>
        <v>اهر</v>
      </c>
      <c r="F1737" s="5"/>
      <c r="G1737" s="5"/>
      <c r="H1737" s="6" t="str">
        <f>IFERROR(__xludf.DUMMYFUNCTION("""COMPUTED_VALUE"""),"https://www.instagram.com/asghariyehahar_ir")</f>
        <v>https://www.instagram.com/asghariyehahar_ir</v>
      </c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</row>
    <row r="1738">
      <c r="A1738" s="5">
        <f>IFERROR(__xludf.DUMMYFUNCTION("""COMPUTED_VALUE"""),309.0)</f>
        <v>309</v>
      </c>
      <c r="B1738" s="5" t="str">
        <f>IFERROR(__xludf.DUMMYFUNCTION("""COMPUTED_VALUE"""),"هیأت")</f>
        <v>هیأت</v>
      </c>
      <c r="C1738" s="5" t="str">
        <f>IFERROR(__xludf.DUMMYFUNCTION("""COMPUTED_VALUE"""),"تشنگان کوثر")</f>
        <v>تشنگان کوثر</v>
      </c>
      <c r="D1738" s="5" t="str">
        <f>IFERROR(__xludf.DUMMYFUNCTION("""COMPUTED_VALUE"""),"آذربایجان شرقی")</f>
        <v>آذربایجان شرقی</v>
      </c>
      <c r="E1738" s="5" t="str">
        <f>IFERROR(__xludf.DUMMYFUNCTION("""COMPUTED_VALUE"""),"اهر")</f>
        <v>اهر</v>
      </c>
      <c r="F1738" s="5"/>
      <c r="G1738" s="5"/>
      <c r="H1738" s="6" t="str">
        <f>IFERROR(__xludf.DUMMYFUNCTION("""COMPUTED_VALUE"""),"https://www.instagram.com/teshneghan_kosar_ahar")</f>
        <v>https://www.instagram.com/teshneghan_kosar_ahar</v>
      </c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</row>
    <row r="1739">
      <c r="A1739" s="5">
        <f>IFERROR(__xludf.DUMMYFUNCTION("""COMPUTED_VALUE"""),307.0)</f>
        <v>307</v>
      </c>
      <c r="B1739" s="5" t="str">
        <f>IFERROR(__xludf.DUMMYFUNCTION("""COMPUTED_VALUE"""),"هیأت")</f>
        <v>هیأت</v>
      </c>
      <c r="C1739" s="5" t="str">
        <f>IFERROR(__xludf.DUMMYFUNCTION("""COMPUTED_VALUE"""),"عاشقان کربلا")</f>
        <v>عاشقان کربلا</v>
      </c>
      <c r="D1739" s="5" t="str">
        <f>IFERROR(__xludf.DUMMYFUNCTION("""COMPUTED_VALUE"""),"آذربایجان شرقی")</f>
        <v>آذربایجان شرقی</v>
      </c>
      <c r="E1739" s="5" t="str">
        <f>IFERROR(__xludf.DUMMYFUNCTION("""COMPUTED_VALUE"""),"اهر")</f>
        <v>اهر</v>
      </c>
      <c r="F1739" s="5"/>
      <c r="G1739" s="5"/>
      <c r="H1739" s="6" t="str">
        <f>IFERROR(__xludf.DUMMYFUNCTION("""COMPUTED_VALUE"""),"https://www.instagram.com/heyatasheghankarbla_ahar1376")</f>
        <v>https://www.instagram.com/heyatasheghankarbla_ahar1376</v>
      </c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</row>
    <row r="1740">
      <c r="A1740" s="5">
        <f>IFERROR(__xludf.DUMMYFUNCTION("""COMPUTED_VALUE"""),286.0)</f>
        <v>286</v>
      </c>
      <c r="B1740" s="5" t="str">
        <f>IFERROR(__xludf.DUMMYFUNCTION("""COMPUTED_VALUE"""),"هیأت")</f>
        <v>هیأت</v>
      </c>
      <c r="C1740" s="5" t="str">
        <f>IFERROR(__xludf.DUMMYFUNCTION("""COMPUTED_VALUE"""),"سینه زنان فاطمه الزهرا (س)")</f>
        <v>سینه زنان فاطمه الزهرا (س)</v>
      </c>
      <c r="D1740" s="5" t="str">
        <f>IFERROR(__xludf.DUMMYFUNCTION("""COMPUTED_VALUE"""),"آذربایجان شرقی")</f>
        <v>آذربایجان شرقی</v>
      </c>
      <c r="E1740" s="5" t="str">
        <f>IFERROR(__xludf.DUMMYFUNCTION("""COMPUTED_VALUE"""),"اهر")</f>
        <v>اهر</v>
      </c>
      <c r="F1740" s="5"/>
      <c r="G1740" s="5"/>
      <c r="H1740" s="6" t="str">
        <f>IFERROR(__xludf.DUMMYFUNCTION("""COMPUTED_VALUE"""),"https://www.instagram.com/heiat_fatemealzahra_ahar")</f>
        <v>https://www.instagram.com/heiat_fatemealzahra_ahar</v>
      </c>
      <c r="I1740" s="6" t="str">
        <f>IFERROR(__xludf.DUMMYFUNCTION("""COMPUTED_VALUE"""),"https://t.me/fatemealzahra97")</f>
        <v>https://t.me/fatemealzahra97</v>
      </c>
      <c r="J1740" s="5"/>
      <c r="K1740" s="5"/>
      <c r="L1740" s="5"/>
      <c r="M1740" s="5"/>
      <c r="N1740" s="5"/>
      <c r="O1740" s="5"/>
      <c r="P1740" s="5"/>
      <c r="Q1740" s="5"/>
      <c r="R1740" s="5"/>
      <c r="S1740" s="5"/>
    </row>
    <row r="1741">
      <c r="A1741" s="5">
        <f>IFERROR(__xludf.DUMMYFUNCTION("""COMPUTED_VALUE"""),64.0)</f>
        <v>64</v>
      </c>
      <c r="B1741" s="5" t="str">
        <f>IFERROR(__xludf.DUMMYFUNCTION("""COMPUTED_VALUE"""),"هیأت")</f>
        <v>هیأت</v>
      </c>
      <c r="C1741" s="5" t="str">
        <f>IFERROR(__xludf.DUMMYFUNCTION("""COMPUTED_VALUE"""),"مکتب العباس (ع)")</f>
        <v>مکتب العباس (ع)</v>
      </c>
      <c r="D1741" s="5" t="str">
        <f>IFERROR(__xludf.DUMMYFUNCTION("""COMPUTED_VALUE"""),"آذربایجان شرقی")</f>
        <v>آذربایجان شرقی</v>
      </c>
      <c r="E1741" s="5" t="str">
        <f>IFERROR(__xludf.DUMMYFUNCTION("""COMPUTED_VALUE"""),"اهر")</f>
        <v>اهر</v>
      </c>
      <c r="F1741" s="5"/>
      <c r="G1741" s="5"/>
      <c r="H1741" s="6" t="str">
        <f>IFERROR(__xludf.DUMMYFUNCTION("""COMPUTED_VALUE"""),"https://www.instagram.com/maktabolabas.ahar")</f>
        <v>https://www.instagram.com/maktabolabas.ahar</v>
      </c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</row>
    <row r="1742">
      <c r="A1742" s="5">
        <f>IFERROR(__xludf.DUMMYFUNCTION("""COMPUTED_VALUE"""),62.0)</f>
        <v>62</v>
      </c>
      <c r="B1742" s="5" t="str">
        <f>IFERROR(__xludf.DUMMYFUNCTION("""COMPUTED_VALUE"""),"هیأت")</f>
        <v>هیأت</v>
      </c>
      <c r="C1742" s="5" t="str">
        <f>IFERROR(__xludf.DUMMYFUNCTION("""COMPUTED_VALUE"""),"کانون خدمت رضوی اهر")</f>
        <v>کانون خدمت رضوی اهر</v>
      </c>
      <c r="D1742" s="5" t="str">
        <f>IFERROR(__xludf.DUMMYFUNCTION("""COMPUTED_VALUE"""),"آذربایجان شرقی")</f>
        <v>آذربایجان شرقی</v>
      </c>
      <c r="E1742" s="5" t="str">
        <f>IFERROR(__xludf.DUMMYFUNCTION("""COMPUTED_VALUE"""),"اهر")</f>
        <v>اهر</v>
      </c>
      <c r="F1742" s="5"/>
      <c r="G1742" s="5"/>
      <c r="H1742" s="6" t="str">
        <f>IFERROR(__xludf.DUMMYFUNCTION("""COMPUTED_VALUE"""),"https://www.instagram.com/razavi.ahar")</f>
        <v>https://www.instagram.com/razavi.ahar</v>
      </c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</row>
    <row r="1743">
      <c r="A1743" s="5">
        <f>IFERROR(__xludf.DUMMYFUNCTION("""COMPUTED_VALUE"""),30708.0)</f>
        <v>30708</v>
      </c>
      <c r="B1743" s="5" t="str">
        <f>IFERROR(__xludf.DUMMYFUNCTION("""COMPUTED_VALUE"""),"هیأت")</f>
        <v>هیأت</v>
      </c>
      <c r="C1743" s="5" t="str">
        <f>IFERROR(__xludf.DUMMYFUNCTION("""COMPUTED_VALUE"""),"سیدالشهدا (ع)")</f>
        <v>سیدالشهدا (ع)</v>
      </c>
      <c r="D1743" s="5" t="str">
        <f>IFERROR(__xludf.DUMMYFUNCTION("""COMPUTED_VALUE"""),"آذربایجان شرقی")</f>
        <v>آذربایجان شرقی</v>
      </c>
      <c r="E1743" s="5" t="str">
        <f>IFERROR(__xludf.DUMMYFUNCTION("""COMPUTED_VALUE"""),"آذرشهر")</f>
        <v>آذرشهر</v>
      </c>
      <c r="F1743" s="5"/>
      <c r="G1743" s="5"/>
      <c r="H1743" s="6" t="str">
        <f>IFERROR(__xludf.DUMMYFUNCTION("""COMPUTED_VALUE"""),"https://www.instagram.com/mashar_110")</f>
        <v>https://www.instagram.com/mashar_110</v>
      </c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</row>
    <row r="1744">
      <c r="A1744" s="5">
        <f>IFERROR(__xludf.DUMMYFUNCTION("""COMPUTED_VALUE"""),19644.0)</f>
        <v>19644</v>
      </c>
      <c r="B1744" s="5" t="str">
        <f>IFERROR(__xludf.DUMMYFUNCTION("""COMPUTED_VALUE"""),"هیأت")</f>
        <v>هیأت</v>
      </c>
      <c r="C1744" s="5" t="str">
        <f>IFERROR(__xludf.DUMMYFUNCTION("""COMPUTED_VALUE"""),"مکتب الزهرا (س)")</f>
        <v>مکتب الزهرا (س)</v>
      </c>
      <c r="D1744" s="5" t="str">
        <f>IFERROR(__xludf.DUMMYFUNCTION("""COMPUTED_VALUE"""),"آذربایجان شرقی")</f>
        <v>آذربایجان شرقی</v>
      </c>
      <c r="E1744" s="5" t="str">
        <f>IFERROR(__xludf.DUMMYFUNCTION("""COMPUTED_VALUE"""),"آذرشهر")</f>
        <v>آذرشهر</v>
      </c>
      <c r="F1744" s="5"/>
      <c r="G1744" s="5"/>
      <c r="H1744" s="6" t="str">
        <f>IFERROR(__xludf.DUMMYFUNCTION("""COMPUTED_VALUE"""),"https://www.instagram.com/heyat_maktabzahra_azarshahr")</f>
        <v>https://www.instagram.com/heyat_maktabzahra_azarshahr</v>
      </c>
      <c r="I1744" s="6" t="str">
        <f>IFERROR(__xludf.DUMMYFUNCTION("""COMPUTED_VALUE"""),"https://t.me/maktabzahra")</f>
        <v>https://t.me/maktabzahra</v>
      </c>
      <c r="J1744" s="5"/>
      <c r="K1744" s="5"/>
      <c r="L1744" s="5"/>
      <c r="M1744" s="5"/>
      <c r="N1744" s="5"/>
      <c r="O1744" s="5"/>
      <c r="P1744" s="5"/>
      <c r="Q1744" s="5"/>
      <c r="R1744" s="5"/>
      <c r="S1744" s="5"/>
    </row>
    <row r="1745">
      <c r="A1745" s="5">
        <f>IFERROR(__xludf.DUMMYFUNCTION("""COMPUTED_VALUE"""),339.0)</f>
        <v>339</v>
      </c>
      <c r="B1745" s="5" t="str">
        <f>IFERROR(__xludf.DUMMYFUNCTION("""COMPUTED_VALUE"""),"هیأت")</f>
        <v>هیأت</v>
      </c>
      <c r="C1745" s="5" t="str">
        <f>IFERROR(__xludf.DUMMYFUNCTION("""COMPUTED_VALUE"""),"عزاداران حسینیه گوگان")</f>
        <v>عزاداران حسینیه گوگان</v>
      </c>
      <c r="D1745" s="5" t="str">
        <f>IFERROR(__xludf.DUMMYFUNCTION("""COMPUTED_VALUE"""),"آذربایجان شرقی")</f>
        <v>آذربایجان شرقی</v>
      </c>
      <c r="E1745" s="5" t="str">
        <f>IFERROR(__xludf.DUMMYFUNCTION("""COMPUTED_VALUE"""),"آذرشهر")</f>
        <v>آذرشهر</v>
      </c>
      <c r="F1745" s="5"/>
      <c r="G1745" s="5"/>
      <c r="H1745" s="6" t="str">
        <f>IFERROR(__xludf.DUMMYFUNCTION("""COMPUTED_VALUE"""),"https://www.instagram.com/heyat_akbarye_gogan")</f>
        <v>https://www.instagram.com/heyat_akbarye_gogan</v>
      </c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</row>
    <row r="1746">
      <c r="A1746" s="5">
        <f>IFERROR(__xludf.DUMMYFUNCTION("""COMPUTED_VALUE"""),317.0)</f>
        <v>317</v>
      </c>
      <c r="B1746" s="5" t="str">
        <f>IFERROR(__xludf.DUMMYFUNCTION("""COMPUTED_VALUE"""),"هیأت")</f>
        <v>هیأت</v>
      </c>
      <c r="C1746" s="5" t="str">
        <f>IFERROR(__xludf.DUMMYFUNCTION("""COMPUTED_VALUE"""),"بیت الاحزان حضرت زهرا (س)")</f>
        <v>بیت الاحزان حضرت زهرا (س)</v>
      </c>
      <c r="D1746" s="5" t="str">
        <f>IFERROR(__xludf.DUMMYFUNCTION("""COMPUTED_VALUE"""),"آذربایجان شرقی")</f>
        <v>آذربایجان شرقی</v>
      </c>
      <c r="E1746" s="5" t="str">
        <f>IFERROR(__xludf.DUMMYFUNCTION("""COMPUTED_VALUE"""),"آذرشهر")</f>
        <v>آذرشهر</v>
      </c>
      <c r="F1746" s="5"/>
      <c r="G1746" s="5"/>
      <c r="H1746" s="6" t="str">
        <f>IFERROR(__xludf.DUMMYFUNCTION("""COMPUTED_VALUE"""),"https://www.instagram.com/hayet_baytolahzan_azarhsahr")</f>
        <v>https://www.instagram.com/hayet_baytolahzan_azarhsahr</v>
      </c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</row>
    <row r="1747">
      <c r="A1747" s="5">
        <f>IFERROR(__xludf.DUMMYFUNCTION("""COMPUTED_VALUE"""),271.0)</f>
        <v>271</v>
      </c>
      <c r="B1747" s="5" t="str">
        <f>IFERROR(__xludf.DUMMYFUNCTION("""COMPUTED_VALUE"""),"هیأت")</f>
        <v>هیأت</v>
      </c>
      <c r="C1747" s="5" t="str">
        <f>IFERROR(__xludf.DUMMYFUNCTION("""COMPUTED_VALUE"""),"عباسیون")</f>
        <v>عباسیون</v>
      </c>
      <c r="D1747" s="5" t="str">
        <f>IFERROR(__xludf.DUMMYFUNCTION("""COMPUTED_VALUE"""),"آذربایجان شرقی")</f>
        <v>آذربایجان شرقی</v>
      </c>
      <c r="E1747" s="5" t="str">
        <f>IFERROR(__xludf.DUMMYFUNCTION("""COMPUTED_VALUE"""),"آذرشهر")</f>
        <v>آذرشهر</v>
      </c>
      <c r="F1747" s="5"/>
      <c r="G1747" s="5"/>
      <c r="H1747" s="6" t="str">
        <f>IFERROR(__xludf.DUMMYFUNCTION("""COMPUTED_VALUE"""),"https://www.instagram.com/abbasion_heyat")</f>
        <v>https://www.instagram.com/abbasion_heyat</v>
      </c>
      <c r="I1747" s="6" t="str">
        <f>IFERROR(__xludf.DUMMYFUNCTION("""COMPUTED_VALUE"""),"https://t.me/Abbasion_heyat")</f>
        <v>https://t.me/Abbasion_heyat</v>
      </c>
      <c r="J1747" s="6" t="str">
        <f>IFERROR(__xludf.DUMMYFUNCTION("""COMPUTED_VALUE"""),"https://eitaa.com/abbasion_heyat")</f>
        <v>https://eitaa.com/abbasion_heyat</v>
      </c>
      <c r="K1747" s="6" t="str">
        <f>IFERROR(__xludf.DUMMYFUNCTION("""COMPUTED_VALUE"""),"https://www.youtube.com/@heyat_abbasion")</f>
        <v>https://www.youtube.com/@heyat_abbasion</v>
      </c>
      <c r="L1747" s="5"/>
      <c r="M1747" s="5"/>
      <c r="N1747" s="5"/>
      <c r="O1747" s="5"/>
      <c r="P1747" s="5"/>
      <c r="Q1747" s="5"/>
      <c r="R1747" s="5"/>
      <c r="S1747" s="5"/>
    </row>
    <row r="1748">
      <c r="A1748" s="5">
        <f>IFERROR(__xludf.DUMMYFUNCTION("""COMPUTED_VALUE"""),74.0)</f>
        <v>74</v>
      </c>
      <c r="B1748" s="5" t="str">
        <f>IFERROR(__xludf.DUMMYFUNCTION("""COMPUTED_VALUE"""),"هیأت")</f>
        <v>هیأت</v>
      </c>
      <c r="C1748" s="5" t="str">
        <f>IFERROR(__xludf.DUMMYFUNCTION("""COMPUTED_VALUE"""),"لواءالمهدی (عج)")</f>
        <v>لواءالمهدی (عج)</v>
      </c>
      <c r="D1748" s="5" t="str">
        <f>IFERROR(__xludf.DUMMYFUNCTION("""COMPUTED_VALUE"""),"آذربایجان شرقی")</f>
        <v>آذربایجان شرقی</v>
      </c>
      <c r="E1748" s="5" t="str">
        <f>IFERROR(__xludf.DUMMYFUNCTION("""COMPUTED_VALUE"""),"آذرشهر")</f>
        <v>آذرشهر</v>
      </c>
      <c r="F1748" s="5"/>
      <c r="G1748" s="5"/>
      <c r="H1748" s="6" t="str">
        <f>IFERROR(__xludf.DUMMYFUNCTION("""COMPUTED_VALUE"""),"https://www.instagram.com/levaolmahdi_1/")</f>
        <v>https://www.instagram.com/levaolmahdi_1/</v>
      </c>
      <c r="I1748" s="6" t="str">
        <f>IFERROR(__xludf.DUMMYFUNCTION("""COMPUTED_VALUE"""),"https://t.me/levaolmahdi_1")</f>
        <v>https://t.me/levaolmahdi_1</v>
      </c>
      <c r="J1748" s="5"/>
      <c r="K1748" s="5"/>
      <c r="L1748" s="5"/>
      <c r="M1748" s="5"/>
      <c r="N1748" s="5"/>
      <c r="O1748" s="5"/>
      <c r="P1748" s="5"/>
      <c r="Q1748" s="5"/>
      <c r="R1748" s="5"/>
      <c r="S1748" s="5"/>
    </row>
    <row r="1749">
      <c r="A1749" s="5">
        <f>IFERROR(__xludf.DUMMYFUNCTION("""COMPUTED_VALUE"""),51.0)</f>
        <v>51</v>
      </c>
      <c r="B1749" s="5" t="str">
        <f>IFERROR(__xludf.DUMMYFUNCTION("""COMPUTED_VALUE"""),"هیأت")</f>
        <v>هیأت</v>
      </c>
      <c r="C1749" s="5" t="str">
        <f>IFERROR(__xludf.DUMMYFUNCTION("""COMPUTED_VALUE"""),"عزاداران ریحانه الرسول (س)")</f>
        <v>عزاداران ریحانه الرسول (س)</v>
      </c>
      <c r="D1749" s="5" t="str">
        <f>IFERROR(__xludf.DUMMYFUNCTION("""COMPUTED_VALUE"""),"آذربایجان شرقی")</f>
        <v>آذربایجان شرقی</v>
      </c>
      <c r="E1749" s="5" t="str">
        <f>IFERROR(__xludf.DUMMYFUNCTION("""COMPUTED_VALUE"""),"آذرشهر")</f>
        <v>آذرشهر</v>
      </c>
      <c r="F1749" s="5"/>
      <c r="G1749" s="5"/>
      <c r="H1749" s="6" t="str">
        <f>IFERROR(__xludf.DUMMYFUNCTION("""COMPUTED_VALUE"""),"https://www.instagram.com/heyatereyhanatolrasuletabriz/")</f>
        <v>https://www.instagram.com/heyatereyhanatolrasuletabriz/</v>
      </c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</row>
    <row r="1750">
      <c r="A1750" s="5">
        <f>IFERROR(__xludf.DUMMYFUNCTION("""COMPUTED_VALUE"""),48.0)</f>
        <v>48</v>
      </c>
      <c r="B1750" s="5" t="str">
        <f>IFERROR(__xludf.DUMMYFUNCTION("""COMPUTED_VALUE"""),"هیأت")</f>
        <v>هیأت</v>
      </c>
      <c r="C1750" s="5" t="str">
        <f>IFERROR(__xludf.DUMMYFUNCTION("""COMPUTED_VALUE"""),"مرحوم شوری")</f>
        <v>مرحوم شوری</v>
      </c>
      <c r="D1750" s="5" t="str">
        <f>IFERROR(__xludf.DUMMYFUNCTION("""COMPUTED_VALUE"""),"آذربایجان شرقی")</f>
        <v>آذربایجان شرقی</v>
      </c>
      <c r="E1750" s="5" t="str">
        <f>IFERROR(__xludf.DUMMYFUNCTION("""COMPUTED_VALUE"""),"بدون شهرستان")</f>
        <v>بدون شهرستان</v>
      </c>
      <c r="F1750" s="5"/>
      <c r="G1750" s="5"/>
      <c r="H1750" s="6" t="str">
        <f>IFERROR(__xludf.DUMMYFUNCTION("""COMPUTED_VALUE"""),"https://www.instagram.com/heyat.seyyed.shouri")</f>
        <v>https://www.instagram.com/heyat.seyyed.shouri</v>
      </c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</row>
    <row r="1751">
      <c r="A1751" s="5">
        <f>IFERROR(__xludf.DUMMYFUNCTION("""COMPUTED_VALUE"""),45.0)</f>
        <v>45</v>
      </c>
      <c r="B1751" s="5" t="str">
        <f>IFERROR(__xludf.DUMMYFUNCTION("""COMPUTED_VALUE"""),"مسجد")</f>
        <v>مسجد</v>
      </c>
      <c r="C1751" s="5" t="str">
        <f>IFERROR(__xludf.DUMMYFUNCTION("""COMPUTED_VALUE"""),"مسجد حضرت علی (ع)")</f>
        <v>مسجد حضرت علی (ع)</v>
      </c>
      <c r="D1751" s="5" t="str">
        <f>IFERROR(__xludf.DUMMYFUNCTION("""COMPUTED_VALUE"""),"آذربایجان شرقی")</f>
        <v>آذربایجان شرقی</v>
      </c>
      <c r="E1751" s="5" t="str">
        <f>IFERROR(__xludf.DUMMYFUNCTION("""COMPUTED_VALUE"""),"بدون شهرستان")</f>
        <v>بدون شهرستان</v>
      </c>
      <c r="F1751" s="5"/>
      <c r="G1751" s="5"/>
      <c r="H1751" s="6" t="str">
        <f>IFERROR(__xludf.DUMMYFUNCTION("""COMPUTED_VALUE"""),"https://www.instagram.com/imamalimosque")</f>
        <v>https://www.instagram.com/imamalimosque</v>
      </c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</row>
    <row r="1752">
      <c r="A1752" s="5">
        <f>IFERROR(__xludf.DUMMYFUNCTION("""COMPUTED_VALUE"""),40.0)</f>
        <v>40</v>
      </c>
      <c r="B1752" s="5" t="str">
        <f>IFERROR(__xludf.DUMMYFUNCTION("""COMPUTED_VALUE"""),"هیأت")</f>
        <v>هیأت</v>
      </c>
      <c r="C1752" s="5" t="str">
        <f>IFERROR(__xludf.DUMMYFUNCTION("""COMPUTED_VALUE"""),"رزمندگان اسلام")</f>
        <v>رزمندگان اسلام</v>
      </c>
      <c r="D1752" s="5" t="str">
        <f>IFERROR(__xludf.DUMMYFUNCTION("""COMPUTED_VALUE"""),"آذربایجان شرقی")</f>
        <v>آذربایجان شرقی</v>
      </c>
      <c r="E1752" s="5" t="str">
        <f>IFERROR(__xludf.DUMMYFUNCTION("""COMPUTED_VALUE"""),"بدون شهرستان")</f>
        <v>بدون شهرستان</v>
      </c>
      <c r="F1752" s="5"/>
      <c r="G1752" s="5"/>
      <c r="H1752" s="6" t="str">
        <f>IFERROR(__xludf.DUMMYFUNCTION("""COMPUTED_VALUE"""),"https://www.instagram.com/eheyat_azsh/")</f>
        <v>https://www.instagram.com/eheyat_azsh/</v>
      </c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</row>
    <row r="1753">
      <c r="A1753" s="5">
        <f>IFERROR(__xludf.DUMMYFUNCTION("""COMPUTED_VALUE"""),39.0)</f>
        <v>39</v>
      </c>
      <c r="B1753" s="5" t="str">
        <f>IFERROR(__xludf.DUMMYFUNCTION("""COMPUTED_VALUE"""),"هیأت")</f>
        <v>هیأت</v>
      </c>
      <c r="C1753" s="5" t="str">
        <f>IFERROR(__xludf.DUMMYFUNCTION("""COMPUTED_VALUE"""),"عزاداران ثارالله (ع)")</f>
        <v>عزاداران ثارالله (ع)</v>
      </c>
      <c r="D1753" s="5" t="str">
        <f>IFERROR(__xludf.DUMMYFUNCTION("""COMPUTED_VALUE"""),"آذربایجان شرقی")</f>
        <v>آذربایجان شرقی</v>
      </c>
      <c r="E1753" s="5" t="str">
        <f>IFERROR(__xludf.DUMMYFUNCTION("""COMPUTED_VALUE"""),"بدون شهرستان")</f>
        <v>بدون شهرستان</v>
      </c>
      <c r="F1753" s="5"/>
      <c r="G1753" s="5"/>
      <c r="H1753" s="6" t="str">
        <f>IFERROR(__xludf.DUMMYFUNCTION("""COMPUTED_VALUE"""),"https://www.instagram.com/sarallah_fajr")</f>
        <v>https://www.instagram.com/sarallah_fajr</v>
      </c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</row>
    <row r="1754">
      <c r="A1754" s="5">
        <f>IFERROR(__xludf.DUMMYFUNCTION("""COMPUTED_VALUE"""),30.0)</f>
        <v>30</v>
      </c>
      <c r="B1754" s="5" t="str">
        <f>IFERROR(__xludf.DUMMYFUNCTION("""COMPUTED_VALUE"""),"هیأت")</f>
        <v>هیأت</v>
      </c>
      <c r="C1754" s="5" t="str">
        <f>IFERROR(__xludf.DUMMYFUNCTION("""COMPUTED_VALUE"""),"رهروان شهدا")</f>
        <v>رهروان شهدا</v>
      </c>
      <c r="D1754" s="5" t="str">
        <f>IFERROR(__xludf.DUMMYFUNCTION("""COMPUTED_VALUE"""),"آذربایجان شرقی")</f>
        <v>آذربایجان شرقی</v>
      </c>
      <c r="E1754" s="5" t="str">
        <f>IFERROR(__xludf.DUMMYFUNCTION("""COMPUTED_VALUE"""),"بدون شهرستان")</f>
        <v>بدون شهرستان</v>
      </c>
      <c r="F1754" s="5"/>
      <c r="G1754" s="5"/>
      <c r="H1754" s="6" t="str">
        <f>IFERROR(__xludf.DUMMYFUNCTION("""COMPUTED_VALUE"""),"https://www.instagram.com/rahrovan_shohada79")</f>
        <v>https://www.instagram.com/rahrovan_shohada79</v>
      </c>
      <c r="I1754" s="5"/>
      <c r="J1754" s="6" t="str">
        <f>IFERROR(__xludf.DUMMYFUNCTION("""COMPUTED_VALUE"""),"https://eitaa.com/rahrovaneshohada79")</f>
        <v>https://eitaa.com/rahrovaneshohada79</v>
      </c>
      <c r="K1754" s="5"/>
      <c r="L1754" s="5"/>
      <c r="M1754" s="5"/>
      <c r="N1754" s="5"/>
      <c r="O1754" s="5"/>
      <c r="P1754" s="5"/>
      <c r="Q1754" s="5"/>
      <c r="R1754" s="5"/>
      <c r="S1754" s="5"/>
    </row>
    <row r="1755">
      <c r="A1755" s="5">
        <f>IFERROR(__xludf.DUMMYFUNCTION("""COMPUTED_VALUE"""),24.0)</f>
        <v>24</v>
      </c>
      <c r="B1755" s="5" t="str">
        <f>IFERROR(__xludf.DUMMYFUNCTION("""COMPUTED_VALUE"""),"هیأت")</f>
        <v>هیأت</v>
      </c>
      <c r="C1755" s="5" t="str">
        <f>IFERROR(__xludf.DUMMYFUNCTION("""COMPUTED_VALUE"""),"عزاداران سرباز شش ماهه")</f>
        <v>عزاداران سرباز شش ماهه</v>
      </c>
      <c r="D1755" s="5" t="str">
        <f>IFERROR(__xludf.DUMMYFUNCTION("""COMPUTED_VALUE"""),"آذربایجان شرقی")</f>
        <v>آذربایجان شرقی</v>
      </c>
      <c r="E1755" s="5" t="str">
        <f>IFERROR(__xludf.DUMMYFUNCTION("""COMPUTED_VALUE"""),"بدون شهرستان")</f>
        <v>بدون شهرستان</v>
      </c>
      <c r="F1755" s="5"/>
      <c r="G1755" s="5"/>
      <c r="H1755" s="6" t="str">
        <f>IFERROR(__xludf.DUMMYFUNCTION("""COMPUTED_VALUE"""),"https://www.instagram.com/sarbaz_sheshmahe/")</f>
        <v>https://www.instagram.com/sarbaz_sheshmahe/</v>
      </c>
      <c r="I1755" s="6" t="str">
        <f>IFERROR(__xludf.DUMMYFUNCTION("""COMPUTED_VALUE"""),"https://t.me/sarbaze6mahe?")</f>
        <v>https://t.me/sarbaze6mahe?</v>
      </c>
      <c r="J1755" s="5"/>
      <c r="K1755" s="5"/>
      <c r="L1755" s="5"/>
      <c r="M1755" s="5"/>
      <c r="N1755" s="5"/>
      <c r="O1755" s="5"/>
      <c r="P1755" s="5"/>
      <c r="Q1755" s="5"/>
      <c r="R1755" s="5"/>
      <c r="S1755" s="5"/>
    </row>
    <row r="1756">
      <c r="A1756" s="5">
        <f>IFERROR(__xludf.DUMMYFUNCTION("""COMPUTED_VALUE"""),22.0)</f>
        <v>22</v>
      </c>
      <c r="B1756" s="5" t="str">
        <f>IFERROR(__xludf.DUMMYFUNCTION("""COMPUTED_VALUE"""),"هیأت")</f>
        <v>هیأت</v>
      </c>
      <c r="C1756" s="5" t="str">
        <f>IFERROR(__xludf.DUMMYFUNCTION("""COMPUTED_VALUE"""),"طفلان مسلم (ع)")</f>
        <v>طفلان مسلم (ع)</v>
      </c>
      <c r="D1756" s="5" t="str">
        <f>IFERROR(__xludf.DUMMYFUNCTION("""COMPUTED_VALUE"""),"آذربایجان شرقی")</f>
        <v>آذربایجان شرقی</v>
      </c>
      <c r="E1756" s="5" t="str">
        <f>IFERROR(__xludf.DUMMYFUNCTION("""COMPUTED_VALUE"""),"بدون شهرستان")</f>
        <v>بدون شهرستان</v>
      </c>
      <c r="F1756" s="5"/>
      <c r="G1756" s="5"/>
      <c r="H1756" s="6" t="str">
        <f>IFERROR(__xludf.DUMMYFUNCTION("""COMPUTED_VALUE"""),"https://www.instagram.com/teflane_muslem")</f>
        <v>https://www.instagram.com/teflane_muslem</v>
      </c>
      <c r="I1756" s="6" t="str">
        <f>IFERROR(__xludf.DUMMYFUNCTION("""COMPUTED_VALUE"""),"https://t.me/teflane_muslem_tbz1")</f>
        <v>https://t.me/teflane_muslem_tbz1</v>
      </c>
      <c r="J1756" s="5"/>
      <c r="K1756" s="5"/>
      <c r="L1756" s="5"/>
      <c r="M1756" s="5"/>
      <c r="N1756" s="5"/>
      <c r="O1756" s="5"/>
      <c r="P1756" s="5"/>
      <c r="Q1756" s="5"/>
      <c r="R1756" s="5"/>
      <c r="S1756" s="5"/>
    </row>
    <row r="1757">
      <c r="A1757" s="5">
        <f>IFERROR(__xludf.DUMMYFUNCTION("""COMPUTED_VALUE"""),80.0)</f>
        <v>80</v>
      </c>
      <c r="B1757" s="5" t="str">
        <f>IFERROR(__xludf.DUMMYFUNCTION("""COMPUTED_VALUE"""),"هیأت")</f>
        <v>هیأت</v>
      </c>
      <c r="C1757" s="5" t="str">
        <f>IFERROR(__xludf.DUMMYFUNCTION("""COMPUTED_VALUE"""),"مسجد جامع")</f>
        <v>مسجد جامع</v>
      </c>
      <c r="D1757" s="5" t="str">
        <f>IFERROR(__xludf.DUMMYFUNCTION("""COMPUTED_VALUE"""),"آذربایجان شرقی")</f>
        <v>آذربایجان شرقی</v>
      </c>
      <c r="E1757" s="5" t="str">
        <f>IFERROR(__xludf.DUMMYFUNCTION("""COMPUTED_VALUE"""),"بستان آباد")</f>
        <v>بستان آباد</v>
      </c>
      <c r="F1757" s="5"/>
      <c r="G1757" s="5"/>
      <c r="H1757" s="6" t="str">
        <f>IFERROR(__xludf.DUMMYFUNCTION("""COMPUTED_VALUE"""),"https://www.instagram.com/masjed_jame_bostanabad")</f>
        <v>https://www.instagram.com/masjed_jame_bostanabad</v>
      </c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</row>
    <row r="1758">
      <c r="A1758" s="5">
        <f>IFERROR(__xludf.DUMMYFUNCTION("""COMPUTED_VALUE"""),78.0)</f>
        <v>78</v>
      </c>
      <c r="B1758" s="5" t="str">
        <f>IFERROR(__xludf.DUMMYFUNCTION("""COMPUTED_VALUE"""),"مسجد")</f>
        <v>مسجد</v>
      </c>
      <c r="C1758" s="5" t="str">
        <f>IFERROR(__xludf.DUMMYFUNCTION("""COMPUTED_VALUE"""),"حضرت ابوالفضل (ع) / الغدیر")</f>
        <v>حضرت ابوالفضل (ع) / الغدیر</v>
      </c>
      <c r="D1758" s="5" t="str">
        <f>IFERROR(__xludf.DUMMYFUNCTION("""COMPUTED_VALUE"""),"آذربایجان شرقی")</f>
        <v>آذربایجان شرقی</v>
      </c>
      <c r="E1758" s="5" t="str">
        <f>IFERROR(__xludf.DUMMYFUNCTION("""COMPUTED_VALUE"""),"بستان آباد")</f>
        <v>بستان آباد</v>
      </c>
      <c r="F1758" s="5"/>
      <c r="G1758" s="5"/>
      <c r="H1758" s="6" t="str">
        <f>IFERROR(__xludf.DUMMYFUNCTION("""COMPUTED_VALUE"""),"https://www.instagram.com/masjed_hazrat_abolfazl_1354/")</f>
        <v>https://www.instagram.com/masjed_hazrat_abolfazl_1354/</v>
      </c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</row>
    <row r="1759">
      <c r="A1759" s="5">
        <f>IFERROR(__xludf.DUMMYFUNCTION("""COMPUTED_VALUE"""),12.0)</f>
        <v>12</v>
      </c>
      <c r="B1759" s="5" t="str">
        <f>IFERROR(__xludf.DUMMYFUNCTION("""COMPUTED_VALUE"""),"هیأت")</f>
        <v>هیأت</v>
      </c>
      <c r="C1759" s="5" t="str">
        <f>IFERROR(__xludf.DUMMYFUNCTION("""COMPUTED_VALUE"""),"جوانان حضرت ابوالفضل (ع)")</f>
        <v>جوانان حضرت ابوالفضل (ع)</v>
      </c>
      <c r="D1759" s="5" t="str">
        <f>IFERROR(__xludf.DUMMYFUNCTION("""COMPUTED_VALUE"""),"آذربایجان شرقی")</f>
        <v>آذربایجان شرقی</v>
      </c>
      <c r="E1759" s="5" t="str">
        <f>IFERROR(__xludf.DUMMYFUNCTION("""COMPUTED_VALUE"""),"بستان آباد")</f>
        <v>بستان آباد</v>
      </c>
      <c r="F1759" s="5"/>
      <c r="G1759" s="5"/>
      <c r="H1759" s="6" t="str">
        <f>IFERROR(__xludf.DUMMYFUNCTION("""COMPUTED_VALUE"""),"https://www.instagram.com/h.javanan.hazrat.abolfazl/")</f>
        <v>https://www.instagram.com/h.javanan.hazrat.abolfazl/</v>
      </c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</row>
    <row r="1760">
      <c r="A1760" s="5">
        <f>IFERROR(__xludf.DUMMYFUNCTION("""COMPUTED_VALUE"""),31755.0)</f>
        <v>31755</v>
      </c>
      <c r="B1760" s="5" t="str">
        <f>IFERROR(__xludf.DUMMYFUNCTION("""COMPUTED_VALUE"""),"هیأت")</f>
        <v>هیأت</v>
      </c>
      <c r="C1760" s="5" t="str">
        <f>IFERROR(__xludf.DUMMYFUNCTION("""COMPUTED_VALUE"""),"چهارده معصوم (ع)")</f>
        <v>چهارده معصوم (ع)</v>
      </c>
      <c r="D1760" s="5" t="str">
        <f>IFERROR(__xludf.DUMMYFUNCTION("""COMPUTED_VALUE"""),"آذربایجان شرقی")</f>
        <v>آذربایجان شرقی</v>
      </c>
      <c r="E1760" s="5" t="str">
        <f>IFERROR(__xludf.DUMMYFUNCTION("""COMPUTED_VALUE"""),"بناب")</f>
        <v>بناب</v>
      </c>
      <c r="F1760" s="5"/>
      <c r="G1760" s="5"/>
      <c r="H1760" s="6" t="str">
        <f>IFERROR(__xludf.DUMMYFUNCTION("""COMPUTED_VALUE"""),"https://www.instagram.com/heyat.14.masoom")</f>
        <v>https://www.instagram.com/heyat.14.masoom</v>
      </c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</row>
    <row r="1761">
      <c r="A1761" s="5">
        <f>IFERROR(__xludf.DUMMYFUNCTION("""COMPUTED_VALUE"""),30973.0)</f>
        <v>30973</v>
      </c>
      <c r="B1761" s="5" t="str">
        <f>IFERROR(__xludf.DUMMYFUNCTION("""COMPUTED_VALUE"""),"هیأت")</f>
        <v>هیأت</v>
      </c>
      <c r="C1761" s="5" t="str">
        <f>IFERROR(__xludf.DUMMYFUNCTION("""COMPUTED_VALUE"""),"فاطمیون")</f>
        <v>فاطمیون</v>
      </c>
      <c r="D1761" s="5" t="str">
        <f>IFERROR(__xludf.DUMMYFUNCTION("""COMPUTED_VALUE"""),"آذربایجان شرقی")</f>
        <v>آذربایجان شرقی</v>
      </c>
      <c r="E1761" s="5" t="str">
        <f>IFERROR(__xludf.DUMMYFUNCTION("""COMPUTED_VALUE"""),"بناب")</f>
        <v>بناب</v>
      </c>
      <c r="F1761" s="5"/>
      <c r="G1761" s="5"/>
      <c r="H1761" s="6" t="str">
        <f>IFERROR(__xludf.DUMMYFUNCTION("""COMPUTED_VALUE"""),"https://www.instagram.com/bouria_ir")</f>
        <v>https://www.instagram.com/bouria_ir</v>
      </c>
      <c r="I1761" s="6" t="str">
        <f>IFERROR(__xludf.DUMMYFUNCTION("""COMPUTED_VALUE"""),"https://t.me/bouria")</f>
        <v>https://t.me/bouria</v>
      </c>
      <c r="J1761" s="5"/>
      <c r="K1761" s="5"/>
      <c r="L1761" s="5"/>
      <c r="M1761" s="5"/>
      <c r="N1761" s="5"/>
      <c r="O1761" s="5"/>
      <c r="P1761" s="5"/>
      <c r="Q1761" s="5"/>
      <c r="R1761" s="5"/>
      <c r="S1761" s="5"/>
    </row>
    <row r="1762">
      <c r="A1762" s="5">
        <f>IFERROR(__xludf.DUMMYFUNCTION("""COMPUTED_VALUE"""),26814.0)</f>
        <v>26814</v>
      </c>
      <c r="B1762" s="5" t="str">
        <f>IFERROR(__xludf.DUMMYFUNCTION("""COMPUTED_VALUE"""),"هیأت")</f>
        <v>هیأت</v>
      </c>
      <c r="C1762" s="5" t="str">
        <f>IFERROR(__xludf.DUMMYFUNCTION("""COMPUTED_VALUE"""),"مکتب الزهرا بناب")</f>
        <v>مکتب الزهرا بناب</v>
      </c>
      <c r="D1762" s="5" t="str">
        <f>IFERROR(__xludf.DUMMYFUNCTION("""COMPUTED_VALUE"""),"آذربایجان شرقی")</f>
        <v>آذربایجان شرقی</v>
      </c>
      <c r="E1762" s="5" t="str">
        <f>IFERROR(__xludf.DUMMYFUNCTION("""COMPUTED_VALUE"""),"بناب")</f>
        <v>بناب</v>
      </c>
      <c r="F1762" s="5"/>
      <c r="G1762" s="5"/>
      <c r="H1762" s="6" t="str">
        <f>IFERROR(__xludf.DUMMYFUNCTION("""COMPUTED_VALUE"""),"https://www.instagram.com/maktab_azahra")</f>
        <v>https://www.instagram.com/maktab_azahra</v>
      </c>
      <c r="I1762" s="5"/>
      <c r="J1762" s="6" t="str">
        <f>IFERROR(__xludf.DUMMYFUNCTION("""COMPUTED_VALUE"""),"https://eitaa.com/maktabezahra1401")</f>
        <v>https://eitaa.com/maktabezahra1401</v>
      </c>
      <c r="K1762" s="5"/>
      <c r="L1762" s="5"/>
      <c r="M1762" s="5"/>
      <c r="N1762" s="5"/>
      <c r="O1762" s="5"/>
      <c r="P1762" s="5"/>
      <c r="Q1762" s="5"/>
      <c r="R1762" s="5"/>
      <c r="S1762" s="5"/>
    </row>
    <row r="1763">
      <c r="A1763" s="5">
        <f>IFERROR(__xludf.DUMMYFUNCTION("""COMPUTED_VALUE"""),26207.0)</f>
        <v>26207</v>
      </c>
      <c r="B1763" s="5" t="str">
        <f>IFERROR(__xludf.DUMMYFUNCTION("""COMPUTED_VALUE"""),"هیأت")</f>
        <v>هیأت</v>
      </c>
      <c r="C1763" s="5" t="str">
        <f>IFERROR(__xludf.DUMMYFUNCTION("""COMPUTED_VALUE"""),"جوانان تل زینبیه کوی سهند")</f>
        <v>جوانان تل زینبیه کوی سهند</v>
      </c>
      <c r="D1763" s="5" t="str">
        <f>IFERROR(__xludf.DUMMYFUNCTION("""COMPUTED_VALUE"""),"آذربایجان شرقی")</f>
        <v>آذربایجان شرقی</v>
      </c>
      <c r="E1763" s="5" t="str">
        <f>IFERROR(__xludf.DUMMYFUNCTION("""COMPUTED_VALUE"""),"بناب")</f>
        <v>بناب</v>
      </c>
      <c r="F1763" s="5"/>
      <c r="G1763" s="5"/>
      <c r="H1763" s="5"/>
      <c r="I1763" s="6" t="str">
        <f>IFERROR(__xludf.DUMMYFUNCTION("""COMPUTED_VALUE"""),"https://t.me/mannokarehoseinam")</f>
        <v>https://t.me/mannokarehoseinam</v>
      </c>
      <c r="J1763" s="5"/>
      <c r="K1763" s="5"/>
      <c r="L1763" s="5"/>
      <c r="M1763" s="5"/>
      <c r="N1763" s="5"/>
      <c r="O1763" s="5"/>
      <c r="P1763" s="5"/>
      <c r="Q1763" s="5"/>
      <c r="R1763" s="5"/>
      <c r="S1763" s="5"/>
    </row>
    <row r="1764">
      <c r="A1764" s="5">
        <f>IFERROR(__xludf.DUMMYFUNCTION("""COMPUTED_VALUE"""),23008.0)</f>
        <v>23008</v>
      </c>
      <c r="B1764" s="5" t="str">
        <f>IFERROR(__xludf.DUMMYFUNCTION("""COMPUTED_VALUE"""),"هیأت")</f>
        <v>هیأت</v>
      </c>
      <c r="C1764" s="5" t="str">
        <f>IFERROR(__xludf.DUMMYFUNCTION("""COMPUTED_VALUE"""),"روضه الحسین (ع)")</f>
        <v>روضه الحسین (ع)</v>
      </c>
      <c r="D1764" s="5" t="str">
        <f>IFERROR(__xludf.DUMMYFUNCTION("""COMPUTED_VALUE"""),"آذربایجان شرقی")</f>
        <v>آذربایجان شرقی</v>
      </c>
      <c r="E1764" s="5" t="str">
        <f>IFERROR(__xludf.DUMMYFUNCTION("""COMPUTED_VALUE"""),"بناب")</f>
        <v>بناب</v>
      </c>
      <c r="F1764" s="5"/>
      <c r="G1764" s="5"/>
      <c r="H1764" s="6" t="str">
        <f>IFERROR(__xludf.DUMMYFUNCTION("""COMPUTED_VALUE"""),"https://www.instagram.com/heyat_rozatol_hosein")</f>
        <v>https://www.instagram.com/heyat_rozatol_hosein</v>
      </c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</row>
    <row r="1765">
      <c r="A1765" s="5">
        <f>IFERROR(__xludf.DUMMYFUNCTION("""COMPUTED_VALUE"""),20634.0)</f>
        <v>20634</v>
      </c>
      <c r="B1765" s="5" t="str">
        <f>IFERROR(__xludf.DUMMYFUNCTION("""COMPUTED_VALUE"""),"هیأت")</f>
        <v>هیأت</v>
      </c>
      <c r="C1765" s="5" t="str">
        <f>IFERROR(__xludf.DUMMYFUNCTION("""COMPUTED_VALUE"""),"جوادالائمه(ع)")</f>
        <v>جوادالائمه(ع)</v>
      </c>
      <c r="D1765" s="5" t="str">
        <f>IFERROR(__xludf.DUMMYFUNCTION("""COMPUTED_VALUE"""),"آذربایجان شرقی")</f>
        <v>آذربایجان شرقی</v>
      </c>
      <c r="E1765" s="5" t="str">
        <f>IFERROR(__xludf.DUMMYFUNCTION("""COMPUTED_VALUE"""),"بناب")</f>
        <v>بناب</v>
      </c>
      <c r="F1765" s="5"/>
      <c r="G1765" s="5"/>
      <c r="H1765" s="6" t="str">
        <f>IFERROR(__xludf.DUMMYFUNCTION("""COMPUTED_VALUE"""),"https://www.instagram.com/javadolaemah")</f>
        <v>https://www.instagram.com/javadolaemah</v>
      </c>
      <c r="I1765" s="5"/>
      <c r="J1765" s="6" t="str">
        <f>IFERROR(__xludf.DUMMYFUNCTION("""COMPUTED_VALUE"""),"https://eitaa.com/javadol_aemah")</f>
        <v>https://eitaa.com/javadol_aemah</v>
      </c>
      <c r="K1765" s="5"/>
      <c r="L1765" s="5"/>
      <c r="M1765" s="5"/>
      <c r="N1765" s="5"/>
      <c r="O1765" s="5"/>
      <c r="P1765" s="5"/>
      <c r="Q1765" s="5"/>
      <c r="R1765" s="5"/>
      <c r="S1765" s="5"/>
    </row>
    <row r="1766">
      <c r="A1766" s="5">
        <f>IFERROR(__xludf.DUMMYFUNCTION("""COMPUTED_VALUE"""),19081.0)</f>
        <v>19081</v>
      </c>
      <c r="B1766" s="5" t="str">
        <f>IFERROR(__xludf.DUMMYFUNCTION("""COMPUTED_VALUE"""),"هیأت")</f>
        <v>هیأت</v>
      </c>
      <c r="C1766" s="5" t="str">
        <f>IFERROR(__xludf.DUMMYFUNCTION("""COMPUTED_VALUE"""),"گروه جهادی حوزه علمیه حضرت ولی عصر(عج)")</f>
        <v>گروه جهادی حوزه علمیه حضرت ولی عصر(عج)</v>
      </c>
      <c r="D1766" s="5" t="str">
        <f>IFERROR(__xludf.DUMMYFUNCTION("""COMPUTED_VALUE"""),"آذربایجان شرقی")</f>
        <v>آذربایجان شرقی</v>
      </c>
      <c r="E1766" s="5" t="str">
        <f>IFERROR(__xludf.DUMMYFUNCTION("""COMPUTED_VALUE"""),"بناب")</f>
        <v>بناب</v>
      </c>
      <c r="F1766" s="5"/>
      <c r="G1766" s="5"/>
      <c r="H1766" s="6" t="str">
        <f>IFERROR(__xludf.DUMMYFUNCTION("""COMPUTED_VALUE"""),"https://www.instagram.com/jahadigrop_howzeh")</f>
        <v>https://www.instagram.com/jahadigrop_howzeh</v>
      </c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</row>
    <row r="1767">
      <c r="A1767" s="5">
        <f>IFERROR(__xludf.DUMMYFUNCTION("""COMPUTED_VALUE"""),81.0)</f>
        <v>81</v>
      </c>
      <c r="B1767" s="5" t="str">
        <f>IFERROR(__xludf.DUMMYFUNCTION("""COMPUTED_VALUE"""),"هیأت")</f>
        <v>هیأت</v>
      </c>
      <c r="C1767" s="5" t="str">
        <f>IFERROR(__xludf.DUMMYFUNCTION("""COMPUTED_VALUE"""),"کانون فرهنگی هنری امام حسین (ع)")</f>
        <v>کانون فرهنگی هنری امام حسین (ع)</v>
      </c>
      <c r="D1767" s="5" t="str">
        <f>IFERROR(__xludf.DUMMYFUNCTION("""COMPUTED_VALUE"""),"آذربایجان شرقی")</f>
        <v>آذربایجان شرقی</v>
      </c>
      <c r="E1767" s="5" t="str">
        <f>IFERROR(__xludf.DUMMYFUNCTION("""COMPUTED_VALUE"""),"بناب")</f>
        <v>بناب</v>
      </c>
      <c r="F1767" s="5"/>
      <c r="G1767" s="5"/>
      <c r="H1767" s="6" t="str">
        <f>IFERROR(__xludf.DUMMYFUNCTION("""COMPUTED_VALUE"""),"https://www.instagram.com/kanon_emam_hosein/")</f>
        <v>https://www.instagram.com/kanon_emam_hosein/</v>
      </c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</row>
    <row r="1768">
      <c r="A1768" s="5">
        <f>IFERROR(__xludf.DUMMYFUNCTION("""COMPUTED_VALUE"""),33251.0)</f>
        <v>33251</v>
      </c>
      <c r="B1768" s="5" t="str">
        <f>IFERROR(__xludf.DUMMYFUNCTION("""COMPUTED_VALUE"""),"هیأت")</f>
        <v>هیأت</v>
      </c>
      <c r="C1768" s="5" t="str">
        <f>IFERROR(__xludf.DUMMYFUNCTION("""COMPUTED_VALUE"""),"ریحانه النبی (س)")</f>
        <v>ریحانه النبی (س)</v>
      </c>
      <c r="D1768" s="5" t="str">
        <f>IFERROR(__xludf.DUMMYFUNCTION("""COMPUTED_VALUE"""),"آذربایجان شرقی")</f>
        <v>آذربایجان شرقی</v>
      </c>
      <c r="E1768" s="5" t="str">
        <f>IFERROR(__xludf.DUMMYFUNCTION("""COMPUTED_VALUE"""),"تبریز")</f>
        <v>تبریز</v>
      </c>
      <c r="F1768" s="5"/>
      <c r="G1768" s="5"/>
      <c r="H1768" s="6" t="str">
        <f>IFERROR(__xludf.DUMMYFUNCTION("""COMPUTED_VALUE"""),"https://www.instagram.com/heyat.reyhane.alnabi")</f>
        <v>https://www.instagram.com/heyat.reyhane.alnabi</v>
      </c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</row>
    <row r="1769">
      <c r="A1769" s="5">
        <f>IFERROR(__xludf.DUMMYFUNCTION("""COMPUTED_VALUE"""),32765.0)</f>
        <v>32765</v>
      </c>
      <c r="B1769" s="5" t="str">
        <f>IFERROR(__xludf.DUMMYFUNCTION("""COMPUTED_VALUE"""),"هیأت")</f>
        <v>هیأت</v>
      </c>
      <c r="C1769" s="5" t="str">
        <f>IFERROR(__xludf.DUMMYFUNCTION("""COMPUTED_VALUE"""),"لواء الرقیه (س)")</f>
        <v>لواء الرقیه (س)</v>
      </c>
      <c r="D1769" s="5" t="str">
        <f>IFERROR(__xludf.DUMMYFUNCTION("""COMPUTED_VALUE"""),"آذربایجان شرقی")</f>
        <v>آذربایجان شرقی</v>
      </c>
      <c r="E1769" s="5" t="str">
        <f>IFERROR(__xludf.DUMMYFUNCTION("""COMPUTED_VALUE"""),"تبریز")</f>
        <v>تبریز</v>
      </c>
      <c r="F1769" s="5"/>
      <c r="G1769" s="5"/>
      <c r="H1769" s="6" t="str">
        <f>IFERROR(__xludf.DUMMYFUNCTION("""COMPUTED_VALUE"""),"https://www.instagram.com/levaorroghayye")</f>
        <v>https://www.instagram.com/levaorroghayye</v>
      </c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</row>
    <row r="1770">
      <c r="A1770" s="5">
        <f>IFERROR(__xludf.DUMMYFUNCTION("""COMPUTED_VALUE"""),32092.0)</f>
        <v>32092</v>
      </c>
      <c r="B1770" s="5" t="str">
        <f>IFERROR(__xludf.DUMMYFUNCTION("""COMPUTED_VALUE"""),"هیأت")</f>
        <v>هیأت</v>
      </c>
      <c r="C1770" s="5" t="str">
        <f>IFERROR(__xludf.DUMMYFUNCTION("""COMPUTED_VALUE"""),"هیات عرب باغ میشه")</f>
        <v>هیات عرب باغ میشه</v>
      </c>
      <c r="D1770" s="5" t="str">
        <f>IFERROR(__xludf.DUMMYFUNCTION("""COMPUTED_VALUE"""),"آذربایجان شرقی")</f>
        <v>آذربایجان شرقی</v>
      </c>
      <c r="E1770" s="5" t="str">
        <f>IFERROR(__xludf.DUMMYFUNCTION("""COMPUTED_VALUE"""),"تبریز")</f>
        <v>تبریز</v>
      </c>
      <c r="F1770" s="5"/>
      <c r="G1770" s="5"/>
      <c r="H1770" s="6" t="str">
        <f>IFERROR(__xludf.DUMMYFUNCTION("""COMPUTED_VALUE"""),"https://www.instagram.com/ajam_baghmisheh")</f>
        <v>https://www.instagram.com/ajam_baghmisheh</v>
      </c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</row>
    <row r="1771">
      <c r="A1771" s="5">
        <f>IFERROR(__xludf.DUMMYFUNCTION("""COMPUTED_VALUE"""),31993.0)</f>
        <v>31993</v>
      </c>
      <c r="B1771" s="5" t="str">
        <f>IFERROR(__xludf.DUMMYFUNCTION("""COMPUTED_VALUE"""),"هیأت")</f>
        <v>هیأت</v>
      </c>
      <c r="C1771" s="5" t="str">
        <f>IFERROR(__xludf.DUMMYFUNCTION("""COMPUTED_VALUE"""),"حضرت رقیه (س)")</f>
        <v>حضرت رقیه (س)</v>
      </c>
      <c r="D1771" s="5" t="str">
        <f>IFERROR(__xludf.DUMMYFUNCTION("""COMPUTED_VALUE"""),"آذربایجان شرقی")</f>
        <v>آذربایجان شرقی</v>
      </c>
      <c r="E1771" s="5" t="str">
        <f>IFERROR(__xludf.DUMMYFUNCTION("""COMPUTED_VALUE"""),"تبریز")</f>
        <v>تبریز</v>
      </c>
      <c r="F1771" s="5"/>
      <c r="G1771" s="5"/>
      <c r="H1771" s="6" t="str">
        <f>IFERROR(__xludf.DUMMYFUNCTION("""COMPUTED_VALUE"""),"https://www.instagram.com/hazraterogayeh")</f>
        <v>https://www.instagram.com/hazraterogayeh</v>
      </c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</row>
    <row r="1772">
      <c r="A1772" s="5">
        <f>IFERROR(__xludf.DUMMYFUNCTION("""COMPUTED_VALUE"""),31968.0)</f>
        <v>31968</v>
      </c>
      <c r="B1772" s="5" t="str">
        <f>IFERROR(__xludf.DUMMYFUNCTION("""COMPUTED_VALUE"""),"هیأت")</f>
        <v>هیأت</v>
      </c>
      <c r="C1772" s="5" t="str">
        <f>IFERROR(__xludf.DUMMYFUNCTION("""COMPUTED_VALUE"""),"عزاداران سیدالشهدا (ع)")</f>
        <v>عزاداران سیدالشهدا (ع)</v>
      </c>
      <c r="D1772" s="5" t="str">
        <f>IFERROR(__xludf.DUMMYFUNCTION("""COMPUTED_VALUE"""),"آذربایجان شرقی")</f>
        <v>آذربایجان شرقی</v>
      </c>
      <c r="E1772" s="5" t="str">
        <f>IFERROR(__xludf.DUMMYFUNCTION("""COMPUTED_VALUE"""),"تبریز")</f>
        <v>تبریز</v>
      </c>
      <c r="F1772" s="5"/>
      <c r="G1772" s="5"/>
      <c r="H1772" s="6" t="str">
        <f>IFERROR(__xludf.DUMMYFUNCTION("""COMPUTED_VALUE"""),"https://www.instagram.com/seyedolshohada_gholghasht")</f>
        <v>https://www.instagram.com/seyedolshohada_gholghasht</v>
      </c>
      <c r="I1772" s="6" t="str">
        <f>IFERROR(__xludf.DUMMYFUNCTION("""COMPUTED_VALUE"""),"https://t.me/seyedolshohada_golgashttabriz")</f>
        <v>https://t.me/seyedolshohada_golgashttabriz</v>
      </c>
      <c r="J1772" s="5"/>
      <c r="K1772" s="5"/>
      <c r="L1772" s="5"/>
      <c r="M1772" s="5"/>
      <c r="N1772" s="5"/>
      <c r="O1772" s="5"/>
      <c r="P1772" s="5"/>
      <c r="Q1772" s="5"/>
      <c r="R1772" s="5"/>
      <c r="S1772" s="5"/>
    </row>
    <row r="1773">
      <c r="A1773" s="5">
        <f>IFERROR(__xludf.DUMMYFUNCTION("""COMPUTED_VALUE"""),31718.0)</f>
        <v>31718</v>
      </c>
      <c r="B1773" s="5" t="str">
        <f>IFERROR(__xludf.DUMMYFUNCTION("""COMPUTED_VALUE"""),"هیأت")</f>
        <v>هیأت</v>
      </c>
      <c r="C1773" s="5" t="str">
        <f>IFERROR(__xludf.DUMMYFUNCTION("""COMPUTED_VALUE"""),"نورالزهرا")</f>
        <v>نورالزهرا</v>
      </c>
      <c r="D1773" s="5" t="str">
        <f>IFERROR(__xludf.DUMMYFUNCTION("""COMPUTED_VALUE"""),"آذربایجان شرقی")</f>
        <v>آذربایجان شرقی</v>
      </c>
      <c r="E1773" s="5" t="str">
        <f>IFERROR(__xludf.DUMMYFUNCTION("""COMPUTED_VALUE"""),"تبریز")</f>
        <v>تبریز</v>
      </c>
      <c r="F1773" s="5"/>
      <c r="G1773" s="5"/>
      <c r="H1773" s="6" t="str">
        <f>IFERROR(__xludf.DUMMYFUNCTION("""COMPUTED_VALUE"""),"https://www.instagram.com/norzahra_tabriz")</f>
        <v>https://www.instagram.com/norzahra_tabriz</v>
      </c>
      <c r="I1773" s="6" t="str">
        <f>IFERROR(__xludf.DUMMYFUNCTION("""COMPUTED_VALUE"""),"https://t.me/Nooralzahra_tbz")</f>
        <v>https://t.me/Nooralzahra_tbz</v>
      </c>
      <c r="J1773" s="5"/>
      <c r="K1773" s="5"/>
      <c r="L1773" s="5"/>
      <c r="M1773" s="5"/>
      <c r="N1773" s="5"/>
      <c r="O1773" s="5"/>
      <c r="P1773" s="5"/>
      <c r="Q1773" s="5"/>
      <c r="R1773" s="5"/>
      <c r="S1773" s="5"/>
    </row>
    <row r="1774">
      <c r="A1774" s="5">
        <f>IFERROR(__xludf.DUMMYFUNCTION("""COMPUTED_VALUE"""),30717.0)</f>
        <v>30717</v>
      </c>
      <c r="B1774" s="5" t="str">
        <f>IFERROR(__xludf.DUMMYFUNCTION("""COMPUTED_VALUE"""),"هیأت")</f>
        <v>هیأت</v>
      </c>
      <c r="C1774" s="5" t="str">
        <f>IFERROR(__xludf.DUMMYFUNCTION("""COMPUTED_VALUE"""),"شهدای کربلا")</f>
        <v>شهدای کربلا</v>
      </c>
      <c r="D1774" s="5" t="str">
        <f>IFERROR(__xludf.DUMMYFUNCTION("""COMPUTED_VALUE"""),"آذربایجان شرقی")</f>
        <v>آذربایجان شرقی</v>
      </c>
      <c r="E1774" s="5" t="str">
        <f>IFERROR(__xludf.DUMMYFUNCTION("""COMPUTED_VALUE"""),"تبریز")</f>
        <v>تبریز</v>
      </c>
      <c r="F1774" s="5"/>
      <c r="G1774" s="5"/>
      <c r="H1774" s="6" t="str">
        <f>IFERROR(__xludf.DUMMYFUNCTION("""COMPUTED_VALUE"""),"https://www.instagram.com/shohadayekarbala1330")</f>
        <v>https://www.instagram.com/shohadayekarbala1330</v>
      </c>
      <c r="I1774" s="6" t="str">
        <f>IFERROR(__xludf.DUMMYFUNCTION("""COMPUTED_VALUE"""),"https://t.me/negar_shohadayekarbala1330")</f>
        <v>https://t.me/negar_shohadayekarbala1330</v>
      </c>
      <c r="J1774" s="5"/>
      <c r="K1774" s="5"/>
      <c r="L1774" s="5"/>
      <c r="M1774" s="5"/>
      <c r="N1774" s="5"/>
      <c r="O1774" s="5"/>
      <c r="P1774" s="5"/>
      <c r="Q1774" s="5"/>
      <c r="R1774" s="5"/>
      <c r="S1774" s="5"/>
    </row>
    <row r="1775">
      <c r="A1775" s="5">
        <f>IFERROR(__xludf.DUMMYFUNCTION("""COMPUTED_VALUE"""),30713.0)</f>
        <v>30713</v>
      </c>
      <c r="B1775" s="5" t="str">
        <f>IFERROR(__xludf.DUMMYFUNCTION("""COMPUTED_VALUE"""),"هیأت")</f>
        <v>هیأت</v>
      </c>
      <c r="C1775" s="5" t="str">
        <f>IFERROR(__xludf.DUMMYFUNCTION("""COMPUTED_VALUE"""),"مکتب تشیع")</f>
        <v>مکتب تشیع</v>
      </c>
      <c r="D1775" s="5" t="str">
        <f>IFERROR(__xludf.DUMMYFUNCTION("""COMPUTED_VALUE"""),"آذربایجان شرقی")</f>
        <v>آذربایجان شرقی</v>
      </c>
      <c r="E1775" s="5" t="str">
        <f>IFERROR(__xludf.DUMMYFUNCTION("""COMPUTED_VALUE"""),"تبریز")</f>
        <v>تبریز</v>
      </c>
      <c r="F1775" s="5"/>
      <c r="G1775" s="5"/>
      <c r="H1775" s="6" t="str">
        <f>IFERROR(__xludf.DUMMYFUNCTION("""COMPUTED_VALUE"""),"https://www.instagram.com/maktab_tashayo_tabriz")</f>
        <v>https://www.instagram.com/maktab_tashayo_tabriz</v>
      </c>
      <c r="I1775" s="6" t="str">
        <f>IFERROR(__xludf.DUMMYFUNCTION("""COMPUTED_VALUE"""),"https://t.me/maktab_tashayo")</f>
        <v>https://t.me/maktab_tashayo</v>
      </c>
      <c r="J1775" s="5"/>
      <c r="K1775" s="5"/>
      <c r="L1775" s="5"/>
      <c r="M1775" s="5"/>
      <c r="N1775" s="5"/>
      <c r="O1775" s="5"/>
      <c r="P1775" s="5"/>
      <c r="Q1775" s="5"/>
      <c r="R1775" s="5"/>
      <c r="S1775" s="5"/>
    </row>
    <row r="1776">
      <c r="A1776" s="5">
        <f>IFERROR(__xludf.DUMMYFUNCTION("""COMPUTED_VALUE"""),30712.0)</f>
        <v>30712</v>
      </c>
      <c r="B1776" s="5" t="str">
        <f>IFERROR(__xludf.DUMMYFUNCTION("""COMPUTED_VALUE"""),"هیأت")</f>
        <v>هیأت</v>
      </c>
      <c r="C1776" s="5" t="str">
        <f>IFERROR(__xludf.DUMMYFUNCTION("""COMPUTED_VALUE"""),"متوسلین ام الائمه (ع)")</f>
        <v>متوسلین ام الائمه (ع)</v>
      </c>
      <c r="D1776" s="5" t="str">
        <f>IFERROR(__xludf.DUMMYFUNCTION("""COMPUTED_VALUE"""),"آذربایجان شرقی")</f>
        <v>آذربایجان شرقی</v>
      </c>
      <c r="E1776" s="5" t="str">
        <f>IFERROR(__xludf.DUMMYFUNCTION("""COMPUTED_VALUE"""),"تبریز")</f>
        <v>تبریز</v>
      </c>
      <c r="F1776" s="5"/>
      <c r="G1776" s="5"/>
      <c r="H1776" s="6" t="str">
        <f>IFERROR(__xludf.DUMMYFUNCTION("""COMPUTED_VALUE"""),"https://www.instagram.com/motavaselin_ommolaeme/")</f>
        <v>https://www.instagram.com/motavaselin_ommolaeme/</v>
      </c>
      <c r="I1776" s="5"/>
      <c r="J1776" s="6" t="str">
        <f>IFERROR(__xludf.DUMMYFUNCTION("""COMPUTED_VALUE"""),"https://eitaa.com/heyat_madar1379")</f>
        <v>https://eitaa.com/heyat_madar1379</v>
      </c>
      <c r="K1776" s="5"/>
      <c r="L1776" s="5"/>
      <c r="M1776" s="5"/>
      <c r="N1776" s="5"/>
      <c r="O1776" s="5"/>
      <c r="P1776" s="5"/>
      <c r="Q1776" s="5"/>
      <c r="R1776" s="5"/>
      <c r="S1776" s="5"/>
    </row>
    <row r="1777">
      <c r="A1777" s="5">
        <f>IFERROR(__xludf.DUMMYFUNCTION("""COMPUTED_VALUE"""),30675.0)</f>
        <v>30675</v>
      </c>
      <c r="B1777" s="5" t="str">
        <f>IFERROR(__xludf.DUMMYFUNCTION("""COMPUTED_VALUE"""),"هیأت")</f>
        <v>هیأت</v>
      </c>
      <c r="C1777" s="5" t="str">
        <f>IFERROR(__xludf.DUMMYFUNCTION("""COMPUTED_VALUE"""),"موسسه خیریه سعادت اندیشان رحمت تبریز")</f>
        <v>موسسه خیریه سعادت اندیشان رحمت تبریز</v>
      </c>
      <c r="D1777" s="5" t="str">
        <f>IFERROR(__xludf.DUMMYFUNCTION("""COMPUTED_VALUE"""),"آذربایجان شرقی")</f>
        <v>آذربایجان شرقی</v>
      </c>
      <c r="E1777" s="5" t="str">
        <f>IFERROR(__xludf.DUMMYFUNCTION("""COMPUTED_VALUE"""),"تبریز")</f>
        <v>تبریز</v>
      </c>
      <c r="F1777" s="5"/>
      <c r="G1777" s="5"/>
      <c r="H1777" s="6" t="str">
        <f>IFERROR(__xludf.DUMMYFUNCTION("""COMPUTED_VALUE"""),"https://www.instagram.com/mohammad.sheikhzadeh_")</f>
        <v>https://www.instagram.com/mohammad.sheikhzadeh_</v>
      </c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</row>
    <row r="1778">
      <c r="A1778" s="5">
        <f>IFERROR(__xludf.DUMMYFUNCTION("""COMPUTED_VALUE"""),30670.0)</f>
        <v>30670</v>
      </c>
      <c r="B1778" s="5" t="str">
        <f>IFERROR(__xludf.DUMMYFUNCTION("""COMPUTED_VALUE"""),"هیأت")</f>
        <v>هیأت</v>
      </c>
      <c r="C1778" s="5" t="str">
        <f>IFERROR(__xludf.DUMMYFUNCTION("""COMPUTED_VALUE"""),"هیات علمی فرهنگی سبز سرخ")</f>
        <v>هیات علمی فرهنگی سبز سرخ</v>
      </c>
      <c r="D1778" s="5" t="str">
        <f>IFERROR(__xludf.DUMMYFUNCTION("""COMPUTED_VALUE"""),"آذربایجان شرقی")</f>
        <v>آذربایجان شرقی</v>
      </c>
      <c r="E1778" s="5" t="str">
        <f>IFERROR(__xludf.DUMMYFUNCTION("""COMPUTED_VALUE"""),"تبریز")</f>
        <v>تبریز</v>
      </c>
      <c r="F1778" s="5"/>
      <c r="G1778" s="5"/>
      <c r="H1778" s="6" t="str">
        <f>IFERROR(__xludf.DUMMYFUNCTION("""COMPUTED_VALUE"""),"https://www.instagram.com/sabz.sorkh.313")</f>
        <v>https://www.instagram.com/sabz.sorkh.313</v>
      </c>
      <c r="I1778" s="5"/>
      <c r="J1778" s="6" t="str">
        <f>IFERROR(__xludf.DUMMYFUNCTION("""COMPUTED_VALUE"""),"https://eitaa.com/sabzesorkhh")</f>
        <v>https://eitaa.com/sabzesorkhh</v>
      </c>
      <c r="K1778" s="5"/>
      <c r="L1778" s="5"/>
      <c r="M1778" s="5"/>
      <c r="N1778" s="5"/>
      <c r="O1778" s="5"/>
      <c r="P1778" s="5"/>
      <c r="Q1778" s="5"/>
      <c r="R1778" s="5"/>
      <c r="S1778" s="5"/>
    </row>
    <row r="1779">
      <c r="A1779" s="5">
        <f>IFERROR(__xludf.DUMMYFUNCTION("""COMPUTED_VALUE"""),30472.0)</f>
        <v>30472</v>
      </c>
      <c r="B1779" s="5" t="str">
        <f>IFERROR(__xludf.DUMMYFUNCTION("""COMPUTED_VALUE"""),"هیأت")</f>
        <v>هیأت</v>
      </c>
      <c r="C1779" s="5" t="str">
        <f>IFERROR(__xludf.DUMMYFUNCTION("""COMPUTED_VALUE"""),"روضه نورالحسین")</f>
        <v>روضه نورالحسین</v>
      </c>
      <c r="D1779" s="5" t="str">
        <f>IFERROR(__xludf.DUMMYFUNCTION("""COMPUTED_VALUE"""),"آذربایجان شرقی")</f>
        <v>آذربایجان شرقی</v>
      </c>
      <c r="E1779" s="5" t="str">
        <f>IFERROR(__xludf.DUMMYFUNCTION("""COMPUTED_VALUE"""),"تبریز")</f>
        <v>تبریز</v>
      </c>
      <c r="F1779" s="5"/>
      <c r="G1779" s="5"/>
      <c r="H1779" s="6" t="str">
        <f>IFERROR(__xludf.DUMMYFUNCTION("""COMPUTED_VALUE"""),"https://www.instagram.com/noorolhossein_ir")</f>
        <v>https://www.instagram.com/noorolhossein_ir</v>
      </c>
      <c r="I1779" s="5"/>
      <c r="J1779" s="6" t="str">
        <f>IFERROR(__xludf.DUMMYFUNCTION("""COMPUTED_VALUE"""),"https://eitaa.com/noorolhoseintabriz")</f>
        <v>https://eitaa.com/noorolhoseintabriz</v>
      </c>
      <c r="K1779" s="5"/>
      <c r="L1779" s="5"/>
      <c r="M1779" s="5"/>
      <c r="N1779" s="5"/>
      <c r="O1779" s="5"/>
      <c r="P1779" s="5"/>
      <c r="Q1779" s="5"/>
      <c r="R1779" s="5"/>
      <c r="S1779" s="5"/>
    </row>
    <row r="1780">
      <c r="A1780" s="5">
        <f>IFERROR(__xludf.DUMMYFUNCTION("""COMPUTED_VALUE"""),30350.0)</f>
        <v>30350</v>
      </c>
      <c r="B1780" s="5" t="str">
        <f>IFERROR(__xludf.DUMMYFUNCTION("""COMPUTED_VALUE"""),"هیأت")</f>
        <v>هیأت</v>
      </c>
      <c r="C1780" s="5" t="str">
        <f>IFERROR(__xludf.DUMMYFUNCTION("""COMPUTED_VALUE"""),"مکتب المهدی")</f>
        <v>مکتب المهدی</v>
      </c>
      <c r="D1780" s="5" t="str">
        <f>IFERROR(__xludf.DUMMYFUNCTION("""COMPUTED_VALUE"""),"آذربایجان شرقی")</f>
        <v>آذربایجان شرقی</v>
      </c>
      <c r="E1780" s="5" t="str">
        <f>IFERROR(__xludf.DUMMYFUNCTION("""COMPUTED_VALUE"""),"تبریز")</f>
        <v>تبریز</v>
      </c>
      <c r="F1780" s="5"/>
      <c r="G1780" s="5"/>
      <c r="H1780" s="6" t="str">
        <f>IFERROR(__xludf.DUMMYFUNCTION("""COMPUTED_VALUE"""),"https://www.instagram.com/maktabolmahdiei")</f>
        <v>https://www.instagram.com/maktabolmahdiei</v>
      </c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</row>
    <row r="1781">
      <c r="A1781" s="5">
        <f>IFERROR(__xludf.DUMMYFUNCTION("""COMPUTED_VALUE"""),30349.0)</f>
        <v>30349</v>
      </c>
      <c r="B1781" s="5" t="str">
        <f>IFERROR(__xludf.DUMMYFUNCTION("""COMPUTED_VALUE"""),"هیأت")</f>
        <v>هیأت</v>
      </c>
      <c r="C1781" s="5" t="str">
        <f>IFERROR(__xludf.DUMMYFUNCTION("""COMPUTED_VALUE"""),"رایت الحسین (ع)")</f>
        <v>رایت الحسین (ع)</v>
      </c>
      <c r="D1781" s="5" t="str">
        <f>IFERROR(__xludf.DUMMYFUNCTION("""COMPUTED_VALUE"""),"آذربایجان شرقی")</f>
        <v>آذربایجان شرقی</v>
      </c>
      <c r="E1781" s="5" t="str">
        <f>IFERROR(__xludf.DUMMYFUNCTION("""COMPUTED_VALUE"""),"تبریز")</f>
        <v>تبریز</v>
      </c>
      <c r="F1781" s="5"/>
      <c r="G1781" s="5"/>
      <c r="H1781" s="6" t="str">
        <f>IFERROR(__xludf.DUMMYFUNCTION("""COMPUTED_VALUE"""),"https://www.instagram.com/rayatolhossein_tabriz")</f>
        <v>https://www.instagram.com/rayatolhossein_tabriz</v>
      </c>
      <c r="I1781" s="6" t="str">
        <f>IFERROR(__xludf.DUMMYFUNCTION("""COMPUTED_VALUE"""),"https://t.me/rayatolhossein_tabriz")</f>
        <v>https://t.me/rayatolhossein_tabriz</v>
      </c>
      <c r="J1781" s="5"/>
      <c r="K1781" s="5"/>
      <c r="L1781" s="5"/>
      <c r="M1781" s="5"/>
      <c r="N1781" s="5"/>
      <c r="O1781" s="5"/>
      <c r="P1781" s="5"/>
      <c r="Q1781" s="5"/>
      <c r="R1781" s="5"/>
      <c r="S1781" s="5"/>
    </row>
    <row r="1782">
      <c r="A1782" s="5">
        <f>IFERROR(__xludf.DUMMYFUNCTION("""COMPUTED_VALUE"""),30344.0)</f>
        <v>30344</v>
      </c>
      <c r="B1782" s="5" t="str">
        <f>IFERROR(__xludf.DUMMYFUNCTION("""COMPUTED_VALUE"""),"هیأت")</f>
        <v>هیأت</v>
      </c>
      <c r="C1782" s="5" t="str">
        <f>IFERROR(__xludf.DUMMYFUNCTION("""COMPUTED_VALUE"""),"حضرت ولی امر")</f>
        <v>حضرت ولی امر</v>
      </c>
      <c r="D1782" s="5" t="str">
        <f>IFERROR(__xludf.DUMMYFUNCTION("""COMPUTED_VALUE"""),"آذربایجان شرقی")</f>
        <v>آذربایجان شرقی</v>
      </c>
      <c r="E1782" s="5" t="str">
        <f>IFERROR(__xludf.DUMMYFUNCTION("""COMPUTED_VALUE"""),"تبریز")</f>
        <v>تبریز</v>
      </c>
      <c r="F1782" s="5"/>
      <c r="G1782" s="5"/>
      <c r="H1782" s="6" t="str">
        <f>IFERROR(__xludf.DUMMYFUNCTION("""COMPUTED_VALUE"""),"https://www.instagram.com/heyatvaliamr")</f>
        <v>https://www.instagram.com/heyatvaliamr</v>
      </c>
      <c r="I1782" s="6" t="str">
        <f>IFERROR(__xludf.DUMMYFUNCTION("""COMPUTED_VALUE"""),"https://t.me/heyatvaliamr")</f>
        <v>https://t.me/heyatvaliamr</v>
      </c>
      <c r="J1782" s="5"/>
      <c r="K1782" s="5"/>
      <c r="L1782" s="5"/>
      <c r="M1782" s="5"/>
      <c r="N1782" s="5"/>
      <c r="O1782" s="5"/>
      <c r="P1782" s="5"/>
      <c r="Q1782" s="5"/>
      <c r="R1782" s="5"/>
      <c r="S1782" s="5"/>
    </row>
    <row r="1783">
      <c r="A1783" s="5">
        <f>IFERROR(__xludf.DUMMYFUNCTION("""COMPUTED_VALUE"""),30343.0)</f>
        <v>30343</v>
      </c>
      <c r="B1783" s="5" t="str">
        <f>IFERROR(__xludf.DUMMYFUNCTION("""COMPUTED_VALUE"""),"هیأت")</f>
        <v>هیأت</v>
      </c>
      <c r="C1783" s="5" t="str">
        <f>IFERROR(__xludf.DUMMYFUNCTION("""COMPUTED_VALUE"""),"منتظران حضرت مهدی (عج) عجمه محله سرخاب تبریز")</f>
        <v>منتظران حضرت مهدی (عج) عجمه محله سرخاب تبریز</v>
      </c>
      <c r="D1783" s="5" t="str">
        <f>IFERROR(__xludf.DUMMYFUNCTION("""COMPUTED_VALUE"""),"آذربایجان شرقی")</f>
        <v>آذربایجان شرقی</v>
      </c>
      <c r="E1783" s="5" t="str">
        <f>IFERROR(__xludf.DUMMYFUNCTION("""COMPUTED_VALUE"""),"تبریز")</f>
        <v>تبریز</v>
      </c>
      <c r="F1783" s="5"/>
      <c r="G1783" s="5"/>
      <c r="H1783" s="6" t="str">
        <f>IFERROR(__xludf.DUMMYFUNCTION("""COMPUTED_VALUE"""),"https://www.instagram.com/montazerane_.mahdi_sorkhab")</f>
        <v>https://www.instagram.com/montazerane_.mahdi_sorkhab</v>
      </c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</row>
    <row r="1784">
      <c r="A1784" s="5">
        <f>IFERROR(__xludf.DUMMYFUNCTION("""COMPUTED_VALUE"""),30342.0)</f>
        <v>30342</v>
      </c>
      <c r="B1784" s="5" t="str">
        <f>IFERROR(__xludf.DUMMYFUNCTION("""COMPUTED_VALUE"""),"هیأت")</f>
        <v>هیأت</v>
      </c>
      <c r="C1784" s="5" t="str">
        <f>IFERROR(__xludf.DUMMYFUNCTION("""COMPUTED_VALUE"""),"خدام الزهرا (س)")</f>
        <v>خدام الزهرا (س)</v>
      </c>
      <c r="D1784" s="5" t="str">
        <f>IFERROR(__xludf.DUMMYFUNCTION("""COMPUTED_VALUE"""),"آذربایجان شرقی")</f>
        <v>آذربایجان شرقی</v>
      </c>
      <c r="E1784" s="5" t="str">
        <f>IFERROR(__xludf.DUMMYFUNCTION("""COMPUTED_VALUE"""),"تبریز")</f>
        <v>تبریز</v>
      </c>
      <c r="F1784" s="5"/>
      <c r="G1784" s="5"/>
      <c r="H1784" s="6" t="str">
        <f>IFERROR(__xludf.DUMMYFUNCTION("""COMPUTED_VALUE"""),"https://www.instagram.com/khoddamozzahra_tabriz")</f>
        <v>https://www.instagram.com/khoddamozzahra_tabriz</v>
      </c>
      <c r="I1784" s="6" t="str">
        <f>IFERROR(__xludf.DUMMYFUNCTION("""COMPUTED_VALUE"""),"https://t.me/Khoddamozzahra_Tabriz")</f>
        <v>https://t.me/Khoddamozzahra_Tabriz</v>
      </c>
      <c r="J1784" s="5"/>
      <c r="K1784" s="5"/>
      <c r="L1784" s="5"/>
      <c r="M1784" s="5"/>
      <c r="N1784" s="5"/>
      <c r="O1784" s="5"/>
      <c r="P1784" s="5"/>
      <c r="Q1784" s="5"/>
      <c r="R1784" s="5"/>
      <c r="S1784" s="5"/>
    </row>
    <row r="1785">
      <c r="A1785" s="5">
        <f>IFERROR(__xludf.DUMMYFUNCTION("""COMPUTED_VALUE"""),30341.0)</f>
        <v>30341</v>
      </c>
      <c r="B1785" s="5" t="str">
        <f>IFERROR(__xludf.DUMMYFUNCTION("""COMPUTED_VALUE"""),"هیأت")</f>
        <v>هیأت</v>
      </c>
      <c r="C1785" s="5" t="str">
        <f>IFERROR(__xludf.DUMMYFUNCTION("""COMPUTED_VALUE"""),"عاشقان یا زهرا (س)")</f>
        <v>عاشقان یا زهرا (س)</v>
      </c>
      <c r="D1785" s="5" t="str">
        <f>IFERROR(__xludf.DUMMYFUNCTION("""COMPUTED_VALUE"""),"آذربایجان شرقی")</f>
        <v>آذربایجان شرقی</v>
      </c>
      <c r="E1785" s="5" t="str">
        <f>IFERROR(__xludf.DUMMYFUNCTION("""COMPUTED_VALUE"""),"تبریز")</f>
        <v>تبریز</v>
      </c>
      <c r="F1785" s="5"/>
      <c r="G1785" s="5"/>
      <c r="H1785" s="6" t="str">
        <f>IFERROR(__xludf.DUMMYFUNCTION("""COMPUTED_VALUE"""),"https://www.instagram.com/ashegane_yazahra")</f>
        <v>https://www.instagram.com/ashegane_yazahra</v>
      </c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</row>
    <row r="1786">
      <c r="A1786" s="5">
        <f>IFERROR(__xludf.DUMMYFUNCTION("""COMPUTED_VALUE"""),30334.0)</f>
        <v>30334</v>
      </c>
      <c r="B1786" s="5" t="str">
        <f>IFERROR(__xludf.DUMMYFUNCTION("""COMPUTED_VALUE"""),"هیأت")</f>
        <v>هیأت</v>
      </c>
      <c r="C1786" s="5" t="str">
        <f>IFERROR(__xludf.DUMMYFUNCTION("""COMPUTED_VALUE"""),"انصار الحجه")</f>
        <v>انصار الحجه</v>
      </c>
      <c r="D1786" s="5" t="str">
        <f>IFERROR(__xludf.DUMMYFUNCTION("""COMPUTED_VALUE"""),"آذربایجان شرقی")</f>
        <v>آذربایجان شرقی</v>
      </c>
      <c r="E1786" s="5" t="str">
        <f>IFERROR(__xludf.DUMMYFUNCTION("""COMPUTED_VALUE"""),"تبریز")</f>
        <v>تبریز</v>
      </c>
      <c r="F1786" s="5"/>
      <c r="G1786" s="5"/>
      <c r="H1786" s="6" t="str">
        <f>IFERROR(__xludf.DUMMYFUNCTION("""COMPUTED_VALUE"""),"https://www.instagram.com/ansarolhojjat_org")</f>
        <v>https://www.instagram.com/ansarolhojjat_org</v>
      </c>
      <c r="I1786" s="6" t="str">
        <f>IFERROR(__xludf.DUMMYFUNCTION("""COMPUTED_VALUE"""),"https://t.me/ansarolhojjat_org")</f>
        <v>https://t.me/ansarolhojjat_org</v>
      </c>
      <c r="J1786" s="6" t="str">
        <f>IFERROR(__xludf.DUMMYFUNCTION("""COMPUTED_VALUE"""),"https://eitaa.com/ansarolhojjat_org")</f>
        <v>https://eitaa.com/ansarolhojjat_org</v>
      </c>
      <c r="K1786" s="5"/>
      <c r="L1786" s="5"/>
      <c r="M1786" s="5"/>
      <c r="N1786" s="5"/>
      <c r="O1786" s="5"/>
      <c r="P1786" s="5"/>
      <c r="Q1786" s="5"/>
      <c r="R1786" s="5"/>
      <c r="S1786" s="5"/>
    </row>
    <row r="1787">
      <c r="A1787" s="5"/>
      <c r="B1787" s="5" t="str">
        <f>IFERROR(__xludf.DUMMYFUNCTION("""COMPUTED_VALUE"""),"هیأت")</f>
        <v>هیأت</v>
      </c>
      <c r="C1787" s="5" t="str">
        <f>IFERROR(__xludf.DUMMYFUNCTION("""COMPUTED_VALUE"""),"رایت المهدی")</f>
        <v>رایت المهدی</v>
      </c>
      <c r="D1787" s="5" t="str">
        <f>IFERROR(__xludf.DUMMYFUNCTION("""COMPUTED_VALUE"""),"آذربایجان شرقی")</f>
        <v>آذربایجان شرقی</v>
      </c>
      <c r="E1787" s="5" t="str">
        <f>IFERROR(__xludf.DUMMYFUNCTION("""COMPUTED_VALUE"""),"تبریز")</f>
        <v>تبریز</v>
      </c>
      <c r="F1787" s="5"/>
      <c r="G1787" s="5"/>
      <c r="H1787" s="6" t="str">
        <f>IFERROR(__xludf.DUMMYFUNCTION("""COMPUTED_VALUE"""),"https://www.instagram.com/rayatolmahdi313_tab")</f>
        <v>https://www.instagram.com/rayatolmahdi313_tab</v>
      </c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</row>
    <row r="1788">
      <c r="A1788" s="5">
        <f>IFERROR(__xludf.DUMMYFUNCTION("""COMPUTED_VALUE"""),29661.0)</f>
        <v>29661</v>
      </c>
      <c r="B1788" s="5" t="str">
        <f>IFERROR(__xludf.DUMMYFUNCTION("""COMPUTED_VALUE"""),"هیأت")</f>
        <v>هیأت</v>
      </c>
      <c r="C1788" s="5" t="str">
        <f>IFERROR(__xludf.DUMMYFUNCTION("""COMPUTED_VALUE"""),"رایت المهدی")</f>
        <v>رایت المهدی</v>
      </c>
      <c r="D1788" s="5" t="str">
        <f>IFERROR(__xludf.DUMMYFUNCTION("""COMPUTED_VALUE"""),"آذربایجان شرقی")</f>
        <v>آذربایجان شرقی</v>
      </c>
      <c r="E1788" s="5" t="str">
        <f>IFERROR(__xludf.DUMMYFUNCTION("""COMPUTED_VALUE"""),"تبریز")</f>
        <v>تبریز</v>
      </c>
      <c r="F1788" s="5"/>
      <c r="G1788" s="5"/>
      <c r="H1788" s="6" t="str">
        <f>IFERROR(__xludf.DUMMYFUNCTION("""COMPUTED_VALUE"""),"https://www.instagram.com/rayatolmahdi_tabriz")</f>
        <v>https://www.instagram.com/rayatolmahdi_tabriz</v>
      </c>
      <c r="I1788" s="5"/>
      <c r="J1788" s="6" t="str">
        <f>IFERROR(__xludf.DUMMYFUNCTION("""COMPUTED_VALUE"""),"https://eitaa.com/rayatolmahdi_tabriz")</f>
        <v>https://eitaa.com/rayatolmahdi_tabriz</v>
      </c>
      <c r="K1788" s="5"/>
      <c r="L1788" s="5"/>
      <c r="M1788" s="5"/>
      <c r="N1788" s="5"/>
      <c r="O1788" s="5"/>
      <c r="P1788" s="5"/>
      <c r="Q1788" s="5"/>
      <c r="R1788" s="5"/>
      <c r="S1788" s="5"/>
    </row>
    <row r="1789">
      <c r="A1789" s="5">
        <f>IFERROR(__xludf.DUMMYFUNCTION("""COMPUTED_VALUE"""),29214.0)</f>
        <v>29214</v>
      </c>
      <c r="B1789" s="5" t="str">
        <f>IFERROR(__xludf.DUMMYFUNCTION("""COMPUTED_VALUE"""),"هیأت")</f>
        <v>هیأت</v>
      </c>
      <c r="C1789" s="5" t="str">
        <f>IFERROR(__xludf.DUMMYFUNCTION("""COMPUTED_VALUE"""),"انصارالرضا (ع)")</f>
        <v>انصارالرضا (ع)</v>
      </c>
      <c r="D1789" s="5" t="str">
        <f>IFERROR(__xludf.DUMMYFUNCTION("""COMPUTED_VALUE"""),"آذربایجان شرقی")</f>
        <v>آذربایجان شرقی</v>
      </c>
      <c r="E1789" s="5" t="str">
        <f>IFERROR(__xludf.DUMMYFUNCTION("""COMPUTED_VALUE"""),"تبریز")</f>
        <v>تبریز</v>
      </c>
      <c r="F1789" s="5"/>
      <c r="G1789" s="5"/>
      <c r="H1789" s="5"/>
      <c r="I1789" s="5"/>
      <c r="J1789" s="6" t="str">
        <f>IFERROR(__xludf.DUMMYFUNCTION("""COMPUTED_VALUE"""),"https://eitaa.com/ansar_alreza8")</f>
        <v>https://eitaa.com/ansar_alreza8</v>
      </c>
      <c r="K1789" s="5"/>
      <c r="L1789" s="5"/>
      <c r="M1789" s="5"/>
      <c r="N1789" s="5"/>
      <c r="O1789" s="5"/>
      <c r="P1789" s="5"/>
      <c r="Q1789" s="5"/>
      <c r="R1789" s="5"/>
      <c r="S1789" s="5"/>
    </row>
    <row r="1790">
      <c r="A1790" s="5">
        <f>IFERROR(__xludf.DUMMYFUNCTION("""COMPUTED_VALUE"""),26836.0)</f>
        <v>26836</v>
      </c>
      <c r="B1790" s="5" t="str">
        <f>IFERROR(__xludf.DUMMYFUNCTION("""COMPUTED_VALUE"""),"هیأت")</f>
        <v>هیأت</v>
      </c>
      <c r="C1790" s="5" t="str">
        <f>IFERROR(__xludf.DUMMYFUNCTION("""COMPUTED_VALUE"""),"بنیاد فرهنگی طوبی")</f>
        <v>بنیاد فرهنگی طوبی</v>
      </c>
      <c r="D1790" s="5" t="str">
        <f>IFERROR(__xludf.DUMMYFUNCTION("""COMPUTED_VALUE"""),"آذربایجان شرقی")</f>
        <v>آذربایجان شرقی</v>
      </c>
      <c r="E1790" s="5" t="str">
        <f>IFERROR(__xludf.DUMMYFUNCTION("""COMPUTED_VALUE"""),"تبریز")</f>
        <v>تبریز</v>
      </c>
      <c r="F1790" s="5"/>
      <c r="G1790" s="5"/>
      <c r="H1790" s="6" t="str">
        <f>IFERROR(__xludf.DUMMYFUNCTION("""COMPUTED_VALUE"""),"https://www.instagram.com/bonyadtooba")</f>
        <v>https://www.instagram.com/bonyadtooba</v>
      </c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</row>
    <row r="1791">
      <c r="A1791" s="5"/>
      <c r="B1791" s="5" t="str">
        <f>IFERROR(__xludf.DUMMYFUNCTION("""COMPUTED_VALUE"""),"هیأت ")</f>
        <v>هیأت </v>
      </c>
      <c r="C1791" s="5" t="str">
        <f>IFERROR(__xludf.DUMMYFUNCTION("""COMPUTED_VALUE"""),"روضه طوبی")</f>
        <v>روضه طوبی</v>
      </c>
      <c r="D1791" s="5" t="str">
        <f>IFERROR(__xludf.DUMMYFUNCTION("""COMPUTED_VALUE"""),"آذربایجان شرقی")</f>
        <v>آذربایجان شرقی</v>
      </c>
      <c r="E1791" s="5" t="str">
        <f>IFERROR(__xludf.DUMMYFUNCTION("""COMPUTED_VALUE"""),"تبریز")</f>
        <v>تبریز</v>
      </c>
      <c r="F1791" s="5"/>
      <c r="G1791" s="5"/>
      <c r="H1791" s="6" t="str">
        <f>IFERROR(__xludf.DUMMYFUNCTION("""COMPUTED_VALUE"""),"https://www.instagram.com/rowzeyetooba")</f>
        <v>https://www.instagram.com/rowzeyetooba</v>
      </c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</row>
    <row r="1792">
      <c r="A1792" s="5">
        <f>IFERROR(__xludf.DUMMYFUNCTION("""COMPUTED_VALUE"""),26835.0)</f>
        <v>26835</v>
      </c>
      <c r="B1792" s="5" t="str">
        <f>IFERROR(__xludf.DUMMYFUNCTION("""COMPUTED_VALUE"""),"هیأت")</f>
        <v>هیأت</v>
      </c>
      <c r="C1792" s="5" t="str">
        <f>IFERROR(__xludf.DUMMYFUNCTION("""COMPUTED_VALUE"""),"سقای کربلاوعباسیه اعظم سردرود")</f>
        <v>سقای کربلاوعباسیه اعظم سردرود</v>
      </c>
      <c r="D1792" s="5" t="str">
        <f>IFERROR(__xludf.DUMMYFUNCTION("""COMPUTED_VALUE"""),"آذربایجان شرقی")</f>
        <v>آذربایجان شرقی</v>
      </c>
      <c r="E1792" s="5" t="str">
        <f>IFERROR(__xludf.DUMMYFUNCTION("""COMPUTED_VALUE"""),"تبریز")</f>
        <v>تبریز</v>
      </c>
      <c r="F1792" s="5"/>
      <c r="G1792" s="5"/>
      <c r="H1792" s="6" t="str">
        <f>IFERROR(__xludf.DUMMYFUNCTION("""COMPUTED_VALUE"""),"https://www.instagram.com/sagaye.karbala.sardrud")</f>
        <v>https://www.instagram.com/sagaye.karbala.sardrud</v>
      </c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</row>
    <row r="1793">
      <c r="A1793" s="5">
        <f>IFERROR(__xludf.DUMMYFUNCTION("""COMPUTED_VALUE"""),26834.0)</f>
        <v>26834</v>
      </c>
      <c r="B1793" s="5" t="str">
        <f>IFERROR(__xludf.DUMMYFUNCTION("""COMPUTED_VALUE"""),"هیأت")</f>
        <v>هیأت</v>
      </c>
      <c r="C1793" s="5" t="str">
        <f>IFERROR(__xludf.DUMMYFUNCTION("""COMPUTED_VALUE"""),"حضرت بقیه الله الاعظم (عج)")</f>
        <v>حضرت بقیه الله الاعظم (عج)</v>
      </c>
      <c r="D1793" s="5" t="str">
        <f>IFERROR(__xludf.DUMMYFUNCTION("""COMPUTED_VALUE"""),"آذربایجان شرقی")</f>
        <v>آذربایجان شرقی</v>
      </c>
      <c r="E1793" s="5" t="str">
        <f>IFERROR(__xludf.DUMMYFUNCTION("""COMPUTED_VALUE"""),"تبریز")</f>
        <v>تبریز</v>
      </c>
      <c r="F1793" s="5"/>
      <c r="G1793" s="5"/>
      <c r="H1793" s="6" t="str">
        <f>IFERROR(__xludf.DUMMYFUNCTION("""COMPUTED_VALUE"""),"https://www.instagram.com/baghiyatallah.tabriz")</f>
        <v>https://www.instagram.com/baghiyatallah.tabriz</v>
      </c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</row>
    <row r="1794">
      <c r="A1794" s="5">
        <f>IFERROR(__xludf.DUMMYFUNCTION("""COMPUTED_VALUE"""),26638.0)</f>
        <v>26638</v>
      </c>
      <c r="B1794" s="5" t="str">
        <f>IFERROR(__xludf.DUMMYFUNCTION("""COMPUTED_VALUE"""),"هیأت")</f>
        <v>هیأت</v>
      </c>
      <c r="C1794" s="5" t="str">
        <f>IFERROR(__xludf.DUMMYFUNCTION("""COMPUTED_VALUE"""),"هیات الرضا (ع)")</f>
        <v>هیات الرضا (ع)</v>
      </c>
      <c r="D1794" s="5" t="str">
        <f>IFERROR(__xludf.DUMMYFUNCTION("""COMPUTED_VALUE"""),"آذربایجان شرقی")</f>
        <v>آذربایجان شرقی</v>
      </c>
      <c r="E1794" s="5" t="str">
        <f>IFERROR(__xludf.DUMMYFUNCTION("""COMPUTED_VALUE"""),"تبریز")</f>
        <v>تبریز</v>
      </c>
      <c r="F1794" s="5"/>
      <c r="G1794" s="5"/>
      <c r="H1794" s="6" t="str">
        <f>IFERROR(__xludf.DUMMYFUNCTION("""COMPUTED_VALUE"""),"https://www.instagram.com/heyatolreza_")</f>
        <v>https://www.instagram.com/heyatolreza_</v>
      </c>
      <c r="I1794" s="5"/>
      <c r="J1794" s="6" t="str">
        <f>IFERROR(__xludf.DUMMYFUNCTION("""COMPUTED_VALUE"""),"https://eitaa.com/heiatolreza_ir")</f>
        <v>https://eitaa.com/heiatolreza_ir</v>
      </c>
      <c r="K1794" s="5"/>
      <c r="L1794" s="5"/>
      <c r="M1794" s="5"/>
      <c r="N1794" s="5"/>
      <c r="O1794" s="5"/>
      <c r="P1794" s="5"/>
      <c r="Q1794" s="5"/>
      <c r="R1794" s="5"/>
      <c r="S1794" s="5"/>
    </row>
    <row r="1795">
      <c r="A1795" s="5">
        <f>IFERROR(__xludf.DUMMYFUNCTION("""COMPUTED_VALUE"""),26387.0)</f>
        <v>26387</v>
      </c>
      <c r="B1795" s="5" t="str">
        <f>IFERROR(__xludf.DUMMYFUNCTION("""COMPUTED_VALUE"""),"هیأت")</f>
        <v>هیأت</v>
      </c>
      <c r="C1795" s="5" t="str">
        <f>IFERROR(__xludf.DUMMYFUNCTION("""COMPUTED_VALUE"""),"کانون فرهنگی فطرت")</f>
        <v>کانون فرهنگی فطرت</v>
      </c>
      <c r="D1795" s="5" t="str">
        <f>IFERROR(__xludf.DUMMYFUNCTION("""COMPUTED_VALUE"""),"آذربایجان شرقی")</f>
        <v>آذربایجان شرقی</v>
      </c>
      <c r="E1795" s="5" t="str">
        <f>IFERROR(__xludf.DUMMYFUNCTION("""COMPUTED_VALUE"""),"تبریز")</f>
        <v>تبریز</v>
      </c>
      <c r="F1795" s="5"/>
      <c r="G1795" s="5"/>
      <c r="H1795" s="6" t="str">
        <f>IFERROR(__xludf.DUMMYFUNCTION("""COMPUTED_VALUE"""),"https://www.instagram.com/kanoun.jahadi.fetrat")</f>
        <v>https://www.instagram.com/kanoun.jahadi.fetrat</v>
      </c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</row>
    <row r="1796">
      <c r="A1796" s="5">
        <f>IFERROR(__xludf.DUMMYFUNCTION("""COMPUTED_VALUE"""),25633.0)</f>
        <v>25633</v>
      </c>
      <c r="B1796" s="5" t="str">
        <f>IFERROR(__xludf.DUMMYFUNCTION("""COMPUTED_VALUE"""),"هیأت دخترانه")</f>
        <v>هیأت دخترانه</v>
      </c>
      <c r="C1796" s="5" t="str">
        <f>IFERROR(__xludf.DUMMYFUNCTION("""COMPUTED_VALUE"""),"ریحانه الزهرا (س)")</f>
        <v>ریحانه الزهرا (س)</v>
      </c>
      <c r="D1796" s="5" t="str">
        <f>IFERROR(__xludf.DUMMYFUNCTION("""COMPUTED_VALUE"""),"آذربایجان شرقی")</f>
        <v>آذربایجان شرقی</v>
      </c>
      <c r="E1796" s="5" t="str">
        <f>IFERROR(__xludf.DUMMYFUNCTION("""COMPUTED_VALUE"""),"تبریز")</f>
        <v>تبریز</v>
      </c>
      <c r="F1796" s="5"/>
      <c r="G1796" s="5"/>
      <c r="H1796" s="6" t="str">
        <f>IFERROR(__xludf.DUMMYFUNCTION("""COMPUTED_VALUE"""),"https://www.instagram.com/reyhanezahratabriz213")</f>
        <v>https://www.instagram.com/reyhanezahratabriz213</v>
      </c>
      <c r="I1796" s="5"/>
      <c r="J1796" s="6" t="str">
        <f>IFERROR(__xludf.DUMMYFUNCTION("""COMPUTED_VALUE"""),"https://eitaa.com/reyhanezahratabriz95")</f>
        <v>https://eitaa.com/reyhanezahratabriz95</v>
      </c>
      <c r="K1796" s="5"/>
      <c r="L1796" s="5"/>
      <c r="M1796" s="5"/>
      <c r="N1796" s="5"/>
      <c r="O1796" s="5"/>
      <c r="P1796" s="5"/>
      <c r="Q1796" s="5"/>
      <c r="R1796" s="5"/>
      <c r="S1796" s="5"/>
    </row>
    <row r="1797">
      <c r="A1797" s="5">
        <f>IFERROR(__xludf.DUMMYFUNCTION("""COMPUTED_VALUE"""),24313.0)</f>
        <v>24313</v>
      </c>
      <c r="B1797" s="5" t="str">
        <f>IFERROR(__xludf.DUMMYFUNCTION("""COMPUTED_VALUE"""),"هیأت")</f>
        <v>هیأت</v>
      </c>
      <c r="C1797" s="5" t="str">
        <f>IFERROR(__xludf.DUMMYFUNCTION("""COMPUTED_VALUE"""),"مکتب نهج البلاغه")</f>
        <v>مکتب نهج البلاغه</v>
      </c>
      <c r="D1797" s="5" t="str">
        <f>IFERROR(__xludf.DUMMYFUNCTION("""COMPUTED_VALUE"""),"آذربایجان شرقی")</f>
        <v>آذربایجان شرقی</v>
      </c>
      <c r="E1797" s="5" t="str">
        <f>IFERROR(__xludf.DUMMYFUNCTION("""COMPUTED_VALUE"""),"تبریز")</f>
        <v>تبریز</v>
      </c>
      <c r="F1797" s="5"/>
      <c r="G1797" s="5"/>
      <c r="H1797" s="6" t="str">
        <f>IFERROR(__xludf.DUMMYFUNCTION("""COMPUTED_VALUE"""),"https://www.instagram.com/maktabe_nahjolbalaghe_tabriz")</f>
        <v>https://www.instagram.com/maktabe_nahjolbalaghe_tabriz</v>
      </c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</row>
    <row r="1798">
      <c r="A1798" s="5">
        <f>IFERROR(__xludf.DUMMYFUNCTION("""COMPUTED_VALUE"""),24310.0)</f>
        <v>24310</v>
      </c>
      <c r="B1798" s="5" t="str">
        <f>IFERROR(__xludf.DUMMYFUNCTION("""COMPUTED_VALUE"""),"هیأت")</f>
        <v>هیأت</v>
      </c>
      <c r="C1798" s="5" t="str">
        <f>IFERROR(__xludf.DUMMYFUNCTION("""COMPUTED_VALUE"""),"جان نثاران حضرت قاسم (ع)")</f>
        <v>جان نثاران حضرت قاسم (ع)</v>
      </c>
      <c r="D1798" s="5" t="str">
        <f>IFERROR(__xludf.DUMMYFUNCTION("""COMPUTED_VALUE"""),"آذربایجان شرقی")</f>
        <v>آذربایجان شرقی</v>
      </c>
      <c r="E1798" s="5" t="str">
        <f>IFERROR(__xludf.DUMMYFUNCTION("""COMPUTED_VALUE"""),"تبریز")</f>
        <v>تبریز</v>
      </c>
      <c r="F1798" s="5"/>
      <c r="G1798" s="5"/>
      <c r="H1798" s="6" t="str">
        <f>IFERROR(__xludf.DUMMYFUNCTION("""COMPUTED_VALUE"""),"https://www.instagram.com/jannesaran_hazrat_gasem_tabriz")</f>
        <v>https://www.instagram.com/jannesaran_hazrat_gasem_tabriz</v>
      </c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</row>
    <row r="1799">
      <c r="A1799" s="5">
        <f>IFERROR(__xludf.DUMMYFUNCTION("""COMPUTED_VALUE"""),24309.0)</f>
        <v>24309</v>
      </c>
      <c r="B1799" s="5" t="str">
        <f>IFERROR(__xludf.DUMMYFUNCTION("""COMPUTED_VALUE"""),"هیأت")</f>
        <v>هیأت</v>
      </c>
      <c r="C1799" s="5" t="str">
        <f>IFERROR(__xludf.DUMMYFUNCTION("""COMPUTED_VALUE"""),"کوثر")</f>
        <v>کوثر</v>
      </c>
      <c r="D1799" s="5" t="str">
        <f>IFERROR(__xludf.DUMMYFUNCTION("""COMPUTED_VALUE"""),"آذربایجان شرقی")</f>
        <v>آذربایجان شرقی</v>
      </c>
      <c r="E1799" s="5" t="str">
        <f>IFERROR(__xludf.DUMMYFUNCTION("""COMPUTED_VALUE"""),"تبریز")</f>
        <v>تبریز</v>
      </c>
      <c r="F1799" s="5"/>
      <c r="G1799" s="5"/>
      <c r="H1799" s="6" t="str">
        <f>IFERROR(__xludf.DUMMYFUNCTION("""COMPUTED_VALUE"""),"https://www.instagram.com/kosar_tabriz")</f>
        <v>https://www.instagram.com/kosar_tabriz</v>
      </c>
      <c r="I1799" s="6" t="str">
        <f>IFERROR(__xludf.DUMMYFUNCTION("""COMPUTED_VALUE"""),"https://t.me/KosarTabriz")</f>
        <v>https://t.me/KosarTabriz</v>
      </c>
      <c r="J1799" s="5"/>
      <c r="K1799" s="5"/>
      <c r="L1799" s="5"/>
      <c r="M1799" s="5"/>
      <c r="N1799" s="5"/>
      <c r="O1799" s="5"/>
      <c r="P1799" s="5"/>
      <c r="Q1799" s="5"/>
      <c r="R1799" s="5"/>
      <c r="S1799" s="5"/>
    </row>
    <row r="1800">
      <c r="A1800" s="5">
        <f>IFERROR(__xludf.DUMMYFUNCTION("""COMPUTED_VALUE"""),23972.0)</f>
        <v>23972</v>
      </c>
      <c r="B1800" s="5" t="str">
        <f>IFERROR(__xludf.DUMMYFUNCTION("""COMPUTED_VALUE"""),"هیأت")</f>
        <v>هیأت</v>
      </c>
      <c r="C1800" s="5" t="str">
        <f>IFERROR(__xludf.DUMMYFUNCTION("""COMPUTED_VALUE"""),"آل طاها")</f>
        <v>آل طاها</v>
      </c>
      <c r="D1800" s="5" t="str">
        <f>IFERROR(__xludf.DUMMYFUNCTION("""COMPUTED_VALUE"""),"آذربایجان شرقی")</f>
        <v>آذربایجان شرقی</v>
      </c>
      <c r="E1800" s="5" t="str">
        <f>IFERROR(__xludf.DUMMYFUNCTION("""COMPUTED_VALUE"""),"تبریز")</f>
        <v>تبریز</v>
      </c>
      <c r="F1800" s="5"/>
      <c r="G1800" s="5"/>
      <c r="H1800" s="6" t="str">
        <f>IFERROR(__xludf.DUMMYFUNCTION("""COMPUTED_VALUE"""),"https://www.instagram.com/aletahatabriz")</f>
        <v>https://www.instagram.com/aletahatabriz</v>
      </c>
      <c r="I1800" s="6" t="str">
        <f>IFERROR(__xludf.DUMMYFUNCTION("""COMPUTED_VALUE"""),"https://t.me/aletahasorkhab")</f>
        <v>https://t.me/aletahasorkhab</v>
      </c>
      <c r="J1800" s="6" t="str">
        <f>IFERROR(__xludf.DUMMYFUNCTION("""COMPUTED_VALUE"""),"https://eitaa.com/RauofeAleTaha")</f>
        <v>https://eitaa.com/RauofeAleTaha</v>
      </c>
      <c r="K1800" s="5"/>
      <c r="L1800" s="5"/>
      <c r="M1800" s="5"/>
      <c r="N1800" s="5"/>
      <c r="O1800" s="5"/>
      <c r="P1800" s="5"/>
      <c r="Q1800" s="5"/>
      <c r="R1800" s="5"/>
      <c r="S1800" s="5"/>
    </row>
    <row r="1801">
      <c r="A1801" s="5">
        <f>IFERROR(__xludf.DUMMYFUNCTION("""COMPUTED_VALUE"""),23970.0)</f>
        <v>23970</v>
      </c>
      <c r="B1801" s="5" t="str">
        <f>IFERROR(__xludf.DUMMYFUNCTION("""COMPUTED_VALUE"""),"هیأت")</f>
        <v>هیأت</v>
      </c>
      <c r="C1801" s="5" t="str">
        <f>IFERROR(__xludf.DUMMYFUNCTION("""COMPUTED_VALUE"""),"جوانان حضرت علی اکبر (ع)")</f>
        <v>جوانان حضرت علی اکبر (ع)</v>
      </c>
      <c r="D1801" s="5" t="str">
        <f>IFERROR(__xludf.DUMMYFUNCTION("""COMPUTED_VALUE"""),"آذربایجان شرقی")</f>
        <v>آذربایجان شرقی</v>
      </c>
      <c r="E1801" s="5" t="str">
        <f>IFERROR(__xludf.DUMMYFUNCTION("""COMPUTED_VALUE"""),"تبریز")</f>
        <v>تبریز</v>
      </c>
      <c r="F1801" s="5"/>
      <c r="G1801" s="5"/>
      <c r="H1801" s="6" t="str">
        <f>IFERROR(__xludf.DUMMYFUNCTION("""COMPUTED_VALUE"""),"https://www.instagram.com/heyate_javananaliakbar1")</f>
        <v>https://www.instagram.com/heyate_javananaliakbar1</v>
      </c>
      <c r="I1801" s="5"/>
      <c r="J1801" s="6" t="str">
        <f>IFERROR(__xludf.DUMMYFUNCTION("""COMPUTED_VALUE"""),"https://eitaa.com/Javanane_AlieAkbar")</f>
        <v>https://eitaa.com/Javanane_AlieAkbar</v>
      </c>
      <c r="K1801" s="5"/>
      <c r="L1801" s="5"/>
      <c r="M1801" s="5"/>
      <c r="N1801" s="5"/>
      <c r="O1801" s="5"/>
      <c r="P1801" s="5"/>
      <c r="Q1801" s="5"/>
      <c r="R1801" s="5"/>
      <c r="S1801" s="5"/>
    </row>
    <row r="1802">
      <c r="A1802" s="5">
        <f>IFERROR(__xludf.DUMMYFUNCTION("""COMPUTED_VALUE"""),23839.0)</f>
        <v>23839</v>
      </c>
      <c r="B1802" s="5" t="str">
        <f>IFERROR(__xludf.DUMMYFUNCTION("""COMPUTED_VALUE"""),"هیأت")</f>
        <v>هیأت</v>
      </c>
      <c r="C1802" s="5" t="str">
        <f>IFERROR(__xludf.DUMMYFUNCTION("""COMPUTED_VALUE"""),"روضه العباس (ع)")</f>
        <v>روضه العباس (ع)</v>
      </c>
      <c r="D1802" s="5" t="str">
        <f>IFERROR(__xludf.DUMMYFUNCTION("""COMPUTED_VALUE"""),"آذربایجان شرقی")</f>
        <v>آذربایجان شرقی</v>
      </c>
      <c r="E1802" s="5" t="str">
        <f>IFERROR(__xludf.DUMMYFUNCTION("""COMPUTED_VALUE"""),"تبریز")</f>
        <v>تبریز</v>
      </c>
      <c r="F1802" s="5"/>
      <c r="G1802" s="5"/>
      <c r="H1802" s="6" t="str">
        <f>IFERROR(__xludf.DUMMYFUNCTION("""COMPUTED_VALUE"""),"https://www.instagram.com/rozatolabbas_tabriz")</f>
        <v>https://www.instagram.com/rozatolabbas_tabriz</v>
      </c>
      <c r="I1802" s="6" t="str">
        <f>IFERROR(__xludf.DUMMYFUNCTION("""COMPUTED_VALUE"""),"https://t.me/Rozatolabbas_Tabriz")</f>
        <v>https://t.me/Rozatolabbas_Tabriz</v>
      </c>
      <c r="J1802" s="5"/>
      <c r="K1802" s="5"/>
      <c r="L1802" s="5"/>
      <c r="M1802" s="5"/>
      <c r="N1802" s="5"/>
      <c r="O1802" s="5"/>
      <c r="P1802" s="5"/>
      <c r="Q1802" s="5"/>
      <c r="R1802" s="5"/>
      <c r="S1802" s="5"/>
    </row>
    <row r="1803">
      <c r="A1803" s="5"/>
      <c r="B1803" s="5" t="str">
        <f>IFERROR(__xludf.DUMMYFUNCTION("""COMPUTED_VALUE"""),"هیأت")</f>
        <v>هیأت</v>
      </c>
      <c r="C1803" s="5" t="str">
        <f>IFERROR(__xludf.DUMMYFUNCTION("""COMPUTED_VALUE"""),"روضه العباس (ع)")</f>
        <v>روضه العباس (ع)</v>
      </c>
      <c r="D1803" s="5" t="str">
        <f>IFERROR(__xludf.DUMMYFUNCTION("""COMPUTED_VALUE"""),"آذربایجان شرقی")</f>
        <v>آذربایجان شرقی</v>
      </c>
      <c r="E1803" s="5" t="str">
        <f>IFERROR(__xludf.DUMMYFUNCTION("""COMPUTED_VALUE"""),"تبریز")</f>
        <v>تبریز</v>
      </c>
      <c r="F1803" s="5"/>
      <c r="G1803" s="5"/>
      <c r="H1803" s="6" t="str">
        <f>IFERROR(__xludf.DUMMYFUNCTION("""COMPUTED_VALUE"""),"https://www.instagram.com/rozat.alabas.shotorban_tabriz")</f>
        <v>https://www.instagram.com/rozat.alabas.shotorban_tabriz</v>
      </c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</row>
    <row r="1804">
      <c r="A1804" s="5">
        <f>IFERROR(__xludf.DUMMYFUNCTION("""COMPUTED_VALUE"""),23820.0)</f>
        <v>23820</v>
      </c>
      <c r="B1804" s="5" t="str">
        <f>IFERROR(__xludf.DUMMYFUNCTION("""COMPUTED_VALUE"""),"هیأت")</f>
        <v>هیأت</v>
      </c>
      <c r="C1804" s="5" t="str">
        <f>IFERROR(__xludf.DUMMYFUNCTION("""COMPUTED_VALUE"""),"هیأت الزهرا (س) پایگاه شهید شریفی")</f>
        <v>هیأت الزهرا (س) پایگاه شهید شریفی</v>
      </c>
      <c r="D1804" s="5" t="str">
        <f>IFERROR(__xludf.DUMMYFUNCTION("""COMPUTED_VALUE"""),"آذربایجان شرقی")</f>
        <v>آذربایجان شرقی</v>
      </c>
      <c r="E1804" s="5" t="str">
        <f>IFERROR(__xludf.DUMMYFUNCTION("""COMPUTED_VALUE"""),"تبریز")</f>
        <v>تبریز</v>
      </c>
      <c r="F1804" s="5"/>
      <c r="G1804" s="5"/>
      <c r="H1804" s="5"/>
      <c r="I1804" s="5"/>
      <c r="J1804" s="6" t="str">
        <f>IFERROR(__xludf.DUMMYFUNCTION("""COMPUTED_VALUE"""),"https://eitaa.com/heyat_alzahra")</f>
        <v>https://eitaa.com/heyat_alzahra</v>
      </c>
      <c r="K1804" s="5"/>
      <c r="L1804" s="5"/>
      <c r="M1804" s="5"/>
      <c r="N1804" s="5"/>
      <c r="O1804" s="5"/>
      <c r="P1804" s="5"/>
      <c r="Q1804" s="5"/>
      <c r="R1804" s="5"/>
      <c r="S1804" s="5"/>
    </row>
    <row r="1805">
      <c r="A1805" s="5">
        <f>IFERROR(__xludf.DUMMYFUNCTION("""COMPUTED_VALUE"""),23503.0)</f>
        <v>23503</v>
      </c>
      <c r="B1805" s="5" t="str">
        <f>IFERROR(__xludf.DUMMYFUNCTION("""COMPUTED_VALUE"""),"هیأت دخترانه")</f>
        <v>هیأت دخترانه</v>
      </c>
      <c r="C1805" s="5" t="str">
        <f>IFERROR(__xludf.DUMMYFUNCTION("""COMPUTED_VALUE"""),"سیده زینب (س)")</f>
        <v>سیده زینب (س)</v>
      </c>
      <c r="D1805" s="5" t="str">
        <f>IFERROR(__xludf.DUMMYFUNCTION("""COMPUTED_VALUE"""),"آذربایجان شرقی")</f>
        <v>آذربایجان شرقی</v>
      </c>
      <c r="E1805" s="5" t="str">
        <f>IFERROR(__xludf.DUMMYFUNCTION("""COMPUTED_VALUE"""),"تبریز")</f>
        <v>تبریز</v>
      </c>
      <c r="F1805" s="5"/>
      <c r="G1805" s="5"/>
      <c r="H1805" s="6" t="str">
        <f>IFERROR(__xludf.DUMMYFUNCTION("""COMPUTED_VALUE"""),"https://www.instagram.com/seyedezeynabtabriz")</f>
        <v>https://www.instagram.com/seyedezeynabtabriz</v>
      </c>
      <c r="I1805" s="6" t="str">
        <f>IFERROR(__xludf.DUMMYFUNCTION("""COMPUTED_VALUE"""),"https://t.me/seyedezeynabtabriz")</f>
        <v>https://t.me/seyedezeynabtabriz</v>
      </c>
      <c r="J1805" s="5"/>
      <c r="K1805" s="5"/>
      <c r="L1805" s="5"/>
      <c r="M1805" s="5"/>
      <c r="N1805" s="5"/>
      <c r="O1805" s="5"/>
      <c r="P1805" s="5"/>
      <c r="Q1805" s="5"/>
      <c r="R1805" s="5"/>
      <c r="S1805" s="5"/>
    </row>
    <row r="1806">
      <c r="A1806" s="5">
        <f>IFERROR(__xludf.DUMMYFUNCTION("""COMPUTED_VALUE"""),23481.0)</f>
        <v>23481</v>
      </c>
      <c r="B1806" s="5" t="str">
        <f>IFERROR(__xludf.DUMMYFUNCTION("""COMPUTED_VALUE"""),"هیأت بانوان")</f>
        <v>هیأت بانوان</v>
      </c>
      <c r="C1806" s="5" t="str">
        <f>IFERROR(__xludf.DUMMYFUNCTION("""COMPUTED_VALUE"""),"بنت الحسین (س)")</f>
        <v>بنت الحسین (س)</v>
      </c>
      <c r="D1806" s="5" t="str">
        <f>IFERROR(__xludf.DUMMYFUNCTION("""COMPUTED_VALUE"""),"آذربایجان شرقی")</f>
        <v>آذربایجان شرقی</v>
      </c>
      <c r="E1806" s="5" t="str">
        <f>IFERROR(__xludf.DUMMYFUNCTION("""COMPUTED_VALUE"""),"تبریز")</f>
        <v>تبریز</v>
      </c>
      <c r="F1806" s="5"/>
      <c r="G1806" s="5"/>
      <c r="H1806" s="6" t="str">
        <f>IFERROR(__xludf.DUMMYFUNCTION("""COMPUTED_VALUE"""),"https://www.instagram.com/bentolhossein_tb")</f>
        <v>https://www.instagram.com/bentolhossein_tb</v>
      </c>
      <c r="I1806" s="6" t="str">
        <f>IFERROR(__xludf.DUMMYFUNCTION("""COMPUTED_VALUE"""),"https://t.me/madahi_imani")</f>
        <v>https://t.me/madahi_imani</v>
      </c>
      <c r="J1806" s="6" t="str">
        <f>IFERROR(__xludf.DUMMYFUNCTION("""COMPUTED_VALUE"""),"https://eitaa.com/Bentolhose")</f>
        <v>https://eitaa.com/Bentolhose</v>
      </c>
      <c r="K1806" s="5"/>
      <c r="L1806" s="5"/>
      <c r="M1806" s="5"/>
      <c r="N1806" s="5"/>
      <c r="O1806" s="5"/>
      <c r="P1806" s="5"/>
      <c r="Q1806" s="5"/>
      <c r="R1806" s="5"/>
      <c r="S1806" s="5"/>
    </row>
    <row r="1807">
      <c r="A1807" s="5">
        <f>IFERROR(__xludf.DUMMYFUNCTION("""COMPUTED_VALUE"""),23014.0)</f>
        <v>23014</v>
      </c>
      <c r="B1807" s="5" t="str">
        <f>IFERROR(__xludf.DUMMYFUNCTION("""COMPUTED_VALUE"""),"هیأت")</f>
        <v>هیأت</v>
      </c>
      <c r="C1807" s="5" t="str">
        <f>IFERROR(__xludf.DUMMYFUNCTION("""COMPUTED_VALUE"""),"کانون فرهنگی ولیعصر (عج)")</f>
        <v>کانون فرهنگی ولیعصر (عج)</v>
      </c>
      <c r="D1807" s="5" t="str">
        <f>IFERROR(__xludf.DUMMYFUNCTION("""COMPUTED_VALUE"""),"آذربایجان شرقی")</f>
        <v>آذربایجان شرقی</v>
      </c>
      <c r="E1807" s="5" t="str">
        <f>IFERROR(__xludf.DUMMYFUNCTION("""COMPUTED_VALUE"""),"تبریز")</f>
        <v>تبریز</v>
      </c>
      <c r="F1807" s="5"/>
      <c r="G1807" s="5"/>
      <c r="H1807" s="6" t="str">
        <f>IFERROR(__xludf.DUMMYFUNCTION("""COMPUTED_VALUE"""),"https://www.instagram.com/kanunevaliasr_tabriz")</f>
        <v>https://www.instagram.com/kanunevaliasr_tabriz</v>
      </c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</row>
    <row r="1808">
      <c r="A1808" s="5"/>
      <c r="B1808" s="5" t="str">
        <f>IFERROR(__xludf.DUMMYFUNCTION("""COMPUTED_VALUE"""),"هیأت")</f>
        <v>هیأت</v>
      </c>
      <c r="C1808" s="5" t="str">
        <f>IFERROR(__xludf.DUMMYFUNCTION("""COMPUTED_VALUE"""),"کانون فرهنگی ولیعصر (عج)")</f>
        <v>کانون فرهنگی ولیعصر (عج)</v>
      </c>
      <c r="D1808" s="5" t="str">
        <f>IFERROR(__xludf.DUMMYFUNCTION("""COMPUTED_VALUE"""),"آذربایجان شرقی")</f>
        <v>آذربایجان شرقی</v>
      </c>
      <c r="E1808" s="5" t="str">
        <f>IFERROR(__xludf.DUMMYFUNCTION("""COMPUTED_VALUE"""),"تبریز")</f>
        <v>تبریز</v>
      </c>
      <c r="F1808" s="5"/>
      <c r="G1808" s="5"/>
      <c r="H1808" s="6" t="str">
        <f>IFERROR(__xludf.DUMMYFUNCTION("""COMPUTED_VALUE"""),"https://www.instagram.com/kanunvaliasr_tabriz")</f>
        <v>https://www.instagram.com/kanunvaliasr_tabriz</v>
      </c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</row>
    <row r="1809">
      <c r="A1809" s="5">
        <f>IFERROR(__xludf.DUMMYFUNCTION("""COMPUTED_VALUE"""),23012.0)</f>
        <v>23012</v>
      </c>
      <c r="B1809" s="5" t="str">
        <f>IFERROR(__xludf.DUMMYFUNCTION("""COMPUTED_VALUE"""),"هیأت")</f>
        <v>هیأت</v>
      </c>
      <c r="C1809" s="5" t="str">
        <f>IFERROR(__xludf.DUMMYFUNCTION("""COMPUTED_VALUE"""),"جنت الحسین (ع)")</f>
        <v>جنت الحسین (ع)</v>
      </c>
      <c r="D1809" s="5" t="str">
        <f>IFERROR(__xludf.DUMMYFUNCTION("""COMPUTED_VALUE"""),"آذربایجان شرقی")</f>
        <v>آذربایجان شرقی</v>
      </c>
      <c r="E1809" s="5" t="str">
        <f>IFERROR(__xludf.DUMMYFUNCTION("""COMPUTED_VALUE"""),"تبریز")</f>
        <v>تبریز</v>
      </c>
      <c r="F1809" s="5"/>
      <c r="G1809" s="5"/>
      <c r="H1809" s="6" t="str">
        <f>IFERROR(__xludf.DUMMYFUNCTION("""COMPUTED_VALUE"""),"https://www.instagram.com/jannatol_hossein_tabriz")</f>
        <v>https://www.instagram.com/jannatol_hossein_tabriz</v>
      </c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</row>
    <row r="1810">
      <c r="A1810" s="5">
        <f>IFERROR(__xludf.DUMMYFUNCTION("""COMPUTED_VALUE"""),22524.0)</f>
        <v>22524</v>
      </c>
      <c r="B1810" s="5" t="str">
        <f>IFERROR(__xludf.DUMMYFUNCTION("""COMPUTED_VALUE"""),"هیأت")</f>
        <v>هیأت</v>
      </c>
      <c r="C1810" s="5" t="str">
        <f>IFERROR(__xludf.DUMMYFUNCTION("""COMPUTED_VALUE"""),"سینه زنان عجم محبان امام رضا(ع)")</f>
        <v>سینه زنان عجم محبان امام رضا(ع)</v>
      </c>
      <c r="D1810" s="5" t="str">
        <f>IFERROR(__xludf.DUMMYFUNCTION("""COMPUTED_VALUE"""),"آذربایجان شرقی")</f>
        <v>آذربایجان شرقی</v>
      </c>
      <c r="E1810" s="5" t="str">
        <f>IFERROR(__xludf.DUMMYFUNCTION("""COMPUTED_VALUE"""),"تبریز")</f>
        <v>تبریز</v>
      </c>
      <c r="F1810" s="5"/>
      <c r="G1810" s="5"/>
      <c r="H1810" s="6" t="str">
        <f>IFERROR(__xludf.DUMMYFUNCTION("""COMPUTED_VALUE"""),"https://www.instagram.com/ajammohebbanemamrezatabriz")</f>
        <v>https://www.instagram.com/ajammohebbanemamrezatabriz</v>
      </c>
      <c r="I1810" s="6" t="str">
        <f>IFERROR(__xludf.DUMMYFUNCTION("""COMPUTED_VALUE"""),"https://t.me/ajammohebbanemamrezatabriz")</f>
        <v>https://t.me/ajammohebbanemamrezatabriz</v>
      </c>
      <c r="J1810" s="5"/>
      <c r="K1810" s="5"/>
      <c r="L1810" s="5"/>
      <c r="M1810" s="5"/>
      <c r="N1810" s="5"/>
      <c r="O1810" s="5"/>
      <c r="P1810" s="5"/>
      <c r="Q1810" s="5"/>
      <c r="R1810" s="5"/>
      <c r="S1810" s="5"/>
    </row>
    <row r="1811">
      <c r="A1811" s="5">
        <f>IFERROR(__xludf.DUMMYFUNCTION("""COMPUTED_VALUE"""),21968.0)</f>
        <v>21968</v>
      </c>
      <c r="B1811" s="5" t="str">
        <f>IFERROR(__xludf.DUMMYFUNCTION("""COMPUTED_VALUE"""),"هیأت")</f>
        <v>هیأت</v>
      </c>
      <c r="C1811" s="5" t="str">
        <f>IFERROR(__xludf.DUMMYFUNCTION("""COMPUTED_VALUE"""),"عاشقان کربلا")</f>
        <v>عاشقان کربلا</v>
      </c>
      <c r="D1811" s="5" t="str">
        <f>IFERROR(__xludf.DUMMYFUNCTION("""COMPUTED_VALUE"""),"آذربایجان شرقی")</f>
        <v>آذربایجان شرقی</v>
      </c>
      <c r="E1811" s="5" t="str">
        <f>IFERROR(__xludf.DUMMYFUNCTION("""COMPUTED_VALUE"""),"تبریز")</f>
        <v>تبریز</v>
      </c>
      <c r="F1811" s="5"/>
      <c r="G1811" s="5"/>
      <c r="H1811" s="6" t="str">
        <f>IFERROR(__xludf.DUMMYFUNCTION("""COMPUTED_VALUE"""),"https://www.instagram.com/heyateasheganekarbala")</f>
        <v>https://www.instagram.com/heyateasheganekarbala</v>
      </c>
      <c r="I1811" s="5"/>
      <c r="J1811" s="6" t="str">
        <f>IFERROR(__xludf.DUMMYFUNCTION("""COMPUTED_VALUE"""),"https://eitaa.com/ashgkarbala")</f>
        <v>https://eitaa.com/ashgkarbala</v>
      </c>
      <c r="K1811" s="5"/>
      <c r="L1811" s="5"/>
      <c r="M1811" s="5"/>
      <c r="N1811" s="5"/>
      <c r="O1811" s="5"/>
      <c r="P1811" s="5"/>
      <c r="Q1811" s="5"/>
      <c r="R1811" s="5"/>
      <c r="S1811" s="5"/>
    </row>
    <row r="1812">
      <c r="A1812" s="5">
        <f>IFERROR(__xludf.DUMMYFUNCTION("""COMPUTED_VALUE"""),21849.0)</f>
        <v>21849</v>
      </c>
      <c r="B1812" s="5" t="str">
        <f>IFERROR(__xludf.DUMMYFUNCTION("""COMPUTED_VALUE"""),"هیأت")</f>
        <v>هیأت</v>
      </c>
      <c r="C1812" s="5" t="str">
        <f>IFERROR(__xludf.DUMMYFUNCTION("""COMPUTED_VALUE"""),"پنج تن آل عبا (ع)")</f>
        <v>پنج تن آل عبا (ع)</v>
      </c>
      <c r="D1812" s="5" t="str">
        <f>IFERROR(__xludf.DUMMYFUNCTION("""COMPUTED_VALUE"""),"آذربایجان شرقی")</f>
        <v>آذربایجان شرقی</v>
      </c>
      <c r="E1812" s="5" t="str">
        <f>IFERROR(__xludf.DUMMYFUNCTION("""COMPUTED_VALUE"""),"تبریز")</f>
        <v>تبریز</v>
      </c>
      <c r="F1812" s="5"/>
      <c r="G1812" s="5"/>
      <c r="H1812" s="6" t="str">
        <f>IFERROR(__xludf.DUMMYFUNCTION("""COMPUTED_VALUE"""),"https://www.instagram.com/heyatazadarana_panjtan")</f>
        <v>https://www.instagram.com/heyatazadarana_panjtan</v>
      </c>
      <c r="I1812" s="6" t="str">
        <f>IFERROR(__xludf.DUMMYFUNCTION("""COMPUTED_VALUE"""),"https://t.me/panjtane_aleaba_tabriz")</f>
        <v>https://t.me/panjtane_aleaba_tabriz</v>
      </c>
      <c r="J1812" s="5"/>
      <c r="K1812" s="5"/>
      <c r="L1812" s="5"/>
      <c r="M1812" s="5"/>
      <c r="N1812" s="5"/>
      <c r="O1812" s="5"/>
      <c r="P1812" s="5"/>
      <c r="Q1812" s="5"/>
      <c r="R1812" s="5"/>
      <c r="S1812" s="5"/>
    </row>
    <row r="1813">
      <c r="A1813" s="5">
        <f>IFERROR(__xludf.DUMMYFUNCTION("""COMPUTED_VALUE"""),21847.0)</f>
        <v>21847</v>
      </c>
      <c r="B1813" s="5" t="str">
        <f>IFERROR(__xludf.DUMMYFUNCTION("""COMPUTED_VALUE"""),"هیأت")</f>
        <v>هیأت</v>
      </c>
      <c r="C1813" s="5" t="str">
        <f>IFERROR(__xludf.DUMMYFUNCTION("""COMPUTED_VALUE"""),"مشتاقان چهارده معصوم تبریز")</f>
        <v>مشتاقان چهارده معصوم تبریز</v>
      </c>
      <c r="D1813" s="5" t="str">
        <f>IFERROR(__xludf.DUMMYFUNCTION("""COMPUTED_VALUE"""),"آذربایجان شرقی")</f>
        <v>آذربایجان شرقی</v>
      </c>
      <c r="E1813" s="5" t="str">
        <f>IFERROR(__xludf.DUMMYFUNCTION("""COMPUTED_VALUE"""),"تبریز")</f>
        <v>تبریز</v>
      </c>
      <c r="F1813" s="5"/>
      <c r="G1813" s="5"/>
      <c r="H1813" s="6" t="str">
        <f>IFERROR(__xludf.DUMMYFUNCTION("""COMPUTED_VALUE"""),"https://www.instagram.com/moshtagan_tabriz")</f>
        <v>https://www.instagram.com/moshtagan_tabriz</v>
      </c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</row>
    <row r="1814">
      <c r="A1814" s="5">
        <f>IFERROR(__xludf.DUMMYFUNCTION("""COMPUTED_VALUE"""),21846.0)</f>
        <v>21846</v>
      </c>
      <c r="B1814" s="5" t="str">
        <f>IFERROR(__xludf.DUMMYFUNCTION("""COMPUTED_VALUE"""),"هیأت")</f>
        <v>هیأت</v>
      </c>
      <c r="C1814" s="5" t="str">
        <f>IFERROR(__xludf.DUMMYFUNCTION("""COMPUTED_VALUE"""),"دلدادگان حضرت زهرا (س)")</f>
        <v>دلدادگان حضرت زهرا (س)</v>
      </c>
      <c r="D1814" s="5" t="str">
        <f>IFERROR(__xludf.DUMMYFUNCTION("""COMPUTED_VALUE"""),"آذربایجان شرقی")</f>
        <v>آذربایجان شرقی</v>
      </c>
      <c r="E1814" s="5" t="str">
        <f>IFERROR(__xludf.DUMMYFUNCTION("""COMPUTED_VALUE"""),"تبریز")</f>
        <v>تبریز</v>
      </c>
      <c r="F1814" s="5"/>
      <c r="G1814" s="5"/>
      <c r="H1814" s="6" t="str">
        <f>IFERROR(__xludf.DUMMYFUNCTION("""COMPUTED_VALUE"""),"https://www.instagram.com/deldadegan_zahra")</f>
        <v>https://www.instagram.com/deldadegan_zahra</v>
      </c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</row>
    <row r="1815">
      <c r="A1815" s="5">
        <f>IFERROR(__xludf.DUMMYFUNCTION("""COMPUTED_VALUE"""),21840.0)</f>
        <v>21840</v>
      </c>
      <c r="B1815" s="5" t="str">
        <f>IFERROR(__xludf.DUMMYFUNCTION("""COMPUTED_VALUE"""),"هیأت")</f>
        <v>هیأت</v>
      </c>
      <c r="C1815" s="5" t="str">
        <f>IFERROR(__xludf.DUMMYFUNCTION("""COMPUTED_VALUE"""),"زنجیر زنان محله ی مارالان")</f>
        <v>زنجیر زنان محله ی مارالان</v>
      </c>
      <c r="D1815" s="5" t="str">
        <f>IFERROR(__xludf.DUMMYFUNCTION("""COMPUTED_VALUE"""),"آذربایجان شرقی")</f>
        <v>آذربایجان شرقی</v>
      </c>
      <c r="E1815" s="5" t="str">
        <f>IFERROR(__xludf.DUMMYFUNCTION("""COMPUTED_VALUE"""),"تبریز")</f>
        <v>تبریز</v>
      </c>
      <c r="F1815" s="5"/>
      <c r="G1815" s="5"/>
      <c r="H1815" s="6" t="str">
        <f>IFERROR(__xludf.DUMMYFUNCTION("""COMPUTED_VALUE"""),"https://www.instagram.com/zanjir.maralan")</f>
        <v>https://www.instagram.com/zanjir.maralan</v>
      </c>
      <c r="I1815" s="6" t="str">
        <f>IFERROR(__xludf.DUMMYFUNCTION("""COMPUTED_VALUE"""),"https://t.me/zanjir_maralan")</f>
        <v>https://t.me/zanjir_maralan</v>
      </c>
      <c r="J1815" s="5"/>
      <c r="K1815" s="5"/>
      <c r="L1815" s="5"/>
      <c r="M1815" s="5"/>
      <c r="N1815" s="5"/>
      <c r="O1815" s="5"/>
      <c r="P1815" s="5"/>
      <c r="Q1815" s="5"/>
      <c r="R1815" s="5"/>
      <c r="S1815" s="5"/>
    </row>
    <row r="1816">
      <c r="A1816" s="5">
        <f>IFERROR(__xludf.DUMMYFUNCTION("""COMPUTED_VALUE"""),21839.0)</f>
        <v>21839</v>
      </c>
      <c r="B1816" s="5" t="str">
        <f>IFERROR(__xludf.DUMMYFUNCTION("""COMPUTED_VALUE"""),"هیأت")</f>
        <v>هیأت</v>
      </c>
      <c r="C1816" s="5" t="str">
        <f>IFERROR(__xludf.DUMMYFUNCTION("""COMPUTED_VALUE"""),"تشنگان کوثر مراغه")</f>
        <v>تشنگان کوثر مراغه</v>
      </c>
      <c r="D1816" s="5" t="str">
        <f>IFERROR(__xludf.DUMMYFUNCTION("""COMPUTED_VALUE"""),"آذربایجان شرقی")</f>
        <v>آذربایجان شرقی</v>
      </c>
      <c r="E1816" s="5" t="str">
        <f>IFERROR(__xludf.DUMMYFUNCTION("""COMPUTED_VALUE"""),"تبریز")</f>
        <v>تبریز</v>
      </c>
      <c r="F1816" s="5"/>
      <c r="G1816" s="5"/>
      <c r="H1816" s="6" t="str">
        <f>IFERROR(__xludf.DUMMYFUNCTION("""COMPUTED_VALUE"""),"https://www.instagram.com/teshneekosar")</f>
        <v>https://www.instagram.com/teshneekosar</v>
      </c>
      <c r="I1816" s="6" t="str">
        <f>IFERROR(__xludf.DUMMYFUNCTION("""COMPUTED_VALUE"""),"https://t.me/teshneekosar")</f>
        <v>https://t.me/teshneekosar</v>
      </c>
      <c r="J1816" s="5"/>
      <c r="K1816" s="5"/>
      <c r="L1816" s="5"/>
      <c r="M1816" s="5"/>
      <c r="N1816" s="5"/>
      <c r="O1816" s="5"/>
      <c r="P1816" s="5"/>
      <c r="Q1816" s="5"/>
      <c r="R1816" s="5"/>
      <c r="S1816" s="5"/>
    </row>
    <row r="1817">
      <c r="A1817" s="5">
        <f>IFERROR(__xludf.DUMMYFUNCTION("""COMPUTED_VALUE"""),21833.0)</f>
        <v>21833</v>
      </c>
      <c r="B1817" s="5" t="str">
        <f>IFERROR(__xludf.DUMMYFUNCTION("""COMPUTED_VALUE"""),"هیأت")</f>
        <v>هیأت</v>
      </c>
      <c r="C1817" s="5" t="str">
        <f>IFERROR(__xludf.DUMMYFUNCTION("""COMPUTED_VALUE"""),"هیات موکب رایحه الحسین (ع)")</f>
        <v>هیات موکب رایحه الحسین (ع)</v>
      </c>
      <c r="D1817" s="5" t="str">
        <f>IFERROR(__xludf.DUMMYFUNCTION("""COMPUTED_VALUE"""),"آذربایجان شرقی")</f>
        <v>آذربایجان شرقی</v>
      </c>
      <c r="E1817" s="5" t="str">
        <f>IFERROR(__xludf.DUMMYFUNCTION("""COMPUTED_VALUE"""),"تبریز")</f>
        <v>تبریز</v>
      </c>
      <c r="F1817" s="5"/>
      <c r="G1817" s="5"/>
      <c r="H1817" s="6" t="str">
        <f>IFERROR(__xludf.DUMMYFUNCTION("""COMPUTED_VALUE"""),"https://www.instagram.com/rayehatolhosein_tabriz")</f>
        <v>https://www.instagram.com/rayehatolhosein_tabriz</v>
      </c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</row>
    <row r="1818">
      <c r="A1818" s="5">
        <f>IFERROR(__xludf.DUMMYFUNCTION("""COMPUTED_VALUE"""),21643.0)</f>
        <v>21643</v>
      </c>
      <c r="B1818" s="5" t="str">
        <f>IFERROR(__xludf.DUMMYFUNCTION("""COMPUTED_VALUE"""),"هیأت")</f>
        <v>هیأت</v>
      </c>
      <c r="C1818" s="5" t="str">
        <f>IFERROR(__xludf.DUMMYFUNCTION("""COMPUTED_VALUE"""),"ریحانه الزهرا (س)")</f>
        <v>ریحانه الزهرا (س)</v>
      </c>
      <c r="D1818" s="5" t="str">
        <f>IFERROR(__xludf.DUMMYFUNCTION("""COMPUTED_VALUE"""),"آذربایجان شرقی")</f>
        <v>آذربایجان شرقی</v>
      </c>
      <c r="E1818" s="5" t="str">
        <f>IFERROR(__xludf.DUMMYFUNCTION("""COMPUTED_VALUE"""),"تبریز")</f>
        <v>تبریز</v>
      </c>
      <c r="F1818" s="5"/>
      <c r="G1818" s="5"/>
      <c r="H1818" s="6" t="str">
        <f>IFERROR(__xludf.DUMMYFUNCTION("""COMPUTED_VALUE"""),"https://www.instagram.com/reihaneh_tabriz")</f>
        <v>https://www.instagram.com/reihaneh_tabriz</v>
      </c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</row>
    <row r="1819">
      <c r="A1819" s="5">
        <f>IFERROR(__xludf.DUMMYFUNCTION("""COMPUTED_VALUE"""),21128.0)</f>
        <v>21128</v>
      </c>
      <c r="B1819" s="5" t="str">
        <f>IFERROR(__xludf.DUMMYFUNCTION("""COMPUTED_VALUE"""),"هیأت")</f>
        <v>هیأت</v>
      </c>
      <c r="C1819" s="5" t="str">
        <f>IFERROR(__xludf.DUMMYFUNCTION("""COMPUTED_VALUE"""),"عاشقان مڪتب قمر منیر بنی هاشم کوی دانشگاه تبریز")</f>
        <v>عاشقان مڪتب قمر منیر بنی هاشم کوی دانشگاه تبریز</v>
      </c>
      <c r="D1819" s="5" t="str">
        <f>IFERROR(__xludf.DUMMYFUNCTION("""COMPUTED_VALUE"""),"آذربایجان شرقی")</f>
        <v>آذربایجان شرقی</v>
      </c>
      <c r="E1819" s="5" t="str">
        <f>IFERROR(__xludf.DUMMYFUNCTION("""COMPUTED_VALUE"""),"تبریز")</f>
        <v>تبریز</v>
      </c>
      <c r="F1819" s="5"/>
      <c r="G1819" s="5"/>
      <c r="H1819" s="6" t="str">
        <f>IFERROR(__xludf.DUMMYFUNCTION("""COMPUTED_VALUE"""),"https://www.instagram.com/heyate_gamar")</f>
        <v>https://www.instagram.com/heyate_gamar</v>
      </c>
      <c r="I1819" s="6" t="str">
        <f>IFERROR(__xludf.DUMMYFUNCTION("""COMPUTED_VALUE"""),"https://t.me/HeyateGamar")</f>
        <v>https://t.me/HeyateGamar</v>
      </c>
      <c r="J1819" s="6" t="str">
        <f>IFERROR(__xludf.DUMMYFUNCTION("""COMPUTED_VALUE"""),"https://eitaa.com/joinchat/1490289242C66a8d75d9c")</f>
        <v>https://eitaa.com/joinchat/1490289242C66a8d75d9c</v>
      </c>
      <c r="K1819" s="5"/>
      <c r="L1819" s="5"/>
      <c r="M1819" s="5"/>
      <c r="N1819" s="5"/>
      <c r="O1819" s="5"/>
      <c r="P1819" s="5"/>
      <c r="Q1819" s="5"/>
      <c r="R1819" s="5"/>
      <c r="S1819" s="5"/>
    </row>
    <row r="1820">
      <c r="A1820" s="5">
        <f>IFERROR(__xludf.DUMMYFUNCTION("""COMPUTED_VALUE"""),21123.0)</f>
        <v>21123</v>
      </c>
      <c r="B1820" s="5" t="str">
        <f>IFERROR(__xludf.DUMMYFUNCTION("""COMPUTED_VALUE"""),"هیأت")</f>
        <v>هیأت</v>
      </c>
      <c r="C1820" s="5" t="str">
        <f>IFERROR(__xludf.DUMMYFUNCTION("""COMPUTED_VALUE"""),"مهد قرآن و عترت")</f>
        <v>مهد قرآن و عترت</v>
      </c>
      <c r="D1820" s="5" t="str">
        <f>IFERROR(__xludf.DUMMYFUNCTION("""COMPUTED_VALUE"""),"آذربایجان شرقی")</f>
        <v>آذربایجان شرقی</v>
      </c>
      <c r="E1820" s="5" t="str">
        <f>IFERROR(__xludf.DUMMYFUNCTION("""COMPUTED_VALUE"""),"تبریز")</f>
        <v>تبریز</v>
      </c>
      <c r="F1820" s="5"/>
      <c r="G1820" s="5"/>
      <c r="H1820" s="6" t="str">
        <f>IFERROR(__xludf.DUMMYFUNCTION("""COMPUTED_VALUE"""),"https://www.instagram.com/mahdquran.ir")</f>
        <v>https://www.instagram.com/mahdquran.ir</v>
      </c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</row>
    <row r="1821">
      <c r="A1821" s="5">
        <f>IFERROR(__xludf.DUMMYFUNCTION("""COMPUTED_VALUE"""),21122.0)</f>
        <v>21122</v>
      </c>
      <c r="B1821" s="5" t="str">
        <f>IFERROR(__xludf.DUMMYFUNCTION("""COMPUTED_VALUE"""),"هیأت جوانان")</f>
        <v>هیأت جوانان</v>
      </c>
      <c r="C1821" s="5" t="str">
        <f>IFERROR(__xludf.DUMMYFUNCTION("""COMPUTED_VALUE"""),"هیات موکب جوانان چهارده معصوم (ع) آخماقیه")</f>
        <v>هیات موکب جوانان چهارده معصوم (ع) آخماقیه</v>
      </c>
      <c r="D1821" s="5" t="str">
        <f>IFERROR(__xludf.DUMMYFUNCTION("""COMPUTED_VALUE"""),"آذربایجان شرقی")</f>
        <v>آذربایجان شرقی</v>
      </c>
      <c r="E1821" s="5" t="str">
        <f>IFERROR(__xludf.DUMMYFUNCTION("""COMPUTED_VALUE"""),"تبریز")</f>
        <v>تبریز</v>
      </c>
      <c r="F1821" s="5"/>
      <c r="G1821" s="5"/>
      <c r="H1821" s="6" t="str">
        <f>IFERROR(__xludf.DUMMYFUNCTION("""COMPUTED_VALUE"""),"https://www.instagram.com/14maasom_axmagye")</f>
        <v>https://www.instagram.com/14maasom_axmagye</v>
      </c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</row>
    <row r="1822">
      <c r="A1822" s="5">
        <f>IFERROR(__xludf.DUMMYFUNCTION("""COMPUTED_VALUE"""),21004.0)</f>
        <v>21004</v>
      </c>
      <c r="B1822" s="5" t="str">
        <f>IFERROR(__xludf.DUMMYFUNCTION("""COMPUTED_VALUE"""),"هیأت")</f>
        <v>هیأت</v>
      </c>
      <c r="C1822" s="5" t="str">
        <f>IFERROR(__xludf.DUMMYFUNCTION("""COMPUTED_VALUE"""),"لواءالزینب تبریز")</f>
        <v>لواءالزینب تبریز</v>
      </c>
      <c r="D1822" s="5" t="str">
        <f>IFERROR(__xludf.DUMMYFUNCTION("""COMPUTED_VALUE"""),"آذربایجان شرقی")</f>
        <v>آذربایجان شرقی</v>
      </c>
      <c r="E1822" s="5" t="str">
        <f>IFERROR(__xludf.DUMMYFUNCTION("""COMPUTED_VALUE"""),"تبریز")</f>
        <v>تبریز</v>
      </c>
      <c r="F1822" s="5"/>
      <c r="G1822" s="5"/>
      <c r="H1822" s="6" t="str">
        <f>IFERROR(__xludf.DUMMYFUNCTION("""COMPUTED_VALUE"""),"https://www.instagram.com/levaolzeynabtabriz")</f>
        <v>https://www.instagram.com/levaolzeynabtabriz</v>
      </c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</row>
    <row r="1823">
      <c r="A1823" s="5"/>
      <c r="B1823" s="5" t="str">
        <f>IFERROR(__xludf.DUMMYFUNCTION("""COMPUTED_VALUE"""),"هیأت")</f>
        <v>هیأت</v>
      </c>
      <c r="C1823" s="5" t="str">
        <f>IFERROR(__xludf.DUMMYFUNCTION("""COMPUTED_VALUE"""),"لواءالزینب")</f>
        <v>لواءالزینب</v>
      </c>
      <c r="D1823" s="5" t="str">
        <f>IFERROR(__xludf.DUMMYFUNCTION("""COMPUTED_VALUE"""),"آذربایجان شرقی")</f>
        <v>آذربایجان شرقی</v>
      </c>
      <c r="E1823" s="5" t="str">
        <f>IFERROR(__xludf.DUMMYFUNCTION("""COMPUTED_VALUE"""),"تبریز")</f>
        <v>تبریز</v>
      </c>
      <c r="F1823" s="5"/>
      <c r="G1823" s="5"/>
      <c r="H1823" s="6" t="str">
        <f>IFERROR(__xludf.DUMMYFUNCTION("""COMPUTED_VALUE"""),"https://www.instagram.com/levaolzeinab1394")</f>
        <v>https://www.instagram.com/levaolzeinab1394</v>
      </c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</row>
    <row r="1824">
      <c r="A1824" s="5">
        <f>IFERROR(__xludf.DUMMYFUNCTION("""COMPUTED_VALUE"""),21002.0)</f>
        <v>21002</v>
      </c>
      <c r="B1824" s="5" t="str">
        <f>IFERROR(__xludf.DUMMYFUNCTION("""COMPUTED_VALUE"""),"هیأت")</f>
        <v>هیأت</v>
      </c>
      <c r="C1824" s="5" t="str">
        <f>IFERROR(__xludf.DUMMYFUNCTION("""COMPUTED_VALUE"""),"عاشقان سیدالشهدا")</f>
        <v>عاشقان سیدالشهدا</v>
      </c>
      <c r="D1824" s="5" t="str">
        <f>IFERROR(__xludf.DUMMYFUNCTION("""COMPUTED_VALUE"""),"آذربایجان شرقی")</f>
        <v>آذربایجان شرقی</v>
      </c>
      <c r="E1824" s="5" t="str">
        <f>IFERROR(__xludf.DUMMYFUNCTION("""COMPUTED_VALUE"""),"تبریز")</f>
        <v>تبریز</v>
      </c>
      <c r="F1824" s="5"/>
      <c r="G1824" s="5"/>
      <c r="H1824" s="6" t="str">
        <f>IFERROR(__xludf.DUMMYFUNCTION("""COMPUTED_VALUE"""),"https://www.instagram.com/asheganseiedalshohada_tabriz")</f>
        <v>https://www.instagram.com/asheganseiedalshohada_tabriz</v>
      </c>
      <c r="I1824" s="6" t="str">
        <f>IFERROR(__xludf.DUMMYFUNCTION("""COMPUTED_VALUE"""),"https://t.me/AsheganeSeidAlshohada")</f>
        <v>https://t.me/AsheganeSeidAlshohada</v>
      </c>
      <c r="J1824" s="5"/>
      <c r="K1824" s="5"/>
      <c r="L1824" s="5"/>
      <c r="M1824" s="5"/>
      <c r="N1824" s="5"/>
      <c r="O1824" s="5"/>
      <c r="P1824" s="5"/>
      <c r="Q1824" s="5"/>
      <c r="R1824" s="5"/>
      <c r="S1824" s="5"/>
    </row>
    <row r="1825">
      <c r="A1825" s="5">
        <f>IFERROR(__xludf.DUMMYFUNCTION("""COMPUTED_VALUE"""),20999.0)</f>
        <v>20999</v>
      </c>
      <c r="B1825" s="5" t="str">
        <f>IFERROR(__xludf.DUMMYFUNCTION("""COMPUTED_VALUE"""),"هیأت")</f>
        <v>هیأت</v>
      </c>
      <c r="C1825" s="5" t="str">
        <f>IFERROR(__xludf.DUMMYFUNCTION("""COMPUTED_VALUE"""),"قاسمیه")</f>
        <v>قاسمیه</v>
      </c>
      <c r="D1825" s="5" t="str">
        <f>IFERROR(__xludf.DUMMYFUNCTION("""COMPUTED_VALUE"""),"آذربایجان شرقی")</f>
        <v>آذربایجان شرقی</v>
      </c>
      <c r="E1825" s="5" t="str">
        <f>IFERROR(__xludf.DUMMYFUNCTION("""COMPUTED_VALUE"""),"تبریز")</f>
        <v>تبریز</v>
      </c>
      <c r="F1825" s="5"/>
      <c r="G1825" s="5"/>
      <c r="H1825" s="5"/>
      <c r="I1825" s="5"/>
      <c r="J1825" s="6" t="str">
        <f>IFERROR(__xludf.DUMMYFUNCTION("""COMPUTED_VALUE"""),"https://eitaa.com/heiatghasemiehtabriz")</f>
        <v>https://eitaa.com/heiatghasemiehtabriz</v>
      </c>
      <c r="K1825" s="5"/>
      <c r="L1825" s="5"/>
      <c r="M1825" s="5"/>
      <c r="N1825" s="5"/>
      <c r="O1825" s="5"/>
      <c r="P1825" s="5"/>
      <c r="Q1825" s="5"/>
      <c r="R1825" s="5"/>
      <c r="S1825" s="5"/>
    </row>
    <row r="1826">
      <c r="A1826" s="5">
        <f>IFERROR(__xludf.DUMMYFUNCTION("""COMPUTED_VALUE"""),20757.0)</f>
        <v>20757</v>
      </c>
      <c r="B1826" s="5" t="str">
        <f>IFERROR(__xludf.DUMMYFUNCTION("""COMPUTED_VALUE"""),"هیأت")</f>
        <v>هیأت</v>
      </c>
      <c r="C1826" s="5" t="str">
        <f>IFERROR(__xludf.DUMMYFUNCTION("""COMPUTED_VALUE"""),"زنجیر زنان حکم آباد")</f>
        <v>زنجیر زنان حکم آباد</v>
      </c>
      <c r="D1826" s="5" t="str">
        <f>IFERROR(__xludf.DUMMYFUNCTION("""COMPUTED_VALUE"""),"آذربایجان شرقی")</f>
        <v>آذربایجان شرقی</v>
      </c>
      <c r="E1826" s="5" t="str">
        <f>IFERROR(__xludf.DUMMYFUNCTION("""COMPUTED_VALUE"""),"تبریز")</f>
        <v>تبریز</v>
      </c>
      <c r="F1826" s="5"/>
      <c r="G1826" s="5"/>
      <c r="H1826" s="6" t="str">
        <f>IFERROR(__xludf.DUMMYFUNCTION("""COMPUTED_VALUE"""),"https://www.instagram.com/zanjirzananhokmabad")</f>
        <v>https://www.instagram.com/zanjirzananhokmabad</v>
      </c>
      <c r="I1826" s="6" t="str">
        <f>IFERROR(__xludf.DUMMYFUNCTION("""COMPUTED_VALUE"""),"https://t.me/zanjirzanHokmabad")</f>
        <v>https://t.me/zanjirzanHokmabad</v>
      </c>
      <c r="J1826" s="5"/>
      <c r="K1826" s="5"/>
      <c r="L1826" s="5"/>
      <c r="M1826" s="5"/>
      <c r="N1826" s="5"/>
      <c r="O1826" s="5"/>
      <c r="P1826" s="5"/>
      <c r="Q1826" s="5"/>
      <c r="R1826" s="5"/>
      <c r="S1826" s="5"/>
    </row>
    <row r="1827">
      <c r="A1827" s="5">
        <f>IFERROR(__xludf.DUMMYFUNCTION("""COMPUTED_VALUE"""),20690.0)</f>
        <v>20690</v>
      </c>
      <c r="B1827" s="5" t="str">
        <f>IFERROR(__xludf.DUMMYFUNCTION("""COMPUTED_VALUE"""),"هیأت")</f>
        <v>هیأت</v>
      </c>
      <c r="C1827" s="5" t="str">
        <f>IFERROR(__xludf.DUMMYFUNCTION("""COMPUTED_VALUE"""),"شهدای گردان امام حسین (ع)")</f>
        <v>شهدای گردان امام حسین (ع)</v>
      </c>
      <c r="D1827" s="5" t="str">
        <f>IFERROR(__xludf.DUMMYFUNCTION("""COMPUTED_VALUE"""),"آذربایجان شرقی")</f>
        <v>آذربایجان شرقی</v>
      </c>
      <c r="E1827" s="5" t="str">
        <f>IFERROR(__xludf.DUMMYFUNCTION("""COMPUTED_VALUE"""),"تبریز")</f>
        <v>تبریز</v>
      </c>
      <c r="F1827" s="5"/>
      <c r="G1827" s="5"/>
      <c r="H1827" s="6" t="str">
        <f>IFERROR(__xludf.DUMMYFUNCTION("""COMPUTED_VALUE"""),"https://www.instagram.com/gordaneemamhossin")</f>
        <v>https://www.instagram.com/gordaneemamhossin</v>
      </c>
      <c r="I1827" s="6" t="str">
        <f>IFERROR(__xludf.DUMMYFUNCTION("""COMPUTED_VALUE"""),"https://t.me/gordaneemamhossin")</f>
        <v>https://t.me/gordaneemamhossin</v>
      </c>
      <c r="J1827" s="5"/>
      <c r="K1827" s="5"/>
      <c r="L1827" s="5"/>
      <c r="M1827" s="5"/>
      <c r="N1827" s="5"/>
      <c r="O1827" s="5"/>
      <c r="P1827" s="5"/>
      <c r="Q1827" s="5"/>
      <c r="R1827" s="5"/>
      <c r="S1827" s="5"/>
    </row>
    <row r="1828">
      <c r="A1828" s="5">
        <f>IFERROR(__xludf.DUMMYFUNCTION("""COMPUTED_VALUE"""),20478.0)</f>
        <v>20478</v>
      </c>
      <c r="B1828" s="5" t="str">
        <f>IFERROR(__xludf.DUMMYFUNCTION("""COMPUTED_VALUE"""),"هیأت")</f>
        <v>هیأت</v>
      </c>
      <c r="C1828" s="5" t="str">
        <f>IFERROR(__xludf.DUMMYFUNCTION("""COMPUTED_VALUE"""),"ولی الله")</f>
        <v>ولی الله</v>
      </c>
      <c r="D1828" s="5" t="str">
        <f>IFERROR(__xludf.DUMMYFUNCTION("""COMPUTED_VALUE"""),"آذربایجان شرقی")</f>
        <v>آذربایجان شرقی</v>
      </c>
      <c r="E1828" s="5" t="str">
        <f>IFERROR(__xludf.DUMMYFUNCTION("""COMPUTED_VALUE"""),"تبریز")</f>
        <v>تبریز</v>
      </c>
      <c r="F1828" s="5"/>
      <c r="G1828" s="5"/>
      <c r="H1828" s="6" t="str">
        <f>IFERROR(__xludf.DUMMYFUNCTION("""COMPUTED_VALUE"""),"https://www.instagram.com/mokabe_valiyatollah")</f>
        <v>https://www.instagram.com/mokabe_valiyatollah</v>
      </c>
      <c r="I1828" s="6" t="str">
        <f>IFERROR(__xludf.DUMMYFUNCTION("""COMPUTED_VALUE"""),"https://t.me/mokabe_valiyatollah")</f>
        <v>https://t.me/mokabe_valiyatollah</v>
      </c>
      <c r="J1828" s="5"/>
      <c r="K1828" s="5"/>
      <c r="L1828" s="5"/>
      <c r="M1828" s="5"/>
      <c r="N1828" s="5"/>
      <c r="O1828" s="5"/>
      <c r="P1828" s="5"/>
      <c r="Q1828" s="5"/>
      <c r="R1828" s="5"/>
      <c r="S1828" s="5"/>
    </row>
    <row r="1829">
      <c r="A1829" s="5">
        <f>IFERROR(__xludf.DUMMYFUNCTION("""COMPUTED_VALUE"""),20452.0)</f>
        <v>20452</v>
      </c>
      <c r="B1829" s="5" t="str">
        <f>IFERROR(__xludf.DUMMYFUNCTION("""COMPUTED_VALUE"""),"هیأت")</f>
        <v>هیأت</v>
      </c>
      <c r="C1829" s="5" t="str">
        <f>IFERROR(__xludf.DUMMYFUNCTION("""COMPUTED_VALUE"""),"عاشقان حضرت ابوالفضل شهرک باغمیشه")</f>
        <v>عاشقان حضرت ابوالفضل شهرک باغمیشه</v>
      </c>
      <c r="D1829" s="5" t="str">
        <f>IFERROR(__xludf.DUMMYFUNCTION("""COMPUTED_VALUE"""),"آذربایجان شرقی")</f>
        <v>آذربایجان شرقی</v>
      </c>
      <c r="E1829" s="5" t="str">
        <f>IFERROR(__xludf.DUMMYFUNCTION("""COMPUTED_VALUE"""),"تبریز")</f>
        <v>تبریز</v>
      </c>
      <c r="F1829" s="5"/>
      <c r="G1829" s="5"/>
      <c r="H1829" s="6" t="str">
        <f>IFERROR(__xludf.DUMMYFUNCTION("""COMPUTED_VALUE"""),"https://www.instagram.com/hyt_asheghan_hazratabolfazl")</f>
        <v>https://www.instagram.com/hyt_asheghan_hazratabolfazl</v>
      </c>
      <c r="I1829" s="6" t="str">
        <f>IFERROR(__xludf.DUMMYFUNCTION("""COMPUTED_VALUE"""),"https://t.me/hyt_asheghan_hzrt_abolfazl90")</f>
        <v>https://t.me/hyt_asheghan_hzrt_abolfazl90</v>
      </c>
      <c r="J1829" s="5"/>
      <c r="K1829" s="5"/>
      <c r="L1829" s="5"/>
      <c r="M1829" s="5"/>
      <c r="N1829" s="5"/>
      <c r="O1829" s="5"/>
      <c r="P1829" s="5"/>
      <c r="Q1829" s="5"/>
      <c r="R1829" s="5"/>
      <c r="S1829" s="5"/>
    </row>
    <row r="1830">
      <c r="A1830" s="5">
        <f>IFERROR(__xludf.DUMMYFUNCTION("""COMPUTED_VALUE"""),20319.0)</f>
        <v>20319</v>
      </c>
      <c r="B1830" s="5" t="str">
        <f>IFERROR(__xludf.DUMMYFUNCTION("""COMPUTED_VALUE"""),"هیأت")</f>
        <v>هیأت</v>
      </c>
      <c r="C1830" s="5" t="str">
        <f>IFERROR(__xludf.DUMMYFUNCTION("""COMPUTED_VALUE"""),"مکتب الزهرا (س)")</f>
        <v>مکتب الزهرا (س)</v>
      </c>
      <c r="D1830" s="5" t="str">
        <f>IFERROR(__xludf.DUMMYFUNCTION("""COMPUTED_VALUE"""),"آذربایجان شرقی")</f>
        <v>آذربایجان شرقی</v>
      </c>
      <c r="E1830" s="5" t="str">
        <f>IFERROR(__xludf.DUMMYFUNCTION("""COMPUTED_VALUE"""),"تبریز")</f>
        <v>تبریز</v>
      </c>
      <c r="F1830" s="5"/>
      <c r="G1830" s="5"/>
      <c r="H1830" s="6" t="str">
        <f>IFERROR(__xludf.DUMMYFUNCTION("""COMPUTED_VALUE"""),"https://www.instagram.com/maktabzahra97")</f>
        <v>https://www.instagram.com/maktabzahra97</v>
      </c>
      <c r="I1830" s="5"/>
      <c r="J1830" s="6" t="str">
        <f>IFERROR(__xludf.DUMMYFUNCTION("""COMPUTED_VALUE"""),"https://eitaa.com/heyat_maktabolzahra_tbz")</f>
        <v>https://eitaa.com/heyat_maktabolzahra_tbz</v>
      </c>
      <c r="K1830" s="5"/>
      <c r="L1830" s="5"/>
      <c r="M1830" s="5"/>
      <c r="N1830" s="5"/>
      <c r="O1830" s="5"/>
      <c r="P1830" s="5"/>
      <c r="Q1830" s="5"/>
      <c r="R1830" s="5"/>
      <c r="S1830" s="5"/>
    </row>
    <row r="1831">
      <c r="A1831" s="5">
        <f>IFERROR(__xludf.DUMMYFUNCTION("""COMPUTED_VALUE"""),20317.0)</f>
        <v>20317</v>
      </c>
      <c r="B1831" s="5" t="str">
        <f>IFERROR(__xludf.DUMMYFUNCTION("""COMPUTED_VALUE"""),"هیأت")</f>
        <v>هیأت</v>
      </c>
      <c r="C1831" s="5" t="str">
        <f>IFERROR(__xludf.DUMMYFUNCTION("""COMPUTED_VALUE"""),"هیات موکب العباس (ع)")</f>
        <v>هیات موکب العباس (ع)</v>
      </c>
      <c r="D1831" s="5" t="str">
        <f>IFERROR(__xludf.DUMMYFUNCTION("""COMPUTED_VALUE"""),"آذربایجان شرقی")</f>
        <v>آذربایجان شرقی</v>
      </c>
      <c r="E1831" s="5" t="str">
        <f>IFERROR(__xludf.DUMMYFUNCTION("""COMPUTED_VALUE"""),"تبریز")</f>
        <v>تبریز</v>
      </c>
      <c r="F1831" s="5"/>
      <c r="G1831" s="5"/>
      <c r="H1831" s="6" t="str">
        <f>IFERROR(__xludf.DUMMYFUNCTION("""COMPUTED_VALUE"""),"https://www.instagram.com/mokabolabas_tabriz")</f>
        <v>https://www.instagram.com/mokabolabas_tabriz</v>
      </c>
      <c r="I1831" s="6" t="str">
        <f>IFERROR(__xludf.DUMMYFUNCTION("""COMPUTED_VALUE"""),"https://t.me/MAHABOLFAZL")</f>
        <v>https://t.me/MAHABOLFAZL</v>
      </c>
      <c r="J1831" s="5"/>
      <c r="K1831" s="5"/>
      <c r="L1831" s="5"/>
      <c r="M1831" s="5"/>
      <c r="N1831" s="5"/>
      <c r="O1831" s="5"/>
      <c r="P1831" s="5"/>
      <c r="Q1831" s="5"/>
      <c r="R1831" s="5"/>
      <c r="S1831" s="5"/>
    </row>
    <row r="1832">
      <c r="A1832" s="5">
        <f>IFERROR(__xludf.DUMMYFUNCTION("""COMPUTED_VALUE"""),20316.0)</f>
        <v>20316</v>
      </c>
      <c r="B1832" s="5" t="str">
        <f>IFERROR(__xludf.DUMMYFUNCTION("""COMPUTED_VALUE"""),"هیأت")</f>
        <v>هیأت</v>
      </c>
      <c r="C1832" s="5" t="str">
        <f>IFERROR(__xludf.DUMMYFUNCTION("""COMPUTED_VALUE"""),"حوزه بسیج مدافع حرم")</f>
        <v>حوزه بسیج مدافع حرم</v>
      </c>
      <c r="D1832" s="5" t="str">
        <f>IFERROR(__xludf.DUMMYFUNCTION("""COMPUTED_VALUE"""),"آذربایجان شرقی")</f>
        <v>آذربایجان شرقی</v>
      </c>
      <c r="E1832" s="5" t="str">
        <f>IFERROR(__xludf.DUMMYFUNCTION("""COMPUTED_VALUE"""),"تبریز")</f>
        <v>تبریز</v>
      </c>
      <c r="F1832" s="5"/>
      <c r="G1832" s="5"/>
      <c r="H1832" s="5"/>
      <c r="I1832" s="5"/>
      <c r="J1832" s="6" t="str">
        <f>IFERROR(__xludf.DUMMYFUNCTION("""COMPUTED_VALUE"""),"https://eitaa.com/basijnews_tabriz")</f>
        <v>https://eitaa.com/basijnews_tabriz</v>
      </c>
      <c r="K1832" s="5"/>
      <c r="L1832" s="5"/>
      <c r="M1832" s="5"/>
      <c r="N1832" s="5"/>
      <c r="O1832" s="5"/>
      <c r="P1832" s="5"/>
      <c r="Q1832" s="5"/>
      <c r="R1832" s="5"/>
      <c r="S1832" s="5"/>
    </row>
    <row r="1833">
      <c r="A1833" s="5">
        <f>IFERROR(__xludf.DUMMYFUNCTION("""COMPUTED_VALUE"""),20308.0)</f>
        <v>20308</v>
      </c>
      <c r="B1833" s="5" t="str">
        <f>IFERROR(__xludf.DUMMYFUNCTION("""COMPUTED_VALUE"""),"هیأت")</f>
        <v>هیأت</v>
      </c>
      <c r="C1833" s="5" t="str">
        <f>IFERROR(__xludf.DUMMYFUNCTION("""COMPUTED_VALUE"""),"متوسلین شهدای اسلام")</f>
        <v>متوسلین شهدای اسلام</v>
      </c>
      <c r="D1833" s="5" t="str">
        <f>IFERROR(__xludf.DUMMYFUNCTION("""COMPUTED_VALUE"""),"آذربایجان شرقی")</f>
        <v>آذربایجان شرقی</v>
      </c>
      <c r="E1833" s="5" t="str">
        <f>IFERROR(__xludf.DUMMYFUNCTION("""COMPUTED_VALUE"""),"تبریز")</f>
        <v>تبریز</v>
      </c>
      <c r="F1833" s="5"/>
      <c r="G1833" s="5"/>
      <c r="H1833" s="6" t="str">
        <f>IFERROR(__xludf.DUMMYFUNCTION("""COMPUTED_VALUE"""),"https://www.instagram.com/heyatmsetabriz.info")</f>
        <v>https://www.instagram.com/heyatmsetabriz.info</v>
      </c>
      <c r="I1833" s="6" t="str">
        <f>IFERROR(__xludf.DUMMYFUNCTION("""COMPUTED_VALUE"""),"https://t.me/HEYATMSETABRIZ")</f>
        <v>https://t.me/HEYATMSETABRIZ</v>
      </c>
      <c r="J1833" s="5"/>
      <c r="K1833" s="5"/>
      <c r="L1833" s="5"/>
      <c r="M1833" s="5"/>
      <c r="N1833" s="5"/>
      <c r="O1833" s="5"/>
      <c r="P1833" s="5"/>
      <c r="Q1833" s="5"/>
      <c r="R1833" s="5"/>
      <c r="S1833" s="5"/>
    </row>
    <row r="1834">
      <c r="A1834" s="5">
        <f>IFERROR(__xludf.DUMMYFUNCTION("""COMPUTED_VALUE"""),20306.0)</f>
        <v>20306</v>
      </c>
      <c r="B1834" s="5" t="str">
        <f>IFERROR(__xludf.DUMMYFUNCTION("""COMPUTED_VALUE"""),"هیأت")</f>
        <v>هیأت</v>
      </c>
      <c r="C1834" s="5" t="str">
        <f>IFERROR(__xludf.DUMMYFUNCTION("""COMPUTED_VALUE"""),"هیات موکب علی کبر (ع)")</f>
        <v>هیات موکب علی کبر (ع)</v>
      </c>
      <c r="D1834" s="5" t="str">
        <f>IFERROR(__xludf.DUMMYFUNCTION("""COMPUTED_VALUE"""),"آذربایجان شرقی")</f>
        <v>آذربایجان شرقی</v>
      </c>
      <c r="E1834" s="5" t="str">
        <f>IFERROR(__xludf.DUMMYFUNCTION("""COMPUTED_VALUE"""),"تبریز")</f>
        <v>تبریز</v>
      </c>
      <c r="F1834" s="5"/>
      <c r="G1834" s="5"/>
      <c r="H1834" s="6" t="str">
        <f>IFERROR(__xludf.DUMMYFUNCTION("""COMPUTED_VALUE"""),"https://www.instagram.com/mokabaliakbar")</f>
        <v>https://www.instagram.com/mokabaliakbar</v>
      </c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</row>
    <row r="1835">
      <c r="A1835" s="5">
        <f>IFERROR(__xludf.DUMMYFUNCTION("""COMPUTED_VALUE"""),20303.0)</f>
        <v>20303</v>
      </c>
      <c r="B1835" s="5" t="str">
        <f>IFERROR(__xludf.DUMMYFUNCTION("""COMPUTED_VALUE"""),"هیأت")</f>
        <v>هیأت</v>
      </c>
      <c r="C1835" s="5" t="str">
        <f>IFERROR(__xludf.DUMMYFUNCTION("""COMPUTED_VALUE"""),"مسلمیه")</f>
        <v>مسلمیه</v>
      </c>
      <c r="D1835" s="5" t="str">
        <f>IFERROR(__xludf.DUMMYFUNCTION("""COMPUTED_VALUE"""),"آذربایجان شرقی")</f>
        <v>آذربایجان شرقی</v>
      </c>
      <c r="E1835" s="5" t="str">
        <f>IFERROR(__xludf.DUMMYFUNCTION("""COMPUTED_VALUE"""),"تبریز")</f>
        <v>تبریز</v>
      </c>
      <c r="F1835" s="5"/>
      <c r="G1835" s="5"/>
      <c r="H1835" s="6" t="str">
        <f>IFERROR(__xludf.DUMMYFUNCTION("""COMPUTED_VALUE"""),"https://www.instagram.com/heiat.moslemie")</f>
        <v>https://www.instagram.com/heiat.moslemie</v>
      </c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</row>
    <row r="1836">
      <c r="A1836" s="5">
        <f>IFERROR(__xludf.DUMMYFUNCTION("""COMPUTED_VALUE"""),20301.0)</f>
        <v>20301</v>
      </c>
      <c r="B1836" s="5" t="str">
        <f>IFERROR(__xludf.DUMMYFUNCTION("""COMPUTED_VALUE"""),"هیأت")</f>
        <v>هیأت</v>
      </c>
      <c r="C1836" s="5" t="str">
        <f>IFERROR(__xludf.DUMMYFUNCTION("""COMPUTED_VALUE"""),"شورای هیات")</f>
        <v>شورای هیات</v>
      </c>
      <c r="D1836" s="5" t="str">
        <f>IFERROR(__xludf.DUMMYFUNCTION("""COMPUTED_VALUE"""),"آذربایجان شرقی")</f>
        <v>آذربایجان شرقی</v>
      </c>
      <c r="E1836" s="5" t="str">
        <f>IFERROR(__xludf.DUMMYFUNCTION("""COMPUTED_VALUE"""),"تبریز")</f>
        <v>تبریز</v>
      </c>
      <c r="F1836" s="5"/>
      <c r="G1836" s="5"/>
      <c r="H1836" s="5"/>
      <c r="I1836" s="5"/>
      <c r="J1836" s="6" t="str">
        <f>IFERROR(__xludf.DUMMYFUNCTION("""COMPUTED_VALUE"""),"https://eitaa.com/shorayeheyatmazhabitabriz")</f>
        <v>https://eitaa.com/shorayeheyatmazhabitabriz</v>
      </c>
      <c r="K1836" s="5"/>
      <c r="L1836" s="5"/>
      <c r="M1836" s="5"/>
      <c r="N1836" s="5"/>
      <c r="O1836" s="5"/>
      <c r="P1836" s="5"/>
      <c r="Q1836" s="5"/>
      <c r="R1836" s="5"/>
      <c r="S1836" s="5"/>
    </row>
    <row r="1837">
      <c r="A1837" s="5">
        <f>IFERROR(__xludf.DUMMYFUNCTION("""COMPUTED_VALUE"""),20299.0)</f>
        <v>20299</v>
      </c>
      <c r="B1837" s="5" t="str">
        <f>IFERROR(__xludf.DUMMYFUNCTION("""COMPUTED_VALUE"""),"هیأت")</f>
        <v>هیأت</v>
      </c>
      <c r="C1837" s="5" t="str">
        <f>IFERROR(__xludf.DUMMYFUNCTION("""COMPUTED_VALUE"""),"دانشگاه تبریز")</f>
        <v>دانشگاه تبریز</v>
      </c>
      <c r="D1837" s="5" t="str">
        <f>IFERROR(__xludf.DUMMYFUNCTION("""COMPUTED_VALUE"""),"آذربایجان شرقی")</f>
        <v>آذربایجان شرقی</v>
      </c>
      <c r="E1837" s="5" t="str">
        <f>IFERROR(__xludf.DUMMYFUNCTION("""COMPUTED_VALUE"""),"تبریز")</f>
        <v>تبریز</v>
      </c>
      <c r="F1837" s="5"/>
      <c r="G1837" s="5"/>
      <c r="H1837" s="6" t="str">
        <f>IFERROR(__xludf.DUMMYFUNCTION("""COMPUTED_VALUE"""),"https://www.instagram.com/safineh_nejaat")</f>
        <v>https://www.instagram.com/safineh_nejaat</v>
      </c>
      <c r="I1837" s="6" t="str">
        <f>IFERROR(__xludf.DUMMYFUNCTION("""COMPUTED_VALUE"""),"https://t.me/publictabrizuniversity")</f>
        <v>https://t.me/publictabrizuniversity</v>
      </c>
      <c r="J1837" s="6" t="str">
        <f>IFERROR(__xludf.DUMMYFUNCTION("""COMPUTED_VALUE"""),"https://eitaa.com/heyatshohadayeghomnam")</f>
        <v>https://eitaa.com/heyatshohadayeghomnam</v>
      </c>
      <c r="K1837" s="5"/>
      <c r="L1837" s="5"/>
      <c r="M1837" s="5"/>
      <c r="N1837" s="5"/>
      <c r="O1837" s="5"/>
      <c r="P1837" s="5"/>
      <c r="Q1837" s="5"/>
      <c r="R1837" s="5"/>
      <c r="S1837" s="5"/>
    </row>
    <row r="1838">
      <c r="A1838" s="5">
        <f>IFERROR(__xludf.DUMMYFUNCTION("""COMPUTED_VALUE"""),20201.0)</f>
        <v>20201</v>
      </c>
      <c r="B1838" s="5" t="str">
        <f>IFERROR(__xludf.DUMMYFUNCTION("""COMPUTED_VALUE"""),"هیأت")</f>
        <v>هیأت</v>
      </c>
      <c r="C1838" s="5" t="str">
        <f>IFERROR(__xludf.DUMMYFUNCTION("""COMPUTED_VALUE"""),"سیرت")</f>
        <v>سیرت</v>
      </c>
      <c r="D1838" s="5" t="str">
        <f>IFERROR(__xludf.DUMMYFUNCTION("""COMPUTED_VALUE"""),"آذربایجان شرقی")</f>
        <v>آذربایجان شرقی</v>
      </c>
      <c r="E1838" s="5" t="str">
        <f>IFERROR(__xludf.DUMMYFUNCTION("""COMPUTED_VALUE"""),"تبریز")</f>
        <v>تبریز</v>
      </c>
      <c r="F1838" s="5"/>
      <c r="G1838" s="5"/>
      <c r="H1838" s="6" t="str">
        <f>IFERROR(__xludf.DUMMYFUNCTION("""COMPUTED_VALUE"""),"https://www.instagram.com/sirat.media")</f>
        <v>https://www.instagram.com/sirat.media</v>
      </c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</row>
    <row r="1839">
      <c r="A1839" s="5">
        <f>IFERROR(__xludf.DUMMYFUNCTION("""COMPUTED_VALUE"""),19768.0)</f>
        <v>19768</v>
      </c>
      <c r="B1839" s="5" t="str">
        <f>IFERROR(__xludf.DUMMYFUNCTION("""COMPUTED_VALUE"""),"هیأت")</f>
        <v>هیأت</v>
      </c>
      <c r="C1839" s="5" t="str">
        <f>IFERROR(__xludf.DUMMYFUNCTION("""COMPUTED_VALUE"""),"زیارت عاشورا")</f>
        <v>زیارت عاشورا</v>
      </c>
      <c r="D1839" s="5" t="str">
        <f>IFERROR(__xludf.DUMMYFUNCTION("""COMPUTED_VALUE"""),"آذربایجان شرقی")</f>
        <v>آذربایجان شرقی</v>
      </c>
      <c r="E1839" s="5" t="str">
        <f>IFERROR(__xludf.DUMMYFUNCTION("""COMPUTED_VALUE"""),"تبریز")</f>
        <v>تبریز</v>
      </c>
      <c r="F1839" s="5"/>
      <c r="G1839" s="5"/>
      <c r="H1839" s="6" t="str">
        <f>IFERROR(__xludf.DUMMYFUNCTION("""COMPUTED_VALUE"""),"https://www.instagram.com/jalaseh_zeyarat_ashora")</f>
        <v>https://www.instagram.com/jalaseh_zeyarat_ashora</v>
      </c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</row>
    <row r="1840">
      <c r="A1840" s="5">
        <f>IFERROR(__xludf.DUMMYFUNCTION("""COMPUTED_VALUE"""),18949.0)</f>
        <v>18949</v>
      </c>
      <c r="B1840" s="5" t="str">
        <f>IFERROR(__xludf.DUMMYFUNCTION("""COMPUTED_VALUE"""),"هیأت")</f>
        <v>هیأت</v>
      </c>
      <c r="C1840" s="5" t="str">
        <f>IFERROR(__xludf.DUMMYFUNCTION("""COMPUTED_VALUE"""),"یاحسین شهید (ع)")</f>
        <v>یاحسین شهید (ع)</v>
      </c>
      <c r="D1840" s="5" t="str">
        <f>IFERROR(__xludf.DUMMYFUNCTION("""COMPUTED_VALUE"""),"آذربایجان شرقی")</f>
        <v>آذربایجان شرقی</v>
      </c>
      <c r="E1840" s="5" t="str">
        <f>IFERROR(__xludf.DUMMYFUNCTION("""COMPUTED_VALUE"""),"تبریز")</f>
        <v>تبریز</v>
      </c>
      <c r="F1840" s="5"/>
      <c r="G1840" s="5"/>
      <c r="H1840" s="6" t="str">
        <f>IFERROR(__xludf.DUMMYFUNCTION("""COMPUTED_VALUE"""),"https://www.instagram.com/y.hossein.shahid")</f>
        <v>https://www.instagram.com/y.hossein.shahid</v>
      </c>
      <c r="I1840" s="6" t="str">
        <f>IFERROR(__xludf.DUMMYFUNCTION("""COMPUTED_VALUE"""),"https://t.me/hyhsh")</f>
        <v>https://t.me/hyhsh</v>
      </c>
      <c r="J1840" s="5"/>
      <c r="K1840" s="5"/>
      <c r="L1840" s="5"/>
      <c r="M1840" s="5"/>
      <c r="N1840" s="5"/>
      <c r="O1840" s="5"/>
      <c r="P1840" s="5"/>
      <c r="Q1840" s="5"/>
      <c r="R1840" s="5"/>
      <c r="S1840" s="5"/>
    </row>
    <row r="1841">
      <c r="A1841" s="5"/>
      <c r="B1841" s="5" t="str">
        <f>IFERROR(__xludf.DUMMYFUNCTION("""COMPUTED_VALUE"""),"هیأت")</f>
        <v>هیأت</v>
      </c>
      <c r="C1841" s="5" t="str">
        <f>IFERROR(__xludf.DUMMYFUNCTION("""COMPUTED_VALUE"""),"یاحسین شهید (ع)")</f>
        <v>یاحسین شهید (ع)</v>
      </c>
      <c r="D1841" s="5" t="str">
        <f>IFERROR(__xludf.DUMMYFUNCTION("""COMPUTED_VALUE"""),"آذربایجان شرقی")</f>
        <v>آذربایجان شرقی</v>
      </c>
      <c r="E1841" s="5" t="str">
        <f>IFERROR(__xludf.DUMMYFUNCTION("""COMPUTED_VALUE"""),"تبریز")</f>
        <v>تبریز</v>
      </c>
      <c r="F1841" s="5"/>
      <c r="G1841" s="5"/>
      <c r="H1841" s="6" t="str">
        <f>IFERROR(__xludf.DUMMYFUNCTION("""COMPUTED_VALUE"""),"https://www.instagram.com/heyat_yahosein.shahid_tabriz")</f>
        <v>https://www.instagram.com/heyat_yahosein.shahid_tabriz</v>
      </c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</row>
    <row r="1842">
      <c r="A1842" s="5"/>
      <c r="B1842" s="5" t="str">
        <f>IFERROR(__xludf.DUMMYFUNCTION("""COMPUTED_VALUE"""),"هیأت")</f>
        <v>هیأت</v>
      </c>
      <c r="C1842" s="5" t="str">
        <f>IFERROR(__xludf.DUMMYFUNCTION("""COMPUTED_VALUE"""),"یاحسین مظلوم (ع)")</f>
        <v>یاحسین مظلوم (ع)</v>
      </c>
      <c r="D1842" s="5" t="str">
        <f>IFERROR(__xludf.DUMMYFUNCTION("""COMPUTED_VALUE"""),"آذربایجان شرقی")</f>
        <v>آذربایجان شرقی</v>
      </c>
      <c r="E1842" s="5" t="str">
        <f>IFERROR(__xludf.DUMMYFUNCTION("""COMPUTED_VALUE"""),"تبریز")</f>
        <v>تبریز</v>
      </c>
      <c r="F1842" s="5"/>
      <c r="G1842" s="5"/>
      <c r="H1842" s="5"/>
      <c r="I1842" s="6" t="str">
        <f>IFERROR(__xludf.DUMMYFUNCTION("""COMPUTED_VALUE"""),"https://t.me/YAHOSEINEMAZLOMETABRIZ")</f>
        <v>https://t.me/YAHOSEINEMAZLOMETABRIZ</v>
      </c>
      <c r="J1842" s="5"/>
      <c r="K1842" s="5"/>
      <c r="L1842" s="5"/>
      <c r="M1842" s="5"/>
      <c r="N1842" s="5"/>
      <c r="O1842" s="5"/>
      <c r="P1842" s="5"/>
      <c r="Q1842" s="5"/>
      <c r="R1842" s="5"/>
      <c r="S1842" s="5"/>
    </row>
    <row r="1843">
      <c r="A1843" s="5"/>
      <c r="B1843" s="5" t="str">
        <f>IFERROR(__xludf.DUMMYFUNCTION("""COMPUTED_VALUE"""),"هیأت")</f>
        <v>هیأت</v>
      </c>
      <c r="C1843" s="5" t="str">
        <f>IFERROR(__xludf.DUMMYFUNCTION("""COMPUTED_VALUE"""),"یا حسین (ع) فاتح")</f>
        <v>یا حسین (ع) فاتح</v>
      </c>
      <c r="D1843" s="5" t="str">
        <f>IFERROR(__xludf.DUMMYFUNCTION("""COMPUTED_VALUE"""),"آذربایجان شرقی")</f>
        <v>آذربایجان شرقی</v>
      </c>
      <c r="E1843" s="5" t="str">
        <f>IFERROR(__xludf.DUMMYFUNCTION("""COMPUTED_VALUE"""),"تبریز")</f>
        <v>تبریز</v>
      </c>
      <c r="F1843" s="5"/>
      <c r="G1843" s="5"/>
      <c r="H1843" s="6" t="str">
        <f>IFERROR(__xludf.DUMMYFUNCTION("""COMPUTED_VALUE"""),"https://www.instagram.com/yahosseinefatehetabriz")</f>
        <v>https://www.instagram.com/yahosseinefatehetabriz</v>
      </c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</row>
    <row r="1844">
      <c r="A1844" s="5">
        <f>IFERROR(__xludf.DUMMYFUNCTION("""COMPUTED_VALUE"""),18585.0)</f>
        <v>18585</v>
      </c>
      <c r="B1844" s="5" t="str">
        <f>IFERROR(__xludf.DUMMYFUNCTION("""COMPUTED_VALUE"""),"هیأت")</f>
        <v>هیأت</v>
      </c>
      <c r="C1844" s="5" t="str">
        <f>IFERROR(__xludf.DUMMYFUNCTION("""COMPUTED_VALUE"""),"الی الحبیب")</f>
        <v>الی الحبیب</v>
      </c>
      <c r="D1844" s="5" t="str">
        <f>IFERROR(__xludf.DUMMYFUNCTION("""COMPUTED_VALUE"""),"آذربایجان شرقی")</f>
        <v>آذربایجان شرقی</v>
      </c>
      <c r="E1844" s="5" t="str">
        <f>IFERROR(__xludf.DUMMYFUNCTION("""COMPUTED_VALUE"""),"تبریز")</f>
        <v>تبریز</v>
      </c>
      <c r="F1844" s="5"/>
      <c r="G1844" s="5"/>
      <c r="H1844" s="6" t="str">
        <f>IFERROR(__xludf.DUMMYFUNCTION("""COMPUTED_VALUE"""),"https://www.instagram.com/elalhabib_1401")</f>
        <v>https://www.instagram.com/elalhabib_1401</v>
      </c>
      <c r="I1844" s="5"/>
      <c r="J1844" s="6" t="str">
        <f>IFERROR(__xludf.DUMMYFUNCTION("""COMPUTED_VALUE"""),"https://eitaa.com/elalhabibk")</f>
        <v>https://eitaa.com/elalhabibk</v>
      </c>
      <c r="K1844" s="5"/>
      <c r="L1844" s="5"/>
      <c r="M1844" s="5"/>
      <c r="N1844" s="5"/>
      <c r="O1844" s="5"/>
      <c r="P1844" s="5"/>
      <c r="Q1844" s="5"/>
      <c r="R1844" s="5"/>
      <c r="S1844" s="5"/>
    </row>
    <row r="1845">
      <c r="A1845" s="5">
        <f>IFERROR(__xludf.DUMMYFUNCTION("""COMPUTED_VALUE"""),18380.0)</f>
        <v>18380</v>
      </c>
      <c r="B1845" s="5" t="str">
        <f>IFERROR(__xludf.DUMMYFUNCTION("""COMPUTED_VALUE"""),"هیأت")</f>
        <v>هیأت</v>
      </c>
      <c r="C1845" s="5" t="str">
        <f>IFERROR(__xludf.DUMMYFUNCTION("""COMPUTED_VALUE"""),"جان نثاران اباعبدالله(ع)")</f>
        <v>جان نثاران اباعبدالله(ع)</v>
      </c>
      <c r="D1845" s="5" t="str">
        <f>IFERROR(__xludf.DUMMYFUNCTION("""COMPUTED_VALUE"""),"آذربایجان شرقی")</f>
        <v>آذربایجان شرقی</v>
      </c>
      <c r="E1845" s="5" t="str">
        <f>IFERROR(__xludf.DUMMYFUNCTION("""COMPUTED_VALUE"""),"تبریز")</f>
        <v>تبریز</v>
      </c>
      <c r="F1845" s="5"/>
      <c r="G1845" s="5"/>
      <c r="H1845" s="6" t="str">
        <f>IFERROR(__xludf.DUMMYFUNCTION("""COMPUTED_VALUE"""),"https://www.instagram.com/jannesarane_tabriz")</f>
        <v>https://www.instagram.com/jannesarane_tabriz</v>
      </c>
      <c r="I1845" s="6" t="str">
        <f>IFERROR(__xludf.DUMMYFUNCTION("""COMPUTED_VALUE"""),"https://t.me/janesarantabriz69")</f>
        <v>https://t.me/janesarantabriz69</v>
      </c>
      <c r="J1845" s="5"/>
      <c r="K1845" s="5"/>
      <c r="L1845" s="5"/>
      <c r="M1845" s="5"/>
      <c r="N1845" s="5"/>
      <c r="O1845" s="5"/>
      <c r="P1845" s="5"/>
      <c r="Q1845" s="5"/>
      <c r="R1845" s="5"/>
      <c r="S1845" s="5"/>
    </row>
    <row r="1846">
      <c r="A1846" s="5">
        <f>IFERROR(__xludf.DUMMYFUNCTION("""COMPUTED_VALUE"""),17779.0)</f>
        <v>17779</v>
      </c>
      <c r="B1846" s="5" t="str">
        <f>IFERROR(__xludf.DUMMYFUNCTION("""COMPUTED_VALUE"""),"هیأت")</f>
        <v>هیأت</v>
      </c>
      <c r="C1846" s="5" t="str">
        <f>IFERROR(__xludf.DUMMYFUNCTION("""COMPUTED_VALUE"""),"موسسه قرآن و عترت نور")</f>
        <v>موسسه قرآن و عترت نور</v>
      </c>
      <c r="D1846" s="5" t="str">
        <f>IFERROR(__xludf.DUMMYFUNCTION("""COMPUTED_VALUE"""),"آذربایجان شرقی")</f>
        <v>آذربایجان شرقی</v>
      </c>
      <c r="E1846" s="5" t="str">
        <f>IFERROR(__xludf.DUMMYFUNCTION("""COMPUTED_VALUE"""),"تبریز")</f>
        <v>تبریز</v>
      </c>
      <c r="F1846" s="5"/>
      <c r="G1846" s="5"/>
      <c r="H1846" s="6" t="str">
        <f>IFERROR(__xludf.DUMMYFUNCTION("""COMPUTED_VALUE"""),"https://www.instagram.com/noorquran_ir")</f>
        <v>https://www.instagram.com/noorquran_ir</v>
      </c>
      <c r="I1846" s="5"/>
      <c r="J1846" s="6" t="str">
        <f>IFERROR(__xludf.DUMMYFUNCTION("""COMPUTED_VALUE"""),"https://eitaa.com/noorquran_ir")</f>
        <v>https://eitaa.com/noorquran_ir</v>
      </c>
      <c r="K1846" s="5"/>
      <c r="L1846" s="5"/>
      <c r="M1846" s="5"/>
      <c r="N1846" s="5"/>
      <c r="O1846" s="5"/>
      <c r="P1846" s="5"/>
      <c r="Q1846" s="5"/>
      <c r="R1846" s="5"/>
      <c r="S1846" s="5"/>
    </row>
    <row r="1847">
      <c r="A1847" s="5">
        <f>IFERROR(__xludf.DUMMYFUNCTION("""COMPUTED_VALUE"""),432.0)</f>
        <v>432</v>
      </c>
      <c r="B1847" s="5" t="str">
        <f>IFERROR(__xludf.DUMMYFUNCTION("""COMPUTED_VALUE"""),"هیأت")</f>
        <v>هیأت</v>
      </c>
      <c r="C1847" s="5" t="str">
        <f>IFERROR(__xludf.DUMMYFUNCTION("""COMPUTED_VALUE"""),"مجمع الذاکرین")</f>
        <v>مجمع الذاکرین</v>
      </c>
      <c r="D1847" s="5" t="str">
        <f>IFERROR(__xludf.DUMMYFUNCTION("""COMPUTED_VALUE"""),"آذربایجان شرقی")</f>
        <v>آذربایجان شرقی</v>
      </c>
      <c r="E1847" s="5" t="str">
        <f>IFERROR(__xludf.DUMMYFUNCTION("""COMPUTED_VALUE"""),"تبریز")</f>
        <v>تبریز</v>
      </c>
      <c r="F1847" s="5"/>
      <c r="G1847" s="5"/>
      <c r="H1847" s="6" t="str">
        <f>IFERROR(__xludf.DUMMYFUNCTION("""COMPUTED_VALUE"""),"https://www.instagram.com/majmaol_zakerin_tabriz")</f>
        <v>https://www.instagram.com/majmaol_zakerin_tabriz</v>
      </c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</row>
    <row r="1848">
      <c r="A1848" s="5">
        <f>IFERROR(__xludf.DUMMYFUNCTION("""COMPUTED_VALUE"""),419.0)</f>
        <v>419</v>
      </c>
      <c r="B1848" s="5" t="str">
        <f>IFERROR(__xludf.DUMMYFUNCTION("""COMPUTED_VALUE"""),"هیأت")</f>
        <v>هیأت</v>
      </c>
      <c r="C1848" s="5" t="str">
        <f>IFERROR(__xludf.DUMMYFUNCTION("""COMPUTED_VALUE"""),"باب الحوائج (ع)")</f>
        <v>باب الحوائج (ع)</v>
      </c>
      <c r="D1848" s="5" t="str">
        <f>IFERROR(__xludf.DUMMYFUNCTION("""COMPUTED_VALUE"""),"آذربایجان شرقی")</f>
        <v>آذربایجان شرقی</v>
      </c>
      <c r="E1848" s="5" t="str">
        <f>IFERROR(__xludf.DUMMYFUNCTION("""COMPUTED_VALUE"""),"تبریز")</f>
        <v>تبریز</v>
      </c>
      <c r="F1848" s="5"/>
      <c r="G1848" s="5"/>
      <c r="H1848" s="6" t="str">
        <f>IFERROR(__xludf.DUMMYFUNCTION("""COMPUTED_VALUE"""),"https://www.instagram.com/heyat_babal_havaej_1401")</f>
        <v>https://www.instagram.com/heyat_babal_havaej_1401</v>
      </c>
      <c r="I1848" s="6" t="str">
        <f>IFERROR(__xludf.DUMMYFUNCTION("""COMPUTED_VALUE"""),"https://t.me/babalhavaejan")</f>
        <v>https://t.me/babalhavaejan</v>
      </c>
      <c r="J1848" s="5"/>
      <c r="K1848" s="5"/>
      <c r="L1848" s="5"/>
      <c r="M1848" s="5"/>
      <c r="N1848" s="5"/>
      <c r="O1848" s="5"/>
      <c r="P1848" s="5"/>
      <c r="Q1848" s="5"/>
      <c r="R1848" s="5"/>
      <c r="S1848" s="5"/>
    </row>
    <row r="1849">
      <c r="A1849" s="5">
        <f>IFERROR(__xludf.DUMMYFUNCTION("""COMPUTED_VALUE"""),417.0)</f>
        <v>417</v>
      </c>
      <c r="B1849" s="5" t="str">
        <f>IFERROR(__xludf.DUMMYFUNCTION("""COMPUTED_VALUE"""),"هیأت")</f>
        <v>هیأت</v>
      </c>
      <c r="C1849" s="5" t="str">
        <f>IFERROR(__xludf.DUMMYFUNCTION("""COMPUTED_VALUE"""),"حضرت ولی عصر (عج)")</f>
        <v>حضرت ولی عصر (عج)</v>
      </c>
      <c r="D1849" s="5" t="str">
        <f>IFERROR(__xludf.DUMMYFUNCTION("""COMPUTED_VALUE"""),"آذربایجان شرقی")</f>
        <v>آذربایجان شرقی</v>
      </c>
      <c r="E1849" s="5" t="str">
        <f>IFERROR(__xludf.DUMMYFUNCTION("""COMPUTED_VALUE"""),"تبریز")</f>
        <v>تبریز</v>
      </c>
      <c r="F1849" s="5"/>
      <c r="G1849" s="5"/>
      <c r="H1849" s="6" t="str">
        <f>IFERROR(__xludf.DUMMYFUNCTION("""COMPUTED_VALUE"""),"https://www.instagram.com/hoze_valeasr_tabriz")</f>
        <v>https://www.instagram.com/hoze_valeasr_tabriz</v>
      </c>
      <c r="I1849" s="5"/>
      <c r="J1849" s="6" t="str">
        <f>IFERROR(__xludf.DUMMYFUNCTION("""COMPUTED_VALUE"""),"https://eitaa.com/howzehtabriz313")</f>
        <v>https://eitaa.com/howzehtabriz313</v>
      </c>
      <c r="K1849" s="5"/>
      <c r="L1849" s="5"/>
      <c r="M1849" s="5"/>
      <c r="N1849" s="5"/>
      <c r="O1849" s="5"/>
      <c r="P1849" s="5"/>
      <c r="Q1849" s="5"/>
      <c r="R1849" s="5"/>
      <c r="S1849" s="5"/>
    </row>
    <row r="1850">
      <c r="A1850" s="5">
        <f>IFERROR(__xludf.DUMMYFUNCTION("""COMPUTED_VALUE"""),398.0)</f>
        <v>398</v>
      </c>
      <c r="B1850" s="5" t="str">
        <f>IFERROR(__xludf.DUMMYFUNCTION("""COMPUTED_VALUE"""),"هیأت")</f>
        <v>هیأت</v>
      </c>
      <c r="C1850" s="5" t="str">
        <f>IFERROR(__xludf.DUMMYFUNCTION("""COMPUTED_VALUE"""),"مجمع دستجات حسینی (محله مارالان)")</f>
        <v>مجمع دستجات حسینی (محله مارالان)</v>
      </c>
      <c r="D1850" s="5" t="str">
        <f>IFERROR(__xludf.DUMMYFUNCTION("""COMPUTED_VALUE"""),"آذربایجان شرقی")</f>
        <v>آذربایجان شرقی</v>
      </c>
      <c r="E1850" s="5" t="str">
        <f>IFERROR(__xludf.DUMMYFUNCTION("""COMPUTED_VALUE"""),"تبریز")</f>
        <v>تبریز</v>
      </c>
      <c r="F1850" s="5"/>
      <c r="G1850" s="5"/>
      <c r="H1850" s="6" t="str">
        <f>IFERROR(__xludf.DUMMYFUNCTION("""COMPUTED_VALUE"""),"https://www.instagram.com/dastajat_maralan")</f>
        <v>https://www.instagram.com/dastajat_maralan</v>
      </c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</row>
    <row r="1851">
      <c r="A1851" s="5">
        <f>IFERROR(__xludf.DUMMYFUNCTION("""COMPUTED_VALUE"""),389.0)</f>
        <v>389</v>
      </c>
      <c r="B1851" s="5" t="str">
        <f>IFERROR(__xludf.DUMMYFUNCTION("""COMPUTED_VALUE"""),"هیأت")</f>
        <v>هیأت</v>
      </c>
      <c r="C1851" s="5" t="str">
        <f>IFERROR(__xludf.DUMMYFUNCTION("""COMPUTED_VALUE"""),"عزاداران ثامن الائمه (ع)")</f>
        <v>عزاداران ثامن الائمه (ع)</v>
      </c>
      <c r="D1851" s="5" t="str">
        <f>IFERROR(__xludf.DUMMYFUNCTION("""COMPUTED_VALUE"""),"آذربایجان شرقی")</f>
        <v>آذربایجان شرقی</v>
      </c>
      <c r="E1851" s="5" t="str">
        <f>IFERROR(__xludf.DUMMYFUNCTION("""COMPUTED_VALUE"""),"تبریز")</f>
        <v>تبریز</v>
      </c>
      <c r="F1851" s="5"/>
      <c r="G1851" s="5"/>
      <c r="H1851" s="6" t="str">
        <f>IFERROR(__xludf.DUMMYFUNCTION("""COMPUTED_VALUE"""),"https://www.instagram.com/samenolaemeh1")</f>
        <v>https://www.instagram.com/samenolaemeh1</v>
      </c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</row>
    <row r="1852">
      <c r="A1852" s="5">
        <f>IFERROR(__xludf.DUMMYFUNCTION("""COMPUTED_VALUE"""),388.0)</f>
        <v>388</v>
      </c>
      <c r="B1852" s="5" t="str">
        <f>IFERROR(__xludf.DUMMYFUNCTION("""COMPUTED_VALUE"""),"هیأت")</f>
        <v>هیأت</v>
      </c>
      <c r="C1852" s="5" t="str">
        <f>IFERROR(__xludf.DUMMYFUNCTION("""COMPUTED_VALUE"""),"مکتب النبی (ص)")</f>
        <v>مکتب النبی (ص)</v>
      </c>
      <c r="D1852" s="5" t="str">
        <f>IFERROR(__xludf.DUMMYFUNCTION("""COMPUTED_VALUE"""),"آذربایجان شرقی")</f>
        <v>آذربایجان شرقی</v>
      </c>
      <c r="E1852" s="5" t="str">
        <f>IFERROR(__xludf.DUMMYFUNCTION("""COMPUTED_VALUE"""),"تبریز")</f>
        <v>تبریز</v>
      </c>
      <c r="F1852" s="5"/>
      <c r="G1852" s="5"/>
      <c r="H1852" s="6" t="str">
        <f>IFERROR(__xludf.DUMMYFUNCTION("""COMPUTED_VALUE"""),"https://www.instagram.com/maktabonabitabriz")</f>
        <v>https://www.instagram.com/maktabonabitabriz</v>
      </c>
      <c r="I1852" s="6" t="str">
        <f>IFERROR(__xludf.DUMMYFUNCTION("""COMPUTED_VALUE"""),"https://t.me/maktabonnabitabriz")</f>
        <v>https://t.me/maktabonnabitabriz</v>
      </c>
      <c r="J1852" s="5"/>
      <c r="K1852" s="5"/>
      <c r="L1852" s="5"/>
      <c r="M1852" s="5"/>
      <c r="N1852" s="5"/>
      <c r="O1852" s="5"/>
      <c r="P1852" s="5"/>
      <c r="Q1852" s="5"/>
      <c r="R1852" s="5"/>
      <c r="S1852" s="5"/>
    </row>
    <row r="1853">
      <c r="A1853" s="5">
        <f>IFERROR(__xludf.DUMMYFUNCTION("""COMPUTED_VALUE"""),387.0)</f>
        <v>387</v>
      </c>
      <c r="B1853" s="5" t="str">
        <f>IFERROR(__xludf.DUMMYFUNCTION("""COMPUTED_VALUE"""),"هیأت")</f>
        <v>هیأت</v>
      </c>
      <c r="C1853" s="5" t="str">
        <f>IFERROR(__xludf.DUMMYFUNCTION("""COMPUTED_VALUE"""),"مکتب الحسین (ع)")</f>
        <v>مکتب الحسین (ع)</v>
      </c>
      <c r="D1853" s="5" t="str">
        <f>IFERROR(__xludf.DUMMYFUNCTION("""COMPUTED_VALUE"""),"آذربایجان شرقی")</f>
        <v>آذربایجان شرقی</v>
      </c>
      <c r="E1853" s="5" t="str">
        <f>IFERROR(__xludf.DUMMYFUNCTION("""COMPUTED_VALUE"""),"تبریز")</f>
        <v>تبریز</v>
      </c>
      <c r="F1853" s="5"/>
      <c r="G1853" s="5"/>
      <c r="H1853" s="6" t="str">
        <f>IFERROR(__xludf.DUMMYFUNCTION("""COMPUTED_VALUE"""),"https://www.instagram.com/heyate_maktabe_hossein_1387")</f>
        <v>https://www.instagram.com/heyate_maktabe_hossein_1387</v>
      </c>
      <c r="I1853" s="6" t="str">
        <f>IFERROR(__xludf.DUMMYFUNCTION("""COMPUTED_VALUE"""),"https://t.me/maktabalhoseiyn")</f>
        <v>https://t.me/maktabalhoseiyn</v>
      </c>
      <c r="J1853" s="5"/>
      <c r="K1853" s="5"/>
      <c r="L1853" s="5"/>
      <c r="M1853" s="5"/>
      <c r="N1853" s="5"/>
      <c r="O1853" s="5"/>
      <c r="P1853" s="5"/>
      <c r="Q1853" s="5"/>
      <c r="R1853" s="5"/>
      <c r="S1853" s="5"/>
    </row>
    <row r="1854">
      <c r="A1854" s="5">
        <f>IFERROR(__xludf.DUMMYFUNCTION("""COMPUTED_VALUE"""),386.0)</f>
        <v>386</v>
      </c>
      <c r="B1854" s="5" t="str">
        <f>IFERROR(__xludf.DUMMYFUNCTION("""COMPUTED_VALUE"""),"هیأت")</f>
        <v>هیأت</v>
      </c>
      <c r="C1854" s="5" t="str">
        <f>IFERROR(__xludf.DUMMYFUNCTION("""COMPUTED_VALUE"""),"سینه زنان شتربان تبریز مسجد گرگری")</f>
        <v>سینه زنان شتربان تبریز مسجد گرگری</v>
      </c>
      <c r="D1854" s="5" t="str">
        <f>IFERROR(__xludf.DUMMYFUNCTION("""COMPUTED_VALUE"""),"آذربایجان شرقی")</f>
        <v>آذربایجان شرقی</v>
      </c>
      <c r="E1854" s="5" t="str">
        <f>IFERROR(__xludf.DUMMYFUNCTION("""COMPUTED_VALUE"""),"تبریز")</f>
        <v>تبریز</v>
      </c>
      <c r="F1854" s="5"/>
      <c r="G1854" s="5"/>
      <c r="H1854" s="5"/>
      <c r="I1854" s="5"/>
      <c r="J1854" s="6" t="str">
        <f>IFERROR(__xludf.DUMMYFUNCTION("""COMPUTED_VALUE"""),"https://eitaa.com/sinezanan_shotorban_tabriz")</f>
        <v>https://eitaa.com/sinezanan_shotorban_tabriz</v>
      </c>
      <c r="K1854" s="5"/>
      <c r="L1854" s="5"/>
      <c r="M1854" s="5"/>
      <c r="N1854" s="5"/>
      <c r="O1854" s="5"/>
      <c r="P1854" s="5"/>
      <c r="Q1854" s="5"/>
      <c r="R1854" s="5"/>
      <c r="S1854" s="5"/>
    </row>
    <row r="1855">
      <c r="A1855" s="5">
        <f>IFERROR(__xludf.DUMMYFUNCTION("""COMPUTED_VALUE"""),378.0)</f>
        <v>378</v>
      </c>
      <c r="B1855" s="5" t="str">
        <f>IFERROR(__xludf.DUMMYFUNCTION("""COMPUTED_VALUE"""),"هیأت")</f>
        <v>هیأت</v>
      </c>
      <c r="C1855" s="5" t="str">
        <f>IFERROR(__xludf.DUMMYFUNCTION("""COMPUTED_VALUE"""),"زنجیرزنان چرنداب تبریز")</f>
        <v>زنجیرزنان چرنداب تبریز</v>
      </c>
      <c r="D1855" s="5" t="str">
        <f>IFERROR(__xludf.DUMMYFUNCTION("""COMPUTED_VALUE"""),"آذربایجان شرقی")</f>
        <v>آذربایجان شرقی</v>
      </c>
      <c r="E1855" s="5" t="str">
        <f>IFERROR(__xludf.DUMMYFUNCTION("""COMPUTED_VALUE"""),"تبریز")</f>
        <v>تبریز</v>
      </c>
      <c r="F1855" s="5"/>
      <c r="G1855" s="5"/>
      <c r="H1855" s="6" t="str">
        <f>IFERROR(__xludf.DUMMYFUNCTION("""COMPUTED_VALUE"""),"https://www.instagram.com/zanjir_charandab")</f>
        <v>https://www.instagram.com/zanjir_charandab</v>
      </c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</row>
    <row r="1856">
      <c r="A1856" s="5"/>
      <c r="B1856" s="5" t="str">
        <f>IFERROR(__xludf.DUMMYFUNCTION("""COMPUTED_VALUE"""),"هیأت")</f>
        <v>هیأت</v>
      </c>
      <c r="C1856" s="5" t="str">
        <f>IFERROR(__xludf.DUMMYFUNCTION("""COMPUTED_VALUE"""),"چهارده معصوم چرنداب تبریز")</f>
        <v>چهارده معصوم چرنداب تبریز</v>
      </c>
      <c r="D1856" s="5" t="str">
        <f>IFERROR(__xludf.DUMMYFUNCTION("""COMPUTED_VALUE"""),"آذربایجان شرقی")</f>
        <v>آذربایجان شرقی</v>
      </c>
      <c r="E1856" s="5" t="str">
        <f>IFERROR(__xludf.DUMMYFUNCTION("""COMPUTED_VALUE"""),"تبریز")</f>
        <v>تبریز</v>
      </c>
      <c r="F1856" s="5"/>
      <c r="G1856" s="5"/>
      <c r="H1856" s="6" t="str">
        <f>IFERROR(__xludf.DUMMYFUNCTION("""COMPUTED_VALUE"""),"https://www.instagram.com/chahardahmasom.charandab")</f>
        <v>https://www.instagram.com/chahardahmasom.charandab</v>
      </c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</row>
    <row r="1857">
      <c r="A1857" s="5">
        <f>IFERROR(__xludf.DUMMYFUNCTION("""COMPUTED_VALUE"""),367.0)</f>
        <v>367</v>
      </c>
      <c r="B1857" s="5" t="str">
        <f>IFERROR(__xludf.DUMMYFUNCTION("""COMPUTED_VALUE"""),"هیأت")</f>
        <v>هیأت</v>
      </c>
      <c r="C1857" s="5" t="str">
        <f>IFERROR(__xludf.DUMMYFUNCTION("""COMPUTED_VALUE"""),"مکتب القرآن")</f>
        <v>مکتب القرآن</v>
      </c>
      <c r="D1857" s="5" t="str">
        <f>IFERROR(__xludf.DUMMYFUNCTION("""COMPUTED_VALUE"""),"آذربایجان شرقی")</f>
        <v>آذربایجان شرقی</v>
      </c>
      <c r="E1857" s="5" t="str">
        <f>IFERROR(__xludf.DUMMYFUNCTION("""COMPUTED_VALUE"""),"تبریز")</f>
        <v>تبریز</v>
      </c>
      <c r="F1857" s="5"/>
      <c r="G1857" s="5"/>
      <c r="H1857" s="5"/>
      <c r="I1857" s="5"/>
      <c r="J1857" s="6" t="str">
        <f>IFERROR(__xludf.DUMMYFUNCTION("""COMPUTED_VALUE"""),"https://eitaa.com/maktabegoorantabriz")</f>
        <v>https://eitaa.com/maktabegoorantabriz</v>
      </c>
      <c r="K1857" s="5"/>
      <c r="L1857" s="5"/>
      <c r="M1857" s="5"/>
      <c r="N1857" s="5"/>
      <c r="O1857" s="5"/>
      <c r="P1857" s="5"/>
      <c r="Q1857" s="5"/>
      <c r="R1857" s="5"/>
      <c r="S1857" s="5"/>
    </row>
    <row r="1858">
      <c r="A1858" s="5">
        <f>IFERROR(__xludf.DUMMYFUNCTION("""COMPUTED_VALUE"""),362.0)</f>
        <v>362</v>
      </c>
      <c r="B1858" s="5" t="str">
        <f>IFERROR(__xludf.DUMMYFUNCTION("""COMPUTED_VALUE"""),"هیأت")</f>
        <v>هیأت</v>
      </c>
      <c r="C1858" s="5" t="str">
        <f>IFERROR(__xludf.DUMMYFUNCTION("""COMPUTED_VALUE"""),"فاطمیون تبریز")</f>
        <v>فاطمیون تبریز</v>
      </c>
      <c r="D1858" s="5" t="str">
        <f>IFERROR(__xludf.DUMMYFUNCTION("""COMPUTED_VALUE"""),"آذربایجان شرقی")</f>
        <v>آذربایجان شرقی</v>
      </c>
      <c r="E1858" s="5" t="str">
        <f>IFERROR(__xludf.DUMMYFUNCTION("""COMPUTED_VALUE"""),"تبریز")</f>
        <v>تبریز</v>
      </c>
      <c r="F1858" s="5"/>
      <c r="G1858" s="5"/>
      <c r="H1858" s="6" t="str">
        <f>IFERROR(__xludf.DUMMYFUNCTION("""COMPUTED_VALUE"""),"https://www.instagram.com/fatemiyune.tabriz")</f>
        <v>https://www.instagram.com/fatemiyune.tabriz</v>
      </c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</row>
    <row r="1859">
      <c r="A1859" s="5"/>
      <c r="B1859" s="5" t="str">
        <f>IFERROR(__xludf.DUMMYFUNCTION("""COMPUTED_VALUE"""),"هیأت")</f>
        <v>هیأت</v>
      </c>
      <c r="C1859" s="5" t="str">
        <f>IFERROR(__xludf.DUMMYFUNCTION("""COMPUTED_VALUE"""),"فاطمیون")</f>
        <v>فاطمیون</v>
      </c>
      <c r="D1859" s="5" t="str">
        <f>IFERROR(__xludf.DUMMYFUNCTION("""COMPUTED_VALUE"""),"آذربایجان شرقی")</f>
        <v>آذربایجان شرقی</v>
      </c>
      <c r="E1859" s="5" t="str">
        <f>IFERROR(__xludf.DUMMYFUNCTION("""COMPUTED_VALUE"""),"تبریز")</f>
        <v>تبریز</v>
      </c>
      <c r="F1859" s="5"/>
      <c r="G1859" s="5"/>
      <c r="H1859" s="6" t="str">
        <f>IFERROR(__xludf.DUMMYFUNCTION("""COMPUTED_VALUE"""),"https://www.instagram.com/fatemiyyontabriz")</f>
        <v>https://www.instagram.com/fatemiyyontabriz</v>
      </c>
      <c r="I1859" s="5"/>
      <c r="J1859" s="6" t="str">
        <f>IFERROR(__xludf.DUMMYFUNCTION("""COMPUTED_VALUE"""),"https://eitaa.com/fatemiyyontabriz")</f>
        <v>https://eitaa.com/fatemiyyontabriz</v>
      </c>
      <c r="K1859" s="5"/>
      <c r="L1859" s="5"/>
      <c r="M1859" s="5"/>
      <c r="N1859" s="5"/>
      <c r="O1859" s="5"/>
      <c r="P1859" s="5"/>
      <c r="Q1859" s="5"/>
      <c r="R1859" s="5"/>
      <c r="S1859" s="5"/>
    </row>
    <row r="1860">
      <c r="A1860" s="5">
        <f>IFERROR(__xludf.DUMMYFUNCTION("""COMPUTED_VALUE"""),357.0)</f>
        <v>357</v>
      </c>
      <c r="B1860" s="5" t="str">
        <f>IFERROR(__xludf.DUMMYFUNCTION("""COMPUTED_VALUE"""),"هیأت")</f>
        <v>هیأت</v>
      </c>
      <c r="C1860" s="5" t="str">
        <f>IFERROR(__xludf.DUMMYFUNCTION("""COMPUTED_VALUE"""),"عزاداران جوادالائمه (ع)")</f>
        <v>عزاداران جوادالائمه (ع)</v>
      </c>
      <c r="D1860" s="5" t="str">
        <f>IFERROR(__xludf.DUMMYFUNCTION("""COMPUTED_VALUE"""),"آذربایجان شرقی")</f>
        <v>آذربایجان شرقی</v>
      </c>
      <c r="E1860" s="5" t="str">
        <f>IFERROR(__xludf.DUMMYFUNCTION("""COMPUTED_VALUE"""),"تبریز")</f>
        <v>تبریز</v>
      </c>
      <c r="F1860" s="5"/>
      <c r="G1860" s="5"/>
      <c r="H1860" s="6" t="str">
        <f>IFERROR(__xludf.DUMMYFUNCTION("""COMPUTED_VALUE"""),"https://www.instagram.com/emam_javadolaeme")</f>
        <v>https://www.instagram.com/emam_javadolaeme</v>
      </c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</row>
    <row r="1861">
      <c r="A1861" s="5">
        <f>IFERROR(__xludf.DUMMYFUNCTION("""COMPUTED_VALUE"""),350.0)</f>
        <v>350</v>
      </c>
      <c r="B1861" s="5" t="str">
        <f>IFERROR(__xludf.DUMMYFUNCTION("""COMPUTED_VALUE"""),"هیأت")</f>
        <v>هیأت</v>
      </c>
      <c r="C1861" s="5" t="str">
        <f>IFERROR(__xludf.DUMMYFUNCTION("""COMPUTED_VALUE"""),"عزاداران پابوسان علی اکبر (ع)")</f>
        <v>عزاداران پابوسان علی اکبر (ع)</v>
      </c>
      <c r="D1861" s="5" t="str">
        <f>IFERROR(__xludf.DUMMYFUNCTION("""COMPUTED_VALUE"""),"آذربایجان شرقی")</f>
        <v>آذربایجان شرقی</v>
      </c>
      <c r="E1861" s="5" t="str">
        <f>IFERROR(__xludf.DUMMYFUNCTION("""COMPUTED_VALUE"""),"تبریز")</f>
        <v>تبریز</v>
      </c>
      <c r="F1861" s="5"/>
      <c r="G1861" s="5"/>
      <c r="H1861" s="6" t="str">
        <f>IFERROR(__xludf.DUMMYFUNCTION("""COMPUTED_VALUE"""),"https://www.instagram.com/pabusan.ir")</f>
        <v>https://www.instagram.com/pabusan.ir</v>
      </c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</row>
    <row r="1862">
      <c r="A1862" s="5">
        <f>IFERROR(__xludf.DUMMYFUNCTION("""COMPUTED_VALUE"""),349.0)</f>
        <v>349</v>
      </c>
      <c r="B1862" s="5" t="str">
        <f>IFERROR(__xludf.DUMMYFUNCTION("""COMPUTED_VALUE"""),"هیأت")</f>
        <v>هیأت</v>
      </c>
      <c r="C1862" s="5" t="str">
        <f>IFERROR(__xludf.DUMMYFUNCTION("""COMPUTED_VALUE"""),"عزاداران مصباح الهدی (عج)")</f>
        <v>عزاداران مصباح الهدی (عج)</v>
      </c>
      <c r="D1862" s="5" t="str">
        <f>IFERROR(__xludf.DUMMYFUNCTION("""COMPUTED_VALUE"""),"آذربایجان شرقی")</f>
        <v>آذربایجان شرقی</v>
      </c>
      <c r="E1862" s="5" t="str">
        <f>IFERROR(__xludf.DUMMYFUNCTION("""COMPUTED_VALUE"""),"تبریز")</f>
        <v>تبریز</v>
      </c>
      <c r="F1862" s="5"/>
      <c r="G1862" s="5"/>
      <c r="H1862" s="6" t="str">
        <f>IFERROR(__xludf.DUMMYFUNCTION("""COMPUTED_VALUE"""),"https://www.instagram.com/mesbah_olhoda_tb")</f>
        <v>https://www.instagram.com/mesbah_olhoda_tb</v>
      </c>
      <c r="I1862" s="6" t="str">
        <f>IFERROR(__xludf.DUMMYFUNCTION("""COMPUTED_VALUE"""),"https://t.me/mesbaholhodatabriz")</f>
        <v>https://t.me/mesbaholhodatabriz</v>
      </c>
      <c r="J1862" s="5"/>
      <c r="K1862" s="5"/>
      <c r="L1862" s="5"/>
      <c r="M1862" s="5"/>
      <c r="N1862" s="5"/>
      <c r="O1862" s="5"/>
      <c r="P1862" s="5"/>
      <c r="Q1862" s="5"/>
      <c r="R1862" s="5"/>
      <c r="S1862" s="5"/>
    </row>
    <row r="1863">
      <c r="A1863" s="5">
        <f>IFERROR(__xludf.DUMMYFUNCTION("""COMPUTED_VALUE"""),346.0)</f>
        <v>346</v>
      </c>
      <c r="B1863" s="5" t="str">
        <f>IFERROR(__xludf.DUMMYFUNCTION("""COMPUTED_VALUE"""),"هیأت")</f>
        <v>هیأت</v>
      </c>
      <c r="C1863" s="5" t="str">
        <f>IFERROR(__xludf.DUMMYFUNCTION("""COMPUTED_VALUE"""),"عزاداران عاشقان حضرت رقیه (س)")</f>
        <v>عزاداران عاشقان حضرت رقیه (س)</v>
      </c>
      <c r="D1863" s="5" t="str">
        <f>IFERROR(__xludf.DUMMYFUNCTION("""COMPUTED_VALUE"""),"آذربایجان شرقی")</f>
        <v>آذربایجان شرقی</v>
      </c>
      <c r="E1863" s="5" t="str">
        <f>IFERROR(__xludf.DUMMYFUNCTION("""COMPUTED_VALUE"""),"تبریز")</f>
        <v>تبریز</v>
      </c>
      <c r="F1863" s="5"/>
      <c r="G1863" s="5"/>
      <c r="H1863" s="6" t="str">
        <f>IFERROR(__xludf.DUMMYFUNCTION("""COMPUTED_VALUE"""),"https://www.instagram.com/hazrate.rogeye")</f>
        <v>https://www.instagram.com/hazrate.rogeye</v>
      </c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</row>
    <row r="1864">
      <c r="A1864" s="5">
        <f>IFERROR(__xludf.DUMMYFUNCTION("""COMPUTED_VALUE"""),345.0)</f>
        <v>345</v>
      </c>
      <c r="B1864" s="5" t="str">
        <f>IFERROR(__xludf.DUMMYFUNCTION("""COMPUTED_VALUE"""),"هیأت")</f>
        <v>هیأت</v>
      </c>
      <c r="C1864" s="5" t="str">
        <f>IFERROR(__xludf.DUMMYFUNCTION("""COMPUTED_VALUE"""),"عزاداران ثامن الائمه (ع) (محله طالقانی)")</f>
        <v>عزاداران ثامن الائمه (ع) (محله طالقانی)</v>
      </c>
      <c r="D1864" s="5" t="str">
        <f>IFERROR(__xludf.DUMMYFUNCTION("""COMPUTED_VALUE"""),"آذربایجان شرقی")</f>
        <v>آذربایجان شرقی</v>
      </c>
      <c r="E1864" s="5" t="str">
        <f>IFERROR(__xludf.DUMMYFUNCTION("""COMPUTED_VALUE"""),"تبریز")</f>
        <v>تبریز</v>
      </c>
      <c r="F1864" s="5"/>
      <c r="G1864" s="5"/>
      <c r="H1864" s="6" t="str">
        <f>IFERROR(__xludf.DUMMYFUNCTION("""COMPUTED_VALUE"""),"https://www.instagram.com/heyat_samenalaemeh")</f>
        <v>https://www.instagram.com/heyat_samenalaemeh</v>
      </c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</row>
    <row r="1865">
      <c r="A1865" s="5">
        <f>IFERROR(__xludf.DUMMYFUNCTION("""COMPUTED_VALUE"""),344.0)</f>
        <v>344</v>
      </c>
      <c r="B1865" s="5" t="str">
        <f>IFERROR(__xludf.DUMMYFUNCTION("""COMPUTED_VALUE"""),"هیأت")</f>
        <v>هیأت</v>
      </c>
      <c r="C1865" s="5" t="str">
        <f>IFERROR(__xludf.DUMMYFUNCTION("""COMPUTED_VALUE"""),"عزاداران مکتب اخلاق انصار باقرالعلوم (ع)")</f>
        <v>عزاداران مکتب اخلاق انصار باقرالعلوم (ع)</v>
      </c>
      <c r="D1865" s="5" t="str">
        <f>IFERROR(__xludf.DUMMYFUNCTION("""COMPUTED_VALUE"""),"آذربایجان شرقی")</f>
        <v>آذربایجان شرقی</v>
      </c>
      <c r="E1865" s="5" t="str">
        <f>IFERROR(__xludf.DUMMYFUNCTION("""COMPUTED_VALUE"""),"تبریز")</f>
        <v>تبریز</v>
      </c>
      <c r="F1865" s="5"/>
      <c r="G1865" s="5"/>
      <c r="H1865" s="6" t="str">
        <f>IFERROR(__xludf.DUMMYFUNCTION("""COMPUTED_VALUE"""),"https://www.instagram.com/ansar_bagher_al_ouloum")</f>
        <v>https://www.instagram.com/ansar_bagher_al_ouloum</v>
      </c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</row>
    <row r="1866">
      <c r="A1866" s="5">
        <f>IFERROR(__xludf.DUMMYFUNCTION("""COMPUTED_VALUE"""),320.0)</f>
        <v>320</v>
      </c>
      <c r="B1866" s="5" t="str">
        <f>IFERROR(__xludf.DUMMYFUNCTION("""COMPUTED_VALUE"""),"هیأت")</f>
        <v>هیأت</v>
      </c>
      <c r="C1866" s="5" t="str">
        <f>IFERROR(__xludf.DUMMYFUNCTION("""COMPUTED_VALUE"""),"عزاداران حضرت فاطمه الزهرا (س) (شهرک ارم)")</f>
        <v>عزاداران حضرت فاطمه الزهرا (س) (شهرک ارم)</v>
      </c>
      <c r="D1866" s="5" t="str">
        <f>IFERROR(__xludf.DUMMYFUNCTION("""COMPUTED_VALUE"""),"آذربایجان شرقی")</f>
        <v>آذربایجان شرقی</v>
      </c>
      <c r="E1866" s="5" t="str">
        <f>IFERROR(__xludf.DUMMYFUNCTION("""COMPUTED_VALUE"""),"تبریز")</f>
        <v>تبریز</v>
      </c>
      <c r="F1866" s="5"/>
      <c r="G1866" s="5"/>
      <c r="H1866" s="6" t="str">
        <f>IFERROR(__xludf.DUMMYFUNCTION("""COMPUTED_VALUE"""),"https://www.instagram.com/fatematol_zahra")</f>
        <v>https://www.instagram.com/fatematol_zahra</v>
      </c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</row>
    <row r="1867">
      <c r="A1867" s="5">
        <f>IFERROR(__xludf.DUMMYFUNCTION("""COMPUTED_VALUE"""),304.0)</f>
        <v>304</v>
      </c>
      <c r="B1867" s="5" t="str">
        <f>IFERROR(__xludf.DUMMYFUNCTION("""COMPUTED_VALUE"""),"هیأت")</f>
        <v>هیأت</v>
      </c>
      <c r="C1867" s="5" t="str">
        <f>IFERROR(__xludf.DUMMYFUNCTION("""COMPUTED_VALUE"""),"عزاداران عباسیه چرنداب")</f>
        <v>عزاداران عباسیه چرنداب</v>
      </c>
      <c r="D1867" s="5" t="str">
        <f>IFERROR(__xludf.DUMMYFUNCTION("""COMPUTED_VALUE"""),"آذربایجان شرقی")</f>
        <v>آذربایجان شرقی</v>
      </c>
      <c r="E1867" s="5" t="str">
        <f>IFERROR(__xludf.DUMMYFUNCTION("""COMPUTED_VALUE"""),"تبریز")</f>
        <v>تبریز</v>
      </c>
      <c r="F1867" s="5"/>
      <c r="G1867" s="5"/>
      <c r="H1867" s="6" t="str">
        <f>IFERROR(__xludf.DUMMYFUNCTION("""COMPUTED_VALUE"""),"https://www.instagram.com/abbasie_charandab")</f>
        <v>https://www.instagram.com/abbasie_charandab</v>
      </c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</row>
    <row r="1868">
      <c r="A1868" s="5">
        <f>IFERROR(__xludf.DUMMYFUNCTION("""COMPUTED_VALUE"""),298.0)</f>
        <v>298</v>
      </c>
      <c r="B1868" s="5" t="str">
        <f>IFERROR(__xludf.DUMMYFUNCTION("""COMPUTED_VALUE"""),"هیأت")</f>
        <v>هیأت</v>
      </c>
      <c r="C1868" s="5" t="str">
        <f>IFERROR(__xludf.DUMMYFUNCTION("""COMPUTED_VALUE"""),"هیات الزهرا (س)")</f>
        <v>هیات الزهرا (س)</v>
      </c>
      <c r="D1868" s="5" t="str">
        <f>IFERROR(__xludf.DUMMYFUNCTION("""COMPUTED_VALUE"""),"آذربایجان شرقی")</f>
        <v>آذربایجان شرقی</v>
      </c>
      <c r="E1868" s="5" t="str">
        <f>IFERROR(__xludf.DUMMYFUNCTION("""COMPUTED_VALUE"""),"تبریز")</f>
        <v>تبریز</v>
      </c>
      <c r="F1868" s="5"/>
      <c r="G1868" s="5"/>
      <c r="H1868" s="6" t="str">
        <f>IFERROR(__xludf.DUMMYFUNCTION("""COMPUTED_VALUE"""),"https://www.instagram.com/heyat_alzahra.ir")</f>
        <v>https://www.instagram.com/heyat_alzahra.ir</v>
      </c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</row>
    <row r="1869">
      <c r="A1869" s="5">
        <f>IFERROR(__xludf.DUMMYFUNCTION("""COMPUTED_VALUE"""),293.0)</f>
        <v>293</v>
      </c>
      <c r="B1869" s="5" t="str">
        <f>IFERROR(__xludf.DUMMYFUNCTION("""COMPUTED_VALUE"""),"هیأت")</f>
        <v>هیأت</v>
      </c>
      <c r="C1869" s="5" t="str">
        <f>IFERROR(__xludf.DUMMYFUNCTION("""COMPUTED_VALUE"""),"انصارالمهدی (عج)")</f>
        <v>انصارالمهدی (عج)</v>
      </c>
      <c r="D1869" s="5" t="str">
        <f>IFERROR(__xludf.DUMMYFUNCTION("""COMPUTED_VALUE"""),"آذربایجان شرقی")</f>
        <v>آذربایجان شرقی</v>
      </c>
      <c r="E1869" s="5" t="str">
        <f>IFERROR(__xludf.DUMMYFUNCTION("""COMPUTED_VALUE"""),"تبریز")</f>
        <v>تبریز</v>
      </c>
      <c r="F1869" s="5"/>
      <c r="G1869" s="5"/>
      <c r="H1869" s="6" t="str">
        <f>IFERROR(__xludf.DUMMYFUNCTION("""COMPUTED_VALUE"""),"https://www.instagram.com/heyat_ansarolmahditabriz")</f>
        <v>https://www.instagram.com/heyat_ansarolmahditabriz</v>
      </c>
      <c r="I1869" s="6" t="str">
        <f>IFERROR(__xludf.DUMMYFUNCTION("""COMPUTED_VALUE"""),"https://t.me/heyatansarolmahditabriz")</f>
        <v>https://t.me/heyatansarolmahditabriz</v>
      </c>
      <c r="J1869" s="6" t="str">
        <f>IFERROR(__xludf.DUMMYFUNCTION("""COMPUTED_VALUE"""),"https://eitaa.com/ansarolmahditabriz")</f>
        <v>https://eitaa.com/ansarolmahditabriz</v>
      </c>
      <c r="K1869" s="5"/>
      <c r="L1869" s="5"/>
      <c r="M1869" s="5"/>
      <c r="N1869" s="5"/>
      <c r="O1869" s="5"/>
      <c r="P1869" s="5"/>
      <c r="Q1869" s="5"/>
      <c r="R1869" s="5"/>
      <c r="S1869" s="5"/>
    </row>
    <row r="1870">
      <c r="A1870" s="5">
        <f>IFERROR(__xludf.DUMMYFUNCTION("""COMPUTED_VALUE"""),291.0)</f>
        <v>291</v>
      </c>
      <c r="B1870" s="5" t="str">
        <f>IFERROR(__xludf.DUMMYFUNCTION("""COMPUTED_VALUE"""),"هیأت")</f>
        <v>هیأت</v>
      </c>
      <c r="C1870" s="5" t="str">
        <f>IFERROR(__xludf.DUMMYFUNCTION("""COMPUTED_VALUE"""),"وارثان ثارالله (ع)")</f>
        <v>وارثان ثارالله (ع)</v>
      </c>
      <c r="D1870" s="5" t="str">
        <f>IFERROR(__xludf.DUMMYFUNCTION("""COMPUTED_VALUE"""),"آذربایجان شرقی")</f>
        <v>آذربایجان شرقی</v>
      </c>
      <c r="E1870" s="5" t="str">
        <f>IFERROR(__xludf.DUMMYFUNCTION("""COMPUTED_VALUE"""),"تبریز")</f>
        <v>تبریز</v>
      </c>
      <c r="F1870" s="5"/>
      <c r="G1870" s="5"/>
      <c r="H1870" s="6" t="str">
        <f>IFERROR(__xludf.DUMMYFUNCTION("""COMPUTED_VALUE"""),"https://www.instagram.com/varesansarallah")</f>
        <v>https://www.instagram.com/varesansarallah</v>
      </c>
      <c r="I1870" s="6" t="str">
        <f>IFERROR(__xludf.DUMMYFUNCTION("""COMPUTED_VALUE"""),"https://t.me/VaresanSarallahTabriz1")</f>
        <v>https://t.me/VaresanSarallahTabriz1</v>
      </c>
      <c r="J1870" s="5"/>
      <c r="K1870" s="5"/>
      <c r="L1870" s="5"/>
      <c r="M1870" s="5"/>
      <c r="N1870" s="5"/>
      <c r="O1870" s="5"/>
      <c r="P1870" s="5"/>
      <c r="Q1870" s="5"/>
      <c r="R1870" s="5"/>
      <c r="S1870" s="5"/>
    </row>
    <row r="1871">
      <c r="A1871" s="5">
        <f>IFERROR(__xludf.DUMMYFUNCTION("""COMPUTED_VALUE"""),276.0)</f>
        <v>276</v>
      </c>
      <c r="B1871" s="5" t="str">
        <f>IFERROR(__xludf.DUMMYFUNCTION("""COMPUTED_VALUE"""),"هیأت")</f>
        <v>هیأت</v>
      </c>
      <c r="C1871" s="5" t="str">
        <f>IFERROR(__xludf.DUMMYFUNCTION("""COMPUTED_VALUE"""),"هیات موکب عزاداران مکتب العباس (ع)")</f>
        <v>هیات موکب عزاداران مکتب العباس (ع)</v>
      </c>
      <c r="D1871" s="5" t="str">
        <f>IFERROR(__xludf.DUMMYFUNCTION("""COMPUTED_VALUE"""),"آذربایجان شرقی")</f>
        <v>آذربایجان شرقی</v>
      </c>
      <c r="E1871" s="5" t="str">
        <f>IFERROR(__xludf.DUMMYFUNCTION("""COMPUTED_VALUE"""),"تبریز")</f>
        <v>تبریز</v>
      </c>
      <c r="F1871" s="5"/>
      <c r="G1871" s="5"/>
      <c r="H1871" s="6" t="str">
        <f>IFERROR(__xludf.DUMMYFUNCTION("""COMPUTED_VALUE"""),"https://www.instagram.com/maktabol_abbas_tabriz")</f>
        <v>https://www.instagram.com/maktabol_abbas_tabriz</v>
      </c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</row>
    <row r="1872">
      <c r="A1872" s="5">
        <f>IFERROR(__xludf.DUMMYFUNCTION("""COMPUTED_VALUE"""),210.0)</f>
        <v>210</v>
      </c>
      <c r="B1872" s="5" t="str">
        <f>IFERROR(__xludf.DUMMYFUNCTION("""COMPUTED_VALUE"""),"هیأت")</f>
        <v>هیأت</v>
      </c>
      <c r="C1872" s="5" t="str">
        <f>IFERROR(__xludf.DUMMYFUNCTION("""COMPUTED_VALUE"""),"عزاداران چهارده معصوم (ع)")</f>
        <v>عزاداران چهارده معصوم (ع)</v>
      </c>
      <c r="D1872" s="5" t="str">
        <f>IFERROR(__xludf.DUMMYFUNCTION("""COMPUTED_VALUE"""),"آذربایجان شرقی")</f>
        <v>آذربایجان شرقی</v>
      </c>
      <c r="E1872" s="5" t="str">
        <f>IFERROR(__xludf.DUMMYFUNCTION("""COMPUTED_VALUE"""),"تبریز")</f>
        <v>تبریز</v>
      </c>
      <c r="F1872" s="5"/>
      <c r="G1872" s="5"/>
      <c r="H1872" s="5"/>
      <c r="I1872" s="5"/>
      <c r="J1872" s="6" t="str">
        <f>IFERROR(__xludf.DUMMYFUNCTION("""COMPUTED_VALUE"""),"https://eitaa.com/heyat_chahardah_masom")</f>
        <v>https://eitaa.com/heyat_chahardah_masom</v>
      </c>
      <c r="K1872" s="5"/>
      <c r="L1872" s="5"/>
      <c r="M1872" s="5"/>
      <c r="N1872" s="5"/>
      <c r="O1872" s="5"/>
      <c r="P1872" s="5"/>
      <c r="Q1872" s="5"/>
      <c r="R1872" s="5"/>
      <c r="S1872" s="5"/>
    </row>
    <row r="1873">
      <c r="A1873" s="5">
        <f>IFERROR(__xludf.DUMMYFUNCTION("""COMPUTED_VALUE"""),206.0)</f>
        <v>206</v>
      </c>
      <c r="B1873" s="5" t="str">
        <f>IFERROR(__xludf.DUMMYFUNCTION("""COMPUTED_VALUE"""),"هیأت")</f>
        <v>هیأت</v>
      </c>
      <c r="C1873" s="5" t="str">
        <f>IFERROR(__xludf.DUMMYFUNCTION("""COMPUTED_VALUE"""),"اکبریه (شتربان)")</f>
        <v>اکبریه (شتربان)</v>
      </c>
      <c r="D1873" s="5" t="str">
        <f>IFERROR(__xludf.DUMMYFUNCTION("""COMPUTED_VALUE"""),"آذربایجان شرقی")</f>
        <v>آذربایجان شرقی</v>
      </c>
      <c r="E1873" s="5" t="str">
        <f>IFERROR(__xludf.DUMMYFUNCTION("""COMPUTED_VALUE"""),"تبریز")</f>
        <v>تبریز</v>
      </c>
      <c r="F1873" s="5"/>
      <c r="G1873" s="5"/>
      <c r="H1873" s="6" t="str">
        <f>IFERROR(__xludf.DUMMYFUNCTION("""COMPUTED_VALUE"""),"https://www.instagram.com/akbariyeh_shotorban_ir")</f>
        <v>https://www.instagram.com/akbariyeh_shotorban_ir</v>
      </c>
      <c r="I1873" s="6" t="str">
        <f>IFERROR(__xludf.DUMMYFUNCTION("""COMPUTED_VALUE"""),"https://t.me/AKBARIYEHshotorban")</f>
        <v>https://t.me/AKBARIYEHshotorban</v>
      </c>
      <c r="J1873" s="5"/>
      <c r="K1873" s="5"/>
      <c r="L1873" s="5"/>
      <c r="M1873" s="5"/>
      <c r="N1873" s="5"/>
      <c r="O1873" s="5"/>
      <c r="P1873" s="5"/>
      <c r="Q1873" s="5"/>
      <c r="R1873" s="5"/>
      <c r="S1873" s="5"/>
    </row>
    <row r="1874">
      <c r="A1874" s="5">
        <f>IFERROR(__xludf.DUMMYFUNCTION("""COMPUTED_VALUE"""),182.0)</f>
        <v>182</v>
      </c>
      <c r="B1874" s="5" t="str">
        <f>IFERROR(__xludf.DUMMYFUNCTION("""COMPUTED_VALUE"""),"هیأت")</f>
        <v>هیأت</v>
      </c>
      <c r="C1874" s="5" t="str">
        <f>IFERROR(__xludf.DUMMYFUNCTION("""COMPUTED_VALUE"""),"عزاداران امام حسن مجتبی (ع)")</f>
        <v>عزاداران امام حسن مجتبی (ع)</v>
      </c>
      <c r="D1874" s="5" t="str">
        <f>IFERROR(__xludf.DUMMYFUNCTION("""COMPUTED_VALUE"""),"آذربایجان شرقی")</f>
        <v>آذربایجان شرقی</v>
      </c>
      <c r="E1874" s="5" t="str">
        <f>IFERROR(__xludf.DUMMYFUNCTION("""COMPUTED_VALUE"""),"تبریز")</f>
        <v>تبریز</v>
      </c>
      <c r="F1874" s="5"/>
      <c r="G1874" s="5"/>
      <c r="H1874" s="6" t="str">
        <f>IFERROR(__xludf.DUMMYFUNCTION("""COMPUTED_VALUE"""),"https://www.instagram.com/heiate_baghmishe")</f>
        <v>https://www.instagram.com/heiate_baghmishe</v>
      </c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</row>
    <row r="1875">
      <c r="A1875" s="5">
        <f>IFERROR(__xludf.DUMMYFUNCTION("""COMPUTED_VALUE"""),178.0)</f>
        <v>178</v>
      </c>
      <c r="B1875" s="5" t="str">
        <f>IFERROR(__xludf.DUMMYFUNCTION("""COMPUTED_VALUE"""),"هیأت")</f>
        <v>هیأت</v>
      </c>
      <c r="C1875" s="5" t="str">
        <f>IFERROR(__xludf.DUMMYFUNCTION("""COMPUTED_VALUE"""),"عزاداران الزهرا (س)")</f>
        <v>عزاداران الزهرا (س)</v>
      </c>
      <c r="D1875" s="5" t="str">
        <f>IFERROR(__xludf.DUMMYFUNCTION("""COMPUTED_VALUE"""),"آذربایجان شرقی")</f>
        <v>آذربایجان شرقی</v>
      </c>
      <c r="E1875" s="5" t="str">
        <f>IFERROR(__xludf.DUMMYFUNCTION("""COMPUTED_VALUE"""),"تبریز")</f>
        <v>تبریز</v>
      </c>
      <c r="F1875" s="5"/>
      <c r="G1875" s="5"/>
      <c r="H1875" s="6" t="str">
        <f>IFERROR(__xludf.DUMMYFUNCTION("""COMPUTED_VALUE"""),"https://www.instagram.com/azzahraetabriz")</f>
        <v>https://www.instagram.com/azzahraetabriz</v>
      </c>
      <c r="I1875" s="6" t="str">
        <f>IFERROR(__xludf.DUMMYFUNCTION("""COMPUTED_VALUE"""),"https://t.me/azzahraetabriz")</f>
        <v>https://t.me/azzahraetabriz</v>
      </c>
      <c r="J1875" s="6" t="str">
        <f>IFERROR(__xludf.DUMMYFUNCTION("""COMPUTED_VALUE"""),"https://eitaa.com/azzahraetabriz")</f>
        <v>https://eitaa.com/azzahraetabriz</v>
      </c>
      <c r="K1875" s="5"/>
      <c r="L1875" s="5"/>
      <c r="M1875" s="5"/>
      <c r="N1875" s="5"/>
      <c r="O1875" s="5"/>
      <c r="P1875" s="5"/>
      <c r="Q1875" s="5"/>
      <c r="R1875" s="5"/>
      <c r="S1875" s="5"/>
    </row>
    <row r="1876">
      <c r="A1876" s="5">
        <f>IFERROR(__xludf.DUMMYFUNCTION("""COMPUTED_VALUE"""),176.0)</f>
        <v>176</v>
      </c>
      <c r="B1876" s="5" t="str">
        <f>IFERROR(__xludf.DUMMYFUNCTION("""COMPUTED_VALUE"""),"هیأت")</f>
        <v>هیأت</v>
      </c>
      <c r="C1876" s="5" t="str">
        <f>IFERROR(__xludf.DUMMYFUNCTION("""COMPUTED_VALUE"""),"بنیاد نیمه شعبان")</f>
        <v>بنیاد نیمه شعبان</v>
      </c>
      <c r="D1876" s="5" t="str">
        <f>IFERROR(__xludf.DUMMYFUNCTION("""COMPUTED_VALUE"""),"آذربایجان شرقی")</f>
        <v>آذربایجان شرقی</v>
      </c>
      <c r="E1876" s="5" t="str">
        <f>IFERROR(__xludf.DUMMYFUNCTION("""COMPUTED_VALUE"""),"تبریز")</f>
        <v>تبریز</v>
      </c>
      <c r="F1876" s="5"/>
      <c r="G1876" s="5"/>
      <c r="H1876" s="6" t="str">
        <f>IFERROR(__xludf.DUMMYFUNCTION("""COMPUTED_VALUE"""),"https://www.instagram.com/shamsevelayat")</f>
        <v>https://www.instagram.com/shamsevelayat</v>
      </c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</row>
    <row r="1877">
      <c r="A1877" s="5">
        <f>IFERROR(__xludf.DUMMYFUNCTION("""COMPUTED_VALUE"""),175.0)</f>
        <v>175</v>
      </c>
      <c r="B1877" s="5" t="str">
        <f>IFERROR(__xludf.DUMMYFUNCTION("""COMPUTED_VALUE"""),"هیأت")</f>
        <v>هیأت</v>
      </c>
      <c r="C1877" s="5" t="str">
        <f>IFERROR(__xludf.DUMMYFUNCTION("""COMPUTED_VALUE"""),"کانون فرهنگی صراط")</f>
        <v>کانون فرهنگی صراط</v>
      </c>
      <c r="D1877" s="5" t="str">
        <f>IFERROR(__xludf.DUMMYFUNCTION("""COMPUTED_VALUE"""),"آذربایجان شرقی")</f>
        <v>آذربایجان شرقی</v>
      </c>
      <c r="E1877" s="5" t="str">
        <f>IFERROR(__xludf.DUMMYFUNCTION("""COMPUTED_VALUE"""),"تبریز")</f>
        <v>تبریز</v>
      </c>
      <c r="F1877" s="5"/>
      <c r="G1877" s="5"/>
      <c r="H1877" s="6" t="str">
        <f>IFERROR(__xludf.DUMMYFUNCTION("""COMPUTED_VALUE"""),"https://www.instagram.com/serat.tb")</f>
        <v>https://www.instagram.com/serat.tb</v>
      </c>
      <c r="I1877" s="5"/>
      <c r="J1877" s="6" t="str">
        <f>IFERROR(__xludf.DUMMYFUNCTION("""COMPUTED_VALUE"""),"https://eitaa.com/serattb")</f>
        <v>https://eitaa.com/serattb</v>
      </c>
      <c r="K1877" s="5"/>
      <c r="L1877" s="5"/>
      <c r="M1877" s="5"/>
      <c r="N1877" s="5"/>
      <c r="O1877" s="5"/>
      <c r="P1877" s="5"/>
      <c r="Q1877" s="5"/>
      <c r="R1877" s="5"/>
      <c r="S1877" s="5"/>
    </row>
    <row r="1878">
      <c r="A1878" s="5">
        <f>IFERROR(__xludf.DUMMYFUNCTION("""COMPUTED_VALUE"""),173.0)</f>
        <v>173</v>
      </c>
      <c r="B1878" s="5" t="str">
        <f>IFERROR(__xludf.DUMMYFUNCTION("""COMPUTED_VALUE"""),"هیأت")</f>
        <v>هیأت</v>
      </c>
      <c r="C1878" s="5" t="str">
        <f>IFERROR(__xludf.DUMMYFUNCTION("""COMPUTED_VALUE"""),"فاطمیون (دانشگاه فرهنگیان علامه امینی)")</f>
        <v>فاطمیون (دانشگاه فرهنگیان علامه امینی)</v>
      </c>
      <c r="D1878" s="5" t="str">
        <f>IFERROR(__xludf.DUMMYFUNCTION("""COMPUTED_VALUE"""),"آذربایجان شرقی")</f>
        <v>آذربایجان شرقی</v>
      </c>
      <c r="E1878" s="5" t="str">
        <f>IFERROR(__xludf.DUMMYFUNCTION("""COMPUTED_VALUE"""),"تبریز")</f>
        <v>تبریز</v>
      </c>
      <c r="F1878" s="5"/>
      <c r="G1878" s="5"/>
      <c r="H1878" s="6" t="str">
        <f>IFERROR(__xludf.DUMMYFUNCTION("""COMPUTED_VALUE"""),"https://www.instagram.com/cfu.fatemiyon")</f>
        <v>https://www.instagram.com/cfu.fatemiyon</v>
      </c>
      <c r="I1878" s="6" t="str">
        <f>IFERROR(__xludf.DUMMYFUNCTION("""COMPUTED_VALUE"""),"https://t.me/cfu_fatemiyon")</f>
        <v>https://t.me/cfu_fatemiyon</v>
      </c>
      <c r="J1878" s="5"/>
      <c r="K1878" s="5"/>
      <c r="L1878" s="5"/>
      <c r="M1878" s="5"/>
      <c r="N1878" s="5"/>
      <c r="O1878" s="5"/>
      <c r="P1878" s="5"/>
      <c r="Q1878" s="5"/>
      <c r="R1878" s="5"/>
      <c r="S1878" s="5"/>
    </row>
    <row r="1879">
      <c r="A1879" s="5">
        <f>IFERROR(__xludf.DUMMYFUNCTION("""COMPUTED_VALUE"""),171.0)</f>
        <v>171</v>
      </c>
      <c r="B1879" s="5" t="str">
        <f>IFERROR(__xludf.DUMMYFUNCTION("""COMPUTED_VALUE"""),"هیأت")</f>
        <v>هیأت</v>
      </c>
      <c r="C1879" s="5" t="str">
        <f>IFERROR(__xludf.DUMMYFUNCTION("""COMPUTED_VALUE"""),"عزاداران مسجد آل محمد (ص)")</f>
        <v>عزاداران مسجد آل محمد (ص)</v>
      </c>
      <c r="D1879" s="5" t="str">
        <f>IFERROR(__xludf.DUMMYFUNCTION("""COMPUTED_VALUE"""),"آذربایجان شرقی")</f>
        <v>آذربایجان شرقی</v>
      </c>
      <c r="E1879" s="5" t="str">
        <f>IFERROR(__xludf.DUMMYFUNCTION("""COMPUTED_VALUE"""),"تبریز")</f>
        <v>تبریز</v>
      </c>
      <c r="F1879" s="5"/>
      <c r="G1879" s="5"/>
      <c r="H1879" s="5"/>
      <c r="I1879" s="5"/>
      <c r="J1879" s="6" t="str">
        <f>IFERROR(__xludf.DUMMYFUNCTION("""COMPUTED_VALUE"""),"https://eitaa.com/heiatalemohammad")</f>
        <v>https://eitaa.com/heiatalemohammad</v>
      </c>
      <c r="K1879" s="5"/>
      <c r="L1879" s="5"/>
      <c r="M1879" s="5"/>
      <c r="N1879" s="5"/>
      <c r="O1879" s="5"/>
      <c r="P1879" s="5"/>
      <c r="Q1879" s="5"/>
      <c r="R1879" s="5"/>
      <c r="S1879" s="5"/>
    </row>
    <row r="1880">
      <c r="A1880" s="5">
        <f>IFERROR(__xludf.DUMMYFUNCTION("""COMPUTED_VALUE"""),167.0)</f>
        <v>167</v>
      </c>
      <c r="B1880" s="5" t="str">
        <f>IFERROR(__xludf.DUMMYFUNCTION("""COMPUTED_VALUE"""),"هیأت")</f>
        <v>هیأت</v>
      </c>
      <c r="C1880" s="5" t="str">
        <f>IFERROR(__xludf.DUMMYFUNCTION("""COMPUTED_VALUE"""),"سجادیه")</f>
        <v>سجادیه</v>
      </c>
      <c r="D1880" s="5" t="str">
        <f>IFERROR(__xludf.DUMMYFUNCTION("""COMPUTED_VALUE"""),"آذربایجان شرقی")</f>
        <v>آذربایجان شرقی</v>
      </c>
      <c r="E1880" s="5" t="str">
        <f>IFERROR(__xludf.DUMMYFUNCTION("""COMPUTED_VALUE"""),"تبریز")</f>
        <v>تبریز</v>
      </c>
      <c r="F1880" s="5"/>
      <c r="G1880" s="5"/>
      <c r="H1880" s="6" t="str">
        <f>IFERROR(__xludf.DUMMYFUNCTION("""COMPUTED_VALUE"""),"https://www.instagram.com/heyat_sajjadiyetabriz")</f>
        <v>https://www.instagram.com/heyat_sajjadiyetabriz</v>
      </c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</row>
    <row r="1881">
      <c r="A1881" s="5">
        <f>IFERROR(__xludf.DUMMYFUNCTION("""COMPUTED_VALUE"""),165.0)</f>
        <v>165</v>
      </c>
      <c r="B1881" s="5" t="str">
        <f>IFERROR(__xludf.DUMMYFUNCTION("""COMPUTED_VALUE"""),"هیأت")</f>
        <v>هیأت</v>
      </c>
      <c r="C1881" s="5" t="str">
        <f>IFERROR(__xludf.DUMMYFUNCTION("""COMPUTED_VALUE"""),"خیمه علی اصغر (ع)")</f>
        <v>خیمه علی اصغر (ع)</v>
      </c>
      <c r="D1881" s="5" t="str">
        <f>IFERROR(__xludf.DUMMYFUNCTION("""COMPUTED_VALUE"""),"آذربایجان شرقی")</f>
        <v>آذربایجان شرقی</v>
      </c>
      <c r="E1881" s="5" t="str">
        <f>IFERROR(__xludf.DUMMYFUNCTION("""COMPUTED_VALUE"""),"تبریز")</f>
        <v>تبریز</v>
      </c>
      <c r="F1881" s="5"/>
      <c r="G1881" s="5"/>
      <c r="H1881" s="6" t="str">
        <f>IFERROR(__xludf.DUMMYFUNCTION("""COMPUTED_VALUE"""),"https://www.instagram.com/kheimealiasghar")</f>
        <v>https://www.instagram.com/kheimealiasghar</v>
      </c>
      <c r="I1881" s="6" t="str">
        <f>IFERROR(__xludf.DUMMYFUNCTION("""COMPUTED_VALUE"""),"https://t.me/kheimealiasghar")</f>
        <v>https://t.me/kheimealiasghar</v>
      </c>
      <c r="J1881" s="5"/>
      <c r="K1881" s="5"/>
      <c r="L1881" s="5"/>
      <c r="M1881" s="5"/>
      <c r="N1881" s="5"/>
      <c r="O1881" s="5"/>
      <c r="P1881" s="5"/>
      <c r="Q1881" s="5"/>
      <c r="R1881" s="5"/>
      <c r="S1881" s="5"/>
    </row>
    <row r="1882">
      <c r="A1882" s="5">
        <f>IFERROR(__xludf.DUMMYFUNCTION("""COMPUTED_VALUE"""),164.0)</f>
        <v>164</v>
      </c>
      <c r="B1882" s="5" t="str">
        <f>IFERROR(__xludf.DUMMYFUNCTION("""COMPUTED_VALUE"""),"هیأت")</f>
        <v>هیأت</v>
      </c>
      <c r="C1882" s="5" t="str">
        <f>IFERROR(__xludf.DUMMYFUNCTION("""COMPUTED_VALUE"""),"باب الحوائج (ع)")</f>
        <v>باب الحوائج (ع)</v>
      </c>
      <c r="D1882" s="5" t="str">
        <f>IFERROR(__xludf.DUMMYFUNCTION("""COMPUTED_VALUE"""),"آذربایجان شرقی")</f>
        <v>آذربایجان شرقی</v>
      </c>
      <c r="E1882" s="5" t="str">
        <f>IFERROR(__xludf.DUMMYFUNCTION("""COMPUTED_VALUE"""),"تبریز")</f>
        <v>تبریز</v>
      </c>
      <c r="F1882" s="5"/>
      <c r="G1882" s="5"/>
      <c r="H1882" s="6" t="str">
        <f>IFERROR(__xludf.DUMMYFUNCTION("""COMPUTED_VALUE"""),"https://www.instagram.com/mokab.babalhavaej.tabriz")</f>
        <v>https://www.instagram.com/mokab.babalhavaej.tabriz</v>
      </c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</row>
    <row r="1883">
      <c r="A1883" s="5">
        <f>IFERROR(__xludf.DUMMYFUNCTION("""COMPUTED_VALUE"""),162.0)</f>
        <v>162</v>
      </c>
      <c r="B1883" s="5" t="str">
        <f>IFERROR(__xludf.DUMMYFUNCTION("""COMPUTED_VALUE"""),"هیأت")</f>
        <v>هیأت</v>
      </c>
      <c r="C1883" s="5" t="str">
        <f>IFERROR(__xludf.DUMMYFUNCTION("""COMPUTED_VALUE"""),"مسجد امیرالمومنین (ع)")</f>
        <v>مسجد امیرالمومنین (ع)</v>
      </c>
      <c r="D1883" s="5" t="str">
        <f>IFERROR(__xludf.DUMMYFUNCTION("""COMPUTED_VALUE"""),"آذربایجان شرقی")</f>
        <v>آذربایجان شرقی</v>
      </c>
      <c r="E1883" s="5" t="str">
        <f>IFERROR(__xludf.DUMMYFUNCTION("""COMPUTED_VALUE"""),"تبریز")</f>
        <v>تبریز</v>
      </c>
      <c r="F1883" s="5"/>
      <c r="G1883" s="5"/>
      <c r="H1883" s="6" t="str">
        <f>IFERROR(__xludf.DUMMYFUNCTION("""COMPUTED_VALUE"""),"https://www.instagram.com/aba_taleb_ir")</f>
        <v>https://www.instagram.com/aba_taleb_ir</v>
      </c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</row>
    <row r="1884">
      <c r="A1884" s="5">
        <f>IFERROR(__xludf.DUMMYFUNCTION("""COMPUTED_VALUE"""),159.0)</f>
        <v>159</v>
      </c>
      <c r="B1884" s="5" t="str">
        <f>IFERROR(__xludf.DUMMYFUNCTION("""COMPUTED_VALUE"""),"هیأت")</f>
        <v>هیأت</v>
      </c>
      <c r="C1884" s="5" t="str">
        <f>IFERROR(__xludf.DUMMYFUNCTION("""COMPUTED_VALUE"""),"حضرت علی اصغر (ع)")</f>
        <v>حضرت علی اصغر (ع)</v>
      </c>
      <c r="D1884" s="5" t="str">
        <f>IFERROR(__xludf.DUMMYFUNCTION("""COMPUTED_VALUE"""),"آذربایجان شرقی")</f>
        <v>آذربایجان شرقی</v>
      </c>
      <c r="E1884" s="5" t="str">
        <f>IFERROR(__xludf.DUMMYFUNCTION("""COMPUTED_VALUE"""),"تبریز")</f>
        <v>تبریز</v>
      </c>
      <c r="F1884" s="5"/>
      <c r="G1884" s="5"/>
      <c r="H1884" s="6" t="str">
        <f>IFERROR(__xludf.DUMMYFUNCTION("""COMPUTED_VALUE"""),"https://www.instagram.com/asgharieazametabriz")</f>
        <v>https://www.instagram.com/asgharieazametabriz</v>
      </c>
      <c r="I1884" s="6" t="str">
        <f>IFERROR(__xludf.DUMMYFUNCTION("""COMPUTED_VALUE"""),"https://t.me/asgharieazametabriz")</f>
        <v>https://t.me/asgharieazametabriz</v>
      </c>
      <c r="J1884" s="5"/>
      <c r="K1884" s="5"/>
      <c r="L1884" s="5"/>
      <c r="M1884" s="5"/>
      <c r="N1884" s="5"/>
      <c r="O1884" s="5"/>
      <c r="P1884" s="5"/>
      <c r="Q1884" s="5"/>
      <c r="R1884" s="5"/>
      <c r="S1884" s="5"/>
    </row>
    <row r="1885">
      <c r="A1885" s="5">
        <f>IFERROR(__xludf.DUMMYFUNCTION("""COMPUTED_VALUE"""),148.0)</f>
        <v>148</v>
      </c>
      <c r="B1885" s="5" t="str">
        <f>IFERROR(__xludf.DUMMYFUNCTION("""COMPUTED_VALUE"""),"هیأت")</f>
        <v>هیأت</v>
      </c>
      <c r="C1885" s="5" t="str">
        <f>IFERROR(__xludf.DUMMYFUNCTION("""COMPUTED_VALUE"""),"پیروان آل هاشم (ع)")</f>
        <v>پیروان آل هاشم (ع)</v>
      </c>
      <c r="D1885" s="5" t="str">
        <f>IFERROR(__xludf.DUMMYFUNCTION("""COMPUTED_VALUE"""),"آذربایجان شرقی")</f>
        <v>آذربایجان شرقی</v>
      </c>
      <c r="E1885" s="5" t="str">
        <f>IFERROR(__xludf.DUMMYFUNCTION("""COMPUTED_VALUE"""),"تبریز")</f>
        <v>تبریز</v>
      </c>
      <c r="F1885" s="5"/>
      <c r="G1885" s="5"/>
      <c r="H1885" s="6" t="str">
        <f>IFERROR(__xludf.DUMMYFUNCTION("""COMPUTED_VALUE"""),"https://www.instagram.com/peyrovane.alehashem")</f>
        <v>https://www.instagram.com/peyrovane.alehashem</v>
      </c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</row>
    <row r="1886">
      <c r="A1886" s="5">
        <f>IFERROR(__xludf.DUMMYFUNCTION("""COMPUTED_VALUE"""),146.0)</f>
        <v>146</v>
      </c>
      <c r="B1886" s="5" t="str">
        <f>IFERROR(__xludf.DUMMYFUNCTION("""COMPUTED_VALUE"""),"هیأت")</f>
        <v>هیأت</v>
      </c>
      <c r="C1886" s="5" t="str">
        <f>IFERROR(__xludf.DUMMYFUNCTION("""COMPUTED_VALUE"""),"عزاداران جوانان بنی هاشم (ع)")</f>
        <v>عزاداران جوانان بنی هاشم (ع)</v>
      </c>
      <c r="D1886" s="5" t="str">
        <f>IFERROR(__xludf.DUMMYFUNCTION("""COMPUTED_VALUE"""),"آذربایجان شرقی")</f>
        <v>آذربایجان شرقی</v>
      </c>
      <c r="E1886" s="5" t="str">
        <f>IFERROR(__xludf.DUMMYFUNCTION("""COMPUTED_VALUE"""),"تبریز")</f>
        <v>تبریز</v>
      </c>
      <c r="F1886" s="5"/>
      <c r="G1886" s="5"/>
      <c r="H1886" s="6" t="str">
        <f>IFERROR(__xludf.DUMMYFUNCTION("""COMPUTED_VALUE"""),"https://www.instagram.com/javanan_banihashem_tabriz")</f>
        <v>https://www.instagram.com/javanan_banihashem_tabriz</v>
      </c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</row>
    <row r="1887">
      <c r="A1887" s="5"/>
      <c r="B1887" s="5" t="str">
        <f>IFERROR(__xludf.DUMMYFUNCTION("""COMPUTED_VALUE"""),"هیأت")</f>
        <v>هیأت</v>
      </c>
      <c r="C1887" s="5" t="str">
        <f>IFERROR(__xludf.DUMMYFUNCTION("""COMPUTED_VALUE"""),"عزاداران جوانان بنی هاشم (ع)")</f>
        <v>عزاداران جوانان بنی هاشم (ع)</v>
      </c>
      <c r="D1887" s="5" t="str">
        <f>IFERROR(__xludf.DUMMYFUNCTION("""COMPUTED_VALUE"""),"آذربایجان شرقی")</f>
        <v>آذربایجان شرقی</v>
      </c>
      <c r="E1887" s="5" t="str">
        <f>IFERROR(__xludf.DUMMYFUNCTION("""COMPUTED_VALUE"""),"تبریز")</f>
        <v>تبریز</v>
      </c>
      <c r="F1887" s="5"/>
      <c r="G1887" s="5"/>
      <c r="H1887" s="6" t="str">
        <f>IFERROR(__xludf.DUMMYFUNCTION("""COMPUTED_VALUE"""),"https://www.instagram.com/javanan_banihashm.tb")</f>
        <v>https://www.instagram.com/javanan_banihashm.tb</v>
      </c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</row>
    <row r="1888">
      <c r="A1888" s="5">
        <f>IFERROR(__xludf.DUMMYFUNCTION("""COMPUTED_VALUE"""),141.0)</f>
        <v>141</v>
      </c>
      <c r="B1888" s="5" t="str">
        <f>IFERROR(__xludf.DUMMYFUNCTION("""COMPUTED_VALUE"""),"هیأت")</f>
        <v>هیأت</v>
      </c>
      <c r="C1888" s="5" t="str">
        <f>IFERROR(__xludf.DUMMYFUNCTION("""COMPUTED_VALUE"""),"محبان بقیع")</f>
        <v>محبان بقیع</v>
      </c>
      <c r="D1888" s="5" t="str">
        <f>IFERROR(__xludf.DUMMYFUNCTION("""COMPUTED_VALUE"""),"آذربایجان شرقی")</f>
        <v>آذربایجان شرقی</v>
      </c>
      <c r="E1888" s="5" t="str">
        <f>IFERROR(__xludf.DUMMYFUNCTION("""COMPUTED_VALUE"""),"تبریز")</f>
        <v>تبریز</v>
      </c>
      <c r="F1888" s="5"/>
      <c r="G1888" s="5"/>
      <c r="H1888" s="6" t="str">
        <f>IFERROR(__xludf.DUMMYFUNCTION("""COMPUTED_VALUE"""),"https://www.instagram.com/mohebbane_baghei")</f>
        <v>https://www.instagram.com/mohebbane_baghei</v>
      </c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</row>
    <row r="1889">
      <c r="A1889" s="5">
        <f>IFERROR(__xludf.DUMMYFUNCTION("""COMPUTED_VALUE"""),133.0)</f>
        <v>133</v>
      </c>
      <c r="B1889" s="5" t="str">
        <f>IFERROR(__xludf.DUMMYFUNCTION("""COMPUTED_VALUE"""),"هیأت")</f>
        <v>هیأت</v>
      </c>
      <c r="C1889" s="5" t="str">
        <f>IFERROR(__xludf.DUMMYFUNCTION("""COMPUTED_VALUE"""),"عزاداران ثارالله (ع) فجر")</f>
        <v>عزاداران ثارالله (ع) فجر</v>
      </c>
      <c r="D1889" s="5" t="str">
        <f>IFERROR(__xludf.DUMMYFUNCTION("""COMPUTED_VALUE"""),"آذربایجان شرقی")</f>
        <v>آذربایجان شرقی</v>
      </c>
      <c r="E1889" s="5" t="str">
        <f>IFERROR(__xludf.DUMMYFUNCTION("""COMPUTED_VALUE"""),"تبریز")</f>
        <v>تبریز</v>
      </c>
      <c r="F1889" s="5"/>
      <c r="G1889" s="5"/>
      <c r="H1889" s="6" t="str">
        <f>IFERROR(__xludf.DUMMYFUNCTION("""COMPUTED_VALUE"""),"https://www.instagram.com/sarallah_fajr")</f>
        <v>https://www.instagram.com/sarallah_fajr</v>
      </c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</row>
    <row r="1890">
      <c r="A1890" s="5">
        <f>IFERROR(__xludf.DUMMYFUNCTION("""COMPUTED_VALUE"""),132.0)</f>
        <v>132</v>
      </c>
      <c r="B1890" s="5" t="str">
        <f>IFERROR(__xludf.DUMMYFUNCTION("""COMPUTED_VALUE"""),"هیأت")</f>
        <v>هیأت</v>
      </c>
      <c r="C1890" s="5" t="str">
        <f>IFERROR(__xludf.DUMMYFUNCTION("""COMPUTED_VALUE"""),"موسسه قرآنی نور")</f>
        <v>موسسه قرآنی نور</v>
      </c>
      <c r="D1890" s="5" t="str">
        <f>IFERROR(__xludf.DUMMYFUNCTION("""COMPUTED_VALUE"""),"آذربایجان شرقی")</f>
        <v>آذربایجان شرقی</v>
      </c>
      <c r="E1890" s="5" t="str">
        <f>IFERROR(__xludf.DUMMYFUNCTION("""COMPUTED_VALUE"""),"تبریز")</f>
        <v>تبریز</v>
      </c>
      <c r="F1890" s="5"/>
      <c r="G1890" s="5"/>
      <c r="H1890" s="6" t="str">
        <f>IFERROR(__xludf.DUMMYFUNCTION("""COMPUTED_VALUE"""),"https://www.instagram.com/noorquran_ir")</f>
        <v>https://www.instagram.com/noorquran_ir</v>
      </c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</row>
    <row r="1891">
      <c r="A1891" s="5">
        <f>IFERROR(__xludf.DUMMYFUNCTION("""COMPUTED_VALUE"""),130.0)</f>
        <v>130</v>
      </c>
      <c r="B1891" s="5" t="str">
        <f>IFERROR(__xludf.DUMMYFUNCTION("""COMPUTED_VALUE"""),"هیأت")</f>
        <v>هیأت</v>
      </c>
      <c r="C1891" s="5" t="str">
        <f>IFERROR(__xludf.DUMMYFUNCTION("""COMPUTED_VALUE"""),"عزاداران قمر بنی هاشم (ع)")</f>
        <v>عزاداران قمر بنی هاشم (ع)</v>
      </c>
      <c r="D1891" s="5" t="str">
        <f>IFERROR(__xludf.DUMMYFUNCTION("""COMPUTED_VALUE"""),"آذربایجان شرقی")</f>
        <v>آذربایجان شرقی</v>
      </c>
      <c r="E1891" s="5" t="str">
        <f>IFERROR(__xludf.DUMMYFUNCTION("""COMPUTED_VALUE"""),"تبریز")</f>
        <v>تبریز</v>
      </c>
      <c r="F1891" s="5"/>
      <c r="G1891" s="5"/>
      <c r="H1891" s="6" t="str">
        <f>IFERROR(__xludf.DUMMYFUNCTION("""COMPUTED_VALUE"""),"https://www.instagram.com/heiat_gamar_bani_hashem")</f>
        <v>https://www.instagram.com/heiat_gamar_bani_hashem</v>
      </c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</row>
    <row r="1892">
      <c r="A1892" s="5">
        <f>IFERROR(__xludf.DUMMYFUNCTION("""COMPUTED_VALUE"""),127.0)</f>
        <v>127</v>
      </c>
      <c r="B1892" s="5" t="str">
        <f>IFERROR(__xludf.DUMMYFUNCTION("""COMPUTED_VALUE"""),"هیأت")</f>
        <v>هیأت</v>
      </c>
      <c r="C1892" s="5" t="str">
        <f>IFERROR(__xludf.DUMMYFUNCTION("""COMPUTED_VALUE"""),"حضرت ابوالفضل (ع)")</f>
        <v>حضرت ابوالفضل (ع)</v>
      </c>
      <c r="D1892" s="5" t="str">
        <f>IFERROR(__xludf.DUMMYFUNCTION("""COMPUTED_VALUE"""),"آذربایجان شرقی")</f>
        <v>آذربایجان شرقی</v>
      </c>
      <c r="E1892" s="5" t="str">
        <f>IFERROR(__xludf.DUMMYFUNCTION("""COMPUTED_VALUE"""),"تبریز")</f>
        <v>تبریز</v>
      </c>
      <c r="F1892" s="5"/>
      <c r="G1892" s="5"/>
      <c r="H1892" s="6" t="str">
        <f>IFERROR(__xludf.DUMMYFUNCTION("""COMPUTED_VALUE"""),"https://www.instagram.com/heyat_hazrat_abolfazl_tabriz")</f>
        <v>https://www.instagram.com/heyat_hazrat_abolfazl_tabriz</v>
      </c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</row>
    <row r="1893">
      <c r="A1893" s="5">
        <f>IFERROR(__xludf.DUMMYFUNCTION("""COMPUTED_VALUE"""),117.0)</f>
        <v>117</v>
      </c>
      <c r="B1893" s="5" t="str">
        <f>IFERROR(__xludf.DUMMYFUNCTION("""COMPUTED_VALUE"""),"هیأت")</f>
        <v>هیأت</v>
      </c>
      <c r="C1893" s="5" t="str">
        <f>IFERROR(__xludf.DUMMYFUNCTION("""COMPUTED_VALUE"""),"مهدیه تبریز/ دعای ندبه مسجد کرامت")</f>
        <v>مهدیه تبریز/ دعای ندبه مسجد کرامت</v>
      </c>
      <c r="D1893" s="5" t="str">
        <f>IFERROR(__xludf.DUMMYFUNCTION("""COMPUTED_VALUE"""),"آذربایجان شرقی")</f>
        <v>آذربایجان شرقی</v>
      </c>
      <c r="E1893" s="5" t="str">
        <f>IFERROR(__xludf.DUMMYFUNCTION("""COMPUTED_VALUE"""),"تبریز")</f>
        <v>تبریز</v>
      </c>
      <c r="F1893" s="5"/>
      <c r="G1893" s="5"/>
      <c r="H1893" s="6" t="str">
        <f>IFERROR(__xludf.DUMMYFUNCTION("""COMPUTED_VALUE"""),"https://www.instagram.com/mahdieh_taabriz/")</f>
        <v>https://www.instagram.com/mahdieh_taabriz/</v>
      </c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</row>
    <row r="1894">
      <c r="A1894" s="5">
        <f>IFERROR(__xludf.DUMMYFUNCTION("""COMPUTED_VALUE"""),116.0)</f>
        <v>116</v>
      </c>
      <c r="B1894" s="5" t="str">
        <f>IFERROR(__xludf.DUMMYFUNCTION("""COMPUTED_VALUE"""),"هیأت")</f>
        <v>هیأت</v>
      </c>
      <c r="C1894" s="5" t="str">
        <f>IFERROR(__xludf.DUMMYFUNCTION("""COMPUTED_VALUE"""),"کوی فاطمی")</f>
        <v>کوی فاطمی</v>
      </c>
      <c r="D1894" s="5" t="str">
        <f>IFERROR(__xludf.DUMMYFUNCTION("""COMPUTED_VALUE"""),"آذربایجان شرقی")</f>
        <v>آذربایجان شرقی</v>
      </c>
      <c r="E1894" s="5" t="str">
        <f>IFERROR(__xludf.DUMMYFUNCTION("""COMPUTED_VALUE"""),"تبریز")</f>
        <v>تبریز</v>
      </c>
      <c r="F1894" s="5"/>
      <c r="G1894" s="5"/>
      <c r="H1894" s="6" t="str">
        <f>IFERROR(__xludf.DUMMYFUNCTION("""COMPUTED_VALUE"""),"https://www.instagram.com/koyfathemi_tabriz/")</f>
        <v>https://www.instagram.com/koyfathemi_tabriz/</v>
      </c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</row>
    <row r="1895">
      <c r="A1895" s="5">
        <f>IFERROR(__xludf.DUMMYFUNCTION("""COMPUTED_VALUE"""),112.0)</f>
        <v>112</v>
      </c>
      <c r="B1895" s="5" t="str">
        <f>IFERROR(__xludf.DUMMYFUNCTION("""COMPUTED_VALUE"""),"هیأت")</f>
        <v>هیأت</v>
      </c>
      <c r="C1895" s="5" t="str">
        <f>IFERROR(__xludf.DUMMYFUNCTION("""COMPUTED_VALUE"""),"نهاد مقام معظم رهبری")</f>
        <v>نهاد مقام معظم رهبری</v>
      </c>
      <c r="D1895" s="5" t="str">
        <f>IFERROR(__xludf.DUMMYFUNCTION("""COMPUTED_VALUE"""),"آذربایجان شرقی")</f>
        <v>آذربایجان شرقی</v>
      </c>
      <c r="E1895" s="5" t="str">
        <f>IFERROR(__xludf.DUMMYFUNCTION("""COMPUTED_VALUE"""),"تبریز")</f>
        <v>تبریز</v>
      </c>
      <c r="F1895" s="5"/>
      <c r="G1895" s="5"/>
      <c r="H1895" s="6" t="str">
        <f>IFERROR(__xludf.DUMMYFUNCTION("""COMPUTED_VALUE"""),"https://www.instagram.com/tabriz.nahad.ir")</f>
        <v>https://www.instagram.com/tabriz.nahad.ir</v>
      </c>
      <c r="I1895" s="5"/>
      <c r="J1895" s="6" t="str">
        <f>IFERROR(__xludf.DUMMYFUNCTION("""COMPUTED_VALUE"""),"https://eitaa.com/nahad_tabriz")</f>
        <v>https://eitaa.com/nahad_tabriz</v>
      </c>
      <c r="K1895" s="5"/>
      <c r="L1895" s="5"/>
      <c r="M1895" s="5"/>
      <c r="N1895" s="5"/>
      <c r="O1895" s="5"/>
      <c r="P1895" s="5"/>
      <c r="Q1895" s="5"/>
      <c r="R1895" s="5"/>
      <c r="S1895" s="5"/>
    </row>
    <row r="1896">
      <c r="A1896" s="5">
        <f>IFERROR(__xludf.DUMMYFUNCTION("""COMPUTED_VALUE"""),110.0)</f>
        <v>110</v>
      </c>
      <c r="B1896" s="5" t="str">
        <f>IFERROR(__xludf.DUMMYFUNCTION("""COMPUTED_VALUE"""),"هیأت")</f>
        <v>هیأت</v>
      </c>
      <c r="C1896" s="5" t="str">
        <f>IFERROR(__xludf.DUMMYFUNCTION("""COMPUTED_VALUE"""),"آل علی (ع)")</f>
        <v>آل علی (ع)</v>
      </c>
      <c r="D1896" s="5" t="str">
        <f>IFERROR(__xludf.DUMMYFUNCTION("""COMPUTED_VALUE"""),"آذربایجان شرقی")</f>
        <v>آذربایجان شرقی</v>
      </c>
      <c r="E1896" s="5" t="str">
        <f>IFERROR(__xludf.DUMMYFUNCTION("""COMPUTED_VALUE"""),"تبریز")</f>
        <v>تبریز</v>
      </c>
      <c r="F1896" s="5"/>
      <c r="G1896" s="5"/>
      <c r="H1896" s="6" t="str">
        <f>IFERROR(__xludf.DUMMYFUNCTION("""COMPUTED_VALUE"""),"https://www.instagram.com/heyaate_azadaran_alaliatabriz/")</f>
        <v>https://www.instagram.com/heyaate_azadaran_alaliatabriz/</v>
      </c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</row>
    <row r="1897">
      <c r="A1897" s="5">
        <f>IFERROR(__xludf.DUMMYFUNCTION("""COMPUTED_VALUE"""),105.0)</f>
        <v>105</v>
      </c>
      <c r="B1897" s="5" t="str">
        <f>IFERROR(__xludf.DUMMYFUNCTION("""COMPUTED_VALUE"""),"هیأت")</f>
        <v>هیأت</v>
      </c>
      <c r="C1897" s="5" t="str">
        <f>IFERROR(__xludf.DUMMYFUNCTION("""COMPUTED_VALUE"""),"جان نثاران امام سجاد (ع)")</f>
        <v>جان نثاران امام سجاد (ع)</v>
      </c>
      <c r="D1897" s="5" t="str">
        <f>IFERROR(__xludf.DUMMYFUNCTION("""COMPUTED_VALUE"""),"آذربایجان شرقی")</f>
        <v>آذربایجان شرقی</v>
      </c>
      <c r="E1897" s="5" t="str">
        <f>IFERROR(__xludf.DUMMYFUNCTION("""COMPUTED_VALUE"""),"تبریز")</f>
        <v>تبریز</v>
      </c>
      <c r="F1897" s="5"/>
      <c r="G1897" s="5"/>
      <c r="H1897" s="6" t="str">
        <f>IFERROR(__xludf.DUMMYFUNCTION("""COMPUTED_VALUE"""),"https://www.instagram.com/imam_sajjad_tabriz")</f>
        <v>https://www.instagram.com/imam_sajjad_tabriz</v>
      </c>
      <c r="I1897" s="6" t="str">
        <f>IFERROR(__xludf.DUMMYFUNCTION("""COMPUTED_VALUE"""),"https://t.me/imam_sajjad")</f>
        <v>https://t.me/imam_sajjad</v>
      </c>
      <c r="J1897" s="5"/>
      <c r="K1897" s="5"/>
      <c r="L1897" s="5"/>
      <c r="M1897" s="5"/>
      <c r="N1897" s="5"/>
      <c r="O1897" s="5"/>
      <c r="P1897" s="5"/>
      <c r="Q1897" s="5"/>
      <c r="R1897" s="5"/>
      <c r="S1897" s="5"/>
    </row>
    <row r="1898">
      <c r="A1898" s="5">
        <f>IFERROR(__xludf.DUMMYFUNCTION("""COMPUTED_VALUE"""),104.0)</f>
        <v>104</v>
      </c>
      <c r="B1898" s="5" t="str">
        <f>IFERROR(__xludf.DUMMYFUNCTION("""COMPUTED_VALUE"""),"هیأت")</f>
        <v>هیأت</v>
      </c>
      <c r="C1898" s="5" t="str">
        <f>IFERROR(__xludf.DUMMYFUNCTION("""COMPUTED_VALUE"""),"عزاداران قمرمنیر بنی هاشم (ع)")</f>
        <v>عزاداران قمرمنیر بنی هاشم (ع)</v>
      </c>
      <c r="D1898" s="5" t="str">
        <f>IFERROR(__xludf.DUMMYFUNCTION("""COMPUTED_VALUE"""),"آذربایجان شرقی")</f>
        <v>آذربایجان شرقی</v>
      </c>
      <c r="E1898" s="5" t="str">
        <f>IFERROR(__xludf.DUMMYFUNCTION("""COMPUTED_VALUE"""),"تبریز")</f>
        <v>تبریز</v>
      </c>
      <c r="F1898" s="5"/>
      <c r="G1898" s="5"/>
      <c r="H1898" s="6" t="str">
        <f>IFERROR(__xludf.DUMMYFUNCTION("""COMPUTED_VALUE"""),"https://www.instagram.com/ghamar_monire_banihashem")</f>
        <v>https://www.instagram.com/ghamar_monire_banihashem</v>
      </c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</row>
    <row r="1899">
      <c r="A1899" s="5">
        <f>IFERROR(__xludf.DUMMYFUNCTION("""COMPUTED_VALUE"""),102.0)</f>
        <v>102</v>
      </c>
      <c r="B1899" s="5" t="str">
        <f>IFERROR(__xludf.DUMMYFUNCTION("""COMPUTED_VALUE"""),"هیأت")</f>
        <v>هیأت</v>
      </c>
      <c r="C1899" s="5" t="str">
        <f>IFERROR(__xludf.DUMMYFUNCTION("""COMPUTED_VALUE"""),"بسیج دانشجویی دانشگاه تبریز")</f>
        <v>بسیج دانشجویی دانشگاه تبریز</v>
      </c>
      <c r="D1899" s="5" t="str">
        <f>IFERROR(__xludf.DUMMYFUNCTION("""COMPUTED_VALUE"""),"آذربایجان شرقی")</f>
        <v>آذربایجان شرقی</v>
      </c>
      <c r="E1899" s="5" t="str">
        <f>IFERROR(__xludf.DUMMYFUNCTION("""COMPUTED_VALUE"""),"تبریز")</f>
        <v>تبریز</v>
      </c>
      <c r="F1899" s="5"/>
      <c r="G1899" s="5"/>
      <c r="H1899" s="6" t="str">
        <f>IFERROR(__xludf.DUMMYFUNCTION("""COMPUTED_VALUE"""),"https://www.instagram.com/rahavard.tbz")</f>
        <v>https://www.instagram.com/rahavard.tbz</v>
      </c>
      <c r="I1899" s="5"/>
      <c r="J1899" s="6" t="str">
        <f>IFERROR(__xludf.DUMMYFUNCTION("""COMPUTED_VALUE"""),"https://eitaa.com/bsd_tabriz")</f>
        <v>https://eitaa.com/bsd_tabriz</v>
      </c>
      <c r="K1899" s="5"/>
      <c r="L1899" s="5"/>
      <c r="M1899" s="5"/>
      <c r="N1899" s="5"/>
      <c r="O1899" s="5"/>
      <c r="P1899" s="5"/>
      <c r="Q1899" s="5"/>
      <c r="R1899" s="5"/>
      <c r="S1899" s="5"/>
    </row>
    <row r="1900">
      <c r="A1900" s="5">
        <f>IFERROR(__xludf.DUMMYFUNCTION("""COMPUTED_VALUE"""),99.0)</f>
        <v>99</v>
      </c>
      <c r="B1900" s="5" t="str">
        <f>IFERROR(__xludf.DUMMYFUNCTION("""COMPUTED_VALUE"""),"هیأت")</f>
        <v>هیأت</v>
      </c>
      <c r="C1900" s="5" t="str">
        <f>IFERROR(__xludf.DUMMYFUNCTION("""COMPUTED_VALUE"""),"کانون فرهنگی حضرت ولی عصر (عج)")</f>
        <v>کانون فرهنگی حضرت ولی عصر (عج)</v>
      </c>
      <c r="D1900" s="5" t="str">
        <f>IFERROR(__xludf.DUMMYFUNCTION("""COMPUTED_VALUE"""),"آذربایجان شرقی")</f>
        <v>آذربایجان شرقی</v>
      </c>
      <c r="E1900" s="5" t="str">
        <f>IFERROR(__xludf.DUMMYFUNCTION("""COMPUTED_VALUE"""),"تبریز")</f>
        <v>تبریز</v>
      </c>
      <c r="F1900" s="5"/>
      <c r="G1900" s="5"/>
      <c r="H1900" s="6" t="str">
        <f>IFERROR(__xludf.DUMMYFUNCTION("""COMPUTED_VALUE"""),"https://www.instagram.com/kanunevaliasr_tabriz/")</f>
        <v>https://www.instagram.com/kanunevaliasr_tabriz/</v>
      </c>
      <c r="I1900" s="6" t="str">
        <f>IFERROR(__xludf.DUMMYFUNCTION("""COMPUTED_VALUE"""),"https://t.me/negar_shohadayekarbala1330")</f>
        <v>https://t.me/negar_shohadayekarbala1330</v>
      </c>
      <c r="J1900" s="5"/>
      <c r="K1900" s="5"/>
      <c r="L1900" s="5"/>
      <c r="M1900" s="5"/>
      <c r="N1900" s="5"/>
      <c r="O1900" s="5"/>
      <c r="P1900" s="5"/>
      <c r="Q1900" s="5"/>
      <c r="R1900" s="5"/>
      <c r="S1900" s="5"/>
    </row>
    <row r="1901">
      <c r="A1901" s="5">
        <f>IFERROR(__xludf.DUMMYFUNCTION("""COMPUTED_VALUE"""),98.0)</f>
        <v>98</v>
      </c>
      <c r="B1901" s="5" t="str">
        <f>IFERROR(__xludf.DUMMYFUNCTION("""COMPUTED_VALUE"""),"هیأت")</f>
        <v>هیأت</v>
      </c>
      <c r="C1901" s="5" t="str">
        <f>IFERROR(__xludf.DUMMYFUNCTION("""COMPUTED_VALUE"""),"حضرت محمد رسول الله (ص)")</f>
        <v>حضرت محمد رسول الله (ص)</v>
      </c>
      <c r="D1901" s="5" t="str">
        <f>IFERROR(__xludf.DUMMYFUNCTION("""COMPUTED_VALUE"""),"آذربایجان شرقی")</f>
        <v>آذربایجان شرقی</v>
      </c>
      <c r="E1901" s="5" t="str">
        <f>IFERROR(__xludf.DUMMYFUNCTION("""COMPUTED_VALUE"""),"تبریز")</f>
        <v>تبریز</v>
      </c>
      <c r="F1901" s="5"/>
      <c r="G1901" s="5"/>
      <c r="H1901" s="6" t="str">
        <f>IFERROR(__xludf.DUMMYFUNCTION("""COMPUTED_VALUE"""),"https://www.instagram.com/mohammadrasolallahtabriz110")</f>
        <v>https://www.instagram.com/mohammadrasolallahtabriz110</v>
      </c>
      <c r="I1901" s="6" t="str">
        <f>IFERROR(__xludf.DUMMYFUNCTION("""COMPUTED_VALUE"""),"https://t.me/heyatemohammadrasolallah")</f>
        <v>https://t.me/heyatemohammadrasolallah</v>
      </c>
      <c r="J1901" s="5"/>
      <c r="K1901" s="5"/>
      <c r="L1901" s="5"/>
      <c r="M1901" s="5"/>
      <c r="N1901" s="5"/>
      <c r="O1901" s="5"/>
      <c r="P1901" s="5"/>
      <c r="Q1901" s="5"/>
      <c r="R1901" s="5"/>
      <c r="S1901" s="5"/>
    </row>
    <row r="1902">
      <c r="A1902" s="5">
        <f>IFERROR(__xludf.DUMMYFUNCTION("""COMPUTED_VALUE"""),95.0)</f>
        <v>95</v>
      </c>
      <c r="B1902" s="5" t="str">
        <f>IFERROR(__xludf.DUMMYFUNCTION("""COMPUTED_VALUE"""),"هیأت")</f>
        <v>هیأت</v>
      </c>
      <c r="C1902" s="5" t="str">
        <f>IFERROR(__xludf.DUMMYFUNCTION("""COMPUTED_VALUE"""),"شهدای کربلا")</f>
        <v>شهدای کربلا</v>
      </c>
      <c r="D1902" s="5" t="str">
        <f>IFERROR(__xludf.DUMMYFUNCTION("""COMPUTED_VALUE"""),"آذربایجان شرقی")</f>
        <v>آذربایجان شرقی</v>
      </c>
      <c r="E1902" s="5" t="str">
        <f>IFERROR(__xludf.DUMMYFUNCTION("""COMPUTED_VALUE"""),"تبریز")</f>
        <v>تبریز</v>
      </c>
      <c r="F1902" s="5"/>
      <c r="G1902" s="5"/>
      <c r="H1902" s="6" t="str">
        <f>IFERROR(__xludf.DUMMYFUNCTION("""COMPUTED_VALUE"""),"https://www.instagram.com/shohadayekarbala1330/")</f>
        <v>https://www.instagram.com/shohadayekarbala1330/</v>
      </c>
      <c r="I1902" s="6" t="str">
        <f>IFERROR(__xludf.DUMMYFUNCTION("""COMPUTED_VALUE"""),"https://t.me/negar_shohadayekarbala1330")</f>
        <v>https://t.me/negar_shohadayekarbala1330</v>
      </c>
      <c r="J1902" s="5"/>
      <c r="K1902" s="5"/>
      <c r="L1902" s="5"/>
      <c r="M1902" s="5"/>
      <c r="N1902" s="5"/>
      <c r="O1902" s="5"/>
      <c r="P1902" s="5"/>
      <c r="Q1902" s="5"/>
      <c r="R1902" s="5"/>
      <c r="S1902" s="5"/>
    </row>
    <row r="1903">
      <c r="A1903" s="5">
        <f>IFERROR(__xludf.DUMMYFUNCTION("""COMPUTED_VALUE"""),94.0)</f>
        <v>94</v>
      </c>
      <c r="B1903" s="5" t="str">
        <f>IFERROR(__xludf.DUMMYFUNCTION("""COMPUTED_VALUE"""),"هیأت")</f>
        <v>هیأت</v>
      </c>
      <c r="C1903" s="5" t="str">
        <f>IFERROR(__xludf.DUMMYFUNCTION("""COMPUTED_VALUE"""),"دانشگاه علوم پزشکی تبریز")</f>
        <v>دانشگاه علوم پزشکی تبریز</v>
      </c>
      <c r="D1903" s="5" t="str">
        <f>IFERROR(__xludf.DUMMYFUNCTION("""COMPUTED_VALUE"""),"آذربایجان شرقی")</f>
        <v>آذربایجان شرقی</v>
      </c>
      <c r="E1903" s="5" t="str">
        <f>IFERROR(__xludf.DUMMYFUNCTION("""COMPUTED_VALUE"""),"تبریز")</f>
        <v>تبریز</v>
      </c>
      <c r="F1903" s="5"/>
      <c r="G1903" s="5"/>
      <c r="H1903" s="6" t="str">
        <f>IFERROR(__xludf.DUMMYFUNCTION("""COMPUTED_VALUE"""),"https://www.instagram.com/tbzmed")</f>
        <v>https://www.instagram.com/tbzmed</v>
      </c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</row>
    <row r="1904">
      <c r="A1904" s="5">
        <f>IFERROR(__xludf.DUMMYFUNCTION("""COMPUTED_VALUE"""),89.0)</f>
        <v>89</v>
      </c>
      <c r="B1904" s="5" t="str">
        <f>IFERROR(__xludf.DUMMYFUNCTION("""COMPUTED_VALUE"""),"هیأت")</f>
        <v>هیأت</v>
      </c>
      <c r="C1904" s="5" t="str">
        <f>IFERROR(__xludf.DUMMYFUNCTION("""COMPUTED_VALUE"""),"بنیاد فرهنگی حضرت زهرا (س) (مسجد شعبان)")</f>
        <v>بنیاد فرهنگی حضرت زهرا (س) (مسجد شعبان)</v>
      </c>
      <c r="D1904" s="5" t="str">
        <f>IFERROR(__xludf.DUMMYFUNCTION("""COMPUTED_VALUE"""),"آذربایجان شرقی")</f>
        <v>آذربایجان شرقی</v>
      </c>
      <c r="E1904" s="5" t="str">
        <f>IFERROR(__xludf.DUMMYFUNCTION("""COMPUTED_VALUE"""),"تبریز")</f>
        <v>تبریز</v>
      </c>
      <c r="F1904" s="5"/>
      <c r="G1904" s="5"/>
      <c r="H1904" s="6" t="str">
        <f>IFERROR(__xludf.DUMMYFUNCTION("""COMPUTED_VALUE"""),"https://www.instagram.com/hazratezahra_ir/")</f>
        <v>https://www.instagram.com/hazratezahra_ir/</v>
      </c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</row>
    <row r="1905">
      <c r="A1905" s="5">
        <f>IFERROR(__xludf.DUMMYFUNCTION("""COMPUTED_VALUE"""),86.0)</f>
        <v>86</v>
      </c>
      <c r="B1905" s="5" t="str">
        <f>IFERROR(__xludf.DUMMYFUNCTION("""COMPUTED_VALUE"""),"هیأت")</f>
        <v>هیأت</v>
      </c>
      <c r="C1905" s="5" t="str">
        <f>IFERROR(__xludf.DUMMYFUNCTION("""COMPUTED_VALUE"""),"جوانان بنی هاشم (ع)")</f>
        <v>جوانان بنی هاشم (ع)</v>
      </c>
      <c r="D1905" s="5" t="str">
        <f>IFERROR(__xludf.DUMMYFUNCTION("""COMPUTED_VALUE"""),"آذربایجان شرقی")</f>
        <v>آذربایجان شرقی</v>
      </c>
      <c r="E1905" s="5" t="str">
        <f>IFERROR(__xludf.DUMMYFUNCTION("""COMPUTED_VALUE"""),"تبریز")</f>
        <v>تبریز</v>
      </c>
      <c r="F1905" s="5"/>
      <c r="G1905" s="5"/>
      <c r="H1905" s="6" t="str">
        <f>IFERROR(__xludf.DUMMYFUNCTION("""COMPUTED_VALUE"""),"https://www.instagram.com/javanan_banihashm.tb/")</f>
        <v>https://www.instagram.com/javanan_banihashm.tb/</v>
      </c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</row>
    <row r="1906">
      <c r="A1906" s="5">
        <f>IFERROR(__xludf.DUMMYFUNCTION("""COMPUTED_VALUE"""),31.0)</f>
        <v>31</v>
      </c>
      <c r="B1906" s="5" t="str">
        <f>IFERROR(__xludf.DUMMYFUNCTION("""COMPUTED_VALUE"""),"هیأت")</f>
        <v>هیأت</v>
      </c>
      <c r="C1906" s="5" t="str">
        <f>IFERROR(__xludf.DUMMYFUNCTION("""COMPUTED_VALUE"""),"عاشقان بقيع")</f>
        <v>عاشقان بقيع</v>
      </c>
      <c r="D1906" s="5" t="str">
        <f>IFERROR(__xludf.DUMMYFUNCTION("""COMPUTED_VALUE"""),"آذربایجان شرقی")</f>
        <v>آذربایجان شرقی</v>
      </c>
      <c r="E1906" s="5" t="str">
        <f>IFERROR(__xludf.DUMMYFUNCTION("""COMPUTED_VALUE"""),"تبریز")</f>
        <v>تبریز</v>
      </c>
      <c r="F1906" s="5"/>
      <c r="G1906" s="5"/>
      <c r="H1906" s="6" t="str">
        <f>IFERROR(__xludf.DUMMYFUNCTION("""COMPUTED_VALUE"""),"https://www.instagram.com/asheghanebagitabriz")</f>
        <v>https://www.instagram.com/asheghanebagitabriz</v>
      </c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</row>
    <row r="1907">
      <c r="A1907" s="5">
        <f>IFERROR(__xludf.DUMMYFUNCTION("""COMPUTED_VALUE"""),23.0)</f>
        <v>23</v>
      </c>
      <c r="B1907" s="5" t="str">
        <f>IFERROR(__xludf.DUMMYFUNCTION("""COMPUTED_VALUE"""),"هیأت")</f>
        <v>هیأت</v>
      </c>
      <c r="C1907" s="5" t="str">
        <f>IFERROR(__xludf.DUMMYFUNCTION("""COMPUTED_VALUE"""),"یاحسین مظلوم (ع)")</f>
        <v>یاحسین مظلوم (ع)</v>
      </c>
      <c r="D1907" s="5" t="str">
        <f>IFERROR(__xludf.DUMMYFUNCTION("""COMPUTED_VALUE"""),"آذربایجان شرقی")</f>
        <v>آذربایجان شرقی</v>
      </c>
      <c r="E1907" s="5" t="str">
        <f>IFERROR(__xludf.DUMMYFUNCTION("""COMPUTED_VALUE"""),"تبریز")</f>
        <v>تبریز</v>
      </c>
      <c r="F1907" s="5"/>
      <c r="G1907" s="5"/>
      <c r="H1907" s="6" t="str">
        <f>IFERROR(__xludf.DUMMYFUNCTION("""COMPUTED_VALUE"""),"https://www.instagram.com/ya_hoseine_mazloum_tabriz")</f>
        <v>https://www.instagram.com/ya_hoseine_mazloum_tabriz</v>
      </c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</row>
    <row r="1908">
      <c r="A1908" s="5">
        <f>IFERROR(__xludf.DUMMYFUNCTION("""COMPUTED_VALUE"""),13.0)</f>
        <v>13</v>
      </c>
      <c r="B1908" s="5" t="str">
        <f>IFERROR(__xludf.DUMMYFUNCTION("""COMPUTED_VALUE"""),"هیأت")</f>
        <v>هیأت</v>
      </c>
      <c r="C1908" s="5" t="str">
        <f>IFERROR(__xludf.DUMMYFUNCTION("""COMPUTED_VALUE"""),"پابوسان امام رضا (ع)")</f>
        <v>پابوسان امام رضا (ع)</v>
      </c>
      <c r="D1908" s="5" t="str">
        <f>IFERROR(__xludf.DUMMYFUNCTION("""COMPUTED_VALUE"""),"آذربایجان شرقی")</f>
        <v>آذربایجان شرقی</v>
      </c>
      <c r="E1908" s="5" t="str">
        <f>IFERROR(__xludf.DUMMYFUNCTION("""COMPUTED_VALUE"""),"تبریز")</f>
        <v>تبریز</v>
      </c>
      <c r="F1908" s="5"/>
      <c r="G1908" s="5"/>
      <c r="H1908" s="6" t="str">
        <f>IFERROR(__xludf.DUMMYFUNCTION("""COMPUTED_VALUE"""),"https://www.instagram.com/pabusanemamreza.tabriz/")</f>
        <v>https://www.instagram.com/pabusanemamreza.tabriz/</v>
      </c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</row>
    <row r="1909">
      <c r="A1909" s="5">
        <f>IFERROR(__xludf.DUMMYFUNCTION("""COMPUTED_VALUE"""),4.0)</f>
        <v>4</v>
      </c>
      <c r="B1909" s="5" t="str">
        <f>IFERROR(__xludf.DUMMYFUNCTION("""COMPUTED_VALUE"""),"هیأت")</f>
        <v>هیأت</v>
      </c>
      <c r="C1909" s="5" t="str">
        <f>IFERROR(__xludf.DUMMYFUNCTION("""COMPUTED_VALUE"""),"رهروان خانم زینب (س) / مهد قرآن امام حسن مجتبی (ع)")</f>
        <v>رهروان خانم زینب (س) / مهد قرآن امام حسن مجتبی (ع)</v>
      </c>
      <c r="D1909" s="5" t="str">
        <f>IFERROR(__xludf.DUMMYFUNCTION("""COMPUTED_VALUE"""),"آذربایجان شرقی")</f>
        <v>آذربایجان شرقی</v>
      </c>
      <c r="E1909" s="5" t="str">
        <f>IFERROR(__xludf.DUMMYFUNCTION("""COMPUTED_VALUE"""),"تبریز")</f>
        <v>تبریز</v>
      </c>
      <c r="F1909" s="5"/>
      <c r="G1909" s="5"/>
      <c r="H1909" s="6" t="str">
        <f>IFERROR(__xludf.DUMMYFUNCTION("""COMPUTED_VALUE"""),"https://www.instagram.com/heyat_rahrovan_hazrate_zeynab/")</f>
        <v>https://www.instagram.com/heyat_rahrovan_hazrate_zeynab/</v>
      </c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</row>
    <row r="1910">
      <c r="A1910" s="5">
        <f>IFERROR(__xludf.DUMMYFUNCTION("""COMPUTED_VALUE"""),26639.0)</f>
        <v>26639</v>
      </c>
      <c r="B1910" s="5" t="str">
        <f>IFERROR(__xludf.DUMMYFUNCTION("""COMPUTED_VALUE"""),"هیأت")</f>
        <v>هیأت</v>
      </c>
      <c r="C1910" s="5" t="str">
        <f>IFERROR(__xludf.DUMMYFUNCTION("""COMPUTED_VALUE"""),"رهپیویان کوثر فاطمیه")</f>
        <v>رهپیویان کوثر فاطمیه</v>
      </c>
      <c r="D1910" s="5" t="str">
        <f>IFERROR(__xludf.DUMMYFUNCTION("""COMPUTED_VALUE"""),"آذربایجان شرقی")</f>
        <v>آذربایجان شرقی</v>
      </c>
      <c r="E1910" s="5" t="str">
        <f>IFERROR(__xludf.DUMMYFUNCTION("""COMPUTED_VALUE"""),"جلفا")</f>
        <v>جلفا</v>
      </c>
      <c r="F1910" s="5"/>
      <c r="G1910" s="5"/>
      <c r="H1910" s="6" t="str">
        <f>IFERROR(__xludf.DUMMYFUNCTION("""COMPUTED_VALUE"""),"https://www.instagram.com/rahpuyanekosar")</f>
        <v>https://www.instagram.com/rahpuyanekosar</v>
      </c>
      <c r="I1910" s="5"/>
      <c r="J1910" s="6" t="str">
        <f>IFERROR(__xludf.DUMMYFUNCTION("""COMPUTED_VALUE"""),"https://eitaa.com/Rahpoyankosarfatemeye")</f>
        <v>https://eitaa.com/Rahpoyankosarfatemeye</v>
      </c>
      <c r="K1910" s="5"/>
      <c r="L1910" s="5"/>
      <c r="M1910" s="5"/>
      <c r="N1910" s="5"/>
      <c r="O1910" s="5"/>
      <c r="P1910" s="5"/>
      <c r="Q1910" s="5"/>
      <c r="R1910" s="5"/>
      <c r="S1910" s="5"/>
    </row>
    <row r="1911">
      <c r="A1911" s="5">
        <f>IFERROR(__xludf.DUMMYFUNCTION("""COMPUTED_VALUE"""),18368.0)</f>
        <v>18368</v>
      </c>
      <c r="B1911" s="5" t="str">
        <f>IFERROR(__xludf.DUMMYFUNCTION("""COMPUTED_VALUE"""),"هیأت")</f>
        <v>هیأت</v>
      </c>
      <c r="C1911" s="5" t="str">
        <f>IFERROR(__xludf.DUMMYFUNCTION("""COMPUTED_VALUE"""),"هیأت اعظم فاطمیه علمدار")</f>
        <v>هیأت اعظم فاطمیه علمدار</v>
      </c>
      <c r="D1911" s="5" t="str">
        <f>IFERROR(__xludf.DUMMYFUNCTION("""COMPUTED_VALUE"""),"آذربایجان شرقی")</f>
        <v>آذربایجان شرقی</v>
      </c>
      <c r="E1911" s="5" t="str">
        <f>IFERROR(__xludf.DUMMYFUNCTION("""COMPUTED_VALUE"""),"جلفا")</f>
        <v>جلفا</v>
      </c>
      <c r="F1911" s="5"/>
      <c r="G1911" s="5"/>
      <c r="H1911" s="6" t="str">
        <f>IFERROR(__xludf.DUMMYFUNCTION("""COMPUTED_VALUE"""),"https://www.instagram.com/h.a.alamdar")</f>
        <v>https://www.instagram.com/h.a.alamdar</v>
      </c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</row>
    <row r="1912">
      <c r="A1912" s="5">
        <f>IFERROR(__xludf.DUMMYFUNCTION("""COMPUTED_VALUE"""),17918.0)</f>
        <v>17918</v>
      </c>
      <c r="B1912" s="5" t="str">
        <f>IFERROR(__xludf.DUMMYFUNCTION("""COMPUTED_VALUE"""),"هیأت")</f>
        <v>هیأت</v>
      </c>
      <c r="C1912" s="5" t="str">
        <f>IFERROR(__xludf.DUMMYFUNCTION("""COMPUTED_VALUE"""),"عزاداران امام حسین")</f>
        <v>عزاداران امام حسین</v>
      </c>
      <c r="D1912" s="5" t="str">
        <f>IFERROR(__xludf.DUMMYFUNCTION("""COMPUTED_VALUE"""),"آذربایجان شرقی")</f>
        <v>آذربایجان شرقی</v>
      </c>
      <c r="E1912" s="5" t="str">
        <f>IFERROR(__xludf.DUMMYFUNCTION("""COMPUTED_VALUE"""),"سراب")</f>
        <v>سراب</v>
      </c>
      <c r="F1912" s="5"/>
      <c r="G1912" s="5"/>
      <c r="H1912" s="6" t="str">
        <f>IFERROR(__xludf.DUMMYFUNCTION("""COMPUTED_VALUE"""),"https://www.instagram.com/aharloo.sarab")</f>
        <v>https://www.instagram.com/aharloo.sarab</v>
      </c>
      <c r="I1912" s="6" t="str">
        <f>IFERROR(__xludf.DUMMYFUNCTION("""COMPUTED_VALUE"""),"https://t.me/hoseynie_aharloo")</f>
        <v>https://t.me/hoseynie_aharloo</v>
      </c>
      <c r="J1912" s="5"/>
      <c r="K1912" s="5"/>
      <c r="L1912" s="5"/>
      <c r="M1912" s="5"/>
      <c r="N1912" s="5"/>
      <c r="O1912" s="5"/>
      <c r="P1912" s="5"/>
      <c r="Q1912" s="5"/>
      <c r="R1912" s="5"/>
      <c r="S1912" s="5"/>
    </row>
    <row r="1913">
      <c r="A1913" s="5"/>
      <c r="B1913" s="5" t="str">
        <f>IFERROR(__xludf.DUMMYFUNCTION("""COMPUTED_VALUE"""),"هیأت")</f>
        <v>هیأت</v>
      </c>
      <c r="C1913" s="5" t="str">
        <f>IFERROR(__xludf.DUMMYFUNCTION("""COMPUTED_VALUE"""),"عزاداران علی اصغر")</f>
        <v>عزاداران علی اصغر</v>
      </c>
      <c r="D1913" s="5" t="str">
        <f>IFERROR(__xludf.DUMMYFUNCTION("""COMPUTED_VALUE"""),"آذربایجان شرقی")</f>
        <v>آذربایجان شرقی</v>
      </c>
      <c r="E1913" s="5" t="str">
        <f>IFERROR(__xludf.DUMMYFUNCTION("""COMPUTED_VALUE"""),"سراب")</f>
        <v>سراب</v>
      </c>
      <c r="F1913" s="5"/>
      <c r="G1913" s="5"/>
      <c r="H1913" s="5"/>
      <c r="I1913" s="5"/>
      <c r="J1913" s="6" t="str">
        <f>IFERROR(__xludf.DUMMYFUNCTION("""COMPUTED_VALUE"""),"https://eitaa.com/hayat_aliasgar_sarab")</f>
        <v>https://eitaa.com/hayat_aliasgar_sarab</v>
      </c>
      <c r="K1913" s="5"/>
      <c r="L1913" s="5"/>
      <c r="M1913" s="5"/>
      <c r="N1913" s="5"/>
      <c r="O1913" s="5"/>
      <c r="P1913" s="5"/>
      <c r="Q1913" s="5"/>
      <c r="R1913" s="5"/>
      <c r="S1913" s="5"/>
    </row>
    <row r="1914">
      <c r="A1914" s="5">
        <f>IFERROR(__xludf.DUMMYFUNCTION("""COMPUTED_VALUE"""),26844.0)</f>
        <v>26844</v>
      </c>
      <c r="B1914" s="5" t="str">
        <f>IFERROR(__xludf.DUMMYFUNCTION("""COMPUTED_VALUE"""),"هیأت")</f>
        <v>هیأت</v>
      </c>
      <c r="C1914" s="5" t="str">
        <f>IFERROR(__xludf.DUMMYFUNCTION("""COMPUTED_VALUE"""),"شاه حسین گویان حضرت فاطمه س دریان")</f>
        <v>شاه حسین گویان حضرت فاطمه س دریان</v>
      </c>
      <c r="D1914" s="5" t="str">
        <f>IFERROR(__xludf.DUMMYFUNCTION("""COMPUTED_VALUE"""),"آذربایجان شرقی")</f>
        <v>آذربایجان شرقی</v>
      </c>
      <c r="E1914" s="5" t="str">
        <f>IFERROR(__xludf.DUMMYFUNCTION("""COMPUTED_VALUE"""),"شبستر")</f>
        <v>شبستر</v>
      </c>
      <c r="F1914" s="5"/>
      <c r="G1914" s="5"/>
      <c r="H1914" s="6" t="str">
        <f>IFERROR(__xludf.DUMMYFUNCTION("""COMPUTED_VALUE"""),"https://www.instagram.com/_shahhosein_goyandaryan1400")</f>
        <v>https://www.instagram.com/_shahhosein_goyandaryan1400</v>
      </c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</row>
    <row r="1915">
      <c r="A1915" s="5">
        <f>IFERROR(__xludf.DUMMYFUNCTION("""COMPUTED_VALUE"""),17783.0)</f>
        <v>17783</v>
      </c>
      <c r="B1915" s="5" t="str">
        <f>IFERROR(__xludf.DUMMYFUNCTION("""COMPUTED_VALUE"""),"هیأت")</f>
        <v>هیأت</v>
      </c>
      <c r="C1915" s="5" t="str">
        <f>IFERROR(__xludf.DUMMYFUNCTION("""COMPUTED_VALUE"""),"ثارالله(ع)")</f>
        <v>ثارالله(ع)</v>
      </c>
      <c r="D1915" s="5" t="str">
        <f>IFERROR(__xludf.DUMMYFUNCTION("""COMPUTED_VALUE"""),"آذربایجان شرقی")</f>
        <v>آذربایجان شرقی</v>
      </c>
      <c r="E1915" s="5" t="str">
        <f>IFERROR(__xludf.DUMMYFUNCTION("""COMPUTED_VALUE"""),"شبستر")</f>
        <v>شبستر</v>
      </c>
      <c r="F1915" s="5"/>
      <c r="G1915" s="5"/>
      <c r="H1915" s="6" t="str">
        <f>IFERROR(__xludf.DUMMYFUNCTION("""COMPUTED_VALUE"""),"https://www.instagram.com/heyat_sarallh_shabestar")</f>
        <v>https://www.instagram.com/heyat_sarallh_shabestar</v>
      </c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</row>
    <row r="1916">
      <c r="A1916" s="5">
        <f>IFERROR(__xludf.DUMMYFUNCTION("""COMPUTED_VALUE"""),31741.0)</f>
        <v>31741</v>
      </c>
      <c r="B1916" s="5" t="str">
        <f>IFERROR(__xludf.DUMMYFUNCTION("""COMPUTED_VALUE"""),"هیأت")</f>
        <v>هیأت</v>
      </c>
      <c r="C1916" s="5" t="str">
        <f>IFERROR(__xludf.DUMMYFUNCTION("""COMPUTED_VALUE"""),"حضرت رقیه (س)")</f>
        <v>حضرت رقیه (س)</v>
      </c>
      <c r="D1916" s="5" t="str">
        <f>IFERROR(__xludf.DUMMYFUNCTION("""COMPUTED_VALUE"""),"آذربایجان شرقی")</f>
        <v>آذربایجان شرقی</v>
      </c>
      <c r="E1916" s="5" t="str">
        <f>IFERROR(__xludf.DUMMYFUNCTION("""COMPUTED_VALUE"""),"عجب شیر")</f>
        <v>عجب شیر</v>
      </c>
      <c r="F1916" s="5"/>
      <c r="G1916" s="5"/>
      <c r="H1916" s="6" t="str">
        <f>IFERROR(__xludf.DUMMYFUNCTION("""COMPUTED_VALUE"""),"https://www.instagram.com/heyaterogaye")</f>
        <v>https://www.instagram.com/heyaterogaye</v>
      </c>
      <c r="I1916" s="6" t="str">
        <f>IFERROR(__xludf.DUMMYFUNCTION("""COMPUTED_VALUE"""),"https://t.me/heyaterogaye")</f>
        <v>https://t.me/heyaterogaye</v>
      </c>
      <c r="J1916" s="5"/>
      <c r="K1916" s="5"/>
      <c r="L1916" s="5"/>
      <c r="M1916" s="5"/>
      <c r="N1916" s="5"/>
      <c r="O1916" s="5"/>
      <c r="P1916" s="5"/>
      <c r="Q1916" s="5"/>
      <c r="R1916" s="5"/>
      <c r="S1916" s="5"/>
    </row>
    <row r="1917">
      <c r="A1917" s="5">
        <f>IFERROR(__xludf.DUMMYFUNCTION("""COMPUTED_VALUE"""),313.0)</f>
        <v>313</v>
      </c>
      <c r="B1917" s="5" t="str">
        <f>IFERROR(__xludf.DUMMYFUNCTION("""COMPUTED_VALUE"""),"هیأت")</f>
        <v>هیأت</v>
      </c>
      <c r="C1917" s="5" t="str">
        <f>IFERROR(__xludf.DUMMYFUNCTION("""COMPUTED_VALUE"""),"زنجیر زنان حضرت ابوالفضل (ع)")</f>
        <v>زنجیر زنان حضرت ابوالفضل (ع)</v>
      </c>
      <c r="D1917" s="5" t="str">
        <f>IFERROR(__xludf.DUMMYFUNCTION("""COMPUTED_VALUE"""),"آذربایجان شرقی")</f>
        <v>آذربایجان شرقی</v>
      </c>
      <c r="E1917" s="5" t="str">
        <f>IFERROR(__xludf.DUMMYFUNCTION("""COMPUTED_VALUE"""),"کلیبر")</f>
        <v>کلیبر</v>
      </c>
      <c r="F1917" s="5"/>
      <c r="G1917" s="5"/>
      <c r="H1917" s="6" t="str">
        <f>IFERROR(__xludf.DUMMYFUNCTION("""COMPUTED_VALUE"""),"https://www.instagram.com/emamzadeh_kaleybar")</f>
        <v>https://www.instagram.com/emamzadeh_kaleybar</v>
      </c>
      <c r="I1917" s="6" t="str">
        <f>IFERROR(__xludf.DUMMYFUNCTION("""COMPUTED_VALUE"""),"https://t.me/imamzadekaleibar")</f>
        <v>https://t.me/imamzadekaleibar</v>
      </c>
      <c r="J1917" s="5"/>
      <c r="K1917" s="5"/>
      <c r="L1917" s="5"/>
      <c r="M1917" s="5"/>
      <c r="N1917" s="5"/>
      <c r="O1917" s="5"/>
      <c r="P1917" s="5"/>
      <c r="Q1917" s="5"/>
      <c r="R1917" s="5"/>
      <c r="S1917" s="5"/>
    </row>
    <row r="1918">
      <c r="A1918" s="5">
        <f>IFERROR(__xludf.DUMMYFUNCTION("""COMPUTED_VALUE"""),215.0)</f>
        <v>215</v>
      </c>
      <c r="B1918" s="5" t="str">
        <f>IFERROR(__xludf.DUMMYFUNCTION("""COMPUTED_VALUE"""),"مسجد")</f>
        <v>مسجد</v>
      </c>
      <c r="C1918" s="5" t="str">
        <f>IFERROR(__xludf.DUMMYFUNCTION("""COMPUTED_VALUE"""),"ولی عصر (عج)")</f>
        <v>ولی عصر (عج)</v>
      </c>
      <c r="D1918" s="5" t="str">
        <f>IFERROR(__xludf.DUMMYFUNCTION("""COMPUTED_VALUE"""),"آذربایجان شرقی")</f>
        <v>آذربایجان شرقی</v>
      </c>
      <c r="E1918" s="5" t="str">
        <f>IFERROR(__xludf.DUMMYFUNCTION("""COMPUTED_VALUE"""),"کلیبر")</f>
        <v>کلیبر</v>
      </c>
      <c r="F1918" s="5"/>
      <c r="G1918" s="5"/>
      <c r="H1918" s="6" t="str">
        <f>IFERROR(__xludf.DUMMYFUNCTION("""COMPUTED_VALUE"""),"https://www.instagram.com/m_valiasr_kaleibar")</f>
        <v>https://www.instagram.com/m_valiasr_kaleibar</v>
      </c>
      <c r="I1918" s="6" t="str">
        <f>IFERROR(__xludf.DUMMYFUNCTION("""COMPUTED_VALUE"""),"https://t.me/m_valiasr_kaleibar")</f>
        <v>https://t.me/m_valiasr_kaleibar</v>
      </c>
      <c r="J1918" s="5"/>
      <c r="K1918" s="5"/>
      <c r="L1918" s="5"/>
      <c r="M1918" s="5"/>
      <c r="N1918" s="5"/>
      <c r="O1918" s="5"/>
      <c r="P1918" s="5"/>
      <c r="Q1918" s="5"/>
      <c r="R1918" s="5"/>
      <c r="S1918" s="5"/>
    </row>
    <row r="1919">
      <c r="A1919" s="5">
        <f>IFERROR(__xludf.DUMMYFUNCTION("""COMPUTED_VALUE"""),31802.0)</f>
        <v>31802</v>
      </c>
      <c r="B1919" s="5" t="str">
        <f>IFERROR(__xludf.DUMMYFUNCTION("""COMPUTED_VALUE"""),"هیأت")</f>
        <v>هیأت</v>
      </c>
      <c r="C1919" s="5" t="str">
        <f>IFERROR(__xludf.DUMMYFUNCTION("""COMPUTED_VALUE"""),"موسسه قرآنی اباصالح")</f>
        <v>موسسه قرآنی اباصالح</v>
      </c>
      <c r="D1919" s="5" t="str">
        <f>IFERROR(__xludf.DUMMYFUNCTION("""COMPUTED_VALUE"""),"آذربایجان شرقی")</f>
        <v>آذربایجان شرقی</v>
      </c>
      <c r="E1919" s="5" t="str">
        <f>IFERROR(__xludf.DUMMYFUNCTION("""COMPUTED_VALUE"""),"مراغه")</f>
        <v>مراغه</v>
      </c>
      <c r="F1919" s="5"/>
      <c r="G1919" s="5"/>
      <c r="H1919" s="5"/>
      <c r="I1919" s="6" t="str">
        <f>IFERROR(__xludf.DUMMYFUNCTION("""COMPUTED_VALUE"""),"https://t.me/abasaleh_m1")</f>
        <v>https://t.me/abasaleh_m1</v>
      </c>
      <c r="J1919" s="6" t="str">
        <f>IFERROR(__xludf.DUMMYFUNCTION("""COMPUTED_VALUE"""),"https://eitaa.com/abasaleh_m1")</f>
        <v>https://eitaa.com/abasaleh_m1</v>
      </c>
      <c r="K1919" s="5"/>
      <c r="L1919" s="5"/>
      <c r="M1919" s="5"/>
      <c r="N1919" s="5"/>
      <c r="O1919" s="5"/>
      <c r="P1919" s="5"/>
      <c r="Q1919" s="5"/>
      <c r="R1919" s="5"/>
      <c r="S1919" s="5"/>
    </row>
    <row r="1920">
      <c r="A1920" s="5">
        <f>IFERROR(__xludf.DUMMYFUNCTION("""COMPUTED_VALUE"""),31736.0)</f>
        <v>31736</v>
      </c>
      <c r="B1920" s="5" t="str">
        <f>IFERROR(__xludf.DUMMYFUNCTION("""COMPUTED_VALUE"""),"هیأت")</f>
        <v>هیأت</v>
      </c>
      <c r="C1920" s="5" t="str">
        <f>IFERROR(__xludf.DUMMYFUNCTION("""COMPUTED_VALUE"""),"قاسم بن الحسن (ع)")</f>
        <v>قاسم بن الحسن (ع)</v>
      </c>
      <c r="D1920" s="5" t="str">
        <f>IFERROR(__xludf.DUMMYFUNCTION("""COMPUTED_VALUE"""),"آذربایجان شرقی")</f>
        <v>آذربایجان شرقی</v>
      </c>
      <c r="E1920" s="5" t="str">
        <f>IFERROR(__xludf.DUMMYFUNCTION("""COMPUTED_VALUE"""),"مراغه")</f>
        <v>مراغه</v>
      </c>
      <c r="F1920" s="5"/>
      <c r="G1920" s="5"/>
      <c r="H1920" s="6" t="str">
        <f>IFERROR(__xludf.DUMMYFUNCTION("""COMPUTED_VALUE"""),"https://www.instagram.com/heyategasemebnelhasan")</f>
        <v>https://www.instagram.com/heyategasemebnelhasan</v>
      </c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</row>
    <row r="1921">
      <c r="A1921" s="5">
        <f>IFERROR(__xludf.DUMMYFUNCTION("""COMPUTED_VALUE"""),30335.0)</f>
        <v>30335</v>
      </c>
      <c r="B1921" s="5" t="str">
        <f>IFERROR(__xludf.DUMMYFUNCTION("""COMPUTED_VALUE"""),"هیأت")</f>
        <v>هیأت</v>
      </c>
      <c r="C1921" s="5" t="str">
        <f>IFERROR(__xludf.DUMMYFUNCTION("""COMPUTED_VALUE"""),"هیات الزهرا (س)")</f>
        <v>هیات الزهرا (س)</v>
      </c>
      <c r="D1921" s="5" t="str">
        <f>IFERROR(__xludf.DUMMYFUNCTION("""COMPUTED_VALUE"""),"آذربایجان شرقی")</f>
        <v>آذربایجان شرقی</v>
      </c>
      <c r="E1921" s="5" t="str">
        <f>IFERROR(__xludf.DUMMYFUNCTION("""COMPUTED_VALUE"""),"مراغه")</f>
        <v>مراغه</v>
      </c>
      <c r="F1921" s="5"/>
      <c r="G1921" s="5"/>
      <c r="H1921" s="6" t="str">
        <f>IFERROR(__xludf.DUMMYFUNCTION("""COMPUTED_VALUE"""),"https://www.instagram.com/heiatolzahramr")</f>
        <v>https://www.instagram.com/heiatolzahramr</v>
      </c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</row>
    <row r="1922">
      <c r="A1922" s="5">
        <f>IFERROR(__xludf.DUMMYFUNCTION("""COMPUTED_VALUE"""),28002.0)</f>
        <v>28002</v>
      </c>
      <c r="B1922" s="5" t="str">
        <f>IFERROR(__xludf.DUMMYFUNCTION("""COMPUTED_VALUE"""),"هیأت")</f>
        <v>هیأت</v>
      </c>
      <c r="C1922" s="5" t="str">
        <f>IFERROR(__xludf.DUMMYFUNCTION("""COMPUTED_VALUE"""),"انصارالحسین مراغه")</f>
        <v>انصارالحسین مراغه</v>
      </c>
      <c r="D1922" s="5" t="str">
        <f>IFERROR(__xludf.DUMMYFUNCTION("""COMPUTED_VALUE"""),"آذربایجان شرقی")</f>
        <v>آذربایجان شرقی</v>
      </c>
      <c r="E1922" s="5" t="str">
        <f>IFERROR(__xludf.DUMMYFUNCTION("""COMPUTED_VALUE"""),"مراغه")</f>
        <v>مراغه</v>
      </c>
      <c r="F1922" s="5"/>
      <c r="G1922" s="5"/>
      <c r="H1922" s="6" t="str">
        <f>IFERROR(__xludf.DUMMYFUNCTION("""COMPUTED_VALUE"""),"https://www.instagram.com/ansaralhosein_maragheh")</f>
        <v>https://www.instagram.com/ansaralhosein_maragheh</v>
      </c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</row>
    <row r="1923">
      <c r="A1923" s="5">
        <f>IFERROR(__xludf.DUMMYFUNCTION("""COMPUTED_VALUE"""),26840.0)</f>
        <v>26840</v>
      </c>
      <c r="B1923" s="5" t="str">
        <f>IFERROR(__xludf.DUMMYFUNCTION("""COMPUTED_VALUE"""),"هیأت")</f>
        <v>هیأت</v>
      </c>
      <c r="C1923" s="5" t="str">
        <f>IFERROR(__xludf.DUMMYFUNCTION("""COMPUTED_VALUE"""),"حضرت رقیه (س)")</f>
        <v>حضرت رقیه (س)</v>
      </c>
      <c r="D1923" s="5" t="str">
        <f>IFERROR(__xludf.DUMMYFUNCTION("""COMPUTED_VALUE"""),"آذربایجان شرقی")</f>
        <v>آذربایجان شرقی</v>
      </c>
      <c r="E1923" s="5" t="str">
        <f>IFERROR(__xludf.DUMMYFUNCTION("""COMPUTED_VALUE"""),"مراغه")</f>
        <v>مراغه</v>
      </c>
      <c r="F1923" s="5"/>
      <c r="G1923" s="5"/>
      <c r="H1923" s="6" t="str">
        <f>IFERROR(__xludf.DUMMYFUNCTION("""COMPUTED_VALUE"""),"https://www.instagram.com/ashaganrogaya")</f>
        <v>https://www.instagram.com/ashaganrogaya</v>
      </c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</row>
    <row r="1924">
      <c r="A1924" s="5">
        <f>IFERROR(__xludf.DUMMYFUNCTION("""COMPUTED_VALUE"""),23018.0)</f>
        <v>23018</v>
      </c>
      <c r="B1924" s="5" t="str">
        <f>IFERROR(__xludf.DUMMYFUNCTION("""COMPUTED_VALUE"""),"هیأت")</f>
        <v>هیأت</v>
      </c>
      <c r="C1924" s="5" t="str">
        <f>IFERROR(__xludf.DUMMYFUNCTION("""COMPUTED_VALUE"""),"سالارشهیدان کربلا")</f>
        <v>سالارشهیدان کربلا</v>
      </c>
      <c r="D1924" s="5" t="str">
        <f>IFERROR(__xludf.DUMMYFUNCTION("""COMPUTED_VALUE"""),"آذربایجان شرقی")</f>
        <v>آذربایجان شرقی</v>
      </c>
      <c r="E1924" s="5" t="str">
        <f>IFERROR(__xludf.DUMMYFUNCTION("""COMPUTED_VALUE"""),"مراغه")</f>
        <v>مراغه</v>
      </c>
      <c r="F1924" s="5"/>
      <c r="G1924" s="5"/>
      <c r="H1924" s="6" t="str">
        <f>IFERROR(__xludf.DUMMYFUNCTION("""COMPUTED_VALUE"""),"https://www.instagram.com/salarshahidan_ir")</f>
        <v>https://www.instagram.com/salarshahidan_ir</v>
      </c>
      <c r="I1924" s="6" t="str">
        <f>IFERROR(__xludf.DUMMYFUNCTION("""COMPUTED_VALUE"""),"https://t.me/salarshahidan")</f>
        <v>https://t.me/salarshahidan</v>
      </c>
      <c r="J1924" s="5"/>
      <c r="K1924" s="5"/>
      <c r="L1924" s="5"/>
      <c r="M1924" s="5"/>
      <c r="N1924" s="5"/>
      <c r="O1924" s="5"/>
      <c r="P1924" s="5"/>
      <c r="Q1924" s="5"/>
      <c r="R1924" s="5"/>
      <c r="S1924" s="5"/>
    </row>
    <row r="1925">
      <c r="A1925" s="5">
        <f>IFERROR(__xludf.DUMMYFUNCTION("""COMPUTED_VALUE"""),23017.0)</f>
        <v>23017</v>
      </c>
      <c r="B1925" s="5" t="str">
        <f>IFERROR(__xludf.DUMMYFUNCTION("""COMPUTED_VALUE"""),"هیأت")</f>
        <v>هیأت</v>
      </c>
      <c r="C1925" s="5" t="str">
        <f>IFERROR(__xludf.DUMMYFUNCTION("""COMPUTED_VALUE"""),"تشنگان کوثر مراغه")</f>
        <v>تشنگان کوثر مراغه</v>
      </c>
      <c r="D1925" s="5" t="str">
        <f>IFERROR(__xludf.DUMMYFUNCTION("""COMPUTED_VALUE"""),"آذربایجان شرقی")</f>
        <v>آذربایجان شرقی</v>
      </c>
      <c r="E1925" s="5" t="str">
        <f>IFERROR(__xludf.DUMMYFUNCTION("""COMPUTED_VALUE"""),"مراغه")</f>
        <v>مراغه</v>
      </c>
      <c r="F1925" s="5"/>
      <c r="G1925" s="5"/>
      <c r="H1925" s="6" t="str">
        <f>IFERROR(__xludf.DUMMYFUNCTION("""COMPUTED_VALUE"""),"https://www.instagram.com/teshneekosar")</f>
        <v>https://www.instagram.com/teshneekosar</v>
      </c>
      <c r="I1925" s="6" t="str">
        <f>IFERROR(__xludf.DUMMYFUNCTION("""COMPUTED_VALUE"""),"https://t.me/teshneekosar")</f>
        <v>https://t.me/teshneekosar</v>
      </c>
      <c r="J1925" s="5"/>
      <c r="K1925" s="5"/>
      <c r="L1925" s="5"/>
      <c r="M1925" s="5"/>
      <c r="N1925" s="5"/>
      <c r="O1925" s="5"/>
      <c r="P1925" s="5"/>
      <c r="Q1925" s="5"/>
      <c r="R1925" s="5"/>
      <c r="S1925" s="5"/>
    </row>
    <row r="1926">
      <c r="A1926" s="5">
        <f>IFERROR(__xludf.DUMMYFUNCTION("""COMPUTED_VALUE"""),21117.0)</f>
        <v>21117</v>
      </c>
      <c r="B1926" s="5" t="str">
        <f>IFERROR(__xludf.DUMMYFUNCTION("""COMPUTED_VALUE"""),"هیأت")</f>
        <v>هیأت</v>
      </c>
      <c r="C1926" s="5" t="str">
        <f>IFERROR(__xludf.DUMMYFUNCTION("""COMPUTED_VALUE"""),"جنت الحسین (ع)")</f>
        <v>جنت الحسین (ع)</v>
      </c>
      <c r="D1926" s="5" t="str">
        <f>IFERROR(__xludf.DUMMYFUNCTION("""COMPUTED_VALUE"""),"آذربایجان شرقی")</f>
        <v>آذربایجان شرقی</v>
      </c>
      <c r="E1926" s="5" t="str">
        <f>IFERROR(__xludf.DUMMYFUNCTION("""COMPUTED_VALUE"""),"مراغه")</f>
        <v>مراغه</v>
      </c>
      <c r="F1926" s="5"/>
      <c r="G1926" s="5"/>
      <c r="H1926" s="6" t="str">
        <f>IFERROR(__xludf.DUMMYFUNCTION("""COMPUTED_VALUE"""),"https://www.instagram.com/jannatolhossein_com")</f>
        <v>https://www.instagram.com/jannatolhossein_com</v>
      </c>
      <c r="I1926" s="6" t="str">
        <f>IFERROR(__xludf.DUMMYFUNCTION("""COMPUTED_VALUE"""),"https://t.me/jannatolhossein_com")</f>
        <v>https://t.me/jannatolhossein_com</v>
      </c>
      <c r="J1926" s="5"/>
      <c r="K1926" s="5"/>
      <c r="L1926" s="5"/>
      <c r="M1926" s="5"/>
      <c r="N1926" s="5"/>
      <c r="O1926" s="5"/>
      <c r="P1926" s="5"/>
      <c r="Q1926" s="5"/>
      <c r="R1926" s="5"/>
      <c r="S1926" s="5"/>
    </row>
    <row r="1927">
      <c r="A1927" s="5">
        <f>IFERROR(__xludf.DUMMYFUNCTION("""COMPUTED_VALUE"""),20668.0)</f>
        <v>20668</v>
      </c>
      <c r="B1927" s="5" t="str">
        <f>IFERROR(__xludf.DUMMYFUNCTION("""COMPUTED_VALUE"""),"هیأت")</f>
        <v>هیأت</v>
      </c>
      <c r="C1927" s="5" t="str">
        <f>IFERROR(__xludf.DUMMYFUNCTION("""COMPUTED_VALUE"""),"شعرا و نوحه خوانان مراغه")</f>
        <v>شعرا و نوحه خوانان مراغه</v>
      </c>
      <c r="D1927" s="5" t="str">
        <f>IFERROR(__xludf.DUMMYFUNCTION("""COMPUTED_VALUE"""),"آذربایجان شرقی")</f>
        <v>آذربایجان شرقی</v>
      </c>
      <c r="E1927" s="5" t="str">
        <f>IFERROR(__xludf.DUMMYFUNCTION("""COMPUTED_VALUE"""),"مراغه")</f>
        <v>مراغه</v>
      </c>
      <c r="F1927" s="5"/>
      <c r="G1927" s="5"/>
      <c r="H1927" s="6" t="str">
        <f>IFERROR(__xludf.DUMMYFUNCTION("""COMPUTED_VALUE"""),"https://www.instagram.com/shoara_nohekhanan_maragheh")</f>
        <v>https://www.instagram.com/shoara_nohekhanan_maragheh</v>
      </c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</row>
    <row r="1928">
      <c r="A1928" s="5">
        <f>IFERROR(__xludf.DUMMYFUNCTION("""COMPUTED_VALUE"""),20667.0)</f>
        <v>20667</v>
      </c>
      <c r="B1928" s="5" t="str">
        <f>IFERROR(__xludf.DUMMYFUNCTION("""COMPUTED_VALUE"""),"هیأت")</f>
        <v>هیأت</v>
      </c>
      <c r="C1928" s="5" t="str">
        <f>IFERROR(__xludf.DUMMYFUNCTION("""COMPUTED_VALUE"""),"حضرت فاطمه صغری")</f>
        <v>حضرت فاطمه صغری</v>
      </c>
      <c r="D1928" s="5" t="str">
        <f>IFERROR(__xludf.DUMMYFUNCTION("""COMPUTED_VALUE"""),"آذربایجان شرقی")</f>
        <v>آذربایجان شرقی</v>
      </c>
      <c r="E1928" s="5" t="str">
        <f>IFERROR(__xludf.DUMMYFUNCTION("""COMPUTED_VALUE"""),"مراغه")</f>
        <v>مراغه</v>
      </c>
      <c r="F1928" s="5"/>
      <c r="G1928" s="5"/>
      <c r="H1928" s="6" t="str">
        <f>IFERROR(__xludf.DUMMYFUNCTION("""COMPUTED_VALUE"""),"https://www.instagram.com/fateme.hsoghra1370")</f>
        <v>https://www.instagram.com/fateme.hsoghra1370</v>
      </c>
      <c r="I1928" s="6" t="str">
        <f>IFERROR(__xludf.DUMMYFUNCTION("""COMPUTED_VALUE"""),"https://t.me/wwwfatemehsoghra")</f>
        <v>https://t.me/wwwfatemehsoghra</v>
      </c>
      <c r="J1928" s="5"/>
      <c r="K1928" s="5"/>
      <c r="L1928" s="5"/>
      <c r="M1928" s="5"/>
      <c r="N1928" s="5"/>
      <c r="O1928" s="5"/>
      <c r="P1928" s="5"/>
      <c r="Q1928" s="5"/>
      <c r="R1928" s="5"/>
      <c r="S1928" s="5"/>
    </row>
    <row r="1929">
      <c r="A1929" s="5">
        <f>IFERROR(__xludf.DUMMYFUNCTION("""COMPUTED_VALUE"""),20413.0)</f>
        <v>20413</v>
      </c>
      <c r="B1929" s="5" t="str">
        <f>IFERROR(__xludf.DUMMYFUNCTION("""COMPUTED_VALUE"""),"هیأت")</f>
        <v>هیأت</v>
      </c>
      <c r="C1929" s="5" t="str">
        <f>IFERROR(__xludf.DUMMYFUNCTION("""COMPUTED_VALUE"""),"مجمع فاطمیون")</f>
        <v>مجمع فاطمیون</v>
      </c>
      <c r="D1929" s="5" t="str">
        <f>IFERROR(__xludf.DUMMYFUNCTION("""COMPUTED_VALUE"""),"آذربایجان شرقی")</f>
        <v>آذربایجان شرقی</v>
      </c>
      <c r="E1929" s="5" t="str">
        <f>IFERROR(__xludf.DUMMYFUNCTION("""COMPUTED_VALUE"""),"مراغه")</f>
        <v>مراغه</v>
      </c>
      <c r="F1929" s="5"/>
      <c r="G1929" s="5"/>
      <c r="H1929" s="6" t="str">
        <f>IFERROR(__xludf.DUMMYFUNCTION("""COMPUTED_VALUE"""),"https://www.instagram.com/m.fatemiyon")</f>
        <v>https://www.instagram.com/m.fatemiyon</v>
      </c>
      <c r="I1929" s="5"/>
      <c r="J1929" s="6" t="str">
        <f>IFERROR(__xludf.DUMMYFUNCTION("""COMPUTED_VALUE"""),"https://eitaa.com/m_fatemiyon_maragheh")</f>
        <v>https://eitaa.com/m_fatemiyon_maragheh</v>
      </c>
      <c r="K1929" s="5"/>
      <c r="L1929" s="5"/>
      <c r="M1929" s="5"/>
      <c r="N1929" s="5"/>
      <c r="O1929" s="5"/>
      <c r="P1929" s="5"/>
      <c r="Q1929" s="5"/>
      <c r="R1929" s="5"/>
      <c r="S1929" s="5"/>
    </row>
    <row r="1930">
      <c r="A1930" s="5">
        <f>IFERROR(__xludf.DUMMYFUNCTION("""COMPUTED_VALUE"""),671.0)</f>
        <v>671</v>
      </c>
      <c r="B1930" s="5" t="str">
        <f>IFERROR(__xludf.DUMMYFUNCTION("""COMPUTED_VALUE"""),"هیأت")</f>
        <v>هیأت</v>
      </c>
      <c r="C1930" s="5" t="str">
        <f>IFERROR(__xludf.DUMMYFUNCTION("""COMPUTED_VALUE"""),"حضرت موسی بن جعفر (ع)")</f>
        <v>حضرت موسی بن جعفر (ع)</v>
      </c>
      <c r="D1930" s="5" t="str">
        <f>IFERROR(__xludf.DUMMYFUNCTION("""COMPUTED_VALUE"""),"آذربایجان شرقی")</f>
        <v>آذربایجان شرقی</v>
      </c>
      <c r="E1930" s="5" t="str">
        <f>IFERROR(__xludf.DUMMYFUNCTION("""COMPUTED_VALUE"""),"مراغه")</f>
        <v>مراغه</v>
      </c>
      <c r="F1930" s="5"/>
      <c r="G1930" s="5"/>
      <c r="H1930" s="6" t="str">
        <f>IFERROR(__xludf.DUMMYFUNCTION("""COMPUTED_VALUE"""),"https://www.instagram.com/mosabnjafar_maraghe")</f>
        <v>https://www.instagram.com/mosabnjafar_maraghe</v>
      </c>
      <c r="I1930" s="6" t="str">
        <f>IFERROR(__xludf.DUMMYFUNCTION("""COMPUTED_VALUE"""),"https://t.me/mosabnjafar_maraghe")</f>
        <v>https://t.me/mosabnjafar_maraghe</v>
      </c>
      <c r="J1930" s="5"/>
      <c r="K1930" s="5"/>
      <c r="L1930" s="5"/>
      <c r="M1930" s="5"/>
      <c r="N1930" s="5"/>
      <c r="O1930" s="5"/>
      <c r="P1930" s="5"/>
      <c r="Q1930" s="5"/>
      <c r="R1930" s="5"/>
      <c r="S1930" s="5"/>
    </row>
    <row r="1931">
      <c r="A1931" s="5">
        <f>IFERROR(__xludf.DUMMYFUNCTION("""COMPUTED_VALUE"""),334.0)</f>
        <v>334</v>
      </c>
      <c r="B1931" s="5" t="str">
        <f>IFERROR(__xludf.DUMMYFUNCTION("""COMPUTED_VALUE"""),"هیأت")</f>
        <v>هیأت</v>
      </c>
      <c r="C1931" s="5" t="str">
        <f>IFERROR(__xludf.DUMMYFUNCTION("""COMPUTED_VALUE"""),"عزاداران شهدای گمنام")</f>
        <v>عزاداران شهدای گمنام</v>
      </c>
      <c r="D1931" s="5" t="str">
        <f>IFERROR(__xludf.DUMMYFUNCTION("""COMPUTED_VALUE"""),"آذربایجان شرقی")</f>
        <v>آذربایجان شرقی</v>
      </c>
      <c r="E1931" s="5" t="str">
        <f>IFERROR(__xludf.DUMMYFUNCTION("""COMPUTED_VALUE"""),"مراغه")</f>
        <v>مراغه</v>
      </c>
      <c r="F1931" s="5"/>
      <c r="G1931" s="5"/>
      <c r="H1931" s="6" t="str">
        <f>IFERROR(__xludf.DUMMYFUNCTION("""COMPUTED_VALUE"""),"https://www.instagram.com/shohadayegomnam110")</f>
        <v>https://www.instagram.com/shohadayegomnam110</v>
      </c>
      <c r="I1931" s="6" t="str">
        <f>IFERROR(__xludf.DUMMYFUNCTION("""COMPUTED_VALUE"""),"https://t.me/shohadayegomnam133")</f>
        <v>https://t.me/shohadayegomnam133</v>
      </c>
      <c r="J1931" s="6" t="str">
        <f>IFERROR(__xludf.DUMMYFUNCTION("""COMPUTED_VALUE"""),"https://eitaa.com/shohadayegomnammaraghe")</f>
        <v>https://eitaa.com/shohadayegomnammaraghe</v>
      </c>
      <c r="K1931" s="5"/>
      <c r="L1931" s="5"/>
      <c r="M1931" s="5"/>
      <c r="N1931" s="5"/>
      <c r="O1931" s="5"/>
      <c r="P1931" s="5"/>
      <c r="Q1931" s="5"/>
      <c r="R1931" s="5"/>
      <c r="S1931" s="5"/>
    </row>
    <row r="1932">
      <c r="A1932" s="5">
        <f>IFERROR(__xludf.DUMMYFUNCTION("""COMPUTED_VALUE"""),333.0)</f>
        <v>333</v>
      </c>
      <c r="B1932" s="5" t="str">
        <f>IFERROR(__xludf.DUMMYFUNCTION("""COMPUTED_VALUE"""),"هیأت")</f>
        <v>هیأت</v>
      </c>
      <c r="C1932" s="5" t="str">
        <f>IFERROR(__xludf.DUMMYFUNCTION("""COMPUTED_VALUE"""),"عزاداران جوانان منتظر")</f>
        <v>عزاداران جوانان منتظر</v>
      </c>
      <c r="D1932" s="5" t="str">
        <f>IFERROR(__xludf.DUMMYFUNCTION("""COMPUTED_VALUE"""),"آذربایجان شرقی")</f>
        <v>آذربایجان شرقی</v>
      </c>
      <c r="E1932" s="5" t="str">
        <f>IFERROR(__xludf.DUMMYFUNCTION("""COMPUTED_VALUE"""),"مراغه")</f>
        <v>مراغه</v>
      </c>
      <c r="F1932" s="5"/>
      <c r="G1932" s="5"/>
      <c r="H1932" s="6" t="str">
        <f>IFERROR(__xludf.DUMMYFUNCTION("""COMPUTED_VALUE"""),"https://www.instagram.com/javanane.montazer")</f>
        <v>https://www.instagram.com/javanane.montazer</v>
      </c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</row>
    <row r="1933">
      <c r="A1933" s="5">
        <f>IFERROR(__xludf.DUMMYFUNCTION("""COMPUTED_VALUE"""),284.0)</f>
        <v>284</v>
      </c>
      <c r="B1933" s="5" t="str">
        <f>IFERROR(__xludf.DUMMYFUNCTION("""COMPUTED_VALUE"""),"هیأت")</f>
        <v>هیأت</v>
      </c>
      <c r="C1933" s="5" t="str">
        <f>IFERROR(__xludf.DUMMYFUNCTION("""COMPUTED_VALUE"""),"حسینیه دانشگاه مراغه")</f>
        <v>حسینیه دانشگاه مراغه</v>
      </c>
      <c r="D1933" s="5" t="str">
        <f>IFERROR(__xludf.DUMMYFUNCTION("""COMPUTED_VALUE"""),"آذربایجان شرقی")</f>
        <v>آذربایجان شرقی</v>
      </c>
      <c r="E1933" s="5" t="str">
        <f>IFERROR(__xludf.DUMMYFUNCTION("""COMPUTED_VALUE"""),"مراغه")</f>
        <v>مراغه</v>
      </c>
      <c r="F1933" s="5"/>
      <c r="G1933" s="5"/>
      <c r="H1933" s="5"/>
      <c r="I1933" s="5"/>
      <c r="J1933" s="6" t="str">
        <f>IFERROR(__xludf.DUMMYFUNCTION("""COMPUTED_VALUE"""),"https://eitaa.com/maraghehac")</f>
        <v>https://eitaa.com/maraghehac</v>
      </c>
      <c r="K1933" s="5"/>
      <c r="L1933" s="5"/>
      <c r="M1933" s="5"/>
      <c r="N1933" s="5"/>
      <c r="O1933" s="5"/>
      <c r="P1933" s="5"/>
      <c r="Q1933" s="5"/>
      <c r="R1933" s="5"/>
      <c r="S1933" s="5"/>
    </row>
    <row r="1934">
      <c r="A1934" s="5">
        <f>IFERROR(__xludf.DUMMYFUNCTION("""COMPUTED_VALUE"""),272.0)</f>
        <v>272</v>
      </c>
      <c r="B1934" s="5" t="str">
        <f>IFERROR(__xludf.DUMMYFUNCTION("""COMPUTED_VALUE"""),"هیأت")</f>
        <v>هیأت</v>
      </c>
      <c r="C1934" s="5" t="str">
        <f>IFERROR(__xludf.DUMMYFUNCTION("""COMPUTED_VALUE"""),"بیت الشهدا (ع)")</f>
        <v>بیت الشهدا (ع)</v>
      </c>
      <c r="D1934" s="5" t="str">
        <f>IFERROR(__xludf.DUMMYFUNCTION("""COMPUTED_VALUE"""),"آذربایجان شرقی")</f>
        <v>آذربایجان شرقی</v>
      </c>
      <c r="E1934" s="5" t="str">
        <f>IFERROR(__xludf.DUMMYFUNCTION("""COMPUTED_VALUE"""),"مراغه")</f>
        <v>مراغه</v>
      </c>
      <c r="F1934" s="5"/>
      <c r="G1934" s="5"/>
      <c r="H1934" s="5"/>
      <c r="I1934" s="5"/>
      <c r="J1934" s="6" t="str">
        <f>IFERROR(__xludf.DUMMYFUNCTION("""COMPUTED_VALUE"""),"https://eitaa.com/beyt_shohadaa")</f>
        <v>https://eitaa.com/beyt_shohadaa</v>
      </c>
      <c r="K1934" s="5"/>
      <c r="L1934" s="5"/>
      <c r="M1934" s="5"/>
      <c r="N1934" s="5"/>
      <c r="O1934" s="5"/>
      <c r="P1934" s="5"/>
      <c r="Q1934" s="5"/>
      <c r="R1934" s="5"/>
      <c r="S1934" s="5"/>
    </row>
    <row r="1935">
      <c r="A1935" s="5">
        <f>IFERROR(__xludf.DUMMYFUNCTION("""COMPUTED_VALUE"""),244.0)</f>
        <v>244</v>
      </c>
      <c r="B1935" s="5" t="str">
        <f>IFERROR(__xludf.DUMMYFUNCTION("""COMPUTED_VALUE"""),"هیأت")</f>
        <v>هیأت</v>
      </c>
      <c r="C1935" s="5" t="str">
        <f>IFERROR(__xludf.DUMMYFUNCTION("""COMPUTED_VALUE"""),"جان نثاران سیدالشهدا (ع)")</f>
        <v>جان نثاران سیدالشهدا (ع)</v>
      </c>
      <c r="D1935" s="5" t="str">
        <f>IFERROR(__xludf.DUMMYFUNCTION("""COMPUTED_VALUE"""),"آذربایجان شرقی")</f>
        <v>آذربایجان شرقی</v>
      </c>
      <c r="E1935" s="5" t="str">
        <f>IFERROR(__xludf.DUMMYFUNCTION("""COMPUTED_VALUE"""),"مراغه")</f>
        <v>مراغه</v>
      </c>
      <c r="F1935" s="5"/>
      <c r="G1935" s="5"/>
      <c r="H1935" s="6" t="str">
        <f>IFERROR(__xludf.DUMMYFUNCTION("""COMPUTED_VALUE"""),"https://www.instagram.com/j.seyedeshohada/")</f>
        <v>https://www.instagram.com/j.seyedeshohada/</v>
      </c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</row>
    <row r="1936">
      <c r="A1936" s="5">
        <f>IFERROR(__xludf.DUMMYFUNCTION("""COMPUTED_VALUE"""),232.0)</f>
        <v>232</v>
      </c>
      <c r="B1936" s="5" t="str">
        <f>IFERROR(__xludf.DUMMYFUNCTION("""COMPUTED_VALUE"""),"هیأت")</f>
        <v>هیأت</v>
      </c>
      <c r="C1936" s="5" t="str">
        <f>IFERROR(__xludf.DUMMYFUNCTION("""COMPUTED_VALUE"""),"مظلوم کربلا")</f>
        <v>مظلوم کربلا</v>
      </c>
      <c r="D1936" s="5" t="str">
        <f>IFERROR(__xludf.DUMMYFUNCTION("""COMPUTED_VALUE"""),"آذربایجان شرقی")</f>
        <v>آذربایجان شرقی</v>
      </c>
      <c r="E1936" s="5" t="str">
        <f>IFERROR(__xludf.DUMMYFUNCTION("""COMPUTED_VALUE"""),"مراغه")</f>
        <v>مراغه</v>
      </c>
      <c r="F1936" s="5"/>
      <c r="G1936" s="5"/>
      <c r="H1936" s="6" t="str">
        <f>IFERROR(__xludf.DUMMYFUNCTION("""COMPUTED_VALUE"""),"https://www.instagram.com/mazlome_karbala/")</f>
        <v>https://www.instagram.com/mazlome_karbala/</v>
      </c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</row>
    <row r="1937">
      <c r="A1937" s="5">
        <f>IFERROR(__xludf.DUMMYFUNCTION("""COMPUTED_VALUE"""),228.0)</f>
        <v>228</v>
      </c>
      <c r="B1937" s="5" t="str">
        <f>IFERROR(__xludf.DUMMYFUNCTION("""COMPUTED_VALUE"""),"هیأت خواهران")</f>
        <v>هیأت خواهران</v>
      </c>
      <c r="C1937" s="5" t="str">
        <f>IFERROR(__xludf.DUMMYFUNCTION("""COMPUTED_VALUE"""),"منتظران مهدی (عج)")</f>
        <v>منتظران مهدی (عج)</v>
      </c>
      <c r="D1937" s="5" t="str">
        <f>IFERROR(__xludf.DUMMYFUNCTION("""COMPUTED_VALUE"""),"آذربایجان شرقی")</f>
        <v>آذربایجان شرقی</v>
      </c>
      <c r="E1937" s="5" t="str">
        <f>IFERROR(__xludf.DUMMYFUNCTION("""COMPUTED_VALUE"""),"مراغه")</f>
        <v>مراغه</v>
      </c>
      <c r="F1937" s="5"/>
      <c r="G1937" s="5"/>
      <c r="H1937" s="6" t="str">
        <f>IFERROR(__xludf.DUMMYFUNCTION("""COMPUTED_VALUE"""),"https://www.instagram.com/montazeran.h.mahdi")</f>
        <v>https://www.instagram.com/montazeran.h.mahdi</v>
      </c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</row>
    <row r="1938">
      <c r="A1938" s="5">
        <f>IFERROR(__xludf.DUMMYFUNCTION("""COMPUTED_VALUE"""),222.0)</f>
        <v>222</v>
      </c>
      <c r="B1938" s="5" t="str">
        <f>IFERROR(__xludf.DUMMYFUNCTION("""COMPUTED_VALUE"""),"هیأت")</f>
        <v>هیأت</v>
      </c>
      <c r="C1938" s="5" t="str">
        <f>IFERROR(__xludf.DUMMYFUNCTION("""COMPUTED_VALUE"""),"حضرت ابوالفضل (ع)")</f>
        <v>حضرت ابوالفضل (ع)</v>
      </c>
      <c r="D1938" s="5" t="str">
        <f>IFERROR(__xludf.DUMMYFUNCTION("""COMPUTED_VALUE"""),"آذربایجان شرقی")</f>
        <v>آذربایجان شرقی</v>
      </c>
      <c r="E1938" s="5" t="str">
        <f>IFERROR(__xludf.DUMMYFUNCTION("""COMPUTED_VALUE"""),"مراغه")</f>
        <v>مراغه</v>
      </c>
      <c r="F1938" s="5"/>
      <c r="G1938" s="5"/>
      <c r="H1938" s="5"/>
      <c r="I1938" s="6" t="str">
        <f>IFERROR(__xludf.DUMMYFUNCTION("""COMPUTED_VALUE"""),"https://t.me/heyat_abolfazlelabbas")</f>
        <v>https://t.me/heyat_abolfazlelabbas</v>
      </c>
      <c r="J1938" s="5"/>
      <c r="K1938" s="5"/>
      <c r="L1938" s="5"/>
      <c r="M1938" s="5"/>
      <c r="N1938" s="5"/>
      <c r="O1938" s="5"/>
      <c r="P1938" s="5"/>
      <c r="Q1938" s="5"/>
      <c r="R1938" s="5"/>
      <c r="S1938" s="5"/>
    </row>
    <row r="1939">
      <c r="A1939" s="5">
        <f>IFERROR(__xludf.DUMMYFUNCTION("""COMPUTED_VALUE"""),26848.0)</f>
        <v>26848</v>
      </c>
      <c r="B1939" s="5" t="str">
        <f>IFERROR(__xludf.DUMMYFUNCTION("""COMPUTED_VALUE"""),"هیأت")</f>
        <v>هیأت</v>
      </c>
      <c r="C1939" s="5" t="str">
        <f>IFERROR(__xludf.DUMMYFUNCTION("""COMPUTED_VALUE"""),"مذهبی حماسه عاشورای مرند")</f>
        <v>مذهبی حماسه عاشورای مرند</v>
      </c>
      <c r="D1939" s="5" t="str">
        <f>IFERROR(__xludf.DUMMYFUNCTION("""COMPUTED_VALUE"""),"آذربایجان شرقی")</f>
        <v>آذربایجان شرقی</v>
      </c>
      <c r="E1939" s="5" t="str">
        <f>IFERROR(__xludf.DUMMYFUNCTION("""COMPUTED_VALUE"""),"مرند")</f>
        <v>مرند</v>
      </c>
      <c r="F1939" s="5"/>
      <c r="G1939" s="5"/>
      <c r="H1939" s="6" t="str">
        <f>IFERROR(__xludf.DUMMYFUNCTION("""COMPUTED_VALUE"""),"https://www.instagram.com/hamase_ashura")</f>
        <v>https://www.instagram.com/hamase_ashura</v>
      </c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</row>
    <row r="1940">
      <c r="A1940" s="5">
        <f>IFERROR(__xludf.DUMMYFUNCTION("""COMPUTED_VALUE"""),26847.0)</f>
        <v>26847</v>
      </c>
      <c r="B1940" s="5" t="str">
        <f>IFERROR(__xludf.DUMMYFUNCTION("""COMPUTED_VALUE"""),"هیأت")</f>
        <v>هیأت</v>
      </c>
      <c r="C1940" s="5" t="str">
        <f>IFERROR(__xludf.DUMMYFUNCTION("""COMPUTED_VALUE"""),"انصارالشهدا")</f>
        <v>انصارالشهدا</v>
      </c>
      <c r="D1940" s="5" t="str">
        <f>IFERROR(__xludf.DUMMYFUNCTION("""COMPUTED_VALUE"""),"آذربایجان شرقی")</f>
        <v>آذربایجان شرقی</v>
      </c>
      <c r="E1940" s="5" t="str">
        <f>IFERROR(__xludf.DUMMYFUNCTION("""COMPUTED_VALUE"""),"مرند")</f>
        <v>مرند</v>
      </c>
      <c r="F1940" s="5"/>
      <c r="G1940" s="5"/>
      <c r="H1940" s="6" t="str">
        <f>IFERROR(__xludf.DUMMYFUNCTION("""COMPUTED_VALUE"""),"https://www.instagram.com/heyat_ansar_marand")</f>
        <v>https://www.instagram.com/heyat_ansar_marand</v>
      </c>
      <c r="I1940" s="6" t="str">
        <f>IFERROR(__xludf.DUMMYFUNCTION("""COMPUTED_VALUE"""),"https://t.me/heyat_ansar_marand")</f>
        <v>https://t.me/heyat_ansar_marand</v>
      </c>
      <c r="J1940" s="6" t="str">
        <f>IFERROR(__xludf.DUMMYFUNCTION("""COMPUTED_VALUE"""),"https://eitaa.com/heyat_ansar_marand")</f>
        <v>https://eitaa.com/heyat_ansar_marand</v>
      </c>
      <c r="K1940" s="5"/>
      <c r="L1940" s="5"/>
      <c r="M1940" s="5"/>
      <c r="N1940" s="5"/>
      <c r="O1940" s="5"/>
      <c r="P1940" s="5"/>
      <c r="Q1940" s="5"/>
      <c r="R1940" s="5"/>
      <c r="S1940" s="5"/>
    </row>
    <row r="1941">
      <c r="A1941" s="5">
        <f>IFERROR(__xludf.DUMMYFUNCTION("""COMPUTED_VALUE"""),21974.0)</f>
        <v>21974</v>
      </c>
      <c r="B1941" s="5" t="str">
        <f>IFERROR(__xludf.DUMMYFUNCTION("""COMPUTED_VALUE"""),"هیأت")</f>
        <v>هیأت</v>
      </c>
      <c r="C1941" s="5" t="str">
        <f>IFERROR(__xludf.DUMMYFUNCTION("""COMPUTED_VALUE"""),"فرهنگی مذهبی محبان حضرت اباالفضل مرند")</f>
        <v>فرهنگی مذهبی محبان حضرت اباالفضل مرند</v>
      </c>
      <c r="D1941" s="5" t="str">
        <f>IFERROR(__xludf.DUMMYFUNCTION("""COMPUTED_VALUE"""),"آذربایجان شرقی")</f>
        <v>آذربایجان شرقی</v>
      </c>
      <c r="E1941" s="5" t="str">
        <f>IFERROR(__xludf.DUMMYFUNCTION("""COMPUTED_VALUE"""),"مرند")</f>
        <v>مرند</v>
      </c>
      <c r="F1941" s="5"/>
      <c r="G1941" s="5"/>
      <c r="H1941" s="6" t="str">
        <f>IFERROR(__xludf.DUMMYFUNCTION("""COMPUTED_VALUE"""),"https://www.instagram.com/mohebbaneabolfazl")</f>
        <v>https://www.instagram.com/mohebbaneabolfazl</v>
      </c>
      <c r="I1941" s="6" t="str">
        <f>IFERROR(__xludf.DUMMYFUNCTION("""COMPUTED_VALUE"""),"https://t.me/mohebbaneabolfazl")</f>
        <v>https://t.me/mohebbaneabolfazl</v>
      </c>
      <c r="J1941" s="5"/>
      <c r="K1941" s="5"/>
      <c r="L1941" s="5"/>
      <c r="M1941" s="5"/>
      <c r="N1941" s="5"/>
      <c r="O1941" s="5"/>
      <c r="P1941" s="5"/>
      <c r="Q1941" s="5"/>
      <c r="R1941" s="5"/>
      <c r="S1941" s="5"/>
    </row>
    <row r="1942">
      <c r="A1942" s="5">
        <f>IFERROR(__xludf.DUMMYFUNCTION("""COMPUTED_VALUE"""),21127.0)</f>
        <v>21127</v>
      </c>
      <c r="B1942" s="5" t="str">
        <f>IFERROR(__xludf.DUMMYFUNCTION("""COMPUTED_VALUE"""),"هیأت")</f>
        <v>هیأت</v>
      </c>
      <c r="C1942" s="5" t="str">
        <f>IFERROR(__xludf.DUMMYFUNCTION("""COMPUTED_VALUE"""),"اکبریه رفیع آباد مرند")</f>
        <v>اکبریه رفیع آباد مرند</v>
      </c>
      <c r="D1942" s="5" t="str">
        <f>IFERROR(__xludf.DUMMYFUNCTION("""COMPUTED_VALUE"""),"آذربایجان شرقی")</f>
        <v>آذربایجان شرقی</v>
      </c>
      <c r="E1942" s="5" t="str">
        <f>IFERROR(__xludf.DUMMYFUNCTION("""COMPUTED_VALUE"""),"مرند")</f>
        <v>مرند</v>
      </c>
      <c r="F1942" s="5"/>
      <c r="G1942" s="5"/>
      <c r="H1942" s="6" t="str">
        <f>IFERROR(__xludf.DUMMYFUNCTION("""COMPUTED_VALUE"""),"https://www.instagram.com/heyat_akbariye_rafiabad")</f>
        <v>https://www.instagram.com/heyat_akbariye_rafiabad</v>
      </c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</row>
    <row r="1943">
      <c r="A1943" s="5">
        <f>IFERROR(__xludf.DUMMYFUNCTION("""COMPUTED_VALUE"""),21125.0)</f>
        <v>21125</v>
      </c>
      <c r="B1943" s="5" t="str">
        <f>IFERROR(__xludf.DUMMYFUNCTION("""COMPUTED_VALUE"""),"هیأت")</f>
        <v>هیأت</v>
      </c>
      <c r="C1943" s="5" t="str">
        <f>IFERROR(__xludf.DUMMYFUNCTION("""COMPUTED_VALUE"""),"اصغریه (محله استمز روستای اردک لو)")</f>
        <v>اصغریه (محله استمز روستای اردک لو)</v>
      </c>
      <c r="D1943" s="5" t="str">
        <f>IFERROR(__xludf.DUMMYFUNCTION("""COMPUTED_VALUE"""),"آذربایجان شرقی")</f>
        <v>آذربایجان شرقی</v>
      </c>
      <c r="E1943" s="5" t="str">
        <f>IFERROR(__xludf.DUMMYFUNCTION("""COMPUTED_VALUE"""),"مرند")</f>
        <v>مرند</v>
      </c>
      <c r="F1943" s="5"/>
      <c r="G1943" s="5"/>
      <c r="H1943" s="6" t="str">
        <f>IFERROR(__xludf.DUMMYFUNCTION("""COMPUTED_VALUE"""),"https://www.instagram.com/heyat_asghriih1391")</f>
        <v>https://www.instagram.com/heyat_asghriih1391</v>
      </c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</row>
    <row r="1944">
      <c r="A1944" s="5">
        <f>IFERROR(__xludf.DUMMYFUNCTION("""COMPUTED_VALUE"""),21124.0)</f>
        <v>21124</v>
      </c>
      <c r="B1944" s="5" t="str">
        <f>IFERROR(__xludf.DUMMYFUNCTION("""COMPUTED_VALUE"""),"هیأت")</f>
        <v>هیأت</v>
      </c>
      <c r="C1944" s="5" t="str">
        <f>IFERROR(__xludf.DUMMYFUNCTION("""COMPUTED_VALUE"""),"قمربنی هاشم (ع)")</f>
        <v>قمربنی هاشم (ع)</v>
      </c>
      <c r="D1944" s="5" t="str">
        <f>IFERROR(__xludf.DUMMYFUNCTION("""COMPUTED_VALUE"""),"آذربایجان شرقی")</f>
        <v>آذربایجان شرقی</v>
      </c>
      <c r="E1944" s="5" t="str">
        <f>IFERROR(__xludf.DUMMYFUNCTION("""COMPUTED_VALUE"""),"مرند")</f>
        <v>مرند</v>
      </c>
      <c r="F1944" s="5"/>
      <c r="G1944" s="5"/>
      <c r="H1944" s="6" t="str">
        <f>IFERROR(__xludf.DUMMYFUNCTION("""COMPUTED_VALUE"""),"https://www.instagram.com/gamarbanihashem_marand")</f>
        <v>https://www.instagram.com/gamarbanihashem_marand</v>
      </c>
      <c r="I1944" s="6" t="str">
        <f>IFERROR(__xludf.DUMMYFUNCTION("""COMPUTED_VALUE"""),"https://t.me/gamarbanihashemmarand")</f>
        <v>https://t.me/gamarbanihashemmarand</v>
      </c>
      <c r="J1944" s="5"/>
      <c r="K1944" s="5"/>
      <c r="L1944" s="5"/>
      <c r="M1944" s="5"/>
      <c r="N1944" s="5"/>
      <c r="O1944" s="5"/>
      <c r="P1944" s="5"/>
      <c r="Q1944" s="5"/>
      <c r="R1944" s="5"/>
      <c r="S1944" s="5"/>
    </row>
    <row r="1945">
      <c r="A1945" s="5">
        <f>IFERROR(__xludf.DUMMYFUNCTION("""COMPUTED_VALUE"""),21118.0)</f>
        <v>21118</v>
      </c>
      <c r="B1945" s="5" t="str">
        <f>IFERROR(__xludf.DUMMYFUNCTION("""COMPUTED_VALUE"""),"هیأت")</f>
        <v>هیأت</v>
      </c>
      <c r="C1945" s="5" t="str">
        <f>IFERROR(__xludf.DUMMYFUNCTION("""COMPUTED_VALUE"""),"جان نثاران حضرت ولیعصر(عج)")</f>
        <v>جان نثاران حضرت ولیعصر(عج)</v>
      </c>
      <c r="D1945" s="5" t="str">
        <f>IFERROR(__xludf.DUMMYFUNCTION("""COMPUTED_VALUE"""),"آذربایجان شرقی")</f>
        <v>آذربایجان شرقی</v>
      </c>
      <c r="E1945" s="5" t="str">
        <f>IFERROR(__xludf.DUMMYFUNCTION("""COMPUTED_VALUE"""),"مرند")</f>
        <v>مرند</v>
      </c>
      <c r="F1945" s="5"/>
      <c r="G1945" s="5"/>
      <c r="H1945" s="6" t="str">
        <f>IFERROR(__xludf.DUMMYFUNCTION("""COMPUTED_VALUE"""),"https://www.instagram.com/jannesaran_hazrat_valiasr")</f>
        <v>https://www.instagram.com/jannesaran_hazrat_valiasr</v>
      </c>
      <c r="I1945" s="6" t="str">
        <f>IFERROR(__xludf.DUMMYFUNCTION("""COMPUTED_VALUE"""),"https://t.me/jannesaran_hazrat_valiasr")</f>
        <v>https://t.me/jannesaran_hazrat_valiasr</v>
      </c>
      <c r="J1945" s="5"/>
      <c r="K1945" s="5"/>
      <c r="L1945" s="5"/>
      <c r="M1945" s="5"/>
      <c r="N1945" s="5"/>
      <c r="O1945" s="5"/>
      <c r="P1945" s="5"/>
      <c r="Q1945" s="5"/>
      <c r="R1945" s="5"/>
      <c r="S1945" s="5"/>
    </row>
    <row r="1946">
      <c r="A1946" s="5">
        <f>IFERROR(__xludf.DUMMYFUNCTION("""COMPUTED_VALUE"""),356.0)</f>
        <v>356</v>
      </c>
      <c r="B1946" s="5" t="str">
        <f>IFERROR(__xludf.DUMMYFUNCTION("""COMPUTED_VALUE"""),"هیأت")</f>
        <v>هیأت</v>
      </c>
      <c r="C1946" s="5" t="str">
        <f>IFERROR(__xludf.DUMMYFUNCTION("""COMPUTED_VALUE"""),"الغدیر مرند")</f>
        <v>الغدیر مرند</v>
      </c>
      <c r="D1946" s="5" t="str">
        <f>IFERROR(__xludf.DUMMYFUNCTION("""COMPUTED_VALUE"""),"آذربایجان شرقی")</f>
        <v>آذربایجان شرقی</v>
      </c>
      <c r="E1946" s="5" t="str">
        <f>IFERROR(__xludf.DUMMYFUNCTION("""COMPUTED_VALUE"""),"مرند")</f>
        <v>مرند</v>
      </c>
      <c r="F1946" s="5"/>
      <c r="G1946" s="5"/>
      <c r="H1946" s="6" t="str">
        <f>IFERROR(__xludf.DUMMYFUNCTION("""COMPUTED_VALUE"""),"https://www.instagram.com/heyate_alghadire_marand")</f>
        <v>https://www.instagram.com/heyate_alghadire_marand</v>
      </c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</row>
    <row r="1947">
      <c r="A1947" s="5">
        <f>IFERROR(__xludf.DUMMYFUNCTION("""COMPUTED_VALUE"""),250.0)</f>
        <v>250</v>
      </c>
      <c r="B1947" s="5" t="str">
        <f>IFERROR(__xludf.DUMMYFUNCTION("""COMPUTED_VALUE"""),"هیأت")</f>
        <v>هیأت</v>
      </c>
      <c r="C1947" s="5" t="str">
        <f>IFERROR(__xludf.DUMMYFUNCTION("""COMPUTED_VALUE"""),"حضرت علی بن موسی الرضا (ع) دیزج حسین بیگ")</f>
        <v>حضرت علی بن موسی الرضا (ع) دیزج حسین بیگ</v>
      </c>
      <c r="D1947" s="5" t="str">
        <f>IFERROR(__xludf.DUMMYFUNCTION("""COMPUTED_VALUE"""),"آذربایجان شرقی")</f>
        <v>آذربایجان شرقی</v>
      </c>
      <c r="E1947" s="5" t="str">
        <f>IFERROR(__xludf.DUMMYFUNCTION("""COMPUTED_VALUE"""),"مرند")</f>
        <v>مرند</v>
      </c>
      <c r="F1947" s="5"/>
      <c r="G1947" s="5"/>
      <c r="H1947" s="6" t="str">
        <f>IFERROR(__xludf.DUMMYFUNCTION("""COMPUTED_VALUE"""),"https://www.instagram.com/heyat_aliebn_mosarrezaa.marand")</f>
        <v>https://www.instagram.com/heyat_aliebn_mosarrezaa.marand</v>
      </c>
      <c r="I1947" s="6" t="str">
        <f>IFERROR(__xludf.DUMMYFUNCTION("""COMPUTED_VALUE"""),"https://t.me/heyat_aliebn_mosarrezaa")</f>
        <v>https://t.me/heyat_aliebn_mosarrezaa</v>
      </c>
      <c r="J1947" s="5"/>
      <c r="K1947" s="5"/>
      <c r="L1947" s="5"/>
      <c r="M1947" s="5"/>
      <c r="N1947" s="5"/>
      <c r="O1947" s="5"/>
      <c r="P1947" s="5"/>
      <c r="Q1947" s="5"/>
      <c r="R1947" s="5"/>
      <c r="S1947" s="5"/>
    </row>
    <row r="1948">
      <c r="A1948" s="5">
        <f>IFERROR(__xludf.DUMMYFUNCTION("""COMPUTED_VALUE"""),24548.0)</f>
        <v>24548</v>
      </c>
      <c r="B1948" s="5" t="str">
        <f>IFERROR(__xludf.DUMMYFUNCTION("""COMPUTED_VALUE"""),"هیأت")</f>
        <v>هیأت</v>
      </c>
      <c r="C1948" s="5" t="str">
        <f>IFERROR(__xludf.DUMMYFUNCTION("""COMPUTED_VALUE"""),"سالار شهیدان کربلا روستای میدانجوق")</f>
        <v>سالار شهیدان کربلا روستای میدانجوق</v>
      </c>
      <c r="D1948" s="5" t="str">
        <f>IFERROR(__xludf.DUMMYFUNCTION("""COMPUTED_VALUE"""),"آذربایجان شرقی")</f>
        <v>آذربایجان شرقی</v>
      </c>
      <c r="E1948" s="5" t="str">
        <f>IFERROR(__xludf.DUMMYFUNCTION("""COMPUTED_VALUE"""),"ملکان")</f>
        <v>ملکان</v>
      </c>
      <c r="F1948" s="5"/>
      <c r="G1948" s="5"/>
      <c r="H1948" s="6" t="str">
        <f>IFERROR(__xludf.DUMMYFUNCTION("""COMPUTED_VALUE"""),"https://www.instagram.com/salarshahidan._")</f>
        <v>https://www.instagram.com/salarshahidan._</v>
      </c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</row>
    <row r="1949">
      <c r="A1949" s="5">
        <f>IFERROR(__xludf.DUMMYFUNCTION("""COMPUTED_VALUE"""),26843.0)</f>
        <v>26843</v>
      </c>
      <c r="B1949" s="5" t="str">
        <f>IFERROR(__xludf.DUMMYFUNCTION("""COMPUTED_VALUE"""),"هیأت")</f>
        <v>هیأت</v>
      </c>
      <c r="C1949" s="5" t="str">
        <f>IFERROR(__xludf.DUMMYFUNCTION("""COMPUTED_VALUE"""),"لواءالحیدر محفل پیروان ولایت")</f>
        <v>لواءالحیدر محفل پیروان ولایت</v>
      </c>
      <c r="D1949" s="5" t="str">
        <f>IFERROR(__xludf.DUMMYFUNCTION("""COMPUTED_VALUE"""),"آذربایجان شرقی")</f>
        <v>آذربایجان شرقی</v>
      </c>
      <c r="E1949" s="5" t="str">
        <f>IFERROR(__xludf.DUMMYFUNCTION("""COMPUTED_VALUE"""),"میانه")</f>
        <v>میانه</v>
      </c>
      <c r="F1949" s="5"/>
      <c r="G1949" s="5"/>
      <c r="H1949" s="6" t="str">
        <f>IFERROR(__xludf.DUMMYFUNCTION("""COMPUTED_VALUE"""),"https://www.instagram.com/leva_alheidar")</f>
        <v>https://www.instagram.com/leva_alheidar</v>
      </c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</row>
    <row r="1950">
      <c r="A1950" s="5">
        <f>IFERROR(__xludf.DUMMYFUNCTION("""COMPUTED_VALUE"""),17923.0)</f>
        <v>17923</v>
      </c>
      <c r="B1950" s="5" t="str">
        <f>IFERROR(__xludf.DUMMYFUNCTION("""COMPUTED_VALUE"""),"هیأت")</f>
        <v>هیأت</v>
      </c>
      <c r="C1950" s="5" t="str">
        <f>IFERROR(__xludf.DUMMYFUNCTION("""COMPUTED_VALUE"""),"مکتب الشهدا")</f>
        <v>مکتب الشهدا</v>
      </c>
      <c r="D1950" s="5" t="str">
        <f>IFERROR(__xludf.DUMMYFUNCTION("""COMPUTED_VALUE"""),"آذربایجان شرقی")</f>
        <v>آذربایجان شرقی</v>
      </c>
      <c r="E1950" s="5" t="str">
        <f>IFERROR(__xludf.DUMMYFUNCTION("""COMPUTED_VALUE"""),"میانه")</f>
        <v>میانه</v>
      </c>
      <c r="F1950" s="5"/>
      <c r="G1950" s="5"/>
      <c r="H1950" s="6" t="str">
        <f>IFERROR(__xludf.DUMMYFUNCTION("""COMPUTED_VALUE"""),"https://www.instagram.com/maktabol_shohada_mianeh")</f>
        <v>https://www.instagram.com/maktabol_shohada_mianeh</v>
      </c>
      <c r="I1950" s="6" t="str">
        <f>IFERROR(__xludf.DUMMYFUNCTION("""COMPUTED_VALUE"""),"https://t.me/maktabol_shohada_mianeh")</f>
        <v>https://t.me/maktabol_shohada_mianeh</v>
      </c>
      <c r="J1950" s="5"/>
      <c r="K1950" s="5"/>
      <c r="L1950" s="5"/>
      <c r="M1950" s="5"/>
      <c r="N1950" s="5"/>
      <c r="O1950" s="5"/>
      <c r="P1950" s="5"/>
      <c r="Q1950" s="5"/>
      <c r="R1950" s="5"/>
      <c r="S1950" s="5"/>
    </row>
    <row r="1951">
      <c r="A1951" s="5">
        <f>IFERROR(__xludf.DUMMYFUNCTION("""COMPUTED_VALUE"""),360.0)</f>
        <v>360</v>
      </c>
      <c r="B1951" s="5" t="str">
        <f>IFERROR(__xludf.DUMMYFUNCTION("""COMPUTED_VALUE"""),"هیأت")</f>
        <v>هیأت</v>
      </c>
      <c r="C1951" s="5" t="str">
        <f>IFERROR(__xludf.DUMMYFUNCTION("""COMPUTED_VALUE"""),"طفلان مسلم (ع)")</f>
        <v>طفلان مسلم (ع)</v>
      </c>
      <c r="D1951" s="5" t="str">
        <f>IFERROR(__xludf.DUMMYFUNCTION("""COMPUTED_VALUE"""),"آذربایجان شرقی")</f>
        <v>آذربایجان شرقی</v>
      </c>
      <c r="E1951" s="5" t="str">
        <f>IFERROR(__xludf.DUMMYFUNCTION("""COMPUTED_VALUE"""),"میانه")</f>
        <v>میانه</v>
      </c>
      <c r="F1951" s="5"/>
      <c r="G1951" s="5"/>
      <c r="H1951" s="6" t="str">
        <f>IFERROR(__xludf.DUMMYFUNCTION("""COMPUTED_VALUE"""),"https://www.instagram.com/heyate_teflanemoslem1357")</f>
        <v>https://www.instagram.com/heyate_teflanemoslem1357</v>
      </c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</row>
    <row r="1952">
      <c r="A1952" s="5">
        <f>IFERROR(__xludf.DUMMYFUNCTION("""COMPUTED_VALUE"""),338.0)</f>
        <v>338</v>
      </c>
      <c r="B1952" s="5" t="str">
        <f>IFERROR(__xludf.DUMMYFUNCTION("""COMPUTED_VALUE"""),"حسینیه")</f>
        <v>حسینیه</v>
      </c>
      <c r="C1952" s="5" t="str">
        <f>IFERROR(__xludf.DUMMYFUNCTION("""COMPUTED_VALUE"""),"عزاداران ثارالله (ع)")</f>
        <v>عزاداران ثارالله (ع)</v>
      </c>
      <c r="D1952" s="5" t="str">
        <f>IFERROR(__xludf.DUMMYFUNCTION("""COMPUTED_VALUE"""),"آذربایجان شرقی")</f>
        <v>آذربایجان شرقی</v>
      </c>
      <c r="E1952" s="5" t="str">
        <f>IFERROR(__xludf.DUMMYFUNCTION("""COMPUTED_VALUE"""),"میانه")</f>
        <v>میانه</v>
      </c>
      <c r="F1952" s="5"/>
      <c r="G1952" s="5"/>
      <c r="H1952" s="6" t="str">
        <f>IFERROR(__xludf.DUMMYFUNCTION("""COMPUTED_VALUE"""),"https://www.instagram.com/heyat_sarallah_miyaneh")</f>
        <v>https://www.instagram.com/heyat_sarallah_miyaneh</v>
      </c>
      <c r="I1952" s="6" t="str">
        <f>IFERROR(__xludf.DUMMYFUNCTION("""COMPUTED_VALUE"""),"https://t.me/sarallahemiyaneh")</f>
        <v>https://t.me/sarallahemiyaneh</v>
      </c>
      <c r="J1952" s="5"/>
      <c r="K1952" s="5"/>
      <c r="L1952" s="5"/>
      <c r="M1952" s="5"/>
      <c r="N1952" s="5"/>
      <c r="O1952" s="5"/>
      <c r="P1952" s="5"/>
      <c r="Q1952" s="5"/>
      <c r="R1952" s="5"/>
      <c r="S1952" s="5"/>
    </row>
    <row r="1953">
      <c r="A1953" s="5">
        <f>IFERROR(__xludf.DUMMYFUNCTION("""COMPUTED_VALUE"""),336.0)</f>
        <v>336</v>
      </c>
      <c r="B1953" s="5" t="str">
        <f>IFERROR(__xludf.DUMMYFUNCTION("""COMPUTED_VALUE"""),"هیأت")</f>
        <v>هیأت</v>
      </c>
      <c r="C1953" s="5" t="str">
        <f>IFERROR(__xludf.DUMMYFUNCTION("""COMPUTED_VALUE"""),"رزمندگان اسلام")</f>
        <v>رزمندگان اسلام</v>
      </c>
      <c r="D1953" s="5" t="str">
        <f>IFERROR(__xludf.DUMMYFUNCTION("""COMPUTED_VALUE"""),"آذربایجان شرقی")</f>
        <v>آذربایجان شرقی</v>
      </c>
      <c r="E1953" s="5" t="str">
        <f>IFERROR(__xludf.DUMMYFUNCTION("""COMPUTED_VALUE"""),"میانه")</f>
        <v>میانه</v>
      </c>
      <c r="F1953" s="5"/>
      <c r="G1953" s="5"/>
      <c r="H1953" s="6" t="str">
        <f>IFERROR(__xludf.DUMMYFUNCTION("""COMPUTED_VALUE"""),"https://www.instagram.com/razmandeghan_miyaneh")</f>
        <v>https://www.instagram.com/razmandeghan_miyaneh</v>
      </c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</row>
    <row r="1954">
      <c r="A1954" s="5">
        <f>IFERROR(__xludf.DUMMYFUNCTION("""COMPUTED_VALUE"""),361.0)</f>
        <v>361</v>
      </c>
      <c r="B1954" s="5" t="str">
        <f>IFERROR(__xludf.DUMMYFUNCTION("""COMPUTED_VALUE"""),"هیأت")</f>
        <v>هیأت</v>
      </c>
      <c r="C1954" s="5" t="str">
        <f>IFERROR(__xludf.DUMMYFUNCTION("""COMPUTED_VALUE"""),"مراسم تعزیه خوانی بخشایش")</f>
        <v>مراسم تعزیه خوانی بخشایش</v>
      </c>
      <c r="D1954" s="5" t="str">
        <f>IFERROR(__xludf.DUMMYFUNCTION("""COMPUTED_VALUE"""),"آذربایجان شرقی")</f>
        <v>آذربایجان شرقی</v>
      </c>
      <c r="E1954" s="5" t="str">
        <f>IFERROR(__xludf.DUMMYFUNCTION("""COMPUTED_VALUE"""),"هریس")</f>
        <v>هریس</v>
      </c>
      <c r="F1954" s="5"/>
      <c r="G1954" s="5"/>
      <c r="H1954" s="6" t="str">
        <f>IFERROR(__xludf.DUMMYFUNCTION("""COMPUTED_VALUE"""),"https://www.instagram.com/shabihkhanibakhshayesh")</f>
        <v>https://www.instagram.com/shabihkhanibakhshayesh</v>
      </c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</row>
    <row r="1955">
      <c r="A1955" s="5"/>
      <c r="B1955" s="5" t="str">
        <f>IFERROR(__xludf.DUMMYFUNCTION("""COMPUTED_VALUE"""),"موکب")</f>
        <v>موکب</v>
      </c>
      <c r="C1955" s="5" t="str">
        <f>IFERROR(__xludf.DUMMYFUNCTION("""COMPUTED_VALUE"""),"انصار الفاطمه")</f>
        <v>انصار الفاطمه</v>
      </c>
      <c r="D1955" s="5" t="str">
        <f>IFERROR(__xludf.DUMMYFUNCTION("""COMPUTED_VALUE"""),"آذربایجان شرقی")</f>
        <v>آذربایجان شرقی</v>
      </c>
      <c r="E1955" s="5" t="str">
        <f>IFERROR(__xludf.DUMMYFUNCTION("""COMPUTED_VALUE"""),"تبریز")</f>
        <v>تبریز</v>
      </c>
      <c r="F1955" s="5"/>
      <c r="G1955" s="5"/>
      <c r="H1955" s="5"/>
      <c r="I1955" s="5"/>
      <c r="J1955" s="6" t="str">
        <f>IFERROR(__xludf.DUMMYFUNCTION("""COMPUTED_VALUE"""),"https://eitaa.com/ansarolfateme")</f>
        <v>https://eitaa.com/ansarolfateme</v>
      </c>
      <c r="K1955" s="5"/>
      <c r="L1955" s="5"/>
      <c r="M1955" s="5"/>
      <c r="N1955" s="5"/>
      <c r="O1955" s="5"/>
      <c r="P1955" s="5"/>
      <c r="Q1955" s="5"/>
      <c r="R1955" s="5"/>
      <c r="S1955" s="5"/>
    </row>
    <row r="1956">
      <c r="A1956" s="5"/>
      <c r="B1956" s="5" t="str">
        <f>IFERROR(__xludf.DUMMYFUNCTION("""COMPUTED_VALUE"""),"هیأت")</f>
        <v>هیأت</v>
      </c>
      <c r="C1956" s="5" t="str">
        <f>IFERROR(__xludf.DUMMYFUNCTION("""COMPUTED_VALUE"""),"خدام الرضا")</f>
        <v>خدام الرضا</v>
      </c>
      <c r="D1956" s="5" t="str">
        <f>IFERROR(__xludf.DUMMYFUNCTION("""COMPUTED_VALUE"""),"آذربایجان شرقی")</f>
        <v>آذربایجان شرقی</v>
      </c>
      <c r="E1956" s="5" t="str">
        <f>IFERROR(__xludf.DUMMYFUNCTION("""COMPUTED_VALUE"""),"تبریز")</f>
        <v>تبریز</v>
      </c>
      <c r="F1956" s="5"/>
      <c r="G1956" s="5"/>
      <c r="H1956" s="5"/>
      <c r="I1956" s="5"/>
      <c r="J1956" s="6" t="str">
        <f>IFERROR(__xludf.DUMMYFUNCTION("""COMPUTED_VALUE"""),"https://eitaa.com/khddamreza")</f>
        <v>https://eitaa.com/khddamreza</v>
      </c>
      <c r="K1956" s="5"/>
      <c r="L1956" s="5"/>
      <c r="M1956" s="5"/>
      <c r="N1956" s="5"/>
      <c r="O1956" s="5"/>
      <c r="P1956" s="5"/>
      <c r="Q1956" s="5"/>
      <c r="R1956" s="5"/>
      <c r="S1956" s="5"/>
    </row>
    <row r="1957">
      <c r="A1957" s="5"/>
      <c r="B1957" s="5" t="str">
        <f>IFERROR(__xludf.DUMMYFUNCTION("""COMPUTED_VALUE"""),"هیأت")</f>
        <v>هیأت</v>
      </c>
      <c r="C1957" s="5" t="str">
        <f>IFERROR(__xludf.DUMMYFUNCTION("""COMPUTED_VALUE"""),"عاشورائیان مراغه")</f>
        <v>عاشورائیان مراغه</v>
      </c>
      <c r="D1957" s="5" t="str">
        <f>IFERROR(__xludf.DUMMYFUNCTION("""COMPUTED_VALUE"""),"آذربایجان شرقی")</f>
        <v>آذربایجان شرقی</v>
      </c>
      <c r="E1957" s="5" t="str">
        <f>IFERROR(__xludf.DUMMYFUNCTION("""COMPUTED_VALUE"""),"مراغه")</f>
        <v>مراغه</v>
      </c>
      <c r="F1957" s="5"/>
      <c r="G1957" s="5"/>
      <c r="H1957" s="5"/>
      <c r="I1957" s="5"/>
      <c r="J1957" s="6" t="str">
        <f>IFERROR(__xludf.DUMMYFUNCTION("""COMPUTED_VALUE"""),"https://eitaa.com/ashuraeyan_maragheh")</f>
        <v>https://eitaa.com/ashuraeyan_maragheh</v>
      </c>
      <c r="K1957" s="5"/>
      <c r="L1957" s="5"/>
      <c r="M1957" s="5"/>
      <c r="N1957" s="5"/>
      <c r="O1957" s="5"/>
      <c r="P1957" s="5"/>
      <c r="Q1957" s="5"/>
      <c r="R1957" s="5"/>
      <c r="S1957" s="5"/>
    </row>
    <row r="1958">
      <c r="A1958" s="5"/>
      <c r="B1958" s="5" t="str">
        <f>IFERROR(__xludf.DUMMYFUNCTION("""COMPUTED_VALUE"""),"هیأت")</f>
        <v>هیأت</v>
      </c>
      <c r="C1958" s="5" t="str">
        <f>IFERROR(__xludf.DUMMYFUNCTION("""COMPUTED_VALUE"""),"الرضا")</f>
        <v>الرضا</v>
      </c>
      <c r="D1958" s="5" t="str">
        <f>IFERROR(__xludf.DUMMYFUNCTION("""COMPUTED_VALUE"""),"آذربایجان شرقی")</f>
        <v>آذربایجان شرقی</v>
      </c>
      <c r="E1958" s="5" t="str">
        <f>IFERROR(__xludf.DUMMYFUNCTION("""COMPUTED_VALUE"""),"تبریز")</f>
        <v>تبریز</v>
      </c>
      <c r="F1958" s="5"/>
      <c r="G1958" s="5"/>
      <c r="H1958" s="5"/>
      <c r="I1958" s="5"/>
      <c r="J1958" s="6" t="str">
        <f>IFERROR(__xludf.DUMMYFUNCTION("""COMPUTED_VALUE"""),"https://eitaa.com/heyatolreza")</f>
        <v>https://eitaa.com/heyatolreza</v>
      </c>
      <c r="K1958" s="5"/>
      <c r="L1958" s="5"/>
      <c r="M1958" s="5"/>
      <c r="N1958" s="5"/>
      <c r="O1958" s="5"/>
      <c r="P1958" s="5"/>
      <c r="Q1958" s="5"/>
      <c r="R1958" s="5"/>
      <c r="S1958" s="5"/>
    </row>
    <row r="1959">
      <c r="A1959" s="5">
        <f>IFERROR(__xludf.DUMMYFUNCTION("""COMPUTED_VALUE"""),32803.0)</f>
        <v>32803</v>
      </c>
      <c r="B1959" s="5" t="str">
        <f>IFERROR(__xludf.DUMMYFUNCTION("""COMPUTED_VALUE"""),"هیأت مناسبتی")</f>
        <v>هیأت مناسبتی</v>
      </c>
      <c r="C1959" s="5" t="str">
        <f>IFERROR(__xludf.DUMMYFUNCTION("""COMPUTED_VALUE"""),"مکتب الحسین (ع)")</f>
        <v>مکتب الحسین (ع)</v>
      </c>
      <c r="D1959" s="5" t="str">
        <f>IFERROR(__xludf.DUMMYFUNCTION("""COMPUTED_VALUE"""),"آذربایجان غربی")</f>
        <v>آذربایجان غربی</v>
      </c>
      <c r="E1959" s="5" t="str">
        <f>IFERROR(__xludf.DUMMYFUNCTION("""COMPUTED_VALUE"""),"ارومیه")</f>
        <v>ارومیه</v>
      </c>
      <c r="F1959" s="5"/>
      <c r="G1959" s="5"/>
      <c r="H1959" s="6" t="str">
        <f>IFERROR(__xludf.DUMMYFUNCTION("""COMPUTED_VALUE"""),"https://www.instagram.com/_maktabalhossein_/")</f>
        <v>https://www.instagram.com/_maktabalhossein_/</v>
      </c>
      <c r="I1959" s="6" t="str">
        <f>IFERROR(__xludf.DUMMYFUNCTION("""COMPUTED_VALUE"""),"t.me/urmiaazadheiaat")</f>
        <v>t.me/urmiaazadheiaat</v>
      </c>
      <c r="J1959" s="5"/>
      <c r="K1959" s="5"/>
      <c r="L1959" s="5"/>
      <c r="M1959" s="5"/>
      <c r="N1959" s="5"/>
      <c r="O1959" s="5"/>
      <c r="P1959" s="5"/>
      <c r="Q1959" s="5"/>
      <c r="R1959" s="5"/>
      <c r="S1959" s="5"/>
    </row>
    <row r="1960">
      <c r="A1960" s="5">
        <f>IFERROR(__xludf.DUMMYFUNCTION("""COMPUTED_VALUE"""),30500.0)</f>
        <v>30500</v>
      </c>
      <c r="B1960" s="5" t="str">
        <f>IFERROR(__xludf.DUMMYFUNCTION("""COMPUTED_VALUE"""),"هیأت هفتگی")</f>
        <v>هیأت هفتگی</v>
      </c>
      <c r="C1960" s="5" t="str">
        <f>IFERROR(__xludf.DUMMYFUNCTION("""COMPUTED_VALUE"""),"حسین جان (ع)")</f>
        <v>حسین جان (ع)</v>
      </c>
      <c r="D1960" s="5" t="str">
        <f>IFERROR(__xludf.DUMMYFUNCTION("""COMPUTED_VALUE"""),"آذربایجان غربی")</f>
        <v>آذربایجان غربی</v>
      </c>
      <c r="E1960" s="5" t="str">
        <f>IFERROR(__xludf.DUMMYFUNCTION("""COMPUTED_VALUE"""),"ارومیه")</f>
        <v>ارومیه</v>
      </c>
      <c r="F1960" s="5"/>
      <c r="G1960" s="5"/>
      <c r="H1960" s="6" t="str">
        <f>IFERROR(__xludf.DUMMYFUNCTION("""COMPUTED_VALUE"""),"https://www.instagram.com/hussainjan.urmia/")</f>
        <v>https://www.instagram.com/hussainjan.urmia/</v>
      </c>
      <c r="I1960" s="6" t="str">
        <f>IFERROR(__xludf.DUMMYFUNCTION("""COMPUTED_VALUE"""),"t.me/Hussainjanurmia")</f>
        <v>t.me/Hussainjanurmia</v>
      </c>
      <c r="J1960" s="5"/>
      <c r="K1960" s="5"/>
      <c r="L1960" s="5"/>
      <c r="M1960" s="5"/>
      <c r="N1960" s="5"/>
      <c r="O1960" s="5"/>
      <c r="P1960" s="5"/>
      <c r="Q1960" s="5"/>
      <c r="R1960" s="5"/>
      <c r="S1960" s="5"/>
    </row>
    <row r="1961">
      <c r="A1961" s="5">
        <f>IFERROR(__xludf.DUMMYFUNCTION("""COMPUTED_VALUE"""),25219.0)</f>
        <v>25219</v>
      </c>
      <c r="B1961" s="5" t="str">
        <f>IFERROR(__xludf.DUMMYFUNCTION("""COMPUTED_VALUE"""),"هیأت مناسبتی")</f>
        <v>هیأت مناسبتی</v>
      </c>
      <c r="C1961" s="5" t="str">
        <f>IFERROR(__xludf.DUMMYFUNCTION("""COMPUTED_VALUE"""),"هیات موکب پابوسان قمربنی هاشم (ع)")</f>
        <v>هیات موکب پابوسان قمربنی هاشم (ع)</v>
      </c>
      <c r="D1961" s="5" t="str">
        <f>IFERROR(__xludf.DUMMYFUNCTION("""COMPUTED_VALUE"""),"آذربایجان غربی")</f>
        <v>آذربایجان غربی</v>
      </c>
      <c r="E1961" s="5" t="str">
        <f>IFERROR(__xludf.DUMMYFUNCTION("""COMPUTED_VALUE"""),"ارومیه")</f>
        <v>ارومیه</v>
      </c>
      <c r="F1961" s="5"/>
      <c r="G1961" s="5"/>
      <c r="H1961" s="6" t="str">
        <f>IFERROR(__xludf.DUMMYFUNCTION("""COMPUTED_VALUE"""),"https://www.instagram.com/mokabe.pabusan.urmia/")</f>
        <v>https://www.instagram.com/mokabe.pabusan.urmia/</v>
      </c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</row>
    <row r="1962">
      <c r="A1962" s="5">
        <f>IFERROR(__xludf.DUMMYFUNCTION("""COMPUTED_VALUE"""),25206.0)</f>
        <v>25206</v>
      </c>
      <c r="B1962" s="5" t="str">
        <f>IFERROR(__xludf.DUMMYFUNCTION("""COMPUTED_VALUE"""),"هیأت مناسبتی")</f>
        <v>هیأت مناسبتی</v>
      </c>
      <c r="C1962" s="5" t="str">
        <f>IFERROR(__xludf.DUMMYFUNCTION("""COMPUTED_VALUE"""),"بقیه الله (عج)")</f>
        <v>بقیه الله (عج)</v>
      </c>
      <c r="D1962" s="5" t="str">
        <f>IFERROR(__xludf.DUMMYFUNCTION("""COMPUTED_VALUE"""),"آذربایجان غربی")</f>
        <v>آذربایجان غربی</v>
      </c>
      <c r="E1962" s="5" t="str">
        <f>IFERROR(__xludf.DUMMYFUNCTION("""COMPUTED_VALUE"""),"ارومیه")</f>
        <v>ارومیه</v>
      </c>
      <c r="F1962" s="5"/>
      <c r="G1962" s="5"/>
      <c r="H1962" s="6" t="str">
        <f>IFERROR(__xludf.DUMMYFUNCTION("""COMPUTED_VALUE"""),"https://www.instagram.com/heyat_bagiatolahazam/")</f>
        <v>https://www.instagram.com/heyat_bagiatolahazam/</v>
      </c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</row>
    <row r="1963">
      <c r="A1963" s="5">
        <f>IFERROR(__xludf.DUMMYFUNCTION("""COMPUTED_VALUE"""),25114.0)</f>
        <v>25114</v>
      </c>
      <c r="B1963" s="5" t="str">
        <f>IFERROR(__xludf.DUMMYFUNCTION("""COMPUTED_VALUE"""),"هیأت هفتگی")</f>
        <v>هیأت هفتگی</v>
      </c>
      <c r="C1963" s="5" t="str">
        <f>IFERROR(__xludf.DUMMYFUNCTION("""COMPUTED_VALUE"""),"عاشقان حضرت اباالفضل (ع)")</f>
        <v>عاشقان حضرت اباالفضل (ع)</v>
      </c>
      <c r="D1963" s="5" t="str">
        <f>IFERROR(__xludf.DUMMYFUNCTION("""COMPUTED_VALUE"""),"آذربایجان غربی")</f>
        <v>آذربایجان غربی</v>
      </c>
      <c r="E1963" s="5" t="str">
        <f>IFERROR(__xludf.DUMMYFUNCTION("""COMPUTED_VALUE"""),"ارومیه")</f>
        <v>ارومیه</v>
      </c>
      <c r="F1963" s="5"/>
      <c r="G1963" s="5"/>
      <c r="H1963" s="6" t="str">
        <f>IFERROR(__xludf.DUMMYFUNCTION("""COMPUTED_VALUE"""),"https://www.instagram.com/asheghaneh_hazrateh_abolfazl/")</f>
        <v>https://www.instagram.com/asheghaneh_hazrateh_abolfazl/</v>
      </c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</row>
    <row r="1964">
      <c r="A1964" s="5">
        <f>IFERROR(__xludf.DUMMYFUNCTION("""COMPUTED_VALUE"""),25078.0)</f>
        <v>25078</v>
      </c>
      <c r="B1964" s="5" t="str">
        <f>IFERROR(__xludf.DUMMYFUNCTION("""COMPUTED_VALUE"""),"هیأت هفتگی")</f>
        <v>هیأت هفتگی</v>
      </c>
      <c r="C1964" s="5" t="str">
        <f>IFERROR(__xludf.DUMMYFUNCTION("""COMPUTED_VALUE"""),"مکتب شیر زن کربلا")</f>
        <v>مکتب شیر زن کربلا</v>
      </c>
      <c r="D1964" s="5" t="str">
        <f>IFERROR(__xludf.DUMMYFUNCTION("""COMPUTED_VALUE"""),"آذربایجان غربی")</f>
        <v>آذربایجان غربی</v>
      </c>
      <c r="E1964" s="5" t="str">
        <f>IFERROR(__xludf.DUMMYFUNCTION("""COMPUTED_VALUE"""),"ارومیه")</f>
        <v>ارومیه</v>
      </c>
      <c r="F1964" s="5"/>
      <c r="G1964" s="5"/>
      <c r="H1964" s="6" t="str">
        <f>IFERROR(__xludf.DUMMYFUNCTION("""COMPUTED_VALUE"""),"https://www.instagram.com/maktabshirzankarbala/")</f>
        <v>https://www.instagram.com/maktabshirzankarbala/</v>
      </c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</row>
    <row r="1965">
      <c r="A1965" s="5">
        <f>IFERROR(__xludf.DUMMYFUNCTION("""COMPUTED_VALUE"""),23214.0)</f>
        <v>23214</v>
      </c>
      <c r="B1965" s="5" t="str">
        <f>IFERROR(__xludf.DUMMYFUNCTION("""COMPUTED_VALUE"""),"هیأت هفتگی")</f>
        <v>هیأت هفتگی</v>
      </c>
      <c r="C1965" s="5" t="str">
        <f>IFERROR(__xludf.DUMMYFUNCTION("""COMPUTED_VALUE"""),"مکتب ثارالله (ع)")</f>
        <v>مکتب ثارالله (ع)</v>
      </c>
      <c r="D1965" s="5" t="str">
        <f>IFERROR(__xludf.DUMMYFUNCTION("""COMPUTED_VALUE"""),"آذربایجان غربی")</f>
        <v>آذربایجان غربی</v>
      </c>
      <c r="E1965" s="5" t="str">
        <f>IFERROR(__xludf.DUMMYFUNCTION("""COMPUTED_VALUE"""),"ارومیه")</f>
        <v>ارومیه</v>
      </c>
      <c r="F1965" s="5"/>
      <c r="G1965" s="5"/>
      <c r="H1965" s="6" t="str">
        <f>IFERROR(__xludf.DUMMYFUNCTION("""COMPUTED_VALUE"""),"https://www.instagram.com/maktab.sarallahh/")</f>
        <v>https://www.instagram.com/maktab.sarallahh/</v>
      </c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</row>
    <row r="1966">
      <c r="A1966" s="5">
        <f>IFERROR(__xludf.DUMMYFUNCTION("""COMPUTED_VALUE"""),23211.0)</f>
        <v>23211</v>
      </c>
      <c r="B1966" s="5" t="str">
        <f>IFERROR(__xludf.DUMMYFUNCTION("""COMPUTED_VALUE"""),"هیأت مناسبتی")</f>
        <v>هیأت مناسبتی</v>
      </c>
      <c r="C1966" s="5" t="str">
        <f>IFERROR(__xludf.DUMMYFUNCTION("""COMPUTED_VALUE"""),"مسجد بقیه الله")</f>
        <v>مسجد بقیه الله</v>
      </c>
      <c r="D1966" s="5" t="str">
        <f>IFERROR(__xludf.DUMMYFUNCTION("""COMPUTED_VALUE"""),"آذربایجان غربی")</f>
        <v>آذربایجان غربی</v>
      </c>
      <c r="E1966" s="5" t="str">
        <f>IFERROR(__xludf.DUMMYFUNCTION("""COMPUTED_VALUE"""),"ارومیه")</f>
        <v>ارومیه</v>
      </c>
      <c r="F1966" s="5"/>
      <c r="G1966" s="5"/>
      <c r="H1966" s="6" t="str">
        <f>IFERROR(__xludf.DUMMYFUNCTION("""COMPUTED_VALUE"""),"https://www.instagram.com/baghiyat__allah/")</f>
        <v>https://www.instagram.com/baghiyat__allah/</v>
      </c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</row>
    <row r="1967">
      <c r="A1967" s="5">
        <f>IFERROR(__xludf.DUMMYFUNCTION("""COMPUTED_VALUE"""),23210.0)</f>
        <v>23210</v>
      </c>
      <c r="B1967" s="5" t="str">
        <f>IFERROR(__xludf.DUMMYFUNCTION("""COMPUTED_VALUE"""),"هیأت هفتگی")</f>
        <v>هیأت هفتگی</v>
      </c>
      <c r="C1967" s="5" t="str">
        <f>IFERROR(__xludf.DUMMYFUNCTION("""COMPUTED_VALUE"""),"یارالی حسین")</f>
        <v>یارالی حسین</v>
      </c>
      <c r="D1967" s="5" t="str">
        <f>IFERROR(__xludf.DUMMYFUNCTION("""COMPUTED_VALUE"""),"آذربایجان غربی")</f>
        <v>آذربایجان غربی</v>
      </c>
      <c r="E1967" s="5" t="str">
        <f>IFERROR(__xludf.DUMMYFUNCTION("""COMPUTED_VALUE"""),"ارومیه")</f>
        <v>ارومیه</v>
      </c>
      <c r="F1967" s="5"/>
      <c r="G1967" s="5"/>
      <c r="H1967" s="6" t="str">
        <f>IFERROR(__xludf.DUMMYFUNCTION("""COMPUTED_VALUE"""),"https://www.instagram.com/heyat_yarali_hoseyn/")</f>
        <v>https://www.instagram.com/heyat_yarali_hoseyn/</v>
      </c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</row>
    <row r="1968">
      <c r="A1968" s="5">
        <f>IFERROR(__xludf.DUMMYFUNCTION("""COMPUTED_VALUE"""),21628.0)</f>
        <v>21628</v>
      </c>
      <c r="B1968" s="5" t="str">
        <f>IFERROR(__xludf.DUMMYFUNCTION("""COMPUTED_VALUE"""),"هیأت هفتگی")</f>
        <v>هیأت هفتگی</v>
      </c>
      <c r="C1968" s="5" t="str">
        <f>IFERROR(__xludf.DUMMYFUNCTION("""COMPUTED_VALUE"""),"فاطمیه")</f>
        <v>فاطمیه</v>
      </c>
      <c r="D1968" s="5" t="str">
        <f>IFERROR(__xludf.DUMMYFUNCTION("""COMPUTED_VALUE"""),"آذربایجان غربی")</f>
        <v>آذربایجان غربی</v>
      </c>
      <c r="E1968" s="5" t="str">
        <f>IFERROR(__xludf.DUMMYFUNCTION("""COMPUTED_VALUE"""),"ارومیه")</f>
        <v>ارومیه</v>
      </c>
      <c r="F1968" s="5"/>
      <c r="G1968" s="5"/>
      <c r="H1968" s="5"/>
      <c r="I1968" s="6" t="str">
        <f>IFERROR(__xludf.DUMMYFUNCTION("""COMPUTED_VALUE"""),"t.me/heyate_fatemiye")</f>
        <v>t.me/heyate_fatemiye</v>
      </c>
      <c r="J1968" s="5"/>
      <c r="K1968" s="5"/>
      <c r="L1968" s="5"/>
      <c r="M1968" s="5"/>
      <c r="N1968" s="5"/>
      <c r="O1968" s="5"/>
      <c r="P1968" s="5"/>
      <c r="Q1968" s="5"/>
      <c r="R1968" s="5"/>
      <c r="S1968" s="5"/>
    </row>
    <row r="1969">
      <c r="A1969" s="5">
        <f>IFERROR(__xludf.DUMMYFUNCTION("""COMPUTED_VALUE"""),21499.0)</f>
        <v>21499</v>
      </c>
      <c r="B1969" s="5" t="str">
        <f>IFERROR(__xludf.DUMMYFUNCTION("""COMPUTED_VALUE"""),"هیأت هفتگی")</f>
        <v>هیأت هفتگی</v>
      </c>
      <c r="C1969" s="5" t="str">
        <f>IFERROR(__xludf.DUMMYFUNCTION("""COMPUTED_VALUE"""),"یا زهرا")</f>
        <v>یا زهرا</v>
      </c>
      <c r="D1969" s="5" t="str">
        <f>IFERROR(__xludf.DUMMYFUNCTION("""COMPUTED_VALUE"""),"آذربایجان غربی")</f>
        <v>آذربایجان غربی</v>
      </c>
      <c r="E1969" s="5" t="str">
        <f>IFERROR(__xludf.DUMMYFUNCTION("""COMPUTED_VALUE"""),"ارومیه")</f>
        <v>ارومیه</v>
      </c>
      <c r="F1969" s="5"/>
      <c r="G1969" s="5"/>
      <c r="H1969" s="6" t="str">
        <f>IFERROR(__xludf.DUMMYFUNCTION("""COMPUTED_VALUE"""),"https://www.instagram.com/heyyat_alzahra_urumiya/")</f>
        <v>https://www.instagram.com/heyyat_alzahra_urumiya/</v>
      </c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</row>
    <row r="1970">
      <c r="A1970" s="5">
        <f>IFERROR(__xludf.DUMMYFUNCTION("""COMPUTED_VALUE"""),20459.0)</f>
        <v>20459</v>
      </c>
      <c r="B1970" s="5" t="str">
        <f>IFERROR(__xludf.DUMMYFUNCTION("""COMPUTED_VALUE"""),"هیأت هفتگی")</f>
        <v>هیأت هفتگی</v>
      </c>
      <c r="C1970" s="5" t="str">
        <f>IFERROR(__xludf.DUMMYFUNCTION("""COMPUTED_VALUE"""),"مکتب العباس (ع)")</f>
        <v>مکتب العباس (ع)</v>
      </c>
      <c r="D1970" s="5" t="str">
        <f>IFERROR(__xludf.DUMMYFUNCTION("""COMPUTED_VALUE"""),"آذربایجان غربی")</f>
        <v>آذربایجان غربی</v>
      </c>
      <c r="E1970" s="5" t="str">
        <f>IFERROR(__xludf.DUMMYFUNCTION("""COMPUTED_VALUE"""),"ارومیه")</f>
        <v>ارومیه</v>
      </c>
      <c r="F1970" s="5"/>
      <c r="G1970" s="5"/>
      <c r="H1970" s="6" t="str">
        <f>IFERROR(__xludf.DUMMYFUNCTION("""COMPUTED_VALUE"""),"https://www.instagram.com/maktabolabas.urmia313/")</f>
        <v>https://www.instagram.com/maktabolabas.urmia313/</v>
      </c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</row>
    <row r="1971">
      <c r="A1971" s="5">
        <f>IFERROR(__xludf.DUMMYFUNCTION("""COMPUTED_VALUE"""),20292.0)</f>
        <v>20292</v>
      </c>
      <c r="B1971" s="5" t="str">
        <f>IFERROR(__xludf.DUMMYFUNCTION("""COMPUTED_VALUE"""),"هیأت هفتگی")</f>
        <v>هیأت هفتگی</v>
      </c>
      <c r="C1971" s="5" t="str">
        <f>IFERROR(__xludf.DUMMYFUNCTION("""COMPUTED_VALUE"""),"پیام عاشورا")</f>
        <v>پیام عاشورا</v>
      </c>
      <c r="D1971" s="5" t="str">
        <f>IFERROR(__xludf.DUMMYFUNCTION("""COMPUTED_VALUE"""),"آذربایجان غربی")</f>
        <v>آذربایجان غربی</v>
      </c>
      <c r="E1971" s="5" t="str">
        <f>IFERROR(__xludf.DUMMYFUNCTION("""COMPUTED_VALUE"""),"ارومیه")</f>
        <v>ارومیه</v>
      </c>
      <c r="F1971" s="5"/>
      <c r="G1971" s="5"/>
      <c r="H1971" s="6" t="str">
        <f>IFERROR(__xludf.DUMMYFUNCTION("""COMPUTED_VALUE"""),"https://www.instagram.com/payamashura/")</f>
        <v>https://www.instagram.com/payamashura/</v>
      </c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</row>
    <row r="1972">
      <c r="A1972" s="5">
        <f>IFERROR(__xludf.DUMMYFUNCTION("""COMPUTED_VALUE"""),19887.0)</f>
        <v>19887</v>
      </c>
      <c r="B1972" s="5" t="str">
        <f>IFERROR(__xludf.DUMMYFUNCTION("""COMPUTED_VALUE"""),"هیأت هفتگی")</f>
        <v>هیأت هفتگی</v>
      </c>
      <c r="C1972" s="5" t="str">
        <f>IFERROR(__xludf.DUMMYFUNCTION("""COMPUTED_VALUE"""),"مجمع سیدالشهدا (ع) (هفته مجالس ارومیه)")</f>
        <v>مجمع سیدالشهدا (ع) (هفته مجالس ارومیه)</v>
      </c>
      <c r="D1972" s="5" t="str">
        <f>IFERROR(__xludf.DUMMYFUNCTION("""COMPUTED_VALUE"""),"آذربایجان غربی")</f>
        <v>آذربایجان غربی</v>
      </c>
      <c r="E1972" s="5" t="str">
        <f>IFERROR(__xludf.DUMMYFUNCTION("""COMPUTED_VALUE"""),"ارومیه")</f>
        <v>ارومیه</v>
      </c>
      <c r="F1972" s="5"/>
      <c r="G1972" s="5"/>
      <c r="H1972" s="5"/>
      <c r="I1972" s="5" t="str">
        <f>IFERROR(__xludf.DUMMYFUNCTION("""COMPUTED_VALUE"""),"-")</f>
        <v>-</v>
      </c>
      <c r="J1972" s="6" t="str">
        <f>IFERROR(__xludf.DUMMYFUNCTION("""COMPUTED_VALUE"""),"https://eitaa.com/majmae_sydlashohada")</f>
        <v>https://eitaa.com/majmae_sydlashohada</v>
      </c>
      <c r="K1972" s="5"/>
      <c r="L1972" s="5"/>
      <c r="M1972" s="5"/>
      <c r="N1972" s="5"/>
      <c r="O1972" s="5"/>
      <c r="P1972" s="5"/>
      <c r="Q1972" s="5"/>
      <c r="R1972" s="5"/>
      <c r="S1972" s="5"/>
    </row>
    <row r="1973">
      <c r="A1973" s="5">
        <f>IFERROR(__xludf.DUMMYFUNCTION("""COMPUTED_VALUE"""),19849.0)</f>
        <v>19849</v>
      </c>
      <c r="B1973" s="5" t="str">
        <f>IFERROR(__xludf.DUMMYFUNCTION("""COMPUTED_VALUE"""),"هیأت هفتگی")</f>
        <v>هیأت هفتگی</v>
      </c>
      <c r="C1973" s="5" t="str">
        <f>IFERROR(__xludf.DUMMYFUNCTION("""COMPUTED_VALUE"""),"عاشقان امام زمان (عج)")</f>
        <v>عاشقان امام زمان (عج)</v>
      </c>
      <c r="D1973" s="5" t="str">
        <f>IFERROR(__xludf.DUMMYFUNCTION("""COMPUTED_VALUE"""),"آذربایجان غربی")</f>
        <v>آذربایجان غربی</v>
      </c>
      <c r="E1973" s="5" t="str">
        <f>IFERROR(__xludf.DUMMYFUNCTION("""COMPUTED_VALUE"""),"ارومیه")</f>
        <v>ارومیه</v>
      </c>
      <c r="F1973" s="5"/>
      <c r="G1973" s="5"/>
      <c r="H1973" s="6" t="str">
        <f>IFERROR(__xludf.DUMMYFUNCTION("""COMPUTED_VALUE"""),"https://www.instagram.com/heyat_ashegan/")</f>
        <v>https://www.instagram.com/heyat_ashegan/</v>
      </c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</row>
    <row r="1974">
      <c r="A1974" s="5">
        <f>IFERROR(__xludf.DUMMYFUNCTION("""COMPUTED_VALUE"""),19847.0)</f>
        <v>19847</v>
      </c>
      <c r="B1974" s="5" t="str">
        <f>IFERROR(__xludf.DUMMYFUNCTION("""COMPUTED_VALUE"""),"هیأت مناسبتی")</f>
        <v>هیأت مناسبتی</v>
      </c>
      <c r="C1974" s="5" t="str">
        <f>IFERROR(__xludf.DUMMYFUNCTION("""COMPUTED_VALUE"""),"مسجد خاتم الانبیاء دیگاله")</f>
        <v>مسجد خاتم الانبیاء دیگاله</v>
      </c>
      <c r="D1974" s="5" t="str">
        <f>IFERROR(__xludf.DUMMYFUNCTION("""COMPUTED_VALUE"""),"آذربایجان غربی")</f>
        <v>آذربایجان غربی</v>
      </c>
      <c r="E1974" s="5" t="str">
        <f>IFERROR(__xludf.DUMMYFUNCTION("""COMPUTED_VALUE"""),"ارومیه")</f>
        <v>ارومیه</v>
      </c>
      <c r="F1974" s="5"/>
      <c r="G1974" s="5"/>
      <c r="H1974" s="6" t="str">
        <f>IFERROR(__xludf.DUMMYFUNCTION("""COMPUTED_VALUE"""),"https://www.instagram.com/masjed.khatamolanbia/")</f>
        <v>https://www.instagram.com/masjed.khatamolanbia/</v>
      </c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</row>
    <row r="1975">
      <c r="A1975" s="5">
        <f>IFERROR(__xludf.DUMMYFUNCTION("""COMPUTED_VALUE"""),18015.0)</f>
        <v>18015</v>
      </c>
      <c r="B1975" s="5" t="str">
        <f>IFERROR(__xludf.DUMMYFUNCTION("""COMPUTED_VALUE"""),"هیأت هفتگی")</f>
        <v>هیأت هفتگی</v>
      </c>
      <c r="C1975" s="5" t="str">
        <f>IFERROR(__xludf.DUMMYFUNCTION("""COMPUTED_VALUE"""),"شیرخوار حضرت علی اصغر (ع)")</f>
        <v>شیرخوار حضرت علی اصغر (ع)</v>
      </c>
      <c r="D1975" s="5" t="str">
        <f>IFERROR(__xludf.DUMMYFUNCTION("""COMPUTED_VALUE"""),"آذربایجان غربی")</f>
        <v>آذربایجان غربی</v>
      </c>
      <c r="E1975" s="5" t="str">
        <f>IFERROR(__xludf.DUMMYFUNCTION("""COMPUTED_VALUE"""),"ارومیه")</f>
        <v>ارومیه</v>
      </c>
      <c r="F1975" s="5"/>
      <c r="G1975" s="5"/>
      <c r="H1975" s="6" t="str">
        <f>IFERROR(__xludf.DUMMYFUNCTION("""COMPUTED_VALUE"""),"https://www.instagram.com/shirkhar_aliasghar/")</f>
        <v>https://www.instagram.com/shirkhar_aliasghar/</v>
      </c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</row>
    <row r="1976">
      <c r="A1976" s="5">
        <f>IFERROR(__xludf.DUMMYFUNCTION("""COMPUTED_VALUE"""),18014.0)</f>
        <v>18014</v>
      </c>
      <c r="B1976" s="5" t="str">
        <f>IFERROR(__xludf.DUMMYFUNCTION("""COMPUTED_VALUE"""),"هیأت مناسبتی")</f>
        <v>هیأت مناسبتی</v>
      </c>
      <c r="C1976" s="5" t="str">
        <f>IFERROR(__xludf.DUMMYFUNCTION("""COMPUTED_VALUE"""),"رزمندگان ثارالله")</f>
        <v>رزمندگان ثارالله</v>
      </c>
      <c r="D1976" s="5" t="str">
        <f>IFERROR(__xludf.DUMMYFUNCTION("""COMPUTED_VALUE"""),"آذربایجان غربی")</f>
        <v>آذربایجان غربی</v>
      </c>
      <c r="E1976" s="5" t="str">
        <f>IFERROR(__xludf.DUMMYFUNCTION("""COMPUTED_VALUE"""),"ارومیه")</f>
        <v>ارومیه</v>
      </c>
      <c r="F1976" s="5"/>
      <c r="G1976" s="5"/>
      <c r="H1976" s="6" t="str">
        <f>IFERROR(__xludf.DUMMYFUNCTION("""COMPUTED_VALUE"""),"https://www.instagram.com/sarallahurmia/")</f>
        <v>https://www.instagram.com/sarallahurmia/</v>
      </c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</row>
    <row r="1977">
      <c r="A1977" s="5">
        <f>IFERROR(__xludf.DUMMYFUNCTION("""COMPUTED_VALUE"""),18013.0)</f>
        <v>18013</v>
      </c>
      <c r="B1977" s="5" t="str">
        <f>IFERROR(__xludf.DUMMYFUNCTION("""COMPUTED_VALUE"""),"هیأت هفتگی")</f>
        <v>هیأت هفتگی</v>
      </c>
      <c r="C1977" s="5" t="str">
        <f>IFERROR(__xludf.DUMMYFUNCTION("""COMPUTED_VALUE"""),"نوجوانان حضرت قاسم(ع)")</f>
        <v>نوجوانان حضرت قاسم(ع)</v>
      </c>
      <c r="D1977" s="5" t="str">
        <f>IFERROR(__xludf.DUMMYFUNCTION("""COMPUTED_VALUE"""),"آذربایجان غربی")</f>
        <v>آذربایجان غربی</v>
      </c>
      <c r="E1977" s="5" t="str">
        <f>IFERROR(__xludf.DUMMYFUNCTION("""COMPUTED_VALUE"""),"ارومیه")</f>
        <v>ارومیه</v>
      </c>
      <c r="F1977" s="5"/>
      <c r="G1977" s="5"/>
      <c r="H1977" s="6" t="str">
        <f>IFERROR(__xludf.DUMMYFUNCTION("""COMPUTED_VALUE"""),"https://www.instagram.com/hnhgasem1395/")</f>
        <v>https://www.instagram.com/hnhgasem1395/</v>
      </c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</row>
    <row r="1978">
      <c r="A1978" s="5">
        <f>IFERROR(__xludf.DUMMYFUNCTION("""COMPUTED_VALUE"""),18011.0)</f>
        <v>18011</v>
      </c>
      <c r="B1978" s="5" t="str">
        <f>IFERROR(__xludf.DUMMYFUNCTION("""COMPUTED_VALUE"""),"هیأت مناسبتی")</f>
        <v>هیأت مناسبتی</v>
      </c>
      <c r="C1978" s="5" t="str">
        <f>IFERROR(__xludf.DUMMYFUNCTION("""COMPUTED_VALUE"""),"رزمندگان اسلام")</f>
        <v>رزمندگان اسلام</v>
      </c>
      <c r="D1978" s="5" t="str">
        <f>IFERROR(__xludf.DUMMYFUNCTION("""COMPUTED_VALUE"""),"آذربایجان غربی")</f>
        <v>آذربایجان غربی</v>
      </c>
      <c r="E1978" s="5" t="str">
        <f>IFERROR(__xludf.DUMMYFUNCTION("""COMPUTED_VALUE"""),"ارومیه")</f>
        <v>ارومیه</v>
      </c>
      <c r="F1978" s="5"/>
      <c r="G1978" s="5"/>
      <c r="H1978" s="6" t="str">
        <f>IFERROR(__xludf.DUMMYFUNCTION("""COMPUTED_VALUE"""),"https://www.instagram.com/razmandeganurmia/")</f>
        <v>https://www.instagram.com/razmandeganurmia/</v>
      </c>
      <c r="I1978" s="6" t="str">
        <f>IFERROR(__xludf.DUMMYFUNCTION("""COMPUTED_VALUE"""),"t.me/razmandeganurmia")</f>
        <v>t.me/razmandeganurmia</v>
      </c>
      <c r="J1978" s="5"/>
      <c r="K1978" s="5"/>
      <c r="L1978" s="5"/>
      <c r="M1978" s="5"/>
      <c r="N1978" s="5"/>
      <c r="O1978" s="5"/>
      <c r="P1978" s="5"/>
      <c r="Q1978" s="5"/>
      <c r="R1978" s="5"/>
      <c r="S1978" s="5"/>
    </row>
    <row r="1979">
      <c r="A1979" s="5">
        <f>IFERROR(__xludf.DUMMYFUNCTION("""COMPUTED_VALUE"""),18010.0)</f>
        <v>18010</v>
      </c>
      <c r="B1979" s="5" t="str">
        <f>IFERROR(__xludf.DUMMYFUNCTION("""COMPUTED_VALUE"""),"هیأت مناسبتی")</f>
        <v>هیأت مناسبتی</v>
      </c>
      <c r="C1979" s="5" t="str">
        <f>IFERROR(__xludf.DUMMYFUNCTION("""COMPUTED_VALUE"""),"هیات موکب رضوی")</f>
        <v>هیات موکب رضوی</v>
      </c>
      <c r="D1979" s="5" t="str">
        <f>IFERROR(__xludf.DUMMYFUNCTION("""COMPUTED_VALUE"""),"آذربایجان غربی")</f>
        <v>آذربایجان غربی</v>
      </c>
      <c r="E1979" s="5" t="str">
        <f>IFERROR(__xludf.DUMMYFUNCTION("""COMPUTED_VALUE"""),"ارومیه")</f>
        <v>ارومیه</v>
      </c>
      <c r="F1979" s="5"/>
      <c r="G1979" s="5"/>
      <c r="H1979" s="6" t="str">
        <f>IFERROR(__xludf.DUMMYFUNCTION("""COMPUTED_VALUE"""),"https://www.instagram.com/mokaberazavi/")</f>
        <v>https://www.instagram.com/mokaberazavi/</v>
      </c>
      <c r="I1979" s="6" t="str">
        <f>IFERROR(__xludf.DUMMYFUNCTION("""COMPUTED_VALUE"""),"t.me/mokabrazviurmia")</f>
        <v>t.me/mokabrazviurmia</v>
      </c>
      <c r="J1979" s="5"/>
      <c r="K1979" s="5"/>
      <c r="L1979" s="5"/>
      <c r="M1979" s="5"/>
      <c r="N1979" s="5"/>
      <c r="O1979" s="5"/>
      <c r="P1979" s="5"/>
      <c r="Q1979" s="5"/>
      <c r="R1979" s="5"/>
      <c r="S1979" s="5"/>
    </row>
    <row r="1980">
      <c r="A1980" s="5">
        <f>IFERROR(__xludf.DUMMYFUNCTION("""COMPUTED_VALUE"""),18009.0)</f>
        <v>18009</v>
      </c>
      <c r="B1980" s="5" t="str">
        <f>IFERROR(__xludf.DUMMYFUNCTION("""COMPUTED_VALUE"""),"هیأت هفتگی")</f>
        <v>هیأت هفتگی</v>
      </c>
      <c r="C1980" s="5" t="str">
        <f>IFERROR(__xludf.DUMMYFUNCTION("""COMPUTED_VALUE"""),"حسینیان")</f>
        <v>حسینیان</v>
      </c>
      <c r="D1980" s="5" t="str">
        <f>IFERROR(__xludf.DUMMYFUNCTION("""COMPUTED_VALUE"""),"آذربایجان غربی")</f>
        <v>آذربایجان غربی</v>
      </c>
      <c r="E1980" s="5" t="str">
        <f>IFERROR(__xludf.DUMMYFUNCTION("""COMPUTED_VALUE"""),"ارومیه")</f>
        <v>ارومیه</v>
      </c>
      <c r="F1980" s="5"/>
      <c r="G1980" s="5"/>
      <c r="H1980" s="6" t="str">
        <f>IFERROR(__xludf.DUMMYFUNCTION("""COMPUTED_VALUE"""),"https://www.instagram.com/heyat_hosseinyan/")</f>
        <v>https://www.instagram.com/heyat_hosseinyan/</v>
      </c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</row>
    <row r="1981">
      <c r="A1981" s="5">
        <f>IFERROR(__xludf.DUMMYFUNCTION("""COMPUTED_VALUE"""),18008.0)</f>
        <v>18008</v>
      </c>
      <c r="B1981" s="5" t="str">
        <f>IFERROR(__xludf.DUMMYFUNCTION("""COMPUTED_VALUE"""),"هیأت هفتگی")</f>
        <v>هیأت هفتگی</v>
      </c>
      <c r="C1981" s="5" t="str">
        <f>IFERROR(__xludf.DUMMYFUNCTION("""COMPUTED_VALUE"""),"عاشقان حضرت اباالفضل (ع)")</f>
        <v>عاشقان حضرت اباالفضل (ع)</v>
      </c>
      <c r="D1981" s="5" t="str">
        <f>IFERROR(__xludf.DUMMYFUNCTION("""COMPUTED_VALUE"""),"آذربایجان غربی")</f>
        <v>آذربایجان غربی</v>
      </c>
      <c r="E1981" s="5" t="str">
        <f>IFERROR(__xludf.DUMMYFUNCTION("""COMPUTED_VALUE"""),"ارومیه")</f>
        <v>ارومیه</v>
      </c>
      <c r="F1981" s="5"/>
      <c r="G1981" s="5"/>
      <c r="H1981" s="6" t="str">
        <f>IFERROR(__xludf.DUMMYFUNCTION("""COMPUTED_VALUE"""),"https://www.instagram.com/asheghaneh_hazrateh_abolfazl/")</f>
        <v>https://www.instagram.com/asheghaneh_hazrateh_abolfazl/</v>
      </c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</row>
    <row r="1982">
      <c r="A1982" s="5">
        <f>IFERROR(__xludf.DUMMYFUNCTION("""COMPUTED_VALUE"""),18006.0)</f>
        <v>18006</v>
      </c>
      <c r="B1982" s="5" t="str">
        <f>IFERROR(__xludf.DUMMYFUNCTION("""COMPUTED_VALUE"""),"هیأت مناسبتی")</f>
        <v>هیأت مناسبتی</v>
      </c>
      <c r="C1982" s="5" t="str">
        <f>IFERROR(__xludf.DUMMYFUNCTION("""COMPUTED_VALUE"""),"مدافعین حرم")</f>
        <v>مدافعین حرم</v>
      </c>
      <c r="D1982" s="5" t="str">
        <f>IFERROR(__xludf.DUMMYFUNCTION("""COMPUTED_VALUE"""),"آذربایجان غربی")</f>
        <v>آذربایجان غربی</v>
      </c>
      <c r="E1982" s="5" t="str">
        <f>IFERROR(__xludf.DUMMYFUNCTION("""COMPUTED_VALUE"""),"ارومیه")</f>
        <v>ارومیه</v>
      </c>
      <c r="F1982" s="5"/>
      <c r="G1982" s="5"/>
      <c r="H1982" s="6" t="str">
        <f>IFERROR(__xludf.DUMMYFUNCTION("""COMPUTED_VALUE"""),"https://www.instagram.com/modafeane_haram_urmia/")</f>
        <v>https://www.instagram.com/modafeane_haram_urmia/</v>
      </c>
      <c r="I1982" s="6" t="str">
        <f>IFERROR(__xludf.DUMMYFUNCTION("""COMPUTED_VALUE"""),"t.me/heiat_modafean_haram_urmia")</f>
        <v>t.me/heiat_modafean_haram_urmia</v>
      </c>
      <c r="J1982" s="5"/>
      <c r="K1982" s="5"/>
      <c r="L1982" s="5"/>
      <c r="M1982" s="5"/>
      <c r="N1982" s="5"/>
      <c r="O1982" s="5"/>
      <c r="P1982" s="5"/>
      <c r="Q1982" s="5"/>
      <c r="R1982" s="5"/>
      <c r="S1982" s="5"/>
    </row>
    <row r="1983">
      <c r="A1983" s="5">
        <f>IFERROR(__xludf.DUMMYFUNCTION("""COMPUTED_VALUE"""),18005.0)</f>
        <v>18005</v>
      </c>
      <c r="B1983" s="5" t="str">
        <f>IFERROR(__xludf.DUMMYFUNCTION("""COMPUTED_VALUE"""),"هیأت هفتگی")</f>
        <v>هیأت هفتگی</v>
      </c>
      <c r="C1983" s="5" t="str">
        <f>IFERROR(__xludf.DUMMYFUNCTION("""COMPUTED_VALUE"""),"شیفتگان امام حسین(ع)")</f>
        <v>شیفتگان امام حسین(ع)</v>
      </c>
      <c r="D1983" s="5" t="str">
        <f>IFERROR(__xludf.DUMMYFUNCTION("""COMPUTED_VALUE"""),"آذربایجان غربی")</f>
        <v>آذربایجان غربی</v>
      </c>
      <c r="E1983" s="5" t="str">
        <f>IFERROR(__xludf.DUMMYFUNCTION("""COMPUTED_VALUE"""),"ارومیه")</f>
        <v>ارومیه</v>
      </c>
      <c r="F1983" s="5"/>
      <c r="G1983" s="5"/>
      <c r="H1983" s="6" t="str">
        <f>IFERROR(__xludf.DUMMYFUNCTION("""COMPUTED_VALUE"""),"https://www.instagram.com/shiftgane.emamhosein/")</f>
        <v>https://www.instagram.com/shiftgane.emamhosein/</v>
      </c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</row>
    <row r="1984">
      <c r="A1984" s="5">
        <f>IFERROR(__xludf.DUMMYFUNCTION("""COMPUTED_VALUE"""),17875.0)</f>
        <v>17875</v>
      </c>
      <c r="B1984" s="5" t="str">
        <f>IFERROR(__xludf.DUMMYFUNCTION("""COMPUTED_VALUE"""),"هیأت مناسبتی")</f>
        <v>هیأت مناسبتی</v>
      </c>
      <c r="C1984" s="5" t="str">
        <f>IFERROR(__xludf.DUMMYFUNCTION("""COMPUTED_VALUE"""),"فاطمیون")</f>
        <v>فاطمیون</v>
      </c>
      <c r="D1984" s="5" t="str">
        <f>IFERROR(__xludf.DUMMYFUNCTION("""COMPUTED_VALUE"""),"آذربایجان غربی")</f>
        <v>آذربایجان غربی</v>
      </c>
      <c r="E1984" s="5" t="str">
        <f>IFERROR(__xludf.DUMMYFUNCTION("""COMPUTED_VALUE"""),"ارومیه")</f>
        <v>ارومیه</v>
      </c>
      <c r="F1984" s="5"/>
      <c r="G1984" s="5"/>
      <c r="H1984" s="6" t="str">
        <f>IFERROR(__xludf.DUMMYFUNCTION("""COMPUTED_VALUE"""),"https://www.instagram.com/fatemiyoun_urmia/")</f>
        <v>https://www.instagram.com/fatemiyoun_urmia/</v>
      </c>
      <c r="I1984" s="5" t="str">
        <f>IFERROR(__xludf.DUMMYFUNCTION("""COMPUTED_VALUE"""),"-")</f>
        <v>-</v>
      </c>
      <c r="J1984" s="6" t="str">
        <f>IFERROR(__xludf.DUMMYFUNCTION("""COMPUTED_VALUE"""),"eitaa.com/fatemiyoun_urmia")</f>
        <v>eitaa.com/fatemiyoun_urmia</v>
      </c>
      <c r="K1984" s="5"/>
      <c r="L1984" s="5"/>
      <c r="M1984" s="5"/>
      <c r="N1984" s="5"/>
      <c r="O1984" s="5"/>
      <c r="P1984" s="5"/>
      <c r="Q1984" s="5"/>
      <c r="R1984" s="5"/>
      <c r="S1984" s="5"/>
    </row>
    <row r="1985">
      <c r="A1985" s="5">
        <f>IFERROR(__xludf.DUMMYFUNCTION("""COMPUTED_VALUE"""),764.0)</f>
        <v>764</v>
      </c>
      <c r="B1985" s="5" t="str">
        <f>IFERROR(__xludf.DUMMYFUNCTION("""COMPUTED_VALUE"""),"هیأت هفتگی")</f>
        <v>هیأت هفتگی</v>
      </c>
      <c r="C1985" s="5" t="str">
        <f>IFERROR(__xludf.DUMMYFUNCTION("""COMPUTED_VALUE"""),"عاشقان کربلا")</f>
        <v>عاشقان کربلا</v>
      </c>
      <c r="D1985" s="5" t="str">
        <f>IFERROR(__xludf.DUMMYFUNCTION("""COMPUTED_VALUE"""),"آذربایجان غربی")</f>
        <v>آذربایجان غربی</v>
      </c>
      <c r="E1985" s="5" t="str">
        <f>IFERROR(__xludf.DUMMYFUNCTION("""COMPUTED_VALUE"""),"ارومیه")</f>
        <v>ارومیه</v>
      </c>
      <c r="F1985" s="5"/>
      <c r="G1985" s="5"/>
      <c r="H1985" s="6" t="str">
        <f>IFERROR(__xludf.DUMMYFUNCTION("""COMPUTED_VALUE"""),"https://www.instagram.com/ashegane_karbala9/")</f>
        <v>https://www.instagram.com/ashegane_karbala9/</v>
      </c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</row>
    <row r="1986">
      <c r="A1986" s="5">
        <f>IFERROR(__xludf.DUMMYFUNCTION("""COMPUTED_VALUE"""),762.0)</f>
        <v>762</v>
      </c>
      <c r="B1986" s="5" t="str">
        <f>IFERROR(__xludf.DUMMYFUNCTION("""COMPUTED_VALUE"""),"هیأت مناسبتی")</f>
        <v>هیأت مناسبتی</v>
      </c>
      <c r="C1986" s="5" t="str">
        <f>IFERROR(__xludf.DUMMYFUNCTION("""COMPUTED_VALUE"""),"شیفتگان بقیه الله الاعظم (عج)")</f>
        <v>شیفتگان بقیه الله الاعظم (عج)</v>
      </c>
      <c r="D1986" s="5" t="str">
        <f>IFERROR(__xludf.DUMMYFUNCTION("""COMPUTED_VALUE"""),"آذربایجان غربی")</f>
        <v>آذربایجان غربی</v>
      </c>
      <c r="E1986" s="5" t="str">
        <f>IFERROR(__xludf.DUMMYFUNCTION("""COMPUTED_VALUE"""),"ارومیه")</f>
        <v>ارومیه</v>
      </c>
      <c r="F1986" s="5"/>
      <c r="G1986" s="5"/>
      <c r="H1986" s="6" t="str">
        <f>IFERROR(__xludf.DUMMYFUNCTION("""COMPUTED_VALUE"""),"https://www.instagram.com/shiftegan_orumia/")</f>
        <v>https://www.instagram.com/shiftegan_orumia/</v>
      </c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</row>
    <row r="1987">
      <c r="A1987" s="5">
        <f>IFERROR(__xludf.DUMMYFUNCTION("""COMPUTED_VALUE"""),761.0)</f>
        <v>761</v>
      </c>
      <c r="B1987" s="5" t="str">
        <f>IFERROR(__xludf.DUMMYFUNCTION("""COMPUTED_VALUE"""),"هیأت هفتگی")</f>
        <v>هیأت هفتگی</v>
      </c>
      <c r="C1987" s="5" t="str">
        <f>IFERROR(__xludf.DUMMYFUNCTION("""COMPUTED_VALUE"""),"مکتب امام جعفرصادق (ع)")</f>
        <v>مکتب امام جعفرصادق (ع)</v>
      </c>
      <c r="D1987" s="5" t="str">
        <f>IFERROR(__xludf.DUMMYFUNCTION("""COMPUTED_VALUE"""),"آذربایجان غربی")</f>
        <v>آذربایجان غربی</v>
      </c>
      <c r="E1987" s="5" t="str">
        <f>IFERROR(__xludf.DUMMYFUNCTION("""COMPUTED_VALUE"""),"ارومیه")</f>
        <v>ارومیه</v>
      </c>
      <c r="F1987" s="5"/>
      <c r="G1987" s="5"/>
      <c r="H1987" s="6" t="str">
        <f>IFERROR(__xludf.DUMMYFUNCTION("""COMPUTED_VALUE"""),"https://www.instagram.com/maktabosadeg_urmia/")</f>
        <v>https://www.instagram.com/maktabosadeg_urmia/</v>
      </c>
      <c r="I1987" s="5"/>
      <c r="J1987" s="6" t="str">
        <f>IFERROR(__xludf.DUMMYFUNCTION("""COMPUTED_VALUE"""),"eitaa.com/arshivemaktab/")</f>
        <v>eitaa.com/arshivemaktab/</v>
      </c>
      <c r="K1987" s="5"/>
      <c r="L1987" s="5"/>
      <c r="M1987" s="5"/>
      <c r="N1987" s="5"/>
      <c r="O1987" s="5"/>
      <c r="P1987" s="5"/>
      <c r="Q1987" s="5"/>
      <c r="R1987" s="5"/>
      <c r="S1987" s="5"/>
    </row>
    <row r="1988">
      <c r="A1988" s="5">
        <f>IFERROR(__xludf.DUMMYFUNCTION("""COMPUTED_VALUE"""),509.0)</f>
        <v>509</v>
      </c>
      <c r="B1988" s="5" t="str">
        <f>IFERROR(__xludf.DUMMYFUNCTION("""COMPUTED_VALUE"""),"هیأت هفتگی")</f>
        <v>هیأت هفتگی</v>
      </c>
      <c r="C1988" s="5" t="str">
        <f>IFERROR(__xludf.DUMMYFUNCTION("""COMPUTED_VALUE"""),"عاشقان امام زمان (عج)")</f>
        <v>عاشقان امام زمان (عج)</v>
      </c>
      <c r="D1988" s="5" t="str">
        <f>IFERROR(__xludf.DUMMYFUNCTION("""COMPUTED_VALUE"""),"آذربایجان غربی")</f>
        <v>آذربایجان غربی</v>
      </c>
      <c r="E1988" s="5" t="str">
        <f>IFERROR(__xludf.DUMMYFUNCTION("""COMPUTED_VALUE"""),"ارومیه")</f>
        <v>ارومیه</v>
      </c>
      <c r="F1988" s="5"/>
      <c r="G1988" s="5"/>
      <c r="H1988" s="6" t="str">
        <f>IFERROR(__xludf.DUMMYFUNCTION("""COMPUTED_VALUE"""),"https://www.instagram.com/heyat_ashegan/")</f>
        <v>https://www.instagram.com/heyat_ashegan/</v>
      </c>
      <c r="I1988" s="6" t="str">
        <f>IFERROR(__xludf.DUMMYFUNCTION("""COMPUTED_VALUE"""),"t.me/heyat_ashegan")</f>
        <v>t.me/heyat_ashegan</v>
      </c>
      <c r="J1988" s="5"/>
      <c r="K1988" s="5"/>
      <c r="L1988" s="5"/>
      <c r="M1988" s="5"/>
      <c r="N1988" s="5"/>
      <c r="O1988" s="5"/>
      <c r="P1988" s="5"/>
      <c r="Q1988" s="5"/>
      <c r="R1988" s="5"/>
      <c r="S1988" s="5"/>
    </row>
    <row r="1989">
      <c r="A1989" s="5">
        <f>IFERROR(__xludf.DUMMYFUNCTION("""COMPUTED_VALUE"""),500.0)</f>
        <v>500</v>
      </c>
      <c r="B1989" s="5" t="str">
        <f>IFERROR(__xludf.DUMMYFUNCTION("""COMPUTED_VALUE"""),"هیأت مناسبتی")</f>
        <v>هیأت مناسبتی</v>
      </c>
      <c r="C1989" s="5" t="str">
        <f>IFERROR(__xludf.DUMMYFUNCTION("""COMPUTED_VALUE"""),"علمدار نینوا (ع)")</f>
        <v>علمدار نینوا (ع)</v>
      </c>
      <c r="D1989" s="5" t="str">
        <f>IFERROR(__xludf.DUMMYFUNCTION("""COMPUTED_VALUE"""),"آذربایجان غربی")</f>
        <v>آذربایجان غربی</v>
      </c>
      <c r="E1989" s="5" t="str">
        <f>IFERROR(__xludf.DUMMYFUNCTION("""COMPUTED_VALUE"""),"ارومیه")</f>
        <v>ارومیه</v>
      </c>
      <c r="F1989" s="5"/>
      <c r="G1989" s="5"/>
      <c r="H1989" s="6" t="str">
        <f>IFERROR(__xludf.DUMMYFUNCTION("""COMPUTED_VALUE"""),"https://www.instagram.com/kochehaye_banihashem/")</f>
        <v>https://www.instagram.com/kochehaye_banihashem/</v>
      </c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</row>
    <row r="1990">
      <c r="A1990" s="5">
        <f>IFERROR(__xludf.DUMMYFUNCTION("""COMPUTED_VALUE"""),474.0)</f>
        <v>474</v>
      </c>
      <c r="B1990" s="5" t="str">
        <f>IFERROR(__xludf.DUMMYFUNCTION("""COMPUTED_VALUE"""),"هیأت هفتگی")</f>
        <v>هیأت هفتگی</v>
      </c>
      <c r="C1990" s="5" t="str">
        <f>IFERROR(__xludf.DUMMYFUNCTION("""COMPUTED_VALUE"""),"عاشقان ولایت")</f>
        <v>عاشقان ولایت</v>
      </c>
      <c r="D1990" s="5" t="str">
        <f>IFERROR(__xludf.DUMMYFUNCTION("""COMPUTED_VALUE"""),"آذربایجان غربی")</f>
        <v>آذربایجان غربی</v>
      </c>
      <c r="E1990" s="5" t="str">
        <f>IFERROR(__xludf.DUMMYFUNCTION("""COMPUTED_VALUE"""),"ارومیه")</f>
        <v>ارومیه</v>
      </c>
      <c r="F1990" s="5"/>
      <c r="G1990" s="5"/>
      <c r="H1990" s="5"/>
      <c r="I1990" s="6" t="str">
        <f>IFERROR(__xludf.DUMMYFUNCTION("""COMPUTED_VALUE"""),"t.me/ashegan_velayat_orumiyeh")</f>
        <v>t.me/ashegan_velayat_orumiyeh</v>
      </c>
      <c r="J1990" s="5"/>
      <c r="K1990" s="5"/>
      <c r="L1990" s="5"/>
      <c r="M1990" s="5"/>
      <c r="N1990" s="5"/>
      <c r="O1990" s="5"/>
      <c r="P1990" s="5"/>
      <c r="Q1990" s="5"/>
      <c r="R1990" s="5"/>
      <c r="S1990" s="5"/>
    </row>
    <row r="1991">
      <c r="A1991" s="5">
        <f>IFERROR(__xludf.DUMMYFUNCTION("""COMPUTED_VALUE"""),465.0)</f>
        <v>465</v>
      </c>
      <c r="B1991" s="5" t="str">
        <f>IFERROR(__xludf.DUMMYFUNCTION("""COMPUTED_VALUE"""),"هیأت مناسبتی")</f>
        <v>هیأت مناسبتی</v>
      </c>
      <c r="C1991" s="5" t="str">
        <f>IFERROR(__xludf.DUMMYFUNCTION("""COMPUTED_VALUE"""),"محبان شهدا")</f>
        <v>محبان شهدا</v>
      </c>
      <c r="D1991" s="5" t="str">
        <f>IFERROR(__xludf.DUMMYFUNCTION("""COMPUTED_VALUE"""),"آذربایجان غربی")</f>
        <v>آذربایجان غربی</v>
      </c>
      <c r="E1991" s="5" t="str">
        <f>IFERROR(__xludf.DUMMYFUNCTION("""COMPUTED_VALUE"""),"ارومیه")</f>
        <v>ارومیه</v>
      </c>
      <c r="F1991" s="5"/>
      <c r="G1991" s="5"/>
      <c r="H1991" s="6" t="str">
        <f>IFERROR(__xludf.DUMMYFUNCTION("""COMPUTED_VALUE"""),"https://www.instagram.com/moheban_urmia/")</f>
        <v>https://www.instagram.com/moheban_urmia/</v>
      </c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</row>
    <row r="1992">
      <c r="A1992" s="5">
        <f>IFERROR(__xludf.DUMMYFUNCTION("""COMPUTED_VALUE"""),464.0)</f>
        <v>464</v>
      </c>
      <c r="B1992" s="5" t="str">
        <f>IFERROR(__xludf.DUMMYFUNCTION("""COMPUTED_VALUE"""),"هیأت مناسبتی")</f>
        <v>هیأت مناسبتی</v>
      </c>
      <c r="C1992" s="5" t="str">
        <f>IFERROR(__xludf.DUMMYFUNCTION("""COMPUTED_VALUE"""),"مسجد جنرال")</f>
        <v>مسجد جنرال</v>
      </c>
      <c r="D1992" s="5" t="str">
        <f>IFERROR(__xludf.DUMMYFUNCTION("""COMPUTED_VALUE"""),"آذربایجان غربی")</f>
        <v>آذربایجان غربی</v>
      </c>
      <c r="E1992" s="5" t="str">
        <f>IFERROR(__xludf.DUMMYFUNCTION("""COMPUTED_VALUE"""),"ارومیه")</f>
        <v>ارومیه</v>
      </c>
      <c r="F1992" s="5"/>
      <c r="G1992" s="5"/>
      <c r="H1992" s="6" t="str">
        <f>IFERROR(__xludf.DUMMYFUNCTION("""COMPUTED_VALUE"""),"https://www.instagram.com/tarigh_vesal.2/")</f>
        <v>https://www.instagram.com/tarigh_vesal.2/</v>
      </c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</row>
    <row r="1993">
      <c r="A1993" s="5">
        <f>IFERROR(__xludf.DUMMYFUNCTION("""COMPUTED_VALUE"""),456.0)</f>
        <v>456</v>
      </c>
      <c r="B1993" s="5" t="str">
        <f>IFERROR(__xludf.DUMMYFUNCTION("""COMPUTED_VALUE"""),"هیأت هفتگی")</f>
        <v>هیأت هفتگی</v>
      </c>
      <c r="C1993" s="5" t="str">
        <f>IFERROR(__xludf.DUMMYFUNCTION("""COMPUTED_VALUE"""),"جوانان بنی هاشم (ع)")</f>
        <v>جوانان بنی هاشم (ع)</v>
      </c>
      <c r="D1993" s="5" t="str">
        <f>IFERROR(__xludf.DUMMYFUNCTION("""COMPUTED_VALUE"""),"آذربایجان غربی")</f>
        <v>آذربایجان غربی</v>
      </c>
      <c r="E1993" s="5" t="str">
        <f>IFERROR(__xludf.DUMMYFUNCTION("""COMPUTED_VALUE"""),"ارومیه")</f>
        <v>ارومیه</v>
      </c>
      <c r="F1993" s="5"/>
      <c r="G1993" s="5"/>
      <c r="H1993" s="6" t="str">
        <f>IFERROR(__xludf.DUMMYFUNCTION("""COMPUTED_VALUE"""),"https://www.instagram.com/abaalhasanir/")</f>
        <v>https://www.instagram.com/abaalhasanir/</v>
      </c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</row>
    <row r="1994">
      <c r="A1994" s="5">
        <f>IFERROR(__xludf.DUMMYFUNCTION("""COMPUTED_VALUE"""),25215.0)</f>
        <v>25215</v>
      </c>
      <c r="B1994" s="5" t="str">
        <f>IFERROR(__xludf.DUMMYFUNCTION("""COMPUTED_VALUE"""),"هیأت مناسبتی")</f>
        <v>هیأت مناسبتی</v>
      </c>
      <c r="C1994" s="5" t="str">
        <f>IFERROR(__xludf.DUMMYFUNCTION("""COMPUTED_VALUE"""),"قیام زینبیه")</f>
        <v>قیام زینبیه</v>
      </c>
      <c r="D1994" s="5" t="str">
        <f>IFERROR(__xludf.DUMMYFUNCTION("""COMPUTED_VALUE"""),"آذربایجان غربی")</f>
        <v>آذربایجان غربی</v>
      </c>
      <c r="E1994" s="5" t="str">
        <f>IFERROR(__xludf.DUMMYFUNCTION("""COMPUTED_VALUE"""),"خوی")</f>
        <v>خوی</v>
      </c>
      <c r="F1994" s="5"/>
      <c r="G1994" s="5"/>
      <c r="H1994" s="6" t="str">
        <f>IFERROR(__xludf.DUMMYFUNCTION("""COMPUTED_VALUE"""),"https://www.instagram.com/giam.69/")</f>
        <v>https://www.instagram.com/giam.69/</v>
      </c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</row>
    <row r="1995">
      <c r="A1995" s="5">
        <f>IFERROR(__xludf.DUMMYFUNCTION("""COMPUTED_VALUE"""),25214.0)</f>
        <v>25214</v>
      </c>
      <c r="B1995" s="5" t="str">
        <f>IFERROR(__xludf.DUMMYFUNCTION("""COMPUTED_VALUE"""),"هیأت هفتگی")</f>
        <v>هیأت هفتگی</v>
      </c>
      <c r="C1995" s="5" t="str">
        <f>IFERROR(__xludf.DUMMYFUNCTION("""COMPUTED_VALUE"""),"علمدار کربلا")</f>
        <v>علمدار کربلا</v>
      </c>
      <c r="D1995" s="5" t="str">
        <f>IFERROR(__xludf.DUMMYFUNCTION("""COMPUTED_VALUE"""),"آذربایجان غربی")</f>
        <v>آذربایجان غربی</v>
      </c>
      <c r="E1995" s="5" t="str">
        <f>IFERROR(__xludf.DUMMYFUNCTION("""COMPUTED_VALUE"""),"خوی")</f>
        <v>خوی</v>
      </c>
      <c r="F1995" s="5"/>
      <c r="G1995" s="5"/>
      <c r="H1995" s="6" t="str">
        <f>IFERROR(__xludf.DUMMYFUNCTION("""COMPUTED_VALUE"""),"https://www.instagram.com/alamdar.khoy/")</f>
        <v>https://www.instagram.com/alamdar.khoy/</v>
      </c>
      <c r="I1995" s="6" t="str">
        <f>IFERROR(__xludf.DUMMYFUNCTION("""COMPUTED_VALUE"""),"t.me/allaamdar")</f>
        <v>t.me/allaamdar</v>
      </c>
      <c r="J1995" s="5"/>
      <c r="K1995" s="5"/>
      <c r="L1995" s="5"/>
      <c r="M1995" s="5"/>
      <c r="N1995" s="5"/>
      <c r="O1995" s="5"/>
      <c r="P1995" s="5"/>
      <c r="Q1995" s="5"/>
      <c r="R1995" s="5"/>
      <c r="S1995" s="5"/>
    </row>
    <row r="1996">
      <c r="A1996" s="5">
        <f>IFERROR(__xludf.DUMMYFUNCTION("""COMPUTED_VALUE"""),25212.0)</f>
        <v>25212</v>
      </c>
      <c r="B1996" s="5" t="str">
        <f>IFERROR(__xludf.DUMMYFUNCTION("""COMPUTED_VALUE"""),"هیأت هفتگی")</f>
        <v>هیأت هفتگی</v>
      </c>
      <c r="C1996" s="5" t="str">
        <f>IFERROR(__xludf.DUMMYFUNCTION("""COMPUTED_VALUE"""),"دیوانگان کربلا")</f>
        <v>دیوانگان کربلا</v>
      </c>
      <c r="D1996" s="5" t="str">
        <f>IFERROR(__xludf.DUMMYFUNCTION("""COMPUTED_VALUE"""),"آذربایجان غربی")</f>
        <v>آذربایجان غربی</v>
      </c>
      <c r="E1996" s="5" t="str">
        <f>IFERROR(__xludf.DUMMYFUNCTION("""COMPUTED_VALUE"""),"خوی")</f>
        <v>خوی</v>
      </c>
      <c r="F1996" s="5"/>
      <c r="G1996" s="5"/>
      <c r="H1996" s="6" t="str">
        <f>IFERROR(__xludf.DUMMYFUNCTION("""COMPUTED_VALUE"""),"https://www.instagram.com/divanegankarbala.khoy/")</f>
        <v>https://www.instagram.com/divanegankarbala.khoy/</v>
      </c>
      <c r="I1996" s="6" t="str">
        <f>IFERROR(__xludf.DUMMYFUNCTION("""COMPUTED_VALUE"""),"t.me/Divanegann")</f>
        <v>t.me/Divanegann</v>
      </c>
      <c r="J1996" s="5"/>
      <c r="K1996" s="5"/>
      <c r="L1996" s="5"/>
      <c r="M1996" s="5"/>
      <c r="N1996" s="5"/>
      <c r="O1996" s="5"/>
      <c r="P1996" s="5"/>
      <c r="Q1996" s="5"/>
      <c r="R1996" s="5"/>
      <c r="S1996" s="5"/>
    </row>
    <row r="1997">
      <c r="A1997" s="5">
        <f>IFERROR(__xludf.DUMMYFUNCTION("""COMPUTED_VALUE"""),619.0)</f>
        <v>619</v>
      </c>
      <c r="B1997" s="5" t="str">
        <f>IFERROR(__xludf.DUMMYFUNCTION("""COMPUTED_VALUE"""),"هیأت هفتگی")</f>
        <v>هیأت هفتگی</v>
      </c>
      <c r="C1997" s="5" t="str">
        <f>IFERROR(__xludf.DUMMYFUNCTION("""COMPUTED_VALUE"""),"شیفتگان حضرت زهرا (س) / شهیدانه")</f>
        <v>شیفتگان حضرت زهرا (س) / شهیدانه</v>
      </c>
      <c r="D1997" s="5" t="str">
        <f>IFERROR(__xludf.DUMMYFUNCTION("""COMPUTED_VALUE"""),"آذربایجان غربی")</f>
        <v>آذربایجان غربی</v>
      </c>
      <c r="E1997" s="5" t="str">
        <f>IFERROR(__xludf.DUMMYFUNCTION("""COMPUTED_VALUE"""),"خوی")</f>
        <v>خوی</v>
      </c>
      <c r="F1997" s="5"/>
      <c r="G1997" s="5"/>
      <c r="H1997" s="6" t="str">
        <f>IFERROR(__xludf.DUMMYFUNCTION("""COMPUTED_VALUE"""),"https://www.instagram.com/fatemezahra_khoy/")</f>
        <v>https://www.instagram.com/fatemezahra_khoy/</v>
      </c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</row>
    <row r="1998">
      <c r="A1998" s="5">
        <f>IFERROR(__xludf.DUMMYFUNCTION("""COMPUTED_VALUE"""),611.0)</f>
        <v>611</v>
      </c>
      <c r="B1998" s="5" t="str">
        <f>IFERROR(__xludf.DUMMYFUNCTION("""COMPUTED_VALUE"""),"هیأت هفتگی")</f>
        <v>هیأت هفتگی</v>
      </c>
      <c r="C1998" s="5" t="str">
        <f>IFERROR(__xludf.DUMMYFUNCTION("""COMPUTED_VALUE"""),"مکتب الشهدا")</f>
        <v>مکتب الشهدا</v>
      </c>
      <c r="D1998" s="5" t="str">
        <f>IFERROR(__xludf.DUMMYFUNCTION("""COMPUTED_VALUE"""),"آذربایجان غربی")</f>
        <v>آذربایجان غربی</v>
      </c>
      <c r="E1998" s="5" t="str">
        <f>IFERROR(__xludf.DUMMYFUNCTION("""COMPUTED_VALUE"""),"خوی")</f>
        <v>خوی</v>
      </c>
      <c r="F1998" s="5"/>
      <c r="G1998" s="5"/>
      <c r="H1998" s="6" t="str">
        <f>IFERROR(__xludf.DUMMYFUNCTION("""COMPUTED_VALUE"""),"https://www.instagram.com/maktabkhoy/")</f>
        <v>https://www.instagram.com/maktabkhoy/</v>
      </c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</row>
    <row r="1999">
      <c r="A1999" s="5">
        <f>IFERROR(__xludf.DUMMYFUNCTION("""COMPUTED_VALUE"""),452.0)</f>
        <v>452</v>
      </c>
      <c r="B1999" s="5" t="str">
        <f>IFERROR(__xludf.DUMMYFUNCTION("""COMPUTED_VALUE"""),"هیأت هفتگی")</f>
        <v>هیأت هفتگی</v>
      </c>
      <c r="C1999" s="5" t="str">
        <f>IFERROR(__xludf.DUMMYFUNCTION("""COMPUTED_VALUE"""),"یالثارات الحسین (ع)")</f>
        <v>یالثارات الحسین (ع)</v>
      </c>
      <c r="D1999" s="5" t="str">
        <f>IFERROR(__xludf.DUMMYFUNCTION("""COMPUTED_VALUE"""),"آذربایجان غربی")</f>
        <v>آذربایجان غربی</v>
      </c>
      <c r="E1999" s="5" t="str">
        <f>IFERROR(__xludf.DUMMYFUNCTION("""COMPUTED_VALUE"""),"خوی")</f>
        <v>خوی</v>
      </c>
      <c r="F1999" s="5"/>
      <c r="G1999" s="5"/>
      <c r="H1999" s="6" t="str">
        <f>IFERROR(__xludf.DUMMYFUNCTION("""COMPUTED_VALUE"""),"https://www.instagram.com/yalasarat__alhosein/")</f>
        <v>https://www.instagram.com/yalasarat__alhosein/</v>
      </c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</row>
    <row r="2000">
      <c r="A2000" s="5">
        <f>IFERROR(__xludf.DUMMYFUNCTION("""COMPUTED_VALUE"""),19851.0)</f>
        <v>19851</v>
      </c>
      <c r="B2000" s="5" t="str">
        <f>IFERROR(__xludf.DUMMYFUNCTION("""COMPUTED_VALUE"""),"هیأت مناسبتی")</f>
        <v>هیأت مناسبتی</v>
      </c>
      <c r="C2000" s="5" t="str">
        <f>IFERROR(__xludf.DUMMYFUNCTION("""COMPUTED_VALUE""")," مهدوی یار جمکرانی")</f>
        <v> مهدوی یار جمکرانی</v>
      </c>
      <c r="D2000" s="5" t="str">
        <f>IFERROR(__xludf.DUMMYFUNCTION("""COMPUTED_VALUE"""),"آذربایجان غربی")</f>
        <v>آذربایجان غربی</v>
      </c>
      <c r="E2000" s="5" t="str">
        <f>IFERROR(__xludf.DUMMYFUNCTION("""COMPUTED_VALUE"""),"سلماس")</f>
        <v>سلماس</v>
      </c>
      <c r="F2000" s="5"/>
      <c r="G2000" s="5"/>
      <c r="H2000" s="6" t="str">
        <f>IFERROR(__xludf.DUMMYFUNCTION("""COMPUTED_VALUE"""),"https://www.instagram.com/heiatyarejamkarani_salmas/")</f>
        <v>https://www.instagram.com/heiatyarejamkarani_salmas/</v>
      </c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</row>
    <row r="2001">
      <c r="A2001" s="5">
        <f>IFERROR(__xludf.DUMMYFUNCTION("""COMPUTED_VALUE"""),19580.0)</f>
        <v>19580</v>
      </c>
      <c r="B2001" s="5" t="str">
        <f>IFERROR(__xludf.DUMMYFUNCTION("""COMPUTED_VALUE"""),"هیأت هفتگی")</f>
        <v>هیأت هفتگی</v>
      </c>
      <c r="C2001" s="5" t="str">
        <f>IFERROR(__xludf.DUMMYFUNCTION("""COMPUTED_VALUE"""),"خادمین اهل بیت (ع)")</f>
        <v>خادمین اهل بیت (ع)</v>
      </c>
      <c r="D2001" s="5" t="str">
        <f>IFERROR(__xludf.DUMMYFUNCTION("""COMPUTED_VALUE"""),"آذربایجان غربی")</f>
        <v>آذربایجان غربی</v>
      </c>
      <c r="E2001" s="5" t="str">
        <f>IFERROR(__xludf.DUMMYFUNCTION("""COMPUTED_VALUE"""),"سلماس")</f>
        <v>سلماس</v>
      </c>
      <c r="F2001" s="5"/>
      <c r="G2001" s="5"/>
      <c r="H2001" s="6" t="str">
        <f>IFERROR(__xludf.DUMMYFUNCTION("""COMPUTED_VALUE"""),"https://www.instagram.com/khademin__ahlebeyt/")</f>
        <v>https://www.instagram.com/khademin__ahlebeyt/</v>
      </c>
      <c r="I2001" s="6" t="str">
        <f>IFERROR(__xludf.DUMMYFUNCTION("""COMPUTED_VALUE"""),"t.me/khadminsalmass")</f>
        <v>t.me/khadminsalmass</v>
      </c>
      <c r="J2001" s="5"/>
      <c r="K2001" s="5"/>
      <c r="L2001" s="5"/>
      <c r="M2001" s="5"/>
      <c r="N2001" s="5"/>
      <c r="O2001" s="5"/>
      <c r="P2001" s="5"/>
      <c r="Q2001" s="5"/>
      <c r="R2001" s="5"/>
      <c r="S2001" s="5"/>
    </row>
    <row r="2002">
      <c r="A2002" s="5">
        <f>IFERROR(__xludf.DUMMYFUNCTION("""COMPUTED_VALUE"""),17928.0)</f>
        <v>17928</v>
      </c>
      <c r="B2002" s="5" t="str">
        <f>IFERROR(__xludf.DUMMYFUNCTION("""COMPUTED_VALUE"""),"هیأت هفتگی")</f>
        <v>هیأت هفتگی</v>
      </c>
      <c r="C2002" s="5" t="str">
        <f>IFERROR(__xludf.DUMMYFUNCTION("""COMPUTED_VALUE"""),"حیدریه")</f>
        <v>حیدریه</v>
      </c>
      <c r="D2002" s="5" t="str">
        <f>IFERROR(__xludf.DUMMYFUNCTION("""COMPUTED_VALUE"""),"آذربایجان غربی")</f>
        <v>آذربایجان غربی</v>
      </c>
      <c r="E2002" s="5" t="str">
        <f>IFERROR(__xludf.DUMMYFUNCTION("""COMPUTED_VALUE"""),"سلماس")</f>
        <v>سلماس</v>
      </c>
      <c r="F2002" s="5"/>
      <c r="G2002" s="5"/>
      <c r="H2002" s="5"/>
      <c r="I2002" s="6" t="str">
        <f>IFERROR(__xludf.DUMMYFUNCTION("""COMPUTED_VALUE"""),"https://t.me/heydariye96")</f>
        <v>https://t.me/heydariye96</v>
      </c>
      <c r="J2002" s="5"/>
      <c r="K2002" s="5"/>
      <c r="L2002" s="5"/>
      <c r="M2002" s="5"/>
      <c r="N2002" s="5"/>
      <c r="O2002" s="5"/>
      <c r="P2002" s="5"/>
      <c r="Q2002" s="5"/>
      <c r="R2002" s="5"/>
      <c r="S2002" s="5"/>
    </row>
    <row r="2003">
      <c r="A2003" s="5">
        <f>IFERROR(__xludf.DUMMYFUNCTION("""COMPUTED_VALUE"""),782.0)</f>
        <v>782</v>
      </c>
      <c r="B2003" s="5" t="str">
        <f>IFERROR(__xludf.DUMMYFUNCTION("""COMPUTED_VALUE"""),"هیأت هفتگی")</f>
        <v>هیأت هفتگی</v>
      </c>
      <c r="C2003" s="5" t="str">
        <f>IFERROR(__xludf.DUMMYFUNCTION("""COMPUTED_VALUE"""),"عاشقان مهدی (عج)")</f>
        <v>عاشقان مهدی (عج)</v>
      </c>
      <c r="D2003" s="5" t="str">
        <f>IFERROR(__xludf.DUMMYFUNCTION("""COMPUTED_VALUE"""),"آذربایجان غربی")</f>
        <v>آذربایجان غربی</v>
      </c>
      <c r="E2003" s="5" t="str">
        <f>IFERROR(__xludf.DUMMYFUNCTION("""COMPUTED_VALUE"""),"شوط")</f>
        <v>شوط</v>
      </c>
      <c r="F2003" s="5"/>
      <c r="G2003" s="5"/>
      <c r="H2003" s="6" t="str">
        <f>IFERROR(__xludf.DUMMYFUNCTION("""COMPUTED_VALUE"""),"https://www.instagram.com/ashegan_313/")</f>
        <v>https://www.instagram.com/ashegan_313/</v>
      </c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</row>
    <row r="2004">
      <c r="A2004" s="5">
        <f>IFERROR(__xludf.DUMMYFUNCTION("""COMPUTED_VALUE"""),25079.0)</f>
        <v>25079</v>
      </c>
      <c r="B2004" s="5" t="str">
        <f>IFERROR(__xludf.DUMMYFUNCTION("""COMPUTED_VALUE"""),"هیأت مناسبتی")</f>
        <v>هیأت مناسبتی</v>
      </c>
      <c r="C2004" s="5" t="str">
        <f>IFERROR(__xludf.DUMMYFUNCTION("""COMPUTED_VALUE"""),"شهدای قره تپه")</f>
        <v>شهدای قره تپه</v>
      </c>
      <c r="D2004" s="5" t="str">
        <f>IFERROR(__xludf.DUMMYFUNCTION("""COMPUTED_VALUE"""),"آذربایجان غربی")</f>
        <v>آذربایجان غربی</v>
      </c>
      <c r="E2004" s="5" t="str">
        <f>IFERROR(__xludf.DUMMYFUNCTION("""COMPUTED_VALUE"""),"ماکو")</f>
        <v>ماکو</v>
      </c>
      <c r="F2004" s="5"/>
      <c r="G2004" s="5"/>
      <c r="H2004" s="6" t="str">
        <f>IFERROR(__xludf.DUMMYFUNCTION("""COMPUTED_VALUE"""),"https://www.instagram.com/heyat.azadarane.garatape/")</f>
        <v>https://www.instagram.com/heyat.azadarane.garatape/</v>
      </c>
      <c r="I2004" s="6" t="str">
        <f>IFERROR(__xludf.DUMMYFUNCTION("""COMPUTED_VALUE"""),"t.me/heyatazadarane_garatape")</f>
        <v>t.me/heyatazadarane_garatape</v>
      </c>
      <c r="J2004" s="5"/>
      <c r="K2004" s="5"/>
      <c r="L2004" s="5"/>
      <c r="M2004" s="5"/>
      <c r="N2004" s="5"/>
      <c r="O2004" s="5"/>
      <c r="P2004" s="5"/>
      <c r="Q2004" s="5"/>
      <c r="R2004" s="5"/>
      <c r="S2004" s="5"/>
    </row>
    <row r="2005">
      <c r="A2005" s="5">
        <f>IFERROR(__xludf.DUMMYFUNCTION("""COMPUTED_VALUE"""),23818.0)</f>
        <v>23818</v>
      </c>
      <c r="B2005" s="5" t="str">
        <f>IFERROR(__xludf.DUMMYFUNCTION("""COMPUTED_VALUE"""),"هیأت مناسبتی")</f>
        <v>هیأت مناسبتی</v>
      </c>
      <c r="C2005" s="5" t="str">
        <f>IFERROR(__xludf.DUMMYFUNCTION("""COMPUTED_VALUE"""),"رهروان علی اکبر (ع)")</f>
        <v>رهروان علی اکبر (ع)</v>
      </c>
      <c r="D2005" s="5" t="str">
        <f>IFERROR(__xludf.DUMMYFUNCTION("""COMPUTED_VALUE"""),"آذربایجان غربی")</f>
        <v>آذربایجان غربی</v>
      </c>
      <c r="E2005" s="5" t="str">
        <f>IFERROR(__xludf.DUMMYFUNCTION("""COMPUTED_VALUE"""),"ماکو")</f>
        <v>ماکو</v>
      </c>
      <c r="F2005" s="5"/>
      <c r="G2005" s="5"/>
      <c r="H2005" s="6" t="str">
        <f>IFERROR(__xludf.DUMMYFUNCTION("""COMPUTED_VALUE"""),"https://www.instagram.com/heyate.rahrovane.aliakbar/")</f>
        <v>https://www.instagram.com/heyate.rahrovane.aliakbar/</v>
      </c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</row>
    <row r="2006">
      <c r="A2006" s="5">
        <f>IFERROR(__xludf.DUMMYFUNCTION("""COMPUTED_VALUE"""),21133.0)</f>
        <v>21133</v>
      </c>
      <c r="B2006" s="5" t="str">
        <f>IFERROR(__xludf.DUMMYFUNCTION("""COMPUTED_VALUE"""),"هیأت مناسبتی")</f>
        <v>هیأت مناسبتی</v>
      </c>
      <c r="C2006" s="5" t="str">
        <f>IFERROR(__xludf.DUMMYFUNCTION("""COMPUTED_VALUE"""),"جوادالائمه (ع)")</f>
        <v>جوادالائمه (ع)</v>
      </c>
      <c r="D2006" s="5" t="str">
        <f>IFERROR(__xludf.DUMMYFUNCTION("""COMPUTED_VALUE"""),"آذربایجان غربی")</f>
        <v>آذربایجان غربی</v>
      </c>
      <c r="E2006" s="5" t="str">
        <f>IFERROR(__xludf.DUMMYFUNCTION("""COMPUTED_VALUE"""),"ماکو")</f>
        <v>ماکو</v>
      </c>
      <c r="F2006" s="5"/>
      <c r="G2006" s="5"/>
      <c r="H2006" s="6" t="str">
        <f>IFERROR(__xludf.DUMMYFUNCTION("""COMPUTED_VALUE"""),"https://www.instagram.com/heyat_javadolaeme_maku/")</f>
        <v>https://www.instagram.com/heyat_javadolaeme_maku/</v>
      </c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</row>
    <row r="2007">
      <c r="A2007" s="5">
        <f>IFERROR(__xludf.DUMMYFUNCTION("""COMPUTED_VALUE"""),19852.0)</f>
        <v>19852</v>
      </c>
      <c r="B2007" s="5" t="str">
        <f>IFERROR(__xludf.DUMMYFUNCTION("""COMPUTED_VALUE"""),"هیأت مناسبتی")</f>
        <v>هیأت مناسبتی</v>
      </c>
      <c r="C2007" s="5" t="str">
        <f>IFERROR(__xludf.DUMMYFUNCTION("""COMPUTED_VALUE"""),"مدافعان حرم")</f>
        <v>مدافعان حرم</v>
      </c>
      <c r="D2007" s="5" t="str">
        <f>IFERROR(__xludf.DUMMYFUNCTION("""COMPUTED_VALUE"""),"آذربایجان غربی")</f>
        <v>آذربایجان غربی</v>
      </c>
      <c r="E2007" s="5" t="str">
        <f>IFERROR(__xludf.DUMMYFUNCTION("""COMPUTED_VALUE"""),"ماکو")</f>
        <v>ماکو</v>
      </c>
      <c r="F2007" s="5"/>
      <c r="G2007" s="5"/>
      <c r="H2007" s="6" t="str">
        <f>IFERROR(__xludf.DUMMYFUNCTION("""COMPUTED_VALUE"""),"https://www.instagram.com/modafanharam_maku/")</f>
        <v>https://www.instagram.com/modafanharam_maku/</v>
      </c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</row>
    <row r="2008">
      <c r="A2008" s="5">
        <f>IFERROR(__xludf.DUMMYFUNCTION("""COMPUTED_VALUE"""),451.0)</f>
        <v>451</v>
      </c>
      <c r="B2008" s="5" t="str">
        <f>IFERROR(__xludf.DUMMYFUNCTION("""COMPUTED_VALUE"""),"هیأت مناسبتی")</f>
        <v>هیأت مناسبتی</v>
      </c>
      <c r="C2008" s="5" t="str">
        <f>IFERROR(__xludf.DUMMYFUNCTION("""COMPUTED_VALUE"""),"حر الشهید")</f>
        <v>حر الشهید</v>
      </c>
      <c r="D2008" s="5" t="str">
        <f>IFERROR(__xludf.DUMMYFUNCTION("""COMPUTED_VALUE"""),"آذربایجان غربی")</f>
        <v>آذربایجان غربی</v>
      </c>
      <c r="E2008" s="5" t="str">
        <f>IFERROR(__xludf.DUMMYFUNCTION("""COMPUTED_VALUE"""),"ماکو")</f>
        <v>ماکو</v>
      </c>
      <c r="F2008" s="5"/>
      <c r="G2008" s="5"/>
      <c r="H2008" s="6" t="str">
        <f>IFERROR(__xludf.DUMMYFUNCTION("""COMPUTED_VALUE"""),"https://www.instagram.com/heyat_horshahid_maku/")</f>
        <v>https://www.instagram.com/heyat_horshahid_maku/</v>
      </c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</row>
    <row r="2009">
      <c r="A2009" s="5">
        <f>IFERROR(__xludf.DUMMYFUNCTION("""COMPUTED_VALUE"""),449.0)</f>
        <v>449</v>
      </c>
      <c r="B2009" s="5" t="str">
        <f>IFERROR(__xludf.DUMMYFUNCTION("""COMPUTED_VALUE"""),"هیأت مناسبتی")</f>
        <v>هیأت مناسبتی</v>
      </c>
      <c r="C2009" s="5" t="str">
        <f>IFERROR(__xludf.DUMMYFUNCTION("""COMPUTED_VALUE"""),"پنج تن آل عبا (ع)")</f>
        <v>پنج تن آل عبا (ع)</v>
      </c>
      <c r="D2009" s="5" t="str">
        <f>IFERROR(__xludf.DUMMYFUNCTION("""COMPUTED_VALUE"""),"آذربایجان غربی")</f>
        <v>آذربایجان غربی</v>
      </c>
      <c r="E2009" s="5" t="str">
        <f>IFERROR(__xludf.DUMMYFUNCTION("""COMPUTED_VALUE"""),"ماکو")</f>
        <v>ماکو</v>
      </c>
      <c r="F2009" s="5"/>
      <c r="G2009" s="5"/>
      <c r="H2009" s="6" t="str">
        <f>IFERROR(__xludf.DUMMYFUNCTION("""COMPUTED_VALUE"""),"https://www.instagram.com/heyat_panjtan.aleaba/")</f>
        <v>https://www.instagram.com/heyat_panjtan.aleaba/</v>
      </c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</row>
    <row r="2010">
      <c r="A2010" s="5">
        <f>IFERROR(__xludf.DUMMYFUNCTION("""COMPUTED_VALUE"""),25080.0)</f>
        <v>25080</v>
      </c>
      <c r="B2010" s="5"/>
      <c r="C2010" s="5" t="str">
        <f>IFERROR(__xludf.DUMMYFUNCTION("""COMPUTED_VALUE"""),"از کربلا تا ظهور")</f>
        <v>از کربلا تا ظهور</v>
      </c>
      <c r="D2010" s="5" t="str">
        <f>IFERROR(__xludf.DUMMYFUNCTION("""COMPUTED_VALUE"""),"آذربایجان غربی")</f>
        <v>آذربایجان غربی</v>
      </c>
      <c r="E2010" s="5" t="str">
        <f>IFERROR(__xludf.DUMMYFUNCTION("""COMPUTED_VALUE"""),"میاندوآب")</f>
        <v>میاندوآب</v>
      </c>
      <c r="F2010" s="5"/>
      <c r="G2010" s="5"/>
      <c r="H2010" s="5"/>
      <c r="I2010" s="5"/>
      <c r="J2010" s="6" t="str">
        <f>IFERROR(__xludf.DUMMYFUNCTION("""COMPUTED_VALUE"""),"https://eitaa.com/azkarbalatazuhur")</f>
        <v>https://eitaa.com/azkarbalatazuhur</v>
      </c>
      <c r="K2010" s="5"/>
      <c r="L2010" s="5"/>
      <c r="M2010" s="5"/>
      <c r="N2010" s="5"/>
      <c r="O2010" s="5"/>
      <c r="P2010" s="5"/>
      <c r="Q2010" s="5"/>
      <c r="R2010" s="5"/>
      <c r="S2010" s="5"/>
    </row>
    <row r="2011">
      <c r="A2011" s="5">
        <f>IFERROR(__xludf.DUMMYFUNCTION("""COMPUTED_VALUE"""),23412.0)</f>
        <v>23412</v>
      </c>
      <c r="B2011" s="5" t="str">
        <f>IFERROR(__xludf.DUMMYFUNCTION("""COMPUTED_VALUE"""),"هیأت مناسبتی")</f>
        <v>هیأت مناسبتی</v>
      </c>
      <c r="C2011" s="5" t="str">
        <f>IFERROR(__xludf.DUMMYFUNCTION("""COMPUTED_VALUE"""),"مکتب الحسین")</f>
        <v>مکتب الحسین</v>
      </c>
      <c r="D2011" s="5" t="str">
        <f>IFERROR(__xludf.DUMMYFUNCTION("""COMPUTED_VALUE"""),"آذربایجان غربی")</f>
        <v>آذربایجان غربی</v>
      </c>
      <c r="E2011" s="5" t="str">
        <f>IFERROR(__xludf.DUMMYFUNCTION("""COMPUTED_VALUE"""),"میاندوآب")</f>
        <v>میاندوآب</v>
      </c>
      <c r="F2011" s="5"/>
      <c r="G2011" s="5"/>
      <c r="H2011" s="6" t="str">
        <f>IFERROR(__xludf.DUMMYFUNCTION("""COMPUTED_VALUE"""),"https://www.instagram.com/maktaboll_hossein_ir/")</f>
        <v>https://www.instagram.com/maktaboll_hossein_ir/</v>
      </c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</row>
    <row r="2012">
      <c r="A2012" s="5">
        <f>IFERROR(__xludf.DUMMYFUNCTION("""COMPUTED_VALUE"""),20809.0)</f>
        <v>20809</v>
      </c>
      <c r="B2012" s="5" t="str">
        <f>IFERROR(__xludf.DUMMYFUNCTION("""COMPUTED_VALUE"""),"هیأت هفتگی")</f>
        <v>هیأت هفتگی</v>
      </c>
      <c r="C2012" s="5" t="str">
        <f>IFERROR(__xludf.DUMMYFUNCTION("""COMPUTED_VALUE"""),"بصائر حسینی")</f>
        <v>بصائر حسینی</v>
      </c>
      <c r="D2012" s="5" t="str">
        <f>IFERROR(__xludf.DUMMYFUNCTION("""COMPUTED_VALUE"""),"آذربایجان غربی")</f>
        <v>آذربایجان غربی</v>
      </c>
      <c r="E2012" s="5" t="str">
        <f>IFERROR(__xludf.DUMMYFUNCTION("""COMPUTED_VALUE"""),"میاندوآب")</f>
        <v>میاندوآب</v>
      </c>
      <c r="F2012" s="5"/>
      <c r="G2012" s="5"/>
      <c r="H2012" s="6" t="str">
        <f>IFERROR(__xludf.DUMMYFUNCTION("""COMPUTED_VALUE"""),"https://www.instagram.com/heyat_basaer_hoseini/")</f>
        <v>https://www.instagram.com/heyat_basaer_hoseini/</v>
      </c>
      <c r="I2012" s="5" t="str">
        <f>IFERROR(__xludf.DUMMYFUNCTION("""COMPUTED_VALUE"""),"-")</f>
        <v>-</v>
      </c>
      <c r="J2012" s="6" t="str">
        <f>IFERROR(__xludf.DUMMYFUNCTION("""COMPUTED_VALUE"""),"eitaa.com/moasese_basaer")</f>
        <v>eitaa.com/moasese_basaer</v>
      </c>
      <c r="K2012" s="5"/>
      <c r="L2012" s="5"/>
      <c r="M2012" s="5"/>
      <c r="N2012" s="5"/>
      <c r="O2012" s="5"/>
      <c r="P2012" s="5"/>
      <c r="Q2012" s="5"/>
      <c r="R2012" s="5"/>
      <c r="S2012" s="5"/>
    </row>
    <row r="2013">
      <c r="A2013" s="5">
        <f>IFERROR(__xludf.DUMMYFUNCTION("""COMPUTED_VALUE"""),678.0)</f>
        <v>678</v>
      </c>
      <c r="B2013" s="5" t="str">
        <f>IFERROR(__xludf.DUMMYFUNCTION("""COMPUTED_VALUE"""),"هیأت هفتگی")</f>
        <v>هیأت هفتگی</v>
      </c>
      <c r="C2013" s="5" t="str">
        <f>IFERROR(__xludf.DUMMYFUNCTION("""COMPUTED_VALUE"""),"عاشقان حضرت مهدی (عج)")</f>
        <v>عاشقان حضرت مهدی (عج)</v>
      </c>
      <c r="D2013" s="5" t="str">
        <f>IFERROR(__xludf.DUMMYFUNCTION("""COMPUTED_VALUE"""),"آذربایجان غربی")</f>
        <v>آذربایجان غربی</v>
      </c>
      <c r="E2013" s="5" t="str">
        <f>IFERROR(__xludf.DUMMYFUNCTION("""COMPUTED_VALUE"""),"میاندوآب")</f>
        <v>میاندوآب</v>
      </c>
      <c r="F2013" s="5"/>
      <c r="G2013" s="5"/>
      <c r="H2013" s="6" t="str">
        <f>IFERROR(__xludf.DUMMYFUNCTION("""COMPUTED_VALUE"""),"https://www.instagram.com/heiat_mohaban_mahdi/")</f>
        <v>https://www.instagram.com/heiat_mohaban_mahdi/</v>
      </c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</row>
    <row r="2014">
      <c r="A2014" s="5">
        <f>IFERROR(__xludf.DUMMYFUNCTION("""COMPUTED_VALUE"""),463.0)</f>
        <v>463</v>
      </c>
      <c r="B2014" s="5" t="str">
        <f>IFERROR(__xludf.DUMMYFUNCTION("""COMPUTED_VALUE"""),"هیأت مناسبتی")</f>
        <v>هیأت مناسبتی</v>
      </c>
      <c r="C2014" s="5" t="str">
        <f>IFERROR(__xludf.DUMMYFUNCTION("""COMPUTED_VALUE"""),"محبین الائمه (ع)")</f>
        <v>محبین الائمه (ع)</v>
      </c>
      <c r="D2014" s="5" t="str">
        <f>IFERROR(__xludf.DUMMYFUNCTION("""COMPUTED_VALUE"""),"آذربایجان غربی")</f>
        <v>آذربایجان غربی</v>
      </c>
      <c r="E2014" s="5" t="str">
        <f>IFERROR(__xludf.DUMMYFUNCTION("""COMPUTED_VALUE"""),"نقده")</f>
        <v>نقده</v>
      </c>
      <c r="F2014" s="5"/>
      <c r="G2014" s="5"/>
      <c r="H2014" s="6" t="str">
        <f>IFERROR(__xludf.DUMMYFUNCTION("""COMPUTED_VALUE"""),"https://www.instagram.com/mohebin1390/")</f>
        <v>https://www.instagram.com/mohebin1390/</v>
      </c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</row>
    <row r="2015">
      <c r="A2015" s="5">
        <f>IFERROR(__xludf.DUMMYFUNCTION("""COMPUTED_VALUE"""),32899.0)</f>
        <v>32899</v>
      </c>
      <c r="B2015" s="5" t="str">
        <f>IFERROR(__xludf.DUMMYFUNCTION("""COMPUTED_VALUE"""),"هیأت")</f>
        <v>هیأت</v>
      </c>
      <c r="C2015" s="5" t="str">
        <f>IFERROR(__xludf.DUMMYFUNCTION("""COMPUTED_VALUE"""),"جوانان نینوا")</f>
        <v>جوانان نینوا</v>
      </c>
      <c r="D2015" s="5" t="str">
        <f>IFERROR(__xludf.DUMMYFUNCTION("""COMPUTED_VALUE"""),"آذربایجان غربی")</f>
        <v>آذربایجان غربی</v>
      </c>
      <c r="E2015" s="5" t="str">
        <f>IFERROR(__xludf.DUMMYFUNCTION("""COMPUTED_VALUE"""),"ارومیه")</f>
        <v>ارومیه</v>
      </c>
      <c r="F2015" s="5"/>
      <c r="G2015" s="5"/>
      <c r="H2015" s="6" t="str">
        <f>IFERROR(__xludf.DUMMYFUNCTION("""COMPUTED_VALUE"""),"https://www.instagram.com/heyat_javanane_neynava.urmia")</f>
        <v>https://www.instagram.com/heyat_javanane_neynava.urmia</v>
      </c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</row>
    <row r="2016">
      <c r="A2016" s="5"/>
      <c r="B2016" s="5" t="str">
        <f>IFERROR(__xludf.DUMMYFUNCTION("""COMPUTED_VALUE"""),"هیأت")</f>
        <v>هیأت</v>
      </c>
      <c r="C2016" s="5" t="str">
        <f>IFERROR(__xludf.DUMMYFUNCTION("""COMPUTED_VALUE"""),"جوانان نینوا")</f>
        <v>جوانان نینوا</v>
      </c>
      <c r="D2016" s="5" t="str">
        <f>IFERROR(__xludf.DUMMYFUNCTION("""COMPUTED_VALUE"""),"آذربایجان غربی")</f>
        <v>آذربایجان غربی</v>
      </c>
      <c r="E2016" s="5" t="str">
        <f>IFERROR(__xludf.DUMMYFUNCTION("""COMPUTED_VALUE"""),"ارومیه")</f>
        <v>ارومیه</v>
      </c>
      <c r="F2016" s="5"/>
      <c r="G2016" s="5"/>
      <c r="H2016" s="6" t="str">
        <f>IFERROR(__xludf.DUMMYFUNCTION("""COMPUTED_VALUE"""),"https://www.instagram.com/javanaeneynavaa")</f>
        <v>https://www.instagram.com/javanaeneynavaa</v>
      </c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</row>
    <row r="2017">
      <c r="A2017" s="5">
        <f>IFERROR(__xludf.DUMMYFUNCTION("""COMPUTED_VALUE"""),32427.0)</f>
        <v>32427</v>
      </c>
      <c r="B2017" s="5" t="str">
        <f>IFERROR(__xludf.DUMMYFUNCTION("""COMPUTED_VALUE"""),"هیأت")</f>
        <v>هیأت</v>
      </c>
      <c r="C2017" s="5" t="str">
        <f>IFERROR(__xludf.DUMMYFUNCTION("""COMPUTED_VALUE"""),"شهید باکری")</f>
        <v>شهید باکری</v>
      </c>
      <c r="D2017" s="5" t="str">
        <f>IFERROR(__xludf.DUMMYFUNCTION("""COMPUTED_VALUE"""),"آذربایجان غربی")</f>
        <v>آذربایجان غربی</v>
      </c>
      <c r="E2017" s="5" t="str">
        <f>IFERROR(__xludf.DUMMYFUNCTION("""COMPUTED_VALUE"""),"ارومیه")</f>
        <v>ارومیه</v>
      </c>
      <c r="F2017" s="5"/>
      <c r="G2017" s="5"/>
      <c r="H2017" s="5"/>
      <c r="I2017" s="5"/>
      <c r="J2017" s="6" t="str">
        <f>IFERROR(__xludf.DUMMYFUNCTION("""COMPUTED_VALUE"""),"https://eitaa.com/hajmehdiebakeri")</f>
        <v>https://eitaa.com/hajmehdiebakeri</v>
      </c>
      <c r="K2017" s="5"/>
      <c r="L2017" s="5"/>
      <c r="M2017" s="5"/>
      <c r="N2017" s="5"/>
      <c r="O2017" s="5"/>
      <c r="P2017" s="5"/>
      <c r="Q2017" s="5"/>
      <c r="R2017" s="5"/>
      <c r="S2017" s="5"/>
    </row>
    <row r="2018">
      <c r="A2018" s="5">
        <f>IFERROR(__xludf.DUMMYFUNCTION("""COMPUTED_VALUE"""),31945.0)</f>
        <v>31945</v>
      </c>
      <c r="B2018" s="5" t="str">
        <f>IFERROR(__xludf.DUMMYFUNCTION("""COMPUTED_VALUE"""),"هیأت")</f>
        <v>هیأت</v>
      </c>
      <c r="C2018" s="5" t="str">
        <f>IFERROR(__xludf.DUMMYFUNCTION("""COMPUTED_VALUE"""),"عاشقان صاحب لوا")</f>
        <v>عاشقان صاحب لوا</v>
      </c>
      <c r="D2018" s="5" t="str">
        <f>IFERROR(__xludf.DUMMYFUNCTION("""COMPUTED_VALUE"""),"آذربایجان غربی")</f>
        <v>آذربایجان غربی</v>
      </c>
      <c r="E2018" s="5" t="str">
        <f>IFERROR(__xludf.DUMMYFUNCTION("""COMPUTED_VALUE"""),"ارومیه")</f>
        <v>ارومیه</v>
      </c>
      <c r="F2018" s="5"/>
      <c r="G2018" s="5"/>
      <c r="H2018" s="6" t="str">
        <f>IFERROR(__xludf.DUMMYFUNCTION("""COMPUTED_VALUE"""),"https://www.instagram.com/heyatazadaraneashegansaheblava")</f>
        <v>https://www.instagram.com/heyatazadaraneashegansaheblava</v>
      </c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</row>
    <row r="2019">
      <c r="A2019" s="5"/>
      <c r="B2019" s="5" t="str">
        <f>IFERROR(__xludf.DUMMYFUNCTION("""COMPUTED_VALUE"""),"هیأت")</f>
        <v>هیأت</v>
      </c>
      <c r="C2019" s="5" t="str">
        <f>IFERROR(__xludf.DUMMYFUNCTION("""COMPUTED_VALUE"""),"حسین جان (ع)")</f>
        <v>حسین جان (ع)</v>
      </c>
      <c r="D2019" s="5" t="str">
        <f>IFERROR(__xludf.DUMMYFUNCTION("""COMPUTED_VALUE"""),"آذربایجان غربی")</f>
        <v>آذربایجان غربی</v>
      </c>
      <c r="E2019" s="5" t="str">
        <f>IFERROR(__xludf.DUMMYFUNCTION("""COMPUTED_VALUE"""),"ارومیه")</f>
        <v>ارومیه</v>
      </c>
      <c r="F2019" s="5"/>
      <c r="G2019" s="5"/>
      <c r="H2019" s="5"/>
      <c r="I2019" s="6" t="str">
        <f>IFERROR(__xludf.DUMMYFUNCTION("""COMPUTED_VALUE"""),"https://t.me/Hussainjanurmia")</f>
        <v>https://t.me/Hussainjanurmia</v>
      </c>
      <c r="J2019" s="6" t="str">
        <f>IFERROR(__xludf.DUMMYFUNCTION("""COMPUTED_VALUE"""),"https://eitaa.com/hussainjanurmia")</f>
        <v>https://eitaa.com/hussainjanurmia</v>
      </c>
      <c r="K2019" s="5"/>
      <c r="L2019" s="5"/>
      <c r="M2019" s="5"/>
      <c r="N2019" s="5"/>
      <c r="O2019" s="5"/>
      <c r="P2019" s="5"/>
      <c r="Q2019" s="5"/>
      <c r="R2019" s="5"/>
      <c r="S2019" s="5"/>
    </row>
    <row r="2020">
      <c r="A2020" s="5">
        <f>IFERROR(__xludf.DUMMYFUNCTION("""COMPUTED_VALUE"""),31788.0)</f>
        <v>31788</v>
      </c>
      <c r="B2020" s="5" t="str">
        <f>IFERROR(__xludf.DUMMYFUNCTION("""COMPUTED_VALUE"""),"مسجد")</f>
        <v>مسجد</v>
      </c>
      <c r="C2020" s="5" t="str">
        <f>IFERROR(__xludf.DUMMYFUNCTION("""COMPUTED_VALUE"""),"امیرالمومنین (ع)")</f>
        <v>امیرالمومنین (ع)</v>
      </c>
      <c r="D2020" s="5" t="str">
        <f>IFERROR(__xludf.DUMMYFUNCTION("""COMPUTED_VALUE"""),"آذربایجان غربی")</f>
        <v>آذربایجان غربی</v>
      </c>
      <c r="E2020" s="5" t="str">
        <f>IFERROR(__xludf.DUMMYFUNCTION("""COMPUTED_VALUE"""),"ارومیه")</f>
        <v>ارومیه</v>
      </c>
      <c r="F2020" s="5"/>
      <c r="G2020" s="5"/>
      <c r="H2020" s="6" t="str">
        <f>IFERROR(__xludf.DUMMYFUNCTION("""COMPUTED_VALUE"""),"https://www.instagram.com/amir_almomeninn")</f>
        <v>https://www.instagram.com/amir_almomeninn</v>
      </c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</row>
    <row r="2021">
      <c r="A2021" s="5">
        <f>IFERROR(__xludf.DUMMYFUNCTION("""COMPUTED_VALUE"""),31740.0)</f>
        <v>31740</v>
      </c>
      <c r="B2021" s="5" t="str">
        <f>IFERROR(__xludf.DUMMYFUNCTION("""COMPUTED_VALUE"""),"هیأت")</f>
        <v>هیأت</v>
      </c>
      <c r="C2021" s="5" t="str">
        <f>IFERROR(__xludf.DUMMYFUNCTION("""COMPUTED_VALUE"""),"مسجد سبحان")</f>
        <v>مسجد سبحان</v>
      </c>
      <c r="D2021" s="5" t="str">
        <f>IFERROR(__xludf.DUMMYFUNCTION("""COMPUTED_VALUE"""),"آذربایجان غربی")</f>
        <v>آذربایجان غربی</v>
      </c>
      <c r="E2021" s="5" t="str">
        <f>IFERROR(__xludf.DUMMYFUNCTION("""COMPUTED_VALUE"""),"ارومیه")</f>
        <v>ارومیه</v>
      </c>
      <c r="F2021" s="5"/>
      <c r="G2021" s="5"/>
      <c r="H2021" s="6" t="str">
        <f>IFERROR(__xludf.DUMMYFUNCTION("""COMPUTED_VALUE"""),"https://www.instagram.com/sobhanmosque")</f>
        <v>https://www.instagram.com/sobhanmosque</v>
      </c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</row>
    <row r="2022">
      <c r="A2022" s="5">
        <f>IFERROR(__xludf.DUMMYFUNCTION("""COMPUTED_VALUE"""),30962.0)</f>
        <v>30962</v>
      </c>
      <c r="B2022" s="5" t="str">
        <f>IFERROR(__xludf.DUMMYFUNCTION("""COMPUTED_VALUE"""),"هیأت")</f>
        <v>هیأت</v>
      </c>
      <c r="C2022" s="5" t="str">
        <f>IFERROR(__xludf.DUMMYFUNCTION("""COMPUTED_VALUE"""),"بقیه الله الاعظم (عج)")</f>
        <v>بقیه الله الاعظم (عج)</v>
      </c>
      <c r="D2022" s="5" t="str">
        <f>IFERROR(__xludf.DUMMYFUNCTION("""COMPUTED_VALUE"""),"آذربایجان غربی")</f>
        <v>آذربایجان غربی</v>
      </c>
      <c r="E2022" s="5" t="str">
        <f>IFERROR(__xludf.DUMMYFUNCTION("""COMPUTED_VALUE"""),"ارومیه")</f>
        <v>ارومیه</v>
      </c>
      <c r="F2022" s="5"/>
      <c r="G2022" s="5"/>
      <c r="H2022" s="6" t="str">
        <f>IFERROR(__xludf.DUMMYFUNCTION("""COMPUTED_VALUE"""),"https://www.instagram.com/heyat_bagiatolahazam")</f>
        <v>https://www.instagram.com/heyat_bagiatolahazam</v>
      </c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</row>
    <row r="2023">
      <c r="A2023" s="5">
        <f>IFERROR(__xludf.DUMMYFUNCTION("""COMPUTED_VALUE"""),30761.0)</f>
        <v>30761</v>
      </c>
      <c r="B2023" s="5" t="str">
        <f>IFERROR(__xludf.DUMMYFUNCTION("""COMPUTED_VALUE"""),"هیأت")</f>
        <v>هیأت</v>
      </c>
      <c r="C2023" s="5" t="str">
        <f>IFERROR(__xludf.DUMMYFUNCTION("""COMPUTED_VALUE"""),"تشکلهای دینی سازمان تبلیغات اسلامی")</f>
        <v>تشکلهای دینی سازمان تبلیغات اسلامی</v>
      </c>
      <c r="D2023" s="5" t="str">
        <f>IFERROR(__xludf.DUMMYFUNCTION("""COMPUTED_VALUE"""),"آذربایجان غربی")</f>
        <v>آذربایجان غربی</v>
      </c>
      <c r="E2023" s="5" t="str">
        <f>IFERROR(__xludf.DUMMYFUNCTION("""COMPUTED_VALUE"""),"ارومیه")</f>
        <v>ارومیه</v>
      </c>
      <c r="F2023" s="5"/>
      <c r="G2023" s="5"/>
      <c r="H2023" s="5"/>
      <c r="I2023" s="5"/>
      <c r="J2023" s="6" t="str">
        <f>IFERROR(__xludf.DUMMYFUNCTION("""COMPUTED_VALUE"""),"https://eitaa.com/tashakkol_Azarbayjan")</f>
        <v>https://eitaa.com/tashakkol_Azarbayjan</v>
      </c>
      <c r="K2023" s="5"/>
      <c r="L2023" s="5"/>
      <c r="M2023" s="5"/>
      <c r="N2023" s="5"/>
      <c r="O2023" s="5"/>
      <c r="P2023" s="5"/>
      <c r="Q2023" s="5"/>
      <c r="R2023" s="5"/>
      <c r="S2023" s="5"/>
    </row>
    <row r="2024">
      <c r="A2024" s="5">
        <f>IFERROR(__xludf.DUMMYFUNCTION("""COMPUTED_VALUE"""),30728.0)</f>
        <v>30728</v>
      </c>
      <c r="B2024" s="5" t="str">
        <f>IFERROR(__xludf.DUMMYFUNCTION("""COMPUTED_VALUE"""),"هیأت")</f>
        <v>هیأت</v>
      </c>
      <c r="C2024" s="5" t="str">
        <f>IFERROR(__xludf.DUMMYFUNCTION("""COMPUTED_VALUE"""),"سیدالشهدا")</f>
        <v>سیدالشهدا</v>
      </c>
      <c r="D2024" s="5" t="str">
        <f>IFERROR(__xludf.DUMMYFUNCTION("""COMPUTED_VALUE"""),"آذربایجان غربی")</f>
        <v>آذربایجان غربی</v>
      </c>
      <c r="E2024" s="5" t="str">
        <f>IFERROR(__xludf.DUMMYFUNCTION("""COMPUTED_VALUE"""),"ارومیه")</f>
        <v>ارومیه</v>
      </c>
      <c r="F2024" s="5"/>
      <c r="G2024" s="5"/>
      <c r="H2024" s="5"/>
      <c r="I2024" s="5"/>
      <c r="J2024" s="6" t="str">
        <f>IFERROR(__xludf.DUMMYFUNCTION("""COMPUTED_VALUE"""),"https://eitaa.com/majmae_sydlashohada")</f>
        <v>https://eitaa.com/majmae_sydlashohada</v>
      </c>
      <c r="K2024" s="5"/>
      <c r="L2024" s="5"/>
      <c r="M2024" s="5"/>
      <c r="N2024" s="5"/>
      <c r="O2024" s="5"/>
      <c r="P2024" s="5"/>
      <c r="Q2024" s="5"/>
      <c r="R2024" s="5"/>
      <c r="S2024" s="5"/>
    </row>
    <row r="2025">
      <c r="A2025" s="5">
        <f>IFERROR(__xludf.DUMMYFUNCTION("""COMPUTED_VALUE"""),30177.0)</f>
        <v>30177</v>
      </c>
      <c r="B2025" s="5" t="str">
        <f>IFERROR(__xludf.DUMMYFUNCTION("""COMPUTED_VALUE"""),"هیأت")</f>
        <v>هیأت</v>
      </c>
      <c r="C2025" s="5" t="str">
        <f>IFERROR(__xludf.DUMMYFUNCTION("""COMPUTED_VALUE"""),"علمداران ارومیه")</f>
        <v>علمداران ارومیه</v>
      </c>
      <c r="D2025" s="5" t="str">
        <f>IFERROR(__xludf.DUMMYFUNCTION("""COMPUTED_VALUE"""),"آذربایجان غربی")</f>
        <v>آذربایجان غربی</v>
      </c>
      <c r="E2025" s="5" t="str">
        <f>IFERROR(__xludf.DUMMYFUNCTION("""COMPUTED_VALUE"""),"ارومیه")</f>
        <v>ارومیه</v>
      </c>
      <c r="F2025" s="5"/>
      <c r="G2025" s="5"/>
      <c r="H2025" s="6" t="str">
        <f>IFERROR(__xludf.DUMMYFUNCTION("""COMPUTED_VALUE"""),"https://www.instagram.com/alamdarane_urmia")</f>
        <v>https://www.instagram.com/alamdarane_urmia</v>
      </c>
      <c r="I2025" s="5"/>
      <c r="J2025" s="6" t="str">
        <f>IFERROR(__xludf.DUMMYFUNCTION("""COMPUTED_VALUE"""),"https://eitaa.com/alamdarane_urmiaa")</f>
        <v>https://eitaa.com/alamdarane_urmiaa</v>
      </c>
      <c r="K2025" s="5"/>
      <c r="L2025" s="5"/>
      <c r="M2025" s="5"/>
      <c r="N2025" s="5"/>
      <c r="O2025" s="5"/>
      <c r="P2025" s="5"/>
      <c r="Q2025" s="5"/>
      <c r="R2025" s="5"/>
      <c r="S2025" s="5"/>
    </row>
    <row r="2026">
      <c r="A2026" s="5">
        <f>IFERROR(__xludf.DUMMYFUNCTION("""COMPUTED_VALUE"""),30176.0)</f>
        <v>30176</v>
      </c>
      <c r="B2026" s="5" t="str">
        <f>IFERROR(__xludf.DUMMYFUNCTION("""COMPUTED_VALUE"""),"هیأت")</f>
        <v>هیأت</v>
      </c>
      <c r="C2026" s="5" t="str">
        <f>IFERROR(__xludf.DUMMYFUNCTION("""COMPUTED_VALUE"""),"هیأت رزمندگان اسلام شهرستان ارومیه")</f>
        <v>هیأت رزمندگان اسلام شهرستان ارومیه</v>
      </c>
      <c r="D2026" s="5" t="str">
        <f>IFERROR(__xludf.DUMMYFUNCTION("""COMPUTED_VALUE"""),"آذربایجان غربی")</f>
        <v>آذربایجان غربی</v>
      </c>
      <c r="E2026" s="5" t="str">
        <f>IFERROR(__xludf.DUMMYFUNCTION("""COMPUTED_VALUE"""),"ارومیه")</f>
        <v>ارومیه</v>
      </c>
      <c r="F2026" s="5"/>
      <c r="G2026" s="5"/>
      <c r="H2026" s="5"/>
      <c r="I2026" s="5"/>
      <c r="J2026" s="6" t="str">
        <f>IFERROR(__xludf.DUMMYFUNCTION("""COMPUTED_VALUE"""),"https://eitaa.com/Razmandegan_ag")</f>
        <v>https://eitaa.com/Razmandegan_ag</v>
      </c>
      <c r="K2026" s="5"/>
      <c r="L2026" s="5"/>
      <c r="M2026" s="5"/>
      <c r="N2026" s="5"/>
      <c r="O2026" s="5"/>
      <c r="P2026" s="5"/>
      <c r="Q2026" s="5"/>
      <c r="R2026" s="5"/>
      <c r="S2026" s="5"/>
    </row>
    <row r="2027">
      <c r="A2027" s="5">
        <f>IFERROR(__xludf.DUMMYFUNCTION("""COMPUTED_VALUE"""),29619.0)</f>
        <v>29619</v>
      </c>
      <c r="B2027" s="5" t="str">
        <f>IFERROR(__xludf.DUMMYFUNCTION("""COMPUTED_VALUE"""),"هیأت")</f>
        <v>هیأت</v>
      </c>
      <c r="C2027" s="5" t="str">
        <f>IFERROR(__xludf.DUMMYFUNCTION("""COMPUTED_VALUE"""),"هفته مجالس ارومیه")</f>
        <v>هفته مجالس ارومیه</v>
      </c>
      <c r="D2027" s="5" t="str">
        <f>IFERROR(__xludf.DUMMYFUNCTION("""COMPUTED_VALUE"""),"آذربایجان غربی")</f>
        <v>آذربایجان غربی</v>
      </c>
      <c r="E2027" s="5" t="str">
        <f>IFERROR(__xludf.DUMMYFUNCTION("""COMPUTED_VALUE"""),"ارومیه")</f>
        <v>ارومیه</v>
      </c>
      <c r="F2027" s="5"/>
      <c r="G2027" s="5"/>
      <c r="H2027" s="6" t="str">
        <f>IFERROR(__xludf.DUMMYFUNCTION("""COMPUTED_VALUE"""),"https://www.instagram.com/hafte.majales_urmia")</f>
        <v>https://www.instagram.com/hafte.majales_urmia</v>
      </c>
      <c r="I2027" s="5"/>
      <c r="J2027" s="6" t="str">
        <f>IFERROR(__xludf.DUMMYFUNCTION("""COMPUTED_VALUE"""),"https://eitaa.com/haftemajalesurmia")</f>
        <v>https://eitaa.com/haftemajalesurmia</v>
      </c>
      <c r="K2027" s="5"/>
      <c r="L2027" s="5"/>
      <c r="M2027" s="5"/>
      <c r="N2027" s="5"/>
      <c r="O2027" s="5"/>
      <c r="P2027" s="5"/>
      <c r="Q2027" s="5"/>
      <c r="R2027" s="5"/>
      <c r="S2027" s="5"/>
    </row>
    <row r="2028">
      <c r="A2028" s="5">
        <f>IFERROR(__xludf.DUMMYFUNCTION("""COMPUTED_VALUE"""),27111.0)</f>
        <v>27111</v>
      </c>
      <c r="B2028" s="5" t="str">
        <f>IFERROR(__xludf.DUMMYFUNCTION("""COMPUTED_VALUE"""),"هیأت")</f>
        <v>هیأت</v>
      </c>
      <c r="C2028" s="5" t="str">
        <f>IFERROR(__xludf.DUMMYFUNCTION("""COMPUTED_VALUE"""),"جوانان علمدار کربلا")</f>
        <v>جوانان علمدار کربلا</v>
      </c>
      <c r="D2028" s="5" t="str">
        <f>IFERROR(__xludf.DUMMYFUNCTION("""COMPUTED_VALUE"""),"آذربایجان غربی")</f>
        <v>آذربایجان غربی</v>
      </c>
      <c r="E2028" s="5" t="str">
        <f>IFERROR(__xludf.DUMMYFUNCTION("""COMPUTED_VALUE"""),"ارومیه")</f>
        <v>ارومیه</v>
      </c>
      <c r="F2028" s="5"/>
      <c r="G2028" s="5"/>
      <c r="H2028" s="6" t="str">
        <f>IFERROR(__xludf.DUMMYFUNCTION("""COMPUTED_VALUE"""),"https://www.instagram.com/alamdarurmia")</f>
        <v>https://www.instagram.com/alamdarurmia</v>
      </c>
      <c r="I2028" s="5"/>
      <c r="J2028" s="6" t="str">
        <f>IFERROR(__xludf.DUMMYFUNCTION("""COMPUTED_VALUE"""),"https://eitaa.com/alamdarurmia")</f>
        <v>https://eitaa.com/alamdarurmia</v>
      </c>
      <c r="K2028" s="5"/>
      <c r="L2028" s="5"/>
      <c r="M2028" s="5"/>
      <c r="N2028" s="5"/>
      <c r="O2028" s="5"/>
      <c r="P2028" s="5"/>
      <c r="Q2028" s="5"/>
      <c r="R2028" s="5"/>
      <c r="S2028" s="5"/>
    </row>
    <row r="2029">
      <c r="A2029" s="5">
        <f>IFERROR(__xludf.DUMMYFUNCTION("""COMPUTED_VALUE"""),27109.0)</f>
        <v>27109</v>
      </c>
      <c r="B2029" s="5" t="str">
        <f>IFERROR(__xludf.DUMMYFUNCTION("""COMPUTED_VALUE"""),"هیأت")</f>
        <v>هیأت</v>
      </c>
      <c r="C2029" s="5" t="str">
        <f>IFERROR(__xludf.DUMMYFUNCTION("""COMPUTED_VALUE"""),"منتظران مهدی(عج)کوی احسان")</f>
        <v>منتظران مهدی(عج)کوی احسان</v>
      </c>
      <c r="D2029" s="5" t="str">
        <f>IFERROR(__xludf.DUMMYFUNCTION("""COMPUTED_VALUE"""),"آذربایجان غربی")</f>
        <v>آذربایجان غربی</v>
      </c>
      <c r="E2029" s="5" t="str">
        <f>IFERROR(__xludf.DUMMYFUNCTION("""COMPUTED_VALUE"""),"ارومیه")</f>
        <v>ارومیه</v>
      </c>
      <c r="F2029" s="5"/>
      <c r="G2029" s="5"/>
      <c r="H2029" s="6" t="str">
        <f>IFERROR(__xludf.DUMMYFUNCTION("""COMPUTED_VALUE"""),"https://www.instagram.com/heiat_montazeran_mahdi")</f>
        <v>https://www.instagram.com/heiat_montazeran_mahdi</v>
      </c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</row>
    <row r="2030">
      <c r="A2030" s="5">
        <f>IFERROR(__xludf.DUMMYFUNCTION("""COMPUTED_VALUE"""),27107.0)</f>
        <v>27107</v>
      </c>
      <c r="B2030" s="5" t="str">
        <f>IFERROR(__xludf.DUMMYFUNCTION("""COMPUTED_VALUE"""),"هیأت")</f>
        <v>هیأت</v>
      </c>
      <c r="C2030" s="5" t="str">
        <f>IFERROR(__xludf.DUMMYFUNCTION("""COMPUTED_VALUE"""),"شیفتگان حضرت ابوالفضل (ع)")</f>
        <v>شیفتگان حضرت ابوالفضل (ع)</v>
      </c>
      <c r="D2030" s="5" t="str">
        <f>IFERROR(__xludf.DUMMYFUNCTION("""COMPUTED_VALUE"""),"آذربایجان غربی")</f>
        <v>آذربایجان غربی</v>
      </c>
      <c r="E2030" s="5" t="str">
        <f>IFERROR(__xludf.DUMMYFUNCTION("""COMPUTED_VALUE"""),"ارومیه")</f>
        <v>ارومیه</v>
      </c>
      <c r="F2030" s="5"/>
      <c r="G2030" s="5"/>
      <c r="H2030" s="6" t="str">
        <f>IFERROR(__xludf.DUMMYFUNCTION("""COMPUTED_VALUE"""),"https://www.instagram.com/heyatshiftegane.hazratabolfazl")</f>
        <v>https://www.instagram.com/heyatshiftegane.hazratabolfazl</v>
      </c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</row>
    <row r="2031">
      <c r="A2031" s="5">
        <f>IFERROR(__xludf.DUMMYFUNCTION("""COMPUTED_VALUE"""),27105.0)</f>
        <v>27105</v>
      </c>
      <c r="B2031" s="5" t="str">
        <f>IFERROR(__xludf.DUMMYFUNCTION("""COMPUTED_VALUE"""),"هیأت")</f>
        <v>هیأت</v>
      </c>
      <c r="C2031" s="5" t="str">
        <f>IFERROR(__xludf.DUMMYFUNCTION("""COMPUTED_VALUE"""),"دلسوختگان حضرت زهرا (س) علیخای ارومیه")</f>
        <v>دلسوختگان حضرت زهرا (س) علیخای ارومیه</v>
      </c>
      <c r="D2031" s="5" t="str">
        <f>IFERROR(__xludf.DUMMYFUNCTION("""COMPUTED_VALUE"""),"آذربایجان غربی")</f>
        <v>آذربایجان غربی</v>
      </c>
      <c r="E2031" s="5" t="str">
        <f>IFERROR(__xludf.DUMMYFUNCTION("""COMPUTED_VALUE"""),"ارومیه")</f>
        <v>ارومیه</v>
      </c>
      <c r="F2031" s="5"/>
      <c r="G2031" s="5"/>
      <c r="H2031" s="6" t="str">
        <f>IFERROR(__xludf.DUMMYFUNCTION("""COMPUTED_VALUE"""),"https://www.instagram.com/delsokhtegan_hazrat_zahra")</f>
        <v>https://www.instagram.com/delsokhtegan_hazrat_zahra</v>
      </c>
      <c r="I2031" s="6" t="str">
        <f>IFERROR(__xludf.DUMMYFUNCTION("""COMPUTED_VALUE"""),"https://t.me/dellsokhtegan")</f>
        <v>https://t.me/dellsokhtegan</v>
      </c>
      <c r="J2031" s="6" t="str">
        <f>IFERROR(__xludf.DUMMYFUNCTION("""COMPUTED_VALUE"""),"https://eitaa.com/delsokhtegan_hz_ir")</f>
        <v>https://eitaa.com/delsokhtegan_hz_ir</v>
      </c>
      <c r="K2031" s="5"/>
      <c r="L2031" s="5"/>
      <c r="M2031" s="5"/>
      <c r="N2031" s="5"/>
      <c r="O2031" s="5"/>
      <c r="P2031" s="5"/>
      <c r="Q2031" s="5"/>
      <c r="R2031" s="5"/>
      <c r="S2031" s="5"/>
    </row>
    <row r="2032">
      <c r="A2032" s="5">
        <f>IFERROR(__xludf.DUMMYFUNCTION("""COMPUTED_VALUE"""),23520.0)</f>
        <v>23520</v>
      </c>
      <c r="B2032" s="5" t="str">
        <f>IFERROR(__xludf.DUMMYFUNCTION("""COMPUTED_VALUE"""),"حوزه علمیه")</f>
        <v>حوزه علمیه</v>
      </c>
      <c r="C2032" s="5" t="str">
        <f>IFERROR(__xludf.DUMMYFUNCTION("""COMPUTED_VALUE"""),"زینب کبری (س)")</f>
        <v>زینب کبری (س)</v>
      </c>
      <c r="D2032" s="5" t="str">
        <f>IFERROR(__xludf.DUMMYFUNCTION("""COMPUTED_VALUE"""),"آذربایجان غربی")</f>
        <v>آذربایجان غربی</v>
      </c>
      <c r="E2032" s="5" t="str">
        <f>IFERROR(__xludf.DUMMYFUNCTION("""COMPUTED_VALUE"""),"ارومیه")</f>
        <v>ارومیه</v>
      </c>
      <c r="F2032" s="5"/>
      <c r="G2032" s="5"/>
      <c r="H2032" s="5"/>
      <c r="I2032" s="5"/>
      <c r="J2032" s="6" t="str">
        <f>IFERROR(__xludf.DUMMYFUNCTION("""COMPUTED_VALUE"""),"https://eitaa.com/hozeh_zeynabkobra")</f>
        <v>https://eitaa.com/hozeh_zeynabkobra</v>
      </c>
      <c r="K2032" s="5"/>
      <c r="L2032" s="5"/>
      <c r="M2032" s="5"/>
      <c r="N2032" s="5"/>
      <c r="O2032" s="5"/>
      <c r="P2032" s="5"/>
      <c r="Q2032" s="5"/>
      <c r="R2032" s="5"/>
      <c r="S2032" s="5"/>
    </row>
    <row r="2033">
      <c r="A2033" s="5">
        <f>IFERROR(__xludf.DUMMYFUNCTION("""COMPUTED_VALUE"""),23504.0)</f>
        <v>23504</v>
      </c>
      <c r="B2033" s="5" t="str">
        <f>IFERROR(__xludf.DUMMYFUNCTION("""COMPUTED_VALUE"""),"هیأت")</f>
        <v>هیأت</v>
      </c>
      <c r="C2033" s="5" t="str">
        <f>IFERROR(__xludf.DUMMYFUNCTION("""COMPUTED_VALUE"""),"موسسه علوم قرآنی یاسین ارومیه")</f>
        <v>موسسه علوم قرآنی یاسین ارومیه</v>
      </c>
      <c r="D2033" s="5" t="str">
        <f>IFERROR(__xludf.DUMMYFUNCTION("""COMPUTED_VALUE"""),"آذربایجان غربی")</f>
        <v>آذربایجان غربی</v>
      </c>
      <c r="E2033" s="5" t="str">
        <f>IFERROR(__xludf.DUMMYFUNCTION("""COMPUTED_VALUE"""),"ارومیه")</f>
        <v>ارومیه</v>
      </c>
      <c r="F2033" s="5"/>
      <c r="G2033" s="5"/>
      <c r="H2033" s="6" t="str">
        <f>IFERROR(__xludf.DUMMYFUNCTION("""COMPUTED_VALUE"""),"https://www.instagram.com/moassese_yasin_urmia")</f>
        <v>https://www.instagram.com/moassese_yasin_urmia</v>
      </c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</row>
    <row r="2034">
      <c r="A2034" s="5">
        <f>IFERROR(__xludf.DUMMYFUNCTION("""COMPUTED_VALUE"""),23388.0)</f>
        <v>23388</v>
      </c>
      <c r="B2034" s="5" t="str">
        <f>IFERROR(__xludf.DUMMYFUNCTION("""COMPUTED_VALUE"""),"هیأت")</f>
        <v>هیأت</v>
      </c>
      <c r="C2034" s="5" t="str">
        <f>IFERROR(__xludf.DUMMYFUNCTION("""COMPUTED_VALUE"""),"انصارالمهدی (عج)")</f>
        <v>انصارالمهدی (عج)</v>
      </c>
      <c r="D2034" s="5" t="str">
        <f>IFERROR(__xludf.DUMMYFUNCTION("""COMPUTED_VALUE"""),"آذربایجان غربی")</f>
        <v>آذربایجان غربی</v>
      </c>
      <c r="E2034" s="5" t="str">
        <f>IFERROR(__xludf.DUMMYFUNCTION("""COMPUTED_VALUE"""),"ارومیه")</f>
        <v>ارومیه</v>
      </c>
      <c r="F2034" s="5"/>
      <c r="G2034" s="5"/>
      <c r="H2034" s="6" t="str">
        <f>IFERROR(__xludf.DUMMYFUNCTION("""COMPUTED_VALUE"""),"https://www.instagram.com/ansarol_mahdiii")</f>
        <v>https://www.instagram.com/ansarol_mahdiii</v>
      </c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</row>
    <row r="2035">
      <c r="A2035" s="5">
        <f>IFERROR(__xludf.DUMMYFUNCTION("""COMPUTED_VALUE"""),23209.0)</f>
        <v>23209</v>
      </c>
      <c r="B2035" s="5" t="str">
        <f>IFERROR(__xludf.DUMMYFUNCTION("""COMPUTED_VALUE"""),"هیأت")</f>
        <v>هیأت</v>
      </c>
      <c r="C2035" s="5" t="str">
        <f>IFERROR(__xludf.DUMMYFUNCTION("""COMPUTED_VALUE"""),"امام رئوف")</f>
        <v>امام رئوف</v>
      </c>
      <c r="D2035" s="5" t="str">
        <f>IFERROR(__xludf.DUMMYFUNCTION("""COMPUTED_VALUE"""),"آذربایجان غربی")</f>
        <v>آذربایجان غربی</v>
      </c>
      <c r="E2035" s="5" t="str">
        <f>IFERROR(__xludf.DUMMYFUNCTION("""COMPUTED_VALUE"""),"ارومیه")</f>
        <v>ارومیه</v>
      </c>
      <c r="F2035" s="5"/>
      <c r="G2035" s="5"/>
      <c r="H2035" s="6" t="str">
        <f>IFERROR(__xludf.DUMMYFUNCTION("""COMPUTED_VALUE"""),"https://www.instagram.com/emameraouf.ir")</f>
        <v>https://www.instagram.com/emameraouf.ir</v>
      </c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</row>
    <row r="2036">
      <c r="A2036" s="5">
        <f>IFERROR(__xludf.DUMMYFUNCTION("""COMPUTED_VALUE"""),23022.0)</f>
        <v>23022</v>
      </c>
      <c r="B2036" s="5" t="str">
        <f>IFERROR(__xludf.DUMMYFUNCTION("""COMPUTED_VALUE"""),"هیأت")</f>
        <v>هیأت</v>
      </c>
      <c r="C2036" s="5" t="str">
        <f>IFERROR(__xludf.DUMMYFUNCTION("""COMPUTED_VALUE"""),"مدافعان حرم")</f>
        <v>مدافعان حرم</v>
      </c>
      <c r="D2036" s="5" t="str">
        <f>IFERROR(__xludf.DUMMYFUNCTION("""COMPUTED_VALUE"""),"آذربایجان غربی")</f>
        <v>آذربایجان غربی</v>
      </c>
      <c r="E2036" s="5" t="str">
        <f>IFERROR(__xludf.DUMMYFUNCTION("""COMPUTED_VALUE"""),"ارومیه")</f>
        <v>ارومیه</v>
      </c>
      <c r="F2036" s="5"/>
      <c r="G2036" s="5"/>
      <c r="H2036" s="6" t="str">
        <f>IFERROR(__xludf.DUMMYFUNCTION("""COMPUTED_VALUE"""),"https://www.instagram.com/modafeane_haram_urmia")</f>
        <v>https://www.instagram.com/modafeane_haram_urmia</v>
      </c>
      <c r="I2036" s="5"/>
      <c r="J2036" s="6" t="str">
        <f>IFERROR(__xludf.DUMMYFUNCTION("""COMPUTED_VALUE"""),"https://eitaa.com/modafeane_haram_urmia")</f>
        <v>https://eitaa.com/modafeane_haram_urmia</v>
      </c>
      <c r="K2036" s="5"/>
      <c r="L2036" s="5"/>
      <c r="M2036" s="5"/>
      <c r="N2036" s="5"/>
      <c r="O2036" s="5"/>
      <c r="P2036" s="5"/>
      <c r="Q2036" s="5"/>
      <c r="R2036" s="5"/>
      <c r="S2036" s="5"/>
    </row>
    <row r="2037">
      <c r="A2037" s="5">
        <f>IFERROR(__xludf.DUMMYFUNCTION("""COMPUTED_VALUE"""),22000.0)</f>
        <v>22000</v>
      </c>
      <c r="B2037" s="5" t="str">
        <f>IFERROR(__xludf.DUMMYFUNCTION("""COMPUTED_VALUE"""),"هیأت")</f>
        <v>هیأت</v>
      </c>
      <c r="C2037" s="5" t="str">
        <f>IFERROR(__xludf.DUMMYFUNCTION("""COMPUTED_VALUE"""),"قرآن و عترت")</f>
        <v>قرآن و عترت</v>
      </c>
      <c r="D2037" s="5" t="str">
        <f>IFERROR(__xludf.DUMMYFUNCTION("""COMPUTED_VALUE"""),"آذربایجان غربی")</f>
        <v>آذربایجان غربی</v>
      </c>
      <c r="E2037" s="5" t="str">
        <f>IFERROR(__xludf.DUMMYFUNCTION("""COMPUTED_VALUE"""),"ارومیه")</f>
        <v>ارومیه</v>
      </c>
      <c r="F2037" s="5"/>
      <c r="G2037" s="5"/>
      <c r="H2037" s="5"/>
      <c r="I2037" s="6" t="str">
        <f>IFERROR(__xludf.DUMMYFUNCTION("""COMPUTED_VALUE"""),"https://t.me/tahaurmia")</f>
        <v>https://t.me/tahaurmia</v>
      </c>
      <c r="J2037" s="6" t="str">
        <f>IFERROR(__xludf.DUMMYFUNCTION("""COMPUTED_VALUE"""),"https://eitaa.com/tahaurmia")</f>
        <v>https://eitaa.com/tahaurmia</v>
      </c>
      <c r="K2037" s="5"/>
      <c r="L2037" s="5"/>
      <c r="M2037" s="5"/>
      <c r="N2037" s="5"/>
      <c r="O2037" s="5"/>
      <c r="P2037" s="5"/>
      <c r="Q2037" s="5"/>
      <c r="R2037" s="5"/>
      <c r="S2037" s="5"/>
    </row>
    <row r="2038">
      <c r="A2038" s="5"/>
      <c r="B2038" s="5" t="str">
        <f>IFERROR(__xludf.DUMMYFUNCTION("""COMPUTED_VALUE"""),"هیأت")</f>
        <v>هیأت</v>
      </c>
      <c r="C2038" s="5" t="str">
        <f>IFERROR(__xludf.DUMMYFUNCTION("""COMPUTED_VALUE"""),"انصار الحسین (ع)")</f>
        <v>انصار الحسین (ع)</v>
      </c>
      <c r="D2038" s="5" t="str">
        <f>IFERROR(__xludf.DUMMYFUNCTION("""COMPUTED_VALUE"""),"آذربایجان غربی")</f>
        <v>آذربایجان غربی</v>
      </c>
      <c r="E2038" s="5" t="str">
        <f>IFERROR(__xludf.DUMMYFUNCTION("""COMPUTED_VALUE"""),"ارومیه")</f>
        <v>ارومیه</v>
      </c>
      <c r="F2038" s="5"/>
      <c r="G2038" s="5"/>
      <c r="H2038" s="6" t="str">
        <f>IFERROR(__xludf.DUMMYFUNCTION("""COMPUTED_VALUE"""),"https://www.instagram.com/heyateansarolhosyn.urmia1397")</f>
        <v>https://www.instagram.com/heyateansarolhosyn.urmia1397</v>
      </c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</row>
    <row r="2039">
      <c r="A2039" s="5">
        <f>IFERROR(__xludf.DUMMYFUNCTION("""COMPUTED_VALUE"""),21996.0)</f>
        <v>21996</v>
      </c>
      <c r="B2039" s="5" t="str">
        <f>IFERROR(__xludf.DUMMYFUNCTION("""COMPUTED_VALUE"""),"هیأت")</f>
        <v>هیأت</v>
      </c>
      <c r="C2039" s="5" t="str">
        <f>IFERROR(__xludf.DUMMYFUNCTION("""COMPUTED_VALUE"""),"انصارالحسین (ع)")</f>
        <v>انصارالحسین (ع)</v>
      </c>
      <c r="D2039" s="5" t="str">
        <f>IFERROR(__xludf.DUMMYFUNCTION("""COMPUTED_VALUE"""),"آذربایجان غربی")</f>
        <v>آذربایجان غربی</v>
      </c>
      <c r="E2039" s="5" t="str">
        <f>IFERROR(__xludf.DUMMYFUNCTION("""COMPUTED_VALUE"""),"ارومیه")</f>
        <v>ارومیه</v>
      </c>
      <c r="F2039" s="5"/>
      <c r="G2039" s="5"/>
      <c r="H2039" s="6" t="str">
        <f>IFERROR(__xludf.DUMMYFUNCTION("""COMPUTED_VALUE"""),"https://www.instagram.com/ansarolhossein_ir")</f>
        <v>https://www.instagram.com/ansarolhossein_ir</v>
      </c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</row>
    <row r="2040">
      <c r="A2040" s="5"/>
      <c r="B2040" s="5" t="str">
        <f>IFERROR(__xludf.DUMMYFUNCTION("""COMPUTED_VALUE"""),"حسینیه")</f>
        <v>حسینیه</v>
      </c>
      <c r="C2040" s="5" t="str">
        <f>IFERROR(__xludf.DUMMYFUNCTION("""COMPUTED_VALUE"""),"انصار الحسین (ع) تیلیهای مقیم ارومیه")</f>
        <v>انصار الحسین (ع) تیلیهای مقیم ارومیه</v>
      </c>
      <c r="D2040" s="5" t="str">
        <f>IFERROR(__xludf.DUMMYFUNCTION("""COMPUTED_VALUE"""),"آذربایجان غربی")</f>
        <v>آذربایجان غربی</v>
      </c>
      <c r="E2040" s="5" t="str">
        <f>IFERROR(__xludf.DUMMYFUNCTION("""COMPUTED_VALUE"""),"ارومیه")</f>
        <v>ارومیه</v>
      </c>
      <c r="F2040" s="5"/>
      <c r="G2040" s="5"/>
      <c r="H2040" s="6" t="str">
        <f>IFERROR(__xludf.DUMMYFUNCTION("""COMPUTED_VALUE"""),"https://www.instagram.com/tilnews_orumieh")</f>
        <v>https://www.instagram.com/tilnews_orumieh</v>
      </c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</row>
    <row r="2041">
      <c r="A2041" s="5">
        <f>IFERROR(__xludf.DUMMYFUNCTION("""COMPUTED_VALUE"""),21976.0)</f>
        <v>21976</v>
      </c>
      <c r="B2041" s="5" t="str">
        <f>IFERROR(__xludf.DUMMYFUNCTION("""COMPUTED_VALUE"""),"مسجد")</f>
        <v>مسجد</v>
      </c>
      <c r="C2041" s="5" t="str">
        <f>IFERROR(__xludf.DUMMYFUNCTION("""COMPUTED_VALUE"""),"مسجد جامع علی بن ابیطالب (ع)")</f>
        <v>مسجد جامع علی بن ابیطالب (ع)</v>
      </c>
      <c r="D2041" s="5" t="str">
        <f>IFERROR(__xludf.DUMMYFUNCTION("""COMPUTED_VALUE"""),"آذربایجان غربی")</f>
        <v>آذربایجان غربی</v>
      </c>
      <c r="E2041" s="5" t="str">
        <f>IFERROR(__xludf.DUMMYFUNCTION("""COMPUTED_VALUE"""),"ارومیه")</f>
        <v>ارومیه</v>
      </c>
      <c r="F2041" s="5"/>
      <c r="G2041" s="5"/>
      <c r="H2041" s="5"/>
      <c r="I2041" s="6" t="str">
        <f>IFERROR(__xludf.DUMMYFUNCTION("""COMPUTED_VALUE"""),"https://t.me/masjedisar")</f>
        <v>https://t.me/masjedisar</v>
      </c>
      <c r="J2041" s="5"/>
      <c r="K2041" s="5"/>
      <c r="L2041" s="5"/>
      <c r="M2041" s="5"/>
      <c r="N2041" s="5"/>
      <c r="O2041" s="5"/>
      <c r="P2041" s="5"/>
      <c r="Q2041" s="5"/>
      <c r="R2041" s="5"/>
      <c r="S2041" s="5"/>
    </row>
    <row r="2042">
      <c r="A2042" s="5">
        <f>IFERROR(__xludf.DUMMYFUNCTION("""COMPUTED_VALUE"""),21670.0)</f>
        <v>21670</v>
      </c>
      <c r="B2042" s="5" t="str">
        <f>IFERROR(__xludf.DUMMYFUNCTION("""COMPUTED_VALUE"""),"هیأت")</f>
        <v>هیأت</v>
      </c>
      <c r="C2042" s="5" t="str">
        <f>IFERROR(__xludf.DUMMYFUNCTION("""COMPUTED_VALUE"""),"شیفتگان ائمه اطهار")</f>
        <v>شیفتگان ائمه اطهار</v>
      </c>
      <c r="D2042" s="5" t="str">
        <f>IFERROR(__xludf.DUMMYFUNCTION("""COMPUTED_VALUE"""),"آذربایجان غربی")</f>
        <v>آذربایجان غربی</v>
      </c>
      <c r="E2042" s="5" t="str">
        <f>IFERROR(__xludf.DUMMYFUNCTION("""COMPUTED_VALUE"""),"ارومیه")</f>
        <v>ارومیه</v>
      </c>
      <c r="F2042" s="5"/>
      <c r="G2042" s="5"/>
      <c r="H2042" s="6" t="str">
        <f>IFERROR(__xludf.DUMMYFUNCTION("""COMPUTED_VALUE"""),"https://www.instagram.com/shiftegan_aeme.athar")</f>
        <v>https://www.instagram.com/shiftegan_aeme.athar</v>
      </c>
      <c r="I2042" s="6" t="str">
        <f>IFERROR(__xludf.DUMMYFUNCTION("""COMPUTED_VALUE"""),"https://t.me/heiat_shiftegan_urmie")</f>
        <v>https://t.me/heiat_shiftegan_urmie</v>
      </c>
      <c r="J2042" s="5"/>
      <c r="K2042" s="5"/>
      <c r="L2042" s="5"/>
      <c r="M2042" s="5"/>
      <c r="N2042" s="5"/>
      <c r="O2042" s="5"/>
      <c r="P2042" s="5"/>
      <c r="Q2042" s="5"/>
      <c r="R2042" s="5"/>
      <c r="S2042" s="5"/>
    </row>
    <row r="2043">
      <c r="A2043" s="5">
        <f>IFERROR(__xludf.DUMMYFUNCTION("""COMPUTED_VALUE"""),21176.0)</f>
        <v>21176</v>
      </c>
      <c r="B2043" s="5" t="str">
        <f>IFERROR(__xludf.DUMMYFUNCTION("""COMPUTED_VALUE"""),"هیأت")</f>
        <v>هیأت</v>
      </c>
      <c r="C2043" s="5" t="str">
        <f>IFERROR(__xludf.DUMMYFUNCTION("""COMPUTED_VALUE"""),"شیفتگان حضرت ولیعصر (عج)")</f>
        <v>شیفتگان حضرت ولیعصر (عج)</v>
      </c>
      <c r="D2043" s="5" t="str">
        <f>IFERROR(__xludf.DUMMYFUNCTION("""COMPUTED_VALUE"""),"آذربایجان غربی")</f>
        <v>آذربایجان غربی</v>
      </c>
      <c r="E2043" s="5" t="str">
        <f>IFERROR(__xludf.DUMMYFUNCTION("""COMPUTED_VALUE"""),"ارومیه")</f>
        <v>ارومیه</v>
      </c>
      <c r="F2043" s="5"/>
      <c r="G2043" s="5"/>
      <c r="H2043" s="6" t="str">
        <f>IFERROR(__xludf.DUMMYFUNCTION("""COMPUTED_VALUE"""),"https://www.instagram.com/heyat_shiftegan_valiasr")</f>
        <v>https://www.instagram.com/heyat_shiftegan_valiasr</v>
      </c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</row>
    <row r="2044">
      <c r="A2044" s="5">
        <f>IFERROR(__xludf.DUMMYFUNCTION("""COMPUTED_VALUE"""),21170.0)</f>
        <v>21170</v>
      </c>
      <c r="B2044" s="5" t="str">
        <f>IFERROR(__xludf.DUMMYFUNCTION("""COMPUTED_VALUE"""),"هیأت")</f>
        <v>هیأت</v>
      </c>
      <c r="C2044" s="5" t="str">
        <f>IFERROR(__xludf.DUMMYFUNCTION("""COMPUTED_VALUE"""),"مکتب الحسین (ع)")</f>
        <v>مکتب الحسین (ع)</v>
      </c>
      <c r="D2044" s="5" t="str">
        <f>IFERROR(__xludf.DUMMYFUNCTION("""COMPUTED_VALUE"""),"آذربایجان غربی")</f>
        <v>آذربایجان غربی</v>
      </c>
      <c r="E2044" s="5" t="str">
        <f>IFERROR(__xludf.DUMMYFUNCTION("""COMPUTED_VALUE"""),"ارومیه")</f>
        <v>ارومیه</v>
      </c>
      <c r="F2044" s="5"/>
      <c r="G2044" s="5"/>
      <c r="H2044" s="6" t="str">
        <f>IFERROR(__xludf.DUMMYFUNCTION("""COMPUTED_VALUE"""),"https://www.instagram.com/maktabe__hossein_")</f>
        <v>https://www.instagram.com/maktabe__hossein_</v>
      </c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</row>
    <row r="2045">
      <c r="A2045" s="5">
        <f>IFERROR(__xludf.DUMMYFUNCTION("""COMPUTED_VALUE"""),21167.0)</f>
        <v>21167</v>
      </c>
      <c r="B2045" s="5" t="str">
        <f>IFERROR(__xludf.DUMMYFUNCTION("""COMPUTED_VALUE"""),"مسجد")</f>
        <v>مسجد</v>
      </c>
      <c r="C2045" s="5" t="str">
        <f>IFERROR(__xludf.DUMMYFUNCTION("""COMPUTED_VALUE"""),"مسجد جوانمرد قصاب ارومیه")</f>
        <v>مسجد جوانمرد قصاب ارومیه</v>
      </c>
      <c r="D2045" s="5" t="str">
        <f>IFERROR(__xludf.DUMMYFUNCTION("""COMPUTED_VALUE"""),"آذربایجان غربی")</f>
        <v>آذربایجان غربی</v>
      </c>
      <c r="E2045" s="5" t="str">
        <f>IFERROR(__xludf.DUMMYFUNCTION("""COMPUTED_VALUE"""),"ارومیه")</f>
        <v>ارومیه</v>
      </c>
      <c r="F2045" s="5"/>
      <c r="G2045" s="5"/>
      <c r="H2045" s="6" t="str">
        <f>IFERROR(__xludf.DUMMYFUNCTION("""COMPUTED_VALUE"""),"https://www.instagram.com/jmghasab")</f>
        <v>https://www.instagram.com/jmghasab</v>
      </c>
      <c r="I2045" s="6" t="str">
        <f>IFERROR(__xludf.DUMMYFUNCTION("""COMPUTED_VALUE"""),"https://t.me/jmghasab")</f>
        <v>https://t.me/jmghasab</v>
      </c>
      <c r="J2045" s="6" t="str">
        <f>IFERROR(__xludf.DUMMYFUNCTION("""COMPUTED_VALUE"""),"https://eitaa.com/jmghasab")</f>
        <v>https://eitaa.com/jmghasab</v>
      </c>
      <c r="K2045" s="5"/>
      <c r="L2045" s="5"/>
      <c r="M2045" s="5"/>
      <c r="N2045" s="5"/>
      <c r="O2045" s="5"/>
      <c r="P2045" s="5"/>
      <c r="Q2045" s="5"/>
      <c r="R2045" s="5"/>
      <c r="S2045" s="5"/>
    </row>
    <row r="2046">
      <c r="A2046" s="5">
        <f>IFERROR(__xludf.DUMMYFUNCTION("""COMPUTED_VALUE"""),21162.0)</f>
        <v>21162</v>
      </c>
      <c r="B2046" s="5" t="str">
        <f>IFERROR(__xludf.DUMMYFUNCTION("""COMPUTED_VALUE"""),"هیأت")</f>
        <v>هیأت</v>
      </c>
      <c r="C2046" s="5" t="str">
        <f>IFERROR(__xludf.DUMMYFUNCTION("""COMPUTED_VALUE"""),"یالثارات الحسین (ع)")</f>
        <v>یالثارات الحسین (ع)</v>
      </c>
      <c r="D2046" s="5" t="str">
        <f>IFERROR(__xludf.DUMMYFUNCTION("""COMPUTED_VALUE"""),"آذربایجان غربی")</f>
        <v>آذربایجان غربی</v>
      </c>
      <c r="E2046" s="5" t="str">
        <f>IFERROR(__xludf.DUMMYFUNCTION("""COMPUTED_VALUE"""),"ارومیه")</f>
        <v>ارومیه</v>
      </c>
      <c r="F2046" s="5"/>
      <c r="G2046" s="5"/>
      <c r="H2046" s="6" t="str">
        <f>IFERROR(__xludf.DUMMYFUNCTION("""COMPUTED_VALUE"""),"https://www.instagram.com/yalesarat_urmia")</f>
        <v>https://www.instagram.com/yalesarat_urmia</v>
      </c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</row>
    <row r="2047">
      <c r="A2047" s="5">
        <f>IFERROR(__xludf.DUMMYFUNCTION("""COMPUTED_VALUE"""),21161.0)</f>
        <v>21161</v>
      </c>
      <c r="B2047" s="5" t="str">
        <f>IFERROR(__xludf.DUMMYFUNCTION("""COMPUTED_VALUE"""),"هیأت")</f>
        <v>هیأت</v>
      </c>
      <c r="C2047" s="5" t="str">
        <f>IFERROR(__xludf.DUMMYFUNCTION("""COMPUTED_VALUE"""),"هیات الزهرا (س)")</f>
        <v>هیات الزهرا (س)</v>
      </c>
      <c r="D2047" s="5" t="str">
        <f>IFERROR(__xludf.DUMMYFUNCTION("""COMPUTED_VALUE"""),"آذربایجان غربی")</f>
        <v>آذربایجان غربی</v>
      </c>
      <c r="E2047" s="5" t="str">
        <f>IFERROR(__xludf.DUMMYFUNCTION("""COMPUTED_VALUE"""),"ارومیه")</f>
        <v>ارومیه</v>
      </c>
      <c r="F2047" s="5"/>
      <c r="G2047" s="5"/>
      <c r="H2047" s="6" t="str">
        <f>IFERROR(__xludf.DUMMYFUNCTION("""COMPUTED_VALUE"""),"https://www.instagram.com/heyyat_alzahra_urumiya")</f>
        <v>https://www.instagram.com/heyyat_alzahra_urumiya</v>
      </c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</row>
    <row r="2048">
      <c r="A2048" s="5">
        <f>IFERROR(__xludf.DUMMYFUNCTION("""COMPUTED_VALUE"""),21146.0)</f>
        <v>21146</v>
      </c>
      <c r="B2048" s="5" t="str">
        <f>IFERROR(__xludf.DUMMYFUNCTION("""COMPUTED_VALUE"""),"موکب")</f>
        <v>موکب</v>
      </c>
      <c r="C2048" s="5" t="str">
        <f>IFERROR(__xludf.DUMMYFUNCTION("""COMPUTED_VALUE"""),"عزادارن موکب اصغریه")</f>
        <v>عزادارن موکب اصغریه</v>
      </c>
      <c r="D2048" s="5" t="str">
        <f>IFERROR(__xludf.DUMMYFUNCTION("""COMPUTED_VALUE"""),"آذربایجان غربی")</f>
        <v>آذربایجان غربی</v>
      </c>
      <c r="E2048" s="5" t="str">
        <f>IFERROR(__xludf.DUMMYFUNCTION("""COMPUTED_VALUE"""),"ارومیه")</f>
        <v>ارومیه</v>
      </c>
      <c r="F2048" s="5"/>
      <c r="G2048" s="5"/>
      <c r="H2048" s="6" t="str">
        <f>IFERROR(__xludf.DUMMYFUNCTION("""COMPUTED_VALUE"""),"https://www.instagram.com/shabih_khani_mokbasgharie")</f>
        <v>https://www.instagram.com/shabih_khani_mokbasgharie</v>
      </c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</row>
    <row r="2049">
      <c r="A2049" s="5">
        <f>IFERROR(__xludf.DUMMYFUNCTION("""COMPUTED_VALUE"""),21143.0)</f>
        <v>21143</v>
      </c>
      <c r="B2049" s="5" t="str">
        <f>IFERROR(__xludf.DUMMYFUNCTION("""COMPUTED_VALUE"""),"هیأت جوانان")</f>
        <v>هیأت جوانان</v>
      </c>
      <c r="C2049" s="5" t="str">
        <f>IFERROR(__xludf.DUMMYFUNCTION("""COMPUTED_VALUE"""),"جوانان کربلایی")</f>
        <v>جوانان کربلایی</v>
      </c>
      <c r="D2049" s="5" t="str">
        <f>IFERROR(__xludf.DUMMYFUNCTION("""COMPUTED_VALUE"""),"آذربایجان غربی")</f>
        <v>آذربایجان غربی</v>
      </c>
      <c r="E2049" s="5" t="str">
        <f>IFERROR(__xludf.DUMMYFUNCTION("""COMPUTED_VALUE"""),"ارومیه")</f>
        <v>ارومیه</v>
      </c>
      <c r="F2049" s="5"/>
      <c r="G2049" s="5"/>
      <c r="H2049" s="6" t="str">
        <f>IFERROR(__xludf.DUMMYFUNCTION("""COMPUTED_VALUE"""),"https://www.instagram.com/heyat.javanan.karbala")</f>
        <v>https://www.instagram.com/heyat.javanan.karbala</v>
      </c>
      <c r="I2049" s="6" t="str">
        <f>IFERROR(__xludf.DUMMYFUNCTION("""COMPUTED_VALUE"""),"https://t.me/basijtakarbala")</f>
        <v>https://t.me/basijtakarbala</v>
      </c>
      <c r="J2049" s="5"/>
      <c r="K2049" s="5"/>
      <c r="L2049" s="5"/>
      <c r="M2049" s="5"/>
      <c r="N2049" s="5"/>
      <c r="O2049" s="5"/>
      <c r="P2049" s="5"/>
      <c r="Q2049" s="5"/>
      <c r="R2049" s="5"/>
      <c r="S2049" s="5"/>
    </row>
    <row r="2050">
      <c r="A2050" s="5">
        <f>IFERROR(__xludf.DUMMYFUNCTION("""COMPUTED_VALUE"""),21137.0)</f>
        <v>21137</v>
      </c>
      <c r="B2050" s="5" t="str">
        <f>IFERROR(__xludf.DUMMYFUNCTION("""COMPUTED_VALUE"""),"هیأت")</f>
        <v>هیأت</v>
      </c>
      <c r="C2050" s="5" t="str">
        <f>IFERROR(__xludf.DUMMYFUNCTION("""COMPUTED_VALUE"""),"قرارگاه شهدا")</f>
        <v>قرارگاه شهدا</v>
      </c>
      <c r="D2050" s="5" t="str">
        <f>IFERROR(__xludf.DUMMYFUNCTION("""COMPUTED_VALUE"""),"آذربایجان غربی")</f>
        <v>آذربایجان غربی</v>
      </c>
      <c r="E2050" s="5" t="str">
        <f>IFERROR(__xludf.DUMMYFUNCTION("""COMPUTED_VALUE"""),"ارومیه")</f>
        <v>ارومیه</v>
      </c>
      <c r="F2050" s="5"/>
      <c r="G2050" s="5"/>
      <c r="H2050" s="6" t="str">
        <f>IFERROR(__xludf.DUMMYFUNCTION("""COMPUTED_VALUE"""),"https://www.instagram.com/gharargah.shohada")</f>
        <v>https://www.instagram.com/gharargah.shohada</v>
      </c>
      <c r="I2050" s="5"/>
      <c r="J2050" s="6" t="str">
        <f>IFERROR(__xludf.DUMMYFUNCTION("""COMPUTED_VALUE"""),"https://eitaa.com/martyrscomp")</f>
        <v>https://eitaa.com/martyrscomp</v>
      </c>
      <c r="K2050" s="5"/>
      <c r="L2050" s="5"/>
      <c r="M2050" s="5"/>
      <c r="N2050" s="5"/>
      <c r="O2050" s="5"/>
      <c r="P2050" s="5"/>
      <c r="Q2050" s="5"/>
      <c r="R2050" s="5"/>
      <c r="S2050" s="5"/>
    </row>
    <row r="2051">
      <c r="A2051" s="5">
        <f>IFERROR(__xludf.DUMMYFUNCTION("""COMPUTED_VALUE"""),20464.0)</f>
        <v>20464</v>
      </c>
      <c r="B2051" s="5" t="str">
        <f>IFERROR(__xludf.DUMMYFUNCTION("""COMPUTED_VALUE"""),"هیأت")</f>
        <v>هیأت</v>
      </c>
      <c r="C2051" s="5" t="str">
        <f>IFERROR(__xludf.DUMMYFUNCTION("""COMPUTED_VALUE"""),"مجمع جوانان انقلابی")</f>
        <v>مجمع جوانان انقلابی</v>
      </c>
      <c r="D2051" s="5" t="str">
        <f>IFERROR(__xludf.DUMMYFUNCTION("""COMPUTED_VALUE"""),"آذربایجان غربی")</f>
        <v>آذربایجان غربی</v>
      </c>
      <c r="E2051" s="5" t="str">
        <f>IFERROR(__xludf.DUMMYFUNCTION("""COMPUTED_VALUE"""),"ارومیه")</f>
        <v>ارومیه</v>
      </c>
      <c r="F2051" s="5"/>
      <c r="G2051" s="5"/>
      <c r="H2051" s="5"/>
      <c r="I2051" s="5"/>
      <c r="J2051" s="6" t="str">
        <f>IFERROR(__xludf.DUMMYFUNCTION("""COMPUTED_VALUE"""),"https://eitaa.com/mjem2u")</f>
        <v>https://eitaa.com/mjem2u</v>
      </c>
      <c r="K2051" s="5"/>
      <c r="L2051" s="5"/>
      <c r="M2051" s="5"/>
      <c r="N2051" s="5"/>
      <c r="O2051" s="5"/>
      <c r="P2051" s="5"/>
      <c r="Q2051" s="5"/>
      <c r="R2051" s="5"/>
      <c r="S2051" s="5"/>
    </row>
    <row r="2052">
      <c r="A2052" s="5">
        <f>IFERROR(__xludf.DUMMYFUNCTION("""COMPUTED_VALUE"""),17676.0)</f>
        <v>17676</v>
      </c>
      <c r="B2052" s="5" t="str">
        <f>IFERROR(__xludf.DUMMYFUNCTION("""COMPUTED_VALUE"""),"هیأت")</f>
        <v>هیأت</v>
      </c>
      <c r="C2052" s="5" t="str">
        <f>IFERROR(__xludf.DUMMYFUNCTION("""COMPUTED_VALUE"""),"جوانان ائمه بقیع (ع)")</f>
        <v>جوانان ائمه بقیع (ع)</v>
      </c>
      <c r="D2052" s="5" t="str">
        <f>IFERROR(__xludf.DUMMYFUNCTION("""COMPUTED_VALUE"""),"آذربایجان غربی")</f>
        <v>آذربایجان غربی</v>
      </c>
      <c r="E2052" s="5" t="str">
        <f>IFERROR(__xludf.DUMMYFUNCTION("""COMPUTED_VALUE"""),"ارومیه")</f>
        <v>ارومیه</v>
      </c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</row>
    <row r="2053">
      <c r="A2053" s="5">
        <f>IFERROR(__xludf.DUMMYFUNCTION("""COMPUTED_VALUE"""),768.0)</f>
        <v>768</v>
      </c>
      <c r="B2053" s="5" t="str">
        <f>IFERROR(__xludf.DUMMYFUNCTION("""COMPUTED_VALUE"""),"هیأت")</f>
        <v>هیأت</v>
      </c>
      <c r="C2053" s="5" t="str">
        <f>IFERROR(__xludf.DUMMYFUNCTION("""COMPUTED_VALUE"""),"شهدای بدر ارومیه")</f>
        <v>شهدای بدر ارومیه</v>
      </c>
      <c r="D2053" s="5" t="str">
        <f>IFERROR(__xludf.DUMMYFUNCTION("""COMPUTED_VALUE"""),"آذربایجان غربی")</f>
        <v>آذربایجان غربی</v>
      </c>
      <c r="E2053" s="5" t="str">
        <f>IFERROR(__xludf.DUMMYFUNCTION("""COMPUTED_VALUE"""),"ارومیه")</f>
        <v>ارومیه</v>
      </c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</row>
    <row r="2054">
      <c r="A2054" s="5">
        <f>IFERROR(__xludf.DUMMYFUNCTION("""COMPUTED_VALUE"""),756.0)</f>
        <v>756</v>
      </c>
      <c r="B2054" s="5" t="str">
        <f>IFERROR(__xludf.DUMMYFUNCTION("""COMPUTED_VALUE"""),"هیأت")</f>
        <v>هیأت</v>
      </c>
      <c r="C2054" s="5" t="str">
        <f>IFERROR(__xludf.DUMMYFUNCTION("""COMPUTED_VALUE"""),"مجمع جوانان")</f>
        <v>مجمع جوانان</v>
      </c>
      <c r="D2054" s="5" t="str">
        <f>IFERROR(__xludf.DUMMYFUNCTION("""COMPUTED_VALUE"""),"آذربایجان غربی")</f>
        <v>آذربایجان غربی</v>
      </c>
      <c r="E2054" s="5" t="str">
        <f>IFERROR(__xludf.DUMMYFUNCTION("""COMPUTED_VALUE"""),"ارومیه")</f>
        <v>ارومیه</v>
      </c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</row>
    <row r="2055">
      <c r="A2055" s="5">
        <f>IFERROR(__xludf.DUMMYFUNCTION("""COMPUTED_VALUE"""),755.0)</f>
        <v>755</v>
      </c>
      <c r="B2055" s="5" t="str">
        <f>IFERROR(__xludf.DUMMYFUNCTION("""COMPUTED_VALUE"""),"هیأت")</f>
        <v>هیأت</v>
      </c>
      <c r="C2055" s="5" t="str">
        <f>IFERROR(__xludf.DUMMYFUNCTION("""COMPUTED_VALUE"""),"مسجد جامع علی بن ابیطالب (ع)")</f>
        <v>مسجد جامع علی بن ابیطالب (ع)</v>
      </c>
      <c r="D2055" s="5" t="str">
        <f>IFERROR(__xludf.DUMMYFUNCTION("""COMPUTED_VALUE"""),"آذربایجان غربی")</f>
        <v>آذربایجان غربی</v>
      </c>
      <c r="E2055" s="5" t="str">
        <f>IFERROR(__xludf.DUMMYFUNCTION("""COMPUTED_VALUE"""),"ارومیه")</f>
        <v>ارومیه</v>
      </c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</row>
    <row r="2056">
      <c r="A2056" s="5">
        <f>IFERROR(__xludf.DUMMYFUNCTION("""COMPUTED_VALUE"""),751.0)</f>
        <v>751</v>
      </c>
      <c r="B2056" s="5" t="str">
        <f>IFERROR(__xludf.DUMMYFUNCTION("""COMPUTED_VALUE"""),"هیأت")</f>
        <v>هیأت</v>
      </c>
      <c r="C2056" s="5" t="str">
        <f>IFERROR(__xludf.DUMMYFUNCTION("""COMPUTED_VALUE"""),"عزاداری روستای اسبوا")</f>
        <v>عزاداری روستای اسبوا</v>
      </c>
      <c r="D2056" s="5" t="str">
        <f>IFERROR(__xludf.DUMMYFUNCTION("""COMPUTED_VALUE"""),"آذربایجان غربی")</f>
        <v>آذربایجان غربی</v>
      </c>
      <c r="E2056" s="5" t="str">
        <f>IFERROR(__xludf.DUMMYFUNCTION("""COMPUTED_VALUE"""),"ارومیه")</f>
        <v>ارومیه</v>
      </c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</row>
    <row r="2057">
      <c r="A2057" s="5">
        <f>IFERROR(__xludf.DUMMYFUNCTION("""COMPUTED_VALUE"""),747.0)</f>
        <v>747</v>
      </c>
      <c r="B2057" s="5" t="str">
        <f>IFERROR(__xludf.DUMMYFUNCTION("""COMPUTED_VALUE"""),"هیأت")</f>
        <v>هیأت</v>
      </c>
      <c r="C2057" s="5" t="str">
        <f>IFERROR(__xludf.DUMMYFUNCTION("""COMPUTED_VALUE"""),"ارومیه")</f>
        <v>ارومیه</v>
      </c>
      <c r="D2057" s="5" t="str">
        <f>IFERROR(__xludf.DUMMYFUNCTION("""COMPUTED_VALUE"""),"آذربایجان غربی")</f>
        <v>آذربایجان غربی</v>
      </c>
      <c r="E2057" s="5" t="str">
        <f>IFERROR(__xludf.DUMMYFUNCTION("""COMPUTED_VALUE"""),"ارومیه")</f>
        <v>ارومیه</v>
      </c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</row>
    <row r="2058">
      <c r="A2058" s="5">
        <f>IFERROR(__xludf.DUMMYFUNCTION("""COMPUTED_VALUE"""),746.0)</f>
        <v>746</v>
      </c>
      <c r="B2058" s="5" t="str">
        <f>IFERROR(__xludf.DUMMYFUNCTION("""COMPUTED_VALUE"""),"هیأت")</f>
        <v>هیأت</v>
      </c>
      <c r="C2058" s="5" t="str">
        <f>IFERROR(__xludf.DUMMYFUNCTION("""COMPUTED_VALUE"""),"حضرت علی اصغر (ع)")</f>
        <v>حضرت علی اصغر (ع)</v>
      </c>
      <c r="D2058" s="5" t="str">
        <f>IFERROR(__xludf.DUMMYFUNCTION("""COMPUTED_VALUE"""),"آذربایجان غربی")</f>
        <v>آذربایجان غربی</v>
      </c>
      <c r="E2058" s="5" t="str">
        <f>IFERROR(__xludf.DUMMYFUNCTION("""COMPUTED_VALUE"""),"ارومیه")</f>
        <v>ارومیه</v>
      </c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</row>
    <row r="2059">
      <c r="A2059" s="5">
        <f>IFERROR(__xludf.DUMMYFUNCTION("""COMPUTED_VALUE"""),745.0)</f>
        <v>745</v>
      </c>
      <c r="B2059" s="5" t="str">
        <f>IFERROR(__xludf.DUMMYFUNCTION("""COMPUTED_VALUE"""),"هیأت")</f>
        <v>هیأت</v>
      </c>
      <c r="C2059" s="5" t="str">
        <f>IFERROR(__xludf.DUMMYFUNCTION("""COMPUTED_VALUE"""),"دانشگاه آزاد اسلامی واحد ارومیه")</f>
        <v>دانشگاه آزاد اسلامی واحد ارومیه</v>
      </c>
      <c r="D2059" s="5" t="str">
        <f>IFERROR(__xludf.DUMMYFUNCTION("""COMPUTED_VALUE"""),"آذربایجان غربی")</f>
        <v>آذربایجان غربی</v>
      </c>
      <c r="E2059" s="5" t="str">
        <f>IFERROR(__xludf.DUMMYFUNCTION("""COMPUTED_VALUE"""),"ارومیه")</f>
        <v>ارومیه</v>
      </c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</row>
    <row r="2060">
      <c r="A2060" s="5">
        <f>IFERROR(__xludf.DUMMYFUNCTION("""COMPUTED_VALUE"""),744.0)</f>
        <v>744</v>
      </c>
      <c r="B2060" s="5" t="str">
        <f>IFERROR(__xludf.DUMMYFUNCTION("""COMPUTED_VALUE"""),"هیأت")</f>
        <v>هیأت</v>
      </c>
      <c r="C2060" s="5" t="str">
        <f>IFERROR(__xludf.DUMMYFUNCTION("""COMPUTED_VALUE"""),"شیفتگان ولایت و شهادت")</f>
        <v>شیفتگان ولایت و شهادت</v>
      </c>
      <c r="D2060" s="5" t="str">
        <f>IFERROR(__xludf.DUMMYFUNCTION("""COMPUTED_VALUE"""),"آذربایجان غربی")</f>
        <v>آذربایجان غربی</v>
      </c>
      <c r="E2060" s="5" t="str">
        <f>IFERROR(__xludf.DUMMYFUNCTION("""COMPUTED_VALUE"""),"ارومیه")</f>
        <v>ارومیه</v>
      </c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</row>
    <row r="2061">
      <c r="A2061" s="5">
        <f>IFERROR(__xludf.DUMMYFUNCTION("""COMPUTED_VALUE"""),743.0)</f>
        <v>743</v>
      </c>
      <c r="B2061" s="5" t="str">
        <f>IFERROR(__xludf.DUMMYFUNCTION("""COMPUTED_VALUE"""),"هیأت")</f>
        <v>هیأت</v>
      </c>
      <c r="C2061" s="5" t="str">
        <f>IFERROR(__xludf.DUMMYFUNCTION("""COMPUTED_VALUE"""),"حوزه علمیه امام خمینی (ره)")</f>
        <v>حوزه علمیه امام خمینی (ره)</v>
      </c>
      <c r="D2061" s="5" t="str">
        <f>IFERROR(__xludf.DUMMYFUNCTION("""COMPUTED_VALUE"""),"آذربایجان غربی")</f>
        <v>آذربایجان غربی</v>
      </c>
      <c r="E2061" s="5" t="str">
        <f>IFERROR(__xludf.DUMMYFUNCTION("""COMPUTED_VALUE"""),"ارومیه")</f>
        <v>ارومیه</v>
      </c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</row>
    <row r="2062">
      <c r="A2062" s="5">
        <f>IFERROR(__xludf.DUMMYFUNCTION("""COMPUTED_VALUE"""),740.0)</f>
        <v>740</v>
      </c>
      <c r="B2062" s="5" t="str">
        <f>IFERROR(__xludf.DUMMYFUNCTION("""COMPUTED_VALUE"""),"هیأت")</f>
        <v>هیأت</v>
      </c>
      <c r="C2062" s="5" t="str">
        <f>IFERROR(__xludf.DUMMYFUNCTION("""COMPUTED_VALUE"""),"منتظران مهدی (عج)")</f>
        <v>منتظران مهدی (عج)</v>
      </c>
      <c r="D2062" s="5" t="str">
        <f>IFERROR(__xludf.DUMMYFUNCTION("""COMPUTED_VALUE"""),"آذربایجان غربی")</f>
        <v>آذربایجان غربی</v>
      </c>
      <c r="E2062" s="5" t="str">
        <f>IFERROR(__xludf.DUMMYFUNCTION("""COMPUTED_VALUE"""),"ارومیه")</f>
        <v>ارومیه</v>
      </c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</row>
    <row r="2063">
      <c r="A2063" s="5">
        <f>IFERROR(__xludf.DUMMYFUNCTION("""COMPUTED_VALUE"""),736.0)</f>
        <v>736</v>
      </c>
      <c r="B2063" s="5" t="str">
        <f>IFERROR(__xludf.DUMMYFUNCTION("""COMPUTED_VALUE"""),"هیأت")</f>
        <v>هیأت</v>
      </c>
      <c r="C2063" s="5" t="str">
        <f>IFERROR(__xludf.DUMMYFUNCTION("""COMPUTED_VALUE"""),"یاوران ولایت")</f>
        <v>یاوران ولایت</v>
      </c>
      <c r="D2063" s="5" t="str">
        <f>IFERROR(__xludf.DUMMYFUNCTION("""COMPUTED_VALUE"""),"آذربایجان غربی")</f>
        <v>آذربایجان غربی</v>
      </c>
      <c r="E2063" s="5" t="str">
        <f>IFERROR(__xludf.DUMMYFUNCTION("""COMPUTED_VALUE"""),"ارومیه")</f>
        <v>ارومیه</v>
      </c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</row>
    <row r="2064">
      <c r="A2064" s="5">
        <f>IFERROR(__xludf.DUMMYFUNCTION("""COMPUTED_VALUE"""),735.0)</f>
        <v>735</v>
      </c>
      <c r="B2064" s="5" t="str">
        <f>IFERROR(__xludf.DUMMYFUNCTION("""COMPUTED_VALUE"""),"هیأت")</f>
        <v>هیأت</v>
      </c>
      <c r="C2064" s="5" t="str">
        <f>IFERROR(__xludf.DUMMYFUNCTION("""COMPUTED_VALUE"""),"زینبیه اعظم زوار ضامن آهو")</f>
        <v>زینبیه اعظم زوار ضامن آهو</v>
      </c>
      <c r="D2064" s="5" t="str">
        <f>IFERROR(__xludf.DUMMYFUNCTION("""COMPUTED_VALUE"""),"آذربایجان غربی")</f>
        <v>آذربایجان غربی</v>
      </c>
      <c r="E2064" s="5" t="str">
        <f>IFERROR(__xludf.DUMMYFUNCTION("""COMPUTED_VALUE"""),"ارومیه")</f>
        <v>ارومیه</v>
      </c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</row>
    <row r="2065">
      <c r="A2065" s="5">
        <f>IFERROR(__xludf.DUMMYFUNCTION("""COMPUTED_VALUE"""),724.0)</f>
        <v>724</v>
      </c>
      <c r="B2065" s="5" t="str">
        <f>IFERROR(__xludf.DUMMYFUNCTION("""COMPUTED_VALUE"""),"هیأت")</f>
        <v>هیأت</v>
      </c>
      <c r="C2065" s="5" t="str">
        <f>IFERROR(__xludf.DUMMYFUNCTION("""COMPUTED_VALUE"""),"رهروان حضرت علی (ع)")</f>
        <v>رهروان حضرت علی (ع)</v>
      </c>
      <c r="D2065" s="5" t="str">
        <f>IFERROR(__xludf.DUMMYFUNCTION("""COMPUTED_VALUE"""),"آذربایجان غربی")</f>
        <v>آذربایجان غربی</v>
      </c>
      <c r="E2065" s="5" t="str">
        <f>IFERROR(__xludf.DUMMYFUNCTION("""COMPUTED_VALUE"""),"ارومیه")</f>
        <v>ارومیه</v>
      </c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</row>
    <row r="2066">
      <c r="A2066" s="5">
        <f>IFERROR(__xludf.DUMMYFUNCTION("""COMPUTED_VALUE"""),723.0)</f>
        <v>723</v>
      </c>
      <c r="B2066" s="5" t="str">
        <f>IFERROR(__xludf.DUMMYFUNCTION("""COMPUTED_VALUE"""),"هیأت")</f>
        <v>هیأت</v>
      </c>
      <c r="C2066" s="5" t="str">
        <f>IFERROR(__xludf.DUMMYFUNCTION("""COMPUTED_VALUE"""),"مسجد امام خمینی (ره)")</f>
        <v>مسجد امام خمینی (ره)</v>
      </c>
      <c r="D2066" s="5" t="str">
        <f>IFERROR(__xludf.DUMMYFUNCTION("""COMPUTED_VALUE"""),"آذربایجان غربی")</f>
        <v>آذربایجان غربی</v>
      </c>
      <c r="E2066" s="5" t="str">
        <f>IFERROR(__xludf.DUMMYFUNCTION("""COMPUTED_VALUE"""),"ارومیه")</f>
        <v>ارومیه</v>
      </c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</row>
    <row r="2067">
      <c r="A2067" s="5">
        <f>IFERROR(__xludf.DUMMYFUNCTION("""COMPUTED_VALUE"""),555.0)</f>
        <v>555</v>
      </c>
      <c r="B2067" s="5" t="str">
        <f>IFERROR(__xludf.DUMMYFUNCTION("""COMPUTED_VALUE"""),"هیأت")</f>
        <v>هیأت</v>
      </c>
      <c r="C2067" s="5" t="str">
        <f>IFERROR(__xludf.DUMMYFUNCTION("""COMPUTED_VALUE"""),"مهدی آل محمد (عج)")</f>
        <v>مهدی آل محمد (عج)</v>
      </c>
      <c r="D2067" s="5" t="str">
        <f>IFERROR(__xludf.DUMMYFUNCTION("""COMPUTED_VALUE"""),"آذربایجان غربی")</f>
        <v>آذربایجان غربی</v>
      </c>
      <c r="E2067" s="5" t="str">
        <f>IFERROR(__xludf.DUMMYFUNCTION("""COMPUTED_VALUE"""),"ارومیه")</f>
        <v>ارومیه</v>
      </c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</row>
    <row r="2068">
      <c r="A2068" s="5">
        <f>IFERROR(__xludf.DUMMYFUNCTION("""COMPUTED_VALUE"""),554.0)</f>
        <v>554</v>
      </c>
      <c r="B2068" s="5" t="str">
        <f>IFERROR(__xludf.DUMMYFUNCTION("""COMPUTED_VALUE"""),"هیأت")</f>
        <v>هیأت</v>
      </c>
      <c r="C2068" s="5" t="str">
        <f>IFERROR(__xludf.DUMMYFUNCTION("""COMPUTED_VALUE"""),"حضرت مهدی آل محمد (عج)")</f>
        <v>حضرت مهدی آل محمد (عج)</v>
      </c>
      <c r="D2068" s="5" t="str">
        <f>IFERROR(__xludf.DUMMYFUNCTION("""COMPUTED_VALUE"""),"آذربایجان غربی")</f>
        <v>آذربایجان غربی</v>
      </c>
      <c r="E2068" s="5" t="str">
        <f>IFERROR(__xludf.DUMMYFUNCTION("""COMPUTED_VALUE"""),"ارومیه")</f>
        <v>ارومیه</v>
      </c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</row>
    <row r="2069">
      <c r="A2069" s="5">
        <f>IFERROR(__xludf.DUMMYFUNCTION("""COMPUTED_VALUE"""),553.0)</f>
        <v>553</v>
      </c>
      <c r="B2069" s="5" t="str">
        <f>IFERROR(__xludf.DUMMYFUNCTION("""COMPUTED_VALUE"""),"هیأت")</f>
        <v>هیأت</v>
      </c>
      <c r="C2069" s="5" t="str">
        <f>IFERROR(__xludf.DUMMYFUNCTION("""COMPUTED_VALUE"""),"جلسه معارف دانشجویی")</f>
        <v>جلسه معارف دانشجویی</v>
      </c>
      <c r="D2069" s="5" t="str">
        <f>IFERROR(__xludf.DUMMYFUNCTION("""COMPUTED_VALUE"""),"آذربایجان غربی")</f>
        <v>آذربایجان غربی</v>
      </c>
      <c r="E2069" s="5" t="str">
        <f>IFERROR(__xludf.DUMMYFUNCTION("""COMPUTED_VALUE"""),"ارومیه")</f>
        <v>ارومیه</v>
      </c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</row>
    <row r="2070">
      <c r="A2070" s="5">
        <f>IFERROR(__xludf.DUMMYFUNCTION("""COMPUTED_VALUE"""),545.0)</f>
        <v>545</v>
      </c>
      <c r="B2070" s="5" t="str">
        <f>IFERROR(__xludf.DUMMYFUNCTION("""COMPUTED_VALUE"""),"هیأت")</f>
        <v>هیأت</v>
      </c>
      <c r="C2070" s="5" t="str">
        <f>IFERROR(__xludf.DUMMYFUNCTION("""COMPUTED_VALUE"""),"تشنه لبان عاشورا")</f>
        <v>تشنه لبان عاشورا</v>
      </c>
      <c r="D2070" s="5" t="str">
        <f>IFERROR(__xludf.DUMMYFUNCTION("""COMPUTED_VALUE"""),"آذربایجان غربی")</f>
        <v>آذربایجان غربی</v>
      </c>
      <c r="E2070" s="5" t="str">
        <f>IFERROR(__xludf.DUMMYFUNCTION("""COMPUTED_VALUE"""),"ارومیه")</f>
        <v>ارومیه</v>
      </c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</row>
    <row r="2071">
      <c r="A2071" s="5">
        <f>IFERROR(__xludf.DUMMYFUNCTION("""COMPUTED_VALUE"""),543.0)</f>
        <v>543</v>
      </c>
      <c r="B2071" s="5" t="str">
        <f>IFERROR(__xludf.DUMMYFUNCTION("""COMPUTED_VALUE"""),"هیأت")</f>
        <v>هیأت</v>
      </c>
      <c r="C2071" s="5" t="str">
        <f>IFERROR(__xludf.DUMMYFUNCTION("""COMPUTED_VALUE"""),"کانون فرهنگی محمد رسول الله (ص)")</f>
        <v>کانون فرهنگی محمد رسول الله (ص)</v>
      </c>
      <c r="D2071" s="5" t="str">
        <f>IFERROR(__xludf.DUMMYFUNCTION("""COMPUTED_VALUE"""),"آذربایجان غربی")</f>
        <v>آذربایجان غربی</v>
      </c>
      <c r="E2071" s="5" t="str">
        <f>IFERROR(__xludf.DUMMYFUNCTION("""COMPUTED_VALUE"""),"ارومیه")</f>
        <v>ارومیه</v>
      </c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</row>
    <row r="2072">
      <c r="A2072" s="5">
        <f>IFERROR(__xludf.DUMMYFUNCTION("""COMPUTED_VALUE"""),542.0)</f>
        <v>542</v>
      </c>
      <c r="B2072" s="5" t="str">
        <f>IFERROR(__xludf.DUMMYFUNCTION("""COMPUTED_VALUE"""),"هیأت")</f>
        <v>هیأت</v>
      </c>
      <c r="C2072" s="5" t="str">
        <f>IFERROR(__xludf.DUMMYFUNCTION("""COMPUTED_VALUE"""),"کانون علامه طباطبایی/ جوانان مسجد رسول الله (ص)")</f>
        <v>کانون علامه طباطبایی/ جوانان مسجد رسول الله (ص)</v>
      </c>
      <c r="D2072" s="5" t="str">
        <f>IFERROR(__xludf.DUMMYFUNCTION("""COMPUTED_VALUE"""),"آذربایجان غربی")</f>
        <v>آذربایجان غربی</v>
      </c>
      <c r="E2072" s="5" t="str">
        <f>IFERROR(__xludf.DUMMYFUNCTION("""COMPUTED_VALUE"""),"ارومیه")</f>
        <v>ارومیه</v>
      </c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</row>
    <row r="2073">
      <c r="A2073" s="5">
        <f>IFERROR(__xludf.DUMMYFUNCTION("""COMPUTED_VALUE"""),540.0)</f>
        <v>540</v>
      </c>
      <c r="B2073" s="5" t="str">
        <f>IFERROR(__xludf.DUMMYFUNCTION("""COMPUTED_VALUE"""),"هیأت")</f>
        <v>هیأت</v>
      </c>
      <c r="C2073" s="5" t="str">
        <f>IFERROR(__xludf.DUMMYFUNCTION("""COMPUTED_VALUE"""),"حضرت علی اکبر (ع)")</f>
        <v>حضرت علی اکبر (ع)</v>
      </c>
      <c r="D2073" s="5" t="str">
        <f>IFERROR(__xludf.DUMMYFUNCTION("""COMPUTED_VALUE"""),"آذربایجان غربی")</f>
        <v>آذربایجان غربی</v>
      </c>
      <c r="E2073" s="5" t="str">
        <f>IFERROR(__xludf.DUMMYFUNCTION("""COMPUTED_VALUE"""),"ارومیه")</f>
        <v>ارومیه</v>
      </c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</row>
    <row r="2074">
      <c r="A2074" s="5">
        <f>IFERROR(__xludf.DUMMYFUNCTION("""COMPUTED_VALUE"""),538.0)</f>
        <v>538</v>
      </c>
      <c r="B2074" s="5" t="str">
        <f>IFERROR(__xludf.DUMMYFUNCTION("""COMPUTED_VALUE"""),"هیأت")</f>
        <v>هیأت</v>
      </c>
      <c r="C2074" s="5" t="str">
        <f>IFERROR(__xludf.DUMMYFUNCTION("""COMPUTED_VALUE"""),"سربازان قرآن خوانی امام زمان (عج)")</f>
        <v>سربازان قرآن خوانی امام زمان (عج)</v>
      </c>
      <c r="D2074" s="5" t="str">
        <f>IFERROR(__xludf.DUMMYFUNCTION("""COMPUTED_VALUE"""),"آذربایجان غربی")</f>
        <v>آذربایجان غربی</v>
      </c>
      <c r="E2074" s="5" t="str">
        <f>IFERROR(__xludf.DUMMYFUNCTION("""COMPUTED_VALUE"""),"ارومیه")</f>
        <v>ارومیه</v>
      </c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</row>
    <row r="2075">
      <c r="A2075" s="5">
        <f>IFERROR(__xludf.DUMMYFUNCTION("""COMPUTED_VALUE"""),536.0)</f>
        <v>536</v>
      </c>
      <c r="B2075" s="5" t="str">
        <f>IFERROR(__xludf.DUMMYFUNCTION("""COMPUTED_VALUE"""),"هیأت")</f>
        <v>هیأت</v>
      </c>
      <c r="C2075" s="5" t="str">
        <f>IFERROR(__xludf.DUMMYFUNCTION("""COMPUTED_VALUE"""),"یاوران حضرت مهدی (عج)")</f>
        <v>یاوران حضرت مهدی (عج)</v>
      </c>
      <c r="D2075" s="5" t="str">
        <f>IFERROR(__xludf.DUMMYFUNCTION("""COMPUTED_VALUE"""),"آذربایجان غربی")</f>
        <v>آذربایجان غربی</v>
      </c>
      <c r="E2075" s="5" t="str">
        <f>IFERROR(__xludf.DUMMYFUNCTION("""COMPUTED_VALUE"""),"ارومیه")</f>
        <v>ارومیه</v>
      </c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</row>
    <row r="2076">
      <c r="A2076" s="5">
        <f>IFERROR(__xludf.DUMMYFUNCTION("""COMPUTED_VALUE"""),535.0)</f>
        <v>535</v>
      </c>
      <c r="B2076" s="5" t="str">
        <f>IFERROR(__xludf.DUMMYFUNCTION("""COMPUTED_VALUE"""),"هیأت")</f>
        <v>هیأت</v>
      </c>
      <c r="C2076" s="5" t="str">
        <f>IFERROR(__xludf.DUMMYFUNCTION("""COMPUTED_VALUE"""),"زین العابدین (ع)")</f>
        <v>زین العابدین (ع)</v>
      </c>
      <c r="D2076" s="5" t="str">
        <f>IFERROR(__xludf.DUMMYFUNCTION("""COMPUTED_VALUE"""),"آذربایجان غربی")</f>
        <v>آذربایجان غربی</v>
      </c>
      <c r="E2076" s="5" t="str">
        <f>IFERROR(__xludf.DUMMYFUNCTION("""COMPUTED_VALUE"""),"ارومیه")</f>
        <v>ارومیه</v>
      </c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</row>
    <row r="2077">
      <c r="A2077" s="5">
        <f>IFERROR(__xludf.DUMMYFUNCTION("""COMPUTED_VALUE"""),534.0)</f>
        <v>534</v>
      </c>
      <c r="B2077" s="5" t="str">
        <f>IFERROR(__xludf.DUMMYFUNCTION("""COMPUTED_VALUE"""),"هیأت")</f>
        <v>هیأت</v>
      </c>
      <c r="C2077" s="5" t="str">
        <f>IFERROR(__xludf.DUMMYFUNCTION("""COMPUTED_VALUE"""),"کانون قرآنی جوانان سربازان امام زمان (عج)")</f>
        <v>کانون قرآنی جوانان سربازان امام زمان (عج)</v>
      </c>
      <c r="D2077" s="5" t="str">
        <f>IFERROR(__xludf.DUMMYFUNCTION("""COMPUTED_VALUE"""),"آذربایجان غربی")</f>
        <v>آذربایجان غربی</v>
      </c>
      <c r="E2077" s="5" t="str">
        <f>IFERROR(__xludf.DUMMYFUNCTION("""COMPUTED_VALUE"""),"ارومیه")</f>
        <v>ارومیه</v>
      </c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</row>
    <row r="2078">
      <c r="A2078" s="5">
        <f>IFERROR(__xludf.DUMMYFUNCTION("""COMPUTED_VALUE"""),532.0)</f>
        <v>532</v>
      </c>
      <c r="B2078" s="5" t="str">
        <f>IFERROR(__xludf.DUMMYFUNCTION("""COMPUTED_VALUE"""),"هیأت")</f>
        <v>هیأت</v>
      </c>
      <c r="C2078" s="5" t="str">
        <f>IFERROR(__xludf.DUMMYFUNCTION("""COMPUTED_VALUE"""),"نرجس خاتون (س)")</f>
        <v>نرجس خاتون (س)</v>
      </c>
      <c r="D2078" s="5" t="str">
        <f>IFERROR(__xludf.DUMMYFUNCTION("""COMPUTED_VALUE"""),"آذربایجان غربی")</f>
        <v>آذربایجان غربی</v>
      </c>
      <c r="E2078" s="5" t="str">
        <f>IFERROR(__xludf.DUMMYFUNCTION("""COMPUTED_VALUE"""),"ارومیه")</f>
        <v>ارومیه</v>
      </c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</row>
    <row r="2079">
      <c r="A2079" s="5">
        <f>IFERROR(__xludf.DUMMYFUNCTION("""COMPUTED_VALUE"""),531.0)</f>
        <v>531</v>
      </c>
      <c r="B2079" s="5" t="str">
        <f>IFERROR(__xludf.DUMMYFUNCTION("""COMPUTED_VALUE"""),"هیأت")</f>
        <v>هیأت</v>
      </c>
      <c r="C2079" s="5" t="str">
        <f>IFERROR(__xludf.DUMMYFUNCTION("""COMPUTED_VALUE"""),"عاشقان امام حسین (ع)")</f>
        <v>عاشقان امام حسین (ع)</v>
      </c>
      <c r="D2079" s="5" t="str">
        <f>IFERROR(__xludf.DUMMYFUNCTION("""COMPUTED_VALUE"""),"آذربایجان غربی")</f>
        <v>آذربایجان غربی</v>
      </c>
      <c r="E2079" s="5" t="str">
        <f>IFERROR(__xludf.DUMMYFUNCTION("""COMPUTED_VALUE"""),"ارومیه")</f>
        <v>ارومیه</v>
      </c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</row>
    <row r="2080">
      <c r="A2080" s="5">
        <f>IFERROR(__xludf.DUMMYFUNCTION("""COMPUTED_VALUE"""),529.0)</f>
        <v>529</v>
      </c>
      <c r="B2080" s="5" t="str">
        <f>IFERROR(__xludf.DUMMYFUNCTION("""COMPUTED_VALUE"""),"هیأت")</f>
        <v>هیأت</v>
      </c>
      <c r="C2080" s="5" t="str">
        <f>IFERROR(__xludf.DUMMYFUNCTION("""COMPUTED_VALUE"""),"خیره النسا (س)")</f>
        <v>خیره النسا (س)</v>
      </c>
      <c r="D2080" s="5" t="str">
        <f>IFERROR(__xludf.DUMMYFUNCTION("""COMPUTED_VALUE"""),"آذربایجان غربی")</f>
        <v>آذربایجان غربی</v>
      </c>
      <c r="E2080" s="5" t="str">
        <f>IFERROR(__xludf.DUMMYFUNCTION("""COMPUTED_VALUE"""),"ارومیه")</f>
        <v>ارومیه</v>
      </c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</row>
    <row r="2081">
      <c r="A2081" s="5">
        <f>IFERROR(__xludf.DUMMYFUNCTION("""COMPUTED_VALUE"""),527.0)</f>
        <v>527</v>
      </c>
      <c r="B2081" s="5" t="str">
        <f>IFERROR(__xludf.DUMMYFUNCTION("""COMPUTED_VALUE"""),"هیأت")</f>
        <v>هیأت</v>
      </c>
      <c r="C2081" s="5" t="str">
        <f>IFERROR(__xludf.DUMMYFUNCTION("""COMPUTED_VALUE"""),"چهارده معصوم (ع)")</f>
        <v>چهارده معصوم (ع)</v>
      </c>
      <c r="D2081" s="5" t="str">
        <f>IFERROR(__xludf.DUMMYFUNCTION("""COMPUTED_VALUE"""),"آذربایجان غربی")</f>
        <v>آذربایجان غربی</v>
      </c>
      <c r="E2081" s="5" t="str">
        <f>IFERROR(__xludf.DUMMYFUNCTION("""COMPUTED_VALUE"""),"ارومیه")</f>
        <v>ارومیه</v>
      </c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</row>
    <row r="2082">
      <c r="A2082" s="5">
        <f>IFERROR(__xludf.DUMMYFUNCTION("""COMPUTED_VALUE"""),526.0)</f>
        <v>526</v>
      </c>
      <c r="B2082" s="5" t="str">
        <f>IFERROR(__xludf.DUMMYFUNCTION("""COMPUTED_VALUE"""),"هیأت")</f>
        <v>هیأت</v>
      </c>
      <c r="C2082" s="5" t="str">
        <f>IFERROR(__xludf.DUMMYFUNCTION("""COMPUTED_VALUE"""),"مجمع نوجوانان ارومیه")</f>
        <v>مجمع نوجوانان ارومیه</v>
      </c>
      <c r="D2082" s="5" t="str">
        <f>IFERROR(__xludf.DUMMYFUNCTION("""COMPUTED_VALUE"""),"آذربایجان غربی")</f>
        <v>آذربایجان غربی</v>
      </c>
      <c r="E2082" s="5" t="str">
        <f>IFERROR(__xludf.DUMMYFUNCTION("""COMPUTED_VALUE"""),"ارومیه")</f>
        <v>ارومیه</v>
      </c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</row>
    <row r="2083">
      <c r="A2083" s="5">
        <f>IFERROR(__xludf.DUMMYFUNCTION("""COMPUTED_VALUE"""),525.0)</f>
        <v>525</v>
      </c>
      <c r="B2083" s="5" t="str">
        <f>IFERROR(__xludf.DUMMYFUNCTION("""COMPUTED_VALUE"""),"هیأت")</f>
        <v>هیأت</v>
      </c>
      <c r="C2083" s="5" t="str">
        <f>IFERROR(__xludf.DUMMYFUNCTION("""COMPUTED_VALUE"""),"کانون فرهنگی تربیتی منتظران مصلح (عج)")</f>
        <v>کانون فرهنگی تربیتی منتظران مصلح (عج)</v>
      </c>
      <c r="D2083" s="5" t="str">
        <f>IFERROR(__xludf.DUMMYFUNCTION("""COMPUTED_VALUE"""),"آذربایجان غربی")</f>
        <v>آذربایجان غربی</v>
      </c>
      <c r="E2083" s="5" t="str">
        <f>IFERROR(__xludf.DUMMYFUNCTION("""COMPUTED_VALUE"""),"ارومیه")</f>
        <v>ارومیه</v>
      </c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</row>
    <row r="2084">
      <c r="A2084" s="5">
        <f>IFERROR(__xludf.DUMMYFUNCTION("""COMPUTED_VALUE"""),520.0)</f>
        <v>520</v>
      </c>
      <c r="B2084" s="5" t="str">
        <f>IFERROR(__xludf.DUMMYFUNCTION("""COMPUTED_VALUE"""),"هیأت")</f>
        <v>هیأت</v>
      </c>
      <c r="C2084" s="5" t="str">
        <f>IFERROR(__xludf.DUMMYFUNCTION("""COMPUTED_VALUE"""),"سربازان امام زمان (عج)")</f>
        <v>سربازان امام زمان (عج)</v>
      </c>
      <c r="D2084" s="5" t="str">
        <f>IFERROR(__xludf.DUMMYFUNCTION("""COMPUTED_VALUE"""),"آذربایجان غربی")</f>
        <v>آذربایجان غربی</v>
      </c>
      <c r="E2084" s="5" t="str">
        <f>IFERROR(__xludf.DUMMYFUNCTION("""COMPUTED_VALUE"""),"ارومیه")</f>
        <v>ارومیه</v>
      </c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</row>
    <row r="2085">
      <c r="A2085" s="5">
        <f>IFERROR(__xludf.DUMMYFUNCTION("""COMPUTED_VALUE"""),519.0)</f>
        <v>519</v>
      </c>
      <c r="B2085" s="5" t="str">
        <f>IFERROR(__xludf.DUMMYFUNCTION("""COMPUTED_VALUE"""),"هیأت")</f>
        <v>هیأت</v>
      </c>
      <c r="C2085" s="5" t="str">
        <f>IFERROR(__xludf.DUMMYFUNCTION("""COMPUTED_VALUE"""),"متوسلین به قرآن و عترت")</f>
        <v>متوسلین به قرآن و عترت</v>
      </c>
      <c r="D2085" s="5" t="str">
        <f>IFERROR(__xludf.DUMMYFUNCTION("""COMPUTED_VALUE"""),"آذربایجان غربی")</f>
        <v>آذربایجان غربی</v>
      </c>
      <c r="E2085" s="5" t="str">
        <f>IFERROR(__xludf.DUMMYFUNCTION("""COMPUTED_VALUE"""),"ارومیه")</f>
        <v>ارومیه</v>
      </c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</row>
    <row r="2086">
      <c r="A2086" s="5">
        <f>IFERROR(__xludf.DUMMYFUNCTION("""COMPUTED_VALUE"""),518.0)</f>
        <v>518</v>
      </c>
      <c r="B2086" s="5" t="str">
        <f>IFERROR(__xludf.DUMMYFUNCTION("""COMPUTED_VALUE"""),"هیأت")</f>
        <v>هیأت</v>
      </c>
      <c r="C2086" s="5" t="str">
        <f>IFERROR(__xludf.DUMMYFUNCTION("""COMPUTED_VALUE"""),"قرآن و عترت")</f>
        <v>قرآن و عترت</v>
      </c>
      <c r="D2086" s="5" t="str">
        <f>IFERROR(__xludf.DUMMYFUNCTION("""COMPUTED_VALUE"""),"آذربایجان غربی")</f>
        <v>آذربایجان غربی</v>
      </c>
      <c r="E2086" s="5" t="str">
        <f>IFERROR(__xludf.DUMMYFUNCTION("""COMPUTED_VALUE"""),"ارومیه")</f>
        <v>ارومیه</v>
      </c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</row>
    <row r="2087">
      <c r="A2087" s="5">
        <f>IFERROR(__xludf.DUMMYFUNCTION("""COMPUTED_VALUE"""),517.0)</f>
        <v>517</v>
      </c>
      <c r="B2087" s="5" t="str">
        <f>IFERROR(__xludf.DUMMYFUNCTION("""COMPUTED_VALUE"""),"هیأت")</f>
        <v>هیأت</v>
      </c>
      <c r="C2087" s="5" t="str">
        <f>IFERROR(__xludf.DUMMYFUNCTION("""COMPUTED_VALUE"""),"شیفتگان علمدار کربلا (ع)")</f>
        <v>شیفتگان علمدار کربلا (ع)</v>
      </c>
      <c r="D2087" s="5" t="str">
        <f>IFERROR(__xludf.DUMMYFUNCTION("""COMPUTED_VALUE"""),"آذربایجان غربی")</f>
        <v>آذربایجان غربی</v>
      </c>
      <c r="E2087" s="5" t="str">
        <f>IFERROR(__xludf.DUMMYFUNCTION("""COMPUTED_VALUE"""),"ارومیه")</f>
        <v>ارومیه</v>
      </c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</row>
    <row r="2088">
      <c r="A2088" s="5">
        <f>IFERROR(__xludf.DUMMYFUNCTION("""COMPUTED_VALUE"""),516.0)</f>
        <v>516</v>
      </c>
      <c r="B2088" s="5" t="str">
        <f>IFERROR(__xludf.DUMMYFUNCTION("""COMPUTED_VALUE"""),"هیأت")</f>
        <v>هیأت</v>
      </c>
      <c r="C2088" s="5" t="str">
        <f>IFERROR(__xludf.DUMMYFUNCTION("""COMPUTED_VALUE"""),"جوانان علمدار کربلا (ع)")</f>
        <v>جوانان علمدار کربلا (ع)</v>
      </c>
      <c r="D2088" s="5" t="str">
        <f>IFERROR(__xludf.DUMMYFUNCTION("""COMPUTED_VALUE"""),"آذربایجان غربی")</f>
        <v>آذربایجان غربی</v>
      </c>
      <c r="E2088" s="5" t="str">
        <f>IFERROR(__xludf.DUMMYFUNCTION("""COMPUTED_VALUE"""),"ارومیه")</f>
        <v>ارومیه</v>
      </c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</row>
    <row r="2089">
      <c r="A2089" s="5">
        <f>IFERROR(__xludf.DUMMYFUNCTION("""COMPUTED_VALUE"""),515.0)</f>
        <v>515</v>
      </c>
      <c r="B2089" s="5" t="str">
        <f>IFERROR(__xludf.DUMMYFUNCTION("""COMPUTED_VALUE"""),"هیأت")</f>
        <v>هیأت</v>
      </c>
      <c r="C2089" s="5" t="str">
        <f>IFERROR(__xludf.DUMMYFUNCTION("""COMPUTED_VALUE"""),"قیام حضرت زینب (س)")</f>
        <v>قیام حضرت زینب (س)</v>
      </c>
      <c r="D2089" s="5" t="str">
        <f>IFERROR(__xludf.DUMMYFUNCTION("""COMPUTED_VALUE"""),"آذربایجان غربی")</f>
        <v>آذربایجان غربی</v>
      </c>
      <c r="E2089" s="5" t="str">
        <f>IFERROR(__xludf.DUMMYFUNCTION("""COMPUTED_VALUE"""),"ارومیه")</f>
        <v>ارومیه</v>
      </c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</row>
    <row r="2090">
      <c r="A2090" s="5">
        <f>IFERROR(__xludf.DUMMYFUNCTION("""COMPUTED_VALUE"""),514.0)</f>
        <v>514</v>
      </c>
      <c r="B2090" s="5" t="str">
        <f>IFERROR(__xludf.DUMMYFUNCTION("""COMPUTED_VALUE"""),"هیأت")</f>
        <v>هیأت</v>
      </c>
      <c r="C2090" s="5" t="str">
        <f>IFERROR(__xludf.DUMMYFUNCTION("""COMPUTED_VALUE"""),"حضرت امیرالمومنین حیدر (ع)")</f>
        <v>حضرت امیرالمومنین حیدر (ع)</v>
      </c>
      <c r="D2090" s="5" t="str">
        <f>IFERROR(__xludf.DUMMYFUNCTION("""COMPUTED_VALUE"""),"آذربایجان غربی")</f>
        <v>آذربایجان غربی</v>
      </c>
      <c r="E2090" s="5" t="str">
        <f>IFERROR(__xludf.DUMMYFUNCTION("""COMPUTED_VALUE"""),"ارومیه")</f>
        <v>ارومیه</v>
      </c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</row>
    <row r="2091">
      <c r="A2091" s="5">
        <f>IFERROR(__xludf.DUMMYFUNCTION("""COMPUTED_VALUE"""),513.0)</f>
        <v>513</v>
      </c>
      <c r="B2091" s="5" t="str">
        <f>IFERROR(__xludf.DUMMYFUNCTION("""COMPUTED_VALUE"""),"هیأت")</f>
        <v>هیأت</v>
      </c>
      <c r="C2091" s="5" t="str">
        <f>IFERROR(__xludf.DUMMYFUNCTION("""COMPUTED_VALUE"""),"عاشورائیان")</f>
        <v>عاشورائیان</v>
      </c>
      <c r="D2091" s="5" t="str">
        <f>IFERROR(__xludf.DUMMYFUNCTION("""COMPUTED_VALUE"""),"آذربایجان غربی")</f>
        <v>آذربایجان غربی</v>
      </c>
      <c r="E2091" s="5" t="str">
        <f>IFERROR(__xludf.DUMMYFUNCTION("""COMPUTED_VALUE"""),"ارومیه")</f>
        <v>ارومیه</v>
      </c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</row>
    <row r="2092">
      <c r="A2092" s="5">
        <f>IFERROR(__xludf.DUMMYFUNCTION("""COMPUTED_VALUE"""),512.0)</f>
        <v>512</v>
      </c>
      <c r="B2092" s="5" t="str">
        <f>IFERROR(__xludf.DUMMYFUNCTION("""COMPUTED_VALUE"""),"هیأت")</f>
        <v>هیأت</v>
      </c>
      <c r="C2092" s="5" t="str">
        <f>IFERROR(__xludf.DUMMYFUNCTION("""COMPUTED_VALUE"""),"مسجد نبی اکرم (ص)")</f>
        <v>مسجد نبی اکرم (ص)</v>
      </c>
      <c r="D2092" s="5" t="str">
        <f>IFERROR(__xludf.DUMMYFUNCTION("""COMPUTED_VALUE"""),"آذربایجان غربی")</f>
        <v>آذربایجان غربی</v>
      </c>
      <c r="E2092" s="5" t="str">
        <f>IFERROR(__xludf.DUMMYFUNCTION("""COMPUTED_VALUE"""),"ارومیه")</f>
        <v>ارومیه</v>
      </c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</row>
    <row r="2093">
      <c r="A2093" s="5">
        <f>IFERROR(__xludf.DUMMYFUNCTION("""COMPUTED_VALUE"""),510.0)</f>
        <v>510</v>
      </c>
      <c r="B2093" s="5" t="str">
        <f>IFERROR(__xludf.DUMMYFUNCTION("""COMPUTED_VALUE"""),"هیأت")</f>
        <v>هیأت</v>
      </c>
      <c r="C2093" s="5" t="str">
        <f>IFERROR(__xludf.DUMMYFUNCTION("""COMPUTED_VALUE"""),"مکتب المهدی (عج)")</f>
        <v>مکتب المهدی (عج)</v>
      </c>
      <c r="D2093" s="5" t="str">
        <f>IFERROR(__xludf.DUMMYFUNCTION("""COMPUTED_VALUE"""),"آذربایجان غربی")</f>
        <v>آذربایجان غربی</v>
      </c>
      <c r="E2093" s="5" t="str">
        <f>IFERROR(__xludf.DUMMYFUNCTION("""COMPUTED_VALUE"""),"ارومیه")</f>
        <v>ارومیه</v>
      </c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</row>
    <row r="2094">
      <c r="A2094" s="5">
        <f>IFERROR(__xludf.DUMMYFUNCTION("""COMPUTED_VALUE"""),506.0)</f>
        <v>506</v>
      </c>
      <c r="B2094" s="5" t="str">
        <f>IFERROR(__xludf.DUMMYFUNCTION("""COMPUTED_VALUE"""),"هیأت")</f>
        <v>هیأت</v>
      </c>
      <c r="C2094" s="5" t="str">
        <f>IFERROR(__xludf.DUMMYFUNCTION("""COMPUTED_VALUE"""),"کانون شهید جهان آرا (دارالحافظین)")</f>
        <v>کانون شهید جهان آرا (دارالحافظین)</v>
      </c>
      <c r="D2094" s="5" t="str">
        <f>IFERROR(__xludf.DUMMYFUNCTION("""COMPUTED_VALUE"""),"آذربایجان غربی")</f>
        <v>آذربایجان غربی</v>
      </c>
      <c r="E2094" s="5" t="str">
        <f>IFERROR(__xludf.DUMMYFUNCTION("""COMPUTED_VALUE"""),"ارومیه")</f>
        <v>ارومیه</v>
      </c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</row>
    <row r="2095">
      <c r="A2095" s="5">
        <f>IFERROR(__xludf.DUMMYFUNCTION("""COMPUTED_VALUE"""),502.0)</f>
        <v>502</v>
      </c>
      <c r="B2095" s="5" t="str">
        <f>IFERROR(__xludf.DUMMYFUNCTION("""COMPUTED_VALUE"""),"هیأت")</f>
        <v>هیأت</v>
      </c>
      <c r="C2095" s="5" t="str">
        <f>IFERROR(__xludf.DUMMYFUNCTION("""COMPUTED_VALUE"""),"حضرت رقیه باب الحوائج (س)")</f>
        <v>حضرت رقیه باب الحوائج (س)</v>
      </c>
      <c r="D2095" s="5" t="str">
        <f>IFERROR(__xludf.DUMMYFUNCTION("""COMPUTED_VALUE"""),"آذربایجان غربی")</f>
        <v>آذربایجان غربی</v>
      </c>
      <c r="E2095" s="5" t="str">
        <f>IFERROR(__xludf.DUMMYFUNCTION("""COMPUTED_VALUE"""),"ارومیه")</f>
        <v>ارومیه</v>
      </c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</row>
    <row r="2096">
      <c r="A2096" s="5">
        <f>IFERROR(__xludf.DUMMYFUNCTION("""COMPUTED_VALUE"""),498.0)</f>
        <v>498</v>
      </c>
      <c r="B2096" s="5" t="str">
        <f>IFERROR(__xludf.DUMMYFUNCTION("""COMPUTED_VALUE"""),"هیأت")</f>
        <v>هیأت</v>
      </c>
      <c r="C2096" s="5" t="str">
        <f>IFERROR(__xludf.DUMMYFUNCTION("""COMPUTED_VALUE"""),"قمربنی هاشم (ع)")</f>
        <v>قمربنی هاشم (ع)</v>
      </c>
      <c r="D2096" s="5" t="str">
        <f>IFERROR(__xludf.DUMMYFUNCTION("""COMPUTED_VALUE"""),"آذربایجان غربی")</f>
        <v>آذربایجان غربی</v>
      </c>
      <c r="E2096" s="5" t="str">
        <f>IFERROR(__xludf.DUMMYFUNCTION("""COMPUTED_VALUE"""),"ارومیه")</f>
        <v>ارومیه</v>
      </c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</row>
    <row r="2097">
      <c r="A2097" s="5">
        <f>IFERROR(__xludf.DUMMYFUNCTION("""COMPUTED_VALUE"""),496.0)</f>
        <v>496</v>
      </c>
      <c r="B2097" s="5" t="str">
        <f>IFERROR(__xludf.DUMMYFUNCTION("""COMPUTED_VALUE"""),"هیأت")</f>
        <v>هیأت</v>
      </c>
      <c r="C2097" s="5" t="str">
        <f>IFERROR(__xludf.DUMMYFUNCTION("""COMPUTED_VALUE"""),"فدائیان امام عصر (عج)")</f>
        <v>فدائیان امام عصر (عج)</v>
      </c>
      <c r="D2097" s="5" t="str">
        <f>IFERROR(__xludf.DUMMYFUNCTION("""COMPUTED_VALUE"""),"آذربایجان غربی")</f>
        <v>آذربایجان غربی</v>
      </c>
      <c r="E2097" s="5" t="str">
        <f>IFERROR(__xludf.DUMMYFUNCTION("""COMPUTED_VALUE"""),"ارومیه")</f>
        <v>ارومیه</v>
      </c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</row>
    <row r="2098">
      <c r="A2098" s="5">
        <f>IFERROR(__xludf.DUMMYFUNCTION("""COMPUTED_VALUE"""),495.0)</f>
        <v>495</v>
      </c>
      <c r="B2098" s="5" t="str">
        <f>IFERROR(__xludf.DUMMYFUNCTION("""COMPUTED_VALUE"""),"هیأت")</f>
        <v>هیأت</v>
      </c>
      <c r="C2098" s="5" t="str">
        <f>IFERROR(__xludf.DUMMYFUNCTION("""COMPUTED_VALUE"""),"عاشقان حضرت رقیه (س)")</f>
        <v>عاشقان حضرت رقیه (س)</v>
      </c>
      <c r="D2098" s="5" t="str">
        <f>IFERROR(__xludf.DUMMYFUNCTION("""COMPUTED_VALUE"""),"آذربایجان غربی")</f>
        <v>آذربایجان غربی</v>
      </c>
      <c r="E2098" s="5" t="str">
        <f>IFERROR(__xludf.DUMMYFUNCTION("""COMPUTED_VALUE"""),"ارومیه")</f>
        <v>ارومیه</v>
      </c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</row>
    <row r="2099">
      <c r="A2099" s="5">
        <f>IFERROR(__xludf.DUMMYFUNCTION("""COMPUTED_VALUE"""),493.0)</f>
        <v>493</v>
      </c>
      <c r="B2099" s="5" t="str">
        <f>IFERROR(__xludf.DUMMYFUNCTION("""COMPUTED_VALUE"""),"هیأت")</f>
        <v>هیأت</v>
      </c>
      <c r="C2099" s="5" t="str">
        <f>IFERROR(__xludf.DUMMYFUNCTION("""COMPUTED_VALUE"""),"یاس کبود")</f>
        <v>یاس کبود</v>
      </c>
      <c r="D2099" s="5" t="str">
        <f>IFERROR(__xludf.DUMMYFUNCTION("""COMPUTED_VALUE"""),"آذربایجان غربی")</f>
        <v>آذربایجان غربی</v>
      </c>
      <c r="E2099" s="5" t="str">
        <f>IFERROR(__xludf.DUMMYFUNCTION("""COMPUTED_VALUE"""),"ارومیه")</f>
        <v>ارومیه</v>
      </c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</row>
    <row r="2100">
      <c r="A2100" s="5">
        <f>IFERROR(__xludf.DUMMYFUNCTION("""COMPUTED_VALUE"""),491.0)</f>
        <v>491</v>
      </c>
      <c r="B2100" s="5" t="str">
        <f>IFERROR(__xludf.DUMMYFUNCTION("""COMPUTED_VALUE"""),"هیأت")</f>
        <v>هیأت</v>
      </c>
      <c r="C2100" s="5" t="str">
        <f>IFERROR(__xludf.DUMMYFUNCTION("""COMPUTED_VALUE"""),"پایگاه امام سجاد (ع)")</f>
        <v>پایگاه امام سجاد (ع)</v>
      </c>
      <c r="D2100" s="5" t="str">
        <f>IFERROR(__xludf.DUMMYFUNCTION("""COMPUTED_VALUE"""),"آذربایجان غربی")</f>
        <v>آذربایجان غربی</v>
      </c>
      <c r="E2100" s="5" t="str">
        <f>IFERROR(__xludf.DUMMYFUNCTION("""COMPUTED_VALUE"""),"ارومیه")</f>
        <v>ارومیه</v>
      </c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</row>
    <row r="2101">
      <c r="A2101" s="5">
        <f>IFERROR(__xludf.DUMMYFUNCTION("""COMPUTED_VALUE"""),490.0)</f>
        <v>490</v>
      </c>
      <c r="B2101" s="5" t="str">
        <f>IFERROR(__xludf.DUMMYFUNCTION("""COMPUTED_VALUE"""),"هیأت")</f>
        <v>هیأت</v>
      </c>
      <c r="C2101" s="5" t="str">
        <f>IFERROR(__xludf.DUMMYFUNCTION("""COMPUTED_VALUE"""),"قرآنی و فرهنگی عشیره الاقربین")</f>
        <v>قرآنی و فرهنگی عشیره الاقربین</v>
      </c>
      <c r="D2101" s="5" t="str">
        <f>IFERROR(__xludf.DUMMYFUNCTION("""COMPUTED_VALUE"""),"آذربایجان غربی")</f>
        <v>آذربایجان غربی</v>
      </c>
      <c r="E2101" s="5" t="str">
        <f>IFERROR(__xludf.DUMMYFUNCTION("""COMPUTED_VALUE"""),"ارومیه")</f>
        <v>ارومیه</v>
      </c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</row>
    <row r="2102">
      <c r="A2102" s="5">
        <f>IFERROR(__xludf.DUMMYFUNCTION("""COMPUTED_VALUE"""),489.0)</f>
        <v>489</v>
      </c>
      <c r="B2102" s="5" t="str">
        <f>IFERROR(__xludf.DUMMYFUNCTION("""COMPUTED_VALUE"""),"هیأت")</f>
        <v>هیأت</v>
      </c>
      <c r="C2102" s="5" t="str">
        <f>IFERROR(__xludf.DUMMYFUNCTION("""COMPUTED_VALUE"""),"موسسه پیروان آل یاسین")</f>
        <v>موسسه پیروان آل یاسین</v>
      </c>
      <c r="D2102" s="5" t="str">
        <f>IFERROR(__xludf.DUMMYFUNCTION("""COMPUTED_VALUE"""),"آذربایجان غربی")</f>
        <v>آذربایجان غربی</v>
      </c>
      <c r="E2102" s="5" t="str">
        <f>IFERROR(__xludf.DUMMYFUNCTION("""COMPUTED_VALUE"""),"ارومیه")</f>
        <v>ارومیه</v>
      </c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</row>
    <row r="2103">
      <c r="A2103" s="5">
        <f>IFERROR(__xludf.DUMMYFUNCTION("""COMPUTED_VALUE"""),488.0)</f>
        <v>488</v>
      </c>
      <c r="B2103" s="5" t="str">
        <f>IFERROR(__xludf.DUMMYFUNCTION("""COMPUTED_VALUE"""),"هیأت")</f>
        <v>هیأت</v>
      </c>
      <c r="C2103" s="5" t="str">
        <f>IFERROR(__xludf.DUMMYFUNCTION("""COMPUTED_VALUE"""),"موسسه دارالحافظین قرآن کریم")</f>
        <v>موسسه دارالحافظین قرآن کریم</v>
      </c>
      <c r="D2103" s="5" t="str">
        <f>IFERROR(__xludf.DUMMYFUNCTION("""COMPUTED_VALUE"""),"آذربایجان غربی")</f>
        <v>آذربایجان غربی</v>
      </c>
      <c r="E2103" s="5" t="str">
        <f>IFERROR(__xludf.DUMMYFUNCTION("""COMPUTED_VALUE"""),"ارومیه")</f>
        <v>ارومیه</v>
      </c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</row>
    <row r="2104">
      <c r="A2104" s="5">
        <f>IFERROR(__xludf.DUMMYFUNCTION("""COMPUTED_VALUE"""),486.0)</f>
        <v>486</v>
      </c>
      <c r="B2104" s="5" t="str">
        <f>IFERROR(__xludf.DUMMYFUNCTION("""COMPUTED_VALUE"""),"هیأت")</f>
        <v>هیأت</v>
      </c>
      <c r="C2104" s="5" t="str">
        <f>IFERROR(__xludf.DUMMYFUNCTION("""COMPUTED_VALUE"""),"عاشقان مهدی (عج)")</f>
        <v>عاشقان مهدی (عج)</v>
      </c>
      <c r="D2104" s="5" t="str">
        <f>IFERROR(__xludf.DUMMYFUNCTION("""COMPUTED_VALUE"""),"آذربایجان غربی")</f>
        <v>آذربایجان غربی</v>
      </c>
      <c r="E2104" s="5" t="str">
        <f>IFERROR(__xludf.DUMMYFUNCTION("""COMPUTED_VALUE"""),"ارومیه")</f>
        <v>ارومیه</v>
      </c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</row>
    <row r="2105">
      <c r="A2105" s="5">
        <f>IFERROR(__xludf.DUMMYFUNCTION("""COMPUTED_VALUE"""),485.0)</f>
        <v>485</v>
      </c>
      <c r="B2105" s="5" t="str">
        <f>IFERROR(__xludf.DUMMYFUNCTION("""COMPUTED_VALUE"""),"هیأت")</f>
        <v>هیأت</v>
      </c>
      <c r="C2105" s="5" t="str">
        <f>IFERROR(__xludf.DUMMYFUNCTION("""COMPUTED_VALUE"""),"عزاداران قمربنی هاشم (ع) (مسجد امام هادی (ع) کشتارگاه)")</f>
        <v>عزاداران قمربنی هاشم (ع) (مسجد امام هادی (ع) کشتارگاه)</v>
      </c>
      <c r="D2105" s="5" t="str">
        <f>IFERROR(__xludf.DUMMYFUNCTION("""COMPUTED_VALUE"""),"آذربایجان غربی")</f>
        <v>آذربایجان غربی</v>
      </c>
      <c r="E2105" s="5" t="str">
        <f>IFERROR(__xludf.DUMMYFUNCTION("""COMPUTED_VALUE"""),"ارومیه")</f>
        <v>ارومیه</v>
      </c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</row>
    <row r="2106">
      <c r="A2106" s="5">
        <f>IFERROR(__xludf.DUMMYFUNCTION("""COMPUTED_VALUE"""),484.0)</f>
        <v>484</v>
      </c>
      <c r="B2106" s="5" t="str">
        <f>IFERROR(__xludf.DUMMYFUNCTION("""COMPUTED_VALUE"""),"هیأت")</f>
        <v>هیأت</v>
      </c>
      <c r="C2106" s="5" t="str">
        <f>IFERROR(__xludf.DUMMYFUNCTION("""COMPUTED_VALUE"""),"حضرت علی اکبر (ع) / آل یاسین")</f>
        <v>حضرت علی اکبر (ع) / آل یاسین</v>
      </c>
      <c r="D2106" s="5" t="str">
        <f>IFERROR(__xludf.DUMMYFUNCTION("""COMPUTED_VALUE"""),"آذربایجان غربی")</f>
        <v>آذربایجان غربی</v>
      </c>
      <c r="E2106" s="5" t="str">
        <f>IFERROR(__xludf.DUMMYFUNCTION("""COMPUTED_VALUE"""),"ارومیه")</f>
        <v>ارومیه</v>
      </c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</row>
    <row r="2107">
      <c r="A2107" s="5">
        <f>IFERROR(__xludf.DUMMYFUNCTION("""COMPUTED_VALUE"""),483.0)</f>
        <v>483</v>
      </c>
      <c r="B2107" s="5" t="str">
        <f>IFERROR(__xludf.DUMMYFUNCTION("""COMPUTED_VALUE"""),"هیأت")</f>
        <v>هیأت</v>
      </c>
      <c r="C2107" s="5" t="str">
        <f>IFERROR(__xludf.DUMMYFUNCTION("""COMPUTED_VALUE"""),"مسجد کوثر")</f>
        <v>مسجد کوثر</v>
      </c>
      <c r="D2107" s="5" t="str">
        <f>IFERROR(__xludf.DUMMYFUNCTION("""COMPUTED_VALUE"""),"آذربایجان غربی")</f>
        <v>آذربایجان غربی</v>
      </c>
      <c r="E2107" s="5" t="str">
        <f>IFERROR(__xludf.DUMMYFUNCTION("""COMPUTED_VALUE"""),"ارومیه")</f>
        <v>ارومیه</v>
      </c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</row>
    <row r="2108">
      <c r="A2108" s="5">
        <f>IFERROR(__xludf.DUMMYFUNCTION("""COMPUTED_VALUE"""),482.0)</f>
        <v>482</v>
      </c>
      <c r="B2108" s="5" t="str">
        <f>IFERROR(__xludf.DUMMYFUNCTION("""COMPUTED_VALUE"""),"هیأت")</f>
        <v>هیأت</v>
      </c>
      <c r="C2108" s="5" t="str">
        <f>IFERROR(__xludf.DUMMYFUNCTION("""COMPUTED_VALUE"""),"شیفتگان حضرت ولی عصر (عج)")</f>
        <v>شیفتگان حضرت ولی عصر (عج)</v>
      </c>
      <c r="D2108" s="5" t="str">
        <f>IFERROR(__xludf.DUMMYFUNCTION("""COMPUTED_VALUE"""),"آذربایجان غربی")</f>
        <v>آذربایجان غربی</v>
      </c>
      <c r="E2108" s="5" t="str">
        <f>IFERROR(__xludf.DUMMYFUNCTION("""COMPUTED_VALUE"""),"ارومیه")</f>
        <v>ارومیه</v>
      </c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</row>
    <row r="2109">
      <c r="A2109" s="5">
        <f>IFERROR(__xludf.DUMMYFUNCTION("""COMPUTED_VALUE"""),479.0)</f>
        <v>479</v>
      </c>
      <c r="B2109" s="5" t="str">
        <f>IFERROR(__xludf.DUMMYFUNCTION("""COMPUTED_VALUE"""),"هیأت")</f>
        <v>هیأت</v>
      </c>
      <c r="C2109" s="5" t="str">
        <f>IFERROR(__xludf.DUMMYFUNCTION("""COMPUTED_VALUE"""),"شیفتگان اباعبدالله الحسین (ع)")</f>
        <v>شیفتگان اباعبدالله الحسین (ع)</v>
      </c>
      <c r="D2109" s="5" t="str">
        <f>IFERROR(__xludf.DUMMYFUNCTION("""COMPUTED_VALUE"""),"آذربایجان غربی")</f>
        <v>آذربایجان غربی</v>
      </c>
      <c r="E2109" s="5" t="str">
        <f>IFERROR(__xludf.DUMMYFUNCTION("""COMPUTED_VALUE"""),"ارومیه")</f>
        <v>ارومیه</v>
      </c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</row>
    <row r="2110">
      <c r="A2110" s="5">
        <f>IFERROR(__xludf.DUMMYFUNCTION("""COMPUTED_VALUE"""),478.0)</f>
        <v>478</v>
      </c>
      <c r="B2110" s="5" t="str">
        <f>IFERROR(__xludf.DUMMYFUNCTION("""COMPUTED_VALUE"""),"هیأت")</f>
        <v>هیأت</v>
      </c>
      <c r="C2110" s="5" t="str">
        <f>IFERROR(__xludf.DUMMYFUNCTION("""COMPUTED_VALUE"""),"محسن بن علی (ع)")</f>
        <v>محسن بن علی (ع)</v>
      </c>
      <c r="D2110" s="5" t="str">
        <f>IFERROR(__xludf.DUMMYFUNCTION("""COMPUTED_VALUE"""),"آذربایجان غربی")</f>
        <v>آذربایجان غربی</v>
      </c>
      <c r="E2110" s="5" t="str">
        <f>IFERROR(__xludf.DUMMYFUNCTION("""COMPUTED_VALUE"""),"ارومیه")</f>
        <v>ارومیه</v>
      </c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</row>
    <row r="2111">
      <c r="A2111" s="5">
        <f>IFERROR(__xludf.DUMMYFUNCTION("""COMPUTED_VALUE"""),477.0)</f>
        <v>477</v>
      </c>
      <c r="B2111" s="5" t="str">
        <f>IFERROR(__xludf.DUMMYFUNCTION("""COMPUTED_VALUE"""),"هیأت")</f>
        <v>هیأت</v>
      </c>
      <c r="C2111" s="5" t="str">
        <f>IFERROR(__xludf.DUMMYFUNCTION("""COMPUTED_VALUE"""),"آل محمد (ص)")</f>
        <v>آل محمد (ص)</v>
      </c>
      <c r="D2111" s="5" t="str">
        <f>IFERROR(__xludf.DUMMYFUNCTION("""COMPUTED_VALUE"""),"آذربایجان غربی")</f>
        <v>آذربایجان غربی</v>
      </c>
      <c r="E2111" s="5" t="str">
        <f>IFERROR(__xludf.DUMMYFUNCTION("""COMPUTED_VALUE"""),"ارومیه")</f>
        <v>ارومیه</v>
      </c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</row>
    <row r="2112">
      <c r="A2112" s="5">
        <f>IFERROR(__xludf.DUMMYFUNCTION("""COMPUTED_VALUE"""),476.0)</f>
        <v>476</v>
      </c>
      <c r="B2112" s="5" t="str">
        <f>IFERROR(__xludf.DUMMYFUNCTION("""COMPUTED_VALUE"""),"هیأت")</f>
        <v>هیأت</v>
      </c>
      <c r="C2112" s="5" t="str">
        <f>IFERROR(__xludf.DUMMYFUNCTION("""COMPUTED_VALUE"""),"مجمع پیام آوران عصر بصیرت")</f>
        <v>مجمع پیام آوران عصر بصیرت</v>
      </c>
      <c r="D2112" s="5" t="str">
        <f>IFERROR(__xludf.DUMMYFUNCTION("""COMPUTED_VALUE"""),"آذربایجان غربی")</f>
        <v>آذربایجان غربی</v>
      </c>
      <c r="E2112" s="5" t="str">
        <f>IFERROR(__xludf.DUMMYFUNCTION("""COMPUTED_VALUE"""),"ارومیه")</f>
        <v>ارومیه</v>
      </c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</row>
    <row r="2113">
      <c r="A2113" s="5">
        <f>IFERROR(__xludf.DUMMYFUNCTION("""COMPUTED_VALUE"""),472.0)</f>
        <v>472</v>
      </c>
      <c r="B2113" s="5" t="str">
        <f>IFERROR(__xludf.DUMMYFUNCTION("""COMPUTED_VALUE"""),"هیأت")</f>
        <v>هیأت</v>
      </c>
      <c r="C2113" s="5" t="str">
        <f>IFERROR(__xludf.DUMMYFUNCTION("""COMPUTED_VALUE"""),"علی بن ابیطالب (ع) شهرک ایثار")</f>
        <v>علی بن ابیطالب (ع) شهرک ایثار</v>
      </c>
      <c r="D2113" s="5" t="str">
        <f>IFERROR(__xludf.DUMMYFUNCTION("""COMPUTED_VALUE"""),"آذربایجان غربی")</f>
        <v>آذربایجان غربی</v>
      </c>
      <c r="E2113" s="5" t="str">
        <f>IFERROR(__xludf.DUMMYFUNCTION("""COMPUTED_VALUE"""),"ارومیه")</f>
        <v>ارومیه</v>
      </c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</row>
    <row r="2114">
      <c r="A2114" s="5">
        <f>IFERROR(__xludf.DUMMYFUNCTION("""COMPUTED_VALUE"""),470.0)</f>
        <v>470</v>
      </c>
      <c r="B2114" s="5" t="str">
        <f>IFERROR(__xludf.DUMMYFUNCTION("""COMPUTED_VALUE"""),"هیأت")</f>
        <v>هیأت</v>
      </c>
      <c r="C2114" s="5" t="str">
        <f>IFERROR(__xludf.DUMMYFUNCTION("""COMPUTED_VALUE"""),"عاشقان امام رضا (ع)")</f>
        <v>عاشقان امام رضا (ع)</v>
      </c>
      <c r="D2114" s="5" t="str">
        <f>IFERROR(__xludf.DUMMYFUNCTION("""COMPUTED_VALUE"""),"آذربایجان غربی")</f>
        <v>آذربایجان غربی</v>
      </c>
      <c r="E2114" s="5" t="str">
        <f>IFERROR(__xludf.DUMMYFUNCTION("""COMPUTED_VALUE"""),"ارومیه")</f>
        <v>ارومیه</v>
      </c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</row>
    <row r="2115">
      <c r="A2115" s="5">
        <f>IFERROR(__xludf.DUMMYFUNCTION("""COMPUTED_VALUE"""),462.0)</f>
        <v>462</v>
      </c>
      <c r="B2115" s="5" t="str">
        <f>IFERROR(__xludf.DUMMYFUNCTION("""COMPUTED_VALUE"""),"هیأت")</f>
        <v>هیأت</v>
      </c>
      <c r="C2115" s="5" t="str">
        <f>IFERROR(__xludf.DUMMYFUNCTION("""COMPUTED_VALUE"""),"جامعه القرآن / یاوران ولایت")</f>
        <v>جامعه القرآن / یاوران ولایت</v>
      </c>
      <c r="D2115" s="5" t="str">
        <f>IFERROR(__xludf.DUMMYFUNCTION("""COMPUTED_VALUE"""),"آذربایجان غربی")</f>
        <v>آذربایجان غربی</v>
      </c>
      <c r="E2115" s="5" t="str">
        <f>IFERROR(__xludf.DUMMYFUNCTION("""COMPUTED_VALUE"""),"ارومیه")</f>
        <v>ارومیه</v>
      </c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</row>
    <row r="2116">
      <c r="A2116" s="5">
        <f>IFERROR(__xludf.DUMMYFUNCTION("""COMPUTED_VALUE"""),460.0)</f>
        <v>460</v>
      </c>
      <c r="B2116" s="5" t="str">
        <f>IFERROR(__xludf.DUMMYFUNCTION("""COMPUTED_VALUE"""),"هیأت")</f>
        <v>هیأت</v>
      </c>
      <c r="C2116" s="5" t="str">
        <f>IFERROR(__xludf.DUMMYFUNCTION("""COMPUTED_VALUE"""),"مهدی موعود (عج)")</f>
        <v>مهدی موعود (عج)</v>
      </c>
      <c r="D2116" s="5" t="str">
        <f>IFERROR(__xludf.DUMMYFUNCTION("""COMPUTED_VALUE"""),"آذربایجان غربی")</f>
        <v>آذربایجان غربی</v>
      </c>
      <c r="E2116" s="5" t="str">
        <f>IFERROR(__xludf.DUMMYFUNCTION("""COMPUTED_VALUE"""),"ارومیه")</f>
        <v>ارومیه</v>
      </c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</row>
    <row r="2117">
      <c r="A2117" s="5">
        <f>IFERROR(__xludf.DUMMYFUNCTION("""COMPUTED_VALUE"""),457.0)</f>
        <v>457</v>
      </c>
      <c r="B2117" s="5" t="str">
        <f>IFERROR(__xludf.DUMMYFUNCTION("""COMPUTED_VALUE"""),"هیأت")</f>
        <v>هیأت</v>
      </c>
      <c r="C2117" s="5" t="str">
        <f>IFERROR(__xludf.DUMMYFUNCTION("""COMPUTED_VALUE"""),"مجمع محبان آل یاسین")</f>
        <v>مجمع محبان آل یاسین</v>
      </c>
      <c r="D2117" s="5" t="str">
        <f>IFERROR(__xludf.DUMMYFUNCTION("""COMPUTED_VALUE"""),"آذربایجان غربی")</f>
        <v>آذربایجان غربی</v>
      </c>
      <c r="E2117" s="5" t="str">
        <f>IFERROR(__xludf.DUMMYFUNCTION("""COMPUTED_VALUE"""),"ارومیه")</f>
        <v>ارومیه</v>
      </c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</row>
    <row r="2118">
      <c r="A2118" s="5">
        <f>IFERROR(__xludf.DUMMYFUNCTION("""COMPUTED_VALUE"""),453.0)</f>
        <v>453</v>
      </c>
      <c r="B2118" s="5" t="str">
        <f>IFERROR(__xludf.DUMMYFUNCTION("""COMPUTED_VALUE"""),"هیأت")</f>
        <v>هیأت</v>
      </c>
      <c r="C2118" s="5" t="str">
        <f>IFERROR(__xludf.DUMMYFUNCTION("""COMPUTED_VALUE"""),"عاشقان امام رضا (ع)")</f>
        <v>عاشقان امام رضا (ع)</v>
      </c>
      <c r="D2118" s="5" t="str">
        <f>IFERROR(__xludf.DUMMYFUNCTION("""COMPUTED_VALUE"""),"آذربایجان غربی")</f>
        <v>آذربایجان غربی</v>
      </c>
      <c r="E2118" s="5" t="str">
        <f>IFERROR(__xludf.DUMMYFUNCTION("""COMPUTED_VALUE"""),"ارومیه")</f>
        <v>ارومیه</v>
      </c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</row>
    <row r="2119">
      <c r="A2119" s="5">
        <f>IFERROR(__xludf.DUMMYFUNCTION("""COMPUTED_VALUE"""),437.0)</f>
        <v>437</v>
      </c>
      <c r="B2119" s="5" t="str">
        <f>IFERROR(__xludf.DUMMYFUNCTION("""COMPUTED_VALUE"""),"هیأت")</f>
        <v>هیأت</v>
      </c>
      <c r="C2119" s="5" t="str">
        <f>IFERROR(__xludf.DUMMYFUNCTION("""COMPUTED_VALUE"""),"اباعبدالله الحسین (ع) (محفل عاشقان و رهروان شهدا)")</f>
        <v>اباعبدالله الحسین (ع) (محفل عاشقان و رهروان شهدا)</v>
      </c>
      <c r="D2119" s="5" t="str">
        <f>IFERROR(__xludf.DUMMYFUNCTION("""COMPUTED_VALUE"""),"آذربایجان غربی")</f>
        <v>آذربایجان غربی</v>
      </c>
      <c r="E2119" s="5" t="str">
        <f>IFERROR(__xludf.DUMMYFUNCTION("""COMPUTED_VALUE"""),"ارومیه")</f>
        <v>ارومیه</v>
      </c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</row>
    <row r="2120">
      <c r="A2120" s="5">
        <f>IFERROR(__xludf.DUMMYFUNCTION("""COMPUTED_VALUE"""),436.0)</f>
        <v>436</v>
      </c>
      <c r="B2120" s="5" t="str">
        <f>IFERROR(__xludf.DUMMYFUNCTION("""COMPUTED_VALUE"""),"هیأت")</f>
        <v>هیأت</v>
      </c>
      <c r="C2120" s="5" t="str">
        <f>IFERROR(__xludf.DUMMYFUNCTION("""COMPUTED_VALUE"""),"میثاق با شهدا")</f>
        <v>میثاق با شهدا</v>
      </c>
      <c r="D2120" s="5" t="str">
        <f>IFERROR(__xludf.DUMMYFUNCTION("""COMPUTED_VALUE"""),"آذربایجان غربی")</f>
        <v>آذربایجان غربی</v>
      </c>
      <c r="E2120" s="5" t="str">
        <f>IFERROR(__xludf.DUMMYFUNCTION("""COMPUTED_VALUE"""),"ارومیه")</f>
        <v>ارومیه</v>
      </c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</row>
    <row r="2121">
      <c r="A2121" s="5">
        <f>IFERROR(__xludf.DUMMYFUNCTION("""COMPUTED_VALUE"""),56.0)</f>
        <v>56</v>
      </c>
      <c r="B2121" s="5" t="str">
        <f>IFERROR(__xludf.DUMMYFUNCTION("""COMPUTED_VALUE"""),"هیأت")</f>
        <v>هیأت</v>
      </c>
      <c r="C2121" s="5" t="str">
        <f>IFERROR(__xludf.DUMMYFUNCTION("""COMPUTED_VALUE"""),"متوسلین اهل کسا (مسجد وکیل باشی)")</f>
        <v>متوسلین اهل کسا (مسجد وکیل باشی)</v>
      </c>
      <c r="D2121" s="5" t="str">
        <f>IFERROR(__xludf.DUMMYFUNCTION("""COMPUTED_VALUE"""),"آذربایجان غربی")</f>
        <v>آذربایجان غربی</v>
      </c>
      <c r="E2121" s="5" t="str">
        <f>IFERROR(__xludf.DUMMYFUNCTION("""COMPUTED_VALUE"""),"ارومیه")</f>
        <v>ارومیه</v>
      </c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</row>
    <row r="2122">
      <c r="A2122" s="5">
        <f>IFERROR(__xludf.DUMMYFUNCTION("""COMPUTED_VALUE"""),687.0)</f>
        <v>687</v>
      </c>
      <c r="B2122" s="5" t="str">
        <f>IFERROR(__xludf.DUMMYFUNCTION("""COMPUTED_VALUE"""),"هیأت")</f>
        <v>هیأت</v>
      </c>
      <c r="C2122" s="5" t="str">
        <f>IFERROR(__xludf.DUMMYFUNCTION("""COMPUTED_VALUE"""),"قرآنی (خواهران)")</f>
        <v>قرآنی (خواهران)</v>
      </c>
      <c r="D2122" s="5" t="str">
        <f>IFERROR(__xludf.DUMMYFUNCTION("""COMPUTED_VALUE"""),"آذربایجان غربی")</f>
        <v>آذربایجان غربی</v>
      </c>
      <c r="E2122" s="5" t="str">
        <f>IFERROR(__xludf.DUMMYFUNCTION("""COMPUTED_VALUE"""),"باروق")</f>
        <v>باروق</v>
      </c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</row>
    <row r="2123">
      <c r="A2123" s="5">
        <f>IFERROR(__xludf.DUMMYFUNCTION("""COMPUTED_VALUE"""),25301.0)</f>
        <v>25301</v>
      </c>
      <c r="B2123" s="5" t="str">
        <f>IFERROR(__xludf.DUMMYFUNCTION("""COMPUTED_VALUE"""),"هیأت")</f>
        <v>هیأت</v>
      </c>
      <c r="C2123" s="5" t="str">
        <f>IFERROR(__xludf.DUMMYFUNCTION("""COMPUTED_VALUE"""),"فاطمیه")</f>
        <v>فاطمیه</v>
      </c>
      <c r="D2123" s="5" t="str">
        <f>IFERROR(__xludf.DUMMYFUNCTION("""COMPUTED_VALUE"""),"آذربایجان غربی")</f>
        <v>آذربایجان غربی</v>
      </c>
      <c r="E2123" s="5" t="str">
        <f>IFERROR(__xludf.DUMMYFUNCTION("""COMPUTED_VALUE"""),"بدون شهرستان")</f>
        <v>بدون شهرستان</v>
      </c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</row>
    <row r="2124">
      <c r="A2124" s="5">
        <f>IFERROR(__xludf.DUMMYFUNCTION("""COMPUTED_VALUE"""),25300.0)</f>
        <v>25300</v>
      </c>
      <c r="B2124" s="5" t="str">
        <f>IFERROR(__xludf.DUMMYFUNCTION("""COMPUTED_VALUE"""),"هیأت")</f>
        <v>هیأت</v>
      </c>
      <c r="C2124" s="5" t="str">
        <f>IFERROR(__xludf.DUMMYFUNCTION("""COMPUTED_VALUE"""),"رهپویان")</f>
        <v>رهپویان</v>
      </c>
      <c r="D2124" s="5" t="str">
        <f>IFERROR(__xludf.DUMMYFUNCTION("""COMPUTED_VALUE"""),"آذربایجان غربی")</f>
        <v>آذربایجان غربی</v>
      </c>
      <c r="E2124" s="5" t="str">
        <f>IFERROR(__xludf.DUMMYFUNCTION("""COMPUTED_VALUE"""),"بدون شهرستان")</f>
        <v>بدون شهرستان</v>
      </c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</row>
    <row r="2125">
      <c r="A2125" s="5">
        <f>IFERROR(__xludf.DUMMYFUNCTION("""COMPUTED_VALUE"""),25299.0)</f>
        <v>25299</v>
      </c>
      <c r="B2125" s="5" t="str">
        <f>IFERROR(__xludf.DUMMYFUNCTION("""COMPUTED_VALUE"""),"هیأت")</f>
        <v>هیأت</v>
      </c>
      <c r="C2125" s="5" t="str">
        <f>IFERROR(__xludf.DUMMYFUNCTION("""COMPUTED_VALUE"""),"حزب الله")</f>
        <v>حزب الله</v>
      </c>
      <c r="D2125" s="5" t="str">
        <f>IFERROR(__xludf.DUMMYFUNCTION("""COMPUTED_VALUE"""),"آذربایجان غربی")</f>
        <v>آذربایجان غربی</v>
      </c>
      <c r="E2125" s="5" t="str">
        <f>IFERROR(__xludf.DUMMYFUNCTION("""COMPUTED_VALUE"""),"بدون شهرستان")</f>
        <v>بدون شهرستان</v>
      </c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</row>
    <row r="2126">
      <c r="A2126" s="5">
        <f>IFERROR(__xludf.DUMMYFUNCTION("""COMPUTED_VALUE"""),25298.0)</f>
        <v>25298</v>
      </c>
      <c r="B2126" s="5" t="str">
        <f>IFERROR(__xludf.DUMMYFUNCTION("""COMPUTED_VALUE"""),"هیأت")</f>
        <v>هیأت</v>
      </c>
      <c r="C2126" s="5" t="str">
        <f>IFERROR(__xludf.DUMMYFUNCTION("""COMPUTED_VALUE"""),"محبین الائمه (ع)")</f>
        <v>محبین الائمه (ع)</v>
      </c>
      <c r="D2126" s="5" t="str">
        <f>IFERROR(__xludf.DUMMYFUNCTION("""COMPUTED_VALUE"""),"آذربایجان غربی")</f>
        <v>آذربایجان غربی</v>
      </c>
      <c r="E2126" s="5" t="str">
        <f>IFERROR(__xludf.DUMMYFUNCTION("""COMPUTED_VALUE"""),"بدون شهرستان")</f>
        <v>بدون شهرستان</v>
      </c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</row>
    <row r="2127">
      <c r="A2127" s="5">
        <f>IFERROR(__xludf.DUMMYFUNCTION("""COMPUTED_VALUE"""),20298.0)</f>
        <v>20298</v>
      </c>
      <c r="B2127" s="5" t="str">
        <f>IFERROR(__xludf.DUMMYFUNCTION("""COMPUTED_VALUE"""),"هیأت")</f>
        <v>هیأت</v>
      </c>
      <c r="C2127" s="5" t="str">
        <f>IFERROR(__xludf.DUMMYFUNCTION("""COMPUTED_VALUE"""),"عشیره الاقربین")</f>
        <v>عشیره الاقربین</v>
      </c>
      <c r="D2127" s="5" t="str">
        <f>IFERROR(__xludf.DUMMYFUNCTION("""COMPUTED_VALUE"""),"آذربایجان غربی")</f>
        <v>آذربایجان غربی</v>
      </c>
      <c r="E2127" s="5" t="str">
        <f>IFERROR(__xludf.DUMMYFUNCTION("""COMPUTED_VALUE"""),"بدون شهرستان")</f>
        <v>بدون شهرستان</v>
      </c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</row>
    <row r="2128">
      <c r="A2128" s="5">
        <f>IFERROR(__xludf.DUMMYFUNCTION("""COMPUTED_VALUE"""),781.0)</f>
        <v>781</v>
      </c>
      <c r="B2128" s="5" t="str">
        <f>IFERROR(__xludf.DUMMYFUNCTION("""COMPUTED_VALUE"""),"هیأت")</f>
        <v>هیأت</v>
      </c>
      <c r="C2128" s="5" t="str">
        <f>IFERROR(__xludf.DUMMYFUNCTION("""COMPUTED_VALUE"""),"مسجد جامع")</f>
        <v>مسجد جامع</v>
      </c>
      <c r="D2128" s="5" t="str">
        <f>IFERROR(__xludf.DUMMYFUNCTION("""COMPUTED_VALUE"""),"آذربایجان غربی")</f>
        <v>آذربایجان غربی</v>
      </c>
      <c r="E2128" s="5" t="str">
        <f>IFERROR(__xludf.DUMMYFUNCTION("""COMPUTED_VALUE"""),"بدون شهرستان")</f>
        <v>بدون شهرستان</v>
      </c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</row>
    <row r="2129">
      <c r="A2129" s="5">
        <f>IFERROR(__xludf.DUMMYFUNCTION("""COMPUTED_VALUE"""),778.0)</f>
        <v>778</v>
      </c>
      <c r="B2129" s="5" t="str">
        <f>IFERROR(__xludf.DUMMYFUNCTION("""COMPUTED_VALUE"""),"هیأت")</f>
        <v>هیأت</v>
      </c>
      <c r="C2129" s="5" t="str">
        <f>IFERROR(__xludf.DUMMYFUNCTION("""COMPUTED_VALUE"""),"زنجیر زنی اباعبدالله الحسین (ع)")</f>
        <v>زنجیر زنی اباعبدالله الحسین (ع)</v>
      </c>
      <c r="D2129" s="5" t="str">
        <f>IFERROR(__xludf.DUMMYFUNCTION("""COMPUTED_VALUE"""),"آذربایجان غربی")</f>
        <v>آذربایجان غربی</v>
      </c>
      <c r="E2129" s="5" t="str">
        <f>IFERROR(__xludf.DUMMYFUNCTION("""COMPUTED_VALUE"""),"بدون شهرستان")</f>
        <v>بدون شهرستان</v>
      </c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</row>
    <row r="2130">
      <c r="A2130" s="5">
        <f>IFERROR(__xludf.DUMMYFUNCTION("""COMPUTED_VALUE"""),670.0)</f>
        <v>670</v>
      </c>
      <c r="B2130" s="5" t="str">
        <f>IFERROR(__xludf.DUMMYFUNCTION("""COMPUTED_VALUE"""),"هیأت")</f>
        <v>هیأت</v>
      </c>
      <c r="C2130" s="5" t="str">
        <f>IFERROR(__xludf.DUMMYFUNCTION("""COMPUTED_VALUE"""),"قمربنی هاشم (ع)")</f>
        <v>قمربنی هاشم (ع)</v>
      </c>
      <c r="D2130" s="5" t="str">
        <f>IFERROR(__xludf.DUMMYFUNCTION("""COMPUTED_VALUE"""),"آذربایجان غربی")</f>
        <v>آذربایجان غربی</v>
      </c>
      <c r="E2130" s="5" t="str">
        <f>IFERROR(__xludf.DUMMYFUNCTION("""COMPUTED_VALUE"""),"بدون شهرستان")</f>
        <v>بدون شهرستان</v>
      </c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</row>
    <row r="2131">
      <c r="A2131" s="5">
        <f>IFERROR(__xludf.DUMMYFUNCTION("""COMPUTED_VALUE"""),638.0)</f>
        <v>638</v>
      </c>
      <c r="B2131" s="5" t="str">
        <f>IFERROR(__xludf.DUMMYFUNCTION("""COMPUTED_VALUE"""),"هیأت")</f>
        <v>هیأت</v>
      </c>
      <c r="C2131" s="5" t="str">
        <f>IFERROR(__xludf.DUMMYFUNCTION("""COMPUTED_VALUE"""),"مهدیه حسنلویی")</f>
        <v>مهدیه حسنلویی</v>
      </c>
      <c r="D2131" s="5" t="str">
        <f>IFERROR(__xludf.DUMMYFUNCTION("""COMPUTED_VALUE"""),"آذربایجان غربی")</f>
        <v>آذربایجان غربی</v>
      </c>
      <c r="E2131" s="5" t="str">
        <f>IFERROR(__xludf.DUMMYFUNCTION("""COMPUTED_VALUE"""),"بدون شهرستان")</f>
        <v>بدون شهرستان</v>
      </c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</row>
    <row r="2132">
      <c r="A2132" s="5">
        <f>IFERROR(__xludf.DUMMYFUNCTION("""COMPUTED_VALUE"""),598.0)</f>
        <v>598</v>
      </c>
      <c r="B2132" s="5" t="str">
        <f>IFERROR(__xludf.DUMMYFUNCTION("""COMPUTED_VALUE"""),"هیأت")</f>
        <v>هیأت</v>
      </c>
      <c r="C2132" s="5" t="str">
        <f>IFERROR(__xludf.DUMMYFUNCTION("""COMPUTED_VALUE"""),"عزاداران مسجد جامع")</f>
        <v>عزاداران مسجد جامع</v>
      </c>
      <c r="D2132" s="5" t="str">
        <f>IFERROR(__xludf.DUMMYFUNCTION("""COMPUTED_VALUE"""),"آذربایجان غربی")</f>
        <v>آذربایجان غربی</v>
      </c>
      <c r="E2132" s="5" t="str">
        <f>IFERROR(__xludf.DUMMYFUNCTION("""COMPUTED_VALUE"""),"بدون شهرستان")</f>
        <v>بدون شهرستان</v>
      </c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</row>
    <row r="2133">
      <c r="A2133" s="5">
        <f>IFERROR(__xludf.DUMMYFUNCTION("""COMPUTED_VALUE"""),592.0)</f>
        <v>592</v>
      </c>
      <c r="B2133" s="5" t="str">
        <f>IFERROR(__xludf.DUMMYFUNCTION("""COMPUTED_VALUE"""),"هیأت")</f>
        <v>هیأت</v>
      </c>
      <c r="C2133" s="5" t="str">
        <f>IFERROR(__xludf.DUMMYFUNCTION("""COMPUTED_VALUE"""),"حضرت قاسم (ع)")</f>
        <v>حضرت قاسم (ع)</v>
      </c>
      <c r="D2133" s="5" t="str">
        <f>IFERROR(__xludf.DUMMYFUNCTION("""COMPUTED_VALUE"""),"آذربایجان غربی")</f>
        <v>آذربایجان غربی</v>
      </c>
      <c r="E2133" s="5" t="str">
        <f>IFERROR(__xludf.DUMMYFUNCTION("""COMPUTED_VALUE"""),"بدون شهرستان")</f>
        <v>بدون شهرستان</v>
      </c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</row>
    <row r="2134">
      <c r="A2134" s="5">
        <f>IFERROR(__xludf.DUMMYFUNCTION("""COMPUTED_VALUE"""),591.0)</f>
        <v>591</v>
      </c>
      <c r="B2134" s="5" t="str">
        <f>IFERROR(__xludf.DUMMYFUNCTION("""COMPUTED_VALUE"""),"هیأت")</f>
        <v>هیأت</v>
      </c>
      <c r="C2134" s="5" t="str">
        <f>IFERROR(__xludf.DUMMYFUNCTION("""COMPUTED_VALUE"""),"اباعبدالله الحسین (ع)")</f>
        <v>اباعبدالله الحسین (ع)</v>
      </c>
      <c r="D2134" s="5" t="str">
        <f>IFERROR(__xludf.DUMMYFUNCTION("""COMPUTED_VALUE"""),"آذربایجان غربی")</f>
        <v>آذربایجان غربی</v>
      </c>
      <c r="E2134" s="5" t="str">
        <f>IFERROR(__xludf.DUMMYFUNCTION("""COMPUTED_VALUE"""),"بدون شهرستان")</f>
        <v>بدون شهرستان</v>
      </c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</row>
    <row r="2135">
      <c r="A2135" s="5">
        <f>IFERROR(__xludf.DUMMYFUNCTION("""COMPUTED_VALUE"""),586.0)</f>
        <v>586</v>
      </c>
      <c r="B2135" s="5" t="str">
        <f>IFERROR(__xludf.DUMMYFUNCTION("""COMPUTED_VALUE"""),"هیأت")</f>
        <v>هیأت</v>
      </c>
      <c r="C2135" s="5" t="str">
        <f>IFERROR(__xludf.DUMMYFUNCTION("""COMPUTED_VALUE"""),"مسجد جامع")</f>
        <v>مسجد جامع</v>
      </c>
      <c r="D2135" s="5" t="str">
        <f>IFERROR(__xludf.DUMMYFUNCTION("""COMPUTED_VALUE"""),"آذربایجان غربی")</f>
        <v>آذربایجان غربی</v>
      </c>
      <c r="E2135" s="5" t="str">
        <f>IFERROR(__xludf.DUMMYFUNCTION("""COMPUTED_VALUE"""),"بدون شهرستان")</f>
        <v>بدون شهرستان</v>
      </c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</row>
    <row r="2136">
      <c r="A2136" s="5">
        <f>IFERROR(__xludf.DUMMYFUNCTION("""COMPUTED_VALUE"""),585.0)</f>
        <v>585</v>
      </c>
      <c r="B2136" s="5" t="str">
        <f>IFERROR(__xludf.DUMMYFUNCTION("""COMPUTED_VALUE"""),"هیأت")</f>
        <v>هیأت</v>
      </c>
      <c r="C2136" s="5" t="str">
        <f>IFERROR(__xludf.DUMMYFUNCTION("""COMPUTED_VALUE"""),"منتظران مهدی (عج)")</f>
        <v>منتظران مهدی (عج)</v>
      </c>
      <c r="D2136" s="5" t="str">
        <f>IFERROR(__xludf.DUMMYFUNCTION("""COMPUTED_VALUE"""),"آذربایجان غربی")</f>
        <v>آذربایجان غربی</v>
      </c>
      <c r="E2136" s="5" t="str">
        <f>IFERROR(__xludf.DUMMYFUNCTION("""COMPUTED_VALUE"""),"بدون شهرستان")</f>
        <v>بدون شهرستان</v>
      </c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</row>
    <row r="2137">
      <c r="A2137" s="5">
        <f>IFERROR(__xludf.DUMMYFUNCTION("""COMPUTED_VALUE"""),584.0)</f>
        <v>584</v>
      </c>
      <c r="B2137" s="5" t="str">
        <f>IFERROR(__xludf.DUMMYFUNCTION("""COMPUTED_VALUE"""),"هیأت")</f>
        <v>هیأت</v>
      </c>
      <c r="C2137" s="5" t="str">
        <f>IFERROR(__xludf.DUMMYFUNCTION("""COMPUTED_VALUE"""),"حضرت علی اصغر (ع)")</f>
        <v>حضرت علی اصغر (ع)</v>
      </c>
      <c r="D2137" s="5" t="str">
        <f>IFERROR(__xludf.DUMMYFUNCTION("""COMPUTED_VALUE"""),"آذربایجان غربی")</f>
        <v>آذربایجان غربی</v>
      </c>
      <c r="E2137" s="5" t="str">
        <f>IFERROR(__xludf.DUMMYFUNCTION("""COMPUTED_VALUE"""),"بدون شهرستان")</f>
        <v>بدون شهرستان</v>
      </c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</row>
    <row r="2138">
      <c r="A2138" s="5">
        <f>IFERROR(__xludf.DUMMYFUNCTION("""COMPUTED_VALUE"""),580.0)</f>
        <v>580</v>
      </c>
      <c r="B2138" s="5" t="str">
        <f>IFERROR(__xludf.DUMMYFUNCTION("""COMPUTED_VALUE"""),"هیأت")</f>
        <v>هیأت</v>
      </c>
      <c r="C2138" s="5" t="str">
        <f>IFERROR(__xludf.DUMMYFUNCTION("""COMPUTED_VALUE"""),"بیت الزهرا (س)")</f>
        <v>بیت الزهرا (س)</v>
      </c>
      <c r="D2138" s="5" t="str">
        <f>IFERROR(__xludf.DUMMYFUNCTION("""COMPUTED_VALUE"""),"آذربایجان غربی")</f>
        <v>آذربایجان غربی</v>
      </c>
      <c r="E2138" s="5" t="str">
        <f>IFERROR(__xludf.DUMMYFUNCTION("""COMPUTED_VALUE"""),"بدون شهرستان")</f>
        <v>بدون شهرستان</v>
      </c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</row>
    <row r="2139">
      <c r="A2139" s="5">
        <f>IFERROR(__xludf.DUMMYFUNCTION("""COMPUTED_VALUE"""),579.0)</f>
        <v>579</v>
      </c>
      <c r="B2139" s="5" t="str">
        <f>IFERROR(__xludf.DUMMYFUNCTION("""COMPUTED_VALUE"""),"هیأت")</f>
        <v>هیأت</v>
      </c>
      <c r="C2139" s="5" t="str">
        <f>IFERROR(__xludf.DUMMYFUNCTION("""COMPUTED_VALUE"""),"جان نثاران")</f>
        <v>جان نثاران</v>
      </c>
      <c r="D2139" s="5" t="str">
        <f>IFERROR(__xludf.DUMMYFUNCTION("""COMPUTED_VALUE"""),"آذربایجان غربی")</f>
        <v>آذربایجان غربی</v>
      </c>
      <c r="E2139" s="5" t="str">
        <f>IFERROR(__xludf.DUMMYFUNCTION("""COMPUTED_VALUE"""),"بدون شهرستان")</f>
        <v>بدون شهرستان</v>
      </c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</row>
    <row r="2140">
      <c r="A2140" s="5">
        <f>IFERROR(__xludf.DUMMYFUNCTION("""COMPUTED_VALUE"""),558.0)</f>
        <v>558</v>
      </c>
      <c r="B2140" s="5" t="str">
        <f>IFERROR(__xludf.DUMMYFUNCTION("""COMPUTED_VALUE"""),"هیأت")</f>
        <v>هیأت</v>
      </c>
      <c r="C2140" s="5" t="str">
        <f>IFERROR(__xludf.DUMMYFUNCTION("""COMPUTED_VALUE"""),"عارفان")</f>
        <v>عارفان</v>
      </c>
      <c r="D2140" s="5" t="str">
        <f>IFERROR(__xludf.DUMMYFUNCTION("""COMPUTED_VALUE"""),"آذربایجان غربی")</f>
        <v>آذربایجان غربی</v>
      </c>
      <c r="E2140" s="5" t="str">
        <f>IFERROR(__xludf.DUMMYFUNCTION("""COMPUTED_VALUE"""),"بدون شهرستان")</f>
        <v>بدون شهرستان</v>
      </c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</row>
    <row r="2141">
      <c r="A2141" s="5">
        <f>IFERROR(__xludf.DUMMYFUNCTION("""COMPUTED_VALUE"""),468.0)</f>
        <v>468</v>
      </c>
      <c r="B2141" s="5" t="str">
        <f>IFERROR(__xludf.DUMMYFUNCTION("""COMPUTED_VALUE"""),"هیأت")</f>
        <v>هیأت</v>
      </c>
      <c r="C2141" s="5" t="str">
        <f>IFERROR(__xludf.DUMMYFUNCTION("""COMPUTED_VALUE"""),"باب الحوائج (ع)")</f>
        <v>باب الحوائج (ع)</v>
      </c>
      <c r="D2141" s="5" t="str">
        <f>IFERROR(__xludf.DUMMYFUNCTION("""COMPUTED_VALUE"""),"آذربایجان غربی")</f>
        <v>آذربایجان غربی</v>
      </c>
      <c r="E2141" s="5" t="str">
        <f>IFERROR(__xludf.DUMMYFUNCTION("""COMPUTED_VALUE"""),"بدون شهرستان")</f>
        <v>بدون شهرستان</v>
      </c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</row>
    <row r="2142">
      <c r="A2142" s="5">
        <f>IFERROR(__xludf.DUMMYFUNCTION("""COMPUTED_VALUE"""),467.0)</f>
        <v>467</v>
      </c>
      <c r="B2142" s="5" t="str">
        <f>IFERROR(__xludf.DUMMYFUNCTION("""COMPUTED_VALUE"""),"هیأت")</f>
        <v>هیأت</v>
      </c>
      <c r="C2142" s="5" t="str">
        <f>IFERROR(__xludf.DUMMYFUNCTION("""COMPUTED_VALUE"""),"کانون فرهنگی هنری مسجد عمار")</f>
        <v>کانون فرهنگی هنری مسجد عمار</v>
      </c>
      <c r="D2142" s="5" t="str">
        <f>IFERROR(__xludf.DUMMYFUNCTION("""COMPUTED_VALUE"""),"آذربایجان غربی")</f>
        <v>آذربایجان غربی</v>
      </c>
      <c r="E2142" s="5" t="str">
        <f>IFERROR(__xludf.DUMMYFUNCTION("""COMPUTED_VALUE"""),"بدون شهرستان")</f>
        <v>بدون شهرستان</v>
      </c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</row>
    <row r="2143">
      <c r="A2143" s="5">
        <f>IFERROR(__xludf.DUMMYFUNCTION("""COMPUTED_VALUE"""),466.0)</f>
        <v>466</v>
      </c>
      <c r="B2143" s="5" t="str">
        <f>IFERROR(__xludf.DUMMYFUNCTION("""COMPUTED_VALUE"""),"هیأت")</f>
        <v>هیأت</v>
      </c>
      <c r="C2143" s="5" t="str">
        <f>IFERROR(__xludf.DUMMYFUNCTION("""COMPUTED_VALUE"""),"حضرت علی اکبر (ع)")</f>
        <v>حضرت علی اکبر (ع)</v>
      </c>
      <c r="D2143" s="5" t="str">
        <f>IFERROR(__xludf.DUMMYFUNCTION("""COMPUTED_VALUE"""),"آذربایجان غربی")</f>
        <v>آذربایجان غربی</v>
      </c>
      <c r="E2143" s="5" t="str">
        <f>IFERROR(__xludf.DUMMYFUNCTION("""COMPUTED_VALUE"""),"بدون شهرستان")</f>
        <v>بدون شهرستان</v>
      </c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</row>
    <row r="2144">
      <c r="A2144" s="5">
        <f>IFERROR(__xludf.DUMMYFUNCTION("""COMPUTED_VALUE"""),446.0)</f>
        <v>446</v>
      </c>
      <c r="B2144" s="5" t="str">
        <f>IFERROR(__xludf.DUMMYFUNCTION("""COMPUTED_VALUE"""),"هیأت")</f>
        <v>هیأت</v>
      </c>
      <c r="C2144" s="5" t="str">
        <f>IFERROR(__xludf.DUMMYFUNCTION("""COMPUTED_VALUE"""),"حضرت علی اکبر (ع)")</f>
        <v>حضرت علی اکبر (ع)</v>
      </c>
      <c r="D2144" s="5" t="str">
        <f>IFERROR(__xludf.DUMMYFUNCTION("""COMPUTED_VALUE"""),"آذربایجان غربی")</f>
        <v>آذربایجان غربی</v>
      </c>
      <c r="E2144" s="5" t="str">
        <f>IFERROR(__xludf.DUMMYFUNCTION("""COMPUTED_VALUE"""),"بدون شهرستان")</f>
        <v>بدون شهرستان</v>
      </c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</row>
    <row r="2145">
      <c r="A2145" s="5">
        <f>IFERROR(__xludf.DUMMYFUNCTION("""COMPUTED_VALUE"""),440.0)</f>
        <v>440</v>
      </c>
      <c r="B2145" s="5" t="str">
        <f>IFERROR(__xludf.DUMMYFUNCTION("""COMPUTED_VALUE"""),"هیأت")</f>
        <v>هیأت</v>
      </c>
      <c r="C2145" s="5" t="str">
        <f>IFERROR(__xludf.DUMMYFUNCTION("""COMPUTED_VALUE"""),"مکتب الحسین (ع)")</f>
        <v>مکتب الحسین (ع)</v>
      </c>
      <c r="D2145" s="5" t="str">
        <f>IFERROR(__xludf.DUMMYFUNCTION("""COMPUTED_VALUE"""),"آذربایجان غربی")</f>
        <v>آذربایجان غربی</v>
      </c>
      <c r="E2145" s="5" t="str">
        <f>IFERROR(__xludf.DUMMYFUNCTION("""COMPUTED_VALUE"""),"بدون شهرستان")</f>
        <v>بدون شهرستان</v>
      </c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</row>
    <row r="2146">
      <c r="A2146" s="5">
        <f>IFERROR(__xludf.DUMMYFUNCTION("""COMPUTED_VALUE"""),32460.0)</f>
        <v>32460</v>
      </c>
      <c r="B2146" s="5" t="str">
        <f>IFERROR(__xludf.DUMMYFUNCTION("""COMPUTED_VALUE"""),"هیأت")</f>
        <v>هیأت</v>
      </c>
      <c r="C2146" s="5" t="str">
        <f>IFERROR(__xludf.DUMMYFUNCTION("""COMPUTED_VALUE"""),"مجموعه وصال موعود")</f>
        <v>مجموعه وصال موعود</v>
      </c>
      <c r="D2146" s="5" t="str">
        <f>IFERROR(__xludf.DUMMYFUNCTION("""COMPUTED_VALUE"""),"آذربایجان غربی")</f>
        <v>آذربایجان غربی</v>
      </c>
      <c r="E2146" s="5" t="str">
        <f>IFERROR(__xludf.DUMMYFUNCTION("""COMPUTED_VALUE"""),"بوکان")</f>
        <v>بوکان</v>
      </c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</row>
    <row r="2147">
      <c r="A2147" s="5">
        <f>IFERROR(__xludf.DUMMYFUNCTION("""COMPUTED_VALUE"""),20651.0)</f>
        <v>20651</v>
      </c>
      <c r="B2147" s="5" t="str">
        <f>IFERROR(__xludf.DUMMYFUNCTION("""COMPUTED_VALUE"""),"هیأت")</f>
        <v>هیأت</v>
      </c>
      <c r="C2147" s="5" t="str">
        <f>IFERROR(__xludf.DUMMYFUNCTION("""COMPUTED_VALUE"""),"یرریری")</f>
        <v>یرریری</v>
      </c>
      <c r="D2147" s="5" t="str">
        <f>IFERROR(__xludf.DUMMYFUNCTION("""COMPUTED_VALUE"""),"آذربایجان غربی")</f>
        <v>آذربایجان غربی</v>
      </c>
      <c r="E2147" s="5" t="str">
        <f>IFERROR(__xludf.DUMMYFUNCTION("""COMPUTED_VALUE"""),"بوکان")</f>
        <v>بوکان</v>
      </c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</row>
    <row r="2148">
      <c r="A2148" s="5">
        <f>IFERROR(__xludf.DUMMYFUNCTION("""COMPUTED_VALUE"""),732.0)</f>
        <v>732</v>
      </c>
      <c r="B2148" s="5" t="str">
        <f>IFERROR(__xludf.DUMMYFUNCTION("""COMPUTED_VALUE"""),"هیأت")</f>
        <v>هیأت</v>
      </c>
      <c r="C2148" s="5" t="str">
        <f>IFERROR(__xludf.DUMMYFUNCTION("""COMPUTED_VALUE"""),"عاشقان اباعبدالله الحسین (ع)")</f>
        <v>عاشقان اباعبدالله الحسین (ع)</v>
      </c>
      <c r="D2148" s="5" t="str">
        <f>IFERROR(__xludf.DUMMYFUNCTION("""COMPUTED_VALUE"""),"آذربایجان غربی")</f>
        <v>آذربایجان غربی</v>
      </c>
      <c r="E2148" s="5" t="str">
        <f>IFERROR(__xludf.DUMMYFUNCTION("""COMPUTED_VALUE"""),"بوکان")</f>
        <v>بوکان</v>
      </c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</row>
    <row r="2149">
      <c r="A2149" s="5">
        <f>IFERROR(__xludf.DUMMYFUNCTION("""COMPUTED_VALUE"""),25511.0)</f>
        <v>25511</v>
      </c>
      <c r="B2149" s="5" t="str">
        <f>IFERROR(__xludf.DUMMYFUNCTION("""COMPUTED_VALUE"""),"هیأت")</f>
        <v>هیأت</v>
      </c>
      <c r="C2149" s="5" t="str">
        <f>IFERROR(__xludf.DUMMYFUNCTION("""COMPUTED_VALUE"""),"منتظران")</f>
        <v>منتظران</v>
      </c>
      <c r="D2149" s="5" t="str">
        <f>IFERROR(__xludf.DUMMYFUNCTION("""COMPUTED_VALUE"""),"آذربایجان غربی")</f>
        <v>آذربایجان غربی</v>
      </c>
      <c r="E2149" s="5" t="str">
        <f>IFERROR(__xludf.DUMMYFUNCTION("""COMPUTED_VALUE"""),"پلدشت")</f>
        <v>پلدشت</v>
      </c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</row>
    <row r="2150">
      <c r="A2150" s="5">
        <f>IFERROR(__xludf.DUMMYFUNCTION("""COMPUTED_VALUE"""),17926.0)</f>
        <v>17926</v>
      </c>
      <c r="B2150" s="5" t="str">
        <f>IFERROR(__xludf.DUMMYFUNCTION("""COMPUTED_VALUE"""),"هیأت")</f>
        <v>هیأت</v>
      </c>
      <c r="C2150" s="5" t="str">
        <f>IFERROR(__xludf.DUMMYFUNCTION("""COMPUTED_VALUE"""),"رزمندگان اسلام")</f>
        <v>رزمندگان اسلام</v>
      </c>
      <c r="D2150" s="5" t="str">
        <f>IFERROR(__xludf.DUMMYFUNCTION("""COMPUTED_VALUE"""),"آذربایجان غربی")</f>
        <v>آذربایجان غربی</v>
      </c>
      <c r="E2150" s="5" t="str">
        <f>IFERROR(__xludf.DUMMYFUNCTION("""COMPUTED_VALUE"""),"پلدشت")</f>
        <v>پلدشت</v>
      </c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</row>
    <row r="2151">
      <c r="A2151" s="5">
        <f>IFERROR(__xludf.DUMMYFUNCTION("""COMPUTED_VALUE"""),784.0)</f>
        <v>784</v>
      </c>
      <c r="B2151" s="5" t="str">
        <f>IFERROR(__xludf.DUMMYFUNCTION("""COMPUTED_VALUE"""),"هیأت")</f>
        <v>هیأت</v>
      </c>
      <c r="C2151" s="5" t="str">
        <f>IFERROR(__xludf.DUMMYFUNCTION("""COMPUTED_VALUE"""),"عاشقان حضرت علی اکبر (ع)")</f>
        <v>عاشقان حضرت علی اکبر (ع)</v>
      </c>
      <c r="D2151" s="5" t="str">
        <f>IFERROR(__xludf.DUMMYFUNCTION("""COMPUTED_VALUE"""),"آذربایجان غربی")</f>
        <v>آذربایجان غربی</v>
      </c>
      <c r="E2151" s="5" t="str">
        <f>IFERROR(__xludf.DUMMYFUNCTION("""COMPUTED_VALUE"""),"پلدشت")</f>
        <v>پلدشت</v>
      </c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</row>
    <row r="2152">
      <c r="A2152" s="5">
        <f>IFERROR(__xludf.DUMMYFUNCTION("""COMPUTED_VALUE"""),777.0)</f>
        <v>777</v>
      </c>
      <c r="B2152" s="5" t="str">
        <f>IFERROR(__xludf.DUMMYFUNCTION("""COMPUTED_VALUE"""),"هیأت")</f>
        <v>هیأت</v>
      </c>
      <c r="C2152" s="5" t="str">
        <f>IFERROR(__xludf.DUMMYFUNCTION("""COMPUTED_VALUE"""),"باب الحوائج (ع)")</f>
        <v>باب الحوائج (ع)</v>
      </c>
      <c r="D2152" s="5" t="str">
        <f>IFERROR(__xludf.DUMMYFUNCTION("""COMPUTED_VALUE"""),"آذربایجان غربی")</f>
        <v>آذربایجان غربی</v>
      </c>
      <c r="E2152" s="5" t="str">
        <f>IFERROR(__xludf.DUMMYFUNCTION("""COMPUTED_VALUE"""),"پلدشت")</f>
        <v>پلدشت</v>
      </c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</row>
    <row r="2153">
      <c r="A2153" s="5">
        <f>IFERROR(__xludf.DUMMYFUNCTION("""COMPUTED_VALUE"""),31773.0)</f>
        <v>31773</v>
      </c>
      <c r="B2153" s="5" t="str">
        <f>IFERROR(__xludf.DUMMYFUNCTION("""COMPUTED_VALUE"""),"هیأت")</f>
        <v>هیأت</v>
      </c>
      <c r="C2153" s="5" t="str">
        <f>IFERROR(__xludf.DUMMYFUNCTION("""COMPUTED_VALUE"""),"عباسیه ارشاد")</f>
        <v>عباسیه ارشاد</v>
      </c>
      <c r="D2153" s="5" t="str">
        <f>IFERROR(__xludf.DUMMYFUNCTION("""COMPUTED_VALUE"""),"آذربایجان غربی")</f>
        <v>آذربایجان غربی</v>
      </c>
      <c r="E2153" s="5" t="str">
        <f>IFERROR(__xludf.DUMMYFUNCTION("""COMPUTED_VALUE"""),"تکاب")</f>
        <v>تکاب</v>
      </c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</row>
    <row r="2154">
      <c r="A2154" s="5">
        <f>IFERROR(__xludf.DUMMYFUNCTION("""COMPUTED_VALUE"""),30748.0)</f>
        <v>30748</v>
      </c>
      <c r="B2154" s="5" t="str">
        <f>IFERROR(__xludf.DUMMYFUNCTION("""COMPUTED_VALUE"""),"هیأت")</f>
        <v>هیأت</v>
      </c>
      <c r="C2154" s="5" t="str">
        <f>IFERROR(__xludf.DUMMYFUNCTION("""COMPUTED_VALUE"""),"تکیه اصغریه روستای دورباش")</f>
        <v>تکیه اصغریه روستای دورباش</v>
      </c>
      <c r="D2154" s="5" t="str">
        <f>IFERROR(__xludf.DUMMYFUNCTION("""COMPUTED_VALUE"""),"آذربایجان غربی")</f>
        <v>آذربایجان غربی</v>
      </c>
      <c r="E2154" s="5" t="str">
        <f>IFERROR(__xludf.DUMMYFUNCTION("""COMPUTED_VALUE"""),"تکاب")</f>
        <v>تکاب</v>
      </c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</row>
    <row r="2155">
      <c r="A2155" s="5">
        <f>IFERROR(__xludf.DUMMYFUNCTION("""COMPUTED_VALUE"""),30726.0)</f>
        <v>30726</v>
      </c>
      <c r="B2155" s="5" t="str">
        <f>IFERROR(__xludf.DUMMYFUNCTION("""COMPUTED_VALUE"""),"هیأت")</f>
        <v>هیأت</v>
      </c>
      <c r="C2155" s="5" t="str">
        <f>IFERROR(__xludf.DUMMYFUNCTION("""COMPUTED_VALUE"""),"نامشخص")</f>
        <v>نامشخص</v>
      </c>
      <c r="D2155" s="5" t="str">
        <f>IFERROR(__xludf.DUMMYFUNCTION("""COMPUTED_VALUE"""),"آذربایجان غربی")</f>
        <v>آذربایجان غربی</v>
      </c>
      <c r="E2155" s="5" t="str">
        <f>IFERROR(__xludf.DUMMYFUNCTION("""COMPUTED_VALUE"""),"تکاب")</f>
        <v>تکاب</v>
      </c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</row>
    <row r="2156">
      <c r="A2156" s="5">
        <f>IFERROR(__xludf.DUMMYFUNCTION("""COMPUTED_VALUE"""),30725.0)</f>
        <v>30725</v>
      </c>
      <c r="B2156" s="5" t="str">
        <f>IFERROR(__xludf.DUMMYFUNCTION("""COMPUTED_VALUE"""),"هیأت")</f>
        <v>هیأت</v>
      </c>
      <c r="C2156" s="5" t="str">
        <f>IFERROR(__xludf.DUMMYFUNCTION("""COMPUTED_VALUE"""),"جان نثاران شهید بهشتی")</f>
        <v>جان نثاران شهید بهشتی</v>
      </c>
      <c r="D2156" s="5" t="str">
        <f>IFERROR(__xludf.DUMMYFUNCTION("""COMPUTED_VALUE"""),"آذربایجان غربی")</f>
        <v>آذربایجان غربی</v>
      </c>
      <c r="E2156" s="5" t="str">
        <f>IFERROR(__xludf.DUMMYFUNCTION("""COMPUTED_VALUE"""),"تکاب")</f>
        <v>تکاب</v>
      </c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</row>
    <row r="2157">
      <c r="A2157" s="5">
        <f>IFERROR(__xludf.DUMMYFUNCTION("""COMPUTED_VALUE"""),29259.0)</f>
        <v>29259</v>
      </c>
      <c r="B2157" s="5" t="str">
        <f>IFERROR(__xludf.DUMMYFUNCTION("""COMPUTED_VALUE"""),"هیأت")</f>
        <v>هیأت</v>
      </c>
      <c r="C2157" s="5" t="str">
        <f>IFERROR(__xludf.DUMMYFUNCTION("""COMPUTED_VALUE"""),"حضرت فاطمه الزهرا (س) یارعزیز")</f>
        <v>حضرت فاطمه الزهرا (س) یارعزیز</v>
      </c>
      <c r="D2157" s="5" t="str">
        <f>IFERROR(__xludf.DUMMYFUNCTION("""COMPUTED_VALUE"""),"آذربایجان غربی")</f>
        <v>آذربایجان غربی</v>
      </c>
      <c r="E2157" s="5" t="str">
        <f>IFERROR(__xludf.DUMMYFUNCTION("""COMPUTED_VALUE"""),"تکاب")</f>
        <v>تکاب</v>
      </c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</row>
    <row r="2158">
      <c r="A2158" s="5">
        <f>IFERROR(__xludf.DUMMYFUNCTION("""COMPUTED_VALUE"""),26766.0)</f>
        <v>26766</v>
      </c>
      <c r="B2158" s="5" t="str">
        <f>IFERROR(__xludf.DUMMYFUNCTION("""COMPUTED_VALUE"""),"هیأت")</f>
        <v>هیأت</v>
      </c>
      <c r="C2158" s="5" t="str">
        <f>IFERROR(__xludf.DUMMYFUNCTION("""COMPUTED_VALUE"""),"شاه حسین گویان سیدالشهدا (ع)")</f>
        <v>شاه حسین گویان سیدالشهدا (ع)</v>
      </c>
      <c r="D2158" s="5" t="str">
        <f>IFERROR(__xludf.DUMMYFUNCTION("""COMPUTED_VALUE"""),"آذربایجان غربی")</f>
        <v>آذربایجان غربی</v>
      </c>
      <c r="E2158" s="5" t="str">
        <f>IFERROR(__xludf.DUMMYFUNCTION("""COMPUTED_VALUE"""),"تکاب")</f>
        <v>تکاب</v>
      </c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</row>
    <row r="2159">
      <c r="A2159" s="5">
        <f>IFERROR(__xludf.DUMMYFUNCTION("""COMPUTED_VALUE"""),26128.0)</f>
        <v>26128</v>
      </c>
      <c r="B2159" s="5" t="str">
        <f>IFERROR(__xludf.DUMMYFUNCTION("""COMPUTED_VALUE"""),"هیأت")</f>
        <v>هیأت</v>
      </c>
      <c r="C2159" s="5" t="str">
        <f>IFERROR(__xludf.DUMMYFUNCTION("""COMPUTED_VALUE"""),"ثامن الائمه (ع)")</f>
        <v>ثامن الائمه (ع)</v>
      </c>
      <c r="D2159" s="5" t="str">
        <f>IFERROR(__xludf.DUMMYFUNCTION("""COMPUTED_VALUE"""),"آذربایجان غربی")</f>
        <v>آذربایجان غربی</v>
      </c>
      <c r="E2159" s="5" t="str">
        <f>IFERROR(__xludf.DUMMYFUNCTION("""COMPUTED_VALUE"""),"تکاب")</f>
        <v>تکاب</v>
      </c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</row>
    <row r="2160">
      <c r="A2160" s="5">
        <f>IFERROR(__xludf.DUMMYFUNCTION("""COMPUTED_VALUE"""),20288.0)</f>
        <v>20288</v>
      </c>
      <c r="B2160" s="5" t="str">
        <f>IFERROR(__xludf.DUMMYFUNCTION("""COMPUTED_VALUE"""),"هیأت")</f>
        <v>هیأت</v>
      </c>
      <c r="C2160" s="5" t="str">
        <f>IFERROR(__xludf.DUMMYFUNCTION("""COMPUTED_VALUE"""),"انصارالحسین (ع)")</f>
        <v>انصارالحسین (ع)</v>
      </c>
      <c r="D2160" s="5" t="str">
        <f>IFERROR(__xludf.DUMMYFUNCTION("""COMPUTED_VALUE"""),"آذربایجان غربی")</f>
        <v>آذربایجان غربی</v>
      </c>
      <c r="E2160" s="5" t="str">
        <f>IFERROR(__xludf.DUMMYFUNCTION("""COMPUTED_VALUE"""),"تکاب")</f>
        <v>تکاب</v>
      </c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</row>
    <row r="2161">
      <c r="A2161" s="5">
        <f>IFERROR(__xludf.DUMMYFUNCTION("""COMPUTED_VALUE"""),20286.0)</f>
        <v>20286</v>
      </c>
      <c r="B2161" s="5" t="str">
        <f>IFERROR(__xludf.DUMMYFUNCTION("""COMPUTED_VALUE"""),"هیأت")</f>
        <v>هیأت</v>
      </c>
      <c r="C2161" s="5" t="str">
        <f>IFERROR(__xludf.DUMMYFUNCTION("""COMPUTED_VALUE"""),"رزمندگان اسلام")</f>
        <v>رزمندگان اسلام</v>
      </c>
      <c r="D2161" s="5" t="str">
        <f>IFERROR(__xludf.DUMMYFUNCTION("""COMPUTED_VALUE"""),"آذربایجان غربی")</f>
        <v>آذربایجان غربی</v>
      </c>
      <c r="E2161" s="5" t="str">
        <f>IFERROR(__xludf.DUMMYFUNCTION("""COMPUTED_VALUE"""),"تکاب")</f>
        <v>تکاب</v>
      </c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</row>
    <row r="2162">
      <c r="A2162" s="5">
        <f>IFERROR(__xludf.DUMMYFUNCTION("""COMPUTED_VALUE"""),776.0)</f>
        <v>776</v>
      </c>
      <c r="B2162" s="5" t="str">
        <f>IFERROR(__xludf.DUMMYFUNCTION("""COMPUTED_VALUE"""),"هیأت")</f>
        <v>هیأت</v>
      </c>
      <c r="C2162" s="5" t="str">
        <f>IFERROR(__xludf.DUMMYFUNCTION("""COMPUTED_VALUE"""),"ابناءالخمینی (ره)")</f>
        <v>ابناءالخمینی (ره)</v>
      </c>
      <c r="D2162" s="5" t="str">
        <f>IFERROR(__xludf.DUMMYFUNCTION("""COMPUTED_VALUE"""),"آذربایجان غربی")</f>
        <v>آذربایجان غربی</v>
      </c>
      <c r="E2162" s="5" t="str">
        <f>IFERROR(__xludf.DUMMYFUNCTION("""COMPUTED_VALUE"""),"تکاب")</f>
        <v>تکاب</v>
      </c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</row>
    <row r="2163">
      <c r="A2163" s="5">
        <f>IFERROR(__xludf.DUMMYFUNCTION("""COMPUTED_VALUE"""),748.0)</f>
        <v>748</v>
      </c>
      <c r="B2163" s="5" t="str">
        <f>IFERROR(__xludf.DUMMYFUNCTION("""COMPUTED_VALUE"""),"هیأت")</f>
        <v>هیأت</v>
      </c>
      <c r="C2163" s="5" t="str">
        <f>IFERROR(__xludf.DUMMYFUNCTION("""COMPUTED_VALUE"""),"متوسلین به حضرت موسی بن جعفر (ع)")</f>
        <v>متوسلین به حضرت موسی بن جعفر (ع)</v>
      </c>
      <c r="D2163" s="5" t="str">
        <f>IFERROR(__xludf.DUMMYFUNCTION("""COMPUTED_VALUE"""),"آذربایجان غربی")</f>
        <v>آذربایجان غربی</v>
      </c>
      <c r="E2163" s="5" t="str">
        <f>IFERROR(__xludf.DUMMYFUNCTION("""COMPUTED_VALUE"""),"تکاب")</f>
        <v>تکاب</v>
      </c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</row>
    <row r="2164">
      <c r="A2164" s="5">
        <f>IFERROR(__xludf.DUMMYFUNCTION("""COMPUTED_VALUE"""),726.0)</f>
        <v>726</v>
      </c>
      <c r="B2164" s="5" t="str">
        <f>IFERROR(__xludf.DUMMYFUNCTION("""COMPUTED_VALUE"""),"هیأت")</f>
        <v>هیأت</v>
      </c>
      <c r="C2164" s="5" t="str">
        <f>IFERROR(__xludf.DUMMYFUNCTION("""COMPUTED_VALUE"""),"مکتب الحسین (ع)")</f>
        <v>مکتب الحسین (ع)</v>
      </c>
      <c r="D2164" s="5" t="str">
        <f>IFERROR(__xludf.DUMMYFUNCTION("""COMPUTED_VALUE"""),"آذربایجان غربی")</f>
        <v>آذربایجان غربی</v>
      </c>
      <c r="E2164" s="5" t="str">
        <f>IFERROR(__xludf.DUMMYFUNCTION("""COMPUTED_VALUE"""),"تکاب")</f>
        <v>تکاب</v>
      </c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</row>
    <row r="2165">
      <c r="A2165" s="5">
        <f>IFERROR(__xludf.DUMMYFUNCTION("""COMPUTED_VALUE"""),655.0)</f>
        <v>655</v>
      </c>
      <c r="B2165" s="5" t="str">
        <f>IFERROR(__xludf.DUMMYFUNCTION("""COMPUTED_VALUE"""),"هیأت")</f>
        <v>هیأت</v>
      </c>
      <c r="C2165" s="5" t="str">
        <f>IFERROR(__xludf.DUMMYFUNCTION("""COMPUTED_VALUE"""),"موسی بن جعفر (ع)")</f>
        <v>موسی بن جعفر (ع)</v>
      </c>
      <c r="D2165" s="5" t="str">
        <f>IFERROR(__xludf.DUMMYFUNCTION("""COMPUTED_VALUE"""),"آذربایجان غربی")</f>
        <v>آذربایجان غربی</v>
      </c>
      <c r="E2165" s="5" t="str">
        <f>IFERROR(__xludf.DUMMYFUNCTION("""COMPUTED_VALUE"""),"تکاب")</f>
        <v>تکاب</v>
      </c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</row>
    <row r="2166">
      <c r="A2166" s="5">
        <f>IFERROR(__xludf.DUMMYFUNCTION("""COMPUTED_VALUE"""),654.0)</f>
        <v>654</v>
      </c>
      <c r="B2166" s="5" t="str">
        <f>IFERROR(__xludf.DUMMYFUNCTION("""COMPUTED_VALUE"""),"هیأت")</f>
        <v>هیأت</v>
      </c>
      <c r="C2166" s="5" t="str">
        <f>IFERROR(__xludf.DUMMYFUNCTION("""COMPUTED_VALUE"""),"منتظران")</f>
        <v>منتظران</v>
      </c>
      <c r="D2166" s="5" t="str">
        <f>IFERROR(__xludf.DUMMYFUNCTION("""COMPUTED_VALUE"""),"آذربایجان غربی")</f>
        <v>آذربایجان غربی</v>
      </c>
      <c r="E2166" s="5" t="str">
        <f>IFERROR(__xludf.DUMMYFUNCTION("""COMPUTED_VALUE"""),"تکاب")</f>
        <v>تکاب</v>
      </c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</row>
    <row r="2167">
      <c r="A2167" s="5">
        <f>IFERROR(__xludf.DUMMYFUNCTION("""COMPUTED_VALUE"""),581.0)</f>
        <v>581</v>
      </c>
      <c r="B2167" s="5" t="str">
        <f>IFERROR(__xludf.DUMMYFUNCTION("""COMPUTED_VALUE"""),"هیأت")</f>
        <v>هیأت</v>
      </c>
      <c r="C2167" s="5" t="str">
        <f>IFERROR(__xludf.DUMMYFUNCTION("""COMPUTED_VALUE"""),"مسجد متوسلین به موسی بن جعفر (ع)")</f>
        <v>مسجد متوسلین به موسی بن جعفر (ع)</v>
      </c>
      <c r="D2167" s="5" t="str">
        <f>IFERROR(__xludf.DUMMYFUNCTION("""COMPUTED_VALUE"""),"آذربایجان غربی")</f>
        <v>آذربایجان غربی</v>
      </c>
      <c r="E2167" s="5" t="str">
        <f>IFERROR(__xludf.DUMMYFUNCTION("""COMPUTED_VALUE"""),"تکاب")</f>
        <v>تکاب</v>
      </c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</row>
    <row r="2168">
      <c r="A2168" s="5">
        <f>IFERROR(__xludf.DUMMYFUNCTION("""COMPUTED_VALUE"""),578.0)</f>
        <v>578</v>
      </c>
      <c r="B2168" s="5" t="str">
        <f>IFERROR(__xludf.DUMMYFUNCTION("""COMPUTED_VALUE"""),"هیأت")</f>
        <v>هیأت</v>
      </c>
      <c r="C2168" s="5" t="str">
        <f>IFERROR(__xludf.DUMMYFUNCTION("""COMPUTED_VALUE"""),"مکتب الزینب (س)")</f>
        <v>مکتب الزینب (س)</v>
      </c>
      <c r="D2168" s="5" t="str">
        <f>IFERROR(__xludf.DUMMYFUNCTION("""COMPUTED_VALUE"""),"آذربایجان غربی")</f>
        <v>آذربایجان غربی</v>
      </c>
      <c r="E2168" s="5" t="str">
        <f>IFERROR(__xludf.DUMMYFUNCTION("""COMPUTED_VALUE"""),"تکاب")</f>
        <v>تکاب</v>
      </c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</row>
    <row r="2169">
      <c r="A2169" s="5">
        <f>IFERROR(__xludf.DUMMYFUNCTION("""COMPUTED_VALUE"""),576.0)</f>
        <v>576</v>
      </c>
      <c r="B2169" s="5" t="str">
        <f>IFERROR(__xludf.DUMMYFUNCTION("""COMPUTED_VALUE"""),"هیأت")</f>
        <v>هیأت</v>
      </c>
      <c r="C2169" s="5" t="str">
        <f>IFERROR(__xludf.DUMMYFUNCTION("""COMPUTED_VALUE"""),"صادقیون")</f>
        <v>صادقیون</v>
      </c>
      <c r="D2169" s="5" t="str">
        <f>IFERROR(__xludf.DUMMYFUNCTION("""COMPUTED_VALUE"""),"آذربایجان غربی")</f>
        <v>آذربایجان غربی</v>
      </c>
      <c r="E2169" s="5" t="str">
        <f>IFERROR(__xludf.DUMMYFUNCTION("""COMPUTED_VALUE"""),"تکاب")</f>
        <v>تکاب</v>
      </c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</row>
    <row r="2170">
      <c r="A2170" s="5">
        <f>IFERROR(__xludf.DUMMYFUNCTION("""COMPUTED_VALUE"""),575.0)</f>
        <v>575</v>
      </c>
      <c r="B2170" s="5" t="str">
        <f>IFERROR(__xludf.DUMMYFUNCTION("""COMPUTED_VALUE"""),"هیأت")</f>
        <v>هیأت</v>
      </c>
      <c r="C2170" s="5" t="str">
        <f>IFERROR(__xludf.DUMMYFUNCTION("""COMPUTED_VALUE"""),"عباسی ارشاد")</f>
        <v>عباسی ارشاد</v>
      </c>
      <c r="D2170" s="5" t="str">
        <f>IFERROR(__xludf.DUMMYFUNCTION("""COMPUTED_VALUE"""),"آذربایجان غربی")</f>
        <v>آذربایجان غربی</v>
      </c>
      <c r="E2170" s="5" t="str">
        <f>IFERROR(__xludf.DUMMYFUNCTION("""COMPUTED_VALUE"""),"تکاب")</f>
        <v>تکاب</v>
      </c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</row>
    <row r="2171">
      <c r="A2171" s="5">
        <f>IFERROR(__xludf.DUMMYFUNCTION("""COMPUTED_VALUE"""),574.0)</f>
        <v>574</v>
      </c>
      <c r="B2171" s="5" t="str">
        <f>IFERROR(__xludf.DUMMYFUNCTION("""COMPUTED_VALUE"""),"هیأت")</f>
        <v>هیأت</v>
      </c>
      <c r="C2171" s="5" t="str">
        <f>IFERROR(__xludf.DUMMYFUNCTION("""COMPUTED_VALUE"""),"علمدار")</f>
        <v>علمدار</v>
      </c>
      <c r="D2171" s="5" t="str">
        <f>IFERROR(__xludf.DUMMYFUNCTION("""COMPUTED_VALUE"""),"آذربایجان غربی")</f>
        <v>آذربایجان غربی</v>
      </c>
      <c r="E2171" s="5" t="str">
        <f>IFERROR(__xludf.DUMMYFUNCTION("""COMPUTED_VALUE"""),"تکاب")</f>
        <v>تکاب</v>
      </c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</row>
    <row r="2172">
      <c r="A2172" s="5">
        <f>IFERROR(__xludf.DUMMYFUNCTION("""COMPUTED_VALUE"""),573.0)</f>
        <v>573</v>
      </c>
      <c r="B2172" s="5" t="str">
        <f>IFERROR(__xludf.DUMMYFUNCTION("""COMPUTED_VALUE"""),"هیأت")</f>
        <v>هیأت</v>
      </c>
      <c r="C2172" s="5" t="str">
        <f>IFERROR(__xludf.DUMMYFUNCTION("""COMPUTED_VALUE"""),"علویون")</f>
        <v>علویون</v>
      </c>
      <c r="D2172" s="5" t="str">
        <f>IFERROR(__xludf.DUMMYFUNCTION("""COMPUTED_VALUE"""),"آذربایجان غربی")</f>
        <v>آذربایجان غربی</v>
      </c>
      <c r="E2172" s="5" t="str">
        <f>IFERROR(__xludf.DUMMYFUNCTION("""COMPUTED_VALUE"""),"تکاب")</f>
        <v>تکاب</v>
      </c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</row>
    <row r="2173">
      <c r="A2173" s="5">
        <f>IFERROR(__xludf.DUMMYFUNCTION("""COMPUTED_VALUE"""),572.0)</f>
        <v>572</v>
      </c>
      <c r="B2173" s="5" t="str">
        <f>IFERROR(__xludf.DUMMYFUNCTION("""COMPUTED_VALUE"""),"هیأت")</f>
        <v>هیأت</v>
      </c>
      <c r="C2173" s="5" t="str">
        <f>IFERROR(__xludf.DUMMYFUNCTION("""COMPUTED_VALUE"""),"مسجد بقیه الله (عج) _ مسجد جامع")</f>
        <v>مسجد بقیه الله (عج) _ مسجد جامع</v>
      </c>
      <c r="D2173" s="5" t="str">
        <f>IFERROR(__xludf.DUMMYFUNCTION("""COMPUTED_VALUE"""),"آذربایجان غربی")</f>
        <v>آذربایجان غربی</v>
      </c>
      <c r="E2173" s="5" t="str">
        <f>IFERROR(__xludf.DUMMYFUNCTION("""COMPUTED_VALUE"""),"تکاب")</f>
        <v>تکاب</v>
      </c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</row>
    <row r="2174">
      <c r="A2174" s="5">
        <f>IFERROR(__xludf.DUMMYFUNCTION("""COMPUTED_VALUE"""),570.0)</f>
        <v>570</v>
      </c>
      <c r="B2174" s="5" t="str">
        <f>IFERROR(__xludf.DUMMYFUNCTION("""COMPUTED_VALUE"""),"هیأت")</f>
        <v>هیأت</v>
      </c>
      <c r="C2174" s="5" t="str">
        <f>IFERROR(__xludf.DUMMYFUNCTION("""COMPUTED_VALUE"""),"غمخانه حضرت زینب (س)")</f>
        <v>غمخانه حضرت زینب (س)</v>
      </c>
      <c r="D2174" s="5" t="str">
        <f>IFERROR(__xludf.DUMMYFUNCTION("""COMPUTED_VALUE"""),"آذربایجان غربی")</f>
        <v>آذربایجان غربی</v>
      </c>
      <c r="E2174" s="5" t="str">
        <f>IFERROR(__xludf.DUMMYFUNCTION("""COMPUTED_VALUE"""),"تکاب")</f>
        <v>تکاب</v>
      </c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</row>
    <row r="2175">
      <c r="A2175" s="5">
        <f>IFERROR(__xludf.DUMMYFUNCTION("""COMPUTED_VALUE"""),569.0)</f>
        <v>569</v>
      </c>
      <c r="B2175" s="5" t="str">
        <f>IFERROR(__xludf.DUMMYFUNCTION("""COMPUTED_VALUE"""),"هیأت")</f>
        <v>هیأت</v>
      </c>
      <c r="C2175" s="5" t="str">
        <f>IFERROR(__xludf.DUMMYFUNCTION("""COMPUTED_VALUE"""),"بی بی زینب (س)")</f>
        <v>بی بی زینب (س)</v>
      </c>
      <c r="D2175" s="5" t="str">
        <f>IFERROR(__xludf.DUMMYFUNCTION("""COMPUTED_VALUE"""),"آذربایجان غربی")</f>
        <v>آذربایجان غربی</v>
      </c>
      <c r="E2175" s="5" t="str">
        <f>IFERROR(__xludf.DUMMYFUNCTION("""COMPUTED_VALUE"""),"تکاب")</f>
        <v>تکاب</v>
      </c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</row>
    <row r="2176">
      <c r="A2176" s="5">
        <f>IFERROR(__xludf.DUMMYFUNCTION("""COMPUTED_VALUE"""),568.0)</f>
        <v>568</v>
      </c>
      <c r="B2176" s="5" t="str">
        <f>IFERROR(__xludf.DUMMYFUNCTION("""COMPUTED_VALUE"""),"هیأت")</f>
        <v>هیأت</v>
      </c>
      <c r="C2176" s="5" t="str">
        <f>IFERROR(__xludf.DUMMYFUNCTION("""COMPUTED_VALUE"""),"مکتب الحسین (ع)")</f>
        <v>مکتب الحسین (ع)</v>
      </c>
      <c r="D2176" s="5" t="str">
        <f>IFERROR(__xludf.DUMMYFUNCTION("""COMPUTED_VALUE"""),"آذربایجان غربی")</f>
        <v>آذربایجان غربی</v>
      </c>
      <c r="E2176" s="5" t="str">
        <f>IFERROR(__xludf.DUMMYFUNCTION("""COMPUTED_VALUE"""),"تکاب")</f>
        <v>تکاب</v>
      </c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</row>
    <row r="2177">
      <c r="A2177" s="5">
        <f>IFERROR(__xludf.DUMMYFUNCTION("""COMPUTED_VALUE"""),567.0)</f>
        <v>567</v>
      </c>
      <c r="B2177" s="5" t="str">
        <f>IFERROR(__xludf.DUMMYFUNCTION("""COMPUTED_VALUE"""),"هیأت")</f>
        <v>هیأت</v>
      </c>
      <c r="C2177" s="5" t="str">
        <f>IFERROR(__xludf.DUMMYFUNCTION("""COMPUTED_VALUE"""),"چهارده معصوم (ع)")</f>
        <v>چهارده معصوم (ع)</v>
      </c>
      <c r="D2177" s="5" t="str">
        <f>IFERROR(__xludf.DUMMYFUNCTION("""COMPUTED_VALUE"""),"آذربایجان غربی")</f>
        <v>آذربایجان غربی</v>
      </c>
      <c r="E2177" s="5" t="str">
        <f>IFERROR(__xludf.DUMMYFUNCTION("""COMPUTED_VALUE"""),"تکاب")</f>
        <v>تکاب</v>
      </c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</row>
    <row r="2178">
      <c r="A2178" s="5">
        <f>IFERROR(__xludf.DUMMYFUNCTION("""COMPUTED_VALUE"""),566.0)</f>
        <v>566</v>
      </c>
      <c r="B2178" s="5" t="str">
        <f>IFERROR(__xludf.DUMMYFUNCTION("""COMPUTED_VALUE"""),"هیأت")</f>
        <v>هیأت</v>
      </c>
      <c r="C2178" s="5" t="str">
        <f>IFERROR(__xludf.DUMMYFUNCTION("""COMPUTED_VALUE"""),"مکتب العباس (ع)")</f>
        <v>مکتب العباس (ع)</v>
      </c>
      <c r="D2178" s="5" t="str">
        <f>IFERROR(__xludf.DUMMYFUNCTION("""COMPUTED_VALUE"""),"آذربایجان غربی")</f>
        <v>آذربایجان غربی</v>
      </c>
      <c r="E2178" s="5" t="str">
        <f>IFERROR(__xludf.DUMMYFUNCTION("""COMPUTED_VALUE"""),"تکاب")</f>
        <v>تکاب</v>
      </c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</row>
    <row r="2179">
      <c r="A2179" s="5">
        <f>IFERROR(__xludf.DUMMYFUNCTION("""COMPUTED_VALUE"""),563.0)</f>
        <v>563</v>
      </c>
      <c r="B2179" s="5" t="str">
        <f>IFERROR(__xludf.DUMMYFUNCTION("""COMPUTED_VALUE"""),"هیأت")</f>
        <v>هیأت</v>
      </c>
      <c r="C2179" s="5" t="str">
        <f>IFERROR(__xludf.DUMMYFUNCTION("""COMPUTED_VALUE"""),"جان نثاران (مسجد جامع)")</f>
        <v>جان نثاران (مسجد جامع)</v>
      </c>
      <c r="D2179" s="5" t="str">
        <f>IFERROR(__xludf.DUMMYFUNCTION("""COMPUTED_VALUE"""),"آذربایجان غربی")</f>
        <v>آذربایجان غربی</v>
      </c>
      <c r="E2179" s="5" t="str">
        <f>IFERROR(__xludf.DUMMYFUNCTION("""COMPUTED_VALUE"""),"تکاب")</f>
        <v>تکاب</v>
      </c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</row>
    <row r="2180">
      <c r="A2180" s="5">
        <f>IFERROR(__xludf.DUMMYFUNCTION("""COMPUTED_VALUE"""),30727.0)</f>
        <v>30727</v>
      </c>
      <c r="B2180" s="5" t="str">
        <f>IFERROR(__xludf.DUMMYFUNCTION("""COMPUTED_VALUE"""),"هیأت")</f>
        <v>هیأت</v>
      </c>
      <c r="C2180" s="5" t="str">
        <f>IFERROR(__xludf.DUMMYFUNCTION("""COMPUTED_VALUE"""),"اباعبدالله الحسین (ع)")</f>
        <v>اباعبدالله الحسین (ع)</v>
      </c>
      <c r="D2180" s="5" t="str">
        <f>IFERROR(__xludf.DUMMYFUNCTION("""COMPUTED_VALUE"""),"آذربایجان غربی")</f>
        <v>آذربایجان غربی</v>
      </c>
      <c r="E2180" s="5" t="str">
        <f>IFERROR(__xludf.DUMMYFUNCTION("""COMPUTED_VALUE"""),"چالدران")</f>
        <v>چالدران</v>
      </c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</row>
    <row r="2181">
      <c r="A2181" s="5">
        <f>IFERROR(__xludf.DUMMYFUNCTION("""COMPUTED_VALUE"""),29260.0)</f>
        <v>29260</v>
      </c>
      <c r="B2181" s="5" t="str">
        <f>IFERROR(__xludf.DUMMYFUNCTION("""COMPUTED_VALUE"""),"هیأت")</f>
        <v>هیأت</v>
      </c>
      <c r="C2181" s="5" t="str">
        <f>IFERROR(__xludf.DUMMYFUNCTION("""COMPUTED_VALUE"""),"شاه حسین گویان")</f>
        <v>شاه حسین گویان</v>
      </c>
      <c r="D2181" s="5" t="str">
        <f>IFERROR(__xludf.DUMMYFUNCTION("""COMPUTED_VALUE"""),"آذربایجان غربی")</f>
        <v>آذربایجان غربی</v>
      </c>
      <c r="E2181" s="5" t="str">
        <f>IFERROR(__xludf.DUMMYFUNCTION("""COMPUTED_VALUE"""),"چالدران")</f>
        <v>چالدران</v>
      </c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</row>
    <row r="2182">
      <c r="A2182" s="5">
        <f>IFERROR(__xludf.DUMMYFUNCTION("""COMPUTED_VALUE"""),27117.0)</f>
        <v>27117</v>
      </c>
      <c r="B2182" s="5" t="str">
        <f>IFERROR(__xludf.DUMMYFUNCTION("""COMPUTED_VALUE"""),"هیأت")</f>
        <v>هیأت</v>
      </c>
      <c r="C2182" s="5" t="str">
        <f>IFERROR(__xludf.DUMMYFUNCTION("""COMPUTED_VALUE"""),"علی اصغر (ع)")</f>
        <v>علی اصغر (ع)</v>
      </c>
      <c r="D2182" s="5" t="str">
        <f>IFERROR(__xludf.DUMMYFUNCTION("""COMPUTED_VALUE"""),"آذربایجان غربی")</f>
        <v>آذربایجان غربی</v>
      </c>
      <c r="E2182" s="5" t="str">
        <f>IFERROR(__xludf.DUMMYFUNCTION("""COMPUTED_VALUE"""),"چالدران")</f>
        <v>چالدران</v>
      </c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</row>
    <row r="2183">
      <c r="A2183" s="5">
        <f>IFERROR(__xludf.DUMMYFUNCTION("""COMPUTED_VALUE"""),24843.0)</f>
        <v>24843</v>
      </c>
      <c r="B2183" s="5" t="str">
        <f>IFERROR(__xludf.DUMMYFUNCTION("""COMPUTED_VALUE"""),"هیأت")</f>
        <v>هیأت</v>
      </c>
      <c r="C2183" s="5" t="str">
        <f>IFERROR(__xludf.DUMMYFUNCTION("""COMPUTED_VALUE"""),"عزاداران سیدالشهدا (ع)")</f>
        <v>عزاداران سیدالشهدا (ع)</v>
      </c>
      <c r="D2183" s="5" t="str">
        <f>IFERROR(__xludf.DUMMYFUNCTION("""COMPUTED_VALUE"""),"آذربایجان غربی")</f>
        <v>آذربایجان غربی</v>
      </c>
      <c r="E2183" s="5" t="str">
        <f>IFERROR(__xludf.DUMMYFUNCTION("""COMPUTED_VALUE"""),"چالدران")</f>
        <v>چالدران</v>
      </c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</row>
    <row r="2184">
      <c r="A2184" s="5">
        <f>IFERROR(__xludf.DUMMYFUNCTION("""COMPUTED_VALUE"""),21224.0)</f>
        <v>21224</v>
      </c>
      <c r="B2184" s="5" t="str">
        <f>IFERROR(__xludf.DUMMYFUNCTION("""COMPUTED_VALUE"""),"هیأت")</f>
        <v>هیأت</v>
      </c>
      <c r="C2184" s="5" t="str">
        <f>IFERROR(__xludf.DUMMYFUNCTION("""COMPUTED_VALUE"""),"علی اصغر(ع)")</f>
        <v>علی اصغر(ع)</v>
      </c>
      <c r="D2184" s="5" t="str">
        <f>IFERROR(__xludf.DUMMYFUNCTION("""COMPUTED_VALUE"""),"آذربایجان غربی")</f>
        <v>آذربایجان غربی</v>
      </c>
      <c r="E2184" s="5" t="str">
        <f>IFERROR(__xludf.DUMMYFUNCTION("""COMPUTED_VALUE"""),"چالدران")</f>
        <v>چالدران</v>
      </c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</row>
    <row r="2185">
      <c r="A2185" s="5">
        <f>IFERROR(__xludf.DUMMYFUNCTION("""COMPUTED_VALUE"""),21173.0)</f>
        <v>21173</v>
      </c>
      <c r="B2185" s="5" t="str">
        <f>IFERROR(__xludf.DUMMYFUNCTION("""COMPUTED_VALUE"""),"هیأت")</f>
        <v>هیأت</v>
      </c>
      <c r="C2185" s="5" t="str">
        <f>IFERROR(__xludf.DUMMYFUNCTION("""COMPUTED_VALUE"""),"مسجد امیرالمومنین (ع)")</f>
        <v>مسجد امیرالمومنین (ع)</v>
      </c>
      <c r="D2185" s="5" t="str">
        <f>IFERROR(__xludf.DUMMYFUNCTION("""COMPUTED_VALUE"""),"آذربایجان غربی")</f>
        <v>آذربایجان غربی</v>
      </c>
      <c r="E2185" s="5" t="str">
        <f>IFERROR(__xludf.DUMMYFUNCTION("""COMPUTED_VALUE"""),"چالدران")</f>
        <v>چالدران</v>
      </c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</row>
    <row r="2186">
      <c r="A2186" s="5">
        <f>IFERROR(__xludf.DUMMYFUNCTION("""COMPUTED_VALUE"""),21171.0)</f>
        <v>21171</v>
      </c>
      <c r="B2186" s="5" t="str">
        <f>IFERROR(__xludf.DUMMYFUNCTION("""COMPUTED_VALUE"""),"هیأت")</f>
        <v>هیأت</v>
      </c>
      <c r="C2186" s="5" t="str">
        <f>IFERROR(__xludf.DUMMYFUNCTION("""COMPUTED_VALUE"""),"هیات الزهرا (س)")</f>
        <v>هیات الزهرا (س)</v>
      </c>
      <c r="D2186" s="5" t="str">
        <f>IFERROR(__xludf.DUMMYFUNCTION("""COMPUTED_VALUE"""),"آذربایجان غربی")</f>
        <v>آذربایجان غربی</v>
      </c>
      <c r="E2186" s="5" t="str">
        <f>IFERROR(__xludf.DUMMYFUNCTION("""COMPUTED_VALUE"""),"چالدران")</f>
        <v>چالدران</v>
      </c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</row>
    <row r="2187">
      <c r="A2187" s="5">
        <f>IFERROR(__xludf.DUMMYFUNCTION("""COMPUTED_VALUE"""),21144.0)</f>
        <v>21144</v>
      </c>
      <c r="B2187" s="5" t="str">
        <f>IFERROR(__xludf.DUMMYFUNCTION("""COMPUTED_VALUE"""),"هیأت")</f>
        <v>هیأت</v>
      </c>
      <c r="C2187" s="5" t="str">
        <f>IFERROR(__xludf.DUMMYFUNCTION("""COMPUTED_VALUE"""),"حضرت رقیه (س)")</f>
        <v>حضرت رقیه (س)</v>
      </c>
      <c r="D2187" s="5" t="str">
        <f>IFERROR(__xludf.DUMMYFUNCTION("""COMPUTED_VALUE"""),"آذربایجان غربی")</f>
        <v>آذربایجان غربی</v>
      </c>
      <c r="E2187" s="5" t="str">
        <f>IFERROR(__xludf.DUMMYFUNCTION("""COMPUTED_VALUE"""),"چالدران")</f>
        <v>چالدران</v>
      </c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</row>
    <row r="2188">
      <c r="A2188" s="5">
        <f>IFERROR(__xludf.DUMMYFUNCTION("""COMPUTED_VALUE"""),20295.0)</f>
        <v>20295</v>
      </c>
      <c r="B2188" s="5" t="str">
        <f>IFERROR(__xludf.DUMMYFUNCTION("""COMPUTED_VALUE"""),"هیأت")</f>
        <v>هیأت</v>
      </c>
      <c r="C2188" s="5" t="str">
        <f>IFERROR(__xludf.DUMMYFUNCTION("""COMPUTED_VALUE"""),"عزاداری مسجدجامع")</f>
        <v>عزاداری مسجدجامع</v>
      </c>
      <c r="D2188" s="5" t="str">
        <f>IFERROR(__xludf.DUMMYFUNCTION("""COMPUTED_VALUE"""),"آذربایجان غربی")</f>
        <v>آذربایجان غربی</v>
      </c>
      <c r="E2188" s="5" t="str">
        <f>IFERROR(__xludf.DUMMYFUNCTION("""COMPUTED_VALUE"""),"چالدران")</f>
        <v>چالدران</v>
      </c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</row>
    <row r="2189">
      <c r="A2189" s="5">
        <f>IFERROR(__xludf.DUMMYFUNCTION("""COMPUTED_VALUE"""),17927.0)</f>
        <v>17927</v>
      </c>
      <c r="B2189" s="5" t="str">
        <f>IFERROR(__xludf.DUMMYFUNCTION("""COMPUTED_VALUE"""),"هیأت")</f>
        <v>هیأت</v>
      </c>
      <c r="C2189" s="5" t="str">
        <f>IFERROR(__xludf.DUMMYFUNCTION("""COMPUTED_VALUE"""),"رزمندگان اسلام")</f>
        <v>رزمندگان اسلام</v>
      </c>
      <c r="D2189" s="5" t="str">
        <f>IFERROR(__xludf.DUMMYFUNCTION("""COMPUTED_VALUE"""),"آذربایجان غربی")</f>
        <v>آذربایجان غربی</v>
      </c>
      <c r="E2189" s="5" t="str">
        <f>IFERROR(__xludf.DUMMYFUNCTION("""COMPUTED_VALUE"""),"چالدران")</f>
        <v>چالدران</v>
      </c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</row>
    <row r="2190">
      <c r="A2190" s="5">
        <f>IFERROR(__xludf.DUMMYFUNCTION("""COMPUTED_VALUE"""),634.0)</f>
        <v>634</v>
      </c>
      <c r="B2190" s="5" t="str">
        <f>IFERROR(__xludf.DUMMYFUNCTION("""COMPUTED_VALUE"""),"هیأت")</f>
        <v>هیأت</v>
      </c>
      <c r="C2190" s="5" t="str">
        <f>IFERROR(__xludf.DUMMYFUNCTION("""COMPUTED_VALUE"""),"حضرت قاسم (ع)")</f>
        <v>حضرت قاسم (ع)</v>
      </c>
      <c r="D2190" s="5" t="str">
        <f>IFERROR(__xludf.DUMMYFUNCTION("""COMPUTED_VALUE"""),"آذربایجان غربی")</f>
        <v>آذربایجان غربی</v>
      </c>
      <c r="E2190" s="5" t="str">
        <f>IFERROR(__xludf.DUMMYFUNCTION("""COMPUTED_VALUE"""),"چالدران")</f>
        <v>چالدران</v>
      </c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</row>
    <row r="2191">
      <c r="A2191" s="5">
        <f>IFERROR(__xludf.DUMMYFUNCTION("""COMPUTED_VALUE"""),604.0)</f>
        <v>604</v>
      </c>
      <c r="B2191" s="5" t="str">
        <f>IFERROR(__xludf.DUMMYFUNCTION("""COMPUTED_VALUE"""),"هیأت")</f>
        <v>هیأت</v>
      </c>
      <c r="C2191" s="5" t="str">
        <f>IFERROR(__xludf.DUMMYFUNCTION("""COMPUTED_VALUE"""),"اباعبدالله الحسین (ع) روستای خضرلو")</f>
        <v>اباعبدالله الحسین (ع) روستای خضرلو</v>
      </c>
      <c r="D2191" s="5" t="str">
        <f>IFERROR(__xludf.DUMMYFUNCTION("""COMPUTED_VALUE"""),"آذربایجان غربی")</f>
        <v>آذربایجان غربی</v>
      </c>
      <c r="E2191" s="5" t="str">
        <f>IFERROR(__xludf.DUMMYFUNCTION("""COMPUTED_VALUE"""),"چالدران")</f>
        <v>چالدران</v>
      </c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</row>
    <row r="2192">
      <c r="A2192" s="5">
        <f>IFERROR(__xludf.DUMMYFUNCTION("""COMPUTED_VALUE"""),602.0)</f>
        <v>602</v>
      </c>
      <c r="B2192" s="5" t="str">
        <f>IFERROR(__xludf.DUMMYFUNCTION("""COMPUTED_VALUE"""),"هیأت")</f>
        <v>هیأت</v>
      </c>
      <c r="C2192" s="5" t="str">
        <f>IFERROR(__xludf.DUMMYFUNCTION("""COMPUTED_VALUE"""),"اباعبدالله (ع) روستای بابالو")</f>
        <v>اباعبدالله (ع) روستای بابالو</v>
      </c>
      <c r="D2192" s="5" t="str">
        <f>IFERROR(__xludf.DUMMYFUNCTION("""COMPUTED_VALUE"""),"آذربایجان غربی")</f>
        <v>آذربایجان غربی</v>
      </c>
      <c r="E2192" s="5" t="str">
        <f>IFERROR(__xludf.DUMMYFUNCTION("""COMPUTED_VALUE"""),"چالدران")</f>
        <v>چالدران</v>
      </c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</row>
    <row r="2193">
      <c r="A2193" s="5">
        <f>IFERROR(__xludf.DUMMYFUNCTION("""COMPUTED_VALUE"""),601.0)</f>
        <v>601</v>
      </c>
      <c r="B2193" s="5" t="str">
        <f>IFERROR(__xludf.DUMMYFUNCTION("""COMPUTED_VALUE"""),"هیأت")</f>
        <v>هیأت</v>
      </c>
      <c r="C2193" s="5" t="str">
        <f>IFERROR(__xludf.DUMMYFUNCTION("""COMPUTED_VALUE"""),"جوانان خادم الائمه (ع)")</f>
        <v>جوانان خادم الائمه (ع)</v>
      </c>
      <c r="D2193" s="5" t="str">
        <f>IFERROR(__xludf.DUMMYFUNCTION("""COMPUTED_VALUE"""),"آذربایجان غربی")</f>
        <v>آذربایجان غربی</v>
      </c>
      <c r="E2193" s="5" t="str">
        <f>IFERROR(__xludf.DUMMYFUNCTION("""COMPUTED_VALUE"""),"چالدران")</f>
        <v>چالدران</v>
      </c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</row>
    <row r="2194">
      <c r="A2194" s="5">
        <f>IFERROR(__xludf.DUMMYFUNCTION("""COMPUTED_VALUE"""),600.0)</f>
        <v>600</v>
      </c>
      <c r="B2194" s="5" t="str">
        <f>IFERROR(__xludf.DUMMYFUNCTION("""COMPUTED_VALUE"""),"هیأت")</f>
        <v>هیأت</v>
      </c>
      <c r="C2194" s="5" t="str">
        <f>IFERROR(__xludf.DUMMYFUNCTION("""COMPUTED_VALUE"""),"جوانان خادم الائمه (ع)")</f>
        <v>جوانان خادم الائمه (ع)</v>
      </c>
      <c r="D2194" s="5" t="str">
        <f>IFERROR(__xludf.DUMMYFUNCTION("""COMPUTED_VALUE"""),"آذربایجان غربی")</f>
        <v>آذربایجان غربی</v>
      </c>
      <c r="E2194" s="5" t="str">
        <f>IFERROR(__xludf.DUMMYFUNCTION("""COMPUTED_VALUE"""),"چالدران")</f>
        <v>چالدران</v>
      </c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</row>
    <row r="2195">
      <c r="A2195" s="5">
        <f>IFERROR(__xludf.DUMMYFUNCTION("""COMPUTED_VALUE"""),595.0)</f>
        <v>595</v>
      </c>
      <c r="B2195" s="5" t="str">
        <f>IFERROR(__xludf.DUMMYFUNCTION("""COMPUTED_VALUE"""),"هیأت")</f>
        <v>هیأت</v>
      </c>
      <c r="C2195" s="5" t="str">
        <f>IFERROR(__xludf.DUMMYFUNCTION("""COMPUTED_VALUE"""),"انصارالحسین (ع) روستای سعدل")</f>
        <v>انصارالحسین (ع) روستای سعدل</v>
      </c>
      <c r="D2195" s="5" t="str">
        <f>IFERROR(__xludf.DUMMYFUNCTION("""COMPUTED_VALUE"""),"آذربایجان غربی")</f>
        <v>آذربایجان غربی</v>
      </c>
      <c r="E2195" s="5" t="str">
        <f>IFERROR(__xludf.DUMMYFUNCTION("""COMPUTED_VALUE"""),"چالدران")</f>
        <v>چالدران</v>
      </c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</row>
    <row r="2196">
      <c r="A2196" s="5">
        <f>IFERROR(__xludf.DUMMYFUNCTION("""COMPUTED_VALUE"""),594.0)</f>
        <v>594</v>
      </c>
      <c r="B2196" s="5" t="str">
        <f>IFERROR(__xludf.DUMMYFUNCTION("""COMPUTED_VALUE"""),"هیأت")</f>
        <v>هیأت</v>
      </c>
      <c r="C2196" s="5" t="str">
        <f>IFERROR(__xludf.DUMMYFUNCTION("""COMPUTED_VALUE"""),"لواء زینب (س)")</f>
        <v>لواء زینب (س)</v>
      </c>
      <c r="D2196" s="5" t="str">
        <f>IFERROR(__xludf.DUMMYFUNCTION("""COMPUTED_VALUE"""),"آذربایجان غربی")</f>
        <v>آذربایجان غربی</v>
      </c>
      <c r="E2196" s="5" t="str">
        <f>IFERROR(__xludf.DUMMYFUNCTION("""COMPUTED_VALUE"""),"چالدران")</f>
        <v>چالدران</v>
      </c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</row>
    <row r="2197">
      <c r="A2197" s="5">
        <f>IFERROR(__xludf.DUMMYFUNCTION("""COMPUTED_VALUE"""),593.0)</f>
        <v>593</v>
      </c>
      <c r="B2197" s="5" t="str">
        <f>IFERROR(__xludf.DUMMYFUNCTION("""COMPUTED_VALUE"""),"هیأت")</f>
        <v>هیأت</v>
      </c>
      <c r="C2197" s="5" t="str">
        <f>IFERROR(__xludf.DUMMYFUNCTION("""COMPUTED_VALUE"""),"جوانان بنی هاشم (ع) (روستای قرنقو) به به جیک")</f>
        <v>جوانان بنی هاشم (ع) (روستای قرنقو) به به جیک</v>
      </c>
      <c r="D2197" s="5" t="str">
        <f>IFERROR(__xludf.DUMMYFUNCTION("""COMPUTED_VALUE"""),"آذربایجان غربی")</f>
        <v>آذربایجان غربی</v>
      </c>
      <c r="E2197" s="5" t="str">
        <f>IFERROR(__xludf.DUMMYFUNCTION("""COMPUTED_VALUE"""),"چالدران")</f>
        <v>چالدران</v>
      </c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</row>
    <row r="2198">
      <c r="A2198" s="5">
        <f>IFERROR(__xludf.DUMMYFUNCTION("""COMPUTED_VALUE"""),590.0)</f>
        <v>590</v>
      </c>
      <c r="B2198" s="5" t="str">
        <f>IFERROR(__xludf.DUMMYFUNCTION("""COMPUTED_VALUE"""),"هیأت")</f>
        <v>هیأت</v>
      </c>
      <c r="C2198" s="5" t="str">
        <f>IFERROR(__xludf.DUMMYFUNCTION("""COMPUTED_VALUE"""),"انجمن پیشگیری از اعتیاد ارشاد")</f>
        <v>انجمن پیشگیری از اعتیاد ارشاد</v>
      </c>
      <c r="D2198" s="5" t="str">
        <f>IFERROR(__xludf.DUMMYFUNCTION("""COMPUTED_VALUE"""),"آذربایجان غربی")</f>
        <v>آذربایجان غربی</v>
      </c>
      <c r="E2198" s="5" t="str">
        <f>IFERROR(__xludf.DUMMYFUNCTION("""COMPUTED_VALUE"""),"چالدران")</f>
        <v>چالدران</v>
      </c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</row>
    <row r="2199">
      <c r="A2199" s="5">
        <f>IFERROR(__xludf.DUMMYFUNCTION("""COMPUTED_VALUE"""),589.0)</f>
        <v>589</v>
      </c>
      <c r="B2199" s="5" t="str">
        <f>IFERROR(__xludf.DUMMYFUNCTION("""COMPUTED_VALUE"""),"هیأت")</f>
        <v>هیأت</v>
      </c>
      <c r="C2199" s="5" t="str">
        <f>IFERROR(__xludf.DUMMYFUNCTION("""COMPUTED_VALUE"""),"مسجد جامع")</f>
        <v>مسجد جامع</v>
      </c>
      <c r="D2199" s="5" t="str">
        <f>IFERROR(__xludf.DUMMYFUNCTION("""COMPUTED_VALUE"""),"آذربایجان غربی")</f>
        <v>آذربایجان غربی</v>
      </c>
      <c r="E2199" s="5" t="str">
        <f>IFERROR(__xludf.DUMMYFUNCTION("""COMPUTED_VALUE"""),"چالدران")</f>
        <v>چالدران</v>
      </c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</row>
    <row r="2200">
      <c r="A2200" s="5">
        <f>IFERROR(__xludf.DUMMYFUNCTION("""COMPUTED_VALUE"""),444.0)</f>
        <v>444</v>
      </c>
      <c r="B2200" s="5" t="str">
        <f>IFERROR(__xludf.DUMMYFUNCTION("""COMPUTED_VALUE"""),"هیأت")</f>
        <v>هیأت</v>
      </c>
      <c r="C2200" s="5" t="str">
        <f>IFERROR(__xludf.DUMMYFUNCTION("""COMPUTED_VALUE"""),"حضرت ابوالفضل (ع) محله آغسو")</f>
        <v>حضرت ابوالفضل (ع) محله آغسو</v>
      </c>
      <c r="D2200" s="5" t="str">
        <f>IFERROR(__xludf.DUMMYFUNCTION("""COMPUTED_VALUE"""),"آذربایجان غربی")</f>
        <v>آذربایجان غربی</v>
      </c>
      <c r="E2200" s="5" t="str">
        <f>IFERROR(__xludf.DUMMYFUNCTION("""COMPUTED_VALUE"""),"چالدران")</f>
        <v>چالدران</v>
      </c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</row>
    <row r="2201">
      <c r="A2201" s="5">
        <f>IFERROR(__xludf.DUMMYFUNCTION("""COMPUTED_VALUE"""),442.0)</f>
        <v>442</v>
      </c>
      <c r="B2201" s="5" t="str">
        <f>IFERROR(__xludf.DUMMYFUNCTION("""COMPUTED_VALUE"""),"هیأت")</f>
        <v>هیأت</v>
      </c>
      <c r="C2201" s="5" t="str">
        <f>IFERROR(__xludf.DUMMYFUNCTION("""COMPUTED_VALUE"""),"منتظران")</f>
        <v>منتظران</v>
      </c>
      <c r="D2201" s="5" t="str">
        <f>IFERROR(__xludf.DUMMYFUNCTION("""COMPUTED_VALUE"""),"آذربایجان غربی")</f>
        <v>آذربایجان غربی</v>
      </c>
      <c r="E2201" s="5" t="str">
        <f>IFERROR(__xludf.DUMMYFUNCTION("""COMPUTED_VALUE"""),"چالدران")</f>
        <v>چالدران</v>
      </c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</row>
    <row r="2202">
      <c r="A2202" s="5">
        <f>IFERROR(__xludf.DUMMYFUNCTION("""COMPUTED_VALUE"""),441.0)</f>
        <v>441</v>
      </c>
      <c r="B2202" s="5" t="str">
        <f>IFERROR(__xludf.DUMMYFUNCTION("""COMPUTED_VALUE"""),"هیأت")</f>
        <v>هیأت</v>
      </c>
      <c r="C2202" s="5" t="str">
        <f>IFERROR(__xludf.DUMMYFUNCTION("""COMPUTED_VALUE"""),"حسینیه غربا")</f>
        <v>حسینیه غربا</v>
      </c>
      <c r="D2202" s="5" t="str">
        <f>IFERROR(__xludf.DUMMYFUNCTION("""COMPUTED_VALUE"""),"آذربایجان غربی")</f>
        <v>آذربایجان غربی</v>
      </c>
      <c r="E2202" s="5" t="str">
        <f>IFERROR(__xludf.DUMMYFUNCTION("""COMPUTED_VALUE"""),"چالدران")</f>
        <v>چالدران</v>
      </c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</row>
    <row r="2203">
      <c r="A2203" s="5">
        <f>IFERROR(__xludf.DUMMYFUNCTION("""COMPUTED_VALUE"""),30760.0)</f>
        <v>30760</v>
      </c>
      <c r="B2203" s="5" t="str">
        <f>IFERROR(__xludf.DUMMYFUNCTION("""COMPUTED_VALUE"""),"هیأت")</f>
        <v>هیأت</v>
      </c>
      <c r="C2203" s="5" t="str">
        <f>IFERROR(__xludf.DUMMYFUNCTION("""COMPUTED_VALUE"""),"هیات عزاداران مسجد جامع چایپاره")</f>
        <v>هیات عزاداران مسجد جامع چایپاره</v>
      </c>
      <c r="D2203" s="5" t="str">
        <f>IFERROR(__xludf.DUMMYFUNCTION("""COMPUTED_VALUE"""),"آذربایجان غربی")</f>
        <v>آذربایجان غربی</v>
      </c>
      <c r="E2203" s="5" t="str">
        <f>IFERROR(__xludf.DUMMYFUNCTION("""COMPUTED_VALUE"""),"چایپاره")</f>
        <v>چایپاره</v>
      </c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</row>
    <row r="2204">
      <c r="A2204" s="5">
        <f>IFERROR(__xludf.DUMMYFUNCTION("""COMPUTED_VALUE"""),30751.0)</f>
        <v>30751</v>
      </c>
      <c r="B2204" s="5" t="str">
        <f>IFERROR(__xludf.DUMMYFUNCTION("""COMPUTED_VALUE"""),"هیأت")</f>
        <v>هیأت</v>
      </c>
      <c r="C2204" s="5" t="str">
        <f>IFERROR(__xludf.DUMMYFUNCTION("""COMPUTED_VALUE"""),"امام حسن مجتبی (ع)")</f>
        <v>امام حسن مجتبی (ع)</v>
      </c>
      <c r="D2204" s="5" t="str">
        <f>IFERROR(__xludf.DUMMYFUNCTION("""COMPUTED_VALUE"""),"آذربایجان غربی")</f>
        <v>آذربایجان غربی</v>
      </c>
      <c r="E2204" s="5" t="str">
        <f>IFERROR(__xludf.DUMMYFUNCTION("""COMPUTED_VALUE"""),"چایپاره")</f>
        <v>چایپاره</v>
      </c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</row>
    <row r="2205">
      <c r="A2205" s="5">
        <f>IFERROR(__xludf.DUMMYFUNCTION("""COMPUTED_VALUE"""),30745.0)</f>
        <v>30745</v>
      </c>
      <c r="B2205" s="5" t="str">
        <f>IFERROR(__xludf.DUMMYFUNCTION("""COMPUTED_VALUE"""),"هیأت")</f>
        <v>هیأت</v>
      </c>
      <c r="C2205" s="5" t="str">
        <f>IFERROR(__xludf.DUMMYFUNCTION("""COMPUTED_VALUE"""),"منتظران مهدی (عج)")</f>
        <v>منتظران مهدی (عج)</v>
      </c>
      <c r="D2205" s="5" t="str">
        <f>IFERROR(__xludf.DUMMYFUNCTION("""COMPUTED_VALUE"""),"آذربایجان غربی")</f>
        <v>آذربایجان غربی</v>
      </c>
      <c r="E2205" s="5" t="str">
        <f>IFERROR(__xludf.DUMMYFUNCTION("""COMPUTED_VALUE"""),"چایپاره")</f>
        <v>چایپاره</v>
      </c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</row>
    <row r="2206">
      <c r="A2206" s="5">
        <f>IFERROR(__xludf.DUMMYFUNCTION("""COMPUTED_VALUE"""),27127.0)</f>
        <v>27127</v>
      </c>
      <c r="B2206" s="5" t="str">
        <f>IFERROR(__xludf.DUMMYFUNCTION("""COMPUTED_VALUE"""),"هیأت")</f>
        <v>هیأت</v>
      </c>
      <c r="C2206" s="5" t="str">
        <f>IFERROR(__xludf.DUMMYFUNCTION("""COMPUTED_VALUE"""),"مجمع حیدریون")</f>
        <v>مجمع حیدریون</v>
      </c>
      <c r="D2206" s="5" t="str">
        <f>IFERROR(__xludf.DUMMYFUNCTION("""COMPUTED_VALUE"""),"آذربایجان غربی")</f>
        <v>آذربایجان غربی</v>
      </c>
      <c r="E2206" s="5" t="str">
        <f>IFERROR(__xludf.DUMMYFUNCTION("""COMPUTED_VALUE"""),"چایپاره")</f>
        <v>چایپاره</v>
      </c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</row>
    <row r="2207">
      <c r="A2207" s="5">
        <f>IFERROR(__xludf.DUMMYFUNCTION("""COMPUTED_VALUE"""),27126.0)</f>
        <v>27126</v>
      </c>
      <c r="B2207" s="5" t="str">
        <f>IFERROR(__xludf.DUMMYFUNCTION("""COMPUTED_VALUE"""),"هیأت")</f>
        <v>هیأت</v>
      </c>
      <c r="C2207" s="5" t="str">
        <f>IFERROR(__xludf.DUMMYFUNCTION("""COMPUTED_VALUE"""),"امین")</f>
        <v>امین</v>
      </c>
      <c r="D2207" s="5" t="str">
        <f>IFERROR(__xludf.DUMMYFUNCTION("""COMPUTED_VALUE"""),"آذربایجان غربی")</f>
        <v>آذربایجان غربی</v>
      </c>
      <c r="E2207" s="5" t="str">
        <f>IFERROR(__xludf.DUMMYFUNCTION("""COMPUTED_VALUE"""),"چایپاره")</f>
        <v>چایپاره</v>
      </c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</row>
    <row r="2208">
      <c r="A2208" s="5">
        <f>IFERROR(__xludf.DUMMYFUNCTION("""COMPUTED_VALUE"""),27119.0)</f>
        <v>27119</v>
      </c>
      <c r="B2208" s="5" t="str">
        <f>IFERROR(__xludf.DUMMYFUNCTION("""COMPUTED_VALUE"""),"هیأت")</f>
        <v>هیأت</v>
      </c>
      <c r="C2208" s="5" t="str">
        <f>IFERROR(__xludf.DUMMYFUNCTION("""COMPUTED_VALUE"""),"منتظران المهدی (عج)")</f>
        <v>منتظران المهدی (عج)</v>
      </c>
      <c r="D2208" s="5" t="str">
        <f>IFERROR(__xludf.DUMMYFUNCTION("""COMPUTED_VALUE"""),"آذربایجان غربی")</f>
        <v>آذربایجان غربی</v>
      </c>
      <c r="E2208" s="5" t="str">
        <f>IFERROR(__xludf.DUMMYFUNCTION("""COMPUTED_VALUE"""),"چایپاره")</f>
        <v>چایپاره</v>
      </c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</row>
    <row r="2209">
      <c r="A2209" s="5">
        <f>IFERROR(__xludf.DUMMYFUNCTION("""COMPUTED_VALUE"""),20663.0)</f>
        <v>20663</v>
      </c>
      <c r="B2209" s="5" t="str">
        <f>IFERROR(__xludf.DUMMYFUNCTION("""COMPUTED_VALUE"""),"هیأت")</f>
        <v>هیأت</v>
      </c>
      <c r="C2209" s="5" t="str">
        <f>IFERROR(__xludf.DUMMYFUNCTION("""COMPUTED_VALUE"""),"پنج تن آل عبا (ع) روستا و محله قره کندی")</f>
        <v>پنج تن آل عبا (ع) روستا و محله قره کندی</v>
      </c>
      <c r="D2209" s="5" t="str">
        <f>IFERROR(__xludf.DUMMYFUNCTION("""COMPUTED_VALUE"""),"آذربایجان غربی")</f>
        <v>آذربایجان غربی</v>
      </c>
      <c r="E2209" s="5" t="str">
        <f>IFERROR(__xludf.DUMMYFUNCTION("""COMPUTED_VALUE"""),"چایپاره")</f>
        <v>چایپاره</v>
      </c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</row>
    <row r="2210">
      <c r="A2210" s="5">
        <f>IFERROR(__xludf.DUMMYFUNCTION("""COMPUTED_VALUE"""),20662.0)</f>
        <v>20662</v>
      </c>
      <c r="B2210" s="5" t="str">
        <f>IFERROR(__xludf.DUMMYFUNCTION("""COMPUTED_VALUE"""),"هیأت")</f>
        <v>هیأت</v>
      </c>
      <c r="C2210" s="5" t="str">
        <f>IFERROR(__xludf.DUMMYFUNCTION("""COMPUTED_VALUE"""),"صاحب الزمان(عج)")</f>
        <v>صاحب الزمان(عج)</v>
      </c>
      <c r="D2210" s="5" t="str">
        <f>IFERROR(__xludf.DUMMYFUNCTION("""COMPUTED_VALUE"""),"آذربایجان غربی")</f>
        <v>آذربایجان غربی</v>
      </c>
      <c r="E2210" s="5" t="str">
        <f>IFERROR(__xludf.DUMMYFUNCTION("""COMPUTED_VALUE"""),"چایپاره")</f>
        <v>چایپاره</v>
      </c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</row>
    <row r="2211">
      <c r="A2211" s="5">
        <f>IFERROR(__xludf.DUMMYFUNCTION("""COMPUTED_VALUE"""),20661.0)</f>
        <v>20661</v>
      </c>
      <c r="B2211" s="5" t="str">
        <f>IFERROR(__xludf.DUMMYFUNCTION("""COMPUTED_VALUE"""),"هیأت")</f>
        <v>هیأت</v>
      </c>
      <c r="C2211" s="5" t="str">
        <f>IFERROR(__xludf.DUMMYFUNCTION("""COMPUTED_VALUE"""),"امام حسن مجتبی(ع)")</f>
        <v>امام حسن مجتبی(ع)</v>
      </c>
      <c r="D2211" s="5" t="str">
        <f>IFERROR(__xludf.DUMMYFUNCTION("""COMPUTED_VALUE"""),"آذربایجان غربی")</f>
        <v>آذربایجان غربی</v>
      </c>
      <c r="E2211" s="5" t="str">
        <f>IFERROR(__xludf.DUMMYFUNCTION("""COMPUTED_VALUE"""),"چایپاره")</f>
        <v>چایپاره</v>
      </c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</row>
    <row r="2212">
      <c r="A2212" s="5">
        <f>IFERROR(__xludf.DUMMYFUNCTION("""COMPUTED_VALUE"""),656.0)</f>
        <v>656</v>
      </c>
      <c r="B2212" s="5" t="str">
        <f>IFERROR(__xludf.DUMMYFUNCTION("""COMPUTED_VALUE"""),"هیأت")</f>
        <v>هیأت</v>
      </c>
      <c r="C2212" s="5" t="str">
        <f>IFERROR(__xludf.DUMMYFUNCTION("""COMPUTED_VALUE"""),"عزاداران مصلی نماز جمعه")</f>
        <v>عزاداران مصلی نماز جمعه</v>
      </c>
      <c r="D2212" s="5" t="str">
        <f>IFERROR(__xludf.DUMMYFUNCTION("""COMPUTED_VALUE"""),"آذربایجان غربی")</f>
        <v>آذربایجان غربی</v>
      </c>
      <c r="E2212" s="5" t="str">
        <f>IFERROR(__xludf.DUMMYFUNCTION("""COMPUTED_VALUE"""),"چایپاره")</f>
        <v>چایپاره</v>
      </c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</row>
    <row r="2213">
      <c r="A2213" s="5">
        <f>IFERROR(__xludf.DUMMYFUNCTION("""COMPUTED_VALUE"""),605.0)</f>
        <v>605</v>
      </c>
      <c r="B2213" s="5" t="str">
        <f>IFERROR(__xludf.DUMMYFUNCTION("""COMPUTED_VALUE"""),"هیأت")</f>
        <v>هیأت</v>
      </c>
      <c r="C2213" s="5" t="str">
        <f>IFERROR(__xludf.DUMMYFUNCTION("""COMPUTED_VALUE"""),"محبان اهل بیت (ع)")</f>
        <v>محبان اهل بیت (ع)</v>
      </c>
      <c r="D2213" s="5" t="str">
        <f>IFERROR(__xludf.DUMMYFUNCTION("""COMPUTED_VALUE"""),"آذربایجان غربی")</f>
        <v>آذربایجان غربی</v>
      </c>
      <c r="E2213" s="5" t="str">
        <f>IFERROR(__xludf.DUMMYFUNCTION("""COMPUTED_VALUE"""),"چایپاره")</f>
        <v>چایپاره</v>
      </c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</row>
    <row r="2214">
      <c r="A2214" s="5">
        <f>IFERROR(__xludf.DUMMYFUNCTION("""COMPUTED_VALUE"""),700.0)</f>
        <v>700</v>
      </c>
      <c r="B2214" s="5" t="str">
        <f>IFERROR(__xludf.DUMMYFUNCTION("""COMPUTED_VALUE"""),"هیأت")</f>
        <v>هیأت</v>
      </c>
      <c r="C2214" s="5" t="str">
        <f>IFERROR(__xludf.DUMMYFUNCTION("""COMPUTED_VALUE"""),"قرآنی (مسجد جامع) کوی تقی آباد")</f>
        <v>قرآنی (مسجد جامع) کوی تقی آباد</v>
      </c>
      <c r="D2214" s="5" t="str">
        <f>IFERROR(__xludf.DUMMYFUNCTION("""COMPUTED_VALUE"""),"آذربایجان غربی")</f>
        <v>آذربایجان غربی</v>
      </c>
      <c r="E2214" s="5" t="str">
        <f>IFERROR(__xludf.DUMMYFUNCTION("""COMPUTED_VALUE"""),"چهاربرج")</f>
        <v>چهاربرج</v>
      </c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</row>
    <row r="2215">
      <c r="A2215" s="5">
        <f>IFERROR(__xludf.DUMMYFUNCTION("""COMPUTED_VALUE"""),32391.0)</f>
        <v>32391</v>
      </c>
      <c r="B2215" s="5" t="str">
        <f>IFERROR(__xludf.DUMMYFUNCTION("""COMPUTED_VALUE"""),"هیأت")</f>
        <v>هیأت</v>
      </c>
      <c r="C2215" s="5" t="str">
        <f>IFERROR(__xludf.DUMMYFUNCTION("""COMPUTED_VALUE"""),"محفل زینبیون")</f>
        <v>محفل زینبیون</v>
      </c>
      <c r="D2215" s="5" t="str">
        <f>IFERROR(__xludf.DUMMYFUNCTION("""COMPUTED_VALUE"""),"آذربایجان غربی")</f>
        <v>آذربایجان غربی</v>
      </c>
      <c r="E2215" s="5" t="str">
        <f>IFERROR(__xludf.DUMMYFUNCTION("""COMPUTED_VALUE"""),"خوی")</f>
        <v>خوی</v>
      </c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</row>
    <row r="2216">
      <c r="A2216" s="5">
        <f>IFERROR(__xludf.DUMMYFUNCTION("""COMPUTED_VALUE"""),32090.0)</f>
        <v>32090</v>
      </c>
      <c r="B2216" s="5" t="str">
        <f>IFERROR(__xludf.DUMMYFUNCTION("""COMPUTED_VALUE"""),"هیأت")</f>
        <v>هیأت</v>
      </c>
      <c r="C2216" s="5" t="str">
        <f>IFERROR(__xludf.DUMMYFUNCTION("""COMPUTED_VALUE"""),"عاشقان مهدی")</f>
        <v>عاشقان مهدی</v>
      </c>
      <c r="D2216" s="5" t="str">
        <f>IFERROR(__xludf.DUMMYFUNCTION("""COMPUTED_VALUE"""),"آذربایجان غربی")</f>
        <v>آذربایجان غربی</v>
      </c>
      <c r="E2216" s="5" t="str">
        <f>IFERROR(__xludf.DUMMYFUNCTION("""COMPUTED_VALUE"""),"خوی")</f>
        <v>خوی</v>
      </c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</row>
    <row r="2217">
      <c r="A2217" s="5">
        <f>IFERROR(__xludf.DUMMYFUNCTION("""COMPUTED_VALUE"""),31386.0)</f>
        <v>31386</v>
      </c>
      <c r="B2217" s="5" t="str">
        <f>IFERROR(__xludf.DUMMYFUNCTION("""COMPUTED_VALUE"""),"هیأت")</f>
        <v>هیأت</v>
      </c>
      <c r="C2217" s="5" t="str">
        <f>IFERROR(__xludf.DUMMYFUNCTION("""COMPUTED_VALUE"""),"مسجد حضرت ابالفضل (ع)")</f>
        <v>مسجد حضرت ابالفضل (ع)</v>
      </c>
      <c r="D2217" s="5" t="str">
        <f>IFERROR(__xludf.DUMMYFUNCTION("""COMPUTED_VALUE"""),"آذربایجان غربی")</f>
        <v>آذربایجان غربی</v>
      </c>
      <c r="E2217" s="5" t="str">
        <f>IFERROR(__xludf.DUMMYFUNCTION("""COMPUTED_VALUE"""),"خوی")</f>
        <v>خوی</v>
      </c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</row>
    <row r="2218">
      <c r="A2218" s="5">
        <f>IFERROR(__xludf.DUMMYFUNCTION("""COMPUTED_VALUE"""),30759.0)</f>
        <v>30759</v>
      </c>
      <c r="B2218" s="5" t="str">
        <f>IFERROR(__xludf.DUMMYFUNCTION("""COMPUTED_VALUE"""),"هیأت")</f>
        <v>هیأت</v>
      </c>
      <c r="C2218" s="5" t="str">
        <f>IFERROR(__xludf.DUMMYFUNCTION("""COMPUTED_VALUE"""),"عاشقان امام حسین (ع)")</f>
        <v>عاشقان امام حسین (ع)</v>
      </c>
      <c r="D2218" s="5" t="str">
        <f>IFERROR(__xludf.DUMMYFUNCTION("""COMPUTED_VALUE"""),"آذربایجان غربی")</f>
        <v>آذربایجان غربی</v>
      </c>
      <c r="E2218" s="5" t="str">
        <f>IFERROR(__xludf.DUMMYFUNCTION("""COMPUTED_VALUE"""),"خوی")</f>
        <v>خوی</v>
      </c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</row>
    <row r="2219">
      <c r="A2219" s="5">
        <f>IFERROR(__xludf.DUMMYFUNCTION("""COMPUTED_VALUE"""),30750.0)</f>
        <v>30750</v>
      </c>
      <c r="B2219" s="5" t="str">
        <f>IFERROR(__xludf.DUMMYFUNCTION("""COMPUTED_VALUE"""),"هیأت")</f>
        <v>هیأت</v>
      </c>
      <c r="C2219" s="5" t="str">
        <f>IFERROR(__xludf.DUMMYFUNCTION("""COMPUTED_VALUE"""),"هیات قلندر")</f>
        <v>هیات قلندر</v>
      </c>
      <c r="D2219" s="5" t="str">
        <f>IFERROR(__xludf.DUMMYFUNCTION("""COMPUTED_VALUE"""),"آذربایجان غربی")</f>
        <v>آذربایجان غربی</v>
      </c>
      <c r="E2219" s="5" t="str">
        <f>IFERROR(__xludf.DUMMYFUNCTION("""COMPUTED_VALUE"""),"خوی")</f>
        <v>خوی</v>
      </c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</row>
    <row r="2220">
      <c r="A2220" s="5">
        <f>IFERROR(__xludf.DUMMYFUNCTION("""COMPUTED_VALUE"""),30357.0)</f>
        <v>30357</v>
      </c>
      <c r="B2220" s="5" t="str">
        <f>IFERROR(__xludf.DUMMYFUNCTION("""COMPUTED_VALUE"""),"هیأت")</f>
        <v>هیأت</v>
      </c>
      <c r="C2220" s="5" t="str">
        <f>IFERROR(__xludf.DUMMYFUNCTION("""COMPUTED_VALUE"""),"چهارده معصوم")</f>
        <v>چهارده معصوم</v>
      </c>
      <c r="D2220" s="5" t="str">
        <f>IFERROR(__xludf.DUMMYFUNCTION("""COMPUTED_VALUE"""),"آذربایجان غربی")</f>
        <v>آذربایجان غربی</v>
      </c>
      <c r="E2220" s="5" t="str">
        <f>IFERROR(__xludf.DUMMYFUNCTION("""COMPUTED_VALUE"""),"خوی")</f>
        <v>خوی</v>
      </c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</row>
    <row r="2221">
      <c r="A2221" s="5">
        <f>IFERROR(__xludf.DUMMYFUNCTION("""COMPUTED_VALUE"""),30355.0)</f>
        <v>30355</v>
      </c>
      <c r="B2221" s="5" t="str">
        <f>IFERROR(__xludf.DUMMYFUNCTION("""COMPUTED_VALUE"""),"هیأت")</f>
        <v>هیأت</v>
      </c>
      <c r="C2221" s="5" t="str">
        <f>IFERROR(__xludf.DUMMYFUNCTION("""COMPUTED_VALUE"""),"شهیدانه گلزار شهدا")</f>
        <v>شهیدانه گلزار شهدا</v>
      </c>
      <c r="D2221" s="5" t="str">
        <f>IFERROR(__xludf.DUMMYFUNCTION("""COMPUTED_VALUE"""),"آذربایجان غربی")</f>
        <v>آذربایجان غربی</v>
      </c>
      <c r="E2221" s="5" t="str">
        <f>IFERROR(__xludf.DUMMYFUNCTION("""COMPUTED_VALUE"""),"خوی")</f>
        <v>خوی</v>
      </c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</row>
    <row r="2222">
      <c r="A2222" s="5">
        <f>IFERROR(__xludf.DUMMYFUNCTION("""COMPUTED_VALUE"""),27116.0)</f>
        <v>27116</v>
      </c>
      <c r="B2222" s="5" t="str">
        <f>IFERROR(__xludf.DUMMYFUNCTION("""COMPUTED_VALUE"""),"هیأت")</f>
        <v>هیأت</v>
      </c>
      <c r="C2222" s="5" t="str">
        <f>IFERROR(__xludf.DUMMYFUNCTION("""COMPUTED_VALUE"""),"ریحانه الحسین")</f>
        <v>ریحانه الحسین</v>
      </c>
      <c r="D2222" s="5" t="str">
        <f>IFERROR(__xludf.DUMMYFUNCTION("""COMPUTED_VALUE"""),"آذربایجان غربی")</f>
        <v>آذربایجان غربی</v>
      </c>
      <c r="E2222" s="5" t="str">
        <f>IFERROR(__xludf.DUMMYFUNCTION("""COMPUTED_VALUE"""),"خوی")</f>
        <v>خوی</v>
      </c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</row>
    <row r="2223">
      <c r="A2223" s="5">
        <f>IFERROR(__xludf.DUMMYFUNCTION("""COMPUTED_VALUE"""),27115.0)</f>
        <v>27115</v>
      </c>
      <c r="B2223" s="5" t="str">
        <f>IFERROR(__xludf.DUMMYFUNCTION("""COMPUTED_VALUE"""),"هیأت")</f>
        <v>هیأت</v>
      </c>
      <c r="C2223" s="5" t="str">
        <f>IFERROR(__xludf.DUMMYFUNCTION("""COMPUTED_VALUE"""),"منتظران المهدی (عج)")</f>
        <v>منتظران المهدی (عج)</v>
      </c>
      <c r="D2223" s="5" t="str">
        <f>IFERROR(__xludf.DUMMYFUNCTION("""COMPUTED_VALUE"""),"آذربایجان غربی")</f>
        <v>آذربایجان غربی</v>
      </c>
      <c r="E2223" s="5" t="str">
        <f>IFERROR(__xludf.DUMMYFUNCTION("""COMPUTED_VALUE"""),"خوی")</f>
        <v>خوی</v>
      </c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</row>
    <row r="2224">
      <c r="A2224" s="5">
        <f>IFERROR(__xludf.DUMMYFUNCTION("""COMPUTED_VALUE"""),23904.0)</f>
        <v>23904</v>
      </c>
      <c r="B2224" s="5" t="str">
        <f>IFERROR(__xludf.DUMMYFUNCTION("""COMPUTED_VALUE"""),"هیأت")</f>
        <v>هیأت</v>
      </c>
      <c r="C2224" s="5" t="str">
        <f>IFERROR(__xludf.DUMMYFUNCTION("""COMPUTED_VALUE"""),"قرارگاه فرهنگی جهادی")</f>
        <v>قرارگاه فرهنگی جهادی</v>
      </c>
      <c r="D2224" s="5" t="str">
        <f>IFERROR(__xludf.DUMMYFUNCTION("""COMPUTED_VALUE"""),"آذربایجان غربی")</f>
        <v>آذربایجان غربی</v>
      </c>
      <c r="E2224" s="5" t="str">
        <f>IFERROR(__xludf.DUMMYFUNCTION("""COMPUTED_VALUE"""),"خوی")</f>
        <v>خوی</v>
      </c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</row>
    <row r="2225">
      <c r="A2225" s="5">
        <f>IFERROR(__xludf.DUMMYFUNCTION("""COMPUTED_VALUE"""),23526.0)</f>
        <v>23526</v>
      </c>
      <c r="B2225" s="5" t="str">
        <f>IFERROR(__xludf.DUMMYFUNCTION("""COMPUTED_VALUE"""),"هیأت")</f>
        <v>هیأت</v>
      </c>
      <c r="C2225" s="5" t="str">
        <f>IFERROR(__xludf.DUMMYFUNCTION("""COMPUTED_VALUE"""),"مکتب المهدی(عج)")</f>
        <v>مکتب المهدی(عج)</v>
      </c>
      <c r="D2225" s="5" t="str">
        <f>IFERROR(__xludf.DUMMYFUNCTION("""COMPUTED_VALUE"""),"آذربایجان غربی")</f>
        <v>آذربایجان غربی</v>
      </c>
      <c r="E2225" s="5" t="str">
        <f>IFERROR(__xludf.DUMMYFUNCTION("""COMPUTED_VALUE"""),"خوی")</f>
        <v>خوی</v>
      </c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</row>
    <row r="2226">
      <c r="A2226" s="5">
        <f>IFERROR(__xludf.DUMMYFUNCTION("""COMPUTED_VALUE"""),23525.0)</f>
        <v>23525</v>
      </c>
      <c r="B2226" s="5" t="str">
        <f>IFERROR(__xludf.DUMMYFUNCTION("""COMPUTED_VALUE"""),"هیأت")</f>
        <v>هیأت</v>
      </c>
      <c r="C2226" s="5" t="str">
        <f>IFERROR(__xludf.DUMMYFUNCTION("""COMPUTED_VALUE"""),"بنات الحسین")</f>
        <v>بنات الحسین</v>
      </c>
      <c r="D2226" s="5" t="str">
        <f>IFERROR(__xludf.DUMMYFUNCTION("""COMPUTED_VALUE"""),"آذربایجان غربی")</f>
        <v>آذربایجان غربی</v>
      </c>
      <c r="E2226" s="5" t="str">
        <f>IFERROR(__xludf.DUMMYFUNCTION("""COMPUTED_VALUE"""),"خوی")</f>
        <v>خوی</v>
      </c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</row>
    <row r="2227">
      <c r="A2227" s="5">
        <f>IFERROR(__xludf.DUMMYFUNCTION("""COMPUTED_VALUE"""),23517.0)</f>
        <v>23517</v>
      </c>
      <c r="B2227" s="5" t="str">
        <f>IFERROR(__xludf.DUMMYFUNCTION("""COMPUTED_VALUE"""),"هیأت")</f>
        <v>هیأت</v>
      </c>
      <c r="C2227" s="5" t="str">
        <f>IFERROR(__xludf.DUMMYFUNCTION("""COMPUTED_VALUE"""),"یاوران مهدی(عج)")</f>
        <v>یاوران مهدی(عج)</v>
      </c>
      <c r="D2227" s="5" t="str">
        <f>IFERROR(__xludf.DUMMYFUNCTION("""COMPUTED_VALUE"""),"آذربایجان غربی")</f>
        <v>آذربایجان غربی</v>
      </c>
      <c r="E2227" s="5" t="str">
        <f>IFERROR(__xludf.DUMMYFUNCTION("""COMPUTED_VALUE"""),"خوی")</f>
        <v>خوی</v>
      </c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</row>
    <row r="2228">
      <c r="A2228" s="5">
        <f>IFERROR(__xludf.DUMMYFUNCTION("""COMPUTED_VALUE"""),23024.0)</f>
        <v>23024</v>
      </c>
      <c r="B2228" s="5" t="str">
        <f>IFERROR(__xludf.DUMMYFUNCTION("""COMPUTED_VALUE"""),"هیأت")</f>
        <v>هیأت</v>
      </c>
      <c r="C2228" s="5" t="str">
        <f>IFERROR(__xludf.DUMMYFUNCTION("""COMPUTED_VALUE"""),"شیفتگان حضرت زهرا")</f>
        <v>شیفتگان حضرت زهرا</v>
      </c>
      <c r="D2228" s="5" t="str">
        <f>IFERROR(__xludf.DUMMYFUNCTION("""COMPUTED_VALUE"""),"آذربایجان غربی")</f>
        <v>آذربایجان غربی</v>
      </c>
      <c r="E2228" s="5" t="str">
        <f>IFERROR(__xludf.DUMMYFUNCTION("""COMPUTED_VALUE"""),"خوی")</f>
        <v>خوی</v>
      </c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</row>
    <row r="2229">
      <c r="A2229" s="5">
        <f>IFERROR(__xludf.DUMMYFUNCTION("""COMPUTED_VALUE"""),21999.0)</f>
        <v>21999</v>
      </c>
      <c r="B2229" s="5" t="str">
        <f>IFERROR(__xludf.DUMMYFUNCTION("""COMPUTED_VALUE"""),"هیأت")</f>
        <v>هیأت</v>
      </c>
      <c r="C2229" s="5" t="str">
        <f>IFERROR(__xludf.DUMMYFUNCTION("""COMPUTED_VALUE"""),"حدیث کسا")</f>
        <v>حدیث کسا</v>
      </c>
      <c r="D2229" s="5" t="str">
        <f>IFERROR(__xludf.DUMMYFUNCTION("""COMPUTED_VALUE"""),"آذربایجان غربی")</f>
        <v>آذربایجان غربی</v>
      </c>
      <c r="E2229" s="5" t="str">
        <f>IFERROR(__xludf.DUMMYFUNCTION("""COMPUTED_VALUE"""),"خوی")</f>
        <v>خوی</v>
      </c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</row>
    <row r="2230">
      <c r="A2230" s="5">
        <f>IFERROR(__xludf.DUMMYFUNCTION("""COMPUTED_VALUE"""),21998.0)</f>
        <v>21998</v>
      </c>
      <c r="B2230" s="5" t="str">
        <f>IFERROR(__xludf.DUMMYFUNCTION("""COMPUTED_VALUE"""),"هیأت")</f>
        <v>هیأت</v>
      </c>
      <c r="C2230" s="5" t="str">
        <f>IFERROR(__xludf.DUMMYFUNCTION("""COMPUTED_VALUE"""),"فاطمه الزهرا (س)")</f>
        <v>فاطمه الزهرا (س)</v>
      </c>
      <c r="D2230" s="5" t="str">
        <f>IFERROR(__xludf.DUMMYFUNCTION("""COMPUTED_VALUE"""),"آذربایجان غربی")</f>
        <v>آذربایجان غربی</v>
      </c>
      <c r="E2230" s="5" t="str">
        <f>IFERROR(__xludf.DUMMYFUNCTION("""COMPUTED_VALUE"""),"خوی")</f>
        <v>خوی</v>
      </c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</row>
    <row r="2231">
      <c r="A2231" s="5">
        <f>IFERROR(__xludf.DUMMYFUNCTION("""COMPUTED_VALUE"""),21496.0)</f>
        <v>21496</v>
      </c>
      <c r="B2231" s="5" t="str">
        <f>IFERROR(__xludf.DUMMYFUNCTION("""COMPUTED_VALUE"""),"هیأت")</f>
        <v>هیأت</v>
      </c>
      <c r="C2231" s="5" t="str">
        <f>IFERROR(__xludf.DUMMYFUNCTION("""COMPUTED_VALUE"""),"عاشقان ولایت")</f>
        <v>عاشقان ولایت</v>
      </c>
      <c r="D2231" s="5" t="str">
        <f>IFERROR(__xludf.DUMMYFUNCTION("""COMPUTED_VALUE"""),"آذربایجان غربی")</f>
        <v>آذربایجان غربی</v>
      </c>
      <c r="E2231" s="5" t="str">
        <f>IFERROR(__xludf.DUMMYFUNCTION("""COMPUTED_VALUE"""),"خوی")</f>
        <v>خوی</v>
      </c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</row>
    <row r="2232">
      <c r="A2232" s="5">
        <f>IFERROR(__xludf.DUMMYFUNCTION("""COMPUTED_VALUE"""),21160.0)</f>
        <v>21160</v>
      </c>
      <c r="B2232" s="5" t="str">
        <f>IFERROR(__xludf.DUMMYFUNCTION("""COMPUTED_VALUE"""),"هیأت")</f>
        <v>هیأت</v>
      </c>
      <c r="C2232" s="5" t="str">
        <f>IFERROR(__xludf.DUMMYFUNCTION("""COMPUTED_VALUE"""),"عزاداران حسینی سیدبهلول محله امامزاده")</f>
        <v>عزاداران حسینی سیدبهلول محله امامزاده</v>
      </c>
      <c r="D2232" s="5" t="str">
        <f>IFERROR(__xludf.DUMMYFUNCTION("""COMPUTED_VALUE"""),"آذربایجان غربی")</f>
        <v>آذربایجان غربی</v>
      </c>
      <c r="E2232" s="5" t="str">
        <f>IFERROR(__xludf.DUMMYFUNCTION("""COMPUTED_VALUE"""),"خوی")</f>
        <v>خوی</v>
      </c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</row>
    <row r="2233">
      <c r="A2233" s="5">
        <f>IFERROR(__xludf.DUMMYFUNCTION("""COMPUTED_VALUE"""),21159.0)</f>
        <v>21159</v>
      </c>
      <c r="B2233" s="5" t="str">
        <f>IFERROR(__xludf.DUMMYFUNCTION("""COMPUTED_VALUE"""),"هیأت")</f>
        <v>هیأت</v>
      </c>
      <c r="C2233" s="5" t="str">
        <f>IFERROR(__xludf.DUMMYFUNCTION("""COMPUTED_VALUE"""),"مکتب المهدی")</f>
        <v>مکتب المهدی</v>
      </c>
      <c r="D2233" s="5" t="str">
        <f>IFERROR(__xludf.DUMMYFUNCTION("""COMPUTED_VALUE"""),"آذربایجان غربی")</f>
        <v>آذربایجان غربی</v>
      </c>
      <c r="E2233" s="5" t="str">
        <f>IFERROR(__xludf.DUMMYFUNCTION("""COMPUTED_VALUE"""),"خوی")</f>
        <v>خوی</v>
      </c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</row>
    <row r="2234">
      <c r="A2234" s="5">
        <f>IFERROR(__xludf.DUMMYFUNCTION("""COMPUTED_VALUE"""),21157.0)</f>
        <v>21157</v>
      </c>
      <c r="B2234" s="5" t="str">
        <f>IFERROR(__xludf.DUMMYFUNCTION("""COMPUTED_VALUE"""),"هیأت")</f>
        <v>هیأت</v>
      </c>
      <c r="C2234" s="5" t="str">
        <f>IFERROR(__xludf.DUMMYFUNCTION("""COMPUTED_VALUE"""),"حیدریه")</f>
        <v>حیدریه</v>
      </c>
      <c r="D2234" s="5" t="str">
        <f>IFERROR(__xludf.DUMMYFUNCTION("""COMPUTED_VALUE"""),"آذربایجان غربی")</f>
        <v>آذربایجان غربی</v>
      </c>
      <c r="E2234" s="5" t="str">
        <f>IFERROR(__xludf.DUMMYFUNCTION("""COMPUTED_VALUE"""),"خوی")</f>
        <v>خوی</v>
      </c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</row>
    <row r="2235">
      <c r="A2235" s="5">
        <f>IFERROR(__xludf.DUMMYFUNCTION("""COMPUTED_VALUE"""),21156.0)</f>
        <v>21156</v>
      </c>
      <c r="B2235" s="5" t="str">
        <f>IFERROR(__xludf.DUMMYFUNCTION("""COMPUTED_VALUE"""),"هیأت")</f>
        <v>هیأت</v>
      </c>
      <c r="C2235" s="5" t="str">
        <f>IFERROR(__xludf.DUMMYFUNCTION("""COMPUTED_VALUE"""),"محبان حضرت زهرا (س)")</f>
        <v>محبان حضرت زهرا (س)</v>
      </c>
      <c r="D2235" s="5" t="str">
        <f>IFERROR(__xludf.DUMMYFUNCTION("""COMPUTED_VALUE"""),"آذربایجان غربی")</f>
        <v>آذربایجان غربی</v>
      </c>
      <c r="E2235" s="5" t="str">
        <f>IFERROR(__xludf.DUMMYFUNCTION("""COMPUTED_VALUE"""),"خوی")</f>
        <v>خوی</v>
      </c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</row>
    <row r="2236">
      <c r="A2236" s="5">
        <f>IFERROR(__xludf.DUMMYFUNCTION("""COMPUTED_VALUE"""),21155.0)</f>
        <v>21155</v>
      </c>
      <c r="B2236" s="5" t="str">
        <f>IFERROR(__xludf.DUMMYFUNCTION("""COMPUTED_VALUE"""),"هیأت")</f>
        <v>هیأت</v>
      </c>
      <c r="C2236" s="5" t="str">
        <f>IFERROR(__xludf.DUMMYFUNCTION("""COMPUTED_VALUE"""),"قمربنی هاشم (ع)")</f>
        <v>قمربنی هاشم (ع)</v>
      </c>
      <c r="D2236" s="5" t="str">
        <f>IFERROR(__xludf.DUMMYFUNCTION("""COMPUTED_VALUE"""),"آذربایجان غربی")</f>
        <v>آذربایجان غربی</v>
      </c>
      <c r="E2236" s="5" t="str">
        <f>IFERROR(__xludf.DUMMYFUNCTION("""COMPUTED_VALUE"""),"خوی")</f>
        <v>خوی</v>
      </c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</row>
    <row r="2237">
      <c r="A2237" s="5">
        <f>IFERROR(__xludf.DUMMYFUNCTION("""COMPUTED_VALUE"""),21142.0)</f>
        <v>21142</v>
      </c>
      <c r="B2237" s="5" t="str">
        <f>IFERROR(__xludf.DUMMYFUNCTION("""COMPUTED_VALUE"""),"هیأت")</f>
        <v>هیأت</v>
      </c>
      <c r="C2237" s="5" t="str">
        <f>IFERROR(__xludf.DUMMYFUNCTION("""COMPUTED_VALUE"""),"امام حسن مجتبی (ع)")</f>
        <v>امام حسن مجتبی (ع)</v>
      </c>
      <c r="D2237" s="5" t="str">
        <f>IFERROR(__xludf.DUMMYFUNCTION("""COMPUTED_VALUE"""),"آذربایجان غربی")</f>
        <v>آذربایجان غربی</v>
      </c>
      <c r="E2237" s="5" t="str">
        <f>IFERROR(__xludf.DUMMYFUNCTION("""COMPUTED_VALUE"""),"خوی")</f>
        <v>خوی</v>
      </c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</row>
    <row r="2238">
      <c r="A2238" s="5">
        <f>IFERROR(__xludf.DUMMYFUNCTION("""COMPUTED_VALUE"""),21141.0)</f>
        <v>21141</v>
      </c>
      <c r="B2238" s="5" t="str">
        <f>IFERROR(__xludf.DUMMYFUNCTION("""COMPUTED_VALUE"""),"هیأت")</f>
        <v>هیأت</v>
      </c>
      <c r="C2238" s="5" t="str">
        <f>IFERROR(__xludf.DUMMYFUNCTION("""COMPUTED_VALUE"""),"سیدالشهدا")</f>
        <v>سیدالشهدا</v>
      </c>
      <c r="D2238" s="5" t="str">
        <f>IFERROR(__xludf.DUMMYFUNCTION("""COMPUTED_VALUE"""),"آذربایجان غربی")</f>
        <v>آذربایجان غربی</v>
      </c>
      <c r="E2238" s="5" t="str">
        <f>IFERROR(__xludf.DUMMYFUNCTION("""COMPUTED_VALUE"""),"خوی")</f>
        <v>خوی</v>
      </c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</row>
    <row r="2239">
      <c r="A2239" s="5">
        <f>IFERROR(__xludf.DUMMYFUNCTION("""COMPUTED_VALUE"""),21140.0)</f>
        <v>21140</v>
      </c>
      <c r="B2239" s="5" t="str">
        <f>IFERROR(__xludf.DUMMYFUNCTION("""COMPUTED_VALUE"""),"هیأت")</f>
        <v>هیأت</v>
      </c>
      <c r="C2239" s="5" t="str">
        <f>IFERROR(__xludf.DUMMYFUNCTION("""COMPUTED_VALUE"""),"حضرت ام البنین (س)")</f>
        <v>حضرت ام البنین (س)</v>
      </c>
      <c r="D2239" s="5" t="str">
        <f>IFERROR(__xludf.DUMMYFUNCTION("""COMPUTED_VALUE"""),"آذربایجان غربی")</f>
        <v>آذربایجان غربی</v>
      </c>
      <c r="E2239" s="5" t="str">
        <f>IFERROR(__xludf.DUMMYFUNCTION("""COMPUTED_VALUE"""),"خوی")</f>
        <v>خوی</v>
      </c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</row>
    <row r="2240">
      <c r="A2240" s="5">
        <f>IFERROR(__xludf.DUMMYFUNCTION("""COMPUTED_VALUE"""),21139.0)</f>
        <v>21139</v>
      </c>
      <c r="B2240" s="5" t="str">
        <f>IFERROR(__xludf.DUMMYFUNCTION("""COMPUTED_VALUE"""),"هیأت")</f>
        <v>هیأت</v>
      </c>
      <c r="C2240" s="5" t="str">
        <f>IFERROR(__xludf.DUMMYFUNCTION("""COMPUTED_VALUE"""),"عزاداران حسینی")</f>
        <v>عزاداران حسینی</v>
      </c>
      <c r="D2240" s="5" t="str">
        <f>IFERROR(__xludf.DUMMYFUNCTION("""COMPUTED_VALUE"""),"آذربایجان غربی")</f>
        <v>آذربایجان غربی</v>
      </c>
      <c r="E2240" s="5" t="str">
        <f>IFERROR(__xludf.DUMMYFUNCTION("""COMPUTED_VALUE"""),"خوی")</f>
        <v>خوی</v>
      </c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</row>
    <row r="2241">
      <c r="A2241" s="5">
        <f>IFERROR(__xludf.DUMMYFUNCTION("""COMPUTED_VALUE"""),20786.0)</f>
        <v>20786</v>
      </c>
      <c r="B2241" s="5" t="str">
        <f>IFERROR(__xludf.DUMMYFUNCTION("""COMPUTED_VALUE"""),"هیأت")</f>
        <v>هیأت</v>
      </c>
      <c r="C2241" s="5" t="str">
        <f>IFERROR(__xludf.DUMMYFUNCTION("""COMPUTED_VALUE"""),"عزاداران امام رضا(ع)")</f>
        <v>عزاداران امام رضا(ع)</v>
      </c>
      <c r="D2241" s="5" t="str">
        <f>IFERROR(__xludf.DUMMYFUNCTION("""COMPUTED_VALUE"""),"آذربایجان غربی")</f>
        <v>آذربایجان غربی</v>
      </c>
      <c r="E2241" s="5" t="str">
        <f>IFERROR(__xludf.DUMMYFUNCTION("""COMPUTED_VALUE"""),"خوی")</f>
        <v>خوی</v>
      </c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</row>
    <row r="2242">
      <c r="A2242" s="5">
        <f>IFERROR(__xludf.DUMMYFUNCTION("""COMPUTED_VALUE"""),20152.0)</f>
        <v>20152</v>
      </c>
      <c r="B2242" s="5" t="str">
        <f>IFERROR(__xludf.DUMMYFUNCTION("""COMPUTED_VALUE"""),"هیأت")</f>
        <v>هیأت</v>
      </c>
      <c r="C2242" s="5" t="str">
        <f>IFERROR(__xludf.DUMMYFUNCTION("""COMPUTED_VALUE"""),"انصارالمهدی(عج)")</f>
        <v>انصارالمهدی(عج)</v>
      </c>
      <c r="D2242" s="5" t="str">
        <f>IFERROR(__xludf.DUMMYFUNCTION("""COMPUTED_VALUE"""),"آذربایجان غربی")</f>
        <v>آذربایجان غربی</v>
      </c>
      <c r="E2242" s="5" t="str">
        <f>IFERROR(__xludf.DUMMYFUNCTION("""COMPUTED_VALUE"""),"خوی")</f>
        <v>خوی</v>
      </c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</row>
    <row r="2243">
      <c r="A2243" s="5">
        <f>IFERROR(__xludf.DUMMYFUNCTION("""COMPUTED_VALUE"""),20128.0)</f>
        <v>20128</v>
      </c>
      <c r="B2243" s="5" t="str">
        <f>IFERROR(__xludf.DUMMYFUNCTION("""COMPUTED_VALUE"""),"هیأت")</f>
        <v>هیأت</v>
      </c>
      <c r="C2243" s="5" t="str">
        <f>IFERROR(__xludf.DUMMYFUNCTION("""COMPUTED_VALUE"""),"عاشقان حجت بن الحسن(ع) (خواهران)")</f>
        <v>عاشقان حجت بن الحسن(ع) (خواهران)</v>
      </c>
      <c r="D2243" s="5" t="str">
        <f>IFERROR(__xludf.DUMMYFUNCTION("""COMPUTED_VALUE"""),"آذربایجان غربی")</f>
        <v>آذربایجان غربی</v>
      </c>
      <c r="E2243" s="5" t="str">
        <f>IFERROR(__xludf.DUMMYFUNCTION("""COMPUTED_VALUE"""),"خوی")</f>
        <v>خوی</v>
      </c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</row>
    <row r="2244">
      <c r="A2244" s="5">
        <f>IFERROR(__xludf.DUMMYFUNCTION("""COMPUTED_VALUE"""),771.0)</f>
        <v>771</v>
      </c>
      <c r="B2244" s="5" t="str">
        <f>IFERROR(__xludf.DUMMYFUNCTION("""COMPUTED_VALUE"""),"هیأت")</f>
        <v>هیأت</v>
      </c>
      <c r="C2244" s="5" t="str">
        <f>IFERROR(__xludf.DUMMYFUNCTION("""COMPUTED_VALUE"""),"بقیه الله (عج)")</f>
        <v>بقیه الله (عج)</v>
      </c>
      <c r="D2244" s="5" t="str">
        <f>IFERROR(__xludf.DUMMYFUNCTION("""COMPUTED_VALUE"""),"آذربایجان غربی")</f>
        <v>آذربایجان غربی</v>
      </c>
      <c r="E2244" s="5" t="str">
        <f>IFERROR(__xludf.DUMMYFUNCTION("""COMPUTED_VALUE"""),"خوی")</f>
        <v>خوی</v>
      </c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</row>
    <row r="2245">
      <c r="A2245" s="5">
        <f>IFERROR(__xludf.DUMMYFUNCTION("""COMPUTED_VALUE"""),752.0)</f>
        <v>752</v>
      </c>
      <c r="B2245" s="5" t="str">
        <f>IFERROR(__xludf.DUMMYFUNCTION("""COMPUTED_VALUE"""),"هیأت")</f>
        <v>هیأت</v>
      </c>
      <c r="C2245" s="5" t="str">
        <f>IFERROR(__xludf.DUMMYFUNCTION("""COMPUTED_VALUE"""),"زینبیه")</f>
        <v>زینبیه</v>
      </c>
      <c r="D2245" s="5" t="str">
        <f>IFERROR(__xludf.DUMMYFUNCTION("""COMPUTED_VALUE"""),"آذربایجان غربی")</f>
        <v>آذربایجان غربی</v>
      </c>
      <c r="E2245" s="5" t="str">
        <f>IFERROR(__xludf.DUMMYFUNCTION("""COMPUTED_VALUE"""),"خوی")</f>
        <v>خوی</v>
      </c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</row>
    <row r="2246">
      <c r="A2246" s="5">
        <f>IFERROR(__xludf.DUMMYFUNCTION("""COMPUTED_VALUE"""),617.0)</f>
        <v>617</v>
      </c>
      <c r="B2246" s="5" t="str">
        <f>IFERROR(__xludf.DUMMYFUNCTION("""COMPUTED_VALUE"""),"هیأت")</f>
        <v>هیأت</v>
      </c>
      <c r="C2246" s="5" t="str">
        <f>IFERROR(__xludf.DUMMYFUNCTION("""COMPUTED_VALUE"""),"شاهزاده علی اصغر (ع)")</f>
        <v>شاهزاده علی اصغر (ع)</v>
      </c>
      <c r="D2246" s="5" t="str">
        <f>IFERROR(__xludf.DUMMYFUNCTION("""COMPUTED_VALUE"""),"آذربایجان غربی")</f>
        <v>آذربایجان غربی</v>
      </c>
      <c r="E2246" s="5" t="str">
        <f>IFERROR(__xludf.DUMMYFUNCTION("""COMPUTED_VALUE"""),"خوی")</f>
        <v>خوی</v>
      </c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</row>
    <row r="2247">
      <c r="A2247" s="5">
        <f>IFERROR(__xludf.DUMMYFUNCTION("""COMPUTED_VALUE"""),616.0)</f>
        <v>616</v>
      </c>
      <c r="B2247" s="5" t="str">
        <f>IFERROR(__xludf.DUMMYFUNCTION("""COMPUTED_VALUE"""),"هیأت")</f>
        <v>هیأت</v>
      </c>
      <c r="C2247" s="5" t="str">
        <f>IFERROR(__xludf.DUMMYFUNCTION("""COMPUTED_VALUE"""),"مسجد فاطمه الزهرا (س)")</f>
        <v>مسجد فاطمه الزهرا (س)</v>
      </c>
      <c r="D2247" s="5" t="str">
        <f>IFERROR(__xludf.DUMMYFUNCTION("""COMPUTED_VALUE"""),"آذربایجان غربی")</f>
        <v>آذربایجان غربی</v>
      </c>
      <c r="E2247" s="5" t="str">
        <f>IFERROR(__xludf.DUMMYFUNCTION("""COMPUTED_VALUE"""),"خوی")</f>
        <v>خوی</v>
      </c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</row>
    <row r="2248">
      <c r="A2248" s="5">
        <f>IFERROR(__xludf.DUMMYFUNCTION("""COMPUTED_VALUE"""),615.0)</f>
        <v>615</v>
      </c>
      <c r="B2248" s="5" t="str">
        <f>IFERROR(__xludf.DUMMYFUNCTION("""COMPUTED_VALUE"""),"هیأت")</f>
        <v>هیأت</v>
      </c>
      <c r="C2248" s="5" t="str">
        <f>IFERROR(__xludf.DUMMYFUNCTION("""COMPUTED_VALUE"""),"خواهران")</f>
        <v>خواهران</v>
      </c>
      <c r="D2248" s="5" t="str">
        <f>IFERROR(__xludf.DUMMYFUNCTION("""COMPUTED_VALUE"""),"آذربایجان غربی")</f>
        <v>آذربایجان غربی</v>
      </c>
      <c r="E2248" s="5" t="str">
        <f>IFERROR(__xludf.DUMMYFUNCTION("""COMPUTED_VALUE"""),"خوی")</f>
        <v>خوی</v>
      </c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</row>
    <row r="2249">
      <c r="A2249" s="5">
        <f>IFERROR(__xludf.DUMMYFUNCTION("""COMPUTED_VALUE"""),613.0)</f>
        <v>613</v>
      </c>
      <c r="B2249" s="5" t="str">
        <f>IFERROR(__xludf.DUMMYFUNCTION("""COMPUTED_VALUE"""),"هیأت")</f>
        <v>هیأت</v>
      </c>
      <c r="C2249" s="5" t="str">
        <f>IFERROR(__xludf.DUMMYFUNCTION("""COMPUTED_VALUE"""),"انصارالمهدی (عج) (دانش آموزی) / شهدای گمنام")</f>
        <v>انصارالمهدی (عج) (دانش آموزی) / شهدای گمنام</v>
      </c>
      <c r="D2249" s="5" t="str">
        <f>IFERROR(__xludf.DUMMYFUNCTION("""COMPUTED_VALUE"""),"آذربایجان غربی")</f>
        <v>آذربایجان غربی</v>
      </c>
      <c r="E2249" s="5" t="str">
        <f>IFERROR(__xludf.DUMMYFUNCTION("""COMPUTED_VALUE"""),"خوی")</f>
        <v>خوی</v>
      </c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</row>
    <row r="2250">
      <c r="A2250" s="5">
        <f>IFERROR(__xludf.DUMMYFUNCTION("""COMPUTED_VALUE"""),612.0)</f>
        <v>612</v>
      </c>
      <c r="B2250" s="5" t="str">
        <f>IFERROR(__xludf.DUMMYFUNCTION("""COMPUTED_VALUE"""),"هیأت")</f>
        <v>هیأت</v>
      </c>
      <c r="C2250" s="5" t="str">
        <f>IFERROR(__xludf.DUMMYFUNCTION("""COMPUTED_VALUE"""),"بسیج مداحان محبان اهل بیت (ع)")</f>
        <v>بسیج مداحان محبان اهل بیت (ع)</v>
      </c>
      <c r="D2250" s="5" t="str">
        <f>IFERROR(__xludf.DUMMYFUNCTION("""COMPUTED_VALUE"""),"آذربایجان غربی")</f>
        <v>آذربایجان غربی</v>
      </c>
      <c r="E2250" s="5" t="str">
        <f>IFERROR(__xludf.DUMMYFUNCTION("""COMPUTED_VALUE"""),"خوی")</f>
        <v>خوی</v>
      </c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</row>
    <row r="2251">
      <c r="A2251" s="5">
        <f>IFERROR(__xludf.DUMMYFUNCTION("""COMPUTED_VALUE"""),31953.0)</f>
        <v>31953</v>
      </c>
      <c r="B2251" s="5" t="str">
        <f>IFERROR(__xludf.DUMMYFUNCTION("""COMPUTED_VALUE"""),"هیأت")</f>
        <v>هیأت</v>
      </c>
      <c r="C2251" s="5" t="str">
        <f>IFERROR(__xludf.DUMMYFUNCTION("""COMPUTED_VALUE"""),"عاشقان حضرت ابالفضل العباس (ع)")</f>
        <v>عاشقان حضرت ابالفضل العباس (ع)</v>
      </c>
      <c r="D2251" s="5" t="str">
        <f>IFERROR(__xludf.DUMMYFUNCTION("""COMPUTED_VALUE"""),"آذربایجان غربی")</f>
        <v>آذربایجان غربی</v>
      </c>
      <c r="E2251" s="5" t="str">
        <f>IFERROR(__xludf.DUMMYFUNCTION("""COMPUTED_VALUE"""),"سلماس")</f>
        <v>سلماس</v>
      </c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</row>
    <row r="2252">
      <c r="A2252" s="5">
        <f>IFERROR(__xludf.DUMMYFUNCTION("""COMPUTED_VALUE"""),28036.0)</f>
        <v>28036</v>
      </c>
      <c r="B2252" s="5" t="str">
        <f>IFERROR(__xludf.DUMMYFUNCTION("""COMPUTED_VALUE"""),"هیأت")</f>
        <v>هیأت</v>
      </c>
      <c r="C2252" s="5" t="str">
        <f>IFERROR(__xludf.DUMMYFUNCTION("""COMPUTED_VALUE"""),"دلدادگان امام حسین (ع)")</f>
        <v>دلدادگان امام حسین (ع)</v>
      </c>
      <c r="D2252" s="5" t="str">
        <f>IFERROR(__xludf.DUMMYFUNCTION("""COMPUTED_VALUE"""),"آذربایجان غربی")</f>
        <v>آذربایجان غربی</v>
      </c>
      <c r="E2252" s="5" t="str">
        <f>IFERROR(__xludf.DUMMYFUNCTION("""COMPUTED_VALUE"""),"سلماس")</f>
        <v>سلماس</v>
      </c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</row>
    <row r="2253">
      <c r="A2253" s="5">
        <f>IFERROR(__xludf.DUMMYFUNCTION("""COMPUTED_VALUE"""),25324.0)</f>
        <v>25324</v>
      </c>
      <c r="B2253" s="5" t="str">
        <f>IFERROR(__xludf.DUMMYFUNCTION("""COMPUTED_VALUE"""),"هیأت")</f>
        <v>هیأت</v>
      </c>
      <c r="C2253" s="5" t="str">
        <f>IFERROR(__xludf.DUMMYFUNCTION("""COMPUTED_VALUE"""),"دارالقرآن فاطمیه")</f>
        <v>دارالقرآن فاطمیه</v>
      </c>
      <c r="D2253" s="5" t="str">
        <f>IFERROR(__xludf.DUMMYFUNCTION("""COMPUTED_VALUE"""),"آذربایجان غربی")</f>
        <v>آذربایجان غربی</v>
      </c>
      <c r="E2253" s="5" t="str">
        <f>IFERROR(__xludf.DUMMYFUNCTION("""COMPUTED_VALUE"""),"سلماس")</f>
        <v>سلماس</v>
      </c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</row>
    <row r="2254">
      <c r="A2254" s="5">
        <f>IFERROR(__xludf.DUMMYFUNCTION("""COMPUTED_VALUE"""),23519.0)</f>
        <v>23519</v>
      </c>
      <c r="B2254" s="5" t="str">
        <f>IFERROR(__xludf.DUMMYFUNCTION("""COMPUTED_VALUE"""),"هیأت")</f>
        <v>هیأت</v>
      </c>
      <c r="C2254" s="5" t="str">
        <f>IFERROR(__xludf.DUMMYFUNCTION("""COMPUTED_VALUE"""),"فاطمه الزهرا (س)")</f>
        <v>فاطمه الزهرا (س)</v>
      </c>
      <c r="D2254" s="5" t="str">
        <f>IFERROR(__xludf.DUMMYFUNCTION("""COMPUTED_VALUE"""),"آذربایجان غربی")</f>
        <v>آذربایجان غربی</v>
      </c>
      <c r="E2254" s="5" t="str">
        <f>IFERROR(__xludf.DUMMYFUNCTION("""COMPUTED_VALUE"""),"سلماس")</f>
        <v>سلماس</v>
      </c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</row>
    <row r="2255">
      <c r="A2255" s="5">
        <f>IFERROR(__xludf.DUMMYFUNCTION("""COMPUTED_VALUE"""),21147.0)</f>
        <v>21147</v>
      </c>
      <c r="B2255" s="5" t="str">
        <f>IFERROR(__xludf.DUMMYFUNCTION("""COMPUTED_VALUE"""),"هیأت")</f>
        <v>هیأت</v>
      </c>
      <c r="C2255" s="5" t="str">
        <f>IFERROR(__xludf.DUMMYFUNCTION("""COMPUTED_VALUE"""),"جوانان حضرت علی اکبر (ع)")</f>
        <v>جوانان حضرت علی اکبر (ع)</v>
      </c>
      <c r="D2255" s="5" t="str">
        <f>IFERROR(__xludf.DUMMYFUNCTION("""COMPUTED_VALUE"""),"آذربایجان غربی")</f>
        <v>آذربایجان غربی</v>
      </c>
      <c r="E2255" s="5" t="str">
        <f>IFERROR(__xludf.DUMMYFUNCTION("""COMPUTED_VALUE"""),"سلماس")</f>
        <v>سلماس</v>
      </c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</row>
    <row r="2256">
      <c r="A2256" s="5">
        <f>IFERROR(__xludf.DUMMYFUNCTION("""COMPUTED_VALUE"""),20293.0)</f>
        <v>20293</v>
      </c>
      <c r="B2256" s="5" t="str">
        <f>IFERROR(__xludf.DUMMYFUNCTION("""COMPUTED_VALUE"""),"هیأت")</f>
        <v>هیأت</v>
      </c>
      <c r="C2256" s="5" t="str">
        <f>IFERROR(__xludf.DUMMYFUNCTION("""COMPUTED_VALUE"""),"مکتب النبی(ص)")</f>
        <v>مکتب النبی(ص)</v>
      </c>
      <c r="D2256" s="5" t="str">
        <f>IFERROR(__xludf.DUMMYFUNCTION("""COMPUTED_VALUE"""),"آذربایجان غربی")</f>
        <v>آذربایجان غربی</v>
      </c>
      <c r="E2256" s="5" t="str">
        <f>IFERROR(__xludf.DUMMYFUNCTION("""COMPUTED_VALUE"""),"سلماس")</f>
        <v>سلماس</v>
      </c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</row>
    <row r="2257">
      <c r="A2257" s="5">
        <f>IFERROR(__xludf.DUMMYFUNCTION("""COMPUTED_VALUE"""),20291.0)</f>
        <v>20291</v>
      </c>
      <c r="B2257" s="5" t="str">
        <f>IFERROR(__xludf.DUMMYFUNCTION("""COMPUTED_VALUE"""),"هیأت")</f>
        <v>هیأت</v>
      </c>
      <c r="C2257" s="5" t="str">
        <f>IFERROR(__xludf.DUMMYFUNCTION("""COMPUTED_VALUE"""),"خادمین اهل بیت (ع)")</f>
        <v>خادمین اهل بیت (ع)</v>
      </c>
      <c r="D2257" s="5" t="str">
        <f>IFERROR(__xludf.DUMMYFUNCTION("""COMPUTED_VALUE"""),"آذربایجان غربی")</f>
        <v>آذربایجان غربی</v>
      </c>
      <c r="E2257" s="5" t="str">
        <f>IFERROR(__xludf.DUMMYFUNCTION("""COMPUTED_VALUE"""),"سلماس")</f>
        <v>سلماس</v>
      </c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</row>
    <row r="2258">
      <c r="A2258" s="5">
        <f>IFERROR(__xludf.DUMMYFUNCTION("""COMPUTED_VALUE"""),20290.0)</f>
        <v>20290</v>
      </c>
      <c r="B2258" s="5" t="str">
        <f>IFERROR(__xludf.DUMMYFUNCTION("""COMPUTED_VALUE"""),"هیأت")</f>
        <v>هیأت</v>
      </c>
      <c r="C2258" s="5" t="str">
        <f>IFERROR(__xludf.DUMMYFUNCTION("""COMPUTED_VALUE"""),"رزمندگان اسلام")</f>
        <v>رزمندگان اسلام</v>
      </c>
      <c r="D2258" s="5" t="str">
        <f>IFERROR(__xludf.DUMMYFUNCTION("""COMPUTED_VALUE"""),"آذربایجان غربی")</f>
        <v>آذربایجان غربی</v>
      </c>
      <c r="E2258" s="5" t="str">
        <f>IFERROR(__xludf.DUMMYFUNCTION("""COMPUTED_VALUE"""),"سلماس")</f>
        <v>سلماس</v>
      </c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</row>
    <row r="2259">
      <c r="A2259" s="5">
        <f>IFERROR(__xludf.DUMMYFUNCTION("""COMPUTED_VALUE"""),20064.0)</f>
        <v>20064</v>
      </c>
      <c r="B2259" s="5" t="str">
        <f>IFERROR(__xludf.DUMMYFUNCTION("""COMPUTED_VALUE"""),"هیأت")</f>
        <v>هیأت</v>
      </c>
      <c r="C2259" s="5" t="str">
        <f>IFERROR(__xludf.DUMMYFUNCTION("""COMPUTED_VALUE"""),"مسجد امام سجاد(ع)")</f>
        <v>مسجد امام سجاد(ع)</v>
      </c>
      <c r="D2259" s="5" t="str">
        <f>IFERROR(__xludf.DUMMYFUNCTION("""COMPUTED_VALUE"""),"آذربایجان غربی")</f>
        <v>آذربایجان غربی</v>
      </c>
      <c r="E2259" s="5" t="str">
        <f>IFERROR(__xludf.DUMMYFUNCTION("""COMPUTED_VALUE"""),"سلماس")</f>
        <v>سلماس</v>
      </c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</row>
    <row r="2260">
      <c r="A2260" s="5">
        <f>IFERROR(__xludf.DUMMYFUNCTION("""COMPUTED_VALUE"""),19613.0)</f>
        <v>19613</v>
      </c>
      <c r="B2260" s="5" t="str">
        <f>IFERROR(__xludf.DUMMYFUNCTION("""COMPUTED_VALUE"""),"هیأت")</f>
        <v>هیأت</v>
      </c>
      <c r="C2260" s="5" t="str">
        <f>IFERROR(__xludf.DUMMYFUNCTION("""COMPUTED_VALUE"""),"خادمین غریب مدینه")</f>
        <v>خادمین غریب مدینه</v>
      </c>
      <c r="D2260" s="5" t="str">
        <f>IFERROR(__xludf.DUMMYFUNCTION("""COMPUTED_VALUE"""),"آذربایجان غربی")</f>
        <v>آذربایجان غربی</v>
      </c>
      <c r="E2260" s="5" t="str">
        <f>IFERROR(__xludf.DUMMYFUNCTION("""COMPUTED_VALUE"""),"سلماس")</f>
        <v>سلماس</v>
      </c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</row>
    <row r="2261">
      <c r="A2261" s="5">
        <f>IFERROR(__xludf.DUMMYFUNCTION("""COMPUTED_VALUE"""),730.0)</f>
        <v>730</v>
      </c>
      <c r="B2261" s="5" t="str">
        <f>IFERROR(__xludf.DUMMYFUNCTION("""COMPUTED_VALUE"""),"هیأت")</f>
        <v>هیأت</v>
      </c>
      <c r="C2261" s="5" t="str">
        <f>IFERROR(__xludf.DUMMYFUNCTION("""COMPUTED_VALUE"""),"متوسلین به مسلم بن عقیل (ع)")</f>
        <v>متوسلین به مسلم بن عقیل (ع)</v>
      </c>
      <c r="D2261" s="5" t="str">
        <f>IFERROR(__xludf.DUMMYFUNCTION("""COMPUTED_VALUE"""),"آذربایجان غربی")</f>
        <v>آذربایجان غربی</v>
      </c>
      <c r="E2261" s="5" t="str">
        <f>IFERROR(__xludf.DUMMYFUNCTION("""COMPUTED_VALUE"""),"سلماس")</f>
        <v>سلماس</v>
      </c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</row>
    <row r="2262">
      <c r="A2262" s="5">
        <f>IFERROR(__xludf.DUMMYFUNCTION("""COMPUTED_VALUE"""),632.0)</f>
        <v>632</v>
      </c>
      <c r="B2262" s="5" t="str">
        <f>IFERROR(__xludf.DUMMYFUNCTION("""COMPUTED_VALUE"""),"هیأت")</f>
        <v>هیأت</v>
      </c>
      <c r="C2262" s="5" t="str">
        <f>IFERROR(__xludf.DUMMYFUNCTION("""COMPUTED_VALUE"""),"مسجد ابوالفضل (ع)")</f>
        <v>مسجد ابوالفضل (ع)</v>
      </c>
      <c r="D2262" s="5" t="str">
        <f>IFERROR(__xludf.DUMMYFUNCTION("""COMPUTED_VALUE"""),"آذربایجان غربی")</f>
        <v>آذربایجان غربی</v>
      </c>
      <c r="E2262" s="5" t="str">
        <f>IFERROR(__xludf.DUMMYFUNCTION("""COMPUTED_VALUE"""),"سلماس")</f>
        <v>سلماس</v>
      </c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</row>
    <row r="2263">
      <c r="A2263" s="5">
        <f>IFERROR(__xludf.DUMMYFUNCTION("""COMPUTED_VALUE"""),631.0)</f>
        <v>631</v>
      </c>
      <c r="B2263" s="5" t="str">
        <f>IFERROR(__xludf.DUMMYFUNCTION("""COMPUTED_VALUE"""),"هیأت")</f>
        <v>هیأت</v>
      </c>
      <c r="C2263" s="5" t="str">
        <f>IFERROR(__xludf.DUMMYFUNCTION("""COMPUTED_VALUE"""),"مکتب النبی (ص)")</f>
        <v>مکتب النبی (ص)</v>
      </c>
      <c r="D2263" s="5" t="str">
        <f>IFERROR(__xludf.DUMMYFUNCTION("""COMPUTED_VALUE"""),"آذربایجان غربی")</f>
        <v>آذربایجان غربی</v>
      </c>
      <c r="E2263" s="5" t="str">
        <f>IFERROR(__xludf.DUMMYFUNCTION("""COMPUTED_VALUE"""),"سلماس")</f>
        <v>سلماس</v>
      </c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</row>
    <row r="2264">
      <c r="A2264" s="5">
        <f>IFERROR(__xludf.DUMMYFUNCTION("""COMPUTED_VALUE"""),630.0)</f>
        <v>630</v>
      </c>
      <c r="B2264" s="5" t="str">
        <f>IFERROR(__xludf.DUMMYFUNCTION("""COMPUTED_VALUE"""),"هیأت")</f>
        <v>هیأت</v>
      </c>
      <c r="C2264" s="5" t="str">
        <f>IFERROR(__xludf.DUMMYFUNCTION("""COMPUTED_VALUE"""),"محبان جوادالائمه (ع)")</f>
        <v>محبان جوادالائمه (ع)</v>
      </c>
      <c r="D2264" s="5" t="str">
        <f>IFERROR(__xludf.DUMMYFUNCTION("""COMPUTED_VALUE"""),"آذربایجان غربی")</f>
        <v>آذربایجان غربی</v>
      </c>
      <c r="E2264" s="5" t="str">
        <f>IFERROR(__xludf.DUMMYFUNCTION("""COMPUTED_VALUE"""),"سلماس")</f>
        <v>سلماس</v>
      </c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</row>
    <row r="2265">
      <c r="A2265" s="5">
        <f>IFERROR(__xludf.DUMMYFUNCTION("""COMPUTED_VALUE"""),627.0)</f>
        <v>627</v>
      </c>
      <c r="B2265" s="5" t="str">
        <f>IFERROR(__xludf.DUMMYFUNCTION("""COMPUTED_VALUE"""),"هیأت")</f>
        <v>هیأت</v>
      </c>
      <c r="C2265" s="5" t="str">
        <f>IFERROR(__xludf.DUMMYFUNCTION("""COMPUTED_VALUE"""),"مکتب القرآن امام حسین (ع)")</f>
        <v>مکتب القرآن امام حسین (ع)</v>
      </c>
      <c r="D2265" s="5" t="str">
        <f>IFERROR(__xludf.DUMMYFUNCTION("""COMPUTED_VALUE"""),"آذربایجان غربی")</f>
        <v>آذربایجان غربی</v>
      </c>
      <c r="E2265" s="5" t="str">
        <f>IFERROR(__xludf.DUMMYFUNCTION("""COMPUTED_VALUE"""),"سلماس")</f>
        <v>سلماس</v>
      </c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</row>
    <row r="2266">
      <c r="A2266" s="5">
        <f>IFERROR(__xludf.DUMMYFUNCTION("""COMPUTED_VALUE"""),626.0)</f>
        <v>626</v>
      </c>
      <c r="B2266" s="5" t="str">
        <f>IFERROR(__xludf.DUMMYFUNCTION("""COMPUTED_VALUE"""),"هیأت")</f>
        <v>هیأت</v>
      </c>
      <c r="C2266" s="5" t="str">
        <f>IFERROR(__xludf.DUMMYFUNCTION("""COMPUTED_VALUE"""),"مسجد جامع")</f>
        <v>مسجد جامع</v>
      </c>
      <c r="D2266" s="5" t="str">
        <f>IFERROR(__xludf.DUMMYFUNCTION("""COMPUTED_VALUE"""),"آذربایجان غربی")</f>
        <v>آذربایجان غربی</v>
      </c>
      <c r="E2266" s="5" t="str">
        <f>IFERROR(__xludf.DUMMYFUNCTION("""COMPUTED_VALUE"""),"سلماس")</f>
        <v>سلماس</v>
      </c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</row>
    <row r="2267">
      <c r="A2267" s="5">
        <f>IFERROR(__xludf.DUMMYFUNCTION("""COMPUTED_VALUE"""),459.0)</f>
        <v>459</v>
      </c>
      <c r="B2267" s="5" t="str">
        <f>IFERROR(__xludf.DUMMYFUNCTION("""COMPUTED_VALUE"""),"هیأت")</f>
        <v>هیأت</v>
      </c>
      <c r="C2267" s="5" t="str">
        <f>IFERROR(__xludf.DUMMYFUNCTION("""COMPUTED_VALUE"""),"عشاق الحسین (ع) پیروان ولایت")</f>
        <v>عشاق الحسین (ع) پیروان ولایت</v>
      </c>
      <c r="D2267" s="5" t="str">
        <f>IFERROR(__xludf.DUMMYFUNCTION("""COMPUTED_VALUE"""),"آذربایجان غربی")</f>
        <v>آذربایجان غربی</v>
      </c>
      <c r="E2267" s="5" t="str">
        <f>IFERROR(__xludf.DUMMYFUNCTION("""COMPUTED_VALUE"""),"سلماس")</f>
        <v>سلماس</v>
      </c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</row>
    <row r="2268">
      <c r="A2268" s="5">
        <f>IFERROR(__xludf.DUMMYFUNCTION("""COMPUTED_VALUE"""),32398.0)</f>
        <v>32398</v>
      </c>
      <c r="B2268" s="5" t="str">
        <f>IFERROR(__xludf.DUMMYFUNCTION("""COMPUTED_VALUE"""),"هیأت")</f>
        <v>هیأت</v>
      </c>
      <c r="C2268" s="5" t="str">
        <f>IFERROR(__xludf.DUMMYFUNCTION("""COMPUTED_VALUE"""),"منتظران ظهور")</f>
        <v>منتظران ظهور</v>
      </c>
      <c r="D2268" s="5" t="str">
        <f>IFERROR(__xludf.DUMMYFUNCTION("""COMPUTED_VALUE"""),"آذربایجان غربی")</f>
        <v>آذربایجان غربی</v>
      </c>
      <c r="E2268" s="5" t="str">
        <f>IFERROR(__xludf.DUMMYFUNCTION("""COMPUTED_VALUE"""),"شاهین دژ")</f>
        <v>شاهین دژ</v>
      </c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</row>
    <row r="2269">
      <c r="A2269" s="5">
        <f>IFERROR(__xludf.DUMMYFUNCTION("""COMPUTED_VALUE"""),31721.0)</f>
        <v>31721</v>
      </c>
      <c r="B2269" s="5" t="str">
        <f>IFERROR(__xludf.DUMMYFUNCTION("""COMPUTED_VALUE"""),"هیأت")</f>
        <v>هیأت</v>
      </c>
      <c r="C2269" s="5" t="str">
        <f>IFERROR(__xludf.DUMMYFUNCTION("""COMPUTED_VALUE"""),"زینبیه")</f>
        <v>زینبیه</v>
      </c>
      <c r="D2269" s="5" t="str">
        <f>IFERROR(__xludf.DUMMYFUNCTION("""COMPUTED_VALUE"""),"آذربایجان غربی")</f>
        <v>آذربایجان غربی</v>
      </c>
      <c r="E2269" s="5" t="str">
        <f>IFERROR(__xludf.DUMMYFUNCTION("""COMPUTED_VALUE"""),"شاهین دژ")</f>
        <v>شاهین دژ</v>
      </c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</row>
    <row r="2270">
      <c r="A2270" s="5">
        <f>IFERROR(__xludf.DUMMYFUNCTION("""COMPUTED_VALUE"""),30870.0)</f>
        <v>30870</v>
      </c>
      <c r="B2270" s="5" t="str">
        <f>IFERROR(__xludf.DUMMYFUNCTION("""COMPUTED_VALUE"""),"هیأت")</f>
        <v>هیأت</v>
      </c>
      <c r="C2270" s="5" t="str">
        <f>IFERROR(__xludf.DUMMYFUNCTION("""COMPUTED_VALUE"""),"هیات جان ساران حضرت علی اکبر")</f>
        <v>هیات جان ساران حضرت علی اکبر</v>
      </c>
      <c r="D2270" s="5" t="str">
        <f>IFERROR(__xludf.DUMMYFUNCTION("""COMPUTED_VALUE"""),"آذربایجان غربی")</f>
        <v>آذربایجان غربی</v>
      </c>
      <c r="E2270" s="5" t="str">
        <f>IFERROR(__xludf.DUMMYFUNCTION("""COMPUTED_VALUE"""),"شاهین دژ")</f>
        <v>شاهین دژ</v>
      </c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</row>
    <row r="2271">
      <c r="A2271" s="5">
        <f>IFERROR(__xludf.DUMMYFUNCTION("""COMPUTED_VALUE"""),30757.0)</f>
        <v>30757</v>
      </c>
      <c r="B2271" s="5" t="str">
        <f>IFERROR(__xludf.DUMMYFUNCTION("""COMPUTED_VALUE"""),"هیأت")</f>
        <v>هیأت</v>
      </c>
      <c r="C2271" s="5" t="str">
        <f>IFERROR(__xludf.DUMMYFUNCTION("""COMPUTED_VALUE"""),"امام صادق (ع)")</f>
        <v>امام صادق (ع)</v>
      </c>
      <c r="D2271" s="5" t="str">
        <f>IFERROR(__xludf.DUMMYFUNCTION("""COMPUTED_VALUE"""),"آذربایجان غربی")</f>
        <v>آذربایجان غربی</v>
      </c>
      <c r="E2271" s="5" t="str">
        <f>IFERROR(__xludf.DUMMYFUNCTION("""COMPUTED_VALUE"""),"شاهین دژ")</f>
        <v>شاهین دژ</v>
      </c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</row>
    <row r="2272">
      <c r="A2272" s="5">
        <f>IFERROR(__xludf.DUMMYFUNCTION("""COMPUTED_VALUE"""),30091.0)</f>
        <v>30091</v>
      </c>
      <c r="B2272" s="5" t="str">
        <f>IFERROR(__xludf.DUMMYFUNCTION("""COMPUTED_VALUE"""),"هیأت")</f>
        <v>هیأت</v>
      </c>
      <c r="C2272" s="5" t="str">
        <f>IFERROR(__xludf.DUMMYFUNCTION("""COMPUTED_VALUE"""),"منتظران ظهور حضرت ولیعصر")</f>
        <v>منتظران ظهور حضرت ولیعصر</v>
      </c>
      <c r="D2272" s="5" t="str">
        <f>IFERROR(__xludf.DUMMYFUNCTION("""COMPUTED_VALUE"""),"آذربایجان غربی")</f>
        <v>آذربایجان غربی</v>
      </c>
      <c r="E2272" s="5" t="str">
        <f>IFERROR(__xludf.DUMMYFUNCTION("""COMPUTED_VALUE"""),"شاهین دژ")</f>
        <v>شاهین دژ</v>
      </c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</row>
    <row r="2273">
      <c r="A2273" s="5">
        <f>IFERROR(__xludf.DUMMYFUNCTION("""COMPUTED_VALUE"""),29616.0)</f>
        <v>29616</v>
      </c>
      <c r="B2273" s="5" t="str">
        <f>IFERROR(__xludf.DUMMYFUNCTION("""COMPUTED_VALUE"""),"هیأت")</f>
        <v>هیأت</v>
      </c>
      <c r="C2273" s="5" t="str">
        <f>IFERROR(__xludf.DUMMYFUNCTION("""COMPUTED_VALUE"""),"هیأت الزهرا (س)")</f>
        <v>هیأت الزهرا (س)</v>
      </c>
      <c r="D2273" s="5" t="str">
        <f>IFERROR(__xludf.DUMMYFUNCTION("""COMPUTED_VALUE"""),"آذربایجان غربی")</f>
        <v>آذربایجان غربی</v>
      </c>
      <c r="E2273" s="5" t="str">
        <f>IFERROR(__xludf.DUMMYFUNCTION("""COMPUTED_VALUE"""),"شاهین دژ")</f>
        <v>شاهین دژ</v>
      </c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</row>
    <row r="2274">
      <c r="A2274" s="5">
        <f>IFERROR(__xludf.DUMMYFUNCTION("""COMPUTED_VALUE"""),29509.0)</f>
        <v>29509</v>
      </c>
      <c r="B2274" s="5" t="str">
        <f>IFERROR(__xludf.DUMMYFUNCTION("""COMPUTED_VALUE"""),"هیأت")</f>
        <v>هیأت</v>
      </c>
      <c r="C2274" s="5" t="str">
        <f>IFERROR(__xludf.DUMMYFUNCTION("""COMPUTED_VALUE"""),"مهدی همت زاده")</f>
        <v>مهدی همت زاده</v>
      </c>
      <c r="D2274" s="5" t="str">
        <f>IFERROR(__xludf.DUMMYFUNCTION("""COMPUTED_VALUE"""),"آذربایجان غربی")</f>
        <v>آذربایجان غربی</v>
      </c>
      <c r="E2274" s="5" t="str">
        <f>IFERROR(__xludf.DUMMYFUNCTION("""COMPUTED_VALUE"""),"شاهین دژ")</f>
        <v>شاهین دژ</v>
      </c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</row>
    <row r="2275">
      <c r="A2275" s="5">
        <f>IFERROR(__xludf.DUMMYFUNCTION("""COMPUTED_VALUE"""),23906.0)</f>
        <v>23906</v>
      </c>
      <c r="B2275" s="5" t="str">
        <f>IFERROR(__xludf.DUMMYFUNCTION("""COMPUTED_VALUE"""),"هیأت")</f>
        <v>هیأت</v>
      </c>
      <c r="C2275" s="5" t="str">
        <f>IFERROR(__xludf.DUMMYFUNCTION("""COMPUTED_VALUE"""),"چهارده معصوم (ع)")</f>
        <v>چهارده معصوم (ع)</v>
      </c>
      <c r="D2275" s="5" t="str">
        <f>IFERROR(__xludf.DUMMYFUNCTION("""COMPUTED_VALUE"""),"آذربایجان غربی")</f>
        <v>آذربایجان غربی</v>
      </c>
      <c r="E2275" s="5" t="str">
        <f>IFERROR(__xludf.DUMMYFUNCTION("""COMPUTED_VALUE"""),"شاهین دژ")</f>
        <v>شاهین دژ</v>
      </c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</row>
    <row r="2276">
      <c r="A2276" s="5">
        <f>IFERROR(__xludf.DUMMYFUNCTION("""COMPUTED_VALUE"""),23905.0)</f>
        <v>23905</v>
      </c>
      <c r="B2276" s="5" t="str">
        <f>IFERROR(__xludf.DUMMYFUNCTION("""COMPUTED_VALUE"""),"هیأت")</f>
        <v>هیأت</v>
      </c>
      <c r="C2276" s="5" t="str">
        <f>IFERROR(__xludf.DUMMYFUNCTION("""COMPUTED_VALUE"""),"شیفتگان حضرت رقیه س")</f>
        <v>شیفتگان حضرت رقیه س</v>
      </c>
      <c r="D2276" s="5" t="str">
        <f>IFERROR(__xludf.DUMMYFUNCTION("""COMPUTED_VALUE"""),"آذربایجان غربی")</f>
        <v>آذربایجان غربی</v>
      </c>
      <c r="E2276" s="5" t="str">
        <f>IFERROR(__xludf.DUMMYFUNCTION("""COMPUTED_VALUE"""),"شاهین دژ")</f>
        <v>شاهین دژ</v>
      </c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</row>
    <row r="2277">
      <c r="A2277" s="5">
        <f>IFERROR(__xludf.DUMMYFUNCTION("""COMPUTED_VALUE"""),23026.0)</f>
        <v>23026</v>
      </c>
      <c r="B2277" s="5" t="str">
        <f>IFERROR(__xludf.DUMMYFUNCTION("""COMPUTED_VALUE"""),"هیأت")</f>
        <v>هیأت</v>
      </c>
      <c r="C2277" s="5" t="str">
        <f>IFERROR(__xludf.DUMMYFUNCTION("""COMPUTED_VALUE"""),"قمربنی هاشم(ع)")</f>
        <v>قمربنی هاشم(ع)</v>
      </c>
      <c r="D2277" s="5" t="str">
        <f>IFERROR(__xludf.DUMMYFUNCTION("""COMPUTED_VALUE"""),"آذربایجان غربی")</f>
        <v>آذربایجان غربی</v>
      </c>
      <c r="E2277" s="5" t="str">
        <f>IFERROR(__xludf.DUMMYFUNCTION("""COMPUTED_VALUE"""),"شاهین دژ")</f>
        <v>شاهین دژ</v>
      </c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</row>
    <row r="2278">
      <c r="A2278" s="5">
        <f>IFERROR(__xludf.DUMMYFUNCTION("""COMPUTED_VALUE"""),21302.0)</f>
        <v>21302</v>
      </c>
      <c r="B2278" s="5" t="str">
        <f>IFERROR(__xludf.DUMMYFUNCTION("""COMPUTED_VALUE"""),"هیأت")</f>
        <v>هیأت</v>
      </c>
      <c r="C2278" s="5" t="str">
        <f>IFERROR(__xludf.DUMMYFUNCTION("""COMPUTED_VALUE"""),"حضرت ابوالفضل(ع)")</f>
        <v>حضرت ابوالفضل(ع)</v>
      </c>
      <c r="D2278" s="5" t="str">
        <f>IFERROR(__xludf.DUMMYFUNCTION("""COMPUTED_VALUE"""),"آذربایجان غربی")</f>
        <v>آذربایجان غربی</v>
      </c>
      <c r="E2278" s="5" t="str">
        <f>IFERROR(__xludf.DUMMYFUNCTION("""COMPUTED_VALUE"""),"شاهین دژ")</f>
        <v>شاهین دژ</v>
      </c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</row>
    <row r="2279">
      <c r="A2279" s="5">
        <f>IFERROR(__xludf.DUMMYFUNCTION("""COMPUTED_VALUE"""),21172.0)</f>
        <v>21172</v>
      </c>
      <c r="B2279" s="5" t="str">
        <f>IFERROR(__xludf.DUMMYFUNCTION("""COMPUTED_VALUE"""),"هیأت")</f>
        <v>هیأت</v>
      </c>
      <c r="C2279" s="5" t="str">
        <f>IFERROR(__xludf.DUMMYFUNCTION("""COMPUTED_VALUE"""),"بیت الزهرا (س)")</f>
        <v>بیت الزهرا (س)</v>
      </c>
      <c r="D2279" s="5" t="str">
        <f>IFERROR(__xludf.DUMMYFUNCTION("""COMPUTED_VALUE"""),"آذربایجان غربی")</f>
        <v>آذربایجان غربی</v>
      </c>
      <c r="E2279" s="5" t="str">
        <f>IFERROR(__xludf.DUMMYFUNCTION("""COMPUTED_VALUE"""),"شاهین دژ")</f>
        <v>شاهین دژ</v>
      </c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</row>
    <row r="2280">
      <c r="A2280" s="5">
        <f>IFERROR(__xludf.DUMMYFUNCTION("""COMPUTED_VALUE"""),20297.0)</f>
        <v>20297</v>
      </c>
      <c r="B2280" s="5" t="str">
        <f>IFERROR(__xludf.DUMMYFUNCTION("""COMPUTED_VALUE"""),"هیأت")</f>
        <v>هیأت</v>
      </c>
      <c r="C2280" s="5" t="str">
        <f>IFERROR(__xludf.DUMMYFUNCTION("""COMPUTED_VALUE"""),"سیدالشهدا(ع)")</f>
        <v>سیدالشهدا(ع)</v>
      </c>
      <c r="D2280" s="5" t="str">
        <f>IFERROR(__xludf.DUMMYFUNCTION("""COMPUTED_VALUE"""),"آذربایجان غربی")</f>
        <v>آذربایجان غربی</v>
      </c>
      <c r="E2280" s="5" t="str">
        <f>IFERROR(__xludf.DUMMYFUNCTION("""COMPUTED_VALUE"""),"شاهین دژ")</f>
        <v>شاهین دژ</v>
      </c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</row>
    <row r="2281">
      <c r="A2281" s="5">
        <f>IFERROR(__xludf.DUMMYFUNCTION("""COMPUTED_VALUE"""),749.0)</f>
        <v>749</v>
      </c>
      <c r="B2281" s="5" t="str">
        <f>IFERROR(__xludf.DUMMYFUNCTION("""COMPUTED_VALUE"""),"هیأت")</f>
        <v>هیأت</v>
      </c>
      <c r="C2281" s="5" t="str">
        <f>IFERROR(__xludf.DUMMYFUNCTION("""COMPUTED_VALUE"""),"قمر بنی هاشم (ع)")</f>
        <v>قمر بنی هاشم (ع)</v>
      </c>
      <c r="D2281" s="5" t="str">
        <f>IFERROR(__xludf.DUMMYFUNCTION("""COMPUTED_VALUE"""),"آذربایجان غربی")</f>
        <v>آذربایجان غربی</v>
      </c>
      <c r="E2281" s="5" t="str">
        <f>IFERROR(__xludf.DUMMYFUNCTION("""COMPUTED_VALUE"""),"شاهین دژ")</f>
        <v>شاهین دژ</v>
      </c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</row>
    <row r="2282">
      <c r="A2282" s="5">
        <f>IFERROR(__xludf.DUMMYFUNCTION("""COMPUTED_VALUE"""),742.0)</f>
        <v>742</v>
      </c>
      <c r="B2282" s="5" t="str">
        <f>IFERROR(__xludf.DUMMYFUNCTION("""COMPUTED_VALUE"""),"هیأت")</f>
        <v>هیأت</v>
      </c>
      <c r="C2282" s="5" t="str">
        <f>IFERROR(__xludf.DUMMYFUNCTION("""COMPUTED_VALUE"""),"امام حسین (ع)")</f>
        <v>امام حسین (ع)</v>
      </c>
      <c r="D2282" s="5" t="str">
        <f>IFERROR(__xludf.DUMMYFUNCTION("""COMPUTED_VALUE"""),"آذربایجان غربی")</f>
        <v>آذربایجان غربی</v>
      </c>
      <c r="E2282" s="5" t="str">
        <f>IFERROR(__xludf.DUMMYFUNCTION("""COMPUTED_VALUE"""),"شاهین دژ")</f>
        <v>شاهین دژ</v>
      </c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</row>
    <row r="2283">
      <c r="A2283" s="5">
        <f>IFERROR(__xludf.DUMMYFUNCTION("""COMPUTED_VALUE"""),741.0)</f>
        <v>741</v>
      </c>
      <c r="B2283" s="5" t="str">
        <f>IFERROR(__xludf.DUMMYFUNCTION("""COMPUTED_VALUE"""),"هیأت")</f>
        <v>هیأت</v>
      </c>
      <c r="C2283" s="5" t="str">
        <f>IFERROR(__xludf.DUMMYFUNCTION("""COMPUTED_VALUE"""),"عزاداران حضرت اباعبدالله الحسین (ع)")</f>
        <v>عزاداران حضرت اباعبدالله الحسین (ع)</v>
      </c>
      <c r="D2283" s="5" t="str">
        <f>IFERROR(__xludf.DUMMYFUNCTION("""COMPUTED_VALUE"""),"آذربایجان غربی")</f>
        <v>آذربایجان غربی</v>
      </c>
      <c r="E2283" s="5" t="str">
        <f>IFERROR(__xludf.DUMMYFUNCTION("""COMPUTED_VALUE"""),"شاهین دژ")</f>
        <v>شاهین دژ</v>
      </c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</row>
    <row r="2284">
      <c r="A2284" s="5">
        <f>IFERROR(__xludf.DUMMYFUNCTION("""COMPUTED_VALUE"""),649.0)</f>
        <v>649</v>
      </c>
      <c r="B2284" s="5" t="str">
        <f>IFERROR(__xludf.DUMMYFUNCTION("""COMPUTED_VALUE"""),"هیأت")</f>
        <v>هیأت</v>
      </c>
      <c r="C2284" s="5" t="str">
        <f>IFERROR(__xludf.DUMMYFUNCTION("""COMPUTED_VALUE"""),"سینه زنی سیدالشهدا (ع) محله خرمده")</f>
        <v>سینه زنی سیدالشهدا (ع) محله خرمده</v>
      </c>
      <c r="D2284" s="5" t="str">
        <f>IFERROR(__xludf.DUMMYFUNCTION("""COMPUTED_VALUE"""),"آذربایجان غربی")</f>
        <v>آذربایجان غربی</v>
      </c>
      <c r="E2284" s="5" t="str">
        <f>IFERROR(__xludf.DUMMYFUNCTION("""COMPUTED_VALUE"""),"شاهین دژ")</f>
        <v>شاهین دژ</v>
      </c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</row>
    <row r="2285">
      <c r="A2285" s="5">
        <f>IFERROR(__xludf.DUMMYFUNCTION("""COMPUTED_VALUE"""),646.0)</f>
        <v>646</v>
      </c>
      <c r="B2285" s="5" t="str">
        <f>IFERROR(__xludf.DUMMYFUNCTION("""COMPUTED_VALUE"""),"هیأت")</f>
        <v>هیأت</v>
      </c>
      <c r="C2285" s="5" t="str">
        <f>IFERROR(__xludf.DUMMYFUNCTION("""COMPUTED_VALUE"""),"حوزه علمیه امام باقر (ع)")</f>
        <v>حوزه علمیه امام باقر (ع)</v>
      </c>
      <c r="D2285" s="5" t="str">
        <f>IFERROR(__xludf.DUMMYFUNCTION("""COMPUTED_VALUE"""),"آذربایجان غربی")</f>
        <v>آذربایجان غربی</v>
      </c>
      <c r="E2285" s="5" t="str">
        <f>IFERROR(__xludf.DUMMYFUNCTION("""COMPUTED_VALUE"""),"شاهین دژ")</f>
        <v>شاهین دژ</v>
      </c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</row>
    <row r="2286">
      <c r="A2286" s="5">
        <f>IFERROR(__xludf.DUMMYFUNCTION("""COMPUTED_VALUE"""),645.0)</f>
        <v>645</v>
      </c>
      <c r="B2286" s="5" t="str">
        <f>IFERROR(__xludf.DUMMYFUNCTION("""COMPUTED_VALUE"""),"هیأت")</f>
        <v>هیأت</v>
      </c>
      <c r="C2286" s="5" t="str">
        <f>IFERROR(__xludf.DUMMYFUNCTION("""COMPUTED_VALUE"""),"سیدالشهدا (ع)")</f>
        <v>سیدالشهدا (ع)</v>
      </c>
      <c r="D2286" s="5" t="str">
        <f>IFERROR(__xludf.DUMMYFUNCTION("""COMPUTED_VALUE"""),"آذربایجان غربی")</f>
        <v>آذربایجان غربی</v>
      </c>
      <c r="E2286" s="5" t="str">
        <f>IFERROR(__xludf.DUMMYFUNCTION("""COMPUTED_VALUE"""),"شاهین دژ")</f>
        <v>شاهین دژ</v>
      </c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</row>
    <row r="2287">
      <c r="A2287" s="5">
        <f>IFERROR(__xludf.DUMMYFUNCTION("""COMPUTED_VALUE"""),644.0)</f>
        <v>644</v>
      </c>
      <c r="B2287" s="5" t="str">
        <f>IFERROR(__xludf.DUMMYFUNCTION("""COMPUTED_VALUE"""),"هیأت")</f>
        <v>هیأت</v>
      </c>
      <c r="C2287" s="5" t="str">
        <f>IFERROR(__xludf.DUMMYFUNCTION("""COMPUTED_VALUE"""),"حضرت علی اکبر (ع)")</f>
        <v>حضرت علی اکبر (ع)</v>
      </c>
      <c r="D2287" s="5" t="str">
        <f>IFERROR(__xludf.DUMMYFUNCTION("""COMPUTED_VALUE"""),"آذربایجان غربی")</f>
        <v>آذربایجان غربی</v>
      </c>
      <c r="E2287" s="5" t="str">
        <f>IFERROR(__xludf.DUMMYFUNCTION("""COMPUTED_VALUE"""),"شاهین دژ")</f>
        <v>شاهین دژ</v>
      </c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</row>
    <row r="2288">
      <c r="A2288" s="5">
        <f>IFERROR(__xludf.DUMMYFUNCTION("""COMPUTED_VALUE"""),643.0)</f>
        <v>643</v>
      </c>
      <c r="B2288" s="5" t="str">
        <f>IFERROR(__xludf.DUMMYFUNCTION("""COMPUTED_VALUE"""),"هیأت")</f>
        <v>هیأت</v>
      </c>
      <c r="C2288" s="5" t="str">
        <f>IFERROR(__xludf.DUMMYFUNCTION("""COMPUTED_VALUE"""),"حسینیه سیدالشهدا (مهدیه همت ‏زاده)")</f>
        <v>حسینیه سیدالشهدا (مهدیه همت ‏زاده)</v>
      </c>
      <c r="D2288" s="5" t="str">
        <f>IFERROR(__xludf.DUMMYFUNCTION("""COMPUTED_VALUE"""),"آذربایجان غربی")</f>
        <v>آذربایجان غربی</v>
      </c>
      <c r="E2288" s="5" t="str">
        <f>IFERROR(__xludf.DUMMYFUNCTION("""COMPUTED_VALUE"""),"شاهین دژ")</f>
        <v>شاهین دژ</v>
      </c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</row>
    <row r="2289">
      <c r="A2289" s="5">
        <f>IFERROR(__xludf.DUMMYFUNCTION("""COMPUTED_VALUE"""),641.0)</f>
        <v>641</v>
      </c>
      <c r="B2289" s="5" t="str">
        <f>IFERROR(__xludf.DUMMYFUNCTION("""COMPUTED_VALUE"""),"هیأت")</f>
        <v>هیأت</v>
      </c>
      <c r="C2289" s="5" t="str">
        <f>IFERROR(__xludf.DUMMYFUNCTION("""COMPUTED_VALUE"""),"موسسه قرآنی توحید")</f>
        <v>موسسه قرآنی توحید</v>
      </c>
      <c r="D2289" s="5" t="str">
        <f>IFERROR(__xludf.DUMMYFUNCTION("""COMPUTED_VALUE"""),"آذربایجان غربی")</f>
        <v>آذربایجان غربی</v>
      </c>
      <c r="E2289" s="5" t="str">
        <f>IFERROR(__xludf.DUMMYFUNCTION("""COMPUTED_VALUE"""),"شاهین دژ")</f>
        <v>شاهین دژ</v>
      </c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</row>
    <row r="2290">
      <c r="A2290" s="5">
        <f>IFERROR(__xludf.DUMMYFUNCTION("""COMPUTED_VALUE"""),640.0)</f>
        <v>640</v>
      </c>
      <c r="B2290" s="5" t="str">
        <f>IFERROR(__xludf.DUMMYFUNCTION("""COMPUTED_VALUE"""),"هیأت")</f>
        <v>هیأت</v>
      </c>
      <c r="C2290" s="5" t="str">
        <f>IFERROR(__xludf.DUMMYFUNCTION("""COMPUTED_VALUE"""),"اباعبدالله الحسین (ع)")</f>
        <v>اباعبدالله الحسین (ع)</v>
      </c>
      <c r="D2290" s="5" t="str">
        <f>IFERROR(__xludf.DUMMYFUNCTION("""COMPUTED_VALUE"""),"آذربایجان غربی")</f>
        <v>آذربایجان غربی</v>
      </c>
      <c r="E2290" s="5" t="str">
        <f>IFERROR(__xludf.DUMMYFUNCTION("""COMPUTED_VALUE"""),"شاهین دژ")</f>
        <v>شاهین دژ</v>
      </c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</row>
    <row r="2291">
      <c r="A2291" s="5">
        <f>IFERROR(__xludf.DUMMYFUNCTION("""COMPUTED_VALUE"""),637.0)</f>
        <v>637</v>
      </c>
      <c r="B2291" s="5" t="str">
        <f>IFERROR(__xludf.DUMMYFUNCTION("""COMPUTED_VALUE"""),"هیأت")</f>
        <v>هیأت</v>
      </c>
      <c r="C2291" s="5" t="str">
        <f>IFERROR(__xludf.DUMMYFUNCTION("""COMPUTED_VALUE"""),"عزاداران حضرت علی اصغر (ع) حسینیه شهید ابراهیم عباسی")</f>
        <v>عزاداران حضرت علی اصغر (ع) حسینیه شهید ابراهیم عباسی</v>
      </c>
      <c r="D2291" s="5" t="str">
        <f>IFERROR(__xludf.DUMMYFUNCTION("""COMPUTED_VALUE"""),"آذربایجان غربی")</f>
        <v>آذربایجان غربی</v>
      </c>
      <c r="E2291" s="5" t="str">
        <f>IFERROR(__xludf.DUMMYFUNCTION("""COMPUTED_VALUE"""),"شاهین دژ")</f>
        <v>شاهین دژ</v>
      </c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</row>
    <row r="2292">
      <c r="A2292" s="5">
        <f>IFERROR(__xludf.DUMMYFUNCTION("""COMPUTED_VALUE"""),636.0)</f>
        <v>636</v>
      </c>
      <c r="B2292" s="5" t="str">
        <f>IFERROR(__xludf.DUMMYFUNCTION("""COMPUTED_VALUE"""),"هیأت")</f>
        <v>هیأت</v>
      </c>
      <c r="C2292" s="5" t="str">
        <f>IFERROR(__xludf.DUMMYFUNCTION("""COMPUTED_VALUE"""),"رزمندگان اسلام")</f>
        <v>رزمندگان اسلام</v>
      </c>
      <c r="D2292" s="5" t="str">
        <f>IFERROR(__xludf.DUMMYFUNCTION("""COMPUTED_VALUE"""),"آذربایجان غربی")</f>
        <v>آذربایجان غربی</v>
      </c>
      <c r="E2292" s="5" t="str">
        <f>IFERROR(__xludf.DUMMYFUNCTION("""COMPUTED_VALUE"""),"شاهین دژ")</f>
        <v>شاهین دژ</v>
      </c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</row>
    <row r="2293">
      <c r="A2293" s="5">
        <f>IFERROR(__xludf.DUMMYFUNCTION("""COMPUTED_VALUE"""),635.0)</f>
        <v>635</v>
      </c>
      <c r="B2293" s="5" t="str">
        <f>IFERROR(__xludf.DUMMYFUNCTION("""COMPUTED_VALUE"""),"هیأت")</f>
        <v>هیأت</v>
      </c>
      <c r="C2293" s="5" t="str">
        <f>IFERROR(__xludf.DUMMYFUNCTION("""COMPUTED_VALUE"""),"عزاداران شهیدان اکبری")</f>
        <v>عزاداران شهیدان اکبری</v>
      </c>
      <c r="D2293" s="5" t="str">
        <f>IFERROR(__xludf.DUMMYFUNCTION("""COMPUTED_VALUE"""),"آذربایجان غربی")</f>
        <v>آذربایجان غربی</v>
      </c>
      <c r="E2293" s="5" t="str">
        <f>IFERROR(__xludf.DUMMYFUNCTION("""COMPUTED_VALUE"""),"شاهین دژ")</f>
        <v>شاهین دژ</v>
      </c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</row>
    <row r="2294">
      <c r="A2294" s="5">
        <f>IFERROR(__xludf.DUMMYFUNCTION("""COMPUTED_VALUE"""),445.0)</f>
        <v>445</v>
      </c>
      <c r="B2294" s="5" t="str">
        <f>IFERROR(__xludf.DUMMYFUNCTION("""COMPUTED_VALUE"""),"هیأت")</f>
        <v>هیأت</v>
      </c>
      <c r="C2294" s="5" t="str">
        <f>IFERROR(__xludf.DUMMYFUNCTION("""COMPUTED_VALUE"""),"عزاداران مسجد فاطمه الزهرا (س)")</f>
        <v>عزاداران مسجد فاطمه الزهرا (س)</v>
      </c>
      <c r="D2294" s="5" t="str">
        <f>IFERROR(__xludf.DUMMYFUNCTION("""COMPUTED_VALUE"""),"آذربایجان غربی")</f>
        <v>آذربایجان غربی</v>
      </c>
      <c r="E2294" s="5" t="str">
        <f>IFERROR(__xludf.DUMMYFUNCTION("""COMPUTED_VALUE"""),"شاهین دژ")</f>
        <v>شاهین دژ</v>
      </c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</row>
    <row r="2295">
      <c r="A2295" s="5">
        <f>IFERROR(__xludf.DUMMYFUNCTION("""COMPUTED_VALUE"""),439.0)</f>
        <v>439</v>
      </c>
      <c r="B2295" s="5" t="str">
        <f>IFERROR(__xludf.DUMMYFUNCTION("""COMPUTED_VALUE"""),"هیأت")</f>
        <v>هیأت</v>
      </c>
      <c r="C2295" s="5" t="str">
        <f>IFERROR(__xludf.DUMMYFUNCTION("""COMPUTED_VALUE"""),"عزاداران ثارالله (ع)")</f>
        <v>عزاداران ثارالله (ع)</v>
      </c>
      <c r="D2295" s="5" t="str">
        <f>IFERROR(__xludf.DUMMYFUNCTION("""COMPUTED_VALUE"""),"آذربایجان غربی")</f>
        <v>آذربایجان غربی</v>
      </c>
      <c r="E2295" s="5" t="str">
        <f>IFERROR(__xludf.DUMMYFUNCTION("""COMPUTED_VALUE"""),"شاهین دژ")</f>
        <v>شاهین دژ</v>
      </c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</row>
    <row r="2296">
      <c r="A2296" s="5">
        <f>IFERROR(__xludf.DUMMYFUNCTION("""COMPUTED_VALUE"""),773.0)</f>
        <v>773</v>
      </c>
      <c r="B2296" s="5" t="str">
        <f>IFERROR(__xludf.DUMMYFUNCTION("""COMPUTED_VALUE"""),"هیأت")</f>
        <v>هیأت</v>
      </c>
      <c r="C2296" s="5" t="str">
        <f>IFERROR(__xludf.DUMMYFUNCTION("""COMPUTED_VALUE"""),"مجمع حیدریون")</f>
        <v>مجمع حیدریون</v>
      </c>
      <c r="D2296" s="5" t="str">
        <f>IFERROR(__xludf.DUMMYFUNCTION("""COMPUTED_VALUE"""),"آذربایجان غربی")</f>
        <v>آذربایجان غربی</v>
      </c>
      <c r="E2296" s="5" t="str">
        <f>IFERROR(__xludf.DUMMYFUNCTION("""COMPUTED_VALUE"""),"شوط")</f>
        <v>شوط</v>
      </c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</row>
    <row r="2297">
      <c r="A2297" s="5">
        <f>IFERROR(__xludf.DUMMYFUNCTION("""COMPUTED_VALUE"""),739.0)</f>
        <v>739</v>
      </c>
      <c r="B2297" s="5" t="str">
        <f>IFERROR(__xludf.DUMMYFUNCTION("""COMPUTED_VALUE"""),"هیأت")</f>
        <v>هیأت</v>
      </c>
      <c r="C2297" s="5" t="str">
        <f>IFERROR(__xludf.DUMMYFUNCTION("""COMPUTED_VALUE"""),"سیدالشهدا (ع) روستای صوفی")</f>
        <v>سیدالشهدا (ع) روستای صوفی</v>
      </c>
      <c r="D2297" s="5" t="str">
        <f>IFERROR(__xludf.DUMMYFUNCTION("""COMPUTED_VALUE"""),"آذربایجان غربی")</f>
        <v>آذربایجان غربی</v>
      </c>
      <c r="E2297" s="5" t="str">
        <f>IFERROR(__xludf.DUMMYFUNCTION("""COMPUTED_VALUE"""),"شوط")</f>
        <v>شوط</v>
      </c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</row>
    <row r="2298">
      <c r="A2298" s="5">
        <f>IFERROR(__xludf.DUMMYFUNCTION("""COMPUTED_VALUE"""),737.0)</f>
        <v>737</v>
      </c>
      <c r="B2298" s="5" t="str">
        <f>IFERROR(__xludf.DUMMYFUNCTION("""COMPUTED_VALUE"""),"هیأت")</f>
        <v>هیأت</v>
      </c>
      <c r="C2298" s="5" t="str">
        <f>IFERROR(__xludf.DUMMYFUNCTION("""COMPUTED_VALUE"""),"عاشقان حضرت مهدی (عج)")</f>
        <v>عاشقان حضرت مهدی (عج)</v>
      </c>
      <c r="D2298" s="5" t="str">
        <f>IFERROR(__xludf.DUMMYFUNCTION("""COMPUTED_VALUE"""),"آذربایجان غربی")</f>
        <v>آذربایجان غربی</v>
      </c>
      <c r="E2298" s="5" t="str">
        <f>IFERROR(__xludf.DUMMYFUNCTION("""COMPUTED_VALUE"""),"شوط")</f>
        <v>شوط</v>
      </c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</row>
    <row r="2299">
      <c r="A2299" s="5">
        <f>IFERROR(__xludf.DUMMYFUNCTION("""COMPUTED_VALUE"""),653.0)</f>
        <v>653</v>
      </c>
      <c r="B2299" s="5" t="str">
        <f>IFERROR(__xludf.DUMMYFUNCTION("""COMPUTED_VALUE"""),"هیأت")</f>
        <v>هیأت</v>
      </c>
      <c r="C2299" s="5" t="str">
        <f>IFERROR(__xludf.DUMMYFUNCTION("""COMPUTED_VALUE"""),"کانون امام صادق(ع)")</f>
        <v>کانون امام صادق(ع)</v>
      </c>
      <c r="D2299" s="5" t="str">
        <f>IFERROR(__xludf.DUMMYFUNCTION("""COMPUTED_VALUE"""),"آذربایجان غربی")</f>
        <v>آذربایجان غربی</v>
      </c>
      <c r="E2299" s="5" t="str">
        <f>IFERROR(__xludf.DUMMYFUNCTION("""COMPUTED_VALUE"""),"شوط")</f>
        <v>شوط</v>
      </c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</row>
    <row r="2300">
      <c r="A2300" s="5">
        <f>IFERROR(__xludf.DUMMYFUNCTION("""COMPUTED_VALUE"""),549.0)</f>
        <v>549</v>
      </c>
      <c r="B2300" s="5" t="str">
        <f>IFERROR(__xludf.DUMMYFUNCTION("""COMPUTED_VALUE"""),"هیأت")</f>
        <v>هیأت</v>
      </c>
      <c r="C2300" s="5" t="str">
        <f>IFERROR(__xludf.DUMMYFUNCTION("""COMPUTED_VALUE"""),"عاشقان المهدی (عج)")</f>
        <v>عاشقان المهدی (عج)</v>
      </c>
      <c r="D2300" s="5" t="str">
        <f>IFERROR(__xludf.DUMMYFUNCTION("""COMPUTED_VALUE"""),"آذربایجان غربی")</f>
        <v>آذربایجان غربی</v>
      </c>
      <c r="E2300" s="5" t="str">
        <f>IFERROR(__xludf.DUMMYFUNCTION("""COMPUTED_VALUE"""),"شوط")</f>
        <v>شوط</v>
      </c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</row>
    <row r="2301">
      <c r="A2301" s="5">
        <f>IFERROR(__xludf.DUMMYFUNCTION("""COMPUTED_VALUE"""),207.0)</f>
        <v>207</v>
      </c>
      <c r="B2301" s="5" t="str">
        <f>IFERROR(__xludf.DUMMYFUNCTION("""COMPUTED_VALUE"""),"هیأت")</f>
        <v>هیأت</v>
      </c>
      <c r="C2301" s="5" t="str">
        <f>IFERROR(__xludf.DUMMYFUNCTION("""COMPUTED_VALUE"""),"حبل المتین / عاشقان مهدی (عج) سابق")</f>
        <v>حبل المتین / عاشقان مهدی (عج) سابق</v>
      </c>
      <c r="D2301" s="5" t="str">
        <f>IFERROR(__xludf.DUMMYFUNCTION("""COMPUTED_VALUE"""),"آذربایجان غربی")</f>
        <v>آذربایجان غربی</v>
      </c>
      <c r="E2301" s="5" t="str">
        <f>IFERROR(__xludf.DUMMYFUNCTION("""COMPUTED_VALUE"""),"شوط")</f>
        <v>شوط</v>
      </c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</row>
    <row r="2302">
      <c r="A2302" s="5">
        <f>IFERROR(__xludf.DUMMYFUNCTION("""COMPUTED_VALUE"""),31847.0)</f>
        <v>31847</v>
      </c>
      <c r="B2302" s="5" t="str">
        <f>IFERROR(__xludf.DUMMYFUNCTION("""COMPUTED_VALUE"""),"هیأت")</f>
        <v>هیأت</v>
      </c>
      <c r="C2302" s="5" t="str">
        <f>IFERROR(__xludf.DUMMYFUNCTION("""COMPUTED_VALUE"""),"منتظران ظهور")</f>
        <v>منتظران ظهور</v>
      </c>
      <c r="D2302" s="5" t="str">
        <f>IFERROR(__xludf.DUMMYFUNCTION("""COMPUTED_VALUE"""),"آذربایجان غربی")</f>
        <v>آذربایجان غربی</v>
      </c>
      <c r="E2302" s="5" t="str">
        <f>IFERROR(__xludf.DUMMYFUNCTION("""COMPUTED_VALUE"""),"ماکو")</f>
        <v>ماکو</v>
      </c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</row>
    <row r="2303">
      <c r="A2303" s="5">
        <f>IFERROR(__xludf.DUMMYFUNCTION("""COMPUTED_VALUE"""),31743.0)</f>
        <v>31743</v>
      </c>
      <c r="B2303" s="5" t="str">
        <f>IFERROR(__xludf.DUMMYFUNCTION("""COMPUTED_VALUE"""),"هیأت")</f>
        <v>هیأت</v>
      </c>
      <c r="C2303" s="5" t="str">
        <f>IFERROR(__xludf.DUMMYFUNCTION("""COMPUTED_VALUE"""),"منتظران مهدی")</f>
        <v>منتظران مهدی</v>
      </c>
      <c r="D2303" s="5" t="str">
        <f>IFERROR(__xludf.DUMMYFUNCTION("""COMPUTED_VALUE"""),"آذربایجان غربی")</f>
        <v>آذربایجان غربی</v>
      </c>
      <c r="E2303" s="5" t="str">
        <f>IFERROR(__xludf.DUMMYFUNCTION("""COMPUTED_VALUE"""),"ماکو")</f>
        <v>ماکو</v>
      </c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</row>
    <row r="2304">
      <c r="A2304" s="5">
        <f>IFERROR(__xludf.DUMMYFUNCTION("""COMPUTED_VALUE"""),30749.0)</f>
        <v>30749</v>
      </c>
      <c r="B2304" s="5" t="str">
        <f>IFERROR(__xludf.DUMMYFUNCTION("""COMPUTED_VALUE"""),"هیأت")</f>
        <v>هیأت</v>
      </c>
      <c r="C2304" s="5" t="str">
        <f>IFERROR(__xludf.DUMMYFUNCTION("""COMPUTED_VALUE"""),"باب الحوائج (ع) شهرک ولعیصر")</f>
        <v>باب الحوائج (ع) شهرک ولعیصر</v>
      </c>
      <c r="D2304" s="5" t="str">
        <f>IFERROR(__xludf.DUMMYFUNCTION("""COMPUTED_VALUE"""),"آذربایجان غربی")</f>
        <v>آذربایجان غربی</v>
      </c>
      <c r="E2304" s="5" t="str">
        <f>IFERROR(__xludf.DUMMYFUNCTION("""COMPUTED_VALUE"""),"ماکو")</f>
        <v>ماکو</v>
      </c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</row>
    <row r="2305">
      <c r="A2305" s="5">
        <f>IFERROR(__xludf.DUMMYFUNCTION("""COMPUTED_VALUE"""),24357.0)</f>
        <v>24357</v>
      </c>
      <c r="B2305" s="5" t="str">
        <f>IFERROR(__xludf.DUMMYFUNCTION("""COMPUTED_VALUE"""),"هیأت")</f>
        <v>هیأت</v>
      </c>
      <c r="C2305" s="5" t="str">
        <f>IFERROR(__xludf.DUMMYFUNCTION("""COMPUTED_VALUE"""),"حوزه علمیه (خواهران)")</f>
        <v>حوزه علمیه (خواهران)</v>
      </c>
      <c r="D2305" s="5" t="str">
        <f>IFERROR(__xludf.DUMMYFUNCTION("""COMPUTED_VALUE"""),"آذربایجان غربی")</f>
        <v>آذربایجان غربی</v>
      </c>
      <c r="E2305" s="5" t="str">
        <f>IFERROR(__xludf.DUMMYFUNCTION("""COMPUTED_VALUE"""),"ماکو")</f>
        <v>ماکو</v>
      </c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</row>
    <row r="2306">
      <c r="A2306" s="5">
        <f>IFERROR(__xludf.DUMMYFUNCTION("""COMPUTED_VALUE"""),23516.0)</f>
        <v>23516</v>
      </c>
      <c r="B2306" s="5" t="str">
        <f>IFERROR(__xludf.DUMMYFUNCTION("""COMPUTED_VALUE"""),"هیأت")</f>
        <v>هیأت</v>
      </c>
      <c r="C2306" s="5" t="str">
        <f>IFERROR(__xludf.DUMMYFUNCTION("""COMPUTED_VALUE"""),"زینبیه")</f>
        <v>زینبیه</v>
      </c>
      <c r="D2306" s="5" t="str">
        <f>IFERROR(__xludf.DUMMYFUNCTION("""COMPUTED_VALUE"""),"آذربایجان غربی")</f>
        <v>آذربایجان غربی</v>
      </c>
      <c r="E2306" s="5" t="str">
        <f>IFERROR(__xludf.DUMMYFUNCTION("""COMPUTED_VALUE"""),"ماکو")</f>
        <v>ماکو</v>
      </c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</row>
    <row r="2307">
      <c r="A2307" s="5">
        <f>IFERROR(__xludf.DUMMYFUNCTION("""COMPUTED_VALUE"""),21979.0)</f>
        <v>21979</v>
      </c>
      <c r="B2307" s="5" t="str">
        <f>IFERROR(__xludf.DUMMYFUNCTION("""COMPUTED_VALUE"""),"هیأت")</f>
        <v>هیأت</v>
      </c>
      <c r="C2307" s="5" t="str">
        <f>IFERROR(__xludf.DUMMYFUNCTION("""COMPUTED_VALUE"""),"زنجیرزنی حضرت ابوالفضل العباس (ع)")</f>
        <v>زنجیرزنی حضرت ابوالفضل العباس (ع)</v>
      </c>
      <c r="D2307" s="5" t="str">
        <f>IFERROR(__xludf.DUMMYFUNCTION("""COMPUTED_VALUE"""),"آذربایجان غربی")</f>
        <v>آذربایجان غربی</v>
      </c>
      <c r="E2307" s="5" t="str">
        <f>IFERROR(__xludf.DUMMYFUNCTION("""COMPUTED_VALUE"""),"ماکو")</f>
        <v>ماکو</v>
      </c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</row>
    <row r="2308">
      <c r="A2308" s="5">
        <f>IFERROR(__xludf.DUMMYFUNCTION("""COMPUTED_VALUE"""),21174.0)</f>
        <v>21174</v>
      </c>
      <c r="B2308" s="5" t="str">
        <f>IFERROR(__xludf.DUMMYFUNCTION("""COMPUTED_VALUE"""),"هیأت")</f>
        <v>هیأت</v>
      </c>
      <c r="C2308" s="5" t="str">
        <f>IFERROR(__xludf.DUMMYFUNCTION("""COMPUTED_VALUE"""),"الغدیر")</f>
        <v>الغدیر</v>
      </c>
      <c r="D2308" s="5" t="str">
        <f>IFERROR(__xludf.DUMMYFUNCTION("""COMPUTED_VALUE"""),"آذربایجان غربی")</f>
        <v>آذربایجان غربی</v>
      </c>
      <c r="E2308" s="5" t="str">
        <f>IFERROR(__xludf.DUMMYFUNCTION("""COMPUTED_VALUE"""),"ماکو")</f>
        <v>ماکو</v>
      </c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</row>
    <row r="2309">
      <c r="A2309" s="5">
        <f>IFERROR(__xludf.DUMMYFUNCTION("""COMPUTED_VALUE"""),21150.0)</f>
        <v>21150</v>
      </c>
      <c r="B2309" s="5" t="str">
        <f>IFERROR(__xludf.DUMMYFUNCTION("""COMPUTED_VALUE"""),"هیأت")</f>
        <v>هیأت</v>
      </c>
      <c r="C2309" s="5" t="str">
        <f>IFERROR(__xludf.DUMMYFUNCTION("""COMPUTED_VALUE"""),"هیات زنجیر زنی حضرت ابوالفضل العباس (ع) (محله برج)")</f>
        <v>هیات زنجیر زنی حضرت ابوالفضل العباس (ع) (محله برج)</v>
      </c>
      <c r="D2309" s="5" t="str">
        <f>IFERROR(__xludf.DUMMYFUNCTION("""COMPUTED_VALUE"""),"آذربایجان غربی")</f>
        <v>آذربایجان غربی</v>
      </c>
      <c r="E2309" s="5" t="str">
        <f>IFERROR(__xludf.DUMMYFUNCTION("""COMPUTED_VALUE"""),"ماکو")</f>
        <v>ماکو</v>
      </c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</row>
    <row r="2310">
      <c r="A2310" s="5">
        <f>IFERROR(__xludf.DUMMYFUNCTION("""COMPUTED_VALUE"""),734.0)</f>
        <v>734</v>
      </c>
      <c r="B2310" s="5" t="str">
        <f>IFERROR(__xludf.DUMMYFUNCTION("""COMPUTED_VALUE"""),"هیأت")</f>
        <v>هیأت</v>
      </c>
      <c r="C2310" s="5" t="str">
        <f>IFERROR(__xludf.DUMMYFUNCTION("""COMPUTED_VALUE"""),"پیام آوران عاشورا")</f>
        <v>پیام آوران عاشورا</v>
      </c>
      <c r="D2310" s="5" t="str">
        <f>IFERROR(__xludf.DUMMYFUNCTION("""COMPUTED_VALUE"""),"آذربایجان غربی")</f>
        <v>آذربایجان غربی</v>
      </c>
      <c r="E2310" s="5" t="str">
        <f>IFERROR(__xludf.DUMMYFUNCTION("""COMPUTED_VALUE"""),"ماکو")</f>
        <v>ماکو</v>
      </c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</row>
    <row r="2311">
      <c r="A2311" s="5">
        <f>IFERROR(__xludf.DUMMYFUNCTION("""COMPUTED_VALUE"""),661.0)</f>
        <v>661</v>
      </c>
      <c r="B2311" s="5" t="str">
        <f>IFERROR(__xludf.DUMMYFUNCTION("""COMPUTED_VALUE"""),"هیأت")</f>
        <v>هیأت</v>
      </c>
      <c r="C2311" s="5" t="str">
        <f>IFERROR(__xludf.DUMMYFUNCTION("""COMPUTED_VALUE"""),"متوسلین به امام رضا (ع)")</f>
        <v>متوسلین به امام رضا (ع)</v>
      </c>
      <c r="D2311" s="5" t="str">
        <f>IFERROR(__xludf.DUMMYFUNCTION("""COMPUTED_VALUE"""),"آذربایجان غربی")</f>
        <v>آذربایجان غربی</v>
      </c>
      <c r="E2311" s="5" t="str">
        <f>IFERROR(__xludf.DUMMYFUNCTION("""COMPUTED_VALUE"""),"ماکو")</f>
        <v>ماکو</v>
      </c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</row>
    <row r="2312">
      <c r="A2312" s="5">
        <f>IFERROR(__xludf.DUMMYFUNCTION("""COMPUTED_VALUE"""),660.0)</f>
        <v>660</v>
      </c>
      <c r="B2312" s="5" t="str">
        <f>IFERROR(__xludf.DUMMYFUNCTION("""COMPUTED_VALUE"""),"هیأت")</f>
        <v>هیأت</v>
      </c>
      <c r="C2312" s="5" t="str">
        <f>IFERROR(__xludf.DUMMYFUNCTION("""COMPUTED_VALUE"""),"رزمندگان اسلام")</f>
        <v>رزمندگان اسلام</v>
      </c>
      <c r="D2312" s="5" t="str">
        <f>IFERROR(__xludf.DUMMYFUNCTION("""COMPUTED_VALUE"""),"آذربایجان غربی")</f>
        <v>آذربایجان غربی</v>
      </c>
      <c r="E2312" s="5" t="str">
        <f>IFERROR(__xludf.DUMMYFUNCTION("""COMPUTED_VALUE"""),"ماکو")</f>
        <v>ماکو</v>
      </c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</row>
    <row r="2313">
      <c r="A2313" s="5">
        <f>IFERROR(__xludf.DUMMYFUNCTION("""COMPUTED_VALUE"""),658.0)</f>
        <v>658</v>
      </c>
      <c r="B2313" s="5" t="str">
        <f>IFERROR(__xludf.DUMMYFUNCTION("""COMPUTED_VALUE"""),"هیأت")</f>
        <v>هیأت</v>
      </c>
      <c r="C2313" s="5" t="str">
        <f>IFERROR(__xludf.DUMMYFUNCTION("""COMPUTED_VALUE"""),"مسجد جامع ماکو")</f>
        <v>مسجد جامع ماکو</v>
      </c>
      <c r="D2313" s="5" t="str">
        <f>IFERROR(__xludf.DUMMYFUNCTION("""COMPUTED_VALUE"""),"آذربایجان غربی")</f>
        <v>آذربایجان غربی</v>
      </c>
      <c r="E2313" s="5" t="str">
        <f>IFERROR(__xludf.DUMMYFUNCTION("""COMPUTED_VALUE"""),"ماکو")</f>
        <v>ماکو</v>
      </c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</row>
    <row r="2314">
      <c r="A2314" s="5">
        <f>IFERROR(__xludf.DUMMYFUNCTION("""COMPUTED_VALUE"""),657.0)</f>
        <v>657</v>
      </c>
      <c r="B2314" s="5" t="str">
        <f>IFERROR(__xludf.DUMMYFUNCTION("""COMPUTED_VALUE"""),"هیأت")</f>
        <v>هیأت</v>
      </c>
      <c r="C2314" s="5" t="str">
        <f>IFERROR(__xludf.DUMMYFUNCTION("""COMPUTED_VALUE"""),"روحانیون")</f>
        <v>روحانیون</v>
      </c>
      <c r="D2314" s="5" t="str">
        <f>IFERROR(__xludf.DUMMYFUNCTION("""COMPUTED_VALUE"""),"آذربایجان غربی")</f>
        <v>آذربایجان غربی</v>
      </c>
      <c r="E2314" s="5" t="str">
        <f>IFERROR(__xludf.DUMMYFUNCTION("""COMPUTED_VALUE"""),"ماکو")</f>
        <v>ماکو</v>
      </c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</row>
    <row r="2315">
      <c r="A2315" s="5">
        <f>IFERROR(__xludf.DUMMYFUNCTION("""COMPUTED_VALUE"""),454.0)</f>
        <v>454</v>
      </c>
      <c r="B2315" s="5" t="str">
        <f>IFERROR(__xludf.DUMMYFUNCTION("""COMPUTED_VALUE"""),"هیأت")</f>
        <v>هیأت</v>
      </c>
      <c r="C2315" s="5" t="str">
        <f>IFERROR(__xludf.DUMMYFUNCTION("""COMPUTED_VALUE"""),"متوسلین چهارده معصوم (ع)")</f>
        <v>متوسلین چهارده معصوم (ع)</v>
      </c>
      <c r="D2315" s="5" t="str">
        <f>IFERROR(__xludf.DUMMYFUNCTION("""COMPUTED_VALUE"""),"آذربایجان غربی")</f>
        <v>آذربایجان غربی</v>
      </c>
      <c r="E2315" s="5" t="str">
        <f>IFERROR(__xludf.DUMMYFUNCTION("""COMPUTED_VALUE"""),"ماکو")</f>
        <v>ماکو</v>
      </c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</row>
    <row r="2316">
      <c r="A2316" s="5">
        <f>IFERROR(__xludf.DUMMYFUNCTION("""COMPUTED_VALUE"""),450.0)</f>
        <v>450</v>
      </c>
      <c r="B2316" s="5" t="str">
        <f>IFERROR(__xludf.DUMMYFUNCTION("""COMPUTED_VALUE"""),"هیأت")</f>
        <v>هیأت</v>
      </c>
      <c r="C2316" s="5" t="str">
        <f>IFERROR(__xludf.DUMMYFUNCTION("""COMPUTED_VALUE"""),"ثامن الائمه (ع)")</f>
        <v>ثامن الائمه (ع)</v>
      </c>
      <c r="D2316" s="5" t="str">
        <f>IFERROR(__xludf.DUMMYFUNCTION("""COMPUTED_VALUE"""),"آذربایجان غربی")</f>
        <v>آذربایجان غربی</v>
      </c>
      <c r="E2316" s="5" t="str">
        <f>IFERROR(__xludf.DUMMYFUNCTION("""COMPUTED_VALUE"""),"ماکو")</f>
        <v>ماکو</v>
      </c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</row>
    <row r="2317">
      <c r="A2317" s="5">
        <f>IFERROR(__xludf.DUMMYFUNCTION("""COMPUTED_VALUE"""),448.0)</f>
        <v>448</v>
      </c>
      <c r="B2317" s="5" t="str">
        <f>IFERROR(__xludf.DUMMYFUNCTION("""COMPUTED_VALUE"""),"هیأت")</f>
        <v>هیأت</v>
      </c>
      <c r="C2317" s="5" t="str">
        <f>IFERROR(__xludf.DUMMYFUNCTION("""COMPUTED_VALUE"""),"جوانان امام حسین (ع)")</f>
        <v>جوانان امام حسین (ع)</v>
      </c>
      <c r="D2317" s="5" t="str">
        <f>IFERROR(__xludf.DUMMYFUNCTION("""COMPUTED_VALUE"""),"آذربایجان غربی")</f>
        <v>آذربایجان غربی</v>
      </c>
      <c r="E2317" s="5" t="str">
        <f>IFERROR(__xludf.DUMMYFUNCTION("""COMPUTED_VALUE"""),"ماکو")</f>
        <v>ماکو</v>
      </c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</row>
    <row r="2318">
      <c r="A2318" s="5">
        <f>IFERROR(__xludf.DUMMYFUNCTION("""COMPUTED_VALUE"""),435.0)</f>
        <v>435</v>
      </c>
      <c r="B2318" s="5" t="str">
        <f>IFERROR(__xludf.DUMMYFUNCTION("""COMPUTED_VALUE"""),"هیأت")</f>
        <v>هیأت</v>
      </c>
      <c r="C2318" s="5" t="str">
        <f>IFERROR(__xludf.DUMMYFUNCTION("""COMPUTED_VALUE"""),"منتظران المهدی (عج)")</f>
        <v>منتظران المهدی (عج)</v>
      </c>
      <c r="D2318" s="5" t="str">
        <f>IFERROR(__xludf.DUMMYFUNCTION("""COMPUTED_VALUE"""),"آذربایجان غربی")</f>
        <v>آذربایجان غربی</v>
      </c>
      <c r="E2318" s="5" t="str">
        <f>IFERROR(__xludf.DUMMYFUNCTION("""COMPUTED_VALUE"""),"ماکو")</f>
        <v>ماکو</v>
      </c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</row>
    <row r="2319">
      <c r="A2319" s="5">
        <f>IFERROR(__xludf.DUMMYFUNCTION("""COMPUTED_VALUE"""),434.0)</f>
        <v>434</v>
      </c>
      <c r="B2319" s="5" t="str">
        <f>IFERROR(__xludf.DUMMYFUNCTION("""COMPUTED_VALUE"""),"هیأت")</f>
        <v>هیأت</v>
      </c>
      <c r="C2319" s="5" t="str">
        <f>IFERROR(__xludf.DUMMYFUNCTION("""COMPUTED_VALUE"""),"انصارالمهدی (عج) (اتحادیه انجمن های اسلامی دانش آموزان)")</f>
        <v>انصارالمهدی (عج) (اتحادیه انجمن های اسلامی دانش آموزان)</v>
      </c>
      <c r="D2319" s="5" t="str">
        <f>IFERROR(__xludf.DUMMYFUNCTION("""COMPUTED_VALUE"""),"آذربایجان غربی")</f>
        <v>آذربایجان غربی</v>
      </c>
      <c r="E2319" s="5" t="str">
        <f>IFERROR(__xludf.DUMMYFUNCTION("""COMPUTED_VALUE"""),"ماکو")</f>
        <v>ماکو</v>
      </c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</row>
    <row r="2320">
      <c r="A2320" s="5">
        <f>IFERROR(__xludf.DUMMYFUNCTION("""COMPUTED_VALUE"""),33123.0)</f>
        <v>33123</v>
      </c>
      <c r="B2320" s="5" t="str">
        <f>IFERROR(__xludf.DUMMYFUNCTION("""COMPUTED_VALUE"""),"هیأت")</f>
        <v>هیأت</v>
      </c>
      <c r="C2320" s="5" t="str">
        <f>IFERROR(__xludf.DUMMYFUNCTION("""COMPUTED_VALUE"""),"مکتب الحسین (ع)")</f>
        <v>مکتب الحسین (ع)</v>
      </c>
      <c r="D2320" s="5" t="str">
        <f>IFERROR(__xludf.DUMMYFUNCTION("""COMPUTED_VALUE"""),"آذربایجان غربی")</f>
        <v>آذربایجان غربی</v>
      </c>
      <c r="E2320" s="5" t="str">
        <f>IFERROR(__xludf.DUMMYFUNCTION("""COMPUTED_VALUE"""),"میاندوآب")</f>
        <v>میاندوآب</v>
      </c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</row>
    <row r="2321">
      <c r="A2321" s="5">
        <f>IFERROR(__xludf.DUMMYFUNCTION("""COMPUTED_VALUE"""),32038.0)</f>
        <v>32038</v>
      </c>
      <c r="B2321" s="5" t="str">
        <f>IFERROR(__xludf.DUMMYFUNCTION("""COMPUTED_VALUE"""),"هیأت")</f>
        <v>هیأت</v>
      </c>
      <c r="C2321" s="5" t="str">
        <f>IFERROR(__xludf.DUMMYFUNCTION("""COMPUTED_VALUE"""),"سیدالشهدا (ع)")</f>
        <v>سیدالشهدا (ع)</v>
      </c>
      <c r="D2321" s="5" t="str">
        <f>IFERROR(__xludf.DUMMYFUNCTION("""COMPUTED_VALUE"""),"آذربایجان غربی")</f>
        <v>آذربایجان غربی</v>
      </c>
      <c r="E2321" s="5" t="str">
        <f>IFERROR(__xludf.DUMMYFUNCTION("""COMPUTED_VALUE"""),"میاندوآب")</f>
        <v>میاندوآب</v>
      </c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</row>
    <row r="2322">
      <c r="A2322" s="5">
        <f>IFERROR(__xludf.DUMMYFUNCTION("""COMPUTED_VALUE"""),30765.0)</f>
        <v>30765</v>
      </c>
      <c r="B2322" s="5" t="str">
        <f>IFERROR(__xludf.DUMMYFUNCTION("""COMPUTED_VALUE"""),"هیأت")</f>
        <v>هیأت</v>
      </c>
      <c r="C2322" s="5" t="str">
        <f>IFERROR(__xludf.DUMMYFUNCTION("""COMPUTED_VALUE"""),"نور الزهرا (س)")</f>
        <v>نور الزهرا (س)</v>
      </c>
      <c r="D2322" s="5" t="str">
        <f>IFERROR(__xludf.DUMMYFUNCTION("""COMPUTED_VALUE"""),"آذربایجان غربی")</f>
        <v>آذربایجان غربی</v>
      </c>
      <c r="E2322" s="5" t="str">
        <f>IFERROR(__xludf.DUMMYFUNCTION("""COMPUTED_VALUE"""),"میاندوآب")</f>
        <v>میاندوآب</v>
      </c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</row>
    <row r="2323">
      <c r="A2323" s="5">
        <f>IFERROR(__xludf.DUMMYFUNCTION("""COMPUTED_VALUE"""),30764.0)</f>
        <v>30764</v>
      </c>
      <c r="B2323" s="5" t="str">
        <f>IFERROR(__xludf.DUMMYFUNCTION("""COMPUTED_VALUE"""),"هیأت")</f>
        <v>هیأت</v>
      </c>
      <c r="C2323" s="5" t="str">
        <f>IFERROR(__xludf.DUMMYFUNCTION("""COMPUTED_VALUE"""),"هیأت سفیران ملکوت")</f>
        <v>هیأت سفیران ملکوت</v>
      </c>
      <c r="D2323" s="5" t="str">
        <f>IFERROR(__xludf.DUMMYFUNCTION("""COMPUTED_VALUE"""),"آذربایجان غربی")</f>
        <v>آذربایجان غربی</v>
      </c>
      <c r="E2323" s="5" t="str">
        <f>IFERROR(__xludf.DUMMYFUNCTION("""COMPUTED_VALUE"""),"میاندوآب")</f>
        <v>میاندوآب</v>
      </c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</row>
    <row r="2324">
      <c r="A2324" s="5">
        <f>IFERROR(__xludf.DUMMYFUNCTION("""COMPUTED_VALUE"""),30762.0)</f>
        <v>30762</v>
      </c>
      <c r="B2324" s="5" t="str">
        <f>IFERROR(__xludf.DUMMYFUNCTION("""COMPUTED_VALUE"""),"هیأت")</f>
        <v>هیأت</v>
      </c>
      <c r="C2324" s="5" t="str">
        <f>IFERROR(__xludf.DUMMYFUNCTION("""COMPUTED_VALUE"""),"عاشقان باب الحوایج (ع)")</f>
        <v>عاشقان باب الحوایج (ع)</v>
      </c>
      <c r="D2324" s="5" t="str">
        <f>IFERROR(__xludf.DUMMYFUNCTION("""COMPUTED_VALUE"""),"آذربایجان غربی")</f>
        <v>آذربایجان غربی</v>
      </c>
      <c r="E2324" s="5" t="str">
        <f>IFERROR(__xludf.DUMMYFUNCTION("""COMPUTED_VALUE"""),"میاندوآب")</f>
        <v>میاندوآب</v>
      </c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</row>
    <row r="2325">
      <c r="A2325" s="5">
        <f>IFERROR(__xludf.DUMMYFUNCTION("""COMPUTED_VALUE"""),30744.0)</f>
        <v>30744</v>
      </c>
      <c r="B2325" s="5" t="str">
        <f>IFERROR(__xludf.DUMMYFUNCTION("""COMPUTED_VALUE"""),"هیأت")</f>
        <v>هیأت</v>
      </c>
      <c r="C2325" s="5" t="str">
        <f>IFERROR(__xludf.DUMMYFUNCTION("""COMPUTED_VALUE"""),"عاشقان حضرت ابوالفضل (ع)")</f>
        <v>عاشقان حضرت ابوالفضل (ع)</v>
      </c>
      <c r="D2325" s="5" t="str">
        <f>IFERROR(__xludf.DUMMYFUNCTION("""COMPUTED_VALUE"""),"آذربایجان غربی")</f>
        <v>آذربایجان غربی</v>
      </c>
      <c r="E2325" s="5" t="str">
        <f>IFERROR(__xludf.DUMMYFUNCTION("""COMPUTED_VALUE"""),"میاندوآب")</f>
        <v>میاندوآب</v>
      </c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</row>
    <row r="2326">
      <c r="A2326" s="5">
        <f>IFERROR(__xludf.DUMMYFUNCTION("""COMPUTED_VALUE"""),30743.0)</f>
        <v>30743</v>
      </c>
      <c r="B2326" s="5" t="str">
        <f>IFERROR(__xludf.DUMMYFUNCTION("""COMPUTED_VALUE"""),"هیأت")</f>
        <v>هیأت</v>
      </c>
      <c r="C2326" s="5" t="str">
        <f>IFERROR(__xludf.DUMMYFUNCTION("""COMPUTED_VALUE"""),"بصائر حسینی")</f>
        <v>بصائر حسینی</v>
      </c>
      <c r="D2326" s="5" t="str">
        <f>IFERROR(__xludf.DUMMYFUNCTION("""COMPUTED_VALUE"""),"آذربایجان غربی")</f>
        <v>آذربایجان غربی</v>
      </c>
      <c r="E2326" s="5" t="str">
        <f>IFERROR(__xludf.DUMMYFUNCTION("""COMPUTED_VALUE"""),"میاندوآب")</f>
        <v>میاندوآب</v>
      </c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</row>
    <row r="2327">
      <c r="A2327" s="5">
        <f>IFERROR(__xludf.DUMMYFUNCTION("""COMPUTED_VALUE"""),30353.0)</f>
        <v>30353</v>
      </c>
      <c r="B2327" s="5" t="str">
        <f>IFERROR(__xludf.DUMMYFUNCTION("""COMPUTED_VALUE"""),"هیأت")</f>
        <v>هیأت</v>
      </c>
      <c r="C2327" s="5" t="str">
        <f>IFERROR(__xludf.DUMMYFUNCTION("""COMPUTED_VALUE"""),"انصار الولایه")</f>
        <v>انصار الولایه</v>
      </c>
      <c r="D2327" s="5" t="str">
        <f>IFERROR(__xludf.DUMMYFUNCTION("""COMPUTED_VALUE"""),"آذربایجان غربی")</f>
        <v>آذربایجان غربی</v>
      </c>
      <c r="E2327" s="5" t="str">
        <f>IFERROR(__xludf.DUMMYFUNCTION("""COMPUTED_VALUE"""),"میاندوآب")</f>
        <v>میاندوآب</v>
      </c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</row>
    <row r="2328">
      <c r="A2328" s="5">
        <f>IFERROR(__xludf.DUMMYFUNCTION("""COMPUTED_VALUE"""),29786.0)</f>
        <v>29786</v>
      </c>
      <c r="B2328" s="5" t="str">
        <f>IFERROR(__xludf.DUMMYFUNCTION("""COMPUTED_VALUE"""),"هیأت")</f>
        <v>هیأت</v>
      </c>
      <c r="C2328" s="5" t="str">
        <f>IFERROR(__xludf.DUMMYFUNCTION("""COMPUTED_VALUE"""),"محمد رسول الله (ص) کوی وکیل کندی")</f>
        <v>محمد رسول الله (ص) کوی وکیل کندی</v>
      </c>
      <c r="D2328" s="5" t="str">
        <f>IFERROR(__xludf.DUMMYFUNCTION("""COMPUTED_VALUE"""),"آذربایجان غربی")</f>
        <v>آذربایجان غربی</v>
      </c>
      <c r="E2328" s="5" t="str">
        <f>IFERROR(__xludf.DUMMYFUNCTION("""COMPUTED_VALUE"""),"میاندوآب")</f>
        <v>میاندوآب</v>
      </c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</row>
    <row r="2329">
      <c r="A2329" s="5">
        <f>IFERROR(__xludf.DUMMYFUNCTION("""COMPUTED_VALUE"""),27125.0)</f>
        <v>27125</v>
      </c>
      <c r="B2329" s="5" t="str">
        <f>IFERROR(__xludf.DUMMYFUNCTION("""COMPUTED_VALUE"""),"هیأت")</f>
        <v>هیأت</v>
      </c>
      <c r="C2329" s="5" t="str">
        <f>IFERROR(__xludf.DUMMYFUNCTION("""COMPUTED_VALUE"""),"بیت الزهرا (س)")</f>
        <v>بیت الزهرا (س)</v>
      </c>
      <c r="D2329" s="5" t="str">
        <f>IFERROR(__xludf.DUMMYFUNCTION("""COMPUTED_VALUE"""),"آذربایجان غربی")</f>
        <v>آذربایجان غربی</v>
      </c>
      <c r="E2329" s="5" t="str">
        <f>IFERROR(__xludf.DUMMYFUNCTION("""COMPUTED_VALUE"""),"میاندوآب")</f>
        <v>میاندوآب</v>
      </c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</row>
    <row r="2330">
      <c r="A2330" s="5">
        <f>IFERROR(__xludf.DUMMYFUNCTION("""COMPUTED_VALUE"""),27124.0)</f>
        <v>27124</v>
      </c>
      <c r="B2330" s="5" t="str">
        <f>IFERROR(__xludf.DUMMYFUNCTION("""COMPUTED_VALUE"""),"هیأت")</f>
        <v>هیأت</v>
      </c>
      <c r="C2330" s="5" t="str">
        <f>IFERROR(__xludf.DUMMYFUNCTION("""COMPUTED_VALUE"""),"هیأت قرآنی")</f>
        <v>هیأت قرآنی</v>
      </c>
      <c r="D2330" s="5" t="str">
        <f>IFERROR(__xludf.DUMMYFUNCTION("""COMPUTED_VALUE"""),"آذربایجان غربی")</f>
        <v>آذربایجان غربی</v>
      </c>
      <c r="E2330" s="5" t="str">
        <f>IFERROR(__xludf.DUMMYFUNCTION("""COMPUTED_VALUE"""),"میاندوآب")</f>
        <v>میاندوآب</v>
      </c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</row>
    <row r="2331">
      <c r="A2331" s="5">
        <f>IFERROR(__xludf.DUMMYFUNCTION("""COMPUTED_VALUE"""),27123.0)</f>
        <v>27123</v>
      </c>
      <c r="B2331" s="5" t="str">
        <f>IFERROR(__xludf.DUMMYFUNCTION("""COMPUTED_VALUE"""),"هیأت")</f>
        <v>هیأت</v>
      </c>
      <c r="C2331" s="5" t="str">
        <f>IFERROR(__xludf.DUMMYFUNCTION("""COMPUTED_VALUE"""),"فاطمیون")</f>
        <v>فاطمیون</v>
      </c>
      <c r="D2331" s="5" t="str">
        <f>IFERROR(__xludf.DUMMYFUNCTION("""COMPUTED_VALUE"""),"آذربایجان غربی")</f>
        <v>آذربایجان غربی</v>
      </c>
      <c r="E2331" s="5" t="str">
        <f>IFERROR(__xludf.DUMMYFUNCTION("""COMPUTED_VALUE"""),"میاندوآب")</f>
        <v>میاندوآب</v>
      </c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</row>
    <row r="2332">
      <c r="A2332" s="5">
        <f>IFERROR(__xludf.DUMMYFUNCTION("""COMPUTED_VALUE"""),27122.0)</f>
        <v>27122</v>
      </c>
      <c r="B2332" s="5" t="str">
        <f>IFERROR(__xludf.DUMMYFUNCTION("""COMPUTED_VALUE"""),"هیأت")</f>
        <v>هیأت</v>
      </c>
      <c r="C2332" s="5" t="str">
        <f>IFERROR(__xludf.DUMMYFUNCTION("""COMPUTED_VALUE"""),"خواهران زینبیون")</f>
        <v>خواهران زینبیون</v>
      </c>
      <c r="D2332" s="5" t="str">
        <f>IFERROR(__xludf.DUMMYFUNCTION("""COMPUTED_VALUE"""),"آذربایجان غربی")</f>
        <v>آذربایجان غربی</v>
      </c>
      <c r="E2332" s="5" t="str">
        <f>IFERROR(__xludf.DUMMYFUNCTION("""COMPUTED_VALUE"""),"میاندوآب")</f>
        <v>میاندوآب</v>
      </c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</row>
    <row r="2333">
      <c r="A2333" s="5">
        <f>IFERROR(__xludf.DUMMYFUNCTION("""COMPUTED_VALUE"""),27121.0)</f>
        <v>27121</v>
      </c>
      <c r="B2333" s="5" t="str">
        <f>IFERROR(__xludf.DUMMYFUNCTION("""COMPUTED_VALUE"""),"هیأت")</f>
        <v>هیأت</v>
      </c>
      <c r="C2333" s="5" t="str">
        <f>IFERROR(__xludf.DUMMYFUNCTION("""COMPUTED_VALUE"""),"حضرت زینب (س)")</f>
        <v>حضرت زینب (س)</v>
      </c>
      <c r="D2333" s="5" t="str">
        <f>IFERROR(__xludf.DUMMYFUNCTION("""COMPUTED_VALUE"""),"آذربایجان غربی")</f>
        <v>آذربایجان غربی</v>
      </c>
      <c r="E2333" s="5" t="str">
        <f>IFERROR(__xludf.DUMMYFUNCTION("""COMPUTED_VALUE"""),"میاندوآب")</f>
        <v>میاندوآب</v>
      </c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</row>
    <row r="2334">
      <c r="A2334" s="5">
        <f>IFERROR(__xludf.DUMMYFUNCTION("""COMPUTED_VALUE"""),27120.0)</f>
        <v>27120</v>
      </c>
      <c r="B2334" s="5" t="str">
        <f>IFERROR(__xludf.DUMMYFUNCTION("""COMPUTED_VALUE"""),"هیأت")</f>
        <v>هیأت</v>
      </c>
      <c r="C2334" s="5" t="str">
        <f>IFERROR(__xludf.DUMMYFUNCTION("""COMPUTED_VALUE"""),"نور الهدی")</f>
        <v>نور الهدی</v>
      </c>
      <c r="D2334" s="5" t="str">
        <f>IFERROR(__xludf.DUMMYFUNCTION("""COMPUTED_VALUE"""),"آذربایجان غربی")</f>
        <v>آذربایجان غربی</v>
      </c>
      <c r="E2334" s="5" t="str">
        <f>IFERROR(__xludf.DUMMYFUNCTION("""COMPUTED_VALUE"""),"میاندوآب")</f>
        <v>میاندوآب</v>
      </c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</row>
    <row r="2335">
      <c r="A2335" s="5">
        <f>IFERROR(__xludf.DUMMYFUNCTION("""COMPUTED_VALUE"""),24839.0)</f>
        <v>24839</v>
      </c>
      <c r="B2335" s="5" t="str">
        <f>IFERROR(__xludf.DUMMYFUNCTION("""COMPUTED_VALUE"""),"هیأت")</f>
        <v>هیأت</v>
      </c>
      <c r="C2335" s="5" t="str">
        <f>IFERROR(__xludf.DUMMYFUNCTION("""COMPUTED_VALUE"""),"عزاداران حضرت ابوالفضل")</f>
        <v>عزاداران حضرت ابوالفضل</v>
      </c>
      <c r="D2335" s="5" t="str">
        <f>IFERROR(__xludf.DUMMYFUNCTION("""COMPUTED_VALUE"""),"آذربایجان غربی")</f>
        <v>آذربایجان غربی</v>
      </c>
      <c r="E2335" s="5" t="str">
        <f>IFERROR(__xludf.DUMMYFUNCTION("""COMPUTED_VALUE"""),"میاندوآب")</f>
        <v>میاندوآب</v>
      </c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</row>
    <row r="2336">
      <c r="A2336" s="5">
        <f>IFERROR(__xludf.DUMMYFUNCTION("""COMPUTED_VALUE"""),24243.0)</f>
        <v>24243</v>
      </c>
      <c r="B2336" s="5" t="str">
        <f>IFERROR(__xludf.DUMMYFUNCTION("""COMPUTED_VALUE"""),"هیأت")</f>
        <v>هیأت</v>
      </c>
      <c r="C2336" s="5" t="str">
        <f>IFERROR(__xludf.DUMMYFUNCTION("""COMPUTED_VALUE"""),"محبان علی اصغر")</f>
        <v>محبان علی اصغر</v>
      </c>
      <c r="D2336" s="5" t="str">
        <f>IFERROR(__xludf.DUMMYFUNCTION("""COMPUTED_VALUE"""),"آذربایجان غربی")</f>
        <v>آذربایجان غربی</v>
      </c>
      <c r="E2336" s="5" t="str">
        <f>IFERROR(__xludf.DUMMYFUNCTION("""COMPUTED_VALUE"""),"میاندوآب")</f>
        <v>میاندوآب</v>
      </c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</row>
    <row r="2337">
      <c r="A2337" s="5">
        <f>IFERROR(__xludf.DUMMYFUNCTION("""COMPUTED_VALUE"""),23553.0)</f>
        <v>23553</v>
      </c>
      <c r="B2337" s="5" t="str">
        <f>IFERROR(__xludf.DUMMYFUNCTION("""COMPUTED_VALUE"""),"هیأت")</f>
        <v>هیأت</v>
      </c>
      <c r="C2337" s="5" t="str">
        <f>IFERROR(__xludf.DUMMYFUNCTION("""COMPUTED_VALUE"""),"الزهرا (س)")</f>
        <v>الزهرا (س)</v>
      </c>
      <c r="D2337" s="5" t="str">
        <f>IFERROR(__xludf.DUMMYFUNCTION("""COMPUTED_VALUE"""),"آذربایجان غربی")</f>
        <v>آذربایجان غربی</v>
      </c>
      <c r="E2337" s="5" t="str">
        <f>IFERROR(__xludf.DUMMYFUNCTION("""COMPUTED_VALUE"""),"میاندوآب")</f>
        <v>میاندوآب</v>
      </c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</row>
    <row r="2338">
      <c r="A2338" s="5">
        <f>IFERROR(__xludf.DUMMYFUNCTION("""COMPUTED_VALUE"""),23518.0)</f>
        <v>23518</v>
      </c>
      <c r="B2338" s="5" t="str">
        <f>IFERROR(__xludf.DUMMYFUNCTION("""COMPUTED_VALUE"""),"هیأت")</f>
        <v>هیأت</v>
      </c>
      <c r="C2338" s="5" t="str">
        <f>IFERROR(__xludf.DUMMYFUNCTION("""COMPUTED_VALUE"""),"بانوان الزهرا")</f>
        <v>بانوان الزهرا</v>
      </c>
      <c r="D2338" s="5" t="str">
        <f>IFERROR(__xludf.DUMMYFUNCTION("""COMPUTED_VALUE"""),"آذربایجان غربی")</f>
        <v>آذربایجان غربی</v>
      </c>
      <c r="E2338" s="5" t="str">
        <f>IFERROR(__xludf.DUMMYFUNCTION("""COMPUTED_VALUE"""),"میاندوآب")</f>
        <v>میاندوآب</v>
      </c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</row>
    <row r="2339">
      <c r="A2339" s="5">
        <f>IFERROR(__xludf.DUMMYFUNCTION("""COMPUTED_VALUE"""),23187.0)</f>
        <v>23187</v>
      </c>
      <c r="B2339" s="5" t="str">
        <f>IFERROR(__xludf.DUMMYFUNCTION("""COMPUTED_VALUE"""),"هیأت")</f>
        <v>هیأت</v>
      </c>
      <c r="C2339" s="5" t="str">
        <f>IFERROR(__xludf.DUMMYFUNCTION("""COMPUTED_VALUE"""),"محبان علی اکبر (ع)")</f>
        <v>محبان علی اکبر (ع)</v>
      </c>
      <c r="D2339" s="5" t="str">
        <f>IFERROR(__xludf.DUMMYFUNCTION("""COMPUTED_VALUE"""),"آذربایجان غربی")</f>
        <v>آذربایجان غربی</v>
      </c>
      <c r="E2339" s="5" t="str">
        <f>IFERROR(__xludf.DUMMYFUNCTION("""COMPUTED_VALUE"""),"میاندوآب")</f>
        <v>میاندوآب</v>
      </c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</row>
    <row r="2340">
      <c r="A2340" s="5">
        <f>IFERROR(__xludf.DUMMYFUNCTION("""COMPUTED_VALUE"""),22253.0)</f>
        <v>22253</v>
      </c>
      <c r="B2340" s="5" t="str">
        <f>IFERROR(__xludf.DUMMYFUNCTION("""COMPUTED_VALUE"""),"هیأت")</f>
        <v>هیأت</v>
      </c>
      <c r="C2340" s="5" t="str">
        <f>IFERROR(__xludf.DUMMYFUNCTION("""COMPUTED_VALUE"""),"مکتب الحسین (ع) محفل بسیجیان و رهروان امام شهدا")</f>
        <v>مکتب الحسین (ع) محفل بسیجیان و رهروان امام شهدا</v>
      </c>
      <c r="D2340" s="5" t="str">
        <f>IFERROR(__xludf.DUMMYFUNCTION("""COMPUTED_VALUE"""),"آذربایجان غربی")</f>
        <v>آذربایجان غربی</v>
      </c>
      <c r="E2340" s="5" t="str">
        <f>IFERROR(__xludf.DUMMYFUNCTION("""COMPUTED_VALUE"""),"میاندوآب")</f>
        <v>میاندوآب</v>
      </c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</row>
    <row r="2341">
      <c r="A2341" s="5">
        <f>IFERROR(__xludf.DUMMYFUNCTION("""COMPUTED_VALUE"""),21977.0)</f>
        <v>21977</v>
      </c>
      <c r="B2341" s="5" t="str">
        <f>IFERROR(__xludf.DUMMYFUNCTION("""COMPUTED_VALUE"""),"هیأت")</f>
        <v>هیأت</v>
      </c>
      <c r="C2341" s="5" t="str">
        <f>IFERROR(__xludf.DUMMYFUNCTION("""COMPUTED_VALUE"""),"حیدریون")</f>
        <v>حیدریون</v>
      </c>
      <c r="D2341" s="5" t="str">
        <f>IFERROR(__xludf.DUMMYFUNCTION("""COMPUTED_VALUE"""),"آذربایجان غربی")</f>
        <v>آذربایجان غربی</v>
      </c>
      <c r="E2341" s="5" t="str">
        <f>IFERROR(__xludf.DUMMYFUNCTION("""COMPUTED_VALUE"""),"میاندوآب")</f>
        <v>میاندوآب</v>
      </c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</row>
    <row r="2342">
      <c r="A2342" s="5">
        <f>IFERROR(__xludf.DUMMYFUNCTION("""COMPUTED_VALUE"""),21166.0)</f>
        <v>21166</v>
      </c>
      <c r="B2342" s="5" t="str">
        <f>IFERROR(__xludf.DUMMYFUNCTION("""COMPUTED_VALUE"""),"هیأت")</f>
        <v>هیأت</v>
      </c>
      <c r="C2342" s="5" t="str">
        <f>IFERROR(__xludf.DUMMYFUNCTION("""COMPUTED_VALUE"""),"محبان الرضا (ع)")</f>
        <v>محبان الرضا (ع)</v>
      </c>
      <c r="D2342" s="5" t="str">
        <f>IFERROR(__xludf.DUMMYFUNCTION("""COMPUTED_VALUE"""),"آذربایجان غربی")</f>
        <v>آذربایجان غربی</v>
      </c>
      <c r="E2342" s="5" t="str">
        <f>IFERROR(__xludf.DUMMYFUNCTION("""COMPUTED_VALUE"""),"میاندوآب")</f>
        <v>میاندوآب</v>
      </c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</row>
    <row r="2343">
      <c r="A2343" s="5">
        <f>IFERROR(__xludf.DUMMYFUNCTION("""COMPUTED_VALUE"""),21165.0)</f>
        <v>21165</v>
      </c>
      <c r="B2343" s="5" t="str">
        <f>IFERROR(__xludf.DUMMYFUNCTION("""COMPUTED_VALUE"""),"هیأت")</f>
        <v>هیأت</v>
      </c>
      <c r="C2343" s="5" t="str">
        <f>IFERROR(__xludf.DUMMYFUNCTION("""COMPUTED_VALUE"""),"حبیب بن مظاهر")</f>
        <v>حبیب بن مظاهر</v>
      </c>
      <c r="D2343" s="5" t="str">
        <f>IFERROR(__xludf.DUMMYFUNCTION("""COMPUTED_VALUE"""),"آذربایجان غربی")</f>
        <v>آذربایجان غربی</v>
      </c>
      <c r="E2343" s="5" t="str">
        <f>IFERROR(__xludf.DUMMYFUNCTION("""COMPUTED_VALUE"""),"میاندوآب")</f>
        <v>میاندوآب</v>
      </c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</row>
    <row r="2344">
      <c r="A2344" s="5">
        <f>IFERROR(__xludf.DUMMYFUNCTION("""COMPUTED_VALUE"""),21164.0)</f>
        <v>21164</v>
      </c>
      <c r="B2344" s="5" t="str">
        <f>IFERROR(__xludf.DUMMYFUNCTION("""COMPUTED_VALUE"""),"هیأت")</f>
        <v>هیأت</v>
      </c>
      <c r="C2344" s="5" t="str">
        <f>IFERROR(__xludf.DUMMYFUNCTION("""COMPUTED_VALUE"""),"عزاداران سیدالشهدا(ع)")</f>
        <v>عزاداران سیدالشهدا(ع)</v>
      </c>
      <c r="D2344" s="5" t="str">
        <f>IFERROR(__xludf.DUMMYFUNCTION("""COMPUTED_VALUE"""),"آذربایجان غربی")</f>
        <v>آذربایجان غربی</v>
      </c>
      <c r="E2344" s="5" t="str">
        <f>IFERROR(__xludf.DUMMYFUNCTION("""COMPUTED_VALUE"""),"میاندوآب")</f>
        <v>میاندوآب</v>
      </c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</row>
    <row r="2345">
      <c r="A2345" s="5">
        <f>IFERROR(__xludf.DUMMYFUNCTION("""COMPUTED_VALUE"""),19850.0)</f>
        <v>19850</v>
      </c>
      <c r="B2345" s="5" t="str">
        <f>IFERROR(__xludf.DUMMYFUNCTION("""COMPUTED_VALUE"""),"هیأت")</f>
        <v>هیأت</v>
      </c>
      <c r="C2345" s="5" t="str">
        <f>IFERROR(__xludf.DUMMYFUNCTION("""COMPUTED_VALUE"""),"مجموعه فرهنگی انصار ولایت (مهد قرآن و عترت)")</f>
        <v>مجموعه فرهنگی انصار ولایت (مهد قرآن و عترت)</v>
      </c>
      <c r="D2345" s="5" t="str">
        <f>IFERROR(__xludf.DUMMYFUNCTION("""COMPUTED_VALUE"""),"آذربایجان غربی")</f>
        <v>آذربایجان غربی</v>
      </c>
      <c r="E2345" s="5" t="str">
        <f>IFERROR(__xludf.DUMMYFUNCTION("""COMPUTED_VALUE"""),"میاندوآب")</f>
        <v>میاندوآب</v>
      </c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</row>
    <row r="2346">
      <c r="A2346" s="5">
        <f>IFERROR(__xludf.DUMMYFUNCTION("""COMPUTED_VALUE"""),17825.0)</f>
        <v>17825</v>
      </c>
      <c r="B2346" s="5" t="str">
        <f>IFERROR(__xludf.DUMMYFUNCTION("""COMPUTED_VALUE"""),"هیأت")</f>
        <v>هیأت</v>
      </c>
      <c r="C2346" s="5" t="str">
        <f>IFERROR(__xludf.DUMMYFUNCTION("""COMPUTED_VALUE"""),"حضرت علی اکبر (ع)")</f>
        <v>حضرت علی اکبر (ع)</v>
      </c>
      <c r="D2346" s="5" t="str">
        <f>IFERROR(__xludf.DUMMYFUNCTION("""COMPUTED_VALUE"""),"آذربایجان غربی")</f>
        <v>آذربایجان غربی</v>
      </c>
      <c r="E2346" s="5" t="str">
        <f>IFERROR(__xludf.DUMMYFUNCTION("""COMPUTED_VALUE"""),"میاندوآب")</f>
        <v>میاندوآب</v>
      </c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</row>
    <row r="2347">
      <c r="A2347" s="5">
        <f>IFERROR(__xludf.DUMMYFUNCTION("""COMPUTED_VALUE"""),733.0)</f>
        <v>733</v>
      </c>
      <c r="B2347" s="5" t="str">
        <f>IFERROR(__xludf.DUMMYFUNCTION("""COMPUTED_VALUE"""),"هیأت")</f>
        <v>هیأت</v>
      </c>
      <c r="C2347" s="5" t="str">
        <f>IFERROR(__xludf.DUMMYFUNCTION("""COMPUTED_VALUE"""),"هیات قرآنی و مداحی باب الحوائج (ع)")</f>
        <v>هیات قرآنی و مداحی باب الحوائج (ع)</v>
      </c>
      <c r="D2347" s="5" t="str">
        <f>IFERROR(__xludf.DUMMYFUNCTION("""COMPUTED_VALUE"""),"آذربایجان غربی")</f>
        <v>آذربایجان غربی</v>
      </c>
      <c r="E2347" s="5" t="str">
        <f>IFERROR(__xludf.DUMMYFUNCTION("""COMPUTED_VALUE"""),"میاندوآب")</f>
        <v>میاندوآب</v>
      </c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</row>
    <row r="2348">
      <c r="A2348" s="5">
        <f>IFERROR(__xludf.DUMMYFUNCTION("""COMPUTED_VALUE"""),728.0)</f>
        <v>728</v>
      </c>
      <c r="B2348" s="5" t="str">
        <f>IFERROR(__xludf.DUMMYFUNCTION("""COMPUTED_VALUE"""),"هیأت")</f>
        <v>هیأت</v>
      </c>
      <c r="C2348" s="5" t="str">
        <f>IFERROR(__xludf.DUMMYFUNCTION("""COMPUTED_VALUE"""),"راهیان اربعین")</f>
        <v>راهیان اربعین</v>
      </c>
      <c r="D2348" s="5" t="str">
        <f>IFERROR(__xludf.DUMMYFUNCTION("""COMPUTED_VALUE"""),"آذربایجان غربی")</f>
        <v>آذربایجان غربی</v>
      </c>
      <c r="E2348" s="5" t="str">
        <f>IFERROR(__xludf.DUMMYFUNCTION("""COMPUTED_VALUE"""),"میاندوآب")</f>
        <v>میاندوآب</v>
      </c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</row>
    <row r="2349">
      <c r="A2349" s="5">
        <f>IFERROR(__xludf.DUMMYFUNCTION("""COMPUTED_VALUE"""),699.0)</f>
        <v>699</v>
      </c>
      <c r="B2349" s="5" t="str">
        <f>IFERROR(__xludf.DUMMYFUNCTION("""COMPUTED_VALUE"""),"هیأت")</f>
        <v>هیأت</v>
      </c>
      <c r="C2349" s="5" t="str">
        <f>IFERROR(__xludf.DUMMYFUNCTION("""COMPUTED_VALUE"""),"حبیب بن مظاهر")</f>
        <v>حبیب بن مظاهر</v>
      </c>
      <c r="D2349" s="5" t="str">
        <f>IFERROR(__xludf.DUMMYFUNCTION("""COMPUTED_VALUE"""),"آذربایجان غربی")</f>
        <v>آذربایجان غربی</v>
      </c>
      <c r="E2349" s="5" t="str">
        <f>IFERROR(__xludf.DUMMYFUNCTION("""COMPUTED_VALUE"""),"میاندوآب")</f>
        <v>میاندوآب</v>
      </c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</row>
    <row r="2350">
      <c r="A2350" s="5">
        <f>IFERROR(__xludf.DUMMYFUNCTION("""COMPUTED_VALUE"""),698.0)</f>
        <v>698</v>
      </c>
      <c r="B2350" s="5" t="str">
        <f>IFERROR(__xludf.DUMMYFUNCTION("""COMPUTED_VALUE"""),"هیأت")</f>
        <v>هیأت</v>
      </c>
      <c r="C2350" s="5" t="str">
        <f>IFERROR(__xludf.DUMMYFUNCTION("""COMPUTED_VALUE"""),"حضرت علی اکبر (ع)")</f>
        <v>حضرت علی اکبر (ع)</v>
      </c>
      <c r="D2350" s="5" t="str">
        <f>IFERROR(__xludf.DUMMYFUNCTION("""COMPUTED_VALUE"""),"آذربایجان غربی")</f>
        <v>آذربایجان غربی</v>
      </c>
      <c r="E2350" s="5" t="str">
        <f>IFERROR(__xludf.DUMMYFUNCTION("""COMPUTED_VALUE"""),"میاندوآب")</f>
        <v>میاندوآب</v>
      </c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</row>
    <row r="2351">
      <c r="A2351" s="5">
        <f>IFERROR(__xludf.DUMMYFUNCTION("""COMPUTED_VALUE"""),696.0)</f>
        <v>696</v>
      </c>
      <c r="B2351" s="5" t="str">
        <f>IFERROR(__xludf.DUMMYFUNCTION("""COMPUTED_VALUE"""),"هیأت")</f>
        <v>هیأت</v>
      </c>
      <c r="C2351" s="5" t="str">
        <f>IFERROR(__xludf.DUMMYFUNCTION("""COMPUTED_VALUE"""),"قرآنی سیدالشهدا (ع)")</f>
        <v>قرآنی سیدالشهدا (ع)</v>
      </c>
      <c r="D2351" s="5" t="str">
        <f>IFERROR(__xludf.DUMMYFUNCTION("""COMPUTED_VALUE"""),"آذربایجان غربی")</f>
        <v>آذربایجان غربی</v>
      </c>
      <c r="E2351" s="5" t="str">
        <f>IFERROR(__xludf.DUMMYFUNCTION("""COMPUTED_VALUE"""),"میاندوآب")</f>
        <v>میاندوآب</v>
      </c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</row>
    <row r="2352">
      <c r="A2352" s="5">
        <f>IFERROR(__xludf.DUMMYFUNCTION("""COMPUTED_VALUE"""),695.0)</f>
        <v>695</v>
      </c>
      <c r="B2352" s="5" t="str">
        <f>IFERROR(__xludf.DUMMYFUNCTION("""COMPUTED_VALUE"""),"هیأت")</f>
        <v>هیأت</v>
      </c>
      <c r="C2352" s="5" t="str">
        <f>IFERROR(__xludf.DUMMYFUNCTION("""COMPUTED_VALUE"""),"مهد قرآن و عترت میاندوآب")</f>
        <v>مهد قرآن و عترت میاندوآب</v>
      </c>
      <c r="D2352" s="5" t="str">
        <f>IFERROR(__xludf.DUMMYFUNCTION("""COMPUTED_VALUE"""),"آذربایجان غربی")</f>
        <v>آذربایجان غربی</v>
      </c>
      <c r="E2352" s="5" t="str">
        <f>IFERROR(__xludf.DUMMYFUNCTION("""COMPUTED_VALUE"""),"میاندوآب")</f>
        <v>میاندوآب</v>
      </c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</row>
    <row r="2353">
      <c r="A2353" s="5">
        <f>IFERROR(__xludf.DUMMYFUNCTION("""COMPUTED_VALUE"""),692.0)</f>
        <v>692</v>
      </c>
      <c r="B2353" s="5" t="str">
        <f>IFERROR(__xludf.DUMMYFUNCTION("""COMPUTED_VALUE"""),"هیأت")</f>
        <v>هیأت</v>
      </c>
      <c r="C2353" s="5" t="str">
        <f>IFERROR(__xludf.DUMMYFUNCTION("""COMPUTED_VALUE"""),"قرآنی روستای مظفرآباد")</f>
        <v>قرآنی روستای مظفرآباد</v>
      </c>
      <c r="D2353" s="5" t="str">
        <f>IFERROR(__xludf.DUMMYFUNCTION("""COMPUTED_VALUE"""),"آذربایجان غربی")</f>
        <v>آذربایجان غربی</v>
      </c>
      <c r="E2353" s="5" t="str">
        <f>IFERROR(__xludf.DUMMYFUNCTION("""COMPUTED_VALUE"""),"میاندوآب")</f>
        <v>میاندوآب</v>
      </c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</row>
    <row r="2354">
      <c r="A2354" s="5">
        <f>IFERROR(__xludf.DUMMYFUNCTION("""COMPUTED_VALUE"""),690.0)</f>
        <v>690</v>
      </c>
      <c r="B2354" s="5" t="str">
        <f>IFERROR(__xludf.DUMMYFUNCTION("""COMPUTED_VALUE"""),"هیأت")</f>
        <v>هیأت</v>
      </c>
      <c r="C2354" s="5" t="str">
        <f>IFERROR(__xludf.DUMMYFUNCTION("""COMPUTED_VALUE"""),"قانی شهدای روستای چالخماز")</f>
        <v>قانی شهدای روستای چالخماز</v>
      </c>
      <c r="D2354" s="5" t="str">
        <f>IFERROR(__xludf.DUMMYFUNCTION("""COMPUTED_VALUE"""),"آذربایجان غربی")</f>
        <v>آذربایجان غربی</v>
      </c>
      <c r="E2354" s="5" t="str">
        <f>IFERROR(__xludf.DUMMYFUNCTION("""COMPUTED_VALUE"""),"میاندوآب")</f>
        <v>میاندوآب</v>
      </c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</row>
    <row r="2355">
      <c r="A2355" s="5">
        <f>IFERROR(__xludf.DUMMYFUNCTION("""COMPUTED_VALUE"""),688.0)</f>
        <v>688</v>
      </c>
      <c r="B2355" s="5" t="str">
        <f>IFERROR(__xludf.DUMMYFUNCTION("""COMPUTED_VALUE"""),"هیأت")</f>
        <v>هیأت</v>
      </c>
      <c r="C2355" s="5" t="str">
        <f>IFERROR(__xludf.DUMMYFUNCTION("""COMPUTED_VALUE"""),"امام")</f>
        <v>امام</v>
      </c>
      <c r="D2355" s="5" t="str">
        <f>IFERROR(__xludf.DUMMYFUNCTION("""COMPUTED_VALUE"""),"آذربایجان غربی")</f>
        <v>آذربایجان غربی</v>
      </c>
      <c r="E2355" s="5" t="str">
        <f>IFERROR(__xludf.DUMMYFUNCTION("""COMPUTED_VALUE"""),"میاندوآب")</f>
        <v>میاندوآب</v>
      </c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</row>
    <row r="2356">
      <c r="A2356" s="5">
        <f>IFERROR(__xludf.DUMMYFUNCTION("""COMPUTED_VALUE"""),686.0)</f>
        <v>686</v>
      </c>
      <c r="B2356" s="5" t="str">
        <f>IFERROR(__xludf.DUMMYFUNCTION("""COMPUTED_VALUE"""),"هیأت")</f>
        <v>هیأت</v>
      </c>
      <c r="C2356" s="5" t="str">
        <f>IFERROR(__xludf.DUMMYFUNCTION("""COMPUTED_VALUE"""),"زینب زهرا (س) روستای ساتلمیش محمدلو")</f>
        <v>زینب زهرا (س) روستای ساتلمیش محمدلو</v>
      </c>
      <c r="D2356" s="5" t="str">
        <f>IFERROR(__xludf.DUMMYFUNCTION("""COMPUTED_VALUE"""),"آذربایجان غربی")</f>
        <v>آذربایجان غربی</v>
      </c>
      <c r="E2356" s="5" t="str">
        <f>IFERROR(__xludf.DUMMYFUNCTION("""COMPUTED_VALUE"""),"میاندوآب")</f>
        <v>میاندوآب</v>
      </c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</row>
    <row r="2357">
      <c r="A2357" s="5">
        <f>IFERROR(__xludf.DUMMYFUNCTION("""COMPUTED_VALUE"""),685.0)</f>
        <v>685</v>
      </c>
      <c r="B2357" s="5" t="str">
        <f>IFERROR(__xludf.DUMMYFUNCTION("""COMPUTED_VALUE"""),"هیأت")</f>
        <v>هیأت</v>
      </c>
      <c r="C2357" s="5" t="str">
        <f>IFERROR(__xludf.DUMMYFUNCTION("""COMPUTED_VALUE"""),"امام حسن مجتبی (ع)")</f>
        <v>امام حسن مجتبی (ع)</v>
      </c>
      <c r="D2357" s="5" t="str">
        <f>IFERROR(__xludf.DUMMYFUNCTION("""COMPUTED_VALUE"""),"آذربایجان غربی")</f>
        <v>آذربایجان غربی</v>
      </c>
      <c r="E2357" s="5" t="str">
        <f>IFERROR(__xludf.DUMMYFUNCTION("""COMPUTED_VALUE"""),"میاندوآب")</f>
        <v>میاندوآب</v>
      </c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</row>
    <row r="2358">
      <c r="A2358" s="5">
        <f>IFERROR(__xludf.DUMMYFUNCTION("""COMPUTED_VALUE"""),684.0)</f>
        <v>684</v>
      </c>
      <c r="B2358" s="5" t="str">
        <f>IFERROR(__xludf.DUMMYFUNCTION("""COMPUTED_VALUE"""),"هیأت")</f>
        <v>هیأت</v>
      </c>
      <c r="C2358" s="5" t="str">
        <f>IFERROR(__xludf.DUMMYFUNCTION("""COMPUTED_VALUE"""),"سیدالشهدا (ع)")</f>
        <v>سیدالشهدا (ع)</v>
      </c>
      <c r="D2358" s="5" t="str">
        <f>IFERROR(__xludf.DUMMYFUNCTION("""COMPUTED_VALUE"""),"آذربایجان غربی")</f>
        <v>آذربایجان غربی</v>
      </c>
      <c r="E2358" s="5" t="str">
        <f>IFERROR(__xludf.DUMMYFUNCTION("""COMPUTED_VALUE"""),"میاندوآب")</f>
        <v>میاندوآب</v>
      </c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</row>
    <row r="2359">
      <c r="A2359" s="5">
        <f>IFERROR(__xludf.DUMMYFUNCTION("""COMPUTED_VALUE"""),683.0)</f>
        <v>683</v>
      </c>
      <c r="B2359" s="5" t="str">
        <f>IFERROR(__xludf.DUMMYFUNCTION("""COMPUTED_VALUE"""),"هیأت")</f>
        <v>هیأت</v>
      </c>
      <c r="C2359" s="5" t="str">
        <f>IFERROR(__xludf.DUMMYFUNCTION("""COMPUTED_VALUE"""),"عشاق الحسین (ع)")</f>
        <v>عشاق الحسین (ع)</v>
      </c>
      <c r="D2359" s="5" t="str">
        <f>IFERROR(__xludf.DUMMYFUNCTION("""COMPUTED_VALUE"""),"آذربایجان غربی")</f>
        <v>آذربایجان غربی</v>
      </c>
      <c r="E2359" s="5" t="str">
        <f>IFERROR(__xludf.DUMMYFUNCTION("""COMPUTED_VALUE"""),"میاندوآب")</f>
        <v>میاندوآب</v>
      </c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</row>
    <row r="2360">
      <c r="A2360" s="5">
        <f>IFERROR(__xludf.DUMMYFUNCTION("""COMPUTED_VALUE"""),682.0)</f>
        <v>682</v>
      </c>
      <c r="B2360" s="5" t="str">
        <f>IFERROR(__xludf.DUMMYFUNCTION("""COMPUTED_VALUE"""),"هیأت")</f>
        <v>هیأت</v>
      </c>
      <c r="C2360" s="5" t="str">
        <f>IFERROR(__xludf.DUMMYFUNCTION("""COMPUTED_VALUE"""),"جوانان قمربنی هاشم (ع)")</f>
        <v>جوانان قمربنی هاشم (ع)</v>
      </c>
      <c r="D2360" s="5" t="str">
        <f>IFERROR(__xludf.DUMMYFUNCTION("""COMPUTED_VALUE"""),"آذربایجان غربی")</f>
        <v>آذربایجان غربی</v>
      </c>
      <c r="E2360" s="5" t="str">
        <f>IFERROR(__xludf.DUMMYFUNCTION("""COMPUTED_VALUE"""),"میاندوآب")</f>
        <v>میاندوآب</v>
      </c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</row>
    <row r="2361">
      <c r="A2361" s="5">
        <f>IFERROR(__xludf.DUMMYFUNCTION("""COMPUTED_VALUE"""),681.0)</f>
        <v>681</v>
      </c>
      <c r="B2361" s="5" t="str">
        <f>IFERROR(__xludf.DUMMYFUNCTION("""COMPUTED_VALUE"""),"هیأت")</f>
        <v>هیأت</v>
      </c>
      <c r="C2361" s="5" t="str">
        <f>IFERROR(__xludf.DUMMYFUNCTION("""COMPUTED_VALUE"""),"مسجد خیرالنسا (س)")</f>
        <v>مسجد خیرالنسا (س)</v>
      </c>
      <c r="D2361" s="5" t="str">
        <f>IFERROR(__xludf.DUMMYFUNCTION("""COMPUTED_VALUE"""),"آذربایجان غربی")</f>
        <v>آذربایجان غربی</v>
      </c>
      <c r="E2361" s="5" t="str">
        <f>IFERROR(__xludf.DUMMYFUNCTION("""COMPUTED_VALUE"""),"میاندوآب")</f>
        <v>میاندوآب</v>
      </c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</row>
    <row r="2362">
      <c r="A2362" s="5">
        <f>IFERROR(__xludf.DUMMYFUNCTION("""COMPUTED_VALUE"""),679.0)</f>
        <v>679</v>
      </c>
      <c r="B2362" s="5" t="str">
        <f>IFERROR(__xludf.DUMMYFUNCTION("""COMPUTED_VALUE"""),"هیأت")</f>
        <v>هیأت</v>
      </c>
      <c r="C2362" s="5" t="str">
        <f>IFERROR(__xludf.DUMMYFUNCTION("""COMPUTED_VALUE"""),"فاطمیه روستای بکتاش")</f>
        <v>فاطمیه روستای بکتاش</v>
      </c>
      <c r="D2362" s="5" t="str">
        <f>IFERROR(__xludf.DUMMYFUNCTION("""COMPUTED_VALUE"""),"آذربایجان غربی")</f>
        <v>آذربایجان غربی</v>
      </c>
      <c r="E2362" s="5" t="str">
        <f>IFERROR(__xludf.DUMMYFUNCTION("""COMPUTED_VALUE"""),"میاندوآب")</f>
        <v>میاندوآب</v>
      </c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</row>
    <row r="2363">
      <c r="A2363" s="5">
        <f>IFERROR(__xludf.DUMMYFUNCTION("""COMPUTED_VALUE"""),676.0)</f>
        <v>676</v>
      </c>
      <c r="B2363" s="5" t="str">
        <f>IFERROR(__xludf.DUMMYFUNCTION("""COMPUTED_VALUE"""),"هیأت")</f>
        <v>هیأت</v>
      </c>
      <c r="C2363" s="5" t="str">
        <f>IFERROR(__xludf.DUMMYFUNCTION("""COMPUTED_VALUE"""),"نورالمبین")</f>
        <v>نورالمبین</v>
      </c>
      <c r="D2363" s="5" t="str">
        <f>IFERROR(__xludf.DUMMYFUNCTION("""COMPUTED_VALUE"""),"آذربایجان غربی")</f>
        <v>آذربایجان غربی</v>
      </c>
      <c r="E2363" s="5" t="str">
        <f>IFERROR(__xludf.DUMMYFUNCTION("""COMPUTED_VALUE"""),"میاندوآب")</f>
        <v>میاندوآب</v>
      </c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</row>
    <row r="2364">
      <c r="A2364" s="5">
        <f>IFERROR(__xludf.DUMMYFUNCTION("""COMPUTED_VALUE"""),675.0)</f>
        <v>675</v>
      </c>
      <c r="B2364" s="5" t="str">
        <f>IFERROR(__xludf.DUMMYFUNCTION("""COMPUTED_VALUE"""),"هیأت")</f>
        <v>هیأت</v>
      </c>
      <c r="C2364" s="5" t="str">
        <f>IFERROR(__xludf.DUMMYFUNCTION("""COMPUTED_VALUE"""),"انصارالمهدی (عج)")</f>
        <v>انصارالمهدی (عج)</v>
      </c>
      <c r="D2364" s="5" t="str">
        <f>IFERROR(__xludf.DUMMYFUNCTION("""COMPUTED_VALUE"""),"آذربایجان غربی")</f>
        <v>آذربایجان غربی</v>
      </c>
      <c r="E2364" s="5" t="str">
        <f>IFERROR(__xludf.DUMMYFUNCTION("""COMPUTED_VALUE"""),"میاندوآب")</f>
        <v>میاندوآب</v>
      </c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</row>
    <row r="2365">
      <c r="A2365" s="5">
        <f>IFERROR(__xludf.DUMMYFUNCTION("""COMPUTED_VALUE"""),674.0)</f>
        <v>674</v>
      </c>
      <c r="B2365" s="5" t="str">
        <f>IFERROR(__xludf.DUMMYFUNCTION("""COMPUTED_VALUE"""),"هیأت")</f>
        <v>هیأت</v>
      </c>
      <c r="C2365" s="5" t="str">
        <f>IFERROR(__xludf.DUMMYFUNCTION("""COMPUTED_VALUE"""),"اصغریه")</f>
        <v>اصغریه</v>
      </c>
      <c r="D2365" s="5" t="str">
        <f>IFERROR(__xludf.DUMMYFUNCTION("""COMPUTED_VALUE"""),"آذربایجان غربی")</f>
        <v>آذربایجان غربی</v>
      </c>
      <c r="E2365" s="5" t="str">
        <f>IFERROR(__xludf.DUMMYFUNCTION("""COMPUTED_VALUE"""),"میاندوآب")</f>
        <v>میاندوآب</v>
      </c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</row>
    <row r="2366">
      <c r="A2366" s="5">
        <f>IFERROR(__xludf.DUMMYFUNCTION("""COMPUTED_VALUE"""),673.0)</f>
        <v>673</v>
      </c>
      <c r="B2366" s="5" t="str">
        <f>IFERROR(__xludf.DUMMYFUNCTION("""COMPUTED_VALUE"""),"هیأت")</f>
        <v>هیأت</v>
      </c>
      <c r="C2366" s="5" t="str">
        <f>IFERROR(__xludf.DUMMYFUNCTION("""COMPUTED_VALUE"""),"حضرت علی اکبر (ع)")</f>
        <v>حضرت علی اکبر (ع)</v>
      </c>
      <c r="D2366" s="5" t="str">
        <f>IFERROR(__xludf.DUMMYFUNCTION("""COMPUTED_VALUE"""),"آذربایجان غربی")</f>
        <v>آذربایجان غربی</v>
      </c>
      <c r="E2366" s="5" t="str">
        <f>IFERROR(__xludf.DUMMYFUNCTION("""COMPUTED_VALUE"""),"میاندوآب")</f>
        <v>میاندوآب</v>
      </c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</row>
    <row r="2367">
      <c r="A2367" s="5">
        <f>IFERROR(__xludf.DUMMYFUNCTION("""COMPUTED_VALUE"""),672.0)</f>
        <v>672</v>
      </c>
      <c r="B2367" s="5" t="str">
        <f>IFERROR(__xludf.DUMMYFUNCTION("""COMPUTED_VALUE"""),"هیأت")</f>
        <v>هیأت</v>
      </c>
      <c r="C2367" s="5" t="str">
        <f>IFERROR(__xludf.DUMMYFUNCTION("""COMPUTED_VALUE"""),"صاحب الزمان (عج) روستای گل سلیمان آباد")</f>
        <v>صاحب الزمان (عج) روستای گل سلیمان آباد</v>
      </c>
      <c r="D2367" s="5" t="str">
        <f>IFERROR(__xludf.DUMMYFUNCTION("""COMPUTED_VALUE"""),"آذربایجان غربی")</f>
        <v>آذربایجان غربی</v>
      </c>
      <c r="E2367" s="5" t="str">
        <f>IFERROR(__xludf.DUMMYFUNCTION("""COMPUTED_VALUE"""),"میاندوآب")</f>
        <v>میاندوآب</v>
      </c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</row>
    <row r="2368">
      <c r="A2368" s="5">
        <f>IFERROR(__xludf.DUMMYFUNCTION("""COMPUTED_VALUE"""),610.0)</f>
        <v>610</v>
      </c>
      <c r="B2368" s="5" t="str">
        <f>IFERROR(__xludf.DUMMYFUNCTION("""COMPUTED_VALUE"""),"هیأت")</f>
        <v>هیأت</v>
      </c>
      <c r="C2368" s="5" t="str">
        <f>IFERROR(__xludf.DUMMYFUNCTION("""COMPUTED_VALUE"""),"فاطمیون")</f>
        <v>فاطمیون</v>
      </c>
      <c r="D2368" s="5" t="str">
        <f>IFERROR(__xludf.DUMMYFUNCTION("""COMPUTED_VALUE"""),"آذربایجان غربی")</f>
        <v>آذربایجان غربی</v>
      </c>
      <c r="E2368" s="5" t="str">
        <f>IFERROR(__xludf.DUMMYFUNCTION("""COMPUTED_VALUE"""),"میاندوآب")</f>
        <v>میاندوآب</v>
      </c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</row>
    <row r="2369">
      <c r="A2369" s="5">
        <f>IFERROR(__xludf.DUMMYFUNCTION("""COMPUTED_VALUE"""),551.0)</f>
        <v>551</v>
      </c>
      <c r="B2369" s="5" t="str">
        <f>IFERROR(__xludf.DUMMYFUNCTION("""COMPUTED_VALUE"""),"هیأت")</f>
        <v>هیأت</v>
      </c>
      <c r="C2369" s="5" t="str">
        <f>IFERROR(__xludf.DUMMYFUNCTION("""COMPUTED_VALUE"""),"صاحب الزمان (عج)")</f>
        <v>صاحب الزمان (عج)</v>
      </c>
      <c r="D2369" s="5" t="str">
        <f>IFERROR(__xludf.DUMMYFUNCTION("""COMPUTED_VALUE"""),"آذربایجان غربی")</f>
        <v>آذربایجان غربی</v>
      </c>
      <c r="E2369" s="5" t="str">
        <f>IFERROR(__xludf.DUMMYFUNCTION("""COMPUTED_VALUE"""),"میاندوآب")</f>
        <v>میاندوآب</v>
      </c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</row>
    <row r="2370">
      <c r="A2370" s="5">
        <f>IFERROR(__xludf.DUMMYFUNCTION("""COMPUTED_VALUE"""),550.0)</f>
        <v>550</v>
      </c>
      <c r="B2370" s="5" t="str">
        <f>IFERROR(__xludf.DUMMYFUNCTION("""COMPUTED_VALUE"""),"هیأت")</f>
        <v>هیأت</v>
      </c>
      <c r="C2370" s="5" t="str">
        <f>IFERROR(__xludf.DUMMYFUNCTION("""COMPUTED_VALUE"""),"قمربنی هاشم (ع)")</f>
        <v>قمربنی هاشم (ع)</v>
      </c>
      <c r="D2370" s="5" t="str">
        <f>IFERROR(__xludf.DUMMYFUNCTION("""COMPUTED_VALUE"""),"آذربایجان غربی")</f>
        <v>آذربایجان غربی</v>
      </c>
      <c r="E2370" s="5" t="str">
        <f>IFERROR(__xludf.DUMMYFUNCTION("""COMPUTED_VALUE"""),"میاندوآب")</f>
        <v>میاندوآب</v>
      </c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</row>
    <row r="2371">
      <c r="A2371" s="5">
        <f>IFERROR(__xludf.DUMMYFUNCTION("""COMPUTED_VALUE"""),33254.0)</f>
        <v>33254</v>
      </c>
      <c r="B2371" s="5" t="str">
        <f>IFERROR(__xludf.DUMMYFUNCTION("""COMPUTED_VALUE"""),"هیأت")</f>
        <v>هیأت</v>
      </c>
      <c r="C2371" s="5" t="str">
        <f>IFERROR(__xludf.DUMMYFUNCTION("""COMPUTED_VALUE"""),"شهید نوری (روضه خانگی)")</f>
        <v>شهید نوری (روضه خانگی)</v>
      </c>
      <c r="D2371" s="5" t="str">
        <f>IFERROR(__xludf.DUMMYFUNCTION("""COMPUTED_VALUE"""),"آذربایجان غربی")</f>
        <v>آذربایجان غربی</v>
      </c>
      <c r="E2371" s="5" t="str">
        <f>IFERROR(__xludf.DUMMYFUNCTION("""COMPUTED_VALUE"""),"نقده")</f>
        <v>نقده</v>
      </c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</row>
    <row r="2372">
      <c r="A2372" s="5">
        <f>IFERROR(__xludf.DUMMYFUNCTION("""COMPUTED_VALUE"""),33252.0)</f>
        <v>33252</v>
      </c>
      <c r="B2372" s="5" t="str">
        <f>IFERROR(__xludf.DUMMYFUNCTION("""COMPUTED_VALUE"""),"هیأت")</f>
        <v>هیأت</v>
      </c>
      <c r="C2372" s="5" t="str">
        <f>IFERROR(__xludf.DUMMYFUNCTION("""COMPUTED_VALUE"""),"حسینیه حضرت ابوالفضل (ع)")</f>
        <v>حسینیه حضرت ابوالفضل (ع)</v>
      </c>
      <c r="D2372" s="5" t="str">
        <f>IFERROR(__xludf.DUMMYFUNCTION("""COMPUTED_VALUE"""),"آذربایجان غربی")</f>
        <v>آذربایجان غربی</v>
      </c>
      <c r="E2372" s="5" t="str">
        <f>IFERROR(__xludf.DUMMYFUNCTION("""COMPUTED_VALUE"""),"نقده")</f>
        <v>نقده</v>
      </c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</row>
    <row r="2373">
      <c r="A2373" s="5">
        <f>IFERROR(__xludf.DUMMYFUNCTION("""COMPUTED_VALUE"""),31728.0)</f>
        <v>31728</v>
      </c>
      <c r="B2373" s="5" t="str">
        <f>IFERROR(__xludf.DUMMYFUNCTION("""COMPUTED_VALUE"""),"هیأت")</f>
        <v>هیأت</v>
      </c>
      <c r="C2373" s="5" t="str">
        <f>IFERROR(__xludf.DUMMYFUNCTION("""COMPUTED_VALUE"""),"شهدای کربلا")</f>
        <v>شهدای کربلا</v>
      </c>
      <c r="D2373" s="5" t="str">
        <f>IFERROR(__xludf.DUMMYFUNCTION("""COMPUTED_VALUE"""),"آذربایجان غربی")</f>
        <v>آذربایجان غربی</v>
      </c>
      <c r="E2373" s="5" t="str">
        <f>IFERROR(__xludf.DUMMYFUNCTION("""COMPUTED_VALUE"""),"نقده")</f>
        <v>نقده</v>
      </c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</row>
    <row r="2374">
      <c r="A2374" s="5">
        <f>IFERROR(__xludf.DUMMYFUNCTION("""COMPUTED_VALUE"""),30768.0)</f>
        <v>30768</v>
      </c>
      <c r="B2374" s="5" t="str">
        <f>IFERROR(__xludf.DUMMYFUNCTION("""COMPUTED_VALUE"""),"هیأت")</f>
        <v>هیأت</v>
      </c>
      <c r="C2374" s="5" t="str">
        <f>IFERROR(__xludf.DUMMYFUNCTION("""COMPUTED_VALUE"""),"فاطمه (س)")</f>
        <v>فاطمه (س)</v>
      </c>
      <c r="D2374" s="5" t="str">
        <f>IFERROR(__xludf.DUMMYFUNCTION("""COMPUTED_VALUE"""),"آذربایجان غربی")</f>
        <v>آذربایجان غربی</v>
      </c>
      <c r="E2374" s="5" t="str">
        <f>IFERROR(__xludf.DUMMYFUNCTION("""COMPUTED_VALUE"""),"نقده")</f>
        <v>نقده</v>
      </c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</row>
    <row r="2375">
      <c r="A2375" s="5">
        <f>IFERROR(__xludf.DUMMYFUNCTION("""COMPUTED_VALUE"""),30758.0)</f>
        <v>30758</v>
      </c>
      <c r="B2375" s="5" t="str">
        <f>IFERROR(__xludf.DUMMYFUNCTION("""COMPUTED_VALUE"""),"هیأت")</f>
        <v>هیأت</v>
      </c>
      <c r="C2375" s="5" t="str">
        <f>IFERROR(__xludf.DUMMYFUNCTION("""COMPUTED_VALUE"""),"عزاداران فاطمیه")</f>
        <v>عزاداران فاطمیه</v>
      </c>
      <c r="D2375" s="5" t="str">
        <f>IFERROR(__xludf.DUMMYFUNCTION("""COMPUTED_VALUE"""),"آذربایجان غربی")</f>
        <v>آذربایجان غربی</v>
      </c>
      <c r="E2375" s="5" t="str">
        <f>IFERROR(__xludf.DUMMYFUNCTION("""COMPUTED_VALUE"""),"نقده")</f>
        <v>نقده</v>
      </c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</row>
    <row r="2376">
      <c r="A2376" s="5">
        <f>IFERROR(__xludf.DUMMYFUNCTION("""COMPUTED_VALUE"""),27114.0)</f>
        <v>27114</v>
      </c>
      <c r="B2376" s="5" t="str">
        <f>IFERROR(__xludf.DUMMYFUNCTION("""COMPUTED_VALUE"""),"هیأت")</f>
        <v>هیأت</v>
      </c>
      <c r="C2376" s="5" t="str">
        <f>IFERROR(__xludf.DUMMYFUNCTION("""COMPUTED_VALUE"""),"حضرت علی اکبر (ع)")</f>
        <v>حضرت علی اکبر (ع)</v>
      </c>
      <c r="D2376" s="5" t="str">
        <f>IFERROR(__xludf.DUMMYFUNCTION("""COMPUTED_VALUE"""),"آذربایجان غربی")</f>
        <v>آذربایجان غربی</v>
      </c>
      <c r="E2376" s="5" t="str">
        <f>IFERROR(__xludf.DUMMYFUNCTION("""COMPUTED_VALUE"""),"نقده")</f>
        <v>نقده</v>
      </c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</row>
    <row r="2377">
      <c r="A2377" s="5">
        <f>IFERROR(__xludf.DUMMYFUNCTION("""COMPUTED_VALUE"""),27113.0)</f>
        <v>27113</v>
      </c>
      <c r="B2377" s="5" t="str">
        <f>IFERROR(__xludf.DUMMYFUNCTION("""COMPUTED_VALUE"""),"هیأت")</f>
        <v>هیأت</v>
      </c>
      <c r="C2377" s="5" t="str">
        <f>IFERROR(__xludf.DUMMYFUNCTION("""COMPUTED_VALUE"""),"کانون حبل المتین _ پایگاه صدیقه هیأت ام البنین")</f>
        <v>کانون حبل المتین _ پایگاه صدیقه هیأت ام البنین</v>
      </c>
      <c r="D2377" s="5" t="str">
        <f>IFERROR(__xludf.DUMMYFUNCTION("""COMPUTED_VALUE"""),"آذربایجان غربی")</f>
        <v>آذربایجان غربی</v>
      </c>
      <c r="E2377" s="5" t="str">
        <f>IFERROR(__xludf.DUMMYFUNCTION("""COMPUTED_VALUE"""),"نقده")</f>
        <v>نقده</v>
      </c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</row>
    <row r="2378">
      <c r="A2378" s="5">
        <f>IFERROR(__xludf.DUMMYFUNCTION("""COMPUTED_VALUE"""),26579.0)</f>
        <v>26579</v>
      </c>
      <c r="B2378" s="5" t="str">
        <f>IFERROR(__xludf.DUMMYFUNCTION("""COMPUTED_VALUE"""),"هیأت")</f>
        <v>هیأت</v>
      </c>
      <c r="C2378" s="5" t="str">
        <f>IFERROR(__xludf.DUMMYFUNCTION("""COMPUTED_VALUE"""),"جوانان فاطمیه سولدوز")</f>
        <v>جوانان فاطمیه سولدوز</v>
      </c>
      <c r="D2378" s="5" t="str">
        <f>IFERROR(__xludf.DUMMYFUNCTION("""COMPUTED_VALUE"""),"آذربایجان غربی")</f>
        <v>آذربایجان غربی</v>
      </c>
      <c r="E2378" s="5" t="str">
        <f>IFERROR(__xludf.DUMMYFUNCTION("""COMPUTED_VALUE"""),"نقده")</f>
        <v>نقده</v>
      </c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</row>
    <row r="2379">
      <c r="A2379" s="5">
        <f>IFERROR(__xludf.DUMMYFUNCTION("""COMPUTED_VALUE"""),23027.0)</f>
        <v>23027</v>
      </c>
      <c r="B2379" s="5" t="str">
        <f>IFERROR(__xludf.DUMMYFUNCTION("""COMPUTED_VALUE"""),"هیأت")</f>
        <v>هیأت</v>
      </c>
      <c r="C2379" s="5" t="str">
        <f>IFERROR(__xludf.DUMMYFUNCTION("""COMPUTED_VALUE"""),"عاشورائیان سلدوز نقده")</f>
        <v>عاشورائیان سلدوز نقده</v>
      </c>
      <c r="D2379" s="5" t="str">
        <f>IFERROR(__xludf.DUMMYFUNCTION("""COMPUTED_VALUE"""),"آذربایجان غربی")</f>
        <v>آذربایجان غربی</v>
      </c>
      <c r="E2379" s="5" t="str">
        <f>IFERROR(__xludf.DUMMYFUNCTION("""COMPUTED_VALUE"""),"نقده")</f>
        <v>نقده</v>
      </c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</row>
    <row r="2380">
      <c r="A2380" s="5">
        <f>IFERROR(__xludf.DUMMYFUNCTION("""COMPUTED_VALUE"""),22529.0)</f>
        <v>22529</v>
      </c>
      <c r="B2380" s="5" t="str">
        <f>IFERROR(__xludf.DUMMYFUNCTION("""COMPUTED_VALUE"""),"هیأت")</f>
        <v>هیأت</v>
      </c>
      <c r="C2380" s="5" t="str">
        <f>IFERROR(__xludf.DUMMYFUNCTION("""COMPUTED_VALUE"""),"ام بنین (ع)")</f>
        <v>ام بنین (ع)</v>
      </c>
      <c r="D2380" s="5" t="str">
        <f>IFERROR(__xludf.DUMMYFUNCTION("""COMPUTED_VALUE"""),"آذربایجان غربی")</f>
        <v>آذربایجان غربی</v>
      </c>
      <c r="E2380" s="5" t="str">
        <f>IFERROR(__xludf.DUMMYFUNCTION("""COMPUTED_VALUE"""),"نقده")</f>
        <v>نقده</v>
      </c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</row>
    <row r="2381">
      <c r="A2381" s="5">
        <f>IFERROR(__xludf.DUMMYFUNCTION("""COMPUTED_VALUE"""),21782.0)</f>
        <v>21782</v>
      </c>
      <c r="B2381" s="5" t="str">
        <f>IFERROR(__xludf.DUMMYFUNCTION("""COMPUTED_VALUE"""),"هیأت")</f>
        <v>هیأت</v>
      </c>
      <c r="C2381" s="5" t="str">
        <f>IFERROR(__xludf.DUMMYFUNCTION("""COMPUTED_VALUE"""),"آل طه")</f>
        <v>آل طه</v>
      </c>
      <c r="D2381" s="5" t="str">
        <f>IFERROR(__xludf.DUMMYFUNCTION("""COMPUTED_VALUE"""),"آذربایجان غربی")</f>
        <v>آذربایجان غربی</v>
      </c>
      <c r="E2381" s="5" t="str">
        <f>IFERROR(__xludf.DUMMYFUNCTION("""COMPUTED_VALUE"""),"نقده")</f>
        <v>نقده</v>
      </c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</row>
    <row r="2382">
      <c r="A2382" s="5">
        <f>IFERROR(__xludf.DUMMYFUNCTION("""COMPUTED_VALUE"""),21136.0)</f>
        <v>21136</v>
      </c>
      <c r="B2382" s="5" t="str">
        <f>IFERROR(__xludf.DUMMYFUNCTION("""COMPUTED_VALUE"""),"هیأت")</f>
        <v>هیأت</v>
      </c>
      <c r="C2382" s="5" t="str">
        <f>IFERROR(__xludf.DUMMYFUNCTION("""COMPUTED_VALUE"""),"قائم آل محمد (ص)")</f>
        <v>قائم آل محمد (ص)</v>
      </c>
      <c r="D2382" s="5" t="str">
        <f>IFERROR(__xludf.DUMMYFUNCTION("""COMPUTED_VALUE"""),"آذربایجان غربی")</f>
        <v>آذربایجان غربی</v>
      </c>
      <c r="E2382" s="5" t="str">
        <f>IFERROR(__xludf.DUMMYFUNCTION("""COMPUTED_VALUE"""),"نقده")</f>
        <v>نقده</v>
      </c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</row>
    <row r="2383">
      <c r="A2383" s="5">
        <f>IFERROR(__xludf.DUMMYFUNCTION("""COMPUTED_VALUE"""),21135.0)</f>
        <v>21135</v>
      </c>
      <c r="B2383" s="5" t="str">
        <f>IFERROR(__xludf.DUMMYFUNCTION("""COMPUTED_VALUE"""),"هیأت")</f>
        <v>هیأت</v>
      </c>
      <c r="C2383" s="5" t="str">
        <f>IFERROR(__xludf.DUMMYFUNCTION("""COMPUTED_VALUE"""),"هیات جوانان قمی بنی هاشم")</f>
        <v>هیات جوانان قمی بنی هاشم</v>
      </c>
      <c r="D2383" s="5" t="str">
        <f>IFERROR(__xludf.DUMMYFUNCTION("""COMPUTED_VALUE"""),"آذربایجان غربی")</f>
        <v>آذربایجان غربی</v>
      </c>
      <c r="E2383" s="5" t="str">
        <f>IFERROR(__xludf.DUMMYFUNCTION("""COMPUTED_VALUE"""),"نقده")</f>
        <v>نقده</v>
      </c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</row>
    <row r="2384">
      <c r="A2384" s="5">
        <f>IFERROR(__xludf.DUMMYFUNCTION("""COMPUTED_VALUE"""),19648.0)</f>
        <v>19648</v>
      </c>
      <c r="B2384" s="5" t="str">
        <f>IFERROR(__xludf.DUMMYFUNCTION("""COMPUTED_VALUE"""),"هیأت")</f>
        <v>هیأت</v>
      </c>
      <c r="C2384" s="5" t="str">
        <f>IFERROR(__xludf.DUMMYFUNCTION("""COMPUTED_VALUE"""),"فاطمیه(س)")</f>
        <v>فاطمیه(س)</v>
      </c>
      <c r="D2384" s="5" t="str">
        <f>IFERROR(__xludf.DUMMYFUNCTION("""COMPUTED_VALUE"""),"آذربایجان غربی")</f>
        <v>آذربایجان غربی</v>
      </c>
      <c r="E2384" s="5" t="str">
        <f>IFERROR(__xludf.DUMMYFUNCTION("""COMPUTED_VALUE"""),"نقده")</f>
        <v>نقده</v>
      </c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</row>
    <row r="2385">
      <c r="A2385" s="5">
        <f>IFERROR(__xludf.DUMMYFUNCTION("""COMPUTED_VALUE"""),19627.0)</f>
        <v>19627</v>
      </c>
      <c r="B2385" s="5" t="str">
        <f>IFERROR(__xludf.DUMMYFUNCTION("""COMPUTED_VALUE"""),"هیأت")</f>
        <v>هیأت</v>
      </c>
      <c r="C2385" s="5" t="str">
        <f>IFERROR(__xludf.DUMMYFUNCTION("""COMPUTED_VALUE"""),"محبین الائمه(ع) (دانش آموزی)")</f>
        <v>محبین الائمه(ع) (دانش آموزی)</v>
      </c>
      <c r="D2385" s="5" t="str">
        <f>IFERROR(__xludf.DUMMYFUNCTION("""COMPUTED_VALUE"""),"آذربایجان غربی")</f>
        <v>آذربایجان غربی</v>
      </c>
      <c r="E2385" s="5" t="str">
        <f>IFERROR(__xludf.DUMMYFUNCTION("""COMPUTED_VALUE"""),"نقده")</f>
        <v>نقده</v>
      </c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</row>
    <row r="2386">
      <c r="A2386" s="5">
        <f>IFERROR(__xludf.DUMMYFUNCTION("""COMPUTED_VALUE"""),17741.0)</f>
        <v>17741</v>
      </c>
      <c r="B2386" s="5" t="str">
        <f>IFERROR(__xludf.DUMMYFUNCTION("""COMPUTED_VALUE"""),"هیأت")</f>
        <v>هیأت</v>
      </c>
      <c r="C2386" s="5" t="str">
        <f>IFERROR(__xludf.DUMMYFUNCTION("""COMPUTED_VALUE"""),"کرامتنا الشهاده")</f>
        <v>کرامتنا الشهاده</v>
      </c>
      <c r="D2386" s="5" t="str">
        <f>IFERROR(__xludf.DUMMYFUNCTION("""COMPUTED_VALUE"""),"آذربایجان غربی")</f>
        <v>آذربایجان غربی</v>
      </c>
      <c r="E2386" s="5" t="str">
        <f>IFERROR(__xludf.DUMMYFUNCTION("""COMPUTED_VALUE"""),"نقده")</f>
        <v>نقده</v>
      </c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</row>
    <row r="2387">
      <c r="A2387" s="5">
        <f>IFERROR(__xludf.DUMMYFUNCTION("""COMPUTED_VALUE"""),722.0)</f>
        <v>722</v>
      </c>
      <c r="B2387" s="5" t="str">
        <f>IFERROR(__xludf.DUMMYFUNCTION("""COMPUTED_VALUE"""),"هیأت")</f>
        <v>هیأت</v>
      </c>
      <c r="C2387" s="5" t="str">
        <f>IFERROR(__xludf.DUMMYFUNCTION("""COMPUTED_VALUE"""),"باب الحوائج (ع)")</f>
        <v>باب الحوائج (ع)</v>
      </c>
      <c r="D2387" s="5" t="str">
        <f>IFERROR(__xludf.DUMMYFUNCTION("""COMPUTED_VALUE"""),"آذربایجان غربی")</f>
        <v>آذربایجان غربی</v>
      </c>
      <c r="E2387" s="5" t="str">
        <f>IFERROR(__xludf.DUMMYFUNCTION("""COMPUTED_VALUE"""),"نقده")</f>
        <v>نقده</v>
      </c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</row>
    <row r="2388">
      <c r="A2388" s="5">
        <f>IFERROR(__xludf.DUMMYFUNCTION("""COMPUTED_VALUE"""),721.0)</f>
        <v>721</v>
      </c>
      <c r="B2388" s="5" t="str">
        <f>IFERROR(__xludf.DUMMYFUNCTION("""COMPUTED_VALUE"""),"هیأت")</f>
        <v>هیأت</v>
      </c>
      <c r="C2388" s="5" t="str">
        <f>IFERROR(__xludf.DUMMYFUNCTION("""COMPUTED_VALUE"""),"عزاداری امام حسین (ع)")</f>
        <v>عزاداری امام حسین (ع)</v>
      </c>
      <c r="D2388" s="5" t="str">
        <f>IFERROR(__xludf.DUMMYFUNCTION("""COMPUTED_VALUE"""),"آذربایجان غربی")</f>
        <v>آذربایجان غربی</v>
      </c>
      <c r="E2388" s="5" t="str">
        <f>IFERROR(__xludf.DUMMYFUNCTION("""COMPUTED_VALUE"""),"نقده")</f>
        <v>نقده</v>
      </c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</row>
    <row r="2389">
      <c r="A2389" s="5">
        <f>IFERROR(__xludf.DUMMYFUNCTION("""COMPUTED_VALUE"""),720.0)</f>
        <v>720</v>
      </c>
      <c r="B2389" s="5" t="str">
        <f>IFERROR(__xludf.DUMMYFUNCTION("""COMPUTED_VALUE"""),"هیأت")</f>
        <v>هیأت</v>
      </c>
      <c r="C2389" s="5" t="str">
        <f>IFERROR(__xludf.DUMMYFUNCTION("""COMPUTED_VALUE"""),"حسین جیلر روستای فرحزاد")</f>
        <v>حسین جیلر روستای فرحزاد</v>
      </c>
      <c r="D2389" s="5" t="str">
        <f>IFERROR(__xludf.DUMMYFUNCTION("""COMPUTED_VALUE"""),"آذربایجان غربی")</f>
        <v>آذربایجان غربی</v>
      </c>
      <c r="E2389" s="5" t="str">
        <f>IFERROR(__xludf.DUMMYFUNCTION("""COMPUTED_VALUE"""),"نقده")</f>
        <v>نقده</v>
      </c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</row>
    <row r="2390">
      <c r="A2390" s="5">
        <f>IFERROR(__xludf.DUMMYFUNCTION("""COMPUTED_VALUE"""),719.0)</f>
        <v>719</v>
      </c>
      <c r="B2390" s="5" t="str">
        <f>IFERROR(__xludf.DUMMYFUNCTION("""COMPUTED_VALUE"""),"هیأت")</f>
        <v>هیأت</v>
      </c>
      <c r="C2390" s="5" t="str">
        <f>IFERROR(__xludf.DUMMYFUNCTION("""COMPUTED_VALUE"""),"سیدالشهدا (ع)")</f>
        <v>سیدالشهدا (ع)</v>
      </c>
      <c r="D2390" s="5" t="str">
        <f>IFERROR(__xludf.DUMMYFUNCTION("""COMPUTED_VALUE"""),"آذربایجان غربی")</f>
        <v>آذربایجان غربی</v>
      </c>
      <c r="E2390" s="5" t="str">
        <f>IFERROR(__xludf.DUMMYFUNCTION("""COMPUTED_VALUE"""),"نقده")</f>
        <v>نقده</v>
      </c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</row>
    <row r="2391">
      <c r="A2391" s="5">
        <f>IFERROR(__xludf.DUMMYFUNCTION("""COMPUTED_VALUE"""),718.0)</f>
        <v>718</v>
      </c>
      <c r="B2391" s="5" t="str">
        <f>IFERROR(__xludf.DUMMYFUNCTION("""COMPUTED_VALUE"""),"هیأت")</f>
        <v>هیأت</v>
      </c>
      <c r="C2391" s="5" t="str">
        <f>IFERROR(__xludf.DUMMYFUNCTION("""COMPUTED_VALUE"""),"امام رضا (ع)")</f>
        <v>امام رضا (ع)</v>
      </c>
      <c r="D2391" s="5" t="str">
        <f>IFERROR(__xludf.DUMMYFUNCTION("""COMPUTED_VALUE"""),"آذربایجان غربی")</f>
        <v>آذربایجان غربی</v>
      </c>
      <c r="E2391" s="5" t="str">
        <f>IFERROR(__xludf.DUMMYFUNCTION("""COMPUTED_VALUE"""),"نقده")</f>
        <v>نقده</v>
      </c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</row>
    <row r="2392">
      <c r="A2392" s="5">
        <f>IFERROR(__xludf.DUMMYFUNCTION("""COMPUTED_VALUE"""),717.0)</f>
        <v>717</v>
      </c>
      <c r="B2392" s="5" t="str">
        <f>IFERROR(__xludf.DUMMYFUNCTION("""COMPUTED_VALUE"""),"هیأت")</f>
        <v>هیأت</v>
      </c>
      <c r="C2392" s="5" t="str">
        <f>IFERROR(__xludf.DUMMYFUNCTION("""COMPUTED_VALUE"""),"اباعبدالله الحسین (ع)")</f>
        <v>اباعبدالله الحسین (ع)</v>
      </c>
      <c r="D2392" s="5" t="str">
        <f>IFERROR(__xludf.DUMMYFUNCTION("""COMPUTED_VALUE"""),"آذربایجان غربی")</f>
        <v>آذربایجان غربی</v>
      </c>
      <c r="E2392" s="5" t="str">
        <f>IFERROR(__xludf.DUMMYFUNCTION("""COMPUTED_VALUE"""),"نقده")</f>
        <v>نقده</v>
      </c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</row>
    <row r="2393">
      <c r="A2393" s="5">
        <f>IFERROR(__xludf.DUMMYFUNCTION("""COMPUTED_VALUE"""),716.0)</f>
        <v>716</v>
      </c>
      <c r="B2393" s="5" t="str">
        <f>IFERROR(__xludf.DUMMYFUNCTION("""COMPUTED_VALUE"""),"هیأت")</f>
        <v>هیأت</v>
      </c>
      <c r="C2393" s="5" t="str">
        <f>IFERROR(__xludf.DUMMYFUNCTION("""COMPUTED_VALUE"""),"انصارالمهدی (عج) (دانش آموزی)")</f>
        <v>انصارالمهدی (عج) (دانش آموزی)</v>
      </c>
      <c r="D2393" s="5" t="str">
        <f>IFERROR(__xludf.DUMMYFUNCTION("""COMPUTED_VALUE"""),"آذربایجان غربی")</f>
        <v>آذربایجان غربی</v>
      </c>
      <c r="E2393" s="5" t="str">
        <f>IFERROR(__xludf.DUMMYFUNCTION("""COMPUTED_VALUE"""),"نقده")</f>
        <v>نقده</v>
      </c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</row>
    <row r="2394">
      <c r="A2394" s="5">
        <f>IFERROR(__xludf.DUMMYFUNCTION("""COMPUTED_VALUE"""),715.0)</f>
        <v>715</v>
      </c>
      <c r="B2394" s="5" t="str">
        <f>IFERROR(__xludf.DUMMYFUNCTION("""COMPUTED_VALUE"""),"هیأت")</f>
        <v>هیأت</v>
      </c>
      <c r="C2394" s="5" t="str">
        <f>IFERROR(__xludf.DUMMYFUNCTION("""COMPUTED_VALUE"""),"سالار شهیدان (ع)")</f>
        <v>سالار شهیدان (ع)</v>
      </c>
      <c r="D2394" s="5" t="str">
        <f>IFERROR(__xludf.DUMMYFUNCTION("""COMPUTED_VALUE"""),"آذربایجان غربی")</f>
        <v>آذربایجان غربی</v>
      </c>
      <c r="E2394" s="5" t="str">
        <f>IFERROR(__xludf.DUMMYFUNCTION("""COMPUTED_VALUE"""),"نقده")</f>
        <v>نقده</v>
      </c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</row>
    <row r="2395">
      <c r="A2395" s="5">
        <f>IFERROR(__xludf.DUMMYFUNCTION("""COMPUTED_VALUE"""),714.0)</f>
        <v>714</v>
      </c>
      <c r="B2395" s="5" t="str">
        <f>IFERROR(__xludf.DUMMYFUNCTION("""COMPUTED_VALUE"""),"هیأت")</f>
        <v>هیأت</v>
      </c>
      <c r="C2395" s="5" t="str">
        <f>IFERROR(__xludf.DUMMYFUNCTION("""COMPUTED_VALUE"""),"ثارالله (ع)")</f>
        <v>ثارالله (ع)</v>
      </c>
      <c r="D2395" s="5" t="str">
        <f>IFERROR(__xludf.DUMMYFUNCTION("""COMPUTED_VALUE"""),"آذربایجان غربی")</f>
        <v>آذربایجان غربی</v>
      </c>
      <c r="E2395" s="5" t="str">
        <f>IFERROR(__xludf.DUMMYFUNCTION("""COMPUTED_VALUE"""),"نقده")</f>
        <v>نقده</v>
      </c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</row>
    <row r="2396">
      <c r="A2396" s="5">
        <f>IFERROR(__xludf.DUMMYFUNCTION("""COMPUTED_VALUE"""),713.0)</f>
        <v>713</v>
      </c>
      <c r="B2396" s="5" t="str">
        <f>IFERROR(__xludf.DUMMYFUNCTION("""COMPUTED_VALUE"""),"هیأت")</f>
        <v>هیأت</v>
      </c>
      <c r="C2396" s="5" t="str">
        <f>IFERROR(__xludf.DUMMYFUNCTION("""COMPUTED_VALUE"""),"مسجد امام جعفر صادق (ع)")</f>
        <v>مسجد امام جعفر صادق (ع)</v>
      </c>
      <c r="D2396" s="5" t="str">
        <f>IFERROR(__xludf.DUMMYFUNCTION("""COMPUTED_VALUE"""),"آذربایجان غربی")</f>
        <v>آذربایجان غربی</v>
      </c>
      <c r="E2396" s="5" t="str">
        <f>IFERROR(__xludf.DUMMYFUNCTION("""COMPUTED_VALUE"""),"نقده")</f>
        <v>نقده</v>
      </c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</row>
    <row r="2397">
      <c r="A2397" s="5">
        <f>IFERROR(__xludf.DUMMYFUNCTION("""COMPUTED_VALUE"""),712.0)</f>
        <v>712</v>
      </c>
      <c r="B2397" s="5" t="str">
        <f>IFERROR(__xludf.DUMMYFUNCTION("""COMPUTED_VALUE"""),"هیأت")</f>
        <v>هیأت</v>
      </c>
      <c r="C2397" s="5" t="str">
        <f>IFERROR(__xludf.DUMMYFUNCTION("""COMPUTED_VALUE"""),"رایه الهدی (عج)")</f>
        <v>رایه الهدی (عج)</v>
      </c>
      <c r="D2397" s="5" t="str">
        <f>IFERROR(__xludf.DUMMYFUNCTION("""COMPUTED_VALUE"""),"آذربایجان غربی")</f>
        <v>آذربایجان غربی</v>
      </c>
      <c r="E2397" s="5" t="str">
        <f>IFERROR(__xludf.DUMMYFUNCTION("""COMPUTED_VALUE"""),"نقده")</f>
        <v>نقده</v>
      </c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</row>
    <row r="2398">
      <c r="A2398" s="5">
        <f>IFERROR(__xludf.DUMMYFUNCTION("""COMPUTED_VALUE"""),711.0)</f>
        <v>711</v>
      </c>
      <c r="B2398" s="5" t="str">
        <f>IFERROR(__xludf.DUMMYFUNCTION("""COMPUTED_VALUE"""),"هیأت")</f>
        <v>هیأت</v>
      </c>
      <c r="C2398" s="5" t="str">
        <f>IFERROR(__xludf.DUMMYFUNCTION("""COMPUTED_VALUE"""),"قائم آل محمد (عج)")</f>
        <v>قائم آل محمد (عج)</v>
      </c>
      <c r="D2398" s="5" t="str">
        <f>IFERROR(__xludf.DUMMYFUNCTION("""COMPUTED_VALUE"""),"آذربایجان غربی")</f>
        <v>آذربایجان غربی</v>
      </c>
      <c r="E2398" s="5" t="str">
        <f>IFERROR(__xludf.DUMMYFUNCTION("""COMPUTED_VALUE"""),"نقده")</f>
        <v>نقده</v>
      </c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</row>
    <row r="2399">
      <c r="A2399" s="5">
        <f>IFERROR(__xludf.DUMMYFUNCTION("""COMPUTED_VALUE"""),710.0)</f>
        <v>710</v>
      </c>
      <c r="B2399" s="5" t="str">
        <f>IFERROR(__xludf.DUMMYFUNCTION("""COMPUTED_VALUE"""),"هیأت")</f>
        <v>هیأت</v>
      </c>
      <c r="C2399" s="5" t="str">
        <f>IFERROR(__xludf.DUMMYFUNCTION("""COMPUTED_VALUE"""),"حضرت فاطمه الزهرا (س) (روضه خانگی)")</f>
        <v>حضرت فاطمه الزهرا (س) (روضه خانگی)</v>
      </c>
      <c r="D2399" s="5" t="str">
        <f>IFERROR(__xludf.DUMMYFUNCTION("""COMPUTED_VALUE"""),"آذربایجان غربی")</f>
        <v>آذربایجان غربی</v>
      </c>
      <c r="E2399" s="5" t="str">
        <f>IFERROR(__xludf.DUMMYFUNCTION("""COMPUTED_VALUE"""),"نقده")</f>
        <v>نقده</v>
      </c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</row>
    <row r="2400">
      <c r="A2400" s="5">
        <f>IFERROR(__xludf.DUMMYFUNCTION("""COMPUTED_VALUE"""),708.0)</f>
        <v>708</v>
      </c>
      <c r="B2400" s="5" t="str">
        <f>IFERROR(__xludf.DUMMYFUNCTION("""COMPUTED_VALUE"""),"هیأت")</f>
        <v>هیأت</v>
      </c>
      <c r="C2400" s="5" t="str">
        <f>IFERROR(__xludf.DUMMYFUNCTION("""COMPUTED_VALUE"""),"رزمندگان اسلام")</f>
        <v>رزمندگان اسلام</v>
      </c>
      <c r="D2400" s="5" t="str">
        <f>IFERROR(__xludf.DUMMYFUNCTION("""COMPUTED_VALUE"""),"آذربایجان غربی")</f>
        <v>آذربایجان غربی</v>
      </c>
      <c r="E2400" s="5" t="str">
        <f>IFERROR(__xludf.DUMMYFUNCTION("""COMPUTED_VALUE"""),"نقده")</f>
        <v>نقده</v>
      </c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</row>
    <row r="2401">
      <c r="A2401" s="5">
        <f>IFERROR(__xludf.DUMMYFUNCTION("""COMPUTED_VALUE"""),705.0)</f>
        <v>705</v>
      </c>
      <c r="B2401" s="5" t="str">
        <f>IFERROR(__xludf.DUMMYFUNCTION("""COMPUTED_VALUE"""),"هیأت")</f>
        <v>هیأت</v>
      </c>
      <c r="C2401" s="5" t="str">
        <f>IFERROR(__xludf.DUMMYFUNCTION("""COMPUTED_VALUE"""),"جوانان روح ‏الله")</f>
        <v>جوانان روح ‏الله</v>
      </c>
      <c r="D2401" s="5" t="str">
        <f>IFERROR(__xludf.DUMMYFUNCTION("""COMPUTED_VALUE"""),"آذربایجان غربی")</f>
        <v>آذربایجان غربی</v>
      </c>
      <c r="E2401" s="5" t="str">
        <f>IFERROR(__xludf.DUMMYFUNCTION("""COMPUTED_VALUE"""),"نقده")</f>
        <v>نقده</v>
      </c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</row>
    <row r="2402">
      <c r="A2402" s="5">
        <f>IFERROR(__xludf.DUMMYFUNCTION("""COMPUTED_VALUE"""),704.0)</f>
        <v>704</v>
      </c>
      <c r="B2402" s="5" t="str">
        <f>IFERROR(__xludf.DUMMYFUNCTION("""COMPUTED_VALUE"""),"هیأت")</f>
        <v>هیأت</v>
      </c>
      <c r="C2402" s="5" t="str">
        <f>IFERROR(__xludf.DUMMYFUNCTION("""COMPUTED_VALUE"""),"عزاداران اباعبدالله (ع)")</f>
        <v>عزاداران اباعبدالله (ع)</v>
      </c>
      <c r="D2402" s="5" t="str">
        <f>IFERROR(__xludf.DUMMYFUNCTION("""COMPUTED_VALUE"""),"آذربایجان غربی")</f>
        <v>آذربایجان غربی</v>
      </c>
      <c r="E2402" s="5" t="str">
        <f>IFERROR(__xludf.DUMMYFUNCTION("""COMPUTED_VALUE"""),"نقده")</f>
        <v>نقده</v>
      </c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</row>
    <row r="2403">
      <c r="A2403" s="5">
        <f>IFERROR(__xludf.DUMMYFUNCTION("""COMPUTED_VALUE"""),703.0)</f>
        <v>703</v>
      </c>
      <c r="B2403" s="5" t="str">
        <f>IFERROR(__xludf.DUMMYFUNCTION("""COMPUTED_VALUE"""),"هیأت")</f>
        <v>هیأت</v>
      </c>
      <c r="C2403" s="5" t="str">
        <f>IFERROR(__xludf.DUMMYFUNCTION("""COMPUTED_VALUE"""),"مسلم بن عقیل (ع)")</f>
        <v>مسلم بن عقیل (ع)</v>
      </c>
      <c r="D2403" s="5" t="str">
        <f>IFERROR(__xludf.DUMMYFUNCTION("""COMPUTED_VALUE"""),"آذربایجان غربی")</f>
        <v>آذربایجان غربی</v>
      </c>
      <c r="E2403" s="5" t="str">
        <f>IFERROR(__xludf.DUMMYFUNCTION("""COMPUTED_VALUE"""),"نقده")</f>
        <v>نقده</v>
      </c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</row>
    <row r="2404">
      <c r="A2404" s="5">
        <f>IFERROR(__xludf.DUMMYFUNCTION("""COMPUTED_VALUE"""),702.0)</f>
        <v>702</v>
      </c>
      <c r="B2404" s="5" t="str">
        <f>IFERROR(__xludf.DUMMYFUNCTION("""COMPUTED_VALUE"""),"هیأت")</f>
        <v>هیأت</v>
      </c>
      <c r="C2404" s="5" t="str">
        <f>IFERROR(__xludf.DUMMYFUNCTION("""COMPUTED_VALUE"""),"زنجیر زنی حسین چلر")</f>
        <v>زنجیر زنی حسین چلر</v>
      </c>
      <c r="D2404" s="5" t="str">
        <f>IFERROR(__xludf.DUMMYFUNCTION("""COMPUTED_VALUE"""),"آذربایجان غربی")</f>
        <v>آذربایجان غربی</v>
      </c>
      <c r="E2404" s="5" t="str">
        <f>IFERROR(__xludf.DUMMYFUNCTION("""COMPUTED_VALUE"""),"نقده")</f>
        <v>نقده</v>
      </c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</row>
    <row r="2405">
      <c r="A2405" s="5">
        <f>IFERROR(__xludf.DUMMYFUNCTION("""COMPUTED_VALUE"""),701.0)</f>
        <v>701</v>
      </c>
      <c r="B2405" s="5" t="str">
        <f>IFERROR(__xludf.DUMMYFUNCTION("""COMPUTED_VALUE"""),"هیأت")</f>
        <v>هیأت</v>
      </c>
      <c r="C2405" s="5" t="str">
        <f>IFERROR(__xludf.DUMMYFUNCTION("""COMPUTED_VALUE"""),"اباعبدالله (ع)")</f>
        <v>اباعبدالله (ع)</v>
      </c>
      <c r="D2405" s="5" t="str">
        <f>IFERROR(__xludf.DUMMYFUNCTION("""COMPUTED_VALUE"""),"آذربایجان غربی")</f>
        <v>آذربایجان غربی</v>
      </c>
      <c r="E2405" s="5" t="str">
        <f>IFERROR(__xludf.DUMMYFUNCTION("""COMPUTED_VALUE"""),"نقده")</f>
        <v>نقده</v>
      </c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</row>
    <row r="2406">
      <c r="A2406" s="5">
        <f>IFERROR(__xludf.DUMMYFUNCTION("""COMPUTED_VALUE"""),669.0)</f>
        <v>669</v>
      </c>
      <c r="B2406" s="5" t="str">
        <f>IFERROR(__xludf.DUMMYFUNCTION("""COMPUTED_VALUE"""),"هیأت")</f>
        <v>هیأت</v>
      </c>
      <c r="C2406" s="5" t="str">
        <f>IFERROR(__xludf.DUMMYFUNCTION("""COMPUTED_VALUE"""),"زنجیر زنی سیدالشهدا (ع)")</f>
        <v>زنجیر زنی سیدالشهدا (ع)</v>
      </c>
      <c r="D2406" s="5" t="str">
        <f>IFERROR(__xludf.DUMMYFUNCTION("""COMPUTED_VALUE"""),"آذربایجان غربی")</f>
        <v>آذربایجان غربی</v>
      </c>
      <c r="E2406" s="5" t="str">
        <f>IFERROR(__xludf.DUMMYFUNCTION("""COMPUTED_VALUE"""),"نقده")</f>
        <v>نقده</v>
      </c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</row>
    <row r="2407">
      <c r="A2407" s="5">
        <f>IFERROR(__xludf.DUMMYFUNCTION("""COMPUTED_VALUE"""),668.0)</f>
        <v>668</v>
      </c>
      <c r="B2407" s="5" t="str">
        <f>IFERROR(__xludf.DUMMYFUNCTION("""COMPUTED_VALUE"""),"هیأت")</f>
        <v>هیأت</v>
      </c>
      <c r="C2407" s="5" t="str">
        <f>IFERROR(__xludf.DUMMYFUNCTION("""COMPUTED_VALUE"""),"علی بن ابیطالب (ع)")</f>
        <v>علی بن ابیطالب (ع)</v>
      </c>
      <c r="D2407" s="5" t="str">
        <f>IFERROR(__xludf.DUMMYFUNCTION("""COMPUTED_VALUE"""),"آذربایجان غربی")</f>
        <v>آذربایجان غربی</v>
      </c>
      <c r="E2407" s="5" t="str">
        <f>IFERROR(__xludf.DUMMYFUNCTION("""COMPUTED_VALUE"""),"نقده")</f>
        <v>نقده</v>
      </c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</row>
    <row r="2408">
      <c r="A2408" s="5">
        <f>IFERROR(__xludf.DUMMYFUNCTION("""COMPUTED_VALUE"""),469.0)</f>
        <v>469</v>
      </c>
      <c r="B2408" s="5" t="str">
        <f>IFERROR(__xludf.DUMMYFUNCTION("""COMPUTED_VALUE"""),"هیأت")</f>
        <v>هیأت</v>
      </c>
      <c r="C2408" s="5" t="str">
        <f>IFERROR(__xludf.DUMMYFUNCTION("""COMPUTED_VALUE"""),"انصارالمهدی (عج)")</f>
        <v>انصارالمهدی (عج)</v>
      </c>
      <c r="D2408" s="5" t="str">
        <f>IFERROR(__xludf.DUMMYFUNCTION("""COMPUTED_VALUE"""),"آذربایجان غربی")</f>
        <v>آذربایجان غربی</v>
      </c>
      <c r="E2408" s="5" t="str">
        <f>IFERROR(__xludf.DUMMYFUNCTION("""COMPUTED_VALUE"""),"نقده")</f>
        <v>نقده</v>
      </c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</row>
    <row r="2409">
      <c r="A2409" s="5">
        <f>IFERROR(__xludf.DUMMYFUNCTION("""COMPUTED_VALUE"""),458.0)</f>
        <v>458</v>
      </c>
      <c r="B2409" s="5" t="str">
        <f>IFERROR(__xludf.DUMMYFUNCTION("""COMPUTED_VALUE"""),"هیأت")</f>
        <v>هیأت</v>
      </c>
      <c r="C2409" s="5" t="str">
        <f>IFERROR(__xludf.DUMMYFUNCTION("""COMPUTED_VALUE"""),"عزاداران روح ‏الله (ره)")</f>
        <v>عزاداران روح ‏الله (ره)</v>
      </c>
      <c r="D2409" s="5" t="str">
        <f>IFERROR(__xludf.DUMMYFUNCTION("""COMPUTED_VALUE"""),"آذربایجان غربی")</f>
        <v>آذربایجان غربی</v>
      </c>
      <c r="E2409" s="5" t="str">
        <f>IFERROR(__xludf.DUMMYFUNCTION("""COMPUTED_VALUE"""),"نقده")</f>
        <v>نقده</v>
      </c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</row>
    <row r="2410">
      <c r="A2410" s="5"/>
      <c r="B2410" s="5" t="str">
        <f>IFERROR(__xludf.DUMMYFUNCTION("""COMPUTED_VALUE"""),"حسینیه")</f>
        <v>حسینیه</v>
      </c>
      <c r="C2410" s="5" t="str">
        <f>IFERROR(__xludf.DUMMYFUNCTION("""COMPUTED_VALUE"""),"اعظم ثارالله ارومیه")</f>
        <v>اعظم ثارالله ارومیه</v>
      </c>
      <c r="D2410" s="5" t="str">
        <f>IFERROR(__xludf.DUMMYFUNCTION("""COMPUTED_VALUE"""),"آذربایجان غربی")</f>
        <v>آذربایجان غربی</v>
      </c>
      <c r="E2410" s="5" t="str">
        <f>IFERROR(__xludf.DUMMYFUNCTION("""COMPUTED_VALUE"""),"ارومیه")</f>
        <v>ارومیه</v>
      </c>
      <c r="F2410" s="5"/>
      <c r="G2410" s="5"/>
      <c r="H2410" s="5"/>
      <c r="I2410" s="5"/>
      <c r="J2410" s="6" t="str">
        <f>IFERROR(__xludf.DUMMYFUNCTION("""COMPUTED_VALUE"""),"https://eitaa.com/sarallahurmia")</f>
        <v>https://eitaa.com/sarallahurmia</v>
      </c>
      <c r="K2410" s="5"/>
      <c r="L2410" s="5"/>
      <c r="M2410" s="5"/>
      <c r="N2410" s="5"/>
      <c r="O2410" s="5"/>
      <c r="P2410" s="5"/>
      <c r="Q2410" s="5"/>
      <c r="R2410" s="5"/>
      <c r="S2410" s="5"/>
    </row>
    <row r="2411">
      <c r="A2411" s="5">
        <f>IFERROR(__xludf.DUMMYFUNCTION("""COMPUTED_VALUE"""),32515.0)</f>
        <v>32515</v>
      </c>
      <c r="B2411" s="5" t="str">
        <f>IFERROR(__xludf.DUMMYFUNCTION("""COMPUTED_VALUE"""),"هیأت هفتگی")</f>
        <v>هیأت هفتگی</v>
      </c>
      <c r="C2411" s="5" t="str">
        <f>IFERROR(__xludf.DUMMYFUNCTION("""COMPUTED_VALUE"""),"مکتب الشهدا")</f>
        <v>مکتب الشهدا</v>
      </c>
      <c r="D2411" s="5" t="str">
        <f>IFERROR(__xludf.DUMMYFUNCTION("""COMPUTED_VALUE"""),"اردبیل")</f>
        <v>اردبیل</v>
      </c>
      <c r="E2411" s="5" t="str">
        <f>IFERROR(__xludf.DUMMYFUNCTION("""COMPUTED_VALUE"""),"اردبیل")</f>
        <v>اردبیل</v>
      </c>
      <c r="F2411" s="5"/>
      <c r="G2411" s="5"/>
      <c r="H2411" s="6" t="str">
        <f>IFERROR(__xludf.DUMMYFUNCTION("""COMPUTED_VALUE"""),"https://www.instagram.com/maktab_ir/")</f>
        <v>https://www.instagram.com/maktab_ir/</v>
      </c>
      <c r="I2411" s="5"/>
      <c r="J2411" s="6" t="str">
        <f>IFERROR(__xludf.DUMMYFUNCTION("""COMPUTED_VALUE"""),"eitaa.com/maktab_ir")</f>
        <v>eitaa.com/maktab_ir</v>
      </c>
      <c r="K2411" s="5"/>
      <c r="L2411" s="5"/>
      <c r="M2411" s="5"/>
      <c r="N2411" s="5"/>
      <c r="O2411" s="5"/>
      <c r="P2411" s="5"/>
      <c r="Q2411" s="5"/>
      <c r="R2411" s="5"/>
      <c r="S2411" s="5"/>
    </row>
    <row r="2412">
      <c r="A2412" s="5">
        <f>IFERROR(__xludf.DUMMYFUNCTION("""COMPUTED_VALUE"""),32514.0)</f>
        <v>32514</v>
      </c>
      <c r="B2412" s="5" t="str">
        <f>IFERROR(__xludf.DUMMYFUNCTION("""COMPUTED_VALUE"""),"هیأت هفتگی")</f>
        <v>هیأت هفتگی</v>
      </c>
      <c r="C2412" s="5" t="str">
        <f>IFERROR(__xludf.DUMMYFUNCTION("""COMPUTED_VALUE"""),"رایه المهدی")</f>
        <v>رایه المهدی</v>
      </c>
      <c r="D2412" s="5" t="str">
        <f>IFERROR(__xludf.DUMMYFUNCTION("""COMPUTED_VALUE"""),"اردبیل")</f>
        <v>اردبیل</v>
      </c>
      <c r="E2412" s="5" t="str">
        <f>IFERROR(__xludf.DUMMYFUNCTION("""COMPUTED_VALUE"""),"اردبیل")</f>
        <v>اردبیل</v>
      </c>
      <c r="F2412" s="5"/>
      <c r="G2412" s="5"/>
      <c r="H2412" s="6" t="str">
        <f>IFERROR(__xludf.DUMMYFUNCTION("""COMPUTED_VALUE"""),"https://www.instagram.com/rayatolmahdi_ardebil/")</f>
        <v>https://www.instagram.com/rayatolmahdi_ardebil/</v>
      </c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</row>
    <row r="2413">
      <c r="A2413" s="5">
        <f>IFERROR(__xludf.DUMMYFUNCTION("""COMPUTED_VALUE"""),32513.0)</f>
        <v>32513</v>
      </c>
      <c r="B2413" s="5" t="str">
        <f>IFERROR(__xludf.DUMMYFUNCTION("""COMPUTED_VALUE"""),"هیأت هفتگی")</f>
        <v>هیأت هفتگی</v>
      </c>
      <c r="C2413" s="5" t="str">
        <f>IFERROR(__xludf.DUMMYFUNCTION("""COMPUTED_VALUE"""),"هیأت الرضا (ع)")</f>
        <v>هیأت الرضا (ع)</v>
      </c>
      <c r="D2413" s="5" t="str">
        <f>IFERROR(__xludf.DUMMYFUNCTION("""COMPUTED_VALUE"""),"اردبیل")</f>
        <v>اردبیل</v>
      </c>
      <c r="E2413" s="5" t="str">
        <f>IFERROR(__xludf.DUMMYFUNCTION("""COMPUTED_VALUE"""),"اردبیل")</f>
        <v>اردبیل</v>
      </c>
      <c r="F2413" s="5"/>
      <c r="G2413" s="5"/>
      <c r="H2413" s="6" t="str">
        <f>IFERROR(__xludf.DUMMYFUNCTION("""COMPUTED_VALUE"""),"https://www.instagram.com/ravag.ir/")</f>
        <v>https://www.instagram.com/ravag.ir/</v>
      </c>
      <c r="I2413" s="6" t="str">
        <f>IFERROR(__xludf.DUMMYFUNCTION("""COMPUTED_VALUE"""),"t.me/Ravag_ir")</f>
        <v>t.me/Ravag_ir</v>
      </c>
      <c r="J2413" s="6" t="str">
        <f>IFERROR(__xludf.DUMMYFUNCTION("""COMPUTED_VALUE"""),"eitaa.com/ravag_ir/")</f>
        <v>eitaa.com/ravag_ir/</v>
      </c>
      <c r="K2413" s="5"/>
      <c r="L2413" s="5"/>
      <c r="M2413" s="5"/>
      <c r="N2413" s="5"/>
      <c r="O2413" s="5"/>
      <c r="P2413" s="5"/>
      <c r="Q2413" s="5"/>
      <c r="R2413" s="5"/>
      <c r="S2413" s="5"/>
    </row>
    <row r="2414">
      <c r="A2414" s="5">
        <f>IFERROR(__xludf.DUMMYFUNCTION("""COMPUTED_VALUE"""),32512.0)</f>
        <v>32512</v>
      </c>
      <c r="B2414" s="5" t="str">
        <f>IFERROR(__xludf.DUMMYFUNCTION("""COMPUTED_VALUE"""),"هیأت مناسبتی")</f>
        <v>هیأت مناسبتی</v>
      </c>
      <c r="C2414" s="5" t="str">
        <f>IFERROR(__xludf.DUMMYFUNCTION("""COMPUTED_VALUE"""),"رزمندگان")</f>
        <v>رزمندگان</v>
      </c>
      <c r="D2414" s="5" t="str">
        <f>IFERROR(__xludf.DUMMYFUNCTION("""COMPUTED_VALUE"""),"اردبیل")</f>
        <v>اردبیل</v>
      </c>
      <c r="E2414" s="5" t="str">
        <f>IFERROR(__xludf.DUMMYFUNCTION("""COMPUTED_VALUE"""),"اردبیل")</f>
        <v>اردبیل</v>
      </c>
      <c r="F2414" s="5"/>
      <c r="G2414" s="5"/>
      <c r="H2414" s="6" t="str">
        <f>IFERROR(__xludf.DUMMYFUNCTION("""COMPUTED_VALUE"""),"https://www.instagram.com/miqat_info/")</f>
        <v>https://www.instagram.com/miqat_info/</v>
      </c>
      <c r="I2414" s="5"/>
      <c r="J2414" s="6" t="str">
        <f>IFERROR(__xludf.DUMMYFUNCTION("""COMPUTED_VALUE"""),"eitaa.com/razmandegan_ardabil")</f>
        <v>eitaa.com/razmandegan_ardabil</v>
      </c>
      <c r="K2414" s="5"/>
      <c r="L2414" s="5"/>
      <c r="M2414" s="5"/>
      <c r="N2414" s="5"/>
      <c r="O2414" s="5"/>
      <c r="P2414" s="5"/>
      <c r="Q2414" s="5"/>
      <c r="R2414" s="5"/>
      <c r="S2414" s="5"/>
    </row>
    <row r="2415">
      <c r="A2415" s="5">
        <f>IFERROR(__xludf.DUMMYFUNCTION("""COMPUTED_VALUE"""),32511.0)</f>
        <v>32511</v>
      </c>
      <c r="B2415" s="5" t="str">
        <f>IFERROR(__xludf.DUMMYFUNCTION("""COMPUTED_VALUE"""),"هیأت هفتگی")</f>
        <v>هیأت هفتگی</v>
      </c>
      <c r="C2415" s="5" t="str">
        <f>IFERROR(__xludf.DUMMYFUNCTION("""COMPUTED_VALUE"""),"رضوی")</f>
        <v>رضوی</v>
      </c>
      <c r="D2415" s="5" t="str">
        <f>IFERROR(__xludf.DUMMYFUNCTION("""COMPUTED_VALUE"""),"اردبیل")</f>
        <v>اردبیل</v>
      </c>
      <c r="E2415" s="5" t="str">
        <f>IFERROR(__xludf.DUMMYFUNCTION("""COMPUTED_VALUE"""),"اردبیل")</f>
        <v>اردبیل</v>
      </c>
      <c r="F2415" s="5"/>
      <c r="G2415" s="5"/>
      <c r="H2415" s="6" t="str">
        <f>IFERROR(__xludf.DUMMYFUNCTION("""COMPUTED_VALUE"""),"https://www.instagram.com/hoseinieh_razavi/")</f>
        <v>https://www.instagram.com/hoseinieh_razavi/</v>
      </c>
      <c r="I2415" s="5"/>
      <c r="J2415" s="6" t="str">
        <f>IFERROR(__xludf.DUMMYFUNCTION("""COMPUTED_VALUE"""),"eitaa.com/hoseinieh_razavi")</f>
        <v>eitaa.com/hoseinieh_razavi</v>
      </c>
      <c r="K2415" s="5"/>
      <c r="L2415" s="5"/>
      <c r="M2415" s="5"/>
      <c r="N2415" s="5"/>
      <c r="O2415" s="5"/>
      <c r="P2415" s="5"/>
      <c r="Q2415" s="5"/>
      <c r="R2415" s="5"/>
      <c r="S2415" s="5"/>
    </row>
    <row r="2416">
      <c r="A2416" s="5">
        <f>IFERROR(__xludf.DUMMYFUNCTION("""COMPUTED_VALUE"""),23289.0)</f>
        <v>23289</v>
      </c>
      <c r="B2416" s="5" t="str">
        <f>IFERROR(__xludf.DUMMYFUNCTION("""COMPUTED_VALUE"""),"هیأت هفتگی")</f>
        <v>هیأت هفتگی</v>
      </c>
      <c r="C2416" s="5" t="str">
        <f>IFERROR(__xludf.DUMMYFUNCTION("""COMPUTED_VALUE"""),"مصباح")</f>
        <v>مصباح</v>
      </c>
      <c r="D2416" s="5" t="str">
        <f>IFERROR(__xludf.DUMMYFUNCTION("""COMPUTED_VALUE"""),"اردبیل")</f>
        <v>اردبیل</v>
      </c>
      <c r="E2416" s="5" t="str">
        <f>IFERROR(__xludf.DUMMYFUNCTION("""COMPUTED_VALUE"""),"اردبیل")</f>
        <v>اردبیل</v>
      </c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</row>
    <row r="2417">
      <c r="A2417" s="5">
        <f>IFERROR(__xludf.DUMMYFUNCTION("""COMPUTED_VALUE"""),21412.0)</f>
        <v>21412</v>
      </c>
      <c r="B2417" s="5" t="str">
        <f>IFERROR(__xludf.DUMMYFUNCTION("""COMPUTED_VALUE"""),"هیأت هفتگی")</f>
        <v>هیأت هفتگی</v>
      </c>
      <c r="C2417" s="5" t="str">
        <f>IFERROR(__xludf.DUMMYFUNCTION("""COMPUTED_VALUE"""),"علمدار")</f>
        <v>علمدار</v>
      </c>
      <c r="D2417" s="5" t="str">
        <f>IFERROR(__xludf.DUMMYFUNCTION("""COMPUTED_VALUE"""),"اردبیل")</f>
        <v>اردبیل</v>
      </c>
      <c r="E2417" s="5" t="str">
        <f>IFERROR(__xludf.DUMMYFUNCTION("""COMPUTED_VALUE"""),"اردبیل")</f>
        <v>اردبیل</v>
      </c>
      <c r="F2417" s="5"/>
      <c r="G2417" s="5"/>
      <c r="H2417" s="6" t="str">
        <f>IFERROR(__xludf.DUMMYFUNCTION("""COMPUTED_VALUE"""),"https://www.instagram.com/alam_dar_ir")</f>
        <v>https://www.instagram.com/alam_dar_ir</v>
      </c>
      <c r="I2417" s="5"/>
      <c r="J2417" s="6" t="str">
        <f>IFERROR(__xludf.DUMMYFUNCTION("""COMPUTED_VALUE"""),"https://eitaa.com/alamdar_ardabil")</f>
        <v>https://eitaa.com/alamdar_ardabil</v>
      </c>
      <c r="K2417" s="5"/>
      <c r="L2417" s="5"/>
      <c r="M2417" s="5"/>
      <c r="N2417" s="5"/>
      <c r="O2417" s="5"/>
      <c r="P2417" s="5"/>
      <c r="Q2417" s="5"/>
      <c r="R2417" s="5"/>
      <c r="S2417" s="5"/>
    </row>
    <row r="2418">
      <c r="A2418" s="5">
        <f>IFERROR(__xludf.DUMMYFUNCTION("""COMPUTED_VALUE"""),21411.0)</f>
        <v>21411</v>
      </c>
      <c r="B2418" s="5"/>
      <c r="C2418" s="5" t="str">
        <f>IFERROR(__xludf.DUMMYFUNCTION("""COMPUTED_VALUE"""),"یاوران مهدی(عج)")</f>
        <v>یاوران مهدی(عج)</v>
      </c>
      <c r="D2418" s="5" t="str">
        <f>IFERROR(__xludf.DUMMYFUNCTION("""COMPUTED_VALUE"""),"اردبیل")</f>
        <v>اردبیل</v>
      </c>
      <c r="E2418" s="5" t="str">
        <f>IFERROR(__xludf.DUMMYFUNCTION("""COMPUTED_VALUE"""),"اردبیل")</f>
        <v>اردبیل</v>
      </c>
      <c r="F2418" s="5"/>
      <c r="G2418" s="5"/>
      <c r="H2418" s="6" t="str">
        <f>IFERROR(__xludf.DUMMYFUNCTION("""COMPUTED_VALUE"""),"https://www.instagram.com/yavaran.mahdi.ardebil/")</f>
        <v>https://www.instagram.com/yavaran.mahdi.ardebil/</v>
      </c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</row>
    <row r="2419">
      <c r="A2419" s="5">
        <f>IFERROR(__xludf.DUMMYFUNCTION("""COMPUTED_VALUE"""),20992.0)</f>
        <v>20992</v>
      </c>
      <c r="B2419" s="5" t="str">
        <f>IFERROR(__xludf.DUMMYFUNCTION("""COMPUTED_VALUE"""),"هیأت مناسبتی")</f>
        <v>هیأت مناسبتی</v>
      </c>
      <c r="C2419" s="5" t="str">
        <f>IFERROR(__xludf.DUMMYFUNCTION("""COMPUTED_VALUE"""),"قمربنی هاشم حضرت ابوالفضل العباس (ع)")</f>
        <v>قمربنی هاشم حضرت ابوالفضل العباس (ع)</v>
      </c>
      <c r="D2419" s="5" t="str">
        <f>IFERROR(__xludf.DUMMYFUNCTION("""COMPUTED_VALUE"""),"اردبیل")</f>
        <v>اردبیل</v>
      </c>
      <c r="E2419" s="5" t="str">
        <f>IFERROR(__xludf.DUMMYFUNCTION("""COMPUTED_VALUE"""),"اردبیل")</f>
        <v>اردبیل</v>
      </c>
      <c r="F2419" s="5"/>
      <c r="G2419" s="5"/>
      <c r="H2419" s="6" t="str">
        <f>IFERROR(__xludf.DUMMYFUNCTION("""COMPUTED_VALUE"""),"https://www.instagram.com/gamarebanyhashem/")</f>
        <v>https://www.instagram.com/gamarebanyhashem/</v>
      </c>
      <c r="I2419" s="6" t="str">
        <f>IFERROR(__xludf.DUMMYFUNCTION("""COMPUTED_VALUE"""),"tlgrm.in/gamarbanyhashm")</f>
        <v>tlgrm.in/gamarbanyhashm</v>
      </c>
      <c r="J2419" s="5"/>
      <c r="K2419" s="5"/>
      <c r="L2419" s="5"/>
      <c r="M2419" s="5"/>
      <c r="N2419" s="5"/>
      <c r="O2419" s="5"/>
      <c r="P2419" s="5"/>
      <c r="Q2419" s="5"/>
      <c r="R2419" s="5"/>
      <c r="S2419" s="5"/>
    </row>
    <row r="2420">
      <c r="A2420" s="5"/>
      <c r="B2420" s="5" t="str">
        <f>IFERROR(__xludf.DUMMYFUNCTION("""COMPUTED_VALUE"""),"هیأت هفتگی")</f>
        <v>هیأت هفتگی</v>
      </c>
      <c r="C2420" s="5" t="str">
        <f>IFERROR(__xludf.DUMMYFUNCTION("""COMPUTED_VALUE"""),"رایه الهدی (عج)")</f>
        <v>رایه الهدی (عج)</v>
      </c>
      <c r="D2420" s="5" t="str">
        <f>IFERROR(__xludf.DUMMYFUNCTION("""COMPUTED_VALUE"""),"اردبیل")</f>
        <v>اردبیل</v>
      </c>
      <c r="E2420" s="5" t="str">
        <f>IFERROR(__xludf.DUMMYFUNCTION("""COMPUTED_VALUE"""),"اردبیل")</f>
        <v>اردبیل</v>
      </c>
      <c r="F2420" s="5"/>
      <c r="G2420" s="5"/>
      <c r="H2420" s="6" t="str">
        <f>IFERROR(__xludf.DUMMYFUNCTION("""COMPUTED_VALUE"""),"https://www.instagram.com/rayatolmahdi_ardebil/")</f>
        <v>https://www.instagram.com/rayatolmahdi_ardebil/</v>
      </c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</row>
    <row r="2421">
      <c r="A2421" s="5">
        <f>IFERROR(__xludf.DUMMYFUNCTION("""COMPUTED_VALUE"""),19239.0)</f>
        <v>19239</v>
      </c>
      <c r="B2421" s="5" t="str">
        <f>IFERROR(__xludf.DUMMYFUNCTION("""COMPUTED_VALUE"""),"هیأت هفتگی")</f>
        <v>هیأت هفتگی</v>
      </c>
      <c r="C2421" s="5" t="str">
        <f>IFERROR(__xludf.DUMMYFUNCTION("""COMPUTED_VALUE"""),"سیدالشهدا (ع)")</f>
        <v>سیدالشهدا (ع)</v>
      </c>
      <c r="D2421" s="5" t="str">
        <f>IFERROR(__xludf.DUMMYFUNCTION("""COMPUTED_VALUE"""),"اردبیل")</f>
        <v>اردبیل</v>
      </c>
      <c r="E2421" s="5" t="str">
        <f>IFERROR(__xludf.DUMMYFUNCTION("""COMPUTED_VALUE"""),"اردبیل")</f>
        <v>اردبیل</v>
      </c>
      <c r="F2421" s="5"/>
      <c r="G2421" s="5"/>
      <c r="H2421" s="6" t="str">
        <f>IFERROR(__xludf.DUMMYFUNCTION("""COMPUTED_VALUE"""),"https://www.instagram.com/seyedalshohada1321/")</f>
        <v>https://www.instagram.com/seyedalshohada1321/</v>
      </c>
      <c r="I2421" s="6" t="str">
        <f>IFERROR(__xludf.DUMMYFUNCTION("""COMPUTED_VALUE"""),"t.me/seyedalshohada1321")</f>
        <v>t.me/seyedalshohada1321</v>
      </c>
      <c r="J2421" s="5"/>
      <c r="K2421" s="5"/>
      <c r="L2421" s="5"/>
      <c r="M2421" s="5"/>
      <c r="N2421" s="5"/>
      <c r="O2421" s="5"/>
      <c r="P2421" s="5"/>
      <c r="Q2421" s="5"/>
      <c r="R2421" s="5"/>
      <c r="S2421" s="5"/>
    </row>
    <row r="2422">
      <c r="A2422" s="5">
        <f>IFERROR(__xludf.DUMMYFUNCTION("""COMPUTED_VALUE"""),18028.0)</f>
        <v>18028</v>
      </c>
      <c r="B2422" s="5"/>
      <c r="C2422" s="5" t="str">
        <f>IFERROR(__xludf.DUMMYFUNCTION("""COMPUTED_VALUE"""),"مجمع زینبیون ")</f>
        <v>مجمع زینبیون </v>
      </c>
      <c r="D2422" s="5" t="str">
        <f>IFERROR(__xludf.DUMMYFUNCTION("""COMPUTED_VALUE"""),"اردبیل")</f>
        <v>اردبیل</v>
      </c>
      <c r="E2422" s="5" t="str">
        <f>IFERROR(__xludf.DUMMYFUNCTION("""COMPUTED_VALUE"""),"اردبیل")</f>
        <v>اردبیل</v>
      </c>
      <c r="F2422" s="5"/>
      <c r="G2422" s="5"/>
      <c r="H2422" s="5"/>
      <c r="I2422" s="6" t="str">
        <f>IFERROR(__xludf.DUMMYFUNCTION("""COMPUTED_VALUE"""),"t.me/zenabyoonardebil")</f>
        <v>t.me/zenabyoonardebil</v>
      </c>
      <c r="J2422" s="5"/>
      <c r="K2422" s="5"/>
      <c r="L2422" s="5"/>
      <c r="M2422" s="5"/>
      <c r="N2422" s="5"/>
      <c r="O2422" s="5"/>
      <c r="P2422" s="5"/>
      <c r="Q2422" s="5"/>
      <c r="R2422" s="5"/>
      <c r="S2422" s="5"/>
    </row>
    <row r="2423">
      <c r="A2423" s="5">
        <f>IFERROR(__xludf.DUMMYFUNCTION("""COMPUTED_VALUE"""),18022.0)</f>
        <v>18022</v>
      </c>
      <c r="B2423" s="5" t="str">
        <f>IFERROR(__xludf.DUMMYFUNCTION("""COMPUTED_VALUE"""),"هیأت هفتگی")</f>
        <v>هیأت هفتگی</v>
      </c>
      <c r="C2423" s="5" t="str">
        <f>IFERROR(__xludf.DUMMYFUNCTION("""COMPUTED_VALUE"""),"زینب کبری(س) (زینبیه روستای باروق)")</f>
        <v>زینب کبری(س) (زینبیه روستای باروق)</v>
      </c>
      <c r="D2423" s="5" t="str">
        <f>IFERROR(__xludf.DUMMYFUNCTION("""COMPUTED_VALUE"""),"اردبیل")</f>
        <v>اردبیل</v>
      </c>
      <c r="E2423" s="5" t="str">
        <f>IFERROR(__xludf.DUMMYFUNCTION("""COMPUTED_VALUE"""),"اردبیل")</f>
        <v>اردبیل</v>
      </c>
      <c r="F2423" s="5"/>
      <c r="G2423" s="5"/>
      <c r="H2423" s="6" t="str">
        <f>IFERROR(__xludf.DUMMYFUNCTION("""COMPUTED_VALUE"""),"https://www.instagram.com/heyat_hazrat_zaynab_barog/")</f>
        <v>https://www.instagram.com/heyat_hazrat_zaynab_barog/</v>
      </c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</row>
    <row r="2424">
      <c r="A2424" s="5">
        <f>IFERROR(__xludf.DUMMYFUNCTION("""COMPUTED_VALUE"""),18021.0)</f>
        <v>18021</v>
      </c>
      <c r="B2424" s="5" t="str">
        <f>IFERROR(__xludf.DUMMYFUNCTION("""COMPUTED_VALUE"""),"هیأت ماهانه")</f>
        <v>هیأت ماهانه</v>
      </c>
      <c r="C2424" s="5" t="str">
        <f>IFERROR(__xludf.DUMMYFUNCTION("""COMPUTED_VALUE"""),"ام البنین(س)")</f>
        <v>ام البنین(س)</v>
      </c>
      <c r="D2424" s="5" t="str">
        <f>IFERROR(__xludf.DUMMYFUNCTION("""COMPUTED_VALUE"""),"اردبیل")</f>
        <v>اردبیل</v>
      </c>
      <c r="E2424" s="5" t="str">
        <f>IFERROR(__xludf.DUMMYFUNCTION("""COMPUTED_VALUE"""),"اردبیل")</f>
        <v>اردبیل</v>
      </c>
      <c r="F2424" s="5"/>
      <c r="G2424" s="5"/>
      <c r="H2424" s="6" t="str">
        <f>IFERROR(__xludf.DUMMYFUNCTION("""COMPUTED_VALUE"""),"https://www.instagram.com/heyat_omoolbanin/")</f>
        <v>https://www.instagram.com/heyat_omoolbanin/</v>
      </c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</row>
    <row r="2425">
      <c r="A2425" s="5">
        <f>IFERROR(__xludf.DUMMYFUNCTION("""COMPUTED_VALUE"""),18018.0)</f>
        <v>18018</v>
      </c>
      <c r="B2425" s="5" t="str">
        <f>IFERROR(__xludf.DUMMYFUNCTION("""COMPUTED_VALUE"""),"هیأت مناسبتی")</f>
        <v>هیأت مناسبتی</v>
      </c>
      <c r="C2425" s="5" t="str">
        <f>IFERROR(__xludf.DUMMYFUNCTION("""COMPUTED_VALUE"""),"زیارت عاشورا")</f>
        <v>زیارت عاشورا</v>
      </c>
      <c r="D2425" s="5" t="str">
        <f>IFERROR(__xludf.DUMMYFUNCTION("""COMPUTED_VALUE"""),"اردبیل")</f>
        <v>اردبیل</v>
      </c>
      <c r="E2425" s="5" t="str">
        <f>IFERROR(__xludf.DUMMYFUNCTION("""COMPUTED_VALUE"""),"اردبیل")</f>
        <v>اردبیل</v>
      </c>
      <c r="F2425" s="5"/>
      <c r="G2425" s="5"/>
      <c r="H2425" s="6" t="str">
        <f>IFERROR(__xludf.DUMMYFUNCTION("""COMPUTED_VALUE"""),"https://www.instagram.com/ziarat_ashoora_ardabil/")</f>
        <v>https://www.instagram.com/ziarat_ashoora_ardabil/</v>
      </c>
      <c r="I2425" s="5"/>
      <c r="J2425" s="6" t="str">
        <f>IFERROR(__xludf.DUMMYFUNCTION("""COMPUTED_VALUE"""),"https://ble.ir/ziarat_ashoora_ardabil")</f>
        <v>https://ble.ir/ziarat_ashoora_ardabil</v>
      </c>
      <c r="K2425" s="5"/>
      <c r="L2425" s="5"/>
      <c r="M2425" s="5"/>
      <c r="N2425" s="5"/>
      <c r="O2425" s="5"/>
      <c r="P2425" s="5"/>
      <c r="Q2425" s="5"/>
      <c r="R2425" s="5"/>
      <c r="S2425" s="5"/>
    </row>
    <row r="2426">
      <c r="A2426" s="5">
        <f>IFERROR(__xludf.DUMMYFUNCTION("""COMPUTED_VALUE"""),17827.0)</f>
        <v>17827</v>
      </c>
      <c r="B2426" s="5" t="str">
        <f>IFERROR(__xludf.DUMMYFUNCTION("""COMPUTED_VALUE"""),"هیأت هفتگی")</f>
        <v>هیأت هفتگی</v>
      </c>
      <c r="C2426" s="5" t="str">
        <f>IFERROR(__xludf.DUMMYFUNCTION("""COMPUTED_VALUE"""),"ام ابیها(س)")</f>
        <v>ام ابیها(س)</v>
      </c>
      <c r="D2426" s="5" t="str">
        <f>IFERROR(__xludf.DUMMYFUNCTION("""COMPUTED_VALUE"""),"اردبیل")</f>
        <v>اردبیل</v>
      </c>
      <c r="E2426" s="5" t="str">
        <f>IFERROR(__xludf.DUMMYFUNCTION("""COMPUTED_VALUE"""),"اردبیل")</f>
        <v>اردبیل</v>
      </c>
      <c r="F2426" s="5"/>
      <c r="G2426" s="5"/>
      <c r="H2426" s="6" t="str">
        <f>IFERROR(__xludf.DUMMYFUNCTION("""COMPUTED_VALUE"""),"https://www.instagram.com/heyate_omeabiha_ardabil/")</f>
        <v>https://www.instagram.com/heyate_omeabiha_ardabil/</v>
      </c>
      <c r="I2426" s="6" t="str">
        <f>IFERROR(__xludf.DUMMYFUNCTION("""COMPUTED_VALUE"""),"t.me/omeabiha01")</f>
        <v>t.me/omeabiha01</v>
      </c>
      <c r="J2426" s="5"/>
      <c r="K2426" s="5"/>
      <c r="L2426" s="5"/>
      <c r="M2426" s="5"/>
      <c r="N2426" s="5"/>
      <c r="O2426" s="5"/>
      <c r="P2426" s="5"/>
      <c r="Q2426" s="5"/>
      <c r="R2426" s="5"/>
      <c r="S2426" s="5"/>
    </row>
    <row r="2427">
      <c r="A2427" s="5">
        <f>IFERROR(__xludf.DUMMYFUNCTION("""COMPUTED_VALUE"""),1092.0)</f>
        <v>1092</v>
      </c>
      <c r="B2427" s="5" t="str">
        <f>IFERROR(__xludf.DUMMYFUNCTION("""COMPUTED_VALUE"""),"هیأت هفتگی")</f>
        <v>هیأت هفتگی</v>
      </c>
      <c r="C2427" s="5" t="str">
        <f>IFERROR(__xludf.DUMMYFUNCTION("""COMPUTED_VALUE"""),"عاشقان ولایت")</f>
        <v>عاشقان ولایت</v>
      </c>
      <c r="D2427" s="5" t="str">
        <f>IFERROR(__xludf.DUMMYFUNCTION("""COMPUTED_VALUE"""),"اردبیل")</f>
        <v>اردبیل</v>
      </c>
      <c r="E2427" s="5" t="str">
        <f>IFERROR(__xludf.DUMMYFUNCTION("""COMPUTED_VALUE"""),"اردبیل")</f>
        <v>اردبیل</v>
      </c>
      <c r="F2427" s="5"/>
      <c r="G2427" s="5"/>
      <c r="H2427" s="6" t="str">
        <f>IFERROR(__xludf.DUMMYFUNCTION("""COMPUTED_VALUE"""),"https://www.instagram.com/heyate_asheganeh_velayat/")</f>
        <v>https://www.instagram.com/heyate_asheganeh_velayat/</v>
      </c>
      <c r="I2427" s="5"/>
      <c r="J2427" s="6" t="str">
        <f>IFERROR(__xludf.DUMMYFUNCTION("""COMPUTED_VALUE"""),"https://eitaa.com/heyate_asheganeh_velayat")</f>
        <v>https://eitaa.com/heyate_asheganeh_velayat</v>
      </c>
      <c r="K2427" s="5"/>
      <c r="L2427" s="5"/>
      <c r="M2427" s="5"/>
      <c r="N2427" s="5"/>
      <c r="O2427" s="5"/>
      <c r="P2427" s="5"/>
      <c r="Q2427" s="5"/>
      <c r="R2427" s="5"/>
      <c r="S2427" s="5"/>
    </row>
    <row r="2428">
      <c r="A2428" s="5">
        <f>IFERROR(__xludf.DUMMYFUNCTION("""COMPUTED_VALUE"""),918.0)</f>
        <v>918</v>
      </c>
      <c r="B2428" s="5"/>
      <c r="C2428" s="5" t="str">
        <f>IFERROR(__xludf.DUMMYFUNCTION("""COMPUTED_VALUE"""),"قمربنی هاشم (ع)")</f>
        <v>قمربنی هاشم (ع)</v>
      </c>
      <c r="D2428" s="5" t="str">
        <f>IFERROR(__xludf.DUMMYFUNCTION("""COMPUTED_VALUE"""),"اردبیل")</f>
        <v>اردبیل</v>
      </c>
      <c r="E2428" s="5" t="str">
        <f>IFERROR(__xludf.DUMMYFUNCTION("""COMPUTED_VALUE"""),"اردبیل")</f>
        <v>اردبیل</v>
      </c>
      <c r="F2428" s="5"/>
      <c r="G2428" s="5"/>
      <c r="H2428" s="6" t="str">
        <f>IFERROR(__xludf.DUMMYFUNCTION("""COMPUTED_VALUE"""),"https://www.instagram.com/gamarebanyhashem/")</f>
        <v>https://www.instagram.com/gamarebanyhashem/</v>
      </c>
      <c r="I2428" s="6" t="str">
        <f>IFERROR(__xludf.DUMMYFUNCTION("""COMPUTED_VALUE"""),"tlgrm.in/gamarbanyhashm")</f>
        <v>tlgrm.in/gamarbanyhashm</v>
      </c>
      <c r="J2428" s="5"/>
      <c r="K2428" s="5"/>
      <c r="L2428" s="5"/>
      <c r="M2428" s="5"/>
      <c r="N2428" s="5"/>
      <c r="O2428" s="5"/>
      <c r="P2428" s="5"/>
      <c r="Q2428" s="5"/>
      <c r="R2428" s="5"/>
      <c r="S2428" s="5"/>
    </row>
    <row r="2429">
      <c r="A2429" s="5">
        <f>IFERROR(__xludf.DUMMYFUNCTION("""COMPUTED_VALUE"""),906.0)</f>
        <v>906</v>
      </c>
      <c r="B2429" s="5"/>
      <c r="C2429" s="5" t="str">
        <f>IFERROR(__xludf.DUMMYFUNCTION("""COMPUTED_VALUE"""),"الزهرا (س)")</f>
        <v>الزهرا (س)</v>
      </c>
      <c r="D2429" s="5" t="str">
        <f>IFERROR(__xludf.DUMMYFUNCTION("""COMPUTED_VALUE"""),"اردبیل")</f>
        <v>اردبیل</v>
      </c>
      <c r="E2429" s="5" t="str">
        <f>IFERROR(__xludf.DUMMYFUNCTION("""COMPUTED_VALUE"""),"اردبیل")</f>
        <v>اردبیل</v>
      </c>
      <c r="F2429" s="5"/>
      <c r="G2429" s="5"/>
      <c r="H2429" s="6" t="str">
        <f>IFERROR(__xludf.DUMMYFUNCTION("""COMPUTED_VALUE"""),"https://www.instagram.com/heyat_alzahraardabil/")</f>
        <v>https://www.instagram.com/heyat_alzahraardabil/</v>
      </c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</row>
    <row r="2430">
      <c r="A2430" s="5">
        <f>IFERROR(__xludf.DUMMYFUNCTION("""COMPUTED_VALUE"""),871.0)</f>
        <v>871</v>
      </c>
      <c r="B2430" s="5" t="str">
        <f>IFERROR(__xludf.DUMMYFUNCTION("""COMPUTED_VALUE"""),"هیأت هفتگی")</f>
        <v>هیأت هفتگی</v>
      </c>
      <c r="C2430" s="5" t="str">
        <f>IFERROR(__xludf.DUMMYFUNCTION("""COMPUTED_VALUE""")," النور")</f>
        <v> النور</v>
      </c>
      <c r="D2430" s="5" t="str">
        <f>IFERROR(__xludf.DUMMYFUNCTION("""COMPUTED_VALUE"""),"اردبیل")</f>
        <v>اردبیل</v>
      </c>
      <c r="E2430" s="5" t="str">
        <f>IFERROR(__xludf.DUMMYFUNCTION("""COMPUTED_VALUE"""),"اردبیل")</f>
        <v>اردبیل</v>
      </c>
      <c r="F2430" s="5"/>
      <c r="G2430" s="5"/>
      <c r="H2430" s="6" t="str">
        <f>IFERROR(__xludf.DUMMYFUNCTION("""COMPUTED_VALUE"""),"https://www.instagram.com/heyat_alnoor_ardebil/")</f>
        <v>https://www.instagram.com/heyat_alnoor_ardebil/</v>
      </c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</row>
    <row r="2431">
      <c r="A2431" s="5">
        <f>IFERROR(__xludf.DUMMYFUNCTION("""COMPUTED_VALUE"""),840.0)</f>
        <v>840</v>
      </c>
      <c r="B2431" s="5" t="str">
        <f>IFERROR(__xludf.DUMMYFUNCTION("""COMPUTED_VALUE"""),"هیأت مناسبتی")</f>
        <v>هیأت مناسبتی</v>
      </c>
      <c r="C2431" s="5" t="str">
        <f>IFERROR(__xludf.DUMMYFUNCTION("""COMPUTED_VALUE"""),"محبین المهدی (عج)")</f>
        <v>محبین المهدی (عج)</v>
      </c>
      <c r="D2431" s="5" t="str">
        <f>IFERROR(__xludf.DUMMYFUNCTION("""COMPUTED_VALUE"""),"اردبیل")</f>
        <v>اردبیل</v>
      </c>
      <c r="E2431" s="5" t="str">
        <f>IFERROR(__xludf.DUMMYFUNCTION("""COMPUTED_VALUE"""),"اردبیل")</f>
        <v>اردبیل</v>
      </c>
      <c r="F2431" s="5"/>
      <c r="G2431" s="5"/>
      <c r="H2431" s="6" t="str">
        <f>IFERROR(__xludf.DUMMYFUNCTION("""COMPUTED_VALUE"""),"https://www.instagram.com/heyat_mohebbinalmahdi83/")</f>
        <v>https://www.instagram.com/heyat_mohebbinalmahdi83/</v>
      </c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</row>
    <row r="2432">
      <c r="A2432" s="5">
        <f>IFERROR(__xludf.DUMMYFUNCTION("""COMPUTED_VALUE"""),833.0)</f>
        <v>833</v>
      </c>
      <c r="B2432" s="5" t="str">
        <f>IFERROR(__xludf.DUMMYFUNCTION("""COMPUTED_VALUE"""),"هیأت هفتگی")</f>
        <v>هیأت هفتگی</v>
      </c>
      <c r="C2432" s="5" t="str">
        <f>IFERROR(__xludf.DUMMYFUNCTION("""COMPUTED_VALUE"""),"جوانان عاشورایی")</f>
        <v>جوانان عاشورایی</v>
      </c>
      <c r="D2432" s="5" t="str">
        <f>IFERROR(__xludf.DUMMYFUNCTION("""COMPUTED_VALUE"""),"اردبیل")</f>
        <v>اردبیل</v>
      </c>
      <c r="E2432" s="5" t="str">
        <f>IFERROR(__xludf.DUMMYFUNCTION("""COMPUTED_VALUE"""),"اردبیل")</f>
        <v>اردبیل</v>
      </c>
      <c r="F2432" s="5"/>
      <c r="G2432" s="5"/>
      <c r="H2432" s="6" t="str">
        <f>IFERROR(__xludf.DUMMYFUNCTION("""COMPUTED_VALUE"""),"https://www.instagram.com/javananeashoraee/")</f>
        <v>https://www.instagram.com/javananeashoraee/</v>
      </c>
      <c r="I2432" s="5"/>
      <c r="J2432" s="6" t="str">
        <f>IFERROR(__xludf.DUMMYFUNCTION("""COMPUTED_VALUE"""),"eitaa.com/javananeashoraee")</f>
        <v>eitaa.com/javananeashoraee</v>
      </c>
      <c r="K2432" s="5"/>
      <c r="L2432" s="5"/>
      <c r="M2432" s="5"/>
      <c r="N2432" s="5"/>
      <c r="O2432" s="5"/>
      <c r="P2432" s="5"/>
      <c r="Q2432" s="5"/>
      <c r="R2432" s="5"/>
      <c r="S2432" s="5"/>
    </row>
    <row r="2433">
      <c r="A2433" s="5">
        <f>IFERROR(__xludf.DUMMYFUNCTION("""COMPUTED_VALUE"""),809.0)</f>
        <v>809</v>
      </c>
      <c r="B2433" s="5" t="str">
        <f>IFERROR(__xludf.DUMMYFUNCTION("""COMPUTED_VALUE"""),"هیأت هفتگی")</f>
        <v>هیأت هفتگی</v>
      </c>
      <c r="C2433" s="5" t="str">
        <f>IFERROR(__xludf.DUMMYFUNCTION("""COMPUTED_VALUE"""),"مکتب الزهرا (س)")</f>
        <v>مکتب الزهرا (س)</v>
      </c>
      <c r="D2433" s="5" t="str">
        <f>IFERROR(__xludf.DUMMYFUNCTION("""COMPUTED_VALUE"""),"اردبیل")</f>
        <v>اردبیل</v>
      </c>
      <c r="E2433" s="5" t="str">
        <f>IFERROR(__xludf.DUMMYFUNCTION("""COMPUTED_VALUE"""),"اردبیل")</f>
        <v>اردبیل</v>
      </c>
      <c r="F2433" s="5"/>
      <c r="G2433" s="5"/>
      <c r="H2433" s="6" t="str">
        <f>IFERROR(__xludf.DUMMYFUNCTION("""COMPUTED_VALUE"""),"https://www.instagram.com/heat_maktab_zahra_ardbil_/")</f>
        <v>https://www.instagram.com/heat_maktab_zahra_ardbil_/</v>
      </c>
      <c r="I2433" s="6" t="str">
        <f>IFERROR(__xludf.DUMMYFUNCTION("""COMPUTED_VALUE"""),"t.me/heat_maktab_zahra")</f>
        <v>t.me/heat_maktab_zahra</v>
      </c>
      <c r="J2433" s="5"/>
      <c r="K2433" s="5"/>
      <c r="L2433" s="5"/>
      <c r="M2433" s="5"/>
      <c r="N2433" s="5"/>
      <c r="O2433" s="5"/>
      <c r="P2433" s="5"/>
      <c r="Q2433" s="5"/>
      <c r="R2433" s="5"/>
      <c r="S2433" s="5"/>
    </row>
    <row r="2434">
      <c r="A2434" s="5">
        <f>IFERROR(__xludf.DUMMYFUNCTION("""COMPUTED_VALUE"""),788.0)</f>
        <v>788</v>
      </c>
      <c r="B2434" s="5" t="str">
        <f>IFERROR(__xludf.DUMMYFUNCTION("""COMPUTED_VALUE"""),"هیأت هفتگی")</f>
        <v>هیأت هفتگی</v>
      </c>
      <c r="C2434" s="5" t="str">
        <f>IFERROR(__xludf.DUMMYFUNCTION("""COMPUTED_VALUE"""),"انصارالمهدی (عج)")</f>
        <v>انصارالمهدی (عج)</v>
      </c>
      <c r="D2434" s="5" t="str">
        <f>IFERROR(__xludf.DUMMYFUNCTION("""COMPUTED_VALUE"""),"اردبیل")</f>
        <v>اردبیل</v>
      </c>
      <c r="E2434" s="5" t="str">
        <f>IFERROR(__xludf.DUMMYFUNCTION("""COMPUTED_VALUE"""),"اردبیل")</f>
        <v>اردبیل</v>
      </c>
      <c r="F2434" s="5"/>
      <c r="G2434" s="5"/>
      <c r="H2434" s="6" t="str">
        <f>IFERROR(__xludf.DUMMYFUNCTION("""COMPUTED_VALUE"""),"https://www.instagram.com/ansarolmahdiardabil/")</f>
        <v>https://www.instagram.com/ansarolmahdiardabil/</v>
      </c>
      <c r="I2434" s="5"/>
      <c r="J2434" s="6" t="str">
        <f>IFERROR(__xludf.DUMMYFUNCTION("""COMPUTED_VALUE"""),"https://eitaa.com/ansarolmahdiardabil")</f>
        <v>https://eitaa.com/ansarolmahdiardabil</v>
      </c>
      <c r="K2434" s="5"/>
      <c r="L2434" s="5"/>
      <c r="M2434" s="5"/>
      <c r="N2434" s="5"/>
      <c r="O2434" s="5"/>
      <c r="P2434" s="5"/>
      <c r="Q2434" s="5"/>
      <c r="R2434" s="5"/>
      <c r="S2434" s="5"/>
    </row>
    <row r="2435">
      <c r="A2435" s="5">
        <f>IFERROR(__xludf.DUMMYFUNCTION("""COMPUTED_VALUE"""),19161.0)</f>
        <v>19161</v>
      </c>
      <c r="B2435" s="5" t="str">
        <f>IFERROR(__xludf.DUMMYFUNCTION("""COMPUTED_VALUE"""),"هیأت نوجوان")</f>
        <v>هیأت نوجوان</v>
      </c>
      <c r="C2435" s="5" t="str">
        <f>IFERROR(__xludf.DUMMYFUNCTION("""COMPUTED_VALUE"""),"جوانان مسجد امام صادق(ع)")</f>
        <v>جوانان مسجد امام صادق(ع)</v>
      </c>
      <c r="D2435" s="5" t="str">
        <f>IFERROR(__xludf.DUMMYFUNCTION("""COMPUTED_VALUE"""),"اردبیل")</f>
        <v>اردبیل</v>
      </c>
      <c r="E2435" s="5" t="str">
        <f>IFERROR(__xludf.DUMMYFUNCTION("""COMPUTED_VALUE"""),"خلخال")</f>
        <v>خلخال</v>
      </c>
      <c r="F2435" s="5"/>
      <c r="G2435" s="5"/>
      <c r="H2435" s="5"/>
      <c r="I2435" s="5"/>
      <c r="J2435" s="6" t="str">
        <f>IFERROR(__xludf.DUMMYFUNCTION("""COMPUTED_VALUE"""),"https://eitaa.com/emamesadeg")</f>
        <v>https://eitaa.com/emamesadeg</v>
      </c>
      <c r="K2435" s="5"/>
      <c r="L2435" s="5"/>
      <c r="M2435" s="5"/>
      <c r="N2435" s="5"/>
      <c r="O2435" s="5"/>
      <c r="P2435" s="5"/>
      <c r="Q2435" s="5"/>
      <c r="R2435" s="5"/>
      <c r="S2435" s="5"/>
    </row>
    <row r="2436">
      <c r="A2436" s="5">
        <f>IFERROR(__xludf.DUMMYFUNCTION("""COMPUTED_VALUE"""),18016.0)</f>
        <v>18016</v>
      </c>
      <c r="B2436" s="5"/>
      <c r="C2436" s="5" t="str">
        <f>IFERROR(__xludf.DUMMYFUNCTION("""COMPUTED_VALUE"""),"مکتب الزینب (س)")</f>
        <v>مکتب الزینب (س)</v>
      </c>
      <c r="D2436" s="5" t="str">
        <f>IFERROR(__xludf.DUMMYFUNCTION("""COMPUTED_VALUE"""),"اردبیل")</f>
        <v>اردبیل</v>
      </c>
      <c r="E2436" s="5" t="str">
        <f>IFERROR(__xludf.DUMMYFUNCTION("""COMPUTED_VALUE"""),"مشگین شهر")</f>
        <v>مشگین شهر</v>
      </c>
      <c r="F2436" s="5"/>
      <c r="G2436" s="5"/>
      <c r="H2436" s="5"/>
      <c r="I2436" s="6" t="str">
        <f>IFERROR(__xludf.DUMMYFUNCTION("""COMPUTED_VALUE"""),"t.me/maktab_alzeinab")</f>
        <v>t.me/maktab_alzeinab</v>
      </c>
      <c r="J2436" s="5"/>
      <c r="K2436" s="5"/>
      <c r="L2436" s="5"/>
      <c r="M2436" s="5"/>
      <c r="N2436" s="5"/>
      <c r="O2436" s="5"/>
      <c r="P2436" s="5"/>
      <c r="Q2436" s="5"/>
      <c r="R2436" s="5"/>
      <c r="S2436" s="5"/>
    </row>
    <row r="2437">
      <c r="A2437" s="5">
        <f>IFERROR(__xludf.DUMMYFUNCTION("""COMPUTED_VALUE"""),997.0)</f>
        <v>997</v>
      </c>
      <c r="B2437" s="5" t="str">
        <f>IFERROR(__xludf.DUMMYFUNCTION("""COMPUTED_VALUE"""),"هیأت هفتگی")</f>
        <v>هیأت هفتگی</v>
      </c>
      <c r="C2437" s="5" t="str">
        <f>IFERROR(__xludf.DUMMYFUNCTION("""COMPUTED_VALUE"""),"شهدای گمنام")</f>
        <v>شهدای گمنام</v>
      </c>
      <c r="D2437" s="5" t="str">
        <f>IFERROR(__xludf.DUMMYFUNCTION("""COMPUTED_VALUE"""),"اردبیل")</f>
        <v>اردبیل</v>
      </c>
      <c r="E2437" s="5" t="str">
        <f>IFERROR(__xludf.DUMMYFUNCTION("""COMPUTED_VALUE"""),"مشگین شهر")</f>
        <v>مشگین شهر</v>
      </c>
      <c r="F2437" s="5"/>
      <c r="G2437" s="5"/>
      <c r="H2437" s="6" t="str">
        <f>IFERROR(__xludf.DUMMYFUNCTION("""COMPUTED_VALUE"""),"https://www.instagram.com/gomnam.1391/")</f>
        <v>https://www.instagram.com/gomnam.1391/</v>
      </c>
      <c r="I2437" s="6" t="str">
        <f>IFERROR(__xludf.DUMMYFUNCTION("""COMPUTED_VALUE"""),"t.me/gomnam1391")</f>
        <v>t.me/gomnam1391</v>
      </c>
      <c r="J2437" s="5"/>
      <c r="K2437" s="5"/>
      <c r="L2437" s="5"/>
      <c r="M2437" s="5"/>
      <c r="N2437" s="5"/>
      <c r="O2437" s="5"/>
      <c r="P2437" s="5"/>
      <c r="Q2437" s="5"/>
      <c r="R2437" s="5"/>
      <c r="S2437" s="5"/>
    </row>
    <row r="2438">
      <c r="A2438" s="5">
        <f>IFERROR(__xludf.DUMMYFUNCTION("""COMPUTED_VALUE"""),788.0)</f>
        <v>788</v>
      </c>
      <c r="B2438" s="5" t="str">
        <f>IFERROR(__xludf.DUMMYFUNCTION("""COMPUTED_VALUE"""),"هیأت ")</f>
        <v>هیأت </v>
      </c>
      <c r="C2438" s="5" t="str">
        <f>IFERROR(__xludf.DUMMYFUNCTION("""COMPUTED_VALUE"""),"انصارالمهدی (عج)")</f>
        <v>انصارالمهدی (عج)</v>
      </c>
      <c r="D2438" s="5" t="str">
        <f>IFERROR(__xludf.DUMMYFUNCTION("""COMPUTED_VALUE"""),"اردبیل")</f>
        <v>اردبیل</v>
      </c>
      <c r="E2438" s="5" t="str">
        <f>IFERROR(__xludf.DUMMYFUNCTION("""COMPUTED_VALUE"""),"اردبیل")</f>
        <v>اردبیل</v>
      </c>
      <c r="F2438" s="5"/>
      <c r="G2438" s="5"/>
      <c r="H2438" s="6" t="str">
        <f>IFERROR(__xludf.DUMMYFUNCTION("""COMPUTED_VALUE"""),"https://www.instagram.com/ansarolmahdiardabil")</f>
        <v>https://www.instagram.com/ansarolmahdiardabil</v>
      </c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</row>
    <row r="2439">
      <c r="A2439" s="5">
        <f>IFERROR(__xludf.DUMMYFUNCTION("""COMPUTED_VALUE"""),802.0)</f>
        <v>802</v>
      </c>
      <c r="B2439" s="5" t="str">
        <f>IFERROR(__xludf.DUMMYFUNCTION("""COMPUTED_VALUE"""),"هیأت ")</f>
        <v>هیأت </v>
      </c>
      <c r="C2439" s="5" t="str">
        <f>IFERROR(__xludf.DUMMYFUNCTION("""COMPUTED_VALUE"""),"باب الحوائج حضرت ابوالفضل (ع)")</f>
        <v>باب الحوائج حضرت ابوالفضل (ع)</v>
      </c>
      <c r="D2439" s="5" t="str">
        <f>IFERROR(__xludf.DUMMYFUNCTION("""COMPUTED_VALUE"""),"اردبیل")</f>
        <v>اردبیل</v>
      </c>
      <c r="E2439" s="5" t="str">
        <f>IFERROR(__xludf.DUMMYFUNCTION("""COMPUTED_VALUE"""),"اردبیل")</f>
        <v>اردبیل</v>
      </c>
      <c r="F2439" s="5"/>
      <c r="G2439" s="5"/>
      <c r="H2439" s="6" t="str">
        <f>IFERROR(__xludf.DUMMYFUNCTION("""COMPUTED_VALUE"""),"https://www.instagram.com/heyata.babalhavaaj.abolfazl/")</f>
        <v>https://www.instagram.com/heyata.babalhavaaj.abolfazl/</v>
      </c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</row>
    <row r="2440">
      <c r="A2440" s="5">
        <f>IFERROR(__xludf.DUMMYFUNCTION("""COMPUTED_VALUE"""),806.0)</f>
        <v>806</v>
      </c>
      <c r="B2440" s="5" t="str">
        <f>IFERROR(__xludf.DUMMYFUNCTION("""COMPUTED_VALUE"""),"هیأت ")</f>
        <v>هیأت </v>
      </c>
      <c r="C2440" s="5" t="str">
        <f>IFERROR(__xludf.DUMMYFUNCTION("""COMPUTED_VALUE"""),"ستاد زیارت عاشورا")</f>
        <v>ستاد زیارت عاشورا</v>
      </c>
      <c r="D2440" s="5" t="str">
        <f>IFERROR(__xludf.DUMMYFUNCTION("""COMPUTED_VALUE"""),"بدون شهرستان")</f>
        <v>بدون شهرستان</v>
      </c>
      <c r="E2440" s="5" t="str">
        <f>IFERROR(__xludf.DUMMYFUNCTION("""COMPUTED_VALUE"""),"بدون شهر")</f>
        <v>بدون شهر</v>
      </c>
      <c r="F2440" s="5"/>
      <c r="G2440" s="5"/>
      <c r="H2440" s="6" t="str">
        <f>IFERROR(__xludf.DUMMYFUNCTION("""COMPUTED_VALUE"""),"https://www.instagram.com/ziyarat_ashoora_ard")</f>
        <v>https://www.instagram.com/ziyarat_ashoora_ard</v>
      </c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</row>
    <row r="2441">
      <c r="A2441" s="5">
        <f>IFERROR(__xludf.DUMMYFUNCTION("""COMPUTED_VALUE"""),809.0)</f>
        <v>809</v>
      </c>
      <c r="B2441" s="5" t="str">
        <f>IFERROR(__xludf.DUMMYFUNCTION("""COMPUTED_VALUE"""),"هیأت ")</f>
        <v>هیأت </v>
      </c>
      <c r="C2441" s="5" t="str">
        <f>IFERROR(__xludf.DUMMYFUNCTION("""COMPUTED_VALUE"""),"مکتب الزهرا (س)")</f>
        <v>مکتب الزهرا (س)</v>
      </c>
      <c r="D2441" s="5" t="str">
        <f>IFERROR(__xludf.DUMMYFUNCTION("""COMPUTED_VALUE"""),"اردبیل")</f>
        <v>اردبیل</v>
      </c>
      <c r="E2441" s="5" t="str">
        <f>IFERROR(__xludf.DUMMYFUNCTION("""COMPUTED_VALUE"""),"اردبیل")</f>
        <v>اردبیل</v>
      </c>
      <c r="F2441" s="5"/>
      <c r="G2441" s="5"/>
      <c r="H2441" s="6" t="str">
        <f>IFERROR(__xludf.DUMMYFUNCTION("""COMPUTED_VALUE"""),"https://www.instagram.com/heat_maktab_zahra_ardbil_/")</f>
        <v>https://www.instagram.com/heat_maktab_zahra_ardbil_/</v>
      </c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</row>
    <row r="2442">
      <c r="A2442" s="5">
        <f>IFERROR(__xludf.DUMMYFUNCTION("""COMPUTED_VALUE"""),812.0)</f>
        <v>812</v>
      </c>
      <c r="B2442" s="5" t="str">
        <f>IFERROR(__xludf.DUMMYFUNCTION("""COMPUTED_VALUE"""),"هیأت ")</f>
        <v>هیأت </v>
      </c>
      <c r="C2442" s="5" t="str">
        <f>IFERROR(__xludf.DUMMYFUNCTION("""COMPUTED_VALUE"""),"ستاد دعای کمیل")</f>
        <v>ستاد دعای کمیل</v>
      </c>
      <c r="D2442" s="5" t="str">
        <f>IFERROR(__xludf.DUMMYFUNCTION("""COMPUTED_VALUE"""),"بدون شهرستان")</f>
        <v>بدون شهرستان</v>
      </c>
      <c r="E2442" s="5" t="str">
        <f>IFERROR(__xludf.DUMMYFUNCTION("""COMPUTED_VALUE"""),"بدون شهر")</f>
        <v>بدون شهر</v>
      </c>
      <c r="F2442" s="5"/>
      <c r="G2442" s="5"/>
      <c r="H2442" s="6" t="str">
        <f>IFERROR(__xludf.DUMMYFUNCTION("""COMPUTED_VALUE"""),"https://www.instagram.com/doaye.komeil.ard/")</f>
        <v>https://www.instagram.com/doaye.komeil.ard/</v>
      </c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</row>
    <row r="2443">
      <c r="A2443" s="5">
        <f>IFERROR(__xludf.DUMMYFUNCTION("""COMPUTED_VALUE"""),815.0)</f>
        <v>815</v>
      </c>
      <c r="B2443" s="5" t="str">
        <f>IFERROR(__xludf.DUMMYFUNCTION("""COMPUTED_VALUE"""),"هیأت ")</f>
        <v>هیأت </v>
      </c>
      <c r="C2443" s="5" t="str">
        <f>IFERROR(__xludf.DUMMYFUNCTION("""COMPUTED_VALUE"""),"مسلم بن عقیل (ع)")</f>
        <v>مسلم بن عقیل (ع)</v>
      </c>
      <c r="D2443" s="5" t="str">
        <f>IFERROR(__xludf.DUMMYFUNCTION("""COMPUTED_VALUE"""),"بدون شهرستان")</f>
        <v>بدون شهرستان</v>
      </c>
      <c r="E2443" s="5" t="str">
        <f>IFERROR(__xludf.DUMMYFUNCTION("""COMPUTED_VALUE"""),"بدون شهر")</f>
        <v>بدون شهر</v>
      </c>
      <c r="F2443" s="5"/>
      <c r="G2443" s="5"/>
      <c r="H2443" s="6" t="str">
        <f>IFERROR(__xludf.DUMMYFUNCTION("""COMPUTED_VALUE"""),"https://www.instagram.com/heyat_moslem_ebn_aqil/")</f>
        <v>https://www.instagram.com/heyat_moslem_ebn_aqil/</v>
      </c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</row>
    <row r="2444">
      <c r="A2444" s="5">
        <f>IFERROR(__xludf.DUMMYFUNCTION("""COMPUTED_VALUE"""),819.0)</f>
        <v>819</v>
      </c>
      <c r="B2444" s="5" t="str">
        <f>IFERROR(__xludf.DUMMYFUNCTION("""COMPUTED_VALUE"""),"هیأت ")</f>
        <v>هیأت </v>
      </c>
      <c r="C2444" s="5" t="str">
        <f>IFERROR(__xludf.DUMMYFUNCTION("""COMPUTED_VALUE"""),"زنجیر زنان بیت الاحزان")</f>
        <v>زنجیر زنان بیت الاحزان</v>
      </c>
      <c r="D2444" s="5" t="str">
        <f>IFERROR(__xludf.DUMMYFUNCTION("""COMPUTED_VALUE"""),"بدون شهرستان")</f>
        <v>بدون شهرستان</v>
      </c>
      <c r="E2444" s="5" t="str">
        <f>IFERROR(__xludf.DUMMYFUNCTION("""COMPUTED_VALUE"""),"بدون شهر")</f>
        <v>بدون شهر</v>
      </c>
      <c r="F2444" s="5"/>
      <c r="G2444" s="5"/>
      <c r="H2444" s="5"/>
      <c r="I2444" s="6" t="str">
        <f>IFERROR(__xludf.DUMMYFUNCTION("""COMPUTED_VALUE"""),"https://t.me/s/beit_al_ahzan?before")</f>
        <v>https://t.me/s/beit_al_ahzan?before</v>
      </c>
      <c r="J2444" s="5"/>
      <c r="K2444" s="5"/>
      <c r="L2444" s="5"/>
      <c r="M2444" s="5"/>
      <c r="N2444" s="5"/>
      <c r="O2444" s="5"/>
      <c r="P2444" s="5"/>
      <c r="Q2444" s="5"/>
      <c r="R2444" s="5"/>
      <c r="S2444" s="5"/>
    </row>
    <row r="2445">
      <c r="A2445" s="5">
        <f>IFERROR(__xludf.DUMMYFUNCTION("""COMPUTED_VALUE"""),820.0)</f>
        <v>820</v>
      </c>
      <c r="B2445" s="5" t="str">
        <f>IFERROR(__xludf.DUMMYFUNCTION("""COMPUTED_VALUE"""),"هیأت ")</f>
        <v>هیأت </v>
      </c>
      <c r="C2445" s="5" t="str">
        <f>IFERROR(__xludf.DUMMYFUNCTION("""COMPUTED_VALUE"""),"بنیاد مهدویت و هویت")</f>
        <v>بنیاد مهدویت و هویت</v>
      </c>
      <c r="D2445" s="5" t="str">
        <f>IFERROR(__xludf.DUMMYFUNCTION("""COMPUTED_VALUE"""),"بدون شهرستان")</f>
        <v>بدون شهرستان</v>
      </c>
      <c r="E2445" s="5" t="str">
        <f>IFERROR(__xludf.DUMMYFUNCTION("""COMPUTED_VALUE"""),"بدون شهر")</f>
        <v>بدون شهر</v>
      </c>
      <c r="F2445" s="5"/>
      <c r="G2445" s="5"/>
      <c r="H2445" s="6" t="str">
        <f>IFERROR(__xludf.DUMMYFUNCTION("""COMPUTED_VALUE"""),"https://www.instagram.com/bmh_ir")</f>
        <v>https://www.instagram.com/bmh_ir</v>
      </c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</row>
    <row r="2446">
      <c r="A2446" s="5">
        <f>IFERROR(__xludf.DUMMYFUNCTION("""COMPUTED_VALUE"""),830.0)</f>
        <v>830</v>
      </c>
      <c r="B2446" s="5" t="str">
        <f>IFERROR(__xludf.DUMMYFUNCTION("""COMPUTED_VALUE"""),"هیأت ")</f>
        <v>هیأت </v>
      </c>
      <c r="C2446" s="5" t="str">
        <f>IFERROR(__xludf.DUMMYFUNCTION("""COMPUTED_VALUE"""),"رزمندگان اسلام")</f>
        <v>رزمندگان اسلام</v>
      </c>
      <c r="D2446" s="5" t="str">
        <f>IFERROR(__xludf.DUMMYFUNCTION("""COMPUTED_VALUE"""),"اردبیل")</f>
        <v>اردبیل</v>
      </c>
      <c r="E2446" s="5" t="str">
        <f>IFERROR(__xludf.DUMMYFUNCTION("""COMPUTED_VALUE"""),"اردبیل")</f>
        <v>اردبیل</v>
      </c>
      <c r="F2446" s="5"/>
      <c r="G2446" s="5"/>
      <c r="H2446" s="6" t="str">
        <f>IFERROR(__xludf.DUMMYFUNCTION("""COMPUTED_VALUE"""),"https://www.instagram.com/miqat_info/")</f>
        <v>https://www.instagram.com/miqat_info/</v>
      </c>
      <c r="I2446" s="5"/>
      <c r="J2446" s="6" t="str">
        <f>IFERROR(__xludf.DUMMYFUNCTION("""COMPUTED_VALUE"""),"https://eitaa.com/razmandegan_ardabil")</f>
        <v>https://eitaa.com/razmandegan_ardabil</v>
      </c>
      <c r="K2446" s="5"/>
      <c r="L2446" s="5"/>
      <c r="M2446" s="5"/>
      <c r="N2446" s="5"/>
      <c r="O2446" s="5"/>
      <c r="P2446" s="5"/>
      <c r="Q2446" s="5"/>
      <c r="R2446" s="5"/>
      <c r="S2446" s="5"/>
    </row>
    <row r="2447">
      <c r="A2447" s="5">
        <f>IFERROR(__xludf.DUMMYFUNCTION("""COMPUTED_VALUE"""),833.0)</f>
        <v>833</v>
      </c>
      <c r="B2447" s="5" t="str">
        <f>IFERROR(__xludf.DUMMYFUNCTION("""COMPUTED_VALUE"""),"هیأت ")</f>
        <v>هیأت </v>
      </c>
      <c r="C2447" s="5" t="str">
        <f>IFERROR(__xludf.DUMMYFUNCTION("""COMPUTED_VALUE"""),"جوانان عاشورایی")</f>
        <v>جوانان عاشورایی</v>
      </c>
      <c r="D2447" s="5" t="str">
        <f>IFERROR(__xludf.DUMMYFUNCTION("""COMPUTED_VALUE"""),"اردبیل")</f>
        <v>اردبیل</v>
      </c>
      <c r="E2447" s="5" t="str">
        <f>IFERROR(__xludf.DUMMYFUNCTION("""COMPUTED_VALUE"""),"اردبیل")</f>
        <v>اردبیل</v>
      </c>
      <c r="F2447" s="5"/>
      <c r="G2447" s="5"/>
      <c r="H2447" s="6" t="str">
        <f>IFERROR(__xludf.DUMMYFUNCTION("""COMPUTED_VALUE"""),"https://www.instagram.com/javananeashoraee/")</f>
        <v>https://www.instagram.com/javananeashoraee/</v>
      </c>
      <c r="I2447" s="5"/>
      <c r="J2447" s="6" t="str">
        <f>IFERROR(__xludf.DUMMYFUNCTION("""COMPUTED_VALUE"""),"https://eitaa.com/javananeashoraee")</f>
        <v>https://eitaa.com/javananeashoraee</v>
      </c>
      <c r="K2447" s="5"/>
      <c r="L2447" s="5"/>
      <c r="M2447" s="5"/>
      <c r="N2447" s="5"/>
      <c r="O2447" s="5"/>
      <c r="P2447" s="5"/>
      <c r="Q2447" s="5"/>
      <c r="R2447" s="5"/>
      <c r="S2447" s="5"/>
    </row>
    <row r="2448">
      <c r="A2448" s="5">
        <f>IFERROR(__xludf.DUMMYFUNCTION("""COMPUTED_VALUE"""),835.0)</f>
        <v>835</v>
      </c>
      <c r="B2448" s="5" t="str">
        <f>IFERROR(__xludf.DUMMYFUNCTION("""COMPUTED_VALUE"""),"هیأت ")</f>
        <v>هیأت </v>
      </c>
      <c r="C2448" s="5" t="str">
        <f>IFERROR(__xludf.DUMMYFUNCTION("""COMPUTED_VALUE"""),"سیدالشهدا (ع)")</f>
        <v>سیدالشهدا (ع)</v>
      </c>
      <c r="D2448" s="5" t="str">
        <f>IFERROR(__xludf.DUMMYFUNCTION("""COMPUTED_VALUE"""),"بدون شهرستان")</f>
        <v>بدون شهرستان</v>
      </c>
      <c r="E2448" s="5" t="str">
        <f>IFERROR(__xludf.DUMMYFUNCTION("""COMPUTED_VALUE"""),"بدون شهر")</f>
        <v>بدون شهر</v>
      </c>
      <c r="F2448" s="5"/>
      <c r="G2448" s="5"/>
      <c r="H2448" s="6" t="str">
        <f>IFERROR(__xludf.DUMMYFUNCTION("""COMPUTED_VALUE"""),"https://www.instagram.com/seyedalshohada1321/")</f>
        <v>https://www.instagram.com/seyedalshohada1321/</v>
      </c>
      <c r="I2448" s="6" t="str">
        <f>IFERROR(__xludf.DUMMYFUNCTION("""COMPUTED_VALUE"""),"https://t.me/seyedalshohada1321")</f>
        <v>https://t.me/seyedalshohada1321</v>
      </c>
      <c r="J2448" s="5"/>
      <c r="K2448" s="5"/>
      <c r="L2448" s="5"/>
      <c r="M2448" s="5"/>
      <c r="N2448" s="5"/>
      <c r="O2448" s="5"/>
      <c r="P2448" s="5"/>
      <c r="Q2448" s="5"/>
      <c r="R2448" s="5"/>
      <c r="S2448" s="5"/>
    </row>
    <row r="2449">
      <c r="A2449" s="5">
        <f>IFERROR(__xludf.DUMMYFUNCTION("""COMPUTED_VALUE"""),840.0)</f>
        <v>840</v>
      </c>
      <c r="B2449" s="5" t="str">
        <f>IFERROR(__xludf.DUMMYFUNCTION("""COMPUTED_VALUE"""),"هیأت ")</f>
        <v>هیأت </v>
      </c>
      <c r="C2449" s="5" t="str">
        <f>IFERROR(__xludf.DUMMYFUNCTION("""COMPUTED_VALUE"""),"محبین المهدی (عج)")</f>
        <v>محبین المهدی (عج)</v>
      </c>
      <c r="D2449" s="5" t="str">
        <f>IFERROR(__xludf.DUMMYFUNCTION("""COMPUTED_VALUE"""),"اردبیل")</f>
        <v>اردبیل</v>
      </c>
      <c r="E2449" s="5" t="str">
        <f>IFERROR(__xludf.DUMMYFUNCTION("""COMPUTED_VALUE"""),"اردبیل")</f>
        <v>اردبیل</v>
      </c>
      <c r="F2449" s="5"/>
      <c r="G2449" s="5"/>
      <c r="H2449" s="6" t="str">
        <f>IFERROR(__xludf.DUMMYFUNCTION("""COMPUTED_VALUE"""),"https://www.instagram.com/heyat_mohebbinalmahdi83")</f>
        <v>https://www.instagram.com/heyat_mohebbinalmahdi83</v>
      </c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</row>
    <row r="2450">
      <c r="A2450" s="5">
        <f>IFERROR(__xludf.DUMMYFUNCTION("""COMPUTED_VALUE"""),846.0)</f>
        <v>846</v>
      </c>
      <c r="B2450" s="5" t="str">
        <f>IFERROR(__xludf.DUMMYFUNCTION("""COMPUTED_VALUE"""),"هیأت ")</f>
        <v>هیأت </v>
      </c>
      <c r="C2450" s="5" t="str">
        <f>IFERROR(__xludf.DUMMYFUNCTION("""COMPUTED_VALUE"""),"حضرت معصومه (س)")</f>
        <v>حضرت معصومه (س)</v>
      </c>
      <c r="D2450" s="5" t="str">
        <f>IFERROR(__xludf.DUMMYFUNCTION("""COMPUTED_VALUE"""),"اردبیل")</f>
        <v>اردبیل</v>
      </c>
      <c r="E2450" s="5" t="str">
        <f>IFERROR(__xludf.DUMMYFUNCTION("""COMPUTED_VALUE"""),"اردبیل")</f>
        <v>اردبیل</v>
      </c>
      <c r="F2450" s="5"/>
      <c r="G2450" s="5"/>
      <c r="H2450" s="6" t="str">
        <f>IFERROR(__xludf.DUMMYFUNCTION("""COMPUTED_VALUE"""),"https://www.instagram.com/heyat.hazrat.masomeh/")</f>
        <v>https://www.instagram.com/heyat.hazrat.masomeh/</v>
      </c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</row>
    <row r="2451">
      <c r="A2451" s="5">
        <f>IFERROR(__xludf.DUMMYFUNCTION("""COMPUTED_VALUE"""),851.0)</f>
        <v>851</v>
      </c>
      <c r="B2451" s="5" t="str">
        <f>IFERROR(__xludf.DUMMYFUNCTION("""COMPUTED_VALUE"""),"هیأت ")</f>
        <v>هیأت </v>
      </c>
      <c r="C2451" s="5" t="str">
        <f>IFERROR(__xludf.DUMMYFUNCTION("""COMPUTED_VALUE"""),"منتظران ظهور")</f>
        <v>منتظران ظهور</v>
      </c>
      <c r="D2451" s="5" t="str">
        <f>IFERROR(__xludf.DUMMYFUNCTION("""COMPUTED_VALUE"""),"بدون شهرستان")</f>
        <v>بدون شهرستان</v>
      </c>
      <c r="E2451" s="5" t="str">
        <f>IFERROR(__xludf.DUMMYFUNCTION("""COMPUTED_VALUE"""),"بدون شهر")</f>
        <v>بدون شهر</v>
      </c>
      <c r="F2451" s="5"/>
      <c r="G2451" s="5"/>
      <c r="H2451" s="6" t="str">
        <f>IFERROR(__xludf.DUMMYFUNCTION("""COMPUTED_VALUE"""),"https://www.instagram.com/montazeran_zohour_ardabil/")</f>
        <v>https://www.instagram.com/montazeran_zohour_ardabil/</v>
      </c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</row>
    <row r="2452">
      <c r="A2452" s="5">
        <f>IFERROR(__xludf.DUMMYFUNCTION("""COMPUTED_VALUE"""),855.0)</f>
        <v>855</v>
      </c>
      <c r="B2452" s="5" t="str">
        <f>IFERROR(__xludf.DUMMYFUNCTION("""COMPUTED_VALUE"""),"هیأت ")</f>
        <v>هیأت </v>
      </c>
      <c r="C2452" s="5" t="str">
        <f>IFERROR(__xludf.DUMMYFUNCTION("""COMPUTED_VALUE"""),"حضرت علی اکبر (ع)")</f>
        <v>حضرت علی اکبر (ع)</v>
      </c>
      <c r="D2452" s="5" t="str">
        <f>IFERROR(__xludf.DUMMYFUNCTION("""COMPUTED_VALUE"""),"بدون شهرستان")</f>
        <v>بدون شهرستان</v>
      </c>
      <c r="E2452" s="5" t="str">
        <f>IFERROR(__xludf.DUMMYFUNCTION("""COMPUTED_VALUE"""),"بدون شهر")</f>
        <v>بدون شهر</v>
      </c>
      <c r="F2452" s="5"/>
      <c r="G2452" s="5"/>
      <c r="H2452" s="6" t="str">
        <f>IFERROR(__xludf.DUMMYFUNCTION("""COMPUTED_VALUE"""),"https://www.instagram.com/heyat_aliakbar_ardebil/")</f>
        <v>https://www.instagram.com/heyat_aliakbar_ardebil/</v>
      </c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</row>
    <row r="2453">
      <c r="A2453" s="5">
        <f>IFERROR(__xludf.DUMMYFUNCTION("""COMPUTED_VALUE"""),857.0)</f>
        <v>857</v>
      </c>
      <c r="B2453" s="5" t="str">
        <f>IFERROR(__xludf.DUMMYFUNCTION("""COMPUTED_VALUE"""),"هیأت ")</f>
        <v>هیأت </v>
      </c>
      <c r="C2453" s="5" t="str">
        <f>IFERROR(__xludf.DUMMYFUNCTION("""COMPUTED_VALUE"""),"علی بن ابیطالب (ع)")</f>
        <v>علی بن ابیطالب (ع)</v>
      </c>
      <c r="D2453" s="5" t="str">
        <f>IFERROR(__xludf.DUMMYFUNCTION("""COMPUTED_VALUE"""),"بدون شهرستان")</f>
        <v>بدون شهرستان</v>
      </c>
      <c r="E2453" s="5" t="str">
        <f>IFERROR(__xludf.DUMMYFUNCTION("""COMPUTED_VALUE"""),"بدون شهر")</f>
        <v>بدون شهر</v>
      </c>
      <c r="F2453" s="5"/>
      <c r="G2453" s="5"/>
      <c r="H2453" s="6" t="str">
        <f>IFERROR(__xludf.DUMMYFUNCTION("""COMPUTED_VALUE"""),"https://www.instagram.com/ali_ebne_abitaleb1372/")</f>
        <v>https://www.instagram.com/ali_ebne_abitaleb1372/</v>
      </c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</row>
    <row r="2454">
      <c r="A2454" s="5">
        <f>IFERROR(__xludf.DUMMYFUNCTION("""COMPUTED_VALUE"""),861.0)</f>
        <v>861</v>
      </c>
      <c r="B2454" s="5" t="str">
        <f>IFERROR(__xludf.DUMMYFUNCTION("""COMPUTED_VALUE"""),"هیأت ")</f>
        <v>هیأت </v>
      </c>
      <c r="C2454" s="5" t="str">
        <f>IFERROR(__xludf.DUMMYFUNCTION("""COMPUTED_VALUE"""),"علمدار (ع)")</f>
        <v>علمدار (ع)</v>
      </c>
      <c r="D2454" s="5" t="str">
        <f>IFERROR(__xludf.DUMMYFUNCTION("""COMPUTED_VALUE"""),"بدون شهرستان")</f>
        <v>بدون شهرستان</v>
      </c>
      <c r="E2454" s="5" t="str">
        <f>IFERROR(__xludf.DUMMYFUNCTION("""COMPUTED_VALUE"""),"بدون شهر")</f>
        <v>بدون شهر</v>
      </c>
      <c r="F2454" s="5"/>
      <c r="G2454" s="5"/>
      <c r="H2454" s="6" t="str">
        <f>IFERROR(__xludf.DUMMYFUNCTION("""COMPUTED_VALUE"""),"https://www.instagram.com/alam_dar_ir/")</f>
        <v>https://www.instagram.com/alam_dar_ir/</v>
      </c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</row>
    <row r="2455">
      <c r="A2455" s="5">
        <f>IFERROR(__xludf.DUMMYFUNCTION("""COMPUTED_VALUE"""),871.0)</f>
        <v>871</v>
      </c>
      <c r="B2455" s="5" t="str">
        <f>IFERROR(__xludf.DUMMYFUNCTION("""COMPUTED_VALUE"""),"هیأت ")</f>
        <v>هیأت </v>
      </c>
      <c r="C2455" s="5" t="str">
        <f>IFERROR(__xludf.DUMMYFUNCTION("""COMPUTED_VALUE"""),"هیات النور")</f>
        <v>هیات النور</v>
      </c>
      <c r="D2455" s="5" t="str">
        <f>IFERROR(__xludf.DUMMYFUNCTION("""COMPUTED_VALUE"""),"اردبیل")</f>
        <v>اردبیل</v>
      </c>
      <c r="E2455" s="5" t="str">
        <f>IFERROR(__xludf.DUMMYFUNCTION("""COMPUTED_VALUE"""),"اردبیل")</f>
        <v>اردبیل</v>
      </c>
      <c r="F2455" s="5"/>
      <c r="G2455" s="5"/>
      <c r="H2455" s="6" t="str">
        <f>IFERROR(__xludf.DUMMYFUNCTION("""COMPUTED_VALUE"""),"https://www.instagram.com/heyat_alnoor_ardebil")</f>
        <v>https://www.instagram.com/heyat_alnoor_ardebil</v>
      </c>
      <c r="I2455" s="6" t="str">
        <f>IFERROR(__xludf.DUMMYFUNCTION("""COMPUTED_VALUE"""),"https://t.me/Heyatalnoor")</f>
        <v>https://t.me/Heyatalnoor</v>
      </c>
      <c r="J2455" s="6" t="str">
        <f>IFERROR(__xludf.DUMMYFUNCTION("""COMPUTED_VALUE"""),"https://eitaa.com/heyatnoorardabil")</f>
        <v>https://eitaa.com/heyatnoorardabil</v>
      </c>
      <c r="K2455" s="5"/>
      <c r="L2455" s="5"/>
      <c r="M2455" s="5"/>
      <c r="N2455" s="5"/>
      <c r="O2455" s="5"/>
      <c r="P2455" s="5"/>
      <c r="Q2455" s="5"/>
      <c r="R2455" s="5"/>
      <c r="S2455" s="5"/>
    </row>
    <row r="2456">
      <c r="A2456" s="5">
        <f>IFERROR(__xludf.DUMMYFUNCTION("""COMPUTED_VALUE"""),873.0)</f>
        <v>873</v>
      </c>
      <c r="B2456" s="5" t="str">
        <f>IFERROR(__xludf.DUMMYFUNCTION("""COMPUTED_VALUE"""),"هیأت ")</f>
        <v>هیأت </v>
      </c>
      <c r="C2456" s="5" t="str">
        <f>IFERROR(__xludf.DUMMYFUNCTION("""COMPUTED_VALUE"""),"مکتب الشهدا")</f>
        <v>مکتب الشهدا</v>
      </c>
      <c r="D2456" s="5" t="str">
        <f>IFERROR(__xludf.DUMMYFUNCTION("""COMPUTED_VALUE"""),"اردبیل")</f>
        <v>اردبیل</v>
      </c>
      <c r="E2456" s="5" t="str">
        <f>IFERROR(__xludf.DUMMYFUNCTION("""COMPUTED_VALUE"""),"اردبیل")</f>
        <v>اردبیل</v>
      </c>
      <c r="F2456" s="5"/>
      <c r="G2456" s="5"/>
      <c r="H2456" s="6" t="str">
        <f>IFERROR(__xludf.DUMMYFUNCTION("""COMPUTED_VALUE"""),"https://www.instagram.com/maktab_ir")</f>
        <v>https://www.instagram.com/maktab_ir</v>
      </c>
      <c r="I2456" s="5"/>
      <c r="J2456" s="6" t="str">
        <f>IFERROR(__xludf.DUMMYFUNCTION("""COMPUTED_VALUE"""),"https://eitaa.com/maktab_ir")</f>
        <v>https://eitaa.com/maktab_ir</v>
      </c>
      <c r="K2456" s="5"/>
      <c r="L2456" s="5"/>
      <c r="M2456" s="5"/>
      <c r="N2456" s="5"/>
      <c r="O2456" s="5"/>
      <c r="P2456" s="5"/>
      <c r="Q2456" s="5"/>
      <c r="R2456" s="5"/>
      <c r="S2456" s="5"/>
    </row>
    <row r="2457">
      <c r="A2457" s="5">
        <f>IFERROR(__xludf.DUMMYFUNCTION("""COMPUTED_VALUE"""),881.0)</f>
        <v>881</v>
      </c>
      <c r="B2457" s="5" t="str">
        <f>IFERROR(__xludf.DUMMYFUNCTION("""COMPUTED_VALUE"""),"هیأت ")</f>
        <v>هیأت </v>
      </c>
      <c r="C2457" s="5" t="str">
        <f>IFERROR(__xludf.DUMMYFUNCTION("""COMPUTED_VALUE"""),"عباسی")</f>
        <v>عباسی</v>
      </c>
      <c r="D2457" s="5" t="str">
        <f>IFERROR(__xludf.DUMMYFUNCTION("""COMPUTED_VALUE"""),"اردبیل")</f>
        <v>اردبیل</v>
      </c>
      <c r="E2457" s="5" t="str">
        <f>IFERROR(__xludf.DUMMYFUNCTION("""COMPUTED_VALUE"""),"اردبیل")</f>
        <v>اردبیل</v>
      </c>
      <c r="F2457" s="5"/>
      <c r="G2457" s="5"/>
      <c r="H2457" s="6" t="str">
        <f>IFERROR(__xludf.DUMMYFUNCTION("""COMPUTED_VALUE"""),"https://www.instagram.com/heyateabasii")</f>
        <v>https://www.instagram.com/heyateabasii</v>
      </c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</row>
    <row r="2458">
      <c r="A2458" s="5">
        <f>IFERROR(__xludf.DUMMYFUNCTION("""COMPUTED_VALUE"""),893.0)</f>
        <v>893</v>
      </c>
      <c r="B2458" s="5" t="str">
        <f>IFERROR(__xludf.DUMMYFUNCTION("""COMPUTED_VALUE"""),"هیأت ")</f>
        <v>هیأت </v>
      </c>
      <c r="C2458" s="5" t="str">
        <f>IFERROR(__xludf.DUMMYFUNCTION("""COMPUTED_VALUE"""),"حب الحسین (ع)")</f>
        <v>حب الحسین (ع)</v>
      </c>
      <c r="D2458" s="5" t="str">
        <f>IFERROR(__xludf.DUMMYFUNCTION("""COMPUTED_VALUE"""),"اردبیل")</f>
        <v>اردبیل</v>
      </c>
      <c r="E2458" s="5" t="str">
        <f>IFERROR(__xludf.DUMMYFUNCTION("""COMPUTED_VALUE"""),"اردبیل")</f>
        <v>اردبیل</v>
      </c>
      <c r="F2458" s="5"/>
      <c r="G2458" s="5"/>
      <c r="H2458" s="6" t="str">
        <f>IFERROR(__xludf.DUMMYFUNCTION("""COMPUTED_VALUE"""),"https://www.instagram.com/heyat_hobbol_hosseyn_ardabil")</f>
        <v>https://www.instagram.com/heyat_hobbol_hosseyn_ardabil</v>
      </c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</row>
    <row r="2459">
      <c r="A2459" s="5">
        <f>IFERROR(__xludf.DUMMYFUNCTION("""COMPUTED_VALUE"""),899.0)</f>
        <v>899</v>
      </c>
      <c r="B2459" s="5" t="str">
        <f>IFERROR(__xludf.DUMMYFUNCTION("""COMPUTED_VALUE"""),"هیأت ")</f>
        <v>هیأت </v>
      </c>
      <c r="C2459" s="5" t="str">
        <f>IFERROR(__xludf.DUMMYFUNCTION("""COMPUTED_VALUE"""),"امام هادی (ع)")</f>
        <v>امام هادی (ع)</v>
      </c>
      <c r="D2459" s="5" t="str">
        <f>IFERROR(__xludf.DUMMYFUNCTION("""COMPUTED_VALUE"""),"اردبیل")</f>
        <v>اردبیل</v>
      </c>
      <c r="E2459" s="5" t="str">
        <f>IFERROR(__xludf.DUMMYFUNCTION("""COMPUTED_VALUE"""),"اردبیل")</f>
        <v>اردبیل</v>
      </c>
      <c r="F2459" s="5"/>
      <c r="G2459" s="5"/>
      <c r="H2459" s="6" t="str">
        <f>IFERROR(__xludf.DUMMYFUNCTION("""COMPUTED_VALUE"""),"https://www.instagram.com/heyat_emamhadi/")</f>
        <v>https://www.instagram.com/heyat_emamhadi/</v>
      </c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</row>
    <row r="2460">
      <c r="A2460" s="5">
        <f>IFERROR(__xludf.DUMMYFUNCTION("""COMPUTED_VALUE"""),901.0)</f>
        <v>901</v>
      </c>
      <c r="B2460" s="5" t="str">
        <f>IFERROR(__xludf.DUMMYFUNCTION("""COMPUTED_VALUE"""),"هیأت ")</f>
        <v>هیأت </v>
      </c>
      <c r="C2460" s="5" t="str">
        <f>IFERROR(__xludf.DUMMYFUNCTION("""COMPUTED_VALUE"""),"ثارالله (ع)")</f>
        <v>ثارالله (ع)</v>
      </c>
      <c r="D2460" s="5" t="str">
        <f>IFERROR(__xludf.DUMMYFUNCTION("""COMPUTED_VALUE"""),"اردبیل")</f>
        <v>اردبیل</v>
      </c>
      <c r="E2460" s="5" t="str">
        <f>IFERROR(__xludf.DUMMYFUNCTION("""COMPUTED_VALUE"""),"اردبیل")</f>
        <v>اردبیل</v>
      </c>
      <c r="F2460" s="5"/>
      <c r="G2460" s="5"/>
      <c r="H2460" s="6" t="str">
        <f>IFERROR(__xludf.DUMMYFUNCTION("""COMPUTED_VALUE"""),"https://www.instagram.com/sarallah_ard/")</f>
        <v>https://www.instagram.com/sarallah_ard/</v>
      </c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</row>
    <row r="2461">
      <c r="A2461" s="5">
        <f>IFERROR(__xludf.DUMMYFUNCTION("""COMPUTED_VALUE"""),905.0)</f>
        <v>905</v>
      </c>
      <c r="B2461" s="5" t="str">
        <f>IFERROR(__xludf.DUMMYFUNCTION("""COMPUTED_VALUE"""),"هیأت ")</f>
        <v>هیأت </v>
      </c>
      <c r="C2461" s="5" t="str">
        <f>IFERROR(__xludf.DUMMYFUNCTION("""COMPUTED_VALUE"""),"شهدای گمنام")</f>
        <v>شهدای گمنام</v>
      </c>
      <c r="D2461" s="5" t="str">
        <f>IFERROR(__xludf.DUMMYFUNCTION("""COMPUTED_VALUE"""),"اردبیل")</f>
        <v>اردبیل</v>
      </c>
      <c r="E2461" s="5" t="str">
        <f>IFERROR(__xludf.DUMMYFUNCTION("""COMPUTED_VALUE"""),"اردبیل")</f>
        <v>اردبیل</v>
      </c>
      <c r="F2461" s="5"/>
      <c r="G2461" s="5"/>
      <c r="H2461" s="6" t="str">
        <f>IFERROR(__xludf.DUMMYFUNCTION("""COMPUTED_VALUE"""),"https://www.instagram.com/heyate_shohada_gomnam_ardabil/")</f>
        <v>https://www.instagram.com/heyate_shohada_gomnam_ardabil/</v>
      </c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</row>
    <row r="2462">
      <c r="A2462" s="5">
        <f>IFERROR(__xludf.DUMMYFUNCTION("""COMPUTED_VALUE"""),906.0)</f>
        <v>906</v>
      </c>
      <c r="B2462" s="5" t="str">
        <f>IFERROR(__xludf.DUMMYFUNCTION("""COMPUTED_VALUE"""),"هیأت ")</f>
        <v>هیأت </v>
      </c>
      <c r="C2462" s="5" t="str">
        <f>IFERROR(__xludf.DUMMYFUNCTION("""COMPUTED_VALUE"""),"هیات الزهرا (س)")</f>
        <v>هیات الزهرا (س)</v>
      </c>
      <c r="D2462" s="5" t="str">
        <f>IFERROR(__xludf.DUMMYFUNCTION("""COMPUTED_VALUE"""),"اردبیل")</f>
        <v>اردبیل</v>
      </c>
      <c r="E2462" s="5" t="str">
        <f>IFERROR(__xludf.DUMMYFUNCTION("""COMPUTED_VALUE"""),"اردبیل")</f>
        <v>اردبیل</v>
      </c>
      <c r="F2462" s="5"/>
      <c r="G2462" s="5"/>
      <c r="H2462" s="6" t="str">
        <f>IFERROR(__xludf.DUMMYFUNCTION("""COMPUTED_VALUE"""),"https://www.instagram.com/heyat_alzahraardabil/")</f>
        <v>https://www.instagram.com/heyat_alzahraardabil/</v>
      </c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</row>
    <row r="2463">
      <c r="A2463" s="5">
        <f>IFERROR(__xludf.DUMMYFUNCTION("""COMPUTED_VALUE"""),909.0)</f>
        <v>909</v>
      </c>
      <c r="B2463" s="5" t="str">
        <f>IFERROR(__xludf.DUMMYFUNCTION("""COMPUTED_VALUE"""),"هیأت ")</f>
        <v>هیأت </v>
      </c>
      <c r="C2463" s="5" t="str">
        <f>IFERROR(__xludf.DUMMYFUNCTION("""COMPUTED_VALUE"""),"فجرالارشاد")</f>
        <v>فجرالارشاد</v>
      </c>
      <c r="D2463" s="5" t="str">
        <f>IFERROR(__xludf.DUMMYFUNCTION("""COMPUTED_VALUE"""),"اردبیل")</f>
        <v>اردبیل</v>
      </c>
      <c r="E2463" s="5" t="str">
        <f>IFERROR(__xludf.DUMMYFUNCTION("""COMPUTED_VALUE"""),"اردبیل")</f>
        <v>اردبیل</v>
      </c>
      <c r="F2463" s="5"/>
      <c r="G2463" s="5"/>
      <c r="H2463" s="6" t="str">
        <f>IFERROR(__xludf.DUMMYFUNCTION("""COMPUTED_VALUE"""),"https://www.instagram.com/hoseiniyane.ardebil/")</f>
        <v>https://www.instagram.com/hoseiniyane.ardebil/</v>
      </c>
      <c r="I2463" s="6" t="str">
        <f>IFERROR(__xludf.DUMMYFUNCTION("""COMPUTED_VALUE"""),"https://t.me/hoseiniyaneardebil?")</f>
        <v>https://t.me/hoseiniyaneardebil?</v>
      </c>
      <c r="J2463" s="5"/>
      <c r="K2463" s="5"/>
      <c r="L2463" s="5"/>
      <c r="M2463" s="5"/>
      <c r="N2463" s="5"/>
      <c r="O2463" s="5"/>
      <c r="P2463" s="5"/>
      <c r="Q2463" s="5"/>
      <c r="R2463" s="5"/>
      <c r="S2463" s="5"/>
    </row>
    <row r="2464">
      <c r="A2464" s="5">
        <f>IFERROR(__xludf.DUMMYFUNCTION("""COMPUTED_VALUE"""),955.0)</f>
        <v>955</v>
      </c>
      <c r="B2464" s="5" t="str">
        <f>IFERROR(__xludf.DUMMYFUNCTION("""COMPUTED_VALUE"""),"هیأت ")</f>
        <v>هیأت </v>
      </c>
      <c r="C2464" s="5" t="str">
        <f>IFERROR(__xludf.DUMMYFUNCTION("""COMPUTED_VALUE"""),"سپه سالار / مکتب فاطمه الزهرا (س) / سید ‏و سالار شهیدان (ع)")</f>
        <v>سپه سالار / مکتب فاطمه الزهرا (س) / سید ‏و سالار شهیدان (ع)</v>
      </c>
      <c r="D2464" s="5" t="str">
        <f>IFERROR(__xludf.DUMMYFUNCTION("""COMPUTED_VALUE"""),"خلخال")</f>
        <v>خلخال</v>
      </c>
      <c r="E2464" s="5" t="str">
        <f>IFERROR(__xludf.DUMMYFUNCTION("""COMPUTED_VALUE"""),"خلخال")</f>
        <v>خلخال</v>
      </c>
      <c r="F2464" s="5"/>
      <c r="G2464" s="5"/>
      <c r="H2464" s="6" t="str">
        <f>IFERROR(__xludf.DUMMYFUNCTION("""COMPUTED_VALUE"""),"https://www.instagram.com/heyate.sepahsalar.khalkhal/")</f>
        <v>https://www.instagram.com/heyate.sepahsalar.khalkhal/</v>
      </c>
      <c r="I2464" s="6" t="str">
        <f>IFERROR(__xludf.DUMMYFUNCTION("""COMPUTED_VALUE"""),"https://t.me/khalkhalheya")</f>
        <v>https://t.me/khalkhalheya</v>
      </c>
      <c r="J2464" s="5"/>
      <c r="K2464" s="5"/>
      <c r="L2464" s="5"/>
      <c r="M2464" s="5"/>
      <c r="N2464" s="5"/>
      <c r="O2464" s="5"/>
      <c r="P2464" s="5"/>
      <c r="Q2464" s="5"/>
      <c r="R2464" s="5"/>
      <c r="S2464" s="5"/>
    </row>
    <row r="2465">
      <c r="A2465" s="5">
        <f>IFERROR(__xludf.DUMMYFUNCTION("""COMPUTED_VALUE"""),959.0)</f>
        <v>959</v>
      </c>
      <c r="B2465" s="5" t="str">
        <f>IFERROR(__xludf.DUMMYFUNCTION("""COMPUTED_VALUE"""),"هیأت ")</f>
        <v>هیأت </v>
      </c>
      <c r="C2465" s="5" t="str">
        <f>IFERROR(__xludf.DUMMYFUNCTION("""COMPUTED_VALUE"""),"چهارده معصوم (ع)")</f>
        <v>چهارده معصوم (ع)</v>
      </c>
      <c r="D2465" s="5" t="str">
        <f>IFERROR(__xludf.DUMMYFUNCTION("""COMPUTED_VALUE"""),"خلخال")</f>
        <v>خلخال</v>
      </c>
      <c r="E2465" s="5" t="str">
        <f>IFERROR(__xludf.DUMMYFUNCTION("""COMPUTED_VALUE"""),"خلخال")</f>
        <v>خلخال</v>
      </c>
      <c r="F2465" s="5"/>
      <c r="G2465" s="5"/>
      <c r="H2465" s="6" t="str">
        <f>IFERROR(__xludf.DUMMYFUNCTION("""COMPUTED_VALUE"""),"https://www.instagram.com/hyat_chahardah_masom")</f>
        <v>https://www.instagram.com/hyat_chahardah_masom</v>
      </c>
      <c r="I2465" s="6" t="str">
        <f>IFERROR(__xludf.DUMMYFUNCTION("""COMPUTED_VALUE"""),"https://t.me/h14masoumekhalkhal")</f>
        <v>https://t.me/h14masoumekhalkhal</v>
      </c>
      <c r="J2465" s="5"/>
      <c r="K2465" s="5"/>
      <c r="L2465" s="5"/>
      <c r="M2465" s="5"/>
      <c r="N2465" s="5"/>
      <c r="O2465" s="5"/>
      <c r="P2465" s="5"/>
      <c r="Q2465" s="5"/>
      <c r="R2465" s="5"/>
      <c r="S2465" s="5"/>
    </row>
    <row r="2466">
      <c r="A2466" s="5">
        <f>IFERROR(__xludf.DUMMYFUNCTION("""COMPUTED_VALUE"""),976.0)</f>
        <v>976</v>
      </c>
      <c r="B2466" s="5" t="str">
        <f>IFERROR(__xludf.DUMMYFUNCTION("""COMPUTED_VALUE"""),"هیأت ")</f>
        <v>هیأت </v>
      </c>
      <c r="C2466" s="5" t="str">
        <f>IFERROR(__xludf.DUMMYFUNCTION("""COMPUTED_VALUE"""),"حضرت سیدالشهدا (ع)")</f>
        <v>حضرت سیدالشهدا (ع)</v>
      </c>
      <c r="D2466" s="5" t="str">
        <f>IFERROR(__xludf.DUMMYFUNCTION("""COMPUTED_VALUE"""),"گرمی")</f>
        <v>گرمی</v>
      </c>
      <c r="E2466" s="5" t="str">
        <f>IFERROR(__xludf.DUMMYFUNCTION("""COMPUTED_VALUE"""),"گرمی")</f>
        <v>گرمی</v>
      </c>
      <c r="F2466" s="5"/>
      <c r="G2466" s="5"/>
      <c r="H2466" s="6" t="str">
        <f>IFERROR(__xludf.DUMMYFUNCTION("""COMPUTED_VALUE"""),"https://www.instagram.com/heyat.seyedoshohadaa")</f>
        <v>https://www.instagram.com/heyat.seyedoshohadaa</v>
      </c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</row>
    <row r="2467">
      <c r="A2467" s="5">
        <f>IFERROR(__xludf.DUMMYFUNCTION("""COMPUTED_VALUE"""),982.0)</f>
        <v>982</v>
      </c>
      <c r="B2467" s="5" t="str">
        <f>IFERROR(__xludf.DUMMYFUNCTION("""COMPUTED_VALUE"""),"هیأت ")</f>
        <v>هیأت </v>
      </c>
      <c r="C2467" s="5" t="str">
        <f>IFERROR(__xludf.DUMMYFUNCTION("""COMPUTED_VALUE"""),"دفتر امام جمعه")</f>
        <v>دفتر امام جمعه</v>
      </c>
      <c r="D2467" s="5" t="str">
        <f>IFERROR(__xludf.DUMMYFUNCTION("""COMPUTED_VALUE"""),"مشگین شهر")</f>
        <v>مشگین شهر</v>
      </c>
      <c r="E2467" s="5" t="str">
        <f>IFERROR(__xludf.DUMMYFUNCTION("""COMPUTED_VALUE"""),"مشگین شهر")</f>
        <v>مشگین شهر</v>
      </c>
      <c r="F2467" s="5"/>
      <c r="G2467" s="5"/>
      <c r="H2467" s="6" t="str">
        <f>IFERROR(__xludf.DUMMYFUNCTION("""COMPUTED_VALUE"""),"https://www.instagram.com/adineh_meshkin")</f>
        <v>https://www.instagram.com/adineh_meshkin</v>
      </c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</row>
    <row r="2468">
      <c r="A2468" s="5">
        <f>IFERROR(__xludf.DUMMYFUNCTION("""COMPUTED_VALUE"""),987.0)</f>
        <v>987</v>
      </c>
      <c r="B2468" s="5" t="str">
        <f>IFERROR(__xludf.DUMMYFUNCTION("""COMPUTED_VALUE"""),"هیأت ")</f>
        <v>هیأت </v>
      </c>
      <c r="C2468" s="5" t="str">
        <f>IFERROR(__xludf.DUMMYFUNCTION("""COMPUTED_VALUE"""),"مسجد امام حسین (ع)")</f>
        <v>مسجد امام حسین (ع)</v>
      </c>
      <c r="D2468" s="5" t="str">
        <f>IFERROR(__xludf.DUMMYFUNCTION("""COMPUTED_VALUE"""),"مشگین شهر")</f>
        <v>مشگین شهر</v>
      </c>
      <c r="E2468" s="5" t="str">
        <f>IFERROR(__xludf.DUMMYFUNCTION("""COMPUTED_VALUE"""),"مشگین شهر")</f>
        <v>مشگین شهر</v>
      </c>
      <c r="F2468" s="5"/>
      <c r="G2468" s="5"/>
      <c r="H2468" s="6" t="str">
        <f>IFERROR(__xludf.DUMMYFUNCTION("""COMPUTED_VALUE"""),"https://www.instagram.com/masjede_emamhussain_chaypara/")</f>
        <v>https://www.instagram.com/masjede_emamhussain_chaypara/</v>
      </c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</row>
    <row r="2469">
      <c r="A2469" s="5">
        <f>IFERROR(__xludf.DUMMYFUNCTION("""COMPUTED_VALUE"""),993.0)</f>
        <v>993</v>
      </c>
      <c r="B2469" s="5" t="str">
        <f>IFERROR(__xludf.DUMMYFUNCTION("""COMPUTED_VALUE"""),"هیأت ")</f>
        <v>هیأت </v>
      </c>
      <c r="C2469" s="5" t="str">
        <f>IFERROR(__xludf.DUMMYFUNCTION("""COMPUTED_VALUE"""),"قاسمیه")</f>
        <v>قاسمیه</v>
      </c>
      <c r="D2469" s="5" t="str">
        <f>IFERROR(__xludf.DUMMYFUNCTION("""COMPUTED_VALUE"""),"مشگین شهر")</f>
        <v>مشگین شهر</v>
      </c>
      <c r="E2469" s="5" t="str">
        <f>IFERROR(__xludf.DUMMYFUNCTION("""COMPUTED_VALUE"""),"مشگین شهر")</f>
        <v>مشگین شهر</v>
      </c>
      <c r="F2469" s="5"/>
      <c r="G2469" s="5"/>
      <c r="H2469" s="6" t="str">
        <f>IFERROR(__xludf.DUMMYFUNCTION("""COMPUTED_VALUE"""),"https://www.instagram.com/masjed_ghasemiah")</f>
        <v>https://www.instagram.com/masjed_ghasemiah</v>
      </c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</row>
    <row r="2470">
      <c r="A2470" s="5">
        <f>IFERROR(__xludf.DUMMYFUNCTION("""COMPUTED_VALUE"""),997.0)</f>
        <v>997</v>
      </c>
      <c r="B2470" s="5" t="str">
        <f>IFERROR(__xludf.DUMMYFUNCTION("""COMPUTED_VALUE"""),"هیأت ")</f>
        <v>هیأت </v>
      </c>
      <c r="C2470" s="5" t="str">
        <f>IFERROR(__xludf.DUMMYFUNCTION("""COMPUTED_VALUE"""),"شهدای گمنام")</f>
        <v>شهدای گمنام</v>
      </c>
      <c r="D2470" s="5" t="str">
        <f>IFERROR(__xludf.DUMMYFUNCTION("""COMPUTED_VALUE"""),"مشگین شهر")</f>
        <v>مشگین شهر</v>
      </c>
      <c r="E2470" s="5" t="str">
        <f>IFERROR(__xludf.DUMMYFUNCTION("""COMPUTED_VALUE"""),"مشگین شهر")</f>
        <v>مشگین شهر</v>
      </c>
      <c r="F2470" s="5"/>
      <c r="G2470" s="5"/>
      <c r="H2470" s="6" t="str">
        <f>IFERROR(__xludf.DUMMYFUNCTION("""COMPUTED_VALUE"""),"https://www.instagram.com/gomnam.1391/")</f>
        <v>https://www.instagram.com/gomnam.1391/</v>
      </c>
      <c r="I2470" s="6" t="str">
        <f>IFERROR(__xludf.DUMMYFUNCTION("""COMPUTED_VALUE"""),"https://t.me/gomnam1391")</f>
        <v>https://t.me/gomnam1391</v>
      </c>
      <c r="J2470" s="5"/>
      <c r="K2470" s="5"/>
      <c r="L2470" s="5"/>
      <c r="M2470" s="5"/>
      <c r="N2470" s="5"/>
      <c r="O2470" s="5"/>
      <c r="P2470" s="5"/>
      <c r="Q2470" s="5"/>
      <c r="R2470" s="5"/>
      <c r="S2470" s="5"/>
    </row>
    <row r="2471">
      <c r="A2471" s="5">
        <f>IFERROR(__xludf.DUMMYFUNCTION("""COMPUTED_VALUE"""),1001.0)</f>
        <v>1001</v>
      </c>
      <c r="B2471" s="5" t="str">
        <f>IFERROR(__xludf.DUMMYFUNCTION("""COMPUTED_VALUE"""),"هیأت ")</f>
        <v>هیأت </v>
      </c>
      <c r="C2471" s="5" t="str">
        <f>IFERROR(__xludf.DUMMYFUNCTION("""COMPUTED_VALUE"""),"رزمندگان اسلام")</f>
        <v>رزمندگان اسلام</v>
      </c>
      <c r="D2471" s="5" t="str">
        <f>IFERROR(__xludf.DUMMYFUNCTION("""COMPUTED_VALUE"""),"نیر")</f>
        <v>نیر</v>
      </c>
      <c r="E2471" s="5" t="str">
        <f>IFERROR(__xludf.DUMMYFUNCTION("""COMPUTED_VALUE"""),"نیر")</f>
        <v>نیر</v>
      </c>
      <c r="F2471" s="5"/>
      <c r="G2471" s="5"/>
      <c r="H2471" s="6" t="str">
        <f>IFERROR(__xludf.DUMMYFUNCTION("""COMPUTED_VALUE"""),"https://www.instagram.com/h.r.eslam_neyriz/")</f>
        <v>https://www.instagram.com/h.r.eslam_neyriz/</v>
      </c>
      <c r="I2471" s="6" t="str">
        <f>IFERROR(__xludf.DUMMYFUNCTION("""COMPUTED_VALUE"""),"https://t.me/gomnam1391")</f>
        <v>https://t.me/gomnam1391</v>
      </c>
      <c r="J2471" s="5"/>
      <c r="K2471" s="5"/>
      <c r="L2471" s="5"/>
      <c r="M2471" s="5"/>
      <c r="N2471" s="5"/>
      <c r="O2471" s="5"/>
      <c r="P2471" s="5"/>
      <c r="Q2471" s="5"/>
      <c r="R2471" s="5"/>
      <c r="S2471" s="5"/>
    </row>
    <row r="2472">
      <c r="A2472" s="5">
        <f>IFERROR(__xludf.DUMMYFUNCTION("""COMPUTED_VALUE"""),1016.0)</f>
        <v>1016</v>
      </c>
      <c r="B2472" s="5" t="str">
        <f>IFERROR(__xludf.DUMMYFUNCTION("""COMPUTED_VALUE"""),"هیأت ")</f>
        <v>هیأت </v>
      </c>
      <c r="C2472" s="5" t="str">
        <f>IFERROR(__xludf.DUMMYFUNCTION("""COMPUTED_VALUE"""),"مسجد سادات")</f>
        <v>مسجد سادات</v>
      </c>
      <c r="D2472" s="5" t="str">
        <f>IFERROR(__xludf.DUMMYFUNCTION("""COMPUTED_VALUE"""),"بدون شهرستان")</f>
        <v>بدون شهرستان</v>
      </c>
      <c r="E2472" s="5" t="str">
        <f>IFERROR(__xludf.DUMMYFUNCTION("""COMPUTED_VALUE"""),"بدون شهر")</f>
        <v>بدون شهر</v>
      </c>
      <c r="F2472" s="5"/>
      <c r="G2472" s="5"/>
      <c r="H2472" s="6" t="str">
        <f>IFERROR(__xludf.DUMMYFUNCTION("""COMPUTED_VALUE"""),"https://www.instagram.com/masjed_sadat.ard/")</f>
        <v>https://www.instagram.com/masjed_sadat.ard/</v>
      </c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</row>
    <row r="2473">
      <c r="A2473" s="5">
        <f>IFERROR(__xludf.DUMMYFUNCTION("""COMPUTED_VALUE"""),1027.0)</f>
        <v>1027</v>
      </c>
      <c r="B2473" s="5" t="str">
        <f>IFERROR(__xludf.DUMMYFUNCTION("""COMPUTED_VALUE"""),"هیأت ")</f>
        <v>هیأت </v>
      </c>
      <c r="C2473" s="5" t="str">
        <f>IFERROR(__xludf.DUMMYFUNCTION("""COMPUTED_VALUE"""),"حضرت علی اکبر (ع)")</f>
        <v>حضرت علی اکبر (ع)</v>
      </c>
      <c r="D2473" s="5" t="str">
        <f>IFERROR(__xludf.DUMMYFUNCTION("""COMPUTED_VALUE"""),"تازه کند")</f>
        <v>تازه کند</v>
      </c>
      <c r="E2473" s="5" t="str">
        <f>IFERROR(__xludf.DUMMYFUNCTION("""COMPUTED_VALUE"""),"تازه کند")</f>
        <v>تازه کند</v>
      </c>
      <c r="F2473" s="5"/>
      <c r="G2473" s="5"/>
      <c r="H2473" s="6" t="str">
        <f>IFERROR(__xludf.DUMMYFUNCTION("""COMPUTED_VALUE"""),"https://www.instagram.com/javanan_aliackbar_90")</f>
        <v>https://www.instagram.com/javanan_aliackbar_90</v>
      </c>
      <c r="I2473" s="6" t="str">
        <f>IFERROR(__xludf.DUMMYFUNCTION("""COMPUTED_VALUE"""),"https://t.me/javanan_aliackbar_90")</f>
        <v>https://t.me/javanan_aliackbar_90</v>
      </c>
      <c r="J2473" s="5"/>
      <c r="K2473" s="5"/>
      <c r="L2473" s="5"/>
      <c r="M2473" s="5"/>
      <c r="N2473" s="5"/>
      <c r="O2473" s="5"/>
      <c r="P2473" s="5"/>
      <c r="Q2473" s="5"/>
      <c r="R2473" s="5"/>
      <c r="S2473" s="5"/>
    </row>
    <row r="2474">
      <c r="A2474" s="5">
        <f>IFERROR(__xludf.DUMMYFUNCTION("""COMPUTED_VALUE"""),1038.0)</f>
        <v>1038</v>
      </c>
      <c r="B2474" s="5" t="str">
        <f>IFERROR(__xludf.DUMMYFUNCTION("""COMPUTED_VALUE"""),"هیأت ")</f>
        <v>هیأت </v>
      </c>
      <c r="C2474" s="5" t="str">
        <f>IFERROR(__xludf.DUMMYFUNCTION("""COMPUTED_VALUE"""),"جان نثاران المهدی (عج)")</f>
        <v>جان نثاران المهدی (عج)</v>
      </c>
      <c r="D2474" s="5" t="str">
        <f>IFERROR(__xludf.DUMMYFUNCTION("""COMPUTED_VALUE"""),"گرمی")</f>
        <v>گرمی</v>
      </c>
      <c r="E2474" s="5" t="str">
        <f>IFERROR(__xludf.DUMMYFUNCTION("""COMPUTED_VALUE"""),"گرمی")</f>
        <v>گرمی</v>
      </c>
      <c r="F2474" s="5"/>
      <c r="G2474" s="5"/>
      <c r="H2474" s="6" t="str">
        <f>IFERROR(__xludf.DUMMYFUNCTION("""COMPUTED_VALUE"""),"https://www.instagram.com/janesarane_almahdi12/")</f>
        <v>https://www.instagram.com/janesarane_almahdi12/</v>
      </c>
      <c r="I2474" s="6" t="str">
        <f>IFERROR(__xludf.DUMMYFUNCTION("""COMPUTED_VALUE"""),"https://t.me/janesarane_almahdi12")</f>
        <v>https://t.me/janesarane_almahdi12</v>
      </c>
      <c r="J2474" s="5"/>
      <c r="K2474" s="5"/>
      <c r="L2474" s="5"/>
      <c r="M2474" s="5"/>
      <c r="N2474" s="5"/>
      <c r="O2474" s="5"/>
      <c r="P2474" s="5"/>
      <c r="Q2474" s="5"/>
      <c r="R2474" s="5"/>
      <c r="S2474" s="5"/>
    </row>
    <row r="2475">
      <c r="A2475" s="5">
        <f>IFERROR(__xludf.DUMMYFUNCTION("""COMPUTED_VALUE"""),1041.0)</f>
        <v>1041</v>
      </c>
      <c r="B2475" s="5" t="str">
        <f>IFERROR(__xludf.DUMMYFUNCTION("""COMPUTED_VALUE"""),"هیأت ")</f>
        <v>هیأت </v>
      </c>
      <c r="C2475" s="5" t="str">
        <f>IFERROR(__xludf.DUMMYFUNCTION("""COMPUTED_VALUE"""),"هیات الرضا (ع) (محفل بسیجیان و رهروان شهدا)")</f>
        <v>هیات الرضا (ع) (محفل بسیجیان و رهروان شهدا)</v>
      </c>
      <c r="D2475" s="5" t="str">
        <f>IFERROR(__xludf.DUMMYFUNCTION("""COMPUTED_VALUE"""),"اردبیل")</f>
        <v>اردبیل</v>
      </c>
      <c r="E2475" s="5" t="str">
        <f>IFERROR(__xludf.DUMMYFUNCTION("""COMPUTED_VALUE"""),"اردبیل")</f>
        <v>اردبیل</v>
      </c>
      <c r="F2475" s="5"/>
      <c r="G2475" s="5"/>
      <c r="H2475" s="6" t="str">
        <f>IFERROR(__xludf.DUMMYFUNCTION("""COMPUTED_VALUE"""),"https://www.instagram.com/ravag.ir")</f>
        <v>https://www.instagram.com/ravag.ir</v>
      </c>
      <c r="I2475" s="6" t="str">
        <f>IFERROR(__xludf.DUMMYFUNCTION("""COMPUTED_VALUE"""),"https://t.me/Ravag_ir")</f>
        <v>https://t.me/Ravag_ir</v>
      </c>
      <c r="J2475" s="6" t="str">
        <f>IFERROR(__xludf.DUMMYFUNCTION("""COMPUTED_VALUE"""),"https://eitaa.com/@ravag_ir")</f>
        <v>https://eitaa.com/@ravag_ir</v>
      </c>
      <c r="K2475" s="5"/>
      <c r="L2475" s="5"/>
      <c r="M2475" s="5"/>
      <c r="N2475" s="5"/>
      <c r="O2475" s="5"/>
      <c r="P2475" s="5"/>
      <c r="Q2475" s="5"/>
      <c r="R2475" s="5"/>
      <c r="S2475" s="5"/>
    </row>
    <row r="2476">
      <c r="A2476" s="5">
        <f>IFERROR(__xludf.DUMMYFUNCTION("""COMPUTED_VALUE"""),1042.0)</f>
        <v>1042</v>
      </c>
      <c r="B2476" s="5" t="str">
        <f>IFERROR(__xludf.DUMMYFUNCTION("""COMPUTED_VALUE"""),"هیأت ")</f>
        <v>هیأت </v>
      </c>
      <c r="C2476" s="5" t="str">
        <f>IFERROR(__xludf.DUMMYFUNCTION("""COMPUTED_VALUE"""),"شش ماهه کربلا (ع)")</f>
        <v>شش ماهه کربلا (ع)</v>
      </c>
      <c r="D2476" s="5" t="str">
        <f>IFERROR(__xludf.DUMMYFUNCTION("""COMPUTED_VALUE"""),"اردبیل")</f>
        <v>اردبیل</v>
      </c>
      <c r="E2476" s="5" t="str">
        <f>IFERROR(__xludf.DUMMYFUNCTION("""COMPUTED_VALUE"""),"اردبیل")</f>
        <v>اردبیل</v>
      </c>
      <c r="F2476" s="5"/>
      <c r="G2476" s="5"/>
      <c r="H2476" s="6" t="str">
        <f>IFERROR(__xludf.DUMMYFUNCTION("""COMPUTED_VALUE"""),"https://www.instagram.com/ya_aliasghar_")</f>
        <v>https://www.instagram.com/ya_aliasghar_</v>
      </c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</row>
    <row r="2477">
      <c r="A2477" s="5">
        <f>IFERROR(__xludf.DUMMYFUNCTION("""COMPUTED_VALUE"""),1047.0)</f>
        <v>1047</v>
      </c>
      <c r="B2477" s="5" t="str">
        <f>IFERROR(__xludf.DUMMYFUNCTION("""COMPUTED_VALUE"""),"هیأت ")</f>
        <v>هیأت </v>
      </c>
      <c r="C2477" s="5" t="str">
        <f>IFERROR(__xludf.DUMMYFUNCTION("""COMPUTED_VALUE"""),"سفیرالحسین (ع)")</f>
        <v>سفیرالحسین (ع)</v>
      </c>
      <c r="D2477" s="5" t="str">
        <f>IFERROR(__xludf.DUMMYFUNCTION("""COMPUTED_VALUE"""),"اردبیل")</f>
        <v>اردبیل</v>
      </c>
      <c r="E2477" s="5" t="str">
        <f>IFERROR(__xludf.DUMMYFUNCTION("""COMPUTED_VALUE"""),"اردبیل")</f>
        <v>اردبیل</v>
      </c>
      <c r="F2477" s="5"/>
      <c r="G2477" s="5"/>
      <c r="H2477" s="6" t="str">
        <f>IFERROR(__xludf.DUMMYFUNCTION("""COMPUTED_VALUE"""),"https://www.instagram.com/h_safiralhosseinardabil.ir/")</f>
        <v>https://www.instagram.com/h_safiralhosseinardabil.ir/</v>
      </c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</row>
    <row r="2478">
      <c r="A2478" s="5">
        <f>IFERROR(__xludf.DUMMYFUNCTION("""COMPUTED_VALUE"""),1055.0)</f>
        <v>1055</v>
      </c>
      <c r="B2478" s="5" t="str">
        <f>IFERROR(__xludf.DUMMYFUNCTION("""COMPUTED_VALUE"""),"هیأت ")</f>
        <v>هیأت </v>
      </c>
      <c r="C2478" s="5" t="str">
        <f>IFERROR(__xludf.DUMMYFUNCTION("""COMPUTED_VALUE"""),"عاشقان و سینه زنان حضرت رقیه (س)")</f>
        <v>عاشقان و سینه زنان حضرت رقیه (س)</v>
      </c>
      <c r="D2478" s="5" t="str">
        <f>IFERROR(__xludf.DUMMYFUNCTION("""COMPUTED_VALUE"""),"اردبیل")</f>
        <v>اردبیل</v>
      </c>
      <c r="E2478" s="5" t="str">
        <f>IFERROR(__xludf.DUMMYFUNCTION("""COMPUTED_VALUE"""),"اردبیل")</f>
        <v>اردبیل</v>
      </c>
      <c r="F2478" s="5"/>
      <c r="G2478" s="5"/>
      <c r="H2478" s="6" t="str">
        <f>IFERROR(__xludf.DUMMYFUNCTION("""COMPUTED_VALUE"""),"https://www.instagram.com/asheghan_roghaye_ardabiliha")</f>
        <v>https://www.instagram.com/asheghan_roghaye_ardabiliha</v>
      </c>
      <c r="I2478" s="6" t="str">
        <f>IFERROR(__xludf.DUMMYFUNCTION("""COMPUTED_VALUE"""),"https://t.me/roghayekhaton1395")</f>
        <v>https://t.me/roghayekhaton1395</v>
      </c>
      <c r="J2478" s="5"/>
      <c r="K2478" s="5"/>
      <c r="L2478" s="5"/>
      <c r="M2478" s="5"/>
      <c r="N2478" s="5"/>
      <c r="O2478" s="5"/>
      <c r="P2478" s="5"/>
      <c r="Q2478" s="5"/>
      <c r="R2478" s="5"/>
      <c r="S2478" s="5"/>
    </row>
    <row r="2479">
      <c r="A2479" s="5">
        <f>IFERROR(__xludf.DUMMYFUNCTION("""COMPUTED_VALUE"""),1062.0)</f>
        <v>1062</v>
      </c>
      <c r="B2479" s="5" t="str">
        <f>IFERROR(__xludf.DUMMYFUNCTION("""COMPUTED_VALUE"""),"هیأت ")</f>
        <v>هیأت </v>
      </c>
      <c r="C2479" s="5" t="str">
        <f>IFERROR(__xludf.DUMMYFUNCTION("""COMPUTED_VALUE"""),"عاشقان حضرت زینب (س)")</f>
        <v>عاشقان حضرت زینب (س)</v>
      </c>
      <c r="D2479" s="5" t="str">
        <f>IFERROR(__xludf.DUMMYFUNCTION("""COMPUTED_VALUE"""),"اردبیل")</f>
        <v>اردبیل</v>
      </c>
      <c r="E2479" s="5" t="str">
        <f>IFERROR(__xludf.DUMMYFUNCTION("""COMPUTED_VALUE"""),"اردبیل")</f>
        <v>اردبیل</v>
      </c>
      <c r="F2479" s="5"/>
      <c r="G2479" s="5"/>
      <c r="H2479" s="6" t="str">
        <f>IFERROR(__xludf.DUMMYFUNCTION("""COMPUTED_VALUE"""),"https://www.instagram.com/asheghanezeinab/")</f>
        <v>https://www.instagram.com/asheghanezeinab/</v>
      </c>
      <c r="I2479" s="6" t="str">
        <f>IFERROR(__xludf.DUMMYFUNCTION("""COMPUTED_VALUE"""),"https://t.me/asheghanzeynnab")</f>
        <v>https://t.me/asheghanzeynnab</v>
      </c>
      <c r="J2479" s="5"/>
      <c r="K2479" s="5"/>
      <c r="L2479" s="5"/>
      <c r="M2479" s="5"/>
      <c r="N2479" s="5"/>
      <c r="O2479" s="5"/>
      <c r="P2479" s="5"/>
      <c r="Q2479" s="5"/>
      <c r="R2479" s="5"/>
      <c r="S2479" s="5"/>
    </row>
    <row r="2480">
      <c r="A2480" s="5">
        <f>IFERROR(__xludf.DUMMYFUNCTION("""COMPUTED_VALUE"""),1070.0)</f>
        <v>1070</v>
      </c>
      <c r="B2480" s="5" t="str">
        <f>IFERROR(__xludf.DUMMYFUNCTION("""COMPUTED_VALUE"""),"هیأت ")</f>
        <v>هیأت </v>
      </c>
      <c r="C2480" s="5" t="str">
        <f>IFERROR(__xludf.DUMMYFUNCTION("""COMPUTED_VALUE"""),"حضرت علی اکبر (ع)")</f>
        <v>حضرت علی اکبر (ع)</v>
      </c>
      <c r="D2480" s="5" t="str">
        <f>IFERROR(__xludf.DUMMYFUNCTION("""COMPUTED_VALUE"""),"خلخال")</f>
        <v>خلخال</v>
      </c>
      <c r="E2480" s="5" t="str">
        <f>IFERROR(__xludf.DUMMYFUNCTION("""COMPUTED_VALUE"""),"هشتجین")</f>
        <v>هشتجین</v>
      </c>
      <c r="F2480" s="5"/>
      <c r="G2480" s="5"/>
      <c r="H2480" s="6" t="str">
        <f>IFERROR(__xludf.DUMMYFUNCTION("""COMPUTED_VALUE"""),"https://www.instagram.com/ali_akbar_mosque")</f>
        <v>https://www.instagram.com/ali_akbar_mosque</v>
      </c>
      <c r="I2480" s="6" t="str">
        <f>IFERROR(__xludf.DUMMYFUNCTION("""COMPUTED_VALUE"""),"https://t.me/ali_akbar_mosque_8jin")</f>
        <v>https://t.me/ali_akbar_mosque_8jin</v>
      </c>
      <c r="J2480" s="5"/>
      <c r="K2480" s="5"/>
      <c r="L2480" s="5"/>
      <c r="M2480" s="5"/>
      <c r="N2480" s="5"/>
      <c r="O2480" s="5"/>
      <c r="P2480" s="5"/>
      <c r="Q2480" s="5"/>
      <c r="R2480" s="5"/>
      <c r="S2480" s="5"/>
    </row>
    <row r="2481">
      <c r="A2481" s="5">
        <f>IFERROR(__xludf.DUMMYFUNCTION("""COMPUTED_VALUE"""),1077.0)</f>
        <v>1077</v>
      </c>
      <c r="B2481" s="5" t="str">
        <f>IFERROR(__xludf.DUMMYFUNCTION("""COMPUTED_VALUE"""),"هیأت ")</f>
        <v>هیأت </v>
      </c>
      <c r="C2481" s="5" t="str">
        <f>IFERROR(__xludf.DUMMYFUNCTION("""COMPUTED_VALUE"""),"حوزه هنری")</f>
        <v>حوزه هنری</v>
      </c>
      <c r="D2481" s="5" t="str">
        <f>IFERROR(__xludf.DUMMYFUNCTION("""COMPUTED_VALUE"""),"اردبیل")</f>
        <v>اردبیل</v>
      </c>
      <c r="E2481" s="5" t="str">
        <f>IFERROR(__xludf.DUMMYFUNCTION("""COMPUTED_VALUE"""),"اردبیل")</f>
        <v>اردبیل</v>
      </c>
      <c r="F2481" s="5"/>
      <c r="G2481" s="5"/>
      <c r="H2481" s="6" t="str">
        <f>IFERROR(__xludf.DUMMYFUNCTION("""COMPUTED_VALUE"""),"https://www.instagram.com/hoze_honari_ardabil/")</f>
        <v>https://www.instagram.com/hoze_honari_ardabil/</v>
      </c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</row>
    <row r="2482">
      <c r="A2482" s="5">
        <f>IFERROR(__xludf.DUMMYFUNCTION("""COMPUTED_VALUE"""),1086.0)</f>
        <v>1086</v>
      </c>
      <c r="B2482" s="5" t="str">
        <f>IFERROR(__xludf.DUMMYFUNCTION("""COMPUTED_VALUE"""),"هیأت ")</f>
        <v>هیأت </v>
      </c>
      <c r="C2482" s="5" t="str">
        <f>IFERROR(__xludf.DUMMYFUNCTION("""COMPUTED_VALUE"""),"حیدریون")</f>
        <v>حیدریون</v>
      </c>
      <c r="D2482" s="5" t="str">
        <f>IFERROR(__xludf.DUMMYFUNCTION("""COMPUTED_VALUE"""),"اردبیل")</f>
        <v>اردبیل</v>
      </c>
      <c r="E2482" s="5" t="str">
        <f>IFERROR(__xludf.DUMMYFUNCTION("""COMPUTED_VALUE"""),"اردبیل")</f>
        <v>اردبیل</v>
      </c>
      <c r="F2482" s="5"/>
      <c r="G2482" s="5"/>
      <c r="H2482" s="6" t="str">
        <f>IFERROR(__xludf.DUMMYFUNCTION("""COMPUTED_VALUE"""),"https://www.instagram.com/heydarion_ardebil/")</f>
        <v>https://www.instagram.com/heydarion_ardebil/</v>
      </c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</row>
    <row r="2483">
      <c r="A2483" s="5">
        <f>IFERROR(__xludf.DUMMYFUNCTION("""COMPUTED_VALUE"""),1087.0)</f>
        <v>1087</v>
      </c>
      <c r="B2483" s="5" t="str">
        <f>IFERROR(__xludf.DUMMYFUNCTION("""COMPUTED_VALUE"""),"هیأت ")</f>
        <v>هیأت </v>
      </c>
      <c r="C2483" s="5" t="str">
        <f>IFERROR(__xludf.DUMMYFUNCTION("""COMPUTED_VALUE"""),"روضه الحسین (ع)")</f>
        <v>روضه الحسین (ع)</v>
      </c>
      <c r="D2483" s="5" t="str">
        <f>IFERROR(__xludf.DUMMYFUNCTION("""COMPUTED_VALUE"""),"اردبیل")</f>
        <v>اردبیل</v>
      </c>
      <c r="E2483" s="5" t="str">
        <f>IFERROR(__xludf.DUMMYFUNCTION("""COMPUTED_VALUE"""),"اردبیل")</f>
        <v>اردبیل</v>
      </c>
      <c r="F2483" s="5"/>
      <c r="G2483" s="5"/>
      <c r="H2483" s="6" t="str">
        <f>IFERROR(__xludf.DUMMYFUNCTION("""COMPUTED_VALUE"""),"https://www.instagram.com/rozatollhoosein_ard/")</f>
        <v>https://www.instagram.com/rozatollhoosein_ard/</v>
      </c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</row>
    <row r="2484">
      <c r="A2484" s="5">
        <f>IFERROR(__xludf.DUMMYFUNCTION("""COMPUTED_VALUE"""),1092.0)</f>
        <v>1092</v>
      </c>
      <c r="B2484" s="5" t="str">
        <f>IFERROR(__xludf.DUMMYFUNCTION("""COMPUTED_VALUE"""),"هیأت ")</f>
        <v>هیأت </v>
      </c>
      <c r="C2484" s="5" t="str">
        <f>IFERROR(__xludf.DUMMYFUNCTION("""COMPUTED_VALUE"""),"عاشقان ولایت")</f>
        <v>عاشقان ولایت</v>
      </c>
      <c r="D2484" s="5" t="str">
        <f>IFERROR(__xludf.DUMMYFUNCTION("""COMPUTED_VALUE"""),"اردبیل")</f>
        <v>اردبیل</v>
      </c>
      <c r="E2484" s="5" t="str">
        <f>IFERROR(__xludf.DUMMYFUNCTION("""COMPUTED_VALUE"""),"اردبیل")</f>
        <v>اردبیل</v>
      </c>
      <c r="F2484" s="5"/>
      <c r="G2484" s="5"/>
      <c r="H2484" s="6" t="str">
        <f>IFERROR(__xludf.DUMMYFUNCTION("""COMPUTED_VALUE"""),"https://www.instagram.com/heyate_asheganeh_velayat/")</f>
        <v>https://www.instagram.com/heyate_asheganeh_velayat/</v>
      </c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</row>
    <row r="2485">
      <c r="A2485" s="5">
        <f>IFERROR(__xludf.DUMMYFUNCTION("""COMPUTED_VALUE"""),1094.0)</f>
        <v>1094</v>
      </c>
      <c r="B2485" s="5" t="str">
        <f>IFERROR(__xludf.DUMMYFUNCTION("""COMPUTED_VALUE"""),"هیأت ")</f>
        <v>هیأت </v>
      </c>
      <c r="C2485" s="5" t="str">
        <f>IFERROR(__xludf.DUMMYFUNCTION("""COMPUTED_VALUE"""),"قرارگاه امام رضا(ع)")</f>
        <v>قرارگاه امام رضا(ع)</v>
      </c>
      <c r="D2485" s="5" t="str">
        <f>IFERROR(__xludf.DUMMYFUNCTION("""COMPUTED_VALUE"""),"خلخال")</f>
        <v>خلخال</v>
      </c>
      <c r="E2485" s="5" t="str">
        <f>IFERROR(__xludf.DUMMYFUNCTION("""COMPUTED_VALUE"""),"خلخال")</f>
        <v>خلخال</v>
      </c>
      <c r="F2485" s="5"/>
      <c r="G2485" s="5"/>
      <c r="H2485" s="6" t="str">
        <f>IFERROR(__xludf.DUMMYFUNCTION("""COMPUTED_VALUE"""),"https://www.instagram.com/g_emamreza.ardabil/")</f>
        <v>https://www.instagram.com/g_emamreza.ardabil/</v>
      </c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</row>
    <row r="2486">
      <c r="A2486" s="5">
        <f>IFERROR(__xludf.DUMMYFUNCTION("""COMPUTED_VALUE"""),1109.0)</f>
        <v>1109</v>
      </c>
      <c r="B2486" s="5" t="str">
        <f>IFERROR(__xludf.DUMMYFUNCTION("""COMPUTED_VALUE"""),"هیأت ")</f>
        <v>هیأت </v>
      </c>
      <c r="C2486" s="5" t="str">
        <f>IFERROR(__xludf.DUMMYFUNCTION("""COMPUTED_VALUE"""),"زینبیون منتظر")</f>
        <v>زینبیون منتظر</v>
      </c>
      <c r="D2486" s="5" t="str">
        <f>IFERROR(__xludf.DUMMYFUNCTION("""COMPUTED_VALUE"""),"اردبیل")</f>
        <v>اردبیل</v>
      </c>
      <c r="E2486" s="5" t="str">
        <f>IFERROR(__xludf.DUMMYFUNCTION("""COMPUTED_VALUE"""),"اردبیل")</f>
        <v>اردبیل</v>
      </c>
      <c r="F2486" s="5"/>
      <c r="G2486" s="5"/>
      <c r="H2486" s="6" t="str">
        <f>IFERROR(__xludf.DUMMYFUNCTION("""COMPUTED_VALUE"""),"https://www.instagram.com/heyat_zeynabiyun_montazer")</f>
        <v>https://www.instagram.com/heyat_zeynabiyun_montazer</v>
      </c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</row>
    <row r="2487">
      <c r="A2487" s="5">
        <f>IFERROR(__xludf.DUMMYFUNCTION("""COMPUTED_VALUE"""),17678.0)</f>
        <v>17678</v>
      </c>
      <c r="B2487" s="5" t="str">
        <f>IFERROR(__xludf.DUMMYFUNCTION("""COMPUTED_VALUE"""),"هیأت ")</f>
        <v>هیأت </v>
      </c>
      <c r="C2487" s="5" t="str">
        <f>IFERROR(__xludf.DUMMYFUNCTION("""COMPUTED_VALUE"""),"مهرورزان باب الحوایج حضرت ابوالفضل (ع) محله سلمان آباد")</f>
        <v>مهرورزان باب الحوایج حضرت ابوالفضل (ع) محله سلمان آباد</v>
      </c>
      <c r="D2487" s="5" t="str">
        <f>IFERROR(__xludf.DUMMYFUNCTION("""COMPUTED_VALUE"""),"پارس آباد")</f>
        <v>پارس آباد</v>
      </c>
      <c r="E2487" s="5" t="str">
        <f>IFERROR(__xludf.DUMMYFUNCTION("""COMPUTED_VALUE"""),"اسلام اباد")</f>
        <v>اسلام اباد</v>
      </c>
      <c r="F2487" s="5"/>
      <c r="G2487" s="5"/>
      <c r="H2487" s="6" t="str">
        <f>IFERROR(__xludf.DUMMYFUNCTION("""COMPUTED_VALUE"""),"https://www.instagram.com/heyat__babalhavaejagaabalfazl/")</f>
        <v>https://www.instagram.com/heyat__babalhavaejagaabalfazl/</v>
      </c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</row>
    <row r="2488">
      <c r="A2488" s="5">
        <f>IFERROR(__xludf.DUMMYFUNCTION("""COMPUTED_VALUE"""),17682.0)</f>
        <v>17682</v>
      </c>
      <c r="B2488" s="5" t="str">
        <f>IFERROR(__xludf.DUMMYFUNCTION("""COMPUTED_VALUE"""),"هیأت ")</f>
        <v>هیأت </v>
      </c>
      <c r="C2488" s="5" t="str">
        <f>IFERROR(__xludf.DUMMYFUNCTION("""COMPUTED_VALUE"""),"مسجد حسینیه")</f>
        <v>مسجد حسینیه</v>
      </c>
      <c r="D2488" s="5" t="str">
        <f>IFERROR(__xludf.DUMMYFUNCTION("""COMPUTED_VALUE"""),"مشگین شهر")</f>
        <v>مشگین شهر</v>
      </c>
      <c r="E2488" s="5" t="str">
        <f>IFERROR(__xludf.DUMMYFUNCTION("""COMPUTED_VALUE"""),"مشگین شهر")</f>
        <v>مشگین شهر</v>
      </c>
      <c r="F2488" s="5"/>
      <c r="G2488" s="5"/>
      <c r="H2488" s="6" t="str">
        <f>IFERROR(__xludf.DUMMYFUNCTION("""COMPUTED_VALUE"""),"https://www.instagram.com/masjed_hoseinie")</f>
        <v>https://www.instagram.com/masjed_hoseinie</v>
      </c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</row>
    <row r="2489">
      <c r="A2489" s="5">
        <f>IFERROR(__xludf.DUMMYFUNCTION("""COMPUTED_VALUE"""),18018.0)</f>
        <v>18018</v>
      </c>
      <c r="B2489" s="5" t="str">
        <f>IFERROR(__xludf.DUMMYFUNCTION("""COMPUTED_VALUE"""),"هیأت ")</f>
        <v>هیأت </v>
      </c>
      <c r="C2489" s="5" t="str">
        <f>IFERROR(__xludf.DUMMYFUNCTION("""COMPUTED_VALUE"""),"زیارت عاشورا")</f>
        <v>زیارت عاشورا</v>
      </c>
      <c r="D2489" s="5" t="str">
        <f>IFERROR(__xludf.DUMMYFUNCTION("""COMPUTED_VALUE"""),"اردبیل")</f>
        <v>اردبیل</v>
      </c>
      <c r="E2489" s="5" t="str">
        <f>IFERROR(__xludf.DUMMYFUNCTION("""COMPUTED_VALUE"""),"اردبیل")</f>
        <v>اردبیل</v>
      </c>
      <c r="F2489" s="5"/>
      <c r="G2489" s="5"/>
      <c r="H2489" s="6" t="str">
        <f>IFERROR(__xludf.DUMMYFUNCTION("""COMPUTED_VALUE"""),"https://www.instagram.com/ziarat_ashoora_ardabil")</f>
        <v>https://www.instagram.com/ziarat_ashoora_ardabil</v>
      </c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</row>
    <row r="2490">
      <c r="A2490" s="5">
        <f>IFERROR(__xludf.DUMMYFUNCTION("""COMPUTED_VALUE"""),18022.0)</f>
        <v>18022</v>
      </c>
      <c r="B2490" s="5" t="str">
        <f>IFERROR(__xludf.DUMMYFUNCTION("""COMPUTED_VALUE"""),"هیأت ")</f>
        <v>هیأت </v>
      </c>
      <c r="C2490" s="5" t="str">
        <f>IFERROR(__xludf.DUMMYFUNCTION("""COMPUTED_VALUE"""),"زینب کبری(س) (زینبیه روستای باروق)")</f>
        <v>زینب کبری(س) (زینبیه روستای باروق)</v>
      </c>
      <c r="D2490" s="5" t="str">
        <f>IFERROR(__xludf.DUMMYFUNCTION("""COMPUTED_VALUE"""),"اردبیل")</f>
        <v>اردبیل</v>
      </c>
      <c r="E2490" s="5" t="str">
        <f>IFERROR(__xludf.DUMMYFUNCTION("""COMPUTED_VALUE"""),"اردبیل")</f>
        <v>اردبیل</v>
      </c>
      <c r="F2490" s="5"/>
      <c r="G2490" s="5"/>
      <c r="H2490" s="6" t="str">
        <f>IFERROR(__xludf.DUMMYFUNCTION("""COMPUTED_VALUE"""),"https://www.instagram.com/heyat_hazrat_zaynab_barog/")</f>
        <v>https://www.instagram.com/heyat_hazrat_zaynab_barog/</v>
      </c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</row>
    <row r="2491">
      <c r="A2491" s="5">
        <f>IFERROR(__xludf.DUMMYFUNCTION("""COMPUTED_VALUE"""),18026.0)</f>
        <v>18026</v>
      </c>
      <c r="B2491" s="5" t="str">
        <f>IFERROR(__xludf.DUMMYFUNCTION("""COMPUTED_VALUE"""),"هیأت ")</f>
        <v>هیأت </v>
      </c>
      <c r="C2491" s="5" t="str">
        <f>IFERROR(__xludf.DUMMYFUNCTION("""COMPUTED_VALUE"""),"صاحب الزمان(عج)")</f>
        <v>صاحب الزمان(عج)</v>
      </c>
      <c r="D2491" s="5" t="str">
        <f>IFERROR(__xludf.DUMMYFUNCTION("""COMPUTED_VALUE"""),"اردبیل")</f>
        <v>اردبیل</v>
      </c>
      <c r="E2491" s="5" t="str">
        <f>IFERROR(__xludf.DUMMYFUNCTION("""COMPUTED_VALUE"""),"اردبیل")</f>
        <v>اردبیل</v>
      </c>
      <c r="F2491" s="5"/>
      <c r="G2491" s="5"/>
      <c r="H2491" s="6" t="str">
        <f>IFERROR(__xludf.DUMMYFUNCTION("""COMPUTED_VALUE"""),"https://www.instagram.com/heyat_saheb_zeman_ej/")</f>
        <v>https://www.instagram.com/heyat_saheb_zeman_ej/</v>
      </c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</row>
    <row r="2492">
      <c r="A2492" s="5">
        <f>IFERROR(__xludf.DUMMYFUNCTION("""COMPUTED_VALUE"""),19326.0)</f>
        <v>19326</v>
      </c>
      <c r="B2492" s="5" t="str">
        <f>IFERROR(__xludf.DUMMYFUNCTION("""COMPUTED_VALUE"""),"هیأت ")</f>
        <v>هیأت </v>
      </c>
      <c r="C2492" s="5" t="str">
        <f>IFERROR(__xludf.DUMMYFUNCTION("""COMPUTED_VALUE"""),"محسنین")</f>
        <v>محسنین</v>
      </c>
      <c r="D2492" s="5" t="str">
        <f>IFERROR(__xludf.DUMMYFUNCTION("""COMPUTED_VALUE"""),"اردبیل")</f>
        <v>اردبیل</v>
      </c>
      <c r="E2492" s="5" t="str">
        <f>IFERROR(__xludf.DUMMYFUNCTION("""COMPUTED_VALUE"""),"اردبیل")</f>
        <v>اردبیل</v>
      </c>
      <c r="F2492" s="5"/>
      <c r="G2492" s="5"/>
      <c r="H2492" s="6" t="str">
        <f>IFERROR(__xludf.DUMMYFUNCTION("""COMPUTED_VALUE"""),"https://www.instagram.com/yaran.mohsenin.ardabil")</f>
        <v>https://www.instagram.com/yaran.mohsenin.ardabil</v>
      </c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</row>
    <row r="2493">
      <c r="A2493" s="5">
        <f>IFERROR(__xludf.DUMMYFUNCTION("""COMPUTED_VALUE"""),19598.0)</f>
        <v>19598</v>
      </c>
      <c r="B2493" s="5" t="str">
        <f>IFERROR(__xludf.DUMMYFUNCTION("""COMPUTED_VALUE"""),"هیأت ")</f>
        <v>هیأت </v>
      </c>
      <c r="C2493" s="5" t="str">
        <f>IFERROR(__xludf.DUMMYFUNCTION("""COMPUTED_VALUE"""),"رایه الهدی (عج)")</f>
        <v>رایه الهدی (عج)</v>
      </c>
      <c r="D2493" s="5" t="str">
        <f>IFERROR(__xludf.DUMMYFUNCTION("""COMPUTED_VALUE"""),"اردبیل")</f>
        <v>اردبیل</v>
      </c>
      <c r="E2493" s="5" t="str">
        <f>IFERROR(__xludf.DUMMYFUNCTION("""COMPUTED_VALUE"""),"اردبیل")</f>
        <v>اردبیل</v>
      </c>
      <c r="F2493" s="5"/>
      <c r="G2493" s="5"/>
      <c r="H2493" s="6" t="str">
        <f>IFERROR(__xludf.DUMMYFUNCTION("""COMPUTED_VALUE"""),"https://www.instagram.com/rayatolmahdi_ardebil")</f>
        <v>https://www.instagram.com/rayatolmahdi_ardebil</v>
      </c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</row>
    <row r="2494">
      <c r="A2494" s="5">
        <f>IFERROR(__xludf.DUMMYFUNCTION("""COMPUTED_VALUE"""),20491.0)</f>
        <v>20491</v>
      </c>
      <c r="B2494" s="5" t="str">
        <f>IFERROR(__xludf.DUMMYFUNCTION("""COMPUTED_VALUE"""),"هیأت ")</f>
        <v>هیأت </v>
      </c>
      <c r="C2494" s="5" t="str">
        <f>IFERROR(__xludf.DUMMYFUNCTION("""COMPUTED_VALUE"""),"مکتب الحسین (ع)")</f>
        <v>مکتب الحسین (ع)</v>
      </c>
      <c r="D2494" s="5" t="str">
        <f>IFERROR(__xludf.DUMMYFUNCTION("""COMPUTED_VALUE"""),"اردبیل")</f>
        <v>اردبیل</v>
      </c>
      <c r="E2494" s="5" t="str">
        <f>IFERROR(__xludf.DUMMYFUNCTION("""COMPUTED_VALUE"""),"اردبیل")</f>
        <v>اردبیل</v>
      </c>
      <c r="F2494" s="5"/>
      <c r="G2494" s="5"/>
      <c r="H2494" s="6" t="str">
        <f>IFERROR(__xludf.DUMMYFUNCTION("""COMPUTED_VALUE"""),"https://www.instagram.com/maktabol_hosein.ard/")</f>
        <v>https://www.instagram.com/maktabol_hosein.ard/</v>
      </c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</row>
    <row r="2495">
      <c r="A2495" s="5">
        <f>IFERROR(__xludf.DUMMYFUNCTION("""COMPUTED_VALUE"""),21181.0)</f>
        <v>21181</v>
      </c>
      <c r="B2495" s="5" t="str">
        <f>IFERROR(__xludf.DUMMYFUNCTION("""COMPUTED_VALUE"""),"هیأت ")</f>
        <v>هیأت </v>
      </c>
      <c r="C2495" s="5" t="str">
        <f>IFERROR(__xludf.DUMMYFUNCTION("""COMPUTED_VALUE"""),"انجمن کوتاه قامتان بلندهمت اردبیل")</f>
        <v>انجمن کوتاه قامتان بلندهمت اردبیل</v>
      </c>
      <c r="D2495" s="5" t="str">
        <f>IFERROR(__xludf.DUMMYFUNCTION("""COMPUTED_VALUE"""),"اردبیل")</f>
        <v>اردبیل</v>
      </c>
      <c r="E2495" s="5" t="str">
        <f>IFERROR(__xludf.DUMMYFUNCTION("""COMPUTED_VALUE"""),"اردبیل")</f>
        <v>اردبیل</v>
      </c>
      <c r="F2495" s="5"/>
      <c r="G2495" s="5"/>
      <c r="H2495" s="6" t="str">
        <f>IFERROR(__xludf.DUMMYFUNCTION("""COMPUTED_VALUE"""),"https://www.instagram.com/kotahgamatan/")</f>
        <v>https://www.instagram.com/kotahgamatan/</v>
      </c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</row>
    <row r="2496">
      <c r="A2496" s="5">
        <f>IFERROR(__xludf.DUMMYFUNCTION("""COMPUTED_VALUE"""),21182.0)</f>
        <v>21182</v>
      </c>
      <c r="B2496" s="5" t="str">
        <f>IFERROR(__xludf.DUMMYFUNCTION("""COMPUTED_VALUE"""),"هیأت ")</f>
        <v>هیأت </v>
      </c>
      <c r="C2496" s="5" t="str">
        <f>IFERROR(__xludf.DUMMYFUNCTION("""COMPUTED_VALUE"""),"تبلیغات اسلامی")</f>
        <v>تبلیغات اسلامی</v>
      </c>
      <c r="D2496" s="5" t="str">
        <f>IFERROR(__xludf.DUMMYFUNCTION("""COMPUTED_VALUE"""),"اردبیل")</f>
        <v>اردبیل</v>
      </c>
      <c r="E2496" s="5" t="str">
        <f>IFERROR(__xludf.DUMMYFUNCTION("""COMPUTED_VALUE"""),"اردبیل")</f>
        <v>اردبیل</v>
      </c>
      <c r="F2496" s="5"/>
      <c r="G2496" s="5"/>
      <c r="H2496" s="6" t="str">
        <f>IFERROR(__xludf.DUMMYFUNCTION("""COMPUTED_VALUE"""),"https://www.instagram.com/nehzat_eslami_ard/")</f>
        <v>https://www.instagram.com/nehzat_eslami_ard/</v>
      </c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</row>
    <row r="2497">
      <c r="A2497" s="5">
        <f>IFERROR(__xludf.DUMMYFUNCTION("""COMPUTED_VALUE"""),21183.0)</f>
        <v>21183</v>
      </c>
      <c r="B2497" s="5" t="str">
        <f>IFERROR(__xludf.DUMMYFUNCTION("""COMPUTED_VALUE"""),"هیأت ")</f>
        <v>هیأت </v>
      </c>
      <c r="C2497" s="5" t="str">
        <f>IFERROR(__xludf.DUMMYFUNCTION("""COMPUTED_VALUE"""),"منتظران مهدی (ع)")</f>
        <v>منتظران مهدی (ع)</v>
      </c>
      <c r="D2497" s="5" t="str">
        <f>IFERROR(__xludf.DUMMYFUNCTION("""COMPUTED_VALUE"""),"اردبیل")</f>
        <v>اردبیل</v>
      </c>
      <c r="E2497" s="5" t="str">
        <f>IFERROR(__xludf.DUMMYFUNCTION("""COMPUTED_VALUE"""),"اردبیل")</f>
        <v>اردبیل</v>
      </c>
      <c r="F2497" s="5"/>
      <c r="G2497" s="5"/>
      <c r="H2497" s="6" t="str">
        <f>IFERROR(__xludf.DUMMYFUNCTION("""COMPUTED_VALUE"""),"https://www.instagram.com/heyaate_montazerane_mahdi/")</f>
        <v>https://www.instagram.com/heyaate_montazerane_mahdi/</v>
      </c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</row>
    <row r="2498">
      <c r="A2498" s="5">
        <f>IFERROR(__xludf.DUMMYFUNCTION("""COMPUTED_VALUE"""),21203.0)</f>
        <v>21203</v>
      </c>
      <c r="B2498" s="5" t="str">
        <f>IFERROR(__xludf.DUMMYFUNCTION("""COMPUTED_VALUE"""),"هیأت ")</f>
        <v>هیأت </v>
      </c>
      <c r="C2498" s="5" t="str">
        <f>IFERROR(__xludf.DUMMYFUNCTION("""COMPUTED_VALUE"""),"حضرت علی اصغر (ع)")</f>
        <v>حضرت علی اصغر (ع)</v>
      </c>
      <c r="D2498" s="5" t="str">
        <f>IFERROR(__xludf.DUMMYFUNCTION("""COMPUTED_VALUE"""),"اردبیل")</f>
        <v>اردبیل</v>
      </c>
      <c r="E2498" s="5" t="str">
        <f>IFERROR(__xludf.DUMMYFUNCTION("""COMPUTED_VALUE"""),"اردبیل")</f>
        <v>اردبیل</v>
      </c>
      <c r="F2498" s="5"/>
      <c r="G2498" s="5"/>
      <c r="H2498" s="6" t="str">
        <f>IFERROR(__xludf.DUMMYFUNCTION("""COMPUTED_VALUE"""),"https://www.instagram.com/heyyat_aliasghar/")</f>
        <v>https://www.instagram.com/heyyat_aliasghar/</v>
      </c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</row>
    <row r="2499">
      <c r="A2499" s="5">
        <f>IFERROR(__xludf.DUMMYFUNCTION("""COMPUTED_VALUE"""),21212.0)</f>
        <v>21212</v>
      </c>
      <c r="B2499" s="5" t="str">
        <f>IFERROR(__xludf.DUMMYFUNCTION("""COMPUTED_VALUE"""),"هیأت ")</f>
        <v>هیأت </v>
      </c>
      <c r="C2499" s="5" t="str">
        <f>IFERROR(__xludf.DUMMYFUNCTION("""COMPUTED_VALUE"""),"فرهنگی تبلیغات اسلامی")</f>
        <v>فرهنگی تبلیغات اسلامی</v>
      </c>
      <c r="D2499" s="5" t="str">
        <f>IFERROR(__xludf.DUMMYFUNCTION("""COMPUTED_VALUE"""),"نمین")</f>
        <v>نمین</v>
      </c>
      <c r="E2499" s="5" t="str">
        <f>IFERROR(__xludf.DUMMYFUNCTION("""COMPUTED_VALUE"""),"نمین")</f>
        <v>نمین</v>
      </c>
      <c r="F2499" s="5"/>
      <c r="G2499" s="5"/>
      <c r="H2499" s="6" t="str">
        <f>IFERROR(__xludf.DUMMYFUNCTION("""COMPUTED_VALUE"""),"https://www.instagram.com/nehzat_namin/")</f>
        <v>https://www.instagram.com/nehzat_namin/</v>
      </c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</row>
    <row r="2500">
      <c r="A2500" s="5">
        <f>IFERROR(__xludf.DUMMYFUNCTION("""COMPUTED_VALUE"""),21213.0)</f>
        <v>21213</v>
      </c>
      <c r="B2500" s="5" t="str">
        <f>IFERROR(__xludf.DUMMYFUNCTION("""COMPUTED_VALUE"""),"هیأت ")</f>
        <v>هیأت </v>
      </c>
      <c r="C2500" s="5" t="str">
        <f>IFERROR(__xludf.DUMMYFUNCTION("""COMPUTED_VALUE"""),"علی بن ابیطالب (ع)")</f>
        <v>علی بن ابیطالب (ع)</v>
      </c>
      <c r="D2500" s="5" t="str">
        <f>IFERROR(__xludf.DUMMYFUNCTION("""COMPUTED_VALUE"""),"پارس آباد")</f>
        <v>پارس آباد</v>
      </c>
      <c r="E2500" s="5" t="str">
        <f>IFERROR(__xludf.DUMMYFUNCTION("""COMPUTED_VALUE"""),"پارس آباد")</f>
        <v>پارس آباد</v>
      </c>
      <c r="F2500" s="5"/>
      <c r="G2500" s="5"/>
      <c r="H2500" s="6" t="str">
        <f>IFERROR(__xludf.DUMMYFUNCTION("""COMPUTED_VALUE"""),"https://www.instagram.com/aliebnabitaleb_2001")</f>
        <v>https://www.instagram.com/aliebnabitaleb_2001</v>
      </c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</row>
    <row r="2501">
      <c r="A2501" s="5">
        <f>IFERROR(__xludf.DUMMYFUNCTION("""COMPUTED_VALUE"""),21215.0)</f>
        <v>21215</v>
      </c>
      <c r="B2501" s="5" t="str">
        <f>IFERROR(__xludf.DUMMYFUNCTION("""COMPUTED_VALUE"""),"هیأت ")</f>
        <v>هیأت </v>
      </c>
      <c r="C2501" s="5" t="str">
        <f>IFERROR(__xludf.DUMMYFUNCTION("""COMPUTED_VALUE"""),"حضرت قمربنی هاشم (ع)")</f>
        <v>حضرت قمربنی هاشم (ع)</v>
      </c>
      <c r="D2501" s="5" t="str">
        <f>IFERROR(__xludf.DUMMYFUNCTION("""COMPUTED_VALUE"""),"پارس آباد")</f>
        <v>پارس آباد</v>
      </c>
      <c r="E2501" s="5" t="str">
        <f>IFERROR(__xludf.DUMMYFUNCTION("""COMPUTED_VALUE"""),"پارس آباد")</f>
        <v>پارس آباد</v>
      </c>
      <c r="F2501" s="5"/>
      <c r="G2501" s="5"/>
      <c r="H2501" s="6" t="str">
        <f>IFERROR(__xludf.DUMMYFUNCTION("""COMPUTED_VALUE"""),"https://www.instagram.com/heyat_ghamar_banyhashem/")</f>
        <v>https://www.instagram.com/heyat_ghamar_banyhashem/</v>
      </c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</row>
    <row r="2502">
      <c r="A2502" s="5">
        <f>IFERROR(__xludf.DUMMYFUNCTION("""COMPUTED_VALUE"""),21234.0)</f>
        <v>21234</v>
      </c>
      <c r="B2502" s="5" t="str">
        <f>IFERROR(__xludf.DUMMYFUNCTION("""COMPUTED_VALUE"""),"هیأت ")</f>
        <v>هیأت </v>
      </c>
      <c r="C2502" s="5" t="str">
        <f>IFERROR(__xludf.DUMMYFUNCTION("""COMPUTED_VALUE"""),"بیت الاحزان")</f>
        <v>بیت الاحزان</v>
      </c>
      <c r="D2502" s="5" t="str">
        <f>IFERROR(__xludf.DUMMYFUNCTION("""COMPUTED_VALUE"""),"پارس آباد")</f>
        <v>پارس آباد</v>
      </c>
      <c r="E2502" s="5" t="str">
        <f>IFERROR(__xludf.DUMMYFUNCTION("""COMPUTED_VALUE"""),"پارس آباد")</f>
        <v>پارس آباد</v>
      </c>
      <c r="F2502" s="5"/>
      <c r="G2502" s="5"/>
      <c r="H2502" s="6" t="str">
        <f>IFERROR(__xludf.DUMMYFUNCTION("""COMPUTED_VALUE"""),"https://www.instagram.com/heyat_beit_alahzan_parsabad/")</f>
        <v>https://www.instagram.com/heyat_beit_alahzan_parsabad/</v>
      </c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</row>
    <row r="2503">
      <c r="A2503" s="5">
        <f>IFERROR(__xludf.DUMMYFUNCTION("""COMPUTED_VALUE"""),21237.0)</f>
        <v>21237</v>
      </c>
      <c r="B2503" s="5" t="str">
        <f>IFERROR(__xludf.DUMMYFUNCTION("""COMPUTED_VALUE"""),"هیأت ")</f>
        <v>هیأت </v>
      </c>
      <c r="C2503" s="5" t="str">
        <f>IFERROR(__xludf.DUMMYFUNCTION("""COMPUTED_VALUE"""),"حضرت فاطمه الزهرا (س)")</f>
        <v>حضرت فاطمه الزهرا (س)</v>
      </c>
      <c r="D2503" s="5" t="str">
        <f>IFERROR(__xludf.DUMMYFUNCTION("""COMPUTED_VALUE"""),"پارس آباد")</f>
        <v>پارس آباد</v>
      </c>
      <c r="E2503" s="5" t="str">
        <f>IFERROR(__xludf.DUMMYFUNCTION("""COMPUTED_VALUE"""),"پارس آباد")</f>
        <v>پارس آباد</v>
      </c>
      <c r="F2503" s="5"/>
      <c r="G2503" s="5"/>
      <c r="H2503" s="6" t="str">
        <f>IFERROR(__xludf.DUMMYFUNCTION("""COMPUTED_VALUE"""),"https://www.instagram.com/mokebeparsabad_fatematozzahra/")</f>
        <v>https://www.instagram.com/mokebeparsabad_fatematozzahra/</v>
      </c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</row>
    <row r="2504">
      <c r="A2504" s="5">
        <f>IFERROR(__xludf.DUMMYFUNCTION("""COMPUTED_VALUE"""),21249.0)</f>
        <v>21249</v>
      </c>
      <c r="B2504" s="5" t="str">
        <f>IFERROR(__xludf.DUMMYFUNCTION("""COMPUTED_VALUE"""),"هیأت ")</f>
        <v>هیأت </v>
      </c>
      <c r="C2504" s="5" t="str">
        <f>IFERROR(__xludf.DUMMYFUNCTION("""COMPUTED_VALUE"""),"مکتب‌ حیدریون اردبیل متوسلین به حضرت علی بن ابیطالب (ع)")</f>
        <v>مکتب‌ حیدریون اردبیل متوسلین به حضرت علی بن ابیطالب (ع)</v>
      </c>
      <c r="D2504" s="5" t="str">
        <f>IFERROR(__xludf.DUMMYFUNCTION("""COMPUTED_VALUE"""),"اردبیل")</f>
        <v>اردبیل</v>
      </c>
      <c r="E2504" s="5" t="str">
        <f>IFERROR(__xludf.DUMMYFUNCTION("""COMPUTED_VALUE"""),"اردبیل")</f>
        <v>اردبیل</v>
      </c>
      <c r="F2504" s="5"/>
      <c r="G2504" s="5"/>
      <c r="H2504" s="6" t="str">
        <f>IFERROR(__xludf.DUMMYFUNCTION("""COMPUTED_VALUE"""),"https://www.instagram.com/maktabe_heydarun_ardabil/")</f>
        <v>https://www.instagram.com/maktabe_heydarun_ardabil/</v>
      </c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</row>
    <row r="2505">
      <c r="A2505" s="5">
        <f>IFERROR(__xludf.DUMMYFUNCTION("""COMPUTED_VALUE"""),21262.0)</f>
        <v>21262</v>
      </c>
      <c r="B2505" s="5" t="str">
        <f>IFERROR(__xludf.DUMMYFUNCTION("""COMPUTED_VALUE"""),"هیأت ")</f>
        <v>هیأت </v>
      </c>
      <c r="C2505" s="5" t="str">
        <f>IFERROR(__xludf.DUMMYFUNCTION("""COMPUTED_VALUE"""),"جان نثاران المهدی (عجل الله تعالی فرجه الشریف)")</f>
        <v>جان نثاران المهدی (عجل الله تعالی فرجه الشریف)</v>
      </c>
      <c r="D2505" s="5" t="str">
        <f>IFERROR(__xludf.DUMMYFUNCTION("""COMPUTED_VALUE"""),"گرمی")</f>
        <v>گرمی</v>
      </c>
      <c r="E2505" s="5" t="str">
        <f>IFERROR(__xludf.DUMMYFUNCTION("""COMPUTED_VALUE"""),"گرمی")</f>
        <v>گرمی</v>
      </c>
      <c r="F2505" s="5"/>
      <c r="G2505" s="5"/>
      <c r="H2505" s="6" t="str">
        <f>IFERROR(__xludf.DUMMYFUNCTION("""COMPUTED_VALUE"""),"https://www.instagram.com/jannesaran_almahdi")</f>
        <v>https://www.instagram.com/jannesaran_almahdi</v>
      </c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</row>
    <row r="2506">
      <c r="A2506" s="5">
        <f>IFERROR(__xludf.DUMMYFUNCTION("""COMPUTED_VALUE"""),21318.0)</f>
        <v>21318</v>
      </c>
      <c r="B2506" s="5" t="str">
        <f>IFERROR(__xludf.DUMMYFUNCTION("""COMPUTED_VALUE"""),"هیأت ")</f>
        <v>هیأت </v>
      </c>
      <c r="C2506" s="5" t="str">
        <f>IFERROR(__xludf.DUMMYFUNCTION("""COMPUTED_VALUE"""),"قمربنی هاشم حضرت ابوالفضل العباس (ع) وحدت اسلامی اردبیل")</f>
        <v>قمربنی هاشم حضرت ابوالفضل العباس (ع) وحدت اسلامی اردبیل</v>
      </c>
      <c r="D2506" s="5" t="str">
        <f>IFERROR(__xludf.DUMMYFUNCTION("""COMPUTED_VALUE"""),"اردبیل")</f>
        <v>اردبیل</v>
      </c>
      <c r="E2506" s="5" t="str">
        <f>IFERROR(__xludf.DUMMYFUNCTION("""COMPUTED_VALUE"""),"اردبیل")</f>
        <v>اردبیل</v>
      </c>
      <c r="F2506" s="5"/>
      <c r="G2506" s="5"/>
      <c r="H2506" s="6" t="str">
        <f>IFERROR(__xludf.DUMMYFUNCTION("""COMPUTED_VALUE"""),"https://www.instagram.com/gamarebanyhashem/")</f>
        <v>https://www.instagram.com/gamarebanyhashem/</v>
      </c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</row>
    <row r="2507">
      <c r="A2507" s="5">
        <f>IFERROR(__xludf.DUMMYFUNCTION("""COMPUTED_VALUE"""),32950.0)</f>
        <v>32950</v>
      </c>
      <c r="B2507" s="5" t="str">
        <f>IFERROR(__xludf.DUMMYFUNCTION("""COMPUTED_VALUE"""),"هیئت")</f>
        <v>هیئت</v>
      </c>
      <c r="C2507" s="5" t="str">
        <f>IFERROR(__xludf.DUMMYFUNCTION("""COMPUTED_VALUE""")," بیت العلی")</f>
        <v> بیت العلی</v>
      </c>
      <c r="D2507" s="5" t="str">
        <f>IFERROR(__xludf.DUMMYFUNCTION("""COMPUTED_VALUE"""),"اردبیل")</f>
        <v>اردبیل</v>
      </c>
      <c r="E2507" s="5" t="str">
        <f>IFERROR(__xludf.DUMMYFUNCTION("""COMPUTED_VALUE"""),"اردبیل")</f>
        <v>اردبیل</v>
      </c>
      <c r="F2507" s="5"/>
      <c r="G2507" s="5"/>
      <c r="H2507" s="6" t="str">
        <f>IFERROR(__xludf.DUMMYFUNCTION("""COMPUTED_VALUE"""),"https://www.instagram.com/beyt_ol_ali/")</f>
        <v>https://www.instagram.com/beyt_ol_ali/</v>
      </c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</row>
    <row r="2508">
      <c r="A2508" s="5">
        <f>IFERROR(__xludf.DUMMYFUNCTION("""COMPUTED_VALUE"""),32949.0)</f>
        <v>32949</v>
      </c>
      <c r="B2508" s="5" t="str">
        <f>IFERROR(__xludf.DUMMYFUNCTION("""COMPUTED_VALUE"""),"هیئت")</f>
        <v>هیئت</v>
      </c>
      <c r="C2508" s="5" t="str">
        <f>IFERROR(__xludf.DUMMYFUNCTION("""COMPUTED_VALUE"""),"علمدار")</f>
        <v>علمدار</v>
      </c>
      <c r="D2508" s="5" t="str">
        <f>IFERROR(__xludf.DUMMYFUNCTION("""COMPUTED_VALUE"""),"اردبیل")</f>
        <v>اردبیل</v>
      </c>
      <c r="E2508" s="5" t="str">
        <f>IFERROR(__xludf.DUMMYFUNCTION("""COMPUTED_VALUE"""),"اردبیل")</f>
        <v>اردبیل</v>
      </c>
      <c r="F2508" s="5"/>
      <c r="G2508" s="5"/>
      <c r="H2508" s="6" t="str">
        <f>IFERROR(__xludf.DUMMYFUNCTION("""COMPUTED_VALUE"""),"https://www.instagram.com/alam_dar_ir/")</f>
        <v>https://www.instagram.com/alam_dar_ir/</v>
      </c>
      <c r="I2508" s="5"/>
      <c r="J2508" s="6" t="str">
        <f>IFERROR(__xludf.DUMMYFUNCTION("""COMPUTED_VALUE"""),"https://eitaa.com/alamdar_ardabil")</f>
        <v>https://eitaa.com/alamdar_ardabil</v>
      </c>
      <c r="K2508" s="5"/>
      <c r="L2508" s="5"/>
      <c r="M2508" s="5"/>
      <c r="N2508" s="5"/>
      <c r="O2508" s="5"/>
      <c r="P2508" s="5"/>
      <c r="Q2508" s="5"/>
      <c r="R2508" s="5"/>
      <c r="S2508" s="5"/>
    </row>
    <row r="2509">
      <c r="A2509" s="5">
        <f>IFERROR(__xludf.DUMMYFUNCTION("""COMPUTED_VALUE"""),21411.0)</f>
        <v>21411</v>
      </c>
      <c r="B2509" s="5" t="str">
        <f>IFERROR(__xludf.DUMMYFUNCTION("""COMPUTED_VALUE"""),"هیئت")</f>
        <v>هیئت</v>
      </c>
      <c r="C2509" s="5" t="str">
        <f>IFERROR(__xludf.DUMMYFUNCTION("""COMPUTED_VALUE"""),"یاوران مهدی(عج)")</f>
        <v>یاوران مهدی(عج)</v>
      </c>
      <c r="D2509" s="5" t="str">
        <f>IFERROR(__xludf.DUMMYFUNCTION("""COMPUTED_VALUE"""),"اردبیل")</f>
        <v>اردبیل</v>
      </c>
      <c r="E2509" s="5" t="str">
        <f>IFERROR(__xludf.DUMMYFUNCTION("""COMPUTED_VALUE"""),"اردبیل")</f>
        <v>اردبیل</v>
      </c>
      <c r="F2509" s="5"/>
      <c r="G2509" s="5"/>
      <c r="H2509" s="6" t="str">
        <f>IFERROR(__xludf.DUMMYFUNCTION("""COMPUTED_VALUE"""),"https://www.instagram.com/yavaran.mahdi.ardebil/")</f>
        <v>https://www.instagram.com/yavaran.mahdi.ardebil/</v>
      </c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</row>
    <row r="2510">
      <c r="A2510" s="5">
        <f>IFERROR(__xludf.DUMMYFUNCTION("""COMPUTED_VALUE"""),32915.0)</f>
        <v>32915</v>
      </c>
      <c r="B2510" s="5" t="str">
        <f>IFERROR(__xludf.DUMMYFUNCTION("""COMPUTED_VALUE"""),"هیئت")</f>
        <v>هیئت</v>
      </c>
      <c r="C2510" s="5" t="str">
        <f>IFERROR(__xludf.DUMMYFUNCTION("""COMPUTED_VALUE"""),"حضرت علی اکبر (ع)")</f>
        <v>حضرت علی اکبر (ع)</v>
      </c>
      <c r="D2510" s="5" t="str">
        <f>IFERROR(__xludf.DUMMYFUNCTION("""COMPUTED_VALUE"""),"اردبیل")</f>
        <v>اردبیل</v>
      </c>
      <c r="E2510" s="5" t="str">
        <f>IFERROR(__xludf.DUMMYFUNCTION("""COMPUTED_VALUE"""),"اردبیل")</f>
        <v>اردبیل</v>
      </c>
      <c r="F2510" s="5"/>
      <c r="G2510" s="5"/>
      <c r="H2510" s="6" t="str">
        <f>IFERROR(__xludf.DUMMYFUNCTION("""COMPUTED_VALUE"""),"https://www.instagram.com/heyat_aliakbar_ardebil/")</f>
        <v>https://www.instagram.com/heyat_aliakbar_ardebil/</v>
      </c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</row>
    <row r="2511">
      <c r="A2511" s="5">
        <f>IFERROR(__xludf.DUMMYFUNCTION("""COMPUTED_VALUE"""),32514.0)</f>
        <v>32514</v>
      </c>
      <c r="B2511" s="5" t="str">
        <f>IFERROR(__xludf.DUMMYFUNCTION("""COMPUTED_VALUE"""),"هیئت")</f>
        <v>هیئت</v>
      </c>
      <c r="C2511" s="5" t="str">
        <f>IFERROR(__xludf.DUMMYFUNCTION("""COMPUTED_VALUE"""),"رایة المهدی(عج)")</f>
        <v>رایة المهدی(عج)</v>
      </c>
      <c r="D2511" s="5" t="str">
        <f>IFERROR(__xludf.DUMMYFUNCTION("""COMPUTED_VALUE"""),"اردبیل")</f>
        <v>اردبیل</v>
      </c>
      <c r="E2511" s="5" t="str">
        <f>IFERROR(__xludf.DUMMYFUNCTION("""COMPUTED_VALUE"""),"اردبیل")</f>
        <v>اردبیل</v>
      </c>
      <c r="F2511" s="5"/>
      <c r="G2511" s="5"/>
      <c r="H2511" s="6" t="str">
        <f>IFERROR(__xludf.DUMMYFUNCTION("""COMPUTED_VALUE"""),"https://www.instagram.com/rayatolmahdi_ardebil/?hl=en")</f>
        <v>https://www.instagram.com/rayatolmahdi_ardebil/?hl=en</v>
      </c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</row>
    <row r="2512">
      <c r="A2512" s="5">
        <f>IFERROR(__xludf.DUMMYFUNCTION("""COMPUTED_VALUE"""),23446.0)</f>
        <v>23446</v>
      </c>
      <c r="B2512" s="5" t="str">
        <f>IFERROR(__xludf.DUMMYFUNCTION("""COMPUTED_VALUE"""),"هیئت")</f>
        <v>هیئت</v>
      </c>
      <c r="C2512" s="5" t="str">
        <f>IFERROR(__xludf.DUMMYFUNCTION("""COMPUTED_VALUE"""),"هیات الرضا (ع)")</f>
        <v>هیات الرضا (ع)</v>
      </c>
      <c r="D2512" s="5" t="str">
        <f>IFERROR(__xludf.DUMMYFUNCTION("""COMPUTED_VALUE"""),"خلخال")</f>
        <v>خلخال</v>
      </c>
      <c r="E2512" s="5" t="str">
        <f>IFERROR(__xludf.DUMMYFUNCTION("""COMPUTED_VALUE"""),"خلخال")</f>
        <v>خلخال</v>
      </c>
      <c r="F2512" s="5"/>
      <c r="G2512" s="5"/>
      <c r="H2512" s="6" t="str">
        <f>IFERROR(__xludf.DUMMYFUNCTION("""COMPUTED_VALUE"""),"https://www.instagram.com/heyateandabil/")</f>
        <v>https://www.instagram.com/heyateandabil/</v>
      </c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</row>
    <row r="2513">
      <c r="A2513" s="5">
        <f>IFERROR(__xludf.DUMMYFUNCTION("""COMPUTED_VALUE"""),23558.0)</f>
        <v>23558</v>
      </c>
      <c r="B2513" s="5" t="str">
        <f>IFERROR(__xludf.DUMMYFUNCTION("""COMPUTED_VALUE"""),"هیئت")</f>
        <v>هیئت</v>
      </c>
      <c r="C2513" s="5" t="str">
        <f>IFERROR(__xludf.DUMMYFUNCTION("""COMPUTED_VALUE"""),"اهل کساء")</f>
        <v>اهل کساء</v>
      </c>
      <c r="D2513" s="5" t="str">
        <f>IFERROR(__xludf.DUMMYFUNCTION("""COMPUTED_VALUE"""),"اردبیل")</f>
        <v>اردبیل</v>
      </c>
      <c r="E2513" s="5" t="str">
        <f>IFERROR(__xludf.DUMMYFUNCTION("""COMPUTED_VALUE"""),"اردبیل")</f>
        <v>اردبیل</v>
      </c>
      <c r="F2513" s="5"/>
      <c r="G2513" s="5"/>
      <c r="H2513" s="6" t="str">
        <f>IFERROR(__xludf.DUMMYFUNCTION("""COMPUTED_VALUE"""),"https://www.instagram.com/ahlekaassa/")</f>
        <v>https://www.instagram.com/ahlekaassa/</v>
      </c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</row>
    <row r="2514">
      <c r="A2514" s="5">
        <f>IFERROR(__xludf.DUMMYFUNCTION("""COMPUTED_VALUE"""),24397.0)</f>
        <v>24397</v>
      </c>
      <c r="B2514" s="5" t="str">
        <f>IFERROR(__xludf.DUMMYFUNCTION("""COMPUTED_VALUE"""),"هیئت")</f>
        <v>هیئت</v>
      </c>
      <c r="C2514" s="5" t="str">
        <f>IFERROR(__xludf.DUMMYFUNCTION("""COMPUTED_VALUE"""),"سیدالشهدا روستای آلوارس")</f>
        <v>سیدالشهدا روستای آلوارس</v>
      </c>
      <c r="D2514" s="5" t="str">
        <f>IFERROR(__xludf.DUMMYFUNCTION("""COMPUTED_VALUE"""),"اردبیل")</f>
        <v>اردبیل</v>
      </c>
      <c r="E2514" s="5" t="str">
        <f>IFERROR(__xludf.DUMMYFUNCTION("""COMPUTED_VALUE"""),"سرعین")</f>
        <v>سرعین</v>
      </c>
      <c r="F2514" s="5"/>
      <c r="G2514" s="5"/>
      <c r="H2514" s="6" t="str">
        <f>IFERROR(__xludf.DUMMYFUNCTION("""COMPUTED_VALUE"""),"https://www.instagram.com/haj_as_amini2219/")</f>
        <v>https://www.instagram.com/haj_as_amini2219/</v>
      </c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</row>
    <row r="2515">
      <c r="A2515" s="5">
        <f>IFERROR(__xludf.DUMMYFUNCTION("""COMPUTED_VALUE"""),24662.0)</f>
        <v>24662</v>
      </c>
      <c r="B2515" s="5" t="str">
        <f>IFERROR(__xludf.DUMMYFUNCTION("""COMPUTED_VALUE"""),"هیئت")</f>
        <v>هیئت</v>
      </c>
      <c r="C2515" s="5" t="str">
        <f>IFERROR(__xludf.DUMMYFUNCTION("""COMPUTED_VALUE"""),"عشاق المهدی (عج)")</f>
        <v>عشاق المهدی (عج)</v>
      </c>
      <c r="D2515" s="5" t="str">
        <f>IFERROR(__xludf.DUMMYFUNCTION("""COMPUTED_VALUE"""),"اردبیل")</f>
        <v>اردبیل</v>
      </c>
      <c r="E2515" s="5" t="str">
        <f>IFERROR(__xludf.DUMMYFUNCTION("""COMPUTED_VALUE"""),"خلخال")</f>
        <v>خلخال</v>
      </c>
      <c r="F2515" s="5"/>
      <c r="G2515" s="5"/>
      <c r="H2515" s="6" t="str">
        <f>IFERROR(__xludf.DUMMYFUNCTION("""COMPUTED_VALUE"""),"https://www.instagram.com/oshaqalmahdi_khalkhal/")</f>
        <v>https://www.instagram.com/oshaqalmahdi_khalkhal/</v>
      </c>
      <c r="I2515" s="6" t="str">
        <f>IFERROR(__xludf.DUMMYFUNCTION("""COMPUTED_VALUE"""),"https://t.me/oshaqalmahdi_khalkhal")</f>
        <v>https://t.me/oshaqalmahdi_khalkhal</v>
      </c>
      <c r="J2515" s="5"/>
      <c r="K2515" s="5"/>
      <c r="L2515" s="5"/>
      <c r="M2515" s="5"/>
      <c r="N2515" s="5"/>
      <c r="O2515" s="5"/>
      <c r="P2515" s="5"/>
      <c r="Q2515" s="5"/>
      <c r="R2515" s="5"/>
      <c r="S2515" s="5"/>
    </row>
    <row r="2516">
      <c r="A2516" s="5">
        <f>IFERROR(__xludf.DUMMYFUNCTION("""COMPUTED_VALUE"""),24752.0)</f>
        <v>24752</v>
      </c>
      <c r="B2516" s="5" t="str">
        <f>IFERROR(__xludf.DUMMYFUNCTION("""COMPUTED_VALUE"""),"هیئت")</f>
        <v>هیئت</v>
      </c>
      <c r="C2516" s="5" t="str">
        <f>IFERROR(__xludf.DUMMYFUNCTION("""COMPUTED_VALUE"""),"باب الحوایج (ع) روستای فیروزآباد")</f>
        <v>باب الحوایج (ع) روستای فیروزآباد</v>
      </c>
      <c r="D2516" s="5" t="str">
        <f>IFERROR(__xludf.DUMMYFUNCTION("""COMPUTED_VALUE"""),"اردبیل")</f>
        <v>اردبیل</v>
      </c>
      <c r="E2516" s="5" t="str">
        <f>IFERROR(__xludf.DUMMYFUNCTION("""COMPUTED_VALUE"""),"پارس آباد")</f>
        <v>پارس آباد</v>
      </c>
      <c r="F2516" s="5"/>
      <c r="G2516" s="5"/>
      <c r="H2516" s="6" t="str">
        <f>IFERROR(__xludf.DUMMYFUNCTION("""COMPUTED_VALUE"""),"https://www.instagram.com/hoseiniye_babalhavaej")</f>
        <v>https://www.instagram.com/hoseiniye_babalhavaej</v>
      </c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</row>
    <row r="2517">
      <c r="A2517" s="5">
        <f>IFERROR(__xludf.DUMMYFUNCTION("""COMPUTED_VALUE"""),25032.0)</f>
        <v>25032</v>
      </c>
      <c r="B2517" s="5" t="str">
        <f>IFERROR(__xludf.DUMMYFUNCTION("""COMPUTED_VALUE"""),"هیئت")</f>
        <v>هیئت</v>
      </c>
      <c r="C2517" s="5" t="str">
        <f>IFERROR(__xludf.DUMMYFUNCTION("""COMPUTED_VALUE"""),"عاشقان ظهور")</f>
        <v>عاشقان ظهور</v>
      </c>
      <c r="D2517" s="5" t="str">
        <f>IFERROR(__xludf.DUMMYFUNCTION("""COMPUTED_VALUE"""),"اردبیل")</f>
        <v>اردبیل</v>
      </c>
      <c r="E2517" s="5" t="str">
        <f>IFERROR(__xludf.DUMMYFUNCTION("""COMPUTED_VALUE"""),"اردبیل")</f>
        <v>اردبیل</v>
      </c>
      <c r="F2517" s="5"/>
      <c r="G2517" s="5"/>
      <c r="H2517" s="6" t="str">
        <f>IFERROR(__xludf.DUMMYFUNCTION("""COMPUTED_VALUE"""),"https://www.instagram.com/asheghan.zohurardabil")</f>
        <v>https://www.instagram.com/asheghan.zohurardabil</v>
      </c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</row>
    <row r="2518">
      <c r="A2518" s="5">
        <f>IFERROR(__xludf.DUMMYFUNCTION("""COMPUTED_VALUE"""),25244.0)</f>
        <v>25244</v>
      </c>
      <c r="B2518" s="5" t="str">
        <f>IFERROR(__xludf.DUMMYFUNCTION("""COMPUTED_VALUE"""),"هیئت")</f>
        <v>هیئت</v>
      </c>
      <c r="C2518" s="5" t="str">
        <f>IFERROR(__xludf.DUMMYFUNCTION("""COMPUTED_VALUE"""),"شباب المهدی (عج)")</f>
        <v>شباب المهدی (عج)</v>
      </c>
      <c r="D2518" s="5" t="str">
        <f>IFERROR(__xludf.DUMMYFUNCTION("""COMPUTED_VALUE"""),"اردبیل")</f>
        <v>اردبیل</v>
      </c>
      <c r="E2518" s="5" t="str">
        <f>IFERROR(__xludf.DUMMYFUNCTION("""COMPUTED_VALUE"""),"مشگین شهر")</f>
        <v>مشگین شهر</v>
      </c>
      <c r="F2518" s="5"/>
      <c r="G2518" s="5"/>
      <c r="H2518" s="6" t="str">
        <f>IFERROR(__xludf.DUMMYFUNCTION("""COMPUTED_VALUE"""),"https://www.instagram.com/heyatshababalmahdi/")</f>
        <v>https://www.instagram.com/heyatshababalmahdi/</v>
      </c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</row>
    <row r="2519">
      <c r="A2519" s="5">
        <f>IFERROR(__xludf.DUMMYFUNCTION("""COMPUTED_VALUE"""),28032.0)</f>
        <v>28032</v>
      </c>
      <c r="B2519" s="5" t="str">
        <f>IFERROR(__xludf.DUMMYFUNCTION("""COMPUTED_VALUE"""),"هیئت")</f>
        <v>هیئت</v>
      </c>
      <c r="C2519" s="5" t="str">
        <f>IFERROR(__xludf.DUMMYFUNCTION("""COMPUTED_VALUE"""),"نمایشگاه لب های عطشان")</f>
        <v>نمایشگاه لب های عطشان</v>
      </c>
      <c r="D2519" s="5" t="str">
        <f>IFERROR(__xludf.DUMMYFUNCTION("""COMPUTED_VALUE"""),"اردبیل")</f>
        <v>اردبیل</v>
      </c>
      <c r="E2519" s="5" t="str">
        <f>IFERROR(__xludf.DUMMYFUNCTION("""COMPUTED_VALUE"""),"اردبیل")</f>
        <v>اردبیل</v>
      </c>
      <c r="F2519" s="5"/>
      <c r="G2519" s="5"/>
      <c r="H2519" s="6" t="str">
        <f>IFERROR(__xludf.DUMMYFUNCTION("""COMPUTED_VALUE"""),"https://www.instagram.com/labatshan/")</f>
        <v>https://www.instagram.com/labatshan/</v>
      </c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</row>
    <row r="2520">
      <c r="A2520" s="5">
        <f>IFERROR(__xludf.DUMMYFUNCTION("""COMPUTED_VALUE"""),28055.0)</f>
        <v>28055</v>
      </c>
      <c r="B2520" s="5" t="str">
        <f>IFERROR(__xludf.DUMMYFUNCTION("""COMPUTED_VALUE"""),"هیئت")</f>
        <v>هیئت</v>
      </c>
      <c r="C2520" s="5" t="str">
        <f>IFERROR(__xludf.DUMMYFUNCTION("""COMPUTED_VALUE"""),"حضرت قاسم(ع)شهرآلنی")</f>
        <v>حضرت قاسم(ع)شهرآلنی</v>
      </c>
      <c r="D2520" s="5" t="str">
        <f>IFERROR(__xludf.DUMMYFUNCTION("""COMPUTED_VALUE"""),"اردبیل")</f>
        <v>اردبیل</v>
      </c>
      <c r="E2520" s="5" t="str">
        <f>IFERROR(__xludf.DUMMYFUNCTION("""COMPUTED_VALUE"""),"مشگین شهر")</f>
        <v>مشگین شهر</v>
      </c>
      <c r="F2520" s="5"/>
      <c r="G2520" s="5"/>
      <c r="H2520" s="6" t="str">
        <f>IFERROR(__xludf.DUMMYFUNCTION("""COMPUTED_VALUE"""),"https://www.instagram.com/heyat.gasem/")</f>
        <v>https://www.instagram.com/heyat.gasem/</v>
      </c>
      <c r="I2520" s="6" t="str">
        <f>IFERROR(__xludf.DUMMYFUNCTION("""COMPUTED_VALUE"""),"https://t.me/gasemalni?")</f>
        <v>https://t.me/gasemalni?</v>
      </c>
      <c r="J2520" s="5"/>
      <c r="K2520" s="5"/>
      <c r="L2520" s="5"/>
      <c r="M2520" s="5"/>
      <c r="N2520" s="5"/>
      <c r="O2520" s="5"/>
      <c r="P2520" s="5"/>
      <c r="Q2520" s="5"/>
      <c r="R2520" s="5"/>
      <c r="S2520" s="5"/>
    </row>
    <row r="2521">
      <c r="A2521" s="5">
        <f>IFERROR(__xludf.DUMMYFUNCTION("""COMPUTED_VALUE"""),28071.0)</f>
        <v>28071</v>
      </c>
      <c r="B2521" s="5" t="str">
        <f>IFERROR(__xludf.DUMMYFUNCTION("""COMPUTED_VALUE"""),"هیئت")</f>
        <v>هیئت</v>
      </c>
      <c r="C2521" s="5" t="str">
        <f>IFERROR(__xludf.DUMMYFUNCTION("""COMPUTED_VALUE"""),"علمدار")</f>
        <v>علمدار</v>
      </c>
      <c r="D2521" s="5" t="str">
        <f>IFERROR(__xludf.DUMMYFUNCTION("""COMPUTED_VALUE"""),"اردبیل")</f>
        <v>اردبیل</v>
      </c>
      <c r="E2521" s="5" t="str">
        <f>IFERROR(__xludf.DUMMYFUNCTION("""COMPUTED_VALUE"""),"خلخال")</f>
        <v>خلخال</v>
      </c>
      <c r="F2521" s="5"/>
      <c r="G2521" s="5"/>
      <c r="H2521" s="6" t="str">
        <f>IFERROR(__xludf.DUMMYFUNCTION("""COMPUTED_VALUE"""),"https://www.instagram.com/tasht_gozari_heyat_alamdar")</f>
        <v>https://www.instagram.com/tasht_gozari_heyat_alamdar</v>
      </c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</row>
    <row r="2522">
      <c r="A2522" s="5">
        <f>IFERROR(__xludf.DUMMYFUNCTION("""COMPUTED_VALUE"""),28133.0)</f>
        <v>28133</v>
      </c>
      <c r="B2522" s="5" t="str">
        <f>IFERROR(__xludf.DUMMYFUNCTION("""COMPUTED_VALUE"""),"هیئت")</f>
        <v>هیئت</v>
      </c>
      <c r="C2522" s="5" t="str">
        <f>IFERROR(__xludf.DUMMYFUNCTION("""COMPUTED_VALUE"""),"سینه زنان عاشقان حضرت ابوالفضل ع")</f>
        <v>سینه زنان عاشقان حضرت ابوالفضل ع</v>
      </c>
      <c r="D2522" s="5" t="str">
        <f>IFERROR(__xludf.DUMMYFUNCTION("""COMPUTED_VALUE"""),"اردبیل")</f>
        <v>اردبیل</v>
      </c>
      <c r="E2522" s="5" t="str">
        <f>IFERROR(__xludf.DUMMYFUNCTION("""COMPUTED_VALUE"""),"پارس آباد")</f>
        <v>پارس آباد</v>
      </c>
      <c r="F2522" s="5"/>
      <c r="G2522" s="5"/>
      <c r="H2522" s="6" t="str">
        <f>IFERROR(__xludf.DUMMYFUNCTION("""COMPUTED_VALUE"""),"https://www.instagram.com/heyate_ashegane_abolfazl/")</f>
        <v>https://www.instagram.com/heyate_ashegane_abolfazl/</v>
      </c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</row>
    <row r="2523">
      <c r="A2523" s="5">
        <f>IFERROR(__xludf.DUMMYFUNCTION("""COMPUTED_VALUE"""),28153.0)</f>
        <v>28153</v>
      </c>
      <c r="B2523" s="5" t="str">
        <f>IFERROR(__xludf.DUMMYFUNCTION("""COMPUTED_VALUE"""),"هیئت")</f>
        <v>هیئت</v>
      </c>
      <c r="C2523" s="5" t="str">
        <f>IFERROR(__xludf.DUMMYFUNCTION("""COMPUTED_VALUE"""),"تشنگان عاشورا")</f>
        <v>تشنگان عاشورا</v>
      </c>
      <c r="D2523" s="5" t="str">
        <f>IFERROR(__xludf.DUMMYFUNCTION("""COMPUTED_VALUE"""),"اردبیل")</f>
        <v>اردبیل</v>
      </c>
      <c r="E2523" s="5" t="str">
        <f>IFERROR(__xludf.DUMMYFUNCTION("""COMPUTED_VALUE"""),"بیله سوار")</f>
        <v>بیله سوار</v>
      </c>
      <c r="F2523" s="5"/>
      <c r="G2523" s="5"/>
      <c r="H2523" s="6" t="str">
        <f>IFERROR(__xludf.DUMMYFUNCTION("""COMPUTED_VALUE"""),"https://www.instagram.com/teshnegane_ashura/")</f>
        <v>https://www.instagram.com/teshnegane_ashura/</v>
      </c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</row>
    <row r="2524">
      <c r="A2524" s="5">
        <f>IFERROR(__xludf.DUMMYFUNCTION("""COMPUTED_VALUE"""),28155.0)</f>
        <v>28155</v>
      </c>
      <c r="B2524" s="5" t="str">
        <f>IFERROR(__xludf.DUMMYFUNCTION("""COMPUTED_VALUE"""),"هیئت")</f>
        <v>هیئت</v>
      </c>
      <c r="C2524" s="5" t="str">
        <f>IFERROR(__xludf.DUMMYFUNCTION("""COMPUTED_VALUE"""),"انصارالمهدی (عج)")</f>
        <v>انصارالمهدی (عج)</v>
      </c>
      <c r="D2524" s="5" t="str">
        <f>IFERROR(__xludf.DUMMYFUNCTION("""COMPUTED_VALUE"""),"اردبیل")</f>
        <v>اردبیل</v>
      </c>
      <c r="E2524" s="5" t="str">
        <f>IFERROR(__xludf.DUMMYFUNCTION("""COMPUTED_VALUE"""),"پارس آباد")</f>
        <v>پارس آباد</v>
      </c>
      <c r="F2524" s="5"/>
      <c r="G2524" s="5"/>
      <c r="H2524" s="6" t="str">
        <f>IFERROR(__xludf.DUMMYFUNCTION("""COMPUTED_VALUE"""),"https://www.instagram.com/hayat_ansarolmahdi/")</f>
        <v>https://www.instagram.com/hayat_ansarolmahdi/</v>
      </c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</row>
    <row r="2525">
      <c r="A2525" s="5">
        <f>IFERROR(__xludf.DUMMYFUNCTION("""COMPUTED_VALUE"""),32513.0)</f>
        <v>32513</v>
      </c>
      <c r="B2525" s="5" t="str">
        <f>IFERROR(__xludf.DUMMYFUNCTION("""COMPUTED_VALUE"""),"هیئت")</f>
        <v>هیئت</v>
      </c>
      <c r="C2525" s="5" t="str">
        <f>IFERROR(__xludf.DUMMYFUNCTION("""COMPUTED_VALUE"""),"هیات الرضا (ع)")</f>
        <v>هیات الرضا (ع)</v>
      </c>
      <c r="D2525" s="5" t="str">
        <f>IFERROR(__xludf.DUMMYFUNCTION("""COMPUTED_VALUE"""),"اردبیل")</f>
        <v>اردبیل</v>
      </c>
      <c r="E2525" s="5" t="str">
        <f>IFERROR(__xludf.DUMMYFUNCTION("""COMPUTED_VALUE"""),"اردبیل")</f>
        <v>اردبیل</v>
      </c>
      <c r="F2525" s="5"/>
      <c r="G2525" s="5"/>
      <c r="H2525" s="6" t="str">
        <f>IFERROR(__xludf.DUMMYFUNCTION("""COMPUTED_VALUE"""),"https://www.instagram.com/ravag.ir/?hl=en")</f>
        <v>https://www.instagram.com/ravag.ir/?hl=en</v>
      </c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</row>
    <row r="2526">
      <c r="A2526" s="5">
        <f>IFERROR(__xludf.DUMMYFUNCTION("""COMPUTED_VALUE"""),32511.0)</f>
        <v>32511</v>
      </c>
      <c r="B2526" s="5" t="str">
        <f>IFERROR(__xludf.DUMMYFUNCTION("""COMPUTED_VALUE"""),"هیئت")</f>
        <v>هیئت</v>
      </c>
      <c r="C2526" s="5" t="str">
        <f>IFERROR(__xludf.DUMMYFUNCTION("""COMPUTED_VALUE"""),"هیات رضوی")</f>
        <v>هیات رضوی</v>
      </c>
      <c r="D2526" s="5" t="str">
        <f>IFERROR(__xludf.DUMMYFUNCTION("""COMPUTED_VALUE"""),"اردبیل")</f>
        <v>اردبیل</v>
      </c>
      <c r="E2526" s="5" t="str">
        <f>IFERROR(__xludf.DUMMYFUNCTION("""COMPUTED_VALUE"""),"اردبیل")</f>
        <v>اردبیل</v>
      </c>
      <c r="F2526" s="5"/>
      <c r="G2526" s="5"/>
      <c r="H2526" s="6" t="str">
        <f>IFERROR(__xludf.DUMMYFUNCTION("""COMPUTED_VALUE"""),"https://www.instagram.com/hoseinieh_razavi/")</f>
        <v>https://www.instagram.com/hoseinieh_razavi/</v>
      </c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</row>
    <row r="2527">
      <c r="A2527" s="5">
        <f>IFERROR(__xludf.DUMMYFUNCTION("""COMPUTED_VALUE"""),32442.0)</f>
        <v>32442</v>
      </c>
      <c r="B2527" s="5" t="str">
        <f>IFERROR(__xludf.DUMMYFUNCTION("""COMPUTED_VALUE"""),"هیئت")</f>
        <v>هیئت</v>
      </c>
      <c r="C2527" s="5" t="str">
        <f>IFERROR(__xludf.DUMMYFUNCTION("""COMPUTED_VALUE"""),"عاشقان حضرت ابوالفضل (ع)")</f>
        <v>عاشقان حضرت ابوالفضل (ع)</v>
      </c>
      <c r="D2527" s="5" t="str">
        <f>IFERROR(__xludf.DUMMYFUNCTION("""COMPUTED_VALUE"""),"اردبیل")</f>
        <v>اردبیل</v>
      </c>
      <c r="E2527" s="5" t="str">
        <f>IFERROR(__xludf.DUMMYFUNCTION("""COMPUTED_VALUE"""),"اردبیل")</f>
        <v>اردبیل</v>
      </c>
      <c r="F2527" s="5"/>
      <c r="G2527" s="5"/>
      <c r="H2527" s="6" t="str">
        <f>IFERROR(__xludf.DUMMYFUNCTION("""COMPUTED_VALUE"""),"https://www.instagram.com/heyatasheganeabolfazl/reels/")</f>
        <v>https://www.instagram.com/heyatasheganeabolfazl/reels/</v>
      </c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</row>
    <row r="2528">
      <c r="A2528" s="5">
        <f>IFERROR(__xludf.DUMMYFUNCTION("""COMPUTED_VALUE"""),32200.0)</f>
        <v>32200</v>
      </c>
      <c r="B2528" s="5" t="str">
        <f>IFERROR(__xludf.DUMMYFUNCTION("""COMPUTED_VALUE"""),"هیئت")</f>
        <v>هیئت</v>
      </c>
      <c r="C2528" s="5" t="str">
        <f>IFERROR(__xludf.DUMMYFUNCTION("""COMPUTED_VALUE"""),"زینبیون")</f>
        <v>زینبیون</v>
      </c>
      <c r="D2528" s="5" t="str">
        <f>IFERROR(__xludf.DUMMYFUNCTION("""COMPUTED_VALUE"""),"اردبیل")</f>
        <v>اردبیل</v>
      </c>
      <c r="E2528" s="5" t="str">
        <f>IFERROR(__xludf.DUMMYFUNCTION("""COMPUTED_VALUE"""),"اردبیل")</f>
        <v>اردبیل</v>
      </c>
      <c r="F2528" s="5"/>
      <c r="G2528" s="5"/>
      <c r="H2528" s="6" t="str">
        <f>IFERROR(__xludf.DUMMYFUNCTION("""COMPUTED_VALUE"""),"https://www.instagram.com/heyat_zeynabiyun_montazer/?hl=en")</f>
        <v>https://www.instagram.com/heyat_zeynabiyun_montazer/?hl=en</v>
      </c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</row>
    <row r="2529">
      <c r="A2529" s="5">
        <f>IFERROR(__xludf.DUMMYFUNCTION("""COMPUTED_VALUE"""),31920.0)</f>
        <v>31920</v>
      </c>
      <c r="B2529" s="5" t="str">
        <f>IFERROR(__xludf.DUMMYFUNCTION("""COMPUTED_VALUE"""),"هیئت")</f>
        <v>هیئت</v>
      </c>
      <c r="C2529" s="5" t="str">
        <f>IFERROR(__xludf.DUMMYFUNCTION("""COMPUTED_VALUE"""),"ابالفضل العباس (ع)")</f>
        <v>ابالفضل العباس (ع)</v>
      </c>
      <c r="D2529" s="5" t="str">
        <f>IFERROR(__xludf.DUMMYFUNCTION("""COMPUTED_VALUE"""),"اردبیل")</f>
        <v>اردبیل</v>
      </c>
      <c r="E2529" s="5" t="str">
        <f>IFERROR(__xludf.DUMMYFUNCTION("""COMPUTED_VALUE"""),"مشگین شهر")</f>
        <v>مشگین شهر</v>
      </c>
      <c r="F2529" s="5"/>
      <c r="G2529" s="5"/>
      <c r="H2529" s="6" t="str">
        <f>IFERROR(__xludf.DUMMYFUNCTION("""COMPUTED_VALUE"""),"https://www.instagram.com/hazratabolfazll/")</f>
        <v>https://www.instagram.com/hazratabolfazll/</v>
      </c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</row>
    <row r="2530">
      <c r="A2530" s="5">
        <f>IFERROR(__xludf.DUMMYFUNCTION("""COMPUTED_VALUE"""),31763.0)</f>
        <v>31763</v>
      </c>
      <c r="B2530" s="5" t="str">
        <f>IFERROR(__xludf.DUMMYFUNCTION("""COMPUTED_VALUE"""),"هیئت")</f>
        <v>هیئت</v>
      </c>
      <c r="C2530" s="5" t="str">
        <f>IFERROR(__xludf.DUMMYFUNCTION("""COMPUTED_VALUE"""),"چهارده معصوم (ع)")</f>
        <v>چهارده معصوم (ع)</v>
      </c>
      <c r="D2530" s="5" t="str">
        <f>IFERROR(__xludf.DUMMYFUNCTION("""COMPUTED_VALUE"""),"اردبیل")</f>
        <v>اردبیل</v>
      </c>
      <c r="E2530" s="5" t="str">
        <f>IFERROR(__xludf.DUMMYFUNCTION("""COMPUTED_VALUE"""),"اردبیل")</f>
        <v>اردبیل</v>
      </c>
      <c r="F2530" s="5"/>
      <c r="G2530" s="5"/>
      <c r="H2530" s="6" t="str">
        <f>IFERROR(__xludf.DUMMYFUNCTION("""COMPUTED_VALUE"""),"https://www.instagram.com/heyaat.14masuom/")</f>
        <v>https://www.instagram.com/heyaat.14masuom/</v>
      </c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</row>
    <row r="2531">
      <c r="A2531" s="5">
        <f>IFERROR(__xludf.DUMMYFUNCTION("""COMPUTED_VALUE"""),31444.0)</f>
        <v>31444</v>
      </c>
      <c r="B2531" s="5" t="str">
        <f>IFERROR(__xludf.DUMMYFUNCTION("""COMPUTED_VALUE"""),"هیئت")</f>
        <v>هیئت</v>
      </c>
      <c r="C2531" s="5" t="str">
        <f>IFERROR(__xludf.DUMMYFUNCTION("""COMPUTED_VALUE"""),"باب الحوایج (ع)")</f>
        <v>باب الحوایج (ع)</v>
      </c>
      <c r="D2531" s="5" t="str">
        <f>IFERROR(__xludf.DUMMYFUNCTION("""COMPUTED_VALUE"""),"اردبیل")</f>
        <v>اردبیل</v>
      </c>
      <c r="E2531" s="5" t="str">
        <f>IFERROR(__xludf.DUMMYFUNCTION("""COMPUTED_VALUE"""),"پارس آباد")</f>
        <v>پارس آباد</v>
      </c>
      <c r="F2531" s="5"/>
      <c r="G2531" s="5"/>
      <c r="H2531" s="6" t="str">
        <f>IFERROR(__xludf.DUMMYFUNCTION("""COMPUTED_VALUE"""),"https://www.instagram.com/babalhavaej.1/reels/")</f>
        <v>https://www.instagram.com/babalhavaej.1/reels/</v>
      </c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</row>
    <row r="2532">
      <c r="A2532" s="5">
        <f>IFERROR(__xludf.DUMMYFUNCTION("""COMPUTED_VALUE"""),30898.0)</f>
        <v>30898</v>
      </c>
      <c r="B2532" s="5" t="str">
        <f>IFERROR(__xludf.DUMMYFUNCTION("""COMPUTED_VALUE"""),"هیئت")</f>
        <v>هیئت</v>
      </c>
      <c r="C2532" s="5" t="str">
        <f>IFERROR(__xludf.DUMMYFUNCTION("""COMPUTED_VALUE"""),"آل طه")</f>
        <v>آل طه</v>
      </c>
      <c r="D2532" s="5" t="str">
        <f>IFERROR(__xludf.DUMMYFUNCTION("""COMPUTED_VALUE"""),"اردبیل")</f>
        <v>اردبیل</v>
      </c>
      <c r="E2532" s="5" t="str">
        <f>IFERROR(__xludf.DUMMYFUNCTION("""COMPUTED_VALUE"""),"اردبیل")</f>
        <v>اردبیل</v>
      </c>
      <c r="F2532" s="5"/>
      <c r="G2532" s="5"/>
      <c r="H2532" s="6" t="str">
        <f>IFERROR(__xludf.DUMMYFUNCTION("""COMPUTED_VALUE"""),"https://www.instagram.com/heyat_gorani_aletaha/")</f>
        <v>https://www.instagram.com/heyat_gorani_aletaha/</v>
      </c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</row>
    <row r="2533">
      <c r="A2533" s="5">
        <f>IFERROR(__xludf.DUMMYFUNCTION("""COMPUTED_VALUE"""),30889.0)</f>
        <v>30889</v>
      </c>
      <c r="B2533" s="5" t="str">
        <f>IFERROR(__xludf.DUMMYFUNCTION("""COMPUTED_VALUE"""),"هیئت")</f>
        <v>هیئت</v>
      </c>
      <c r="C2533" s="5" t="str">
        <f>IFERROR(__xludf.DUMMYFUNCTION("""COMPUTED_VALUE"""),"حضرت فاطمه معصومه (س)")</f>
        <v>حضرت فاطمه معصومه (س)</v>
      </c>
      <c r="D2533" s="5" t="str">
        <f>IFERROR(__xludf.DUMMYFUNCTION("""COMPUTED_VALUE"""),"اردبیل")</f>
        <v>اردبیل</v>
      </c>
      <c r="E2533" s="5" t="str">
        <f>IFERROR(__xludf.DUMMYFUNCTION("""COMPUTED_VALUE"""),"اردبیل")</f>
        <v>اردبیل</v>
      </c>
      <c r="F2533" s="5"/>
      <c r="G2533" s="5"/>
      <c r="H2533" s="6" t="str">
        <f>IFERROR(__xludf.DUMMYFUNCTION("""COMPUTED_VALUE"""),"https://www.instagram.com/heyat.hazrat.masomeh/?hl=en")</f>
        <v>https://www.instagram.com/heyat.hazrat.masomeh/?hl=en</v>
      </c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</row>
    <row r="2534">
      <c r="A2534" s="5">
        <f>IFERROR(__xludf.DUMMYFUNCTION("""COMPUTED_VALUE"""),30347.0)</f>
        <v>30347</v>
      </c>
      <c r="B2534" s="5" t="str">
        <f>IFERROR(__xludf.DUMMYFUNCTION("""COMPUTED_VALUE"""),"هیئت")</f>
        <v>هیئت</v>
      </c>
      <c r="C2534" s="5" t="str">
        <f>IFERROR(__xludf.DUMMYFUNCTION("""COMPUTED_VALUE"""),"عاشقان اباالفضل (ع)")</f>
        <v>عاشقان اباالفضل (ع)</v>
      </c>
      <c r="D2534" s="5" t="str">
        <f>IFERROR(__xludf.DUMMYFUNCTION("""COMPUTED_VALUE"""),"اردبیل")</f>
        <v>اردبیل</v>
      </c>
      <c r="E2534" s="5" t="str">
        <f>IFERROR(__xludf.DUMMYFUNCTION("""COMPUTED_VALUE"""),"اردبیل")</f>
        <v>اردبیل</v>
      </c>
      <c r="F2534" s="5"/>
      <c r="G2534" s="5"/>
      <c r="H2534" s="6" t="str">
        <f>IFERROR(__xludf.DUMMYFUNCTION("""COMPUTED_VALUE"""),"https://www.instagram.com/heyatasheganeabolfazl/")</f>
        <v>https://www.instagram.com/heyatasheganeabolfazl/</v>
      </c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</row>
    <row r="2535">
      <c r="A2535" s="5">
        <f>IFERROR(__xludf.DUMMYFUNCTION("""COMPUTED_VALUE"""),28350.0)</f>
        <v>28350</v>
      </c>
      <c r="B2535" s="5" t="str">
        <f>IFERROR(__xludf.DUMMYFUNCTION("""COMPUTED_VALUE"""),"هیئت")</f>
        <v>هیئت</v>
      </c>
      <c r="C2535" s="5" t="str">
        <f>IFERROR(__xludf.DUMMYFUNCTION("""COMPUTED_VALUE"""),"چهارده معصوم")</f>
        <v>چهارده معصوم</v>
      </c>
      <c r="D2535" s="5" t="str">
        <f>IFERROR(__xludf.DUMMYFUNCTION("""COMPUTED_VALUE"""),"اردبیل")</f>
        <v>اردبیل</v>
      </c>
      <c r="E2535" s="5" t="str">
        <f>IFERROR(__xludf.DUMMYFUNCTION("""COMPUTED_VALUE"""),"مشگین شهر")</f>
        <v>مشگین شهر</v>
      </c>
      <c r="F2535" s="5"/>
      <c r="G2535" s="5"/>
      <c r="H2535" s="6" t="str">
        <f>IFERROR(__xludf.DUMMYFUNCTION("""COMPUTED_VALUE"""),"https://www.instagram.com/masjed_14masoum/")</f>
        <v>https://www.instagram.com/masjed_14masoum/</v>
      </c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</row>
    <row r="2536">
      <c r="A2536" s="5">
        <f>IFERROR(__xludf.DUMMYFUNCTION("""COMPUTED_VALUE"""),28531.0)</f>
        <v>28531</v>
      </c>
      <c r="B2536" s="5" t="str">
        <f>IFERROR(__xludf.DUMMYFUNCTION("""COMPUTED_VALUE"""),"هیئت")</f>
        <v>هیئت</v>
      </c>
      <c r="C2536" s="5" t="str">
        <f>IFERROR(__xludf.DUMMYFUNCTION("""COMPUTED_VALUE"""),"جان نثاران حضرت ابوالفضل (ع)")</f>
        <v>جان نثاران حضرت ابوالفضل (ع)</v>
      </c>
      <c r="D2536" s="5" t="str">
        <f>IFERROR(__xludf.DUMMYFUNCTION("""COMPUTED_VALUE"""),"اردبیل")</f>
        <v>اردبیل</v>
      </c>
      <c r="E2536" s="5" t="str">
        <f>IFERROR(__xludf.DUMMYFUNCTION("""COMPUTED_VALUE"""),"اردبیل")</f>
        <v>اردبیل</v>
      </c>
      <c r="F2536" s="5"/>
      <c r="G2536" s="5"/>
      <c r="H2536" s="6" t="str">
        <f>IFERROR(__xludf.DUMMYFUNCTION("""COMPUTED_VALUE"""),"https://www.instagram.com/jannesaran_hazrate_abolfazl/")</f>
        <v>https://www.instagram.com/jannesaran_hazrate_abolfazl/</v>
      </c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</row>
    <row r="2537">
      <c r="A2537" s="5">
        <f>IFERROR(__xludf.DUMMYFUNCTION("""COMPUTED_VALUE"""),28620.0)</f>
        <v>28620</v>
      </c>
      <c r="B2537" s="5" t="str">
        <f>IFERROR(__xludf.DUMMYFUNCTION("""COMPUTED_VALUE"""),"هیئت")</f>
        <v>هیئت</v>
      </c>
      <c r="C2537" s="5" t="str">
        <f>IFERROR(__xludf.DUMMYFUNCTION("""COMPUTED_VALUE"""),"حضرت ولیعصر عج")</f>
        <v>حضرت ولیعصر عج</v>
      </c>
      <c r="D2537" s="5" t="str">
        <f>IFERROR(__xludf.DUMMYFUNCTION("""COMPUTED_VALUE"""),"اردبیل")</f>
        <v>اردبیل</v>
      </c>
      <c r="E2537" s="5" t="str">
        <f>IFERROR(__xludf.DUMMYFUNCTION("""COMPUTED_VALUE"""),"پارس آباد")</f>
        <v>پارس آباد</v>
      </c>
      <c r="F2537" s="5"/>
      <c r="G2537" s="5"/>
      <c r="H2537" s="6" t="str">
        <f>IFERROR(__xludf.DUMMYFUNCTION("""COMPUTED_VALUE"""),"https://www.instagram.com/heyat_valiasr_parsabad")</f>
        <v>https://www.instagram.com/heyat_valiasr_parsabad</v>
      </c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</row>
    <row r="2538">
      <c r="A2538" s="5">
        <f>IFERROR(__xludf.DUMMYFUNCTION("""COMPUTED_VALUE"""),30216.0)</f>
        <v>30216</v>
      </c>
      <c r="B2538" s="5" t="str">
        <f>IFERROR(__xludf.DUMMYFUNCTION("""COMPUTED_VALUE"""),"هیئت")</f>
        <v>هیئت</v>
      </c>
      <c r="C2538" s="5" t="str">
        <f>IFERROR(__xludf.DUMMYFUNCTION("""COMPUTED_VALUE"""),"بقیه الله (عج)")</f>
        <v>بقیه الله (عج)</v>
      </c>
      <c r="D2538" s="5" t="str">
        <f>IFERROR(__xludf.DUMMYFUNCTION("""COMPUTED_VALUE"""),"اردبیل")</f>
        <v>اردبیل</v>
      </c>
      <c r="E2538" s="5" t="str">
        <f>IFERROR(__xludf.DUMMYFUNCTION("""COMPUTED_VALUE"""),"اردبیل")</f>
        <v>اردبیل</v>
      </c>
      <c r="F2538" s="5"/>
      <c r="G2538" s="5"/>
      <c r="H2538" s="6" t="str">
        <f>IFERROR(__xludf.DUMMYFUNCTION("""COMPUTED_VALUE"""),"https://www.instagram.com/heyat_baghiatallah95/")</f>
        <v>https://www.instagram.com/heyat_baghiatallah95/</v>
      </c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</row>
    <row r="2539">
      <c r="A2539" s="5">
        <f>IFERROR(__xludf.DUMMYFUNCTION("""COMPUTED_VALUE"""),30213.0)</f>
        <v>30213</v>
      </c>
      <c r="B2539" s="5" t="str">
        <f>IFERROR(__xludf.DUMMYFUNCTION("""COMPUTED_VALUE"""),"هیئت")</f>
        <v>هیئت</v>
      </c>
      <c r="C2539" s="5" t="str">
        <f>IFERROR(__xludf.DUMMYFUNCTION("""COMPUTED_VALUE"""),"حضرت فاطمه الزهرا (س)")</f>
        <v>حضرت فاطمه الزهرا (س)</v>
      </c>
      <c r="D2539" s="5" t="str">
        <f>IFERROR(__xludf.DUMMYFUNCTION("""COMPUTED_VALUE"""),"اردبیل")</f>
        <v>اردبیل</v>
      </c>
      <c r="E2539" s="5" t="str">
        <f>IFERROR(__xludf.DUMMYFUNCTION("""COMPUTED_VALUE"""),"گرمی")</f>
        <v>گرمی</v>
      </c>
      <c r="F2539" s="5"/>
      <c r="G2539" s="5"/>
      <c r="H2539" s="5"/>
      <c r="I2539" s="5"/>
      <c r="J2539" s="6" t="str">
        <f>IFERROR(__xludf.DUMMYFUNCTION("""COMPUTED_VALUE"""),"https://eitaa.com/fatematazzahra1")</f>
        <v>https://eitaa.com/fatematazzahra1</v>
      </c>
      <c r="K2539" s="5"/>
      <c r="L2539" s="5"/>
      <c r="M2539" s="5"/>
      <c r="N2539" s="5"/>
      <c r="O2539" s="5"/>
      <c r="P2539" s="5"/>
      <c r="Q2539" s="5"/>
      <c r="R2539" s="5"/>
      <c r="S2539" s="5"/>
    </row>
    <row r="2540">
      <c r="A2540" s="5">
        <f>IFERROR(__xludf.DUMMYFUNCTION("""COMPUTED_VALUE"""),30077.0)</f>
        <v>30077</v>
      </c>
      <c r="B2540" s="5" t="str">
        <f>IFERROR(__xludf.DUMMYFUNCTION("""COMPUTED_VALUE"""),"هیئت")</f>
        <v>هیئت</v>
      </c>
      <c r="C2540" s="5" t="str">
        <f>IFERROR(__xludf.DUMMYFUNCTION("""COMPUTED_VALUE"""),"حب العباس (ع)")</f>
        <v>حب العباس (ع)</v>
      </c>
      <c r="D2540" s="5" t="str">
        <f>IFERROR(__xludf.DUMMYFUNCTION("""COMPUTED_VALUE"""),"اردبیل")</f>
        <v>اردبیل</v>
      </c>
      <c r="E2540" s="5" t="str">
        <f>IFERROR(__xludf.DUMMYFUNCTION("""COMPUTED_VALUE"""),"اردبیل")</f>
        <v>اردبیل</v>
      </c>
      <c r="F2540" s="5"/>
      <c r="G2540" s="5"/>
      <c r="H2540" s="6" t="str">
        <f>IFERROR(__xludf.DUMMYFUNCTION("""COMPUTED_VALUE"""),"https://www.instagram.com/heyate_hobbol_abbas/")</f>
        <v>https://www.instagram.com/heyate_hobbol_abbas/</v>
      </c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</row>
    <row r="2541">
      <c r="A2541" s="5">
        <f>IFERROR(__xludf.DUMMYFUNCTION("""COMPUTED_VALUE"""),30074.0)</f>
        <v>30074</v>
      </c>
      <c r="B2541" s="5" t="str">
        <f>IFERROR(__xludf.DUMMYFUNCTION("""COMPUTED_VALUE"""),"هیئت")</f>
        <v>هیئت</v>
      </c>
      <c r="C2541" s="5" t="str">
        <f>IFERROR(__xludf.DUMMYFUNCTION("""COMPUTED_VALUE"""),"حضرت فاطمه الزهرا (س)")</f>
        <v>حضرت فاطمه الزهرا (س)</v>
      </c>
      <c r="D2541" s="5" t="str">
        <f>IFERROR(__xludf.DUMMYFUNCTION("""COMPUTED_VALUE"""),"اردبیل")</f>
        <v>اردبیل</v>
      </c>
      <c r="E2541" s="5" t="str">
        <f>IFERROR(__xludf.DUMMYFUNCTION("""COMPUTED_VALUE"""),"مشگین شهر")</f>
        <v>مشگین شهر</v>
      </c>
      <c r="F2541" s="5"/>
      <c r="G2541" s="5"/>
      <c r="H2541" s="6" t="str">
        <f>IFERROR(__xludf.DUMMYFUNCTION("""COMPUTED_VALUE"""),"https://www.instagram.com/beytozahra_meshkinshahr/")</f>
        <v>https://www.instagram.com/beytozahra_meshkinshahr/</v>
      </c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</row>
    <row r="2542">
      <c r="A2542" s="5">
        <f>IFERROR(__xludf.DUMMYFUNCTION("""COMPUTED_VALUE"""),29662.0)</f>
        <v>29662</v>
      </c>
      <c r="B2542" s="5" t="str">
        <f>IFERROR(__xludf.DUMMYFUNCTION("""COMPUTED_VALUE"""),"هیئت")</f>
        <v>هیئت</v>
      </c>
      <c r="C2542" s="5" t="str">
        <f>IFERROR(__xludf.DUMMYFUNCTION("""COMPUTED_VALUE"""),"حضرت علی اصغر (ع)")</f>
        <v>حضرت علی اصغر (ع)</v>
      </c>
      <c r="D2542" s="5" t="str">
        <f>IFERROR(__xludf.DUMMYFUNCTION("""COMPUTED_VALUE"""),"اردبیل")</f>
        <v>اردبیل</v>
      </c>
      <c r="E2542" s="5" t="str">
        <f>IFERROR(__xludf.DUMMYFUNCTION("""COMPUTED_VALUE"""),"اردبیل")</f>
        <v>اردبیل</v>
      </c>
      <c r="F2542" s="5"/>
      <c r="G2542" s="5"/>
      <c r="H2542" s="6" t="str">
        <f>IFERROR(__xludf.DUMMYFUNCTION("""COMPUTED_VALUE"""),"https://www.instagram.com/heyat63_aliasgar_ardebil/")</f>
        <v>https://www.instagram.com/heyat63_aliasgar_ardebil/</v>
      </c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</row>
    <row r="2543">
      <c r="A2543" s="5">
        <f>IFERROR(__xludf.DUMMYFUNCTION("""COMPUTED_VALUE"""),29050.0)</f>
        <v>29050</v>
      </c>
      <c r="B2543" s="5" t="str">
        <f>IFERROR(__xludf.DUMMYFUNCTION("""COMPUTED_VALUE"""),"هیئت")</f>
        <v>هیئت</v>
      </c>
      <c r="C2543" s="5" t="str">
        <f>IFERROR(__xludf.DUMMYFUNCTION("""COMPUTED_VALUE"""),"شهزاده علی اکبر (ع)")</f>
        <v>شهزاده علی اکبر (ع)</v>
      </c>
      <c r="D2543" s="5" t="str">
        <f>IFERROR(__xludf.DUMMYFUNCTION("""COMPUTED_VALUE"""),"اردبیل")</f>
        <v>اردبیل</v>
      </c>
      <c r="E2543" s="5" t="str">
        <f>IFERROR(__xludf.DUMMYFUNCTION("""COMPUTED_VALUE"""),"اردبیل")</f>
        <v>اردبیل</v>
      </c>
      <c r="F2543" s="5" t="str">
        <f>IFERROR(__xludf.DUMMYFUNCTION("""COMPUTED_VALUE""")," ")</f>
        <v> </v>
      </c>
      <c r="G2543" s="5"/>
      <c r="H2543" s="6" t="str">
        <f>IFERROR(__xludf.DUMMYFUNCTION("""COMPUTED_VALUE"""),"https://www.instagram.com/jabi_dastasy/?hl=en")</f>
        <v>https://www.instagram.com/jabi_dastasy/?hl=en</v>
      </c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</row>
    <row r="2544">
      <c r="A2544" s="5">
        <f>IFERROR(__xludf.DUMMYFUNCTION("""COMPUTED_VALUE"""),28909.0)</f>
        <v>28909</v>
      </c>
      <c r="B2544" s="5" t="str">
        <f>IFERROR(__xludf.DUMMYFUNCTION("""COMPUTED_VALUE"""),"هیئت")</f>
        <v>هیئت</v>
      </c>
      <c r="C2544" s="5" t="str">
        <f>IFERROR(__xludf.DUMMYFUNCTION("""COMPUTED_VALUE"""),"سینه زنان و عاشقان حضرت علی اصغر(ع)")</f>
        <v>سینه زنان و عاشقان حضرت علی اصغر(ع)</v>
      </c>
      <c r="D2544" s="5" t="str">
        <f>IFERROR(__xludf.DUMMYFUNCTION("""COMPUTED_VALUE"""),"اردبیل")</f>
        <v>اردبیل</v>
      </c>
      <c r="E2544" s="5" t="str">
        <f>IFERROR(__xludf.DUMMYFUNCTION("""COMPUTED_VALUE"""),"اردبیل")</f>
        <v>اردبیل</v>
      </c>
      <c r="F2544" s="5"/>
      <c r="G2544" s="5"/>
      <c r="H2544" s="6" t="str">
        <f>IFERROR(__xludf.DUMMYFUNCTION("""COMPUTED_VALUE"""),"https://www.instagram.com/heyat63_aliasgar_ardebil/")</f>
        <v>https://www.instagram.com/heyat63_aliasgar_ardebil/</v>
      </c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</row>
    <row r="2545">
      <c r="A2545" s="5">
        <f>IFERROR(__xludf.DUMMYFUNCTION("""COMPUTED_VALUE"""),16036.0)</f>
        <v>16036</v>
      </c>
      <c r="B2545" s="5" t="str">
        <f>IFERROR(__xludf.DUMMYFUNCTION("""COMPUTED_VALUE"""),"هیأت")</f>
        <v>هیأت</v>
      </c>
      <c r="C2545" s="5" t="str">
        <f>IFERROR(__xludf.DUMMYFUNCTION("""COMPUTED_VALUE"""),"غلامان آل حیدر (ع)")</f>
        <v>غلامان آل حیدر (ع)</v>
      </c>
      <c r="D2545" s="5" t="str">
        <f>IFERROR(__xludf.DUMMYFUNCTION("""COMPUTED_VALUE"""),"همدان")</f>
        <v>همدان</v>
      </c>
      <c r="E2545" s="5" t="str">
        <f>IFERROR(__xludf.DUMMYFUNCTION("""COMPUTED_VALUE"""),"بهار")</f>
        <v>بهار</v>
      </c>
      <c r="F2545" s="5"/>
      <c r="G2545" s="5"/>
      <c r="H2545" s="6" t="str">
        <f>IFERROR(__xludf.DUMMYFUNCTION("""COMPUTED_VALUE"""),"https://www.instagram.com/gholaman_ale_heydar/")</f>
        <v>https://www.instagram.com/gholaman_ale_heydar/</v>
      </c>
      <c r="I2545" s="6" t="str">
        <f>IFERROR(__xludf.DUMMYFUNCTION("""COMPUTED_VALUE"""),"t.me/gholaman_ale_heydar")</f>
        <v>t.me/gholaman_ale_heydar</v>
      </c>
      <c r="J2545" s="6" t="str">
        <f>IFERROR(__xludf.DUMMYFUNCTION("""COMPUTED_VALUE"""),"https://eitaa.com/gholaman_all_hidar")</f>
        <v>https://eitaa.com/gholaman_all_hidar</v>
      </c>
      <c r="K2545" s="5"/>
      <c r="L2545" s="5"/>
      <c r="M2545" s="5"/>
      <c r="N2545" s="5"/>
      <c r="O2545" s="5"/>
      <c r="P2545" s="5"/>
      <c r="Q2545" s="5"/>
      <c r="R2545" s="5"/>
      <c r="S2545" s="5"/>
    </row>
    <row r="2546">
      <c r="A2546" s="5">
        <f>IFERROR(__xludf.DUMMYFUNCTION("""COMPUTED_VALUE"""),16038.0)</f>
        <v>16038</v>
      </c>
      <c r="B2546" s="5" t="str">
        <f>IFERROR(__xludf.DUMMYFUNCTION("""COMPUTED_VALUE"""),"هیأت")</f>
        <v>هیأت</v>
      </c>
      <c r="C2546" s="5" t="str">
        <f>IFERROR(__xludf.DUMMYFUNCTION("""COMPUTED_VALUE"""),"علمدار (ع)")</f>
        <v>علمدار (ع)</v>
      </c>
      <c r="D2546" s="5" t="str">
        <f>IFERROR(__xludf.DUMMYFUNCTION("""COMPUTED_VALUE"""),"همدان")</f>
        <v>همدان</v>
      </c>
      <c r="E2546" s="5" t="str">
        <f>IFERROR(__xludf.DUMMYFUNCTION("""COMPUTED_VALUE"""),"بهار")</f>
        <v>بهار</v>
      </c>
      <c r="F2546" s="5"/>
      <c r="G2546" s="5"/>
      <c r="H2546" s="6" t="str">
        <f>IFERROR(__xludf.DUMMYFUNCTION("""COMPUTED_VALUE"""),"https://www.instagram.com/alamdarinfo/")</f>
        <v>https://www.instagram.com/alamdarinfo/</v>
      </c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</row>
    <row r="2547">
      <c r="A2547" s="5">
        <f>IFERROR(__xludf.DUMMYFUNCTION("""COMPUTED_VALUE"""),16042.0)</f>
        <v>16042</v>
      </c>
      <c r="B2547" s="5" t="str">
        <f>IFERROR(__xludf.DUMMYFUNCTION("""COMPUTED_VALUE"""),"هیأت")</f>
        <v>هیأت</v>
      </c>
      <c r="C2547" s="5" t="str">
        <f>IFERROR(__xludf.DUMMYFUNCTION("""COMPUTED_VALUE"""),"فاطمیه")</f>
        <v>فاطمیه</v>
      </c>
      <c r="D2547" s="5" t="str">
        <f>IFERROR(__xludf.DUMMYFUNCTION("""COMPUTED_VALUE"""),"همدان")</f>
        <v>همدان</v>
      </c>
      <c r="E2547" s="5" t="str">
        <f>IFERROR(__xludf.DUMMYFUNCTION("""COMPUTED_VALUE"""),"همدان")</f>
        <v>همدان</v>
      </c>
      <c r="F2547" s="5"/>
      <c r="G2547" s="5"/>
      <c r="H2547" s="5"/>
      <c r="I2547" s="5"/>
      <c r="J2547" s="6" t="str">
        <f>IFERROR(__xludf.DUMMYFUNCTION("""COMPUTED_VALUE"""),"https://eitaa.com/Fatemiee313_hmd")</f>
        <v>https://eitaa.com/Fatemiee313_hmd</v>
      </c>
      <c r="K2547" s="5"/>
      <c r="L2547" s="5"/>
      <c r="M2547" s="5"/>
      <c r="N2547" s="5"/>
      <c r="O2547" s="5"/>
      <c r="P2547" s="5"/>
      <c r="Q2547" s="5"/>
      <c r="R2547" s="5"/>
      <c r="S2547" s="5"/>
    </row>
    <row r="2548">
      <c r="A2548" s="5">
        <f>IFERROR(__xludf.DUMMYFUNCTION("""COMPUTED_VALUE"""),16046.0)</f>
        <v>16046</v>
      </c>
      <c r="B2548" s="5" t="str">
        <f>IFERROR(__xludf.DUMMYFUNCTION("""COMPUTED_VALUE"""),"هیأت")</f>
        <v>هیأت</v>
      </c>
      <c r="C2548" s="5" t="str">
        <f>IFERROR(__xludf.DUMMYFUNCTION("""COMPUTED_VALUE"""),"جوانان سائلین المهدی (عج)")</f>
        <v>جوانان سائلین المهدی (عج)</v>
      </c>
      <c r="D2548" s="5" t="str">
        <f>IFERROR(__xludf.DUMMYFUNCTION("""COMPUTED_VALUE"""),"همدان")</f>
        <v>همدان</v>
      </c>
      <c r="E2548" s="5" t="str">
        <f>IFERROR(__xludf.DUMMYFUNCTION("""COMPUTED_VALUE"""),"همدان")</f>
        <v>همدان</v>
      </c>
      <c r="F2548" s="5"/>
      <c r="G2548" s="5"/>
      <c r="H2548" s="5"/>
      <c r="I2548" s="5"/>
      <c r="J2548" s="6" t="str">
        <f>IFERROR(__xludf.DUMMYFUNCTION("""COMPUTED_VALUE"""),"https://eitaa.com/saelin_almahdi")</f>
        <v>https://eitaa.com/saelin_almahdi</v>
      </c>
      <c r="K2548" s="5"/>
      <c r="L2548" s="5"/>
      <c r="M2548" s="5"/>
      <c r="N2548" s="5"/>
      <c r="O2548" s="5"/>
      <c r="P2548" s="5"/>
      <c r="Q2548" s="5"/>
      <c r="R2548" s="5"/>
      <c r="S2548" s="5"/>
    </row>
    <row r="2549">
      <c r="A2549" s="5">
        <f>IFERROR(__xludf.DUMMYFUNCTION("""COMPUTED_VALUE"""),16059.0)</f>
        <v>16059</v>
      </c>
      <c r="B2549" s="5" t="str">
        <f>IFERROR(__xludf.DUMMYFUNCTION("""COMPUTED_VALUE"""),"هیأت")</f>
        <v>هیأت</v>
      </c>
      <c r="C2549" s="5" t="str">
        <f>IFERROR(__xludf.DUMMYFUNCTION("""COMPUTED_VALUE"""),"عمه سادات")</f>
        <v>عمه سادات</v>
      </c>
      <c r="D2549" s="5" t="str">
        <f>IFERROR(__xludf.DUMMYFUNCTION("""COMPUTED_VALUE"""),"همدان")</f>
        <v>همدان</v>
      </c>
      <c r="E2549" s="5" t="str">
        <f>IFERROR(__xludf.DUMMYFUNCTION("""COMPUTED_VALUE"""),"نهاوند")</f>
        <v>نهاوند</v>
      </c>
      <c r="F2549" s="5"/>
      <c r="G2549" s="5"/>
      <c r="H2549" s="6" t="str">
        <f>IFERROR(__xludf.DUMMYFUNCTION("""COMPUTED_VALUE"""),"https://www.instagram.com/heyat_ameh_sadat/")</f>
        <v>https://www.instagram.com/heyat_ameh_sadat/</v>
      </c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</row>
    <row r="2550">
      <c r="A2550" s="5">
        <f>IFERROR(__xludf.DUMMYFUNCTION("""COMPUTED_VALUE"""),16061.0)</f>
        <v>16061</v>
      </c>
      <c r="B2550" s="5" t="str">
        <f>IFERROR(__xludf.DUMMYFUNCTION("""COMPUTED_VALUE"""),"هیأت دانشجویی")</f>
        <v>هیأت دانشجویی</v>
      </c>
      <c r="C2550" s="5" t="str">
        <f>IFERROR(__xludf.DUMMYFUNCTION("""COMPUTED_VALUE"""),"محبین اهل بیت (ع)")</f>
        <v>محبین اهل بیت (ع)</v>
      </c>
      <c r="D2550" s="5" t="str">
        <f>IFERROR(__xludf.DUMMYFUNCTION("""COMPUTED_VALUE"""),"همدان")</f>
        <v>همدان</v>
      </c>
      <c r="E2550" s="5" t="str">
        <f>IFERROR(__xludf.DUMMYFUNCTION("""COMPUTED_VALUE"""),"همدان")</f>
        <v>همدان</v>
      </c>
      <c r="F2550" s="5" t="str">
        <f>IFERROR(__xludf.DUMMYFUNCTION("""COMPUTED_VALUE"""),"دانشگاه بوعلی سینا")</f>
        <v>دانشگاه بوعلی سینا</v>
      </c>
      <c r="G2550" s="5"/>
      <c r="H2550" s="6" t="str">
        <f>IFERROR(__xludf.DUMMYFUNCTION("""COMPUTED_VALUE"""),"https://www.instagram.com/heyatbasu/")</f>
        <v>https://www.instagram.com/heyatbasu/</v>
      </c>
      <c r="I2550" s="5"/>
      <c r="J2550" s="6" t="str">
        <f>IFERROR(__xludf.DUMMYFUNCTION("""COMPUTED_VALUE"""),"https://eitaa.com/heyatbasu")</f>
        <v>https://eitaa.com/heyatbasu</v>
      </c>
      <c r="K2550" s="5"/>
      <c r="L2550" s="5"/>
      <c r="M2550" s="5"/>
      <c r="N2550" s="5"/>
      <c r="O2550" s="5"/>
      <c r="P2550" s="5"/>
      <c r="Q2550" s="5"/>
      <c r="R2550" s="5"/>
      <c r="S2550" s="5"/>
    </row>
    <row r="2551">
      <c r="A2551" s="5">
        <f>IFERROR(__xludf.DUMMYFUNCTION("""COMPUTED_VALUE"""),16070.0)</f>
        <v>16070</v>
      </c>
      <c r="B2551" s="5" t="str">
        <f>IFERROR(__xludf.DUMMYFUNCTION("""COMPUTED_VALUE"""),"هیأت")</f>
        <v>هیأت</v>
      </c>
      <c r="C2551" s="5" t="str">
        <f>IFERROR(__xludf.DUMMYFUNCTION("""COMPUTED_VALUE"""),"کانون عباسیه و عاشقان ثارالله(ع) (مسجد عباسیه کوچه مشکی)")</f>
        <v>کانون عباسیه و عاشقان ثارالله(ع) (مسجد عباسیه کوچه مشکی)</v>
      </c>
      <c r="D2551" s="5" t="str">
        <f>IFERROR(__xludf.DUMMYFUNCTION("""COMPUTED_VALUE"""),"همدان")</f>
        <v>همدان</v>
      </c>
      <c r="E2551" s="5" t="str">
        <f>IFERROR(__xludf.DUMMYFUNCTION("""COMPUTED_VALUE"""),"همدان")</f>
        <v>همدان</v>
      </c>
      <c r="F2551" s="5"/>
      <c r="G2551" s="5"/>
      <c r="H2551" s="6" t="str">
        <f>IFERROR(__xludf.DUMMYFUNCTION("""COMPUTED_VALUE"""),"https://www.instagram.com/abbasiye_kochmeshki/")</f>
        <v>https://www.instagram.com/abbasiye_kochmeshki/</v>
      </c>
      <c r="I2551" s="5"/>
      <c r="J2551" s="6" t="str">
        <f>IFERROR(__xludf.DUMMYFUNCTION("""COMPUTED_VALUE"""),"https://eitaa.com/abbasiye_kochmeshki")</f>
        <v>https://eitaa.com/abbasiye_kochmeshki</v>
      </c>
      <c r="K2551" s="5"/>
      <c r="L2551" s="5"/>
      <c r="M2551" s="5"/>
      <c r="N2551" s="5"/>
      <c r="O2551" s="5"/>
      <c r="P2551" s="5"/>
      <c r="Q2551" s="5"/>
      <c r="R2551" s="5"/>
      <c r="S2551" s="5"/>
    </row>
    <row r="2552">
      <c r="A2552" s="5">
        <f>IFERROR(__xludf.DUMMYFUNCTION("""COMPUTED_VALUE"""),16071.0)</f>
        <v>16071</v>
      </c>
      <c r="B2552" s="5" t="str">
        <f>IFERROR(__xludf.DUMMYFUNCTION("""COMPUTED_VALUE"""),"هیأت")</f>
        <v>هیأت</v>
      </c>
      <c r="C2552" s="5" t="str">
        <f>IFERROR(__xludf.DUMMYFUNCTION("""COMPUTED_VALUE"""),"عباسیه جولان")</f>
        <v>عباسیه جولان</v>
      </c>
      <c r="D2552" s="5" t="str">
        <f>IFERROR(__xludf.DUMMYFUNCTION("""COMPUTED_VALUE"""),"همدان")</f>
        <v>همدان</v>
      </c>
      <c r="E2552" s="5" t="str">
        <f>IFERROR(__xludf.DUMMYFUNCTION("""COMPUTED_VALUE"""),"همدان")</f>
        <v>همدان</v>
      </c>
      <c r="F2552" s="5"/>
      <c r="G2552" s="5"/>
      <c r="H2552" s="6" t="str">
        <f>IFERROR(__xludf.DUMMYFUNCTION("""COMPUTED_VALUE"""),"https://www.instagram.com/abbasie_julan/")</f>
        <v>https://www.instagram.com/abbasie_julan/</v>
      </c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</row>
    <row r="2553">
      <c r="A2553" s="5">
        <f>IFERROR(__xludf.DUMMYFUNCTION("""COMPUTED_VALUE"""),16100.0)</f>
        <v>16100</v>
      </c>
      <c r="B2553" s="5" t="str">
        <f>IFERROR(__xludf.DUMMYFUNCTION("""COMPUTED_VALUE"""),"هیأت")</f>
        <v>هیأت</v>
      </c>
      <c r="C2553" s="5" t="str">
        <f>IFERROR(__xludf.DUMMYFUNCTION("""COMPUTED_VALUE"""),"سیدالشهدا (ع)")</f>
        <v>سیدالشهدا (ع)</v>
      </c>
      <c r="D2553" s="5" t="str">
        <f>IFERROR(__xludf.DUMMYFUNCTION("""COMPUTED_VALUE"""),"همدان")</f>
        <v>همدان</v>
      </c>
      <c r="E2553" s="5" t="str">
        <f>IFERROR(__xludf.DUMMYFUNCTION("""COMPUTED_VALUE"""),"ملایر")</f>
        <v>ملایر</v>
      </c>
      <c r="F2553" s="5"/>
      <c r="G2553" s="5"/>
      <c r="H2553" s="6" t="str">
        <f>IFERROR(__xludf.DUMMYFUNCTION("""COMPUTED_VALUE"""),"https://www.instagram.com/seyedoshohada_malayer_/")</f>
        <v>https://www.instagram.com/seyedoshohada_malayer_/</v>
      </c>
      <c r="I2553" s="6" t="str">
        <f>IFERROR(__xludf.DUMMYFUNCTION("""COMPUTED_VALUE"""),"https://t.me/seyedoshohada_malayer")</f>
        <v>https://t.me/seyedoshohada_malayer</v>
      </c>
      <c r="J2553" s="5"/>
      <c r="K2553" s="5"/>
      <c r="L2553" s="5"/>
      <c r="M2553" s="5"/>
      <c r="N2553" s="5"/>
      <c r="O2553" s="5"/>
      <c r="P2553" s="5"/>
      <c r="Q2553" s="5"/>
      <c r="R2553" s="5"/>
      <c r="S2553" s="5"/>
    </row>
    <row r="2554">
      <c r="A2554" s="5">
        <f>IFERROR(__xludf.DUMMYFUNCTION("""COMPUTED_VALUE"""),16101.0)</f>
        <v>16101</v>
      </c>
      <c r="B2554" s="5" t="str">
        <f>IFERROR(__xludf.DUMMYFUNCTION("""COMPUTED_VALUE"""),"هیأت")</f>
        <v>هیأت</v>
      </c>
      <c r="C2554" s="5" t="str">
        <f>IFERROR(__xludf.DUMMYFUNCTION("""COMPUTED_VALUE"""),"سائلین اباصالح المهدی (عج)")</f>
        <v>سائلین اباصالح المهدی (عج)</v>
      </c>
      <c r="D2554" s="5" t="str">
        <f>IFERROR(__xludf.DUMMYFUNCTION("""COMPUTED_VALUE"""),"همدان")</f>
        <v>همدان</v>
      </c>
      <c r="E2554" s="5" t="str">
        <f>IFERROR(__xludf.DUMMYFUNCTION("""COMPUTED_VALUE"""),"ملایر")</f>
        <v>ملایر</v>
      </c>
      <c r="F2554" s="5"/>
      <c r="G2554" s="5"/>
      <c r="H2554" s="6" t="str">
        <f>IFERROR(__xludf.DUMMYFUNCTION("""COMPUTED_VALUE"""),"https://www.instagram.com/heiate_saelin/")</f>
        <v>https://www.instagram.com/heiate_saelin/</v>
      </c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</row>
    <row r="2555">
      <c r="A2555" s="5">
        <f>IFERROR(__xludf.DUMMYFUNCTION("""COMPUTED_VALUE"""),16112.0)</f>
        <v>16112</v>
      </c>
      <c r="B2555" s="5" t="str">
        <f>IFERROR(__xludf.DUMMYFUNCTION("""COMPUTED_VALUE"""),"هیأت")</f>
        <v>هیأت</v>
      </c>
      <c r="C2555" s="5" t="str">
        <f>IFERROR(__xludf.DUMMYFUNCTION("""COMPUTED_VALUE"""),"جوانان حزب الله")</f>
        <v>جوانان حزب الله</v>
      </c>
      <c r="D2555" s="5" t="str">
        <f>IFERROR(__xludf.DUMMYFUNCTION("""COMPUTED_VALUE"""),"همدان")</f>
        <v>همدان</v>
      </c>
      <c r="E2555" s="5" t="str">
        <f>IFERROR(__xludf.DUMMYFUNCTION("""COMPUTED_VALUE"""),"ملایر")</f>
        <v>ملایر</v>
      </c>
      <c r="F2555" s="5" t="str">
        <f>IFERROR(__xludf.DUMMYFUNCTION("""COMPUTED_VALUE"""),"روستا کرتیل آباد")</f>
        <v>روستا کرتیل آباد</v>
      </c>
      <c r="G2555" s="5"/>
      <c r="H2555" s="5"/>
      <c r="I2555" s="5"/>
      <c r="J2555" s="6" t="str">
        <f>IFERROR(__xludf.DUMMYFUNCTION("""COMPUTED_VALUE"""),"https://eitaa.com/hezbollahemalayer")</f>
        <v>https://eitaa.com/hezbollahemalayer</v>
      </c>
      <c r="K2555" s="5"/>
      <c r="L2555" s="5"/>
      <c r="M2555" s="5"/>
      <c r="N2555" s="5"/>
      <c r="O2555" s="5"/>
      <c r="P2555" s="5"/>
      <c r="Q2555" s="5"/>
      <c r="R2555" s="5"/>
      <c r="S2555" s="5"/>
    </row>
    <row r="2556">
      <c r="A2556" s="5">
        <f>IFERROR(__xludf.DUMMYFUNCTION("""COMPUTED_VALUE"""),16133.0)</f>
        <v>16133</v>
      </c>
      <c r="B2556" s="5" t="str">
        <f>IFERROR(__xludf.DUMMYFUNCTION("""COMPUTED_VALUE"""),"هیأت")</f>
        <v>هیأت</v>
      </c>
      <c r="C2556" s="5" t="str">
        <f>IFERROR(__xludf.DUMMYFUNCTION("""COMPUTED_VALUE"""),"اباصالح المهدی (عج)")</f>
        <v>اباصالح المهدی (عج)</v>
      </c>
      <c r="D2556" s="5" t="str">
        <f>IFERROR(__xludf.DUMMYFUNCTION("""COMPUTED_VALUE"""),"همدان")</f>
        <v>همدان</v>
      </c>
      <c r="E2556" s="5" t="str">
        <f>IFERROR(__xludf.DUMMYFUNCTION("""COMPUTED_VALUE"""),"رزن")</f>
        <v>رزن</v>
      </c>
      <c r="F2556" s="5"/>
      <c r="G2556" s="5"/>
      <c r="H2556" s="6" t="str">
        <f>IFERROR(__xludf.DUMMYFUNCTION("""COMPUTED_VALUE"""),"https://www.instagram.com/heyatabasalehrazan/")</f>
        <v>https://www.instagram.com/heyatabasalehrazan/</v>
      </c>
      <c r="I2556" s="6" t="str">
        <f>IFERROR(__xludf.DUMMYFUNCTION("""COMPUTED_VALUE"""),"https://t.me/Heyatabasalehrazan")</f>
        <v>https://t.me/Heyatabasalehrazan</v>
      </c>
      <c r="J2556" s="6" t="str">
        <f>IFERROR(__xludf.DUMMYFUNCTION("""COMPUTED_VALUE"""),"https://eitaa.com/heyatabasalehrazan")</f>
        <v>https://eitaa.com/heyatabasalehrazan</v>
      </c>
      <c r="K2556" s="5"/>
      <c r="L2556" s="5"/>
      <c r="M2556" s="5"/>
      <c r="N2556" s="5"/>
      <c r="O2556" s="5"/>
      <c r="P2556" s="5"/>
      <c r="Q2556" s="5"/>
      <c r="R2556" s="5"/>
      <c r="S2556" s="5"/>
    </row>
    <row r="2557">
      <c r="A2557" s="5">
        <f>IFERROR(__xludf.DUMMYFUNCTION("""COMPUTED_VALUE"""),16143.0)</f>
        <v>16143</v>
      </c>
      <c r="B2557" s="5" t="str">
        <f>IFERROR(__xludf.DUMMYFUNCTION("""COMPUTED_VALUE"""),"هیأت")</f>
        <v>هیأت</v>
      </c>
      <c r="C2557" s="5" t="str">
        <f>IFERROR(__xludf.DUMMYFUNCTION("""COMPUTED_VALUE"""),"حضرت علی اکبر(ع)")</f>
        <v>حضرت علی اکبر(ع)</v>
      </c>
      <c r="D2557" s="5" t="str">
        <f>IFERROR(__xludf.DUMMYFUNCTION("""COMPUTED_VALUE"""),"همدان")</f>
        <v>همدان</v>
      </c>
      <c r="E2557" s="5" t="str">
        <f>IFERROR(__xludf.DUMMYFUNCTION("""COMPUTED_VALUE"""),"نهاوند")</f>
        <v>نهاوند</v>
      </c>
      <c r="F2557" s="5"/>
      <c r="G2557" s="5"/>
      <c r="H2557" s="6" t="str">
        <f>IFERROR(__xludf.DUMMYFUNCTION("""COMPUTED_VALUE"""),"https://www.instagram.com/h_aliakbar1378/")</f>
        <v>https://www.instagram.com/h_aliakbar1378/</v>
      </c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</row>
    <row r="2558">
      <c r="A2558" s="5">
        <f>IFERROR(__xludf.DUMMYFUNCTION("""COMPUTED_VALUE"""),16168.0)</f>
        <v>16168</v>
      </c>
      <c r="B2558" s="5" t="str">
        <f>IFERROR(__xludf.DUMMYFUNCTION("""COMPUTED_VALUE"""),"هیأت")</f>
        <v>هیأت</v>
      </c>
      <c r="C2558" s="5" t="str">
        <f>IFERROR(__xludf.DUMMYFUNCTION("""COMPUTED_VALUE"""),"دوبانوی دمشق(س)")</f>
        <v>دوبانوی دمشق(س)</v>
      </c>
      <c r="D2558" s="5" t="str">
        <f>IFERROR(__xludf.DUMMYFUNCTION("""COMPUTED_VALUE"""),"همدان")</f>
        <v>همدان</v>
      </c>
      <c r="E2558" s="5" t="str">
        <f>IFERROR(__xludf.DUMMYFUNCTION("""COMPUTED_VALUE"""),"همدان")</f>
        <v>همدان</v>
      </c>
      <c r="F2558" s="5"/>
      <c r="G2558" s="5"/>
      <c r="H2558" s="6" t="str">
        <f>IFERROR(__xludf.DUMMYFUNCTION("""COMPUTED_VALUE"""),"https://www.instagram.com/_2banoyedameshgh/")</f>
        <v>https://www.instagram.com/_2banoyedameshgh/</v>
      </c>
      <c r="I2558" s="6" t="str">
        <f>IFERROR(__xludf.DUMMYFUNCTION("""COMPUTED_VALUE"""),"eitaa.com/dobanoydameshg")</f>
        <v>eitaa.com/dobanoydameshg</v>
      </c>
      <c r="J2558" s="5"/>
      <c r="K2558" s="5"/>
      <c r="L2558" s="5"/>
      <c r="M2558" s="5"/>
      <c r="N2558" s="5"/>
      <c r="O2558" s="5"/>
      <c r="P2558" s="5"/>
      <c r="Q2558" s="5"/>
      <c r="R2558" s="5"/>
      <c r="S2558" s="5"/>
    </row>
    <row r="2559">
      <c r="A2559" s="5">
        <f>IFERROR(__xludf.DUMMYFUNCTION("""COMPUTED_VALUE"""),16170.0)</f>
        <v>16170</v>
      </c>
      <c r="B2559" s="5" t="str">
        <f>IFERROR(__xludf.DUMMYFUNCTION("""COMPUTED_VALUE"""),"حسینیه")</f>
        <v>حسینیه</v>
      </c>
      <c r="C2559" s="5" t="str">
        <f>IFERROR(__xludf.DUMMYFUNCTION("""COMPUTED_VALUE"""),"خاتم الانبیا (ص)")</f>
        <v>خاتم الانبیا (ص)</v>
      </c>
      <c r="D2559" s="5" t="str">
        <f>IFERROR(__xludf.DUMMYFUNCTION("""COMPUTED_VALUE"""),"همدان")</f>
        <v>همدان</v>
      </c>
      <c r="E2559" s="5" t="str">
        <f>IFERROR(__xludf.DUMMYFUNCTION("""COMPUTED_VALUE"""),"همدان")</f>
        <v>همدان</v>
      </c>
      <c r="F2559" s="5"/>
      <c r="G2559" s="5"/>
      <c r="H2559" s="6" t="str">
        <f>IFERROR(__xludf.DUMMYFUNCTION("""COMPUTED_VALUE"""),"https://www.instagram.com/hoosineh.khatm_anbia1402/")</f>
        <v>https://www.instagram.com/hoosineh.khatm_anbia1402/</v>
      </c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</row>
    <row r="2560">
      <c r="A2560" s="5">
        <f>IFERROR(__xludf.DUMMYFUNCTION("""COMPUTED_VALUE"""),16172.0)</f>
        <v>16172</v>
      </c>
      <c r="B2560" s="5" t="str">
        <f>IFERROR(__xludf.DUMMYFUNCTION("""COMPUTED_VALUE"""),"هیأت")</f>
        <v>هیأت</v>
      </c>
      <c r="C2560" s="5" t="str">
        <f>IFERROR(__xludf.DUMMYFUNCTION("""COMPUTED_VALUE"""),"عاشقان حضرت مهدی (عج)")</f>
        <v>عاشقان حضرت مهدی (عج)</v>
      </c>
      <c r="D2560" s="5" t="str">
        <f>IFERROR(__xludf.DUMMYFUNCTION("""COMPUTED_VALUE"""),"همدان")</f>
        <v>همدان</v>
      </c>
      <c r="E2560" s="5" t="str">
        <f>IFERROR(__xludf.DUMMYFUNCTION("""COMPUTED_VALUE"""),"همدان")</f>
        <v>همدان</v>
      </c>
      <c r="F2560" s="5"/>
      <c r="G2560" s="5"/>
      <c r="H2560" s="6" t="str">
        <f>IFERROR(__xludf.DUMMYFUNCTION("""COMPUTED_VALUE"""),"https://www.instagram.com/asheghan_mahdi_/")</f>
        <v>https://www.instagram.com/asheghan_mahdi_/</v>
      </c>
      <c r="I2560" s="6" t="str">
        <f>IFERROR(__xludf.DUMMYFUNCTION("""COMPUTED_VALUE"""),"t.me/montazran94")</f>
        <v>t.me/montazran94</v>
      </c>
      <c r="J2560" s="5"/>
      <c r="K2560" s="5"/>
      <c r="L2560" s="5"/>
      <c r="M2560" s="5"/>
      <c r="N2560" s="5"/>
      <c r="O2560" s="5"/>
      <c r="P2560" s="5"/>
      <c r="Q2560" s="5"/>
      <c r="R2560" s="5"/>
      <c r="S2560" s="5"/>
    </row>
    <row r="2561">
      <c r="A2561" s="5">
        <f>IFERROR(__xludf.DUMMYFUNCTION("""COMPUTED_VALUE"""),16173.0)</f>
        <v>16173</v>
      </c>
      <c r="B2561" s="5" t="str">
        <f>IFERROR(__xludf.DUMMYFUNCTION("""COMPUTED_VALUE"""),"هیأت")</f>
        <v>هیأت</v>
      </c>
      <c r="C2561" s="5" t="str">
        <f>IFERROR(__xludf.DUMMYFUNCTION("""COMPUTED_VALUE"""),"محبین الحسین (ع) ")</f>
        <v>محبین الحسین (ع) </v>
      </c>
      <c r="D2561" s="5" t="str">
        <f>IFERROR(__xludf.DUMMYFUNCTION("""COMPUTED_VALUE"""),"همدان")</f>
        <v>همدان</v>
      </c>
      <c r="E2561" s="5" t="str">
        <f>IFERROR(__xludf.DUMMYFUNCTION("""COMPUTED_VALUE"""),"همدان")</f>
        <v>همدان</v>
      </c>
      <c r="F2561" s="5" t="str">
        <f>IFERROR(__xludf.DUMMYFUNCTION("""COMPUTED_VALUE"""),"اعتمادیه")</f>
        <v>اعتمادیه</v>
      </c>
      <c r="G2561" s="5"/>
      <c r="H2561" s="6" t="str">
        <f>IFERROR(__xludf.DUMMYFUNCTION("""COMPUTED_VALUE"""),"https://www.instagram.com/mohebin_al_hosein_hamedan/")</f>
        <v>https://www.instagram.com/mohebin_al_hosein_hamedan/</v>
      </c>
      <c r="I2561" s="5"/>
      <c r="J2561" s="6" t="str">
        <f>IFERROR(__xludf.DUMMYFUNCTION("""COMPUTED_VALUE"""),"https://eitaa.com/mohebin_ir")</f>
        <v>https://eitaa.com/mohebin_ir</v>
      </c>
      <c r="K2561" s="5"/>
      <c r="L2561" s="5"/>
      <c r="M2561" s="5"/>
      <c r="N2561" s="5"/>
      <c r="O2561" s="5"/>
      <c r="P2561" s="5"/>
      <c r="Q2561" s="5"/>
      <c r="R2561" s="5"/>
      <c r="S2561" s="5"/>
    </row>
    <row r="2562">
      <c r="A2562" s="5">
        <f>IFERROR(__xludf.DUMMYFUNCTION("""COMPUTED_VALUE"""),16173.0)</f>
        <v>16173</v>
      </c>
      <c r="B2562" s="5" t="str">
        <f>IFERROR(__xludf.DUMMYFUNCTION("""COMPUTED_VALUE"""),"هیأت")</f>
        <v>هیأت</v>
      </c>
      <c r="C2562" s="5" t="str">
        <f>IFERROR(__xludf.DUMMYFUNCTION("""COMPUTED_VALUE"""),"محبین الحسین (ع) مسجد ولایت")</f>
        <v>محبین الحسین (ع) مسجد ولایت</v>
      </c>
      <c r="D2562" s="5" t="str">
        <f>IFERROR(__xludf.DUMMYFUNCTION("""COMPUTED_VALUE"""),"همدان")</f>
        <v>همدان</v>
      </c>
      <c r="E2562" s="5" t="str">
        <f>IFERROR(__xludf.DUMMYFUNCTION("""COMPUTED_VALUE"""),"همدان")</f>
        <v>همدان</v>
      </c>
      <c r="F2562" s="5" t="str">
        <f>IFERROR(__xludf.DUMMYFUNCTION("""COMPUTED_VALUE"""),"محمدیه")</f>
        <v>محمدیه</v>
      </c>
      <c r="G2562" s="5"/>
      <c r="H2562" s="6" t="str">
        <f>IFERROR(__xludf.DUMMYFUNCTION("""COMPUTED_VALUE"""),"https://www.instagram.com/abes.ir_")</f>
        <v>https://www.instagram.com/abes.ir_</v>
      </c>
      <c r="I2562" s="6" t="str">
        <f>IFERROR(__xludf.DUMMYFUNCTION("""COMPUTED_VALUE"""),"https://t.me/mohebin_org")</f>
        <v>https://t.me/mohebin_org</v>
      </c>
      <c r="J2562" s="6" t="str">
        <f>IFERROR(__xludf.DUMMYFUNCTION("""COMPUTED_VALUE"""),"https://eitaa.com/mohebin_ir")</f>
        <v>https://eitaa.com/mohebin_ir</v>
      </c>
      <c r="K2562" s="5"/>
      <c r="L2562" s="5"/>
      <c r="M2562" s="5"/>
      <c r="N2562" s="5"/>
      <c r="O2562" s="5"/>
      <c r="P2562" s="5"/>
      <c r="Q2562" s="5"/>
      <c r="R2562" s="5"/>
      <c r="S2562" s="5"/>
    </row>
    <row r="2563">
      <c r="A2563" s="5">
        <f>IFERROR(__xludf.DUMMYFUNCTION("""COMPUTED_VALUE"""),16174.0)</f>
        <v>16174</v>
      </c>
      <c r="B2563" s="5" t="str">
        <f>IFERROR(__xludf.DUMMYFUNCTION("""COMPUTED_VALUE"""),"هیأت")</f>
        <v>هیأت</v>
      </c>
      <c r="C2563" s="5" t="str">
        <f>IFERROR(__xludf.DUMMYFUNCTION("""COMPUTED_VALUE"""),"انصارالشهدا")</f>
        <v>انصارالشهدا</v>
      </c>
      <c r="D2563" s="5" t="str">
        <f>IFERROR(__xludf.DUMMYFUNCTION("""COMPUTED_VALUE"""),"همدان")</f>
        <v>همدان</v>
      </c>
      <c r="E2563" s="5" t="str">
        <f>IFERROR(__xludf.DUMMYFUNCTION("""COMPUTED_VALUE"""),"همدان")</f>
        <v>همدان</v>
      </c>
      <c r="F2563" s="5"/>
      <c r="G2563" s="5"/>
      <c r="H2563" s="6" t="str">
        <f>IFERROR(__xludf.DUMMYFUNCTION("""COMPUTED_VALUE"""),"https://www.instagram.com/ansaroshohada/")</f>
        <v>https://www.instagram.com/ansaroshohada/</v>
      </c>
      <c r="I2563" s="6" t="str">
        <f>IFERROR(__xludf.DUMMYFUNCTION("""COMPUTED_VALUE"""),"tlgrm.me/ansaroshohada")</f>
        <v>tlgrm.me/ansaroshohada</v>
      </c>
      <c r="J2563" s="6" t="str">
        <f>IFERROR(__xludf.DUMMYFUNCTION("""COMPUTED_VALUE"""),"https://eitaa.com/ansaroshohada")</f>
        <v>https://eitaa.com/ansaroshohada</v>
      </c>
      <c r="K2563" s="5"/>
      <c r="L2563" s="5"/>
      <c r="M2563" s="5"/>
      <c r="N2563" s="5"/>
      <c r="O2563" s="5"/>
      <c r="P2563" s="5"/>
      <c r="Q2563" s="5"/>
      <c r="R2563" s="5"/>
      <c r="S2563" s="5"/>
    </row>
    <row r="2564">
      <c r="A2564" s="5">
        <f>IFERROR(__xludf.DUMMYFUNCTION("""COMPUTED_VALUE"""),16175.0)</f>
        <v>16175</v>
      </c>
      <c r="B2564" s="5" t="str">
        <f>IFERROR(__xludf.DUMMYFUNCTION("""COMPUTED_VALUE"""),"هیأت")</f>
        <v>هیأت</v>
      </c>
      <c r="C2564" s="5" t="str">
        <f>IFERROR(__xludf.DUMMYFUNCTION("""COMPUTED_VALUE"""),"انصارالمهدی (عج)")</f>
        <v>انصارالمهدی (عج)</v>
      </c>
      <c r="D2564" s="5" t="str">
        <f>IFERROR(__xludf.DUMMYFUNCTION("""COMPUTED_VALUE"""),"همدان")</f>
        <v>همدان</v>
      </c>
      <c r="E2564" s="5" t="str">
        <f>IFERROR(__xludf.DUMMYFUNCTION("""COMPUTED_VALUE"""),"همدان")</f>
        <v>همدان</v>
      </c>
      <c r="F2564" s="5" t="str">
        <f>IFERROR(__xludf.DUMMYFUNCTION("""COMPUTED_VALUE"""),"شهرک مدنی")</f>
        <v>شهرک مدنی</v>
      </c>
      <c r="G2564" s="5"/>
      <c r="H2564" s="6" t="str">
        <f>IFERROR(__xludf.DUMMYFUNCTION("""COMPUTED_VALUE"""),"https://www.instagram.com/ansaralmahdiag313/")</f>
        <v>https://www.instagram.com/ansaralmahdiag313/</v>
      </c>
      <c r="I2564" s="5"/>
      <c r="J2564" s="6" t="str">
        <f>IFERROR(__xludf.DUMMYFUNCTION("""COMPUTED_VALUE"""),"eitaa.com/ansar813")</f>
        <v>eitaa.com/ansar813</v>
      </c>
      <c r="K2564" s="5"/>
      <c r="L2564" s="5"/>
      <c r="M2564" s="5"/>
      <c r="N2564" s="5"/>
      <c r="O2564" s="5"/>
      <c r="P2564" s="5"/>
      <c r="Q2564" s="5"/>
      <c r="R2564" s="5"/>
      <c r="S2564" s="5"/>
    </row>
    <row r="2565">
      <c r="A2565" s="5">
        <f>IFERROR(__xludf.DUMMYFUNCTION("""COMPUTED_VALUE"""),16176.0)</f>
        <v>16176</v>
      </c>
      <c r="B2565" s="5" t="str">
        <f>IFERROR(__xludf.DUMMYFUNCTION("""COMPUTED_VALUE"""),"هیأت")</f>
        <v>هیأت</v>
      </c>
      <c r="C2565" s="5" t="str">
        <f>IFERROR(__xludf.DUMMYFUNCTION("""COMPUTED_VALUE"""),"علی بن ابیطالب (ع)")</f>
        <v>علی بن ابیطالب (ع)</v>
      </c>
      <c r="D2565" s="5" t="str">
        <f>IFERROR(__xludf.DUMMYFUNCTION("""COMPUTED_VALUE"""),"همدان")</f>
        <v>همدان</v>
      </c>
      <c r="E2565" s="5" t="str">
        <f>IFERROR(__xludf.DUMMYFUNCTION("""COMPUTED_VALUE"""),"همدان")</f>
        <v>همدان</v>
      </c>
      <c r="F2565" s="5"/>
      <c r="G2565" s="5"/>
      <c r="H2565" s="6" t="str">
        <f>IFERROR(__xludf.DUMMYFUNCTION("""COMPUTED_VALUE"""),"https://www.instagram.com/aliebnabitaleb_hmd/")</f>
        <v>https://www.instagram.com/aliebnabitaleb_hmd/</v>
      </c>
      <c r="I2565" s="6" t="str">
        <f>IFERROR(__xludf.DUMMYFUNCTION("""COMPUTED_VALUE"""),"t.me/aliebnabitaleb110")</f>
        <v>t.me/aliebnabitaleb110</v>
      </c>
      <c r="J2565" s="5"/>
      <c r="K2565" s="5"/>
      <c r="L2565" s="5"/>
      <c r="M2565" s="5"/>
      <c r="N2565" s="5"/>
      <c r="O2565" s="5"/>
      <c r="P2565" s="5"/>
      <c r="Q2565" s="5"/>
      <c r="R2565" s="5"/>
      <c r="S2565" s="5"/>
    </row>
    <row r="2566">
      <c r="A2566" s="5">
        <f>IFERROR(__xludf.DUMMYFUNCTION("""COMPUTED_VALUE"""),16186.0)</f>
        <v>16186</v>
      </c>
      <c r="B2566" s="5" t="str">
        <f>IFERROR(__xludf.DUMMYFUNCTION("""COMPUTED_VALUE"""),"هیأت")</f>
        <v>هیأت</v>
      </c>
      <c r="C2566" s="5" t="str">
        <f>IFERROR(__xludf.DUMMYFUNCTION("""COMPUTED_VALUE"""),"مجمع الذاکرین خواهران")</f>
        <v>مجمع الذاکرین خواهران</v>
      </c>
      <c r="D2566" s="5" t="str">
        <f>IFERROR(__xludf.DUMMYFUNCTION("""COMPUTED_VALUE"""),"همدان")</f>
        <v>همدان</v>
      </c>
      <c r="E2566" s="5" t="str">
        <f>IFERROR(__xludf.DUMMYFUNCTION("""COMPUTED_VALUE"""),"همدان")</f>
        <v>همدان</v>
      </c>
      <c r="F2566" s="5"/>
      <c r="G2566" s="5"/>
      <c r="H2566" s="5"/>
      <c r="I2566" s="5"/>
      <c r="J2566" s="6" t="str">
        <f>IFERROR(__xludf.DUMMYFUNCTION("""COMPUTED_VALUE"""),"https://eitaa.com/majmaozakerinhameda")</f>
        <v>https://eitaa.com/majmaozakerinhameda</v>
      </c>
      <c r="K2566" s="5"/>
      <c r="L2566" s="5"/>
      <c r="M2566" s="5"/>
      <c r="N2566" s="5"/>
      <c r="O2566" s="5"/>
      <c r="P2566" s="5"/>
      <c r="Q2566" s="5"/>
      <c r="R2566" s="5"/>
      <c r="S2566" s="5"/>
    </row>
    <row r="2567">
      <c r="A2567" s="5">
        <f>IFERROR(__xludf.DUMMYFUNCTION("""COMPUTED_VALUE"""),16188.0)</f>
        <v>16188</v>
      </c>
      <c r="B2567" s="5" t="str">
        <f>IFERROR(__xludf.DUMMYFUNCTION("""COMPUTED_VALUE"""),"هیأت")</f>
        <v>هیأت</v>
      </c>
      <c r="C2567" s="5" t="str">
        <f>IFERROR(__xludf.DUMMYFUNCTION("""COMPUTED_VALUE"""),"انصارالحسین (ع)")</f>
        <v>انصارالحسین (ع)</v>
      </c>
      <c r="D2567" s="5" t="str">
        <f>IFERROR(__xludf.DUMMYFUNCTION("""COMPUTED_VALUE"""),"همدان")</f>
        <v>همدان</v>
      </c>
      <c r="E2567" s="5" t="str">
        <f>IFERROR(__xludf.DUMMYFUNCTION("""COMPUTED_VALUE"""),"همدان")</f>
        <v>همدان</v>
      </c>
      <c r="F2567" s="5"/>
      <c r="G2567" s="5"/>
      <c r="H2567" s="6" t="str">
        <f>IFERROR(__xludf.DUMMYFUNCTION("""COMPUTED_VALUE"""),"https://www.instagram.com/heyat_ansar_alhoseyn/")</f>
        <v>https://www.instagram.com/heyat_ansar_alhoseyn/</v>
      </c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</row>
    <row r="2568">
      <c r="A2568" s="5">
        <f>IFERROR(__xludf.DUMMYFUNCTION("""COMPUTED_VALUE"""),16201.0)</f>
        <v>16201</v>
      </c>
      <c r="B2568" s="5" t="str">
        <f>IFERROR(__xludf.DUMMYFUNCTION("""COMPUTED_VALUE"""),"هیأت")</f>
        <v>هیأت</v>
      </c>
      <c r="C2568" s="5" t="str">
        <f>IFERROR(__xludf.DUMMYFUNCTION("""COMPUTED_VALUE"""),"غریبان مدینه")</f>
        <v>غریبان مدینه</v>
      </c>
      <c r="D2568" s="5" t="str">
        <f>IFERROR(__xludf.DUMMYFUNCTION("""COMPUTED_VALUE"""),"همدان")</f>
        <v>همدان</v>
      </c>
      <c r="E2568" s="5" t="str">
        <f>IFERROR(__xludf.DUMMYFUNCTION("""COMPUTED_VALUE"""),"همدان")</f>
        <v>همدان</v>
      </c>
      <c r="F2568" s="5"/>
      <c r="G2568" s="5"/>
      <c r="H2568" s="6" t="str">
        <f>IFERROR(__xludf.DUMMYFUNCTION("""COMPUTED_VALUE"""),"https://www.instagram.com/ghariban_ir/")</f>
        <v>https://www.instagram.com/ghariban_ir/</v>
      </c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</row>
    <row r="2569">
      <c r="A2569" s="5">
        <f>IFERROR(__xludf.DUMMYFUNCTION("""COMPUTED_VALUE"""),16202.0)</f>
        <v>16202</v>
      </c>
      <c r="B2569" s="5" t="str">
        <f>IFERROR(__xludf.DUMMYFUNCTION("""COMPUTED_VALUE"""),"هیأت")</f>
        <v>هیأت</v>
      </c>
      <c r="C2569" s="5" t="str">
        <f>IFERROR(__xludf.DUMMYFUNCTION("""COMPUTED_VALUE"""),"انصارالزهرا (س)")</f>
        <v>انصارالزهرا (س)</v>
      </c>
      <c r="D2569" s="5" t="str">
        <f>IFERROR(__xludf.DUMMYFUNCTION("""COMPUTED_VALUE"""),"همدان")</f>
        <v>همدان</v>
      </c>
      <c r="E2569" s="5" t="str">
        <f>IFERROR(__xludf.DUMMYFUNCTION("""COMPUTED_VALUE"""),"همدان")</f>
        <v>همدان</v>
      </c>
      <c r="F2569" s="5"/>
      <c r="G2569" s="5"/>
      <c r="H2569" s="6" t="str">
        <f>IFERROR(__xludf.DUMMYFUNCTION("""COMPUTED_VALUE"""),"https://www.instagram.com/ansarozahra.s/")</f>
        <v>https://www.instagram.com/ansarozahra.s/</v>
      </c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</row>
    <row r="2570">
      <c r="A2570" s="5">
        <f>IFERROR(__xludf.DUMMYFUNCTION("""COMPUTED_VALUE"""),16203.0)</f>
        <v>16203</v>
      </c>
      <c r="B2570" s="5" t="str">
        <f>IFERROR(__xludf.DUMMYFUNCTION("""COMPUTED_VALUE"""),"هیأت")</f>
        <v>هیأت</v>
      </c>
      <c r="C2570" s="5" t="str">
        <f>IFERROR(__xludf.DUMMYFUNCTION("""COMPUTED_VALUE"""),"طفلان مسلم (دعای ندبه)")</f>
        <v>طفلان مسلم (دعای ندبه)</v>
      </c>
      <c r="D2570" s="5" t="str">
        <f>IFERROR(__xludf.DUMMYFUNCTION("""COMPUTED_VALUE"""),"همدان")</f>
        <v>همدان</v>
      </c>
      <c r="E2570" s="5" t="str">
        <f>IFERROR(__xludf.DUMMYFUNCTION("""COMPUTED_VALUE"""),"همدان")</f>
        <v>همدان</v>
      </c>
      <c r="F2570" s="5"/>
      <c r="G2570" s="5"/>
      <c r="H2570" s="6" t="str">
        <f>IFERROR(__xludf.DUMMYFUNCTION("""COMPUTED_VALUE"""),"https://www.instagram.com/heyatteflanemoslem_75/")</f>
        <v>https://www.instagram.com/heyatteflanemoslem_75/</v>
      </c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</row>
    <row r="2571">
      <c r="A2571" s="5">
        <f>IFERROR(__xludf.DUMMYFUNCTION("""COMPUTED_VALUE"""),16210.0)</f>
        <v>16210</v>
      </c>
      <c r="B2571" s="5" t="str">
        <f>IFERROR(__xludf.DUMMYFUNCTION("""COMPUTED_VALUE"""),"هیأت")</f>
        <v>هیأت</v>
      </c>
      <c r="C2571" s="5" t="str">
        <f>IFERROR(__xludf.DUMMYFUNCTION("""COMPUTED_VALUE"""),"جوانان ثقلین")</f>
        <v>جوانان ثقلین</v>
      </c>
      <c r="D2571" s="5" t="str">
        <f>IFERROR(__xludf.DUMMYFUNCTION("""COMPUTED_VALUE"""),"همدان")</f>
        <v>همدان</v>
      </c>
      <c r="E2571" s="5" t="str">
        <f>IFERROR(__xludf.DUMMYFUNCTION("""COMPUTED_VALUE"""),"همدان")</f>
        <v>همدان</v>
      </c>
      <c r="F2571" s="5"/>
      <c r="G2571" s="5"/>
      <c r="H2571" s="6" t="str">
        <f>IFERROR(__xludf.DUMMYFUNCTION("""COMPUTED_VALUE"""),"https://www.instagram.com/javanan_saghaleyn_hamedan/")</f>
        <v>https://www.instagram.com/javanan_saghaleyn_hamedan/</v>
      </c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</row>
    <row r="2572">
      <c r="A2572" s="5">
        <f>IFERROR(__xludf.DUMMYFUNCTION("""COMPUTED_VALUE"""),16213.0)</f>
        <v>16213</v>
      </c>
      <c r="B2572" s="5" t="str">
        <f>IFERROR(__xludf.DUMMYFUNCTION("""COMPUTED_VALUE"""),"هیأت")</f>
        <v>هیأت</v>
      </c>
      <c r="C2572" s="5" t="str">
        <f>IFERROR(__xludf.DUMMYFUNCTION("""COMPUTED_VALUE"""),"ارادتمندان به ائمه اطهار (ع) / محفل بسیجیان و رهروان شهدا")</f>
        <v>ارادتمندان به ائمه اطهار (ع) / محفل بسیجیان و رهروان شهدا</v>
      </c>
      <c r="D2572" s="5" t="str">
        <f>IFERROR(__xludf.DUMMYFUNCTION("""COMPUTED_VALUE"""),"همدان")</f>
        <v>همدان</v>
      </c>
      <c r="E2572" s="5" t="str">
        <f>IFERROR(__xludf.DUMMYFUNCTION("""COMPUTED_VALUE"""),"همدان")</f>
        <v>همدان</v>
      </c>
      <c r="F2572" s="5"/>
      <c r="G2572" s="5"/>
      <c r="H2572" s="5"/>
      <c r="I2572" s="5"/>
      <c r="J2572" s="6" t="str">
        <f>IFERROR(__xludf.DUMMYFUNCTION("""COMPUTED_VALUE"""),"https://rubika.ir/heyat_eradatmandan")</f>
        <v>https://rubika.ir/heyat_eradatmandan</v>
      </c>
      <c r="K2572" s="5"/>
      <c r="L2572" s="5"/>
      <c r="M2572" s="5"/>
      <c r="N2572" s="5"/>
      <c r="O2572" s="5"/>
      <c r="P2572" s="5"/>
      <c r="Q2572" s="5"/>
      <c r="R2572" s="5"/>
      <c r="S2572" s="5"/>
    </row>
    <row r="2573">
      <c r="A2573" s="5">
        <f>IFERROR(__xludf.DUMMYFUNCTION("""COMPUTED_VALUE"""),16215.0)</f>
        <v>16215</v>
      </c>
      <c r="B2573" s="5" t="str">
        <f>IFERROR(__xludf.DUMMYFUNCTION("""COMPUTED_VALUE"""),"هیأت")</f>
        <v>هیأت</v>
      </c>
      <c r="C2573" s="5" t="str">
        <f>IFERROR(__xludf.DUMMYFUNCTION("""COMPUTED_VALUE"""),"حضرت علی اکبر (ع) حسینیه شهدا")</f>
        <v>حضرت علی اکبر (ع) حسینیه شهدا</v>
      </c>
      <c r="D2573" s="5" t="str">
        <f>IFERROR(__xludf.DUMMYFUNCTION("""COMPUTED_VALUE"""),"همدان")</f>
        <v>همدان</v>
      </c>
      <c r="E2573" s="5" t="str">
        <f>IFERROR(__xludf.DUMMYFUNCTION("""COMPUTED_VALUE"""),"همدان")</f>
        <v>همدان</v>
      </c>
      <c r="F2573" s="5" t="str">
        <f>IFERROR(__xludf.DUMMYFUNCTION("""COMPUTED_VALUE"""),"شهرک فرهنگیان")</f>
        <v>شهرک فرهنگیان</v>
      </c>
      <c r="G2573" s="5"/>
      <c r="H2573" s="5"/>
      <c r="I2573" s="5"/>
      <c r="J2573" s="6" t="str">
        <f>IFERROR(__xludf.DUMMYFUNCTION("""COMPUTED_VALUE"""),"https://eitaa.com/hshohada_ir")</f>
        <v>https://eitaa.com/hshohada_ir</v>
      </c>
      <c r="K2573" s="5"/>
      <c r="L2573" s="5"/>
      <c r="M2573" s="5"/>
      <c r="N2573" s="5"/>
      <c r="O2573" s="5"/>
      <c r="P2573" s="5"/>
      <c r="Q2573" s="5"/>
      <c r="R2573" s="5"/>
      <c r="S2573" s="5"/>
    </row>
    <row r="2574">
      <c r="A2574" s="5">
        <f>IFERROR(__xludf.DUMMYFUNCTION("""COMPUTED_VALUE"""),16217.0)</f>
        <v>16217</v>
      </c>
      <c r="B2574" s="5" t="str">
        <f>IFERROR(__xludf.DUMMYFUNCTION("""COMPUTED_VALUE"""),"هیأت")</f>
        <v>هیأت</v>
      </c>
      <c r="C2574" s="5" t="str">
        <f>IFERROR(__xludf.DUMMYFUNCTION("""COMPUTED_VALUE"""),"فاطمیون")</f>
        <v>فاطمیون</v>
      </c>
      <c r="D2574" s="5" t="str">
        <f>IFERROR(__xludf.DUMMYFUNCTION("""COMPUTED_VALUE"""),"همدان")</f>
        <v>همدان</v>
      </c>
      <c r="E2574" s="5" t="str">
        <f>IFERROR(__xludf.DUMMYFUNCTION("""COMPUTED_VALUE"""),"نهاوند")</f>
        <v>نهاوند</v>
      </c>
      <c r="F2574" s="5"/>
      <c r="G2574" s="5"/>
      <c r="H2574" s="6" t="str">
        <f>IFERROR(__xludf.DUMMYFUNCTION("""COMPUTED_VALUE"""),"https://www.instagram.com/fatemion_nahavand/")</f>
        <v>https://www.instagram.com/fatemion_nahavand/</v>
      </c>
      <c r="I2574" s="5"/>
      <c r="J2574" s="6" t="str">
        <f>IFERROR(__xludf.DUMMYFUNCTION("""COMPUTED_VALUE"""),"https://eitaa.com/fatemion_nahavand")</f>
        <v>https://eitaa.com/fatemion_nahavand</v>
      </c>
      <c r="K2574" s="5"/>
      <c r="L2574" s="5"/>
      <c r="M2574" s="5"/>
      <c r="N2574" s="5"/>
      <c r="O2574" s="5"/>
      <c r="P2574" s="5"/>
      <c r="Q2574" s="5"/>
      <c r="R2574" s="5"/>
      <c r="S2574" s="5"/>
    </row>
    <row r="2575">
      <c r="A2575" s="5">
        <f>IFERROR(__xludf.DUMMYFUNCTION("""COMPUTED_VALUE"""),16222.0)</f>
        <v>16222</v>
      </c>
      <c r="B2575" s="5" t="str">
        <f>IFERROR(__xludf.DUMMYFUNCTION("""COMPUTED_VALUE"""),"هیأت دانشجویی")</f>
        <v>هیأت دانشجویی</v>
      </c>
      <c r="C2575" s="5" t="str">
        <f>IFERROR(__xludf.DUMMYFUNCTION("""COMPUTED_VALUE"""),"جنبش منتظران ظهور")</f>
        <v>جنبش منتظران ظهور</v>
      </c>
      <c r="D2575" s="5" t="str">
        <f>IFERROR(__xludf.DUMMYFUNCTION("""COMPUTED_VALUE"""),"همدان")</f>
        <v>همدان</v>
      </c>
      <c r="E2575" s="5" t="str">
        <f>IFERROR(__xludf.DUMMYFUNCTION("""COMPUTED_VALUE"""),"همدان")</f>
        <v>همدان</v>
      </c>
      <c r="F2575" s="5"/>
      <c r="G2575" s="5"/>
      <c r="H2575" s="5"/>
      <c r="I2575" s="5"/>
      <c r="J2575" s="6" t="str">
        <f>IFERROR(__xludf.DUMMYFUNCTION("""COMPUTED_VALUE"""),"https://eitaa.com/jmzohur")</f>
        <v>https://eitaa.com/jmzohur</v>
      </c>
      <c r="K2575" s="5"/>
      <c r="L2575" s="5"/>
      <c r="M2575" s="5"/>
      <c r="N2575" s="5"/>
      <c r="O2575" s="5"/>
      <c r="P2575" s="5"/>
      <c r="Q2575" s="5"/>
      <c r="R2575" s="5"/>
      <c r="S2575" s="5"/>
    </row>
    <row r="2576">
      <c r="A2576" s="5">
        <f>IFERROR(__xludf.DUMMYFUNCTION("""COMPUTED_VALUE"""),16225.0)</f>
        <v>16225</v>
      </c>
      <c r="B2576" s="5" t="str">
        <f>IFERROR(__xludf.DUMMYFUNCTION("""COMPUTED_VALUE"""),"هیأت")</f>
        <v>هیأت</v>
      </c>
      <c r="C2576" s="5" t="str">
        <f>IFERROR(__xludf.DUMMYFUNCTION("""COMPUTED_VALUE"""),"فدائیان حضرت زهرا(س)")</f>
        <v>فدائیان حضرت زهرا(س)</v>
      </c>
      <c r="D2576" s="5" t="str">
        <f>IFERROR(__xludf.DUMMYFUNCTION("""COMPUTED_VALUE"""),"همدان")</f>
        <v>همدان</v>
      </c>
      <c r="E2576" s="5" t="str">
        <f>IFERROR(__xludf.DUMMYFUNCTION("""COMPUTED_VALUE"""),"همدان")</f>
        <v>همدان</v>
      </c>
      <c r="F2576" s="5"/>
      <c r="G2576" s="5"/>
      <c r="H2576" s="6" t="str">
        <f>IFERROR(__xludf.DUMMYFUNCTION("""COMPUTED_VALUE"""),"https://www.instagram.com/fadaeiyan_ir/")</f>
        <v>https://www.instagram.com/fadaeiyan_ir/</v>
      </c>
      <c r="I2576" s="5"/>
      <c r="J2576" s="6" t="str">
        <f>IFERROR(__xludf.DUMMYFUNCTION("""COMPUTED_VALUE"""),"https://eitaa.com/fadayian_hamedan")</f>
        <v>https://eitaa.com/fadayian_hamedan</v>
      </c>
      <c r="K2576" s="5"/>
      <c r="L2576" s="5"/>
      <c r="M2576" s="5"/>
      <c r="N2576" s="5"/>
      <c r="O2576" s="5"/>
      <c r="P2576" s="5"/>
      <c r="Q2576" s="5"/>
      <c r="R2576" s="5"/>
      <c r="S2576" s="5"/>
    </row>
    <row r="2577">
      <c r="A2577" s="5">
        <f>IFERROR(__xludf.DUMMYFUNCTION("""COMPUTED_VALUE"""),16249.0)</f>
        <v>16249</v>
      </c>
      <c r="B2577" s="5" t="str">
        <f>IFERROR(__xludf.DUMMYFUNCTION("""COMPUTED_VALUE"""),"هیأت")</f>
        <v>هیأت</v>
      </c>
      <c r="C2577" s="5" t="str">
        <f>IFERROR(__xludf.DUMMYFUNCTION("""COMPUTED_VALUE"""),"حضرت علی اصغر(ع)")</f>
        <v>حضرت علی اصغر(ع)</v>
      </c>
      <c r="D2577" s="5" t="str">
        <f>IFERROR(__xludf.DUMMYFUNCTION("""COMPUTED_VALUE"""),"همدان")</f>
        <v>همدان</v>
      </c>
      <c r="E2577" s="5" t="str">
        <f>IFERROR(__xludf.DUMMYFUNCTION("""COMPUTED_VALUE"""),"همدان")</f>
        <v>همدان</v>
      </c>
      <c r="F2577" s="5"/>
      <c r="G2577" s="5"/>
      <c r="H2577" s="5"/>
      <c r="I2577" s="5"/>
      <c r="J2577" s="6" t="str">
        <f>IFERROR(__xludf.DUMMYFUNCTION("""COMPUTED_VALUE"""),"https://eitaa.com/heyate_h_aliasghar_a")</f>
        <v>https://eitaa.com/heyate_h_aliasghar_a</v>
      </c>
      <c r="K2577" s="5"/>
      <c r="L2577" s="5"/>
      <c r="M2577" s="5"/>
      <c r="N2577" s="5"/>
      <c r="O2577" s="5"/>
      <c r="P2577" s="5"/>
      <c r="Q2577" s="5"/>
      <c r="R2577" s="5"/>
      <c r="S2577" s="5"/>
    </row>
    <row r="2578">
      <c r="A2578" s="5">
        <f>IFERROR(__xludf.DUMMYFUNCTION("""COMPUTED_VALUE"""),16279.0)</f>
        <v>16279</v>
      </c>
      <c r="B2578" s="5" t="str">
        <f>IFERROR(__xludf.DUMMYFUNCTION("""COMPUTED_VALUE"""),"هیأت")</f>
        <v>هیأت</v>
      </c>
      <c r="C2578" s="5" t="str">
        <f>IFERROR(__xludf.DUMMYFUNCTION("""COMPUTED_VALUE"""),"جنت الرضا (ع)")</f>
        <v>جنت الرضا (ع)</v>
      </c>
      <c r="D2578" s="5" t="str">
        <f>IFERROR(__xludf.DUMMYFUNCTION("""COMPUTED_VALUE"""),"همدان")</f>
        <v>همدان</v>
      </c>
      <c r="E2578" s="5" t="str">
        <f>IFERROR(__xludf.DUMMYFUNCTION("""COMPUTED_VALUE"""),"همدان")</f>
        <v>همدان</v>
      </c>
      <c r="F2578" s="5"/>
      <c r="G2578" s="5"/>
      <c r="H2578" s="6" t="str">
        <f>IFERROR(__xludf.DUMMYFUNCTION("""COMPUTED_VALUE"""),"https://www.instagram.com/jannatoreza313/")</f>
        <v>https://www.instagram.com/jannatoreza313/</v>
      </c>
      <c r="I2578" s="6" t="str">
        <f>IFERROR(__xludf.DUMMYFUNCTION("""COMPUTED_VALUE"""),"t.me/jannatoreza313")</f>
        <v>t.me/jannatoreza313</v>
      </c>
      <c r="J2578" s="5"/>
      <c r="K2578" s="5"/>
      <c r="L2578" s="5"/>
      <c r="M2578" s="5"/>
      <c r="N2578" s="5"/>
      <c r="O2578" s="5"/>
      <c r="P2578" s="5"/>
      <c r="Q2578" s="5"/>
      <c r="R2578" s="5"/>
      <c r="S2578" s="5"/>
    </row>
    <row r="2579">
      <c r="A2579" s="5">
        <f>IFERROR(__xludf.DUMMYFUNCTION("""COMPUTED_VALUE"""),16286.0)</f>
        <v>16286</v>
      </c>
      <c r="B2579" s="5" t="str">
        <f>IFERROR(__xludf.DUMMYFUNCTION("""COMPUTED_VALUE"""),"هیأت")</f>
        <v>هیأت</v>
      </c>
      <c r="C2579" s="5" t="str">
        <f>IFERROR(__xludf.DUMMYFUNCTION("""COMPUTED_VALUE"""),"تابعین آل محمد (ص)")</f>
        <v>تابعین آل محمد (ص)</v>
      </c>
      <c r="D2579" s="5" t="str">
        <f>IFERROR(__xludf.DUMMYFUNCTION("""COMPUTED_VALUE"""),"همدان")</f>
        <v>همدان</v>
      </c>
      <c r="E2579" s="5" t="str">
        <f>IFERROR(__xludf.DUMMYFUNCTION("""COMPUTED_VALUE"""),"همدان")</f>
        <v>همدان</v>
      </c>
      <c r="F2579" s="5"/>
      <c r="G2579" s="5"/>
      <c r="H2579" s="6" t="str">
        <f>IFERROR(__xludf.DUMMYFUNCTION("""COMPUTED_VALUE"""),"https://www.instagram.com/htabein1376/")</f>
        <v>https://www.instagram.com/htabein1376/</v>
      </c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</row>
    <row r="2580">
      <c r="A2580" s="5">
        <f>IFERROR(__xludf.DUMMYFUNCTION("""COMPUTED_VALUE"""),16290.0)</f>
        <v>16290</v>
      </c>
      <c r="B2580" s="5" t="str">
        <f>IFERROR(__xludf.DUMMYFUNCTION("""COMPUTED_VALUE"""),"هیأت")</f>
        <v>هیأت</v>
      </c>
      <c r="C2580" s="5" t="str">
        <f>IFERROR(__xludf.DUMMYFUNCTION("""COMPUTED_VALUE"""),"عاشقان امام حسین(ع)")</f>
        <v>عاشقان امام حسین(ع)</v>
      </c>
      <c r="D2580" s="5" t="str">
        <f>IFERROR(__xludf.DUMMYFUNCTION("""COMPUTED_VALUE"""),"همدان")</f>
        <v>همدان</v>
      </c>
      <c r="E2580" s="5" t="str">
        <f>IFERROR(__xludf.DUMMYFUNCTION("""COMPUTED_VALUE"""),"همدان")</f>
        <v>همدان</v>
      </c>
      <c r="F2580" s="5"/>
      <c r="G2580" s="5"/>
      <c r="H2580" s="5"/>
      <c r="I2580" s="5"/>
      <c r="J2580" s="6" t="str">
        <f>IFERROR(__xludf.DUMMYFUNCTION("""COMPUTED_VALUE"""),"https://eitaa.com/heyatasheghanhosein")</f>
        <v>https://eitaa.com/heyatasheghanhosein</v>
      </c>
      <c r="K2580" s="5"/>
      <c r="L2580" s="5"/>
      <c r="M2580" s="5"/>
      <c r="N2580" s="5"/>
      <c r="O2580" s="5"/>
      <c r="P2580" s="5"/>
      <c r="Q2580" s="5"/>
      <c r="R2580" s="5"/>
      <c r="S2580" s="5"/>
    </row>
    <row r="2581">
      <c r="A2581" s="5">
        <f>IFERROR(__xludf.DUMMYFUNCTION("""COMPUTED_VALUE"""),16296.0)</f>
        <v>16296</v>
      </c>
      <c r="B2581" s="5" t="str">
        <f>IFERROR(__xludf.DUMMYFUNCTION("""COMPUTED_VALUE"""),"هیأت")</f>
        <v>هیأت</v>
      </c>
      <c r="C2581" s="5" t="str">
        <f>IFERROR(__xludf.DUMMYFUNCTION("""COMPUTED_VALUE"""),"محبان المهدی(عج)")</f>
        <v>محبان المهدی(عج)</v>
      </c>
      <c r="D2581" s="5" t="str">
        <f>IFERROR(__xludf.DUMMYFUNCTION("""COMPUTED_VALUE"""),"همدان")</f>
        <v>همدان</v>
      </c>
      <c r="E2581" s="5" t="str">
        <f>IFERROR(__xludf.DUMMYFUNCTION("""COMPUTED_VALUE"""),"همدان")</f>
        <v>همدان</v>
      </c>
      <c r="F2581" s="5"/>
      <c r="G2581" s="5"/>
      <c r="H2581" s="6" t="str">
        <f>IFERROR(__xludf.DUMMYFUNCTION("""COMPUTED_VALUE"""),"https://www.instagram.com/mohebban_saveh/")</f>
        <v>https://www.instagram.com/mohebban_saveh/</v>
      </c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</row>
    <row r="2582">
      <c r="A2582" s="5">
        <f>IFERROR(__xludf.DUMMYFUNCTION("""COMPUTED_VALUE"""),16325.0)</f>
        <v>16325</v>
      </c>
      <c r="B2582" s="5" t="str">
        <f>IFERROR(__xludf.DUMMYFUNCTION("""COMPUTED_VALUE"""),"مسجد")</f>
        <v>مسجد</v>
      </c>
      <c r="C2582" s="5" t="str">
        <f>IFERROR(__xludf.DUMMYFUNCTION("""COMPUTED_VALUE"""),"صاحب الزمان(عج)")</f>
        <v>صاحب الزمان(عج)</v>
      </c>
      <c r="D2582" s="5" t="str">
        <f>IFERROR(__xludf.DUMMYFUNCTION("""COMPUTED_VALUE"""),"همدان")</f>
        <v>همدان</v>
      </c>
      <c r="E2582" s="5" t="str">
        <f>IFERROR(__xludf.DUMMYFUNCTION("""COMPUTED_VALUE"""),"همدان")</f>
        <v>همدان</v>
      </c>
      <c r="F2582" s="5"/>
      <c r="G2582" s="5"/>
      <c r="H2582" s="5"/>
      <c r="I2582" s="5"/>
      <c r="J2582" s="6" t="str">
        <f>IFERROR(__xludf.DUMMYFUNCTION("""COMPUTED_VALUE"""),"https://eitaa.com/sahebzamanHAMEDAN1")</f>
        <v>https://eitaa.com/sahebzamanHAMEDAN1</v>
      </c>
      <c r="K2582" s="5"/>
      <c r="L2582" s="5"/>
      <c r="M2582" s="5"/>
      <c r="N2582" s="5"/>
      <c r="O2582" s="5"/>
      <c r="P2582" s="5"/>
      <c r="Q2582" s="5"/>
      <c r="R2582" s="5"/>
      <c r="S2582" s="5"/>
    </row>
    <row r="2583">
      <c r="A2583" s="5">
        <f>IFERROR(__xludf.DUMMYFUNCTION("""COMPUTED_VALUE"""),16333.0)</f>
        <v>16333</v>
      </c>
      <c r="B2583" s="5" t="str">
        <f>IFERROR(__xludf.DUMMYFUNCTION("""COMPUTED_VALUE"""),"هیأت")</f>
        <v>هیأت</v>
      </c>
      <c r="C2583" s="5" t="str">
        <f>IFERROR(__xludf.DUMMYFUNCTION("""COMPUTED_VALUE"""),"پیروان مهدی(عج)")</f>
        <v>پیروان مهدی(عج)</v>
      </c>
      <c r="D2583" s="5" t="str">
        <f>IFERROR(__xludf.DUMMYFUNCTION("""COMPUTED_VALUE"""),"همدان")</f>
        <v>همدان</v>
      </c>
      <c r="E2583" s="5" t="str">
        <f>IFERROR(__xludf.DUMMYFUNCTION("""COMPUTED_VALUE"""),"همدان")</f>
        <v>همدان</v>
      </c>
      <c r="F2583" s="5"/>
      <c r="G2583" s="5">
        <f>IFERROR(__xludf.DUMMYFUNCTION("""COMPUTED_VALUE"""),1.0)</f>
        <v>1</v>
      </c>
      <c r="H2583" s="6" t="str">
        <f>IFERROR(__xludf.DUMMYFUNCTION("""COMPUTED_VALUE"""),"https://www.instagram.com/peyrovane_hazrate_mahdi/")</f>
        <v>https://www.instagram.com/peyrovane_hazrate_mahdi/</v>
      </c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</row>
    <row r="2584">
      <c r="A2584" s="5">
        <f>IFERROR(__xludf.DUMMYFUNCTION("""COMPUTED_VALUE"""),16374.0)</f>
        <v>16374</v>
      </c>
      <c r="B2584" s="5" t="str">
        <f>IFERROR(__xludf.DUMMYFUNCTION("""COMPUTED_VALUE"""),"هیأت")</f>
        <v>هیأت</v>
      </c>
      <c r="C2584" s="5" t="str">
        <f>IFERROR(__xludf.DUMMYFUNCTION("""COMPUTED_VALUE"""),"حضرت موسی بن جعفر(ع) (مسجد علی بن ابیطالب(ع))")</f>
        <v>حضرت موسی بن جعفر(ع) (مسجد علی بن ابیطالب(ع))</v>
      </c>
      <c r="D2584" s="5" t="str">
        <f>IFERROR(__xludf.DUMMYFUNCTION("""COMPUTED_VALUE"""),"همدان")</f>
        <v>همدان</v>
      </c>
      <c r="E2584" s="5" t="str">
        <f>IFERROR(__xludf.DUMMYFUNCTION("""COMPUTED_VALUE"""),"بهار")</f>
        <v>بهار</v>
      </c>
      <c r="F2584" s="5"/>
      <c r="G2584" s="5"/>
      <c r="H2584" s="6" t="str">
        <f>IFERROR(__xludf.DUMMYFUNCTION("""COMPUTED_VALUE"""),"https://www.instagram.com/heyat_mosabnejafar_bahar/")</f>
        <v>https://www.instagram.com/heyat_mosabnejafar_bahar/</v>
      </c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</row>
    <row r="2585">
      <c r="A2585" s="5">
        <f>IFERROR(__xludf.DUMMYFUNCTION("""COMPUTED_VALUE"""),16385.0)</f>
        <v>16385</v>
      </c>
      <c r="B2585" s="5" t="str">
        <f>IFERROR(__xludf.DUMMYFUNCTION("""COMPUTED_VALUE"""),"هیأت")</f>
        <v>هیأت</v>
      </c>
      <c r="C2585" s="5" t="str">
        <f>IFERROR(__xludf.DUMMYFUNCTION("""COMPUTED_VALUE"""),"منتظران قائم(عج)")</f>
        <v>منتظران قائم(عج)</v>
      </c>
      <c r="D2585" s="5" t="str">
        <f>IFERROR(__xludf.DUMMYFUNCTION("""COMPUTED_VALUE"""),"همدان")</f>
        <v>همدان</v>
      </c>
      <c r="E2585" s="5" t="str">
        <f>IFERROR(__xludf.DUMMYFUNCTION("""COMPUTED_VALUE"""),"تویسرکان")</f>
        <v>تویسرکان</v>
      </c>
      <c r="F2585" s="5"/>
      <c r="G2585" s="5"/>
      <c r="H2585" s="6" t="str">
        <f>IFERROR(__xludf.DUMMYFUNCTION("""COMPUTED_VALUE"""),"https://www.instagram.com/montazeranserkan_ir/")</f>
        <v>https://www.instagram.com/montazeranserkan_ir/</v>
      </c>
      <c r="I2585" s="5"/>
      <c r="J2585" s="5"/>
      <c r="K2585" s="5"/>
      <c r="L2585" s="5"/>
      <c r="M2585" s="6" t="str">
        <f>IFERROR(__xludf.DUMMYFUNCTION("""COMPUTED_VALUE"""),"montazeranserkan.ir")</f>
        <v>montazeranserkan.ir</v>
      </c>
      <c r="N2585" s="5"/>
      <c r="O2585" s="5"/>
      <c r="P2585" s="5"/>
      <c r="Q2585" s="5"/>
      <c r="R2585" s="5"/>
      <c r="S2585" s="5"/>
    </row>
    <row r="2586">
      <c r="A2586" s="5">
        <f>IFERROR(__xludf.DUMMYFUNCTION("""COMPUTED_VALUE"""),16387.0)</f>
        <v>16387</v>
      </c>
      <c r="B2586" s="5" t="str">
        <f>IFERROR(__xludf.DUMMYFUNCTION("""COMPUTED_VALUE"""),"هیأت")</f>
        <v>هیأت</v>
      </c>
      <c r="C2586" s="5" t="str">
        <f>IFERROR(__xludf.DUMMYFUNCTION("""COMPUTED_VALUE"""),"ثارالله(ع)")</f>
        <v>ثارالله(ع)</v>
      </c>
      <c r="D2586" s="5" t="str">
        <f>IFERROR(__xludf.DUMMYFUNCTION("""COMPUTED_VALUE"""),"همدان")</f>
        <v>همدان</v>
      </c>
      <c r="E2586" s="5" t="str">
        <f>IFERROR(__xludf.DUMMYFUNCTION("""COMPUTED_VALUE"""),"تویسرکان")</f>
        <v>تویسرکان</v>
      </c>
      <c r="F2586" s="5"/>
      <c r="G2586" s="5"/>
      <c r="H2586" s="6" t="str">
        <f>IFERROR(__xludf.DUMMYFUNCTION("""COMPUTED_VALUE"""),"https://www.instagram.com/heiat_sarallah_toy/")</f>
        <v>https://www.instagram.com/heiat_sarallah_toy/</v>
      </c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</row>
    <row r="2587">
      <c r="A2587" s="5">
        <f>IFERROR(__xludf.DUMMYFUNCTION("""COMPUTED_VALUE"""),16403.0)</f>
        <v>16403</v>
      </c>
      <c r="B2587" s="5" t="str">
        <f>IFERROR(__xludf.DUMMYFUNCTION("""COMPUTED_VALUE"""),"هیأت")</f>
        <v>هیأت</v>
      </c>
      <c r="C2587" s="5" t="str">
        <f>IFERROR(__xludf.DUMMYFUNCTION("""COMPUTED_VALUE"""),"حیدریون")</f>
        <v>حیدریون</v>
      </c>
      <c r="D2587" s="5" t="str">
        <f>IFERROR(__xludf.DUMMYFUNCTION("""COMPUTED_VALUE"""),"همدان")</f>
        <v>همدان</v>
      </c>
      <c r="E2587" s="5" t="str">
        <f>IFERROR(__xludf.DUMMYFUNCTION("""COMPUTED_VALUE"""),"اسد آباد")</f>
        <v>اسد آباد</v>
      </c>
      <c r="F2587" s="5"/>
      <c r="G2587" s="5"/>
      <c r="H2587" s="6" t="str">
        <f>IFERROR(__xludf.DUMMYFUNCTION("""COMPUTED_VALUE"""),"https://www.instagram.com/heydaryon110/")</f>
        <v>https://www.instagram.com/heydaryon110/</v>
      </c>
      <c r="I2587" s="6" t="str">
        <f>IFERROR(__xludf.DUMMYFUNCTION("""COMPUTED_VALUE"""),"https://t.me/heydaryon110")</f>
        <v>https://t.me/heydaryon110</v>
      </c>
      <c r="J2587" s="5"/>
      <c r="K2587" s="5"/>
      <c r="L2587" s="5"/>
      <c r="M2587" s="5"/>
      <c r="N2587" s="5"/>
      <c r="O2587" s="5"/>
      <c r="P2587" s="5"/>
      <c r="Q2587" s="5"/>
      <c r="R2587" s="5"/>
      <c r="S2587" s="5"/>
    </row>
    <row r="2588">
      <c r="A2588" s="5">
        <f>IFERROR(__xludf.DUMMYFUNCTION("""COMPUTED_VALUE"""),16416.0)</f>
        <v>16416</v>
      </c>
      <c r="B2588" s="5" t="str">
        <f>IFERROR(__xludf.DUMMYFUNCTION("""COMPUTED_VALUE"""),"هیأت")</f>
        <v>هیأت</v>
      </c>
      <c r="C2588" s="5" t="str">
        <f>IFERROR(__xludf.DUMMYFUNCTION("""COMPUTED_VALUE"""),"حضرت قاسم بن الحسن(ع)")</f>
        <v>حضرت قاسم بن الحسن(ع)</v>
      </c>
      <c r="D2588" s="5" t="str">
        <f>IFERROR(__xludf.DUMMYFUNCTION("""COMPUTED_VALUE"""),"همدان")</f>
        <v>همدان</v>
      </c>
      <c r="E2588" s="5" t="str">
        <f>IFERROR(__xludf.DUMMYFUNCTION("""COMPUTED_VALUE"""),"ملایر")</f>
        <v>ملایر</v>
      </c>
      <c r="F2588" s="5"/>
      <c r="G2588" s="5"/>
      <c r="H2588" s="6" t="str">
        <f>IFERROR(__xludf.DUMMYFUNCTION("""COMPUTED_VALUE"""),"https://www.instagram.com/hieat_hazrat_ghasem/")</f>
        <v>https://www.instagram.com/hieat_hazrat_ghasem/</v>
      </c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</row>
    <row r="2589">
      <c r="A2589" s="5">
        <f>IFERROR(__xludf.DUMMYFUNCTION("""COMPUTED_VALUE"""),16417.0)</f>
        <v>16417</v>
      </c>
      <c r="B2589" s="5" t="str">
        <f>IFERROR(__xludf.DUMMYFUNCTION("""COMPUTED_VALUE"""),"هیأت")</f>
        <v>هیأت</v>
      </c>
      <c r="C2589" s="5" t="str">
        <f>IFERROR(__xludf.DUMMYFUNCTION("""COMPUTED_VALUE"""),"زوارالزهرا")</f>
        <v>زوارالزهرا</v>
      </c>
      <c r="D2589" s="5" t="str">
        <f>IFERROR(__xludf.DUMMYFUNCTION("""COMPUTED_VALUE"""),"همدان")</f>
        <v>همدان</v>
      </c>
      <c r="E2589" s="5" t="str">
        <f>IFERROR(__xludf.DUMMYFUNCTION("""COMPUTED_VALUE"""),"فامنین")</f>
        <v>فامنین</v>
      </c>
      <c r="F2589" s="5"/>
      <c r="G2589" s="5"/>
      <c r="H2589" s="5"/>
      <c r="I2589" s="5"/>
      <c r="J2589" s="6" t="str">
        <f>IFERROR(__xludf.DUMMYFUNCTION("""COMPUTED_VALUE"""),"https://eitaa.com/zovvarolzahraa")</f>
        <v>https://eitaa.com/zovvarolzahraa</v>
      </c>
      <c r="K2589" s="5"/>
      <c r="L2589" s="5"/>
      <c r="M2589" s="5"/>
      <c r="N2589" s="5"/>
      <c r="O2589" s="5"/>
      <c r="P2589" s="5"/>
      <c r="Q2589" s="5"/>
      <c r="R2589" s="5"/>
      <c r="S2589" s="5"/>
    </row>
    <row r="2590">
      <c r="A2590" s="5">
        <f>IFERROR(__xludf.DUMMYFUNCTION("""COMPUTED_VALUE"""),16468.0)</f>
        <v>16468</v>
      </c>
      <c r="B2590" s="5" t="str">
        <f>IFERROR(__xludf.DUMMYFUNCTION("""COMPUTED_VALUE"""),"هیأت")</f>
        <v>هیأت</v>
      </c>
      <c r="C2590" s="5" t="str">
        <f>IFERROR(__xludf.DUMMYFUNCTION("""COMPUTED_VALUE"""),"مشتاقان کربلا")</f>
        <v>مشتاقان کربلا</v>
      </c>
      <c r="D2590" s="5" t="str">
        <f>IFERROR(__xludf.DUMMYFUNCTION("""COMPUTED_VALUE"""),"همدان")</f>
        <v>همدان</v>
      </c>
      <c r="E2590" s="5" t="str">
        <f>IFERROR(__xludf.DUMMYFUNCTION("""COMPUTED_VALUE"""),"ملایر")</f>
        <v>ملایر</v>
      </c>
      <c r="F2590" s="5"/>
      <c r="G2590" s="5"/>
      <c r="H2590" s="6" t="str">
        <f>IFERROR(__xludf.DUMMYFUNCTION("""COMPUTED_VALUE"""),"https://www.instagram.com/moshtaghankarbala/")</f>
        <v>https://www.instagram.com/moshtaghankarbala/</v>
      </c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</row>
    <row r="2591">
      <c r="A2591" s="5">
        <f>IFERROR(__xludf.DUMMYFUNCTION("""COMPUTED_VALUE"""),16481.0)</f>
        <v>16481</v>
      </c>
      <c r="B2591" s="5" t="str">
        <f>IFERROR(__xludf.DUMMYFUNCTION("""COMPUTED_VALUE"""),"هیأت")</f>
        <v>هیأت</v>
      </c>
      <c r="C2591" s="5" t="str">
        <f>IFERROR(__xludf.DUMMYFUNCTION("""COMPUTED_VALUE"""),"منتظران ظهور")</f>
        <v>منتظران ظهور</v>
      </c>
      <c r="D2591" s="5" t="str">
        <f>IFERROR(__xludf.DUMMYFUNCTION("""COMPUTED_VALUE"""),"همدان")</f>
        <v>همدان</v>
      </c>
      <c r="E2591" s="5" t="str">
        <f>IFERROR(__xludf.DUMMYFUNCTION("""COMPUTED_VALUE"""),"ملایر")</f>
        <v>ملایر</v>
      </c>
      <c r="F2591" s="5"/>
      <c r="G2591" s="5"/>
      <c r="H2591" s="6" t="str">
        <f>IFERROR(__xludf.DUMMYFUNCTION("""COMPUTED_VALUE"""),"https://www.instagram.com/montazeran.mu/")</f>
        <v>https://www.instagram.com/montazeran.mu/</v>
      </c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</row>
    <row r="2592">
      <c r="A2592" s="5">
        <f>IFERROR(__xludf.DUMMYFUNCTION("""COMPUTED_VALUE"""),16507.0)</f>
        <v>16507</v>
      </c>
      <c r="B2592" s="5" t="str">
        <f>IFERROR(__xludf.DUMMYFUNCTION("""COMPUTED_VALUE"""),"هیأت")</f>
        <v>هیأت</v>
      </c>
      <c r="C2592" s="5" t="str">
        <f>IFERROR(__xludf.DUMMYFUNCTION("""COMPUTED_VALUE"""),"بیت العباس(ع)")</f>
        <v>بیت العباس(ع)</v>
      </c>
      <c r="D2592" s="5" t="str">
        <f>IFERROR(__xludf.DUMMYFUNCTION("""COMPUTED_VALUE"""),"همدان")</f>
        <v>همدان</v>
      </c>
      <c r="E2592" s="5" t="str">
        <f>IFERROR(__xludf.DUMMYFUNCTION("""COMPUTED_VALUE"""),"ملایر")</f>
        <v>ملایر</v>
      </c>
      <c r="F2592" s="5"/>
      <c r="G2592" s="5"/>
      <c r="H2592" s="6" t="str">
        <f>IFERROR(__xludf.DUMMYFUNCTION("""COMPUTED_VALUE"""),"https://www.instagram.com/heyat_beytol_abaas/")</f>
        <v>https://www.instagram.com/heyat_beytol_abaas/</v>
      </c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</row>
    <row r="2593">
      <c r="A2593" s="5">
        <f>IFERROR(__xludf.DUMMYFUNCTION("""COMPUTED_VALUE"""),16513.0)</f>
        <v>16513</v>
      </c>
      <c r="B2593" s="5" t="str">
        <f>IFERROR(__xludf.DUMMYFUNCTION("""COMPUTED_VALUE"""),"هیأت")</f>
        <v>هیأت</v>
      </c>
      <c r="C2593" s="5" t="str">
        <f>IFERROR(__xludf.DUMMYFUNCTION("""COMPUTED_VALUE"""),"چهارده معصوم (ع)")</f>
        <v>چهارده معصوم (ع)</v>
      </c>
      <c r="D2593" s="5" t="str">
        <f>IFERROR(__xludf.DUMMYFUNCTION("""COMPUTED_VALUE"""),"همدان")</f>
        <v>همدان</v>
      </c>
      <c r="E2593" s="5" t="str">
        <f>IFERROR(__xludf.DUMMYFUNCTION("""COMPUTED_VALUE"""),"نهاوند")</f>
        <v>نهاوند</v>
      </c>
      <c r="F2593" s="5"/>
      <c r="G2593" s="5"/>
      <c r="H2593" s="6" t="str">
        <f>IFERROR(__xludf.DUMMYFUNCTION("""COMPUTED_VALUE"""),"https://www.instagram.com/heyat.chahardahmasom.nhv/")</f>
        <v>https://www.instagram.com/heyat.chahardahmasom.nhv/</v>
      </c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</row>
    <row r="2594">
      <c r="A2594" s="5">
        <f>IFERROR(__xludf.DUMMYFUNCTION("""COMPUTED_VALUE"""),16514.0)</f>
        <v>16514</v>
      </c>
      <c r="B2594" s="5" t="str">
        <f>IFERROR(__xludf.DUMMYFUNCTION("""COMPUTED_VALUE"""),"هیأت")</f>
        <v>هیأت</v>
      </c>
      <c r="C2594" s="5" t="str">
        <f>IFERROR(__xludf.DUMMYFUNCTION("""COMPUTED_VALUE"""),"انصارالمهدی (عج)")</f>
        <v>انصارالمهدی (عج)</v>
      </c>
      <c r="D2594" s="5" t="str">
        <f>IFERROR(__xludf.DUMMYFUNCTION("""COMPUTED_VALUE"""),"همدان")</f>
        <v>همدان</v>
      </c>
      <c r="E2594" s="5" t="str">
        <f>IFERROR(__xludf.DUMMYFUNCTION("""COMPUTED_VALUE"""),"نهاوند")</f>
        <v>نهاوند</v>
      </c>
      <c r="F2594" s="5"/>
      <c r="G2594" s="5"/>
      <c r="H2594" s="6" t="str">
        <f>IFERROR(__xludf.DUMMYFUNCTION("""COMPUTED_VALUE"""),"https://www.instagram.com/ansar_almahdi_nahavand")</f>
        <v>https://www.instagram.com/ansar_almahdi_nahavand</v>
      </c>
      <c r="I2594" s="5"/>
      <c r="J2594" s="6" t="str">
        <f>IFERROR(__xludf.DUMMYFUNCTION("""COMPUTED_VALUE"""),"https://eitaa.com/ansar_almahdi_nahavand")</f>
        <v>https://eitaa.com/ansar_almahdi_nahavand</v>
      </c>
      <c r="K2594" s="5"/>
      <c r="L2594" s="5"/>
      <c r="M2594" s="5"/>
      <c r="N2594" s="5"/>
      <c r="O2594" s="5"/>
      <c r="P2594" s="5"/>
      <c r="Q2594" s="5"/>
      <c r="R2594" s="5"/>
      <c r="S2594" s="5"/>
    </row>
    <row r="2595">
      <c r="A2595" s="5">
        <f>IFERROR(__xludf.DUMMYFUNCTION("""COMPUTED_VALUE"""),16525.0)</f>
        <v>16525</v>
      </c>
      <c r="B2595" s="5" t="str">
        <f>IFERROR(__xludf.DUMMYFUNCTION("""COMPUTED_VALUE"""),"هیأت")</f>
        <v>هیأت</v>
      </c>
      <c r="C2595" s="5" t="str">
        <f>IFERROR(__xludf.DUMMYFUNCTION("""COMPUTED_VALUE"""),"شاه نجف")</f>
        <v>شاه نجف</v>
      </c>
      <c r="D2595" s="5" t="str">
        <f>IFERROR(__xludf.DUMMYFUNCTION("""COMPUTED_VALUE"""),"همدان")</f>
        <v>همدان</v>
      </c>
      <c r="E2595" s="5" t="str">
        <f>IFERROR(__xludf.DUMMYFUNCTION("""COMPUTED_VALUE"""),"نهاوند")</f>
        <v>نهاوند</v>
      </c>
      <c r="F2595" s="5"/>
      <c r="G2595" s="5"/>
      <c r="H2595" s="6" t="str">
        <f>IFERROR(__xludf.DUMMYFUNCTION("""COMPUTED_VALUE"""),"https://www.instagram.com/shahenajaf_nahavand/")</f>
        <v>https://www.instagram.com/shahenajaf_nahavand/</v>
      </c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</row>
    <row r="2596">
      <c r="A2596" s="5">
        <f>IFERROR(__xludf.DUMMYFUNCTION("""COMPUTED_VALUE"""),16547.0)</f>
        <v>16547</v>
      </c>
      <c r="B2596" s="5" t="str">
        <f>IFERROR(__xludf.DUMMYFUNCTION("""COMPUTED_VALUE"""),"هیأت")</f>
        <v>هیأت</v>
      </c>
      <c r="C2596" s="5" t="str">
        <f>IFERROR(__xludf.DUMMYFUNCTION("""COMPUTED_VALUE"""),"مکتب الصادق(ع)")</f>
        <v>مکتب الصادق(ع)</v>
      </c>
      <c r="D2596" s="5" t="str">
        <f>IFERROR(__xludf.DUMMYFUNCTION("""COMPUTED_VALUE"""),"همدان")</f>
        <v>همدان</v>
      </c>
      <c r="E2596" s="5" t="str">
        <f>IFERROR(__xludf.DUMMYFUNCTION("""COMPUTED_VALUE"""),"همدان")</f>
        <v>همدان</v>
      </c>
      <c r="F2596" s="5"/>
      <c r="G2596" s="5"/>
      <c r="H2596" s="5"/>
      <c r="I2596" s="5"/>
      <c r="J2596" s="6" t="str">
        <f>IFERROR(__xludf.DUMMYFUNCTION("""COMPUTED_VALUE"""),"https://eitaa.com/maktabalsadegh")</f>
        <v>https://eitaa.com/maktabalsadegh</v>
      </c>
      <c r="K2596" s="5"/>
      <c r="L2596" s="5"/>
      <c r="M2596" s="5"/>
      <c r="N2596" s="5"/>
      <c r="O2596" s="5"/>
      <c r="P2596" s="5"/>
      <c r="Q2596" s="5"/>
      <c r="R2596" s="5"/>
      <c r="S2596" s="5"/>
    </row>
    <row r="2597">
      <c r="A2597" s="5">
        <f>IFERROR(__xludf.DUMMYFUNCTION("""COMPUTED_VALUE"""),16551.0)</f>
        <v>16551</v>
      </c>
      <c r="B2597" s="5" t="str">
        <f>IFERROR(__xludf.DUMMYFUNCTION("""COMPUTED_VALUE"""),"هیأت")</f>
        <v>هیأت</v>
      </c>
      <c r="C2597" s="5" t="str">
        <f>IFERROR(__xludf.DUMMYFUNCTION("""COMPUTED_VALUE"""),"عاشقان امام علی(ع)")</f>
        <v>عاشقان امام علی(ع)</v>
      </c>
      <c r="D2597" s="5" t="str">
        <f>IFERROR(__xludf.DUMMYFUNCTION("""COMPUTED_VALUE"""),"همدان")</f>
        <v>همدان</v>
      </c>
      <c r="E2597" s="5" t="str">
        <f>IFERROR(__xludf.DUMMYFUNCTION("""COMPUTED_VALUE"""),"همدان")</f>
        <v>همدان</v>
      </c>
      <c r="F2597" s="5"/>
      <c r="G2597" s="5"/>
      <c r="H2597" s="6" t="str">
        <f>IFERROR(__xludf.DUMMYFUNCTION("""COMPUTED_VALUE"""),"https://www.instagram.com/beitolheydar/")</f>
        <v>https://www.instagram.com/beitolheydar/</v>
      </c>
      <c r="I2597" s="6" t="str">
        <f>IFERROR(__xludf.DUMMYFUNCTION("""COMPUTED_VALUE"""),"tlgrm.me/beitolheydar")</f>
        <v>tlgrm.me/beitolheydar</v>
      </c>
      <c r="J2597" s="5"/>
      <c r="K2597" s="5"/>
      <c r="L2597" s="5"/>
      <c r="M2597" s="5"/>
      <c r="N2597" s="5"/>
      <c r="O2597" s="5"/>
      <c r="P2597" s="5"/>
      <c r="Q2597" s="5"/>
      <c r="R2597" s="5"/>
      <c r="S2597" s="5"/>
    </row>
    <row r="2598">
      <c r="A2598" s="5">
        <f>IFERROR(__xludf.DUMMYFUNCTION("""COMPUTED_VALUE"""),16554.0)</f>
        <v>16554</v>
      </c>
      <c r="B2598" s="5" t="str">
        <f>IFERROR(__xludf.DUMMYFUNCTION("""COMPUTED_VALUE"""),"هیأت")</f>
        <v>هیأت</v>
      </c>
      <c r="C2598" s="5" t="str">
        <f>IFERROR(__xludf.DUMMYFUNCTION("""COMPUTED_VALUE"""),"رایه الهدی (عج)")</f>
        <v>رایه الهدی (عج)</v>
      </c>
      <c r="D2598" s="5" t="str">
        <f>IFERROR(__xludf.DUMMYFUNCTION("""COMPUTED_VALUE"""),"همدان")</f>
        <v>همدان</v>
      </c>
      <c r="E2598" s="5" t="str">
        <f>IFERROR(__xludf.DUMMYFUNCTION("""COMPUTED_VALUE"""),"همدان")</f>
        <v>همدان</v>
      </c>
      <c r="F2598" s="5"/>
      <c r="G2598" s="5"/>
      <c r="H2598" s="5"/>
      <c r="I2598" s="5"/>
      <c r="J2598" s="6" t="str">
        <f>IFERROR(__xludf.DUMMYFUNCTION("""COMPUTED_VALUE"""),"https://eitaa.com/rayatalhoda")</f>
        <v>https://eitaa.com/rayatalhoda</v>
      </c>
      <c r="K2598" s="5"/>
      <c r="L2598" s="5"/>
      <c r="M2598" s="5"/>
      <c r="N2598" s="5"/>
      <c r="O2598" s="5"/>
      <c r="P2598" s="5"/>
      <c r="Q2598" s="5"/>
      <c r="R2598" s="5"/>
      <c r="S2598" s="5"/>
    </row>
    <row r="2599">
      <c r="A2599" s="5">
        <f>IFERROR(__xludf.DUMMYFUNCTION("""COMPUTED_VALUE"""),16569.0)</f>
        <v>16569</v>
      </c>
      <c r="B2599" s="5" t="str">
        <f>IFERROR(__xludf.DUMMYFUNCTION("""COMPUTED_VALUE"""),"هیأت")</f>
        <v>هیأت</v>
      </c>
      <c r="C2599" s="5" t="str">
        <f>IFERROR(__xludf.DUMMYFUNCTION("""COMPUTED_VALUE"""),"جوانان محبین المهدی(عج)")</f>
        <v>جوانان محبین المهدی(عج)</v>
      </c>
      <c r="D2599" s="5" t="str">
        <f>IFERROR(__xludf.DUMMYFUNCTION("""COMPUTED_VALUE"""),"همدان")</f>
        <v>همدان</v>
      </c>
      <c r="E2599" s="5" t="str">
        <f>IFERROR(__xludf.DUMMYFUNCTION("""COMPUTED_VALUE"""),"همدان")</f>
        <v>همدان</v>
      </c>
      <c r="F2599" s="5"/>
      <c r="G2599" s="5"/>
      <c r="H2599" s="6" t="str">
        <f>IFERROR(__xludf.DUMMYFUNCTION("""COMPUTED_VALUE"""),"https://www.instagram.com/mohebin_mahdi_hamedan")</f>
        <v>https://www.instagram.com/mohebin_mahdi_hamedan</v>
      </c>
      <c r="I2599" s="6" t="str">
        <f>IFERROR(__xludf.DUMMYFUNCTION("""COMPUTED_VALUE"""),"t.me/mohebin_mahdi_hamedan")</f>
        <v>t.me/mohebin_mahdi_hamedan</v>
      </c>
      <c r="J2599" s="6" t="str">
        <f>IFERROR(__xludf.DUMMYFUNCTION("""COMPUTED_VALUE"""),"https://eitaa.com/mohebin_mahdi_hamedan")</f>
        <v>https://eitaa.com/mohebin_mahdi_hamedan</v>
      </c>
      <c r="K2599" s="5"/>
      <c r="L2599" s="5"/>
      <c r="M2599" s="5"/>
      <c r="N2599" s="5"/>
      <c r="O2599" s="5"/>
      <c r="P2599" s="5"/>
      <c r="Q2599" s="5"/>
      <c r="R2599" s="5"/>
      <c r="S2599" s="5"/>
    </row>
    <row r="2600">
      <c r="A2600" s="5">
        <f>IFERROR(__xludf.DUMMYFUNCTION("""COMPUTED_VALUE"""),16579.0)</f>
        <v>16579</v>
      </c>
      <c r="B2600" s="5" t="str">
        <f>IFERROR(__xludf.DUMMYFUNCTION("""COMPUTED_VALUE"""),"حسینیه")</f>
        <v>حسینیه</v>
      </c>
      <c r="C2600" s="5" t="str">
        <f>IFERROR(__xludf.DUMMYFUNCTION("""COMPUTED_VALUE"""),"شالبافان")</f>
        <v>شالبافان</v>
      </c>
      <c r="D2600" s="5" t="str">
        <f>IFERROR(__xludf.DUMMYFUNCTION("""COMPUTED_VALUE"""),"همدان")</f>
        <v>همدان</v>
      </c>
      <c r="E2600" s="5" t="str">
        <f>IFERROR(__xludf.DUMMYFUNCTION("""COMPUTED_VALUE"""),"همدان")</f>
        <v>همدان</v>
      </c>
      <c r="F2600" s="5"/>
      <c r="G2600" s="5"/>
      <c r="H2600" s="6" t="str">
        <f>IFERROR(__xludf.DUMMYFUNCTION("""COMPUTED_VALUE"""),"https://www.instagram.com/maktab.ashoura/")</f>
        <v>https://www.instagram.com/maktab.ashoura/</v>
      </c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</row>
    <row r="2601">
      <c r="A2601" s="5">
        <f>IFERROR(__xludf.DUMMYFUNCTION("""COMPUTED_VALUE"""),16606.0)</f>
        <v>16606</v>
      </c>
      <c r="B2601" s="5" t="str">
        <f>IFERROR(__xludf.DUMMYFUNCTION("""COMPUTED_VALUE"""),"هیأت")</f>
        <v>هیأت</v>
      </c>
      <c r="C2601" s="5" t="str">
        <f>IFERROR(__xludf.DUMMYFUNCTION("""COMPUTED_VALUE"""),"تعزیه خوانان شاهزاده علی اصغر(ع)")</f>
        <v>تعزیه خوانان شاهزاده علی اصغر(ع)</v>
      </c>
      <c r="D2601" s="5" t="str">
        <f>IFERROR(__xludf.DUMMYFUNCTION("""COMPUTED_VALUE"""),"همدان")</f>
        <v>همدان</v>
      </c>
      <c r="E2601" s="5" t="str">
        <f>IFERROR(__xludf.DUMMYFUNCTION("""COMPUTED_VALUE"""),"نهاوند")</f>
        <v>نهاوند</v>
      </c>
      <c r="F2601" s="5"/>
      <c r="G2601" s="5"/>
      <c r="H2601" s="5"/>
      <c r="I2601" s="6" t="str">
        <f>IFERROR(__xludf.DUMMYFUNCTION("""COMPUTED_VALUE"""),"https://t.me/tazye96")</f>
        <v>https://t.me/tazye96</v>
      </c>
      <c r="J2601" s="5"/>
      <c r="K2601" s="5"/>
      <c r="L2601" s="5"/>
      <c r="M2601" s="5"/>
      <c r="N2601" s="5"/>
      <c r="O2601" s="5"/>
      <c r="P2601" s="5"/>
      <c r="Q2601" s="5"/>
      <c r="R2601" s="5"/>
      <c r="S2601" s="5"/>
    </row>
    <row r="2602">
      <c r="A2602" s="5">
        <f>IFERROR(__xludf.DUMMYFUNCTION("""COMPUTED_VALUE"""),16610.0)</f>
        <v>16610</v>
      </c>
      <c r="B2602" s="5" t="str">
        <f>IFERROR(__xludf.DUMMYFUNCTION("""COMPUTED_VALUE"""),"هیأت")</f>
        <v>هیأت</v>
      </c>
      <c r="C2602" s="5" t="str">
        <f>IFERROR(__xludf.DUMMYFUNCTION("""COMPUTED_VALUE"""),"امیرالمومنین (ع)")</f>
        <v>امیرالمومنین (ع)</v>
      </c>
      <c r="D2602" s="5" t="str">
        <f>IFERROR(__xludf.DUMMYFUNCTION("""COMPUTED_VALUE"""),"همدان")</f>
        <v>همدان</v>
      </c>
      <c r="E2602" s="5" t="str">
        <f>IFERROR(__xludf.DUMMYFUNCTION("""COMPUTED_VALUE"""),"فامنین")</f>
        <v>فامنین</v>
      </c>
      <c r="F2602" s="5"/>
      <c r="G2602" s="5"/>
      <c r="H2602" s="6" t="str">
        <f>IFERROR(__xludf.DUMMYFUNCTION("""COMPUTED_VALUE"""),"https://www.instagram.com/h_amiralmomenin.ir/")</f>
        <v>https://www.instagram.com/h_amiralmomenin.ir/</v>
      </c>
      <c r="I2602" s="6" t="str">
        <f>IFERROR(__xludf.DUMMYFUNCTION("""COMPUTED_VALUE"""),"https://t.me/hashf110")</f>
        <v>https://t.me/hashf110</v>
      </c>
      <c r="J2602" s="5"/>
      <c r="K2602" s="5"/>
      <c r="L2602" s="5"/>
      <c r="M2602" s="5"/>
      <c r="N2602" s="5"/>
      <c r="O2602" s="5"/>
      <c r="P2602" s="5"/>
      <c r="Q2602" s="5"/>
      <c r="R2602" s="5"/>
      <c r="S2602" s="5"/>
    </row>
    <row r="2603">
      <c r="A2603" s="5">
        <f>IFERROR(__xludf.DUMMYFUNCTION("""COMPUTED_VALUE"""),16623.0)</f>
        <v>16623</v>
      </c>
      <c r="B2603" s="5" t="str">
        <f>IFERROR(__xludf.DUMMYFUNCTION("""COMPUTED_VALUE"""),"مسجد ")</f>
        <v>مسجد </v>
      </c>
      <c r="C2603" s="5" t="str">
        <f>IFERROR(__xludf.DUMMYFUNCTION("""COMPUTED_VALUE"""),"امام حسین(ع)")</f>
        <v>امام حسین(ع)</v>
      </c>
      <c r="D2603" s="5" t="str">
        <f>IFERROR(__xludf.DUMMYFUNCTION("""COMPUTED_VALUE"""),"همدان")</f>
        <v>همدان</v>
      </c>
      <c r="E2603" s="5" t="str">
        <f>IFERROR(__xludf.DUMMYFUNCTION("""COMPUTED_VALUE"""),"همدان")</f>
        <v>همدان</v>
      </c>
      <c r="F2603" s="5"/>
      <c r="G2603" s="5"/>
      <c r="H2603" s="6" t="str">
        <f>IFERROR(__xludf.DUMMYFUNCTION("""COMPUTED_VALUE"""),"https://www.instagram.com/masjed_emam_hoseyn/")</f>
        <v>https://www.instagram.com/masjed_emam_hoseyn/</v>
      </c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</row>
    <row r="2604">
      <c r="A2604" s="5">
        <f>IFERROR(__xludf.DUMMYFUNCTION("""COMPUTED_VALUE"""),16638.0)</f>
        <v>16638</v>
      </c>
      <c r="B2604" s="5" t="str">
        <f>IFERROR(__xludf.DUMMYFUNCTION("""COMPUTED_VALUE"""),"هیأت")</f>
        <v>هیأت</v>
      </c>
      <c r="C2604" s="5" t="str">
        <f>IFERROR(__xludf.DUMMYFUNCTION("""COMPUTED_VALUE"""),"رایه الاحرار")</f>
        <v>رایه الاحرار</v>
      </c>
      <c r="D2604" s="5" t="str">
        <f>IFERROR(__xludf.DUMMYFUNCTION("""COMPUTED_VALUE"""),"همدان")</f>
        <v>همدان</v>
      </c>
      <c r="E2604" s="5" t="str">
        <f>IFERROR(__xludf.DUMMYFUNCTION("""COMPUTED_VALUE"""),"همدان")</f>
        <v>همدان</v>
      </c>
      <c r="F2604" s="5"/>
      <c r="G2604" s="5"/>
      <c r="H2604" s="5"/>
      <c r="I2604" s="5"/>
      <c r="J2604" s="6" t="str">
        <f>IFERROR(__xludf.DUMMYFUNCTION("""COMPUTED_VALUE"""),"https://eitaa.com/rayatolahrar")</f>
        <v>https://eitaa.com/rayatolahrar</v>
      </c>
      <c r="K2604" s="5"/>
      <c r="L2604" s="5"/>
      <c r="M2604" s="5"/>
      <c r="N2604" s="5"/>
      <c r="O2604" s="5"/>
      <c r="P2604" s="5"/>
      <c r="Q2604" s="5"/>
      <c r="R2604" s="5"/>
      <c r="S2604" s="5"/>
    </row>
    <row r="2605">
      <c r="A2605" s="5">
        <f>IFERROR(__xludf.DUMMYFUNCTION("""COMPUTED_VALUE"""),16665.0)</f>
        <v>16665</v>
      </c>
      <c r="B2605" s="5" t="str">
        <f>IFERROR(__xludf.DUMMYFUNCTION("""COMPUTED_VALUE"""),"هیأت")</f>
        <v>هیأت</v>
      </c>
      <c r="C2605" s="5" t="str">
        <f>IFERROR(__xludf.DUMMYFUNCTION("""COMPUTED_VALUE"""),"احمدیه")</f>
        <v>احمدیه</v>
      </c>
      <c r="D2605" s="5" t="str">
        <f>IFERROR(__xludf.DUMMYFUNCTION("""COMPUTED_VALUE"""),"همدان")</f>
        <v>همدان</v>
      </c>
      <c r="E2605" s="5" t="str">
        <f>IFERROR(__xludf.DUMMYFUNCTION("""COMPUTED_VALUE"""),"همدان")</f>
        <v>همدان</v>
      </c>
      <c r="F2605" s="5"/>
      <c r="G2605" s="5"/>
      <c r="H2605" s="6" t="str">
        <f>IFERROR(__xludf.DUMMYFUNCTION("""COMPUTED_VALUE"""),"https://www.instagram.com/m.f.ahmadiye.hamedan/")</f>
        <v>https://www.instagram.com/m.f.ahmadiye.hamedan/</v>
      </c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</row>
    <row r="2606">
      <c r="A2606" s="5">
        <f>IFERROR(__xludf.DUMMYFUNCTION("""COMPUTED_VALUE"""),16699.0)</f>
        <v>16699</v>
      </c>
      <c r="B2606" s="5" t="str">
        <f>IFERROR(__xludf.DUMMYFUNCTION("""COMPUTED_VALUE"""),"هیأت")</f>
        <v>هیأت</v>
      </c>
      <c r="C2606" s="5" t="str">
        <f>IFERROR(__xludf.DUMMYFUNCTION("""COMPUTED_VALUE"""),"شاهزاده علی اصغر (ع)")</f>
        <v>شاهزاده علی اصغر (ع)</v>
      </c>
      <c r="D2606" s="5" t="str">
        <f>IFERROR(__xludf.DUMMYFUNCTION("""COMPUTED_VALUE"""),"همدان")</f>
        <v>همدان</v>
      </c>
      <c r="E2606" s="5" t="str">
        <f>IFERROR(__xludf.DUMMYFUNCTION("""COMPUTED_VALUE"""),"همدان")</f>
        <v>همدان</v>
      </c>
      <c r="F2606" s="5"/>
      <c r="G2606" s="5"/>
      <c r="H2606" s="6" t="str">
        <f>IFERROR(__xludf.DUMMYFUNCTION("""COMPUTED_VALUE"""),"https://www.instagram.com/teflrobab_ir/")</f>
        <v>https://www.instagram.com/teflrobab_ir/</v>
      </c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</row>
    <row r="2607">
      <c r="A2607" s="5">
        <f>IFERROR(__xludf.DUMMYFUNCTION("""COMPUTED_VALUE"""),16721.0)</f>
        <v>16721</v>
      </c>
      <c r="B2607" s="5" t="str">
        <f>IFERROR(__xludf.DUMMYFUNCTION("""COMPUTED_VALUE"""),"مسجد")</f>
        <v>مسجد</v>
      </c>
      <c r="C2607" s="5" t="str">
        <f>IFERROR(__xludf.DUMMYFUNCTION("""COMPUTED_VALUE"""),"کبابیان")</f>
        <v>کبابیان</v>
      </c>
      <c r="D2607" s="5" t="str">
        <f>IFERROR(__xludf.DUMMYFUNCTION("""COMPUTED_VALUE"""),"همدان")</f>
        <v>همدان</v>
      </c>
      <c r="E2607" s="5" t="str">
        <f>IFERROR(__xludf.DUMMYFUNCTION("""COMPUTED_VALUE"""),"همدان")</f>
        <v>همدان</v>
      </c>
      <c r="F2607" s="5"/>
      <c r="G2607" s="5"/>
      <c r="H2607" s="5"/>
      <c r="I2607" s="5"/>
      <c r="J2607" s="6" t="str">
        <f>IFERROR(__xludf.DUMMYFUNCTION("""COMPUTED_VALUE"""),"https://eitaa.com/heyatpeyrovan59")</f>
        <v>https://eitaa.com/heyatpeyrovan59</v>
      </c>
      <c r="K2607" s="5"/>
      <c r="L2607" s="5"/>
      <c r="M2607" s="5"/>
      <c r="N2607" s="5"/>
      <c r="O2607" s="5"/>
      <c r="P2607" s="5"/>
      <c r="Q2607" s="5"/>
      <c r="R2607" s="5"/>
      <c r="S2607" s="5"/>
    </row>
    <row r="2608">
      <c r="A2608" s="5">
        <f>IFERROR(__xludf.DUMMYFUNCTION("""COMPUTED_VALUE"""),16743.0)</f>
        <v>16743</v>
      </c>
      <c r="B2608" s="5" t="str">
        <f>IFERROR(__xludf.DUMMYFUNCTION("""COMPUTED_VALUE"""),"هیأت")</f>
        <v>هیأت</v>
      </c>
      <c r="C2608" s="5" t="str">
        <f>IFERROR(__xludf.DUMMYFUNCTION("""COMPUTED_VALUE"""),"چهارده معصوم(ع)")</f>
        <v>چهارده معصوم(ع)</v>
      </c>
      <c r="D2608" s="5" t="str">
        <f>IFERROR(__xludf.DUMMYFUNCTION("""COMPUTED_VALUE"""),"همدان")</f>
        <v>همدان</v>
      </c>
      <c r="E2608" s="5" t="str">
        <f>IFERROR(__xludf.DUMMYFUNCTION("""COMPUTED_VALUE"""),"همدان")</f>
        <v>همدان</v>
      </c>
      <c r="F2608" s="5"/>
      <c r="G2608" s="5"/>
      <c r="H2608" s="6" t="str">
        <f>IFERROR(__xludf.DUMMYFUNCTION("""COMPUTED_VALUE"""),"https://www.instagram.com/h_chhardh_mesvm1354/")</f>
        <v>https://www.instagram.com/h_chhardh_mesvm1354/</v>
      </c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</row>
    <row r="2609">
      <c r="A2609" s="5">
        <f>IFERROR(__xludf.DUMMYFUNCTION("""COMPUTED_VALUE"""),18333.0)</f>
        <v>18333</v>
      </c>
      <c r="B2609" s="5" t="str">
        <f>IFERROR(__xludf.DUMMYFUNCTION("""COMPUTED_VALUE"""),"هیأت")</f>
        <v>هیأت</v>
      </c>
      <c r="C2609" s="5" t="str">
        <f>IFERROR(__xludf.DUMMYFUNCTION("""COMPUTED_VALUE"""),"ائمه بقیع(ع)")</f>
        <v>ائمه بقیع(ع)</v>
      </c>
      <c r="D2609" s="5" t="str">
        <f>IFERROR(__xludf.DUMMYFUNCTION("""COMPUTED_VALUE"""),"همدان")</f>
        <v>همدان</v>
      </c>
      <c r="E2609" s="5" t="str">
        <f>IFERROR(__xludf.DUMMYFUNCTION("""COMPUTED_VALUE"""),"همدان")</f>
        <v>همدان</v>
      </c>
      <c r="F2609" s="5"/>
      <c r="G2609" s="5"/>
      <c r="H2609" s="6" t="str">
        <f>IFERROR(__xludf.DUMMYFUNCTION("""COMPUTED_VALUE"""),"https://www.instagram.com/aemme_baghi/")</f>
        <v>https://www.instagram.com/aemme_baghi/</v>
      </c>
      <c r="I2609" s="5"/>
      <c r="J2609" s="6" t="str">
        <f>IFERROR(__xludf.DUMMYFUNCTION("""COMPUTED_VALUE"""),"https://eitaa.com/aemme_baghi")</f>
        <v>https://eitaa.com/aemme_baghi</v>
      </c>
      <c r="K2609" s="5"/>
      <c r="L2609" s="5"/>
      <c r="M2609" s="5"/>
      <c r="N2609" s="5"/>
      <c r="O2609" s="5"/>
      <c r="P2609" s="5"/>
      <c r="Q2609" s="5"/>
      <c r="R2609" s="5"/>
      <c r="S2609" s="5"/>
    </row>
    <row r="2610">
      <c r="A2610" s="5">
        <f>IFERROR(__xludf.DUMMYFUNCTION("""COMPUTED_VALUE"""),18337.0)</f>
        <v>18337</v>
      </c>
      <c r="B2610" s="5" t="str">
        <f>IFERROR(__xludf.DUMMYFUNCTION("""COMPUTED_VALUE"""),"هیأت")</f>
        <v>هیأت</v>
      </c>
      <c r="C2610" s="5" t="str">
        <f>IFERROR(__xludf.DUMMYFUNCTION("""COMPUTED_VALUE"""),"زینبیه")</f>
        <v>زینبیه</v>
      </c>
      <c r="D2610" s="5" t="str">
        <f>IFERROR(__xludf.DUMMYFUNCTION("""COMPUTED_VALUE"""),"همدان")</f>
        <v>همدان</v>
      </c>
      <c r="E2610" s="5" t="str">
        <f>IFERROR(__xludf.DUMMYFUNCTION("""COMPUTED_VALUE"""),"همدان")</f>
        <v>همدان</v>
      </c>
      <c r="F2610" s="5"/>
      <c r="G2610" s="5"/>
      <c r="H2610" s="6" t="str">
        <f>IFERROR(__xludf.DUMMYFUNCTION("""COMPUTED_VALUE"""),"https://www.instagram.com/zeynabiee_1343/")</f>
        <v>https://www.instagram.com/zeynabiee_1343/</v>
      </c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</row>
    <row r="2611">
      <c r="A2611" s="5">
        <f>IFERROR(__xludf.DUMMYFUNCTION("""COMPUTED_VALUE"""),18339.0)</f>
        <v>18339</v>
      </c>
      <c r="B2611" s="5" t="str">
        <f>IFERROR(__xludf.DUMMYFUNCTION("""COMPUTED_VALUE"""),"هیأت")</f>
        <v>هیأت</v>
      </c>
      <c r="C2611" s="5" t="str">
        <f>IFERROR(__xludf.DUMMYFUNCTION("""COMPUTED_VALUE"""),"بیت العباس (ع)")</f>
        <v>بیت العباس (ع)</v>
      </c>
      <c r="D2611" s="5" t="str">
        <f>IFERROR(__xludf.DUMMYFUNCTION("""COMPUTED_VALUE"""),"همدان")</f>
        <v>همدان</v>
      </c>
      <c r="E2611" s="5" t="str">
        <f>IFERROR(__xludf.DUMMYFUNCTION("""COMPUTED_VALUE"""),"تویسرکان")</f>
        <v>تویسرکان</v>
      </c>
      <c r="F2611" s="5"/>
      <c r="G2611" s="5"/>
      <c r="H2611" s="6" t="str">
        <f>IFERROR(__xludf.DUMMYFUNCTION("""COMPUTED_VALUE"""),"https://www.instagram.com/beytol.abbas/")</f>
        <v>https://www.instagram.com/beytol.abbas/</v>
      </c>
      <c r="I2611" s="6" t="str">
        <f>IFERROR(__xludf.DUMMYFUNCTION("""COMPUTED_VALUE"""),"https://t.me/beytolabbas_toy")</f>
        <v>https://t.me/beytolabbas_toy</v>
      </c>
      <c r="J2611" s="6" t="str">
        <f>IFERROR(__xludf.DUMMYFUNCTION("""COMPUTED_VALUE"""),"https://eitaa.com/beytolabbastoyserkan")</f>
        <v>https://eitaa.com/beytolabbastoyserkan</v>
      </c>
      <c r="K2611" s="5"/>
      <c r="L2611" s="5"/>
      <c r="M2611" s="5"/>
      <c r="N2611" s="5"/>
      <c r="O2611" s="5"/>
      <c r="P2611" s="5"/>
      <c r="Q2611" s="5"/>
      <c r="R2611" s="5"/>
      <c r="S2611" s="5"/>
    </row>
    <row r="2612">
      <c r="A2612" s="5">
        <f>IFERROR(__xludf.DUMMYFUNCTION("""COMPUTED_VALUE"""),18344.0)</f>
        <v>18344</v>
      </c>
      <c r="B2612" s="5" t="str">
        <f>IFERROR(__xludf.DUMMYFUNCTION("""COMPUTED_VALUE"""),"هیأت")</f>
        <v>هیأت</v>
      </c>
      <c r="C2612" s="5" t="str">
        <f>IFERROR(__xludf.DUMMYFUNCTION("""COMPUTED_VALUE"""),"محبین الائمه (ع)")</f>
        <v>محبین الائمه (ع)</v>
      </c>
      <c r="D2612" s="5" t="str">
        <f>IFERROR(__xludf.DUMMYFUNCTION("""COMPUTED_VALUE"""),"همدان")</f>
        <v>همدان</v>
      </c>
      <c r="E2612" s="5" t="str">
        <f>IFERROR(__xludf.DUMMYFUNCTION("""COMPUTED_VALUE"""),"همدان")</f>
        <v>همدان</v>
      </c>
      <c r="F2612" s="5"/>
      <c r="G2612" s="5"/>
      <c r="H2612" s="6" t="str">
        <f>IFERROR(__xludf.DUMMYFUNCTION("""COMPUTED_VALUE"""),"https://www.instagram.com/mahfel_mohebin_aemme_hamedan/")</f>
        <v>https://www.instagram.com/mahfel_mohebin_aemme_hamedan/</v>
      </c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</row>
    <row r="2613">
      <c r="A2613" s="5">
        <f>IFERROR(__xludf.DUMMYFUNCTION("""COMPUTED_VALUE"""),18418.0)</f>
        <v>18418</v>
      </c>
      <c r="B2613" s="5" t="str">
        <f>IFERROR(__xludf.DUMMYFUNCTION("""COMPUTED_VALUE"""),"هیأت")</f>
        <v>هیأت</v>
      </c>
      <c r="C2613" s="5" t="str">
        <f>IFERROR(__xludf.DUMMYFUNCTION("""COMPUTED_VALUE"""),"کوثر (س)")</f>
        <v>کوثر (س)</v>
      </c>
      <c r="D2613" s="5" t="str">
        <f>IFERROR(__xludf.DUMMYFUNCTION("""COMPUTED_VALUE"""),"همدان")</f>
        <v>همدان</v>
      </c>
      <c r="E2613" s="5" t="str">
        <f>IFERROR(__xludf.DUMMYFUNCTION("""COMPUTED_VALUE"""),"بهار")</f>
        <v>بهار</v>
      </c>
      <c r="F2613" s="5"/>
      <c r="G2613" s="5"/>
      <c r="H2613" s="6" t="str">
        <f>IFERROR(__xludf.DUMMYFUNCTION("""COMPUTED_VALUE"""),"https://www.instagram.com/heyat.kosar.bahar.dh/")</f>
        <v>https://www.instagram.com/heyat.kosar.bahar.dh/</v>
      </c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</row>
    <row r="2614">
      <c r="A2614" s="5">
        <f>IFERROR(__xludf.DUMMYFUNCTION("""COMPUTED_VALUE"""),19496.0)</f>
        <v>19496</v>
      </c>
      <c r="B2614" s="5" t="str">
        <f>IFERROR(__xludf.DUMMYFUNCTION("""COMPUTED_VALUE"""),"هیأت")</f>
        <v>هیأت</v>
      </c>
      <c r="C2614" s="5" t="str">
        <f>IFERROR(__xludf.DUMMYFUNCTION("""COMPUTED_VALUE"""),"ریحانه الحسین (ع)")</f>
        <v>ریحانه الحسین (ع)</v>
      </c>
      <c r="D2614" s="5" t="str">
        <f>IFERROR(__xludf.DUMMYFUNCTION("""COMPUTED_VALUE"""),"همدان")</f>
        <v>همدان</v>
      </c>
      <c r="E2614" s="5" t="str">
        <f>IFERROR(__xludf.DUMMYFUNCTION("""COMPUTED_VALUE"""),"فامنین")</f>
        <v>فامنین</v>
      </c>
      <c r="F2614" s="5"/>
      <c r="G2614" s="5"/>
      <c r="H2614" s="5"/>
      <c r="I2614" s="6" t="str">
        <f>IFERROR(__xludf.DUMMYFUNCTION("""COMPUTED_VALUE"""),"t.me/reyhanatolhossein315")</f>
        <v>t.me/reyhanatolhossein315</v>
      </c>
      <c r="J2614" s="5"/>
      <c r="K2614" s="5"/>
      <c r="L2614" s="5"/>
      <c r="M2614" s="5"/>
      <c r="N2614" s="5"/>
      <c r="O2614" s="5"/>
      <c r="P2614" s="5"/>
      <c r="Q2614" s="5"/>
      <c r="R2614" s="5"/>
      <c r="S2614" s="5"/>
    </row>
    <row r="2615">
      <c r="A2615" s="5">
        <f>IFERROR(__xludf.DUMMYFUNCTION("""COMPUTED_VALUE"""),19497.0)</f>
        <v>19497</v>
      </c>
      <c r="B2615" s="5" t="str">
        <f>IFERROR(__xludf.DUMMYFUNCTION("""COMPUTED_VALUE"""),"هیأت")</f>
        <v>هیأت</v>
      </c>
      <c r="C2615" s="5" t="str">
        <f>IFERROR(__xludf.DUMMYFUNCTION("""COMPUTED_VALUE"""),"محبین الزهرا (س) (ماماهان)")</f>
        <v>محبین الزهرا (س) (ماماهان)</v>
      </c>
      <c r="D2615" s="5" t="str">
        <f>IFERROR(__xludf.DUMMYFUNCTION("""COMPUTED_VALUE"""),"همدان")</f>
        <v>همدان</v>
      </c>
      <c r="E2615" s="5" t="str">
        <f>IFERROR(__xludf.DUMMYFUNCTION("""COMPUTED_VALUE"""),"فامنین")</f>
        <v>فامنین</v>
      </c>
      <c r="F2615" s="5"/>
      <c r="G2615" s="5"/>
      <c r="H2615" s="6" t="str">
        <f>IFERROR(__xludf.DUMMYFUNCTION("""COMPUTED_VALUE"""),"https://www.instagram.com/mohebbin_azzahra/")</f>
        <v>https://www.instagram.com/mohebbin_azzahra/</v>
      </c>
      <c r="I2615" s="5"/>
      <c r="J2615" s="6" t="str">
        <f>IFERROR(__xludf.DUMMYFUNCTION("""COMPUTED_VALUE"""),"https://eitaa.com/mohebbin_azzahra")</f>
        <v>https://eitaa.com/mohebbin_azzahra</v>
      </c>
      <c r="K2615" s="5"/>
      <c r="L2615" s="5"/>
      <c r="M2615" s="5"/>
      <c r="N2615" s="5"/>
      <c r="O2615" s="5"/>
      <c r="P2615" s="5"/>
      <c r="Q2615" s="5"/>
      <c r="R2615" s="5"/>
      <c r="S2615" s="5"/>
    </row>
    <row r="2616">
      <c r="A2616" s="5">
        <f>IFERROR(__xludf.DUMMYFUNCTION("""COMPUTED_VALUE"""),19500.0)</f>
        <v>19500</v>
      </c>
      <c r="B2616" s="5" t="str">
        <f>IFERROR(__xludf.DUMMYFUNCTION("""COMPUTED_VALUE"""),"هیأت")</f>
        <v>هیأت</v>
      </c>
      <c r="C2616" s="5" t="str">
        <f>IFERROR(__xludf.DUMMYFUNCTION("""COMPUTED_VALUE"""),"جوانان حضرت ابوالفضل(ع)")</f>
        <v>جوانان حضرت ابوالفضل(ع)</v>
      </c>
      <c r="D2616" s="5" t="str">
        <f>IFERROR(__xludf.DUMMYFUNCTION("""COMPUTED_VALUE"""),"همدان")</f>
        <v>همدان</v>
      </c>
      <c r="E2616" s="5" t="str">
        <f>IFERROR(__xludf.DUMMYFUNCTION("""COMPUTED_VALUE"""),"فامنین")</f>
        <v>فامنین</v>
      </c>
      <c r="F2616" s="5"/>
      <c r="G2616" s="5"/>
      <c r="H2616" s="6" t="str">
        <f>IFERROR(__xludf.DUMMYFUNCTION("""COMPUTED_VALUE"""),"https://www.instagram.com/heyatjavananfamenin/")</f>
        <v>https://www.instagram.com/heyatjavananfamenin/</v>
      </c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</row>
    <row r="2617">
      <c r="A2617" s="5">
        <f>IFERROR(__xludf.DUMMYFUNCTION("""COMPUTED_VALUE"""),19518.0)</f>
        <v>19518</v>
      </c>
      <c r="B2617" s="5" t="str">
        <f>IFERROR(__xludf.DUMMYFUNCTION("""COMPUTED_VALUE"""),"هیأت")</f>
        <v>هیأت</v>
      </c>
      <c r="C2617" s="5" t="str">
        <f>IFERROR(__xludf.DUMMYFUNCTION("""COMPUTED_VALUE"""),"شیفتگان اباعبدالله الحسین (ع)")</f>
        <v>شیفتگان اباعبدالله الحسین (ع)</v>
      </c>
      <c r="D2617" s="5" t="str">
        <f>IFERROR(__xludf.DUMMYFUNCTION("""COMPUTED_VALUE"""),"همدان")</f>
        <v>همدان</v>
      </c>
      <c r="E2617" s="5" t="str">
        <f>IFERROR(__xludf.DUMMYFUNCTION("""COMPUTED_VALUE"""),"فامنین")</f>
        <v>فامنین</v>
      </c>
      <c r="F2617" s="5"/>
      <c r="G2617" s="5"/>
      <c r="H2617" s="6" t="str">
        <f>IFERROR(__xludf.DUMMYFUNCTION("""COMPUTED_VALUE"""),"https://www.instagram.com/shiftegan_abaabdelah/")</f>
        <v>https://www.instagram.com/shiftegan_abaabdelah/</v>
      </c>
      <c r="I2617" s="5"/>
      <c r="J2617" s="6" t="str">
        <f>IFERROR(__xludf.DUMMYFUNCTION("""COMPUTED_VALUE"""),"eitaa.com/shiftegan_abaabdelah")</f>
        <v>eitaa.com/shiftegan_abaabdelah</v>
      </c>
      <c r="K2617" s="5"/>
      <c r="L2617" s="5"/>
      <c r="M2617" s="5"/>
      <c r="N2617" s="5"/>
      <c r="O2617" s="5"/>
      <c r="P2617" s="5"/>
      <c r="Q2617" s="5"/>
      <c r="R2617" s="5"/>
      <c r="S2617" s="5"/>
    </row>
    <row r="2618">
      <c r="A2618" s="5">
        <f>IFERROR(__xludf.DUMMYFUNCTION("""COMPUTED_VALUE"""),19695.0)</f>
        <v>19695</v>
      </c>
      <c r="B2618" s="5" t="str">
        <f>IFERROR(__xludf.DUMMYFUNCTION("""COMPUTED_VALUE"""),"هیأت")</f>
        <v>هیأت</v>
      </c>
      <c r="C2618" s="5" t="str">
        <f>IFERROR(__xludf.DUMMYFUNCTION("""COMPUTED_VALUE"""),"محبین امام حسین(ع)")</f>
        <v>محبین امام حسین(ع)</v>
      </c>
      <c r="D2618" s="5" t="str">
        <f>IFERROR(__xludf.DUMMYFUNCTION("""COMPUTED_VALUE"""),"همدان")</f>
        <v>همدان</v>
      </c>
      <c r="E2618" s="5" t="str">
        <f>IFERROR(__xludf.DUMMYFUNCTION("""COMPUTED_VALUE"""),"اسدآباد")</f>
        <v>اسدآباد</v>
      </c>
      <c r="F2618" s="5"/>
      <c r="G2618" s="5"/>
      <c r="H2618" s="6" t="str">
        <f>IFERROR(__xludf.DUMMYFUNCTION("""COMPUTED_VALUE"""),"https://www.instagram.com/Heyattmohebbin/")</f>
        <v>https://www.instagram.com/Heyattmohebbin/</v>
      </c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</row>
    <row r="2619">
      <c r="A2619" s="5">
        <f>IFERROR(__xludf.DUMMYFUNCTION("""COMPUTED_VALUE"""),19701.0)</f>
        <v>19701</v>
      </c>
      <c r="B2619" s="5" t="str">
        <f>IFERROR(__xludf.DUMMYFUNCTION("""COMPUTED_VALUE"""),"هیأت")</f>
        <v>هیأت</v>
      </c>
      <c r="C2619" s="5" t="str">
        <f>IFERROR(__xludf.DUMMYFUNCTION("""COMPUTED_VALUE"""),"چهارده معصوم(ع)")</f>
        <v>چهارده معصوم(ع)</v>
      </c>
      <c r="D2619" s="5" t="str">
        <f>IFERROR(__xludf.DUMMYFUNCTION("""COMPUTED_VALUE"""),"همدان")</f>
        <v>همدان</v>
      </c>
      <c r="E2619" s="5" t="str">
        <f>IFERROR(__xludf.DUMMYFUNCTION("""COMPUTED_VALUE"""),"اسدآباد")</f>
        <v>اسدآباد</v>
      </c>
      <c r="F2619" s="5"/>
      <c r="G2619" s="5"/>
      <c r="H2619" s="5"/>
      <c r="I2619" s="6" t="str">
        <f>IFERROR(__xludf.DUMMYFUNCTION("""COMPUTED_VALUE"""),"https://t.me/hayatemohebin")</f>
        <v>https://t.me/hayatemohebin</v>
      </c>
      <c r="J2619" s="5"/>
      <c r="K2619" s="5"/>
      <c r="L2619" s="5"/>
      <c r="M2619" s="5"/>
      <c r="N2619" s="5"/>
      <c r="O2619" s="5"/>
      <c r="P2619" s="5"/>
      <c r="Q2619" s="5"/>
      <c r="R2619" s="5"/>
      <c r="S2619" s="5"/>
    </row>
    <row r="2620">
      <c r="A2620" s="5">
        <f>IFERROR(__xludf.DUMMYFUNCTION("""COMPUTED_VALUE"""),19739.0)</f>
        <v>19739</v>
      </c>
      <c r="B2620" s="5" t="str">
        <f>IFERROR(__xludf.DUMMYFUNCTION("""COMPUTED_VALUE"""),"هیأت")</f>
        <v>هیأت</v>
      </c>
      <c r="C2620" s="5" t="str">
        <f>IFERROR(__xludf.DUMMYFUNCTION("""COMPUTED_VALUE"""),"خادمین الشهدا")</f>
        <v>خادمین الشهدا</v>
      </c>
      <c r="D2620" s="5" t="str">
        <f>IFERROR(__xludf.DUMMYFUNCTION("""COMPUTED_VALUE"""),"همدان")</f>
        <v>همدان</v>
      </c>
      <c r="E2620" s="5" t="str">
        <f>IFERROR(__xludf.DUMMYFUNCTION("""COMPUTED_VALUE"""),"ملایر")</f>
        <v>ملایر</v>
      </c>
      <c r="F2620" s="5"/>
      <c r="G2620" s="5"/>
      <c r="H2620" s="6" t="str">
        <f>IFERROR(__xludf.DUMMYFUNCTION("""COMPUTED_VALUE"""),"https://www.instagram.com/khademoshohada_mly/")</f>
        <v>https://www.instagram.com/khademoshohada_mly/</v>
      </c>
      <c r="I2620" s="5"/>
      <c r="J2620" s="6" t="str">
        <f>IFERROR(__xludf.DUMMYFUNCTION("""COMPUTED_VALUE"""),"eitaa.com/khademoshohada_mly")</f>
        <v>eitaa.com/khademoshohada_mly</v>
      </c>
      <c r="K2620" s="5"/>
      <c r="L2620" s="5"/>
      <c r="M2620" s="5"/>
      <c r="N2620" s="5"/>
      <c r="O2620" s="5"/>
      <c r="P2620" s="5"/>
      <c r="Q2620" s="5"/>
      <c r="R2620" s="5"/>
      <c r="S2620" s="5"/>
    </row>
    <row r="2621">
      <c r="A2621" s="5">
        <f>IFERROR(__xludf.DUMMYFUNCTION("""COMPUTED_VALUE"""),19747.0)</f>
        <v>19747</v>
      </c>
      <c r="B2621" s="5" t="str">
        <f>IFERROR(__xludf.DUMMYFUNCTION("""COMPUTED_VALUE"""),"هیأت")</f>
        <v>هیأت</v>
      </c>
      <c r="C2621" s="5" t="str">
        <f>IFERROR(__xludf.DUMMYFUNCTION("""COMPUTED_VALUE"""),"شهدای گمنام")</f>
        <v>شهدای گمنام</v>
      </c>
      <c r="D2621" s="5" t="str">
        <f>IFERROR(__xludf.DUMMYFUNCTION("""COMPUTED_VALUE"""),"همدان")</f>
        <v>همدان</v>
      </c>
      <c r="E2621" s="5" t="str">
        <f>IFERROR(__xludf.DUMMYFUNCTION("""COMPUTED_VALUE"""),"نهاوند")</f>
        <v>نهاوند</v>
      </c>
      <c r="F2621" s="5"/>
      <c r="G2621" s="5"/>
      <c r="H2621" s="6" t="str">
        <f>IFERROR(__xludf.DUMMYFUNCTION("""COMPUTED_VALUE"""),"https://www.instagram.com/shohadayegomnam_nahavand")</f>
        <v>https://www.instagram.com/shohadayegomnam_nahavand</v>
      </c>
      <c r="I2621" s="5"/>
      <c r="J2621" s="6" t="str">
        <f>IFERROR(__xludf.DUMMYFUNCTION("""COMPUTED_VALUE"""),"eitaa.com/shohadayegomnam_nahavand")</f>
        <v>eitaa.com/shohadayegomnam_nahavand</v>
      </c>
      <c r="K2621" s="5"/>
      <c r="L2621" s="5"/>
      <c r="M2621" s="5"/>
      <c r="N2621" s="5"/>
      <c r="O2621" s="5"/>
      <c r="P2621" s="5"/>
      <c r="Q2621" s="5"/>
      <c r="R2621" s="5"/>
      <c r="S2621" s="5"/>
    </row>
    <row r="2622">
      <c r="A2622" s="5">
        <f>IFERROR(__xludf.DUMMYFUNCTION("""COMPUTED_VALUE"""),19748.0)</f>
        <v>19748</v>
      </c>
      <c r="B2622" s="5" t="str">
        <f>IFERROR(__xludf.DUMMYFUNCTION("""COMPUTED_VALUE"""),"هیأت")</f>
        <v>هیأت</v>
      </c>
      <c r="C2622" s="5" t="str">
        <f>IFERROR(__xludf.DUMMYFUNCTION("""COMPUTED_VALUE"""),"حیدریون")</f>
        <v>حیدریون</v>
      </c>
      <c r="D2622" s="5" t="str">
        <f>IFERROR(__xludf.DUMMYFUNCTION("""COMPUTED_VALUE"""),"همدان")</f>
        <v>همدان</v>
      </c>
      <c r="E2622" s="5" t="str">
        <f>IFERROR(__xludf.DUMMYFUNCTION("""COMPUTED_VALUE"""),"همدان")</f>
        <v>همدان</v>
      </c>
      <c r="F2622" s="5"/>
      <c r="G2622" s="5"/>
      <c r="H2622" s="5"/>
      <c r="I2622" s="5"/>
      <c r="J2622" s="6" t="str">
        <f>IFERROR(__xludf.DUMMYFUNCTION("""COMPUTED_VALUE"""),"eitaa.com/heydarion_hmd")</f>
        <v>eitaa.com/heydarion_hmd</v>
      </c>
      <c r="K2622" s="5"/>
      <c r="L2622" s="5"/>
      <c r="M2622" s="5"/>
      <c r="N2622" s="5"/>
      <c r="O2622" s="5"/>
      <c r="P2622" s="5"/>
      <c r="Q2622" s="5"/>
      <c r="R2622" s="5"/>
      <c r="S2622" s="5"/>
    </row>
    <row r="2623">
      <c r="A2623" s="5">
        <f>IFERROR(__xludf.DUMMYFUNCTION("""COMPUTED_VALUE"""),19749.0)</f>
        <v>19749</v>
      </c>
      <c r="B2623" s="5" t="str">
        <f>IFERROR(__xludf.DUMMYFUNCTION("""COMPUTED_VALUE"""),"هیأت")</f>
        <v>هیأت</v>
      </c>
      <c r="C2623" s="5" t="str">
        <f>IFERROR(__xludf.DUMMYFUNCTION("""COMPUTED_VALUE"""),"جوانان حضرت رقیه(س)")</f>
        <v>جوانان حضرت رقیه(س)</v>
      </c>
      <c r="D2623" s="5" t="str">
        <f>IFERROR(__xludf.DUMMYFUNCTION("""COMPUTED_VALUE"""),"همدان")</f>
        <v>همدان</v>
      </c>
      <c r="E2623" s="5" t="str">
        <f>IFERROR(__xludf.DUMMYFUNCTION("""COMPUTED_VALUE"""),"همدان")</f>
        <v>همدان</v>
      </c>
      <c r="F2623" s="5"/>
      <c r="G2623" s="5"/>
      <c r="H2623" s="6" t="str">
        <f>IFERROR(__xludf.DUMMYFUNCTION("""COMPUTED_VALUE"""),"https://www.instagram.com/khatoon_heyat/")</f>
        <v>https://www.instagram.com/khatoon_heyat/</v>
      </c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</row>
    <row r="2624">
      <c r="A2624" s="5">
        <f>IFERROR(__xludf.DUMMYFUNCTION("""COMPUTED_VALUE"""),19992.0)</f>
        <v>19992</v>
      </c>
      <c r="B2624" s="5" t="str">
        <f>IFERROR(__xludf.DUMMYFUNCTION("""COMPUTED_VALUE"""),"هیأت")</f>
        <v>هیأت</v>
      </c>
      <c r="C2624" s="5" t="str">
        <f>IFERROR(__xludf.DUMMYFUNCTION("""COMPUTED_VALUE"""),"فاطمیون (خواهران)")</f>
        <v>فاطمیون (خواهران)</v>
      </c>
      <c r="D2624" s="5" t="str">
        <f>IFERROR(__xludf.DUMMYFUNCTION("""COMPUTED_VALUE"""),"همدان")</f>
        <v>همدان</v>
      </c>
      <c r="E2624" s="5" t="str">
        <f>IFERROR(__xludf.DUMMYFUNCTION("""COMPUTED_VALUE"""),"همدان")</f>
        <v>همدان</v>
      </c>
      <c r="F2624" s="5"/>
      <c r="G2624" s="5"/>
      <c r="H2624" s="5"/>
      <c r="I2624" s="5"/>
      <c r="J2624" s="6" t="str">
        <f>IFERROR(__xludf.DUMMYFUNCTION("""COMPUTED_VALUE"""),"https://eitaa.com/fatemiyon_khaharan")</f>
        <v>https://eitaa.com/fatemiyon_khaharan</v>
      </c>
      <c r="K2624" s="5"/>
      <c r="L2624" s="5"/>
      <c r="M2624" s="5"/>
      <c r="N2624" s="5"/>
      <c r="O2624" s="5"/>
      <c r="P2624" s="5"/>
      <c r="Q2624" s="5"/>
      <c r="R2624" s="5"/>
      <c r="S2624" s="5"/>
    </row>
    <row r="2625">
      <c r="A2625" s="5">
        <f>IFERROR(__xludf.DUMMYFUNCTION("""COMPUTED_VALUE"""),20005.0)</f>
        <v>20005</v>
      </c>
      <c r="B2625" s="5" t="str">
        <f>IFERROR(__xludf.DUMMYFUNCTION("""COMPUTED_VALUE"""),"هیأت")</f>
        <v>هیأت</v>
      </c>
      <c r="C2625" s="5" t="str">
        <f>IFERROR(__xludf.DUMMYFUNCTION("""COMPUTED_VALUE"""),"انصارالمهدی(عج)")</f>
        <v>انصارالمهدی(عج)</v>
      </c>
      <c r="D2625" s="5" t="str">
        <f>IFERROR(__xludf.DUMMYFUNCTION("""COMPUTED_VALUE"""),"همدان")</f>
        <v>همدان</v>
      </c>
      <c r="E2625" s="5" t="str">
        <f>IFERROR(__xludf.DUMMYFUNCTION("""COMPUTED_VALUE"""),"ملایر")</f>
        <v>ملایر</v>
      </c>
      <c r="F2625" s="5"/>
      <c r="G2625" s="5"/>
      <c r="H2625" s="5"/>
      <c r="I2625" s="5"/>
      <c r="J2625" s="6" t="str">
        <f>IFERROR(__xludf.DUMMYFUNCTION("""COMPUTED_VALUE"""),"https://sapp.ir/ansarolmahdi_tochghaz2")</f>
        <v>https://sapp.ir/ansarolmahdi_tochghaz2</v>
      </c>
      <c r="K2625" s="5"/>
      <c r="L2625" s="5"/>
      <c r="M2625" s="5"/>
      <c r="N2625" s="5"/>
      <c r="O2625" s="5"/>
      <c r="P2625" s="5"/>
      <c r="Q2625" s="5"/>
      <c r="R2625" s="5"/>
      <c r="S2625" s="5"/>
    </row>
    <row r="2626">
      <c r="A2626" s="5">
        <f>IFERROR(__xludf.DUMMYFUNCTION("""COMPUTED_VALUE"""),20007.0)</f>
        <v>20007</v>
      </c>
      <c r="B2626" s="5" t="str">
        <f>IFERROR(__xludf.DUMMYFUNCTION("""COMPUTED_VALUE"""),"هیأت")</f>
        <v>هیأت</v>
      </c>
      <c r="C2626" s="5" t="str">
        <f>IFERROR(__xludf.DUMMYFUNCTION("""COMPUTED_VALUE"""),"سیده زینب (س)")</f>
        <v>سیده زینب (س)</v>
      </c>
      <c r="D2626" s="5" t="str">
        <f>IFERROR(__xludf.DUMMYFUNCTION("""COMPUTED_VALUE"""),"همدان")</f>
        <v>همدان</v>
      </c>
      <c r="E2626" s="5" t="str">
        <f>IFERROR(__xludf.DUMMYFUNCTION("""COMPUTED_VALUE"""),"همدان")</f>
        <v>همدان</v>
      </c>
      <c r="F2626" s="5"/>
      <c r="G2626" s="5"/>
      <c r="H2626" s="5"/>
      <c r="I2626" s="5"/>
      <c r="J2626" s="6" t="str">
        <f>IFERROR(__xludf.DUMMYFUNCTION("""COMPUTED_VALUE"""),"https://eitaa.com/HeyateSeyyedeZeynab")</f>
        <v>https://eitaa.com/HeyateSeyyedeZeynab</v>
      </c>
      <c r="K2626" s="5"/>
      <c r="L2626" s="5"/>
      <c r="M2626" s="5"/>
      <c r="N2626" s="5"/>
      <c r="O2626" s="5"/>
      <c r="P2626" s="5"/>
      <c r="Q2626" s="5"/>
      <c r="R2626" s="5"/>
      <c r="S2626" s="5"/>
    </row>
    <row r="2627">
      <c r="A2627" s="5">
        <f>IFERROR(__xludf.DUMMYFUNCTION("""COMPUTED_VALUE"""),20400.0)</f>
        <v>20400</v>
      </c>
      <c r="B2627" s="5" t="str">
        <f>IFERROR(__xludf.DUMMYFUNCTION("""COMPUTED_VALUE"""),"هیأت")</f>
        <v>هیأت</v>
      </c>
      <c r="C2627" s="5" t="str">
        <f>IFERROR(__xludf.DUMMYFUNCTION("""COMPUTED_VALUE"""),"شیفتگان حضرت رقیه")</f>
        <v>شیفتگان حضرت رقیه</v>
      </c>
      <c r="D2627" s="5" t="str">
        <f>IFERROR(__xludf.DUMMYFUNCTION("""COMPUTED_VALUE"""),"همدان")</f>
        <v>همدان</v>
      </c>
      <c r="E2627" s="5" t="str">
        <f>IFERROR(__xludf.DUMMYFUNCTION("""COMPUTED_VALUE"""),"همدان")</f>
        <v>همدان</v>
      </c>
      <c r="F2627" s="5"/>
      <c r="G2627" s="5"/>
      <c r="H2627" s="6" t="str">
        <f>IFERROR(__xludf.DUMMYFUNCTION("""COMPUTED_VALUE"""),"https://www.instagram.com/shifteganeh_roghayyeh/")</f>
        <v>https://www.instagram.com/shifteganeh_roghayyeh/</v>
      </c>
      <c r="I2627" s="6" t="str">
        <f>IFERROR(__xludf.DUMMYFUNCTION("""COMPUTED_VALUE"""),"https://t.me/shifteganeroghayeh")</f>
        <v>https://t.me/shifteganeroghayeh</v>
      </c>
      <c r="J2627" s="6" t="str">
        <f>IFERROR(__xludf.DUMMYFUNCTION("""COMPUTED_VALUE"""),"https://eitaa.com/shifteganeroghayeh")</f>
        <v>https://eitaa.com/shifteganeroghayeh</v>
      </c>
      <c r="K2627" s="5"/>
      <c r="L2627" s="5"/>
      <c r="M2627" s="5"/>
      <c r="N2627" s="5"/>
      <c r="O2627" s="5"/>
      <c r="P2627" s="5"/>
      <c r="Q2627" s="5"/>
      <c r="R2627" s="5"/>
      <c r="S2627" s="5"/>
    </row>
    <row r="2628">
      <c r="A2628" s="5">
        <f>IFERROR(__xludf.DUMMYFUNCTION("""COMPUTED_VALUE"""),20736.0)</f>
        <v>20736</v>
      </c>
      <c r="B2628" s="5" t="str">
        <f>IFERROR(__xludf.DUMMYFUNCTION("""COMPUTED_VALUE"""),"هیأت")</f>
        <v>هیأت</v>
      </c>
      <c r="C2628" s="5" t="str">
        <f>IFERROR(__xludf.DUMMYFUNCTION("""COMPUTED_VALUE"""),"صاحب الزمان (عج)")</f>
        <v>صاحب الزمان (عج)</v>
      </c>
      <c r="D2628" s="5" t="str">
        <f>IFERROR(__xludf.DUMMYFUNCTION("""COMPUTED_VALUE"""),"همدان")</f>
        <v>همدان</v>
      </c>
      <c r="E2628" s="5" t="str">
        <f>IFERROR(__xludf.DUMMYFUNCTION("""COMPUTED_VALUE"""),"نهاوند")</f>
        <v>نهاوند</v>
      </c>
      <c r="F2628" s="5"/>
      <c r="G2628" s="5"/>
      <c r="H2628" s="6" t="str">
        <f>IFERROR(__xludf.DUMMYFUNCTION("""COMPUTED_VALUE"""),"https://www.instagram.com/heyat_sahebalzaman_nhv/")</f>
        <v>https://www.instagram.com/heyat_sahebalzaman_nhv/</v>
      </c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</row>
    <row r="2629">
      <c r="A2629" s="5">
        <f>IFERROR(__xludf.DUMMYFUNCTION("""COMPUTED_VALUE"""),20893.0)</f>
        <v>20893</v>
      </c>
      <c r="B2629" s="5" t="str">
        <f>IFERROR(__xludf.DUMMYFUNCTION("""COMPUTED_VALUE"""),"هیأت")</f>
        <v>هیأت</v>
      </c>
      <c r="C2629" s="5" t="str">
        <f>IFERROR(__xludf.DUMMYFUNCTION("""COMPUTED_VALUE"""),"محبان حرم")</f>
        <v>محبان حرم</v>
      </c>
      <c r="D2629" s="5" t="str">
        <f>IFERROR(__xludf.DUMMYFUNCTION("""COMPUTED_VALUE"""),"همدان")</f>
        <v>همدان</v>
      </c>
      <c r="E2629" s="5" t="str">
        <f>IFERROR(__xludf.DUMMYFUNCTION("""COMPUTED_VALUE"""),"همدان")</f>
        <v>همدان</v>
      </c>
      <c r="F2629" s="5"/>
      <c r="G2629" s="5"/>
      <c r="H2629" s="6" t="str">
        <f>IFERROR(__xludf.DUMMYFUNCTION("""COMPUTED_VALUE"""),"https://www.instagram.com/mohebanharam/")</f>
        <v>https://www.instagram.com/mohebanharam/</v>
      </c>
      <c r="I2629" s="5"/>
      <c r="J2629" s="6" t="str">
        <f>IFERROR(__xludf.DUMMYFUNCTION("""COMPUTED_VALUE"""),"https://eitaa.com/mohebaneharam")</f>
        <v>https://eitaa.com/mohebaneharam</v>
      </c>
      <c r="K2629" s="5"/>
      <c r="L2629" s="5"/>
      <c r="M2629" s="5"/>
      <c r="N2629" s="5"/>
      <c r="O2629" s="5"/>
      <c r="P2629" s="5"/>
      <c r="Q2629" s="5"/>
      <c r="R2629" s="5"/>
      <c r="S2629" s="5"/>
    </row>
    <row r="2630">
      <c r="A2630" s="5">
        <f>IFERROR(__xludf.DUMMYFUNCTION("""COMPUTED_VALUE"""),20898.0)</f>
        <v>20898</v>
      </c>
      <c r="B2630" s="5" t="str">
        <f>IFERROR(__xludf.DUMMYFUNCTION("""COMPUTED_VALUE"""),"هیأت")</f>
        <v>هیأت</v>
      </c>
      <c r="C2630" s="5" t="str">
        <f>IFERROR(__xludf.DUMMYFUNCTION("""COMPUTED_VALUE"""),"علمدار")</f>
        <v>علمدار</v>
      </c>
      <c r="D2630" s="5" t="str">
        <f>IFERROR(__xludf.DUMMYFUNCTION("""COMPUTED_VALUE"""),"همدان")</f>
        <v>همدان</v>
      </c>
      <c r="E2630" s="5" t="str">
        <f>IFERROR(__xludf.DUMMYFUNCTION("""COMPUTED_VALUE"""),"همدان")</f>
        <v>همدان</v>
      </c>
      <c r="F2630" s="5"/>
      <c r="G2630" s="5"/>
      <c r="H2630" s="6" t="str">
        <f>IFERROR(__xludf.DUMMYFUNCTION("""COMPUTED_VALUE"""),"https://www.instagram.com/alamdar110ir")</f>
        <v>https://www.instagram.com/alamdar110ir</v>
      </c>
      <c r="I2630" s="6" t="str">
        <f>IFERROR(__xludf.DUMMYFUNCTION("""COMPUTED_VALUE"""),"https://t.me/alamdar110ir")</f>
        <v>https://t.me/alamdar110ir</v>
      </c>
      <c r="J2630" s="6" t="str">
        <f>IFERROR(__xludf.DUMMYFUNCTION("""COMPUTED_VALUE"""),"https://eitaa.com/alamdar110ir")</f>
        <v>https://eitaa.com/alamdar110ir</v>
      </c>
      <c r="K2630" s="5"/>
      <c r="L2630" s="5"/>
      <c r="M2630" s="5"/>
      <c r="N2630" s="5"/>
      <c r="O2630" s="5"/>
      <c r="P2630" s="5"/>
      <c r="Q2630" s="5"/>
      <c r="R2630" s="5"/>
      <c r="S2630" s="5"/>
    </row>
    <row r="2631">
      <c r="A2631" s="5">
        <f>IFERROR(__xludf.DUMMYFUNCTION("""COMPUTED_VALUE"""),21452.0)</f>
        <v>21452</v>
      </c>
      <c r="B2631" s="5" t="str">
        <f>IFERROR(__xludf.DUMMYFUNCTION("""COMPUTED_VALUE"""),"هیأت")</f>
        <v>هیأت</v>
      </c>
      <c r="C2631" s="5" t="str">
        <f>IFERROR(__xludf.DUMMYFUNCTION("""COMPUTED_VALUE"""),"روضه الحسین (ع)")</f>
        <v>روضه الحسین (ع)</v>
      </c>
      <c r="D2631" s="5" t="str">
        <f>IFERROR(__xludf.DUMMYFUNCTION("""COMPUTED_VALUE"""),"همدان")</f>
        <v>همدان</v>
      </c>
      <c r="E2631" s="5" t="str">
        <f>IFERROR(__xludf.DUMMYFUNCTION("""COMPUTED_VALUE"""),"همدان")</f>
        <v>همدان</v>
      </c>
      <c r="F2631" s="5"/>
      <c r="G2631" s="5"/>
      <c r="H2631" s="6" t="str">
        <f>IFERROR(__xludf.DUMMYFUNCTION("""COMPUTED_VALUE"""),"https://www.instagram.com/rozatolhosein_ir")</f>
        <v>https://www.instagram.com/rozatolhosein_ir</v>
      </c>
      <c r="I2631" s="5"/>
      <c r="J2631" s="6" t="str">
        <f>IFERROR(__xludf.DUMMYFUNCTION("""COMPUTED_VALUE"""),"https://eitaa.com/heyat_rozatol_hosein")</f>
        <v>https://eitaa.com/heyat_rozatol_hosein</v>
      </c>
      <c r="K2631" s="5"/>
      <c r="L2631" s="5"/>
      <c r="M2631" s="5"/>
      <c r="N2631" s="5"/>
      <c r="O2631" s="5"/>
      <c r="P2631" s="5"/>
      <c r="Q2631" s="5"/>
      <c r="R2631" s="5"/>
      <c r="S2631" s="5"/>
    </row>
    <row r="2632">
      <c r="A2632" s="5">
        <f>IFERROR(__xludf.DUMMYFUNCTION("""COMPUTED_VALUE"""),21453.0)</f>
        <v>21453</v>
      </c>
      <c r="B2632" s="5" t="str">
        <f>IFERROR(__xludf.DUMMYFUNCTION("""COMPUTED_VALUE"""),"هیأت")</f>
        <v>هیأت</v>
      </c>
      <c r="C2632" s="5" t="str">
        <f>IFERROR(__xludf.DUMMYFUNCTION("""COMPUTED_VALUE"""),"حسین جان (ع)")</f>
        <v>حسین جان (ع)</v>
      </c>
      <c r="D2632" s="5" t="str">
        <f>IFERROR(__xludf.DUMMYFUNCTION("""COMPUTED_VALUE"""),"همدان")</f>
        <v>همدان</v>
      </c>
      <c r="E2632" s="5" t="str">
        <f>IFERROR(__xludf.DUMMYFUNCTION("""COMPUTED_VALUE"""),"همدان")</f>
        <v>همدان</v>
      </c>
      <c r="F2632" s="5"/>
      <c r="G2632" s="5"/>
      <c r="H2632" s="6" t="str">
        <f>IFERROR(__xludf.DUMMYFUNCTION("""COMPUTED_VALUE"""),"https://www.instagram.com/heyat_hossin_jan_hamedan/")</f>
        <v>https://www.instagram.com/heyat_hossin_jan_hamedan/</v>
      </c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</row>
    <row r="2633">
      <c r="A2633" s="5">
        <f>IFERROR(__xludf.DUMMYFUNCTION("""COMPUTED_VALUE"""),22177.0)</f>
        <v>22177</v>
      </c>
      <c r="B2633" s="5" t="str">
        <f>IFERROR(__xludf.DUMMYFUNCTION("""COMPUTED_VALUE"""),"هیأت")</f>
        <v>هیأت</v>
      </c>
      <c r="C2633" s="5" t="str">
        <f>IFERROR(__xludf.DUMMYFUNCTION("""COMPUTED_VALUE"""),"پیروان عترت(مادرانه)")</f>
        <v>پیروان عترت(مادرانه)</v>
      </c>
      <c r="D2633" s="5" t="str">
        <f>IFERROR(__xludf.DUMMYFUNCTION("""COMPUTED_VALUE"""),"همدان")</f>
        <v>همدان</v>
      </c>
      <c r="E2633" s="5" t="str">
        <f>IFERROR(__xludf.DUMMYFUNCTION("""COMPUTED_VALUE"""),"همدان")</f>
        <v>همدان</v>
      </c>
      <c r="F2633" s="5"/>
      <c r="G2633" s="5"/>
      <c r="H2633" s="5"/>
      <c r="I2633" s="5"/>
      <c r="J2633" s="6" t="str">
        <f>IFERROR(__xludf.DUMMYFUNCTION("""COMPUTED_VALUE"""),"https://eitaa.com/hamedanpeyrovan")</f>
        <v>https://eitaa.com/hamedanpeyrovan</v>
      </c>
      <c r="K2633" s="5"/>
      <c r="L2633" s="5"/>
      <c r="M2633" s="5"/>
      <c r="N2633" s="5"/>
      <c r="O2633" s="5"/>
      <c r="P2633" s="5"/>
      <c r="Q2633" s="5"/>
      <c r="R2633" s="5"/>
      <c r="S2633" s="5"/>
    </row>
    <row r="2634">
      <c r="A2634" s="5">
        <f>IFERROR(__xludf.DUMMYFUNCTION("""COMPUTED_VALUE"""),22573.0)</f>
        <v>22573</v>
      </c>
      <c r="B2634" s="5" t="str">
        <f>IFERROR(__xludf.DUMMYFUNCTION("""COMPUTED_VALUE"""),"هیأت")</f>
        <v>هیأت</v>
      </c>
      <c r="C2634" s="5" t="str">
        <f>IFERROR(__xludf.DUMMYFUNCTION("""COMPUTED_VALUE"""),"آیت الله بهاری")</f>
        <v>آیت الله بهاری</v>
      </c>
      <c r="D2634" s="5" t="str">
        <f>IFERROR(__xludf.DUMMYFUNCTION("""COMPUTED_VALUE"""),"همدان")</f>
        <v>همدان</v>
      </c>
      <c r="E2634" s="5" t="str">
        <f>IFERROR(__xludf.DUMMYFUNCTION("""COMPUTED_VALUE"""),"بهار")</f>
        <v>بهار</v>
      </c>
      <c r="F2634" s="5"/>
      <c r="G2634" s="5"/>
      <c r="H2634" s="6" t="str">
        <f>IFERROR(__xludf.DUMMYFUNCTION("""COMPUTED_VALUE"""),"https://www.instagram.com/heyat_ayatollah_bahari/")</f>
        <v>https://www.instagram.com/heyat_ayatollah_bahari/</v>
      </c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</row>
    <row r="2635">
      <c r="A2635" s="5">
        <f>IFERROR(__xludf.DUMMYFUNCTION("""COMPUTED_VALUE"""),22588.0)</f>
        <v>22588</v>
      </c>
      <c r="B2635" s="5" t="str">
        <f>IFERROR(__xludf.DUMMYFUNCTION("""COMPUTED_VALUE"""),"هیأت")</f>
        <v>هیأت</v>
      </c>
      <c r="C2635" s="5" t="str">
        <f>IFERROR(__xludf.DUMMYFUNCTION("""COMPUTED_VALUE"""),"مکتب الشهدا")</f>
        <v>مکتب الشهدا</v>
      </c>
      <c r="D2635" s="5" t="str">
        <f>IFERROR(__xludf.DUMMYFUNCTION("""COMPUTED_VALUE"""),"همدان")</f>
        <v>همدان</v>
      </c>
      <c r="E2635" s="5" t="str">
        <f>IFERROR(__xludf.DUMMYFUNCTION("""COMPUTED_VALUE"""),"همدان")</f>
        <v>همدان</v>
      </c>
      <c r="F2635" s="5"/>
      <c r="G2635" s="5"/>
      <c r="H2635" s="6" t="str">
        <f>IFERROR(__xludf.DUMMYFUNCTION("""COMPUTED_VALUE"""),"https://www.instagram.com/maktabo__shohada")</f>
        <v>https://www.instagram.com/maktabo__shohada</v>
      </c>
      <c r="I2635" s="6" t="str">
        <f>IFERROR(__xludf.DUMMYFUNCTION("""COMPUTED_VALUE"""),"https://t.me/maktaboshohada2")</f>
        <v>https://t.me/maktaboshohada2</v>
      </c>
      <c r="J2635" s="6" t="str">
        <f>IFERROR(__xludf.DUMMYFUNCTION("""COMPUTED_VALUE"""),"https://eitaa.com/heyatmaktaboshohada")</f>
        <v>https://eitaa.com/heyatmaktaboshohada</v>
      </c>
      <c r="K2635" s="5"/>
      <c r="L2635" s="5"/>
      <c r="M2635" s="5"/>
      <c r="N2635" s="5"/>
      <c r="O2635" s="5"/>
      <c r="P2635" s="5"/>
      <c r="Q2635" s="5"/>
      <c r="R2635" s="5"/>
      <c r="S2635" s="5"/>
    </row>
    <row r="2636">
      <c r="A2636" s="5">
        <f>IFERROR(__xludf.DUMMYFUNCTION("""COMPUTED_VALUE"""),22590.0)</f>
        <v>22590</v>
      </c>
      <c r="B2636" s="5" t="str">
        <f>IFERROR(__xludf.DUMMYFUNCTION("""COMPUTED_VALUE"""),"هیأت")</f>
        <v>هیأت</v>
      </c>
      <c r="C2636" s="5" t="str">
        <f>IFERROR(__xludf.DUMMYFUNCTION("""COMPUTED_VALUE"""),"عاشقان حضرت ابولفضل")</f>
        <v>عاشقان حضرت ابولفضل</v>
      </c>
      <c r="D2636" s="5" t="str">
        <f>IFERROR(__xludf.DUMMYFUNCTION("""COMPUTED_VALUE"""),"همدان")</f>
        <v>همدان</v>
      </c>
      <c r="E2636" s="5" t="str">
        <f>IFERROR(__xludf.DUMMYFUNCTION("""COMPUTED_VALUE"""),"همدان")</f>
        <v>همدان</v>
      </c>
      <c r="F2636" s="5"/>
      <c r="G2636" s="5"/>
      <c r="H2636" s="6" t="str">
        <f>IFERROR(__xludf.DUMMYFUNCTION("""COMPUTED_VALUE"""),"https://www.instagram.com/abolfazliya133")</f>
        <v>https://www.instagram.com/abolfazliya133</v>
      </c>
      <c r="I2636" s="5"/>
      <c r="J2636" s="6" t="str">
        <f>IFERROR(__xludf.DUMMYFUNCTION("""COMPUTED_VALUE"""),"https://eitaa.com/abolfazliya133")</f>
        <v>https://eitaa.com/abolfazliya133</v>
      </c>
      <c r="K2636" s="5"/>
      <c r="L2636" s="5"/>
      <c r="M2636" s="5"/>
      <c r="N2636" s="5"/>
      <c r="O2636" s="5"/>
      <c r="P2636" s="5"/>
      <c r="Q2636" s="5"/>
      <c r="R2636" s="5"/>
      <c r="S2636" s="5"/>
    </row>
    <row r="2637">
      <c r="A2637" s="5">
        <f>IFERROR(__xludf.DUMMYFUNCTION("""COMPUTED_VALUE"""),22595.0)</f>
        <v>22595</v>
      </c>
      <c r="B2637" s="5" t="str">
        <f>IFERROR(__xludf.DUMMYFUNCTION("""COMPUTED_VALUE"""),"هیأت دانشجویی")</f>
        <v>هیأت دانشجویی</v>
      </c>
      <c r="C2637" s="5" t="str">
        <f>IFERROR(__xludf.DUMMYFUNCTION("""COMPUTED_VALUE"""),"کریمه اهل بیت س")</f>
        <v>کریمه اهل بیت س</v>
      </c>
      <c r="D2637" s="5" t="str">
        <f>IFERROR(__xludf.DUMMYFUNCTION("""COMPUTED_VALUE"""),"همدان")</f>
        <v>همدان</v>
      </c>
      <c r="E2637" s="5" t="str">
        <f>IFERROR(__xludf.DUMMYFUNCTION("""COMPUTED_VALUE"""),"همدان")</f>
        <v>همدان</v>
      </c>
      <c r="F2637" s="5"/>
      <c r="G2637" s="5"/>
      <c r="H2637" s="6" t="str">
        <f>IFERROR(__xludf.DUMMYFUNCTION("""COMPUTED_VALUE"""),"https://www.instagram.com/heyat.karimeh")</f>
        <v>https://www.instagram.com/heyat.karimeh</v>
      </c>
      <c r="I2637" s="5"/>
      <c r="J2637" s="6" t="str">
        <f>IFERROR(__xludf.DUMMYFUNCTION("""COMPUTED_VALUE"""),"https://eitaa.com/heyat_karime")</f>
        <v>https://eitaa.com/heyat_karime</v>
      </c>
      <c r="K2637" s="5"/>
      <c r="L2637" s="5"/>
      <c r="M2637" s="5"/>
      <c r="N2637" s="5"/>
      <c r="O2637" s="5"/>
      <c r="P2637" s="5"/>
      <c r="Q2637" s="5"/>
      <c r="R2637" s="5"/>
      <c r="S2637" s="5"/>
    </row>
    <row r="2638">
      <c r="A2638" s="5">
        <f>IFERROR(__xludf.DUMMYFUNCTION("""COMPUTED_VALUE"""),22598.0)</f>
        <v>22598</v>
      </c>
      <c r="B2638" s="5" t="str">
        <f>IFERROR(__xludf.DUMMYFUNCTION("""COMPUTED_VALUE"""),"هیأت دانشجویی")</f>
        <v>هیأت دانشجویی</v>
      </c>
      <c r="C2638" s="5" t="str">
        <f>IFERROR(__xludf.DUMMYFUNCTION("""COMPUTED_VALUE"""),"محبین الزهرا(س)")</f>
        <v>محبین الزهرا(س)</v>
      </c>
      <c r="D2638" s="5" t="str">
        <f>IFERROR(__xludf.DUMMYFUNCTION("""COMPUTED_VALUE"""),"همدان")</f>
        <v>همدان</v>
      </c>
      <c r="E2638" s="5" t="str">
        <f>IFERROR(__xludf.DUMMYFUNCTION("""COMPUTED_VALUE"""),"همدان")</f>
        <v>همدان</v>
      </c>
      <c r="F2638" s="5" t="str">
        <f>IFERROR(__xludf.DUMMYFUNCTION("""COMPUTED_VALUE"""),"دانشگاه آزاد همدان")</f>
        <v>دانشگاه آزاد همدان</v>
      </c>
      <c r="G2638" s="5"/>
      <c r="H2638" s="6" t="str">
        <f>IFERROR(__xludf.DUMMYFUNCTION("""COMPUTED_VALUE"""),"https://www.instagram.com/heyatiauh_mohebinfatemezahra")</f>
        <v>https://www.instagram.com/heyatiauh_mohebinfatemezahra</v>
      </c>
      <c r="I2638" s="6" t="str">
        <f>IFERROR(__xludf.DUMMYFUNCTION("""COMPUTED_VALUE"""),"https://t.me/Heyatiauh_mohebinfatemezahra")</f>
        <v>https://t.me/Heyatiauh_mohebinfatemezahra</v>
      </c>
      <c r="J2638" s="5"/>
      <c r="K2638" s="5"/>
      <c r="L2638" s="5"/>
      <c r="M2638" s="5"/>
      <c r="N2638" s="5"/>
      <c r="O2638" s="5"/>
      <c r="P2638" s="5"/>
      <c r="Q2638" s="5"/>
      <c r="R2638" s="5"/>
      <c r="S2638" s="5"/>
    </row>
    <row r="2639">
      <c r="A2639" s="5">
        <f>IFERROR(__xludf.DUMMYFUNCTION("""COMPUTED_VALUE"""),23237.0)</f>
        <v>23237</v>
      </c>
      <c r="B2639" s="5" t="str">
        <f>IFERROR(__xludf.DUMMYFUNCTION("""COMPUTED_VALUE"""),"هیأت")</f>
        <v>هیأت</v>
      </c>
      <c r="C2639" s="5" t="str">
        <f>IFERROR(__xludf.DUMMYFUNCTION("""COMPUTED_VALUE"""),"جوانان انقلابی قرارگاه راه شهیدان")</f>
        <v>جوانان انقلابی قرارگاه راه شهیدان</v>
      </c>
      <c r="D2639" s="5" t="str">
        <f>IFERROR(__xludf.DUMMYFUNCTION("""COMPUTED_VALUE"""),"همدان")</f>
        <v>همدان</v>
      </c>
      <c r="E2639" s="5" t="str">
        <f>IFERROR(__xludf.DUMMYFUNCTION("""COMPUTED_VALUE"""),"بهار")</f>
        <v>بهار</v>
      </c>
      <c r="F2639" s="5" t="str">
        <f>IFERROR(__xludf.DUMMYFUNCTION("""COMPUTED_VALUE"""),"لالجین")</f>
        <v>لالجین</v>
      </c>
      <c r="G2639" s="5"/>
      <c r="H2639" s="5"/>
      <c r="I2639" s="5"/>
      <c r="J2639" s="6" t="str">
        <f>IFERROR(__xludf.DUMMYFUNCTION("""COMPUTED_VALUE"""),"eitaa.com/shuada/")</f>
        <v>eitaa.com/shuada/</v>
      </c>
      <c r="K2639" s="5"/>
      <c r="L2639" s="5"/>
      <c r="M2639" s="5"/>
      <c r="N2639" s="5"/>
      <c r="O2639" s="5"/>
      <c r="P2639" s="5"/>
      <c r="Q2639" s="5"/>
      <c r="R2639" s="5"/>
      <c r="S2639" s="5"/>
    </row>
    <row r="2640">
      <c r="A2640" s="5">
        <f>IFERROR(__xludf.DUMMYFUNCTION("""COMPUTED_VALUE"""),23293.0)</f>
        <v>23293</v>
      </c>
      <c r="B2640" s="5" t="str">
        <f>IFERROR(__xludf.DUMMYFUNCTION("""COMPUTED_VALUE"""),"هیأت")</f>
        <v>هیأت</v>
      </c>
      <c r="C2640" s="5" t="str">
        <f>IFERROR(__xludf.DUMMYFUNCTION("""COMPUTED_VALUE"""),"زوار الزهرا(س) رهروان امام و شهدا")</f>
        <v>زوار الزهرا(س) رهروان امام و شهدا</v>
      </c>
      <c r="D2640" s="5" t="str">
        <f>IFERROR(__xludf.DUMMYFUNCTION("""COMPUTED_VALUE"""),"همدان")</f>
        <v>همدان</v>
      </c>
      <c r="E2640" s="5" t="str">
        <f>IFERROR(__xludf.DUMMYFUNCTION("""COMPUTED_VALUE"""),"کبودرآهنگ")</f>
        <v>کبودرآهنگ</v>
      </c>
      <c r="F2640" s="5"/>
      <c r="G2640" s="5"/>
      <c r="H2640" s="6" t="str">
        <f>IFERROR(__xludf.DUMMYFUNCTION("""COMPUTED_VALUE"""),"https://www.instagram.com/zovarozahra_kb.ir/")</f>
        <v>https://www.instagram.com/zovarozahra_kb.ir/</v>
      </c>
      <c r="I2640" s="5"/>
      <c r="J2640" s="6" t="str">
        <f>IFERROR(__xludf.DUMMYFUNCTION("""COMPUTED_VALUE"""),"eitaa.ir/zovarozahra_kb/")</f>
        <v>eitaa.ir/zovarozahra_kb/</v>
      </c>
      <c r="K2640" s="5"/>
      <c r="L2640" s="5"/>
      <c r="M2640" s="5"/>
      <c r="N2640" s="5"/>
      <c r="O2640" s="5"/>
      <c r="P2640" s="5"/>
      <c r="Q2640" s="5"/>
      <c r="R2640" s="5"/>
      <c r="S2640" s="5"/>
    </row>
    <row r="2641">
      <c r="A2641" s="5">
        <f>IFERROR(__xludf.DUMMYFUNCTION("""COMPUTED_VALUE"""),23297.0)</f>
        <v>23297</v>
      </c>
      <c r="B2641" s="5" t="str">
        <f>IFERROR(__xludf.DUMMYFUNCTION("""COMPUTED_VALUE"""),"هیأت")</f>
        <v>هیأت</v>
      </c>
      <c r="C2641" s="5" t="str">
        <f>IFERROR(__xludf.DUMMYFUNCTION("""COMPUTED_VALUE"""),"نوجوانان عاشقان آل طه شهرک مدنی")</f>
        <v>نوجوانان عاشقان آل طه شهرک مدنی</v>
      </c>
      <c r="D2641" s="5" t="str">
        <f>IFERROR(__xludf.DUMMYFUNCTION("""COMPUTED_VALUE"""),"همدان")</f>
        <v>همدان</v>
      </c>
      <c r="E2641" s="5" t="str">
        <f>IFERROR(__xludf.DUMMYFUNCTION("""COMPUTED_VALUE"""),"همدان")</f>
        <v>همدان</v>
      </c>
      <c r="F2641" s="5"/>
      <c r="G2641" s="5"/>
      <c r="H2641" s="6" t="str">
        <f>IFERROR(__xludf.DUMMYFUNCTION("""COMPUTED_VALUE"""),"https://www.instagram.com/heyat_aaletaha")</f>
        <v>https://www.instagram.com/heyat_aaletaha</v>
      </c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</row>
    <row r="2642">
      <c r="A2642" s="5">
        <f>IFERROR(__xludf.DUMMYFUNCTION("""COMPUTED_VALUE"""),23323.0)</f>
        <v>23323</v>
      </c>
      <c r="B2642" s="5" t="str">
        <f>IFERROR(__xludf.DUMMYFUNCTION("""COMPUTED_VALUE"""),"هیأت")</f>
        <v>هیأت</v>
      </c>
      <c r="C2642" s="5" t="str">
        <f>IFERROR(__xludf.DUMMYFUNCTION("""COMPUTED_VALUE"""),"نوجوانان حضرت زهرا (س)")</f>
        <v>نوجوانان حضرت زهرا (س)</v>
      </c>
      <c r="D2642" s="5" t="str">
        <f>IFERROR(__xludf.DUMMYFUNCTION("""COMPUTED_VALUE"""),"همدان")</f>
        <v>همدان</v>
      </c>
      <c r="E2642" s="5" t="str">
        <f>IFERROR(__xludf.DUMMYFUNCTION("""COMPUTED_VALUE"""),"همدان")</f>
        <v>همدان</v>
      </c>
      <c r="F2642" s="5"/>
      <c r="G2642" s="5"/>
      <c r="H2642" s="6" t="str">
        <f>IFERROR(__xludf.DUMMYFUNCTION("""COMPUTED_VALUE"""),"https://www.instagram.com/yazahra_92")</f>
        <v>https://www.instagram.com/yazahra_92</v>
      </c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</row>
    <row r="2643">
      <c r="A2643" s="5">
        <f>IFERROR(__xludf.DUMMYFUNCTION("""COMPUTED_VALUE"""),23327.0)</f>
        <v>23327</v>
      </c>
      <c r="B2643" s="5" t="str">
        <f>IFERROR(__xludf.DUMMYFUNCTION("""COMPUTED_VALUE"""),"هیأت")</f>
        <v>هیأت</v>
      </c>
      <c r="C2643" s="5" t="str">
        <f>IFERROR(__xludf.DUMMYFUNCTION("""COMPUTED_VALUE"""),"نوجوانان حضرت زهرا(س)")</f>
        <v>نوجوانان حضرت زهرا(س)</v>
      </c>
      <c r="D2643" s="5" t="str">
        <f>IFERROR(__xludf.DUMMYFUNCTION("""COMPUTED_VALUE"""),"همدان")</f>
        <v>همدان</v>
      </c>
      <c r="E2643" s="5" t="str">
        <f>IFERROR(__xludf.DUMMYFUNCTION("""COMPUTED_VALUE"""),"ملایر")</f>
        <v>ملایر</v>
      </c>
      <c r="F2643" s="5"/>
      <c r="G2643" s="5"/>
      <c r="H2643" s="6" t="str">
        <f>IFERROR(__xludf.DUMMYFUNCTION("""COMPUTED_VALUE"""),"https://www.instagram.com/heiat_nojavanan1398/")</f>
        <v>https://www.instagram.com/heiat_nojavanan1398/</v>
      </c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</row>
    <row r="2644">
      <c r="A2644" s="5">
        <f>IFERROR(__xludf.DUMMYFUNCTION("""COMPUTED_VALUE"""),23342.0)</f>
        <v>23342</v>
      </c>
      <c r="B2644" s="5" t="str">
        <f>IFERROR(__xludf.DUMMYFUNCTION("""COMPUTED_VALUE"""),"هیأت")</f>
        <v>هیأت</v>
      </c>
      <c r="C2644" s="5" t="str">
        <f>IFERROR(__xludf.DUMMYFUNCTION("""COMPUTED_VALUE"""),"مکتب العباس (ع)")</f>
        <v>مکتب العباس (ع)</v>
      </c>
      <c r="D2644" s="5" t="str">
        <f>IFERROR(__xludf.DUMMYFUNCTION("""COMPUTED_VALUE"""),"همدان")</f>
        <v>همدان</v>
      </c>
      <c r="E2644" s="5" t="str">
        <f>IFERROR(__xludf.DUMMYFUNCTION("""COMPUTED_VALUE"""),"همدان")</f>
        <v>همدان</v>
      </c>
      <c r="F2644" s="5"/>
      <c r="G2644" s="5"/>
      <c r="H2644" s="6" t="str">
        <f>IFERROR(__xludf.DUMMYFUNCTION("""COMPUTED_VALUE"""),"https://www.instagram.com/hytmkhtblbshmdn/")</f>
        <v>https://www.instagram.com/hytmkhtblbshmdn/</v>
      </c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</row>
    <row r="2645">
      <c r="A2645" s="5">
        <f>IFERROR(__xludf.DUMMYFUNCTION("""COMPUTED_VALUE"""),23367.0)</f>
        <v>23367</v>
      </c>
      <c r="B2645" s="5" t="str">
        <f>IFERROR(__xludf.DUMMYFUNCTION("""COMPUTED_VALUE"""),"هیأت")</f>
        <v>هیأت</v>
      </c>
      <c r="C2645" s="5" t="str">
        <f>IFERROR(__xludf.DUMMYFUNCTION("""COMPUTED_VALUE"""),"فرهنگی جهادی مصباح")</f>
        <v>فرهنگی جهادی مصباح</v>
      </c>
      <c r="D2645" s="5" t="str">
        <f>IFERROR(__xludf.DUMMYFUNCTION("""COMPUTED_VALUE"""),"همدان")</f>
        <v>همدان</v>
      </c>
      <c r="E2645" s="5" t="str">
        <f>IFERROR(__xludf.DUMMYFUNCTION("""COMPUTED_VALUE"""),"کبودرآهنگ")</f>
        <v>کبودرآهنگ</v>
      </c>
      <c r="F2645" s="5"/>
      <c r="G2645" s="5"/>
      <c r="H2645" s="6" t="str">
        <f>IFERROR(__xludf.DUMMYFUNCTION("""COMPUTED_VALUE"""),"https://www.instagram.com/mesbah_kb/")</f>
        <v>https://www.instagram.com/mesbah_kb/</v>
      </c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</row>
    <row r="2646">
      <c r="A2646" s="5">
        <f>IFERROR(__xludf.DUMMYFUNCTION("""COMPUTED_VALUE"""),23386.0)</f>
        <v>23386</v>
      </c>
      <c r="B2646" s="5" t="str">
        <f>IFERROR(__xludf.DUMMYFUNCTION("""COMPUTED_VALUE"""),"هیأت")</f>
        <v>هیأت</v>
      </c>
      <c r="C2646" s="5" t="str">
        <f>IFERROR(__xludf.DUMMYFUNCTION("""COMPUTED_VALUE"""),"جوانان فاطمیون")</f>
        <v>جوانان فاطمیون</v>
      </c>
      <c r="D2646" s="5" t="str">
        <f>IFERROR(__xludf.DUMMYFUNCTION("""COMPUTED_VALUE"""),"همدان")</f>
        <v>همدان</v>
      </c>
      <c r="E2646" s="5" t="str">
        <f>IFERROR(__xludf.DUMMYFUNCTION("""COMPUTED_VALUE"""),"همدان")</f>
        <v>همدان</v>
      </c>
      <c r="F2646" s="5"/>
      <c r="G2646" s="5"/>
      <c r="H2646" s="6" t="str">
        <f>IFERROR(__xludf.DUMMYFUNCTION("""COMPUTED_VALUE"""),"https://www.instagram.com/ehsasejavan.ir")</f>
        <v>https://www.instagram.com/ehsasejavan.ir</v>
      </c>
      <c r="I2646" s="5"/>
      <c r="J2646" s="6" t="str">
        <f>IFERROR(__xludf.DUMMYFUNCTION("""COMPUTED_VALUE"""),"https://eitaa.com/ehsasejavan_ir")</f>
        <v>https://eitaa.com/ehsasejavan_ir</v>
      </c>
      <c r="K2646" s="5"/>
      <c r="L2646" s="5"/>
      <c r="M2646" s="5"/>
      <c r="N2646" s="5"/>
      <c r="O2646" s="5"/>
      <c r="P2646" s="5"/>
      <c r="Q2646" s="5"/>
      <c r="R2646" s="5"/>
      <c r="S2646" s="5"/>
    </row>
    <row r="2647">
      <c r="A2647" s="5">
        <f>IFERROR(__xludf.DUMMYFUNCTION("""COMPUTED_VALUE"""),23821.0)</f>
        <v>23821</v>
      </c>
      <c r="B2647" s="5" t="str">
        <f>IFERROR(__xludf.DUMMYFUNCTION("""COMPUTED_VALUE"""),"هیأت")</f>
        <v>هیأت</v>
      </c>
      <c r="C2647" s="5" t="str">
        <f>IFERROR(__xludf.DUMMYFUNCTION("""COMPUTED_VALUE"""),"محفل روضه الرقیه (س)")</f>
        <v>محفل روضه الرقیه (س)</v>
      </c>
      <c r="D2647" s="5" t="str">
        <f>IFERROR(__xludf.DUMMYFUNCTION("""COMPUTED_VALUE"""),"همدان")</f>
        <v>همدان</v>
      </c>
      <c r="E2647" s="5" t="str">
        <f>IFERROR(__xludf.DUMMYFUNCTION("""COMPUTED_VALUE"""),"بهار")</f>
        <v>بهار</v>
      </c>
      <c r="F2647" s="5"/>
      <c r="G2647" s="5"/>
      <c r="H2647" s="6" t="str">
        <f>IFERROR(__xludf.DUMMYFUNCTION("""COMPUTED_VALUE"""),"https://www.instagram.com/rozatol_roughaye/")</f>
        <v>https://www.instagram.com/rozatol_roughaye/</v>
      </c>
      <c r="I2647" s="6" t="str">
        <f>IFERROR(__xludf.DUMMYFUNCTION("""COMPUTED_VALUE"""),"t.me/rozatol_roghaye_bahar")</f>
        <v>t.me/rozatol_roghaye_bahar</v>
      </c>
      <c r="J2647" s="5"/>
      <c r="K2647" s="5"/>
      <c r="L2647" s="5"/>
      <c r="M2647" s="5"/>
      <c r="N2647" s="5"/>
      <c r="O2647" s="5"/>
      <c r="P2647" s="5"/>
      <c r="Q2647" s="5"/>
      <c r="R2647" s="5"/>
      <c r="S2647" s="5"/>
    </row>
    <row r="2648">
      <c r="A2648" s="5">
        <f>IFERROR(__xludf.DUMMYFUNCTION("""COMPUTED_VALUE"""),23856.0)</f>
        <v>23856</v>
      </c>
      <c r="B2648" s="5" t="str">
        <f>IFERROR(__xludf.DUMMYFUNCTION("""COMPUTED_VALUE"""),"هیأت")</f>
        <v>هیأت</v>
      </c>
      <c r="C2648" s="5" t="str">
        <f>IFERROR(__xludf.DUMMYFUNCTION("""COMPUTED_VALUE"""),"یا ابوالفضل(ع)")</f>
        <v>یا ابوالفضل(ع)</v>
      </c>
      <c r="D2648" s="5" t="str">
        <f>IFERROR(__xludf.DUMMYFUNCTION("""COMPUTED_VALUE"""),"همدان")</f>
        <v>همدان</v>
      </c>
      <c r="E2648" s="5" t="str">
        <f>IFERROR(__xludf.DUMMYFUNCTION("""COMPUTED_VALUE"""),"همدان")</f>
        <v>همدان</v>
      </c>
      <c r="F2648" s="5"/>
      <c r="G2648" s="5"/>
      <c r="H2648" s="6" t="str">
        <f>IFERROR(__xludf.DUMMYFUNCTION("""COMPUTED_VALUE"""),"https://www.instagram.com/ya_abalfazll_133")</f>
        <v>https://www.instagram.com/ya_abalfazll_133</v>
      </c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</row>
    <row r="2649">
      <c r="A2649" s="5">
        <f>IFERROR(__xludf.DUMMYFUNCTION("""COMPUTED_VALUE"""),24085.0)</f>
        <v>24085</v>
      </c>
      <c r="B2649" s="5" t="str">
        <f>IFERROR(__xludf.DUMMYFUNCTION("""COMPUTED_VALUE"""),"هیأت دانشجویی")</f>
        <v>هیأت دانشجویی</v>
      </c>
      <c r="C2649" s="5" t="str">
        <f>IFERROR(__xludf.DUMMYFUNCTION("""COMPUTED_VALUE"""),"سرادر حاج حسین همدانی")</f>
        <v>سرادر حاج حسین همدانی</v>
      </c>
      <c r="D2649" s="5" t="str">
        <f>IFERROR(__xludf.DUMMYFUNCTION("""COMPUTED_VALUE"""),"همدان")</f>
        <v>همدان</v>
      </c>
      <c r="E2649" s="5" t="str">
        <f>IFERROR(__xludf.DUMMYFUNCTION("""COMPUTED_VALUE"""),"همدان")</f>
        <v>همدان</v>
      </c>
      <c r="F2649" s="5"/>
      <c r="G2649" s="5"/>
      <c r="H2649" s="6" t="str">
        <f>IFERROR(__xludf.DUMMYFUNCTION("""COMPUTED_VALUE"""),"https://www.instagram.com/advar_hmd/")</f>
        <v>https://www.instagram.com/advar_hmd/</v>
      </c>
      <c r="I2649" s="6" t="str">
        <f>IFERROR(__xludf.DUMMYFUNCTION("""COMPUTED_VALUE"""),"https://t.me/advar_hmd")</f>
        <v>https://t.me/advar_hmd</v>
      </c>
      <c r="J2649" s="6" t="str">
        <f>IFERROR(__xludf.DUMMYFUNCTION("""COMPUTED_VALUE"""),"https://eitaa.com/heiiat_shahidhamedani")</f>
        <v>https://eitaa.com/heiiat_shahidhamedani</v>
      </c>
      <c r="K2649" s="5"/>
      <c r="L2649" s="5"/>
      <c r="M2649" s="5"/>
      <c r="N2649" s="5"/>
      <c r="O2649" s="5"/>
      <c r="P2649" s="5"/>
      <c r="Q2649" s="5"/>
      <c r="R2649" s="5"/>
      <c r="S2649" s="5"/>
    </row>
    <row r="2650">
      <c r="A2650" s="5">
        <f>IFERROR(__xludf.DUMMYFUNCTION("""COMPUTED_VALUE"""),24303.0)</f>
        <v>24303</v>
      </c>
      <c r="B2650" s="5" t="str">
        <f>IFERROR(__xludf.DUMMYFUNCTION("""COMPUTED_VALUE"""),"هیأت")</f>
        <v>هیأت</v>
      </c>
      <c r="C2650" s="5" t="str">
        <f>IFERROR(__xludf.DUMMYFUNCTION("""COMPUTED_VALUE"""),"ستاد بازسازی عتبات")</f>
        <v>ستاد بازسازی عتبات</v>
      </c>
      <c r="D2650" s="5" t="str">
        <f>IFERROR(__xludf.DUMMYFUNCTION("""COMPUTED_VALUE"""),"همدان")</f>
        <v>همدان</v>
      </c>
      <c r="E2650" s="5" t="str">
        <f>IFERROR(__xludf.DUMMYFUNCTION("""COMPUTED_VALUE"""),"همدان")</f>
        <v>همدان</v>
      </c>
      <c r="F2650" s="5"/>
      <c r="G2650" s="5"/>
      <c r="H2650" s="5"/>
      <c r="I2650" s="5"/>
      <c r="J2650" s="6" t="str">
        <f>IFERROR(__xludf.DUMMYFUNCTION("""COMPUTED_VALUE"""),"https://eitaa.com/atabatHMD")</f>
        <v>https://eitaa.com/atabatHMD</v>
      </c>
      <c r="K2650" s="5"/>
      <c r="L2650" s="5"/>
      <c r="M2650" s="5"/>
      <c r="N2650" s="5"/>
      <c r="O2650" s="5"/>
      <c r="P2650" s="5"/>
      <c r="Q2650" s="5"/>
      <c r="R2650" s="5"/>
      <c r="S2650" s="5"/>
    </row>
    <row r="2651">
      <c r="A2651" s="5">
        <f>IFERROR(__xludf.DUMMYFUNCTION("""COMPUTED_VALUE"""),24456.0)</f>
        <v>24456</v>
      </c>
      <c r="B2651" s="5" t="str">
        <f>IFERROR(__xludf.DUMMYFUNCTION("""COMPUTED_VALUE"""),"هیأت")</f>
        <v>هیأت</v>
      </c>
      <c r="C2651" s="5" t="str">
        <f>IFERROR(__xludf.DUMMYFUNCTION("""COMPUTED_VALUE"""),"متوسلین به قمربنی هاشم (ع)")</f>
        <v>متوسلین به قمربنی هاشم (ع)</v>
      </c>
      <c r="D2651" s="5" t="str">
        <f>IFERROR(__xludf.DUMMYFUNCTION("""COMPUTED_VALUE"""),"همدان")</f>
        <v>همدان</v>
      </c>
      <c r="E2651" s="5" t="str">
        <f>IFERROR(__xludf.DUMMYFUNCTION("""COMPUTED_VALUE"""),"همدان")</f>
        <v>همدان</v>
      </c>
      <c r="F2651" s="5"/>
      <c r="G2651" s="5"/>
      <c r="H2651" s="6" t="str">
        <f>IFERROR(__xludf.DUMMYFUNCTION("""COMPUTED_VALUE"""),"https://www.instagram.com/motevaselin_hmd")</f>
        <v>https://www.instagram.com/motevaselin_hmd</v>
      </c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</row>
    <row r="2652">
      <c r="A2652" s="5">
        <f>IFERROR(__xludf.DUMMYFUNCTION("""COMPUTED_VALUE"""),24535.0)</f>
        <v>24535</v>
      </c>
      <c r="B2652" s="5" t="str">
        <f>IFERROR(__xludf.DUMMYFUNCTION("""COMPUTED_VALUE"""),"هیأت")</f>
        <v>هیأت</v>
      </c>
      <c r="C2652" s="5" t="str">
        <f>IFERROR(__xludf.DUMMYFUNCTION("""COMPUTED_VALUE"""),"محفل الصادقین")</f>
        <v>محفل الصادقین</v>
      </c>
      <c r="D2652" s="5" t="str">
        <f>IFERROR(__xludf.DUMMYFUNCTION("""COMPUTED_VALUE"""),"همدان")</f>
        <v>همدان</v>
      </c>
      <c r="E2652" s="5" t="str">
        <f>IFERROR(__xludf.DUMMYFUNCTION("""COMPUTED_VALUE"""),"ملایر")</f>
        <v>ملایر</v>
      </c>
      <c r="F2652" s="5"/>
      <c r="G2652" s="5"/>
      <c r="H2652" s="6" t="str">
        <f>IFERROR(__xludf.DUMMYFUNCTION("""COMPUTED_VALUE"""),"https://www.instagram.com/mahfelosadeghin/")</f>
        <v>https://www.instagram.com/mahfelosadeghin/</v>
      </c>
      <c r="I2652" s="6" t="str">
        <f>IFERROR(__xludf.DUMMYFUNCTION("""COMPUTED_VALUE"""),"t.me/mahfelosadeghien")</f>
        <v>t.me/mahfelosadeghien</v>
      </c>
      <c r="J2652" s="5"/>
      <c r="K2652" s="5"/>
      <c r="L2652" s="5"/>
      <c r="M2652" s="5"/>
      <c r="N2652" s="5"/>
      <c r="O2652" s="5"/>
      <c r="P2652" s="5"/>
      <c r="Q2652" s="5"/>
      <c r="R2652" s="5"/>
      <c r="S2652" s="5"/>
    </row>
    <row r="2653">
      <c r="A2653" s="5">
        <f>IFERROR(__xludf.DUMMYFUNCTION("""COMPUTED_VALUE"""),24585.0)</f>
        <v>24585</v>
      </c>
      <c r="B2653" s="5" t="str">
        <f>IFERROR(__xludf.DUMMYFUNCTION("""COMPUTED_VALUE"""),"هیأت")</f>
        <v>هیأت</v>
      </c>
      <c r="C2653" s="5" t="str">
        <f>IFERROR(__xludf.DUMMYFUNCTION("""COMPUTED_VALUE"""),"متوسلین به اهل بیت (ع)")</f>
        <v>متوسلین به اهل بیت (ع)</v>
      </c>
      <c r="D2653" s="5" t="str">
        <f>IFERROR(__xludf.DUMMYFUNCTION("""COMPUTED_VALUE"""),"همدان")</f>
        <v>همدان</v>
      </c>
      <c r="E2653" s="5" t="str">
        <f>IFERROR(__xludf.DUMMYFUNCTION("""COMPUTED_VALUE"""),"نهاوند")</f>
        <v>نهاوند</v>
      </c>
      <c r="F2653" s="5"/>
      <c r="G2653" s="5"/>
      <c r="H2653" s="5"/>
      <c r="I2653" s="5"/>
      <c r="J2653" s="6" t="str">
        <f>IFERROR(__xludf.DUMMYFUNCTION("""COMPUTED_VALUE"""),"https://eitaa.com/Motavaselin_ahle_beyt")</f>
        <v>https://eitaa.com/Motavaselin_ahle_beyt</v>
      </c>
      <c r="K2653" s="5"/>
      <c r="L2653" s="5"/>
      <c r="M2653" s="5"/>
      <c r="N2653" s="5"/>
      <c r="O2653" s="5"/>
      <c r="P2653" s="5"/>
      <c r="Q2653" s="5"/>
      <c r="R2653" s="5"/>
      <c r="S2653" s="5"/>
    </row>
    <row r="2654">
      <c r="A2654" s="5">
        <f>IFERROR(__xludf.DUMMYFUNCTION("""COMPUTED_VALUE"""),25031.0)</f>
        <v>25031</v>
      </c>
      <c r="B2654" s="5" t="str">
        <f>IFERROR(__xludf.DUMMYFUNCTION("""COMPUTED_VALUE"""),"هیأت")</f>
        <v>هیأت</v>
      </c>
      <c r="C2654" s="5" t="str">
        <f>IFERROR(__xludf.DUMMYFUNCTION("""COMPUTED_VALUE"""),"لواء الزهرا (س)")</f>
        <v>لواء الزهرا (س)</v>
      </c>
      <c r="D2654" s="5" t="str">
        <f>IFERROR(__xludf.DUMMYFUNCTION("""COMPUTED_VALUE"""),"همدان")</f>
        <v>همدان</v>
      </c>
      <c r="E2654" s="5" t="str">
        <f>IFERROR(__xludf.DUMMYFUNCTION("""COMPUTED_VALUE"""),"اسد آباد")</f>
        <v>اسد آباد</v>
      </c>
      <c r="F2654" s="5"/>
      <c r="G2654" s="5"/>
      <c r="H2654" s="6" t="str">
        <f>IFERROR(__xludf.DUMMYFUNCTION("""COMPUTED_VALUE"""),"https://instagram.com/levaozahra_ir")</f>
        <v>https://instagram.com/levaozahra_ir</v>
      </c>
      <c r="I2654" s="5"/>
      <c r="J2654" s="6" t="str">
        <f>IFERROR(__xludf.DUMMYFUNCTION("""COMPUTED_VALUE"""),"https://eitaa.com/levaozahra_ir")</f>
        <v>https://eitaa.com/levaozahra_ir</v>
      </c>
      <c r="K2654" s="5"/>
      <c r="L2654" s="5"/>
      <c r="M2654" s="5"/>
      <c r="N2654" s="5"/>
      <c r="O2654" s="5"/>
      <c r="P2654" s="5"/>
      <c r="Q2654" s="5"/>
      <c r="R2654" s="5"/>
      <c r="S2654" s="5"/>
    </row>
    <row r="2655">
      <c r="A2655" s="5">
        <f>IFERROR(__xludf.DUMMYFUNCTION("""COMPUTED_VALUE"""),25071.0)</f>
        <v>25071</v>
      </c>
      <c r="B2655" s="5" t="str">
        <f>IFERROR(__xludf.DUMMYFUNCTION("""COMPUTED_VALUE"""),"هیأت")</f>
        <v>هیأت</v>
      </c>
      <c r="C2655" s="5" t="str">
        <f>IFERROR(__xludf.DUMMYFUNCTION("""COMPUTED_VALUE"""),"محبین الرقیه (س)")</f>
        <v>محبین الرقیه (س)</v>
      </c>
      <c r="D2655" s="5" t="str">
        <f>IFERROR(__xludf.DUMMYFUNCTION("""COMPUTED_VALUE"""),"همدان")</f>
        <v>همدان</v>
      </c>
      <c r="E2655" s="5" t="str">
        <f>IFERROR(__xludf.DUMMYFUNCTION("""COMPUTED_VALUE"""),"فامنین")</f>
        <v>فامنین</v>
      </c>
      <c r="F2655" s="5"/>
      <c r="G2655" s="5"/>
      <c r="H2655" s="6" t="str">
        <f>IFERROR(__xludf.DUMMYFUNCTION("""COMPUTED_VALUE"""),"https://www.instagram.com/h.mohebbin/")</f>
        <v>https://www.instagram.com/h.mohebbin/</v>
      </c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</row>
    <row r="2656">
      <c r="A2656" s="5">
        <f>IFERROR(__xludf.DUMMYFUNCTION("""COMPUTED_VALUE"""),25117.0)</f>
        <v>25117</v>
      </c>
      <c r="B2656" s="5" t="str">
        <f>IFERROR(__xludf.DUMMYFUNCTION("""COMPUTED_VALUE"""),"هیأت")</f>
        <v>هیأت</v>
      </c>
      <c r="C2656" s="5" t="str">
        <f>IFERROR(__xludf.DUMMYFUNCTION("""COMPUTED_VALUE"""),"محفل شاه کربلا")</f>
        <v>محفل شاه کربلا</v>
      </c>
      <c r="D2656" s="5" t="str">
        <f>IFERROR(__xludf.DUMMYFUNCTION("""COMPUTED_VALUE"""),"همدان")</f>
        <v>همدان</v>
      </c>
      <c r="E2656" s="5" t="str">
        <f>IFERROR(__xludf.DUMMYFUNCTION("""COMPUTED_VALUE"""),"همدان")</f>
        <v>همدان</v>
      </c>
      <c r="F2656" s="5"/>
      <c r="G2656" s="5"/>
      <c r="H2656" s="6" t="str">
        <f>IFERROR(__xludf.DUMMYFUNCTION("""COMPUTED_VALUE"""),"https://www.instagram.com/shahkarballa")</f>
        <v>https://www.instagram.com/shahkarballa</v>
      </c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</row>
    <row r="2657">
      <c r="A2657" s="5">
        <f>IFERROR(__xludf.DUMMYFUNCTION("""COMPUTED_VALUE"""),25124.0)</f>
        <v>25124</v>
      </c>
      <c r="B2657" s="5" t="str">
        <f>IFERROR(__xludf.DUMMYFUNCTION("""COMPUTED_VALUE"""),"هیأت")</f>
        <v>هیأت</v>
      </c>
      <c r="C2657" s="5" t="str">
        <f>IFERROR(__xludf.DUMMYFUNCTION("""COMPUTED_VALUE"""),"مکتب الزهرا (س)")</f>
        <v>مکتب الزهرا (س)</v>
      </c>
      <c r="D2657" s="5" t="str">
        <f>IFERROR(__xludf.DUMMYFUNCTION("""COMPUTED_VALUE"""),"همدان")</f>
        <v>همدان</v>
      </c>
      <c r="E2657" s="5" t="str">
        <f>IFERROR(__xludf.DUMMYFUNCTION("""COMPUTED_VALUE"""),"تویسرکان")</f>
        <v>تویسرکان</v>
      </c>
      <c r="F2657" s="5"/>
      <c r="G2657" s="5"/>
      <c r="H2657" s="5"/>
      <c r="I2657" s="5"/>
      <c r="J2657" s="6" t="str">
        <f>IFERROR(__xludf.DUMMYFUNCTION("""COMPUTED_VALUE"""),"https://eitaa.com/maktabozahratoy_ir")</f>
        <v>https://eitaa.com/maktabozahratoy_ir</v>
      </c>
      <c r="K2657" s="5"/>
      <c r="L2657" s="5"/>
      <c r="M2657" s="5"/>
      <c r="N2657" s="5"/>
      <c r="O2657" s="5"/>
      <c r="P2657" s="5"/>
      <c r="Q2657" s="5"/>
      <c r="R2657" s="5"/>
      <c r="S2657" s="5"/>
    </row>
    <row r="2658">
      <c r="A2658" s="5">
        <f>IFERROR(__xludf.DUMMYFUNCTION("""COMPUTED_VALUE"""),25225.0)</f>
        <v>25225</v>
      </c>
      <c r="B2658" s="5" t="str">
        <f>IFERROR(__xludf.DUMMYFUNCTION("""COMPUTED_VALUE"""),"هیأت")</f>
        <v>هیأت</v>
      </c>
      <c r="C2658" s="5" t="str">
        <f>IFERROR(__xludf.DUMMYFUNCTION("""COMPUTED_VALUE"""),"تابعین آل محمد (ص)")</f>
        <v>تابعین آل محمد (ص)</v>
      </c>
      <c r="D2658" s="5" t="str">
        <f>IFERROR(__xludf.DUMMYFUNCTION("""COMPUTED_VALUE"""),"همدان")</f>
        <v>همدان</v>
      </c>
      <c r="E2658" s="5" t="str">
        <f>IFERROR(__xludf.DUMMYFUNCTION("""COMPUTED_VALUE"""),"همدان")</f>
        <v>همدان</v>
      </c>
      <c r="F2658" s="5"/>
      <c r="G2658" s="5"/>
      <c r="H2658" s="6" t="str">
        <f>IFERROR(__xludf.DUMMYFUNCTION("""COMPUTED_VALUE"""),"https://www.instagram.com/htabein1376")</f>
        <v>https://www.instagram.com/htabein1376</v>
      </c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</row>
    <row r="2659">
      <c r="A2659" s="5">
        <f>IFERROR(__xludf.DUMMYFUNCTION("""COMPUTED_VALUE"""),25898.0)</f>
        <v>25898</v>
      </c>
      <c r="B2659" s="5" t="str">
        <f>IFERROR(__xludf.DUMMYFUNCTION("""COMPUTED_VALUE"""),"هیأت")</f>
        <v>هیأت</v>
      </c>
      <c r="C2659" s="5" t="str">
        <f>IFERROR(__xludf.DUMMYFUNCTION("""COMPUTED_VALUE"""),"روضه الشهدا")</f>
        <v>روضه الشهدا</v>
      </c>
      <c r="D2659" s="5" t="str">
        <f>IFERROR(__xludf.DUMMYFUNCTION("""COMPUTED_VALUE"""),"همدان")</f>
        <v>همدان</v>
      </c>
      <c r="E2659" s="5" t="str">
        <f>IFERROR(__xludf.DUMMYFUNCTION("""COMPUTED_VALUE"""),"همدان")</f>
        <v>همدان</v>
      </c>
      <c r="F2659" s="5"/>
      <c r="G2659" s="5"/>
      <c r="H2659" s="6" t="str">
        <f>IFERROR(__xludf.DUMMYFUNCTION("""COMPUTED_VALUE"""),"https://www.instagram.com/rozato__shohada")</f>
        <v>https://www.instagram.com/rozato__shohada</v>
      </c>
      <c r="I2659" s="6" t="str">
        <f>IFERROR(__xludf.DUMMYFUNCTION("""COMPUTED_VALUE"""),"https://t.me/seyed_alahrar")</f>
        <v>https://t.me/seyed_alahrar</v>
      </c>
      <c r="J2659" s="5"/>
      <c r="K2659" s="5"/>
      <c r="L2659" s="5"/>
      <c r="M2659" s="5"/>
      <c r="N2659" s="5"/>
      <c r="O2659" s="5"/>
      <c r="P2659" s="5"/>
      <c r="Q2659" s="5"/>
      <c r="R2659" s="5"/>
      <c r="S2659" s="5"/>
    </row>
    <row r="2660">
      <c r="A2660" s="5">
        <f>IFERROR(__xludf.DUMMYFUNCTION("""COMPUTED_VALUE"""),26165.0)</f>
        <v>26165</v>
      </c>
      <c r="B2660" s="5" t="str">
        <f>IFERROR(__xludf.DUMMYFUNCTION("""COMPUTED_VALUE"""),"موکب")</f>
        <v>موکب</v>
      </c>
      <c r="C2660" s="5" t="str">
        <f>IFERROR(__xludf.DUMMYFUNCTION("""COMPUTED_VALUE"""),"سردار شهید حاج حسین همدانی")</f>
        <v>سردار شهید حاج حسین همدانی</v>
      </c>
      <c r="D2660" s="5" t="str">
        <f>IFERROR(__xludf.DUMMYFUNCTION("""COMPUTED_VALUE"""),"همدان")</f>
        <v>همدان</v>
      </c>
      <c r="E2660" s="5" t="str">
        <f>IFERROR(__xludf.DUMMYFUNCTION("""COMPUTED_VALUE"""),"همدان")</f>
        <v>همدان</v>
      </c>
      <c r="F2660" s="5"/>
      <c r="G2660" s="5"/>
      <c r="H2660" s="6" t="str">
        <f>IFERROR(__xludf.DUMMYFUNCTION("""COMPUTED_VALUE"""),"https://www.instagram.com/mokeb_shahid__hamedani")</f>
        <v>https://www.instagram.com/mokeb_shahid__hamedani</v>
      </c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</row>
    <row r="2661">
      <c r="A2661" s="5">
        <f>IFERROR(__xludf.DUMMYFUNCTION("""COMPUTED_VALUE"""),26309.0)</f>
        <v>26309</v>
      </c>
      <c r="B2661" s="5" t="str">
        <f>IFERROR(__xludf.DUMMYFUNCTION("""COMPUTED_VALUE"""),"هیأت")</f>
        <v>هیأت</v>
      </c>
      <c r="C2661" s="5" t="str">
        <f>IFERROR(__xludf.DUMMYFUNCTION("""COMPUTED_VALUE"""),"اباعبدالله الحسین (ع)")</f>
        <v>اباعبدالله الحسین (ع)</v>
      </c>
      <c r="D2661" s="5" t="str">
        <f>IFERROR(__xludf.DUMMYFUNCTION("""COMPUTED_VALUE"""),"همدان")</f>
        <v>همدان</v>
      </c>
      <c r="E2661" s="5" t="str">
        <f>IFERROR(__xludf.DUMMYFUNCTION("""COMPUTED_VALUE"""),"بهار")</f>
        <v>بهار</v>
      </c>
      <c r="F2661" s="5"/>
      <c r="G2661" s="5"/>
      <c r="H2661" s="6" t="str">
        <f>IFERROR(__xludf.DUMMYFUNCTION("""COMPUTED_VALUE"""),"https://www.instagram.com/abaabdellah_dinarabad/")</f>
        <v>https://www.instagram.com/abaabdellah_dinarabad/</v>
      </c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</row>
    <row r="2662">
      <c r="A2662" s="5">
        <f>IFERROR(__xludf.DUMMYFUNCTION("""COMPUTED_VALUE"""),26310.0)</f>
        <v>26310</v>
      </c>
      <c r="B2662" s="5" t="str">
        <f>IFERROR(__xludf.DUMMYFUNCTION("""COMPUTED_VALUE"""),"هیأت")</f>
        <v>هیأت</v>
      </c>
      <c r="C2662" s="5" t="str">
        <f>IFERROR(__xludf.DUMMYFUNCTION("""COMPUTED_VALUE"""),"شیفتگان حسینی")</f>
        <v>شیفتگان حسینی</v>
      </c>
      <c r="D2662" s="5" t="str">
        <f>IFERROR(__xludf.DUMMYFUNCTION("""COMPUTED_VALUE"""),"همدان")</f>
        <v>همدان</v>
      </c>
      <c r="E2662" s="5" t="str">
        <f>IFERROR(__xludf.DUMMYFUNCTION("""COMPUTED_VALUE"""),"ملایر")</f>
        <v>ملایر</v>
      </c>
      <c r="F2662" s="5"/>
      <c r="G2662" s="5"/>
      <c r="H2662" s="6" t="str">
        <f>IFERROR(__xludf.DUMMYFUNCTION("""COMPUTED_VALUE"""),"https://www.instagram.com/shiftegan_malayer/")</f>
        <v>https://www.instagram.com/shiftegan_malayer/</v>
      </c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</row>
    <row r="2663">
      <c r="A2663" s="5">
        <f>IFERROR(__xludf.DUMMYFUNCTION("""COMPUTED_VALUE"""),26312.0)</f>
        <v>26312</v>
      </c>
      <c r="B2663" s="5" t="str">
        <f>IFERROR(__xludf.DUMMYFUNCTION("""COMPUTED_VALUE"""),"هیأت")</f>
        <v>هیأت</v>
      </c>
      <c r="C2663" s="5" t="str">
        <f>IFERROR(__xludf.DUMMYFUNCTION("""COMPUTED_VALUE"""),"مجمع علویون")</f>
        <v>مجمع علویون</v>
      </c>
      <c r="D2663" s="5" t="str">
        <f>IFERROR(__xludf.DUMMYFUNCTION("""COMPUTED_VALUE"""),"همدان")</f>
        <v>همدان</v>
      </c>
      <c r="E2663" s="5" t="str">
        <f>IFERROR(__xludf.DUMMYFUNCTION("""COMPUTED_VALUE"""),"ملایر")</f>
        <v>ملایر</v>
      </c>
      <c r="F2663" s="5"/>
      <c r="G2663" s="5"/>
      <c r="H2663" s="6" t="str">
        <f>IFERROR(__xludf.DUMMYFUNCTION("""COMPUTED_VALUE"""),"https://www.instagram.com/majma_alavion_malayer/")</f>
        <v>https://www.instagram.com/majma_alavion_malayer/</v>
      </c>
      <c r="I2663" s="5"/>
      <c r="J2663" s="6" t="str">
        <f>IFERROR(__xludf.DUMMYFUNCTION("""COMPUTED_VALUE"""),"eitaa.com/majma_alavion_malayer")</f>
        <v>eitaa.com/majma_alavion_malayer</v>
      </c>
      <c r="K2663" s="5"/>
      <c r="L2663" s="5"/>
      <c r="M2663" s="5"/>
      <c r="N2663" s="5"/>
      <c r="O2663" s="5"/>
      <c r="P2663" s="5"/>
      <c r="Q2663" s="5"/>
      <c r="R2663" s="5"/>
      <c r="S2663" s="5"/>
    </row>
    <row r="2664">
      <c r="A2664" s="5">
        <f>IFERROR(__xludf.DUMMYFUNCTION("""COMPUTED_VALUE"""),26315.0)</f>
        <v>26315</v>
      </c>
      <c r="B2664" s="5" t="str">
        <f>IFERROR(__xludf.DUMMYFUNCTION("""COMPUTED_VALUE"""),"هیأت")</f>
        <v>هیأت</v>
      </c>
      <c r="C2664" s="5" t="str">
        <f>IFERROR(__xludf.DUMMYFUNCTION("""COMPUTED_VALUE"""),"ثارالله (ع)")</f>
        <v>ثارالله (ع)</v>
      </c>
      <c r="D2664" s="5" t="str">
        <f>IFERROR(__xludf.DUMMYFUNCTION("""COMPUTED_VALUE"""),"همدان")</f>
        <v>همدان</v>
      </c>
      <c r="E2664" s="5" t="str">
        <f>IFERROR(__xludf.DUMMYFUNCTION("""COMPUTED_VALUE"""),"تویسرکان")</f>
        <v>تویسرکان</v>
      </c>
      <c r="F2664" s="5"/>
      <c r="G2664" s="5"/>
      <c r="H2664" s="6" t="str">
        <f>IFERROR(__xludf.DUMMYFUNCTION("""COMPUTED_VALUE"""),"https://www.instagram.com/heiat_sarallah_toy/")</f>
        <v>https://www.instagram.com/heiat_sarallah_toy/</v>
      </c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</row>
    <row r="2665">
      <c r="A2665" s="5">
        <f>IFERROR(__xludf.DUMMYFUNCTION("""COMPUTED_VALUE"""),26412.0)</f>
        <v>26412</v>
      </c>
      <c r="B2665" s="5" t="str">
        <f>IFERROR(__xludf.DUMMYFUNCTION("""COMPUTED_VALUE"""),"هیأت")</f>
        <v>هیأت</v>
      </c>
      <c r="C2665" s="5" t="str">
        <f>IFERROR(__xludf.DUMMYFUNCTION("""COMPUTED_VALUE"""),"مجموعه ملت امام حسین (ع)")</f>
        <v>مجموعه ملت امام حسین (ع)</v>
      </c>
      <c r="D2665" s="5" t="str">
        <f>IFERROR(__xludf.DUMMYFUNCTION("""COMPUTED_VALUE"""),"همدان")</f>
        <v>همدان</v>
      </c>
      <c r="E2665" s="5" t="str">
        <f>IFERROR(__xludf.DUMMYFUNCTION("""COMPUTED_VALUE"""),"همدان")</f>
        <v>همدان</v>
      </c>
      <c r="F2665" s="5"/>
      <c r="G2665" s="5"/>
      <c r="H2665" s="5"/>
      <c r="I2665" s="5"/>
      <c r="J2665" s="6" t="str">
        <f>IFERROR(__xludf.DUMMYFUNCTION("""COMPUTED_VALUE"""),"https://eitaa.com/mah_hmd")</f>
        <v>https://eitaa.com/mah_hmd</v>
      </c>
      <c r="K2665" s="5"/>
      <c r="L2665" s="5"/>
      <c r="M2665" s="5"/>
      <c r="N2665" s="5"/>
      <c r="O2665" s="5"/>
      <c r="P2665" s="5"/>
      <c r="Q2665" s="5"/>
      <c r="R2665" s="5"/>
      <c r="S2665" s="5"/>
    </row>
    <row r="2666">
      <c r="A2666" s="5">
        <f>IFERROR(__xludf.DUMMYFUNCTION("""COMPUTED_VALUE"""),26413.0)</f>
        <v>26413</v>
      </c>
      <c r="B2666" s="5" t="str">
        <f>IFERROR(__xludf.DUMMYFUNCTION("""COMPUTED_VALUE"""),"هیأت")</f>
        <v>هیأت</v>
      </c>
      <c r="C2666" s="5" t="str">
        <f>IFERROR(__xludf.DUMMYFUNCTION("""COMPUTED_VALUE"""),"کانون نخبگان آفتابگردان")</f>
        <v>کانون نخبگان آفتابگردان</v>
      </c>
      <c r="D2666" s="5" t="str">
        <f>IFERROR(__xludf.DUMMYFUNCTION("""COMPUTED_VALUE"""),"همدان")</f>
        <v>همدان</v>
      </c>
      <c r="E2666" s="5" t="str">
        <f>IFERROR(__xludf.DUMMYFUNCTION("""COMPUTED_VALUE"""),"همدان")</f>
        <v>همدان</v>
      </c>
      <c r="F2666" s="5"/>
      <c r="G2666" s="5"/>
      <c r="H2666" s="5"/>
      <c r="I2666" s="5"/>
      <c r="J2666" s="6" t="str">
        <f>IFERROR(__xludf.DUMMYFUNCTION("""COMPUTED_VALUE"""),"https://eitaa.com/Sunflower_Science_Club")</f>
        <v>https://eitaa.com/Sunflower_Science_Club</v>
      </c>
      <c r="K2666" s="5"/>
      <c r="L2666" s="5"/>
      <c r="M2666" s="5"/>
      <c r="N2666" s="5"/>
      <c r="O2666" s="5"/>
      <c r="P2666" s="5"/>
      <c r="Q2666" s="5"/>
      <c r="R2666" s="5"/>
      <c r="S2666" s="5"/>
    </row>
    <row r="2667">
      <c r="A2667" s="5">
        <f>IFERROR(__xludf.DUMMYFUNCTION("""COMPUTED_VALUE"""),26641.0)</f>
        <v>26641</v>
      </c>
      <c r="B2667" s="5" t="str">
        <f>IFERROR(__xludf.DUMMYFUNCTION("""COMPUTED_VALUE"""),"هیأت")</f>
        <v>هیأت</v>
      </c>
      <c r="C2667" s="5" t="str">
        <f>IFERROR(__xludf.DUMMYFUNCTION("""COMPUTED_VALUE"""),"بیت الاحزان")</f>
        <v>بیت الاحزان</v>
      </c>
      <c r="D2667" s="5" t="str">
        <f>IFERROR(__xludf.DUMMYFUNCTION("""COMPUTED_VALUE"""),"همدان")</f>
        <v>همدان</v>
      </c>
      <c r="E2667" s="5" t="str">
        <f>IFERROR(__xludf.DUMMYFUNCTION("""COMPUTED_VALUE"""),"همدان")</f>
        <v>همدان</v>
      </c>
      <c r="F2667" s="5"/>
      <c r="G2667" s="5"/>
      <c r="H2667" s="6" t="str">
        <f>IFERROR(__xludf.DUMMYFUNCTION("""COMPUTED_VALUE"""),"https://www.instagram.com/beytolahzan_hamedan")</f>
        <v>https://www.instagram.com/beytolahzan_hamedan</v>
      </c>
      <c r="I2667" s="6" t="str">
        <f>IFERROR(__xludf.DUMMYFUNCTION("""COMPUTED_VALUE"""),"https://t.me/beytolahzane_hamedan")</f>
        <v>https://t.me/beytolahzane_hamedan</v>
      </c>
      <c r="J2667" s="6" t="str">
        <f>IFERROR(__xludf.DUMMYFUNCTION("""COMPUTED_VALUE"""),"https://eitaa.com/beytolahzan_hamedan")</f>
        <v>https://eitaa.com/beytolahzan_hamedan</v>
      </c>
      <c r="K2667" s="5"/>
      <c r="L2667" s="5"/>
      <c r="M2667" s="5"/>
      <c r="N2667" s="5"/>
      <c r="O2667" s="5"/>
      <c r="P2667" s="5"/>
      <c r="Q2667" s="5"/>
      <c r="R2667" s="5"/>
      <c r="S2667" s="5"/>
    </row>
    <row r="2668">
      <c r="A2668" s="5">
        <f>IFERROR(__xludf.DUMMYFUNCTION("""COMPUTED_VALUE"""),26714.0)</f>
        <v>26714</v>
      </c>
      <c r="B2668" s="5" t="str">
        <f>IFERROR(__xludf.DUMMYFUNCTION("""COMPUTED_VALUE"""),"هیأت")</f>
        <v>هیأت</v>
      </c>
      <c r="C2668" s="5" t="str">
        <f>IFERROR(__xludf.DUMMYFUNCTION("""COMPUTED_VALUE"""),"ثامن الحجج (ع) _ مسجد حاج احمد")</f>
        <v>ثامن الحجج (ع) _ مسجد حاج احمد</v>
      </c>
      <c r="D2668" s="5" t="str">
        <f>IFERROR(__xludf.DUMMYFUNCTION("""COMPUTED_VALUE"""),"همدان")</f>
        <v>همدان</v>
      </c>
      <c r="E2668" s="5" t="str">
        <f>IFERROR(__xludf.DUMMYFUNCTION("""COMPUTED_VALUE"""),"همدان")</f>
        <v>همدان</v>
      </c>
      <c r="F2668" s="5"/>
      <c r="G2668" s="5"/>
      <c r="H2668" s="6" t="str">
        <f>IFERROR(__xludf.DUMMYFUNCTION("""COMPUTED_VALUE"""),"https://www.instagram.com/___hajahmad___")</f>
        <v>https://www.instagram.com/___hajahmad___</v>
      </c>
      <c r="I2668" s="5"/>
      <c r="J2668" s="6" t="str">
        <f>IFERROR(__xludf.DUMMYFUNCTION("""COMPUTED_VALUE"""),"https://eitaa.com/masjed_hajahmad")</f>
        <v>https://eitaa.com/masjed_hajahmad</v>
      </c>
      <c r="K2668" s="5"/>
      <c r="L2668" s="5"/>
      <c r="M2668" s="5"/>
      <c r="N2668" s="5"/>
      <c r="O2668" s="5"/>
      <c r="P2668" s="5"/>
      <c r="Q2668" s="5"/>
      <c r="R2668" s="5"/>
      <c r="S2668" s="5"/>
    </row>
    <row r="2669">
      <c r="A2669" s="5">
        <f>IFERROR(__xludf.DUMMYFUNCTION("""COMPUTED_VALUE"""),27884.0)</f>
        <v>27884</v>
      </c>
      <c r="B2669" s="5" t="str">
        <f>IFERROR(__xludf.DUMMYFUNCTION("""COMPUTED_VALUE"""),"هیأت")</f>
        <v>هیأت</v>
      </c>
      <c r="C2669" s="5" t="str">
        <f>IFERROR(__xludf.DUMMYFUNCTION("""COMPUTED_VALUE"""),"حضرت امام حسن مجتبی (ع)")</f>
        <v>حضرت امام حسن مجتبی (ع)</v>
      </c>
      <c r="D2669" s="5" t="str">
        <f>IFERROR(__xludf.DUMMYFUNCTION("""COMPUTED_VALUE"""),"همدان")</f>
        <v>همدان</v>
      </c>
      <c r="E2669" s="5" t="str">
        <f>IFERROR(__xludf.DUMMYFUNCTION("""COMPUTED_VALUE"""),"همدان")</f>
        <v>همدان</v>
      </c>
      <c r="F2669" s="5"/>
      <c r="G2669" s="5">
        <f>IFERROR(__xludf.DUMMYFUNCTION("""COMPUTED_VALUE"""),1.0)</f>
        <v>1</v>
      </c>
      <c r="H2669" s="5"/>
      <c r="I2669" s="6" t="str">
        <f>IFERROR(__xludf.DUMMYFUNCTION("""COMPUTED_VALUE"""),"https://t.me/yagharibemadineh")</f>
        <v>https://t.me/yagharibemadineh</v>
      </c>
      <c r="J2669" s="5"/>
      <c r="K2669" s="5"/>
      <c r="L2669" s="5"/>
      <c r="M2669" s="5"/>
      <c r="N2669" s="5"/>
      <c r="O2669" s="5"/>
      <c r="P2669" s="5"/>
      <c r="Q2669" s="5"/>
      <c r="R2669" s="5"/>
      <c r="S2669" s="5"/>
    </row>
    <row r="2670">
      <c r="A2670" s="5">
        <f>IFERROR(__xludf.DUMMYFUNCTION("""COMPUTED_VALUE"""),27886.0)</f>
        <v>27886</v>
      </c>
      <c r="B2670" s="5" t="str">
        <f>IFERROR(__xludf.DUMMYFUNCTION("""COMPUTED_VALUE"""),"هیأت")</f>
        <v>هیأت</v>
      </c>
      <c r="C2670" s="5" t="str">
        <f>IFERROR(__xludf.DUMMYFUNCTION("""COMPUTED_VALUE"""),"مشکات الزهرا")</f>
        <v>مشکات الزهرا</v>
      </c>
      <c r="D2670" s="5" t="str">
        <f>IFERROR(__xludf.DUMMYFUNCTION("""COMPUTED_VALUE"""),"همدان")</f>
        <v>همدان</v>
      </c>
      <c r="E2670" s="5" t="str">
        <f>IFERROR(__xludf.DUMMYFUNCTION("""COMPUTED_VALUE"""),"همدان")</f>
        <v>همدان</v>
      </c>
      <c r="F2670" s="5"/>
      <c r="G2670" s="5"/>
      <c r="H2670" s="6" t="str">
        <f>IFERROR(__xludf.DUMMYFUNCTION("""COMPUTED_VALUE"""),"https://www.instagram.com/meshkat_zahra_")</f>
        <v>https://www.instagram.com/meshkat_zahra_</v>
      </c>
      <c r="I2670" s="6" t="str">
        <f>IFERROR(__xludf.DUMMYFUNCTION("""COMPUTED_VALUE"""),"https://t.me/meshkatzahra")</f>
        <v>https://t.me/meshkatzahra</v>
      </c>
      <c r="J2670" s="6" t="str">
        <f>IFERROR(__xludf.DUMMYFUNCTION("""COMPUTED_VALUE"""),"https://eitaa.com/meshkat_zahra")</f>
        <v>https://eitaa.com/meshkat_zahra</v>
      </c>
      <c r="K2670" s="5"/>
      <c r="L2670" s="5"/>
      <c r="M2670" s="5"/>
      <c r="N2670" s="5"/>
      <c r="O2670" s="5"/>
      <c r="P2670" s="5"/>
      <c r="Q2670" s="5"/>
      <c r="R2670" s="5"/>
      <c r="S2670" s="5"/>
    </row>
    <row r="2671">
      <c r="A2671" s="5">
        <f>IFERROR(__xludf.DUMMYFUNCTION("""COMPUTED_VALUE"""),27888.0)</f>
        <v>27888</v>
      </c>
      <c r="B2671" s="5" t="str">
        <f>IFERROR(__xludf.DUMMYFUNCTION("""COMPUTED_VALUE"""),"هیأت")</f>
        <v>هیأت</v>
      </c>
      <c r="C2671" s="5" t="str">
        <f>IFERROR(__xludf.DUMMYFUNCTION("""COMPUTED_VALUE"""),"خیریه امیرالمومنین")</f>
        <v>خیریه امیرالمومنین</v>
      </c>
      <c r="D2671" s="5" t="str">
        <f>IFERROR(__xludf.DUMMYFUNCTION("""COMPUTED_VALUE"""),"همدان")</f>
        <v>همدان</v>
      </c>
      <c r="E2671" s="5" t="str">
        <f>IFERROR(__xludf.DUMMYFUNCTION("""COMPUTED_VALUE"""),"همدان")</f>
        <v>همدان</v>
      </c>
      <c r="F2671" s="5"/>
      <c r="G2671" s="5"/>
      <c r="H2671" s="6" t="str">
        <f>IFERROR(__xludf.DUMMYFUNCTION("""COMPUTED_VALUE"""),"https://www.instagram.com/amiralmomenin_yaraniliya")</f>
        <v>https://www.instagram.com/amiralmomenin_yaraniliya</v>
      </c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</row>
    <row r="2672">
      <c r="A2672" s="5">
        <f>IFERROR(__xludf.DUMMYFUNCTION("""COMPUTED_VALUE"""),27890.0)</f>
        <v>27890</v>
      </c>
      <c r="B2672" s="5" t="str">
        <f>IFERROR(__xludf.DUMMYFUNCTION("""COMPUTED_VALUE"""),"هیأت")</f>
        <v>هیأت</v>
      </c>
      <c r="C2672" s="5" t="str">
        <f>IFERROR(__xludf.DUMMYFUNCTION("""COMPUTED_VALUE"""),"موسسه فرهنگی جوانان قرآنی انوارالزهرا (س)")</f>
        <v>موسسه فرهنگی جوانان قرآنی انوارالزهرا (س)</v>
      </c>
      <c r="D2672" s="5" t="str">
        <f>IFERROR(__xludf.DUMMYFUNCTION("""COMPUTED_VALUE"""),"همدان")</f>
        <v>همدان</v>
      </c>
      <c r="E2672" s="5" t="str">
        <f>IFERROR(__xludf.DUMMYFUNCTION("""COMPUTED_VALUE"""),"همدان")</f>
        <v>همدان</v>
      </c>
      <c r="F2672" s="5"/>
      <c r="G2672" s="5"/>
      <c r="H2672" s="6" t="str">
        <f>IFERROR(__xludf.DUMMYFUNCTION("""COMPUTED_VALUE"""),"https://www.instagram.com/anvarmedia_")</f>
        <v>https://www.instagram.com/anvarmedia_</v>
      </c>
      <c r="I2672" s="5"/>
      <c r="J2672" s="6" t="str">
        <f>IFERROR(__xludf.DUMMYFUNCTION("""COMPUTED_VALUE"""),"https://eitaa.com/anvarozahra")</f>
        <v>https://eitaa.com/anvarozahra</v>
      </c>
      <c r="K2672" s="5"/>
      <c r="L2672" s="5"/>
      <c r="M2672" s="5"/>
      <c r="N2672" s="5"/>
      <c r="O2672" s="5"/>
      <c r="P2672" s="5"/>
      <c r="Q2672" s="5"/>
      <c r="R2672" s="5"/>
      <c r="S2672" s="5"/>
    </row>
    <row r="2673">
      <c r="A2673" s="5">
        <f>IFERROR(__xludf.DUMMYFUNCTION("""COMPUTED_VALUE"""),27892.0)</f>
        <v>27892</v>
      </c>
      <c r="B2673" s="5" t="str">
        <f>IFERROR(__xludf.DUMMYFUNCTION("""COMPUTED_VALUE"""),"هیأت دانش آموزی")</f>
        <v>هیأت دانش آموزی</v>
      </c>
      <c r="C2673" s="5" t="str">
        <f>IFERROR(__xludf.DUMMYFUNCTION("""COMPUTED_VALUE"""),"انصارالمهدی (عج)")</f>
        <v>انصارالمهدی (عج)</v>
      </c>
      <c r="D2673" s="5" t="str">
        <f>IFERROR(__xludf.DUMMYFUNCTION("""COMPUTED_VALUE"""),"همدان")</f>
        <v>همدان</v>
      </c>
      <c r="E2673" s="5" t="str">
        <f>IFERROR(__xludf.DUMMYFUNCTION("""COMPUTED_VALUE"""),"همدان")</f>
        <v>همدان</v>
      </c>
      <c r="F2673" s="5"/>
      <c r="G2673" s="5"/>
      <c r="H2673" s="6" t="str">
        <f>IFERROR(__xludf.DUMMYFUNCTION("""COMPUTED_VALUE"""),"https://www.instagram.com/ansaralmahdi_hmd")</f>
        <v>https://www.instagram.com/ansaralmahdi_hmd</v>
      </c>
      <c r="I2673" s="5"/>
      <c r="J2673" s="6" t="str">
        <f>IFERROR(__xludf.DUMMYFUNCTION("""COMPUTED_VALUE"""),"https://eitaa.com/ansar_hmd")</f>
        <v>https://eitaa.com/ansar_hmd</v>
      </c>
      <c r="K2673" s="5"/>
      <c r="L2673" s="5"/>
      <c r="M2673" s="5"/>
      <c r="N2673" s="5"/>
      <c r="O2673" s="5"/>
      <c r="P2673" s="5"/>
      <c r="Q2673" s="5"/>
      <c r="R2673" s="5"/>
      <c r="S2673" s="5"/>
    </row>
    <row r="2674">
      <c r="A2674" s="5">
        <f>IFERROR(__xludf.DUMMYFUNCTION("""COMPUTED_VALUE"""),27912.0)</f>
        <v>27912</v>
      </c>
      <c r="B2674" s="5" t="str">
        <f>IFERROR(__xludf.DUMMYFUNCTION("""COMPUTED_VALUE"""),"مسجد")</f>
        <v>مسجد</v>
      </c>
      <c r="C2674" s="5" t="str">
        <f>IFERROR(__xludf.DUMMYFUNCTION("""COMPUTED_VALUE"""),"صاحب الزمان (عج)")</f>
        <v>صاحب الزمان (عج)</v>
      </c>
      <c r="D2674" s="5" t="str">
        <f>IFERROR(__xludf.DUMMYFUNCTION("""COMPUTED_VALUE"""),"همدان")</f>
        <v>همدان</v>
      </c>
      <c r="E2674" s="5" t="str">
        <f>IFERROR(__xludf.DUMMYFUNCTION("""COMPUTED_VALUE"""),"اسدآباد")</f>
        <v>اسدآباد</v>
      </c>
      <c r="F2674" s="5"/>
      <c r="G2674" s="5"/>
      <c r="H2674" s="5"/>
      <c r="I2674" s="5"/>
      <c r="J2674" s="6" t="str">
        <f>IFERROR(__xludf.DUMMYFUNCTION("""COMPUTED_VALUE"""),"https://eitaa.com/Masjed_sahebzaman_asadabad")</f>
        <v>https://eitaa.com/Masjed_sahebzaman_asadabad</v>
      </c>
      <c r="K2674" s="5"/>
      <c r="L2674" s="5"/>
      <c r="M2674" s="5"/>
      <c r="N2674" s="5"/>
      <c r="O2674" s="5"/>
      <c r="P2674" s="5"/>
      <c r="Q2674" s="5"/>
      <c r="R2674" s="5"/>
      <c r="S2674" s="5"/>
    </row>
    <row r="2675">
      <c r="A2675" s="5">
        <f>IFERROR(__xludf.DUMMYFUNCTION("""COMPUTED_VALUE"""),28000.0)</f>
        <v>28000</v>
      </c>
      <c r="B2675" s="5" t="str">
        <f>IFERROR(__xludf.DUMMYFUNCTION("""COMPUTED_VALUE"""),"هیأت")</f>
        <v>هیأت</v>
      </c>
      <c r="C2675" s="5" t="str">
        <f>IFERROR(__xludf.DUMMYFUNCTION("""COMPUTED_VALUE"""),"ابوالفضل")</f>
        <v>ابوالفضل</v>
      </c>
      <c r="D2675" s="5" t="str">
        <f>IFERROR(__xludf.DUMMYFUNCTION("""COMPUTED_VALUE"""),"همدان")</f>
        <v>همدان</v>
      </c>
      <c r="E2675" s="5" t="str">
        <f>IFERROR(__xludf.DUMMYFUNCTION("""COMPUTED_VALUE"""),"همدان")</f>
        <v>همدان</v>
      </c>
      <c r="F2675" s="5"/>
      <c r="G2675" s="5"/>
      <c r="H2675" s="6" t="str">
        <f>IFERROR(__xludf.DUMMYFUNCTION("""COMPUTED_VALUE"""),"https://www.instagram.com/heyat.abalfazl_abbas")</f>
        <v>https://www.instagram.com/heyat.abalfazl_abbas</v>
      </c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</row>
    <row r="2676">
      <c r="A2676" s="5">
        <f>IFERROR(__xludf.DUMMYFUNCTION("""COMPUTED_VALUE"""),28001.0)</f>
        <v>28001</v>
      </c>
      <c r="B2676" s="5" t="str">
        <f>IFERROR(__xludf.DUMMYFUNCTION("""COMPUTED_VALUE"""),"هیأت")</f>
        <v>هیأت</v>
      </c>
      <c r="C2676" s="5" t="str">
        <f>IFERROR(__xludf.DUMMYFUNCTION("""COMPUTED_VALUE"""),"چهار باب الحوایج (ع)")</f>
        <v>چهار باب الحوایج (ع)</v>
      </c>
      <c r="D2676" s="5" t="str">
        <f>IFERROR(__xludf.DUMMYFUNCTION("""COMPUTED_VALUE"""),"همدان")</f>
        <v>همدان</v>
      </c>
      <c r="E2676" s="5" t="str">
        <f>IFERROR(__xludf.DUMMYFUNCTION("""COMPUTED_VALUE"""),"همدان")</f>
        <v>همدان</v>
      </c>
      <c r="F2676" s="5"/>
      <c r="G2676" s="5"/>
      <c r="H2676" s="6" t="str">
        <f>IFERROR(__xludf.DUMMYFUNCTION("""COMPUTED_VALUE"""),"https://www.instagram.com/hoseinieh_hmd")</f>
        <v>https://www.instagram.com/hoseinieh_hmd</v>
      </c>
      <c r="I2676" s="5"/>
      <c r="J2676" s="6" t="str">
        <f>IFERROR(__xludf.DUMMYFUNCTION("""COMPUTED_VALUE"""),"https://eitaa.com/hoseinieh_hmd")</f>
        <v>https://eitaa.com/hoseinieh_hmd</v>
      </c>
      <c r="K2676" s="5"/>
      <c r="L2676" s="5"/>
      <c r="M2676" s="5"/>
      <c r="N2676" s="5"/>
      <c r="O2676" s="5"/>
      <c r="P2676" s="5"/>
      <c r="Q2676" s="5"/>
      <c r="R2676" s="5"/>
      <c r="S2676" s="5"/>
    </row>
    <row r="2677">
      <c r="A2677" s="5">
        <f>IFERROR(__xludf.DUMMYFUNCTION("""COMPUTED_VALUE"""),28008.0)</f>
        <v>28008</v>
      </c>
      <c r="B2677" s="5" t="str">
        <f>IFERROR(__xludf.DUMMYFUNCTION("""COMPUTED_VALUE"""),"هیأت")</f>
        <v>هیأت</v>
      </c>
      <c r="C2677" s="5" t="str">
        <f>IFERROR(__xludf.DUMMYFUNCTION("""COMPUTED_VALUE"""),"حضرت ابوالفضل (ع)")</f>
        <v>حضرت ابوالفضل (ع)</v>
      </c>
      <c r="D2677" s="5" t="str">
        <f>IFERROR(__xludf.DUMMYFUNCTION("""COMPUTED_VALUE"""),"همدان")</f>
        <v>همدان</v>
      </c>
      <c r="E2677" s="5" t="str">
        <f>IFERROR(__xludf.DUMMYFUNCTION("""COMPUTED_VALUE"""),"همدان")</f>
        <v>همدان</v>
      </c>
      <c r="F2677" s="5"/>
      <c r="G2677" s="5">
        <f>IFERROR(__xludf.DUMMYFUNCTION("""COMPUTED_VALUE"""),1.0)</f>
        <v>1</v>
      </c>
      <c r="H2677" s="5"/>
      <c r="I2677" s="6" t="str">
        <f>IFERROR(__xludf.DUMMYFUNCTION("""COMPUTED_VALUE"""),"https://t.me/heyatmasjedeyn")</f>
        <v>https://t.me/heyatmasjedeyn</v>
      </c>
      <c r="J2677" s="5"/>
      <c r="K2677" s="5"/>
      <c r="L2677" s="5"/>
      <c r="M2677" s="5"/>
      <c r="N2677" s="5"/>
      <c r="O2677" s="5"/>
      <c r="P2677" s="5"/>
      <c r="Q2677" s="5"/>
      <c r="R2677" s="5"/>
      <c r="S2677" s="5"/>
    </row>
    <row r="2678">
      <c r="A2678" s="5">
        <f>IFERROR(__xludf.DUMMYFUNCTION("""COMPUTED_VALUE"""),28267.0)</f>
        <v>28267</v>
      </c>
      <c r="B2678" s="5" t="str">
        <f>IFERROR(__xludf.DUMMYFUNCTION("""COMPUTED_VALUE"""),"هیأت")</f>
        <v>هیأت</v>
      </c>
      <c r="C2678" s="5" t="str">
        <f>IFERROR(__xludf.DUMMYFUNCTION("""COMPUTED_VALUE"""),"رهروان شهدا")</f>
        <v>رهروان شهدا</v>
      </c>
      <c r="D2678" s="5" t="str">
        <f>IFERROR(__xludf.DUMMYFUNCTION("""COMPUTED_VALUE"""),"همدان")</f>
        <v>همدان</v>
      </c>
      <c r="E2678" s="5" t="str">
        <f>IFERROR(__xludf.DUMMYFUNCTION("""COMPUTED_VALUE"""),"همدان")</f>
        <v>همدان</v>
      </c>
      <c r="F2678" s="5"/>
      <c r="G2678" s="5"/>
      <c r="H2678" s="6" t="str">
        <f>IFERROR(__xludf.DUMMYFUNCTION("""COMPUTED_VALUE"""),"https://www.instagram.com/rahrovan_shohada_hamedan")</f>
        <v>https://www.instagram.com/rahrovan_shohada_hamedan</v>
      </c>
      <c r="I2678" s="5"/>
      <c r="J2678" s="6" t="str">
        <f>IFERROR(__xludf.DUMMYFUNCTION("""COMPUTED_VALUE"""),"https://eitaa.com/hoseinsafinatonnejat313")</f>
        <v>https://eitaa.com/hoseinsafinatonnejat313</v>
      </c>
      <c r="K2678" s="5"/>
      <c r="L2678" s="5"/>
      <c r="M2678" s="5"/>
      <c r="N2678" s="5"/>
      <c r="O2678" s="5"/>
      <c r="P2678" s="5"/>
      <c r="Q2678" s="5"/>
      <c r="R2678" s="5"/>
      <c r="S2678" s="5"/>
    </row>
    <row r="2679">
      <c r="A2679" s="5">
        <f>IFERROR(__xludf.DUMMYFUNCTION("""COMPUTED_VALUE"""),29013.0)</f>
        <v>29013</v>
      </c>
      <c r="B2679" s="5" t="str">
        <f>IFERROR(__xludf.DUMMYFUNCTION("""COMPUTED_VALUE"""),"هیأت")</f>
        <v>هیأت</v>
      </c>
      <c r="C2679" s="5" t="str">
        <f>IFERROR(__xludf.DUMMYFUNCTION("""COMPUTED_VALUE"""),"عاشقان ابوالفضل(ع)")</f>
        <v>عاشقان ابوالفضل(ع)</v>
      </c>
      <c r="D2679" s="5" t="str">
        <f>IFERROR(__xludf.DUMMYFUNCTION("""COMPUTED_VALUE"""),"همدان")</f>
        <v>همدان</v>
      </c>
      <c r="E2679" s="5" t="str">
        <f>IFERROR(__xludf.DUMMYFUNCTION("""COMPUTED_VALUE"""),"اسدآباد")</f>
        <v>اسدآباد</v>
      </c>
      <c r="F2679" s="5"/>
      <c r="G2679" s="5"/>
      <c r="H2679" s="5"/>
      <c r="I2679" s="5"/>
      <c r="J2679" s="6" t="str">
        <f>IFERROR(__xludf.DUMMYFUNCTION("""COMPUTED_VALUE"""),"https://eitaa.com/asheghaneabalfazll1383")</f>
        <v>https://eitaa.com/asheghaneabalfazll1383</v>
      </c>
      <c r="K2679" s="5"/>
      <c r="L2679" s="5"/>
      <c r="M2679" s="5"/>
      <c r="N2679" s="5"/>
      <c r="O2679" s="5"/>
      <c r="P2679" s="5"/>
      <c r="Q2679" s="5"/>
      <c r="R2679" s="5"/>
      <c r="S2679" s="5"/>
    </row>
    <row r="2680">
      <c r="A2680" s="5">
        <f>IFERROR(__xludf.DUMMYFUNCTION("""COMPUTED_VALUE"""),29126.0)</f>
        <v>29126</v>
      </c>
      <c r="B2680" s="5" t="str">
        <f>IFERROR(__xludf.DUMMYFUNCTION("""COMPUTED_VALUE"""),"هیأت")</f>
        <v>هیأت</v>
      </c>
      <c r="C2680" s="5" t="str">
        <f>IFERROR(__xludf.DUMMYFUNCTION("""COMPUTED_VALUE"""),"سیدالشباب")</f>
        <v>سیدالشباب</v>
      </c>
      <c r="D2680" s="5" t="str">
        <f>IFERROR(__xludf.DUMMYFUNCTION("""COMPUTED_VALUE"""),"همدان")</f>
        <v>همدان</v>
      </c>
      <c r="E2680" s="5" t="str">
        <f>IFERROR(__xludf.DUMMYFUNCTION("""COMPUTED_VALUE"""),"همدان")</f>
        <v>همدان</v>
      </c>
      <c r="F2680" s="5"/>
      <c r="G2680" s="5"/>
      <c r="H2680" s="6" t="str">
        <f>IFERROR(__xludf.DUMMYFUNCTION("""COMPUTED_VALUE"""),"https://www.instagram.com/heyat_sayedalshabab")</f>
        <v>https://www.instagram.com/heyat_sayedalshabab</v>
      </c>
      <c r="I2680" s="6" t="str">
        <f>IFERROR(__xludf.DUMMYFUNCTION("""COMPUTED_VALUE"""),"https://t.me/heyat_sayedalshabab")</f>
        <v>https://t.me/heyat_sayedalshabab</v>
      </c>
      <c r="J2680" s="6" t="str">
        <f>IFERROR(__xludf.DUMMYFUNCTION("""COMPUTED_VALUE"""),"https://eitaa.com/heyat_sayedalshabab")</f>
        <v>https://eitaa.com/heyat_sayedalshabab</v>
      </c>
      <c r="K2680" s="5"/>
      <c r="L2680" s="5"/>
      <c r="M2680" s="5"/>
      <c r="N2680" s="5"/>
      <c r="O2680" s="5"/>
      <c r="P2680" s="5"/>
      <c r="Q2680" s="5"/>
      <c r="R2680" s="5"/>
      <c r="S2680" s="5"/>
    </row>
    <row r="2681">
      <c r="A2681" s="5">
        <f>IFERROR(__xludf.DUMMYFUNCTION("""COMPUTED_VALUE"""),29180.0)</f>
        <v>29180</v>
      </c>
      <c r="B2681" s="5" t="str">
        <f>IFERROR(__xludf.DUMMYFUNCTION("""COMPUTED_VALUE"""),"هیأت")</f>
        <v>هیأت</v>
      </c>
      <c r="C2681" s="5" t="str">
        <f>IFERROR(__xludf.DUMMYFUNCTION("""COMPUTED_VALUE"""),"حسینی شاهزاده محمد")</f>
        <v>حسینی شاهزاده محمد</v>
      </c>
      <c r="D2681" s="5" t="str">
        <f>IFERROR(__xludf.DUMMYFUNCTION("""COMPUTED_VALUE"""),"همدان")</f>
        <v>همدان</v>
      </c>
      <c r="E2681" s="5" t="str">
        <f>IFERROR(__xludf.DUMMYFUNCTION("""COMPUTED_VALUE"""),"نهاوند")</f>
        <v>نهاوند</v>
      </c>
      <c r="F2681" s="5"/>
      <c r="G2681" s="5"/>
      <c r="H2681" s="6" t="str">
        <f>IFERROR(__xludf.DUMMYFUNCTION("""COMPUTED_VALUE"""),"http://instagram.com/heyat_shahzadehmohamad")</f>
        <v>http://instagram.com/heyat_shahzadehmohamad</v>
      </c>
      <c r="I2681" s="6" t="str">
        <f>IFERROR(__xludf.DUMMYFUNCTION("""COMPUTED_VALUE"""),"https://t.me/heyat_shahzademohamad_nahavand")</f>
        <v>https://t.me/heyat_shahzademohamad_nahavand</v>
      </c>
      <c r="J2681" s="5"/>
      <c r="K2681" s="5"/>
      <c r="L2681" s="5"/>
      <c r="M2681" s="5"/>
      <c r="N2681" s="5"/>
      <c r="O2681" s="5"/>
      <c r="P2681" s="5"/>
      <c r="Q2681" s="5"/>
      <c r="R2681" s="5"/>
      <c r="S2681" s="5"/>
    </row>
    <row r="2682">
      <c r="A2682" s="5">
        <f>IFERROR(__xludf.DUMMYFUNCTION("""COMPUTED_VALUE"""),29424.0)</f>
        <v>29424</v>
      </c>
      <c r="B2682" s="5" t="str">
        <f>IFERROR(__xludf.DUMMYFUNCTION("""COMPUTED_VALUE"""),"هیأت")</f>
        <v>هیأت</v>
      </c>
      <c r="C2682" s="5" t="str">
        <f>IFERROR(__xludf.DUMMYFUNCTION("""COMPUTED_VALUE"""),"ریحانه الحسین")</f>
        <v>ریحانه الحسین</v>
      </c>
      <c r="D2682" s="5" t="str">
        <f>IFERROR(__xludf.DUMMYFUNCTION("""COMPUTED_VALUE"""),"همدان")</f>
        <v>همدان</v>
      </c>
      <c r="E2682" s="5" t="str">
        <f>IFERROR(__xludf.DUMMYFUNCTION("""COMPUTED_VALUE"""),"نهاوند")</f>
        <v>نهاوند</v>
      </c>
      <c r="F2682" s="5"/>
      <c r="G2682" s="5"/>
      <c r="H2682" s="6" t="str">
        <f>IFERROR(__xludf.DUMMYFUNCTION("""COMPUTED_VALUE"""),"https://www.instagram.com/Reyhanatolhossein_nahavand/")</f>
        <v>https://www.instagram.com/Reyhanatolhossein_nahavand/</v>
      </c>
      <c r="I2682" s="5"/>
      <c r="J2682" s="6" t="str">
        <f>IFERROR(__xludf.DUMMYFUNCTION("""COMPUTED_VALUE"""),"https://eitaa.com/Reyhanatolhossein_nahavand")</f>
        <v>https://eitaa.com/Reyhanatolhossein_nahavand</v>
      </c>
      <c r="K2682" s="5"/>
      <c r="L2682" s="5"/>
      <c r="M2682" s="5"/>
      <c r="N2682" s="5"/>
      <c r="O2682" s="5"/>
      <c r="P2682" s="5"/>
      <c r="Q2682" s="5"/>
      <c r="R2682" s="5"/>
      <c r="S2682" s="5"/>
    </row>
    <row r="2683">
      <c r="A2683" s="5">
        <f>IFERROR(__xludf.DUMMYFUNCTION("""COMPUTED_VALUE"""),29774.0)</f>
        <v>29774</v>
      </c>
      <c r="B2683" s="5" t="str">
        <f>IFERROR(__xludf.DUMMYFUNCTION("""COMPUTED_VALUE"""),"هیأت")</f>
        <v>هیأت</v>
      </c>
      <c r="C2683" s="5" t="str">
        <f>IFERROR(__xludf.DUMMYFUNCTION("""COMPUTED_VALUE"""),"قمربنی هاشم (ع)")</f>
        <v>قمربنی هاشم (ع)</v>
      </c>
      <c r="D2683" s="5" t="str">
        <f>IFERROR(__xludf.DUMMYFUNCTION("""COMPUTED_VALUE"""),"همدان")</f>
        <v>همدان</v>
      </c>
      <c r="E2683" s="5" t="str">
        <f>IFERROR(__xludf.DUMMYFUNCTION("""COMPUTED_VALUE"""),"همدان")</f>
        <v>همدان</v>
      </c>
      <c r="F2683" s="5"/>
      <c r="G2683" s="5"/>
      <c r="H2683" s="6" t="str">
        <f>IFERROR(__xludf.DUMMYFUNCTION("""COMPUTED_VALUE"""),"https://www.instagram.com/heyate_ghamarebanihashem.133")</f>
        <v>https://www.instagram.com/heyate_ghamarebanihashem.133</v>
      </c>
      <c r="I2683" s="5"/>
      <c r="J2683" s="6" t="str">
        <f>IFERROR(__xludf.DUMMYFUNCTION("""COMPUTED_VALUE"""),"https://eitaa.com/ghamarbanihashem113")</f>
        <v>https://eitaa.com/ghamarbanihashem113</v>
      </c>
      <c r="K2683" s="5"/>
      <c r="L2683" s="5"/>
      <c r="M2683" s="5"/>
      <c r="N2683" s="5"/>
      <c r="O2683" s="5"/>
      <c r="P2683" s="5"/>
      <c r="Q2683" s="5"/>
      <c r="R2683" s="5"/>
      <c r="S2683" s="5"/>
    </row>
    <row r="2684">
      <c r="A2684" s="5">
        <f>IFERROR(__xludf.DUMMYFUNCTION("""COMPUTED_VALUE"""),29776.0)</f>
        <v>29776</v>
      </c>
      <c r="B2684" s="5" t="str">
        <f>IFERROR(__xludf.DUMMYFUNCTION("""COMPUTED_VALUE"""),"هیأت")</f>
        <v>هیأت</v>
      </c>
      <c r="C2684" s="5" t="str">
        <f>IFERROR(__xludf.DUMMYFUNCTION("""COMPUTED_VALUE"""),"عشاق الحسین (ع)")</f>
        <v>عشاق الحسین (ع)</v>
      </c>
      <c r="D2684" s="5" t="str">
        <f>IFERROR(__xludf.DUMMYFUNCTION("""COMPUTED_VALUE"""),"همدان")</f>
        <v>همدان</v>
      </c>
      <c r="E2684" s="5" t="str">
        <f>IFERROR(__xludf.DUMMYFUNCTION("""COMPUTED_VALUE"""),"ملایر")</f>
        <v>ملایر</v>
      </c>
      <c r="F2684" s="5"/>
      <c r="G2684" s="5"/>
      <c r="H2684" s="6" t="str">
        <f>IFERROR(__xludf.DUMMYFUNCTION("""COMPUTED_VALUE"""),"https://www.instagram.com/oshagholhossein_/")</f>
        <v>https://www.instagram.com/oshagholhossein_/</v>
      </c>
      <c r="I2684" s="6" t="str">
        <f>IFERROR(__xludf.DUMMYFUNCTION("""COMPUTED_VALUE"""),"t.me/oshagholhossein_1")</f>
        <v>t.me/oshagholhossein_1</v>
      </c>
      <c r="J2684" s="5"/>
      <c r="K2684" s="5"/>
      <c r="L2684" s="5"/>
      <c r="M2684" s="5"/>
      <c r="N2684" s="5"/>
      <c r="O2684" s="5"/>
      <c r="P2684" s="5"/>
      <c r="Q2684" s="5"/>
      <c r="R2684" s="5"/>
      <c r="S2684" s="5"/>
    </row>
    <row r="2685">
      <c r="A2685" s="5">
        <f>IFERROR(__xludf.DUMMYFUNCTION("""COMPUTED_VALUE"""),29777.0)</f>
        <v>29777</v>
      </c>
      <c r="B2685" s="5" t="str">
        <f>IFERROR(__xludf.DUMMYFUNCTION("""COMPUTED_VALUE"""),"هیأت")</f>
        <v>هیأت</v>
      </c>
      <c r="C2685" s="5" t="str">
        <f>IFERROR(__xludf.DUMMYFUNCTION("""COMPUTED_VALUE"""),"الزهرا (س)")</f>
        <v>الزهرا (س)</v>
      </c>
      <c r="D2685" s="5" t="str">
        <f>IFERROR(__xludf.DUMMYFUNCTION("""COMPUTED_VALUE"""),"همدان")</f>
        <v>همدان</v>
      </c>
      <c r="E2685" s="5" t="str">
        <f>IFERROR(__xludf.DUMMYFUNCTION("""COMPUTED_VALUE"""),"نهاوند")</f>
        <v>نهاوند</v>
      </c>
      <c r="F2685" s="5"/>
      <c r="G2685" s="5"/>
      <c r="H2685" s="5"/>
      <c r="I2685" s="5"/>
      <c r="J2685" s="6" t="str">
        <f>IFERROR(__xludf.DUMMYFUNCTION("""COMPUTED_VALUE"""),"https://eitaa.com/heiatalzahranahavand")</f>
        <v>https://eitaa.com/heiatalzahranahavand</v>
      </c>
      <c r="K2685" s="5"/>
      <c r="L2685" s="5"/>
      <c r="M2685" s="5"/>
      <c r="N2685" s="5"/>
      <c r="O2685" s="5"/>
      <c r="P2685" s="5"/>
      <c r="Q2685" s="5"/>
      <c r="R2685" s="5"/>
      <c r="S2685" s="5"/>
    </row>
    <row r="2686">
      <c r="A2686" s="5">
        <f>IFERROR(__xludf.DUMMYFUNCTION("""COMPUTED_VALUE"""),30303.0)</f>
        <v>30303</v>
      </c>
      <c r="B2686" s="5" t="str">
        <f>IFERROR(__xludf.DUMMYFUNCTION("""COMPUTED_VALUE"""),"هیأت")</f>
        <v>هیأت</v>
      </c>
      <c r="C2686" s="5" t="str">
        <f>IFERROR(__xludf.DUMMYFUNCTION("""COMPUTED_VALUE"""),"محمد رسول الله (ص)")</f>
        <v>محمد رسول الله (ص)</v>
      </c>
      <c r="D2686" s="5" t="str">
        <f>IFERROR(__xludf.DUMMYFUNCTION("""COMPUTED_VALUE"""),"همدان")</f>
        <v>همدان</v>
      </c>
      <c r="E2686" s="5" t="str">
        <f>IFERROR(__xludf.DUMMYFUNCTION("""COMPUTED_VALUE"""),"همدان")</f>
        <v>همدان</v>
      </c>
      <c r="F2686" s="5"/>
      <c r="G2686" s="5"/>
      <c r="H2686" s="6" t="str">
        <f>IFERROR(__xludf.DUMMYFUNCTION("""COMPUTED_VALUE"""),"https://www.instagram.com/rasolemehr")</f>
        <v>https://www.instagram.com/rasolemehr</v>
      </c>
      <c r="I2686" s="5"/>
      <c r="J2686" s="6" t="str">
        <f>IFERROR(__xludf.DUMMYFUNCTION("""COMPUTED_VALUE"""),"https://eitaa.com/heyatemohamadrasololah")</f>
        <v>https://eitaa.com/heyatemohamadrasololah</v>
      </c>
      <c r="K2686" s="5"/>
      <c r="L2686" s="5"/>
      <c r="M2686" s="5"/>
      <c r="N2686" s="5"/>
      <c r="O2686" s="5"/>
      <c r="P2686" s="5"/>
      <c r="Q2686" s="5"/>
      <c r="R2686" s="5"/>
      <c r="S2686" s="5"/>
    </row>
    <row r="2687">
      <c r="A2687" s="5">
        <f>IFERROR(__xludf.DUMMYFUNCTION("""COMPUTED_VALUE"""),30310.0)</f>
        <v>30310</v>
      </c>
      <c r="B2687" s="5" t="str">
        <f>IFERROR(__xludf.DUMMYFUNCTION("""COMPUTED_VALUE"""),"هیأت")</f>
        <v>هیأت</v>
      </c>
      <c r="C2687" s="5" t="str">
        <f>IFERROR(__xludf.DUMMYFUNCTION("""COMPUTED_VALUE"""),"باب الحوایج (ع)")</f>
        <v>باب الحوایج (ع)</v>
      </c>
      <c r="D2687" s="5" t="str">
        <f>IFERROR(__xludf.DUMMYFUNCTION("""COMPUTED_VALUE"""),"همدان")</f>
        <v>همدان</v>
      </c>
      <c r="E2687" s="5" t="str">
        <f>IFERROR(__xludf.DUMMYFUNCTION("""COMPUTED_VALUE"""),"همدان")</f>
        <v>همدان</v>
      </c>
      <c r="F2687" s="5"/>
      <c r="G2687" s="5"/>
      <c r="H2687" s="6" t="str">
        <f>IFERROR(__xludf.DUMMYFUNCTION("""COMPUTED_VALUE"""),"https://www.instagram.com/heyat.babolhavaej.hamedan")</f>
        <v>https://www.instagram.com/heyat.babolhavaej.hamedan</v>
      </c>
      <c r="I2687" s="6" t="str">
        <f>IFERROR(__xludf.DUMMYFUNCTION("""COMPUTED_VALUE"""),"https://t.me/babolhavaej_hamedan")</f>
        <v>https://t.me/babolhavaej_hamedan</v>
      </c>
      <c r="J2687" s="6" t="str">
        <f>IFERROR(__xludf.DUMMYFUNCTION("""COMPUTED_VALUE"""),"https://eitaa.com/babolhavaej_hamedan")</f>
        <v>https://eitaa.com/babolhavaej_hamedan</v>
      </c>
      <c r="K2687" s="5"/>
      <c r="L2687" s="5"/>
      <c r="M2687" s="5"/>
      <c r="N2687" s="5"/>
      <c r="O2687" s="5"/>
      <c r="P2687" s="5"/>
      <c r="Q2687" s="5"/>
      <c r="R2687" s="5"/>
      <c r="S2687" s="5"/>
    </row>
    <row r="2688">
      <c r="A2688" s="5">
        <f>IFERROR(__xludf.DUMMYFUNCTION("""COMPUTED_VALUE"""),31255.0)</f>
        <v>31255</v>
      </c>
      <c r="B2688" s="5" t="str">
        <f>IFERROR(__xludf.DUMMYFUNCTION("""COMPUTED_VALUE"""),"هیأت")</f>
        <v>هیأت</v>
      </c>
      <c r="C2688" s="5" t="str">
        <f>IFERROR(__xludf.DUMMYFUNCTION("""COMPUTED_VALUE"""),"مکتب الزینب (س)")</f>
        <v>مکتب الزینب (س)</v>
      </c>
      <c r="D2688" s="5" t="str">
        <f>IFERROR(__xludf.DUMMYFUNCTION("""COMPUTED_VALUE"""),"همدان")</f>
        <v>همدان</v>
      </c>
      <c r="E2688" s="5" t="str">
        <f>IFERROR(__xludf.DUMMYFUNCTION("""COMPUTED_VALUE"""),"همدان")</f>
        <v>همدان</v>
      </c>
      <c r="F2688" s="5"/>
      <c r="G2688" s="5"/>
      <c r="H2688" s="6" t="str">
        <f>IFERROR(__xludf.DUMMYFUNCTION("""COMPUTED_VALUE"""),"https://www.instagram.com/maktabezeinab_hamedan")</f>
        <v>https://www.instagram.com/maktabezeinab_hamedan</v>
      </c>
      <c r="I2688" s="5"/>
      <c r="J2688" s="6" t="str">
        <f>IFERROR(__xludf.DUMMYFUNCTION("""COMPUTED_VALUE"""),"https://eitaa.com/maktabezeinab_hamedan")</f>
        <v>https://eitaa.com/maktabezeinab_hamedan</v>
      </c>
      <c r="K2688" s="5"/>
      <c r="L2688" s="5"/>
      <c r="M2688" s="5"/>
      <c r="N2688" s="5"/>
      <c r="O2688" s="5"/>
      <c r="P2688" s="5"/>
      <c r="Q2688" s="5"/>
      <c r="R2688" s="5"/>
      <c r="S2688" s="5"/>
    </row>
    <row r="2689">
      <c r="A2689" s="5">
        <f>IFERROR(__xludf.DUMMYFUNCTION("""COMPUTED_VALUE"""),31372.0)</f>
        <v>31372</v>
      </c>
      <c r="B2689" s="5" t="str">
        <f>IFERROR(__xludf.DUMMYFUNCTION("""COMPUTED_VALUE"""),"هیأت")</f>
        <v>هیأت</v>
      </c>
      <c r="C2689" s="5" t="str">
        <f>IFERROR(__xludf.DUMMYFUNCTION("""COMPUTED_VALUE"""),"آل یاسین")</f>
        <v>آل یاسین</v>
      </c>
      <c r="D2689" s="5" t="str">
        <f>IFERROR(__xludf.DUMMYFUNCTION("""COMPUTED_VALUE"""),"همدان")</f>
        <v>همدان</v>
      </c>
      <c r="E2689" s="5" t="str">
        <f>IFERROR(__xludf.DUMMYFUNCTION("""COMPUTED_VALUE"""),"همدان")</f>
        <v>همدان</v>
      </c>
      <c r="F2689" s="5"/>
      <c r="G2689" s="5"/>
      <c r="H2689" s="5"/>
      <c r="I2689" s="5"/>
      <c r="J2689" s="6" t="str">
        <f>IFERROR(__xludf.DUMMYFUNCTION("""COMPUTED_VALUE"""),"https://eitaa.com/AlYassinheyat1404")</f>
        <v>https://eitaa.com/AlYassinheyat1404</v>
      </c>
      <c r="K2689" s="5"/>
      <c r="L2689" s="5"/>
      <c r="M2689" s="5"/>
      <c r="N2689" s="5"/>
      <c r="O2689" s="5"/>
      <c r="P2689" s="5"/>
      <c r="Q2689" s="5"/>
      <c r="R2689" s="5"/>
      <c r="S2689" s="5"/>
    </row>
    <row r="2690">
      <c r="A2690" s="5">
        <f>IFERROR(__xludf.DUMMYFUNCTION("""COMPUTED_VALUE"""),31750.0)</f>
        <v>31750</v>
      </c>
      <c r="B2690" s="5" t="str">
        <f>IFERROR(__xludf.DUMMYFUNCTION("""COMPUTED_VALUE"""),"هیأت")</f>
        <v>هیأت</v>
      </c>
      <c r="C2690" s="5" t="str">
        <f>IFERROR(__xludf.DUMMYFUNCTION("""COMPUTED_VALUE"""),"صاحب الزمان (عج)")</f>
        <v>صاحب الزمان (عج)</v>
      </c>
      <c r="D2690" s="5" t="str">
        <f>IFERROR(__xludf.DUMMYFUNCTION("""COMPUTED_VALUE"""),"همدان")</f>
        <v>همدان</v>
      </c>
      <c r="E2690" s="5" t="str">
        <f>IFERROR(__xludf.DUMMYFUNCTION("""COMPUTED_VALUE"""),"همدان")</f>
        <v>همدان</v>
      </c>
      <c r="F2690" s="5"/>
      <c r="G2690" s="5"/>
      <c r="H2690" s="5"/>
      <c r="I2690" s="5"/>
      <c r="J2690" s="6" t="str">
        <f>IFERROR(__xludf.DUMMYFUNCTION("""COMPUTED_VALUE"""),"https://eitaa.com/sahebalzaman_n")</f>
        <v>https://eitaa.com/sahebalzaman_n</v>
      </c>
      <c r="K2690" s="5"/>
      <c r="L2690" s="5"/>
      <c r="M2690" s="5"/>
      <c r="N2690" s="5"/>
      <c r="O2690" s="5"/>
      <c r="P2690" s="5"/>
      <c r="Q2690" s="5"/>
      <c r="R2690" s="5"/>
      <c r="S2690" s="5"/>
    </row>
    <row r="2691">
      <c r="A2691" s="5">
        <f>IFERROR(__xludf.DUMMYFUNCTION("""COMPUTED_VALUE"""),31947.0)</f>
        <v>31947</v>
      </c>
      <c r="B2691" s="5" t="str">
        <f>IFERROR(__xludf.DUMMYFUNCTION("""COMPUTED_VALUE"""),"هیأت")</f>
        <v>هیأت</v>
      </c>
      <c r="C2691" s="5" t="str">
        <f>IFERROR(__xludf.DUMMYFUNCTION("""COMPUTED_VALUE"""),"اباصالح المهدی عج بازار")</f>
        <v>اباصالح المهدی عج بازار</v>
      </c>
      <c r="D2691" s="5" t="str">
        <f>IFERROR(__xludf.DUMMYFUNCTION("""COMPUTED_VALUE"""),"همدان")</f>
        <v>همدان</v>
      </c>
      <c r="E2691" s="5" t="str">
        <f>IFERROR(__xludf.DUMMYFUNCTION("""COMPUTED_VALUE"""),"نهاوند")</f>
        <v>نهاوند</v>
      </c>
      <c r="F2691" s="5"/>
      <c r="G2691" s="5"/>
      <c r="H2691" s="6" t="str">
        <f>IFERROR(__xludf.DUMMYFUNCTION("""COMPUTED_VALUE"""),"https://www.instagram.com/heyat_aba.saleh_nahavand/")</f>
        <v>https://www.instagram.com/heyat_aba.saleh_nahavand/</v>
      </c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</row>
    <row r="2692">
      <c r="A2692" s="5">
        <f>IFERROR(__xludf.DUMMYFUNCTION("""COMPUTED_VALUE"""),31948.0)</f>
        <v>31948</v>
      </c>
      <c r="B2692" s="5" t="str">
        <f>IFERROR(__xludf.DUMMYFUNCTION("""COMPUTED_VALUE"""),"هیأت")</f>
        <v>هیأت</v>
      </c>
      <c r="C2692" s="5" t="str">
        <f>IFERROR(__xludf.DUMMYFUNCTION("""COMPUTED_VALUE"""),"شاهزاده علی اکبر (ع)")</f>
        <v>شاهزاده علی اکبر (ع)</v>
      </c>
      <c r="D2692" s="5" t="str">
        <f>IFERROR(__xludf.DUMMYFUNCTION("""COMPUTED_VALUE"""),"همدان")</f>
        <v>همدان</v>
      </c>
      <c r="E2692" s="5" t="str">
        <f>IFERROR(__xludf.DUMMYFUNCTION("""COMPUTED_VALUE"""),"همدان")</f>
        <v>همدان</v>
      </c>
      <c r="F2692" s="5"/>
      <c r="G2692" s="5"/>
      <c r="H2692" s="6" t="str">
        <f>IFERROR(__xludf.DUMMYFUNCTION("""COMPUTED_VALUE"""),"https://www.instagram.com/shahzadeh.aliakbar_info")</f>
        <v>https://www.instagram.com/shahzadeh.aliakbar_info</v>
      </c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</row>
    <row r="2693">
      <c r="A2693" s="5">
        <f>IFERROR(__xludf.DUMMYFUNCTION("""COMPUTED_VALUE"""),31949.0)</f>
        <v>31949</v>
      </c>
      <c r="B2693" s="5" t="str">
        <f>IFERROR(__xludf.DUMMYFUNCTION("""COMPUTED_VALUE"""),"هیأت")</f>
        <v>هیأت</v>
      </c>
      <c r="C2693" s="5" t="str">
        <f>IFERROR(__xludf.DUMMYFUNCTION("""COMPUTED_VALUE"""),"العباس")</f>
        <v>العباس</v>
      </c>
      <c r="D2693" s="5" t="str">
        <f>IFERROR(__xludf.DUMMYFUNCTION("""COMPUTED_VALUE"""),"همدان")</f>
        <v>همدان</v>
      </c>
      <c r="E2693" s="5" t="str">
        <f>IFERROR(__xludf.DUMMYFUNCTION("""COMPUTED_VALUE"""),"همدان")</f>
        <v>همدان</v>
      </c>
      <c r="F2693" s="5"/>
      <c r="G2693" s="5"/>
      <c r="H2693" s="6" t="str">
        <f>IFERROR(__xludf.DUMMYFUNCTION("""COMPUTED_VALUE"""),"https://www.instagram.com/heyatalabbas")</f>
        <v>https://www.instagram.com/heyatalabbas</v>
      </c>
      <c r="I2693" s="5"/>
      <c r="J2693" s="6" t="str">
        <f>IFERROR(__xludf.DUMMYFUNCTION("""COMPUTED_VALUE"""),"https://eitaa.com/heyatalabas")</f>
        <v>https://eitaa.com/heyatalabas</v>
      </c>
      <c r="K2693" s="5"/>
      <c r="L2693" s="5"/>
      <c r="M2693" s="5"/>
      <c r="N2693" s="5"/>
      <c r="O2693" s="5"/>
      <c r="P2693" s="5"/>
      <c r="Q2693" s="5"/>
      <c r="R2693" s="5"/>
      <c r="S2693" s="5"/>
    </row>
    <row r="2694">
      <c r="A2694" s="5">
        <f>IFERROR(__xludf.DUMMYFUNCTION("""COMPUTED_VALUE"""),31959.0)</f>
        <v>31959</v>
      </c>
      <c r="B2694" s="5" t="str">
        <f>IFERROR(__xludf.DUMMYFUNCTION("""COMPUTED_VALUE"""),"هیأت")</f>
        <v>هیأت</v>
      </c>
      <c r="C2694" s="5" t="str">
        <f>IFERROR(__xludf.DUMMYFUNCTION("""COMPUTED_VALUE"""),"تربت")</f>
        <v>تربت</v>
      </c>
      <c r="D2694" s="5" t="str">
        <f>IFERROR(__xludf.DUMMYFUNCTION("""COMPUTED_VALUE"""),"همدان")</f>
        <v>همدان</v>
      </c>
      <c r="E2694" s="5" t="str">
        <f>IFERROR(__xludf.DUMMYFUNCTION("""COMPUTED_VALUE"""),"همدان")</f>
        <v>همدان</v>
      </c>
      <c r="F2694" s="5"/>
      <c r="G2694" s="5"/>
      <c r="H2694" s="6" t="str">
        <f>IFERROR(__xludf.DUMMYFUNCTION("""COMPUTED_VALUE"""),"https://www.instagram.com/heyattorbat")</f>
        <v>https://www.instagram.com/heyattorbat</v>
      </c>
      <c r="I2694" s="6" t="str">
        <f>IFERROR(__xludf.DUMMYFUNCTION("""COMPUTED_VALUE"""),"https://t.me/heyattorbat")</f>
        <v>https://t.me/heyattorbat</v>
      </c>
      <c r="J2694" s="5"/>
      <c r="K2694" s="5"/>
      <c r="L2694" s="5"/>
      <c r="M2694" s="5"/>
      <c r="N2694" s="5"/>
      <c r="O2694" s="5"/>
      <c r="P2694" s="5"/>
      <c r="Q2694" s="5"/>
      <c r="R2694" s="5"/>
      <c r="S2694" s="5"/>
    </row>
    <row r="2695">
      <c r="A2695" s="5">
        <f>IFERROR(__xludf.DUMMYFUNCTION("""COMPUTED_VALUE"""),31960.0)</f>
        <v>31960</v>
      </c>
      <c r="B2695" s="5" t="str">
        <f>IFERROR(__xludf.DUMMYFUNCTION("""COMPUTED_VALUE"""),"هیأت")</f>
        <v>هیأت</v>
      </c>
      <c r="C2695" s="5" t="str">
        <f>IFERROR(__xludf.DUMMYFUNCTION("""COMPUTED_VALUE"""),"مجموعه فرهنگی و تربیتی ثارالله")</f>
        <v>مجموعه فرهنگی و تربیتی ثارالله</v>
      </c>
      <c r="D2695" s="5" t="str">
        <f>IFERROR(__xludf.DUMMYFUNCTION("""COMPUTED_VALUE"""),"همدان")</f>
        <v>همدان</v>
      </c>
      <c r="E2695" s="5" t="str">
        <f>IFERROR(__xludf.DUMMYFUNCTION("""COMPUTED_VALUE"""),"همدان")</f>
        <v>همدان</v>
      </c>
      <c r="F2695" s="5"/>
      <c r="G2695" s="5"/>
      <c r="H2695" s="6" t="str">
        <f>IFERROR(__xludf.DUMMYFUNCTION("""COMPUTED_VALUE"""),"https://www.instagram.com/sarallah_hmd")</f>
        <v>https://www.instagram.com/sarallah_hmd</v>
      </c>
      <c r="I2695" s="5"/>
      <c r="J2695" s="6" t="str">
        <f>IFERROR(__xludf.DUMMYFUNCTION("""COMPUTED_VALUE"""),"https://eitaa.com/sarallah_hmd")</f>
        <v>https://eitaa.com/sarallah_hmd</v>
      </c>
      <c r="K2695" s="5"/>
      <c r="L2695" s="5"/>
      <c r="M2695" s="5"/>
      <c r="N2695" s="5"/>
      <c r="O2695" s="5"/>
      <c r="P2695" s="5"/>
      <c r="Q2695" s="5"/>
      <c r="R2695" s="5"/>
      <c r="S2695" s="5"/>
    </row>
    <row r="2696">
      <c r="A2696" s="5">
        <f>IFERROR(__xludf.DUMMYFUNCTION("""COMPUTED_VALUE"""),31997.0)</f>
        <v>31997</v>
      </c>
      <c r="B2696" s="5" t="str">
        <f>IFERROR(__xludf.DUMMYFUNCTION("""COMPUTED_VALUE"""),"هیأت")</f>
        <v>هیأت</v>
      </c>
      <c r="C2696" s="5" t="str">
        <f>IFERROR(__xludf.DUMMYFUNCTION("""COMPUTED_VALUE"""),"هنر")</f>
        <v>هنر</v>
      </c>
      <c r="D2696" s="5" t="str">
        <f>IFERROR(__xludf.DUMMYFUNCTION("""COMPUTED_VALUE"""),"همدان")</f>
        <v>همدان</v>
      </c>
      <c r="E2696" s="5" t="str">
        <f>IFERROR(__xludf.DUMMYFUNCTION("""COMPUTED_VALUE"""),"همدان")</f>
        <v>همدان</v>
      </c>
      <c r="F2696" s="5"/>
      <c r="G2696" s="5"/>
      <c r="H2696" s="6" t="str">
        <f>IFERROR(__xludf.DUMMYFUNCTION("""COMPUTED_VALUE"""),"https://www.instagram.com/heyathonar_hmd")</f>
        <v>https://www.instagram.com/heyathonar_hmd</v>
      </c>
      <c r="I2696" s="5"/>
      <c r="J2696" s="6" t="str">
        <f>IFERROR(__xludf.DUMMYFUNCTION("""COMPUTED_VALUE"""),"https://eitaa.com/heyathonar_hmd")</f>
        <v>https://eitaa.com/heyathonar_hmd</v>
      </c>
      <c r="K2696" s="5"/>
      <c r="L2696" s="5"/>
      <c r="M2696" s="5"/>
      <c r="N2696" s="5"/>
      <c r="O2696" s="5"/>
      <c r="P2696" s="5"/>
      <c r="Q2696" s="5"/>
      <c r="R2696" s="5"/>
      <c r="S2696" s="5"/>
    </row>
    <row r="2697">
      <c r="A2697" s="5">
        <f>IFERROR(__xludf.DUMMYFUNCTION("""COMPUTED_VALUE"""),31998.0)</f>
        <v>31998</v>
      </c>
      <c r="B2697" s="5" t="str">
        <f>IFERROR(__xludf.DUMMYFUNCTION("""COMPUTED_VALUE"""),"هیأت")</f>
        <v>هیأت</v>
      </c>
      <c r="C2697" s="5" t="str">
        <f>IFERROR(__xludf.DUMMYFUNCTION("""COMPUTED_VALUE"""),"قرآنی حضرت علی بن ابیطالب (ع)")</f>
        <v>قرآنی حضرت علی بن ابیطالب (ع)</v>
      </c>
      <c r="D2697" s="5" t="str">
        <f>IFERROR(__xludf.DUMMYFUNCTION("""COMPUTED_VALUE"""),"همدان")</f>
        <v>همدان</v>
      </c>
      <c r="E2697" s="5" t="str">
        <f>IFERROR(__xludf.DUMMYFUNCTION("""COMPUTED_VALUE"""),"همدان")</f>
        <v>همدان</v>
      </c>
      <c r="F2697" s="5"/>
      <c r="G2697" s="5"/>
      <c r="H2697" s="6" t="str">
        <f>IFERROR(__xludf.DUMMYFUNCTION("""COMPUTED_VALUE"""),"https://www.instagram.com/aliebnabitaleb_hmd/")</f>
        <v>https://www.instagram.com/aliebnabitaleb_hmd/</v>
      </c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</row>
    <row r="2698">
      <c r="A2698" s="5">
        <f>IFERROR(__xludf.DUMMYFUNCTION("""COMPUTED_VALUE"""),31999.0)</f>
        <v>31999</v>
      </c>
      <c r="B2698" s="5" t="str">
        <f>IFERROR(__xludf.DUMMYFUNCTION("""COMPUTED_VALUE"""),"هیأت")</f>
        <v>هیأت</v>
      </c>
      <c r="C2698" s="5" t="str">
        <f>IFERROR(__xludf.DUMMYFUNCTION("""COMPUTED_VALUE"""),"ثامن الائمه (ع)")</f>
        <v>ثامن الائمه (ع)</v>
      </c>
      <c r="D2698" s="5" t="str">
        <f>IFERROR(__xludf.DUMMYFUNCTION("""COMPUTED_VALUE"""),"همدان")</f>
        <v>همدان</v>
      </c>
      <c r="E2698" s="5" t="str">
        <f>IFERROR(__xludf.DUMMYFUNCTION("""COMPUTED_VALUE"""),"همدان")</f>
        <v>همدان</v>
      </c>
      <c r="F2698" s="5"/>
      <c r="G2698" s="5"/>
      <c r="H2698" s="6" t="str">
        <f>IFERROR(__xludf.DUMMYFUNCTION("""COMPUTED_VALUE"""),"https://www.instagram.com/samenol_aemmeh_hamedan.ir")</f>
        <v>https://www.instagram.com/samenol_aemmeh_hamedan.ir</v>
      </c>
      <c r="I2698" s="5"/>
      <c r="J2698" s="6" t="str">
        <f>IFERROR(__xludf.DUMMYFUNCTION("""COMPUTED_VALUE"""),"https://eitaa.com/samenolaemehhamedan")</f>
        <v>https://eitaa.com/samenolaemehhamedan</v>
      </c>
      <c r="K2698" s="5"/>
      <c r="L2698" s="5"/>
      <c r="M2698" s="5"/>
      <c r="N2698" s="5"/>
      <c r="O2698" s="5"/>
      <c r="P2698" s="5"/>
      <c r="Q2698" s="5"/>
      <c r="R2698" s="5"/>
      <c r="S2698" s="5"/>
    </row>
    <row r="2699">
      <c r="A2699" s="5">
        <f>IFERROR(__xludf.DUMMYFUNCTION("""COMPUTED_VALUE"""),32001.0)</f>
        <v>32001</v>
      </c>
      <c r="B2699" s="5" t="str">
        <f>IFERROR(__xludf.DUMMYFUNCTION("""COMPUTED_VALUE"""),"حسینیه")</f>
        <v>حسینیه</v>
      </c>
      <c r="C2699" s="5" t="str">
        <f>IFERROR(__xludf.DUMMYFUNCTION("""COMPUTED_VALUE"""),"جولان")</f>
        <v>جولان</v>
      </c>
      <c r="D2699" s="5" t="str">
        <f>IFERROR(__xludf.DUMMYFUNCTION("""COMPUTED_VALUE"""),"همدان")</f>
        <v>همدان</v>
      </c>
      <c r="E2699" s="5" t="str">
        <f>IFERROR(__xludf.DUMMYFUNCTION("""COMPUTED_VALUE"""),"همدان")</f>
        <v>همدان</v>
      </c>
      <c r="F2699" s="5"/>
      <c r="G2699" s="5"/>
      <c r="H2699" s="6" t="str">
        <f>IFERROR(__xludf.DUMMYFUNCTION("""COMPUTED_VALUE"""),"https://www.instagram.com/hoseinie_jolan")</f>
        <v>https://www.instagram.com/hoseinie_jolan</v>
      </c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</row>
    <row r="2700">
      <c r="A2700" s="5">
        <f>IFERROR(__xludf.DUMMYFUNCTION("""COMPUTED_VALUE"""),32005.0)</f>
        <v>32005</v>
      </c>
      <c r="B2700" s="5" t="str">
        <f>IFERROR(__xludf.DUMMYFUNCTION("""COMPUTED_VALUE"""),"هیأت")</f>
        <v>هیأت</v>
      </c>
      <c r="C2700" s="5" t="str">
        <f>IFERROR(__xludf.DUMMYFUNCTION("""COMPUTED_VALUE"""),"قاسم بن الحسن (ع)")</f>
        <v>قاسم بن الحسن (ع)</v>
      </c>
      <c r="D2700" s="5" t="str">
        <f>IFERROR(__xludf.DUMMYFUNCTION("""COMPUTED_VALUE"""),"همدان")</f>
        <v>همدان</v>
      </c>
      <c r="E2700" s="5" t="str">
        <f>IFERROR(__xludf.DUMMYFUNCTION("""COMPUTED_VALUE"""),"همدان")</f>
        <v>همدان</v>
      </c>
      <c r="F2700" s="5"/>
      <c r="G2700" s="5"/>
      <c r="H2700" s="6" t="str">
        <f>IFERROR(__xludf.DUMMYFUNCTION("""COMPUTED_VALUE"""),"https://www.instagram.com/mokeb_ghasem_ibn_al_hassan")</f>
        <v>https://www.instagram.com/mokeb_ghasem_ibn_al_hassan</v>
      </c>
      <c r="I2700" s="5"/>
      <c r="J2700" s="6" t="str">
        <f>IFERROR(__xludf.DUMMYFUNCTION("""COMPUTED_VALUE"""),"https://eitaa.com/heiat_ghasem1")</f>
        <v>https://eitaa.com/heiat_ghasem1</v>
      </c>
      <c r="K2700" s="5"/>
      <c r="L2700" s="5"/>
      <c r="M2700" s="5"/>
      <c r="N2700" s="5"/>
      <c r="O2700" s="5"/>
      <c r="P2700" s="5"/>
      <c r="Q2700" s="5"/>
      <c r="R2700" s="5"/>
      <c r="S2700" s="5"/>
    </row>
    <row r="2701">
      <c r="A2701" s="5">
        <f>IFERROR(__xludf.DUMMYFUNCTION("""COMPUTED_VALUE"""),32006.0)</f>
        <v>32006</v>
      </c>
      <c r="B2701" s="5" t="str">
        <f>IFERROR(__xludf.DUMMYFUNCTION("""COMPUTED_VALUE"""),"هیأت")</f>
        <v>هیأت</v>
      </c>
      <c r="C2701" s="5" t="str">
        <f>IFERROR(__xludf.DUMMYFUNCTION("""COMPUTED_VALUE"""),"حیدریون")</f>
        <v>حیدریون</v>
      </c>
      <c r="D2701" s="5" t="str">
        <f>IFERROR(__xludf.DUMMYFUNCTION("""COMPUTED_VALUE"""),"همدان")</f>
        <v>همدان</v>
      </c>
      <c r="E2701" s="5" t="str">
        <f>IFERROR(__xludf.DUMMYFUNCTION("""COMPUTED_VALUE"""),"فامنین")</f>
        <v>فامنین</v>
      </c>
      <c r="F2701" s="5"/>
      <c r="G2701" s="5"/>
      <c r="H2701" s="6" t="str">
        <f>IFERROR(__xludf.DUMMYFUNCTION("""COMPUTED_VALUE"""),"https://www.instagram.com/heydarioonfamenin/")</f>
        <v>https://www.instagram.com/heydarioonfamenin/</v>
      </c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</row>
    <row r="2702">
      <c r="A2702" s="5">
        <f>IFERROR(__xludf.DUMMYFUNCTION("""COMPUTED_VALUE"""),32007.0)</f>
        <v>32007</v>
      </c>
      <c r="B2702" s="5" t="str">
        <f>IFERROR(__xludf.DUMMYFUNCTION("""COMPUTED_VALUE"""),"هیأت")</f>
        <v>هیأت</v>
      </c>
      <c r="C2702" s="5" t="str">
        <f>IFERROR(__xludf.DUMMYFUNCTION("""COMPUTED_VALUE"""),"فرهنگیان مسجد محمدیه")</f>
        <v>فرهنگیان مسجد محمدیه</v>
      </c>
      <c r="D2702" s="5" t="str">
        <f>IFERROR(__xludf.DUMMYFUNCTION("""COMPUTED_VALUE"""),"همدان")</f>
        <v>همدان</v>
      </c>
      <c r="E2702" s="5" t="str">
        <f>IFERROR(__xludf.DUMMYFUNCTION("""COMPUTED_VALUE"""),"همدان")</f>
        <v>همدان</v>
      </c>
      <c r="F2702" s="5"/>
      <c r="G2702" s="5"/>
      <c r="H2702" s="6" t="str">
        <f>IFERROR(__xludf.DUMMYFUNCTION("""COMPUTED_VALUE"""),"https://www.instagram.com/heyat_farhangiyan")</f>
        <v>https://www.instagram.com/heyat_farhangiyan</v>
      </c>
      <c r="I2702" s="6" t="str">
        <f>IFERROR(__xludf.DUMMYFUNCTION("""COMPUTED_VALUE"""),"https://t.me/masjed_mohammadieh")</f>
        <v>https://t.me/masjed_mohammadieh</v>
      </c>
      <c r="J2702" s="5"/>
      <c r="K2702" s="5"/>
      <c r="L2702" s="5"/>
      <c r="M2702" s="5"/>
      <c r="N2702" s="5"/>
      <c r="O2702" s="5"/>
      <c r="P2702" s="5"/>
      <c r="Q2702" s="5"/>
      <c r="R2702" s="5"/>
      <c r="S2702" s="5"/>
    </row>
    <row r="2703">
      <c r="A2703" s="5">
        <f>IFERROR(__xludf.DUMMYFUNCTION("""COMPUTED_VALUE"""),32008.0)</f>
        <v>32008</v>
      </c>
      <c r="B2703" s="5" t="str">
        <f>IFERROR(__xludf.DUMMYFUNCTION("""COMPUTED_VALUE"""),"هیأت")</f>
        <v>هیأت</v>
      </c>
      <c r="C2703" s="5" t="str">
        <f>IFERROR(__xludf.DUMMYFUNCTION("""COMPUTED_VALUE"""),"دختران حاج قاسم")</f>
        <v>دختران حاج قاسم</v>
      </c>
      <c r="D2703" s="5" t="str">
        <f>IFERROR(__xludf.DUMMYFUNCTION("""COMPUTED_VALUE"""),"همدان")</f>
        <v>همدان</v>
      </c>
      <c r="E2703" s="5" t="str">
        <f>IFERROR(__xludf.DUMMYFUNCTION("""COMPUTED_VALUE"""),"همدان")</f>
        <v>همدان</v>
      </c>
      <c r="F2703" s="5"/>
      <c r="G2703" s="5"/>
      <c r="H2703" s="5"/>
      <c r="I2703" s="5"/>
      <c r="J2703" s="6" t="str">
        <f>IFERROR(__xludf.DUMMYFUNCTION("""COMPUTED_VALUE"""),"https://eitaa.com/Dokhtaran_haaj_ghasem")</f>
        <v>https://eitaa.com/Dokhtaran_haaj_ghasem</v>
      </c>
      <c r="K2703" s="5"/>
      <c r="L2703" s="5"/>
      <c r="M2703" s="5"/>
      <c r="N2703" s="5"/>
      <c r="O2703" s="5"/>
      <c r="P2703" s="5"/>
      <c r="Q2703" s="5"/>
      <c r="R2703" s="5"/>
      <c r="S2703" s="5"/>
    </row>
    <row r="2704">
      <c r="A2704" s="5">
        <f>IFERROR(__xludf.DUMMYFUNCTION("""COMPUTED_VALUE"""),32010.0)</f>
        <v>32010</v>
      </c>
      <c r="B2704" s="5" t="str">
        <f>IFERROR(__xludf.DUMMYFUNCTION("""COMPUTED_VALUE"""),"هیأت")</f>
        <v>هیأت</v>
      </c>
      <c r="C2704" s="5" t="str">
        <f>IFERROR(__xludf.DUMMYFUNCTION("""COMPUTED_VALUE"""),"رضوان الجواد")</f>
        <v>رضوان الجواد</v>
      </c>
      <c r="D2704" s="5" t="str">
        <f>IFERROR(__xludf.DUMMYFUNCTION("""COMPUTED_VALUE"""),"همدان")</f>
        <v>همدان</v>
      </c>
      <c r="E2704" s="5" t="str">
        <f>IFERROR(__xludf.DUMMYFUNCTION("""COMPUTED_VALUE"""),"همدان")</f>
        <v>همدان</v>
      </c>
      <c r="F2704" s="5"/>
      <c r="G2704" s="5"/>
      <c r="H2704" s="6" t="str">
        <f>IFERROR(__xludf.DUMMYFUNCTION("""COMPUTED_VALUE"""),"https://www.instagram.com/heyat_rezvanoljavad")</f>
        <v>https://www.instagram.com/heyat_rezvanoljavad</v>
      </c>
      <c r="I2704" s="5"/>
      <c r="J2704" s="6" t="str">
        <f>IFERROR(__xludf.DUMMYFUNCTION("""COMPUTED_VALUE"""),"https://eitaa.com/heyat_rezvanoljavad")</f>
        <v>https://eitaa.com/heyat_rezvanoljavad</v>
      </c>
      <c r="K2704" s="5"/>
      <c r="L2704" s="5"/>
      <c r="M2704" s="5"/>
      <c r="N2704" s="5"/>
      <c r="O2704" s="5"/>
      <c r="P2704" s="5"/>
      <c r="Q2704" s="5"/>
      <c r="R2704" s="5"/>
      <c r="S2704" s="5"/>
    </row>
    <row r="2705">
      <c r="A2705" s="5">
        <f>IFERROR(__xludf.DUMMYFUNCTION("""COMPUTED_VALUE"""),32011.0)</f>
        <v>32011</v>
      </c>
      <c r="B2705" s="5" t="str">
        <f>IFERROR(__xludf.DUMMYFUNCTION("""COMPUTED_VALUE"""),"هیأت")</f>
        <v>هیأت</v>
      </c>
      <c r="C2705" s="5" t="str">
        <f>IFERROR(__xludf.DUMMYFUNCTION("""COMPUTED_VALUE"""),"سادات")</f>
        <v>سادات</v>
      </c>
      <c r="D2705" s="5" t="str">
        <f>IFERROR(__xludf.DUMMYFUNCTION("""COMPUTED_VALUE"""),"همدان")</f>
        <v>همدان</v>
      </c>
      <c r="E2705" s="5" t="str">
        <f>IFERROR(__xludf.DUMMYFUNCTION("""COMPUTED_VALUE"""),"همدان")</f>
        <v>همدان</v>
      </c>
      <c r="F2705" s="5"/>
      <c r="G2705" s="5"/>
      <c r="H2705" s="6" t="str">
        <f>IFERROR(__xludf.DUMMYFUNCTION("""COMPUTED_VALUE"""),"https://www.instagram.com/heyat_sadat.hamedan")</f>
        <v>https://www.instagram.com/heyat_sadat.hamedan</v>
      </c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</row>
    <row r="2706">
      <c r="A2706" s="5">
        <f>IFERROR(__xludf.DUMMYFUNCTION("""COMPUTED_VALUE"""),32065.0)</f>
        <v>32065</v>
      </c>
      <c r="B2706" s="5" t="str">
        <f>IFERROR(__xludf.DUMMYFUNCTION("""COMPUTED_VALUE"""),"هیأت")</f>
        <v>هیأت</v>
      </c>
      <c r="C2706" s="5" t="str">
        <f>IFERROR(__xludf.DUMMYFUNCTION("""COMPUTED_VALUE"""),"گروه فرهنگی مذهبی رهپویان ولایت")</f>
        <v>گروه فرهنگی مذهبی رهپویان ولایت</v>
      </c>
      <c r="D2706" s="5" t="str">
        <f>IFERROR(__xludf.DUMMYFUNCTION("""COMPUTED_VALUE"""),"همدان")</f>
        <v>همدان</v>
      </c>
      <c r="E2706" s="5" t="str">
        <f>IFERROR(__xludf.DUMMYFUNCTION("""COMPUTED_VALUE"""),"همدان")</f>
        <v>همدان</v>
      </c>
      <c r="F2706" s="5"/>
      <c r="G2706" s="5"/>
      <c r="H2706" s="6" t="str">
        <f>IFERROR(__xludf.DUMMYFUNCTION("""COMPUTED_VALUE"""),"https://www.instagram.com/rahpouyanvelayathmd")</f>
        <v>https://www.instagram.com/rahpouyanvelayathmd</v>
      </c>
      <c r="I2706" s="5"/>
      <c r="J2706" s="6" t="str">
        <f>IFERROR(__xludf.DUMMYFUNCTION("""COMPUTED_VALUE"""),"https://eitaa.com/rahpouyanvelayathmd")</f>
        <v>https://eitaa.com/rahpouyanvelayathmd</v>
      </c>
      <c r="K2706" s="5"/>
      <c r="L2706" s="5"/>
      <c r="M2706" s="5"/>
      <c r="N2706" s="5"/>
      <c r="O2706" s="5"/>
      <c r="P2706" s="5"/>
      <c r="Q2706" s="5"/>
      <c r="R2706" s="5"/>
      <c r="S2706" s="5"/>
    </row>
    <row r="2707">
      <c r="A2707" s="5">
        <f>IFERROR(__xludf.DUMMYFUNCTION("""COMPUTED_VALUE"""),32268.0)</f>
        <v>32268</v>
      </c>
      <c r="B2707" s="5" t="str">
        <f>IFERROR(__xludf.DUMMYFUNCTION("""COMPUTED_VALUE"""),"هیأت")</f>
        <v>هیأت</v>
      </c>
      <c r="C2707" s="5" t="str">
        <f>IFERROR(__xludf.DUMMYFUNCTION("""COMPUTED_VALUE"""),"الزهرا (س)")</f>
        <v>الزهرا (س)</v>
      </c>
      <c r="D2707" s="5" t="str">
        <f>IFERROR(__xludf.DUMMYFUNCTION("""COMPUTED_VALUE"""),"همدان")</f>
        <v>همدان</v>
      </c>
      <c r="E2707" s="5" t="str">
        <f>IFERROR(__xludf.DUMMYFUNCTION("""COMPUTED_VALUE"""),"همدان")</f>
        <v>همدان</v>
      </c>
      <c r="F2707" s="5"/>
      <c r="G2707" s="5"/>
      <c r="H2707" s="6" t="str">
        <f>IFERROR(__xludf.DUMMYFUNCTION("""COMPUTED_VALUE"""),"https://www.instagram.com/heyatozahraa.hamedan")</f>
        <v>https://www.instagram.com/heyatozahraa.hamedan</v>
      </c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</row>
    <row r="2708">
      <c r="A2708" s="5">
        <f>IFERROR(__xludf.DUMMYFUNCTION("""COMPUTED_VALUE"""),32270.0)</f>
        <v>32270</v>
      </c>
      <c r="B2708" s="5" t="str">
        <f>IFERROR(__xludf.DUMMYFUNCTION("""COMPUTED_VALUE"""),"هیأت")</f>
        <v>هیأت</v>
      </c>
      <c r="C2708" s="5" t="str">
        <f>IFERROR(__xludf.DUMMYFUNCTION("""COMPUTED_VALUE"""),"انصارالامام المجتبی (ع)")</f>
        <v>انصارالامام المجتبی (ع)</v>
      </c>
      <c r="D2708" s="5" t="str">
        <f>IFERROR(__xludf.DUMMYFUNCTION("""COMPUTED_VALUE"""),"همدان")</f>
        <v>همدان</v>
      </c>
      <c r="E2708" s="5" t="str">
        <f>IFERROR(__xludf.DUMMYFUNCTION("""COMPUTED_VALUE"""),"همدان")</f>
        <v>همدان</v>
      </c>
      <c r="F2708" s="5"/>
      <c r="G2708" s="5"/>
      <c r="H2708" s="6" t="str">
        <f>IFERROR(__xludf.DUMMYFUNCTION("""COMPUTED_VALUE"""),"https://www.instagram.com/ansaralemamalmojtaba")</f>
        <v>https://www.instagram.com/ansaralemamalmojtaba</v>
      </c>
      <c r="I2708" s="5"/>
      <c r="J2708" s="6" t="str">
        <f>IFERROR(__xludf.DUMMYFUNCTION("""COMPUTED_VALUE"""),"https://eitaa.com/ansaralemamalmojtaba400")</f>
        <v>https://eitaa.com/ansaralemamalmojtaba400</v>
      </c>
      <c r="K2708" s="5"/>
      <c r="L2708" s="5"/>
      <c r="M2708" s="5"/>
      <c r="N2708" s="5"/>
      <c r="O2708" s="5"/>
      <c r="P2708" s="5"/>
      <c r="Q2708" s="5"/>
      <c r="R2708" s="5"/>
      <c r="S2708" s="5"/>
    </row>
    <row r="2709">
      <c r="A2709" s="5">
        <f>IFERROR(__xludf.DUMMYFUNCTION("""COMPUTED_VALUE"""),32582.0)</f>
        <v>32582</v>
      </c>
      <c r="B2709" s="5" t="str">
        <f>IFERROR(__xludf.DUMMYFUNCTION("""COMPUTED_VALUE"""),"هیأت")</f>
        <v>هیأت</v>
      </c>
      <c r="C2709" s="5" t="str">
        <f>IFERROR(__xludf.DUMMYFUNCTION("""COMPUTED_VALUE"""),"ثارالله (ع)")</f>
        <v>ثارالله (ع)</v>
      </c>
      <c r="D2709" s="5" t="str">
        <f>IFERROR(__xludf.DUMMYFUNCTION("""COMPUTED_VALUE"""),"همدان")</f>
        <v>همدان</v>
      </c>
      <c r="E2709" s="5" t="str">
        <f>IFERROR(__xludf.DUMMYFUNCTION("""COMPUTED_VALUE"""),"تویسرکان")</f>
        <v>تویسرکان</v>
      </c>
      <c r="F2709" s="5" t="str">
        <f>IFERROR(__xludf.DUMMYFUNCTION("""COMPUTED_VALUE""")," شهرک قائم")</f>
        <v> شهرک قائم</v>
      </c>
      <c r="G2709" s="5"/>
      <c r="H2709" s="6" t="str">
        <f>IFERROR(__xludf.DUMMYFUNCTION("""COMPUTED_VALUE"""),"https://www.instagram.com/sarallah_tuy1/")</f>
        <v>https://www.instagram.com/sarallah_tuy1/</v>
      </c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</row>
    <row r="2710">
      <c r="A2710" s="5">
        <f>IFERROR(__xludf.DUMMYFUNCTION("""COMPUTED_VALUE"""),32583.0)</f>
        <v>32583</v>
      </c>
      <c r="B2710" s="5" t="str">
        <f>IFERROR(__xludf.DUMMYFUNCTION("""COMPUTED_VALUE"""),"هیأت")</f>
        <v>هیأت</v>
      </c>
      <c r="C2710" s="5" t="str">
        <f>IFERROR(__xludf.DUMMYFUNCTION("""COMPUTED_VALUE"""),"فاطمیون")</f>
        <v>فاطمیون</v>
      </c>
      <c r="D2710" s="5" t="str">
        <f>IFERROR(__xludf.DUMMYFUNCTION("""COMPUTED_VALUE"""),"همدان")</f>
        <v>همدان</v>
      </c>
      <c r="E2710" s="5" t="str">
        <f>IFERROR(__xludf.DUMMYFUNCTION("""COMPUTED_VALUE"""),"تویسرکان")</f>
        <v>تویسرکان</v>
      </c>
      <c r="F2710" s="5"/>
      <c r="G2710" s="5"/>
      <c r="H2710" s="6" t="str">
        <f>IFERROR(__xludf.DUMMYFUNCTION("""COMPUTED_VALUE"""),"https://www.instagram.com/heyat_fatemiuon/")</f>
        <v>https://www.instagram.com/heyat_fatemiuon/</v>
      </c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</row>
    <row r="2711">
      <c r="A2711" s="5">
        <f>IFERROR(__xludf.DUMMYFUNCTION("""COMPUTED_VALUE"""),32585.0)</f>
        <v>32585</v>
      </c>
      <c r="B2711" s="5" t="str">
        <f>IFERROR(__xludf.DUMMYFUNCTION("""COMPUTED_VALUE"""),"هیأت")</f>
        <v>هیأت</v>
      </c>
      <c r="C2711" s="5" t="str">
        <f>IFERROR(__xludf.DUMMYFUNCTION("""COMPUTED_VALUE"""),"حسینی سرچشمه")</f>
        <v>حسینی سرچشمه</v>
      </c>
      <c r="D2711" s="5" t="str">
        <f>IFERROR(__xludf.DUMMYFUNCTION("""COMPUTED_VALUE"""),"همدان")</f>
        <v>همدان</v>
      </c>
      <c r="E2711" s="5" t="str">
        <f>IFERROR(__xludf.DUMMYFUNCTION("""COMPUTED_VALUE"""),"ملایر")</f>
        <v>ملایر</v>
      </c>
      <c r="F2711" s="5"/>
      <c r="G2711" s="5"/>
      <c r="H2711" s="6" t="str">
        <f>IFERROR(__xludf.DUMMYFUNCTION("""COMPUTED_VALUE"""),"https://www.instagram.com/sarcheshmemalayer/")</f>
        <v>https://www.instagram.com/sarcheshmemalayer/</v>
      </c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</row>
    <row r="2712">
      <c r="A2712" s="5">
        <f>IFERROR(__xludf.DUMMYFUNCTION("""COMPUTED_VALUE"""),32586.0)</f>
        <v>32586</v>
      </c>
      <c r="B2712" s="5" t="str">
        <f>IFERROR(__xludf.DUMMYFUNCTION("""COMPUTED_VALUE"""),"هیأت")</f>
        <v>هیأت</v>
      </c>
      <c r="C2712" s="5" t="str">
        <f>IFERROR(__xludf.DUMMYFUNCTION("""COMPUTED_VALUE"""),"مصباح الهدی")</f>
        <v>مصباح الهدی</v>
      </c>
      <c r="D2712" s="5" t="str">
        <f>IFERROR(__xludf.DUMMYFUNCTION("""COMPUTED_VALUE"""),"همدان")</f>
        <v>همدان</v>
      </c>
      <c r="E2712" s="5" t="str">
        <f>IFERROR(__xludf.DUMMYFUNCTION("""COMPUTED_VALUE"""),"ملایر")</f>
        <v>ملایر</v>
      </c>
      <c r="F2712" s="5"/>
      <c r="G2712" s="5"/>
      <c r="H2712" s="6" t="str">
        <f>IFERROR(__xludf.DUMMYFUNCTION("""COMPUTED_VALUE"""),"https://www.instagram.com/mnmesbah/")</f>
        <v>https://www.instagram.com/mnmesbah/</v>
      </c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</row>
    <row r="2713">
      <c r="A2713" s="5">
        <f>IFERROR(__xludf.DUMMYFUNCTION("""COMPUTED_VALUE"""),32601.0)</f>
        <v>32601</v>
      </c>
      <c r="B2713" s="5" t="str">
        <f>IFERROR(__xludf.DUMMYFUNCTION("""COMPUTED_VALUE"""),"هیأت")</f>
        <v>هیأت</v>
      </c>
      <c r="C2713" s="5" t="str">
        <f>IFERROR(__xludf.DUMMYFUNCTION("""COMPUTED_VALUE"""),"علی بن ابیطالب (ع)")</f>
        <v>علی بن ابیطالب (ع)</v>
      </c>
      <c r="D2713" s="5" t="str">
        <f>IFERROR(__xludf.DUMMYFUNCTION("""COMPUTED_VALUE"""),"همدان")</f>
        <v>همدان</v>
      </c>
      <c r="E2713" s="5" t="str">
        <f>IFERROR(__xludf.DUMMYFUNCTION("""COMPUTED_VALUE"""),"نهاوند")</f>
        <v>نهاوند</v>
      </c>
      <c r="F2713" s="5"/>
      <c r="G2713" s="5"/>
      <c r="H2713" s="6" t="str">
        <f>IFERROR(__xludf.DUMMYFUNCTION("""COMPUTED_VALUE"""),"https://www.instagram.com/heyat_aliebn_abitalb/")</f>
        <v>https://www.instagram.com/heyat_aliebn_abitalb/</v>
      </c>
      <c r="I2713" s="5"/>
      <c r="J2713" s="6" t="str">
        <f>IFERROR(__xludf.DUMMYFUNCTION("""COMPUTED_VALUE"""),"eitaa.com/Aliebnabitalbb")</f>
        <v>eitaa.com/Aliebnabitalbb</v>
      </c>
      <c r="K2713" s="5"/>
      <c r="L2713" s="5"/>
      <c r="M2713" s="5"/>
      <c r="N2713" s="5"/>
      <c r="O2713" s="5"/>
      <c r="P2713" s="5"/>
      <c r="Q2713" s="5"/>
      <c r="R2713" s="5"/>
      <c r="S2713" s="5"/>
    </row>
    <row r="2714">
      <c r="A2714" s="5">
        <f>IFERROR(__xludf.DUMMYFUNCTION("""COMPUTED_VALUE"""),32607.0)</f>
        <v>32607</v>
      </c>
      <c r="B2714" s="5" t="str">
        <f>IFERROR(__xludf.DUMMYFUNCTION("""COMPUTED_VALUE"""),"هیأت")</f>
        <v>هیأت</v>
      </c>
      <c r="C2714" s="5" t="str">
        <f>IFERROR(__xludf.DUMMYFUNCTION("""COMPUTED_VALUE"""),"ثامن الائمه (ع)")</f>
        <v>ثامن الائمه (ع)</v>
      </c>
      <c r="D2714" s="5" t="str">
        <f>IFERROR(__xludf.DUMMYFUNCTION("""COMPUTED_VALUE"""),"همدان")</f>
        <v>همدان</v>
      </c>
      <c r="E2714" s="5" t="str">
        <f>IFERROR(__xludf.DUMMYFUNCTION("""COMPUTED_VALUE"""),"بهار")</f>
        <v>بهار</v>
      </c>
      <c r="F2714" s="5"/>
      <c r="G2714" s="5"/>
      <c r="H2714" s="6" t="str">
        <f>IFERROR(__xludf.DUMMYFUNCTION("""COMPUTED_VALUE"""),"https://www.instagram.com/samen_bahar/")</f>
        <v>https://www.instagram.com/samen_bahar/</v>
      </c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</row>
    <row r="2715">
      <c r="A2715" s="5">
        <f>IFERROR(__xludf.DUMMYFUNCTION("""COMPUTED_VALUE"""),32787.0)</f>
        <v>32787</v>
      </c>
      <c r="B2715" s="5" t="str">
        <f>IFERROR(__xludf.DUMMYFUNCTION("""COMPUTED_VALUE"""),"هیأت")</f>
        <v>هیأت</v>
      </c>
      <c r="C2715" s="5" t="str">
        <f>IFERROR(__xludf.DUMMYFUNCTION("""COMPUTED_VALUE"""),"صادقیه")</f>
        <v>صادقیه</v>
      </c>
      <c r="D2715" s="5" t="str">
        <f>IFERROR(__xludf.DUMMYFUNCTION("""COMPUTED_VALUE"""),"همدان")</f>
        <v>همدان</v>
      </c>
      <c r="E2715" s="5" t="str">
        <f>IFERROR(__xludf.DUMMYFUNCTION("""COMPUTED_VALUE"""),"ملایر")</f>
        <v>ملایر</v>
      </c>
      <c r="F2715" s="5"/>
      <c r="G2715" s="5"/>
      <c r="H2715" s="6" t="str">
        <f>IFERROR(__xludf.DUMMYFUNCTION("""COMPUTED_VALUE"""),"https://www.instagram.com/heyat_sadeghieh_malayer/")</f>
        <v>https://www.instagram.com/heyat_sadeghieh_malayer/</v>
      </c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</row>
    <row r="2716">
      <c r="A2716" s="5">
        <f>IFERROR(__xludf.DUMMYFUNCTION("""COMPUTED_VALUE"""),32789.0)</f>
        <v>32789</v>
      </c>
      <c r="B2716" s="5" t="str">
        <f>IFERROR(__xludf.DUMMYFUNCTION("""COMPUTED_VALUE"""),"هیأت")</f>
        <v>هیأت</v>
      </c>
      <c r="C2716" s="5" t="str">
        <f>IFERROR(__xludf.DUMMYFUNCTION("""COMPUTED_VALUE"""),"امام جواد(ع)")</f>
        <v>امام جواد(ع)</v>
      </c>
      <c r="D2716" s="5" t="str">
        <f>IFERROR(__xludf.DUMMYFUNCTION("""COMPUTED_VALUE"""),"همدان")</f>
        <v>همدان</v>
      </c>
      <c r="E2716" s="5" t="str">
        <f>IFERROR(__xludf.DUMMYFUNCTION("""COMPUTED_VALUE"""),"ملایر")</f>
        <v>ملایر</v>
      </c>
      <c r="F2716" s="5"/>
      <c r="G2716" s="5"/>
      <c r="H2716" s="6" t="str">
        <f>IFERROR(__xludf.DUMMYFUNCTION("""COMPUTED_VALUE"""),"https://www.instagram.com/javadolaemeh_malayer")</f>
        <v>https://www.instagram.com/javadolaemeh_malayer</v>
      </c>
      <c r="I2716" s="5"/>
      <c r="J2716" s="6" t="str">
        <f>IFERROR(__xludf.DUMMYFUNCTION("""COMPUTED_VALUE"""),"https://eitaa.com/javadolaemeh_malayer")</f>
        <v>https://eitaa.com/javadolaemeh_malayer</v>
      </c>
      <c r="K2716" s="5"/>
      <c r="L2716" s="5"/>
      <c r="M2716" s="5"/>
      <c r="N2716" s="5"/>
      <c r="O2716" s="5"/>
      <c r="P2716" s="5"/>
      <c r="Q2716" s="5"/>
      <c r="R2716" s="5"/>
      <c r="S2716" s="5"/>
    </row>
    <row r="2717">
      <c r="A2717" s="5">
        <f>IFERROR(__xludf.DUMMYFUNCTION("""COMPUTED_VALUE"""),32790.0)</f>
        <v>32790</v>
      </c>
      <c r="B2717" s="5" t="str">
        <f>IFERROR(__xludf.DUMMYFUNCTION("""COMPUTED_VALUE"""),"هیأت")</f>
        <v>هیأت</v>
      </c>
      <c r="C2717" s="5" t="str">
        <f>IFERROR(__xludf.DUMMYFUNCTION("""COMPUTED_VALUE"""),"قمربنی هاشم (ع)")</f>
        <v>قمربنی هاشم (ع)</v>
      </c>
      <c r="D2717" s="5" t="str">
        <f>IFERROR(__xludf.DUMMYFUNCTION("""COMPUTED_VALUE"""),"همدان")</f>
        <v>همدان</v>
      </c>
      <c r="E2717" s="5" t="str">
        <f>IFERROR(__xludf.DUMMYFUNCTION("""COMPUTED_VALUE"""),"ملایر")</f>
        <v>ملایر</v>
      </c>
      <c r="F2717" s="5"/>
      <c r="G2717" s="5"/>
      <c r="H2717" s="6" t="str">
        <f>IFERROR(__xludf.DUMMYFUNCTION("""COMPUTED_VALUE"""),"https://www.instagram.com/heyat_qamar_133/")</f>
        <v>https://www.instagram.com/heyat_qamar_133/</v>
      </c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</row>
    <row r="2718">
      <c r="A2718" s="5">
        <f>IFERROR(__xludf.DUMMYFUNCTION("""COMPUTED_VALUE"""),32854.0)</f>
        <v>32854</v>
      </c>
      <c r="B2718" s="5" t="str">
        <f>IFERROR(__xludf.DUMMYFUNCTION("""COMPUTED_VALUE"""),"هیأت")</f>
        <v>هیأت</v>
      </c>
      <c r="C2718" s="5" t="str">
        <f>IFERROR(__xludf.DUMMYFUNCTION("""COMPUTED_VALUE"""),"محبین الزهرا (س)")</f>
        <v>محبین الزهرا (س)</v>
      </c>
      <c r="D2718" s="5" t="str">
        <f>IFERROR(__xludf.DUMMYFUNCTION("""COMPUTED_VALUE"""),"همدان")</f>
        <v>همدان</v>
      </c>
      <c r="E2718" s="5" t="str">
        <f>IFERROR(__xludf.DUMMYFUNCTION("""COMPUTED_VALUE"""),"همدان")</f>
        <v>همدان</v>
      </c>
      <c r="F2718" s="5"/>
      <c r="G2718" s="5"/>
      <c r="H2718" s="6" t="str">
        <f>IFERROR(__xludf.DUMMYFUNCTION("""COMPUTED_VALUE"""),"https://www.instagram.com/heyat.mohebin.fatemezahra")</f>
        <v>https://www.instagram.com/heyat.mohebin.fatemezahra</v>
      </c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</row>
    <row r="2719">
      <c r="A2719" s="5">
        <f>IFERROR(__xludf.DUMMYFUNCTION("""COMPUTED_VALUE"""),32872.0)</f>
        <v>32872</v>
      </c>
      <c r="B2719" s="5" t="str">
        <f>IFERROR(__xludf.DUMMYFUNCTION("""COMPUTED_VALUE"""),"هیأت")</f>
        <v>هیأت</v>
      </c>
      <c r="C2719" s="5" t="str">
        <f>IFERROR(__xludf.DUMMYFUNCTION("""COMPUTED_VALUE"""),"یاران حسین (ع)")</f>
        <v>یاران حسین (ع)</v>
      </c>
      <c r="D2719" s="5" t="str">
        <f>IFERROR(__xludf.DUMMYFUNCTION("""COMPUTED_VALUE"""),"همدان")</f>
        <v>همدان</v>
      </c>
      <c r="E2719" s="5" t="str">
        <f>IFERROR(__xludf.DUMMYFUNCTION("""COMPUTED_VALUE"""),"همدان")</f>
        <v>همدان</v>
      </c>
      <c r="F2719" s="5"/>
      <c r="G2719" s="5"/>
      <c r="H2719" s="5"/>
      <c r="I2719" s="5"/>
      <c r="J2719" s="6" t="str">
        <f>IFERROR(__xludf.DUMMYFUNCTION("""COMPUTED_VALUE"""),"https://eitaa.com/yarane_hossein")</f>
        <v>https://eitaa.com/yarane_hossein</v>
      </c>
      <c r="K2719" s="5"/>
      <c r="L2719" s="5"/>
      <c r="M2719" s="5"/>
      <c r="N2719" s="5"/>
      <c r="O2719" s="5"/>
      <c r="P2719" s="5"/>
      <c r="Q2719" s="5"/>
      <c r="R2719" s="5"/>
      <c r="S2719" s="5"/>
    </row>
    <row r="2720">
      <c r="A2720" s="5">
        <f>IFERROR(__xludf.DUMMYFUNCTION("""COMPUTED_VALUE"""),32895.0)</f>
        <v>32895</v>
      </c>
      <c r="B2720" s="5" t="str">
        <f>IFERROR(__xludf.DUMMYFUNCTION("""COMPUTED_VALUE"""),"هیأت")</f>
        <v>هیأت</v>
      </c>
      <c r="C2720" s="5" t="str">
        <f>IFERROR(__xludf.DUMMYFUNCTION("""COMPUTED_VALUE"""),"حضرت علی اصغر (ع) ")</f>
        <v>حضرت علی اصغر (ع) </v>
      </c>
      <c r="D2720" s="5" t="str">
        <f>IFERROR(__xludf.DUMMYFUNCTION("""COMPUTED_VALUE"""),"همدان")</f>
        <v>همدان</v>
      </c>
      <c r="E2720" s="5" t="str">
        <f>IFERROR(__xludf.DUMMYFUNCTION("""COMPUTED_VALUE"""),"کبودرآهنگ")</f>
        <v>کبودرآهنگ</v>
      </c>
      <c r="F2720" s="5" t="str">
        <f>IFERROR(__xludf.DUMMYFUNCTION("""COMPUTED_VALUE"""),"روستای ازوندره")</f>
        <v>روستای ازوندره</v>
      </c>
      <c r="G2720" s="5"/>
      <c r="H2720" s="6" t="str">
        <f>IFERROR(__xludf.DUMMYFUNCTION("""COMPUTED_VALUE"""),"https://www.instagram.com/heiat_as")</f>
        <v>https://www.instagram.com/heiat_as</v>
      </c>
      <c r="I2720" s="6" t="str">
        <f>IFERROR(__xludf.DUMMYFUNCTION("""COMPUTED_VALUE"""),"https://t.me/Heiat_as")</f>
        <v>https://t.me/Heiat_as</v>
      </c>
      <c r="J2720" s="5"/>
      <c r="K2720" s="5"/>
      <c r="L2720" s="5"/>
      <c r="M2720" s="5"/>
      <c r="N2720" s="5"/>
      <c r="O2720" s="5"/>
      <c r="P2720" s="5"/>
      <c r="Q2720" s="5"/>
      <c r="R2720" s="5"/>
      <c r="S2720" s="5"/>
    </row>
    <row r="2721">
      <c r="A2721" s="5">
        <f>IFERROR(__xludf.DUMMYFUNCTION("""COMPUTED_VALUE"""),33025.0)</f>
        <v>33025</v>
      </c>
      <c r="B2721" s="5" t="str">
        <f>IFERROR(__xludf.DUMMYFUNCTION("""COMPUTED_VALUE"""),"هیأت")</f>
        <v>هیأت</v>
      </c>
      <c r="C2721" s="5" t="str">
        <f>IFERROR(__xludf.DUMMYFUNCTION("""COMPUTED_VALUE"""),"لثارت الحسین (ع)")</f>
        <v>لثارت الحسین (ع)</v>
      </c>
      <c r="D2721" s="5" t="str">
        <f>IFERROR(__xludf.DUMMYFUNCTION("""COMPUTED_VALUE"""),"همدان")</f>
        <v>همدان</v>
      </c>
      <c r="E2721" s="5" t="str">
        <f>IFERROR(__xludf.DUMMYFUNCTION("""COMPUTED_VALUE"""),"همدان")</f>
        <v>همدان</v>
      </c>
      <c r="F2721" s="5"/>
      <c r="G2721" s="5"/>
      <c r="H2721" s="6" t="str">
        <f>IFERROR(__xludf.DUMMYFUNCTION("""COMPUTED_VALUE"""),"https://www.instagram.com/h.yalasaratzanjan")</f>
        <v>https://www.instagram.com/h.yalasaratzanjan</v>
      </c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</row>
    <row r="2722">
      <c r="A2722" s="5"/>
      <c r="B2722" s="5" t="str">
        <f>IFERROR(__xludf.DUMMYFUNCTION("""COMPUTED_VALUE"""),"هیأت")</f>
        <v>هیأت</v>
      </c>
      <c r="C2722" s="5" t="str">
        <f>IFERROR(__xludf.DUMMYFUNCTION("""COMPUTED_VALUE"""),"عاشقان اباالفضل علیه السلام")</f>
        <v>عاشقان اباالفضل علیه السلام</v>
      </c>
      <c r="D2722" s="5" t="str">
        <f>IFERROR(__xludf.DUMMYFUNCTION("""COMPUTED_VALUE"""),"همدان")</f>
        <v>همدان</v>
      </c>
      <c r="E2722" s="5" t="str">
        <f>IFERROR(__xludf.DUMMYFUNCTION("""COMPUTED_VALUE"""),"اسدآباد")</f>
        <v>اسدآباد</v>
      </c>
      <c r="F2722" s="5"/>
      <c r="G2722" s="5"/>
      <c r="H2722" s="6" t="str">
        <f>IFERROR(__xludf.DUMMYFUNCTION("""COMPUTED_VALUE"""),"https://www.instagram.com/asheghaneabalfazl1383/")</f>
        <v>https://www.instagram.com/asheghaneabalfazl1383/</v>
      </c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</row>
    <row r="2723">
      <c r="A2723" s="5"/>
      <c r="B2723" s="5" t="str">
        <f>IFERROR(__xludf.DUMMYFUNCTION("""COMPUTED_VALUE"""),"هیأت")</f>
        <v>هیأت</v>
      </c>
      <c r="C2723" s="5" t="str">
        <f>IFERROR(__xludf.DUMMYFUNCTION("""COMPUTED_VALUE"""),"فاطمیون")</f>
        <v>فاطمیون</v>
      </c>
      <c r="D2723" s="5" t="str">
        <f>IFERROR(__xludf.DUMMYFUNCTION("""COMPUTED_VALUE"""),"همدان")</f>
        <v>همدان</v>
      </c>
      <c r="E2723" s="5" t="str">
        <f>IFERROR(__xludf.DUMMYFUNCTION("""COMPUTED_VALUE"""),"بهار")</f>
        <v>بهار</v>
      </c>
      <c r="F2723" s="5"/>
      <c r="G2723" s="5"/>
      <c r="H2723" s="6" t="str">
        <f>IFERROR(__xludf.DUMMYFUNCTION("""COMPUTED_VALUE"""),"https://www.instagram.com/fatemiyoun_bahar/")</f>
        <v>https://www.instagram.com/fatemiyoun_bahar/</v>
      </c>
      <c r="I2723" s="6" t="str">
        <f>IFERROR(__xludf.DUMMYFUNCTION("""COMPUTED_VALUE"""),"https://t.me/fatemiyoun_bahar")</f>
        <v>https://t.me/fatemiyoun_bahar</v>
      </c>
      <c r="J2723" s="5"/>
      <c r="K2723" s="5"/>
      <c r="L2723" s="5"/>
      <c r="M2723" s="5"/>
      <c r="N2723" s="5"/>
      <c r="O2723" s="5"/>
      <c r="P2723" s="5"/>
      <c r="Q2723" s="5"/>
      <c r="R2723" s="5"/>
      <c r="S2723" s="5"/>
    </row>
    <row r="2724">
      <c r="A2724" s="5"/>
      <c r="B2724" s="5" t="str">
        <f>IFERROR(__xludf.DUMMYFUNCTION("""COMPUTED_VALUE"""),"هیأت")</f>
        <v>هیأت</v>
      </c>
      <c r="C2724" s="5" t="str">
        <f>IFERROR(__xludf.DUMMYFUNCTION("""COMPUTED_VALUE"""),"محبان المهدی(عج)")</f>
        <v>محبان المهدی(عج)</v>
      </c>
      <c r="D2724" s="5" t="str">
        <f>IFERROR(__xludf.DUMMYFUNCTION("""COMPUTED_VALUE"""),"همدان")</f>
        <v>همدان</v>
      </c>
      <c r="E2724" s="5" t="str">
        <f>IFERROR(__xludf.DUMMYFUNCTION("""COMPUTED_VALUE"""),"بهار")</f>
        <v>بهار</v>
      </c>
      <c r="F2724" s="5"/>
      <c r="G2724" s="5"/>
      <c r="H2724" s="6" t="str">
        <f>IFERROR(__xludf.DUMMYFUNCTION("""COMPUTED_VALUE"""),"https://www.instagram.com/heyat_moheban_mahdi201/")</f>
        <v>https://www.instagram.com/heyat_moheban_mahdi201/</v>
      </c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</row>
    <row r="2725">
      <c r="A2725" s="5"/>
      <c r="B2725" s="5" t="str">
        <f>IFERROR(__xludf.DUMMYFUNCTION("""COMPUTED_VALUE"""),"هیأت")</f>
        <v>هیأت</v>
      </c>
      <c r="C2725" s="5" t="str">
        <f>IFERROR(__xludf.DUMMYFUNCTION("""COMPUTED_VALUE"""),"محبین ثامن الائمه (ع)")</f>
        <v>محبین ثامن الائمه (ع)</v>
      </c>
      <c r="D2725" s="5" t="str">
        <f>IFERROR(__xludf.DUMMYFUNCTION("""COMPUTED_VALUE"""),"همدان")</f>
        <v>همدان</v>
      </c>
      <c r="E2725" s="5" t="str">
        <f>IFERROR(__xludf.DUMMYFUNCTION("""COMPUTED_VALUE"""),"تویسرکان")</f>
        <v>تویسرکان</v>
      </c>
      <c r="F2725" s="5"/>
      <c r="G2725" s="5"/>
      <c r="H2725" s="5"/>
      <c r="I2725" s="6" t="str">
        <f>IFERROR(__xludf.DUMMYFUNCTION("""COMPUTED_VALUE"""),"t.me/samenolaemehtuyserkan")</f>
        <v>t.me/samenolaemehtuyserkan</v>
      </c>
      <c r="J2725" s="5"/>
      <c r="K2725" s="5"/>
      <c r="L2725" s="5"/>
      <c r="M2725" s="5"/>
      <c r="N2725" s="5"/>
      <c r="O2725" s="5"/>
      <c r="P2725" s="5"/>
      <c r="Q2725" s="5"/>
      <c r="R2725" s="5"/>
      <c r="S2725" s="5"/>
    </row>
    <row r="2726">
      <c r="A2726" s="5"/>
      <c r="B2726" s="5" t="str">
        <f>IFERROR(__xludf.DUMMYFUNCTION("""COMPUTED_VALUE"""),"هیأت")</f>
        <v>هیأت</v>
      </c>
      <c r="C2726" s="5" t="str">
        <f>IFERROR(__xludf.DUMMYFUNCTION("""COMPUTED_VALUE"""),"زیارت آل یاسین")</f>
        <v>زیارت آل یاسین</v>
      </c>
      <c r="D2726" s="5" t="str">
        <f>IFERROR(__xludf.DUMMYFUNCTION("""COMPUTED_VALUE"""),"همدان")</f>
        <v>همدان</v>
      </c>
      <c r="E2726" s="5" t="str">
        <f>IFERROR(__xludf.DUMMYFUNCTION("""COMPUTED_VALUE"""),"تویسرکان")</f>
        <v>تویسرکان</v>
      </c>
      <c r="F2726" s="5" t="str">
        <f>IFERROR(__xludf.DUMMYFUNCTION("""COMPUTED_VALUE"""),"سرکان")</f>
        <v>سرکان</v>
      </c>
      <c r="G2726" s="5"/>
      <c r="H2726" s="6" t="str">
        <f>IFERROR(__xludf.DUMMYFUNCTION("""COMPUTED_VALUE"""),"https://www.instagram.com/ziarat_aale_yasin/")</f>
        <v>https://www.instagram.com/ziarat_aale_yasin/</v>
      </c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</row>
    <row r="2727">
      <c r="A2727" s="5"/>
      <c r="B2727" s="5" t="str">
        <f>IFERROR(__xludf.DUMMYFUNCTION("""COMPUTED_VALUE"""),"هیأت")</f>
        <v>هیأت</v>
      </c>
      <c r="C2727" s="5" t="str">
        <f>IFERROR(__xludf.DUMMYFUNCTION("""COMPUTED_VALUE"""),"عزاداران ")</f>
        <v>عزاداران </v>
      </c>
      <c r="D2727" s="5" t="str">
        <f>IFERROR(__xludf.DUMMYFUNCTION("""COMPUTED_VALUE"""),"همدان")</f>
        <v>همدان</v>
      </c>
      <c r="E2727" s="5" t="str">
        <f>IFERROR(__xludf.DUMMYFUNCTION("""COMPUTED_VALUE"""),"درگزین")</f>
        <v>درگزین</v>
      </c>
      <c r="F2727" s="5"/>
      <c r="G2727" s="5"/>
      <c r="H2727" s="6" t="str">
        <f>IFERROR(__xludf.DUMMYFUNCTION("""COMPUTED_VALUE"""),"https://www.instagram.com/heiat_azadaran_dargazin/")</f>
        <v>https://www.instagram.com/heiat_azadaran_dargazin/</v>
      </c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</row>
    <row r="2728">
      <c r="A2728" s="5"/>
      <c r="B2728" s="5" t="str">
        <f>IFERROR(__xludf.DUMMYFUNCTION("""COMPUTED_VALUE"""),"هیأت")</f>
        <v>هیأت</v>
      </c>
      <c r="C2728" s="5" t="str">
        <f>IFERROR(__xludf.DUMMYFUNCTION("""COMPUTED_VALUE"""),"محبان اهل بیت")</f>
        <v>محبان اهل بیت</v>
      </c>
      <c r="D2728" s="5" t="str">
        <f>IFERROR(__xludf.DUMMYFUNCTION("""COMPUTED_VALUE"""),"همدان")</f>
        <v>همدان</v>
      </c>
      <c r="E2728" s="5" t="str">
        <f>IFERROR(__xludf.DUMMYFUNCTION("""COMPUTED_VALUE"""),"درگزین")</f>
        <v>درگزین</v>
      </c>
      <c r="F2728" s="5"/>
      <c r="G2728" s="5"/>
      <c r="H2728" s="6" t="str">
        <f>IFERROR(__xludf.DUMMYFUNCTION("""COMPUTED_VALUE"""),"https://www.instagram.com/heyatmoheban_dargazin278/")</f>
        <v>https://www.instagram.com/heyatmoheban_dargazin278/</v>
      </c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</row>
    <row r="2729">
      <c r="A2729" s="5"/>
      <c r="B2729" s="5" t="str">
        <f>IFERROR(__xludf.DUMMYFUNCTION("""COMPUTED_VALUE"""),"هیأت")</f>
        <v>هیأت</v>
      </c>
      <c r="C2729" s="5" t="str">
        <f>IFERROR(__xludf.DUMMYFUNCTION("""COMPUTED_VALUE"""),"یاوران مهدی (عج)")</f>
        <v>یاوران مهدی (عج)</v>
      </c>
      <c r="D2729" s="5" t="str">
        <f>IFERROR(__xludf.DUMMYFUNCTION("""COMPUTED_VALUE"""),"همدان")</f>
        <v>همدان</v>
      </c>
      <c r="E2729" s="5" t="str">
        <f>IFERROR(__xludf.DUMMYFUNCTION("""COMPUTED_VALUE"""),"رزن")</f>
        <v>رزن</v>
      </c>
      <c r="F2729" s="5"/>
      <c r="G2729" s="5"/>
      <c r="H2729" s="6" t="str">
        <f>IFERROR(__xludf.DUMMYFUNCTION("""COMPUTED_VALUE"""),"https://www.instagram.com/yavaran_mahdi_orginal/")</f>
        <v>https://www.instagram.com/yavaran_mahdi_orginal/</v>
      </c>
      <c r="I2729" s="6" t="str">
        <f>IFERROR(__xludf.DUMMYFUNCTION("""COMPUTED_VALUE"""),"https://www.instagram.com/yavaran_mahdi_orginal2/")</f>
        <v>https://www.instagram.com/yavaran_mahdi_orginal2/</v>
      </c>
      <c r="J2729" s="5"/>
      <c r="K2729" s="5"/>
      <c r="L2729" s="5"/>
      <c r="M2729" s="5"/>
      <c r="N2729" s="5"/>
      <c r="O2729" s="5"/>
      <c r="P2729" s="5"/>
      <c r="Q2729" s="5"/>
      <c r="R2729" s="5"/>
      <c r="S2729" s="5"/>
    </row>
    <row r="2730">
      <c r="A2730" s="5"/>
      <c r="B2730" s="5" t="str">
        <f>IFERROR(__xludf.DUMMYFUNCTION("""COMPUTED_VALUE"""),"هیأت")</f>
        <v>هیأت</v>
      </c>
      <c r="C2730" s="5" t="str">
        <f>IFERROR(__xludf.DUMMYFUNCTION("""COMPUTED_VALUE"""),"اکبریون")</f>
        <v>اکبریون</v>
      </c>
      <c r="D2730" s="5" t="str">
        <f>IFERROR(__xludf.DUMMYFUNCTION("""COMPUTED_VALUE"""),"همدان")</f>
        <v>همدان</v>
      </c>
      <c r="E2730" s="5" t="str">
        <f>IFERROR(__xludf.DUMMYFUNCTION("""COMPUTED_VALUE"""),"کبودرآهنگ")</f>
        <v>کبودرآهنگ</v>
      </c>
      <c r="F2730" s="5"/>
      <c r="G2730" s="5"/>
      <c r="H2730" s="6" t="str">
        <f>IFERROR(__xludf.DUMMYFUNCTION("""COMPUTED_VALUE"""),"https://www.instagram.com/akbarion.ir/")</f>
        <v>https://www.instagram.com/akbarion.ir/</v>
      </c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</row>
    <row r="2731">
      <c r="A2731" s="5"/>
      <c r="B2731" s="5" t="str">
        <f>IFERROR(__xludf.DUMMYFUNCTION("""COMPUTED_VALUE"""),"هیأت")</f>
        <v>هیأت</v>
      </c>
      <c r="C2731" s="5" t="str">
        <f>IFERROR(__xludf.DUMMYFUNCTION("""COMPUTED_VALUE"""),"حوزه علمیه فاطمه الزهرا(س)")</f>
        <v>حوزه علمیه فاطمه الزهرا(س)</v>
      </c>
      <c r="D2731" s="5" t="str">
        <f>IFERROR(__xludf.DUMMYFUNCTION("""COMPUTED_VALUE"""),"همدان")</f>
        <v>همدان</v>
      </c>
      <c r="E2731" s="5" t="str">
        <f>IFERROR(__xludf.DUMMYFUNCTION("""COMPUTED_VALUE"""),"کبودرآهنگ")</f>
        <v>کبودرآهنگ</v>
      </c>
      <c r="F2731" s="5"/>
      <c r="G2731" s="5"/>
      <c r="H2731" s="5"/>
      <c r="I2731" s="5"/>
      <c r="J2731" s="6" t="str">
        <f>IFERROR(__xludf.DUMMYFUNCTION("""COMPUTED_VALUE"""),"https://eitaa.com/h_fatimatzahra")</f>
        <v>https://eitaa.com/h_fatimatzahra</v>
      </c>
      <c r="K2731" s="5"/>
      <c r="L2731" s="5"/>
      <c r="M2731" s="5"/>
      <c r="N2731" s="5"/>
      <c r="O2731" s="5"/>
      <c r="P2731" s="5"/>
      <c r="Q2731" s="5"/>
      <c r="R2731" s="5"/>
      <c r="S2731" s="5"/>
    </row>
    <row r="2732">
      <c r="A2732" s="5"/>
      <c r="B2732" s="5" t="str">
        <f>IFERROR(__xludf.DUMMYFUNCTION("""COMPUTED_VALUE"""),"هیأت")</f>
        <v>هیأت</v>
      </c>
      <c r="C2732" s="5" t="str">
        <f>IFERROR(__xludf.DUMMYFUNCTION("""COMPUTED_VALUE"""),"عزاداران‌حضرت‌زینب‌س")</f>
        <v>عزاداران‌حضرت‌زینب‌س</v>
      </c>
      <c r="D2732" s="5" t="str">
        <f>IFERROR(__xludf.DUMMYFUNCTION("""COMPUTED_VALUE"""),"همدان")</f>
        <v>همدان</v>
      </c>
      <c r="E2732" s="5" t="str">
        <f>IFERROR(__xludf.DUMMYFUNCTION("""COMPUTED_VALUE"""),"کبودرآهنگ")</f>
        <v>کبودرآهنگ</v>
      </c>
      <c r="F2732" s="5"/>
      <c r="G2732" s="5"/>
      <c r="H2732" s="6" t="str">
        <f>IFERROR(__xludf.DUMMYFUNCTION("""COMPUTED_VALUE"""),"https://www.instagram.com/mokeb_azadaran69/")</f>
        <v>https://www.instagram.com/mokeb_azadaran69/</v>
      </c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</row>
    <row r="2733">
      <c r="A2733" s="5"/>
      <c r="B2733" s="5" t="str">
        <f>IFERROR(__xludf.DUMMYFUNCTION("""COMPUTED_VALUE"""),"هیأت")</f>
        <v>هیأت</v>
      </c>
      <c r="C2733" s="5" t="str">
        <f>IFERROR(__xludf.DUMMYFUNCTION("""COMPUTED_VALUE"""),"جواد الائمه(ع)‌")</f>
        <v>جواد الائمه(ع)‌</v>
      </c>
      <c r="D2733" s="5" t="str">
        <f>IFERROR(__xludf.DUMMYFUNCTION("""COMPUTED_VALUE"""),"همدان")</f>
        <v>همدان</v>
      </c>
      <c r="E2733" s="5" t="str">
        <f>IFERROR(__xludf.DUMMYFUNCTION("""COMPUTED_VALUE"""),"کبودرآهنگ")</f>
        <v>کبودرآهنگ</v>
      </c>
      <c r="F2733" s="5"/>
      <c r="G2733" s="5"/>
      <c r="H2733" s="6" t="str">
        <f>IFERROR(__xludf.DUMMYFUNCTION("""COMPUTED_VALUE"""),"https://www.instagram.com/heyat_javadalaemeh_kb/")</f>
        <v>https://www.instagram.com/heyat_javadalaemeh_kb/</v>
      </c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</row>
    <row r="2734">
      <c r="A2734" s="5"/>
      <c r="B2734" s="5" t="str">
        <f>IFERROR(__xludf.DUMMYFUNCTION("""COMPUTED_VALUE"""),"هیأت")</f>
        <v>هیأت</v>
      </c>
      <c r="C2734" s="5" t="str">
        <f>IFERROR(__xludf.DUMMYFUNCTION("""COMPUTED_VALUE"""),"جوادالائمه (ع)")</f>
        <v>جوادالائمه (ع)</v>
      </c>
      <c r="D2734" s="5" t="str">
        <f>IFERROR(__xludf.DUMMYFUNCTION("""COMPUTED_VALUE"""),"همدان")</f>
        <v>همدان</v>
      </c>
      <c r="E2734" s="5" t="str">
        <f>IFERROR(__xludf.DUMMYFUNCTION("""COMPUTED_VALUE"""),"ملایر")</f>
        <v>ملایر</v>
      </c>
      <c r="F2734" s="5"/>
      <c r="G2734" s="5"/>
      <c r="H2734" s="5"/>
      <c r="I2734" s="5"/>
      <c r="J2734" s="6" t="str">
        <f>IFERROR(__xludf.DUMMYFUNCTION("""COMPUTED_VALUE"""),"https://eitaa.com/javadolaemeh_malayer")</f>
        <v>https://eitaa.com/javadolaemeh_malayer</v>
      </c>
      <c r="K2734" s="5"/>
      <c r="L2734" s="5"/>
      <c r="M2734" s="5"/>
      <c r="N2734" s="5"/>
      <c r="O2734" s="5"/>
      <c r="P2734" s="5"/>
      <c r="Q2734" s="5"/>
      <c r="R2734" s="5"/>
      <c r="S2734" s="5"/>
    </row>
    <row r="2735">
      <c r="A2735" s="5"/>
      <c r="B2735" s="5" t="str">
        <f>IFERROR(__xludf.DUMMYFUNCTION("""COMPUTED_VALUE"""),"هیأت")</f>
        <v>هیأت</v>
      </c>
      <c r="C2735" s="5" t="str">
        <f>IFERROR(__xludf.DUMMYFUNCTION("""COMPUTED_VALUE"""),"خادمین الشهدا")</f>
        <v>خادمین الشهدا</v>
      </c>
      <c r="D2735" s="5" t="str">
        <f>IFERROR(__xludf.DUMMYFUNCTION("""COMPUTED_VALUE"""),"همدان")</f>
        <v>همدان</v>
      </c>
      <c r="E2735" s="5" t="str">
        <f>IFERROR(__xludf.DUMMYFUNCTION("""COMPUTED_VALUE"""),"ملایر")</f>
        <v>ملایر</v>
      </c>
      <c r="F2735" s="5"/>
      <c r="G2735" s="5"/>
      <c r="H2735" s="6" t="str">
        <f>IFERROR(__xludf.DUMMYFUNCTION("""COMPUTED_VALUE"""),"https://www.instagram.com/kanalkomail_ir/")</f>
        <v>https://www.instagram.com/kanalkomail_ir/</v>
      </c>
      <c r="I2735" s="6" t="str">
        <f>IFERROR(__xludf.DUMMYFUNCTION("""COMPUTED_VALUE"""),"tlgrm.me/kanalkomail")</f>
        <v>tlgrm.me/kanalkomail</v>
      </c>
      <c r="J2735" s="5"/>
      <c r="K2735" s="5"/>
      <c r="L2735" s="5"/>
      <c r="M2735" s="5"/>
      <c r="N2735" s="5"/>
      <c r="O2735" s="5"/>
      <c r="P2735" s="5"/>
      <c r="Q2735" s="5"/>
      <c r="R2735" s="5"/>
      <c r="S2735" s="5"/>
    </row>
    <row r="2736">
      <c r="A2736" s="5"/>
      <c r="B2736" s="5" t="str">
        <f>IFERROR(__xludf.DUMMYFUNCTION("""COMPUTED_VALUE"""),"موکب")</f>
        <v>موکب</v>
      </c>
      <c r="C2736" s="5" t="str">
        <f>IFERROR(__xludf.DUMMYFUNCTION("""COMPUTED_VALUE"""),"عقیله بنی هاشم")</f>
        <v>عقیله بنی هاشم</v>
      </c>
      <c r="D2736" s="5" t="str">
        <f>IFERROR(__xludf.DUMMYFUNCTION("""COMPUTED_VALUE"""),"همدان")</f>
        <v>همدان</v>
      </c>
      <c r="E2736" s="5" t="str">
        <f>IFERROR(__xludf.DUMMYFUNCTION("""COMPUTED_VALUE"""),"ملایر")</f>
        <v>ملایر</v>
      </c>
      <c r="F2736" s="5"/>
      <c r="G2736" s="5"/>
      <c r="H2736" s="6" t="str">
        <f>IFERROR(__xludf.DUMMYFUNCTION("""COMPUTED_VALUE"""),"https://www.instagram.com/mokeb_aghile_malayer/")</f>
        <v>https://www.instagram.com/mokeb_aghile_malayer/</v>
      </c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</row>
    <row r="2737">
      <c r="A2737" s="5"/>
      <c r="B2737" s="5" t="str">
        <f>IFERROR(__xludf.DUMMYFUNCTION("""COMPUTED_VALUE"""),"هیأت")</f>
        <v>هیأت</v>
      </c>
      <c r="C2737" s="5" t="str">
        <f>IFERROR(__xludf.DUMMYFUNCTION("""COMPUTED_VALUE"""),"سیدالشهدا(ع)")</f>
        <v>سیدالشهدا(ع)</v>
      </c>
      <c r="D2737" s="5" t="str">
        <f>IFERROR(__xludf.DUMMYFUNCTION("""COMPUTED_VALUE"""),"همدان")</f>
        <v>همدان</v>
      </c>
      <c r="E2737" s="5" t="str">
        <f>IFERROR(__xludf.DUMMYFUNCTION("""COMPUTED_VALUE"""),"ملایر")</f>
        <v>ملایر</v>
      </c>
      <c r="F2737" s="5"/>
      <c r="G2737" s="5"/>
      <c r="H2737" s="6" t="str">
        <f>IFERROR(__xludf.DUMMYFUNCTION("""COMPUTED_VALUE"""),"https://www.instagram.com/heyat.seyedoshohada/")</f>
        <v>https://www.instagram.com/heyat.seyedoshohada/</v>
      </c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</row>
    <row r="2738">
      <c r="A2738" s="5"/>
      <c r="B2738" s="5" t="str">
        <f>IFERROR(__xludf.DUMMYFUNCTION("""COMPUTED_VALUE"""),"هیأت")</f>
        <v>هیأت</v>
      </c>
      <c r="C2738" s="5" t="str">
        <f>IFERROR(__xludf.DUMMYFUNCTION("""COMPUTED_VALUE"""),"الرضا")</f>
        <v>الرضا</v>
      </c>
      <c r="D2738" s="5" t="str">
        <f>IFERROR(__xludf.DUMMYFUNCTION("""COMPUTED_VALUE"""),"همدان")</f>
        <v>همدان</v>
      </c>
      <c r="E2738" s="5" t="str">
        <f>IFERROR(__xludf.DUMMYFUNCTION("""COMPUTED_VALUE"""),"ملایر")</f>
        <v>ملایر</v>
      </c>
      <c r="F2738" s="5"/>
      <c r="G2738" s="5"/>
      <c r="H2738" s="6" t="str">
        <f>IFERROR(__xludf.DUMMYFUNCTION("""COMPUTED_VALUE"""),"https://www.instagram.com/_heiatoreza_/")</f>
        <v>https://www.instagram.com/_heiatoreza_/</v>
      </c>
      <c r="I2738" s="6" t="str">
        <f>IFERROR(__xludf.DUMMYFUNCTION("""COMPUTED_VALUE"""),"https://t.me/Heiatorza")</f>
        <v>https://t.me/Heiatorza</v>
      </c>
      <c r="J2738" s="5"/>
      <c r="K2738" s="5"/>
      <c r="L2738" s="5"/>
      <c r="M2738" s="5"/>
      <c r="N2738" s="5"/>
      <c r="O2738" s="5"/>
      <c r="P2738" s="5"/>
      <c r="Q2738" s="5"/>
      <c r="R2738" s="5"/>
      <c r="S2738" s="5"/>
    </row>
    <row r="2739">
      <c r="A2739" s="5"/>
      <c r="B2739" s="5" t="str">
        <f>IFERROR(__xludf.DUMMYFUNCTION("""COMPUTED_VALUE"""),"هیأت")</f>
        <v>هیأت</v>
      </c>
      <c r="C2739" s="5" t="str">
        <f>IFERROR(__xludf.DUMMYFUNCTION("""COMPUTED_VALUE"""),"جوانان حزب الله")</f>
        <v>جوانان حزب الله</v>
      </c>
      <c r="D2739" s="5" t="str">
        <f>IFERROR(__xludf.DUMMYFUNCTION("""COMPUTED_VALUE"""),"همدان")</f>
        <v>همدان</v>
      </c>
      <c r="E2739" s="5" t="str">
        <f>IFERROR(__xludf.DUMMYFUNCTION("""COMPUTED_VALUE"""),"ملایر")</f>
        <v>ملایر</v>
      </c>
      <c r="F2739" s="5"/>
      <c r="G2739" s="5"/>
      <c r="H2739" s="6" t="str">
        <f>IFERROR(__xludf.DUMMYFUNCTION("""COMPUTED_VALUE"""),"https://www.instagram.com/hezbollahemalayer")</f>
        <v>https://www.instagram.com/hezbollahemalayer</v>
      </c>
      <c r="I2739" s="6" t="str">
        <f>IFERROR(__xludf.DUMMYFUNCTION("""COMPUTED_VALUE"""),"https://t.me/hezbollahemalayer")</f>
        <v>https://t.me/hezbollahemalayer</v>
      </c>
      <c r="J2739" s="5"/>
      <c r="K2739" s="5"/>
      <c r="L2739" s="5"/>
      <c r="M2739" s="5"/>
      <c r="N2739" s="5"/>
      <c r="O2739" s="5"/>
      <c r="P2739" s="5"/>
      <c r="Q2739" s="5"/>
      <c r="R2739" s="5"/>
      <c r="S2739" s="5"/>
    </row>
    <row r="2740">
      <c r="A2740" s="5"/>
      <c r="B2740" s="5" t="str">
        <f>IFERROR(__xludf.DUMMYFUNCTION("""COMPUTED_VALUE"""),"هیأت")</f>
        <v>هیأت</v>
      </c>
      <c r="C2740" s="5" t="str">
        <f>IFERROR(__xludf.DUMMYFUNCTION("""COMPUTED_VALUE"""),"خدام الحسن")</f>
        <v>خدام الحسن</v>
      </c>
      <c r="D2740" s="5" t="str">
        <f>IFERROR(__xludf.DUMMYFUNCTION("""COMPUTED_VALUE"""),"همدان")</f>
        <v>همدان</v>
      </c>
      <c r="E2740" s="5" t="str">
        <f>IFERROR(__xludf.DUMMYFUNCTION("""COMPUTED_VALUE"""),"ملایر")</f>
        <v>ملایر</v>
      </c>
      <c r="F2740" s="5"/>
      <c r="G2740" s="5"/>
      <c r="H2740" s="6" t="str">
        <f>IFERROR(__xludf.DUMMYFUNCTION("""COMPUTED_VALUE"""),"https://www.instagram.com/khodamalhassan/")</f>
        <v>https://www.instagram.com/khodamalhassan/</v>
      </c>
      <c r="I2740" s="6" t="str">
        <f>IFERROR(__xludf.DUMMYFUNCTION("""COMPUTED_VALUE"""),"https://t.me/khodamalhassan")</f>
        <v>https://t.me/khodamalhassan</v>
      </c>
      <c r="J2740" s="6" t="str">
        <f>IFERROR(__xludf.DUMMYFUNCTION("""COMPUTED_VALUE"""),"https://eitaa.com/khodamalhassan")</f>
        <v>https://eitaa.com/khodamalhassan</v>
      </c>
      <c r="K2740" s="6" t="str">
        <f>IFERROR(__xludf.DUMMYFUNCTION("""COMPUTED_VALUE"""),"https://www.youtube.com/@khodamalhassan")</f>
        <v>https://www.youtube.com/@khodamalhassan</v>
      </c>
      <c r="L2740" s="5"/>
      <c r="M2740" s="5"/>
      <c r="N2740" s="5"/>
      <c r="O2740" s="5"/>
      <c r="P2740" s="5"/>
      <c r="Q2740" s="5"/>
      <c r="R2740" s="5"/>
      <c r="S2740" s="5"/>
    </row>
    <row r="2741">
      <c r="A2741" s="5"/>
      <c r="B2741" s="5" t="str">
        <f>IFERROR(__xludf.DUMMYFUNCTION("""COMPUTED_VALUE"""),"هیأت")</f>
        <v>هیأت</v>
      </c>
      <c r="C2741" s="5" t="str">
        <f>IFERROR(__xludf.DUMMYFUNCTION("""COMPUTED_VALUE"""),"فدائیان زهرا(س)")</f>
        <v>فدائیان زهرا(س)</v>
      </c>
      <c r="D2741" s="5" t="str">
        <f>IFERROR(__xludf.DUMMYFUNCTION("""COMPUTED_VALUE"""),"همدان")</f>
        <v>همدان</v>
      </c>
      <c r="E2741" s="5" t="str">
        <f>IFERROR(__xludf.DUMMYFUNCTION("""COMPUTED_VALUE"""),"ملایر")</f>
        <v>ملایر</v>
      </c>
      <c r="F2741" s="5"/>
      <c r="G2741" s="5"/>
      <c r="H2741" s="6" t="str">
        <f>IFERROR(__xludf.DUMMYFUNCTION("""COMPUTED_VALUE"""),"https://www.instagram.com/heyat_fadaeiyan_zahra")</f>
        <v>https://www.instagram.com/heyat_fadaeiyan_zahra</v>
      </c>
      <c r="I2741" s="5"/>
      <c r="J2741" s="6" t="str">
        <f>IFERROR(__xludf.DUMMYFUNCTION("""COMPUTED_VALUE"""),"https://eitaa.com/FadaiyanHazratZahraMalayeri")</f>
        <v>https://eitaa.com/FadaiyanHazratZahraMalayeri</v>
      </c>
      <c r="K2741" s="5"/>
      <c r="L2741" s="5"/>
      <c r="M2741" s="5"/>
      <c r="N2741" s="5"/>
      <c r="O2741" s="5"/>
      <c r="P2741" s="5"/>
      <c r="Q2741" s="5"/>
      <c r="R2741" s="5"/>
      <c r="S2741" s="5"/>
    </row>
    <row r="2742">
      <c r="A2742" s="5">
        <f>IFERROR(__xludf.DUMMYFUNCTION("""COMPUTED_VALUE"""),8169.0)</f>
        <v>8169</v>
      </c>
      <c r="B2742" s="5" t="str">
        <f>IFERROR(__xludf.DUMMYFUNCTION("""COMPUTED_VALUE"""),"هیأت")</f>
        <v>هیأت</v>
      </c>
      <c r="C2742" s="5" t="str">
        <f>IFERROR(__xludf.DUMMYFUNCTION("""COMPUTED_VALUE"""),"محبین اهل بیت(ع)")</f>
        <v>محبین اهل بیت(ع)</v>
      </c>
      <c r="D2742" s="5" t="str">
        <f>IFERROR(__xludf.DUMMYFUNCTION("""COMPUTED_VALUE"""),"زنجان")</f>
        <v>زنجان</v>
      </c>
      <c r="E2742" s="5" t="str">
        <f>IFERROR(__xludf.DUMMYFUNCTION("""COMPUTED_VALUE"""),"ابهر")</f>
        <v>ابهر</v>
      </c>
      <c r="F2742" s="5"/>
      <c r="G2742" s="5"/>
      <c r="H2742" s="6" t="str">
        <f>IFERROR(__xludf.DUMMYFUNCTION("""COMPUTED_VALUE"""),"https://www.instagram.com/heiaat_mohebbin_shenat/")</f>
        <v>https://www.instagram.com/heiaat_mohebbin_shenat/</v>
      </c>
      <c r="I2742" s="6" t="str">
        <f>IFERROR(__xludf.DUMMYFUNCTION("""COMPUTED_VALUE"""),"https://t.me/heiaat_mohebbin_shenat/")</f>
        <v>https://t.me/heiaat_mohebbin_shenat/</v>
      </c>
      <c r="J2742" s="6" t="str">
        <f>IFERROR(__xludf.DUMMYFUNCTION("""COMPUTED_VALUE"""),"https://eitaa.com/heiaat_mohebbin")</f>
        <v>https://eitaa.com/heiaat_mohebbin</v>
      </c>
      <c r="K2742" s="5"/>
      <c r="L2742" s="5"/>
      <c r="M2742" s="5"/>
      <c r="N2742" s="5"/>
      <c r="O2742" s="5"/>
      <c r="P2742" s="5"/>
      <c r="Q2742" s="5"/>
      <c r="R2742" s="5"/>
      <c r="S2742" s="5"/>
    </row>
    <row r="2743">
      <c r="A2743" s="5">
        <f>IFERROR(__xludf.DUMMYFUNCTION("""COMPUTED_VALUE"""),8659.0)</f>
        <v>8659</v>
      </c>
      <c r="B2743" s="5" t="str">
        <f>IFERROR(__xludf.DUMMYFUNCTION("""COMPUTED_VALUE"""),"هیأت")</f>
        <v>هیأت</v>
      </c>
      <c r="C2743" s="5" t="str">
        <f>IFERROR(__xludf.DUMMYFUNCTION("""COMPUTED_VALUE"""),"سائلین/فدائیان حضرت الزهرا (س)")</f>
        <v>سائلین/فدائیان حضرت الزهرا (س)</v>
      </c>
      <c r="D2743" s="5" t="str">
        <f>IFERROR(__xludf.DUMMYFUNCTION("""COMPUTED_VALUE"""),"زنجان")</f>
        <v>زنجان</v>
      </c>
      <c r="E2743" s="5" t="str">
        <f>IFERROR(__xludf.DUMMYFUNCTION("""COMPUTED_VALUE"""),"ابهر")</f>
        <v>ابهر</v>
      </c>
      <c r="F2743" s="5"/>
      <c r="G2743" s="5"/>
      <c r="H2743" s="5"/>
      <c r="I2743" s="5"/>
      <c r="J2743" s="6" t="str">
        <f>IFERROR(__xludf.DUMMYFUNCTION("""COMPUTED_VALUE"""),"https://eitaa.com/saelinalzahra_abhar")</f>
        <v>https://eitaa.com/saelinalzahra_abhar</v>
      </c>
      <c r="K2743" s="5"/>
      <c r="L2743" s="5"/>
      <c r="M2743" s="5"/>
      <c r="N2743" s="5"/>
      <c r="O2743" s="5"/>
      <c r="P2743" s="5"/>
      <c r="Q2743" s="5"/>
      <c r="R2743" s="5"/>
      <c r="S2743" s="5"/>
    </row>
    <row r="2744">
      <c r="A2744" s="5">
        <f>IFERROR(__xludf.DUMMYFUNCTION("""COMPUTED_VALUE"""),8659.0)</f>
        <v>8659</v>
      </c>
      <c r="B2744" s="5" t="str">
        <f>IFERROR(__xludf.DUMMYFUNCTION("""COMPUTED_VALUE"""),"هیأت")</f>
        <v>هیأت</v>
      </c>
      <c r="C2744" s="5" t="str">
        <f>IFERROR(__xludf.DUMMYFUNCTION("""COMPUTED_VALUE"""),"سائلین/فدائیان حضرت الزهرا (س)")</f>
        <v>سائلین/فدائیان حضرت الزهرا (س)</v>
      </c>
      <c r="D2744" s="5" t="str">
        <f>IFERROR(__xludf.DUMMYFUNCTION("""COMPUTED_VALUE"""),"زنجان")</f>
        <v>زنجان</v>
      </c>
      <c r="E2744" s="5" t="str">
        <f>IFERROR(__xludf.DUMMYFUNCTION("""COMPUTED_VALUE"""),"ابهر")</f>
        <v>ابهر</v>
      </c>
      <c r="F2744" s="5"/>
      <c r="G2744" s="5"/>
      <c r="H2744" s="5"/>
      <c r="I2744" s="5"/>
      <c r="J2744" s="6" t="str">
        <f>IFERROR(__xludf.DUMMYFUNCTION("""COMPUTED_VALUE"""),"https://eitaa.com/fadaeiyan_abhar")</f>
        <v>https://eitaa.com/fadaeiyan_abhar</v>
      </c>
      <c r="K2744" s="5"/>
      <c r="L2744" s="5"/>
      <c r="M2744" s="5"/>
      <c r="N2744" s="5"/>
      <c r="O2744" s="5"/>
      <c r="P2744" s="5"/>
      <c r="Q2744" s="5"/>
      <c r="R2744" s="5"/>
      <c r="S2744" s="5"/>
    </row>
    <row r="2745">
      <c r="A2745" s="5">
        <f>IFERROR(__xludf.DUMMYFUNCTION("""COMPUTED_VALUE"""),17765.0)</f>
        <v>17765</v>
      </c>
      <c r="B2745" s="5" t="str">
        <f>IFERROR(__xludf.DUMMYFUNCTION("""COMPUTED_VALUE"""),"هیأت")</f>
        <v>هیأت</v>
      </c>
      <c r="C2745" s="5" t="str">
        <f>IFERROR(__xludf.DUMMYFUNCTION("""COMPUTED_VALUE"""),"شهدای گمنام")</f>
        <v>شهدای گمنام</v>
      </c>
      <c r="D2745" s="5" t="str">
        <f>IFERROR(__xludf.DUMMYFUNCTION("""COMPUTED_VALUE"""),"زنجان")</f>
        <v>زنجان</v>
      </c>
      <c r="E2745" s="5" t="str">
        <f>IFERROR(__xludf.DUMMYFUNCTION("""COMPUTED_VALUE"""),"ابهر")</f>
        <v>ابهر</v>
      </c>
      <c r="F2745" s="5"/>
      <c r="G2745" s="5"/>
      <c r="H2745" s="5"/>
      <c r="I2745" s="5"/>
      <c r="J2745" s="6" t="str">
        <f>IFERROR(__xludf.DUMMYFUNCTION("""COMPUTED_VALUE"""),"https://eitaa.com/hsg_abhar")</f>
        <v>https://eitaa.com/hsg_abhar</v>
      </c>
      <c r="K2745" s="5"/>
      <c r="L2745" s="5"/>
      <c r="M2745" s="5"/>
      <c r="N2745" s="5"/>
      <c r="O2745" s="5"/>
      <c r="P2745" s="5"/>
      <c r="Q2745" s="5"/>
      <c r="R2745" s="5"/>
      <c r="S2745" s="5"/>
    </row>
    <row r="2746">
      <c r="A2746" s="5">
        <f>IFERROR(__xludf.DUMMYFUNCTION("""COMPUTED_VALUE"""),18275.0)</f>
        <v>18275</v>
      </c>
      <c r="B2746" s="5" t="str">
        <f>IFERROR(__xludf.DUMMYFUNCTION("""COMPUTED_VALUE"""),"مسجد")</f>
        <v>مسجد</v>
      </c>
      <c r="C2746" s="5" t="str">
        <f>IFERROR(__xludf.DUMMYFUNCTION("""COMPUTED_VALUE"""),"مسجد جامع")</f>
        <v>مسجد جامع</v>
      </c>
      <c r="D2746" s="5" t="str">
        <f>IFERROR(__xludf.DUMMYFUNCTION("""COMPUTED_VALUE"""),"زنجان")</f>
        <v>زنجان</v>
      </c>
      <c r="E2746" s="5" t="str">
        <f>IFERROR(__xludf.DUMMYFUNCTION("""COMPUTED_VALUE"""),"ابهر")</f>
        <v>ابهر</v>
      </c>
      <c r="F2746" s="5"/>
      <c r="G2746" s="5"/>
      <c r="H2746" s="6" t="str">
        <f>IFERROR(__xludf.DUMMYFUNCTION("""COMPUTED_VALUE"""),"https://www.instagram.com/zanjir_zanan_hoseini/")</f>
        <v>https://www.instagram.com/zanjir_zanan_hoseini/</v>
      </c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</row>
    <row r="2747">
      <c r="A2747" s="5">
        <f>IFERROR(__xludf.DUMMYFUNCTION("""COMPUTED_VALUE"""),18648.0)</f>
        <v>18648</v>
      </c>
      <c r="B2747" s="5" t="str">
        <f>IFERROR(__xludf.DUMMYFUNCTION("""COMPUTED_VALUE"""),"هیأت")</f>
        <v>هیأت</v>
      </c>
      <c r="C2747" s="5" t="str">
        <f>IFERROR(__xludf.DUMMYFUNCTION("""COMPUTED_VALUE"""),"محبین الزهرا (س) _ فاطمیه")</f>
        <v>محبین الزهرا (س) _ فاطمیه</v>
      </c>
      <c r="D2747" s="5" t="str">
        <f>IFERROR(__xludf.DUMMYFUNCTION("""COMPUTED_VALUE"""),"زنجان")</f>
        <v>زنجان</v>
      </c>
      <c r="E2747" s="5" t="str">
        <f>IFERROR(__xludf.DUMMYFUNCTION("""COMPUTED_VALUE"""),"ابهر")</f>
        <v>ابهر</v>
      </c>
      <c r="F2747" s="5"/>
      <c r="G2747" s="5"/>
      <c r="H2747" s="6" t="str">
        <f>IFERROR(__xludf.DUMMYFUNCTION("""COMPUTED_VALUE"""),"https://www.instagram.com/mohebin.fatemezahra.abhar/")</f>
        <v>https://www.instagram.com/mohebin.fatemezahra.abhar/</v>
      </c>
      <c r="I2747" s="6" t="str">
        <f>IFERROR(__xludf.DUMMYFUNCTION("""COMPUTED_VALUE"""),"t.me/mohebinfatemeabhar")</f>
        <v>t.me/mohebinfatemeabhar</v>
      </c>
      <c r="J2747" s="5"/>
      <c r="K2747" s="5"/>
      <c r="L2747" s="5"/>
      <c r="M2747" s="5"/>
      <c r="N2747" s="5"/>
      <c r="O2747" s="5"/>
      <c r="P2747" s="5"/>
      <c r="Q2747" s="5"/>
      <c r="R2747" s="5"/>
      <c r="S2747" s="5"/>
    </row>
    <row r="2748">
      <c r="A2748" s="5">
        <f>IFERROR(__xludf.DUMMYFUNCTION("""COMPUTED_VALUE"""),18651.0)</f>
        <v>18651</v>
      </c>
      <c r="B2748" s="5" t="str">
        <f>IFERROR(__xludf.DUMMYFUNCTION("""COMPUTED_VALUE"""),"هیأت")</f>
        <v>هیأت</v>
      </c>
      <c r="C2748" s="5" t="str">
        <f>IFERROR(__xludf.DUMMYFUNCTION("""COMPUTED_VALUE"""),"مکتب العباس (ع)")</f>
        <v>مکتب العباس (ع)</v>
      </c>
      <c r="D2748" s="5" t="str">
        <f>IFERROR(__xludf.DUMMYFUNCTION("""COMPUTED_VALUE"""),"زنجان")</f>
        <v>زنجان</v>
      </c>
      <c r="E2748" s="5" t="str">
        <f>IFERROR(__xludf.DUMMYFUNCTION("""COMPUTED_VALUE"""),"ابهر")</f>
        <v>ابهر</v>
      </c>
      <c r="F2748" s="5"/>
      <c r="G2748" s="5"/>
      <c r="H2748" s="6" t="str">
        <f>IFERROR(__xludf.DUMMYFUNCTION("""COMPUTED_VALUE"""),"https://www.instagram.com/abasiyehabhar/")</f>
        <v>https://www.instagram.com/abasiyehabhar/</v>
      </c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</row>
    <row r="2749">
      <c r="A2749" s="5">
        <f>IFERROR(__xludf.DUMMYFUNCTION("""COMPUTED_VALUE"""),8324.0)</f>
        <v>8324</v>
      </c>
      <c r="B2749" s="5" t="str">
        <f>IFERROR(__xludf.DUMMYFUNCTION("""COMPUTED_VALUE"""),"مسجد")</f>
        <v>مسجد</v>
      </c>
      <c r="C2749" s="5" t="str">
        <f>IFERROR(__xludf.DUMMYFUNCTION("""COMPUTED_VALUE"""),"مسجد رسول الله (ص)")</f>
        <v>مسجد رسول الله (ص)</v>
      </c>
      <c r="D2749" s="5" t="str">
        <f>IFERROR(__xludf.DUMMYFUNCTION("""COMPUTED_VALUE"""),"زنجان")</f>
        <v>زنجان</v>
      </c>
      <c r="E2749" s="5" t="str">
        <f>IFERROR(__xludf.DUMMYFUNCTION("""COMPUTED_VALUE"""),"خرمدره")</f>
        <v>خرمدره</v>
      </c>
      <c r="F2749" s="5"/>
      <c r="G2749" s="5"/>
      <c r="H2749" s="6" t="str">
        <f>IFERROR(__xludf.DUMMYFUNCTION("""COMPUTED_VALUE"""),"https://www.instagram.com/masjed_rasulullah/")</f>
        <v>https://www.instagram.com/masjed_rasulullah/</v>
      </c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</row>
    <row r="2750">
      <c r="A2750" s="5">
        <f>IFERROR(__xludf.DUMMYFUNCTION("""COMPUTED_VALUE"""),18646.0)</f>
        <v>18646</v>
      </c>
      <c r="B2750" s="5" t="str">
        <f>IFERROR(__xludf.DUMMYFUNCTION("""COMPUTED_VALUE"""),"هیأت")</f>
        <v>هیأت</v>
      </c>
      <c r="C2750" s="5" t="str">
        <f>IFERROR(__xludf.DUMMYFUNCTION("""COMPUTED_VALUE"""),"مکتب الصادق(ع)")</f>
        <v>مکتب الصادق(ع)</v>
      </c>
      <c r="D2750" s="5" t="str">
        <f>IFERROR(__xludf.DUMMYFUNCTION("""COMPUTED_VALUE"""),"زنجان")</f>
        <v>زنجان</v>
      </c>
      <c r="E2750" s="5" t="str">
        <f>IFERROR(__xludf.DUMMYFUNCTION("""COMPUTED_VALUE"""),"خرمدره")</f>
        <v>خرمدره</v>
      </c>
      <c r="F2750" s="5"/>
      <c r="G2750" s="5"/>
      <c r="H2750" s="6" t="str">
        <f>IFERROR(__xludf.DUMMYFUNCTION("""COMPUTED_VALUE"""),"https://www.instagram.com/maktabosadq/")</f>
        <v>https://www.instagram.com/maktabosadq/</v>
      </c>
      <c r="I2750" s="6" t="str">
        <f>IFERROR(__xludf.DUMMYFUNCTION("""COMPUTED_VALUE"""),"https://t.me/maktabosadq")</f>
        <v>https://t.me/maktabosadq</v>
      </c>
      <c r="J2750" s="6" t="str">
        <f>IFERROR(__xludf.DUMMYFUNCTION("""COMPUTED_VALUE"""),"https://eitaa.com/maktabosadq")</f>
        <v>https://eitaa.com/maktabosadq</v>
      </c>
      <c r="K2750" s="5"/>
      <c r="L2750" s="5"/>
      <c r="M2750" s="5"/>
      <c r="N2750" s="5"/>
      <c r="O2750" s="5"/>
      <c r="P2750" s="5"/>
      <c r="Q2750" s="5"/>
      <c r="R2750" s="5"/>
      <c r="S2750" s="5"/>
    </row>
    <row r="2751">
      <c r="A2751" s="5">
        <f>IFERROR(__xludf.DUMMYFUNCTION("""COMPUTED_VALUE"""),8141.0)</f>
        <v>8141</v>
      </c>
      <c r="B2751" s="5" t="str">
        <f>IFERROR(__xludf.DUMMYFUNCTION("""COMPUTED_VALUE"""),"هیأت")</f>
        <v>هیأت</v>
      </c>
      <c r="C2751" s="5" t="str">
        <f>IFERROR(__xludf.DUMMYFUNCTION("""COMPUTED_VALUE"""),"شیفتگان مولا علی(ع)")</f>
        <v>شیفتگان مولا علی(ع)</v>
      </c>
      <c r="D2751" s="5" t="str">
        <f>IFERROR(__xludf.DUMMYFUNCTION("""COMPUTED_VALUE"""),"زنجان")</f>
        <v>زنجان</v>
      </c>
      <c r="E2751" s="5" t="str">
        <f>IFERROR(__xludf.DUMMYFUNCTION("""COMPUTED_VALUE"""),"زنجان")</f>
        <v>زنجان</v>
      </c>
      <c r="F2751" s="5"/>
      <c r="G2751" s="5"/>
      <c r="H2751" s="6" t="str">
        <f>IFERROR(__xludf.DUMMYFUNCTION("""COMPUTED_VALUE"""),"https://www.instagram.com/shifteghan_ali_znj/")</f>
        <v>https://www.instagram.com/shifteghan_ali_znj/</v>
      </c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</row>
    <row r="2752">
      <c r="A2752" s="5">
        <f>IFERROR(__xludf.DUMMYFUNCTION("""COMPUTED_VALUE"""),8159.0)</f>
        <v>8159</v>
      </c>
      <c r="B2752" s="5" t="str">
        <f>IFERROR(__xludf.DUMMYFUNCTION("""COMPUTED_VALUE"""),"هیأت")</f>
        <v>هیأت</v>
      </c>
      <c r="C2752" s="5" t="str">
        <f>IFERROR(__xludf.DUMMYFUNCTION("""COMPUTED_VALUE"""),"عاشقان حضرت علی اکبر (ع)")</f>
        <v>عاشقان حضرت علی اکبر (ع)</v>
      </c>
      <c r="D2752" s="5" t="str">
        <f>IFERROR(__xludf.DUMMYFUNCTION("""COMPUTED_VALUE"""),"زنجان")</f>
        <v>زنجان</v>
      </c>
      <c r="E2752" s="5" t="str">
        <f>IFERROR(__xludf.DUMMYFUNCTION("""COMPUTED_VALUE"""),"زنجان")</f>
        <v>زنجان</v>
      </c>
      <c r="F2752" s="5"/>
      <c r="G2752" s="5"/>
      <c r="H2752" s="6" t="str">
        <f>IFERROR(__xludf.DUMMYFUNCTION("""COMPUTED_VALUE"""),"https://www.instagram.com/heyat_ashegan_hazrate_aliakbar/")</f>
        <v>https://www.instagram.com/heyat_ashegan_hazrate_aliakbar/</v>
      </c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</row>
    <row r="2753">
      <c r="A2753" s="5">
        <f>IFERROR(__xludf.DUMMYFUNCTION("""COMPUTED_VALUE"""),8166.0)</f>
        <v>8166</v>
      </c>
      <c r="B2753" s="5" t="str">
        <f>IFERROR(__xludf.DUMMYFUNCTION("""COMPUTED_VALUE"""),"هیأت")</f>
        <v>هیأت</v>
      </c>
      <c r="C2753" s="5" t="str">
        <f>IFERROR(__xludf.DUMMYFUNCTION("""COMPUTED_VALUE"""),"ثارالله (ع) (رهروان امام و شهدا)")</f>
        <v>ثارالله (ع) (رهروان امام و شهدا)</v>
      </c>
      <c r="D2753" s="5" t="str">
        <f>IFERROR(__xludf.DUMMYFUNCTION("""COMPUTED_VALUE"""),"زنجان")</f>
        <v>زنجان</v>
      </c>
      <c r="E2753" s="5" t="str">
        <f>IFERROR(__xludf.DUMMYFUNCTION("""COMPUTED_VALUE"""),"زنجان")</f>
        <v>زنجان</v>
      </c>
      <c r="F2753" s="5"/>
      <c r="G2753" s="5"/>
      <c r="H2753" s="6" t="str">
        <f>IFERROR(__xludf.DUMMYFUNCTION("""COMPUTED_VALUE"""),"https://www.instagram.com/sarallahzanjan")</f>
        <v>https://www.instagram.com/sarallahzanjan</v>
      </c>
      <c r="I2753" s="6" t="str">
        <f>IFERROR(__xludf.DUMMYFUNCTION("""COMPUTED_VALUE"""),"t.me/sarallah_zanjan")</f>
        <v>t.me/sarallah_zanjan</v>
      </c>
      <c r="J2753" s="6" t="str">
        <f>IFERROR(__xludf.DUMMYFUNCTION("""COMPUTED_VALUE"""),"https://eitaa.com/sarallah_zanjan")</f>
        <v>https://eitaa.com/sarallah_zanjan</v>
      </c>
      <c r="K2753" s="5"/>
      <c r="L2753" s="5"/>
      <c r="M2753" s="5"/>
      <c r="N2753" s="5"/>
      <c r="O2753" s="5"/>
      <c r="P2753" s="5"/>
      <c r="Q2753" s="5"/>
      <c r="R2753" s="5"/>
      <c r="S2753" s="5"/>
    </row>
    <row r="2754">
      <c r="A2754" s="5">
        <f>IFERROR(__xludf.DUMMYFUNCTION("""COMPUTED_VALUE"""),8198.0)</f>
        <v>8198</v>
      </c>
      <c r="B2754" s="5" t="str">
        <f>IFERROR(__xludf.DUMMYFUNCTION("""COMPUTED_VALUE"""),"حسینیه")</f>
        <v>حسینیه</v>
      </c>
      <c r="C2754" s="5" t="str">
        <f>IFERROR(__xludf.DUMMYFUNCTION("""COMPUTED_VALUE"""),"حسینیه حضرت علی اصغر (ع)")</f>
        <v>حسینیه حضرت علی اصغر (ع)</v>
      </c>
      <c r="D2754" s="5" t="str">
        <f>IFERROR(__xludf.DUMMYFUNCTION("""COMPUTED_VALUE"""),"زنجان")</f>
        <v>زنجان</v>
      </c>
      <c r="E2754" s="5" t="str">
        <f>IFERROR(__xludf.DUMMYFUNCTION("""COMPUTED_VALUE"""),"زنجان")</f>
        <v>زنجان</v>
      </c>
      <c r="F2754" s="5"/>
      <c r="G2754" s="5"/>
      <c r="H2754" s="6" t="str">
        <f>IFERROR(__xludf.DUMMYFUNCTION("""COMPUTED_VALUE"""),"https://www.instagram.com/heyat_aliasghar_zanjan/")</f>
        <v>https://www.instagram.com/heyat_aliasghar_zanjan/</v>
      </c>
      <c r="I2754" s="6" t="str">
        <f>IFERROR(__xludf.DUMMYFUNCTION("""COMPUTED_VALUE"""),"t.me/heyat_aliasghar_zanjan")</f>
        <v>t.me/heyat_aliasghar_zanjan</v>
      </c>
      <c r="J2754" s="5"/>
      <c r="K2754" s="5"/>
      <c r="L2754" s="5"/>
      <c r="M2754" s="5"/>
      <c r="N2754" s="5"/>
      <c r="O2754" s="5"/>
      <c r="P2754" s="5"/>
      <c r="Q2754" s="5"/>
      <c r="R2754" s="5"/>
      <c r="S2754" s="5"/>
    </row>
    <row r="2755">
      <c r="A2755" s="5">
        <f>IFERROR(__xludf.DUMMYFUNCTION("""COMPUTED_VALUE"""),8301.0)</f>
        <v>8301</v>
      </c>
      <c r="B2755" s="5" t="str">
        <f>IFERROR(__xludf.DUMMYFUNCTION("""COMPUTED_VALUE"""),"هیأت")</f>
        <v>هیأت</v>
      </c>
      <c r="C2755" s="5" t="str">
        <f>IFERROR(__xludf.DUMMYFUNCTION("""COMPUTED_VALUE"""),"دانشجویی مکتب الزهرا (س)")</f>
        <v>دانشجویی مکتب الزهرا (س)</v>
      </c>
      <c r="D2755" s="5" t="str">
        <f>IFERROR(__xludf.DUMMYFUNCTION("""COMPUTED_VALUE"""),"زنجان")</f>
        <v>زنجان</v>
      </c>
      <c r="E2755" s="5" t="str">
        <f>IFERROR(__xludf.DUMMYFUNCTION("""COMPUTED_VALUE"""),"زنجان")</f>
        <v>زنجان</v>
      </c>
      <c r="F2755" s="5"/>
      <c r="G2755" s="5"/>
      <c r="H2755" s="5"/>
      <c r="I2755" s="5"/>
      <c r="J2755" s="6" t="str">
        <f>IFERROR(__xludf.DUMMYFUNCTION("""COMPUTED_VALUE"""),"https://eitaa.com/znu_maktab")</f>
        <v>https://eitaa.com/znu_maktab</v>
      </c>
      <c r="K2755" s="5"/>
      <c r="L2755" s="5"/>
      <c r="M2755" s="5"/>
      <c r="N2755" s="5"/>
      <c r="O2755" s="5"/>
      <c r="P2755" s="5"/>
      <c r="Q2755" s="5"/>
      <c r="R2755" s="5"/>
      <c r="S2755" s="5"/>
    </row>
    <row r="2756">
      <c r="A2756" s="5">
        <f>IFERROR(__xludf.DUMMYFUNCTION("""COMPUTED_VALUE"""),8333.0)</f>
        <v>8333</v>
      </c>
      <c r="B2756" s="5" t="str">
        <f>IFERROR(__xludf.DUMMYFUNCTION("""COMPUTED_VALUE"""),"هیأت")</f>
        <v>هیأت</v>
      </c>
      <c r="C2756" s="5" t="str">
        <f>IFERROR(__xludf.DUMMYFUNCTION("""COMPUTED_VALUE"""),"موسی بن جعفر(ع)")</f>
        <v>موسی بن جعفر(ع)</v>
      </c>
      <c r="D2756" s="5" t="str">
        <f>IFERROR(__xludf.DUMMYFUNCTION("""COMPUTED_VALUE"""),"زنجان")</f>
        <v>زنجان</v>
      </c>
      <c r="E2756" s="5" t="str">
        <f>IFERROR(__xludf.DUMMYFUNCTION("""COMPUTED_VALUE"""),"زنجان")</f>
        <v>زنجان</v>
      </c>
      <c r="F2756" s="5"/>
      <c r="G2756" s="5"/>
      <c r="H2756" s="5"/>
      <c r="I2756" s="5"/>
      <c r="J2756" s="6" t="str">
        <f>IFERROR(__xludf.DUMMYFUNCTION("""COMPUTED_VALUE"""),"eitaa.com/mosabnejafarzanjan")</f>
        <v>eitaa.com/mosabnejafarzanjan</v>
      </c>
      <c r="K2756" s="5"/>
      <c r="L2756" s="5"/>
      <c r="M2756" s="5"/>
      <c r="N2756" s="5"/>
      <c r="O2756" s="5"/>
      <c r="P2756" s="5"/>
      <c r="Q2756" s="5"/>
      <c r="R2756" s="5"/>
      <c r="S2756" s="5"/>
    </row>
    <row r="2757">
      <c r="A2757" s="5">
        <f>IFERROR(__xludf.DUMMYFUNCTION("""COMPUTED_VALUE"""),8365.0)</f>
        <v>8365</v>
      </c>
      <c r="B2757" s="5" t="str">
        <f>IFERROR(__xludf.DUMMYFUNCTION("""COMPUTED_VALUE"""),"هیأت")</f>
        <v>هیأت</v>
      </c>
      <c r="C2757" s="5" t="str">
        <f>IFERROR(__xludf.DUMMYFUNCTION("""COMPUTED_VALUE"""),"عاشورائیان")</f>
        <v>عاشورائیان</v>
      </c>
      <c r="D2757" s="5" t="str">
        <f>IFERROR(__xludf.DUMMYFUNCTION("""COMPUTED_VALUE"""),"زنجان")</f>
        <v>زنجان</v>
      </c>
      <c r="E2757" s="5" t="str">
        <f>IFERROR(__xludf.DUMMYFUNCTION("""COMPUTED_VALUE"""),"زنجان")</f>
        <v>زنجان</v>
      </c>
      <c r="F2757" s="5"/>
      <c r="G2757" s="5"/>
      <c r="H2757" s="6" t="str">
        <f>IFERROR(__xludf.DUMMYFUNCTION("""COMPUTED_VALUE"""),"https://www.instagram.com/ashoraeian_ir/")</f>
        <v>https://www.instagram.com/ashoraeian_ir/</v>
      </c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</row>
    <row r="2758">
      <c r="A2758" s="5">
        <f>IFERROR(__xludf.DUMMYFUNCTION("""COMPUTED_VALUE"""),8399.0)</f>
        <v>8399</v>
      </c>
      <c r="B2758" s="5" t="str">
        <f>IFERROR(__xludf.DUMMYFUNCTION("""COMPUTED_VALUE"""),"هیأت")</f>
        <v>هیأت</v>
      </c>
      <c r="C2758" s="5" t="str">
        <f>IFERROR(__xludf.DUMMYFUNCTION("""COMPUTED_VALUE"""),"فدائیان حضرت رقیه (س)")</f>
        <v>فدائیان حضرت رقیه (س)</v>
      </c>
      <c r="D2758" s="5" t="str">
        <f>IFERROR(__xludf.DUMMYFUNCTION("""COMPUTED_VALUE"""),"زنجان")</f>
        <v>زنجان</v>
      </c>
      <c r="E2758" s="5" t="str">
        <f>IFERROR(__xludf.DUMMYFUNCTION("""COMPUTED_VALUE"""),"زنجان")</f>
        <v>زنجان</v>
      </c>
      <c r="F2758" s="5"/>
      <c r="G2758" s="5"/>
      <c r="H2758" s="5"/>
      <c r="I2758" s="6" t="str">
        <f>IFERROR(__xludf.DUMMYFUNCTION("""COMPUTED_VALUE"""),"t.me/zooljanah")</f>
        <v>t.me/zooljanah</v>
      </c>
      <c r="J2758" s="5"/>
      <c r="K2758" s="5"/>
      <c r="L2758" s="5"/>
      <c r="M2758" s="5"/>
      <c r="N2758" s="5"/>
      <c r="O2758" s="5"/>
      <c r="P2758" s="5"/>
      <c r="Q2758" s="5"/>
      <c r="R2758" s="5"/>
      <c r="S2758" s="5"/>
    </row>
    <row r="2759">
      <c r="A2759" s="5">
        <f>IFERROR(__xludf.DUMMYFUNCTION("""COMPUTED_VALUE"""),8572.0)</f>
        <v>8572</v>
      </c>
      <c r="B2759" s="5" t="str">
        <f>IFERROR(__xludf.DUMMYFUNCTION("""COMPUTED_VALUE"""),"هیأت")</f>
        <v>هیأت</v>
      </c>
      <c r="C2759" s="5" t="str">
        <f>IFERROR(__xludf.DUMMYFUNCTION("""COMPUTED_VALUE"""),"جان نثاران حضرت زینب (س)")</f>
        <v>جان نثاران حضرت زینب (س)</v>
      </c>
      <c r="D2759" s="5" t="str">
        <f>IFERROR(__xludf.DUMMYFUNCTION("""COMPUTED_VALUE"""),"زنجان")</f>
        <v>زنجان</v>
      </c>
      <c r="E2759" s="5" t="str">
        <f>IFERROR(__xludf.DUMMYFUNCTION("""COMPUTED_VALUE"""),"زنجان")</f>
        <v>زنجان</v>
      </c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</row>
    <row r="2760">
      <c r="A2760" s="5">
        <f>IFERROR(__xludf.DUMMYFUNCTION("""COMPUTED_VALUE"""),8572.0)</f>
        <v>8572</v>
      </c>
      <c r="B2760" s="5" t="str">
        <f>IFERROR(__xludf.DUMMYFUNCTION("""COMPUTED_VALUE"""),"هیأت")</f>
        <v>هیأت</v>
      </c>
      <c r="C2760" s="5" t="str">
        <f>IFERROR(__xludf.DUMMYFUNCTION("""COMPUTED_VALUE"""),"جان نثاران حضرت زینب (س)")</f>
        <v>جان نثاران حضرت زینب (س)</v>
      </c>
      <c r="D2760" s="5" t="str">
        <f>IFERROR(__xludf.DUMMYFUNCTION("""COMPUTED_VALUE"""),"زنجان")</f>
        <v>زنجان</v>
      </c>
      <c r="E2760" s="5" t="str">
        <f>IFERROR(__xludf.DUMMYFUNCTION("""COMPUTED_VALUE"""),"زنجان")</f>
        <v>زنجان</v>
      </c>
      <c r="F2760" s="5"/>
      <c r="G2760" s="5"/>
      <c r="H2760" s="6" t="str">
        <f>IFERROR(__xludf.DUMMYFUNCTION("""COMPUTED_VALUE"""),"https://www.instagram.com/jannesaran.znj/")</f>
        <v>https://www.instagram.com/jannesaran.znj/</v>
      </c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</row>
    <row r="2761">
      <c r="A2761" s="5">
        <f>IFERROR(__xludf.DUMMYFUNCTION("""COMPUTED_VALUE"""),8650.0)</f>
        <v>8650</v>
      </c>
      <c r="B2761" s="5" t="str">
        <f>IFERROR(__xludf.DUMMYFUNCTION("""COMPUTED_VALUE"""),"هیأت")</f>
        <v>هیأت</v>
      </c>
      <c r="C2761" s="5" t="str">
        <f>IFERROR(__xludf.DUMMYFUNCTION("""COMPUTED_VALUE"""),"داعیان کمیل")</f>
        <v>داعیان کمیل</v>
      </c>
      <c r="D2761" s="5" t="str">
        <f>IFERROR(__xludf.DUMMYFUNCTION("""COMPUTED_VALUE"""),"زنجان")</f>
        <v>زنجان</v>
      </c>
      <c r="E2761" s="5" t="str">
        <f>IFERROR(__xludf.DUMMYFUNCTION("""COMPUTED_VALUE"""),"زنجان")</f>
        <v>زنجان</v>
      </c>
      <c r="F2761" s="5"/>
      <c r="G2761" s="5"/>
      <c r="H2761" s="6" t="str">
        <f>IFERROR(__xludf.DUMMYFUNCTION("""COMPUTED_VALUE"""),"https://www.instagram.com/daeyan.komeil/")</f>
        <v>https://www.instagram.com/daeyan.komeil/</v>
      </c>
      <c r="I2761" s="5"/>
      <c r="J2761" s="6" t="str">
        <f>IFERROR(__xludf.DUMMYFUNCTION("""COMPUTED_VALUE"""),"https://eitaa.com/daeyan_komeil")</f>
        <v>https://eitaa.com/daeyan_komeil</v>
      </c>
      <c r="K2761" s="5"/>
      <c r="L2761" s="5"/>
      <c r="M2761" s="5"/>
      <c r="N2761" s="5"/>
      <c r="O2761" s="5"/>
      <c r="P2761" s="5"/>
      <c r="Q2761" s="5"/>
      <c r="R2761" s="5"/>
      <c r="S2761" s="5"/>
    </row>
    <row r="2762">
      <c r="A2762" s="5">
        <f>IFERROR(__xludf.DUMMYFUNCTION("""COMPUTED_VALUE"""),8683.0)</f>
        <v>8683</v>
      </c>
      <c r="B2762" s="5" t="str">
        <f>IFERROR(__xludf.DUMMYFUNCTION("""COMPUTED_VALUE"""),"هیأت")</f>
        <v>هیأت</v>
      </c>
      <c r="C2762" s="5" t="str">
        <f>IFERROR(__xludf.DUMMYFUNCTION("""COMPUTED_VALUE"""),"منتظران محی المومنین (ع)")</f>
        <v>منتظران محی المومنین (ع)</v>
      </c>
      <c r="D2762" s="5" t="str">
        <f>IFERROR(__xludf.DUMMYFUNCTION("""COMPUTED_VALUE"""),"زنجان")</f>
        <v>زنجان</v>
      </c>
      <c r="E2762" s="5" t="str">
        <f>IFERROR(__xludf.DUMMYFUNCTION("""COMPUTED_VALUE"""),"زنجان")</f>
        <v>زنجان</v>
      </c>
      <c r="F2762" s="5"/>
      <c r="G2762" s="5"/>
      <c r="H2762" s="6" t="str">
        <f>IFERROR(__xludf.DUMMYFUNCTION("""COMPUTED_VALUE"""),"http://instagram.com/heyat_montazeran_m")</f>
        <v>http://instagram.com/heyat_montazeran_m</v>
      </c>
      <c r="I2762" s="5"/>
      <c r="J2762" s="6" t="str">
        <f>IFERROR(__xludf.DUMMYFUNCTION("""COMPUTED_VALUE"""),"https://eitaa.com/heyat_montazeran_m")</f>
        <v>https://eitaa.com/heyat_montazeran_m</v>
      </c>
      <c r="K2762" s="5"/>
      <c r="L2762" s="5"/>
      <c r="M2762" s="5"/>
      <c r="N2762" s="5"/>
      <c r="O2762" s="5"/>
      <c r="P2762" s="5"/>
      <c r="Q2762" s="5"/>
      <c r="R2762" s="5"/>
      <c r="S2762" s="5"/>
    </row>
    <row r="2763">
      <c r="A2763" s="5">
        <f>IFERROR(__xludf.DUMMYFUNCTION("""COMPUTED_VALUE"""),8703.0)</f>
        <v>8703</v>
      </c>
      <c r="B2763" s="5" t="str">
        <f>IFERROR(__xludf.DUMMYFUNCTION("""COMPUTED_VALUE"""),"هیأت")</f>
        <v>هیأت</v>
      </c>
      <c r="C2763" s="5" t="str">
        <f>IFERROR(__xludf.DUMMYFUNCTION("""COMPUTED_VALUE"""),"مکتب الزهرا (س)")</f>
        <v>مکتب الزهرا (س)</v>
      </c>
      <c r="D2763" s="5" t="str">
        <f>IFERROR(__xludf.DUMMYFUNCTION("""COMPUTED_VALUE"""),"زنجان")</f>
        <v>زنجان</v>
      </c>
      <c r="E2763" s="5" t="str">
        <f>IFERROR(__xludf.DUMMYFUNCTION("""COMPUTED_VALUE"""),"زنجان")</f>
        <v>زنجان</v>
      </c>
      <c r="F2763" s="5"/>
      <c r="G2763" s="5"/>
      <c r="H2763" s="6" t="str">
        <f>IFERROR(__xludf.DUMMYFUNCTION("""COMPUTED_VALUE"""),"https://www.instagram.com/maktabolzahra_zn/")</f>
        <v>https://www.instagram.com/maktabolzahra_zn/</v>
      </c>
      <c r="I2763" s="5"/>
      <c r="J2763" s="6" t="str">
        <f>IFERROR(__xludf.DUMMYFUNCTION("""COMPUTED_VALUE"""),"https://eitaa.com/maktabolzahra_zn")</f>
        <v>https://eitaa.com/maktabolzahra_zn</v>
      </c>
      <c r="K2763" s="5"/>
      <c r="L2763" s="5"/>
      <c r="M2763" s="5"/>
      <c r="N2763" s="5"/>
      <c r="O2763" s="5"/>
      <c r="P2763" s="5"/>
      <c r="Q2763" s="5"/>
      <c r="R2763" s="5"/>
      <c r="S2763" s="5"/>
    </row>
    <row r="2764">
      <c r="A2764" s="5">
        <f>IFERROR(__xludf.DUMMYFUNCTION("""COMPUTED_VALUE"""),8717.0)</f>
        <v>8717</v>
      </c>
      <c r="B2764" s="5"/>
      <c r="C2764" s="5" t="str">
        <f>IFERROR(__xludf.DUMMYFUNCTION("""COMPUTED_VALUE"""),"حسینیه اعظم زنجان")</f>
        <v>حسینیه اعظم زنجان</v>
      </c>
      <c r="D2764" s="5" t="str">
        <f>IFERROR(__xludf.DUMMYFUNCTION("""COMPUTED_VALUE"""),"زنجان")</f>
        <v>زنجان</v>
      </c>
      <c r="E2764" s="5" t="str">
        <f>IFERROR(__xludf.DUMMYFUNCTION("""COMPUTED_VALUE"""),"زنجان")</f>
        <v>زنجان</v>
      </c>
      <c r="F2764" s="5"/>
      <c r="G2764" s="5"/>
      <c r="H2764" s="5"/>
      <c r="I2764" s="5"/>
      <c r="J2764" s="6" t="str">
        <f>IFERROR(__xludf.DUMMYFUNCTION("""COMPUTED_VALUE"""),"https://eitaa.com/haz_ir")</f>
        <v>https://eitaa.com/haz_ir</v>
      </c>
      <c r="K2764" s="5"/>
      <c r="L2764" s="5"/>
      <c r="M2764" s="5"/>
      <c r="N2764" s="5"/>
      <c r="O2764" s="5"/>
      <c r="P2764" s="5"/>
      <c r="Q2764" s="5"/>
      <c r="R2764" s="5"/>
      <c r="S2764" s="5"/>
    </row>
    <row r="2765">
      <c r="A2765" s="5">
        <f>IFERROR(__xludf.DUMMYFUNCTION("""COMPUTED_VALUE"""),8769.0)</f>
        <v>8769</v>
      </c>
      <c r="B2765" s="5" t="str">
        <f>IFERROR(__xludf.DUMMYFUNCTION("""COMPUTED_VALUE"""),"هیأت")</f>
        <v>هیأت</v>
      </c>
      <c r="C2765" s="5" t="str">
        <f>IFERROR(__xludf.DUMMYFUNCTION("""COMPUTED_VALUE"""),"منتظران حضرت مهدی (عج)")</f>
        <v>منتظران حضرت مهدی (عج)</v>
      </c>
      <c r="D2765" s="5" t="str">
        <f>IFERROR(__xludf.DUMMYFUNCTION("""COMPUTED_VALUE"""),"زنجان")</f>
        <v>زنجان</v>
      </c>
      <c r="E2765" s="5" t="str">
        <f>IFERROR(__xludf.DUMMYFUNCTION("""COMPUTED_VALUE"""),"زنجان")</f>
        <v>زنجان</v>
      </c>
      <c r="F2765" s="5"/>
      <c r="G2765" s="5"/>
      <c r="H2765" s="6" t="str">
        <f>IFERROR(__xludf.DUMMYFUNCTION("""COMPUTED_VALUE"""),"https://www.instagram.com/montazeran.zn/")</f>
        <v>https://www.instagram.com/montazeran.zn/</v>
      </c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</row>
    <row r="2766">
      <c r="A2766" s="5">
        <f>IFERROR(__xludf.DUMMYFUNCTION("""COMPUTED_VALUE"""),8774.0)</f>
        <v>8774</v>
      </c>
      <c r="B2766" s="5" t="str">
        <f>IFERROR(__xludf.DUMMYFUNCTION("""COMPUTED_VALUE"""),"هیأت")</f>
        <v>هیأت</v>
      </c>
      <c r="C2766" s="5" t="str">
        <f>IFERROR(__xludf.DUMMYFUNCTION("""COMPUTED_VALUE"""),"عباسیه")</f>
        <v>عباسیه</v>
      </c>
      <c r="D2766" s="5" t="str">
        <f>IFERROR(__xludf.DUMMYFUNCTION("""COMPUTED_VALUE"""),"زنجان")</f>
        <v>زنجان</v>
      </c>
      <c r="E2766" s="5" t="str">
        <f>IFERROR(__xludf.DUMMYFUNCTION("""COMPUTED_VALUE"""),"زنجان")</f>
        <v>زنجان</v>
      </c>
      <c r="F2766" s="5"/>
      <c r="G2766" s="5"/>
      <c r="H2766" s="6" t="str">
        <f>IFERROR(__xludf.DUMMYFUNCTION("""COMPUTED_VALUE"""),"https://www.instagram.com/abbasih.zn/")</f>
        <v>https://www.instagram.com/abbasih.zn/</v>
      </c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</row>
    <row r="2767">
      <c r="A2767" s="5">
        <f>IFERROR(__xludf.DUMMYFUNCTION("""COMPUTED_VALUE"""),17774.0)</f>
        <v>17774</v>
      </c>
      <c r="B2767" s="5" t="str">
        <f>IFERROR(__xludf.DUMMYFUNCTION("""COMPUTED_VALUE"""),"هیأت")</f>
        <v>هیأت</v>
      </c>
      <c r="C2767" s="5" t="str">
        <f>IFERROR(__xludf.DUMMYFUNCTION("""COMPUTED_VALUE"""),"قتیل العبرات")</f>
        <v>قتیل العبرات</v>
      </c>
      <c r="D2767" s="5" t="str">
        <f>IFERROR(__xludf.DUMMYFUNCTION("""COMPUTED_VALUE"""),"زنجان")</f>
        <v>زنجان</v>
      </c>
      <c r="E2767" s="5" t="str">
        <f>IFERROR(__xludf.DUMMYFUNCTION("""COMPUTED_VALUE"""),"زنجان")</f>
        <v>زنجان</v>
      </c>
      <c r="F2767" s="5"/>
      <c r="G2767" s="5"/>
      <c r="H2767" s="5"/>
      <c r="I2767" s="5"/>
      <c r="J2767" s="6" t="str">
        <f>IFERROR(__xludf.DUMMYFUNCTION("""COMPUTED_VALUE"""),"https://eitaa.com/g_alabarat")</f>
        <v>https://eitaa.com/g_alabarat</v>
      </c>
      <c r="K2767" s="5"/>
      <c r="L2767" s="5"/>
      <c r="M2767" s="5"/>
      <c r="N2767" s="5"/>
      <c r="O2767" s="5"/>
      <c r="P2767" s="5"/>
      <c r="Q2767" s="5"/>
      <c r="R2767" s="5"/>
      <c r="S2767" s="5" t="str">
        <f>IFERROR(__xludf.DUMMYFUNCTION("""COMPUTED_VALUE"""),"*")</f>
        <v>*</v>
      </c>
    </row>
    <row r="2768">
      <c r="A2768" s="5">
        <f>IFERROR(__xludf.DUMMYFUNCTION("""COMPUTED_VALUE"""),19132.0)</f>
        <v>19132</v>
      </c>
      <c r="B2768" s="5" t="str">
        <f>IFERROR(__xludf.DUMMYFUNCTION("""COMPUTED_VALUE"""),"مسجد")</f>
        <v>مسجد</v>
      </c>
      <c r="C2768" s="5" t="str">
        <f>IFERROR(__xludf.DUMMYFUNCTION("""COMPUTED_VALUE"""),"مسجد نورالزهرا(س) پونک")</f>
        <v>مسجد نورالزهرا(س) پونک</v>
      </c>
      <c r="D2768" s="5" t="str">
        <f>IFERROR(__xludf.DUMMYFUNCTION("""COMPUTED_VALUE"""),"زنجان")</f>
        <v>زنجان</v>
      </c>
      <c r="E2768" s="5" t="str">
        <f>IFERROR(__xludf.DUMMYFUNCTION("""COMPUTED_VALUE"""),"زنجان")</f>
        <v>زنجان</v>
      </c>
      <c r="F2768" s="5"/>
      <c r="G2768" s="5"/>
      <c r="H2768" s="6" t="str">
        <f>IFERROR(__xludf.DUMMYFUNCTION("""COMPUTED_VALUE"""),"https://www.instagram.com/noorozahra_info")</f>
        <v>https://www.instagram.com/noorozahra_info</v>
      </c>
      <c r="I2768" s="6" t="str">
        <f>IFERROR(__xludf.DUMMYFUNCTION("""COMPUTED_VALUE"""),"https://t.me/noorozahra_info")</f>
        <v>https://t.me/noorozahra_info</v>
      </c>
      <c r="J2768" s="6" t="str">
        <f>IFERROR(__xludf.DUMMYFUNCTION("""COMPUTED_VALUE"""),"https://eitaa.com/noorozahra_info/")</f>
        <v>https://eitaa.com/noorozahra_info/</v>
      </c>
      <c r="K2768" s="5"/>
      <c r="L2768" s="5"/>
      <c r="M2768" s="5"/>
      <c r="N2768" s="5"/>
      <c r="O2768" s="5"/>
      <c r="P2768" s="5"/>
      <c r="Q2768" s="5"/>
      <c r="R2768" s="5"/>
      <c r="S2768" s="5"/>
    </row>
    <row r="2769">
      <c r="A2769" s="5">
        <f>IFERROR(__xludf.DUMMYFUNCTION("""COMPUTED_VALUE"""),19133.0)</f>
        <v>19133</v>
      </c>
      <c r="B2769" s="5" t="str">
        <f>IFERROR(__xludf.DUMMYFUNCTION("""COMPUTED_VALUE"""),"هیأت")</f>
        <v>هیأت</v>
      </c>
      <c r="C2769" s="5" t="str">
        <f>IFERROR(__xludf.DUMMYFUNCTION("""COMPUTED_VALUE"""),"ریحانه النبی (س)")</f>
        <v>ریحانه النبی (س)</v>
      </c>
      <c r="D2769" s="5" t="str">
        <f>IFERROR(__xludf.DUMMYFUNCTION("""COMPUTED_VALUE"""),"زنجان")</f>
        <v>زنجان</v>
      </c>
      <c r="E2769" s="5" t="str">
        <f>IFERROR(__xludf.DUMMYFUNCTION("""COMPUTED_VALUE"""),"زنجان")</f>
        <v>زنجان</v>
      </c>
      <c r="F2769" s="5"/>
      <c r="G2769" s="5"/>
      <c r="H2769" s="6" t="str">
        <f>IFERROR(__xludf.DUMMYFUNCTION("""COMPUTED_VALUE"""),"https://www.instagram.com/reyhane_zn_ir/")</f>
        <v>https://www.instagram.com/reyhane_zn_ir/</v>
      </c>
      <c r="I2769" s="6" t="str">
        <f>IFERROR(__xludf.DUMMYFUNCTION("""COMPUTED_VALUE"""),"https://t.me/reyhane_zn_ir")</f>
        <v>https://t.me/reyhane_zn_ir</v>
      </c>
      <c r="J2769" s="6" t="str">
        <f>IFERROR(__xludf.DUMMYFUNCTION("""COMPUTED_VALUE"""),"https://eitaa.com/reyhane_zn_ir")</f>
        <v>https://eitaa.com/reyhane_zn_ir</v>
      </c>
      <c r="K2769" s="5"/>
      <c r="L2769" s="5"/>
      <c r="M2769" s="5"/>
      <c r="N2769" s="5"/>
      <c r="O2769" s="5"/>
      <c r="P2769" s="5"/>
      <c r="Q2769" s="5"/>
      <c r="R2769" s="5"/>
      <c r="S2769" s="5"/>
    </row>
    <row r="2770">
      <c r="A2770" s="5">
        <f>IFERROR(__xludf.DUMMYFUNCTION("""COMPUTED_VALUE"""),19136.0)</f>
        <v>19136</v>
      </c>
      <c r="B2770" s="5" t="str">
        <f>IFERROR(__xludf.DUMMYFUNCTION("""COMPUTED_VALUE"""),"هیأت")</f>
        <v>هیأت</v>
      </c>
      <c r="C2770" s="5" t="str">
        <f>IFERROR(__xludf.DUMMYFUNCTION("""COMPUTED_VALUE"""),"مجمع فدائیان حضرت زینب (س)")</f>
        <v>مجمع فدائیان حضرت زینب (س)</v>
      </c>
      <c r="D2770" s="5" t="str">
        <f>IFERROR(__xludf.DUMMYFUNCTION("""COMPUTED_VALUE"""),"زنجان")</f>
        <v>زنجان</v>
      </c>
      <c r="E2770" s="5" t="str">
        <f>IFERROR(__xludf.DUMMYFUNCTION("""COMPUTED_VALUE"""),"زنجان")</f>
        <v>زنجان</v>
      </c>
      <c r="F2770" s="5"/>
      <c r="G2770" s="5"/>
      <c r="H2770" s="5"/>
      <c r="I2770" s="5"/>
      <c r="J2770" s="6" t="str">
        <f>IFERROR(__xludf.DUMMYFUNCTION("""COMPUTED_VALUE"""),"https://eitaa.com/Fadaeian_Zeynab_Gheydar")</f>
        <v>https://eitaa.com/Fadaeian_Zeynab_Gheydar</v>
      </c>
      <c r="K2770" s="5"/>
      <c r="L2770" s="5"/>
      <c r="M2770" s="5"/>
      <c r="N2770" s="5"/>
      <c r="O2770" s="5"/>
      <c r="P2770" s="5"/>
      <c r="Q2770" s="5"/>
      <c r="R2770" s="5"/>
      <c r="S2770" s="5"/>
    </row>
    <row r="2771">
      <c r="A2771" s="5">
        <f>IFERROR(__xludf.DUMMYFUNCTION("""COMPUTED_VALUE"""),19295.0)</f>
        <v>19295</v>
      </c>
      <c r="B2771" s="5" t="str">
        <f>IFERROR(__xludf.DUMMYFUNCTION("""COMPUTED_VALUE"""),"هیأت")</f>
        <v>هیأت</v>
      </c>
      <c r="C2771" s="5" t="str">
        <f>IFERROR(__xludf.DUMMYFUNCTION("""COMPUTED_VALUE"""),"فاطمیون")</f>
        <v>فاطمیون</v>
      </c>
      <c r="D2771" s="5" t="str">
        <f>IFERROR(__xludf.DUMMYFUNCTION("""COMPUTED_VALUE"""),"زنجان")</f>
        <v>زنجان</v>
      </c>
      <c r="E2771" s="5" t="str">
        <f>IFERROR(__xludf.DUMMYFUNCTION("""COMPUTED_VALUE"""),"زنجان")</f>
        <v>زنجان</v>
      </c>
      <c r="F2771" s="5"/>
      <c r="G2771" s="5"/>
      <c r="H2771" s="6" t="str">
        <f>IFERROR(__xludf.DUMMYFUNCTION("""COMPUTED_VALUE"""),"https://www.instagram.com/fatemiun.zanjan/")</f>
        <v>https://www.instagram.com/fatemiun.zanjan/</v>
      </c>
      <c r="I2771" s="5"/>
      <c r="J2771" s="6" t="str">
        <f>IFERROR(__xludf.DUMMYFUNCTION("""COMPUTED_VALUE"""),"https://eitaa.com/fatemiunzanjan")</f>
        <v>https://eitaa.com/fatemiunzanjan</v>
      </c>
      <c r="K2771" s="5"/>
      <c r="L2771" s="5"/>
      <c r="M2771" s="5"/>
      <c r="N2771" s="5"/>
      <c r="O2771" s="5"/>
      <c r="P2771" s="5"/>
      <c r="Q2771" s="5"/>
      <c r="R2771" s="5"/>
      <c r="S2771" s="5"/>
    </row>
    <row r="2772">
      <c r="A2772" s="5">
        <f>IFERROR(__xludf.DUMMYFUNCTION("""COMPUTED_VALUE"""),19422.0)</f>
        <v>19422</v>
      </c>
      <c r="B2772" s="5" t="str">
        <f>IFERROR(__xludf.DUMMYFUNCTION("""COMPUTED_VALUE"""),"هیأت")</f>
        <v>هیأت</v>
      </c>
      <c r="C2772" s="5" t="str">
        <f>IFERROR(__xludf.DUMMYFUNCTION("""COMPUTED_VALUE"""),"کهف الحسن")</f>
        <v>کهف الحسن</v>
      </c>
      <c r="D2772" s="5" t="str">
        <f>IFERROR(__xludf.DUMMYFUNCTION("""COMPUTED_VALUE"""),"زنجان")</f>
        <v>زنجان</v>
      </c>
      <c r="E2772" s="5" t="str">
        <f>IFERROR(__xludf.DUMMYFUNCTION("""COMPUTED_VALUE"""),"زنجان")</f>
        <v>زنجان</v>
      </c>
      <c r="F2772" s="5"/>
      <c r="G2772" s="5"/>
      <c r="H2772" s="6" t="str">
        <f>IFERROR(__xludf.DUMMYFUNCTION("""COMPUTED_VALUE"""),"https://www.instagram.com/kahfalhasan_zn.ir/")</f>
        <v>https://www.instagram.com/kahfalhasan_zn.ir/</v>
      </c>
      <c r="I2772" s="6" t="str">
        <f>IFERROR(__xludf.DUMMYFUNCTION("""COMPUTED_VALUE"""),"t.me/kahfalhasan")</f>
        <v>t.me/kahfalhasan</v>
      </c>
      <c r="J2772" s="5"/>
      <c r="K2772" s="5"/>
      <c r="L2772" s="5"/>
      <c r="M2772" s="5"/>
      <c r="N2772" s="5"/>
      <c r="O2772" s="5"/>
      <c r="P2772" s="5"/>
      <c r="Q2772" s="5"/>
      <c r="R2772" s="5"/>
      <c r="S2772" s="5"/>
    </row>
    <row r="2773">
      <c r="A2773" s="5">
        <f>IFERROR(__xludf.DUMMYFUNCTION("""COMPUTED_VALUE"""),21332.0)</f>
        <v>21332</v>
      </c>
      <c r="B2773" s="5" t="str">
        <f>IFERROR(__xludf.DUMMYFUNCTION("""COMPUTED_VALUE"""),"هیأت")</f>
        <v>هیأت</v>
      </c>
      <c r="C2773" s="5" t="str">
        <f>IFERROR(__xludf.DUMMYFUNCTION("""COMPUTED_VALUE"""),"سیدالساجدین (ع) _ مسجد امام سجاد زیباشهر")</f>
        <v>سیدالساجدین (ع) _ مسجد امام سجاد زیباشهر</v>
      </c>
      <c r="D2773" s="5" t="str">
        <f>IFERROR(__xludf.DUMMYFUNCTION("""COMPUTED_VALUE"""),"زنجان")</f>
        <v>زنجان</v>
      </c>
      <c r="E2773" s="5" t="str">
        <f>IFERROR(__xludf.DUMMYFUNCTION("""COMPUTED_VALUE"""),"زنجان")</f>
        <v>زنجان</v>
      </c>
      <c r="F2773" s="5"/>
      <c r="G2773" s="5"/>
      <c r="H2773" s="5"/>
      <c r="I2773" s="5"/>
      <c r="J2773" s="6" t="str">
        <f>IFERROR(__xludf.DUMMYFUNCTION("""COMPUTED_VALUE"""),"https://eitaa.com/heyat_zn")</f>
        <v>https://eitaa.com/heyat_zn</v>
      </c>
      <c r="K2773" s="5"/>
      <c r="L2773" s="5"/>
      <c r="M2773" s="5"/>
      <c r="N2773" s="5"/>
      <c r="O2773" s="5"/>
      <c r="P2773" s="5"/>
      <c r="Q2773" s="5"/>
      <c r="R2773" s="5"/>
      <c r="S2773" s="5"/>
    </row>
    <row r="2774">
      <c r="A2774" s="5">
        <f>IFERROR(__xludf.DUMMYFUNCTION("""COMPUTED_VALUE"""),22109.0)</f>
        <v>22109</v>
      </c>
      <c r="B2774" s="5" t="str">
        <f>IFERROR(__xludf.DUMMYFUNCTION("""COMPUTED_VALUE"""),"هیأت")</f>
        <v>هیأت</v>
      </c>
      <c r="C2774" s="5" t="str">
        <f>IFERROR(__xludf.DUMMYFUNCTION("""COMPUTED_VALUE"""),"نورالزهرا")</f>
        <v>نورالزهرا</v>
      </c>
      <c r="D2774" s="5" t="str">
        <f>IFERROR(__xludf.DUMMYFUNCTION("""COMPUTED_VALUE"""),"زنجان")</f>
        <v>زنجان</v>
      </c>
      <c r="E2774" s="5" t="str">
        <f>IFERROR(__xludf.DUMMYFUNCTION("""COMPUTED_VALUE"""),"زنجان")</f>
        <v>زنجان</v>
      </c>
      <c r="F2774" s="5"/>
      <c r="G2774" s="5"/>
      <c r="H2774" s="6" t="str">
        <f>IFERROR(__xludf.DUMMYFUNCTION("""COMPUTED_VALUE"""),"https://www.instagram.com/noorolzahra_zn/")</f>
        <v>https://www.instagram.com/noorolzahra_zn/</v>
      </c>
      <c r="I2774" s="6" t="str">
        <f>IFERROR(__xludf.DUMMYFUNCTION("""COMPUTED_VALUE"""),"t.me/noorolzahra_zn")</f>
        <v>t.me/noorolzahra_zn</v>
      </c>
      <c r="J2774" s="5"/>
      <c r="K2774" s="5"/>
      <c r="L2774" s="5"/>
      <c r="M2774" s="5"/>
      <c r="N2774" s="5"/>
      <c r="O2774" s="5"/>
      <c r="P2774" s="5"/>
      <c r="Q2774" s="5"/>
      <c r="R2774" s="5"/>
      <c r="S2774" s="5"/>
    </row>
    <row r="2775">
      <c r="A2775" s="5">
        <f>IFERROR(__xludf.DUMMYFUNCTION("""COMPUTED_VALUE"""),22110.0)</f>
        <v>22110</v>
      </c>
      <c r="B2775" s="5" t="str">
        <f>IFERROR(__xludf.DUMMYFUNCTION("""COMPUTED_VALUE"""),"هیأت")</f>
        <v>هیأت</v>
      </c>
      <c r="C2775" s="5" t="str">
        <f>IFERROR(__xludf.DUMMYFUNCTION("""COMPUTED_VALUE"""),"رهروان ولایت")</f>
        <v>رهروان ولایت</v>
      </c>
      <c r="D2775" s="5" t="str">
        <f>IFERROR(__xludf.DUMMYFUNCTION("""COMPUTED_VALUE"""),"زنجان")</f>
        <v>زنجان</v>
      </c>
      <c r="E2775" s="5" t="str">
        <f>IFERROR(__xludf.DUMMYFUNCTION("""COMPUTED_VALUE"""),"زنجان")</f>
        <v>زنجان</v>
      </c>
      <c r="F2775" s="5"/>
      <c r="G2775" s="5"/>
      <c r="H2775" s="6" t="str">
        <f>IFERROR(__xludf.DUMMYFUNCTION("""COMPUTED_VALUE"""),"https://www.instagram.com/rahrovanvelaiat/")</f>
        <v>https://www.instagram.com/rahrovanvelaiat/</v>
      </c>
      <c r="I2775" s="6" t="str">
        <f>IFERROR(__xludf.DUMMYFUNCTION("""COMPUTED_VALUE"""),"tlgrm.me/rahrovanvelaiat_ir")</f>
        <v>tlgrm.me/rahrovanvelaiat_ir</v>
      </c>
      <c r="J2775" s="5"/>
      <c r="K2775" s="5"/>
      <c r="L2775" s="5"/>
      <c r="M2775" s="5"/>
      <c r="N2775" s="5"/>
      <c r="O2775" s="5"/>
      <c r="P2775" s="5"/>
      <c r="Q2775" s="5"/>
      <c r="R2775" s="5"/>
      <c r="S2775" s="5"/>
    </row>
    <row r="2776">
      <c r="A2776" s="5">
        <f>IFERROR(__xludf.DUMMYFUNCTION("""COMPUTED_VALUE"""),23305.0)</f>
        <v>23305</v>
      </c>
      <c r="B2776" s="5" t="str">
        <f>IFERROR(__xludf.DUMMYFUNCTION("""COMPUTED_VALUE"""),"هیأت")</f>
        <v>هیأت</v>
      </c>
      <c r="C2776" s="5" t="str">
        <f>IFERROR(__xludf.DUMMYFUNCTION("""COMPUTED_VALUE"""),"حضرت علی اکبر(ع)")</f>
        <v>حضرت علی اکبر(ع)</v>
      </c>
      <c r="D2776" s="5" t="str">
        <f>IFERROR(__xludf.DUMMYFUNCTION("""COMPUTED_VALUE"""),"زنجان")</f>
        <v>زنجان</v>
      </c>
      <c r="E2776" s="5" t="str">
        <f>IFERROR(__xludf.DUMMYFUNCTION("""COMPUTED_VALUE"""),"زنجان")</f>
        <v>زنجان</v>
      </c>
      <c r="F2776" s="5"/>
      <c r="G2776" s="5"/>
      <c r="H2776" s="6" t="str">
        <f>IFERROR(__xludf.DUMMYFUNCTION("""COMPUTED_VALUE"""),"https://www.instagram.com/heyat_azadaran_hazrat_aliakbar/")</f>
        <v>https://www.instagram.com/heyat_azadaran_hazrat_aliakbar/</v>
      </c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</row>
    <row r="2777">
      <c r="A2777" s="5">
        <f>IFERROR(__xludf.DUMMYFUNCTION("""COMPUTED_VALUE"""),23308.0)</f>
        <v>23308</v>
      </c>
      <c r="B2777" s="5" t="str">
        <f>IFERROR(__xludf.DUMMYFUNCTION("""COMPUTED_VALUE"""),"هیأت")</f>
        <v>هیأت</v>
      </c>
      <c r="C2777" s="5" t="str">
        <f>IFERROR(__xludf.DUMMYFUNCTION("""COMPUTED_VALUE"""),"خادم الشهدا")</f>
        <v>خادم الشهدا</v>
      </c>
      <c r="D2777" s="5" t="str">
        <f>IFERROR(__xludf.DUMMYFUNCTION("""COMPUTED_VALUE"""),"زنجان")</f>
        <v>زنجان</v>
      </c>
      <c r="E2777" s="5" t="str">
        <f>IFERROR(__xludf.DUMMYFUNCTION("""COMPUTED_VALUE"""),"زنجان")</f>
        <v>زنجان</v>
      </c>
      <c r="F2777" s="5"/>
      <c r="G2777" s="5"/>
      <c r="H2777" s="5"/>
      <c r="I2777" s="5"/>
      <c r="J2777" s="6" t="str">
        <f>IFERROR(__xludf.DUMMYFUNCTION("""COMPUTED_VALUE"""),"https://eitaa.com/heyate_khademoshohada")</f>
        <v>https://eitaa.com/heyate_khademoshohada</v>
      </c>
      <c r="K2777" s="5"/>
      <c r="L2777" s="5"/>
      <c r="M2777" s="5"/>
      <c r="N2777" s="5"/>
      <c r="O2777" s="5"/>
      <c r="P2777" s="5"/>
      <c r="Q2777" s="5"/>
      <c r="R2777" s="5"/>
      <c r="S2777" s="5"/>
    </row>
    <row r="2778">
      <c r="A2778" s="5">
        <f>IFERROR(__xludf.DUMMYFUNCTION("""COMPUTED_VALUE"""),23442.0)</f>
        <v>23442</v>
      </c>
      <c r="B2778" s="5" t="str">
        <f>IFERROR(__xludf.DUMMYFUNCTION("""COMPUTED_VALUE"""),"هیأت")</f>
        <v>هیأت</v>
      </c>
      <c r="C2778" s="5" t="str">
        <f>IFERROR(__xludf.DUMMYFUNCTION("""COMPUTED_VALUE"""),"یالثارات الحسین (ع)")</f>
        <v>یالثارات الحسین (ع)</v>
      </c>
      <c r="D2778" s="5" t="str">
        <f>IFERROR(__xludf.DUMMYFUNCTION("""COMPUTED_VALUE"""),"زنجان")</f>
        <v>زنجان</v>
      </c>
      <c r="E2778" s="5" t="str">
        <f>IFERROR(__xludf.DUMMYFUNCTION("""COMPUTED_VALUE"""),"زنجان")</f>
        <v>زنجان</v>
      </c>
      <c r="F2778" s="5"/>
      <c r="G2778" s="5"/>
      <c r="H2778" s="6" t="str">
        <f>IFERROR(__xludf.DUMMYFUNCTION("""COMPUTED_VALUE"""),"https://www.instagram.com/h.yalasaratzanjan")</f>
        <v>https://www.instagram.com/h.yalasaratzanjan</v>
      </c>
      <c r="I2778" s="5"/>
      <c r="J2778" s="6" t="str">
        <f>IFERROR(__xludf.DUMMYFUNCTION("""COMPUTED_VALUE"""),"https://eitaa.com/h_yalasaratzanjan")</f>
        <v>https://eitaa.com/h_yalasaratzanjan</v>
      </c>
      <c r="K2778" s="5"/>
      <c r="L2778" s="5"/>
      <c r="M2778" s="5"/>
      <c r="N2778" s="5"/>
      <c r="O2778" s="5"/>
      <c r="P2778" s="5"/>
      <c r="Q2778" s="5"/>
      <c r="R2778" s="5"/>
      <c r="S2778" s="5"/>
    </row>
    <row r="2779">
      <c r="A2779" s="5">
        <f>IFERROR(__xludf.DUMMYFUNCTION("""COMPUTED_VALUE"""),25346.0)</f>
        <v>25346</v>
      </c>
      <c r="B2779" s="5" t="str">
        <f>IFERROR(__xludf.DUMMYFUNCTION("""COMPUTED_VALUE"""),"هیأت")</f>
        <v>هیأت</v>
      </c>
      <c r="C2779" s="5" t="str">
        <f>IFERROR(__xludf.DUMMYFUNCTION("""COMPUTED_VALUE"""),"جنت البقیع ( دانشجویی )")</f>
        <v>جنت البقیع ( دانشجویی )</v>
      </c>
      <c r="D2779" s="5" t="str">
        <f>IFERROR(__xludf.DUMMYFUNCTION("""COMPUTED_VALUE"""),"زنجان")</f>
        <v>زنجان</v>
      </c>
      <c r="E2779" s="5" t="str">
        <f>IFERROR(__xludf.DUMMYFUNCTION("""COMPUTED_VALUE"""),"زنجان")</f>
        <v>زنجان</v>
      </c>
      <c r="F2779" s="5"/>
      <c r="G2779" s="5"/>
      <c r="H2779" s="5"/>
      <c r="I2779" s="5"/>
      <c r="J2779" s="6" t="str">
        <f>IFERROR(__xludf.DUMMYFUNCTION("""COMPUTED_VALUE"""),"https://eitaa.com/jannatolbaqi_azu")</f>
        <v>https://eitaa.com/jannatolbaqi_azu</v>
      </c>
      <c r="K2779" s="5"/>
      <c r="L2779" s="5"/>
      <c r="M2779" s="5"/>
      <c r="N2779" s="5"/>
      <c r="O2779" s="5"/>
      <c r="P2779" s="5"/>
      <c r="Q2779" s="5"/>
      <c r="R2779" s="5"/>
      <c r="S2779" s="5"/>
    </row>
    <row r="2780">
      <c r="A2780" s="5">
        <f>IFERROR(__xludf.DUMMYFUNCTION("""COMPUTED_VALUE"""),25349.0)</f>
        <v>25349</v>
      </c>
      <c r="B2780" s="5" t="str">
        <f>IFERROR(__xludf.DUMMYFUNCTION("""COMPUTED_VALUE"""),"هیأت")</f>
        <v>هیأت</v>
      </c>
      <c r="C2780" s="5" t="str">
        <f>IFERROR(__xludf.DUMMYFUNCTION("""COMPUTED_VALUE"""),"جوانان عاشورایی")</f>
        <v>جوانان عاشورایی</v>
      </c>
      <c r="D2780" s="5" t="str">
        <f>IFERROR(__xludf.DUMMYFUNCTION("""COMPUTED_VALUE"""),"زنجان")</f>
        <v>زنجان</v>
      </c>
      <c r="E2780" s="5" t="str">
        <f>IFERROR(__xludf.DUMMYFUNCTION("""COMPUTED_VALUE"""),"زنجان")</f>
        <v>زنجان</v>
      </c>
      <c r="F2780" s="5"/>
      <c r="G2780" s="5"/>
      <c r="H2780" s="5"/>
      <c r="I2780" s="5"/>
      <c r="J2780" s="6" t="str">
        <f>IFERROR(__xludf.DUMMYFUNCTION("""COMPUTED_VALUE"""),"https://eitaa.com/ashurae")</f>
        <v>https://eitaa.com/ashurae</v>
      </c>
      <c r="K2780" s="5"/>
      <c r="L2780" s="5"/>
      <c r="M2780" s="5"/>
      <c r="N2780" s="5"/>
      <c r="O2780" s="5"/>
      <c r="P2780" s="5"/>
      <c r="Q2780" s="5"/>
      <c r="R2780" s="5"/>
      <c r="S2780" s="5"/>
    </row>
    <row r="2781">
      <c r="A2781" s="5">
        <f>IFERROR(__xludf.DUMMYFUNCTION("""COMPUTED_VALUE"""),25354.0)</f>
        <v>25354</v>
      </c>
      <c r="B2781" s="5" t="str">
        <f>IFERROR(__xludf.DUMMYFUNCTION("""COMPUTED_VALUE"""),"هیأت")</f>
        <v>هیأت</v>
      </c>
      <c r="C2781" s="5" t="str">
        <f>IFERROR(__xludf.DUMMYFUNCTION("""COMPUTED_VALUE"""),"رزمندگان اسلام")</f>
        <v>رزمندگان اسلام</v>
      </c>
      <c r="D2781" s="5" t="str">
        <f>IFERROR(__xludf.DUMMYFUNCTION("""COMPUTED_VALUE"""),"زنجان")</f>
        <v>زنجان</v>
      </c>
      <c r="E2781" s="5" t="str">
        <f>IFERROR(__xludf.DUMMYFUNCTION("""COMPUTED_VALUE"""),"زنجان")</f>
        <v>زنجان</v>
      </c>
      <c r="F2781" s="5"/>
      <c r="G2781" s="5"/>
      <c r="H2781" s="5"/>
      <c r="I2781" s="5"/>
      <c r="J2781" s="6" t="str">
        <f>IFERROR(__xludf.DUMMYFUNCTION("""COMPUTED_VALUE"""),"https://eitaa.com/razmandegan_zanjan")</f>
        <v>https://eitaa.com/razmandegan_zanjan</v>
      </c>
      <c r="K2781" s="5"/>
      <c r="L2781" s="5"/>
      <c r="M2781" s="5"/>
      <c r="N2781" s="5"/>
      <c r="O2781" s="5"/>
      <c r="P2781" s="5"/>
      <c r="Q2781" s="5"/>
      <c r="R2781" s="5"/>
      <c r="S2781" s="5"/>
    </row>
    <row r="2782">
      <c r="A2782" s="5">
        <f>IFERROR(__xludf.DUMMYFUNCTION("""COMPUTED_VALUE"""),25360.0)</f>
        <v>25360</v>
      </c>
      <c r="B2782" s="5" t="str">
        <f>IFERROR(__xludf.DUMMYFUNCTION("""COMPUTED_VALUE"""),"هیأت")</f>
        <v>هیأت</v>
      </c>
      <c r="C2782" s="5" t="str">
        <f>IFERROR(__xludf.DUMMYFUNCTION("""COMPUTED_VALUE"""),"جوانان حسینی (ع)")</f>
        <v>جوانان حسینی (ع)</v>
      </c>
      <c r="D2782" s="5" t="str">
        <f>IFERROR(__xludf.DUMMYFUNCTION("""COMPUTED_VALUE"""),"زنجان")</f>
        <v>زنجان</v>
      </c>
      <c r="E2782" s="5" t="str">
        <f>IFERROR(__xludf.DUMMYFUNCTION("""COMPUTED_VALUE"""),"زنجان")</f>
        <v>زنجان</v>
      </c>
      <c r="F2782" s="5"/>
      <c r="G2782" s="5"/>
      <c r="H2782" s="6" t="str">
        <f>IFERROR(__xludf.DUMMYFUNCTION("""COMPUTED_VALUE"""),"http://instagram.com/javananhoseini_ir")</f>
        <v>http://instagram.com/javananhoseini_ir</v>
      </c>
      <c r="I2782" s="6" t="str">
        <f>IFERROR(__xludf.DUMMYFUNCTION("""COMPUTED_VALUE"""),"t.me/JavananHoseini_ir")</f>
        <v>t.me/JavananHoseini_ir</v>
      </c>
      <c r="J2782" s="6" t="str">
        <f>IFERROR(__xludf.DUMMYFUNCTION("""COMPUTED_VALUE"""),"https://eitaa.com/JavananHoseini_ir")</f>
        <v>https://eitaa.com/JavananHoseini_ir</v>
      </c>
      <c r="K2782" s="5"/>
      <c r="L2782" s="5"/>
      <c r="M2782" s="5"/>
      <c r="N2782" s="5"/>
      <c r="O2782" s="5"/>
      <c r="P2782" s="5"/>
      <c r="Q2782" s="5"/>
      <c r="R2782" s="5"/>
      <c r="S2782" s="5"/>
    </row>
    <row r="2783">
      <c r="A2783" s="5">
        <f>IFERROR(__xludf.DUMMYFUNCTION("""COMPUTED_VALUE"""),25362.0)</f>
        <v>25362</v>
      </c>
      <c r="B2783" s="5" t="str">
        <f>IFERROR(__xludf.DUMMYFUNCTION("""COMPUTED_VALUE"""),"هیأت")</f>
        <v>هیأت</v>
      </c>
      <c r="C2783" s="5" t="str">
        <f>IFERROR(__xludf.DUMMYFUNCTION("""COMPUTED_VALUE"""),"منتظران ظهور")</f>
        <v>منتظران ظهور</v>
      </c>
      <c r="D2783" s="5" t="str">
        <f>IFERROR(__xludf.DUMMYFUNCTION("""COMPUTED_VALUE"""),"زنجان")</f>
        <v>زنجان</v>
      </c>
      <c r="E2783" s="5" t="str">
        <f>IFERROR(__xludf.DUMMYFUNCTION("""COMPUTED_VALUE"""),"زنجان")</f>
        <v>زنجان</v>
      </c>
      <c r="F2783" s="5"/>
      <c r="G2783" s="5"/>
      <c r="H2783" s="6" t="str">
        <f>IFERROR(__xludf.DUMMYFUNCTION("""COMPUTED_VALUE"""),"https://www.instagram.com/montazeran_zohur_zanjan/")</f>
        <v>https://www.instagram.com/montazeran_zohur_zanjan/</v>
      </c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</row>
    <row r="2784">
      <c r="A2784" s="5">
        <f>IFERROR(__xludf.DUMMYFUNCTION("""COMPUTED_VALUE"""),25364.0)</f>
        <v>25364</v>
      </c>
      <c r="B2784" s="5" t="str">
        <f>IFERROR(__xludf.DUMMYFUNCTION("""COMPUTED_VALUE"""),"مسجد")</f>
        <v>مسجد</v>
      </c>
      <c r="C2784" s="5" t="str">
        <f>IFERROR(__xludf.DUMMYFUNCTION("""COMPUTED_VALUE"""),"مسجد سقاخانه")</f>
        <v>مسجد سقاخانه</v>
      </c>
      <c r="D2784" s="5" t="str">
        <f>IFERROR(__xludf.DUMMYFUNCTION("""COMPUTED_VALUE"""),"زنجان")</f>
        <v>زنجان</v>
      </c>
      <c r="E2784" s="5" t="str">
        <f>IFERROR(__xludf.DUMMYFUNCTION("""COMPUTED_VALUE"""),"زنجان")</f>
        <v>زنجان</v>
      </c>
      <c r="F2784" s="5"/>
      <c r="G2784" s="5"/>
      <c r="H2784" s="6" t="str">
        <f>IFERROR(__xludf.DUMMYFUNCTION("""COMPUTED_VALUE"""),"https://www.instagram.com/alamdarsaggakhanezanjan/")</f>
        <v>https://www.instagram.com/alamdarsaggakhanezanjan/</v>
      </c>
      <c r="I2784" s="6" t="str">
        <f>IFERROR(__xludf.DUMMYFUNCTION("""COMPUTED_VALUE"""),"https://t.me/alamdarsaggakhanezanjan")</f>
        <v>https://t.me/alamdarsaggakhanezanjan</v>
      </c>
      <c r="J2784" s="6" t="str">
        <f>IFERROR(__xludf.DUMMYFUNCTION("""COMPUTED_VALUE"""),"https://eitaa.com/alamdarsaggakhanezanjan")</f>
        <v>https://eitaa.com/alamdarsaggakhanezanjan</v>
      </c>
      <c r="K2784" s="5"/>
      <c r="L2784" s="5"/>
      <c r="M2784" s="5"/>
      <c r="N2784" s="5"/>
      <c r="O2784" s="5"/>
      <c r="P2784" s="5"/>
      <c r="Q2784" s="5"/>
      <c r="R2784" s="5"/>
      <c r="S2784" s="5"/>
    </row>
    <row r="2785">
      <c r="A2785" s="5">
        <f>IFERROR(__xludf.DUMMYFUNCTION("""COMPUTED_VALUE"""),25366.0)</f>
        <v>25366</v>
      </c>
      <c r="B2785" s="5" t="str">
        <f>IFERROR(__xludf.DUMMYFUNCTION("""COMPUTED_VALUE"""),"هیأت")</f>
        <v>هیأت</v>
      </c>
      <c r="C2785" s="5" t="str">
        <f>IFERROR(__xludf.DUMMYFUNCTION("""COMPUTED_VALUE"""),"بیت الزهرا (س)")</f>
        <v>بیت الزهرا (س)</v>
      </c>
      <c r="D2785" s="5" t="str">
        <f>IFERROR(__xludf.DUMMYFUNCTION("""COMPUTED_VALUE"""),"زنجان")</f>
        <v>زنجان</v>
      </c>
      <c r="E2785" s="5" t="str">
        <f>IFERROR(__xludf.DUMMYFUNCTION("""COMPUTED_VALUE"""),"زنجان")</f>
        <v>زنجان</v>
      </c>
      <c r="F2785" s="5"/>
      <c r="G2785" s="5"/>
      <c r="H2785" s="6" t="str">
        <f>IFERROR(__xludf.DUMMYFUNCTION("""COMPUTED_VALUE"""),"https://www.instagram.com/beyto_zahra_zanjan_1359/")</f>
        <v>https://www.instagram.com/beyto_zahra_zanjan_1359/</v>
      </c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</row>
    <row r="2786">
      <c r="A2786" s="5">
        <f>IFERROR(__xludf.DUMMYFUNCTION("""COMPUTED_VALUE"""),25648.0)</f>
        <v>25648</v>
      </c>
      <c r="B2786" s="5" t="str">
        <f>IFERROR(__xludf.DUMMYFUNCTION("""COMPUTED_VALUE"""),"هیأت")</f>
        <v>هیأت</v>
      </c>
      <c r="C2786" s="5" t="str">
        <f>IFERROR(__xludf.DUMMYFUNCTION("""COMPUTED_VALUE"""),"هیات الجواد (ع)")</f>
        <v>هیات الجواد (ع)</v>
      </c>
      <c r="D2786" s="5" t="str">
        <f>IFERROR(__xludf.DUMMYFUNCTION("""COMPUTED_VALUE"""),"زنجان")</f>
        <v>زنجان</v>
      </c>
      <c r="E2786" s="5" t="str">
        <f>IFERROR(__xludf.DUMMYFUNCTION("""COMPUTED_VALUE"""),"زنجان")</f>
        <v>زنجان</v>
      </c>
      <c r="F2786" s="5"/>
      <c r="G2786" s="5"/>
      <c r="H2786" s="6" t="str">
        <f>IFERROR(__xludf.DUMMYFUNCTION("""COMPUTED_VALUE"""),"https://www.instagram.com/heyatoljavad.zanjan/")</f>
        <v>https://www.instagram.com/heyatoljavad.zanjan/</v>
      </c>
      <c r="I2786" s="6" t="str">
        <f>IFERROR(__xludf.DUMMYFUNCTION("""COMPUTED_VALUE"""),"t.me/Heyatoljavad_Zanjan")</f>
        <v>t.me/Heyatoljavad_Zanjan</v>
      </c>
      <c r="J2786" s="5"/>
      <c r="K2786" s="5"/>
      <c r="L2786" s="5"/>
      <c r="M2786" s="5"/>
      <c r="N2786" s="5"/>
      <c r="O2786" s="5"/>
      <c r="P2786" s="5"/>
      <c r="Q2786" s="5"/>
      <c r="R2786" s="5"/>
      <c r="S2786" s="5"/>
    </row>
    <row r="2787">
      <c r="A2787" s="5">
        <f>IFERROR(__xludf.DUMMYFUNCTION("""COMPUTED_VALUE"""),26342.0)</f>
        <v>26342</v>
      </c>
      <c r="B2787" s="5" t="str">
        <f>IFERROR(__xludf.DUMMYFUNCTION("""COMPUTED_VALUE"""),"هیأت")</f>
        <v>هیأت</v>
      </c>
      <c r="C2787" s="5" t="str">
        <f>IFERROR(__xludf.DUMMYFUNCTION("""COMPUTED_VALUE"""),"موکب الزهرا (س)")</f>
        <v>موکب الزهرا (س)</v>
      </c>
      <c r="D2787" s="5" t="str">
        <f>IFERROR(__xludf.DUMMYFUNCTION("""COMPUTED_VALUE"""),"زنجان")</f>
        <v>زنجان</v>
      </c>
      <c r="E2787" s="5" t="str">
        <f>IFERROR(__xludf.DUMMYFUNCTION("""COMPUTED_VALUE"""),"زنجان")</f>
        <v>زنجان</v>
      </c>
      <c r="F2787" s="5"/>
      <c r="G2787" s="5"/>
      <c r="H2787" s="6" t="str">
        <f>IFERROR(__xludf.DUMMYFUNCTION("""COMPUTED_VALUE"""),"https://www.instagram.com/mokeb_alzahra_znj/")</f>
        <v>https://www.instagram.com/mokeb_alzahra_znj/</v>
      </c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</row>
    <row r="2788">
      <c r="A2788" s="5">
        <f>IFERROR(__xludf.DUMMYFUNCTION("""COMPUTED_VALUE"""),26347.0)</f>
        <v>26347</v>
      </c>
      <c r="B2788" s="5" t="str">
        <f>IFERROR(__xludf.DUMMYFUNCTION("""COMPUTED_VALUE"""),"هیأت")</f>
        <v>هیأت</v>
      </c>
      <c r="C2788" s="5" t="str">
        <f>IFERROR(__xludf.DUMMYFUNCTION("""COMPUTED_VALUE"""),"مجمع حیدریون")</f>
        <v>مجمع حیدریون</v>
      </c>
      <c r="D2788" s="5" t="str">
        <f>IFERROR(__xludf.DUMMYFUNCTION("""COMPUTED_VALUE"""),"زنجان")</f>
        <v>زنجان</v>
      </c>
      <c r="E2788" s="5" t="str">
        <f>IFERROR(__xludf.DUMMYFUNCTION("""COMPUTED_VALUE"""),"زنجان")</f>
        <v>زنجان</v>
      </c>
      <c r="F2788" s="5"/>
      <c r="G2788" s="5"/>
      <c r="H2788" s="6" t="str">
        <f>IFERROR(__xludf.DUMMYFUNCTION("""COMPUTED_VALUE"""),"https://www.instagram.com/heydarioonzanjan/")</f>
        <v>https://www.instagram.com/heydarioonzanjan/</v>
      </c>
      <c r="I2788" s="6" t="str">
        <f>IFERROR(__xludf.DUMMYFUNCTION("""COMPUTED_VALUE"""),"t.me/heydarioon_zanjan")</f>
        <v>t.me/heydarioon_zanjan</v>
      </c>
      <c r="J2788" s="5"/>
      <c r="K2788" s="5"/>
      <c r="L2788" s="5"/>
      <c r="M2788" s="5"/>
      <c r="N2788" s="5"/>
      <c r="O2788" s="5"/>
      <c r="P2788" s="5"/>
      <c r="Q2788" s="5"/>
      <c r="R2788" s="5"/>
      <c r="S2788" s="5"/>
    </row>
    <row r="2789">
      <c r="A2789" s="5">
        <f>IFERROR(__xludf.DUMMYFUNCTION("""COMPUTED_VALUE"""),26357.0)</f>
        <v>26357</v>
      </c>
      <c r="B2789" s="5" t="str">
        <f>IFERROR(__xludf.DUMMYFUNCTION("""COMPUTED_VALUE"""),"هیأت")</f>
        <v>هیأت</v>
      </c>
      <c r="C2789" s="5" t="str">
        <f>IFERROR(__xludf.DUMMYFUNCTION("""COMPUTED_VALUE"""),"صاحب الزمان (عج)")</f>
        <v>صاحب الزمان (عج)</v>
      </c>
      <c r="D2789" s="5" t="str">
        <f>IFERROR(__xludf.DUMMYFUNCTION("""COMPUTED_VALUE"""),"زنجان")</f>
        <v>زنجان</v>
      </c>
      <c r="E2789" s="5" t="str">
        <f>IFERROR(__xludf.DUMMYFUNCTION("""COMPUTED_VALUE"""),"زنجان")</f>
        <v>زنجان</v>
      </c>
      <c r="F2789" s="5"/>
      <c r="G2789" s="5"/>
      <c r="H2789" s="6" t="str">
        <f>IFERROR(__xludf.DUMMYFUNCTION("""COMPUTED_VALUE"""),"https://www.instagram.com/saheb.azzman/")</f>
        <v>https://www.instagram.com/saheb.azzman/</v>
      </c>
      <c r="I2789" s="6" t="str">
        <f>IFERROR(__xludf.DUMMYFUNCTION("""COMPUTED_VALUE"""),"t.me/RahpoyaneVesal313")</f>
        <v>t.me/RahpoyaneVesal313</v>
      </c>
      <c r="J2789" s="5"/>
      <c r="K2789" s="5"/>
      <c r="L2789" s="5"/>
      <c r="M2789" s="5"/>
      <c r="N2789" s="5"/>
      <c r="O2789" s="5"/>
      <c r="P2789" s="5"/>
      <c r="Q2789" s="5"/>
      <c r="R2789" s="5"/>
      <c r="S2789" s="5"/>
    </row>
    <row r="2790">
      <c r="A2790" s="5">
        <f>IFERROR(__xludf.DUMMYFUNCTION("""COMPUTED_VALUE"""),30402.0)</f>
        <v>30402</v>
      </c>
      <c r="B2790" s="5" t="str">
        <f>IFERROR(__xludf.DUMMYFUNCTION("""COMPUTED_VALUE"""),"هیأت")</f>
        <v>هیأت</v>
      </c>
      <c r="C2790" s="5" t="str">
        <f>IFERROR(__xludf.DUMMYFUNCTION("""COMPUTED_VALUE"""),"امام هادی (ع)")</f>
        <v>امام هادی (ع)</v>
      </c>
      <c r="D2790" s="5" t="str">
        <f>IFERROR(__xludf.DUMMYFUNCTION("""COMPUTED_VALUE"""),"زنجان")</f>
        <v>زنجان</v>
      </c>
      <c r="E2790" s="5" t="str">
        <f>IFERROR(__xludf.DUMMYFUNCTION("""COMPUTED_VALUE"""),"زنجان")</f>
        <v>زنجان</v>
      </c>
      <c r="F2790" s="5"/>
      <c r="G2790" s="5"/>
      <c r="H2790" s="5"/>
      <c r="I2790" s="5"/>
      <c r="J2790" s="6" t="str">
        <f>IFERROR(__xludf.DUMMYFUNCTION("""COMPUTED_VALUE"""),"https://eitaa.com/ImamHadiZn")</f>
        <v>https://eitaa.com/ImamHadiZn</v>
      </c>
      <c r="K2790" s="5"/>
      <c r="L2790" s="5"/>
      <c r="M2790" s="5"/>
      <c r="N2790" s="5"/>
      <c r="O2790" s="5"/>
      <c r="P2790" s="5"/>
      <c r="Q2790" s="5"/>
      <c r="R2790" s="5"/>
      <c r="S2790" s="5"/>
    </row>
    <row r="2791">
      <c r="A2791" s="5"/>
      <c r="B2791" s="5" t="str">
        <f>IFERROR(__xludf.DUMMYFUNCTION("""COMPUTED_VALUE"""),"هیأت")</f>
        <v>هیأت</v>
      </c>
      <c r="C2791" s="5" t="str">
        <f>IFERROR(__xludf.DUMMYFUNCTION("""COMPUTED_VALUE"""),"حضرت رقیه (س)")</f>
        <v>حضرت رقیه (س)</v>
      </c>
      <c r="D2791" s="5" t="str">
        <f>IFERROR(__xludf.DUMMYFUNCTION("""COMPUTED_VALUE"""),"زنجان")</f>
        <v>زنجان</v>
      </c>
      <c r="E2791" s="5" t="str">
        <f>IFERROR(__xludf.DUMMYFUNCTION("""COMPUTED_VALUE"""),"زنجان")</f>
        <v>زنجان</v>
      </c>
      <c r="F2791" s="5"/>
      <c r="G2791" s="5"/>
      <c r="H2791" s="6" t="str">
        <f>IFERROR(__xludf.DUMMYFUNCTION("""COMPUTED_VALUE"""),"https://www.instagram.com/h.n.roghayeh/")</f>
        <v>https://www.instagram.com/h.n.roghayeh/</v>
      </c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</row>
    <row r="2792">
      <c r="A2792" s="5">
        <f>IFERROR(__xludf.DUMMYFUNCTION("""COMPUTED_VALUE"""),18650.0)</f>
        <v>18650</v>
      </c>
      <c r="B2792" s="5" t="str">
        <f>IFERROR(__xludf.DUMMYFUNCTION("""COMPUTED_VALUE"""),"هیأت")</f>
        <v>هیأت</v>
      </c>
      <c r="C2792" s="5" t="str">
        <f>IFERROR(__xludf.DUMMYFUNCTION("""COMPUTED_VALUE"""),"انصارالحسین (ع)")</f>
        <v>انصارالحسین (ع)</v>
      </c>
      <c r="D2792" s="5" t="str">
        <f>IFERROR(__xludf.DUMMYFUNCTION("""COMPUTED_VALUE"""),"زنجان")</f>
        <v>زنجان</v>
      </c>
      <c r="E2792" s="5" t="str">
        <f>IFERROR(__xludf.DUMMYFUNCTION("""COMPUTED_VALUE"""),"هیدج")</f>
        <v>هیدج</v>
      </c>
      <c r="F2792" s="5"/>
      <c r="G2792" s="5"/>
      <c r="H2792" s="6" t="str">
        <f>IFERROR(__xludf.DUMMYFUNCTION("""COMPUTED_VALUE"""),"https://www.instagram.com/ansaralhosein_hidaj/")</f>
        <v>https://www.instagram.com/ansaralhosein_hidaj/</v>
      </c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</row>
    <row r="2793">
      <c r="A2793" s="5"/>
      <c r="B2793" s="5" t="str">
        <f>IFERROR(__xludf.DUMMYFUNCTION("""COMPUTED_VALUE"""),"هیأت")</f>
        <v>هیأت</v>
      </c>
      <c r="C2793" s="5" t="str">
        <f>IFERROR(__xludf.DUMMYFUNCTION("""COMPUTED_VALUE"""),"موسی بن جعفر (ع)")</f>
        <v>موسی بن جعفر (ع)</v>
      </c>
      <c r="D2793" s="5" t="str">
        <f>IFERROR(__xludf.DUMMYFUNCTION("""COMPUTED_VALUE"""),"زنجان")</f>
        <v>زنجان</v>
      </c>
      <c r="E2793" s="5" t="str">
        <f>IFERROR(__xludf.DUMMYFUNCTION("""COMPUTED_VALUE"""),"زنجان")</f>
        <v>زنجان</v>
      </c>
      <c r="F2793" s="5"/>
      <c r="G2793" s="5"/>
      <c r="H2793" s="5"/>
      <c r="I2793" s="5"/>
      <c r="J2793" s="6" t="str">
        <f>IFERROR(__xludf.DUMMYFUNCTION("""COMPUTED_VALUE"""),"https://eitaa.com/mosabnejafarzanjan")</f>
        <v>https://eitaa.com/mosabnejafarzanjan</v>
      </c>
      <c r="K2793" s="5"/>
      <c r="L2793" s="5"/>
      <c r="M2793" s="5"/>
      <c r="N2793" s="5"/>
      <c r="O2793" s="5"/>
      <c r="P2793" s="5"/>
      <c r="Q2793" s="5"/>
      <c r="R2793" s="5"/>
      <c r="S2793" s="5"/>
    </row>
    <row r="2794">
      <c r="A2794" s="5"/>
      <c r="B2794" s="5" t="str">
        <f>IFERROR(__xludf.DUMMYFUNCTION("""COMPUTED_VALUE"""),"هیأت")</f>
        <v>هیأت</v>
      </c>
      <c r="C2794" s="5" t="str">
        <f>IFERROR(__xludf.DUMMYFUNCTION("""COMPUTED_VALUE"""),"سیدالساجدین (ع)")</f>
        <v>سیدالساجدین (ع)</v>
      </c>
      <c r="D2794" s="5" t="str">
        <f>IFERROR(__xludf.DUMMYFUNCTION("""COMPUTED_VALUE"""),"زنجان")</f>
        <v>زنجان</v>
      </c>
      <c r="E2794" s="5" t="str">
        <f>IFERROR(__xludf.DUMMYFUNCTION("""COMPUTED_VALUE"""),"زنجان")</f>
        <v>زنجان</v>
      </c>
      <c r="F2794" s="5"/>
      <c r="G2794" s="5"/>
      <c r="H2794" s="5"/>
      <c r="I2794" s="5"/>
      <c r="J2794" s="6" t="str">
        <f>IFERROR(__xludf.DUMMYFUNCTION("""COMPUTED_VALUE"""),"https://eitaa.com/heyat_zn")</f>
        <v>https://eitaa.com/heyat_zn</v>
      </c>
      <c r="K2794" s="5"/>
      <c r="L2794" s="5"/>
      <c r="M2794" s="5"/>
      <c r="N2794" s="5"/>
      <c r="O2794" s="5"/>
      <c r="P2794" s="5"/>
      <c r="Q2794" s="5"/>
      <c r="R2794" s="5"/>
      <c r="S2794" s="5"/>
    </row>
    <row r="2795">
      <c r="A2795" s="5"/>
      <c r="B2795" s="5" t="str">
        <f>IFERROR(__xludf.DUMMYFUNCTION("""COMPUTED_VALUE"""),"هیأت")</f>
        <v>هیأت</v>
      </c>
      <c r="C2795" s="5" t="str">
        <f>IFERROR(__xludf.DUMMYFUNCTION("""COMPUTED_VALUE"""),"مکتب الرضا")</f>
        <v>مکتب الرضا</v>
      </c>
      <c r="D2795" s="5" t="str">
        <f>IFERROR(__xludf.DUMMYFUNCTION("""COMPUTED_VALUE"""),"زنجان")</f>
        <v>زنجان</v>
      </c>
      <c r="E2795" s="5" t="str">
        <f>IFERROR(__xludf.DUMMYFUNCTION("""COMPUTED_VALUE"""),"زنجان")</f>
        <v>زنجان</v>
      </c>
      <c r="F2795" s="5"/>
      <c r="G2795" s="5"/>
      <c r="H2795" s="6" t="str">
        <f>IFERROR(__xludf.DUMMYFUNCTION("""COMPUTED_VALUE"""),"https://www.instagram.com/maktabolreza_znj/")</f>
        <v>https://www.instagram.com/maktabolreza_znj/</v>
      </c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</row>
    <row r="2796">
      <c r="A2796" s="5"/>
      <c r="B2796" s="5" t="str">
        <f>IFERROR(__xludf.DUMMYFUNCTION("""COMPUTED_VALUE"""),"هیأت")</f>
        <v>هیأت</v>
      </c>
      <c r="C2796" s="5" t="str">
        <f>IFERROR(__xludf.DUMMYFUNCTION("""COMPUTED_VALUE"""),"جوانان حضرت علی اصغر (ع)")</f>
        <v>جوانان حضرت علی اصغر (ع)</v>
      </c>
      <c r="D2796" s="5" t="str">
        <f>IFERROR(__xludf.DUMMYFUNCTION("""COMPUTED_VALUE"""),"زنجان")</f>
        <v>زنجان</v>
      </c>
      <c r="E2796" s="5" t="str">
        <f>IFERROR(__xludf.DUMMYFUNCTION("""COMPUTED_VALUE"""),"زنجان")</f>
        <v>زنجان</v>
      </c>
      <c r="F2796" s="5"/>
      <c r="G2796" s="5"/>
      <c r="H2796" s="6" t="str">
        <f>IFERROR(__xludf.DUMMYFUNCTION("""COMPUTED_VALUE"""),"https://www.instagram.com/aliasgharznj1378/")</f>
        <v>https://www.instagram.com/aliasgharznj1378/</v>
      </c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</row>
    <row r="2797">
      <c r="A2797" s="5"/>
      <c r="B2797" s="5" t="str">
        <f>IFERROR(__xludf.DUMMYFUNCTION("""COMPUTED_VALUE"""),"هیأت")</f>
        <v>هیأت</v>
      </c>
      <c r="C2797" s="5" t="str">
        <f>IFERROR(__xludf.DUMMYFUNCTION("""COMPUTED_VALUE"""),"جوانان حضرت علی اکبر (ع)")</f>
        <v>جوانان حضرت علی اکبر (ع)</v>
      </c>
      <c r="D2797" s="5" t="str">
        <f>IFERROR(__xludf.DUMMYFUNCTION("""COMPUTED_VALUE"""),"زنجان")</f>
        <v>زنجان</v>
      </c>
      <c r="E2797" s="5" t="str">
        <f>IFERROR(__xludf.DUMMYFUNCTION("""COMPUTED_VALUE"""),"زنجان")</f>
        <v>زنجان</v>
      </c>
      <c r="F2797" s="5"/>
      <c r="G2797" s="5"/>
      <c r="H2797" s="6" t="str">
        <f>IFERROR(__xludf.DUMMYFUNCTION("""COMPUTED_VALUE"""),"https://www.instagram.com/aliakbarsharifabad/")</f>
        <v>https://www.instagram.com/aliakbarsharifabad/</v>
      </c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</row>
    <row r="2798">
      <c r="A2798" s="5"/>
      <c r="B2798" s="5" t="str">
        <f>IFERROR(__xludf.DUMMYFUNCTION("""COMPUTED_VALUE"""),"مسجد ")</f>
        <v>مسجد </v>
      </c>
      <c r="C2798" s="5" t="str">
        <f>IFERROR(__xludf.DUMMYFUNCTION("""COMPUTED_VALUE"""),"حضرت رقیه")</f>
        <v>حضرت رقیه</v>
      </c>
      <c r="D2798" s="5" t="str">
        <f>IFERROR(__xludf.DUMMYFUNCTION("""COMPUTED_VALUE"""),"زنجان")</f>
        <v>زنجان</v>
      </c>
      <c r="E2798" s="5" t="str">
        <f>IFERROR(__xludf.DUMMYFUNCTION("""COMPUTED_VALUE"""),"زنجان")</f>
        <v>زنجان</v>
      </c>
      <c r="F2798" s="5"/>
      <c r="G2798" s="5"/>
      <c r="H2798" s="6" t="str">
        <f>IFERROR(__xludf.DUMMYFUNCTION("""COMPUTED_VALUE"""),"https://www.instagram.com/masjed_hazrat_rogaye_zn/")</f>
        <v>https://www.instagram.com/masjed_hazrat_rogaye_zn/</v>
      </c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</row>
    <row r="2799">
      <c r="A2799" s="5"/>
      <c r="B2799" s="5" t="str">
        <f>IFERROR(__xludf.DUMMYFUNCTION("""COMPUTED_VALUE"""),"مسجد")</f>
        <v>مسجد</v>
      </c>
      <c r="C2799" s="5" t="str">
        <f>IFERROR(__xludf.DUMMYFUNCTION("""COMPUTED_VALUE"""),"امیرالمؤمنین")</f>
        <v>امیرالمؤمنین</v>
      </c>
      <c r="D2799" s="5" t="str">
        <f>IFERROR(__xludf.DUMMYFUNCTION("""COMPUTED_VALUE"""),"زنجان")</f>
        <v>زنجان</v>
      </c>
      <c r="E2799" s="5" t="str">
        <f>IFERROR(__xludf.DUMMYFUNCTION("""COMPUTED_VALUE"""),"خرمدره")</f>
        <v>خرمدره</v>
      </c>
      <c r="F2799" s="5"/>
      <c r="G2799" s="5"/>
      <c r="H2799" s="6" t="str">
        <f>IFERROR(__xludf.DUMMYFUNCTION("""COMPUTED_VALUE"""),"https://www.instagram.com/masjedamiralmomenin313/")</f>
        <v>https://www.instagram.com/masjedamiralmomenin313/</v>
      </c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</row>
    <row r="2800">
      <c r="A2800" s="5"/>
      <c r="B2800" s="5" t="str">
        <f>IFERROR(__xludf.DUMMYFUNCTION("""COMPUTED_VALUE"""),"هیأت")</f>
        <v>هیأت</v>
      </c>
      <c r="C2800" s="5" t="str">
        <f>IFERROR(__xludf.DUMMYFUNCTION("""COMPUTED_VALUE"""),"فاطمیون")</f>
        <v>فاطمیون</v>
      </c>
      <c r="D2800" s="5" t="str">
        <f>IFERROR(__xludf.DUMMYFUNCTION("""COMPUTED_VALUE"""),"زنجان")</f>
        <v>زنجان</v>
      </c>
      <c r="E2800" s="5" t="str">
        <f>IFERROR(__xludf.DUMMYFUNCTION("""COMPUTED_VALUE"""),"خدابنده")</f>
        <v>خدابنده</v>
      </c>
      <c r="F2800" s="5"/>
      <c r="G2800" s="5"/>
      <c r="H2800" s="6" t="str">
        <f>IFERROR(__xludf.DUMMYFUNCTION("""COMPUTED_VALUE"""),"https://www.instagram.com/heyatfatemiyoun/")</f>
        <v>https://www.instagram.com/heyatfatemiyoun/</v>
      </c>
      <c r="I2800" s="6" t="str">
        <f>IFERROR(__xludf.DUMMYFUNCTION("""COMPUTED_VALUE"""),"t.me/heyate_fatemiyoun")</f>
        <v>t.me/heyate_fatemiyoun</v>
      </c>
      <c r="J2800" s="5"/>
      <c r="K2800" s="5"/>
      <c r="L2800" s="5"/>
      <c r="M2800" s="5"/>
      <c r="N2800" s="5"/>
      <c r="O2800" s="5"/>
      <c r="P2800" s="5"/>
      <c r="Q2800" s="5"/>
      <c r="R2800" s="5"/>
      <c r="S2800" s="5"/>
    </row>
    <row r="2801">
      <c r="A2801" s="5"/>
      <c r="B2801" s="5" t="str">
        <f>IFERROR(__xludf.DUMMYFUNCTION("""COMPUTED_VALUE"""),"هیأت")</f>
        <v>هیأت</v>
      </c>
      <c r="C2801" s="5" t="str">
        <f>IFERROR(__xludf.DUMMYFUNCTION("""COMPUTED_VALUE"""),"عاشقان حضرت ابوالفضل (ع)")</f>
        <v>عاشقان حضرت ابوالفضل (ع)</v>
      </c>
      <c r="D2801" s="5" t="str">
        <f>IFERROR(__xludf.DUMMYFUNCTION("""COMPUTED_VALUE"""),"زنجان")</f>
        <v>زنجان</v>
      </c>
      <c r="E2801" s="5" t="str">
        <f>IFERROR(__xludf.DUMMYFUNCTION("""COMPUTED_VALUE"""),"زنجان")</f>
        <v>زنجان</v>
      </c>
      <c r="F2801" s="5"/>
      <c r="G2801" s="5"/>
      <c r="H2801" s="5"/>
      <c r="I2801" s="6" t="str">
        <f>IFERROR(__xludf.DUMMYFUNCTION("""COMPUTED_VALUE"""),"https://t.me/heyaateashegan")</f>
        <v>https://t.me/heyaateashegan</v>
      </c>
      <c r="J2801" s="5"/>
      <c r="K2801" s="5"/>
      <c r="L2801" s="5"/>
      <c r="M2801" s="5"/>
      <c r="N2801" s="5"/>
      <c r="O2801" s="5"/>
      <c r="P2801" s="5"/>
      <c r="Q2801" s="5"/>
      <c r="R2801" s="5"/>
      <c r="S2801" s="5"/>
    </row>
    <row r="2802">
      <c r="A2802" s="5"/>
      <c r="B2802" s="5" t="str">
        <f>IFERROR(__xludf.DUMMYFUNCTION("""COMPUTED_VALUE"""),"هیأت")</f>
        <v>هیأت</v>
      </c>
      <c r="C2802" s="5" t="str">
        <f>IFERROR(__xludf.DUMMYFUNCTION("""COMPUTED_VALUE"""),"دلباختگان حسین")</f>
        <v>دلباختگان حسین</v>
      </c>
      <c r="D2802" s="5" t="str">
        <f>IFERROR(__xludf.DUMMYFUNCTION("""COMPUTED_VALUE"""),"زنجان")</f>
        <v>زنجان</v>
      </c>
      <c r="E2802" s="5" t="str">
        <f>IFERROR(__xludf.DUMMYFUNCTION("""COMPUTED_VALUE"""),"زنجان")</f>
        <v>زنجان</v>
      </c>
      <c r="F2802" s="5"/>
      <c r="G2802" s="5"/>
      <c r="H2802" s="6" t="str">
        <f>IFERROR(__xludf.DUMMYFUNCTION("""COMPUTED_VALUE"""),"https://www.instagram.com/delbakhtegane_hosein_zanjan/")</f>
        <v>https://www.instagram.com/delbakhtegane_hosein_zanjan/</v>
      </c>
      <c r="I2802" s="6" t="str">
        <f>IFERROR(__xludf.DUMMYFUNCTION("""COMPUTED_VALUE"""),"t.me/mohsendadashi")</f>
        <v>t.me/mohsendadashi</v>
      </c>
      <c r="J2802" s="5"/>
      <c r="K2802" s="5"/>
      <c r="L2802" s="5"/>
      <c r="M2802" s="5"/>
      <c r="N2802" s="5"/>
      <c r="O2802" s="5"/>
      <c r="P2802" s="5"/>
      <c r="Q2802" s="5"/>
      <c r="R2802" s="5"/>
      <c r="S2802" s="5"/>
    </row>
    <row r="2803">
      <c r="A2803" s="5"/>
      <c r="B2803" s="5" t="str">
        <f>IFERROR(__xludf.DUMMYFUNCTION("""COMPUTED_VALUE"""),"هیأت")</f>
        <v>هیأت</v>
      </c>
      <c r="C2803" s="5" t="str">
        <f>IFERROR(__xludf.DUMMYFUNCTION("""COMPUTED_VALUE"""),"امام حسن مجتبی (ع)")</f>
        <v>امام حسن مجتبی (ع)</v>
      </c>
      <c r="D2803" s="5" t="str">
        <f>IFERROR(__xludf.DUMMYFUNCTION("""COMPUTED_VALUE"""),"زنجان")</f>
        <v>زنجان</v>
      </c>
      <c r="E2803" s="5" t="str">
        <f>IFERROR(__xludf.DUMMYFUNCTION("""COMPUTED_VALUE"""),"ابهر")</f>
        <v>ابهر</v>
      </c>
      <c r="F2803" s="5"/>
      <c r="G2803" s="5"/>
      <c r="H2803" s="6" t="str">
        <f>IFERROR(__xludf.DUMMYFUNCTION("""COMPUTED_VALUE"""),"https://www.instagram.com/heyat._emam_hasan_abhar/")</f>
        <v>https://www.instagram.com/heyat._emam_hasan_abhar/</v>
      </c>
      <c r="I2803" s="5"/>
      <c r="J2803" s="6" t="str">
        <f>IFERROR(__xludf.DUMMYFUNCTION("""COMPUTED_VALUE"""),"https://eitaa.com/heyateemamhasaneabhar")</f>
        <v>https://eitaa.com/heyateemamhasaneabhar</v>
      </c>
      <c r="K2803" s="5"/>
      <c r="L2803" s="5"/>
      <c r="M2803" s="5"/>
      <c r="N2803" s="5"/>
      <c r="O2803" s="5"/>
      <c r="P2803" s="5"/>
      <c r="Q2803" s="5"/>
      <c r="R2803" s="5"/>
      <c r="S2803" s="5"/>
    </row>
    <row r="2804">
      <c r="A2804" s="5"/>
      <c r="B2804" s="5" t="str">
        <f>IFERROR(__xludf.DUMMYFUNCTION("""COMPUTED_VALUE"""),"هیأت")</f>
        <v>هیأت</v>
      </c>
      <c r="C2804" s="5" t="str">
        <f>IFERROR(__xludf.DUMMYFUNCTION("""COMPUTED_VALUE"""),"یاوران ولایت طلاب شهرستان خدابنده")</f>
        <v>یاوران ولایت طلاب شهرستان خدابنده</v>
      </c>
      <c r="D2804" s="5" t="str">
        <f>IFERROR(__xludf.DUMMYFUNCTION("""COMPUTED_VALUE"""),"زنجان")</f>
        <v>زنجان</v>
      </c>
      <c r="E2804" s="5" t="str">
        <f>IFERROR(__xludf.DUMMYFUNCTION("""COMPUTED_VALUE"""),"خدابنده")</f>
        <v>خدابنده</v>
      </c>
      <c r="F2804" s="5"/>
      <c r="G2804" s="5">
        <f>IFERROR(__xludf.DUMMYFUNCTION("""COMPUTED_VALUE"""),1.0)</f>
        <v>1</v>
      </c>
      <c r="H2804" s="5" t="str">
        <f>IFERROR(__xludf.DUMMYFUNCTION("""COMPUTED_VALUE"""),"                                                                                                                                                                                           ")</f>
        <v>                                                                                                                                                                                           </v>
      </c>
      <c r="I2804" s="6" t="str">
        <f>IFERROR(__xludf.DUMMYFUNCTION("""COMPUTED_VALUE"""),"https://t.me/yavaranevelayat_qom")</f>
        <v>https://t.me/yavaranevelayat_qom</v>
      </c>
      <c r="J2804" s="5"/>
      <c r="K2804" s="5"/>
      <c r="L2804" s="5"/>
      <c r="M2804" s="5"/>
      <c r="N2804" s="5"/>
      <c r="O2804" s="5"/>
      <c r="P2804" s="5"/>
      <c r="Q2804" s="5"/>
      <c r="R2804" s="5"/>
      <c r="S2804" s="5"/>
    </row>
    <row r="2805">
      <c r="A2805" s="5"/>
      <c r="B2805" s="5" t="str">
        <f>IFERROR(__xludf.DUMMYFUNCTION("""COMPUTED_VALUE"""),"هیأت")</f>
        <v>هیأت</v>
      </c>
      <c r="C2805" s="5" t="str">
        <f>IFERROR(__xludf.DUMMYFUNCTION("""COMPUTED_VALUE"""),"مجمع اصغریون")</f>
        <v>مجمع اصغریون</v>
      </c>
      <c r="D2805" s="5" t="str">
        <f>IFERROR(__xludf.DUMMYFUNCTION("""COMPUTED_VALUE"""),"زنجان")</f>
        <v>زنجان</v>
      </c>
      <c r="E2805" s="5" t="str">
        <f>IFERROR(__xludf.DUMMYFUNCTION("""COMPUTED_VALUE"""),"زنجان")</f>
        <v>زنجان</v>
      </c>
      <c r="F2805" s="5"/>
      <c r="G2805" s="5"/>
      <c r="H2805" s="6" t="str">
        <f>IFERROR(__xludf.DUMMYFUNCTION("""COMPUTED_VALUE"""),"https://www.instagram.com/asghariyoon.znjan/")</f>
        <v>https://www.instagram.com/asghariyoon.znjan/</v>
      </c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</row>
    <row r="2806">
      <c r="A2806" s="5"/>
      <c r="B2806" s="5" t="str">
        <f>IFERROR(__xludf.DUMMYFUNCTION("""COMPUTED_VALUE"""),"هیأت")</f>
        <v>هیأت</v>
      </c>
      <c r="C2806" s="5" t="str">
        <f>IFERROR(__xludf.DUMMYFUNCTION("""COMPUTED_VALUE"""),"عزاداران حسینی")</f>
        <v>عزاداران حسینی</v>
      </c>
      <c r="D2806" s="5" t="str">
        <f>IFERROR(__xludf.DUMMYFUNCTION("""COMPUTED_VALUE"""),"زنجان")</f>
        <v>زنجان</v>
      </c>
      <c r="E2806" s="5" t="str">
        <f>IFERROR(__xludf.DUMMYFUNCTION("""COMPUTED_VALUE"""),"زنجان")</f>
        <v>زنجان</v>
      </c>
      <c r="F2806" s="5"/>
      <c r="G2806" s="5"/>
      <c r="H2806" s="6" t="str">
        <f>IFERROR(__xludf.DUMMYFUNCTION("""COMPUTED_VALUE"""),"https://www.instagram.com/heyat.hoseini_zanjan/")</f>
        <v>https://www.instagram.com/heyat.hoseini_zanjan/</v>
      </c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</row>
    <row r="2807">
      <c r="A2807" s="5"/>
      <c r="B2807" s="5" t="str">
        <f>IFERROR(__xludf.DUMMYFUNCTION("""COMPUTED_VALUE"""),"هیأت")</f>
        <v>هیأت</v>
      </c>
      <c r="C2807" s="5" t="str">
        <f>IFERROR(__xludf.DUMMYFUNCTION("""COMPUTED_VALUE"""),"کفن پوشان")</f>
        <v>کفن پوشان</v>
      </c>
      <c r="D2807" s="5" t="str">
        <f>IFERROR(__xludf.DUMMYFUNCTION("""COMPUTED_VALUE"""),"زنجان")</f>
        <v>زنجان</v>
      </c>
      <c r="E2807" s="5" t="str">
        <f>IFERROR(__xludf.DUMMYFUNCTION("""COMPUTED_VALUE"""),"زنجان")</f>
        <v>زنجان</v>
      </c>
      <c r="F2807" s="5"/>
      <c r="G2807" s="5">
        <f>IFERROR(__xludf.DUMMYFUNCTION("""COMPUTED_VALUE"""),1.0)</f>
        <v>1</v>
      </c>
      <c r="H2807" s="5" t="str">
        <f>IFERROR(__xludf.DUMMYFUNCTION("""COMPUTED_VALUE"""),"                            ")</f>
        <v>                            </v>
      </c>
      <c r="I2807" s="6" t="str">
        <f>IFERROR(__xludf.DUMMYFUNCTION("""COMPUTED_VALUE"""),"https://t.me/kafanpooshaneabolfazlezanjan")</f>
        <v>https://t.me/kafanpooshaneabolfazlezanjan</v>
      </c>
      <c r="J2807" s="5"/>
      <c r="K2807" s="5"/>
      <c r="L2807" s="5"/>
      <c r="M2807" s="5"/>
      <c r="N2807" s="5"/>
      <c r="O2807" s="5"/>
      <c r="P2807" s="5"/>
      <c r="Q2807" s="5"/>
      <c r="R2807" s="5"/>
      <c r="S2807" s="5"/>
    </row>
    <row r="2808">
      <c r="A2808" s="5"/>
      <c r="B2808" s="5" t="str">
        <f>IFERROR(__xludf.DUMMYFUNCTION("""COMPUTED_VALUE"""),"حسینیه")</f>
        <v>حسینیه</v>
      </c>
      <c r="C2808" s="5" t="str">
        <f>IFERROR(__xludf.DUMMYFUNCTION("""COMPUTED_VALUE"""),"امام جواد (ع)")</f>
        <v>امام جواد (ع)</v>
      </c>
      <c r="D2808" s="5" t="str">
        <f>IFERROR(__xludf.DUMMYFUNCTION("""COMPUTED_VALUE"""),"زنجان")</f>
        <v>زنجان</v>
      </c>
      <c r="E2808" s="5" t="str">
        <f>IFERROR(__xludf.DUMMYFUNCTION("""COMPUTED_VALUE"""),"زنجان")</f>
        <v>زنجان</v>
      </c>
      <c r="F2808" s="5"/>
      <c r="G2808" s="5"/>
      <c r="H2808" s="6" t="str">
        <f>IFERROR(__xludf.DUMMYFUNCTION("""COMPUTED_VALUE"""),"https://www.instagram.com/h_emamjavad.zn/")</f>
        <v>https://www.instagram.com/h_emamjavad.zn/</v>
      </c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</row>
    <row r="2809">
      <c r="A2809" s="5"/>
      <c r="B2809" s="5" t="str">
        <f>IFERROR(__xludf.DUMMYFUNCTION("""COMPUTED_VALUE"""),"هیأت")</f>
        <v>هیأت</v>
      </c>
      <c r="C2809" s="5" t="str">
        <f>IFERROR(__xludf.DUMMYFUNCTION("""COMPUTED_VALUE"""),"بنت الهدی")</f>
        <v>بنت الهدی</v>
      </c>
      <c r="D2809" s="5" t="str">
        <f>IFERROR(__xludf.DUMMYFUNCTION("""COMPUTED_VALUE"""),"زنجان")</f>
        <v>زنجان</v>
      </c>
      <c r="E2809" s="5" t="str">
        <f>IFERROR(__xludf.DUMMYFUNCTION("""COMPUTED_VALUE"""),"زنجان")</f>
        <v>زنجان</v>
      </c>
      <c r="F2809" s="5"/>
      <c r="G2809" s="5"/>
      <c r="H2809" s="5"/>
      <c r="I2809" s="5"/>
      <c r="J2809" s="6" t="str">
        <f>IFERROR(__xludf.DUMMYFUNCTION("""COMPUTED_VALUE"""),"https://eitaa.com/bentolhoda_znj")</f>
        <v>https://eitaa.com/bentolhoda_znj</v>
      </c>
      <c r="K2809" s="5"/>
      <c r="L2809" s="5"/>
      <c r="M2809" s="5"/>
      <c r="N2809" s="5"/>
      <c r="O2809" s="5"/>
      <c r="P2809" s="5"/>
      <c r="Q2809" s="5"/>
      <c r="R2809" s="5"/>
      <c r="S2809" s="5"/>
    </row>
    <row r="2810">
      <c r="A2810" s="5"/>
      <c r="B2810" s="5" t="str">
        <f>IFERROR(__xludf.DUMMYFUNCTION("""COMPUTED_VALUE"""),"هیأت")</f>
        <v>هیأت</v>
      </c>
      <c r="C2810" s="5" t="str">
        <f>IFERROR(__xludf.DUMMYFUNCTION("""COMPUTED_VALUE"""),"ریحانه النبی (س)")</f>
        <v>ریحانه النبی (س)</v>
      </c>
      <c r="D2810" s="5" t="str">
        <f>IFERROR(__xludf.DUMMYFUNCTION("""COMPUTED_VALUE"""),"زنجان")</f>
        <v>زنجان</v>
      </c>
      <c r="E2810" s="5" t="str">
        <f>IFERROR(__xludf.DUMMYFUNCTION("""COMPUTED_VALUE"""),"خدابنده")</f>
        <v>خدابنده</v>
      </c>
      <c r="F2810" s="5"/>
      <c r="G2810" s="5"/>
      <c r="H2810" s="6" t="str">
        <f>IFERROR(__xludf.DUMMYFUNCTION("""COMPUTED_VALUE"""),"https://www.instagram.com/reyhane_nabi98/")</f>
        <v>https://www.instagram.com/reyhane_nabi98/</v>
      </c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</row>
    <row r="2811">
      <c r="A2811" s="5"/>
      <c r="B2811" s="5" t="str">
        <f>IFERROR(__xludf.DUMMYFUNCTION("""COMPUTED_VALUE"""),"هیأت")</f>
        <v>هیأت</v>
      </c>
      <c r="C2811" s="5" t="str">
        <f>IFERROR(__xludf.DUMMYFUNCTION("""COMPUTED_VALUE"""),"محبان حضرت رقیه (س)")</f>
        <v>محبان حضرت رقیه (س)</v>
      </c>
      <c r="D2811" s="5" t="str">
        <f>IFERROR(__xludf.DUMMYFUNCTION("""COMPUTED_VALUE"""),"زنجان")</f>
        <v>زنجان</v>
      </c>
      <c r="E2811" s="5" t="str">
        <f>IFERROR(__xludf.DUMMYFUNCTION("""COMPUTED_VALUE"""),"زنجان")</f>
        <v>زنجان</v>
      </c>
      <c r="F2811" s="5"/>
      <c r="G2811" s="5"/>
      <c r="H2811" s="6" t="str">
        <f>IFERROR(__xludf.DUMMYFUNCTION("""COMPUTED_VALUE"""),"https://www.instagram.com/mohebanroghayeh/")</f>
        <v>https://www.instagram.com/mohebanroghayeh/</v>
      </c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</row>
    <row r="2812">
      <c r="A2812" s="5"/>
      <c r="B2812" s="5" t="str">
        <f>IFERROR(__xludf.DUMMYFUNCTION("""COMPUTED_VALUE"""),"هیأت")</f>
        <v>هیأت</v>
      </c>
      <c r="C2812" s="5" t="str">
        <f>IFERROR(__xludf.DUMMYFUNCTION("""COMPUTED_VALUE"""),"عاشقان اباصالح المهدی (عج)")</f>
        <v>عاشقان اباصالح المهدی (عج)</v>
      </c>
      <c r="D2812" s="5" t="str">
        <f>IFERROR(__xludf.DUMMYFUNCTION("""COMPUTED_VALUE"""),"زنجان")</f>
        <v>زنجان</v>
      </c>
      <c r="E2812" s="5" t="str">
        <f>IFERROR(__xludf.DUMMYFUNCTION("""COMPUTED_VALUE"""),"زنجان")</f>
        <v>زنجان</v>
      </c>
      <c r="F2812" s="5"/>
      <c r="G2812" s="5"/>
      <c r="H2812" s="6" t="str">
        <f>IFERROR(__xludf.DUMMYFUNCTION("""COMPUTED_VALUE"""),"https://www.instagram.com/ashegan_abasaleh_almahdi/")</f>
        <v>https://www.instagram.com/ashegan_abasaleh_almahdi/</v>
      </c>
      <c r="I2812" s="5"/>
      <c r="J2812" s="6" t="str">
        <f>IFERROR(__xludf.DUMMYFUNCTION("""COMPUTED_VALUE"""),"rubika.ir/ashegan_abasaleh_almahdi")</f>
        <v>rubika.ir/ashegan_abasaleh_almahdi</v>
      </c>
      <c r="K2812" s="5"/>
      <c r="L2812" s="5"/>
      <c r="M2812" s="5"/>
      <c r="N2812" s="5"/>
      <c r="O2812" s="5"/>
      <c r="P2812" s="5"/>
      <c r="Q2812" s="5"/>
      <c r="R2812" s="5"/>
      <c r="S2812" s="5"/>
    </row>
    <row r="2813">
      <c r="A2813" s="5"/>
      <c r="B2813" s="5" t="str">
        <f>IFERROR(__xludf.DUMMYFUNCTION("""COMPUTED_VALUE"""),"هیأت")</f>
        <v>هیأت</v>
      </c>
      <c r="C2813" s="5" t="str">
        <f>IFERROR(__xludf.DUMMYFUNCTION("""COMPUTED_VALUE"""),"کانون گلهای بهشتی")</f>
        <v>کانون گلهای بهشتی</v>
      </c>
      <c r="D2813" s="5" t="str">
        <f>IFERROR(__xludf.DUMMYFUNCTION("""COMPUTED_VALUE"""),"زنجان")</f>
        <v>زنجان</v>
      </c>
      <c r="E2813" s="5" t="str">
        <f>IFERROR(__xludf.DUMMYFUNCTION("""COMPUTED_VALUE"""),"زنجان")</f>
        <v>زنجان</v>
      </c>
      <c r="F2813" s="5"/>
      <c r="G2813" s="5">
        <f>IFERROR(__xludf.DUMMYFUNCTION("""COMPUTED_VALUE"""),1.0)</f>
        <v>1</v>
      </c>
      <c r="H2813" s="6" t="str">
        <f>IFERROR(__xludf.DUMMYFUNCTION("""COMPUTED_VALUE"""),"https://www.instagram.com/kanone.golhaye.beheshti/")</f>
        <v>https://www.instagram.com/kanone.golhaye.beheshti/</v>
      </c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</row>
    <row r="2814">
      <c r="A2814" s="5"/>
      <c r="B2814" s="5" t="str">
        <f>IFERROR(__xludf.DUMMYFUNCTION("""COMPUTED_VALUE"""),"هیأت")</f>
        <v>هیأت</v>
      </c>
      <c r="C2814" s="5" t="str">
        <f>IFERROR(__xludf.DUMMYFUNCTION("""COMPUTED_VALUE"""),"جامعه القران الکریم و اهل البیت (ع)")</f>
        <v>جامعه القران الکریم و اهل البیت (ع)</v>
      </c>
      <c r="D2814" s="5" t="str">
        <f>IFERROR(__xludf.DUMMYFUNCTION("""COMPUTED_VALUE"""),"زنجان")</f>
        <v>زنجان</v>
      </c>
      <c r="E2814" s="5" t="str">
        <f>IFERROR(__xludf.DUMMYFUNCTION("""COMPUTED_VALUE"""),"زنجان")</f>
        <v>زنجان</v>
      </c>
      <c r="F2814" s="5"/>
      <c r="G2814" s="5">
        <f>IFERROR(__xludf.DUMMYFUNCTION("""COMPUTED_VALUE"""),1.0)</f>
        <v>1</v>
      </c>
      <c r="H2814" s="6" t="str">
        <f>IFERROR(__xludf.DUMMYFUNCTION("""COMPUTED_VALUE"""),"https://www.instagram.com/jameatolghoraan.zanjan/")</f>
        <v>https://www.instagram.com/jameatolghoraan.zanjan/</v>
      </c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</row>
    <row r="2815">
      <c r="A2815" s="5"/>
      <c r="B2815" s="5" t="str">
        <f>IFERROR(__xludf.DUMMYFUNCTION("""COMPUTED_VALUE"""),"هیأت")</f>
        <v>هیأت</v>
      </c>
      <c r="C2815" s="5" t="str">
        <f>IFERROR(__xludf.DUMMYFUNCTION("""COMPUTED_VALUE"""),"ام الائمه (ع)")</f>
        <v>ام الائمه (ع)</v>
      </c>
      <c r="D2815" s="5" t="str">
        <f>IFERROR(__xludf.DUMMYFUNCTION("""COMPUTED_VALUE"""),"زنجان")</f>
        <v>زنجان</v>
      </c>
      <c r="E2815" s="5" t="str">
        <f>IFERROR(__xludf.DUMMYFUNCTION("""COMPUTED_VALUE"""),"زنجان")</f>
        <v>زنجان</v>
      </c>
      <c r="F2815" s="5"/>
      <c r="G2815" s="5"/>
      <c r="H2815" s="6" t="str">
        <f>IFERROR(__xludf.DUMMYFUNCTION("""COMPUTED_VALUE"""),"https://www.instagram.com/_ommolaeme_zanjan_/")</f>
        <v>https://www.instagram.com/_ommolaeme_zanjan_/</v>
      </c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</row>
    <row r="2816">
      <c r="A2816" s="5"/>
      <c r="B2816" s="5" t="str">
        <f>IFERROR(__xludf.DUMMYFUNCTION("""COMPUTED_VALUE"""),"حسینیه")</f>
        <v>حسینیه</v>
      </c>
      <c r="C2816" s="5" t="str">
        <f>IFERROR(__xludf.DUMMYFUNCTION("""COMPUTED_VALUE"""),"اعظم")</f>
        <v>اعظم</v>
      </c>
      <c r="D2816" s="5" t="str">
        <f>IFERROR(__xludf.DUMMYFUNCTION("""COMPUTED_VALUE"""),"زنجان")</f>
        <v>زنجان</v>
      </c>
      <c r="E2816" s="5" t="str">
        <f>IFERROR(__xludf.DUMMYFUNCTION("""COMPUTED_VALUE"""),"زنجان")</f>
        <v>زنجان</v>
      </c>
      <c r="F2816" s="5"/>
      <c r="G2816" s="5"/>
      <c r="H2816" s="6" t="str">
        <f>IFERROR(__xludf.DUMMYFUNCTION("""COMPUTED_VALUE"""),"https://www.instagram.com/official.haz.ir/")</f>
        <v>https://www.instagram.com/official.haz.ir/</v>
      </c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</row>
    <row r="2817">
      <c r="A2817" s="5"/>
      <c r="B2817" s="5" t="str">
        <f>IFERROR(__xludf.DUMMYFUNCTION("""COMPUTED_VALUE"""),"هیأت")</f>
        <v>هیأت</v>
      </c>
      <c r="C2817" s="5" t="str">
        <f>IFERROR(__xludf.DUMMYFUNCTION("""COMPUTED_VALUE"""),"مکتب الزینب (س)")</f>
        <v>مکتب الزینب (س)</v>
      </c>
      <c r="D2817" s="5" t="str">
        <f>IFERROR(__xludf.DUMMYFUNCTION("""COMPUTED_VALUE"""),"زنجان")</f>
        <v>زنجان</v>
      </c>
      <c r="E2817" s="5" t="str">
        <f>IFERROR(__xludf.DUMMYFUNCTION("""COMPUTED_VALUE"""),"زنجان")</f>
        <v>زنجان</v>
      </c>
      <c r="F2817" s="5"/>
      <c r="G2817" s="5">
        <f>IFERROR(__xludf.DUMMYFUNCTION("""COMPUTED_VALUE"""),1.0)</f>
        <v>1</v>
      </c>
      <c r="H2817" s="6" t="str">
        <f>IFERROR(__xludf.DUMMYFUNCTION("""COMPUTED_VALUE"""),"https://www.instagram.com/heyat_maktabozeynabdandi1/")</f>
        <v>https://www.instagram.com/heyat_maktabozeynabdandi1/</v>
      </c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</row>
    <row r="2818">
      <c r="A2818" s="5"/>
      <c r="B2818" s="5" t="str">
        <f>IFERROR(__xludf.DUMMYFUNCTION("""COMPUTED_VALUE"""),"هیأت")</f>
        <v>هیأت</v>
      </c>
      <c r="C2818" s="5" t="str">
        <f>IFERROR(__xludf.DUMMYFUNCTION("""COMPUTED_VALUE"""),"منتظران منجی")</f>
        <v>منتظران منجی</v>
      </c>
      <c r="D2818" s="5" t="str">
        <f>IFERROR(__xludf.DUMMYFUNCTION("""COMPUTED_VALUE"""),"زنجان")</f>
        <v>زنجان</v>
      </c>
      <c r="E2818" s="5" t="str">
        <f>IFERROR(__xludf.DUMMYFUNCTION("""COMPUTED_VALUE"""),"زنجان")</f>
        <v>زنجان</v>
      </c>
      <c r="F2818" s="5"/>
      <c r="G2818" s="5"/>
      <c r="H2818" s="6" t="str">
        <f>IFERROR(__xludf.DUMMYFUNCTION("""COMPUTED_VALUE"""),"https://www.instagram.com/montazeranmonji_zanjan/")</f>
        <v>https://www.instagram.com/montazeranmonji_zanjan/</v>
      </c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</row>
    <row r="2819">
      <c r="A2819" s="5"/>
      <c r="B2819" s="5" t="str">
        <f>IFERROR(__xludf.DUMMYFUNCTION("""COMPUTED_VALUE"""),"هیأت")</f>
        <v>هیأت</v>
      </c>
      <c r="C2819" s="5" t="str">
        <f>IFERROR(__xludf.DUMMYFUNCTION("""COMPUTED_VALUE"""),"جوانان حضرت ابوالفضل (ع)")</f>
        <v>جوانان حضرت ابوالفضل (ع)</v>
      </c>
      <c r="D2819" s="5" t="str">
        <f>IFERROR(__xludf.DUMMYFUNCTION("""COMPUTED_VALUE"""),"زنجان")</f>
        <v>زنجان</v>
      </c>
      <c r="E2819" s="5" t="str">
        <f>IFERROR(__xludf.DUMMYFUNCTION("""COMPUTED_VALUE"""),"زنجان")</f>
        <v>زنجان</v>
      </c>
      <c r="F2819" s="5"/>
      <c r="G2819" s="5"/>
      <c r="H2819" s="6" t="str">
        <f>IFERROR(__xludf.DUMMYFUNCTION("""COMPUTED_VALUE"""),"https://www.instagram.com/heiathazratabolfazl1446/")</f>
        <v>https://www.instagram.com/heiathazratabolfazl1446/</v>
      </c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</row>
    <row r="2820">
      <c r="A2820" s="5"/>
      <c r="B2820" s="5" t="str">
        <f>IFERROR(__xludf.DUMMYFUNCTION("""COMPUTED_VALUE"""),"هیأت")</f>
        <v>هیأت</v>
      </c>
      <c r="C2820" s="5" t="str">
        <f>IFERROR(__xludf.DUMMYFUNCTION("""COMPUTED_VALUE"""),"مکتب الزهرا (س)")</f>
        <v>مکتب الزهرا (س)</v>
      </c>
      <c r="D2820" s="5" t="str">
        <f>IFERROR(__xludf.DUMMYFUNCTION("""COMPUTED_VALUE"""),"زنجان")</f>
        <v>زنجان</v>
      </c>
      <c r="E2820" s="5" t="str">
        <f>IFERROR(__xludf.DUMMYFUNCTION("""COMPUTED_VALUE"""),"زنجان")</f>
        <v>زنجان</v>
      </c>
      <c r="F2820" s="5"/>
      <c r="G2820" s="5"/>
      <c r="H2820" s="6" t="str">
        <f>IFERROR(__xludf.DUMMYFUNCTION("""COMPUTED_VALUE"""),"https://www.instagram.com/maktabolzahra_ir/")</f>
        <v>https://www.instagram.com/maktabolzahra_ir/</v>
      </c>
      <c r="I2820" s="6" t="str">
        <f>IFERROR(__xludf.DUMMYFUNCTION("""COMPUTED_VALUE"""),"t.me/maktabolzahra_ir")</f>
        <v>t.me/maktabolzahra_ir</v>
      </c>
      <c r="J2820" s="5"/>
      <c r="K2820" s="5"/>
      <c r="L2820" s="5"/>
      <c r="M2820" s="5"/>
      <c r="N2820" s="5"/>
      <c r="O2820" s="5"/>
      <c r="P2820" s="5"/>
      <c r="Q2820" s="5"/>
      <c r="R2820" s="5"/>
      <c r="S2820" s="5"/>
    </row>
    <row r="2821">
      <c r="A2821" s="5"/>
      <c r="B2821" s="5" t="str">
        <f>IFERROR(__xludf.DUMMYFUNCTION("""COMPUTED_VALUE"""),"هیأت")</f>
        <v>هیأت</v>
      </c>
      <c r="C2821" s="5" t="str">
        <f>IFERROR(__xludf.DUMMYFUNCTION("""COMPUTED_VALUE"""),"دانشجویی ")</f>
        <v>دانشجویی </v>
      </c>
      <c r="D2821" s="5" t="str">
        <f>IFERROR(__xludf.DUMMYFUNCTION("""COMPUTED_VALUE"""),"زنجان")</f>
        <v>زنجان</v>
      </c>
      <c r="E2821" s="5" t="str">
        <f>IFERROR(__xludf.DUMMYFUNCTION("""COMPUTED_VALUE"""),"زنجان")</f>
        <v>زنجان</v>
      </c>
      <c r="F2821" s="5" t="str">
        <f>IFERROR(__xludf.DUMMYFUNCTION("""COMPUTED_VALUE"""),"دانشگاه زنجان")</f>
        <v>دانشگاه زنجان</v>
      </c>
      <c r="G2821" s="5"/>
      <c r="H2821" s="6" t="str">
        <f>IFERROR(__xludf.DUMMYFUNCTION("""COMPUTED_VALUE"""),"https://www.instagram.com/znu.farhangi/")</f>
        <v>https://www.instagram.com/znu.farhangi/</v>
      </c>
      <c r="I2821" s="5"/>
      <c r="J2821" s="6" t="str">
        <f>IFERROR(__xludf.DUMMYFUNCTION("""COMPUTED_VALUE"""),"eitaa.com/Znu_farhangi")</f>
        <v>eitaa.com/Znu_farhangi</v>
      </c>
      <c r="K2821" s="5"/>
      <c r="L2821" s="5"/>
      <c r="M2821" s="5"/>
      <c r="N2821" s="5"/>
      <c r="O2821" s="5"/>
      <c r="P2821" s="5"/>
      <c r="Q2821" s="5"/>
      <c r="R2821" s="5"/>
      <c r="S2821" s="5"/>
    </row>
    <row r="2822">
      <c r="A2822" s="5"/>
      <c r="B2822" s="5" t="str">
        <f>IFERROR(__xludf.DUMMYFUNCTION("""COMPUTED_VALUE"""),"هیأت")</f>
        <v>هیأت</v>
      </c>
      <c r="C2822" s="5" t="str">
        <f>IFERROR(__xludf.DUMMYFUNCTION("""COMPUTED_VALUE"""),"بیت العباس علمدار کربلا")</f>
        <v>بیت العباس علمدار کربلا</v>
      </c>
      <c r="D2822" s="5" t="str">
        <f>IFERROR(__xludf.DUMMYFUNCTION("""COMPUTED_VALUE"""),"زنجان")</f>
        <v>زنجان</v>
      </c>
      <c r="E2822" s="5" t="str">
        <f>IFERROR(__xludf.DUMMYFUNCTION("""COMPUTED_VALUE"""),"خدابنده")</f>
        <v>خدابنده</v>
      </c>
      <c r="F2822" s="5"/>
      <c r="G2822" s="5"/>
      <c r="H2822" s="5"/>
      <c r="I2822" s="6" t="str">
        <f>IFERROR(__xludf.DUMMYFUNCTION("""COMPUTED_VALUE"""),"https://t.me/alamdare82")</f>
        <v>https://t.me/alamdare82</v>
      </c>
      <c r="J2822" s="5"/>
      <c r="K2822" s="5"/>
      <c r="L2822" s="5"/>
      <c r="M2822" s="5"/>
      <c r="N2822" s="5"/>
      <c r="O2822" s="5"/>
      <c r="P2822" s="5"/>
      <c r="Q2822" s="5"/>
      <c r="R2822" s="5"/>
      <c r="S2822" s="5"/>
    </row>
    <row r="2823">
      <c r="A2823" s="5"/>
      <c r="B2823" s="5" t="str">
        <f>IFERROR(__xludf.DUMMYFUNCTION("""COMPUTED_VALUE"""),"هیأت")</f>
        <v>هیأت</v>
      </c>
      <c r="C2823" s="5" t="str">
        <f>IFERROR(__xludf.DUMMYFUNCTION("""COMPUTED_VALUE"""),"خیمه سرای حضرت رقیه (س)")</f>
        <v>خیمه سرای حضرت رقیه (س)</v>
      </c>
      <c r="D2823" s="5" t="str">
        <f>IFERROR(__xludf.DUMMYFUNCTION("""COMPUTED_VALUE"""),"زنجان")</f>
        <v>زنجان</v>
      </c>
      <c r="E2823" s="5" t="str">
        <f>IFERROR(__xludf.DUMMYFUNCTION("""COMPUTED_VALUE"""),"زنجان")</f>
        <v>زنجان</v>
      </c>
      <c r="F2823" s="5"/>
      <c r="G2823" s="5"/>
      <c r="H2823" s="5"/>
      <c r="I2823" s="5"/>
      <c r="J2823" s="6" t="str">
        <f>IFERROR(__xludf.DUMMYFUNCTION("""COMPUTED_VALUE"""),"https://eitaa.com/Kheimesarayezanjan")</f>
        <v>https://eitaa.com/Kheimesarayezanjan</v>
      </c>
      <c r="K2823" s="5"/>
      <c r="L2823" s="5"/>
      <c r="M2823" s="5"/>
      <c r="N2823" s="5"/>
      <c r="O2823" s="5"/>
      <c r="P2823" s="5"/>
      <c r="Q2823" s="5"/>
      <c r="R2823" s="5"/>
      <c r="S2823" s="5"/>
    </row>
    <row r="2824">
      <c r="A2824" s="5"/>
      <c r="B2824" s="5" t="str">
        <f>IFERROR(__xludf.DUMMYFUNCTION("""COMPUTED_VALUE"""),"هیأت")</f>
        <v>هیأت</v>
      </c>
      <c r="C2824" s="5" t="str">
        <f>IFERROR(__xludf.DUMMYFUNCTION("""COMPUTED_VALUE"""),"زینبیه اعظم")</f>
        <v>زینبیه اعظم</v>
      </c>
      <c r="D2824" s="5" t="str">
        <f>IFERROR(__xludf.DUMMYFUNCTION("""COMPUTED_VALUE"""),"زنجان")</f>
        <v>زنجان</v>
      </c>
      <c r="E2824" s="5" t="str">
        <f>IFERROR(__xludf.DUMMYFUNCTION("""COMPUTED_VALUE"""),"زنجان")</f>
        <v>زنجان</v>
      </c>
      <c r="F2824" s="5"/>
      <c r="G2824" s="5"/>
      <c r="H2824" s="6" t="str">
        <f>IFERROR(__xludf.DUMMYFUNCTION("""COMPUTED_VALUE"""),"https://www.instagram.com/zaz_ir")</f>
        <v>https://www.instagram.com/zaz_ir</v>
      </c>
      <c r="I2824" s="6" t="str">
        <f>IFERROR(__xludf.DUMMYFUNCTION("""COMPUTED_VALUE"""),"t.me/ZAZ_ir")</f>
        <v>t.me/ZAZ_ir</v>
      </c>
      <c r="J2824" s="6" t="str">
        <f>IFERROR(__xludf.DUMMYFUNCTION("""COMPUTED_VALUE"""),"https://eitaa.com/zaz_ir")</f>
        <v>https://eitaa.com/zaz_ir</v>
      </c>
      <c r="K2824" s="5"/>
      <c r="L2824" s="5"/>
      <c r="M2824" s="5"/>
      <c r="N2824" s="5"/>
      <c r="O2824" s="5"/>
      <c r="P2824" s="5"/>
      <c r="Q2824" s="5"/>
      <c r="R2824" s="5"/>
      <c r="S2824" s="5"/>
    </row>
    <row r="2825">
      <c r="A2825" s="5"/>
      <c r="B2825" s="5" t="str">
        <f>IFERROR(__xludf.DUMMYFUNCTION("""COMPUTED_VALUE"""),"هیأت")</f>
        <v>هیأت</v>
      </c>
      <c r="C2825" s="5" t="str">
        <f>IFERROR(__xludf.DUMMYFUNCTION("""COMPUTED_VALUE"""),"قرآنی ولایت")</f>
        <v>قرآنی ولایت</v>
      </c>
      <c r="D2825" s="5" t="str">
        <f>IFERROR(__xludf.DUMMYFUNCTION("""COMPUTED_VALUE"""),"زنجان")</f>
        <v>زنجان</v>
      </c>
      <c r="E2825" s="5" t="str">
        <f>IFERROR(__xludf.DUMMYFUNCTION("""COMPUTED_VALUE"""),"خدابنده")</f>
        <v>خدابنده</v>
      </c>
      <c r="F2825" s="5"/>
      <c r="G2825" s="5"/>
      <c r="H2825" s="5"/>
      <c r="I2825" s="5"/>
      <c r="J2825" s="6" t="str">
        <f>IFERROR(__xludf.DUMMYFUNCTION("""COMPUTED_VALUE"""),"https://eitaa.com/heiat_ghorani_velayat")</f>
        <v>https://eitaa.com/heiat_ghorani_velayat</v>
      </c>
      <c r="K2825" s="5"/>
      <c r="L2825" s="5"/>
      <c r="M2825" s="5"/>
      <c r="N2825" s="5"/>
      <c r="O2825" s="5"/>
      <c r="P2825" s="5"/>
      <c r="Q2825" s="5"/>
      <c r="R2825" s="5"/>
      <c r="S2825" s="5"/>
    </row>
    <row r="2826">
      <c r="A2826" s="5"/>
      <c r="B2826" s="5" t="str">
        <f>IFERROR(__xludf.DUMMYFUNCTION("""COMPUTED_VALUE"""),"موکب")</f>
        <v>موکب</v>
      </c>
      <c r="C2826" s="5" t="str">
        <f>IFERROR(__xludf.DUMMYFUNCTION("""COMPUTED_VALUE"""),"قتیل العبرات")</f>
        <v>قتیل العبرات</v>
      </c>
      <c r="D2826" s="5" t="str">
        <f>IFERROR(__xludf.DUMMYFUNCTION("""COMPUTED_VALUE"""),"زنجان")</f>
        <v>زنجان</v>
      </c>
      <c r="E2826" s="5" t="str">
        <f>IFERROR(__xludf.DUMMYFUNCTION("""COMPUTED_VALUE"""),"زنجان")</f>
        <v>زنجان</v>
      </c>
      <c r="F2826" s="5"/>
      <c r="G2826" s="5"/>
      <c r="H2826" s="6" t="str">
        <f>IFERROR(__xludf.DUMMYFUNCTION("""COMPUTED_VALUE"""),"https://www.instagram.com/g_alabarat/")</f>
        <v>https://www.instagram.com/g_alabarat/</v>
      </c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</row>
    <row r="2827">
      <c r="A2827" s="5"/>
      <c r="B2827" s="5" t="str">
        <f>IFERROR(__xludf.DUMMYFUNCTION("""COMPUTED_VALUE"""),"هیأت")</f>
        <v>هیأت</v>
      </c>
      <c r="C2827" s="5" t="str">
        <f>IFERROR(__xludf.DUMMYFUNCTION("""COMPUTED_VALUE"""),"مکتب القاسم فاطمیه")</f>
        <v>مکتب القاسم فاطمیه</v>
      </c>
      <c r="D2827" s="5" t="str">
        <f>IFERROR(__xludf.DUMMYFUNCTION("""COMPUTED_VALUE"""),"زنجان")</f>
        <v>زنجان</v>
      </c>
      <c r="E2827" s="5" t="str">
        <f>IFERROR(__xludf.DUMMYFUNCTION("""COMPUTED_VALUE"""),"زنجان")</f>
        <v>زنجان</v>
      </c>
      <c r="F2827" s="5"/>
      <c r="G2827" s="5"/>
      <c r="H2827" s="6" t="str">
        <f>IFERROR(__xludf.DUMMYFUNCTION("""COMPUTED_VALUE"""),"https://www.instagram.com/fatemiye.zanjan/")</f>
        <v>https://www.instagram.com/fatemiye.zanjan/</v>
      </c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</row>
    <row r="2828">
      <c r="A2828" s="5"/>
      <c r="B2828" s="5" t="str">
        <f>IFERROR(__xludf.DUMMYFUNCTION("""COMPUTED_VALUE"""),"مسجد ")</f>
        <v>مسجد </v>
      </c>
      <c r="C2828" s="5" t="str">
        <f>IFERROR(__xludf.DUMMYFUNCTION("""COMPUTED_VALUE"""),"حسینیه بی سیم")</f>
        <v>حسینیه بی سیم</v>
      </c>
      <c r="D2828" s="5" t="str">
        <f>IFERROR(__xludf.DUMMYFUNCTION("""COMPUTED_VALUE"""),"زنجان")</f>
        <v>زنجان</v>
      </c>
      <c r="E2828" s="5" t="str">
        <f>IFERROR(__xludf.DUMMYFUNCTION("""COMPUTED_VALUE"""),"زنجان")</f>
        <v>زنجان</v>
      </c>
      <c r="F2828" s="5"/>
      <c r="G2828" s="5"/>
      <c r="H2828" s="5"/>
      <c r="I2828" s="5"/>
      <c r="J2828" s="6" t="str">
        <f>IFERROR(__xludf.DUMMYFUNCTION("""COMPUTED_VALUE"""),"https://eitaa.com/hosiniyehbisim")</f>
        <v>https://eitaa.com/hosiniyehbisim</v>
      </c>
      <c r="K2828" s="5"/>
      <c r="L2828" s="5"/>
      <c r="M2828" s="5"/>
      <c r="N2828" s="5"/>
      <c r="O2828" s="5"/>
      <c r="P2828" s="5"/>
      <c r="Q2828" s="5"/>
      <c r="R2828" s="5"/>
      <c r="S2828" s="5"/>
    </row>
    <row r="2829">
      <c r="A2829" s="5"/>
      <c r="B2829" s="5" t="str">
        <f>IFERROR(__xludf.DUMMYFUNCTION("""COMPUTED_VALUE"""),"هیأت")</f>
        <v>هیأت</v>
      </c>
      <c r="C2829" s="5" t="str">
        <f>IFERROR(__xludf.DUMMYFUNCTION("""COMPUTED_VALUE"""),"اباعبدالله الحسین(ع)")</f>
        <v>اباعبدالله الحسین(ع)</v>
      </c>
      <c r="D2829" s="5" t="str">
        <f>IFERROR(__xludf.DUMMYFUNCTION("""COMPUTED_VALUE"""),"زنجان")</f>
        <v>زنجان</v>
      </c>
      <c r="E2829" s="5" t="str">
        <f>IFERROR(__xludf.DUMMYFUNCTION("""COMPUTED_VALUE"""),"زنجان")</f>
        <v>زنجان</v>
      </c>
      <c r="F2829" s="5"/>
      <c r="G2829" s="5"/>
      <c r="H2829" s="6" t="str">
        <f>IFERROR(__xludf.DUMMYFUNCTION("""COMPUTED_VALUE"""),"https://www.instagram.com/abaabdelah.zanjan/")</f>
        <v>https://www.instagram.com/abaabdelah.zanjan/</v>
      </c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</row>
    <row r="2830">
      <c r="A2830" s="5"/>
      <c r="B2830" s="5" t="str">
        <f>IFERROR(__xludf.DUMMYFUNCTION("""COMPUTED_VALUE"""),"هیأت")</f>
        <v>هیأت</v>
      </c>
      <c r="C2830" s="5" t="str">
        <f>IFERROR(__xludf.DUMMYFUNCTION("""COMPUTED_VALUE"""),"فاطمیون")</f>
        <v>فاطمیون</v>
      </c>
      <c r="D2830" s="5" t="str">
        <f>IFERROR(__xludf.DUMMYFUNCTION("""COMPUTED_VALUE"""),"زنجان")</f>
        <v>زنجان</v>
      </c>
      <c r="E2830" s="5" t="str">
        <f>IFERROR(__xludf.DUMMYFUNCTION("""COMPUTED_VALUE"""),"زنجان")</f>
        <v>زنجان</v>
      </c>
      <c r="F2830" s="5" t="str">
        <f>IFERROR(__xludf.DUMMYFUNCTION("""COMPUTED_VALUE""")," دانشگاه علوم پزشکی زنجان (دانشجویی)")</f>
        <v> دانشگاه علوم پزشکی زنجان (دانشجویی)</v>
      </c>
      <c r="G2830" s="5"/>
      <c r="H2830" s="5"/>
      <c r="I2830" s="6" t="str">
        <f>IFERROR(__xludf.DUMMYFUNCTION("""COMPUTED_VALUE"""),"https://t.me/fatemiyonzums")</f>
        <v>https://t.me/fatemiyonzums</v>
      </c>
      <c r="J2830" s="5"/>
      <c r="K2830" s="5"/>
      <c r="L2830" s="5"/>
      <c r="M2830" s="5"/>
      <c r="N2830" s="5"/>
      <c r="O2830" s="5"/>
      <c r="P2830" s="5"/>
      <c r="Q2830" s="5"/>
      <c r="R2830" s="5"/>
      <c r="S2830" s="5"/>
    </row>
    <row r="2831">
      <c r="A2831" s="5"/>
      <c r="B2831" s="5" t="str">
        <f>IFERROR(__xludf.DUMMYFUNCTION("""COMPUTED_VALUE"""),"مسجد")</f>
        <v>مسجد</v>
      </c>
      <c r="C2831" s="5" t="str">
        <f>IFERROR(__xludf.DUMMYFUNCTION("""COMPUTED_VALUE"""),"خاتم الانبیا (ص)")</f>
        <v>خاتم الانبیا (ص)</v>
      </c>
      <c r="D2831" s="5" t="str">
        <f>IFERROR(__xludf.DUMMYFUNCTION("""COMPUTED_VALUE"""),"زنجان")</f>
        <v>زنجان</v>
      </c>
      <c r="E2831" s="5" t="str">
        <f>IFERROR(__xludf.DUMMYFUNCTION("""COMPUTED_VALUE"""),"ابهر")</f>
        <v>ابهر</v>
      </c>
      <c r="F2831" s="5"/>
      <c r="G2831" s="5"/>
      <c r="H2831" s="6" t="str">
        <f>IFERROR(__xludf.DUMMYFUNCTION("""COMPUTED_VALUE"""),"https://www.instagram.com/m_khatam_alanbiyaa/")</f>
        <v>https://www.instagram.com/m_khatam_alanbiyaa/</v>
      </c>
      <c r="I2831" s="6" t="str">
        <f>IFERROR(__xludf.DUMMYFUNCTION("""COMPUTED_VALUE"""),"t.me/m_khatam_alanbiyaa")</f>
        <v>t.me/m_khatam_alanbiyaa</v>
      </c>
      <c r="J2831" s="5"/>
      <c r="K2831" s="5"/>
      <c r="L2831" s="5"/>
      <c r="M2831" s="5"/>
      <c r="N2831" s="5"/>
      <c r="O2831" s="5"/>
      <c r="P2831" s="5"/>
      <c r="Q2831" s="5"/>
      <c r="R2831" s="5"/>
      <c r="S2831" s="5"/>
    </row>
    <row r="2832">
      <c r="A2832" s="5"/>
      <c r="B2832" s="5" t="str">
        <f>IFERROR(__xludf.DUMMYFUNCTION("""COMPUTED_VALUE"""),"هیأت")</f>
        <v>هیأت</v>
      </c>
      <c r="C2832" s="5" t="str">
        <f>IFERROR(__xludf.DUMMYFUNCTION("""COMPUTED_VALUE"""),"فاطمیون")</f>
        <v>فاطمیون</v>
      </c>
      <c r="D2832" s="5" t="str">
        <f>IFERROR(__xludf.DUMMYFUNCTION("""COMPUTED_VALUE"""),"زنجان")</f>
        <v>زنجان</v>
      </c>
      <c r="E2832" s="5" t="str">
        <f>IFERROR(__xludf.DUMMYFUNCTION("""COMPUTED_VALUE"""),"طارم")</f>
        <v>طارم</v>
      </c>
      <c r="F2832" s="5"/>
      <c r="G2832" s="5"/>
      <c r="H2832" s="5"/>
      <c r="I2832" s="5"/>
      <c r="J2832" s="6" t="str">
        <f>IFERROR(__xludf.DUMMYFUNCTION("""COMPUTED_VALUE"""),"https://eitaa.com/seshanbemahdavitarom")</f>
        <v>https://eitaa.com/seshanbemahdavitarom</v>
      </c>
      <c r="K2832" s="5"/>
      <c r="L2832" s="5"/>
      <c r="M2832" s="5"/>
      <c r="N2832" s="5"/>
      <c r="O2832" s="5"/>
      <c r="P2832" s="5"/>
      <c r="Q2832" s="5"/>
      <c r="R2832" s="5"/>
      <c r="S2832" s="5"/>
    </row>
    <row r="2833">
      <c r="A2833" s="5"/>
      <c r="B2833" s="5" t="str">
        <f>IFERROR(__xludf.DUMMYFUNCTION("""COMPUTED_VALUE"""),"هیأت")</f>
        <v>هیأت</v>
      </c>
      <c r="C2833" s="5" t="str">
        <f>IFERROR(__xludf.DUMMYFUNCTION("""COMPUTED_VALUE"""),"مکتب الحسین(ع)")</f>
        <v>مکتب الحسین(ع)</v>
      </c>
      <c r="D2833" s="5" t="str">
        <f>IFERROR(__xludf.DUMMYFUNCTION("""COMPUTED_VALUE"""),"زنجان")</f>
        <v>زنجان</v>
      </c>
      <c r="E2833" s="5" t="str">
        <f>IFERROR(__xludf.DUMMYFUNCTION("""COMPUTED_VALUE"""),"زنجان")</f>
        <v>زنجان</v>
      </c>
      <c r="F2833" s="5"/>
      <c r="G2833" s="5"/>
      <c r="H2833" s="6" t="str">
        <f>IFERROR(__xludf.DUMMYFUNCTION("""COMPUTED_VALUE"""),"https://www.instagram.com/maktabolhosein_zanjan/")</f>
        <v>https://www.instagram.com/maktabolhosein_zanjan/</v>
      </c>
      <c r="I2833" s="6" t="str">
        <f>IFERROR(__xludf.DUMMYFUNCTION("""COMPUTED_VALUE"""),"t.me/maktab_alhosein_zanjan")</f>
        <v>t.me/maktab_alhosein_zanjan</v>
      </c>
      <c r="J2833" s="5"/>
      <c r="K2833" s="5"/>
      <c r="L2833" s="5"/>
      <c r="M2833" s="5"/>
      <c r="N2833" s="5"/>
      <c r="O2833" s="5"/>
      <c r="P2833" s="5"/>
      <c r="Q2833" s="5"/>
      <c r="R2833" s="5"/>
      <c r="S2833" s="5"/>
    </row>
    <row r="2834">
      <c r="A2834" s="5"/>
      <c r="B2834" s="5" t="str">
        <f>IFERROR(__xludf.DUMMYFUNCTION("""COMPUTED_VALUE"""),"مسجد")</f>
        <v>مسجد</v>
      </c>
      <c r="C2834" s="5" t="str">
        <f>IFERROR(__xludf.DUMMYFUNCTION("""COMPUTED_VALUE"""),"حضرت ابوالفضل (ع)")</f>
        <v>حضرت ابوالفضل (ع)</v>
      </c>
      <c r="D2834" s="5" t="str">
        <f>IFERROR(__xludf.DUMMYFUNCTION("""COMPUTED_VALUE"""),"زنجان")</f>
        <v>زنجان</v>
      </c>
      <c r="E2834" s="5" t="str">
        <f>IFERROR(__xludf.DUMMYFUNCTION("""COMPUTED_VALUE"""),"زنجان")</f>
        <v>زنجان</v>
      </c>
      <c r="F2834" s="5"/>
      <c r="G2834" s="5"/>
      <c r="H2834" s="6" t="str">
        <f>IFERROR(__xludf.DUMMYFUNCTION("""COMPUTED_VALUE"""),"https://www.instagram.com/maha_zn.ir/")</f>
        <v>https://www.instagram.com/maha_zn.ir/</v>
      </c>
      <c r="I2834" s="6" t="str">
        <f>IFERROR(__xludf.DUMMYFUNCTION("""COMPUTED_VALUE"""),"https://t.me/mahazanjan1360")</f>
        <v>https://t.me/mahazanjan1360</v>
      </c>
      <c r="J2834" s="5"/>
      <c r="K2834" s="5"/>
      <c r="L2834" s="5"/>
      <c r="M2834" s="5"/>
      <c r="N2834" s="5"/>
      <c r="O2834" s="5"/>
      <c r="P2834" s="5"/>
      <c r="Q2834" s="5"/>
      <c r="R2834" s="5"/>
      <c r="S2834" s="5"/>
    </row>
    <row r="2835">
      <c r="A2835" s="5"/>
      <c r="B2835" s="5" t="str">
        <f>IFERROR(__xludf.DUMMYFUNCTION("""COMPUTED_VALUE"""),"هیأت")</f>
        <v>هیأت</v>
      </c>
      <c r="C2835" s="5" t="str">
        <f>IFERROR(__xludf.DUMMYFUNCTION("""COMPUTED_VALUE"""),"دفتر آیت الله حسینی")</f>
        <v>دفتر آیت الله حسینی</v>
      </c>
      <c r="D2835" s="5" t="str">
        <f>IFERROR(__xludf.DUMMYFUNCTION("""COMPUTED_VALUE"""),"زنجان")</f>
        <v>زنجان</v>
      </c>
      <c r="E2835" s="5" t="str">
        <f>IFERROR(__xludf.DUMMYFUNCTION("""COMPUTED_VALUE"""),"زنجان")</f>
        <v>زنجان</v>
      </c>
      <c r="F2835" s="5"/>
      <c r="G2835" s="5"/>
      <c r="H2835" s="6" t="str">
        <f>IFERROR(__xludf.DUMMYFUNCTION("""COMPUTED_VALUE"""),"https://www.instagram.com/ayatollahzanjani/")</f>
        <v>https://www.instagram.com/ayatollahzanjani/</v>
      </c>
      <c r="I2835" s="6" t="str">
        <f>IFERROR(__xludf.DUMMYFUNCTION("""COMPUTED_VALUE"""),"t.me/Alzanjani")</f>
        <v>t.me/Alzanjani</v>
      </c>
      <c r="J2835" s="5"/>
      <c r="K2835" s="5"/>
      <c r="L2835" s="5"/>
      <c r="M2835" s="5"/>
      <c r="N2835" s="5"/>
      <c r="O2835" s="5"/>
      <c r="P2835" s="5"/>
      <c r="Q2835" s="5"/>
      <c r="R2835" s="5"/>
      <c r="S2835" s="5"/>
    </row>
    <row r="2836">
      <c r="A2836" s="5"/>
      <c r="B2836" s="5" t="str">
        <f>IFERROR(__xludf.DUMMYFUNCTION("""COMPUTED_VALUE"""),"هیأت")</f>
        <v>هیأت</v>
      </c>
      <c r="C2836" s="5" t="str">
        <f>IFERROR(__xludf.DUMMYFUNCTION("""COMPUTED_VALUE"""),"مکتب الصادق(ع)")</f>
        <v>مکتب الصادق(ع)</v>
      </c>
      <c r="D2836" s="5" t="str">
        <f>IFERROR(__xludf.DUMMYFUNCTION("""COMPUTED_VALUE"""),"زنجان")</f>
        <v>زنجان</v>
      </c>
      <c r="E2836" s="5" t="str">
        <f>IFERROR(__xludf.DUMMYFUNCTION("""COMPUTED_VALUE"""),"خرمدره")</f>
        <v>خرمدره</v>
      </c>
      <c r="F2836" s="5"/>
      <c r="G2836" s="5"/>
      <c r="H2836" s="6" t="str">
        <f>IFERROR(__xludf.DUMMYFUNCTION("""COMPUTED_VALUE"""),"https://www.instagram.com/molaghatekhoda/")</f>
        <v>https://www.instagram.com/molaghatekhoda/</v>
      </c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</row>
    <row r="2837">
      <c r="A2837" s="5"/>
      <c r="B2837" s="5" t="str">
        <f>IFERROR(__xludf.DUMMYFUNCTION("""COMPUTED_VALUE"""),"هیأت")</f>
        <v>هیأت</v>
      </c>
      <c r="C2837" s="5" t="str">
        <f>IFERROR(__xludf.DUMMYFUNCTION("""COMPUTED_VALUE"""),"ایثار")</f>
        <v>ایثار</v>
      </c>
      <c r="D2837" s="5" t="str">
        <f>IFERROR(__xludf.DUMMYFUNCTION("""COMPUTED_VALUE"""),"زنجان")</f>
        <v>زنجان</v>
      </c>
      <c r="E2837" s="5" t="str">
        <f>IFERROR(__xludf.DUMMYFUNCTION("""COMPUTED_VALUE"""),"زنجان")</f>
        <v>زنجان</v>
      </c>
      <c r="F2837" s="5"/>
      <c r="G2837" s="5"/>
      <c r="H2837" s="5"/>
      <c r="I2837" s="5"/>
      <c r="J2837" s="6" t="str">
        <f>IFERROR(__xludf.DUMMYFUNCTION("""COMPUTED_VALUE"""),"https://eitaa.com/isaar_zanjan")</f>
        <v>https://eitaa.com/isaar_zanjan</v>
      </c>
      <c r="K2837" s="5"/>
      <c r="L2837" s="5"/>
      <c r="M2837" s="5"/>
      <c r="N2837" s="5"/>
      <c r="O2837" s="5"/>
      <c r="P2837" s="5"/>
      <c r="Q2837" s="5"/>
      <c r="R2837" s="5"/>
      <c r="S2837" s="5"/>
    </row>
    <row r="2838">
      <c r="A2838" s="5"/>
      <c r="B2838" s="5" t="str">
        <f>IFERROR(__xludf.DUMMYFUNCTION("""COMPUTED_VALUE"""),"هیأت")</f>
        <v>هیأت</v>
      </c>
      <c r="C2838" s="5" t="str">
        <f>IFERROR(__xludf.DUMMYFUNCTION("""COMPUTED_VALUE"""),"فدائیان حضرت رقیه (س)")</f>
        <v>فدائیان حضرت رقیه (س)</v>
      </c>
      <c r="D2838" s="5" t="str">
        <f>IFERROR(__xludf.DUMMYFUNCTION("""COMPUTED_VALUE"""),"زنجان")</f>
        <v>زنجان</v>
      </c>
      <c r="E2838" s="5" t="str">
        <f>IFERROR(__xludf.DUMMYFUNCTION("""COMPUTED_VALUE"""),"زنجان")</f>
        <v>زنجان</v>
      </c>
      <c r="F2838" s="5"/>
      <c r="G2838" s="5"/>
      <c r="H2838" s="6" t="str">
        <f>IFERROR(__xludf.DUMMYFUNCTION("""COMPUTED_VALUE"""),"https://www.instagram.com/fadaeyan_hazrat_roghaye_znj/")</f>
        <v>https://www.instagram.com/fadaeyan_hazrat_roghaye_znj/</v>
      </c>
      <c r="I2838" s="6" t="str">
        <f>IFERROR(__xludf.DUMMYFUNCTION("""COMPUTED_VALUE"""),"t.me/zooljanah")</f>
        <v>t.me/zooljanah</v>
      </c>
      <c r="J2838" s="5"/>
      <c r="K2838" s="5"/>
      <c r="L2838" s="5"/>
      <c r="M2838" s="5"/>
      <c r="N2838" s="5"/>
      <c r="O2838" s="5"/>
      <c r="P2838" s="5"/>
      <c r="Q2838" s="5"/>
      <c r="R2838" s="5"/>
      <c r="S2838" s="5"/>
    </row>
    <row r="2839">
      <c r="A2839" s="5"/>
      <c r="B2839" s="5" t="str">
        <f>IFERROR(__xludf.DUMMYFUNCTION("""COMPUTED_VALUE"""),"هیأت")</f>
        <v>هیأت</v>
      </c>
      <c r="C2839" s="5" t="str">
        <f>IFERROR(__xludf.DUMMYFUNCTION("""COMPUTED_VALUE"""),"منتظران ظهور")</f>
        <v>منتظران ظهور</v>
      </c>
      <c r="D2839" s="5" t="str">
        <f>IFERROR(__xludf.DUMMYFUNCTION("""COMPUTED_VALUE"""),"زنجان")</f>
        <v>زنجان</v>
      </c>
      <c r="E2839" s="5" t="str">
        <f>IFERROR(__xludf.DUMMYFUNCTION("""COMPUTED_VALUE"""),"زنجان")</f>
        <v>زنجان</v>
      </c>
      <c r="F2839" s="5"/>
      <c r="G2839" s="5"/>
      <c r="H2839" s="6" t="str">
        <f>IFERROR(__xludf.DUMMYFUNCTION("""COMPUTED_VALUE"""),"https://www.instagram.com/zohoor_znj/")</f>
        <v>https://www.instagram.com/zohoor_znj/</v>
      </c>
      <c r="I2839" s="6" t="str">
        <f>IFERROR(__xludf.DUMMYFUNCTION("""COMPUTED_VALUE"""),"t.me/zoohoor_zn")</f>
        <v>t.me/zoohoor_zn</v>
      </c>
      <c r="J2839" s="5"/>
      <c r="K2839" s="5"/>
      <c r="L2839" s="5"/>
      <c r="M2839" s="5"/>
      <c r="N2839" s="5"/>
      <c r="O2839" s="5"/>
      <c r="P2839" s="5"/>
      <c r="Q2839" s="5"/>
      <c r="R2839" s="5"/>
      <c r="S2839" s="5"/>
    </row>
    <row r="2840">
      <c r="A2840" s="5"/>
      <c r="B2840" s="5" t="str">
        <f>IFERROR(__xludf.DUMMYFUNCTION("""COMPUTED_VALUE"""),"هیأت")</f>
        <v>هیأت</v>
      </c>
      <c r="C2840" s="5" t="str">
        <f>IFERROR(__xludf.DUMMYFUNCTION("""COMPUTED_VALUE"""),"متوسلین موسی بن جعفر(ع)")</f>
        <v>متوسلین موسی بن جعفر(ع)</v>
      </c>
      <c r="D2840" s="5" t="str">
        <f>IFERROR(__xludf.DUMMYFUNCTION("""COMPUTED_VALUE"""),"زنجان")</f>
        <v>زنجان</v>
      </c>
      <c r="E2840" s="5" t="str">
        <f>IFERROR(__xludf.DUMMYFUNCTION("""COMPUTED_VALUE"""),"زنجان")</f>
        <v>زنجان</v>
      </c>
      <c r="F2840" s="5"/>
      <c r="G2840" s="5"/>
      <c r="H2840" s="6" t="str">
        <f>IFERROR(__xludf.DUMMYFUNCTION("""COMPUTED_VALUE"""),"https://www.instagram.com/mosabnejafarzanjan/")</f>
        <v>https://www.instagram.com/mosabnejafarzanjan/</v>
      </c>
      <c r="I2840" s="6" t="str">
        <f>IFERROR(__xludf.DUMMYFUNCTION("""COMPUTED_VALUE"""),"tlgrm.me/mosabnejafarzanjan")</f>
        <v>tlgrm.me/mosabnejafarzanjan</v>
      </c>
      <c r="J2840" s="5"/>
      <c r="K2840" s="5"/>
      <c r="L2840" s="5"/>
      <c r="M2840" s="5"/>
      <c r="N2840" s="5"/>
      <c r="O2840" s="5"/>
      <c r="P2840" s="5"/>
      <c r="Q2840" s="5"/>
      <c r="R2840" s="5"/>
      <c r="S2840" s="5"/>
    </row>
    <row r="2841">
      <c r="A2841" s="5"/>
      <c r="B2841" s="5" t="str">
        <f>IFERROR(__xludf.DUMMYFUNCTION("""COMPUTED_VALUE"""),"هیأت")</f>
        <v>هیأت</v>
      </c>
      <c r="C2841" s="5" t="str">
        <f>IFERROR(__xludf.DUMMYFUNCTION("""COMPUTED_VALUE"""),"ثامن الائمه")</f>
        <v>ثامن الائمه</v>
      </c>
      <c r="D2841" s="5" t="str">
        <f>IFERROR(__xludf.DUMMYFUNCTION("""COMPUTED_VALUE"""),"زنجان")</f>
        <v>زنجان</v>
      </c>
      <c r="E2841" s="5" t="str">
        <f>IFERROR(__xludf.DUMMYFUNCTION("""COMPUTED_VALUE"""),"زنجان")</f>
        <v>زنجان</v>
      </c>
      <c r="F2841" s="5"/>
      <c r="G2841" s="5">
        <f>IFERROR(__xludf.DUMMYFUNCTION("""COMPUTED_VALUE"""),1.0)</f>
        <v>1</v>
      </c>
      <c r="H2841" s="6" t="str">
        <f>IFERROR(__xludf.DUMMYFUNCTION("""COMPUTED_VALUE"""),"https://www.instagram.com/rahrovanemam1374/")</f>
        <v>https://www.instagram.com/rahrovanemam1374/</v>
      </c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</row>
    <row r="2842">
      <c r="A2842" s="5"/>
      <c r="B2842" s="5" t="str">
        <f>IFERROR(__xludf.DUMMYFUNCTION("""COMPUTED_VALUE"""),"هیأت")</f>
        <v>هیأت</v>
      </c>
      <c r="C2842" s="5" t="str">
        <f>IFERROR(__xludf.DUMMYFUNCTION("""COMPUTED_VALUE"""),"شیفتگان مولا علی(ع)")</f>
        <v>شیفتگان مولا علی(ع)</v>
      </c>
      <c r="D2842" s="5" t="str">
        <f>IFERROR(__xludf.DUMMYFUNCTION("""COMPUTED_VALUE"""),"زنجان")</f>
        <v>زنجان</v>
      </c>
      <c r="E2842" s="5" t="str">
        <f>IFERROR(__xludf.DUMMYFUNCTION("""COMPUTED_VALUE"""),"زنجان")</f>
        <v>زنجان</v>
      </c>
      <c r="F2842" s="5"/>
      <c r="G2842" s="5"/>
      <c r="H2842" s="5"/>
      <c r="I2842" s="6" t="str">
        <f>IFERROR(__xludf.DUMMYFUNCTION("""COMPUTED_VALUE"""),"https://t.me/shifteghan_ali_znj")</f>
        <v>https://t.me/shifteghan_ali_znj</v>
      </c>
      <c r="J2842" s="5"/>
      <c r="K2842" s="5"/>
      <c r="L2842" s="5"/>
      <c r="M2842" s="5"/>
      <c r="N2842" s="5"/>
      <c r="O2842" s="5"/>
      <c r="P2842" s="5"/>
      <c r="Q2842" s="5"/>
      <c r="R2842" s="5"/>
      <c r="S2842" s="5"/>
    </row>
    <row r="2843">
      <c r="A2843" s="5"/>
      <c r="B2843" s="5" t="str">
        <f>IFERROR(__xludf.DUMMYFUNCTION("""COMPUTED_VALUE"""),"هیأت")</f>
        <v>هیأت</v>
      </c>
      <c r="C2843" s="5" t="str">
        <f>IFERROR(__xludf.DUMMYFUNCTION("""COMPUTED_VALUE"""),"عاشقان حضرت رقیه (س)")</f>
        <v>عاشقان حضرت رقیه (س)</v>
      </c>
      <c r="D2843" s="5" t="str">
        <f>IFERROR(__xludf.DUMMYFUNCTION("""COMPUTED_VALUE"""),"زنجان")</f>
        <v>زنجان</v>
      </c>
      <c r="E2843" s="5" t="str">
        <f>IFERROR(__xludf.DUMMYFUNCTION("""COMPUTED_VALUE"""),"زنجان")</f>
        <v>زنجان</v>
      </c>
      <c r="F2843" s="5"/>
      <c r="G2843" s="5"/>
      <c r="H2843" s="6" t="str">
        <f>IFERROR(__xludf.DUMMYFUNCTION("""COMPUTED_VALUE"""),"https://www.instagram.com/asheghan_roghayeh/")</f>
        <v>https://www.instagram.com/asheghan_roghayeh/</v>
      </c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</row>
    <row r="2844">
      <c r="A2844" s="5">
        <f>IFERROR(__xludf.DUMMYFUNCTION("""COMPUTED_VALUE"""),8335.0)</f>
        <v>8335</v>
      </c>
      <c r="B2844" s="5" t="str">
        <f>IFERROR(__xludf.DUMMYFUNCTION("""COMPUTED_VALUE"""),"مداح")</f>
        <v>مداح</v>
      </c>
      <c r="C2844" s="5" t="str">
        <f>IFERROR(__xludf.DUMMYFUNCTION("""COMPUTED_VALUE"""),"حاج مهدی رسولی")</f>
        <v>حاج مهدی رسولی</v>
      </c>
      <c r="D2844" s="5" t="str">
        <f>IFERROR(__xludf.DUMMYFUNCTION("""COMPUTED_VALUE"""),"زنجان")</f>
        <v>زنجان</v>
      </c>
      <c r="E2844" s="5" t="str">
        <f>IFERROR(__xludf.DUMMYFUNCTION("""COMPUTED_VALUE"""),"زنجان")</f>
        <v>زنجان</v>
      </c>
      <c r="F2844" s="5"/>
      <c r="G2844" s="5"/>
      <c r="H2844" s="6" t="str">
        <f>IFERROR(__xludf.DUMMYFUNCTION("""COMPUTED_VALUE"""),"https://www.instagram.com/mahdirasuli_ir")</f>
        <v>https://www.instagram.com/mahdirasuli_ir</v>
      </c>
      <c r="I2844" s="6" t="str">
        <f>IFERROR(__xludf.DUMMYFUNCTION("""COMPUTED_VALUE"""),"https://t.me/mahdirasuli_ir")</f>
        <v>https://t.me/mahdirasuli_ir</v>
      </c>
      <c r="J2844" s="6" t="str">
        <f>IFERROR(__xludf.DUMMYFUNCTION("""COMPUTED_VALUE"""),"https://eitaa.com/mahdirasuli_ir")</f>
        <v>https://eitaa.com/mahdirasuli_ir</v>
      </c>
      <c r="K2844" s="5"/>
      <c r="L2844" s="5"/>
      <c r="M2844" s="5"/>
      <c r="N2844" s="5"/>
      <c r="O2844" s="5"/>
      <c r="P2844" s="5"/>
      <c r="Q2844" s="5"/>
      <c r="R2844" s="5"/>
      <c r="S2844" s="5"/>
    </row>
    <row r="2845">
      <c r="A2845" s="5"/>
      <c r="B2845" s="5" t="str">
        <f>IFERROR(__xludf.DUMMYFUNCTION("""COMPUTED_VALUE"""),"حسینیه")</f>
        <v>حسینیه</v>
      </c>
      <c r="C2845" s="5" t="str">
        <f>IFERROR(__xludf.DUMMYFUNCTION("""COMPUTED_VALUE"""),"معارف انقلاب اسلامی")</f>
        <v>معارف انقلاب اسلامی</v>
      </c>
      <c r="D2845" s="5" t="str">
        <f>IFERROR(__xludf.DUMMYFUNCTION("""COMPUTED_VALUE"""),"زنجان")</f>
        <v>زنجان</v>
      </c>
      <c r="E2845" s="5" t="str">
        <f>IFERROR(__xludf.DUMMYFUNCTION("""COMPUTED_VALUE"""),"زنجان")</f>
        <v>زنجان</v>
      </c>
      <c r="F2845" s="5"/>
      <c r="G2845" s="5"/>
      <c r="H2845" s="5"/>
      <c r="I2845" s="5"/>
      <c r="J2845" s="6" t="str">
        <f>IFERROR(__xludf.DUMMYFUNCTION("""COMPUTED_VALUE"""),"https://eitaa.com/hoseiniehmaaref")</f>
        <v>https://eitaa.com/hoseiniehmaaref</v>
      </c>
      <c r="K2845" s="5"/>
      <c r="L2845" s="5"/>
      <c r="M2845" s="5"/>
      <c r="N2845" s="5"/>
      <c r="O2845" s="5"/>
      <c r="P2845" s="5"/>
      <c r="Q2845" s="5"/>
      <c r="R2845" s="5"/>
      <c r="S2845" s="5"/>
    </row>
    <row r="2846">
      <c r="A2846" s="5">
        <f>IFERROR(__xludf.DUMMYFUNCTION("""COMPUTED_VALUE"""),29317.0)</f>
        <v>29317</v>
      </c>
      <c r="B2846" s="5" t="str">
        <f>IFERROR(__xludf.DUMMYFUNCTION("""COMPUTED_VALUE"""),"هیأت")</f>
        <v>هیأت</v>
      </c>
      <c r="C2846" s="5" t="str">
        <f>IFERROR(__xludf.DUMMYFUNCTION("""COMPUTED_VALUE"""),"امام حسن المجتبی (ع)")</f>
        <v>امام حسن المجتبی (ع)</v>
      </c>
      <c r="D2846" s="5" t="str">
        <f>IFERROR(__xludf.DUMMYFUNCTION("""COMPUTED_VALUE"""),"خوزستان")</f>
        <v>خوزستان</v>
      </c>
      <c r="E2846" s="5" t="str">
        <f>IFERROR(__xludf.DUMMYFUNCTION("""COMPUTED_VALUE"""),"آبادان")</f>
        <v>آبادان</v>
      </c>
      <c r="F2846" s="5"/>
      <c r="G2846" s="5">
        <f>IFERROR(__xludf.DUMMYFUNCTION("""COMPUTED_VALUE"""),1.0)</f>
        <v>1</v>
      </c>
      <c r="H2846" s="6" t="str">
        <f>IFERROR(__xludf.DUMMYFUNCTION("""COMPUTED_VALUE"""),"https://www.instagram.com/emamhasan_ab/")</f>
        <v>https://www.instagram.com/emamhasan_ab/</v>
      </c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</row>
    <row r="2847">
      <c r="A2847" s="5"/>
      <c r="B2847" s="5" t="str">
        <f>IFERROR(__xludf.DUMMYFUNCTION("""COMPUTED_VALUE"""),"هیأت")</f>
        <v>هیأت</v>
      </c>
      <c r="C2847" s="5" t="str">
        <f>IFERROR(__xludf.DUMMYFUNCTION("""COMPUTED_VALUE"""),"باقریون")</f>
        <v>باقریون</v>
      </c>
      <c r="D2847" s="5" t="str">
        <f>IFERROR(__xludf.DUMMYFUNCTION("""COMPUTED_VALUE"""),"خوزستان")</f>
        <v>خوزستان</v>
      </c>
      <c r="E2847" s="5" t="str">
        <f>IFERROR(__xludf.DUMMYFUNCTION("""COMPUTED_VALUE"""),"آبادان")</f>
        <v>آبادان</v>
      </c>
      <c r="F2847" s="5"/>
      <c r="G2847" s="5">
        <f>IFERROR(__xludf.DUMMYFUNCTION("""COMPUTED_VALUE"""),1.0)</f>
        <v>1</v>
      </c>
      <c r="H2847" s="6" t="str">
        <f>IFERROR(__xludf.DUMMYFUNCTION("""COMPUTED_VALUE"""),"https://www.instagram.com/bagheriyon.ir/")</f>
        <v>https://www.instagram.com/bagheriyon.ir/</v>
      </c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</row>
    <row r="2848">
      <c r="A2848" s="5"/>
      <c r="B2848" s="5" t="str">
        <f>IFERROR(__xludf.DUMMYFUNCTION("""COMPUTED_VALUE"""),"حسینیه")</f>
        <v>حسینیه</v>
      </c>
      <c r="C2848" s="5" t="str">
        <f>IFERROR(__xludf.DUMMYFUNCTION("""COMPUTED_VALUE"""),"بوشهری ها")</f>
        <v>بوشهری ها</v>
      </c>
      <c r="D2848" s="5" t="str">
        <f>IFERROR(__xludf.DUMMYFUNCTION("""COMPUTED_VALUE"""),"خوزستان")</f>
        <v>خوزستان</v>
      </c>
      <c r="E2848" s="5" t="str">
        <f>IFERROR(__xludf.DUMMYFUNCTION("""COMPUTED_VALUE"""),"آبادان")</f>
        <v>آبادان</v>
      </c>
      <c r="F2848" s="5"/>
      <c r="G2848" s="5">
        <f>IFERROR(__xludf.DUMMYFUNCTION("""COMPUTED_VALUE"""),1.0)</f>
        <v>1</v>
      </c>
      <c r="H2848" s="6" t="str">
        <f>IFERROR(__xludf.DUMMYFUNCTION("""COMPUTED_VALUE"""),"https://www.instagram.com/khaghani_1321/")</f>
        <v>https://www.instagram.com/khaghani_1321/</v>
      </c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</row>
    <row r="2849">
      <c r="A2849" s="5"/>
      <c r="B2849" s="5" t="str">
        <f>IFERROR(__xludf.DUMMYFUNCTION("""COMPUTED_VALUE"""),"حسینیه")</f>
        <v>حسینیه</v>
      </c>
      <c r="C2849" s="5" t="str">
        <f>IFERROR(__xludf.DUMMYFUNCTION("""COMPUTED_VALUE"""),"بوشهریها")</f>
        <v>بوشهریها</v>
      </c>
      <c r="D2849" s="5" t="str">
        <f>IFERROR(__xludf.DUMMYFUNCTION("""COMPUTED_VALUE"""),"خوزستان")</f>
        <v>خوزستان</v>
      </c>
      <c r="E2849" s="5" t="str">
        <f>IFERROR(__xludf.DUMMYFUNCTION("""COMPUTED_VALUE"""),"آبادان")</f>
        <v>آبادان</v>
      </c>
      <c r="F2849" s="5"/>
      <c r="G2849" s="5">
        <f>IFERROR(__xludf.DUMMYFUNCTION("""COMPUTED_VALUE"""),1.0)</f>
        <v>1</v>
      </c>
      <c r="H2849" s="6" t="str">
        <f>IFERROR(__xludf.DUMMYFUNCTION("""COMPUTED_VALUE"""),"https://www.instagram.com/hoseinie_booshehriha")</f>
        <v>https://www.instagram.com/hoseinie_booshehriha</v>
      </c>
      <c r="I2849" s="6" t="str">
        <f>IFERROR(__xludf.DUMMYFUNCTION("""COMPUTED_VALUE"""),"https://t.me/hoseinie_booshehriha")</f>
        <v>https://t.me/hoseinie_booshehriha</v>
      </c>
      <c r="J2849" s="5"/>
      <c r="K2849" s="5"/>
      <c r="L2849" s="5"/>
      <c r="M2849" s="5"/>
      <c r="N2849" s="5"/>
      <c r="O2849" s="5"/>
      <c r="P2849" s="5"/>
      <c r="Q2849" s="5"/>
      <c r="R2849" s="5"/>
      <c r="S2849" s="5"/>
    </row>
    <row r="2850">
      <c r="A2850" s="5"/>
      <c r="B2850" s="5" t="str">
        <f>IFERROR(__xludf.DUMMYFUNCTION("""COMPUTED_VALUE"""),"مسجد")</f>
        <v>مسجد</v>
      </c>
      <c r="C2850" s="5" t="str">
        <f>IFERROR(__xludf.DUMMYFUNCTION("""COMPUTED_VALUE"""),"ثامن الائمه(ع)")</f>
        <v>ثامن الائمه(ع)</v>
      </c>
      <c r="D2850" s="5" t="str">
        <f>IFERROR(__xludf.DUMMYFUNCTION("""COMPUTED_VALUE"""),"خوزستان")</f>
        <v>خوزستان</v>
      </c>
      <c r="E2850" s="5" t="str">
        <f>IFERROR(__xludf.DUMMYFUNCTION("""COMPUTED_VALUE"""),"آبادان")</f>
        <v>آبادان</v>
      </c>
      <c r="F2850" s="5"/>
      <c r="G2850" s="5">
        <f>IFERROR(__xludf.DUMMYFUNCTION("""COMPUTED_VALUE"""),1.0)</f>
        <v>1</v>
      </c>
      <c r="H2850" s="6" t="str">
        <f>IFERROR(__xludf.DUMMYFUNCTION("""COMPUTED_VALUE"""),"https://www.instagram.com/masjed.samen/")</f>
        <v>https://www.instagram.com/masjed.samen/</v>
      </c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</row>
    <row r="2851">
      <c r="A2851" s="5"/>
      <c r="B2851" s="5" t="str">
        <f>IFERROR(__xludf.DUMMYFUNCTION("""COMPUTED_VALUE"""),"هیأت ")</f>
        <v>هیأت </v>
      </c>
      <c r="C2851" s="5" t="str">
        <f>IFERROR(__xludf.DUMMYFUNCTION("""COMPUTED_VALUE"""),"حضرت رقیه (س)")</f>
        <v>حضرت رقیه (س)</v>
      </c>
      <c r="D2851" s="5" t="str">
        <f>IFERROR(__xludf.DUMMYFUNCTION("""COMPUTED_VALUE"""),"خوزستان")</f>
        <v>خوزستان</v>
      </c>
      <c r="E2851" s="5" t="str">
        <f>IFERROR(__xludf.DUMMYFUNCTION("""COMPUTED_VALUE"""),"آبادان")</f>
        <v>آبادان</v>
      </c>
      <c r="F2851" s="5"/>
      <c r="G2851" s="5">
        <f>IFERROR(__xludf.DUMMYFUNCTION("""COMPUTED_VALUE"""),1.0)</f>
        <v>1</v>
      </c>
      <c r="H2851" s="6" t="str">
        <f>IFERROR(__xludf.DUMMYFUNCTION("""COMPUTED_VALUE"""),"https://www.instagram.com/heyat_hazrat_roghayeh.ab/")</f>
        <v>https://www.instagram.com/heyat_hazrat_roghayeh.ab/</v>
      </c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</row>
    <row r="2852">
      <c r="A2852" s="5"/>
      <c r="B2852" s="5" t="str">
        <f>IFERROR(__xludf.DUMMYFUNCTION("""COMPUTED_VALUE"""),"حسینیه")</f>
        <v>حسینیه</v>
      </c>
      <c r="C2852" s="5" t="str">
        <f>IFERROR(__xludf.DUMMYFUNCTION("""COMPUTED_VALUE"""),"داونی ها")</f>
        <v>داونی ها</v>
      </c>
      <c r="D2852" s="5" t="str">
        <f>IFERROR(__xludf.DUMMYFUNCTION("""COMPUTED_VALUE"""),"خوزستان")</f>
        <v>خوزستان</v>
      </c>
      <c r="E2852" s="5" t="str">
        <f>IFERROR(__xludf.DUMMYFUNCTION("""COMPUTED_VALUE"""),"آبادان")</f>
        <v>آبادان</v>
      </c>
      <c r="F2852" s="5"/>
      <c r="G2852" s="5">
        <f>IFERROR(__xludf.DUMMYFUNCTION("""COMPUTED_VALUE"""),1.0)</f>
        <v>1</v>
      </c>
      <c r="H2852" s="6" t="str">
        <f>IFERROR(__xludf.DUMMYFUNCTION("""COMPUTED_VALUE"""),"https://www.instagram.com/hoseiniye_davaniha_abadan/")</f>
        <v>https://www.instagram.com/hoseiniye_davaniha_abadan/</v>
      </c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</row>
    <row r="2853">
      <c r="A2853" s="5"/>
      <c r="B2853" s="5" t="str">
        <f>IFERROR(__xludf.DUMMYFUNCTION("""COMPUTED_VALUE"""),"هیأت")</f>
        <v>هیأت</v>
      </c>
      <c r="C2853" s="5" t="str">
        <f>IFERROR(__xludf.DUMMYFUNCTION("""COMPUTED_VALUE"""),"رایة العباس (ع)")</f>
        <v>رایة العباس (ع)</v>
      </c>
      <c r="D2853" s="5" t="str">
        <f>IFERROR(__xludf.DUMMYFUNCTION("""COMPUTED_VALUE"""),"خوزستان")</f>
        <v>خوزستان</v>
      </c>
      <c r="E2853" s="5" t="str">
        <f>IFERROR(__xludf.DUMMYFUNCTION("""COMPUTED_VALUE"""),"آبادان")</f>
        <v>آبادان</v>
      </c>
      <c r="F2853" s="5"/>
      <c r="G2853" s="5">
        <f>IFERROR(__xludf.DUMMYFUNCTION("""COMPUTED_VALUE"""),1.0)</f>
        <v>1</v>
      </c>
      <c r="H2853" s="6" t="str">
        <f>IFERROR(__xludf.DUMMYFUNCTION("""COMPUTED_VALUE"""),"https://www.instagram.com/ferdosabadan")</f>
        <v>https://www.instagram.com/ferdosabadan</v>
      </c>
      <c r="I2853" s="6" t="str">
        <f>IFERROR(__xludf.DUMMYFUNCTION("""COMPUTED_VALUE"""),"https://t.me/ferdosabadan")</f>
        <v>https://t.me/ferdosabadan</v>
      </c>
      <c r="J2853" s="5"/>
      <c r="K2853" s="5"/>
      <c r="L2853" s="5"/>
      <c r="M2853" s="5"/>
      <c r="N2853" s="5"/>
      <c r="O2853" s="5"/>
      <c r="P2853" s="5"/>
      <c r="Q2853" s="5"/>
      <c r="R2853" s="5"/>
      <c r="S2853" s="5"/>
    </row>
    <row r="2854">
      <c r="A2854" s="5"/>
      <c r="B2854" s="5" t="str">
        <f>IFERROR(__xludf.DUMMYFUNCTION("""COMPUTED_VALUE"""),"حسینیه")</f>
        <v>حسینیه</v>
      </c>
      <c r="C2854" s="5" t="str">
        <f>IFERROR(__xludf.DUMMYFUNCTION("""COMPUTED_VALUE"""),"صاحب الزمان عج")</f>
        <v>صاحب الزمان عج</v>
      </c>
      <c r="D2854" s="5" t="str">
        <f>IFERROR(__xludf.DUMMYFUNCTION("""COMPUTED_VALUE"""),"خوزستان")</f>
        <v>خوزستان</v>
      </c>
      <c r="E2854" s="5" t="str">
        <f>IFERROR(__xludf.DUMMYFUNCTION("""COMPUTED_VALUE"""),"آبادان")</f>
        <v>آبادان</v>
      </c>
      <c r="F2854" s="5"/>
      <c r="G2854" s="5">
        <f>IFERROR(__xludf.DUMMYFUNCTION("""COMPUTED_VALUE"""),1.0)</f>
        <v>1</v>
      </c>
      <c r="H2854" s="6" t="str">
        <f>IFERROR(__xludf.DUMMYFUNCTION("""COMPUTED_VALUE"""),"https://www.instagram.com/hosseinyeh.sahebalzaman/")</f>
        <v>https://www.instagram.com/hosseinyeh.sahebalzaman/</v>
      </c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</row>
    <row r="2855">
      <c r="A2855" s="5"/>
      <c r="B2855" s="5" t="str">
        <f>IFERROR(__xludf.DUMMYFUNCTION("""COMPUTED_VALUE"""),"هیأت دختران")</f>
        <v>هیأت دختران</v>
      </c>
      <c r="C2855" s="5" t="str">
        <f>IFERROR(__xludf.DUMMYFUNCTION("""COMPUTED_VALUE"""),"قرآنی")</f>
        <v>قرآنی</v>
      </c>
      <c r="D2855" s="5" t="str">
        <f>IFERROR(__xludf.DUMMYFUNCTION("""COMPUTED_VALUE"""),"خوزستان")</f>
        <v>خوزستان</v>
      </c>
      <c r="E2855" s="5" t="str">
        <f>IFERROR(__xludf.DUMMYFUNCTION("""COMPUTED_VALUE"""),"آبادان")</f>
        <v>آبادان</v>
      </c>
      <c r="F2855" s="5"/>
      <c r="G2855" s="5">
        <f>IFERROR(__xludf.DUMMYFUNCTION("""COMPUTED_VALUE"""),1.0)</f>
        <v>1</v>
      </c>
      <c r="H2855" s="6" t="str">
        <f>IFERROR(__xludf.DUMMYFUNCTION("""COMPUTED_VALUE"""),"https://www.instagram.com/quran_abadan_ir/")</f>
        <v>https://www.instagram.com/quran_abadan_ir/</v>
      </c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</row>
    <row r="2856">
      <c r="A2856" s="5"/>
      <c r="B2856" s="5" t="str">
        <f>IFERROR(__xludf.DUMMYFUNCTION("""COMPUTED_VALUE"""),"هیأت ")</f>
        <v>هیأت </v>
      </c>
      <c r="C2856" s="5" t="str">
        <f>IFERROR(__xludf.DUMMYFUNCTION("""COMPUTED_VALUE"""),"مکتب الرسول (ص)")</f>
        <v>مکتب الرسول (ص)</v>
      </c>
      <c r="D2856" s="5" t="str">
        <f>IFERROR(__xludf.DUMMYFUNCTION("""COMPUTED_VALUE"""),"خوزستان")</f>
        <v>خوزستان</v>
      </c>
      <c r="E2856" s="5" t="str">
        <f>IFERROR(__xludf.DUMMYFUNCTION("""COMPUTED_VALUE"""),"آبادان")</f>
        <v>آبادان</v>
      </c>
      <c r="F2856" s="5"/>
      <c r="G2856" s="5">
        <f>IFERROR(__xludf.DUMMYFUNCTION("""COMPUTED_VALUE"""),1.0)</f>
        <v>1</v>
      </c>
      <c r="H2856" s="6" t="str">
        <f>IFERROR(__xludf.DUMMYFUNCTION("""COMPUTED_VALUE"""),"https://www.instagram.com/masjed.hojatabadan/")</f>
        <v>https://www.instagram.com/masjed.hojatabadan/</v>
      </c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</row>
    <row r="2857">
      <c r="A2857" s="5">
        <f>IFERROR(__xludf.DUMMYFUNCTION("""COMPUTED_VALUE"""),30260.0)</f>
        <v>30260</v>
      </c>
      <c r="B2857" s="5" t="str">
        <f>IFERROR(__xludf.DUMMYFUNCTION("""COMPUTED_VALUE"""),"هیأت")</f>
        <v>هیأت</v>
      </c>
      <c r="C2857" s="5" t="str">
        <f>IFERROR(__xludf.DUMMYFUNCTION("""COMPUTED_VALUE"""),"جوانان بنی هاشم (ع)")</f>
        <v>جوانان بنی هاشم (ع)</v>
      </c>
      <c r="D2857" s="5" t="str">
        <f>IFERROR(__xludf.DUMMYFUNCTION("""COMPUTED_VALUE"""),"خوزستان")</f>
        <v>خوزستان</v>
      </c>
      <c r="E2857" s="5" t="str">
        <f>IFERROR(__xludf.DUMMYFUNCTION("""COMPUTED_VALUE"""),"امیدیه")</f>
        <v>امیدیه</v>
      </c>
      <c r="F2857" s="5" t="str">
        <f>IFERROR(__xludf.DUMMYFUNCTION("""COMPUTED_VALUE""")," شهر میانکوه")</f>
        <v> شهر میانکوه</v>
      </c>
      <c r="G2857" s="5">
        <f>IFERROR(__xludf.DUMMYFUNCTION("""COMPUTED_VALUE"""),1.0)</f>
        <v>1</v>
      </c>
      <c r="H2857" s="6" t="str">
        <f>IFERROR(__xludf.DUMMYFUNCTION("""COMPUTED_VALUE"""),"http://instagram.com/heiat.javananbanihashem/")</f>
        <v>http://instagram.com/heiat.javananbanihashem/</v>
      </c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</row>
    <row r="2858">
      <c r="A2858" s="5">
        <f>IFERROR(__xludf.DUMMYFUNCTION("""COMPUTED_VALUE"""),30488.0)</f>
        <v>30488</v>
      </c>
      <c r="B2858" s="5" t="str">
        <f>IFERROR(__xludf.DUMMYFUNCTION("""COMPUTED_VALUE"""),"هیأت")</f>
        <v>هیأت</v>
      </c>
      <c r="C2858" s="5" t="str">
        <f>IFERROR(__xludf.DUMMYFUNCTION("""COMPUTED_VALUE"""),"دختران حاج قاسم")</f>
        <v>دختران حاج قاسم</v>
      </c>
      <c r="D2858" s="5" t="str">
        <f>IFERROR(__xludf.DUMMYFUNCTION("""COMPUTED_VALUE"""),"خوزستان")</f>
        <v>خوزستان</v>
      </c>
      <c r="E2858" s="5" t="str">
        <f>IFERROR(__xludf.DUMMYFUNCTION("""COMPUTED_VALUE"""),"اندیمشک")</f>
        <v>اندیمشک</v>
      </c>
      <c r="F2858" s="5"/>
      <c r="G2858" s="5">
        <f>IFERROR(__xludf.DUMMYFUNCTION("""COMPUTED_VALUE"""),1.0)</f>
        <v>1</v>
      </c>
      <c r="H2858" s="5"/>
      <c r="I2858" s="5"/>
      <c r="J2858" s="6" t="str">
        <f>IFERROR(__xludf.DUMMYFUNCTION("""COMPUTED_VALUE"""),"https://eitaa.com/dokhtaran_haj_ghasem4")</f>
        <v>https://eitaa.com/dokhtaran_haj_ghasem4</v>
      </c>
      <c r="K2858" s="5"/>
      <c r="L2858" s="5"/>
      <c r="M2858" s="5"/>
      <c r="N2858" s="5"/>
      <c r="O2858" s="5"/>
      <c r="P2858" s="5"/>
      <c r="Q2858" s="5"/>
      <c r="R2858" s="5"/>
      <c r="S2858" s="5"/>
    </row>
    <row r="2859">
      <c r="A2859" s="5"/>
      <c r="B2859" s="5" t="str">
        <f>IFERROR(__xludf.DUMMYFUNCTION("""COMPUTED_VALUE"""),"هیأت دختران")</f>
        <v>هیأت دختران</v>
      </c>
      <c r="C2859" s="5" t="str">
        <f>IFERROR(__xludf.DUMMYFUNCTION("""COMPUTED_VALUE"""),"شهید سلیمانی")</f>
        <v>شهید سلیمانی</v>
      </c>
      <c r="D2859" s="5" t="str">
        <f>IFERROR(__xludf.DUMMYFUNCTION("""COMPUTED_VALUE"""),"خوزستان")</f>
        <v>خوزستان</v>
      </c>
      <c r="E2859" s="5" t="str">
        <f>IFERROR(__xludf.DUMMYFUNCTION("""COMPUTED_VALUE"""),"اندیمشک")</f>
        <v>اندیمشک</v>
      </c>
      <c r="F2859" s="5"/>
      <c r="G2859" s="5">
        <f>IFERROR(__xludf.DUMMYFUNCTION("""COMPUTED_VALUE"""),1.0)</f>
        <v>1</v>
      </c>
      <c r="H2859" s="5"/>
      <c r="I2859" s="5"/>
      <c r="J2859" s="6" t="str">
        <f>IFERROR(__xludf.DUMMYFUNCTION("""COMPUTED_VALUE"""),"https://eitaa.com/dokhtaran_haj_ghasem4")</f>
        <v>https://eitaa.com/dokhtaran_haj_ghasem4</v>
      </c>
      <c r="K2859" s="5"/>
      <c r="L2859" s="5"/>
      <c r="M2859" s="5"/>
      <c r="N2859" s="5"/>
      <c r="O2859" s="5"/>
      <c r="P2859" s="5"/>
      <c r="Q2859" s="5"/>
      <c r="R2859" s="5"/>
      <c r="S2859" s="5"/>
    </row>
    <row r="2860">
      <c r="A2860" s="5"/>
      <c r="B2860" s="5" t="str">
        <f>IFERROR(__xludf.DUMMYFUNCTION("""COMPUTED_VALUE"""),"هیأت ")</f>
        <v>هیأت </v>
      </c>
      <c r="C2860" s="5" t="str">
        <f>IFERROR(__xludf.DUMMYFUNCTION("""COMPUTED_VALUE"""),"عاشورا اندیمشک")</f>
        <v>عاشورا اندیمشک</v>
      </c>
      <c r="D2860" s="5" t="str">
        <f>IFERROR(__xludf.DUMMYFUNCTION("""COMPUTED_VALUE"""),"خوزستان")</f>
        <v>خوزستان</v>
      </c>
      <c r="E2860" s="5" t="str">
        <f>IFERROR(__xludf.DUMMYFUNCTION("""COMPUTED_VALUE"""),"اندیمشک")</f>
        <v>اندیمشک</v>
      </c>
      <c r="F2860" s="5"/>
      <c r="G2860" s="5">
        <f>IFERROR(__xludf.DUMMYFUNCTION("""COMPUTED_VALUE"""),1.0)</f>
        <v>1</v>
      </c>
      <c r="H2860" s="6" t="str">
        <f>IFERROR(__xludf.DUMMYFUNCTION("""COMPUTED_VALUE"""),"https://www.instagram.com/ashoraandimeshk/")</f>
        <v>https://www.instagram.com/ashoraandimeshk/</v>
      </c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</row>
    <row r="2861">
      <c r="A2861" s="5"/>
      <c r="B2861" s="5" t="str">
        <f>IFERROR(__xludf.DUMMYFUNCTION("""COMPUTED_VALUE"""),"هیأت")</f>
        <v>هیأت</v>
      </c>
      <c r="C2861" s="5" t="str">
        <f>IFERROR(__xludf.DUMMYFUNCTION("""COMPUTED_VALUE"""),"أنصار الحسین (ع)")</f>
        <v>أنصار الحسین (ع)</v>
      </c>
      <c r="D2861" s="5" t="str">
        <f>IFERROR(__xludf.DUMMYFUNCTION("""COMPUTED_VALUE"""),"خوزستان")</f>
        <v>خوزستان</v>
      </c>
      <c r="E2861" s="5" t="str">
        <f>IFERROR(__xludf.DUMMYFUNCTION("""COMPUTED_VALUE"""),"اهواز")</f>
        <v>اهواز</v>
      </c>
      <c r="F2861" s="5"/>
      <c r="G2861" s="5">
        <f>IFERROR(__xludf.DUMMYFUNCTION("""COMPUTED_VALUE"""),1.0)</f>
        <v>1</v>
      </c>
      <c r="H2861" s="6" t="str">
        <f>IFERROR(__xludf.DUMMYFUNCTION("""COMPUTED_VALUE"""),"https://www.instagram.com/ansar_alhussein_board_956/")</f>
        <v>https://www.instagram.com/ansar_alhussein_board_956/</v>
      </c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</row>
    <row r="2862">
      <c r="A2862" s="5">
        <f>IFERROR(__xludf.DUMMYFUNCTION("""COMPUTED_VALUE"""),29310.0)</f>
        <v>29310</v>
      </c>
      <c r="B2862" s="5" t="str">
        <f>IFERROR(__xludf.DUMMYFUNCTION("""COMPUTED_VALUE"""),"هیأت")</f>
        <v>هیأت</v>
      </c>
      <c r="C2862" s="5" t="str">
        <f>IFERROR(__xludf.DUMMYFUNCTION("""COMPUTED_VALUE"""),"ابوالفضل العباس (ع)")</f>
        <v>ابوالفضل العباس (ع)</v>
      </c>
      <c r="D2862" s="5" t="str">
        <f>IFERROR(__xludf.DUMMYFUNCTION("""COMPUTED_VALUE"""),"خوزستان")</f>
        <v>خوزستان</v>
      </c>
      <c r="E2862" s="5" t="str">
        <f>IFERROR(__xludf.DUMMYFUNCTION("""COMPUTED_VALUE"""),"اهواز")</f>
        <v>اهواز</v>
      </c>
      <c r="F2862" s="5"/>
      <c r="G2862" s="5">
        <f>IFERROR(__xludf.DUMMYFUNCTION("""COMPUTED_VALUE"""),1.0)</f>
        <v>1</v>
      </c>
      <c r="H2862" s="6" t="str">
        <f>IFERROR(__xludf.DUMMYFUNCTION("""COMPUTED_VALUE"""),"https://www.instagram.com/heyat.abalfazl.ahvaz/")</f>
        <v>https://www.instagram.com/heyat.abalfazl.ahvaz/</v>
      </c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</row>
    <row r="2863">
      <c r="A2863" s="5"/>
      <c r="B2863" s="5" t="str">
        <f>IFERROR(__xludf.DUMMYFUNCTION("""COMPUTED_VALUE"""),"مسجد")</f>
        <v>مسجد</v>
      </c>
      <c r="C2863" s="5" t="str">
        <f>IFERROR(__xludf.DUMMYFUNCTION("""COMPUTED_VALUE"""),"الانبیا(ص)")</f>
        <v>الانبیا(ص)</v>
      </c>
      <c r="D2863" s="5" t="str">
        <f>IFERROR(__xludf.DUMMYFUNCTION("""COMPUTED_VALUE"""),"خوزستان")</f>
        <v>خوزستان</v>
      </c>
      <c r="E2863" s="5" t="str">
        <f>IFERROR(__xludf.DUMMYFUNCTION("""COMPUTED_VALUE"""),"اهواز")</f>
        <v>اهواز</v>
      </c>
      <c r="F2863" s="5"/>
      <c r="G2863" s="5">
        <f>IFERROR(__xludf.DUMMYFUNCTION("""COMPUTED_VALUE"""),1.0)</f>
        <v>1</v>
      </c>
      <c r="H2863" s="5"/>
      <c r="I2863" s="5"/>
      <c r="J2863" s="6" t="str">
        <f>IFERROR(__xludf.DUMMYFUNCTION("""COMPUTED_VALUE"""),"https://www.instagram.com/masjede_anbia/")</f>
        <v>https://www.instagram.com/masjede_anbia/</v>
      </c>
      <c r="K2863" s="5"/>
      <c r="L2863" s="5"/>
      <c r="M2863" s="5"/>
      <c r="N2863" s="5"/>
      <c r="O2863" s="5"/>
      <c r="P2863" s="5"/>
      <c r="Q2863" s="5"/>
      <c r="R2863" s="5"/>
      <c r="S2863" s="5"/>
    </row>
    <row r="2864">
      <c r="A2864" s="5"/>
      <c r="B2864" s="5" t="str">
        <f>IFERROR(__xludf.DUMMYFUNCTION("""COMPUTED_VALUE"""),"هیأت")</f>
        <v>هیأت</v>
      </c>
      <c r="C2864" s="5" t="str">
        <f>IFERROR(__xludf.DUMMYFUNCTION("""COMPUTED_VALUE"""),"الزهرا(س)")</f>
        <v>الزهرا(س)</v>
      </c>
      <c r="D2864" s="5" t="str">
        <f>IFERROR(__xludf.DUMMYFUNCTION("""COMPUTED_VALUE"""),"خوزستان")</f>
        <v>خوزستان</v>
      </c>
      <c r="E2864" s="5" t="str">
        <f>IFERROR(__xludf.DUMMYFUNCTION("""COMPUTED_VALUE"""),"اهواز")</f>
        <v>اهواز</v>
      </c>
      <c r="F2864" s="5"/>
      <c r="G2864" s="5">
        <f>IFERROR(__xludf.DUMMYFUNCTION("""COMPUTED_VALUE"""),1.0)</f>
        <v>1</v>
      </c>
      <c r="H2864" s="6" t="str">
        <f>IFERROR(__xludf.DUMMYFUNCTION("""COMPUTED_VALUE"""),"https://www.instagram.com/heiatozahra_ahwaz/")</f>
        <v>https://www.instagram.com/heiatozahra_ahwaz/</v>
      </c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</row>
    <row r="2865">
      <c r="A2865" s="5"/>
      <c r="B2865" s="5" t="str">
        <f>IFERROR(__xludf.DUMMYFUNCTION("""COMPUTED_VALUE"""),"هیأت")</f>
        <v>هیأت</v>
      </c>
      <c r="C2865" s="5" t="str">
        <f>IFERROR(__xludf.DUMMYFUNCTION("""COMPUTED_VALUE"""),"امام موسی الکاظم")</f>
        <v>امام موسی الکاظم</v>
      </c>
      <c r="D2865" s="5" t="str">
        <f>IFERROR(__xludf.DUMMYFUNCTION("""COMPUTED_VALUE"""),"خوزستان")</f>
        <v>خوزستان</v>
      </c>
      <c r="E2865" s="5" t="str">
        <f>IFERROR(__xludf.DUMMYFUNCTION("""COMPUTED_VALUE"""),"اهواز")</f>
        <v>اهواز</v>
      </c>
      <c r="F2865" s="5"/>
      <c r="G2865" s="5">
        <f>IFERROR(__xludf.DUMMYFUNCTION("""COMPUTED_VALUE"""),1.0)</f>
        <v>1</v>
      </c>
      <c r="H2865" s="6" t="str">
        <f>IFERROR(__xludf.DUMMYFUNCTION("""COMPUTED_VALUE"""),"https://www.instagram.com/heiat_emam_moosa_alkazem")</f>
        <v>https://www.instagram.com/heiat_emam_moosa_alkazem</v>
      </c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</row>
    <row r="2866">
      <c r="A2866" s="5"/>
      <c r="B2866" s="5" t="str">
        <f>IFERROR(__xludf.DUMMYFUNCTION("""COMPUTED_VALUE"""),"هیأت")</f>
        <v>هیأت</v>
      </c>
      <c r="C2866" s="5" t="str">
        <f>IFERROR(__xludf.DUMMYFUNCTION("""COMPUTED_VALUE"""),"جهادگران")</f>
        <v>جهادگران</v>
      </c>
      <c r="D2866" s="5" t="str">
        <f>IFERROR(__xludf.DUMMYFUNCTION("""COMPUTED_VALUE"""),"خوزستان")</f>
        <v>خوزستان</v>
      </c>
      <c r="E2866" s="5" t="str">
        <f>IFERROR(__xludf.DUMMYFUNCTION("""COMPUTED_VALUE"""),"اهواز")</f>
        <v>اهواز</v>
      </c>
      <c r="F2866" s="5"/>
      <c r="G2866" s="5">
        <f>IFERROR(__xludf.DUMMYFUNCTION("""COMPUTED_VALUE"""),1.0)</f>
        <v>1</v>
      </c>
      <c r="H2866" s="6" t="str">
        <f>IFERROR(__xludf.DUMMYFUNCTION("""COMPUTED_VALUE"""),"https://www.instagram.com/jahadgaran.heyat/")</f>
        <v>https://www.instagram.com/jahadgaran.heyat/</v>
      </c>
      <c r="I2866" s="5"/>
      <c r="J2866" s="6" t="str">
        <f>IFERROR(__xludf.DUMMYFUNCTION("""COMPUTED_VALUE"""),"https://eitaa.com/heyat_jahad_kh")</f>
        <v>https://eitaa.com/heyat_jahad_kh</v>
      </c>
      <c r="K2866" s="5"/>
      <c r="L2866" s="5"/>
      <c r="M2866" s="5"/>
      <c r="N2866" s="5"/>
      <c r="O2866" s="5"/>
      <c r="P2866" s="5"/>
      <c r="Q2866" s="5"/>
      <c r="R2866" s="5"/>
      <c r="S2866" s="5"/>
    </row>
    <row r="2867">
      <c r="A2867" s="5">
        <f>IFERROR(__xludf.DUMMYFUNCTION("""COMPUTED_VALUE"""),32868.0)</f>
        <v>32868</v>
      </c>
      <c r="B2867" s="5" t="str">
        <f>IFERROR(__xludf.DUMMYFUNCTION("""COMPUTED_VALUE"""),"هیأت")</f>
        <v>هیأت</v>
      </c>
      <c r="C2867" s="5" t="str">
        <f>IFERROR(__xludf.DUMMYFUNCTION("""COMPUTED_VALUE"""),"جوانان جوادالائمه (ع)")</f>
        <v>جوانان جوادالائمه (ع)</v>
      </c>
      <c r="D2867" s="5" t="str">
        <f>IFERROR(__xludf.DUMMYFUNCTION("""COMPUTED_VALUE"""),"خوزستان")</f>
        <v>خوزستان</v>
      </c>
      <c r="E2867" s="5" t="str">
        <f>IFERROR(__xludf.DUMMYFUNCTION("""COMPUTED_VALUE"""),"اهواز")</f>
        <v>اهواز</v>
      </c>
      <c r="F2867" s="5"/>
      <c r="G2867" s="5">
        <f>IFERROR(__xludf.DUMMYFUNCTION("""COMPUTED_VALUE"""),1.0)</f>
        <v>1</v>
      </c>
      <c r="H2867" s="6" t="str">
        <f>IFERROR(__xludf.DUMMYFUNCTION("""COMPUTED_VALUE"""),"https://www.instagram.com/heyat_javanan_jvadolaemehahwaz/")</f>
        <v>https://www.instagram.com/heyat_javanan_jvadolaemehahwaz/</v>
      </c>
      <c r="I2867" s="5" t="str">
        <f>IFERROR(__xludf.DUMMYFUNCTION("""COMPUTED_VALUE"""),"telegram.me./jvadolaemeh1391")</f>
        <v>telegram.me./jvadolaemeh1391</v>
      </c>
      <c r="J2867" s="5"/>
      <c r="K2867" s="5"/>
      <c r="L2867" s="5"/>
      <c r="M2867" s="5"/>
      <c r="N2867" s="5"/>
      <c r="O2867" s="5"/>
      <c r="P2867" s="5"/>
      <c r="Q2867" s="5"/>
      <c r="R2867" s="5"/>
      <c r="S2867" s="5"/>
    </row>
    <row r="2868">
      <c r="A2868" s="5"/>
      <c r="B2868" s="5" t="str">
        <f>IFERROR(__xludf.DUMMYFUNCTION("""COMPUTED_VALUE"""),"هیأت")</f>
        <v>هیأت</v>
      </c>
      <c r="C2868" s="5" t="str">
        <f>IFERROR(__xludf.DUMMYFUNCTION("""COMPUTED_VALUE"""),"خدام الحسین")</f>
        <v>خدام الحسین</v>
      </c>
      <c r="D2868" s="5" t="str">
        <f>IFERROR(__xludf.DUMMYFUNCTION("""COMPUTED_VALUE"""),"خوزستان")</f>
        <v>خوزستان</v>
      </c>
      <c r="E2868" s="5" t="str">
        <f>IFERROR(__xludf.DUMMYFUNCTION("""COMPUTED_VALUE"""),"اهواز")</f>
        <v>اهواز</v>
      </c>
      <c r="F2868" s="5"/>
      <c r="G2868" s="5">
        <f>IFERROR(__xludf.DUMMYFUNCTION("""COMPUTED_VALUE"""),1.0)</f>
        <v>1</v>
      </c>
      <c r="H2868" s="6" t="str">
        <f>IFERROR(__xludf.DUMMYFUNCTION("""COMPUTED_VALUE"""),"https://www.instagram.com/heiatkhdamalhusinahwazmandali/")</f>
        <v>https://www.instagram.com/heiatkhdamalhusinahwazmandali/</v>
      </c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</row>
    <row r="2869">
      <c r="A2869" s="5"/>
      <c r="B2869" s="5" t="str">
        <f>IFERROR(__xludf.DUMMYFUNCTION("""COMPUTED_VALUE"""),"موکب")</f>
        <v>موکب</v>
      </c>
      <c r="C2869" s="5" t="str">
        <f>IFERROR(__xludf.DUMMYFUNCTION("""COMPUTED_VALUE"""),"خدام الحسین حی سید خلف")</f>
        <v>خدام الحسین حی سید خلف</v>
      </c>
      <c r="D2869" s="5" t="str">
        <f>IFERROR(__xludf.DUMMYFUNCTION("""COMPUTED_VALUE"""),"خوزستان")</f>
        <v>خوزستان</v>
      </c>
      <c r="E2869" s="5" t="str">
        <f>IFERROR(__xludf.DUMMYFUNCTION("""COMPUTED_VALUE"""),"اهواز")</f>
        <v>اهواز</v>
      </c>
      <c r="F2869" s="5"/>
      <c r="G2869" s="5">
        <f>IFERROR(__xludf.DUMMYFUNCTION("""COMPUTED_VALUE"""),1.0)</f>
        <v>1</v>
      </c>
      <c r="H2869" s="6" t="str">
        <f>IFERROR(__xludf.DUMMYFUNCTION("""COMPUTED_VALUE"""),"https://www.instagram.com/samihamadi1/")</f>
        <v>https://www.instagram.com/samihamadi1/</v>
      </c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</row>
    <row r="2870">
      <c r="A2870" s="5">
        <f>IFERROR(__xludf.DUMMYFUNCTION("""COMPUTED_VALUE"""),28014.0)</f>
        <v>28014</v>
      </c>
      <c r="B2870" s="5" t="str">
        <f>IFERROR(__xludf.DUMMYFUNCTION("""COMPUTED_VALUE"""),"هیأت ")</f>
        <v>هیأت </v>
      </c>
      <c r="C2870" s="5" t="str">
        <f>IFERROR(__xludf.DUMMYFUNCTION("""COMPUTED_VALUE"""),"خدام الزهرا (س)")</f>
        <v>خدام الزهرا (س)</v>
      </c>
      <c r="D2870" s="5" t="str">
        <f>IFERROR(__xludf.DUMMYFUNCTION("""COMPUTED_VALUE"""),"خوزستان")</f>
        <v>خوزستان</v>
      </c>
      <c r="E2870" s="5" t="str">
        <f>IFERROR(__xludf.DUMMYFUNCTION("""COMPUTED_VALUE"""),"اهواز")</f>
        <v>اهواز</v>
      </c>
      <c r="F2870" s="5"/>
      <c r="G2870" s="5">
        <f>IFERROR(__xludf.DUMMYFUNCTION("""COMPUTED_VALUE"""),1.0)</f>
        <v>1</v>
      </c>
      <c r="H2870" s="6" t="str">
        <f>IFERROR(__xludf.DUMMYFUNCTION("""COMPUTED_VALUE"""),"https://www.instagram.com/heyat_khoddam_alzahra/")</f>
        <v>https://www.instagram.com/heyat_khoddam_alzahra/</v>
      </c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</row>
    <row r="2871">
      <c r="A2871" s="5"/>
      <c r="B2871" s="5" t="str">
        <f>IFERROR(__xludf.DUMMYFUNCTION("""COMPUTED_VALUE"""),"هیأت")</f>
        <v>هیأت</v>
      </c>
      <c r="C2871" s="5" t="str">
        <f>IFERROR(__xludf.DUMMYFUNCTION("""COMPUTED_VALUE"""),"خورشید آل یاسین")</f>
        <v>خورشید آل یاسین</v>
      </c>
      <c r="D2871" s="5" t="str">
        <f>IFERROR(__xludf.DUMMYFUNCTION("""COMPUTED_VALUE"""),"خوزستان")</f>
        <v>خوزستان</v>
      </c>
      <c r="E2871" s="5" t="str">
        <f>IFERROR(__xludf.DUMMYFUNCTION("""COMPUTED_VALUE"""),"اهواز")</f>
        <v>اهواز</v>
      </c>
      <c r="F2871" s="5"/>
      <c r="G2871" s="5">
        <f>IFERROR(__xludf.DUMMYFUNCTION("""COMPUTED_VALUE"""),1.0)</f>
        <v>1</v>
      </c>
      <c r="H2871" s="6" t="str">
        <f>IFERROR(__xludf.DUMMYFUNCTION("""COMPUTED_VALUE"""),"https://www.instagram.com/khorshed_al_easin_ahvaz/")</f>
        <v>https://www.instagram.com/khorshed_al_easin_ahvaz/</v>
      </c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</row>
    <row r="2872">
      <c r="A2872" s="5"/>
      <c r="B2872" s="5" t="str">
        <f>IFERROR(__xludf.DUMMYFUNCTION("""COMPUTED_VALUE"""),"هیأت ")</f>
        <v>هیأت </v>
      </c>
      <c r="C2872" s="5" t="str">
        <f>IFERROR(__xludf.DUMMYFUNCTION("""COMPUTED_VALUE"""),"ریحانه الرسول(س)")</f>
        <v>ریحانه الرسول(س)</v>
      </c>
      <c r="D2872" s="5" t="str">
        <f>IFERROR(__xludf.DUMMYFUNCTION("""COMPUTED_VALUE"""),"خوزستان")</f>
        <v>خوزستان</v>
      </c>
      <c r="E2872" s="5" t="str">
        <f>IFERROR(__xludf.DUMMYFUNCTION("""COMPUTED_VALUE"""),"اهواز")</f>
        <v>اهواز</v>
      </c>
      <c r="F2872" s="5"/>
      <c r="G2872" s="5">
        <f>IFERROR(__xludf.DUMMYFUNCTION("""COMPUTED_VALUE"""),1.0)</f>
        <v>1</v>
      </c>
      <c r="H2872" s="6" t="str">
        <f>IFERROR(__xludf.DUMMYFUNCTION("""COMPUTED_VALUE"""),"https://www.instagram.com/heyat.reihanealrasol/")</f>
        <v>https://www.instagram.com/heyat.reihanealrasol/</v>
      </c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</row>
    <row r="2873">
      <c r="A2873" s="5"/>
      <c r="B2873" s="5" t="str">
        <f>IFERROR(__xludf.DUMMYFUNCTION("""COMPUTED_VALUE"""),"هیأت")</f>
        <v>هیأت</v>
      </c>
      <c r="C2873" s="5" t="str">
        <f>IFERROR(__xludf.DUMMYFUNCTION("""COMPUTED_VALUE"""),"زوارالحسن (ع)")</f>
        <v>زوارالحسن (ع)</v>
      </c>
      <c r="D2873" s="5" t="str">
        <f>IFERROR(__xludf.DUMMYFUNCTION("""COMPUTED_VALUE"""),"خوزستان")</f>
        <v>خوزستان</v>
      </c>
      <c r="E2873" s="5" t="str">
        <f>IFERROR(__xludf.DUMMYFUNCTION("""COMPUTED_VALUE"""),"اهواز")</f>
        <v>اهواز</v>
      </c>
      <c r="F2873" s="5"/>
      <c r="G2873" s="5">
        <f>IFERROR(__xludf.DUMMYFUNCTION("""COMPUTED_VALUE"""),1.0)</f>
        <v>1</v>
      </c>
      <c r="H2873" s="6" t="str">
        <f>IFERROR(__xludf.DUMMYFUNCTION("""COMPUTED_VALUE"""),"https://www.instagram.com/zovaralhasan_ahwaz/")</f>
        <v>https://www.instagram.com/zovaralhasan_ahwaz/</v>
      </c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</row>
    <row r="2874">
      <c r="A2874" s="5"/>
      <c r="B2874" s="5" t="str">
        <f>IFERROR(__xludf.DUMMYFUNCTION("""COMPUTED_VALUE"""),"حسینیه")</f>
        <v>حسینیه</v>
      </c>
      <c r="C2874" s="5" t="str">
        <f>IFERROR(__xludf.DUMMYFUNCTION("""COMPUTED_VALUE"""),"سجادیه")</f>
        <v>سجادیه</v>
      </c>
      <c r="D2874" s="5" t="str">
        <f>IFERROR(__xludf.DUMMYFUNCTION("""COMPUTED_VALUE"""),"خوزستان")</f>
        <v>خوزستان</v>
      </c>
      <c r="E2874" s="5" t="str">
        <f>IFERROR(__xludf.DUMMYFUNCTION("""COMPUTED_VALUE"""),"اهواز")</f>
        <v>اهواز</v>
      </c>
      <c r="F2874" s="5"/>
      <c r="G2874" s="5">
        <f>IFERROR(__xludf.DUMMYFUNCTION("""COMPUTED_VALUE"""),1.0)</f>
        <v>1</v>
      </c>
      <c r="H2874" s="6" t="str">
        <f>IFERROR(__xludf.DUMMYFUNCTION("""COMPUTED_VALUE"""),"https://www.instagram.com/sajadiyeahvaz/")</f>
        <v>https://www.instagram.com/sajadiyeahvaz/</v>
      </c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</row>
    <row r="2875">
      <c r="A2875" s="5"/>
      <c r="B2875" s="5" t="str">
        <f>IFERROR(__xludf.DUMMYFUNCTION("""COMPUTED_VALUE"""),"حسینیه")</f>
        <v>حسینیه</v>
      </c>
      <c r="C2875" s="5" t="str">
        <f>IFERROR(__xludf.DUMMYFUNCTION("""COMPUTED_VALUE"""),"سیدالشهداء")</f>
        <v>سیدالشهداء</v>
      </c>
      <c r="D2875" s="5" t="str">
        <f>IFERROR(__xludf.DUMMYFUNCTION("""COMPUTED_VALUE"""),"خوزستان")</f>
        <v>خوزستان</v>
      </c>
      <c r="E2875" s="5" t="str">
        <f>IFERROR(__xludf.DUMMYFUNCTION("""COMPUTED_VALUE"""),"اهواز")</f>
        <v>اهواز</v>
      </c>
      <c r="F2875" s="5" t="str">
        <f>IFERROR(__xludf.DUMMYFUNCTION("""COMPUTED_VALUE"""),"شهرک نفت")</f>
        <v>شهرک نفت</v>
      </c>
      <c r="G2875" s="5">
        <f>IFERROR(__xludf.DUMMYFUNCTION("""COMPUTED_VALUE"""),1.0)</f>
        <v>1</v>
      </c>
      <c r="H2875" s="6" t="str">
        <f>IFERROR(__xludf.DUMMYFUNCTION("""COMPUTED_VALUE"""),"https://www.instagram.com/hosseiniyeh.seyed.al.shohada")</f>
        <v>https://www.instagram.com/hosseiniyeh.seyed.al.shohada</v>
      </c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</row>
    <row r="2876">
      <c r="A2876" s="5"/>
      <c r="B2876" s="5" t="str">
        <f>IFERROR(__xludf.DUMMYFUNCTION("""COMPUTED_VALUE"""),"هیأت")</f>
        <v>هیأت</v>
      </c>
      <c r="C2876" s="5" t="str">
        <f>IFERROR(__xludf.DUMMYFUNCTION("""COMPUTED_VALUE"""),"صاحب‌الامر(عج)")</f>
        <v>صاحب‌الامر(عج)</v>
      </c>
      <c r="D2876" s="5" t="str">
        <f>IFERROR(__xludf.DUMMYFUNCTION("""COMPUTED_VALUE"""),"خوزستان")</f>
        <v>خوزستان</v>
      </c>
      <c r="E2876" s="5" t="str">
        <f>IFERROR(__xludf.DUMMYFUNCTION("""COMPUTED_VALUE"""),"اهواز")</f>
        <v>اهواز</v>
      </c>
      <c r="F2876" s="5"/>
      <c r="G2876" s="5">
        <f>IFERROR(__xludf.DUMMYFUNCTION("""COMPUTED_VALUE"""),1.0)</f>
        <v>1</v>
      </c>
      <c r="H2876" s="6" t="str">
        <f>IFERROR(__xludf.DUMMYFUNCTION("""COMPUTED_VALUE"""),"https://www.instagram.com/sangar.313_ir/")</f>
        <v>https://www.instagram.com/sangar.313_ir/</v>
      </c>
      <c r="I2876" s="5" t="str">
        <f>IFERROR(__xludf.DUMMYFUNCTION("""COMPUTED_VALUE"""),"*")</f>
        <v>*</v>
      </c>
      <c r="J2876" s="5" t="str">
        <f>IFERROR(__xludf.DUMMYFUNCTION("""COMPUTED_VALUE"""),"*")</f>
        <v>*</v>
      </c>
      <c r="K2876" s="5"/>
      <c r="L2876" s="5"/>
      <c r="M2876" s="5"/>
      <c r="N2876" s="5"/>
      <c r="O2876" s="5"/>
      <c r="P2876" s="5"/>
      <c r="Q2876" s="5"/>
      <c r="R2876" s="5"/>
      <c r="S2876" s="5"/>
    </row>
    <row r="2877">
      <c r="A2877" s="5"/>
      <c r="B2877" s="5" t="str">
        <f>IFERROR(__xludf.DUMMYFUNCTION("""COMPUTED_VALUE"""),"هیأت ")</f>
        <v>هیأت </v>
      </c>
      <c r="C2877" s="5" t="str">
        <f>IFERROR(__xludf.DUMMYFUNCTION("""COMPUTED_VALUE"""),"عاشقان ثارالله(ع) (رزمندگان اسلام)")</f>
        <v>عاشقان ثارالله(ع) (رزمندگان اسلام)</v>
      </c>
      <c r="D2877" s="5" t="str">
        <f>IFERROR(__xludf.DUMMYFUNCTION("""COMPUTED_VALUE"""),"خوزستان")</f>
        <v>خوزستان</v>
      </c>
      <c r="E2877" s="5" t="str">
        <f>IFERROR(__xludf.DUMMYFUNCTION("""COMPUTED_VALUE"""),"اهواز")</f>
        <v>اهواز</v>
      </c>
      <c r="F2877" s="5"/>
      <c r="G2877" s="5">
        <f>IFERROR(__xludf.DUMMYFUNCTION("""COMPUTED_VALUE"""),1.0)</f>
        <v>1</v>
      </c>
      <c r="H2877" s="6" t="str">
        <f>IFERROR(__xludf.DUMMYFUNCTION("""COMPUTED_VALUE"""),"https://www.instagram.com/sarallah_mahshahr/")</f>
        <v>https://www.instagram.com/sarallah_mahshahr/</v>
      </c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</row>
    <row r="2878">
      <c r="A2878" s="5"/>
      <c r="B2878" s="5" t="str">
        <f>IFERROR(__xludf.DUMMYFUNCTION("""COMPUTED_VALUE"""),"حسینیه")</f>
        <v>حسینیه</v>
      </c>
      <c r="C2878" s="5" t="str">
        <f>IFERROR(__xludf.DUMMYFUNCTION("""COMPUTED_VALUE"""),"فاطمه الزهرا (س)")</f>
        <v>فاطمه الزهرا (س)</v>
      </c>
      <c r="D2878" s="5" t="str">
        <f>IFERROR(__xludf.DUMMYFUNCTION("""COMPUTED_VALUE"""),"خوزستان")</f>
        <v>خوزستان</v>
      </c>
      <c r="E2878" s="5" t="str">
        <f>IFERROR(__xludf.DUMMYFUNCTION("""COMPUTED_VALUE"""),"اهواز")</f>
        <v>اهواز</v>
      </c>
      <c r="F2878" s="5"/>
      <c r="G2878" s="5">
        <f>IFERROR(__xludf.DUMMYFUNCTION("""COMPUTED_VALUE"""),1.0)</f>
        <v>1</v>
      </c>
      <c r="H2878" s="6" t="str">
        <f>IFERROR(__xludf.DUMMYFUNCTION("""COMPUTED_VALUE"""),"https://www.instagram.com/shyrhzbh/")</f>
        <v>https://www.instagram.com/shyrhzbh/</v>
      </c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</row>
    <row r="2879">
      <c r="A2879" s="5"/>
      <c r="B2879" s="5" t="str">
        <f>IFERROR(__xludf.DUMMYFUNCTION("""COMPUTED_VALUE"""),"هیأت")</f>
        <v>هیأت</v>
      </c>
      <c r="C2879" s="5" t="str">
        <f>IFERROR(__xludf.DUMMYFUNCTION("""COMPUTED_VALUE"""),"فاطمیون")</f>
        <v>فاطمیون</v>
      </c>
      <c r="D2879" s="5" t="str">
        <f>IFERROR(__xludf.DUMMYFUNCTION("""COMPUTED_VALUE"""),"خوزستان")</f>
        <v>خوزستان</v>
      </c>
      <c r="E2879" s="5" t="str">
        <f>IFERROR(__xludf.DUMMYFUNCTION("""COMPUTED_VALUE"""),"اهواز")</f>
        <v>اهواز</v>
      </c>
      <c r="F2879" s="5"/>
      <c r="G2879" s="5">
        <f>IFERROR(__xludf.DUMMYFUNCTION("""COMPUTED_VALUE"""),1.0)</f>
        <v>1</v>
      </c>
      <c r="H2879" s="6" t="str">
        <f>IFERROR(__xludf.DUMMYFUNCTION("""COMPUTED_VALUE"""),"https://www.instagram.com/fatemioon_ahwaz/")</f>
        <v>https://www.instagram.com/fatemioon_ahwaz/</v>
      </c>
      <c r="I2879" s="6" t="str">
        <f>IFERROR(__xludf.DUMMYFUNCTION("""COMPUTED_VALUE"""),"https://t.me/fatemioon_ahwaz")</f>
        <v>https://t.me/fatemioon_ahwaz</v>
      </c>
      <c r="J2879" s="6" t="str">
        <f>IFERROR(__xludf.DUMMYFUNCTION("""COMPUTED_VALUE"""),"https://eitaa.com/fatemioon_ahwaz")</f>
        <v>https://eitaa.com/fatemioon_ahwaz</v>
      </c>
      <c r="K2879" s="5"/>
      <c r="L2879" s="5"/>
      <c r="M2879" s="5"/>
      <c r="N2879" s="5"/>
      <c r="O2879" s="5"/>
      <c r="P2879" s="5"/>
      <c r="Q2879" s="5"/>
      <c r="R2879" s="5"/>
      <c r="S2879" s="5"/>
    </row>
    <row r="2880">
      <c r="A2880" s="5"/>
      <c r="B2880" s="5" t="str">
        <f>IFERROR(__xludf.DUMMYFUNCTION("""COMPUTED_VALUE"""),"هیأت دانشجویی")</f>
        <v>هیأت دانشجویی</v>
      </c>
      <c r="C2880" s="5" t="str">
        <f>IFERROR(__xludf.DUMMYFUNCTION("""COMPUTED_VALUE"""),"فاطمیون")</f>
        <v>فاطمیون</v>
      </c>
      <c r="D2880" s="5" t="str">
        <f>IFERROR(__xludf.DUMMYFUNCTION("""COMPUTED_VALUE"""),"خوزستان")</f>
        <v>خوزستان</v>
      </c>
      <c r="E2880" s="5" t="str">
        <f>IFERROR(__xludf.DUMMYFUNCTION("""COMPUTED_VALUE"""),"اهواز")</f>
        <v>اهواز</v>
      </c>
      <c r="F2880" s="5" t="str">
        <f>IFERROR(__xludf.DUMMYFUNCTION("""COMPUTED_VALUE"""),"پردیس فاطمه الزهرا(س)اهواز")</f>
        <v>پردیس فاطمه الزهرا(س)اهواز</v>
      </c>
      <c r="G2880" s="5">
        <f>IFERROR(__xludf.DUMMYFUNCTION("""COMPUTED_VALUE"""),1.0)</f>
        <v>1</v>
      </c>
      <c r="H2880" s="6" t="str">
        <f>IFERROR(__xludf.DUMMYFUNCTION("""COMPUTED_VALUE"""),"https://www.instagram.com/heyat_cfuf")</f>
        <v>https://www.instagram.com/heyat_cfuf</v>
      </c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</row>
    <row r="2881">
      <c r="A2881" s="5"/>
      <c r="B2881" s="5"/>
      <c r="C2881" s="5" t="str">
        <f>IFERROR(__xludf.DUMMYFUNCTION("""COMPUTED_VALUE"""),"کوله بار مهربانی")</f>
        <v>کوله بار مهربانی</v>
      </c>
      <c r="D2881" s="5" t="str">
        <f>IFERROR(__xludf.DUMMYFUNCTION("""COMPUTED_VALUE"""),"خوزستان")</f>
        <v>خوزستان</v>
      </c>
      <c r="E2881" s="5" t="str">
        <f>IFERROR(__xludf.DUMMYFUNCTION("""COMPUTED_VALUE"""),"اهواز")</f>
        <v>اهواز</v>
      </c>
      <c r="F2881" s="5"/>
      <c r="G2881" s="5">
        <f>IFERROR(__xludf.DUMMYFUNCTION("""COMPUTED_VALUE"""),1.0)</f>
        <v>1</v>
      </c>
      <c r="H2881" s="6" t="str">
        <f>IFERROR(__xludf.DUMMYFUNCTION("""COMPUTED_VALUE"""),"https://www.instagram.com/koolebaremehrabanii/")</f>
        <v>https://www.instagram.com/koolebaremehrabanii/</v>
      </c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</row>
    <row r="2882">
      <c r="A2882" s="5"/>
      <c r="B2882" s="5" t="str">
        <f>IFERROR(__xludf.DUMMYFUNCTION("""COMPUTED_VALUE"""),"هیأت")</f>
        <v>هیأت</v>
      </c>
      <c r="C2882" s="5" t="str">
        <f>IFERROR(__xludf.DUMMYFUNCTION("""COMPUTED_VALUE"""),"گمنام های مهدوی")</f>
        <v>گمنام های مهدوی</v>
      </c>
      <c r="D2882" s="5" t="str">
        <f>IFERROR(__xludf.DUMMYFUNCTION("""COMPUTED_VALUE"""),"خوزستان")</f>
        <v>خوزستان</v>
      </c>
      <c r="E2882" s="5" t="str">
        <f>IFERROR(__xludf.DUMMYFUNCTION("""COMPUTED_VALUE"""),"اهواز")</f>
        <v>اهواز</v>
      </c>
      <c r="F2882" s="5"/>
      <c r="G2882" s="5">
        <f>IFERROR(__xludf.DUMMYFUNCTION("""COMPUTED_VALUE"""),1.0)</f>
        <v>1</v>
      </c>
      <c r="H2882" s="6" t="str">
        <f>IFERROR(__xludf.DUMMYFUNCTION("""COMPUTED_VALUE"""),"https://www.instagram.com/gomnaman_mahdavi/")</f>
        <v>https://www.instagram.com/gomnaman_mahdavi/</v>
      </c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</row>
    <row r="2883">
      <c r="A2883" s="5"/>
      <c r="B2883" s="5" t="str">
        <f>IFERROR(__xludf.DUMMYFUNCTION("""COMPUTED_VALUE"""),"هیأت ")</f>
        <v>هیأت </v>
      </c>
      <c r="C2883" s="5" t="str">
        <f>IFERROR(__xludf.DUMMYFUNCTION("""COMPUTED_VALUE"""),"لبیک یاحسین (ع)")</f>
        <v>لبیک یاحسین (ع)</v>
      </c>
      <c r="D2883" s="5" t="str">
        <f>IFERROR(__xludf.DUMMYFUNCTION("""COMPUTED_VALUE"""),"خوزستان")</f>
        <v>خوزستان</v>
      </c>
      <c r="E2883" s="5" t="str">
        <f>IFERROR(__xludf.DUMMYFUNCTION("""COMPUTED_VALUE"""),"اهواز")</f>
        <v>اهواز</v>
      </c>
      <c r="F2883" s="5"/>
      <c r="G2883" s="5">
        <f>IFERROR(__xludf.DUMMYFUNCTION("""COMPUTED_VALUE"""),1.0)</f>
        <v>1</v>
      </c>
      <c r="H2883" s="6" t="str">
        <f>IFERROR(__xludf.DUMMYFUNCTION("""COMPUTED_VALUE"""),"https://www.instagram.com/labbaik_ya_hosain/")</f>
        <v>https://www.instagram.com/labbaik_ya_hosain/</v>
      </c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</row>
    <row r="2884">
      <c r="A2884" s="5"/>
      <c r="B2884" s="5" t="str">
        <f>IFERROR(__xludf.DUMMYFUNCTION("""COMPUTED_VALUE"""),"هیأت ")</f>
        <v>هیأت </v>
      </c>
      <c r="C2884" s="5" t="str">
        <f>IFERROR(__xludf.DUMMYFUNCTION("""COMPUTED_VALUE"""),"مجمع عشاق اهل بیت(ع)")</f>
        <v>مجمع عشاق اهل بیت(ع)</v>
      </c>
      <c r="D2884" s="5" t="str">
        <f>IFERROR(__xludf.DUMMYFUNCTION("""COMPUTED_VALUE"""),"خوزستان")</f>
        <v>خوزستان</v>
      </c>
      <c r="E2884" s="5" t="str">
        <f>IFERROR(__xludf.DUMMYFUNCTION("""COMPUTED_VALUE"""),"اهواز")</f>
        <v>اهواز</v>
      </c>
      <c r="F2884" s="5"/>
      <c r="G2884" s="5">
        <f>IFERROR(__xludf.DUMMYFUNCTION("""COMPUTED_VALUE"""),1.0)</f>
        <v>1</v>
      </c>
      <c r="H2884" s="6" t="str">
        <f>IFERROR(__xludf.DUMMYFUNCTION("""COMPUTED_VALUE"""),"https://www.instagram.com/majmae_oshagh/")</f>
        <v>https://www.instagram.com/majmae_oshagh/</v>
      </c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</row>
    <row r="2885">
      <c r="A2885" s="5"/>
      <c r="B2885" s="5" t="str">
        <f>IFERROR(__xludf.DUMMYFUNCTION("""COMPUTED_VALUE"""),"هیأت ")</f>
        <v>هیأت </v>
      </c>
      <c r="C2885" s="5" t="str">
        <f>IFERROR(__xludf.DUMMYFUNCTION("""COMPUTED_VALUE"""),"محبان ابوالفضل العباس(ع)")</f>
        <v>محبان ابوالفضل العباس(ع)</v>
      </c>
      <c r="D2885" s="5" t="str">
        <f>IFERROR(__xludf.DUMMYFUNCTION("""COMPUTED_VALUE"""),"خوزستان")</f>
        <v>خوزستان</v>
      </c>
      <c r="E2885" s="5" t="str">
        <f>IFERROR(__xludf.DUMMYFUNCTION("""COMPUTED_VALUE"""),"اهواز")</f>
        <v>اهواز</v>
      </c>
      <c r="F2885" s="5"/>
      <c r="G2885" s="5">
        <f>IFERROR(__xludf.DUMMYFUNCTION("""COMPUTED_VALUE"""),1.0)</f>
        <v>1</v>
      </c>
      <c r="H2885" s="6" t="str">
        <f>IFERROR(__xludf.DUMMYFUNCTION("""COMPUTED_VALUE"""),"https://www.instagram.com/mohebandez/")</f>
        <v>https://www.instagram.com/mohebandez/</v>
      </c>
      <c r="I2885" s="6" t="str">
        <f>IFERROR(__xludf.DUMMYFUNCTION("""COMPUTED_VALUE"""),"tlgrm.me/mohebandez")</f>
        <v>tlgrm.me/mohebandez</v>
      </c>
      <c r="J2885" s="5"/>
      <c r="K2885" s="5"/>
      <c r="L2885" s="5"/>
      <c r="M2885" s="5"/>
      <c r="N2885" s="5"/>
      <c r="O2885" s="5"/>
      <c r="P2885" s="5"/>
      <c r="Q2885" s="5"/>
      <c r="R2885" s="5"/>
      <c r="S2885" s="5"/>
    </row>
    <row r="2886">
      <c r="A2886" s="5"/>
      <c r="B2886" s="5" t="str">
        <f>IFERROR(__xludf.DUMMYFUNCTION("""COMPUTED_VALUE"""),"هیأت")</f>
        <v>هیأت</v>
      </c>
      <c r="C2886" s="5" t="str">
        <f>IFERROR(__xludf.DUMMYFUNCTION("""COMPUTED_VALUE"""),"محبان ام البنین (س)")</f>
        <v>محبان ام البنین (س)</v>
      </c>
      <c r="D2886" s="5" t="str">
        <f>IFERROR(__xludf.DUMMYFUNCTION("""COMPUTED_VALUE"""),"خوزستان")</f>
        <v>خوزستان</v>
      </c>
      <c r="E2886" s="5" t="str">
        <f>IFERROR(__xludf.DUMMYFUNCTION("""COMPUTED_VALUE"""),"اهواز")</f>
        <v>اهواز</v>
      </c>
      <c r="F2886" s="5"/>
      <c r="G2886" s="5">
        <f>IFERROR(__xludf.DUMMYFUNCTION("""COMPUTED_VALUE"""),1.0)</f>
        <v>1</v>
      </c>
      <c r="H2886" s="6" t="str">
        <f>IFERROR(__xludf.DUMMYFUNCTION("""COMPUTED_VALUE"""),"https://www.instagram.com/mohebban_omalbanin/")</f>
        <v>https://www.instagram.com/mohebban_omalbanin/</v>
      </c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</row>
    <row r="2887">
      <c r="A2887" s="5">
        <f>IFERROR(__xludf.DUMMYFUNCTION("""COMPUTED_VALUE"""),31512.0)</f>
        <v>31512</v>
      </c>
      <c r="B2887" s="5" t="str">
        <f>IFERROR(__xludf.DUMMYFUNCTION("""COMPUTED_VALUE"""),"هیأت")</f>
        <v>هیأت</v>
      </c>
      <c r="C2887" s="5" t="str">
        <f>IFERROR(__xludf.DUMMYFUNCTION("""COMPUTED_VALUE"""),"محبین اهل البیت (ع)")</f>
        <v>محبین اهل البیت (ع)</v>
      </c>
      <c r="D2887" s="5" t="str">
        <f>IFERROR(__xludf.DUMMYFUNCTION("""COMPUTED_VALUE"""),"خوزستان")</f>
        <v>خوزستان</v>
      </c>
      <c r="E2887" s="5" t="str">
        <f>IFERROR(__xludf.DUMMYFUNCTION("""COMPUTED_VALUE"""),"اهواز")</f>
        <v>اهواز</v>
      </c>
      <c r="F2887" s="5"/>
      <c r="G2887" s="5">
        <f>IFERROR(__xludf.DUMMYFUNCTION("""COMPUTED_VALUE"""),1.0)</f>
        <v>1</v>
      </c>
      <c r="H2887" s="6" t="str">
        <f>IFERROR(__xludf.DUMMYFUNCTION("""COMPUTED_VALUE"""),"https://www.instagram.com/mohebin.ahlbait/")</f>
        <v>https://www.instagram.com/mohebin.ahlbait/</v>
      </c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</row>
    <row r="2888">
      <c r="A2888" s="5"/>
      <c r="B2888" s="5" t="str">
        <f>IFERROR(__xludf.DUMMYFUNCTION("""COMPUTED_VALUE"""),"هیأت")</f>
        <v>هیأت</v>
      </c>
      <c r="C2888" s="5" t="str">
        <f>IFERROR(__xludf.DUMMYFUNCTION("""COMPUTED_VALUE"""),"رهروان شهداء")</f>
        <v>رهروان شهداء</v>
      </c>
      <c r="D2888" s="5" t="str">
        <f>IFERROR(__xludf.DUMMYFUNCTION("""COMPUTED_VALUE"""),"خوزستان")</f>
        <v>خوزستان</v>
      </c>
      <c r="E2888" s="5" t="str">
        <f>IFERROR(__xludf.DUMMYFUNCTION("""COMPUTED_VALUE"""),"ایذه")</f>
        <v>ایذه</v>
      </c>
      <c r="F2888" s="5"/>
      <c r="G2888" s="5">
        <f>IFERROR(__xludf.DUMMYFUNCTION("""COMPUTED_VALUE"""),1.0)</f>
        <v>1</v>
      </c>
      <c r="H2888" s="6" t="str">
        <f>IFERROR(__xludf.DUMMYFUNCTION("""COMPUTED_VALUE"""),"https://www.instagram.com/rahrovanshohada_ir/")</f>
        <v>https://www.instagram.com/rahrovanshohada_ir/</v>
      </c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</row>
    <row r="2889">
      <c r="A2889" s="5"/>
      <c r="B2889" s="5" t="str">
        <f>IFERROR(__xludf.DUMMYFUNCTION("""COMPUTED_VALUE"""),"حسینیه")</f>
        <v>حسینیه</v>
      </c>
      <c r="C2889" s="5" t="str">
        <f>IFERROR(__xludf.DUMMYFUNCTION("""COMPUTED_VALUE"""),"فاطمه الزهرا(س)")</f>
        <v>فاطمه الزهرا(س)</v>
      </c>
      <c r="D2889" s="5" t="str">
        <f>IFERROR(__xludf.DUMMYFUNCTION("""COMPUTED_VALUE"""),"خوزستان")</f>
        <v>خوزستان</v>
      </c>
      <c r="E2889" s="5" t="str">
        <f>IFERROR(__xludf.DUMMYFUNCTION("""COMPUTED_VALUE"""),"ایذه")</f>
        <v>ایذه</v>
      </c>
      <c r="F2889" s="5"/>
      <c r="G2889" s="5">
        <f>IFERROR(__xludf.DUMMYFUNCTION("""COMPUTED_VALUE"""),1.0)</f>
        <v>1</v>
      </c>
      <c r="H2889" s="6" t="str">
        <f>IFERROR(__xludf.DUMMYFUNCTION("""COMPUTED_VALUE"""),"https://www.instagram.com/hoseynieh_fatematozahra/")</f>
        <v>https://www.instagram.com/hoseynieh_fatematozahra/</v>
      </c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</row>
    <row r="2890">
      <c r="A2890" s="5"/>
      <c r="B2890" s="5" t="str">
        <f>IFERROR(__xludf.DUMMYFUNCTION("""COMPUTED_VALUE"""),"هیأت")</f>
        <v>هیأت</v>
      </c>
      <c r="C2890" s="5" t="str">
        <f>IFERROR(__xludf.DUMMYFUNCTION("""COMPUTED_VALUE"""),"محبین‌الحسن(ع)")</f>
        <v>محبین‌الحسن(ع)</v>
      </c>
      <c r="D2890" s="5" t="str">
        <f>IFERROR(__xludf.DUMMYFUNCTION("""COMPUTED_VALUE"""),"خوزستان")</f>
        <v>خوزستان</v>
      </c>
      <c r="E2890" s="5" t="str">
        <f>IFERROR(__xludf.DUMMYFUNCTION("""COMPUTED_VALUE"""),"ایذه")</f>
        <v>ایذه</v>
      </c>
      <c r="F2890" s="5"/>
      <c r="G2890" s="5">
        <f>IFERROR(__xludf.DUMMYFUNCTION("""COMPUTED_VALUE"""),1.0)</f>
        <v>1</v>
      </c>
      <c r="H2890" s="6" t="str">
        <f>IFERROR(__xludf.DUMMYFUNCTION("""COMPUTED_VALUE"""),"https://www.instagram.com/mohebinolhasan.izeh")</f>
        <v>https://www.instagram.com/mohebinolhasan.izeh</v>
      </c>
      <c r="I2890" s="6" t="str">
        <f>IFERROR(__xludf.DUMMYFUNCTION("""COMPUTED_VALUE"""),"https://t.me/mohebinolhasanizeh")</f>
        <v>https://t.me/mohebinolhasanizeh</v>
      </c>
      <c r="J2890" s="6" t="str">
        <f>IFERROR(__xludf.DUMMYFUNCTION("""COMPUTED_VALUE"""),"https://eitaa.com/mohbinalhasan")</f>
        <v>https://eitaa.com/mohbinalhasan</v>
      </c>
      <c r="K2890" s="5"/>
      <c r="L2890" s="5"/>
      <c r="M2890" s="5"/>
      <c r="N2890" s="5"/>
      <c r="O2890" s="5"/>
      <c r="P2890" s="5"/>
      <c r="Q2890" s="5"/>
      <c r="R2890" s="5"/>
      <c r="S2890" s="5"/>
    </row>
    <row r="2891">
      <c r="A2891" s="5">
        <f>IFERROR(__xludf.DUMMYFUNCTION("""COMPUTED_VALUE"""),28606.0)</f>
        <v>28606</v>
      </c>
      <c r="B2891" s="5" t="str">
        <f>IFERROR(__xludf.DUMMYFUNCTION("""COMPUTED_VALUE"""),"هیأت")</f>
        <v>هیأت</v>
      </c>
      <c r="C2891" s="5" t="str">
        <f>IFERROR(__xludf.DUMMYFUNCTION("""COMPUTED_VALUE"""),"ابوالفضل عباس کفیل زینب خیط الرواس")</f>
        <v>ابوالفضل عباس کفیل زینب خیط الرواس</v>
      </c>
      <c r="D2891" s="5" t="str">
        <f>IFERROR(__xludf.DUMMYFUNCTION("""COMPUTED_VALUE"""),"خوزستان")</f>
        <v>خوزستان</v>
      </c>
      <c r="E2891" s="5" t="str">
        <f>IFERROR(__xludf.DUMMYFUNCTION("""COMPUTED_VALUE"""),"باوی")</f>
        <v>باوی</v>
      </c>
      <c r="F2891" s="5"/>
      <c r="G2891" s="5">
        <f>IFERROR(__xludf.DUMMYFUNCTION("""COMPUTED_VALUE"""),1.0)</f>
        <v>1</v>
      </c>
      <c r="H2891" s="6" t="str">
        <f>IFERROR(__xludf.DUMMYFUNCTION("""COMPUTED_VALUE"""),"https://www.instagram.com/hyytbwlfdllbskhfyl/")</f>
        <v>https://www.instagram.com/hyytbwlfdllbskhfyl/</v>
      </c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</row>
    <row r="2892">
      <c r="A2892" s="5"/>
      <c r="B2892" s="5" t="str">
        <f>IFERROR(__xludf.DUMMYFUNCTION("""COMPUTED_VALUE"""),"هیأت")</f>
        <v>هیأت</v>
      </c>
      <c r="C2892" s="5" t="str">
        <f>IFERROR(__xludf.DUMMYFUNCTION("""COMPUTED_VALUE"""),"جوادیون")</f>
        <v>جوادیون</v>
      </c>
      <c r="D2892" s="5" t="str">
        <f>IFERROR(__xludf.DUMMYFUNCTION("""COMPUTED_VALUE"""),"خوزستان")</f>
        <v>خوزستان</v>
      </c>
      <c r="E2892" s="5" t="str">
        <f>IFERROR(__xludf.DUMMYFUNCTION("""COMPUTED_VALUE"""),"بندر امام خمینی")</f>
        <v>بندر امام خمینی</v>
      </c>
      <c r="F2892" s="5"/>
      <c r="G2892" s="5">
        <f>IFERROR(__xludf.DUMMYFUNCTION("""COMPUTED_VALUE"""),1.0)</f>
        <v>1</v>
      </c>
      <c r="H2892" s="6" t="str">
        <f>IFERROR(__xludf.DUMMYFUNCTION("""COMPUTED_VALUE"""),"https://www.instagram.com/khaneh.javanan")</f>
        <v>https://www.instagram.com/khaneh.javanan</v>
      </c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</row>
    <row r="2893">
      <c r="A2893" s="5"/>
      <c r="B2893" s="5" t="str">
        <f>IFERROR(__xludf.DUMMYFUNCTION("""COMPUTED_VALUE"""),"حسینیه")</f>
        <v>حسینیه</v>
      </c>
      <c r="C2893" s="5" t="str">
        <f>IFERROR(__xludf.DUMMYFUNCTION("""COMPUTED_VALUE"""),"طالقانی")</f>
        <v>طالقانی</v>
      </c>
      <c r="D2893" s="5" t="str">
        <f>IFERROR(__xludf.DUMMYFUNCTION("""COMPUTED_VALUE"""),"خوزستان")</f>
        <v>خوزستان</v>
      </c>
      <c r="E2893" s="5" t="str">
        <f>IFERROR(__xludf.DUMMYFUNCTION("""COMPUTED_VALUE"""),"بندر امام خمینی")</f>
        <v>بندر امام خمینی</v>
      </c>
      <c r="F2893" s="5"/>
      <c r="G2893" s="5">
        <f>IFERROR(__xludf.DUMMYFUNCTION("""COMPUTED_VALUE"""),1.0)</f>
        <v>1</v>
      </c>
      <c r="H2893" s="6" t="str">
        <f>IFERROR(__xludf.DUMMYFUNCTION("""COMPUTED_VALUE"""),"https://www.instagram.com/hosseiniye.taleghani.bik")</f>
        <v>https://www.instagram.com/hosseiniye.taleghani.bik</v>
      </c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</row>
    <row r="2894">
      <c r="A2894" s="5"/>
      <c r="B2894" s="5" t="str">
        <f>IFERROR(__xludf.DUMMYFUNCTION("""COMPUTED_VALUE"""),"هیأت")</f>
        <v>هیأت</v>
      </c>
      <c r="C2894" s="5" t="str">
        <f>IFERROR(__xludf.DUMMYFUNCTION("""COMPUTED_VALUE"""),"علی الاکبر(ع)سادات")</f>
        <v>علی الاکبر(ع)سادات</v>
      </c>
      <c r="D2894" s="5" t="str">
        <f>IFERROR(__xludf.DUMMYFUNCTION("""COMPUTED_VALUE"""),"خوزستان")</f>
        <v>خوزستان</v>
      </c>
      <c r="E2894" s="5" t="str">
        <f>IFERROR(__xludf.DUMMYFUNCTION("""COMPUTED_VALUE"""),"بندر امام خمینی")</f>
        <v>بندر امام خمینی</v>
      </c>
      <c r="F2894" s="5"/>
      <c r="G2894" s="5">
        <f>IFERROR(__xludf.DUMMYFUNCTION("""COMPUTED_VALUE"""),1.0)</f>
        <v>1</v>
      </c>
      <c r="H2894" s="6" t="str">
        <f>IFERROR(__xludf.DUMMYFUNCTION("""COMPUTED_VALUE"""),"https://www.instagram.com/sydmhmdlkhrsn9/")</f>
        <v>https://www.instagram.com/sydmhmdlkhrsn9/</v>
      </c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</row>
    <row r="2895">
      <c r="A2895" s="5">
        <f>IFERROR(__xludf.DUMMYFUNCTION("""COMPUTED_VALUE"""),20739.0)</f>
        <v>20739</v>
      </c>
      <c r="B2895" s="5" t="str">
        <f>IFERROR(__xludf.DUMMYFUNCTION("""COMPUTED_VALUE"""),"هیأت")</f>
        <v>هیأت</v>
      </c>
      <c r="C2895" s="5" t="str">
        <f>IFERROR(__xludf.DUMMYFUNCTION("""COMPUTED_VALUE"""),"ثامن الحجج(ع)")</f>
        <v>ثامن الحجج(ع)</v>
      </c>
      <c r="D2895" s="5" t="str">
        <f>IFERROR(__xludf.DUMMYFUNCTION("""COMPUTED_VALUE"""),"خوزستان")</f>
        <v>خوزستان</v>
      </c>
      <c r="E2895" s="5" t="str">
        <f>IFERROR(__xludf.DUMMYFUNCTION("""COMPUTED_VALUE"""),"بندر ماهشهر")</f>
        <v>بندر ماهشهر</v>
      </c>
      <c r="F2895" s="5"/>
      <c r="G2895" s="5">
        <f>IFERROR(__xludf.DUMMYFUNCTION("""COMPUTED_VALUE"""),1.0)</f>
        <v>1</v>
      </c>
      <c r="H2895" s="6" t="str">
        <f>IFERROR(__xludf.DUMMYFUNCTION("""COMPUTED_VALUE"""),"https://www.instagram.com/samenalhojaj_mahshahr/")</f>
        <v>https://www.instagram.com/samenalhojaj_mahshahr/</v>
      </c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</row>
    <row r="2896">
      <c r="A2896" s="5">
        <f>IFERROR(__xludf.DUMMYFUNCTION("""COMPUTED_VALUE"""),30395.0)</f>
        <v>30395</v>
      </c>
      <c r="B2896" s="5" t="str">
        <f>IFERROR(__xludf.DUMMYFUNCTION("""COMPUTED_VALUE"""),"هیأت")</f>
        <v>هیأت</v>
      </c>
      <c r="C2896" s="5" t="str">
        <f>IFERROR(__xludf.DUMMYFUNCTION("""COMPUTED_VALUE"""),"محبان الزهرا (س)")</f>
        <v>محبان الزهرا (س)</v>
      </c>
      <c r="D2896" s="5" t="str">
        <f>IFERROR(__xludf.DUMMYFUNCTION("""COMPUTED_VALUE"""),"خوزستان")</f>
        <v>خوزستان</v>
      </c>
      <c r="E2896" s="5" t="str">
        <f>IFERROR(__xludf.DUMMYFUNCTION("""COMPUTED_VALUE"""),"بندر ماهشهر")</f>
        <v>بندر ماهشهر</v>
      </c>
      <c r="F2896" s="5" t="str">
        <f>IFERROR(__xludf.DUMMYFUNCTION("""COMPUTED_VALUE"""),"مسجد شهدا ماهشهر")</f>
        <v>مسجد شهدا ماهشهر</v>
      </c>
      <c r="G2896" s="5">
        <f>IFERROR(__xludf.DUMMYFUNCTION("""COMPUTED_VALUE"""),1.0)</f>
        <v>1</v>
      </c>
      <c r="H2896" s="6" t="str">
        <f>IFERROR(__xludf.DUMMYFUNCTION("""COMPUTED_VALUE"""),"https://www.instagram.com/masjed.shohada.mahshahr/")</f>
        <v>https://www.instagram.com/masjed.shohada.mahshahr/</v>
      </c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</row>
    <row r="2897">
      <c r="A2897" s="5"/>
      <c r="B2897" s="5" t="str">
        <f>IFERROR(__xludf.DUMMYFUNCTION("""COMPUTED_VALUE"""),"هیأت ")</f>
        <v>هیأت </v>
      </c>
      <c r="C2897" s="5" t="str">
        <f>IFERROR(__xludf.DUMMYFUNCTION("""COMPUTED_VALUE"""),"رایه العباس (ع)")</f>
        <v>رایه العباس (ع)</v>
      </c>
      <c r="D2897" s="5" t="str">
        <f>IFERROR(__xludf.DUMMYFUNCTION("""COMPUTED_VALUE"""),"خوزستان")</f>
        <v>خوزستان</v>
      </c>
      <c r="E2897" s="5" t="str">
        <f>IFERROR(__xludf.DUMMYFUNCTION("""COMPUTED_VALUE"""),"بندرامام خمینی")</f>
        <v>بندرامام خمینی</v>
      </c>
      <c r="F2897" s="5"/>
      <c r="G2897" s="5">
        <f>IFERROR(__xludf.DUMMYFUNCTION("""COMPUTED_VALUE"""),1.0)</f>
        <v>1</v>
      </c>
      <c r="H2897" s="6" t="str">
        <f>IFERROR(__xludf.DUMMYFUNCTION("""COMPUTED_VALUE"""),"http://instagram.com/heyat_rayatolabas/")</f>
        <v>http://instagram.com/heyat_rayatolabas/</v>
      </c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</row>
    <row r="2898">
      <c r="A2898" s="5"/>
      <c r="B2898" s="5" t="str">
        <f>IFERROR(__xludf.DUMMYFUNCTION("""COMPUTED_VALUE"""),"هیأت ")</f>
        <v>هیأت </v>
      </c>
      <c r="C2898" s="5" t="str">
        <f>IFERROR(__xludf.DUMMYFUNCTION("""COMPUTED_VALUE"""),"انصارالمهدی (عج)")</f>
        <v>انصارالمهدی (عج)</v>
      </c>
      <c r="D2898" s="5" t="str">
        <f>IFERROR(__xludf.DUMMYFUNCTION("""COMPUTED_VALUE"""),"خوزستان")</f>
        <v>خوزستان</v>
      </c>
      <c r="E2898" s="5" t="str">
        <f>IFERROR(__xludf.DUMMYFUNCTION("""COMPUTED_VALUE"""),"بندرماهشهر")</f>
        <v>بندرماهشهر</v>
      </c>
      <c r="F2898" s="5"/>
      <c r="G2898" s="5">
        <f>IFERROR(__xludf.DUMMYFUNCTION("""COMPUTED_VALUE"""),1.0)</f>
        <v>1</v>
      </c>
      <c r="H2898" s="6" t="str">
        <f>IFERROR(__xludf.DUMMYFUNCTION("""COMPUTED_VALUE"""),"https://www.instagram.com/ansarolmahdi_mahshahr/")</f>
        <v>https://www.instagram.com/ansarolmahdi_mahshahr/</v>
      </c>
      <c r="I2898" s="6" t="str">
        <f>IFERROR(__xludf.DUMMYFUNCTION("""COMPUTED_VALUE"""),"telegram.me/ansaralmahdi14")</f>
        <v>telegram.me/ansaralmahdi14</v>
      </c>
      <c r="J2898" s="5"/>
      <c r="K2898" s="5"/>
      <c r="L2898" s="5"/>
      <c r="M2898" s="5"/>
      <c r="N2898" s="5"/>
      <c r="O2898" s="5"/>
      <c r="P2898" s="5"/>
      <c r="Q2898" s="5"/>
      <c r="R2898" s="5"/>
      <c r="S2898" s="5"/>
    </row>
    <row r="2899">
      <c r="A2899" s="5">
        <f>IFERROR(__xludf.DUMMYFUNCTION("""COMPUTED_VALUE"""),32334.0)</f>
        <v>32334</v>
      </c>
      <c r="B2899" s="5" t="str">
        <f>IFERROR(__xludf.DUMMYFUNCTION("""COMPUTED_VALUE"""),"هیأت")</f>
        <v>هیأت</v>
      </c>
      <c r="C2899" s="5" t="str">
        <f>IFERROR(__xludf.DUMMYFUNCTION("""COMPUTED_VALUE"""),"حضرت زهرا (س)")</f>
        <v>حضرت زهرا (س)</v>
      </c>
      <c r="D2899" s="5" t="str">
        <f>IFERROR(__xludf.DUMMYFUNCTION("""COMPUTED_VALUE"""),"خوزستان")</f>
        <v>خوزستان</v>
      </c>
      <c r="E2899" s="5" t="str">
        <f>IFERROR(__xludf.DUMMYFUNCTION("""COMPUTED_VALUE"""),"بندرماهشهر")</f>
        <v>بندرماهشهر</v>
      </c>
      <c r="F2899" s="5"/>
      <c r="G2899" s="5">
        <f>IFERROR(__xludf.DUMMYFUNCTION("""COMPUTED_VALUE"""),1.0)</f>
        <v>1</v>
      </c>
      <c r="H2899" s="6" t="str">
        <f>IFERROR(__xludf.DUMMYFUNCTION("""COMPUTED_VALUE"""),"https://www.instagram.com/hyat.alzahrea/")</f>
        <v>https://www.instagram.com/hyat.alzahrea/</v>
      </c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</row>
    <row r="2900">
      <c r="A2900" s="5">
        <f>IFERROR(__xludf.DUMMYFUNCTION("""COMPUTED_VALUE"""),31313.0)</f>
        <v>31313</v>
      </c>
      <c r="B2900" s="5" t="str">
        <f>IFERROR(__xludf.DUMMYFUNCTION("""COMPUTED_VALUE"""),"هیأت")</f>
        <v>هیأت</v>
      </c>
      <c r="C2900" s="5" t="str">
        <f>IFERROR(__xludf.DUMMYFUNCTION("""COMPUTED_VALUE"""),"زین العابدین (ع)")</f>
        <v>زین العابدین (ع)</v>
      </c>
      <c r="D2900" s="5" t="str">
        <f>IFERROR(__xludf.DUMMYFUNCTION("""COMPUTED_VALUE"""),"خوزستان")</f>
        <v>خوزستان</v>
      </c>
      <c r="E2900" s="5" t="str">
        <f>IFERROR(__xludf.DUMMYFUNCTION("""COMPUTED_VALUE"""),"بندرماهشهر")</f>
        <v>بندرماهشهر</v>
      </c>
      <c r="F2900" s="5"/>
      <c r="G2900" s="5">
        <f>IFERROR(__xludf.DUMMYFUNCTION("""COMPUTED_VALUE"""),1.0)</f>
        <v>1</v>
      </c>
      <c r="H2900" s="6" t="str">
        <f>IFERROR(__xludf.DUMMYFUNCTION("""COMPUTED_VALUE"""),"https://www.instagram.com/mahshahr_zinalabedin/")</f>
        <v>https://www.instagram.com/mahshahr_zinalabedin/</v>
      </c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</row>
    <row r="2901">
      <c r="A2901" s="5">
        <f>IFERROR(__xludf.DUMMYFUNCTION("""COMPUTED_VALUE"""),29513.0)</f>
        <v>29513</v>
      </c>
      <c r="B2901" s="5" t="str">
        <f>IFERROR(__xludf.DUMMYFUNCTION("""COMPUTED_VALUE"""),"هیأت")</f>
        <v>هیأت</v>
      </c>
      <c r="C2901" s="5" t="str">
        <f>IFERROR(__xludf.DUMMYFUNCTION("""COMPUTED_VALUE"""),"امام حسن مجتبی (ع) منصوریه")</f>
        <v>امام حسن مجتبی (ع) منصوریه</v>
      </c>
      <c r="D2901" s="5" t="str">
        <f>IFERROR(__xludf.DUMMYFUNCTION("""COMPUTED_VALUE"""),"خوزستان")</f>
        <v>خوزستان</v>
      </c>
      <c r="E2901" s="5" t="str">
        <f>IFERROR(__xludf.DUMMYFUNCTION("""COMPUTED_VALUE"""),"بهبهان")</f>
        <v>بهبهان</v>
      </c>
      <c r="F2901" s="5"/>
      <c r="G2901" s="5">
        <f>IFERROR(__xludf.DUMMYFUNCTION("""COMPUTED_VALUE"""),1.0)</f>
        <v>1</v>
      </c>
      <c r="H2901" s="6" t="str">
        <f>IFERROR(__xludf.DUMMYFUNCTION("""COMPUTED_VALUE"""),"https://www.instagram.com/heyat_emam_hasan95/")</f>
        <v>https://www.instagram.com/heyat_emam_hasan95/</v>
      </c>
      <c r="I2901" s="6" t="str">
        <f>IFERROR(__xludf.DUMMYFUNCTION("""COMPUTED_VALUE"""),"t.me/heyat_emam_hasan_95")</f>
        <v>t.me/heyat_emam_hasan_95</v>
      </c>
      <c r="J2901" s="5"/>
      <c r="K2901" s="5"/>
      <c r="L2901" s="5"/>
      <c r="M2901" s="5"/>
      <c r="N2901" s="5"/>
      <c r="O2901" s="5"/>
      <c r="P2901" s="5"/>
      <c r="Q2901" s="5"/>
      <c r="R2901" s="5"/>
      <c r="S2901" s="5"/>
    </row>
    <row r="2902">
      <c r="A2902" s="5"/>
      <c r="B2902" s="5" t="str">
        <f>IFERROR(__xludf.DUMMYFUNCTION("""COMPUTED_VALUE"""),"هیأت")</f>
        <v>هیأت</v>
      </c>
      <c r="C2902" s="5" t="str">
        <f>IFERROR(__xludf.DUMMYFUNCTION("""COMPUTED_VALUE"""),"بیت العباس ع")</f>
        <v>بیت العباس ع</v>
      </c>
      <c r="D2902" s="5" t="str">
        <f>IFERROR(__xludf.DUMMYFUNCTION("""COMPUTED_VALUE"""),"خوزستان")</f>
        <v>خوزستان</v>
      </c>
      <c r="E2902" s="5" t="str">
        <f>IFERROR(__xludf.DUMMYFUNCTION("""COMPUTED_VALUE"""),"بهبهان")</f>
        <v>بهبهان</v>
      </c>
      <c r="F2902" s="5"/>
      <c r="G2902" s="5">
        <f>IFERROR(__xludf.DUMMYFUNCTION("""COMPUTED_VALUE"""),1.0)</f>
        <v>1</v>
      </c>
      <c r="H2902" s="6" t="str">
        <f>IFERROR(__xludf.DUMMYFUNCTION("""COMPUTED_VALUE"""),"https://www.instagram.com/beitolabbas_heiat")</f>
        <v>https://www.instagram.com/beitolabbas_heiat</v>
      </c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</row>
    <row r="2903">
      <c r="A2903" s="5"/>
      <c r="B2903" s="5" t="str">
        <f>IFERROR(__xludf.DUMMYFUNCTION("""COMPUTED_VALUE"""),"هیأت")</f>
        <v>هیأت</v>
      </c>
      <c r="C2903" s="5" t="str">
        <f>IFERROR(__xludf.DUMMYFUNCTION("""COMPUTED_VALUE"""),"جنت الحسین (ع)")</f>
        <v>جنت الحسین (ع)</v>
      </c>
      <c r="D2903" s="5" t="str">
        <f>IFERROR(__xludf.DUMMYFUNCTION("""COMPUTED_VALUE"""),"خوزستان")</f>
        <v>خوزستان</v>
      </c>
      <c r="E2903" s="5" t="str">
        <f>IFERROR(__xludf.DUMMYFUNCTION("""COMPUTED_VALUE"""),"بهبهان")</f>
        <v>بهبهان</v>
      </c>
      <c r="F2903" s="5"/>
      <c r="G2903" s="5">
        <f>IFERROR(__xludf.DUMMYFUNCTION("""COMPUTED_VALUE"""),1.0)</f>
        <v>1</v>
      </c>
      <c r="H2903" s="6" t="str">
        <f>IFERROR(__xludf.DUMMYFUNCTION("""COMPUTED_VALUE"""),"https://www.instagram.com/jannatt_al_hossein/")</f>
        <v>https://www.instagram.com/jannatt_al_hossein/</v>
      </c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</row>
    <row r="2904">
      <c r="A2904" s="5"/>
      <c r="B2904" s="5" t="str">
        <f>IFERROR(__xludf.DUMMYFUNCTION("""COMPUTED_VALUE"""),"هیأت ")</f>
        <v>هیأت </v>
      </c>
      <c r="C2904" s="5" t="str">
        <f>IFERROR(__xludf.DUMMYFUNCTION("""COMPUTED_VALUE"""),"جنت الحسین (ع)")</f>
        <v>جنت الحسین (ع)</v>
      </c>
      <c r="D2904" s="5" t="str">
        <f>IFERROR(__xludf.DUMMYFUNCTION("""COMPUTED_VALUE"""),"خوزستان")</f>
        <v>خوزستان</v>
      </c>
      <c r="E2904" s="5" t="str">
        <f>IFERROR(__xludf.DUMMYFUNCTION("""COMPUTED_VALUE"""),"بهبهان")</f>
        <v>بهبهان</v>
      </c>
      <c r="F2904" s="5"/>
      <c r="G2904" s="5">
        <f>IFERROR(__xludf.DUMMYFUNCTION("""COMPUTED_VALUE"""),1.0)</f>
        <v>1</v>
      </c>
      <c r="H2904" s="5"/>
      <c r="I2904" s="5"/>
      <c r="J2904" s="6" t="str">
        <f>IFERROR(__xludf.DUMMYFUNCTION("""COMPUTED_VALUE"""),"https://eitaa.com/jannat_info")</f>
        <v>https://eitaa.com/jannat_info</v>
      </c>
      <c r="K2904" s="5"/>
      <c r="L2904" s="5"/>
      <c r="M2904" s="5"/>
      <c r="N2904" s="5"/>
      <c r="O2904" s="5"/>
      <c r="P2904" s="5"/>
      <c r="Q2904" s="5"/>
      <c r="R2904" s="5"/>
      <c r="S2904" s="5"/>
    </row>
    <row r="2905">
      <c r="A2905" s="5"/>
      <c r="B2905" s="5" t="str">
        <f>IFERROR(__xludf.DUMMYFUNCTION("""COMPUTED_VALUE"""),"هیأت")</f>
        <v>هیأت</v>
      </c>
      <c r="C2905" s="5" t="str">
        <f>IFERROR(__xludf.DUMMYFUNCTION("""COMPUTED_VALUE"""),"جنت‌الحسین‌(علیہ‌السلام)")</f>
        <v>جنت‌الحسین‌(علیہ‌السلام)</v>
      </c>
      <c r="D2905" s="5" t="str">
        <f>IFERROR(__xludf.DUMMYFUNCTION("""COMPUTED_VALUE"""),"خوزستان")</f>
        <v>خوزستان</v>
      </c>
      <c r="E2905" s="5" t="str">
        <f>IFERROR(__xludf.DUMMYFUNCTION("""COMPUTED_VALUE"""),"بهبهان")</f>
        <v>بهبهان</v>
      </c>
      <c r="F2905" s="5"/>
      <c r="G2905" s="5">
        <f>IFERROR(__xludf.DUMMYFUNCTION("""COMPUTED_VALUE"""),1.0)</f>
        <v>1</v>
      </c>
      <c r="H2905" s="6" t="str">
        <f>IFERROR(__xludf.DUMMYFUNCTION("""COMPUTED_VALUE"""),"https://www.instagram.com/jannat_info")</f>
        <v>https://www.instagram.com/jannat_info</v>
      </c>
      <c r="I2905" s="6" t="str">
        <f>IFERROR(__xludf.DUMMYFUNCTION("""COMPUTED_VALUE"""),"https://t.me/jannat_info")</f>
        <v>https://t.me/jannat_info</v>
      </c>
      <c r="J2905" s="5"/>
      <c r="K2905" s="5"/>
      <c r="L2905" s="5"/>
      <c r="M2905" s="5"/>
      <c r="N2905" s="5"/>
      <c r="O2905" s="5"/>
      <c r="P2905" s="5"/>
      <c r="Q2905" s="5"/>
      <c r="R2905" s="5"/>
      <c r="S2905" s="5"/>
    </row>
    <row r="2906">
      <c r="A2906" s="5"/>
      <c r="B2906" s="5" t="str">
        <f>IFERROR(__xludf.DUMMYFUNCTION("""COMPUTED_VALUE"""),"هیأت")</f>
        <v>هیأت</v>
      </c>
      <c r="C2906" s="5" t="str">
        <f>IFERROR(__xludf.DUMMYFUNCTION("""COMPUTED_VALUE"""),"حضرت عباس(ع)")</f>
        <v>حضرت عباس(ع)</v>
      </c>
      <c r="D2906" s="5" t="str">
        <f>IFERROR(__xludf.DUMMYFUNCTION("""COMPUTED_VALUE"""),"خوزستان")</f>
        <v>خوزستان</v>
      </c>
      <c r="E2906" s="5" t="str">
        <f>IFERROR(__xludf.DUMMYFUNCTION("""COMPUTED_VALUE"""),"بهبهان")</f>
        <v>بهبهان</v>
      </c>
      <c r="F2906" s="5"/>
      <c r="G2906" s="5">
        <f>IFERROR(__xludf.DUMMYFUNCTION("""COMPUTED_VALUE"""),1.0)</f>
        <v>1</v>
      </c>
      <c r="H2906" s="6" t="str">
        <f>IFERROR(__xludf.DUMMYFUNCTION("""COMPUTED_VALUE"""),"https://www.instagram.com/heyat_1384")</f>
        <v>https://www.instagram.com/heyat_1384</v>
      </c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</row>
    <row r="2907">
      <c r="A2907" s="5"/>
      <c r="B2907" s="5" t="str">
        <f>IFERROR(__xludf.DUMMYFUNCTION("""COMPUTED_VALUE"""),"مسجد")</f>
        <v>مسجد</v>
      </c>
      <c r="C2907" s="5" t="str">
        <f>IFERROR(__xludf.DUMMYFUNCTION("""COMPUTED_VALUE"""),"خاتم‌ الانبیاء(ص)")</f>
        <v>خاتم‌ الانبیاء(ص)</v>
      </c>
      <c r="D2907" s="5" t="str">
        <f>IFERROR(__xludf.DUMMYFUNCTION("""COMPUTED_VALUE"""),"خوزستان")</f>
        <v>خوزستان</v>
      </c>
      <c r="E2907" s="5" t="str">
        <f>IFERROR(__xludf.DUMMYFUNCTION("""COMPUTED_VALUE"""),"بهبهان")</f>
        <v>بهبهان</v>
      </c>
      <c r="F2907" s="5"/>
      <c r="G2907" s="5">
        <f>IFERROR(__xludf.DUMMYFUNCTION("""COMPUTED_VALUE"""),1.0)</f>
        <v>1</v>
      </c>
      <c r="H2907" s="6" t="str">
        <f>IFERROR(__xludf.DUMMYFUNCTION("""COMPUTED_VALUE"""),"https://www.instagram.com/khatamolanbia_behbahan")</f>
        <v>https://www.instagram.com/khatamolanbia_behbahan</v>
      </c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</row>
    <row r="2908">
      <c r="A2908" s="5"/>
      <c r="B2908" s="5" t="str">
        <f>IFERROR(__xludf.DUMMYFUNCTION("""COMPUTED_VALUE"""),"هیأت ")</f>
        <v>هیأت </v>
      </c>
      <c r="C2908" s="5" t="str">
        <f>IFERROR(__xludf.DUMMYFUNCTION("""COMPUTED_VALUE"""),"خادم امام زاده فضل")</f>
        <v>خادم امام زاده فضل</v>
      </c>
      <c r="D2908" s="5" t="str">
        <f>IFERROR(__xludf.DUMMYFUNCTION("""COMPUTED_VALUE"""),"خوزستان")</f>
        <v>خوزستان</v>
      </c>
      <c r="E2908" s="5" t="str">
        <f>IFERROR(__xludf.DUMMYFUNCTION("""COMPUTED_VALUE"""),"بهبهان")</f>
        <v>بهبهان</v>
      </c>
      <c r="F2908" s="5"/>
      <c r="G2908" s="5">
        <f>IFERROR(__xludf.DUMMYFUNCTION("""COMPUTED_VALUE"""),1.0)</f>
        <v>1</v>
      </c>
      <c r="H2908" s="6" t="str">
        <f>IFERROR(__xludf.DUMMYFUNCTION("""COMPUTED_VALUE"""),"https://www.instagram.com/mehdi.f_m.behbahan2145/")</f>
        <v>https://www.instagram.com/mehdi.f_m.behbahan2145/</v>
      </c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</row>
    <row r="2909">
      <c r="A2909" s="5"/>
      <c r="B2909" s="5" t="str">
        <f>IFERROR(__xludf.DUMMYFUNCTION("""COMPUTED_VALUE"""),"هیأت")</f>
        <v>هیأت</v>
      </c>
      <c r="C2909" s="5" t="str">
        <f>IFERROR(__xludf.DUMMYFUNCTION("""COMPUTED_VALUE"""),"دمعة الرُقیَة (س)")</f>
        <v>دمعة الرُقیَة (س)</v>
      </c>
      <c r="D2909" s="5" t="str">
        <f>IFERROR(__xludf.DUMMYFUNCTION("""COMPUTED_VALUE"""),"خوزستان")</f>
        <v>خوزستان</v>
      </c>
      <c r="E2909" s="5" t="str">
        <f>IFERROR(__xludf.DUMMYFUNCTION("""COMPUTED_VALUE"""),"بهبهان")</f>
        <v>بهبهان</v>
      </c>
      <c r="F2909" s="5"/>
      <c r="G2909" s="5">
        <f>IFERROR(__xludf.DUMMYFUNCTION("""COMPUTED_VALUE"""),1.0)</f>
        <v>1</v>
      </c>
      <c r="H2909" s="6" t="str">
        <f>IFERROR(__xludf.DUMMYFUNCTION("""COMPUTED_VALUE"""),"https://www.instagram.com/damat_alruqayyeh")</f>
        <v>https://www.instagram.com/damat_alruqayyeh</v>
      </c>
      <c r="I2909" s="6" t="str">
        <f>IFERROR(__xludf.DUMMYFUNCTION("""COMPUTED_VALUE"""),"https://t.me/damat_alruqayyeh")</f>
        <v>https://t.me/damat_alruqayyeh</v>
      </c>
      <c r="J2909" s="5"/>
      <c r="K2909" s="5"/>
      <c r="L2909" s="5"/>
      <c r="M2909" s="5"/>
      <c r="N2909" s="5"/>
      <c r="O2909" s="5"/>
      <c r="P2909" s="5"/>
      <c r="Q2909" s="5"/>
      <c r="R2909" s="5"/>
      <c r="S2909" s="5"/>
    </row>
    <row r="2910">
      <c r="A2910" s="5"/>
      <c r="B2910" s="5" t="str">
        <f>IFERROR(__xludf.DUMMYFUNCTION("""COMPUTED_VALUE"""),"هیأت")</f>
        <v>هیأت</v>
      </c>
      <c r="C2910" s="5" t="str">
        <f>IFERROR(__xludf.DUMMYFUNCTION("""COMPUTED_VALUE"""),"رایةالعباس(ع)")</f>
        <v>رایةالعباس(ع)</v>
      </c>
      <c r="D2910" s="5" t="str">
        <f>IFERROR(__xludf.DUMMYFUNCTION("""COMPUTED_VALUE"""),"خوزستان")</f>
        <v>خوزستان</v>
      </c>
      <c r="E2910" s="5" t="str">
        <f>IFERROR(__xludf.DUMMYFUNCTION("""COMPUTED_VALUE"""),"بهبهان")</f>
        <v>بهبهان</v>
      </c>
      <c r="F2910" s="5" t="str">
        <f>IFERROR(__xludf.DUMMYFUNCTION("""COMPUTED_VALUE"""),"منصوریه")</f>
        <v>منصوریه</v>
      </c>
      <c r="G2910" s="5">
        <f>IFERROR(__xludf.DUMMYFUNCTION("""COMPUTED_VALUE"""),1.0)</f>
        <v>1</v>
      </c>
      <c r="H2910" s="6" t="str">
        <f>IFERROR(__xludf.DUMMYFUNCTION("""COMPUTED_VALUE"""),"https://www.instagram.com/rayat86man")</f>
        <v>https://www.instagram.com/rayat86man</v>
      </c>
      <c r="I2910" s="6" t="str">
        <f>IFERROR(__xludf.DUMMYFUNCTION("""COMPUTED_VALUE"""),"https://t.me/rayat86man")</f>
        <v>https://t.me/rayat86man</v>
      </c>
      <c r="J2910" s="5" t="str">
        <f>IFERROR(__xludf.DUMMYFUNCTION("""COMPUTED_VALUE"""),"rayat86man")</f>
        <v>rayat86man</v>
      </c>
      <c r="K2910" s="5"/>
      <c r="L2910" s="5"/>
      <c r="M2910" s="5"/>
      <c r="N2910" s="5"/>
      <c r="O2910" s="5"/>
      <c r="P2910" s="5"/>
      <c r="Q2910" s="5"/>
      <c r="R2910" s="5"/>
      <c r="S2910" s="5"/>
    </row>
    <row r="2911">
      <c r="A2911" s="5"/>
      <c r="B2911" s="5" t="str">
        <f>IFERROR(__xludf.DUMMYFUNCTION("""COMPUTED_VALUE"""),"هیأت")</f>
        <v>هیأت</v>
      </c>
      <c r="C2911" s="5" t="str">
        <f>IFERROR(__xludf.DUMMYFUNCTION("""COMPUTED_VALUE"""),"رزمندگان اسلام")</f>
        <v>رزمندگان اسلام</v>
      </c>
      <c r="D2911" s="5" t="str">
        <f>IFERROR(__xludf.DUMMYFUNCTION("""COMPUTED_VALUE"""),"خوزستان")</f>
        <v>خوزستان</v>
      </c>
      <c r="E2911" s="5" t="str">
        <f>IFERROR(__xludf.DUMMYFUNCTION("""COMPUTED_VALUE"""),"بهبهان")</f>
        <v>بهبهان</v>
      </c>
      <c r="F2911" s="5"/>
      <c r="G2911" s="5">
        <f>IFERROR(__xludf.DUMMYFUNCTION("""COMPUTED_VALUE"""),1.0)</f>
        <v>1</v>
      </c>
      <c r="H2911" s="6" t="str">
        <f>IFERROR(__xludf.DUMMYFUNCTION("""COMPUTED_VALUE"""),"https://www.instagram.com/razmandegan.behbahan/")</f>
        <v>https://www.instagram.com/razmandegan.behbahan/</v>
      </c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</row>
    <row r="2912">
      <c r="A2912" s="5"/>
      <c r="B2912" s="5" t="str">
        <f>IFERROR(__xludf.DUMMYFUNCTION("""COMPUTED_VALUE"""),"هیأت")</f>
        <v>هیأت</v>
      </c>
      <c r="C2912" s="5" t="str">
        <f>IFERROR(__xludf.DUMMYFUNCTION("""COMPUTED_VALUE"""),"روضة العباس (ع)")</f>
        <v>روضة العباس (ع)</v>
      </c>
      <c r="D2912" s="5" t="str">
        <f>IFERROR(__xludf.DUMMYFUNCTION("""COMPUTED_VALUE"""),"خوزستان")</f>
        <v>خوزستان</v>
      </c>
      <c r="E2912" s="5" t="str">
        <f>IFERROR(__xludf.DUMMYFUNCTION("""COMPUTED_VALUE"""),"بهبهان")</f>
        <v>بهبهان</v>
      </c>
      <c r="F2912" s="5"/>
      <c r="G2912" s="5">
        <f>IFERROR(__xludf.DUMMYFUNCTION("""COMPUTED_VALUE"""),1.0)</f>
        <v>1</v>
      </c>
      <c r="H2912" s="6" t="str">
        <f>IFERROR(__xludf.DUMMYFUNCTION("""COMPUTED_VALUE"""),"https://www.instagram.com/rozatolabas.behbahan")</f>
        <v>https://www.instagram.com/rozatolabas.behbahan</v>
      </c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</row>
    <row r="2913">
      <c r="A2913" s="5"/>
      <c r="B2913" s="5" t="str">
        <f>IFERROR(__xludf.DUMMYFUNCTION("""COMPUTED_VALUE"""),"هیأت دانشجویی")</f>
        <v>هیأت دانشجویی</v>
      </c>
      <c r="C2913" s="5" t="str">
        <f>IFERROR(__xludf.DUMMYFUNCTION("""COMPUTED_VALUE"""),"عاشقان ثارالله")</f>
        <v>عاشقان ثارالله</v>
      </c>
      <c r="D2913" s="5" t="str">
        <f>IFERROR(__xludf.DUMMYFUNCTION("""COMPUTED_VALUE"""),"خوزستان")</f>
        <v>خوزستان</v>
      </c>
      <c r="E2913" s="5" t="str">
        <f>IFERROR(__xludf.DUMMYFUNCTION("""COMPUTED_VALUE"""),"بهبهان")</f>
        <v>بهبهان</v>
      </c>
      <c r="F2913" s="5" t="str">
        <f>IFERROR(__xludf.DUMMYFUNCTION("""COMPUTED_VALUE"""),"دانشگاه فرهنگیان امام جعفر صادق بهبهان")</f>
        <v>دانشگاه فرهنگیان امام جعفر صادق بهبهان</v>
      </c>
      <c r="G2913" s="5">
        <f>IFERROR(__xludf.DUMMYFUNCTION("""COMPUTED_VALUE"""),1.0)</f>
        <v>1</v>
      </c>
      <c r="H2913" s="6" t="str">
        <f>IFERROR(__xludf.DUMMYFUNCTION("""COMPUTED_VALUE"""),"https://www.instagram.com/cfu_heyat")</f>
        <v>https://www.instagram.com/cfu_heyat</v>
      </c>
      <c r="I2913" s="5"/>
      <c r="J2913" s="6" t="str">
        <f>IFERROR(__xludf.DUMMYFUNCTION("""COMPUTED_VALUE"""),"https://ble.ir/cfu_heyat")</f>
        <v>https://ble.ir/cfu_heyat</v>
      </c>
      <c r="K2913" s="5"/>
      <c r="L2913" s="5"/>
      <c r="M2913" s="5"/>
      <c r="N2913" s="5"/>
      <c r="O2913" s="5"/>
      <c r="P2913" s="5"/>
      <c r="Q2913" s="5"/>
      <c r="R2913" s="5"/>
      <c r="S2913" s="5"/>
    </row>
    <row r="2914">
      <c r="A2914" s="5"/>
      <c r="B2914" s="5" t="str">
        <f>IFERROR(__xludf.DUMMYFUNCTION("""COMPUTED_VALUE"""),"هیأت ")</f>
        <v>هیأت </v>
      </c>
      <c r="C2914" s="5" t="str">
        <f>IFERROR(__xludf.DUMMYFUNCTION("""COMPUTED_VALUE"""),"عاشقان ثارالله(ع)")</f>
        <v>عاشقان ثارالله(ع)</v>
      </c>
      <c r="D2914" s="5" t="str">
        <f>IFERROR(__xludf.DUMMYFUNCTION("""COMPUTED_VALUE"""),"خوزستان")</f>
        <v>خوزستان</v>
      </c>
      <c r="E2914" s="5" t="str">
        <f>IFERROR(__xludf.DUMMYFUNCTION("""COMPUTED_VALUE"""),"بهبهان")</f>
        <v>بهبهان</v>
      </c>
      <c r="F2914" s="5"/>
      <c r="G2914" s="5">
        <f>IFERROR(__xludf.DUMMYFUNCTION("""COMPUTED_VALUE"""),1.0)</f>
        <v>1</v>
      </c>
      <c r="H2914" s="6" t="str">
        <f>IFERROR(__xludf.DUMMYFUNCTION("""COMPUTED_VALUE"""),"https://www.instagram.com/h_asheghan_sarallah/")</f>
        <v>https://www.instagram.com/h_asheghan_sarallah/</v>
      </c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</row>
    <row r="2915">
      <c r="A2915" s="5"/>
      <c r="B2915" s="5" t="str">
        <f>IFERROR(__xludf.DUMMYFUNCTION("""COMPUTED_VALUE"""),"هیأت ")</f>
        <v>هیأت </v>
      </c>
      <c r="C2915" s="5" t="str">
        <f>IFERROR(__xludf.DUMMYFUNCTION("""COMPUTED_VALUE"""),"مرآت الشهدا")</f>
        <v>مرآت الشهدا</v>
      </c>
      <c r="D2915" s="5" t="str">
        <f>IFERROR(__xludf.DUMMYFUNCTION("""COMPUTED_VALUE"""),"خوزستان")</f>
        <v>خوزستان</v>
      </c>
      <c r="E2915" s="5" t="str">
        <f>IFERROR(__xludf.DUMMYFUNCTION("""COMPUTED_VALUE"""),"بهبهان")</f>
        <v>بهبهان</v>
      </c>
      <c r="F2915" s="5"/>
      <c r="G2915" s="5">
        <f>IFERROR(__xludf.DUMMYFUNCTION("""COMPUTED_VALUE"""),1.0)</f>
        <v>1</v>
      </c>
      <c r="H2915" s="5"/>
      <c r="I2915" s="5"/>
      <c r="J2915" s="6" t="str">
        <f>IFERROR(__xludf.DUMMYFUNCTION("""COMPUTED_VALUE"""),"https://ble.ir/mrat1377")</f>
        <v>https://ble.ir/mrat1377</v>
      </c>
      <c r="K2915" s="5"/>
      <c r="L2915" s="5"/>
      <c r="M2915" s="5"/>
      <c r="N2915" s="5"/>
      <c r="O2915" s="5"/>
      <c r="P2915" s="5"/>
      <c r="Q2915" s="5"/>
      <c r="R2915" s="5"/>
      <c r="S2915" s="5"/>
    </row>
    <row r="2916">
      <c r="A2916" s="5"/>
      <c r="B2916" s="5" t="str">
        <f>IFERROR(__xludf.DUMMYFUNCTION("""COMPUTED_VALUE"""),"هیأت")</f>
        <v>هیأت</v>
      </c>
      <c r="C2916" s="5" t="str">
        <f>IFERROR(__xludf.DUMMYFUNCTION("""COMPUTED_VALUE"""),"مکتــب الشهــدا")</f>
        <v>مکتــب الشهــدا</v>
      </c>
      <c r="D2916" s="5" t="str">
        <f>IFERROR(__xludf.DUMMYFUNCTION("""COMPUTED_VALUE"""),"خوزستان")</f>
        <v>خوزستان</v>
      </c>
      <c r="E2916" s="5" t="str">
        <f>IFERROR(__xludf.DUMMYFUNCTION("""COMPUTED_VALUE"""),"بهبهان")</f>
        <v>بهبهان</v>
      </c>
      <c r="F2916" s="5"/>
      <c r="G2916" s="5">
        <f>IFERROR(__xludf.DUMMYFUNCTION("""COMPUTED_VALUE"""),1.0)</f>
        <v>1</v>
      </c>
      <c r="H2916" s="6" t="str">
        <f>IFERROR(__xludf.DUMMYFUNCTION("""COMPUTED_VALUE"""),"https://www.instagram.com/maktaboshohada99")</f>
        <v>https://www.instagram.com/maktaboshohada99</v>
      </c>
      <c r="I2916" s="6" t="str">
        <f>IFERROR(__xludf.DUMMYFUNCTION("""COMPUTED_VALUE"""),"https://t.me/maktaboshohada99")</f>
        <v>https://t.me/maktaboshohada99</v>
      </c>
      <c r="J2916" s="5"/>
      <c r="K2916" s="5"/>
      <c r="L2916" s="5"/>
      <c r="M2916" s="5"/>
      <c r="N2916" s="5"/>
      <c r="O2916" s="5"/>
      <c r="P2916" s="5"/>
      <c r="Q2916" s="5"/>
      <c r="R2916" s="5"/>
      <c r="S2916" s="5"/>
    </row>
    <row r="2917">
      <c r="A2917" s="5"/>
      <c r="B2917" s="5" t="str">
        <f>IFERROR(__xludf.DUMMYFUNCTION("""COMPUTED_VALUE"""),"هیأت ")</f>
        <v>هیأت </v>
      </c>
      <c r="C2917" s="5" t="str">
        <f>IFERROR(__xludf.DUMMYFUNCTION("""COMPUTED_VALUE"""),"رهروان شهدا")</f>
        <v>رهروان شهدا</v>
      </c>
      <c r="D2917" s="5" t="str">
        <f>IFERROR(__xludf.DUMMYFUNCTION("""COMPUTED_VALUE"""),"خوزستان")</f>
        <v>خوزستان</v>
      </c>
      <c r="E2917" s="5" t="str">
        <f>IFERROR(__xludf.DUMMYFUNCTION("""COMPUTED_VALUE"""),"خرمشهر")</f>
        <v>خرمشهر</v>
      </c>
      <c r="F2917" s="5"/>
      <c r="G2917" s="5">
        <f>IFERROR(__xludf.DUMMYFUNCTION("""COMPUTED_VALUE"""),1.0)</f>
        <v>1</v>
      </c>
      <c r="H2917" s="5"/>
      <c r="I2917" s="6" t="str">
        <f>IFERROR(__xludf.DUMMYFUNCTION("""COMPUTED_VALUE"""),"https://t.me/rahrovankhorramshahr")</f>
        <v>https://t.me/rahrovankhorramshahr</v>
      </c>
      <c r="J2917" s="5"/>
      <c r="K2917" s="5"/>
      <c r="L2917" s="5"/>
      <c r="M2917" s="5"/>
      <c r="N2917" s="5"/>
      <c r="O2917" s="5"/>
      <c r="P2917" s="5"/>
      <c r="Q2917" s="5"/>
      <c r="R2917" s="5"/>
      <c r="S2917" s="5"/>
    </row>
    <row r="2918">
      <c r="A2918" s="5"/>
      <c r="B2918" s="5" t="str">
        <f>IFERROR(__xludf.DUMMYFUNCTION("""COMPUTED_VALUE"""),"هیأت")</f>
        <v>هیأت</v>
      </c>
      <c r="C2918" s="5" t="str">
        <f>IFERROR(__xludf.DUMMYFUNCTION("""COMPUTED_VALUE"""),"امام زین العابدین (ع)")</f>
        <v>امام زین العابدین (ع)</v>
      </c>
      <c r="D2918" s="5" t="str">
        <f>IFERROR(__xludf.DUMMYFUNCTION("""COMPUTED_VALUE"""),"خوزستان")</f>
        <v>خوزستان</v>
      </c>
      <c r="E2918" s="5" t="str">
        <f>IFERROR(__xludf.DUMMYFUNCTION("""COMPUTED_VALUE"""),"دزفول")</f>
        <v>دزفول</v>
      </c>
      <c r="F2918" s="5"/>
      <c r="G2918" s="5">
        <f>IFERROR(__xludf.DUMMYFUNCTION("""COMPUTED_VALUE"""),1.0)</f>
        <v>1</v>
      </c>
      <c r="H2918" s="6" t="str">
        <f>IFERROR(__xludf.DUMMYFUNCTION("""COMPUTED_VALUE"""),"https://www.instagram.com/imam_zayn_alabidin_khaibar/")</f>
        <v>https://www.instagram.com/imam_zayn_alabidin_khaibar/</v>
      </c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</row>
    <row r="2919">
      <c r="A2919" s="5"/>
      <c r="B2919" s="5" t="str">
        <f>IFERROR(__xludf.DUMMYFUNCTION("""COMPUTED_VALUE"""),"حسینیه")</f>
        <v>حسینیه</v>
      </c>
      <c r="C2919" s="5" t="str">
        <f>IFERROR(__xludf.DUMMYFUNCTION("""COMPUTED_VALUE"""),"پیرعباس")</f>
        <v>پیرعباس</v>
      </c>
      <c r="D2919" s="5" t="str">
        <f>IFERROR(__xludf.DUMMYFUNCTION("""COMPUTED_VALUE"""),"خوزستان")</f>
        <v>خوزستان</v>
      </c>
      <c r="E2919" s="5" t="str">
        <f>IFERROR(__xludf.DUMMYFUNCTION("""COMPUTED_VALUE"""),"دزفول")</f>
        <v>دزفول</v>
      </c>
      <c r="F2919" s="5" t="str">
        <f>IFERROR(__xludf.DUMMYFUNCTION("""COMPUTED_VALUE""")," محله سیاهپوشان")</f>
        <v> محله سیاهپوشان</v>
      </c>
      <c r="G2919" s="5">
        <f>IFERROR(__xludf.DUMMYFUNCTION("""COMPUTED_VALUE"""),1.0)</f>
        <v>1</v>
      </c>
      <c r="H2919" s="6" t="str">
        <f>IFERROR(__xludf.DUMMYFUNCTION("""COMPUTED_VALUE"""),"https://www.instagram.com/hossinie_pirabas_dazful/")</f>
        <v>https://www.instagram.com/hossinie_pirabas_dazful/</v>
      </c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</row>
    <row r="2920">
      <c r="A2920" s="5"/>
      <c r="B2920" s="5" t="str">
        <f>IFERROR(__xludf.DUMMYFUNCTION("""COMPUTED_VALUE"""),"هیأت")</f>
        <v>هیأت</v>
      </c>
      <c r="C2920" s="5" t="str">
        <f>IFERROR(__xludf.DUMMYFUNCTION("""COMPUTED_VALUE"""),"لواءالحسین(ع)")</f>
        <v>لواءالحسین(ع)</v>
      </c>
      <c r="D2920" s="5" t="str">
        <f>IFERROR(__xludf.DUMMYFUNCTION("""COMPUTED_VALUE"""),"خوزستان")</f>
        <v>خوزستان</v>
      </c>
      <c r="E2920" s="5" t="str">
        <f>IFERROR(__xludf.DUMMYFUNCTION("""COMPUTED_VALUE"""),"دزفول")</f>
        <v>دزفول</v>
      </c>
      <c r="F2920" s="5"/>
      <c r="G2920" s="5">
        <f>IFERROR(__xludf.DUMMYFUNCTION("""COMPUTED_VALUE"""),1.0)</f>
        <v>1</v>
      </c>
      <c r="H2920" s="6" t="str">
        <f>IFERROR(__xludf.DUMMYFUNCTION("""COMPUTED_VALUE"""),"https://www.instagram.com/leva.dez/")</f>
        <v>https://www.instagram.com/leva.dez/</v>
      </c>
      <c r="I2920" s="6" t="str">
        <f>IFERROR(__xludf.DUMMYFUNCTION("""COMPUTED_VALUE"""),"https://t.me/leva.dez/")</f>
        <v>https://t.me/leva.dez/</v>
      </c>
      <c r="J2920" s="5"/>
      <c r="K2920" s="5"/>
      <c r="L2920" s="5"/>
      <c r="M2920" s="5"/>
      <c r="N2920" s="5"/>
      <c r="O2920" s="5"/>
      <c r="P2920" s="5"/>
      <c r="Q2920" s="5"/>
      <c r="R2920" s="5"/>
      <c r="S2920" s="5"/>
    </row>
    <row r="2921">
      <c r="A2921" s="5"/>
      <c r="B2921" s="5" t="str">
        <f>IFERROR(__xludf.DUMMYFUNCTION("""COMPUTED_VALUE"""),"هیأت")</f>
        <v>هیأت</v>
      </c>
      <c r="C2921" s="5" t="str">
        <f>IFERROR(__xludf.DUMMYFUNCTION("""COMPUTED_VALUE"""),"مارش علی ابن موسی الرضا")</f>
        <v>مارش علی ابن موسی الرضا</v>
      </c>
      <c r="D2921" s="5" t="str">
        <f>IFERROR(__xludf.DUMMYFUNCTION("""COMPUTED_VALUE"""),"خوزستان")</f>
        <v>خوزستان</v>
      </c>
      <c r="E2921" s="5" t="str">
        <f>IFERROR(__xludf.DUMMYFUNCTION("""COMPUTED_VALUE"""),"دزفول")</f>
        <v>دزفول</v>
      </c>
      <c r="F2921" s="5"/>
      <c r="G2921" s="5">
        <f>IFERROR(__xludf.DUMMYFUNCTION("""COMPUTED_VALUE"""),1.0)</f>
        <v>1</v>
      </c>
      <c r="H2921" s="6" t="str">
        <f>IFERROR(__xludf.DUMMYFUNCTION("""COMPUTED_VALUE"""),"https://www.instagram.com/marshaliebnmosaalreza/")</f>
        <v>https://www.instagram.com/marshaliebnmosaalreza/</v>
      </c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</row>
    <row r="2922">
      <c r="A2922" s="5"/>
      <c r="B2922" s="5" t="str">
        <f>IFERROR(__xludf.DUMMYFUNCTION("""COMPUTED_VALUE"""),"هیأت")</f>
        <v>هیأت</v>
      </c>
      <c r="C2922" s="5" t="str">
        <f>IFERROR(__xludf.DUMMYFUNCTION("""COMPUTED_VALUE"""),"محبین اهل بیت")</f>
        <v>محبین اهل بیت</v>
      </c>
      <c r="D2922" s="5" t="str">
        <f>IFERROR(__xludf.DUMMYFUNCTION("""COMPUTED_VALUE"""),"خوزستان")</f>
        <v>خوزستان</v>
      </c>
      <c r="E2922" s="5" t="str">
        <f>IFERROR(__xludf.DUMMYFUNCTION("""COMPUTED_VALUE"""),"دزفول")</f>
        <v>دزفول</v>
      </c>
      <c r="F2922" s="5" t="str">
        <f>IFERROR(__xludf.DUMMYFUNCTION("""COMPUTED_VALUE"""),"شهرک خیبر")</f>
        <v>شهرک خیبر</v>
      </c>
      <c r="G2922" s="5">
        <f>IFERROR(__xludf.DUMMYFUNCTION("""COMPUTED_VALUE"""),1.0)</f>
        <v>1</v>
      </c>
      <c r="H2922" s="6" t="str">
        <f>IFERROR(__xludf.DUMMYFUNCTION("""COMPUTED_VALUE"""),"https://www.instagram.com/khybar_heiat_mohebinahlalbeit/")</f>
        <v>https://www.instagram.com/khybar_heiat_mohebinahlalbeit/</v>
      </c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</row>
    <row r="2923">
      <c r="A2923" s="5"/>
      <c r="B2923" s="5" t="str">
        <f>IFERROR(__xludf.DUMMYFUNCTION("""COMPUTED_VALUE"""),"هیأت")</f>
        <v>هیأت</v>
      </c>
      <c r="C2923" s="5" t="str">
        <f>IFERROR(__xludf.DUMMYFUNCTION("""COMPUTED_VALUE"""),"مسجد صاحب الزمان")</f>
        <v>مسجد صاحب الزمان</v>
      </c>
      <c r="D2923" s="5" t="str">
        <f>IFERROR(__xludf.DUMMYFUNCTION("""COMPUTED_VALUE"""),"خوزستان")</f>
        <v>خوزستان</v>
      </c>
      <c r="E2923" s="5" t="str">
        <f>IFERROR(__xludf.DUMMYFUNCTION("""COMPUTED_VALUE"""),"دزفول")</f>
        <v>دزفول</v>
      </c>
      <c r="F2923" s="5"/>
      <c r="G2923" s="5">
        <f>IFERROR(__xludf.DUMMYFUNCTION("""COMPUTED_VALUE"""),1.0)</f>
        <v>1</v>
      </c>
      <c r="H2923" s="6" t="str">
        <f>IFERROR(__xludf.DUMMYFUNCTION("""COMPUTED_VALUE"""),"https://www.instagram.com/mszdir/")</f>
        <v>https://www.instagram.com/mszdir/</v>
      </c>
      <c r="I2923" s="5"/>
      <c r="J2923" s="6" t="str">
        <f>IFERROR(__xludf.DUMMYFUNCTION("""COMPUTED_VALUE"""),"https://eitaa.com/mszdir")</f>
        <v>https://eitaa.com/mszdir</v>
      </c>
      <c r="K2923" s="5"/>
      <c r="L2923" s="5"/>
      <c r="M2923" s="6" t="str">
        <f>IFERROR(__xludf.DUMMYFUNCTION("""COMPUTED_VALUE"""),"https://www.mszd.ir")</f>
        <v>https://www.mszd.ir</v>
      </c>
      <c r="N2923" s="5"/>
      <c r="O2923" s="5"/>
      <c r="P2923" s="5"/>
      <c r="Q2923" s="5"/>
      <c r="R2923" s="5"/>
      <c r="S2923" s="5"/>
    </row>
    <row r="2924">
      <c r="A2924" s="5"/>
      <c r="B2924" s="5" t="str">
        <f>IFERROR(__xludf.DUMMYFUNCTION("""COMPUTED_VALUE"""),"هیأت")</f>
        <v>هیأت</v>
      </c>
      <c r="C2924" s="5" t="str">
        <f>IFERROR(__xludf.DUMMYFUNCTION("""COMPUTED_VALUE"""),"مکتب الرقیه")</f>
        <v>مکتب الرقیه</v>
      </c>
      <c r="D2924" s="5" t="str">
        <f>IFERROR(__xludf.DUMMYFUNCTION("""COMPUTED_VALUE"""),"خوزستان")</f>
        <v>خوزستان</v>
      </c>
      <c r="E2924" s="5" t="str">
        <f>IFERROR(__xludf.DUMMYFUNCTION("""COMPUTED_VALUE"""),"دزفول")</f>
        <v>دزفول</v>
      </c>
      <c r="F2924" s="5"/>
      <c r="G2924" s="5">
        <f>IFERROR(__xludf.DUMMYFUNCTION("""COMPUTED_VALUE"""),1.0)</f>
        <v>1</v>
      </c>
      <c r="H2924" s="6" t="str">
        <f>IFERROR(__xludf.DUMMYFUNCTION("""COMPUTED_VALUE"""),"https://www.instagram.com/maktab_alrughayeh/")</f>
        <v>https://www.instagram.com/maktab_alrughayeh/</v>
      </c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</row>
    <row r="2925">
      <c r="A2925" s="5"/>
      <c r="B2925" s="5" t="str">
        <f>IFERROR(__xludf.DUMMYFUNCTION("""COMPUTED_VALUE"""),"هیأت ")</f>
        <v>هیأت </v>
      </c>
      <c r="C2925" s="5" t="str">
        <f>IFERROR(__xludf.DUMMYFUNCTION("""COMPUTED_VALUE"""),"یالثارات الحسین (ع)")</f>
        <v>یالثارات الحسین (ع)</v>
      </c>
      <c r="D2925" s="5" t="str">
        <f>IFERROR(__xludf.DUMMYFUNCTION("""COMPUTED_VALUE"""),"خوزستان")</f>
        <v>خوزستان</v>
      </c>
      <c r="E2925" s="5" t="str">
        <f>IFERROR(__xludf.DUMMYFUNCTION("""COMPUTED_VALUE"""),"دزفول")</f>
        <v>دزفول</v>
      </c>
      <c r="F2925" s="5"/>
      <c r="G2925" s="5">
        <f>IFERROR(__xludf.DUMMYFUNCTION("""COMPUTED_VALUE"""),1.0)</f>
        <v>1</v>
      </c>
      <c r="H2925" s="6" t="str">
        <f>IFERROR(__xludf.DUMMYFUNCTION("""COMPUTED_VALUE"""),"https://www.instagram.com/yalesaratdez_ir/")</f>
        <v>https://www.instagram.com/yalesaratdez_ir/</v>
      </c>
      <c r="I2925" s="5"/>
      <c r="J2925" s="5"/>
      <c r="K2925" s="5"/>
      <c r="L2925" s="5"/>
      <c r="M2925" s="6" t="str">
        <f>IFERROR(__xludf.DUMMYFUNCTION("""COMPUTED_VALUE"""),"www.yalesaratdez.ir")</f>
        <v>www.yalesaratdez.ir</v>
      </c>
      <c r="N2925" s="5"/>
      <c r="O2925" s="5"/>
      <c r="P2925" s="5"/>
      <c r="Q2925" s="5"/>
      <c r="R2925" s="5"/>
      <c r="S2925" s="5"/>
    </row>
    <row r="2926">
      <c r="A2926" s="5">
        <f>IFERROR(__xludf.DUMMYFUNCTION("""COMPUTED_VALUE"""),32953.0)</f>
        <v>32953</v>
      </c>
      <c r="B2926" s="5" t="str">
        <f>IFERROR(__xludf.DUMMYFUNCTION("""COMPUTED_VALUE"""),"هیأت")</f>
        <v>هیأت</v>
      </c>
      <c r="C2926" s="5" t="str">
        <f>IFERROR(__xludf.DUMMYFUNCTION("""COMPUTED_VALUE"""),"اباالفضل العباس (ع)")</f>
        <v>اباالفضل العباس (ع)</v>
      </c>
      <c r="D2926" s="5" t="str">
        <f>IFERROR(__xludf.DUMMYFUNCTION("""COMPUTED_VALUE"""),"خوزستان")</f>
        <v>خوزستان</v>
      </c>
      <c r="E2926" s="5" t="str">
        <f>IFERROR(__xludf.DUMMYFUNCTION("""COMPUTED_VALUE"""),"رامشیر")</f>
        <v>رامشیر</v>
      </c>
      <c r="F2926" s="5"/>
      <c r="G2926" s="5">
        <f>IFERROR(__xludf.DUMMYFUNCTION("""COMPUTED_VALUE"""),1.0)</f>
        <v>1</v>
      </c>
      <c r="H2926" s="6" t="str">
        <f>IFERROR(__xludf.DUMMYFUNCTION("""COMPUTED_VALUE"""),"https://www.instagram.com/beytolabbas.ramshir/")</f>
        <v>https://www.instagram.com/beytolabbas.ramshir/</v>
      </c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</row>
    <row r="2927">
      <c r="A2927" s="5">
        <f>IFERROR(__xludf.DUMMYFUNCTION("""COMPUTED_VALUE"""),33127.0)</f>
        <v>33127</v>
      </c>
      <c r="B2927" s="5" t="str">
        <f>IFERROR(__xludf.DUMMYFUNCTION("""COMPUTED_VALUE"""),"هیأت")</f>
        <v>هیأت</v>
      </c>
      <c r="C2927" s="5" t="str">
        <f>IFERROR(__xludf.DUMMYFUNCTION("""COMPUTED_VALUE"""),"عشاق الحسين (ع)")</f>
        <v>عشاق الحسين (ع)</v>
      </c>
      <c r="D2927" s="5" t="str">
        <f>IFERROR(__xludf.DUMMYFUNCTION("""COMPUTED_VALUE"""),"خوزستان")</f>
        <v>خوزستان</v>
      </c>
      <c r="E2927" s="5" t="str">
        <f>IFERROR(__xludf.DUMMYFUNCTION("""COMPUTED_VALUE"""),"رامشیر")</f>
        <v>رامشیر</v>
      </c>
      <c r="F2927" s="5"/>
      <c r="G2927" s="5">
        <f>IFERROR(__xludf.DUMMYFUNCTION("""COMPUTED_VALUE"""),1.0)</f>
        <v>1</v>
      </c>
      <c r="H2927" s="5" t="str">
        <f>IFERROR(__xludf.DUMMYFUNCTION("""COMPUTED_VALUE""")," ""https://www.instagram.com/oshaghalhosein_ramshir/""")</f>
        <v> "https://www.instagram.com/oshaghalhosein_ramshir/"</v>
      </c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</row>
    <row r="2928">
      <c r="A2928" s="5">
        <f>IFERROR(__xludf.DUMMYFUNCTION("""COMPUTED_VALUE"""),32958.0)</f>
        <v>32958</v>
      </c>
      <c r="B2928" s="5" t="str">
        <f>IFERROR(__xludf.DUMMYFUNCTION("""COMPUTED_VALUE"""),"هیأت")</f>
        <v>هیأت</v>
      </c>
      <c r="C2928" s="5" t="str">
        <f>IFERROR(__xludf.DUMMYFUNCTION("""COMPUTED_VALUE"""),"قمربنی هاشم (ع)")</f>
        <v>قمربنی هاشم (ع)</v>
      </c>
      <c r="D2928" s="5" t="str">
        <f>IFERROR(__xludf.DUMMYFUNCTION("""COMPUTED_VALUE"""),"خوزستان")</f>
        <v>خوزستان</v>
      </c>
      <c r="E2928" s="5" t="str">
        <f>IFERROR(__xludf.DUMMYFUNCTION("""COMPUTED_VALUE"""),"رامشیر")</f>
        <v>رامشیر</v>
      </c>
      <c r="F2928" s="5"/>
      <c r="G2928" s="5">
        <f>IFERROR(__xludf.DUMMYFUNCTION("""COMPUTED_VALUE"""),1.0)</f>
        <v>1</v>
      </c>
      <c r="H2928" s="6" t="str">
        <f>IFERROR(__xludf.DUMMYFUNCTION("""COMPUTED_VALUE"""),"https://www.instagram.com/h.g.b.h.alamdar/")</f>
        <v>https://www.instagram.com/h.g.b.h.alamdar/</v>
      </c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</row>
    <row r="2929">
      <c r="A2929" s="5"/>
      <c r="B2929" s="5" t="str">
        <f>IFERROR(__xludf.DUMMYFUNCTION("""COMPUTED_VALUE"""),"هیأت ")</f>
        <v>هیأت </v>
      </c>
      <c r="C2929" s="5" t="str">
        <f>IFERROR(__xludf.DUMMYFUNCTION("""COMPUTED_VALUE"""),"کریم اهل بیت")</f>
        <v>کریم اهل بیت</v>
      </c>
      <c r="D2929" s="5" t="str">
        <f>IFERROR(__xludf.DUMMYFUNCTION("""COMPUTED_VALUE"""),"خوزستان")</f>
        <v>خوزستان</v>
      </c>
      <c r="E2929" s="5" t="str">
        <f>IFERROR(__xludf.DUMMYFUNCTION("""COMPUTED_VALUE"""),"رامشیر")</f>
        <v>رامشیر</v>
      </c>
      <c r="F2929" s="5"/>
      <c r="G2929" s="5">
        <f>IFERROR(__xludf.DUMMYFUNCTION("""COMPUTED_VALUE"""),1.0)</f>
        <v>1</v>
      </c>
      <c r="H2929" s="6" t="str">
        <f>IFERROR(__xludf.DUMMYFUNCTION("""COMPUTED_VALUE"""),"https://www.instagram.com/hkarimhasanjan/")</f>
        <v>https://www.instagram.com/hkarimhasanjan/</v>
      </c>
      <c r="I2929" s="6" t="str">
        <f>IFERROR(__xludf.DUMMYFUNCTION("""COMPUTED_VALUE"""),"t.me/hkarimhasanjan")</f>
        <v>t.me/hkarimhasanjan</v>
      </c>
      <c r="J2929" s="5"/>
      <c r="K2929" s="5"/>
      <c r="L2929" s="5"/>
      <c r="M2929" s="5"/>
      <c r="N2929" s="5"/>
      <c r="O2929" s="5"/>
      <c r="P2929" s="5"/>
      <c r="Q2929" s="5"/>
      <c r="R2929" s="5"/>
      <c r="S2929" s="5"/>
    </row>
    <row r="2930">
      <c r="A2930" s="5">
        <f>IFERROR(__xludf.DUMMYFUNCTION("""COMPUTED_VALUE"""),30685.0)</f>
        <v>30685</v>
      </c>
      <c r="B2930" s="5" t="str">
        <f>IFERROR(__xludf.DUMMYFUNCTION("""COMPUTED_VALUE"""),"هیأت")</f>
        <v>هیأت</v>
      </c>
      <c r="C2930" s="5" t="str">
        <f>IFERROR(__xludf.DUMMYFUNCTION("""COMPUTED_VALUE"""),"محبین الزهرا (س)")</f>
        <v>محبین الزهرا (س)</v>
      </c>
      <c r="D2930" s="5" t="str">
        <f>IFERROR(__xludf.DUMMYFUNCTION("""COMPUTED_VALUE"""),"خوزستان")</f>
        <v>خوزستان</v>
      </c>
      <c r="E2930" s="5" t="str">
        <f>IFERROR(__xludf.DUMMYFUNCTION("""COMPUTED_VALUE"""),"رامهرمز")</f>
        <v>رامهرمز</v>
      </c>
      <c r="F2930" s="5"/>
      <c r="G2930" s="5">
        <f>IFERROR(__xludf.DUMMYFUNCTION("""COMPUTED_VALUE"""),1.0)</f>
        <v>1</v>
      </c>
      <c r="H2930" s="5"/>
      <c r="I2930" s="5"/>
      <c r="J2930" s="6" t="str">
        <f>IFERROR(__xludf.DUMMYFUNCTION("""COMPUTED_VALUE"""),"https://eitaa.com/mohebinazahra1")</f>
        <v>https://eitaa.com/mohebinazahra1</v>
      </c>
      <c r="K2930" s="5"/>
      <c r="L2930" s="5"/>
      <c r="M2930" s="5"/>
      <c r="N2930" s="5"/>
      <c r="O2930" s="5"/>
      <c r="P2930" s="5"/>
      <c r="Q2930" s="5"/>
      <c r="R2930" s="5"/>
      <c r="S2930" s="5"/>
    </row>
    <row r="2931">
      <c r="A2931" s="5"/>
      <c r="B2931" s="5" t="str">
        <f>IFERROR(__xludf.DUMMYFUNCTION("""COMPUTED_VALUE"""),"هیأت ")</f>
        <v>هیأت </v>
      </c>
      <c r="C2931" s="5" t="str">
        <f>IFERROR(__xludf.DUMMYFUNCTION("""COMPUTED_VALUE"""),"قمر بنی هاشم (ع)")</f>
        <v>قمر بنی هاشم (ع)</v>
      </c>
      <c r="D2931" s="5" t="str">
        <f>IFERROR(__xludf.DUMMYFUNCTION("""COMPUTED_VALUE"""),"خوزستان")</f>
        <v>خوزستان</v>
      </c>
      <c r="E2931" s="5" t="str">
        <f>IFERROR(__xludf.DUMMYFUNCTION("""COMPUTED_VALUE"""),"شادگان")</f>
        <v>شادگان</v>
      </c>
      <c r="F2931" s="5"/>
      <c r="G2931" s="5">
        <f>IFERROR(__xludf.DUMMYFUNCTION("""COMPUTED_VALUE"""),1.0)</f>
        <v>1</v>
      </c>
      <c r="H2931" s="6" t="str">
        <f>IFERROR(__xludf.DUMMYFUNCTION("""COMPUTED_VALUE"""),"https://www.instagram.com/mirhashmi.h/")</f>
        <v>https://www.instagram.com/mirhashmi.h/</v>
      </c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</row>
    <row r="2932">
      <c r="A2932" s="5"/>
      <c r="B2932" s="5" t="str">
        <f>IFERROR(__xludf.DUMMYFUNCTION("""COMPUTED_VALUE"""),"هیأت ")</f>
        <v>هیأت </v>
      </c>
      <c r="C2932" s="5" t="str">
        <f>IFERROR(__xludf.DUMMYFUNCTION("""COMPUTED_VALUE"""),"محبان ام البنین (س)")</f>
        <v>محبان ام البنین (س)</v>
      </c>
      <c r="D2932" s="5" t="str">
        <f>IFERROR(__xludf.DUMMYFUNCTION("""COMPUTED_VALUE"""),"خوزستان")</f>
        <v>خوزستان</v>
      </c>
      <c r="E2932" s="5" t="str">
        <f>IFERROR(__xludf.DUMMYFUNCTION("""COMPUTED_VALUE"""),"شادگان")</f>
        <v>شادگان</v>
      </c>
      <c r="F2932" s="5"/>
      <c r="G2932" s="5">
        <f>IFERROR(__xludf.DUMMYFUNCTION("""COMPUTED_VALUE"""),1.0)</f>
        <v>1</v>
      </c>
      <c r="H2932" s="6" t="str">
        <f>IFERROR(__xludf.DUMMYFUNCTION("""COMPUTED_VALUE"""),"https://www.instagram.com/heyat__omolbanin/")</f>
        <v>https://www.instagram.com/heyat__omolbanin/</v>
      </c>
      <c r="I2932" s="5"/>
      <c r="J2932" s="5"/>
      <c r="K2932" s="5"/>
      <c r="L2932" s="6" t="str">
        <f>IFERROR(__xludf.DUMMYFUNCTION("""COMPUTED_VALUE"""),"www.aparat.com/v/8skZi")</f>
        <v>www.aparat.com/v/8skZi</v>
      </c>
      <c r="M2932" s="5"/>
      <c r="N2932" s="5"/>
      <c r="O2932" s="5"/>
      <c r="P2932" s="5"/>
      <c r="Q2932" s="5"/>
      <c r="R2932" s="5"/>
      <c r="S2932" s="5"/>
    </row>
    <row r="2933">
      <c r="A2933" s="5">
        <f>IFERROR(__xludf.DUMMYFUNCTION("""COMPUTED_VALUE"""),30114.0)</f>
        <v>30114</v>
      </c>
      <c r="B2933" s="5" t="str">
        <f>IFERROR(__xludf.DUMMYFUNCTION("""COMPUTED_VALUE"""),"هیأت")</f>
        <v>هیأت</v>
      </c>
      <c r="C2933" s="5" t="str">
        <f>IFERROR(__xludf.DUMMYFUNCTION("""COMPUTED_VALUE"""),"حضرت علی اصغر (ع)")</f>
        <v>حضرت علی اصغر (ع)</v>
      </c>
      <c r="D2933" s="5" t="str">
        <f>IFERROR(__xludf.DUMMYFUNCTION("""COMPUTED_VALUE"""),"خوزستان")</f>
        <v>خوزستان</v>
      </c>
      <c r="E2933" s="5" t="str">
        <f>IFERROR(__xludf.DUMMYFUNCTION("""COMPUTED_VALUE"""),"شوش")</f>
        <v>شوش</v>
      </c>
      <c r="F2933" s="5"/>
      <c r="G2933" s="5">
        <f>IFERROR(__xludf.DUMMYFUNCTION("""COMPUTED_VALUE"""),1.0)</f>
        <v>1</v>
      </c>
      <c r="H2933" s="6" t="str">
        <f>IFERROR(__xludf.DUMMYFUNCTION("""COMPUTED_VALUE"""),"https://www.instagram.com/heyat.aliasghar.shoush.94/")</f>
        <v>https://www.instagram.com/heyat.aliasghar.shoush.94/</v>
      </c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</row>
    <row r="2934">
      <c r="A2934" s="5">
        <f>IFERROR(__xludf.DUMMYFUNCTION("""COMPUTED_VALUE"""),28189.0)</f>
        <v>28189</v>
      </c>
      <c r="B2934" s="5" t="str">
        <f>IFERROR(__xludf.DUMMYFUNCTION("""COMPUTED_VALUE"""),"هیأت")</f>
        <v>هیأت</v>
      </c>
      <c r="C2934" s="5" t="str">
        <f>IFERROR(__xludf.DUMMYFUNCTION("""COMPUTED_VALUE"""),"خدام الحسین (ع)")</f>
        <v>خدام الحسین (ع)</v>
      </c>
      <c r="D2934" s="5" t="str">
        <f>IFERROR(__xludf.DUMMYFUNCTION("""COMPUTED_VALUE"""),"خوزستان")</f>
        <v>خوزستان</v>
      </c>
      <c r="E2934" s="5" t="str">
        <f>IFERROR(__xludf.DUMMYFUNCTION("""COMPUTED_VALUE"""),"شوش")</f>
        <v>شوش</v>
      </c>
      <c r="F2934" s="5"/>
      <c r="G2934" s="5">
        <f>IFERROR(__xludf.DUMMYFUNCTION("""COMPUTED_VALUE"""),1.0)</f>
        <v>1</v>
      </c>
      <c r="H2934" s="6" t="str">
        <f>IFERROR(__xludf.DUMMYFUNCTION("""COMPUTED_VALUE"""),"https://www.instagram.com/hyaat_khaddamal_hussein/")</f>
        <v>https://www.instagram.com/hyaat_khaddamal_hussein/</v>
      </c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</row>
    <row r="2935">
      <c r="A2935" s="5">
        <f>IFERROR(__xludf.DUMMYFUNCTION("""COMPUTED_VALUE"""),29314.0)</f>
        <v>29314</v>
      </c>
      <c r="B2935" s="5" t="str">
        <f>IFERROR(__xludf.DUMMYFUNCTION("""COMPUTED_VALUE"""),"هیأت")</f>
        <v>هیأت</v>
      </c>
      <c r="C2935" s="5" t="str">
        <f>IFERROR(__xludf.DUMMYFUNCTION("""COMPUTED_VALUE"""),"مجمع اهل البیت")</f>
        <v>مجمع اهل البیت</v>
      </c>
      <c r="D2935" s="5" t="str">
        <f>IFERROR(__xludf.DUMMYFUNCTION("""COMPUTED_VALUE"""),"خوزستان")</f>
        <v>خوزستان</v>
      </c>
      <c r="E2935" s="5" t="str">
        <f>IFERROR(__xludf.DUMMYFUNCTION("""COMPUTED_VALUE"""),"شوش")</f>
        <v>شوش</v>
      </c>
      <c r="F2935" s="5"/>
      <c r="G2935" s="5">
        <f>IFERROR(__xludf.DUMMYFUNCTION("""COMPUTED_VALUE"""),1.0)</f>
        <v>1</v>
      </c>
      <c r="H2935" s="5"/>
      <c r="I2935" s="6" t="str">
        <f>IFERROR(__xludf.DUMMYFUNCTION("""COMPUTED_VALUE"""),"https://t.me/majmaahlebeytshoush")</f>
        <v>https://t.me/majmaahlebeytshoush</v>
      </c>
      <c r="J2935" s="5"/>
      <c r="K2935" s="5"/>
      <c r="L2935" s="5"/>
      <c r="M2935" s="5"/>
      <c r="N2935" s="5"/>
      <c r="O2935" s="5"/>
      <c r="P2935" s="5"/>
      <c r="Q2935" s="5"/>
      <c r="R2935" s="5"/>
      <c r="S2935" s="5"/>
    </row>
    <row r="2936">
      <c r="A2936" s="5">
        <f>IFERROR(__xludf.DUMMYFUNCTION("""COMPUTED_VALUE"""),29122.0)</f>
        <v>29122</v>
      </c>
      <c r="B2936" s="5" t="str">
        <f>IFERROR(__xludf.DUMMYFUNCTION("""COMPUTED_VALUE"""),"هیأت")</f>
        <v>هیأت</v>
      </c>
      <c r="C2936" s="5" t="str">
        <f>IFERROR(__xludf.DUMMYFUNCTION("""COMPUTED_VALUE"""),"یاوران حضرت مهدی")</f>
        <v>یاوران حضرت مهدی</v>
      </c>
      <c r="D2936" s="5" t="str">
        <f>IFERROR(__xludf.DUMMYFUNCTION("""COMPUTED_VALUE"""),"خوزستان")</f>
        <v>خوزستان</v>
      </c>
      <c r="E2936" s="5" t="str">
        <f>IFERROR(__xludf.DUMMYFUNCTION("""COMPUTED_VALUE"""),"شوش")</f>
        <v>شوش</v>
      </c>
      <c r="F2936" s="5"/>
      <c r="G2936" s="5">
        <f>IFERROR(__xludf.DUMMYFUNCTION("""COMPUTED_VALUE"""),1.0)</f>
        <v>1</v>
      </c>
      <c r="H2936" s="6" t="str">
        <f>IFERROR(__xludf.DUMMYFUNCTION("""COMPUTED_VALUE"""),"https://www.instagram.com/yavaran_mahdi_alaihesalam/")</f>
        <v>https://www.instagram.com/yavaran_mahdi_alaihesalam/</v>
      </c>
      <c r="I2936" s="6" t="str">
        <f>IFERROR(__xludf.DUMMYFUNCTION("""COMPUTED_VALUE"""),"t.me/yavaranmahdialaihesalam")</f>
        <v>t.me/yavaranmahdialaihesalam</v>
      </c>
      <c r="J2936" s="5"/>
      <c r="K2936" s="5"/>
      <c r="L2936" s="5"/>
      <c r="M2936" s="5"/>
      <c r="N2936" s="5"/>
      <c r="O2936" s="5"/>
      <c r="P2936" s="5"/>
      <c r="Q2936" s="5"/>
      <c r="R2936" s="5"/>
      <c r="S2936" s="5"/>
    </row>
    <row r="2937">
      <c r="A2937" s="5"/>
      <c r="B2937" s="5" t="str">
        <f>IFERROR(__xludf.DUMMYFUNCTION("""COMPUTED_VALUE"""),"حسینیه")</f>
        <v>حسینیه</v>
      </c>
      <c r="C2937" s="5" t="str">
        <f>IFERROR(__xludf.DUMMYFUNCTION("""COMPUTED_VALUE"""),"اعظم")</f>
        <v>اعظم</v>
      </c>
      <c r="D2937" s="5" t="str">
        <f>IFERROR(__xludf.DUMMYFUNCTION("""COMPUTED_VALUE"""),"خوزستان")</f>
        <v>خوزستان</v>
      </c>
      <c r="E2937" s="5" t="str">
        <f>IFERROR(__xludf.DUMMYFUNCTION("""COMPUTED_VALUE"""),"شوشتر")</f>
        <v>شوشتر</v>
      </c>
      <c r="F2937" s="5"/>
      <c r="G2937" s="5">
        <f>IFERROR(__xludf.DUMMYFUNCTION("""COMPUTED_VALUE"""),1.0)</f>
        <v>1</v>
      </c>
      <c r="H2937" s="6" t="str">
        <f>IFERROR(__xludf.DUMMYFUNCTION("""COMPUTED_VALUE"""),"https://www.instagram.com/hoseynie_azam.str/")</f>
        <v>https://www.instagram.com/hoseynie_azam.str/</v>
      </c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</row>
    <row r="2938">
      <c r="A2938" s="5"/>
      <c r="B2938" s="5" t="str">
        <f>IFERROR(__xludf.DUMMYFUNCTION("""COMPUTED_VALUE"""),"هیأت")</f>
        <v>هیأت</v>
      </c>
      <c r="C2938" s="5" t="str">
        <f>IFERROR(__xludf.DUMMYFUNCTION("""COMPUTED_VALUE"""),"امّ البنین")</f>
        <v>امّ البنین</v>
      </c>
      <c r="D2938" s="5" t="str">
        <f>IFERROR(__xludf.DUMMYFUNCTION("""COMPUTED_VALUE"""),"خوزستان")</f>
        <v>خوزستان</v>
      </c>
      <c r="E2938" s="5" t="str">
        <f>IFERROR(__xludf.DUMMYFUNCTION("""COMPUTED_VALUE"""),"شوشتر")</f>
        <v>شوشتر</v>
      </c>
      <c r="F2938" s="5"/>
      <c r="G2938" s="5">
        <f>IFERROR(__xludf.DUMMYFUNCTION("""COMPUTED_VALUE"""),1.0)</f>
        <v>1</v>
      </c>
      <c r="H2938" s="6" t="str">
        <f>IFERROR(__xludf.DUMMYFUNCTION("""COMPUTED_VALUE"""),"https://www.instagram.com/hoseyniyeomalbanin1434/")</f>
        <v>https://www.instagram.com/hoseyniyeomalbanin1434/</v>
      </c>
      <c r="I2938" s="6" t="str">
        <f>IFERROR(__xludf.DUMMYFUNCTION("""COMPUTED_VALUE"""),"https://t.me/hoseyniyeomalbanin")</f>
        <v>https://t.me/hoseyniyeomalbanin</v>
      </c>
      <c r="J2938" s="5"/>
      <c r="K2938" s="5"/>
      <c r="L2938" s="5"/>
      <c r="M2938" s="5"/>
      <c r="N2938" s="5"/>
      <c r="O2938" s="5"/>
      <c r="P2938" s="5"/>
      <c r="Q2938" s="5"/>
      <c r="R2938" s="5"/>
      <c r="S2938" s="5"/>
    </row>
    <row r="2939">
      <c r="A2939" s="5"/>
      <c r="B2939" s="5" t="str">
        <f>IFERROR(__xludf.DUMMYFUNCTION("""COMPUTED_VALUE"""),"هیأت")</f>
        <v>هیأت</v>
      </c>
      <c r="C2939" s="5" t="str">
        <f>IFERROR(__xludf.DUMMYFUNCTION("""COMPUTED_VALUE"""),"امام حسنیا")</f>
        <v>امام حسنیا</v>
      </c>
      <c r="D2939" s="5" t="str">
        <f>IFERROR(__xludf.DUMMYFUNCTION("""COMPUTED_VALUE"""),"خوزستان")</f>
        <v>خوزستان</v>
      </c>
      <c r="E2939" s="5" t="str">
        <f>IFERROR(__xludf.DUMMYFUNCTION("""COMPUTED_VALUE"""),"شوشتر")</f>
        <v>شوشتر</v>
      </c>
      <c r="F2939" s="5"/>
      <c r="G2939" s="5">
        <f>IFERROR(__xludf.DUMMYFUNCTION("""COMPUTED_VALUE"""),1.0)</f>
        <v>1</v>
      </c>
      <c r="H2939" s="6" t="str">
        <f>IFERROR(__xludf.DUMMYFUNCTION("""COMPUTED_VALUE"""),"https://www.instagram.com/h_emam_hassania_str97/")</f>
        <v>https://www.instagram.com/h_emam_hassania_str97/</v>
      </c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</row>
    <row r="2940">
      <c r="A2940" s="5"/>
      <c r="B2940" s="5" t="str">
        <f>IFERROR(__xludf.DUMMYFUNCTION("""COMPUTED_VALUE"""),"هیأت ")</f>
        <v>هیأت </v>
      </c>
      <c r="C2940" s="5" t="str">
        <f>IFERROR(__xludf.DUMMYFUNCTION("""COMPUTED_VALUE"""),"خادم الرضا(ع)")</f>
        <v>خادم الرضا(ع)</v>
      </c>
      <c r="D2940" s="5" t="str">
        <f>IFERROR(__xludf.DUMMYFUNCTION("""COMPUTED_VALUE"""),"خوزستان")</f>
        <v>خوزستان</v>
      </c>
      <c r="E2940" s="5" t="str">
        <f>IFERROR(__xludf.DUMMYFUNCTION("""COMPUTED_VALUE"""),"شوشتر")</f>
        <v>شوشتر</v>
      </c>
      <c r="F2940" s="5"/>
      <c r="G2940" s="5">
        <f>IFERROR(__xludf.DUMMYFUNCTION("""COMPUTED_VALUE"""),1.0)</f>
        <v>1</v>
      </c>
      <c r="H2940" s="6" t="str">
        <f>IFERROR(__xludf.DUMMYFUNCTION("""COMPUTED_VALUE"""),"https://www.instagram.com/shushtarkhademalrezaa/")</f>
        <v>https://www.instagram.com/shushtarkhademalrezaa/</v>
      </c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</row>
    <row r="2941">
      <c r="A2941" s="5"/>
      <c r="B2941" s="5" t="str">
        <f>IFERROR(__xludf.DUMMYFUNCTION("""COMPUTED_VALUE"""),"هیأت ")</f>
        <v>هیأت </v>
      </c>
      <c r="C2941" s="5" t="str">
        <f>IFERROR(__xludf.DUMMYFUNCTION("""COMPUTED_VALUE"""),"زنجیرزنان موسی بن جعفر(ع)")</f>
        <v>زنجیرزنان موسی بن جعفر(ع)</v>
      </c>
      <c r="D2941" s="5" t="str">
        <f>IFERROR(__xludf.DUMMYFUNCTION("""COMPUTED_VALUE"""),"خوزستان")</f>
        <v>خوزستان</v>
      </c>
      <c r="E2941" s="5" t="str">
        <f>IFERROR(__xludf.DUMMYFUNCTION("""COMPUTED_VALUE"""),"شوشتر")</f>
        <v>شوشتر</v>
      </c>
      <c r="F2941" s="5"/>
      <c r="G2941" s="5">
        <f>IFERROR(__xludf.DUMMYFUNCTION("""COMPUTED_VALUE"""),1.0)</f>
        <v>1</v>
      </c>
      <c r="H2941" s="6" t="str">
        <f>IFERROR(__xludf.DUMMYFUNCTION("""COMPUTED_VALUE"""),"https://www.instagram.com/zanjirzanan_mosabne_jafar_sush/")</f>
        <v>https://www.instagram.com/zanjirzanan_mosabne_jafar_sush/</v>
      </c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</row>
    <row r="2942">
      <c r="A2942" s="5"/>
      <c r="B2942" s="5" t="str">
        <f>IFERROR(__xludf.DUMMYFUNCTION("""COMPUTED_VALUE"""),"هیأت")</f>
        <v>هیأت</v>
      </c>
      <c r="C2942" s="5" t="str">
        <f>IFERROR(__xludf.DUMMYFUNCTION("""COMPUTED_VALUE"""),"سادات")</f>
        <v>سادات</v>
      </c>
      <c r="D2942" s="5" t="str">
        <f>IFERROR(__xludf.DUMMYFUNCTION("""COMPUTED_VALUE"""),"خوزستان")</f>
        <v>خوزستان</v>
      </c>
      <c r="E2942" s="5" t="str">
        <f>IFERROR(__xludf.DUMMYFUNCTION("""COMPUTED_VALUE"""),"شوشتر")</f>
        <v>شوشتر</v>
      </c>
      <c r="F2942" s="5"/>
      <c r="G2942" s="5">
        <f>IFERROR(__xludf.DUMMYFUNCTION("""COMPUTED_VALUE"""),1.0)</f>
        <v>1</v>
      </c>
      <c r="H2942" s="6" t="str">
        <f>IFERROR(__xludf.DUMMYFUNCTION("""COMPUTED_VALUE"""),"https://www.instagram.com/heyat_sadat.shooshtar/")</f>
        <v>https://www.instagram.com/heyat_sadat.shooshtar/</v>
      </c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</row>
    <row r="2943">
      <c r="A2943" s="5"/>
      <c r="B2943" s="5" t="str">
        <f>IFERROR(__xludf.DUMMYFUNCTION("""COMPUTED_VALUE"""),"هیأت")</f>
        <v>هیأت</v>
      </c>
      <c r="C2943" s="5" t="str">
        <f>IFERROR(__xludf.DUMMYFUNCTION("""COMPUTED_VALUE"""),"علمدار")</f>
        <v>علمدار</v>
      </c>
      <c r="D2943" s="5" t="str">
        <f>IFERROR(__xludf.DUMMYFUNCTION("""COMPUTED_VALUE"""),"خوزستان")</f>
        <v>خوزستان</v>
      </c>
      <c r="E2943" s="5" t="str">
        <f>IFERROR(__xludf.DUMMYFUNCTION("""COMPUTED_VALUE"""),"شوشتر")</f>
        <v>شوشتر</v>
      </c>
      <c r="F2943" s="5"/>
      <c r="G2943" s="5">
        <f>IFERROR(__xludf.DUMMYFUNCTION("""COMPUTED_VALUE"""),1.0)</f>
        <v>1</v>
      </c>
      <c r="H2943" s="6" t="str">
        <f>IFERROR(__xludf.DUMMYFUNCTION("""COMPUTED_VALUE"""),"https://www.instagram.com/alamdar_shushtar_official")</f>
        <v>https://www.instagram.com/alamdar_shushtar_official</v>
      </c>
      <c r="I2943" s="6" t="str">
        <f>IFERROR(__xludf.DUMMYFUNCTION("""COMPUTED_VALUE"""),"https://t.me/khadem345")</f>
        <v>https://t.me/khadem345</v>
      </c>
      <c r="J2943" s="5"/>
      <c r="K2943" s="5"/>
      <c r="L2943" s="5"/>
      <c r="M2943" s="5"/>
      <c r="N2943" s="5"/>
      <c r="O2943" s="5"/>
      <c r="P2943" s="5"/>
      <c r="Q2943" s="5"/>
      <c r="R2943" s="5"/>
      <c r="S2943" s="5"/>
    </row>
    <row r="2944">
      <c r="A2944" s="5"/>
      <c r="B2944" s="5" t="str">
        <f>IFERROR(__xludf.DUMMYFUNCTION("""COMPUTED_VALUE"""),"هیأت")</f>
        <v>هیأت</v>
      </c>
      <c r="C2944" s="5" t="str">
        <f>IFERROR(__xludf.DUMMYFUNCTION("""COMPUTED_VALUE"""),"علمدار")</f>
        <v>علمدار</v>
      </c>
      <c r="D2944" s="5" t="str">
        <f>IFERROR(__xludf.DUMMYFUNCTION("""COMPUTED_VALUE"""),"خوزستان")</f>
        <v>خوزستان</v>
      </c>
      <c r="E2944" s="5" t="str">
        <f>IFERROR(__xludf.DUMMYFUNCTION("""COMPUTED_VALUE"""),"شوشتر")</f>
        <v>شوشتر</v>
      </c>
      <c r="F2944" s="5"/>
      <c r="G2944" s="5">
        <f>IFERROR(__xludf.DUMMYFUNCTION("""COMPUTED_VALUE"""),1.0)</f>
        <v>1</v>
      </c>
      <c r="H2944" s="6" t="str">
        <f>IFERROR(__xludf.DUMMYFUNCTION("""COMPUTED_VALUE"""),"https://www.instagram.com/h_alamdar.ir")</f>
        <v>https://www.instagram.com/h_alamdar.ir</v>
      </c>
      <c r="I2944" s="6" t="str">
        <f>IFERROR(__xludf.DUMMYFUNCTION("""COMPUTED_VALUE"""),"https://t.me/alamdarshushtar_bot")</f>
        <v>https://t.me/alamdarshushtar_bot</v>
      </c>
      <c r="J2944" s="5"/>
      <c r="K2944" s="5"/>
      <c r="L2944" s="5"/>
      <c r="M2944" s="5"/>
      <c r="N2944" s="5"/>
      <c r="O2944" s="5"/>
      <c r="P2944" s="5"/>
      <c r="Q2944" s="5"/>
      <c r="R2944" s="5"/>
      <c r="S2944" s="5"/>
    </row>
    <row r="2945">
      <c r="A2945" s="5"/>
      <c r="B2945" s="5" t="str">
        <f>IFERROR(__xludf.DUMMYFUNCTION("""COMPUTED_VALUE"""),"هیأت ")</f>
        <v>هیأت </v>
      </c>
      <c r="C2945" s="5" t="str">
        <f>IFERROR(__xludf.DUMMYFUNCTION("""COMPUTED_VALUE"""),"متوسلین به چهارده معصوم(ع)")</f>
        <v>متوسلین به چهارده معصوم(ع)</v>
      </c>
      <c r="D2945" s="5" t="str">
        <f>IFERROR(__xludf.DUMMYFUNCTION("""COMPUTED_VALUE"""),"خوزستان")</f>
        <v>خوزستان</v>
      </c>
      <c r="E2945" s="5" t="str">
        <f>IFERROR(__xludf.DUMMYFUNCTION("""COMPUTED_VALUE"""),"شوشتر")</f>
        <v>شوشتر</v>
      </c>
      <c r="F2945" s="5"/>
      <c r="G2945" s="5">
        <f>IFERROR(__xludf.DUMMYFUNCTION("""COMPUTED_VALUE"""),1.0)</f>
        <v>1</v>
      </c>
      <c r="H2945" s="6" t="str">
        <f>IFERROR(__xludf.DUMMYFUNCTION("""COMPUTED_VALUE"""),"https://www.instagram.com/masjed_ahangran/")</f>
        <v>https://www.instagram.com/masjed_ahangran/</v>
      </c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</row>
    <row r="2946">
      <c r="A2946" s="5">
        <f>IFERROR(__xludf.DUMMYFUNCTION("""COMPUTED_VALUE"""),31199.0)</f>
        <v>31199</v>
      </c>
      <c r="B2946" s="5" t="str">
        <f>IFERROR(__xludf.DUMMYFUNCTION("""COMPUTED_VALUE"""),"هیأت")</f>
        <v>هیأت</v>
      </c>
      <c r="C2946" s="5" t="str">
        <f>IFERROR(__xludf.DUMMYFUNCTION("""COMPUTED_VALUE"""),"متوسلین به طفلان مسلم (ع)")</f>
        <v>متوسلین به طفلان مسلم (ع)</v>
      </c>
      <c r="D2946" s="5" t="str">
        <f>IFERROR(__xludf.DUMMYFUNCTION("""COMPUTED_VALUE"""),"خوزستان")</f>
        <v>خوزستان</v>
      </c>
      <c r="E2946" s="5" t="str">
        <f>IFERROR(__xludf.DUMMYFUNCTION("""COMPUTED_VALUE"""),"شوشتر")</f>
        <v>شوشتر</v>
      </c>
      <c r="F2946" s="5"/>
      <c r="G2946" s="5">
        <f>IFERROR(__xludf.DUMMYFUNCTION("""COMPUTED_VALUE"""),1.0)</f>
        <v>1</v>
      </c>
      <c r="H2946" s="6" t="str">
        <f>IFERROR(__xludf.DUMMYFUNCTION("""COMPUTED_VALUE"""),"https://www.instagram.com/masjed.abrishamkaran/")</f>
        <v>https://www.instagram.com/masjed.abrishamkaran/</v>
      </c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</row>
    <row r="2947">
      <c r="A2947" s="5">
        <f>IFERROR(__xludf.DUMMYFUNCTION("""COMPUTED_VALUE"""),31316.0)</f>
        <v>31316</v>
      </c>
      <c r="B2947" s="5" t="str">
        <f>IFERROR(__xludf.DUMMYFUNCTION("""COMPUTED_VALUE"""),"هیأت")</f>
        <v>هیأت</v>
      </c>
      <c r="C2947" s="5" t="str">
        <f>IFERROR(__xludf.DUMMYFUNCTION("""COMPUTED_VALUE"""),"مهدویون")</f>
        <v>مهدویون</v>
      </c>
      <c r="D2947" s="5" t="str">
        <f>IFERROR(__xludf.DUMMYFUNCTION("""COMPUTED_VALUE"""),"خوزستان")</f>
        <v>خوزستان</v>
      </c>
      <c r="E2947" s="5" t="str">
        <f>IFERROR(__xludf.DUMMYFUNCTION("""COMPUTED_VALUE"""),"شوشتر")</f>
        <v>شوشتر</v>
      </c>
      <c r="F2947" s="5"/>
      <c r="G2947" s="5">
        <f>IFERROR(__xludf.DUMMYFUNCTION("""COMPUTED_VALUE"""),1.0)</f>
        <v>1</v>
      </c>
      <c r="H2947" s="6" t="str">
        <f>IFERROR(__xludf.DUMMYFUNCTION("""COMPUTED_VALUE"""),"https://www.instagram.com/heyat_mahdavioun/")</f>
        <v>https://www.instagram.com/heyat_mahdavioun/</v>
      </c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</row>
    <row r="2948">
      <c r="A2948" s="5">
        <f>IFERROR(__xludf.DUMMYFUNCTION("""COMPUTED_VALUE"""),32341.0)</f>
        <v>32341</v>
      </c>
      <c r="B2948" s="5" t="str">
        <f>IFERROR(__xludf.DUMMYFUNCTION("""COMPUTED_VALUE"""),"هیأت")</f>
        <v>هیأت</v>
      </c>
      <c r="C2948" s="5" t="str">
        <f>IFERROR(__xludf.DUMMYFUNCTION("""COMPUTED_VALUE"""),"فاطمیون")</f>
        <v>فاطمیون</v>
      </c>
      <c r="D2948" s="5" t="str">
        <f>IFERROR(__xludf.DUMMYFUNCTION("""COMPUTED_VALUE"""),"خوزستان")</f>
        <v>خوزستان</v>
      </c>
      <c r="E2948" s="5" t="str">
        <f>IFERROR(__xludf.DUMMYFUNCTION("""COMPUTED_VALUE"""),"گتوند")</f>
        <v>گتوند</v>
      </c>
      <c r="F2948" s="5"/>
      <c r="G2948" s="5">
        <f>IFERROR(__xludf.DUMMYFUNCTION("""COMPUTED_VALUE"""),1.0)</f>
        <v>1</v>
      </c>
      <c r="H2948" s="5"/>
      <c r="I2948" s="6" t="str">
        <f>IFERROR(__xludf.DUMMYFUNCTION("""COMPUTED_VALUE"""),"https://t.me/fatemiyoongotvand")</f>
        <v>https://t.me/fatemiyoongotvand</v>
      </c>
      <c r="J2948" s="5"/>
      <c r="K2948" s="5"/>
      <c r="L2948" s="5"/>
      <c r="M2948" s="5"/>
      <c r="N2948" s="5"/>
      <c r="O2948" s="5"/>
      <c r="P2948" s="5"/>
      <c r="Q2948" s="5"/>
      <c r="R2948" s="5"/>
      <c r="S2948" s="5"/>
    </row>
    <row r="2949">
      <c r="A2949" s="5">
        <f>IFERROR(__xludf.DUMMYFUNCTION("""COMPUTED_VALUE"""),26657.0)</f>
        <v>26657</v>
      </c>
      <c r="B2949" s="5" t="str">
        <f>IFERROR(__xludf.DUMMYFUNCTION("""COMPUTED_VALUE"""),"هیأت")</f>
        <v>هیأت</v>
      </c>
      <c r="C2949" s="5" t="str">
        <f>IFERROR(__xludf.DUMMYFUNCTION("""COMPUTED_VALUE"""),"منتظران حضرت مهدی (عج)")</f>
        <v>منتظران حضرت مهدی (عج)</v>
      </c>
      <c r="D2949" s="5" t="str">
        <f>IFERROR(__xludf.DUMMYFUNCTION("""COMPUTED_VALUE"""),"خوزستان")</f>
        <v>خوزستان</v>
      </c>
      <c r="E2949" s="5" t="str">
        <f>IFERROR(__xludf.DUMMYFUNCTION("""COMPUTED_VALUE"""),"مسجدسلیمان")</f>
        <v>مسجدسلیمان</v>
      </c>
      <c r="F2949" s="5"/>
      <c r="G2949" s="5">
        <f>IFERROR(__xludf.DUMMYFUNCTION("""COMPUTED_VALUE"""),1.0)</f>
        <v>1</v>
      </c>
      <c r="H2949" s="6" t="str">
        <f>IFERROR(__xludf.DUMMYFUNCTION("""COMPUTED_VALUE"""),"https://www.instagram.com/heyat_montazeran_mis/")</f>
        <v>https://www.instagram.com/heyat_montazeran_mis/</v>
      </c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</row>
    <row r="2950">
      <c r="A2950" s="5"/>
      <c r="B2950" s="5" t="str">
        <f>IFERROR(__xludf.DUMMYFUNCTION("""COMPUTED_VALUE"""),"هیأت ")</f>
        <v>هیأت </v>
      </c>
      <c r="C2950" s="5" t="str">
        <f>IFERROR(__xludf.DUMMYFUNCTION("""COMPUTED_VALUE"""),"حضرت ابوالفضل العباس(ع) ")</f>
        <v>حضرت ابوالفضل العباس(ع) </v>
      </c>
      <c r="D2950" s="5" t="str">
        <f>IFERROR(__xludf.DUMMYFUNCTION("""COMPUTED_VALUE"""),"خوزستان")</f>
        <v>خوزستان</v>
      </c>
      <c r="E2950" s="5" t="str">
        <f>IFERROR(__xludf.DUMMYFUNCTION("""COMPUTED_VALUE"""),"هفتگل")</f>
        <v>هفتگل</v>
      </c>
      <c r="F2950" s="5" t="str">
        <f>IFERROR(__xludf.DUMMYFUNCTION("""COMPUTED_VALUE"""),"(مسجد امام سجاداسلام آباد)")</f>
        <v>(مسجد امام سجاداسلام آباد)</v>
      </c>
      <c r="G2950" s="5">
        <f>IFERROR(__xludf.DUMMYFUNCTION("""COMPUTED_VALUE"""),1.0)</f>
        <v>1</v>
      </c>
      <c r="H2950" s="6" t="str">
        <f>IFERROR(__xludf.DUMMYFUNCTION("""COMPUTED_VALUE"""),"https://www.instagram.com/m_i_s_7kl/")</f>
        <v>https://www.instagram.com/m_i_s_7kl/</v>
      </c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</row>
    <row r="2951">
      <c r="A2951" s="5">
        <f>IFERROR(__xludf.DUMMYFUNCTION("""COMPUTED_VALUE"""),28147.0)</f>
        <v>28147</v>
      </c>
      <c r="B2951" s="5" t="str">
        <f>IFERROR(__xludf.DUMMYFUNCTION("""COMPUTED_VALUE"""),"هیأت")</f>
        <v>هیأت</v>
      </c>
      <c r="C2951" s="5" t="str">
        <f>IFERROR(__xludf.DUMMYFUNCTION("""COMPUTED_VALUE"""),"خسرو شهید محمدی")</f>
        <v>خسرو شهید محمدی</v>
      </c>
      <c r="D2951" s="5" t="str">
        <f>IFERROR(__xludf.DUMMYFUNCTION("""COMPUTED_VALUE"""),"خوزستان")</f>
        <v>خوزستان</v>
      </c>
      <c r="E2951" s="5" t="str">
        <f>IFERROR(__xludf.DUMMYFUNCTION("""COMPUTED_VALUE"""),"هفتگل")</f>
        <v>هفتگل</v>
      </c>
      <c r="F2951" s="5"/>
      <c r="G2951" s="5">
        <f>IFERROR(__xludf.DUMMYFUNCTION("""COMPUTED_VALUE"""),1.0)</f>
        <v>1</v>
      </c>
      <c r="H2951" s="6" t="str">
        <f>IFERROR(__xludf.DUMMYFUNCTION("""COMPUTED_VALUE"""),"https://www.instagram.com/heyat.mohamadi/")</f>
        <v>https://www.instagram.com/heyat.mohamadi/</v>
      </c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</row>
    <row r="2952">
      <c r="A2952" s="5"/>
      <c r="B2952" s="5" t="str">
        <f>IFERROR(__xludf.DUMMYFUNCTION("""COMPUTED_VALUE"""),"هیأت")</f>
        <v>هیأت</v>
      </c>
      <c r="C2952" s="5" t="str">
        <f>IFERROR(__xludf.DUMMYFUNCTION("""COMPUTED_VALUE"""),"سیدالشهدا")</f>
        <v>سیدالشهدا</v>
      </c>
      <c r="D2952" s="5" t="str">
        <f>IFERROR(__xludf.DUMMYFUNCTION("""COMPUTED_VALUE"""),"خوزستان")</f>
        <v>خوزستان</v>
      </c>
      <c r="E2952" s="5" t="str">
        <f>IFERROR(__xludf.DUMMYFUNCTION("""COMPUTED_VALUE"""),"هفتگل")</f>
        <v>هفتگل</v>
      </c>
      <c r="F2952" s="5"/>
      <c r="G2952" s="5">
        <f>IFERROR(__xludf.DUMMYFUNCTION("""COMPUTED_VALUE"""),1.0)</f>
        <v>1</v>
      </c>
      <c r="H2952" s="6" t="str">
        <f>IFERROR(__xludf.DUMMYFUNCTION("""COMPUTED_VALUE"""),"https://www.instagram.com/hyytsydlshhdmsjd/")</f>
        <v>https://www.instagram.com/hyytsydlshhdmsjd/</v>
      </c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</row>
    <row r="2953">
      <c r="A2953" s="5">
        <f>IFERROR(__xludf.DUMMYFUNCTION("""COMPUTED_VALUE"""),28611.0)</f>
        <v>28611</v>
      </c>
      <c r="B2953" s="5" t="str">
        <f>IFERROR(__xludf.DUMMYFUNCTION("""COMPUTED_VALUE"""),"هیأت")</f>
        <v>هیأت</v>
      </c>
      <c r="C2953" s="5" t="str">
        <f>IFERROR(__xludf.DUMMYFUNCTION("""COMPUTED_VALUE"""),"فارس الحجاز")</f>
        <v>فارس الحجاز</v>
      </c>
      <c r="D2953" s="5" t="str">
        <f>IFERROR(__xludf.DUMMYFUNCTION("""COMPUTED_VALUE"""),"خوزستان")</f>
        <v>خوزستان</v>
      </c>
      <c r="E2953" s="5" t="str">
        <f>IFERROR(__xludf.DUMMYFUNCTION("""COMPUTED_VALUE"""),"هندیجان")</f>
        <v>هندیجان</v>
      </c>
      <c r="F2953" s="5"/>
      <c r="G2953" s="5">
        <f>IFERROR(__xludf.DUMMYFUNCTION("""COMPUTED_VALUE"""),1.0)</f>
        <v>1</v>
      </c>
      <c r="H2953" s="6" t="str">
        <f>IFERROR(__xludf.DUMMYFUNCTION("""COMPUTED_VALUE"""),"https://www.instagram.com/faresalhejaz1/")</f>
        <v>https://www.instagram.com/faresalhejaz1/</v>
      </c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</row>
    <row r="2954">
      <c r="A2954" s="5"/>
      <c r="B2954" s="5" t="str">
        <f>IFERROR(__xludf.DUMMYFUNCTION("""COMPUTED_VALUE"""),"مجمع")</f>
        <v>مجمع</v>
      </c>
      <c r="C2954" s="5" t="str">
        <f>IFERROR(__xludf.DUMMYFUNCTION("""COMPUTED_VALUE"""),"باب الحوایج (ع)")</f>
        <v>باب الحوایج (ع)</v>
      </c>
      <c r="D2954" s="5" t="str">
        <f>IFERROR(__xludf.DUMMYFUNCTION("""COMPUTED_VALUE"""),"خوزستان")</f>
        <v>خوزستان</v>
      </c>
      <c r="E2954" s="5" t="str">
        <f>IFERROR(__xludf.DUMMYFUNCTION("""COMPUTED_VALUE"""),"هویزه")</f>
        <v>هویزه</v>
      </c>
      <c r="F2954" s="5"/>
      <c r="G2954" s="5">
        <f>IFERROR(__xludf.DUMMYFUNCTION("""COMPUTED_VALUE"""),1.0)</f>
        <v>1</v>
      </c>
      <c r="H2954" s="6" t="str">
        <f>IFERROR(__xludf.DUMMYFUNCTION("""COMPUTED_VALUE"""),"https://www.instagram.com/ansar_shahed/")</f>
        <v>https://www.instagram.com/ansar_shahed/</v>
      </c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</row>
    <row r="2955">
      <c r="A2955" s="5"/>
      <c r="B2955" s="5" t="str">
        <f>IFERROR(__xludf.DUMMYFUNCTION("""COMPUTED_VALUE"""),"هیأت ")</f>
        <v>هیأت </v>
      </c>
      <c r="C2955" s="5" t="str">
        <f>IFERROR(__xludf.DUMMYFUNCTION("""COMPUTED_VALUE"""),"موسسه فرهنگی مذهبی کاظمین (ع)")</f>
        <v>موسسه فرهنگی مذهبی کاظمین (ع)</v>
      </c>
      <c r="D2955" s="5" t="str">
        <f>IFERROR(__xludf.DUMMYFUNCTION("""COMPUTED_VALUE"""),"خوزستان")</f>
        <v>خوزستان</v>
      </c>
      <c r="E2955" s="5" t="str">
        <f>IFERROR(__xludf.DUMMYFUNCTION("""COMPUTED_VALUE"""),"ویس")</f>
        <v>ویس</v>
      </c>
      <c r="F2955" s="5"/>
      <c r="G2955" s="5">
        <f>IFERROR(__xludf.DUMMYFUNCTION("""COMPUTED_VALUE"""),1.0)</f>
        <v>1</v>
      </c>
      <c r="H2955" s="6" t="str">
        <f>IFERROR(__xludf.DUMMYFUNCTION("""COMPUTED_VALUE"""),"https://www.instagram.com/kazemeyn.veys/")</f>
        <v>https://www.instagram.com/kazemeyn.veys/</v>
      </c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</row>
    <row r="2956">
      <c r="A2956" s="5"/>
      <c r="B2956" s="5" t="str">
        <f>IFERROR(__xludf.DUMMYFUNCTION("""COMPUTED_VALUE"""),"حسینیه")</f>
        <v>حسینیه</v>
      </c>
      <c r="C2956" s="5" t="str">
        <f>IFERROR(__xludf.DUMMYFUNCTION("""COMPUTED_VALUE"""),"الحسين سيد الشهداء")</f>
        <v>الحسين سيد الشهداء</v>
      </c>
      <c r="D2956" s="5" t="str">
        <f>IFERROR(__xludf.DUMMYFUNCTION("""COMPUTED_VALUE"""),"خوزستان")</f>
        <v>خوزستان</v>
      </c>
      <c r="E2956" s="5" t="str">
        <f>IFERROR(__xludf.DUMMYFUNCTION("""COMPUTED_VALUE"""),"آبادان")</f>
        <v>آبادان</v>
      </c>
      <c r="F2956" s="5"/>
      <c r="G2956" s="5">
        <f>IFERROR(__xludf.DUMMYFUNCTION("""COMPUTED_VALUE"""),2.0)</f>
        <v>2</v>
      </c>
      <c r="H2956" s="6" t="str">
        <f>IFERROR(__xludf.DUMMYFUNCTION("""COMPUTED_VALUE"""),"https://www.instagram.com/hossein_alhossein_seyyed_shaha/")</f>
        <v>https://www.instagram.com/hossein_alhossein_seyyed_shaha/</v>
      </c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</row>
    <row r="2957">
      <c r="A2957" s="5"/>
      <c r="B2957" s="5" t="str">
        <f>IFERROR(__xludf.DUMMYFUNCTION("""COMPUTED_VALUE"""),"هیأت دانشجویی")</f>
        <v>هیأت دانشجویی</v>
      </c>
      <c r="C2957" s="5" t="str">
        <f>IFERROR(__xludf.DUMMYFUNCTION("""COMPUTED_VALUE"""),"الرضا")</f>
        <v>الرضا</v>
      </c>
      <c r="D2957" s="5" t="str">
        <f>IFERROR(__xludf.DUMMYFUNCTION("""COMPUTED_VALUE"""),"خوزستان")</f>
        <v>خوزستان</v>
      </c>
      <c r="E2957" s="5" t="str">
        <f>IFERROR(__xludf.DUMMYFUNCTION("""COMPUTED_VALUE"""),"آبادان")</f>
        <v>آبادان</v>
      </c>
      <c r="F2957" s="5" t="str">
        <f>IFERROR(__xludf.DUMMYFUNCTION("""COMPUTED_VALUE"""),"دانشگاه علوم پزشکی آبادان")</f>
        <v>دانشگاه علوم پزشکی آبادان</v>
      </c>
      <c r="G2957" s="5">
        <f>IFERROR(__xludf.DUMMYFUNCTION("""COMPUTED_VALUE"""),2.0)</f>
        <v>2</v>
      </c>
      <c r="H2957" s="6" t="str">
        <f>IFERROR(__xludf.DUMMYFUNCTION("""COMPUTED_VALUE"""),"https://www.instagram.com/heyatolreza8_aums")</f>
        <v>https://www.instagram.com/heyatolreza8_aums</v>
      </c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</row>
    <row r="2958">
      <c r="A2958" s="5"/>
      <c r="B2958" s="5" t="str">
        <f>IFERROR(__xludf.DUMMYFUNCTION("""COMPUTED_VALUE"""),"هیأت")</f>
        <v>هیأت</v>
      </c>
      <c r="C2958" s="5" t="str">
        <f>IFERROR(__xludf.DUMMYFUNCTION("""COMPUTED_VALUE"""),"الصدیقة الشهیدة")</f>
        <v>الصدیقة الشهیدة</v>
      </c>
      <c r="D2958" s="5" t="str">
        <f>IFERROR(__xludf.DUMMYFUNCTION("""COMPUTED_VALUE"""),"خوزستان")</f>
        <v>خوزستان</v>
      </c>
      <c r="E2958" s="5" t="str">
        <f>IFERROR(__xludf.DUMMYFUNCTION("""COMPUTED_VALUE"""),"آبادان")</f>
        <v>آبادان</v>
      </c>
      <c r="F2958" s="5"/>
      <c r="G2958" s="5">
        <f>IFERROR(__xludf.DUMMYFUNCTION("""COMPUTED_VALUE"""),2.0)</f>
        <v>2</v>
      </c>
      <c r="H2958" s="6" t="str">
        <f>IFERROR(__xludf.DUMMYFUNCTION("""COMPUTED_VALUE"""),"https://www.instagram.com/h_alzahraaa/")</f>
        <v>https://www.instagram.com/h_alzahraaa/</v>
      </c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</row>
    <row r="2959">
      <c r="A2959" s="5"/>
      <c r="B2959" s="5" t="str">
        <f>IFERROR(__xludf.DUMMYFUNCTION("""COMPUTED_VALUE"""),"هیأت")</f>
        <v>هیأت</v>
      </c>
      <c r="C2959" s="5" t="str">
        <f>IFERROR(__xludf.DUMMYFUNCTION("""COMPUTED_VALUE"""),"امام هادی(ع")</f>
        <v>امام هادی(ع</v>
      </c>
      <c r="D2959" s="5" t="str">
        <f>IFERROR(__xludf.DUMMYFUNCTION("""COMPUTED_VALUE"""),"خوزستان")</f>
        <v>خوزستان</v>
      </c>
      <c r="E2959" s="5" t="str">
        <f>IFERROR(__xludf.DUMMYFUNCTION("""COMPUTED_VALUE"""),"آبادان")</f>
        <v>آبادان</v>
      </c>
      <c r="F2959" s="5" t="str">
        <f>IFERROR(__xludf.DUMMYFUNCTION("""COMPUTED_VALUE"""),"اروندکنار")</f>
        <v>اروندکنار</v>
      </c>
      <c r="G2959" s="5">
        <f>IFERROR(__xludf.DUMMYFUNCTION("""COMPUTED_VALUE"""),2.0)</f>
        <v>2</v>
      </c>
      <c r="H2959" s="6" t="str">
        <f>IFERROR(__xludf.DUMMYFUNCTION("""COMPUTED_VALUE"""),"https://www.instagram.com/imam_hadi12/")</f>
        <v>https://www.instagram.com/imam_hadi12/</v>
      </c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</row>
    <row r="2960">
      <c r="A2960" s="5"/>
      <c r="B2960" s="5" t="str">
        <f>IFERROR(__xludf.DUMMYFUNCTION("""COMPUTED_VALUE"""),"حسینیه")</f>
        <v>حسینیه</v>
      </c>
      <c r="C2960" s="5" t="str">
        <f>IFERROR(__xludf.DUMMYFUNCTION("""COMPUTED_VALUE"""),"جوانان بنی هاشم")</f>
        <v>جوانان بنی هاشم</v>
      </c>
      <c r="D2960" s="5" t="str">
        <f>IFERROR(__xludf.DUMMYFUNCTION("""COMPUTED_VALUE"""),"خوزستان")</f>
        <v>خوزستان</v>
      </c>
      <c r="E2960" s="5" t="str">
        <f>IFERROR(__xludf.DUMMYFUNCTION("""COMPUTED_VALUE"""),"آبادان")</f>
        <v>آبادان</v>
      </c>
      <c r="F2960" s="5"/>
      <c r="G2960" s="5">
        <f>IFERROR(__xludf.DUMMYFUNCTION("""COMPUTED_VALUE"""),2.0)</f>
        <v>2</v>
      </c>
      <c r="H2960" s="6" t="str">
        <f>IFERROR(__xludf.DUMMYFUNCTION("""COMPUTED_VALUE"""),"https://www.instagram.com/hoseiniye_javanane_banihashem")</f>
        <v>https://www.instagram.com/hoseiniye_javanane_banihashem</v>
      </c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</row>
    <row r="2961">
      <c r="A2961" s="5"/>
      <c r="B2961" s="5" t="str">
        <f>IFERROR(__xludf.DUMMYFUNCTION("""COMPUTED_VALUE"""),"هیأت ")</f>
        <v>هیأت </v>
      </c>
      <c r="C2961" s="5" t="str">
        <f>IFERROR(__xludf.DUMMYFUNCTION("""COMPUTED_VALUE"""),"حضرت رقیه (س)")</f>
        <v>حضرت رقیه (س)</v>
      </c>
      <c r="D2961" s="5" t="str">
        <f>IFERROR(__xludf.DUMMYFUNCTION("""COMPUTED_VALUE"""),"خوزستان")</f>
        <v>خوزستان</v>
      </c>
      <c r="E2961" s="5" t="str">
        <f>IFERROR(__xludf.DUMMYFUNCTION("""COMPUTED_VALUE"""),"آبادان")</f>
        <v>آبادان</v>
      </c>
      <c r="F2961" s="5"/>
      <c r="G2961" s="5">
        <f>IFERROR(__xludf.DUMMYFUNCTION("""COMPUTED_VALUE"""),2.0)</f>
        <v>2</v>
      </c>
      <c r="H2961" s="5"/>
      <c r="I2961" s="5"/>
      <c r="J2961" s="6" t="str">
        <f>IFERROR(__xludf.DUMMYFUNCTION("""COMPUTED_VALUE"""),"https://eitaa.com/Hazeatrogayehabadan")</f>
        <v>https://eitaa.com/Hazeatrogayehabadan</v>
      </c>
      <c r="K2961" s="5"/>
      <c r="L2961" s="5"/>
      <c r="M2961" s="5"/>
      <c r="N2961" s="5"/>
      <c r="O2961" s="5"/>
      <c r="P2961" s="5"/>
      <c r="Q2961" s="5"/>
      <c r="R2961" s="5"/>
      <c r="S2961" s="5"/>
    </row>
    <row r="2962">
      <c r="A2962" s="5">
        <f>IFERROR(__xludf.DUMMYFUNCTION("""COMPUTED_VALUE"""),29816.0)</f>
        <v>29816</v>
      </c>
      <c r="B2962" s="5" t="str">
        <f>IFERROR(__xludf.DUMMYFUNCTION("""COMPUTED_VALUE"""),"هیأت")</f>
        <v>هیأت</v>
      </c>
      <c r="C2962" s="5" t="str">
        <f>IFERROR(__xludf.DUMMYFUNCTION("""COMPUTED_VALUE"""),"مکتب الصادق (ع)")</f>
        <v>مکتب الصادق (ع)</v>
      </c>
      <c r="D2962" s="5" t="str">
        <f>IFERROR(__xludf.DUMMYFUNCTION("""COMPUTED_VALUE"""),"خوزستان")</f>
        <v>خوزستان</v>
      </c>
      <c r="E2962" s="5" t="str">
        <f>IFERROR(__xludf.DUMMYFUNCTION("""COMPUTED_VALUE"""),"آبادان")</f>
        <v>آبادان</v>
      </c>
      <c r="F2962" s="5"/>
      <c r="G2962" s="5">
        <f>IFERROR(__xludf.DUMMYFUNCTION("""COMPUTED_VALUE"""),2.0)</f>
        <v>2</v>
      </c>
      <c r="H2962" s="6" t="str">
        <f>IFERROR(__xludf.DUMMYFUNCTION("""COMPUTED_VALUE"""),"https://www.instagram.com/maktab_allsadegh/")</f>
        <v>https://www.instagram.com/maktab_allsadegh/</v>
      </c>
      <c r="I2962" s="5"/>
      <c r="J2962" s="6" t="str">
        <f>IFERROR(__xludf.DUMMYFUNCTION("""COMPUTED_VALUE"""),"https://eitaa.com/heiathozeabadan")</f>
        <v>https://eitaa.com/heiathozeabadan</v>
      </c>
      <c r="K2962" s="5"/>
      <c r="L2962" s="5"/>
      <c r="M2962" s="5"/>
      <c r="N2962" s="5"/>
      <c r="O2962" s="5"/>
      <c r="P2962" s="5"/>
      <c r="Q2962" s="5"/>
      <c r="R2962" s="5"/>
      <c r="S2962" s="5"/>
    </row>
    <row r="2963">
      <c r="A2963" s="5"/>
      <c r="B2963" s="5" t="str">
        <f>IFERROR(__xludf.DUMMYFUNCTION("""COMPUTED_VALUE"""),"هیأت")</f>
        <v>هیأت</v>
      </c>
      <c r="C2963" s="5" t="str">
        <f>IFERROR(__xludf.DUMMYFUNCTION("""COMPUTED_VALUE"""),"مکتب العباس")</f>
        <v>مکتب العباس</v>
      </c>
      <c r="D2963" s="5" t="str">
        <f>IFERROR(__xludf.DUMMYFUNCTION("""COMPUTED_VALUE"""),"خوزستان")</f>
        <v>خوزستان</v>
      </c>
      <c r="E2963" s="5" t="str">
        <f>IFERROR(__xludf.DUMMYFUNCTION("""COMPUTED_VALUE"""),"آبادان")</f>
        <v>آبادان</v>
      </c>
      <c r="F2963" s="5"/>
      <c r="G2963" s="5">
        <f>IFERROR(__xludf.DUMMYFUNCTION("""COMPUTED_VALUE"""),2.0)</f>
        <v>2</v>
      </c>
      <c r="H2963" s="6" t="str">
        <f>IFERROR(__xludf.DUMMYFUNCTION("""COMPUTED_VALUE"""),"https://www.instagram.com/maktab_alabbas_ab/")</f>
        <v>https://www.instagram.com/maktab_alabbas_ab/</v>
      </c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</row>
    <row r="2964">
      <c r="A2964" s="5"/>
      <c r="B2964" s="5" t="str">
        <f>IFERROR(__xludf.DUMMYFUNCTION("""COMPUTED_VALUE"""),"هیأت")</f>
        <v>هیأت</v>
      </c>
      <c r="C2964" s="5" t="str">
        <f>IFERROR(__xludf.DUMMYFUNCTION("""COMPUTED_VALUE"""),"زنجیر زنی قمر بنی هاشم (ع)")</f>
        <v>زنجیر زنی قمر بنی هاشم (ع)</v>
      </c>
      <c r="D2964" s="5" t="str">
        <f>IFERROR(__xludf.DUMMYFUNCTION("""COMPUTED_VALUE"""),"خوزستان")</f>
        <v>خوزستان</v>
      </c>
      <c r="E2964" s="5" t="str">
        <f>IFERROR(__xludf.DUMMYFUNCTION("""COMPUTED_VALUE"""),"اندیمشک")</f>
        <v>اندیمشک</v>
      </c>
      <c r="F2964" s="5"/>
      <c r="G2964" s="5">
        <f>IFERROR(__xludf.DUMMYFUNCTION("""COMPUTED_VALUE"""),2.0)</f>
        <v>2</v>
      </c>
      <c r="H2964" s="6" t="str">
        <f>IFERROR(__xludf.DUMMYFUNCTION("""COMPUTED_VALUE"""),"https://www.instagram.com/qamar.banihashem/")</f>
        <v>https://www.instagram.com/qamar.banihashem/</v>
      </c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</row>
    <row r="2965">
      <c r="A2965" s="5">
        <f>IFERROR(__xludf.DUMMYFUNCTION("""COMPUTED_VALUE"""),30499.0)</f>
        <v>30499</v>
      </c>
      <c r="B2965" s="5" t="str">
        <f>IFERROR(__xludf.DUMMYFUNCTION("""COMPUTED_VALUE"""),"هیأت")</f>
        <v>هیأت</v>
      </c>
      <c r="C2965" s="5" t="str">
        <f>IFERROR(__xludf.DUMMYFUNCTION("""COMPUTED_VALUE"""),"عزاداری حسینی حزب الله")</f>
        <v>عزاداری حسینی حزب الله</v>
      </c>
      <c r="D2965" s="5" t="str">
        <f>IFERROR(__xludf.DUMMYFUNCTION("""COMPUTED_VALUE"""),"خوزستان")</f>
        <v>خوزستان</v>
      </c>
      <c r="E2965" s="5" t="str">
        <f>IFERROR(__xludf.DUMMYFUNCTION("""COMPUTED_VALUE"""),"اندیمشک")</f>
        <v>اندیمشک</v>
      </c>
      <c r="F2965" s="5"/>
      <c r="G2965" s="5">
        <f>IFERROR(__xludf.DUMMYFUNCTION("""COMPUTED_VALUE"""),2.0)</f>
        <v>2</v>
      </c>
      <c r="H2965" s="5"/>
      <c r="I2965" s="5"/>
      <c r="J2965" s="6" t="str">
        <f>IFERROR(__xludf.DUMMYFUNCTION("""COMPUTED_VALUE"""),"https://eitaa.com/kahfolvara")</f>
        <v>https://eitaa.com/kahfolvara</v>
      </c>
      <c r="K2965" s="5"/>
      <c r="L2965" s="5"/>
      <c r="M2965" s="5"/>
      <c r="N2965" s="5"/>
      <c r="O2965" s="5"/>
      <c r="P2965" s="5"/>
      <c r="Q2965" s="5"/>
      <c r="R2965" s="5"/>
      <c r="S2965" s="5"/>
    </row>
    <row r="2966">
      <c r="A2966" s="5"/>
      <c r="B2966" s="5" t="str">
        <f>IFERROR(__xludf.DUMMYFUNCTION("""COMPUTED_VALUE"""),"مسجد")</f>
        <v>مسجد</v>
      </c>
      <c r="C2966" s="5" t="str">
        <f>IFERROR(__xludf.DUMMYFUNCTION("""COMPUTED_VALUE"""),"کوی لور")</f>
        <v>کوی لور</v>
      </c>
      <c r="D2966" s="5" t="str">
        <f>IFERROR(__xludf.DUMMYFUNCTION("""COMPUTED_VALUE"""),"خوزستان")</f>
        <v>خوزستان</v>
      </c>
      <c r="E2966" s="5" t="str">
        <f>IFERROR(__xludf.DUMMYFUNCTION("""COMPUTED_VALUE"""),"اندیمشک")</f>
        <v>اندیمشک</v>
      </c>
      <c r="F2966" s="5"/>
      <c r="G2966" s="5">
        <f>IFERROR(__xludf.DUMMYFUNCTION("""COMPUTED_VALUE"""),2.0)</f>
        <v>2</v>
      </c>
      <c r="H2966" s="5"/>
      <c r="I2966" s="5"/>
      <c r="J2966" s="6" t="str">
        <f>IFERROR(__xludf.DUMMYFUNCTION("""COMPUTED_VALUE"""),"https://eitaa.com/jameloor")</f>
        <v>https://eitaa.com/jameloor</v>
      </c>
      <c r="K2966" s="5"/>
      <c r="L2966" s="5"/>
      <c r="M2966" s="5"/>
      <c r="N2966" s="5"/>
      <c r="O2966" s="5"/>
      <c r="P2966" s="5"/>
      <c r="Q2966" s="5"/>
      <c r="R2966" s="5"/>
      <c r="S2966" s="5"/>
    </row>
    <row r="2967">
      <c r="A2967" s="5"/>
      <c r="B2967" s="5"/>
      <c r="C2967" s="5" t="str">
        <f>IFERROR(__xludf.DUMMYFUNCTION("""COMPUTED_VALUE"""),"محبین اهل البیت (ع)")</f>
        <v>محبین اهل البیت (ع)</v>
      </c>
      <c r="D2967" s="5" t="str">
        <f>IFERROR(__xludf.DUMMYFUNCTION("""COMPUTED_VALUE"""),"خوزستان")</f>
        <v>خوزستان</v>
      </c>
      <c r="E2967" s="5" t="str">
        <f>IFERROR(__xludf.DUMMYFUNCTION("""COMPUTED_VALUE"""),"اندیمشک")</f>
        <v>اندیمشک</v>
      </c>
      <c r="F2967" s="5"/>
      <c r="G2967" s="5">
        <f>IFERROR(__xludf.DUMMYFUNCTION("""COMPUTED_VALUE"""),2.0)</f>
        <v>2</v>
      </c>
      <c r="H2967" s="6" t="str">
        <f>IFERROR(__xludf.DUMMYFUNCTION("""COMPUTED_VALUE"""),"https://www.instagram.com/heyat_mohebin_ahl_albait/")</f>
        <v>https://www.instagram.com/heyat_mohebin_ahl_albait/</v>
      </c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</row>
    <row r="2968">
      <c r="A2968" s="5">
        <f>IFERROR(__xludf.DUMMYFUNCTION("""COMPUTED_VALUE"""),29826.0)</f>
        <v>29826</v>
      </c>
      <c r="B2968" s="5" t="str">
        <f>IFERROR(__xludf.DUMMYFUNCTION("""COMPUTED_VALUE"""),"مسجد")</f>
        <v>مسجد</v>
      </c>
      <c r="C2968" s="5" t="str">
        <f>IFERROR(__xludf.DUMMYFUNCTION("""COMPUTED_VALUE"""),"محمدی")</f>
        <v>محمدی</v>
      </c>
      <c r="D2968" s="5" t="str">
        <f>IFERROR(__xludf.DUMMYFUNCTION("""COMPUTED_VALUE"""),"خوزستان")</f>
        <v>خوزستان</v>
      </c>
      <c r="E2968" s="5" t="str">
        <f>IFERROR(__xludf.DUMMYFUNCTION("""COMPUTED_VALUE"""),"اندیمشک")</f>
        <v>اندیمشک</v>
      </c>
      <c r="F2968" s="5"/>
      <c r="G2968" s="5">
        <f>IFERROR(__xludf.DUMMYFUNCTION("""COMPUTED_VALUE"""),2.0)</f>
        <v>2</v>
      </c>
      <c r="H2968" s="5"/>
      <c r="I2968" s="5"/>
      <c r="J2968" s="6" t="str">
        <f>IFERROR(__xludf.DUMMYFUNCTION("""COMPUTED_VALUE"""),"https://eitaa.com/masjed_andimeshk1400")</f>
        <v>https://eitaa.com/masjed_andimeshk1400</v>
      </c>
      <c r="K2968" s="5"/>
      <c r="L2968" s="5"/>
      <c r="M2968" s="5"/>
      <c r="N2968" s="5"/>
      <c r="O2968" s="5"/>
      <c r="P2968" s="5"/>
      <c r="Q2968" s="5"/>
      <c r="R2968" s="5"/>
      <c r="S2968" s="5"/>
    </row>
    <row r="2969">
      <c r="A2969" s="5"/>
      <c r="B2969" s="5" t="str">
        <f>IFERROR(__xludf.DUMMYFUNCTION("""COMPUTED_VALUE"""),"مسجد")</f>
        <v>مسجد</v>
      </c>
      <c r="C2969" s="5" t="str">
        <f>IFERROR(__xludf.DUMMYFUNCTION("""COMPUTED_VALUE"""),"محمدی")</f>
        <v>محمدی</v>
      </c>
      <c r="D2969" s="5" t="str">
        <f>IFERROR(__xludf.DUMMYFUNCTION("""COMPUTED_VALUE"""),"خوزستان")</f>
        <v>خوزستان</v>
      </c>
      <c r="E2969" s="5" t="str">
        <f>IFERROR(__xludf.DUMMYFUNCTION("""COMPUTED_VALUE"""),"اهواز")</f>
        <v>اهواز</v>
      </c>
      <c r="F2969" s="5"/>
      <c r="G2969" s="5">
        <f>IFERROR(__xludf.DUMMYFUNCTION("""COMPUTED_VALUE"""),2.0)</f>
        <v>2</v>
      </c>
      <c r="H2969" s="5"/>
      <c r="I2969" s="5"/>
      <c r="J2969" s="6" t="str">
        <f>IFERROR(__xludf.DUMMYFUNCTION("""COMPUTED_VALUE"""),"https://eitaa.com/masjedmohamadi")</f>
        <v>https://eitaa.com/masjedmohamadi</v>
      </c>
      <c r="K2969" s="5"/>
      <c r="L2969" s="5"/>
      <c r="M2969" s="5"/>
      <c r="N2969" s="5"/>
      <c r="O2969" s="5"/>
      <c r="P2969" s="5"/>
      <c r="Q2969" s="5"/>
      <c r="R2969" s="5"/>
      <c r="S2969" s="5"/>
    </row>
    <row r="2970">
      <c r="A2970" s="5"/>
      <c r="B2970" s="5" t="str">
        <f>IFERROR(__xludf.DUMMYFUNCTION("""COMPUTED_VALUE"""),"هیأت ")</f>
        <v>هیأت </v>
      </c>
      <c r="C2970" s="5" t="str">
        <f>IFERROR(__xludf.DUMMYFUNCTION("""COMPUTED_VALUE"""),"اباصالح المهدی(عج)")</f>
        <v>اباصالح المهدی(عج)</v>
      </c>
      <c r="D2970" s="5" t="str">
        <f>IFERROR(__xludf.DUMMYFUNCTION("""COMPUTED_VALUE"""),"خوزستان")</f>
        <v>خوزستان</v>
      </c>
      <c r="E2970" s="5" t="str">
        <f>IFERROR(__xludf.DUMMYFUNCTION("""COMPUTED_VALUE"""),"اهواز")</f>
        <v>اهواز</v>
      </c>
      <c r="F2970" s="5" t="str">
        <f>IFERROR(__xludf.DUMMYFUNCTION("""COMPUTED_VALUE"""),"مسجد صاحب الزمان")</f>
        <v>مسجد صاحب الزمان</v>
      </c>
      <c r="G2970" s="5">
        <f>IFERROR(__xludf.DUMMYFUNCTION("""COMPUTED_VALUE"""),2.0)</f>
        <v>2</v>
      </c>
      <c r="H2970" s="5"/>
      <c r="I2970" s="5"/>
      <c r="J2970" s="6" t="str">
        <f>IFERROR(__xludf.DUMMYFUNCTION("""COMPUTED_VALUE"""),"https://eitaa.com/masjed_sahebzaman_313")</f>
        <v>https://eitaa.com/masjed_sahebzaman_313</v>
      </c>
      <c r="K2970" s="5"/>
      <c r="L2970" s="5"/>
      <c r="M2970" s="5"/>
      <c r="N2970" s="5"/>
      <c r="O2970" s="5"/>
      <c r="P2970" s="5"/>
      <c r="Q2970" s="5"/>
      <c r="R2970" s="5"/>
      <c r="S2970" s="5"/>
    </row>
    <row r="2971">
      <c r="A2971" s="5"/>
      <c r="B2971" s="5" t="str">
        <f>IFERROR(__xludf.DUMMYFUNCTION("""COMPUTED_VALUE"""),"مسجد")</f>
        <v>مسجد</v>
      </c>
      <c r="C2971" s="5" t="str">
        <f>IFERROR(__xludf.DUMMYFUNCTION("""COMPUTED_VALUE"""),"اعظم")</f>
        <v>اعظم</v>
      </c>
      <c r="D2971" s="5" t="str">
        <f>IFERROR(__xludf.DUMMYFUNCTION("""COMPUTED_VALUE"""),"خوزستان")</f>
        <v>خوزستان</v>
      </c>
      <c r="E2971" s="5" t="str">
        <f>IFERROR(__xludf.DUMMYFUNCTION("""COMPUTED_VALUE"""),"اهواز")</f>
        <v>اهواز</v>
      </c>
      <c r="F2971" s="5" t="str">
        <f>IFERROR(__xludf.DUMMYFUNCTION("""COMPUTED_VALUE""")," ")</f>
        <v> </v>
      </c>
      <c r="G2971" s="5">
        <f>IFERROR(__xludf.DUMMYFUNCTION("""COMPUTED_VALUE"""),2.0)</f>
        <v>2</v>
      </c>
      <c r="H2971" s="5"/>
      <c r="I2971" s="5"/>
      <c r="J2971" s="6" t="str">
        <f>IFERROR(__xludf.DUMMYFUNCTION("""COMPUTED_VALUE"""),"https://eitaa.com/masjed_azam_ahvaz")</f>
        <v>https://eitaa.com/masjed_azam_ahvaz</v>
      </c>
      <c r="K2971" s="5"/>
      <c r="L2971" s="5"/>
      <c r="M2971" s="5"/>
      <c r="N2971" s="5"/>
      <c r="O2971" s="5"/>
      <c r="P2971" s="5"/>
      <c r="Q2971" s="5"/>
      <c r="R2971" s="5"/>
      <c r="S2971" s="5"/>
    </row>
    <row r="2972">
      <c r="A2972" s="5"/>
      <c r="B2972" s="5" t="str">
        <f>IFERROR(__xludf.DUMMYFUNCTION("""COMPUTED_VALUE"""),"هیأت")</f>
        <v>هیأت</v>
      </c>
      <c r="C2972" s="5" t="str">
        <f>IFERROR(__xludf.DUMMYFUNCTION("""COMPUTED_VALUE"""),"النبأ العظیم")</f>
        <v>النبأ العظیم</v>
      </c>
      <c r="D2972" s="5" t="str">
        <f>IFERROR(__xludf.DUMMYFUNCTION("""COMPUTED_VALUE"""),"خوزستان")</f>
        <v>خوزستان</v>
      </c>
      <c r="E2972" s="5" t="str">
        <f>IFERROR(__xludf.DUMMYFUNCTION("""COMPUTED_VALUE"""),"اهواز")</f>
        <v>اهواز</v>
      </c>
      <c r="F2972" s="5"/>
      <c r="G2972" s="5">
        <f>IFERROR(__xludf.DUMMYFUNCTION("""COMPUTED_VALUE"""),2.0)</f>
        <v>2</v>
      </c>
      <c r="H2972" s="6" t="str">
        <f>IFERROR(__xludf.DUMMYFUNCTION("""COMPUTED_VALUE"""),"https://www.instagram.com/naba_alazim34")</f>
        <v>https://www.instagram.com/naba_alazim34</v>
      </c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</row>
    <row r="2973">
      <c r="A2973" s="5">
        <f>IFERROR(__xludf.DUMMYFUNCTION("""COMPUTED_VALUE"""),31805.0)</f>
        <v>31805</v>
      </c>
      <c r="B2973" s="5" t="str">
        <f>IFERROR(__xludf.DUMMYFUNCTION("""COMPUTED_VALUE"""),"هیأت")</f>
        <v>هیأت</v>
      </c>
      <c r="C2973" s="5" t="str">
        <f>IFERROR(__xludf.DUMMYFUNCTION("""COMPUTED_VALUE"""),"امام سجاد (ع)")</f>
        <v>امام سجاد (ع)</v>
      </c>
      <c r="D2973" s="5" t="str">
        <f>IFERROR(__xludf.DUMMYFUNCTION("""COMPUTED_VALUE"""),"خوزستان")</f>
        <v>خوزستان</v>
      </c>
      <c r="E2973" s="5" t="str">
        <f>IFERROR(__xludf.DUMMYFUNCTION("""COMPUTED_VALUE"""),"اهواز")</f>
        <v>اهواز</v>
      </c>
      <c r="F2973" s="5"/>
      <c r="G2973" s="5">
        <f>IFERROR(__xludf.DUMMYFUNCTION("""COMPUTED_VALUE"""),2.0)</f>
        <v>2</v>
      </c>
      <c r="H2973" s="6" t="str">
        <f>IFERROR(__xludf.DUMMYFUNCTION("""COMPUTED_VALUE"""),"https://www.instagram.com/heyat_imamsajad02/")</f>
        <v>https://www.instagram.com/heyat_imamsajad02/</v>
      </c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</row>
    <row r="2974">
      <c r="A2974" s="5"/>
      <c r="B2974" s="5" t="str">
        <f>IFERROR(__xludf.DUMMYFUNCTION("""COMPUTED_VALUE"""),"هیأت ")</f>
        <v>هیأت </v>
      </c>
      <c r="C2974" s="5" t="str">
        <f>IFERROR(__xludf.DUMMYFUNCTION("""COMPUTED_VALUE"""),"بانوان بشری")</f>
        <v>بانوان بشری</v>
      </c>
      <c r="D2974" s="5" t="str">
        <f>IFERROR(__xludf.DUMMYFUNCTION("""COMPUTED_VALUE"""),"خوزستان")</f>
        <v>خوزستان</v>
      </c>
      <c r="E2974" s="5" t="str">
        <f>IFERROR(__xludf.DUMMYFUNCTION("""COMPUTED_VALUE"""),"اهواز")</f>
        <v>اهواز</v>
      </c>
      <c r="F2974" s="5"/>
      <c r="G2974" s="5">
        <f>IFERROR(__xludf.DUMMYFUNCTION("""COMPUTED_VALUE"""),2.0)</f>
        <v>2</v>
      </c>
      <c r="H2974" s="5"/>
      <c r="I2974" s="5"/>
      <c r="J2974" s="6" t="str">
        <f>IFERROR(__xludf.DUMMYFUNCTION("""COMPUTED_VALUE"""),"https://eitaa.com/heyat_banovan_boshra")</f>
        <v>https://eitaa.com/heyat_banovan_boshra</v>
      </c>
      <c r="K2974" s="5"/>
      <c r="L2974" s="5"/>
      <c r="M2974" s="5"/>
      <c r="N2974" s="5"/>
      <c r="O2974" s="5"/>
      <c r="P2974" s="5"/>
      <c r="Q2974" s="5"/>
      <c r="R2974" s="5"/>
      <c r="S2974" s="5"/>
    </row>
    <row r="2975">
      <c r="A2975" s="5"/>
      <c r="B2975" s="5" t="str">
        <f>IFERROR(__xludf.DUMMYFUNCTION("""COMPUTED_VALUE"""),"هیأت ")</f>
        <v>هیأت </v>
      </c>
      <c r="C2975" s="5" t="str">
        <f>IFERROR(__xludf.DUMMYFUNCTION("""COMPUTED_VALUE"""),"بصیری")</f>
        <v>بصیری</v>
      </c>
      <c r="D2975" s="5" t="str">
        <f>IFERROR(__xludf.DUMMYFUNCTION("""COMPUTED_VALUE"""),"خوزستان")</f>
        <v>خوزستان</v>
      </c>
      <c r="E2975" s="5" t="str">
        <f>IFERROR(__xludf.DUMMYFUNCTION("""COMPUTED_VALUE"""),"اهواز")</f>
        <v>اهواز</v>
      </c>
      <c r="F2975" s="5" t="str">
        <f>IFERROR(__xludf.DUMMYFUNCTION("""COMPUTED_VALUE"""),"دانشگاه پیام نور")</f>
        <v>دانشگاه پیام نور</v>
      </c>
      <c r="G2975" s="5">
        <f>IFERROR(__xludf.DUMMYFUNCTION("""COMPUTED_VALUE"""),2.0)</f>
        <v>2</v>
      </c>
      <c r="H2975" s="5"/>
      <c r="I2975" s="5"/>
      <c r="J2975" s="6" t="str">
        <f>IFERROR(__xludf.DUMMYFUNCTION("""COMPUTED_VALUE"""),"https://eitaa.com/Basij_pnuahvaz")</f>
        <v>https://eitaa.com/Basij_pnuahvaz</v>
      </c>
      <c r="K2975" s="5"/>
      <c r="L2975" s="5"/>
      <c r="M2975" s="5"/>
      <c r="N2975" s="5"/>
      <c r="O2975" s="5"/>
      <c r="P2975" s="5"/>
      <c r="Q2975" s="5"/>
      <c r="R2975" s="5"/>
      <c r="S2975" s="5"/>
    </row>
    <row r="2976">
      <c r="A2976" s="5"/>
      <c r="B2976" s="5" t="str">
        <f>IFERROR(__xludf.DUMMYFUNCTION("""COMPUTED_VALUE"""),"هیأت ")</f>
        <v>هیأت </v>
      </c>
      <c r="C2976" s="5" t="str">
        <f>IFERROR(__xludf.DUMMYFUNCTION("""COMPUTED_VALUE"""),"جنت الرضا (ع)")</f>
        <v>جنت الرضا (ع)</v>
      </c>
      <c r="D2976" s="5" t="str">
        <f>IFERROR(__xludf.DUMMYFUNCTION("""COMPUTED_VALUE"""),"خوزستان")</f>
        <v>خوزستان</v>
      </c>
      <c r="E2976" s="5" t="str">
        <f>IFERROR(__xludf.DUMMYFUNCTION("""COMPUTED_VALUE"""),"اهواز")</f>
        <v>اهواز</v>
      </c>
      <c r="F2976" s="5"/>
      <c r="G2976" s="5">
        <f>IFERROR(__xludf.DUMMYFUNCTION("""COMPUTED_VALUE"""),2.0)</f>
        <v>2</v>
      </c>
      <c r="H2976" s="6" t="str">
        <f>IFERROR(__xludf.DUMMYFUNCTION("""COMPUTED_VALUE"""),"https://www.instagram.com/janat.alreza_ahw/")</f>
        <v>https://www.instagram.com/janat.alreza_ahw/</v>
      </c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</row>
    <row r="2977">
      <c r="A2977" s="5"/>
      <c r="B2977" s="5" t="str">
        <f>IFERROR(__xludf.DUMMYFUNCTION("""COMPUTED_VALUE"""),"مسجد")</f>
        <v>مسجد</v>
      </c>
      <c r="C2977" s="5" t="str">
        <f>IFERROR(__xludf.DUMMYFUNCTION("""COMPUTED_VALUE"""),"جواد الائمه (ع)")</f>
        <v>جواد الائمه (ع)</v>
      </c>
      <c r="D2977" s="5" t="str">
        <f>IFERROR(__xludf.DUMMYFUNCTION("""COMPUTED_VALUE"""),"خوزستان")</f>
        <v>خوزستان</v>
      </c>
      <c r="E2977" s="5" t="str">
        <f>IFERROR(__xludf.DUMMYFUNCTION("""COMPUTED_VALUE"""),"اهواز")</f>
        <v>اهواز</v>
      </c>
      <c r="F2977" s="5"/>
      <c r="G2977" s="5">
        <f>IFERROR(__xludf.DUMMYFUNCTION("""COMPUTED_VALUE"""),2.0)</f>
        <v>2</v>
      </c>
      <c r="H2977" s="5"/>
      <c r="I2977" s="5"/>
      <c r="J2977" s="6" t="str">
        <f>IFERROR(__xludf.DUMMYFUNCTION("""COMPUTED_VALUE"""),"https://eitaa.com/masjed_hj")</f>
        <v>https://eitaa.com/masjed_hj</v>
      </c>
      <c r="K2977" s="5"/>
      <c r="L2977" s="5"/>
      <c r="M2977" s="5"/>
      <c r="N2977" s="5"/>
      <c r="O2977" s="5"/>
      <c r="P2977" s="5"/>
      <c r="Q2977" s="5"/>
      <c r="R2977" s="5"/>
      <c r="S2977" s="5"/>
    </row>
    <row r="2978">
      <c r="A2978" s="5"/>
      <c r="B2978" s="5" t="str">
        <f>IFERROR(__xludf.DUMMYFUNCTION("""COMPUTED_VALUE"""),"مسجد ")</f>
        <v>مسجد </v>
      </c>
      <c r="C2978" s="5" t="str">
        <f>IFERROR(__xludf.DUMMYFUNCTION("""COMPUTED_VALUE"""),"خاتم الانبیا(ص)")</f>
        <v>خاتم الانبیا(ص)</v>
      </c>
      <c r="D2978" s="5" t="str">
        <f>IFERROR(__xludf.DUMMYFUNCTION("""COMPUTED_VALUE"""),"خوزستان")</f>
        <v>خوزستان</v>
      </c>
      <c r="E2978" s="5" t="str">
        <f>IFERROR(__xludf.DUMMYFUNCTION("""COMPUTED_VALUE"""),"اهواز")</f>
        <v>اهواز</v>
      </c>
      <c r="F2978" s="5"/>
      <c r="G2978" s="5">
        <f>IFERROR(__xludf.DUMMYFUNCTION("""COMPUTED_VALUE"""),2.0)</f>
        <v>2</v>
      </c>
      <c r="H2978" s="5"/>
      <c r="I2978" s="5"/>
      <c r="J2978" s="6" t="str">
        <f>IFERROR(__xludf.DUMMYFUNCTION("""COMPUTED_VALUE"""),"https://eitaa.com/masjedkhatam")</f>
        <v>https://eitaa.com/masjedkhatam</v>
      </c>
      <c r="K2978" s="5"/>
      <c r="L2978" s="5"/>
      <c r="M2978" s="5"/>
      <c r="N2978" s="5"/>
      <c r="O2978" s="5"/>
      <c r="P2978" s="5"/>
      <c r="Q2978" s="5"/>
      <c r="R2978" s="5"/>
      <c r="S2978" s="5"/>
    </row>
    <row r="2979">
      <c r="A2979" s="5">
        <f>IFERROR(__xludf.DUMMYFUNCTION("""COMPUTED_VALUE"""),31915.0)</f>
        <v>31915</v>
      </c>
      <c r="B2979" s="5" t="str">
        <f>IFERROR(__xludf.DUMMYFUNCTION("""COMPUTED_VALUE"""),"هیأت دخترانه")</f>
        <v>هیأت دخترانه</v>
      </c>
      <c r="C2979" s="5" t="str">
        <f>IFERROR(__xludf.DUMMYFUNCTION("""COMPUTED_VALUE"""),"دختران حاج قاسم")</f>
        <v>دختران حاج قاسم</v>
      </c>
      <c r="D2979" s="5" t="str">
        <f>IFERROR(__xludf.DUMMYFUNCTION("""COMPUTED_VALUE"""),"خوزستان")</f>
        <v>خوزستان</v>
      </c>
      <c r="E2979" s="5" t="str">
        <f>IFERROR(__xludf.DUMMYFUNCTION("""COMPUTED_VALUE"""),"اهواز")</f>
        <v>اهواز</v>
      </c>
      <c r="F2979" s="5"/>
      <c r="G2979" s="5">
        <f>IFERROR(__xludf.DUMMYFUNCTION("""COMPUTED_VALUE"""),2.0)</f>
        <v>2</v>
      </c>
      <c r="H2979" s="5"/>
      <c r="I2979" s="5"/>
      <c r="J2979" s="6" t="str">
        <f>IFERROR(__xludf.DUMMYFUNCTION("""COMPUTED_VALUE"""),"https://eitaa.com/hajghasem_d")</f>
        <v>https://eitaa.com/hajghasem_d</v>
      </c>
      <c r="K2979" s="5"/>
      <c r="L2979" s="5"/>
      <c r="M2979" s="5"/>
      <c r="N2979" s="5"/>
      <c r="O2979" s="5"/>
      <c r="P2979" s="5"/>
      <c r="Q2979" s="5"/>
      <c r="R2979" s="5"/>
      <c r="S2979" s="5"/>
    </row>
    <row r="2980">
      <c r="A2980" s="5">
        <f>IFERROR(__xludf.DUMMYFUNCTION("""COMPUTED_VALUE"""),29818.0)</f>
        <v>29818</v>
      </c>
      <c r="B2980" s="5" t="str">
        <f>IFERROR(__xludf.DUMMYFUNCTION("""COMPUTED_VALUE"""),"هیأت")</f>
        <v>هیأت</v>
      </c>
      <c r="C2980" s="5" t="str">
        <f>IFERROR(__xludf.DUMMYFUNCTION("""COMPUTED_VALUE"""),"رزمندگان اسلام")</f>
        <v>رزمندگان اسلام</v>
      </c>
      <c r="D2980" s="5" t="str">
        <f>IFERROR(__xludf.DUMMYFUNCTION("""COMPUTED_VALUE"""),"خوزستان")</f>
        <v>خوزستان</v>
      </c>
      <c r="E2980" s="5" t="str">
        <f>IFERROR(__xludf.DUMMYFUNCTION("""COMPUTED_VALUE"""),"اهواز")</f>
        <v>اهواز</v>
      </c>
      <c r="F2980" s="5" t="str">
        <f>IFERROR(__xludf.DUMMYFUNCTION("""COMPUTED_VALUE"""),"حسینیه ثارالله اهواز")</f>
        <v>حسینیه ثارالله اهواز</v>
      </c>
      <c r="G2980" s="5">
        <f>IFERROR(__xludf.DUMMYFUNCTION("""COMPUTED_VALUE"""),2.0)</f>
        <v>2</v>
      </c>
      <c r="H2980" s="6" t="str">
        <f>IFERROR(__xludf.DUMMYFUNCTION("""COMPUTED_VALUE"""),"https://www.instagram.com/heyatrazmandegan_khz/")</f>
        <v>https://www.instagram.com/heyatrazmandegan_khz/</v>
      </c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</row>
    <row r="2981">
      <c r="A2981" s="5"/>
      <c r="B2981" s="5" t="str">
        <f>IFERROR(__xludf.DUMMYFUNCTION("""COMPUTED_VALUE"""),"هیأت")</f>
        <v>هیأت</v>
      </c>
      <c r="C2981" s="5" t="str">
        <f>IFERROR(__xludf.DUMMYFUNCTION("""COMPUTED_VALUE"""),"رهروان زینبی")</f>
        <v>رهروان زینبی</v>
      </c>
      <c r="D2981" s="5" t="str">
        <f>IFERROR(__xludf.DUMMYFUNCTION("""COMPUTED_VALUE"""),"خوزستان")</f>
        <v>خوزستان</v>
      </c>
      <c r="E2981" s="5" t="str">
        <f>IFERROR(__xludf.DUMMYFUNCTION("""COMPUTED_VALUE"""),"اهواز")</f>
        <v>اهواز</v>
      </c>
      <c r="F2981" s="5"/>
      <c r="G2981" s="5">
        <f>IFERROR(__xludf.DUMMYFUNCTION("""COMPUTED_VALUE"""),2.0)</f>
        <v>2</v>
      </c>
      <c r="H2981" s="5"/>
      <c r="I2981" s="5"/>
      <c r="J2981" s="6" t="str">
        <f>IFERROR(__xludf.DUMMYFUNCTION("""COMPUTED_VALUE"""),"https://eitaa.com/rahrovanzeinabi")</f>
        <v>https://eitaa.com/rahrovanzeinabi</v>
      </c>
      <c r="K2981" s="5"/>
      <c r="L2981" s="5"/>
      <c r="M2981" s="5"/>
      <c r="N2981" s="5"/>
      <c r="O2981" s="5"/>
      <c r="P2981" s="5"/>
      <c r="Q2981" s="5"/>
      <c r="R2981" s="5"/>
      <c r="S2981" s="5"/>
    </row>
    <row r="2982">
      <c r="A2982" s="5"/>
      <c r="B2982" s="5" t="str">
        <f>IFERROR(__xludf.DUMMYFUNCTION("""COMPUTED_VALUE"""),"هیأت")</f>
        <v>هیأت</v>
      </c>
      <c r="C2982" s="5" t="str">
        <f>IFERROR(__xludf.DUMMYFUNCTION("""COMPUTED_VALUE"""),"روضة الزهرا")</f>
        <v>روضة الزهرا</v>
      </c>
      <c r="D2982" s="5" t="str">
        <f>IFERROR(__xludf.DUMMYFUNCTION("""COMPUTED_VALUE"""),"خوزستان")</f>
        <v>خوزستان</v>
      </c>
      <c r="E2982" s="5" t="str">
        <f>IFERROR(__xludf.DUMMYFUNCTION("""COMPUTED_VALUE"""),"اهواز")</f>
        <v>اهواز</v>
      </c>
      <c r="F2982" s="5"/>
      <c r="G2982" s="5">
        <f>IFERROR(__xludf.DUMMYFUNCTION("""COMPUTED_VALUE"""),2.0)</f>
        <v>2</v>
      </c>
      <c r="H2982" s="6" t="str">
        <f>IFERROR(__xludf.DUMMYFUNCTION("""COMPUTED_VALUE"""),"https://www.instagram.com/roza.tolzahra213")</f>
        <v>https://www.instagram.com/roza.tolzahra213</v>
      </c>
      <c r="I2982" s="6" t="str">
        <f>IFERROR(__xludf.DUMMYFUNCTION("""COMPUTED_VALUE"""),"https://t.me/rozat_olzahra213")</f>
        <v>https://t.me/rozat_olzahra213</v>
      </c>
      <c r="J2982" s="5"/>
      <c r="K2982" s="5"/>
      <c r="L2982" s="5"/>
      <c r="M2982" s="5"/>
      <c r="N2982" s="5"/>
      <c r="O2982" s="5"/>
      <c r="P2982" s="5"/>
      <c r="Q2982" s="5"/>
      <c r="R2982" s="5"/>
      <c r="S2982" s="5"/>
    </row>
    <row r="2983">
      <c r="A2983" s="5">
        <f>IFERROR(__xludf.DUMMYFUNCTION("""COMPUTED_VALUE"""),28212.0)</f>
        <v>28212</v>
      </c>
      <c r="B2983" s="5" t="str">
        <f>IFERROR(__xludf.DUMMYFUNCTION("""COMPUTED_VALUE"""),"هیأت")</f>
        <v>هیأت</v>
      </c>
      <c r="C2983" s="5" t="str">
        <f>IFERROR(__xludf.DUMMYFUNCTION("""COMPUTED_VALUE"""),"سیدالشهدا (ع)")</f>
        <v>سیدالشهدا (ع)</v>
      </c>
      <c r="D2983" s="5" t="str">
        <f>IFERROR(__xludf.DUMMYFUNCTION("""COMPUTED_VALUE"""),"خوزستان")</f>
        <v>خوزستان</v>
      </c>
      <c r="E2983" s="5" t="str">
        <f>IFERROR(__xludf.DUMMYFUNCTION("""COMPUTED_VALUE"""),"اهواز")</f>
        <v>اهواز</v>
      </c>
      <c r="F2983" s="5"/>
      <c r="G2983" s="5">
        <f>IFERROR(__xludf.DUMMYFUNCTION("""COMPUTED_VALUE"""),2.0)</f>
        <v>2</v>
      </c>
      <c r="H2983" s="6" t="str">
        <f>IFERROR(__xludf.DUMMYFUNCTION("""COMPUTED_VALUE"""),"https://www.instagram.com/heyat.seyedalshohada_ahvaz/")</f>
        <v>https://www.instagram.com/heyat.seyedalshohada_ahvaz/</v>
      </c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</row>
    <row r="2984">
      <c r="A2984" s="5"/>
      <c r="B2984" s="5" t="str">
        <f>IFERROR(__xludf.DUMMYFUNCTION("""COMPUTED_VALUE"""),"هیأت")</f>
        <v>هیأت</v>
      </c>
      <c r="C2984" s="5" t="str">
        <f>IFERROR(__xludf.DUMMYFUNCTION("""COMPUTED_VALUE"""),"شهدای بهمئی")</f>
        <v>شهدای بهمئی</v>
      </c>
      <c r="D2984" s="5" t="str">
        <f>IFERROR(__xludf.DUMMYFUNCTION("""COMPUTED_VALUE"""),"خوزستان")</f>
        <v>خوزستان</v>
      </c>
      <c r="E2984" s="5" t="str">
        <f>IFERROR(__xludf.DUMMYFUNCTION("""COMPUTED_VALUE"""),"اهواز")</f>
        <v>اهواز</v>
      </c>
      <c r="F2984" s="5"/>
      <c r="G2984" s="5">
        <f>IFERROR(__xludf.DUMMYFUNCTION("""COMPUTED_VALUE"""),2.0)</f>
        <v>2</v>
      </c>
      <c r="H2984" s="6" t="str">
        <f>IFERROR(__xludf.DUMMYFUNCTION("""COMPUTED_VALUE"""),"https://www.instagram.com/bahmai_iran/")</f>
        <v>https://www.instagram.com/bahmai_iran/</v>
      </c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</row>
    <row r="2985">
      <c r="A2985" s="5"/>
      <c r="B2985" s="5" t="str">
        <f>IFERROR(__xludf.DUMMYFUNCTION("""COMPUTED_VALUE"""),"هیأت")</f>
        <v>هیأت</v>
      </c>
      <c r="C2985" s="5" t="str">
        <f>IFERROR(__xludf.DUMMYFUNCTION("""COMPUTED_VALUE"""),"عاشقان اهل بیت")</f>
        <v>عاشقان اهل بیت</v>
      </c>
      <c r="D2985" s="5" t="str">
        <f>IFERROR(__xludf.DUMMYFUNCTION("""COMPUTED_VALUE"""),"خوزستان")</f>
        <v>خوزستان</v>
      </c>
      <c r="E2985" s="5" t="str">
        <f>IFERROR(__xludf.DUMMYFUNCTION("""COMPUTED_VALUE"""),"اهواز")</f>
        <v>اهواز</v>
      </c>
      <c r="F2985" s="5"/>
      <c r="G2985" s="5">
        <f>IFERROR(__xludf.DUMMYFUNCTION("""COMPUTED_VALUE"""),2.0)</f>
        <v>2</v>
      </c>
      <c r="H2985" s="6" t="str">
        <f>IFERROR(__xludf.DUMMYFUNCTION("""COMPUTED_VALUE"""),"https://www.instagram.com/asheghan_ab")</f>
        <v>https://www.instagram.com/asheghan_ab</v>
      </c>
      <c r="I2985" s="6" t="str">
        <f>IFERROR(__xludf.DUMMYFUNCTION("""COMPUTED_VALUE"""),"https://t.me/Asheghan_eb")</f>
        <v>https://t.me/Asheghan_eb</v>
      </c>
      <c r="J2985" s="5"/>
      <c r="K2985" s="5"/>
      <c r="L2985" s="5"/>
      <c r="M2985" s="5"/>
      <c r="N2985" s="5"/>
      <c r="O2985" s="5"/>
      <c r="P2985" s="5"/>
      <c r="Q2985" s="5"/>
      <c r="R2985" s="5"/>
      <c r="S2985" s="5"/>
    </row>
    <row r="2986">
      <c r="A2986" s="5"/>
      <c r="B2986" s="5" t="str">
        <f>IFERROR(__xludf.DUMMYFUNCTION("""COMPUTED_VALUE"""),"هیأت")</f>
        <v>هیأت</v>
      </c>
      <c r="C2986" s="5" t="str">
        <f>IFERROR(__xludf.DUMMYFUNCTION("""COMPUTED_VALUE"""),"عزاداران مسجد حضرت علی(ع)")</f>
        <v>عزاداران مسجد حضرت علی(ع)</v>
      </c>
      <c r="D2986" s="5" t="str">
        <f>IFERROR(__xludf.DUMMYFUNCTION("""COMPUTED_VALUE"""),"خوزستان")</f>
        <v>خوزستان</v>
      </c>
      <c r="E2986" s="5" t="str">
        <f>IFERROR(__xludf.DUMMYFUNCTION("""COMPUTED_VALUE"""),"اهواز")</f>
        <v>اهواز</v>
      </c>
      <c r="F2986" s="5"/>
      <c r="G2986" s="5">
        <f>IFERROR(__xludf.DUMMYFUNCTION("""COMPUTED_VALUE"""),2.0)</f>
        <v>2</v>
      </c>
      <c r="H2986" s="6" t="str">
        <f>IFERROR(__xludf.DUMMYFUNCTION("""COMPUTED_VALUE"""),"https://www.instagram.com/heyat_1345/")</f>
        <v>https://www.instagram.com/heyat_1345/</v>
      </c>
      <c r="I2986" s="6" t="str">
        <f>IFERROR(__xludf.DUMMYFUNCTION("""COMPUTED_VALUE"""),"t.me/heyat_1345")</f>
        <v>t.me/heyat_1345</v>
      </c>
      <c r="J2986" s="5"/>
      <c r="K2986" s="5"/>
      <c r="L2986" s="5"/>
      <c r="M2986" s="5"/>
      <c r="N2986" s="5"/>
      <c r="O2986" s="5"/>
      <c r="P2986" s="5"/>
      <c r="Q2986" s="5"/>
      <c r="R2986" s="5"/>
      <c r="S2986" s="5"/>
    </row>
    <row r="2987">
      <c r="A2987" s="5"/>
      <c r="B2987" s="5" t="str">
        <f>IFERROR(__xludf.DUMMYFUNCTION("""COMPUTED_VALUE"""),"هیأت")</f>
        <v>هیأت</v>
      </c>
      <c r="C2987" s="5" t="str">
        <f>IFERROR(__xludf.DUMMYFUNCTION("""COMPUTED_VALUE"""),"عشاق الحسین")</f>
        <v>عشاق الحسین</v>
      </c>
      <c r="D2987" s="5" t="str">
        <f>IFERROR(__xludf.DUMMYFUNCTION("""COMPUTED_VALUE"""),"خوزستان")</f>
        <v>خوزستان</v>
      </c>
      <c r="E2987" s="5" t="str">
        <f>IFERROR(__xludf.DUMMYFUNCTION("""COMPUTED_VALUE"""),"اهواز")</f>
        <v>اهواز</v>
      </c>
      <c r="F2987" s="5"/>
      <c r="G2987" s="5">
        <f>IFERROR(__xludf.DUMMYFUNCTION("""COMPUTED_VALUE"""),2.0)</f>
        <v>2</v>
      </c>
      <c r="H2987" s="6" t="str">
        <f>IFERROR(__xludf.DUMMYFUNCTION("""COMPUTED_VALUE"""),"https://www.instagram.com/oshagholhosseinahwaz")</f>
        <v>https://www.instagram.com/oshagholhosseinahwaz</v>
      </c>
      <c r="I2987" s="6" t="str">
        <f>IFERROR(__xludf.DUMMYFUNCTION("""COMPUTED_VALUE"""),"https://t.me/oshagholhosseinahwaz")</f>
        <v>https://t.me/oshagholhosseinahwaz</v>
      </c>
      <c r="J2987" s="6" t="str">
        <f>IFERROR(__xludf.DUMMYFUNCTION("""COMPUTED_VALUE"""),"https://eitaa.com/oshagholhosseinahwaz")</f>
        <v>https://eitaa.com/oshagholhosseinahwaz</v>
      </c>
      <c r="K2987" s="5"/>
      <c r="L2987" s="5"/>
      <c r="M2987" s="5"/>
      <c r="N2987" s="5"/>
      <c r="O2987" s="5"/>
      <c r="P2987" s="5"/>
      <c r="Q2987" s="5"/>
      <c r="R2987" s="5"/>
      <c r="S2987" s="5"/>
    </row>
    <row r="2988">
      <c r="A2988" s="5"/>
      <c r="B2988" s="5" t="str">
        <f>IFERROR(__xludf.DUMMYFUNCTION("""COMPUTED_VALUE"""),"هیأت")</f>
        <v>هیأت</v>
      </c>
      <c r="C2988" s="5" t="str">
        <f>IFERROR(__xludf.DUMMYFUNCTION("""COMPUTED_VALUE"""),"عشاق المهدی")</f>
        <v>عشاق المهدی</v>
      </c>
      <c r="D2988" s="5" t="str">
        <f>IFERROR(__xludf.DUMMYFUNCTION("""COMPUTED_VALUE"""),"خوزستان")</f>
        <v>خوزستان</v>
      </c>
      <c r="E2988" s="5" t="str">
        <f>IFERROR(__xludf.DUMMYFUNCTION("""COMPUTED_VALUE"""),"اهواز")</f>
        <v>اهواز</v>
      </c>
      <c r="F2988" s="5"/>
      <c r="G2988" s="5">
        <f>IFERROR(__xludf.DUMMYFUNCTION("""COMPUTED_VALUE"""),2.0)</f>
        <v>2</v>
      </c>
      <c r="H2988" s="6" t="str">
        <f>IFERROR(__xludf.DUMMYFUNCTION("""COMPUTED_VALUE"""),"https://www.instagram.com/iahsin1404/")</f>
        <v>https://www.instagram.com/iahsin1404/</v>
      </c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</row>
    <row r="2989">
      <c r="A2989" s="5"/>
      <c r="B2989" s="5" t="str">
        <f>IFERROR(__xludf.DUMMYFUNCTION("""COMPUTED_VALUE"""),"هیأت")</f>
        <v>هیأت</v>
      </c>
      <c r="C2989" s="5" t="str">
        <f>IFERROR(__xludf.DUMMYFUNCTION("""COMPUTED_VALUE"""),"فدائیان حسین جان")</f>
        <v>فدائیان حسین جان</v>
      </c>
      <c r="D2989" s="5" t="str">
        <f>IFERROR(__xludf.DUMMYFUNCTION("""COMPUTED_VALUE"""),"خوزستان")</f>
        <v>خوزستان</v>
      </c>
      <c r="E2989" s="5" t="str">
        <f>IFERROR(__xludf.DUMMYFUNCTION("""COMPUTED_VALUE"""),"اهواز")</f>
        <v>اهواز</v>
      </c>
      <c r="F2989" s="5"/>
      <c r="G2989" s="5">
        <f>IFERROR(__xludf.DUMMYFUNCTION("""COMPUTED_VALUE"""),2.0)</f>
        <v>2</v>
      </c>
      <c r="H2989" s="6" t="str">
        <f>IFERROR(__xludf.DUMMYFUNCTION("""COMPUTED_VALUE"""),"https://www.instagram.com/_fadaiyanhosseinjan")</f>
        <v>https://www.instagram.com/_fadaiyanhosseinjan</v>
      </c>
      <c r="I2989" s="6" t="str">
        <f>IFERROR(__xludf.DUMMYFUNCTION("""COMPUTED_VALUE"""),"https://t.me/fadaiyan_hosseinjan")</f>
        <v>https://t.me/fadaiyan_hosseinjan</v>
      </c>
      <c r="J2989" s="6" t="str">
        <f>IFERROR(__xludf.DUMMYFUNCTION("""COMPUTED_VALUE"""),"https://eitaa.com/fadaeyan_hossein_jan")</f>
        <v>https://eitaa.com/fadaeyan_hossein_jan</v>
      </c>
      <c r="K2989" s="5"/>
      <c r="L2989" s="5"/>
      <c r="M2989" s="5"/>
      <c r="N2989" s="5"/>
      <c r="O2989" s="5"/>
      <c r="P2989" s="5"/>
      <c r="Q2989" s="5"/>
      <c r="R2989" s="5"/>
      <c r="S2989" s="5"/>
    </row>
    <row r="2990">
      <c r="A2990" s="5"/>
      <c r="B2990" s="5" t="str">
        <f>IFERROR(__xludf.DUMMYFUNCTION("""COMPUTED_VALUE"""),"مسجد")</f>
        <v>مسجد</v>
      </c>
      <c r="C2990" s="5" t="str">
        <f>IFERROR(__xludf.DUMMYFUNCTION("""COMPUTED_VALUE"""),"قبا")</f>
        <v>قبا</v>
      </c>
      <c r="D2990" s="5" t="str">
        <f>IFERROR(__xludf.DUMMYFUNCTION("""COMPUTED_VALUE"""),"خوزستان")</f>
        <v>خوزستان</v>
      </c>
      <c r="E2990" s="5" t="str">
        <f>IFERROR(__xludf.DUMMYFUNCTION("""COMPUTED_VALUE"""),"اهواز")</f>
        <v>اهواز</v>
      </c>
      <c r="F2990" s="5"/>
      <c r="G2990" s="5">
        <f>IFERROR(__xludf.DUMMYFUNCTION("""COMPUTED_VALUE"""),2.0)</f>
        <v>2</v>
      </c>
      <c r="H2990" s="5"/>
      <c r="I2990" s="5"/>
      <c r="J2990" s="6" t="str">
        <f>IFERROR(__xludf.DUMMYFUNCTION("""COMPUTED_VALUE"""),"https://eitaa.com/masjed_ghobaa")</f>
        <v>https://eitaa.com/masjed_ghobaa</v>
      </c>
      <c r="K2990" s="5"/>
      <c r="L2990" s="5"/>
      <c r="M2990" s="5"/>
      <c r="N2990" s="5"/>
      <c r="O2990" s="5"/>
      <c r="P2990" s="5"/>
      <c r="Q2990" s="5"/>
      <c r="R2990" s="5"/>
      <c r="S2990" s="5"/>
    </row>
    <row r="2991">
      <c r="A2991" s="5"/>
      <c r="B2991" s="5" t="str">
        <f>IFERROR(__xludf.DUMMYFUNCTION("""COMPUTED_VALUE"""),"هیأت دانشجویی")</f>
        <v>هیأت دانشجویی</v>
      </c>
      <c r="C2991" s="5" t="str">
        <f>IFERROR(__xludf.DUMMYFUNCTION("""COMPUTED_VALUE"""),"محبان اهل بیت")</f>
        <v>محبان اهل بیت</v>
      </c>
      <c r="D2991" s="5" t="str">
        <f>IFERROR(__xludf.DUMMYFUNCTION("""COMPUTED_VALUE"""),"خوزستان")</f>
        <v>خوزستان</v>
      </c>
      <c r="E2991" s="5" t="str">
        <f>IFERROR(__xludf.DUMMYFUNCTION("""COMPUTED_VALUE"""),"اهواز")</f>
        <v>اهواز</v>
      </c>
      <c r="F2991" s="5" t="str">
        <f>IFERROR(__xludf.DUMMYFUNCTION("""COMPUTED_VALUE"""),"دانشگاه علوم کشاورزی ومنابع طبیعی خوزستان")</f>
        <v>دانشگاه علوم کشاورزی ومنابع طبیعی خوزستان</v>
      </c>
      <c r="G2991" s="5">
        <f>IFERROR(__xludf.DUMMYFUNCTION("""COMPUTED_VALUE"""),2.0)</f>
        <v>2</v>
      </c>
      <c r="H2991" s="6" t="str">
        <f>IFERROR(__xludf.DUMMYFUNCTION("""COMPUTED_VALUE"""),"https://www.instagram.com/heyat_asnrukh")</f>
        <v>https://www.instagram.com/heyat_asnrukh</v>
      </c>
      <c r="I2991" s="5"/>
      <c r="J2991" s="6" t="str">
        <f>IFERROR(__xludf.DUMMYFUNCTION("""COMPUTED_VALUE"""),"https://eitaa.com/heyat_asnrukh")</f>
        <v>https://eitaa.com/heyat_asnrukh</v>
      </c>
      <c r="K2991" s="5"/>
      <c r="L2991" s="5"/>
      <c r="M2991" s="5"/>
      <c r="N2991" s="5"/>
      <c r="O2991" s="5"/>
      <c r="P2991" s="5"/>
      <c r="Q2991" s="5"/>
      <c r="R2991" s="5"/>
      <c r="S2991" s="5"/>
    </row>
    <row r="2992">
      <c r="A2992" s="5"/>
      <c r="B2992" s="5" t="str">
        <f>IFERROR(__xludf.DUMMYFUNCTION("""COMPUTED_VALUE"""),"هیأت دانشجویی")</f>
        <v>هیأت دانشجویی</v>
      </c>
      <c r="C2992" s="5" t="str">
        <f>IFERROR(__xludf.DUMMYFUNCTION("""COMPUTED_VALUE"""),"محبان اهل بیت")</f>
        <v>محبان اهل بیت</v>
      </c>
      <c r="D2992" s="5" t="str">
        <f>IFERROR(__xludf.DUMMYFUNCTION("""COMPUTED_VALUE"""),"خوزستان")</f>
        <v>خوزستان</v>
      </c>
      <c r="E2992" s="5" t="str">
        <f>IFERROR(__xludf.DUMMYFUNCTION("""COMPUTED_VALUE"""),"اهواز")</f>
        <v>اهواز</v>
      </c>
      <c r="F2992" s="5" t="str">
        <f>IFERROR(__xludf.DUMMYFUNCTION("""COMPUTED_VALUE"""),"دانشگاه فرهنگیان پردیس حضرت رسول اکرم ص")</f>
        <v>دانشگاه فرهنگیان پردیس حضرت رسول اکرم ص</v>
      </c>
      <c r="G2992" s="5">
        <f>IFERROR(__xludf.DUMMYFUNCTION("""COMPUTED_VALUE"""),2.0)</f>
        <v>2</v>
      </c>
      <c r="H2992" s="6" t="str">
        <f>IFERROR(__xludf.DUMMYFUNCTION("""COMPUTED_VALUE"""),"https://www.instagram.com/heyat_cfu")</f>
        <v>https://www.instagram.com/heyat_cfu</v>
      </c>
      <c r="I2992" s="5"/>
      <c r="J2992" s="6" t="str">
        <f>IFERROR(__xludf.DUMMYFUNCTION("""COMPUTED_VALUE"""),"https://eitaa.com/heyat_cfu")</f>
        <v>https://eitaa.com/heyat_cfu</v>
      </c>
      <c r="K2992" s="5"/>
      <c r="L2992" s="5"/>
      <c r="M2992" s="5"/>
      <c r="N2992" s="5"/>
      <c r="O2992" s="5"/>
      <c r="P2992" s="5"/>
      <c r="Q2992" s="5"/>
      <c r="R2992" s="5"/>
      <c r="S2992" s="5"/>
    </row>
    <row r="2993">
      <c r="A2993" s="5"/>
      <c r="B2993" s="5" t="str">
        <f>IFERROR(__xludf.DUMMYFUNCTION("""COMPUTED_VALUE"""),"هیأت دانشجویی")</f>
        <v>هیأت دانشجویی</v>
      </c>
      <c r="C2993" s="5" t="str">
        <f>IFERROR(__xludf.DUMMYFUNCTION("""COMPUTED_VALUE"""),"محبان اهل بیت")</f>
        <v>محبان اهل بیت</v>
      </c>
      <c r="D2993" s="5" t="str">
        <f>IFERROR(__xludf.DUMMYFUNCTION("""COMPUTED_VALUE"""),"خوزستان")</f>
        <v>خوزستان</v>
      </c>
      <c r="E2993" s="5" t="str">
        <f>IFERROR(__xludf.DUMMYFUNCTION("""COMPUTED_VALUE"""),"اهواز")</f>
        <v>اهواز</v>
      </c>
      <c r="F2993" s="5" t="str">
        <f>IFERROR(__xludf.DUMMYFUNCTION("""COMPUTED_VALUE"""),"دانشگاه شهید چمران اهواز")</f>
        <v>دانشگاه شهید چمران اهواز</v>
      </c>
      <c r="G2993" s="5">
        <f>IFERROR(__xludf.DUMMYFUNCTION("""COMPUTED_VALUE"""),2.0)</f>
        <v>2</v>
      </c>
      <c r="H2993" s="6" t="str">
        <f>IFERROR(__xludf.DUMMYFUNCTION("""COMPUTED_VALUE"""),"https://www.instagram.com/heyat_scu")</f>
        <v>https://www.instagram.com/heyat_scu</v>
      </c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</row>
    <row r="2994">
      <c r="A2994" s="5"/>
      <c r="B2994" s="5" t="str">
        <f>IFERROR(__xludf.DUMMYFUNCTION("""COMPUTED_VALUE"""),"هیأت دانشجویی")</f>
        <v>هیأت دانشجویی</v>
      </c>
      <c r="C2994" s="5" t="str">
        <f>IFERROR(__xludf.DUMMYFUNCTION("""COMPUTED_VALUE"""),"محبان اهل بیت")</f>
        <v>محبان اهل بیت</v>
      </c>
      <c r="D2994" s="5" t="str">
        <f>IFERROR(__xludf.DUMMYFUNCTION("""COMPUTED_VALUE"""),"خوزستان")</f>
        <v>خوزستان</v>
      </c>
      <c r="E2994" s="5" t="str">
        <f>IFERROR(__xludf.DUMMYFUNCTION("""COMPUTED_VALUE"""),"اهواز")</f>
        <v>اهواز</v>
      </c>
      <c r="F2994" s="5" t="str">
        <f>IFERROR(__xludf.DUMMYFUNCTION("""COMPUTED_VALUE"""),"دانشگاه علوم پزشکی جندی شاپور")</f>
        <v>دانشگاه علوم پزشکی جندی شاپور</v>
      </c>
      <c r="G2994" s="5">
        <f>IFERROR(__xludf.DUMMYFUNCTION("""COMPUTED_VALUE"""),2.0)</f>
        <v>2</v>
      </c>
      <c r="H2994" s="6" t="str">
        <f>IFERROR(__xludf.DUMMYFUNCTION("""COMPUTED_VALUE"""),"https://www.instagram.com/mohebanajums")</f>
        <v>https://www.instagram.com/mohebanajums</v>
      </c>
      <c r="I2994" s="6" t="str">
        <f>IFERROR(__xludf.DUMMYFUNCTION("""COMPUTED_VALUE"""),"https://t.me/mohebbanajums")</f>
        <v>https://t.me/mohebbanajums</v>
      </c>
      <c r="J2994" s="5"/>
      <c r="K2994" s="5"/>
      <c r="L2994" s="5"/>
      <c r="M2994" s="5"/>
      <c r="N2994" s="5"/>
      <c r="O2994" s="5"/>
      <c r="P2994" s="5"/>
      <c r="Q2994" s="5"/>
      <c r="R2994" s="5"/>
      <c r="S2994" s="5"/>
    </row>
    <row r="2995">
      <c r="A2995" s="5"/>
      <c r="B2995" s="5" t="str">
        <f>IFERROR(__xludf.DUMMYFUNCTION("""COMPUTED_VALUE"""),"هیأت دانشجویی")</f>
        <v>هیأت دانشجویی</v>
      </c>
      <c r="C2995" s="5" t="str">
        <f>IFERROR(__xludf.DUMMYFUNCTION("""COMPUTED_VALUE"""),"محبین اهل بیت")</f>
        <v>محبین اهل بیت</v>
      </c>
      <c r="D2995" s="5" t="str">
        <f>IFERROR(__xludf.DUMMYFUNCTION("""COMPUTED_VALUE"""),"خوزستان")</f>
        <v>خوزستان</v>
      </c>
      <c r="E2995" s="5" t="str">
        <f>IFERROR(__xludf.DUMMYFUNCTION("""COMPUTED_VALUE"""),"اهواز")</f>
        <v>اهواز</v>
      </c>
      <c r="F2995" s="5" t="str">
        <f>IFERROR(__xludf.DUMMYFUNCTION("""COMPUTED_VALUE"""),"دانشکده نفت اهواز")</f>
        <v>دانشکده نفت اهواز</v>
      </c>
      <c r="G2995" s="5">
        <f>IFERROR(__xludf.DUMMYFUNCTION("""COMPUTED_VALUE"""),2.0)</f>
        <v>2</v>
      </c>
      <c r="H2995" s="6" t="str">
        <f>IFERROR(__xludf.DUMMYFUNCTION("""COMPUTED_VALUE"""),"https://www.instagram.com/heyat_put/")</f>
        <v>https://www.instagram.com/heyat_put/</v>
      </c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</row>
    <row r="2996">
      <c r="A2996" s="5"/>
      <c r="B2996" s="5" t="str">
        <f>IFERROR(__xludf.DUMMYFUNCTION("""COMPUTED_VALUE"""),"هیأت ")</f>
        <v>هیأت </v>
      </c>
      <c r="C2996" s="5" t="str">
        <f>IFERROR(__xludf.DUMMYFUNCTION("""COMPUTED_VALUE"""),"محفل اشک")</f>
        <v>محفل اشک</v>
      </c>
      <c r="D2996" s="5" t="str">
        <f>IFERROR(__xludf.DUMMYFUNCTION("""COMPUTED_VALUE"""),"خوزستان")</f>
        <v>خوزستان</v>
      </c>
      <c r="E2996" s="5" t="str">
        <f>IFERROR(__xludf.DUMMYFUNCTION("""COMPUTED_VALUE"""),"اهواز")</f>
        <v>اهواز</v>
      </c>
      <c r="F2996" s="5"/>
      <c r="G2996" s="5">
        <f>IFERROR(__xludf.DUMMYFUNCTION("""COMPUTED_VALUE"""),2.0)</f>
        <v>2</v>
      </c>
      <c r="H2996" s="6" t="str">
        <f>IFERROR(__xludf.DUMMYFUNCTION("""COMPUTED_VALUE"""),"https://www.instagram.com/m.a_ashabolhossein_ahw")</f>
        <v>https://www.instagram.com/m.a_ashabolhossein_ahw</v>
      </c>
      <c r="I2996" s="5"/>
      <c r="J2996" s="6" t="str">
        <f>IFERROR(__xludf.DUMMYFUNCTION("""COMPUTED_VALUE"""),"https://eitaa.com/ma_ashabolhossein_ahw")</f>
        <v>https://eitaa.com/ma_ashabolhossein_ahw</v>
      </c>
      <c r="K2996" s="5"/>
      <c r="L2996" s="5"/>
      <c r="M2996" s="5"/>
      <c r="N2996" s="5"/>
      <c r="O2996" s="5"/>
      <c r="P2996" s="5"/>
      <c r="Q2996" s="5"/>
      <c r="R2996" s="5"/>
      <c r="S2996" s="5"/>
    </row>
    <row r="2997">
      <c r="A2997" s="5"/>
      <c r="B2997" s="5" t="str">
        <f>IFERROR(__xludf.DUMMYFUNCTION("""COMPUTED_VALUE"""),"هیأت ")</f>
        <v>هیأت </v>
      </c>
      <c r="C2997" s="5" t="str">
        <f>IFERROR(__xludf.DUMMYFUNCTION("""COMPUTED_VALUE"""),"مسجد ولایت")</f>
        <v>مسجد ولایت</v>
      </c>
      <c r="D2997" s="5" t="str">
        <f>IFERROR(__xludf.DUMMYFUNCTION("""COMPUTED_VALUE"""),"خوزستان")</f>
        <v>خوزستان</v>
      </c>
      <c r="E2997" s="5" t="str">
        <f>IFERROR(__xludf.DUMMYFUNCTION("""COMPUTED_VALUE"""),"اهواز")</f>
        <v>اهواز</v>
      </c>
      <c r="F2997" s="5"/>
      <c r="G2997" s="5">
        <f>IFERROR(__xludf.DUMMYFUNCTION("""COMPUTED_VALUE"""),2.0)</f>
        <v>2</v>
      </c>
      <c r="H2997" s="5"/>
      <c r="I2997" s="5"/>
      <c r="J2997" s="6" t="str">
        <f>IFERROR(__xludf.DUMMYFUNCTION("""COMPUTED_VALUE"""),"https://eitaa.com/masjedevelayat")</f>
        <v>https://eitaa.com/masjedevelayat</v>
      </c>
      <c r="K2997" s="5"/>
      <c r="L2997" s="5"/>
      <c r="M2997" s="5"/>
      <c r="N2997" s="5"/>
      <c r="O2997" s="5"/>
      <c r="P2997" s="5"/>
      <c r="Q2997" s="5"/>
      <c r="R2997" s="5"/>
      <c r="S2997" s="5"/>
    </row>
    <row r="2998">
      <c r="A2998" s="5">
        <f>IFERROR(__xludf.DUMMYFUNCTION("""COMPUTED_VALUE"""),28451.0)</f>
        <v>28451</v>
      </c>
      <c r="B2998" s="5" t="str">
        <f>IFERROR(__xludf.DUMMYFUNCTION("""COMPUTED_VALUE"""),"مسجد")</f>
        <v>مسجد</v>
      </c>
      <c r="C2998" s="5" t="str">
        <f>IFERROR(__xludf.DUMMYFUNCTION("""COMPUTED_VALUE"""),"امام موسی کاظم (ع)")</f>
        <v>امام موسی کاظم (ع)</v>
      </c>
      <c r="D2998" s="5" t="str">
        <f>IFERROR(__xludf.DUMMYFUNCTION("""COMPUTED_VALUE"""),"خوزستان")</f>
        <v>خوزستان</v>
      </c>
      <c r="E2998" s="5" t="str">
        <f>IFERROR(__xludf.DUMMYFUNCTION("""COMPUTED_VALUE"""),"ایذه")</f>
        <v>ایذه</v>
      </c>
      <c r="F2998" s="5"/>
      <c r="G2998" s="5">
        <f>IFERROR(__xludf.DUMMYFUNCTION("""COMPUTED_VALUE"""),2.0)</f>
        <v>2</v>
      </c>
      <c r="H2998" s="5"/>
      <c r="I2998" s="5"/>
      <c r="J2998" s="6" t="str">
        <f>IFERROR(__xludf.DUMMYFUNCTION("""COMPUTED_VALUE"""),"https://eitaa.com/masjed_imk")</f>
        <v>https://eitaa.com/masjed_imk</v>
      </c>
      <c r="K2998" s="5"/>
      <c r="L2998" s="5"/>
      <c r="M2998" s="5"/>
      <c r="N2998" s="5"/>
      <c r="O2998" s="5"/>
      <c r="P2998" s="5"/>
      <c r="Q2998" s="5"/>
      <c r="R2998" s="5"/>
      <c r="S2998" s="5"/>
    </row>
    <row r="2999">
      <c r="A2999" s="5"/>
      <c r="B2999" s="5" t="str">
        <f>IFERROR(__xludf.DUMMYFUNCTION("""COMPUTED_VALUE"""),"هیأت")</f>
        <v>هیأت</v>
      </c>
      <c r="C2999" s="5" t="str">
        <f>IFERROR(__xludf.DUMMYFUNCTION("""COMPUTED_VALUE"""),"عاشقان کربلا")</f>
        <v>عاشقان کربلا</v>
      </c>
      <c r="D2999" s="5" t="str">
        <f>IFERROR(__xludf.DUMMYFUNCTION("""COMPUTED_VALUE"""),"خوزستان")</f>
        <v>خوزستان</v>
      </c>
      <c r="E2999" s="5" t="str">
        <f>IFERROR(__xludf.DUMMYFUNCTION("""COMPUTED_VALUE"""),"ایذه")</f>
        <v>ایذه</v>
      </c>
      <c r="F2999" s="5"/>
      <c r="G2999" s="5">
        <f>IFERROR(__xludf.DUMMYFUNCTION("""COMPUTED_VALUE"""),2.0)</f>
        <v>2</v>
      </c>
      <c r="H2999" s="6" t="str">
        <f>IFERROR(__xludf.DUMMYFUNCTION("""COMPUTED_VALUE"""),"https://www.instagram.com/asheghanekarbala86")</f>
        <v>https://www.instagram.com/asheghanekarbala86</v>
      </c>
      <c r="I2999" s="6" t="str">
        <f>IFERROR(__xludf.DUMMYFUNCTION("""COMPUTED_VALUE"""),"https://t.me/asheghankarbala86")</f>
        <v>https://t.me/asheghankarbala86</v>
      </c>
      <c r="J2999" s="5"/>
      <c r="K2999" s="5"/>
      <c r="L2999" s="5"/>
      <c r="M2999" s="5"/>
      <c r="N2999" s="5"/>
      <c r="O2999" s="5"/>
      <c r="P2999" s="5"/>
      <c r="Q2999" s="5"/>
      <c r="R2999" s="5"/>
      <c r="S2999" s="5"/>
    </row>
    <row r="3000">
      <c r="A3000" s="5">
        <f>IFERROR(__xludf.DUMMYFUNCTION("""COMPUTED_VALUE"""),30194.0)</f>
        <v>30194</v>
      </c>
      <c r="B3000" s="5" t="str">
        <f>IFERROR(__xludf.DUMMYFUNCTION("""COMPUTED_VALUE"""),"هیأت")</f>
        <v>هیأت</v>
      </c>
      <c r="C3000" s="5" t="str">
        <f>IFERROR(__xludf.DUMMYFUNCTION("""COMPUTED_VALUE"""),"کانون فرهنگی اجتماعی بانوان")</f>
        <v>کانون فرهنگی اجتماعی بانوان</v>
      </c>
      <c r="D3000" s="5" t="str">
        <f>IFERROR(__xludf.DUMMYFUNCTION("""COMPUTED_VALUE"""),"خوزستان")</f>
        <v>خوزستان</v>
      </c>
      <c r="E3000" s="5" t="str">
        <f>IFERROR(__xludf.DUMMYFUNCTION("""COMPUTED_VALUE"""),"ایذه")</f>
        <v>ایذه</v>
      </c>
      <c r="F3000" s="5"/>
      <c r="G3000" s="5">
        <f>IFERROR(__xludf.DUMMYFUNCTION("""COMPUTED_VALUE"""),2.0)</f>
        <v>2</v>
      </c>
      <c r="H3000" s="5"/>
      <c r="I3000" s="5"/>
      <c r="J3000" s="6" t="str">
        <f>IFERROR(__xludf.DUMMYFUNCTION("""COMPUTED_VALUE"""),"https://eitaa.com/k_izeh")</f>
        <v>https://eitaa.com/k_izeh</v>
      </c>
      <c r="K3000" s="5"/>
      <c r="L3000" s="5"/>
      <c r="M3000" s="5"/>
      <c r="N3000" s="5"/>
      <c r="O3000" s="5"/>
      <c r="P3000" s="5"/>
      <c r="Q3000" s="5"/>
      <c r="R3000" s="5"/>
      <c r="S3000" s="5"/>
    </row>
    <row r="3001">
      <c r="A3001" s="5">
        <f>IFERROR(__xludf.DUMMYFUNCTION("""COMPUTED_VALUE"""),29597.0)</f>
        <v>29597</v>
      </c>
      <c r="B3001" s="5" t="str">
        <f>IFERROR(__xludf.DUMMYFUNCTION("""COMPUTED_VALUE"""),"هیأت")</f>
        <v>هیأت</v>
      </c>
      <c r="C3001" s="5" t="str">
        <f>IFERROR(__xludf.DUMMYFUNCTION("""COMPUTED_VALUE"""),"ابوالفضل العباس (ع)")</f>
        <v>ابوالفضل العباس (ع)</v>
      </c>
      <c r="D3001" s="5" t="str">
        <f>IFERROR(__xludf.DUMMYFUNCTION("""COMPUTED_VALUE"""),"خوزستان")</f>
        <v>خوزستان</v>
      </c>
      <c r="E3001" s="5" t="str">
        <f>IFERROR(__xludf.DUMMYFUNCTION("""COMPUTED_VALUE"""),"باوی")</f>
        <v>باوی</v>
      </c>
      <c r="F3001" s="5"/>
      <c r="G3001" s="5">
        <f>IFERROR(__xludf.DUMMYFUNCTION("""COMPUTED_VALUE"""),2.0)</f>
        <v>2</v>
      </c>
      <c r="H3001" s="6" t="str">
        <f>IFERROR(__xludf.DUMMYFUNCTION("""COMPUTED_VALUE"""),"https://www.instagram.com/heyat_abolfazlalabaas/")</f>
        <v>https://www.instagram.com/heyat_abolfazlalabaas/</v>
      </c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</row>
    <row r="3002">
      <c r="A3002" s="5"/>
      <c r="B3002" s="5" t="str">
        <f>IFERROR(__xludf.DUMMYFUNCTION("""COMPUTED_VALUE"""),"هیأت")</f>
        <v>هیأت</v>
      </c>
      <c r="C3002" s="5" t="str">
        <f>IFERROR(__xludf.DUMMYFUNCTION("""COMPUTED_VALUE"""),"رزمندگان اسلام")</f>
        <v>رزمندگان اسلام</v>
      </c>
      <c r="D3002" s="5" t="str">
        <f>IFERROR(__xludf.DUMMYFUNCTION("""COMPUTED_VALUE"""),"خوزستان")</f>
        <v>خوزستان</v>
      </c>
      <c r="E3002" s="5" t="str">
        <f>IFERROR(__xludf.DUMMYFUNCTION("""COMPUTED_VALUE"""),"بندر امام خمینی")</f>
        <v>بندر امام خمینی</v>
      </c>
      <c r="F3002" s="5"/>
      <c r="G3002" s="5">
        <f>IFERROR(__xludf.DUMMYFUNCTION("""COMPUTED_VALUE"""),2.0)</f>
        <v>2</v>
      </c>
      <c r="H3002" s="6" t="str">
        <f>IFERROR(__xludf.DUMMYFUNCTION("""COMPUTED_VALUE"""),"https://www.instagram.com/razmandegan_bik")</f>
        <v>https://www.instagram.com/razmandegan_bik</v>
      </c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</row>
    <row r="3003">
      <c r="A3003" s="5"/>
      <c r="B3003" s="5" t="str">
        <f>IFERROR(__xludf.DUMMYFUNCTION("""COMPUTED_VALUE"""),"مسجد")</f>
        <v>مسجد</v>
      </c>
      <c r="C3003" s="5" t="str">
        <f>IFERROR(__xludf.DUMMYFUNCTION("""COMPUTED_VALUE"""),"امام حسن مجتبی")</f>
        <v>امام حسن مجتبی</v>
      </c>
      <c r="D3003" s="5" t="str">
        <f>IFERROR(__xludf.DUMMYFUNCTION("""COMPUTED_VALUE"""),"خوزستان")</f>
        <v>خوزستان</v>
      </c>
      <c r="E3003" s="5" t="str">
        <f>IFERROR(__xludf.DUMMYFUNCTION("""COMPUTED_VALUE"""),"بندر ماهشهر")</f>
        <v>بندر ماهشهر</v>
      </c>
      <c r="F3003" s="5"/>
      <c r="G3003" s="5">
        <f>IFERROR(__xludf.DUMMYFUNCTION("""COMPUTED_VALUE"""),2.0)</f>
        <v>2</v>
      </c>
      <c r="H3003" s="6" t="str">
        <f>IFERROR(__xludf.DUMMYFUNCTION("""COMPUTED_VALUE"""),"https://www.instagram.com/masjed.emam_hasan/")</f>
        <v>https://www.instagram.com/masjed.emam_hasan/</v>
      </c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</row>
    <row r="3004">
      <c r="A3004" s="5"/>
      <c r="B3004" s="5" t="str">
        <f>IFERROR(__xludf.DUMMYFUNCTION("""COMPUTED_VALUE"""),"هیأت")</f>
        <v>هیأت</v>
      </c>
      <c r="C3004" s="5" t="str">
        <f>IFERROR(__xludf.DUMMYFUNCTION("""COMPUTED_VALUE"""),"جنت الحسین")</f>
        <v>جنت الحسین</v>
      </c>
      <c r="D3004" s="5" t="str">
        <f>IFERROR(__xludf.DUMMYFUNCTION("""COMPUTED_VALUE"""),"خوزستان")</f>
        <v>خوزستان</v>
      </c>
      <c r="E3004" s="5" t="str">
        <f>IFERROR(__xludf.DUMMYFUNCTION("""COMPUTED_VALUE"""),"بندر ماهشهر")</f>
        <v>بندر ماهشهر</v>
      </c>
      <c r="F3004" s="5"/>
      <c r="G3004" s="5">
        <f>IFERROR(__xludf.DUMMYFUNCTION("""COMPUTED_VALUE"""),2.0)</f>
        <v>2</v>
      </c>
      <c r="H3004" s="6" t="str">
        <f>IFERROR(__xludf.DUMMYFUNCTION("""COMPUTED_VALUE"""),"https://www.instagram.com/jannatolhosein128")</f>
        <v>https://www.instagram.com/jannatolhosein128</v>
      </c>
      <c r="I3004" s="6" t="str">
        <f>IFERROR(__xludf.DUMMYFUNCTION("""COMPUTED_VALUE"""),"https://t.me/jannatolhosein128")</f>
        <v>https://t.me/jannatolhosein128</v>
      </c>
      <c r="J3004" s="6" t="str">
        <f>IFERROR(__xludf.DUMMYFUNCTION("""COMPUTED_VALUE"""),"https://eitaa.com/s/Jannatolhosein128")</f>
        <v>https://eitaa.com/s/Jannatolhosein128</v>
      </c>
      <c r="K3004" s="5"/>
      <c r="L3004" s="5"/>
      <c r="M3004" s="5"/>
      <c r="N3004" s="5"/>
      <c r="O3004" s="5"/>
      <c r="P3004" s="5"/>
      <c r="Q3004" s="5"/>
      <c r="R3004" s="5"/>
      <c r="S3004" s="5"/>
    </row>
    <row r="3005">
      <c r="A3005" s="5"/>
      <c r="B3005" s="5" t="str">
        <f>IFERROR(__xludf.DUMMYFUNCTION("""COMPUTED_VALUE"""),"هیأت")</f>
        <v>هیأت</v>
      </c>
      <c r="C3005" s="5" t="str">
        <f>IFERROR(__xludf.DUMMYFUNCTION("""COMPUTED_VALUE"""),"علی اصغر")</f>
        <v>علی اصغر</v>
      </c>
      <c r="D3005" s="5" t="str">
        <f>IFERROR(__xludf.DUMMYFUNCTION("""COMPUTED_VALUE"""),"خوزستان")</f>
        <v>خوزستان</v>
      </c>
      <c r="E3005" s="5" t="str">
        <f>IFERROR(__xludf.DUMMYFUNCTION("""COMPUTED_VALUE"""),"بندر ماهشهر")</f>
        <v>بندر ماهشهر</v>
      </c>
      <c r="F3005" s="5"/>
      <c r="G3005" s="5">
        <f>IFERROR(__xludf.DUMMYFUNCTION("""COMPUTED_VALUE"""),2.0)</f>
        <v>2</v>
      </c>
      <c r="H3005" s="6" t="str">
        <f>IFERROR(__xludf.DUMMYFUNCTION("""COMPUTED_VALUE"""),"https://www.instagram.com/gahvareh_info/")</f>
        <v>https://www.instagram.com/gahvareh_info/</v>
      </c>
      <c r="I3005" s="5"/>
      <c r="J3005" s="6" t="str">
        <f>IFERROR(__xludf.DUMMYFUNCTION("""COMPUTED_VALUE"""),"https://eitaa.com/gahvareh_info")</f>
        <v>https://eitaa.com/gahvareh_info</v>
      </c>
      <c r="K3005" s="5"/>
      <c r="L3005" s="5"/>
      <c r="M3005" s="5"/>
      <c r="N3005" s="5"/>
      <c r="O3005" s="5"/>
      <c r="P3005" s="5"/>
      <c r="Q3005" s="5"/>
      <c r="R3005" s="5"/>
      <c r="S3005" s="5"/>
    </row>
    <row r="3006">
      <c r="A3006" s="5"/>
      <c r="B3006" s="5" t="str">
        <f>IFERROR(__xludf.DUMMYFUNCTION("""COMPUTED_VALUE"""),"هیأت")</f>
        <v>هیأت</v>
      </c>
      <c r="C3006" s="5" t="str">
        <f>IFERROR(__xludf.DUMMYFUNCTION("""COMPUTED_VALUE"""),"قاسم بن الحسن")</f>
        <v>قاسم بن الحسن</v>
      </c>
      <c r="D3006" s="5" t="str">
        <f>IFERROR(__xludf.DUMMYFUNCTION("""COMPUTED_VALUE"""),"خوزستان")</f>
        <v>خوزستان</v>
      </c>
      <c r="E3006" s="5" t="str">
        <f>IFERROR(__xludf.DUMMYFUNCTION("""COMPUTED_VALUE"""),"بندر ماهشهر")</f>
        <v>بندر ماهشهر</v>
      </c>
      <c r="F3006" s="5"/>
      <c r="G3006" s="5">
        <f>IFERROR(__xludf.DUMMYFUNCTION("""COMPUTED_VALUE"""),2.0)</f>
        <v>2</v>
      </c>
      <c r="H3006" s="6" t="str">
        <f>IFERROR(__xludf.DUMMYFUNCTION("""COMPUTED_VALUE"""),"https://www.instagram.com/ghasem_ebnelhassan/")</f>
        <v>https://www.instagram.com/ghasem_ebnelhassan/</v>
      </c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</row>
    <row r="3007">
      <c r="A3007" s="5">
        <f>IFERROR(__xludf.DUMMYFUNCTION("""COMPUTED_VALUE"""),30495.0)</f>
        <v>30495</v>
      </c>
      <c r="B3007" s="5" t="str">
        <f>IFERROR(__xludf.DUMMYFUNCTION("""COMPUTED_VALUE"""),"هیأت")</f>
        <v>هیأت</v>
      </c>
      <c r="C3007" s="5" t="str">
        <f>IFERROR(__xludf.DUMMYFUNCTION("""COMPUTED_VALUE"""),"دختران حاج قاسم")</f>
        <v>دختران حاج قاسم</v>
      </c>
      <c r="D3007" s="5" t="str">
        <f>IFERROR(__xludf.DUMMYFUNCTION("""COMPUTED_VALUE"""),"خوزستان")</f>
        <v>خوزستان</v>
      </c>
      <c r="E3007" s="5" t="str">
        <f>IFERROR(__xludf.DUMMYFUNCTION("""COMPUTED_VALUE"""),"بندرامام خمینی")</f>
        <v>بندرامام خمینی</v>
      </c>
      <c r="F3007" s="5"/>
      <c r="G3007" s="5">
        <f>IFERROR(__xludf.DUMMYFUNCTION("""COMPUTED_VALUE"""),2.0)</f>
        <v>2</v>
      </c>
      <c r="H3007" s="5"/>
      <c r="I3007" s="5"/>
      <c r="J3007" s="6" t="str">
        <f>IFERROR(__xludf.DUMMYFUNCTION("""COMPUTED_VALUE"""),"https://eitaa.com/dokhtaran_bik")</f>
        <v>https://eitaa.com/dokhtaran_bik</v>
      </c>
      <c r="K3007" s="5"/>
      <c r="L3007" s="5"/>
      <c r="M3007" s="5"/>
      <c r="N3007" s="5"/>
      <c r="O3007" s="5"/>
      <c r="P3007" s="5"/>
      <c r="Q3007" s="5"/>
      <c r="R3007" s="5"/>
      <c r="S3007" s="5"/>
    </row>
    <row r="3008">
      <c r="A3008" s="5"/>
      <c r="B3008" s="5" t="str">
        <f>IFERROR(__xludf.DUMMYFUNCTION("""COMPUTED_VALUE"""),"هیأت ")</f>
        <v>هیأت </v>
      </c>
      <c r="C3008" s="5" t="str">
        <f>IFERROR(__xludf.DUMMYFUNCTION("""COMPUTED_VALUE"""),"امام‏زاده حیدر")</f>
        <v>امام‏زاده حیدر</v>
      </c>
      <c r="D3008" s="5" t="str">
        <f>IFERROR(__xludf.DUMMYFUNCTION("""COMPUTED_VALUE"""),"خوزستان")</f>
        <v>خوزستان</v>
      </c>
      <c r="E3008" s="5" t="str">
        <f>IFERROR(__xludf.DUMMYFUNCTION("""COMPUTED_VALUE"""),"بهبهان")</f>
        <v>بهبهان</v>
      </c>
      <c r="F3008" s="5"/>
      <c r="G3008" s="5">
        <f>IFERROR(__xludf.DUMMYFUNCTION("""COMPUTED_VALUE"""),2.0)</f>
        <v>2</v>
      </c>
      <c r="H3008" s="6" t="str">
        <f>IFERROR(__xludf.DUMMYFUNCTION("""COMPUTED_VALUE"""),"https://www.instagram.com/emamzadehheydar/")</f>
        <v>https://www.instagram.com/emamzadehheydar/</v>
      </c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</row>
    <row r="3009">
      <c r="A3009" s="5"/>
      <c r="B3009" s="5" t="str">
        <f>IFERROR(__xludf.DUMMYFUNCTION("""COMPUTED_VALUE"""),"هیأت")</f>
        <v>هیأت</v>
      </c>
      <c r="C3009" s="5" t="str">
        <f>IFERROR(__xludf.DUMMYFUNCTION("""COMPUTED_VALUE"""),"محبان اهل بیت")</f>
        <v>محبان اهل بیت</v>
      </c>
      <c r="D3009" s="5" t="str">
        <f>IFERROR(__xludf.DUMMYFUNCTION("""COMPUTED_VALUE"""),"خوزستان")</f>
        <v>خوزستان</v>
      </c>
      <c r="E3009" s="5" t="str">
        <f>IFERROR(__xludf.DUMMYFUNCTION("""COMPUTED_VALUE"""),"بهبهان")</f>
        <v>بهبهان</v>
      </c>
      <c r="F3009" s="5"/>
      <c r="G3009" s="5">
        <f>IFERROR(__xludf.DUMMYFUNCTION("""COMPUTED_VALUE"""),2.0)</f>
        <v>2</v>
      </c>
      <c r="H3009" s="6" t="str">
        <f>IFERROR(__xludf.DUMMYFUNCTION("""COMPUTED_VALUE"""),"https://www.instagram.com/moheban81beh")</f>
        <v>https://www.instagram.com/moheban81beh</v>
      </c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</row>
    <row r="3010">
      <c r="A3010" s="5">
        <f>IFERROR(__xludf.DUMMYFUNCTION("""COMPUTED_VALUE"""),27385.0)</f>
        <v>27385</v>
      </c>
      <c r="B3010" s="5" t="str">
        <f>IFERROR(__xludf.DUMMYFUNCTION("""COMPUTED_VALUE"""),"هیأت ")</f>
        <v>هیأت </v>
      </c>
      <c r="C3010" s="5" t="str">
        <f>IFERROR(__xludf.DUMMYFUNCTION("""COMPUTED_VALUE"""),"محبان حضرت زینب (س)")</f>
        <v>محبان حضرت زینب (س)</v>
      </c>
      <c r="D3010" s="5" t="str">
        <f>IFERROR(__xludf.DUMMYFUNCTION("""COMPUTED_VALUE"""),"خوزستان")</f>
        <v>خوزستان</v>
      </c>
      <c r="E3010" s="5" t="str">
        <f>IFERROR(__xludf.DUMMYFUNCTION("""COMPUTED_VALUE"""),"بهبهان")</f>
        <v>بهبهان</v>
      </c>
      <c r="F3010" s="5"/>
      <c r="G3010" s="5">
        <f>IFERROR(__xludf.DUMMYFUNCTION("""COMPUTED_VALUE"""),2.0)</f>
        <v>2</v>
      </c>
      <c r="H3010" s="5"/>
      <c r="I3010" s="5"/>
      <c r="J3010" s="6" t="str">
        <f>IFERROR(__xludf.DUMMYFUNCTION("""COMPUTED_VALUE"""),"https://eitaa.com/zainabion_ir")</f>
        <v>https://eitaa.com/zainabion_ir</v>
      </c>
      <c r="K3010" s="5"/>
      <c r="L3010" s="5"/>
      <c r="M3010" s="5"/>
      <c r="N3010" s="5"/>
      <c r="O3010" s="5"/>
      <c r="P3010" s="5"/>
      <c r="Q3010" s="5"/>
      <c r="R3010" s="5"/>
      <c r="S3010" s="5"/>
    </row>
    <row r="3011">
      <c r="A3011" s="5"/>
      <c r="B3011" s="5" t="str">
        <f>IFERROR(__xludf.DUMMYFUNCTION("""COMPUTED_VALUE"""),"هیأت")</f>
        <v>هیأت</v>
      </c>
      <c r="C3011" s="5" t="str">
        <f>IFERROR(__xludf.DUMMYFUNCTION("""COMPUTED_VALUE"""),"مارش کرناسیان")</f>
        <v>مارش کرناسیان</v>
      </c>
      <c r="D3011" s="5" t="str">
        <f>IFERROR(__xludf.DUMMYFUNCTION("""COMPUTED_VALUE"""),"خوزستان")</f>
        <v>خوزستان</v>
      </c>
      <c r="E3011" s="5" t="str">
        <f>IFERROR(__xludf.DUMMYFUNCTION("""COMPUTED_VALUE"""),"دزفول")</f>
        <v>دزفول</v>
      </c>
      <c r="F3011" s="5"/>
      <c r="G3011" s="5">
        <f>IFERROR(__xludf.DUMMYFUNCTION("""COMPUTED_VALUE"""),2.0)</f>
        <v>2</v>
      </c>
      <c r="H3011" s="6" t="str">
        <f>IFERROR(__xludf.DUMMYFUNCTION("""COMPUTED_VALUE"""),"https://www.instagram.com/marsh_kornasian.1360/")</f>
        <v>https://www.instagram.com/marsh_kornasian.1360/</v>
      </c>
      <c r="I3011" s="6" t="str">
        <f>IFERROR(__xludf.DUMMYFUNCTION("""COMPUTED_VALUE"""),"https://t.me/marshkornasian")</f>
        <v>https://t.me/marshkornasian</v>
      </c>
      <c r="J3011" s="5"/>
      <c r="K3011" s="5"/>
      <c r="L3011" s="5"/>
      <c r="M3011" s="5"/>
      <c r="N3011" s="5"/>
      <c r="O3011" s="5"/>
      <c r="P3011" s="5"/>
      <c r="Q3011" s="5"/>
      <c r="R3011" s="5"/>
      <c r="S3011" s="5"/>
    </row>
    <row r="3012">
      <c r="A3012" s="5">
        <f>IFERROR(__xludf.DUMMYFUNCTION("""COMPUTED_VALUE"""),32954.0)</f>
        <v>32954</v>
      </c>
      <c r="B3012" s="5" t="str">
        <f>IFERROR(__xludf.DUMMYFUNCTION("""COMPUTED_VALUE"""),"هیأت")</f>
        <v>هیأت</v>
      </c>
      <c r="C3012" s="5" t="str">
        <f>IFERROR(__xludf.DUMMYFUNCTION("""COMPUTED_VALUE"""),"رهروان شهدای گمنام")</f>
        <v>رهروان شهدای گمنام</v>
      </c>
      <c r="D3012" s="5" t="str">
        <f>IFERROR(__xludf.DUMMYFUNCTION("""COMPUTED_VALUE"""),"خوزستان")</f>
        <v>خوزستان</v>
      </c>
      <c r="E3012" s="5" t="str">
        <f>IFERROR(__xludf.DUMMYFUNCTION("""COMPUTED_VALUE"""),"دهدز")</f>
        <v>دهدز</v>
      </c>
      <c r="F3012" s="5"/>
      <c r="G3012" s="5">
        <f>IFERROR(__xludf.DUMMYFUNCTION("""COMPUTED_VALUE"""),2.0)</f>
        <v>2</v>
      </c>
      <c r="H3012" s="6" t="str">
        <f>IFERROR(__xludf.DUMMYFUNCTION("""COMPUTED_VALUE"""),"https://www.instagram.com/heyatrahrowan_dhz/")</f>
        <v>https://www.instagram.com/heyatrahrowan_dhz/</v>
      </c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</row>
    <row r="3013">
      <c r="A3013" s="5"/>
      <c r="B3013" s="5" t="str">
        <f>IFERROR(__xludf.DUMMYFUNCTION("""COMPUTED_VALUE"""),"هیأت")</f>
        <v>هیأت</v>
      </c>
      <c r="C3013" s="5" t="str">
        <f>IFERROR(__xludf.DUMMYFUNCTION("""COMPUTED_VALUE"""),"نور المهدی (عج)")</f>
        <v>نور المهدی (عج)</v>
      </c>
      <c r="D3013" s="5" t="str">
        <f>IFERROR(__xludf.DUMMYFUNCTION("""COMPUTED_VALUE"""),"خوزستان")</f>
        <v>خوزستان</v>
      </c>
      <c r="E3013" s="5" t="str">
        <f>IFERROR(__xludf.DUMMYFUNCTION("""COMPUTED_VALUE"""),"رامهرمز")</f>
        <v>رامهرمز</v>
      </c>
      <c r="F3013" s="5"/>
      <c r="G3013" s="5">
        <f>IFERROR(__xludf.DUMMYFUNCTION("""COMPUTED_VALUE"""),2.0)</f>
        <v>2</v>
      </c>
      <c r="H3013" s="6" t="str">
        <f>IFERROR(__xludf.DUMMYFUNCTION("""COMPUTED_VALUE"""),"https://www.instagram.com/shem.a4794/")</f>
        <v>https://www.instagram.com/shem.a4794/</v>
      </c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</row>
    <row r="3014">
      <c r="A3014" s="5"/>
      <c r="B3014" s="5" t="str">
        <f>IFERROR(__xludf.DUMMYFUNCTION("""COMPUTED_VALUE"""),"هیأت")</f>
        <v>هیأت</v>
      </c>
      <c r="C3014" s="5" t="str">
        <f>IFERROR(__xludf.DUMMYFUNCTION("""COMPUTED_VALUE"""),"انصارالمهدی (عج) چم خلف عیسی")</f>
        <v>انصارالمهدی (عج) چم خلف عیسی</v>
      </c>
      <c r="D3014" s="5" t="str">
        <f>IFERROR(__xludf.DUMMYFUNCTION("""COMPUTED_VALUE"""),"خوزستان")</f>
        <v>خوزستان</v>
      </c>
      <c r="E3014" s="5" t="str">
        <f>IFERROR(__xludf.DUMMYFUNCTION("""COMPUTED_VALUE"""),"زهره")</f>
        <v>زهره</v>
      </c>
      <c r="F3014" s="5"/>
      <c r="G3014" s="5">
        <f>IFERROR(__xludf.DUMMYFUNCTION("""COMPUTED_VALUE"""),2.0)</f>
        <v>2</v>
      </c>
      <c r="H3014" s="6" t="str">
        <f>IFERROR(__xludf.DUMMYFUNCTION("""COMPUTED_VALUE"""),"https://www.instagram.com/cham_khalaf_official/")</f>
        <v>https://www.instagram.com/cham_khalaf_official/</v>
      </c>
      <c r="I3014" s="6" t="str">
        <f>IFERROR(__xludf.DUMMYFUNCTION("""COMPUTED_VALUE"""),"t.me/cham_khalaf_official")</f>
        <v>t.me/cham_khalaf_official</v>
      </c>
      <c r="J3014" s="5"/>
      <c r="K3014" s="5"/>
      <c r="L3014" s="5"/>
      <c r="M3014" s="5"/>
      <c r="N3014" s="5"/>
      <c r="O3014" s="5"/>
      <c r="P3014" s="5"/>
      <c r="Q3014" s="5"/>
      <c r="R3014" s="5"/>
      <c r="S3014" s="5"/>
    </row>
    <row r="3015">
      <c r="A3015" s="5">
        <f>IFERROR(__xludf.DUMMYFUNCTION("""COMPUTED_VALUE"""),20735.0)</f>
        <v>20735</v>
      </c>
      <c r="B3015" s="5" t="str">
        <f>IFERROR(__xludf.DUMMYFUNCTION("""COMPUTED_VALUE"""),"هیأت")</f>
        <v>هیأت</v>
      </c>
      <c r="C3015" s="5" t="str">
        <f>IFERROR(__xludf.DUMMYFUNCTION("""COMPUTED_VALUE"""),"محبان کریم اهل بیت (ع)")</f>
        <v>محبان کریم اهل بیت (ع)</v>
      </c>
      <c r="D3015" s="5" t="str">
        <f>IFERROR(__xludf.DUMMYFUNCTION("""COMPUTED_VALUE"""),"خوزستان")</f>
        <v>خوزستان</v>
      </c>
      <c r="E3015" s="5" t="str">
        <f>IFERROR(__xludf.DUMMYFUNCTION("""COMPUTED_VALUE"""),"شادگان")</f>
        <v>شادگان</v>
      </c>
      <c r="F3015" s="5"/>
      <c r="G3015" s="5">
        <f>IFERROR(__xludf.DUMMYFUNCTION("""COMPUTED_VALUE"""),2.0)</f>
        <v>2</v>
      </c>
      <c r="H3015" s="6" t="str">
        <f>IFERROR(__xludf.DUMMYFUNCTION("""COMPUTED_VALUE"""),"https://www.instagram.com/moheban.karim.ahl.beyt/")</f>
        <v>https://www.instagram.com/moheban.karim.ahl.beyt/</v>
      </c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</row>
    <row r="3016">
      <c r="A3016" s="5"/>
      <c r="B3016" s="5" t="str">
        <f>IFERROR(__xludf.DUMMYFUNCTION("""COMPUTED_VALUE"""),"هیأت")</f>
        <v>هیأت</v>
      </c>
      <c r="C3016" s="5" t="str">
        <f>IFERROR(__xludf.DUMMYFUNCTION("""COMPUTED_VALUE"""),"محبى الزهراء")</f>
        <v>محبى الزهراء</v>
      </c>
      <c r="D3016" s="5" t="str">
        <f>IFERROR(__xludf.DUMMYFUNCTION("""COMPUTED_VALUE"""),"خوزستان")</f>
        <v>خوزستان</v>
      </c>
      <c r="E3016" s="5" t="str">
        <f>IFERROR(__xludf.DUMMYFUNCTION("""COMPUTED_VALUE"""),"شادگان")</f>
        <v>شادگان</v>
      </c>
      <c r="F3016" s="5" t="str">
        <f>IFERROR(__xludf.DUMMYFUNCTION("""COMPUTED_VALUE"""),"خنافره")</f>
        <v>خنافره</v>
      </c>
      <c r="G3016" s="5">
        <f>IFERROR(__xludf.DUMMYFUNCTION("""COMPUTED_VALUE"""),2.0)</f>
        <v>2</v>
      </c>
      <c r="H3016" s="6" t="str">
        <f>IFERROR(__xludf.DUMMYFUNCTION("""COMPUTED_VALUE"""),"https://www.instagram.com/heyat_mohibiy_alzahra/")</f>
        <v>https://www.instagram.com/heyat_mohibiy_alzahra/</v>
      </c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</row>
    <row r="3017">
      <c r="A3017" s="5">
        <f>IFERROR(__xludf.DUMMYFUNCTION("""COMPUTED_VALUE"""),20738.0)</f>
        <v>20738</v>
      </c>
      <c r="B3017" s="5" t="str">
        <f>IFERROR(__xludf.DUMMYFUNCTION("""COMPUTED_VALUE"""),"هیأت")</f>
        <v>هیأت</v>
      </c>
      <c r="C3017" s="5" t="str">
        <f>IFERROR(__xludf.DUMMYFUNCTION("""COMPUTED_VALUE"""),"دعای کمیل (مسجد امام سجاد (ع))")</f>
        <v>دعای کمیل (مسجد امام سجاد (ع))</v>
      </c>
      <c r="D3017" s="5" t="str">
        <f>IFERROR(__xludf.DUMMYFUNCTION("""COMPUTED_VALUE"""),"خوزستان")</f>
        <v>خوزستان</v>
      </c>
      <c r="E3017" s="5" t="str">
        <f>IFERROR(__xludf.DUMMYFUNCTION("""COMPUTED_VALUE"""),"شوش")</f>
        <v>شوش</v>
      </c>
      <c r="F3017" s="5"/>
      <c r="G3017" s="5">
        <f>IFERROR(__xludf.DUMMYFUNCTION("""COMPUTED_VALUE"""),2.0)</f>
        <v>2</v>
      </c>
      <c r="H3017" s="6" t="str">
        <f>IFERROR(__xludf.DUMMYFUNCTION("""COMPUTED_VALUE"""),"https://www.instagram.com/masjedesajjad_ir")</f>
        <v>https://www.instagram.com/masjedesajjad_ir</v>
      </c>
      <c r="I3017" s="6" t="str">
        <f>IFERROR(__xludf.DUMMYFUNCTION("""COMPUTED_VALUE"""),"https://t.me/Masjed_Sajjad_Shush")</f>
        <v>https://t.me/Masjed_Sajjad_Shush</v>
      </c>
      <c r="J3017" s="5"/>
      <c r="K3017" s="5"/>
      <c r="L3017" s="5"/>
      <c r="M3017" s="5"/>
      <c r="N3017" s="5"/>
      <c r="O3017" s="5"/>
      <c r="P3017" s="5"/>
      <c r="Q3017" s="5"/>
      <c r="R3017" s="5"/>
      <c r="S3017" s="5"/>
    </row>
    <row r="3018">
      <c r="A3018" s="5"/>
      <c r="B3018" s="5" t="str">
        <f>IFERROR(__xludf.DUMMYFUNCTION("""COMPUTED_VALUE"""),"هیأت")</f>
        <v>هیأت</v>
      </c>
      <c r="C3018" s="5" t="str">
        <f>IFERROR(__xludf.DUMMYFUNCTION("""COMPUTED_VALUE"""),"عزاداران ثاراللّه")</f>
        <v>عزاداران ثاراللّه</v>
      </c>
      <c r="D3018" s="5" t="str">
        <f>IFERROR(__xludf.DUMMYFUNCTION("""COMPUTED_VALUE"""),"خوزستان")</f>
        <v>خوزستان</v>
      </c>
      <c r="E3018" s="5" t="str">
        <f>IFERROR(__xludf.DUMMYFUNCTION("""COMPUTED_VALUE"""),"شوش")</f>
        <v>شوش</v>
      </c>
      <c r="F3018" s="5"/>
      <c r="G3018" s="5">
        <f>IFERROR(__xludf.DUMMYFUNCTION("""COMPUTED_VALUE"""),2.0)</f>
        <v>2</v>
      </c>
      <c r="H3018" s="6" t="str">
        <f>IFERROR(__xludf.DUMMYFUNCTION("""COMPUTED_VALUE"""),"https://www.instagram.com/heyat_sarala/")</f>
        <v>https://www.instagram.com/heyat_sarala/</v>
      </c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</row>
    <row r="3019">
      <c r="A3019" s="5"/>
      <c r="B3019" s="5" t="str">
        <f>IFERROR(__xludf.DUMMYFUNCTION("""COMPUTED_VALUE"""),"هیأت")</f>
        <v>هیأت</v>
      </c>
      <c r="C3019" s="5" t="str">
        <f>IFERROR(__xludf.DUMMYFUNCTION("""COMPUTED_VALUE"""),"احــباب الحــســین")</f>
        <v>احــباب الحــســین</v>
      </c>
      <c r="D3019" s="5" t="str">
        <f>IFERROR(__xludf.DUMMYFUNCTION("""COMPUTED_VALUE"""),"خوزستان")</f>
        <v>خوزستان</v>
      </c>
      <c r="E3019" s="5" t="str">
        <f>IFERROR(__xludf.DUMMYFUNCTION("""COMPUTED_VALUE"""),"شوشتر")</f>
        <v>شوشتر</v>
      </c>
      <c r="F3019" s="5"/>
      <c r="G3019" s="5">
        <f>IFERROR(__xludf.DUMMYFUNCTION("""COMPUTED_VALUE"""),2.0)</f>
        <v>2</v>
      </c>
      <c r="H3019" s="6" t="str">
        <f>IFERROR(__xludf.DUMMYFUNCTION("""COMPUTED_VALUE"""),"https://www.instagram.com/ahbabalhussain1345/")</f>
        <v>https://www.instagram.com/ahbabalhussain1345/</v>
      </c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</row>
    <row r="3020">
      <c r="A3020" s="5"/>
      <c r="B3020" s="5" t="str">
        <f>IFERROR(__xludf.DUMMYFUNCTION("""COMPUTED_VALUE"""),"هیأت")</f>
        <v>هیأت</v>
      </c>
      <c r="C3020" s="5" t="str">
        <f>IFERROR(__xludf.DUMMYFUNCTION("""COMPUTED_VALUE"""),"بین ‌الحرمین‌")</f>
        <v>بین ‌الحرمین‌</v>
      </c>
      <c r="D3020" s="5" t="str">
        <f>IFERROR(__xludf.DUMMYFUNCTION("""COMPUTED_VALUE"""),"خوزستان")</f>
        <v>خوزستان</v>
      </c>
      <c r="E3020" s="5" t="str">
        <f>IFERROR(__xludf.DUMMYFUNCTION("""COMPUTED_VALUE"""),"شوشتر")</f>
        <v>شوشتر</v>
      </c>
      <c r="F3020" s="5"/>
      <c r="G3020" s="5">
        <f>IFERROR(__xludf.DUMMYFUNCTION("""COMPUTED_VALUE"""),2.0)</f>
        <v>2</v>
      </c>
      <c r="H3020" s="6" t="str">
        <f>IFERROR(__xludf.DUMMYFUNCTION("""COMPUTED_VALUE"""),"https://www.instagram.com/beynolharameyn.shushtar/")</f>
        <v>https://www.instagram.com/beynolharameyn.shushtar/</v>
      </c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</row>
    <row r="3021">
      <c r="A3021" s="5"/>
      <c r="B3021" s="5" t="str">
        <f>IFERROR(__xludf.DUMMYFUNCTION("""COMPUTED_VALUE"""),"مسجد")</f>
        <v>مسجد</v>
      </c>
      <c r="C3021" s="5" t="str">
        <f>IFERROR(__xludf.DUMMYFUNCTION("""COMPUTED_VALUE"""),"حاج شیخ جعفر شوشتری")</f>
        <v>حاج شیخ جعفر شوشتری</v>
      </c>
      <c r="D3021" s="5" t="str">
        <f>IFERROR(__xludf.DUMMYFUNCTION("""COMPUTED_VALUE"""),"خوزستان")</f>
        <v>خوزستان</v>
      </c>
      <c r="E3021" s="5" t="str">
        <f>IFERROR(__xludf.DUMMYFUNCTION("""COMPUTED_VALUE"""),"شوشتر")</f>
        <v>شوشتر</v>
      </c>
      <c r="F3021" s="5"/>
      <c r="G3021" s="5">
        <f>IFERROR(__xludf.DUMMYFUNCTION("""COMPUTED_VALUE"""),2.0)</f>
        <v>2</v>
      </c>
      <c r="H3021" s="6" t="str">
        <f>IFERROR(__xludf.DUMMYFUNCTION("""COMPUTED_VALUE"""),"https://www.instagram.com/masjed.sheykh.jafar")</f>
        <v>https://www.instagram.com/masjed.sheykh.jafar</v>
      </c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</row>
    <row r="3022">
      <c r="A3022" s="5"/>
      <c r="B3022" s="5" t="str">
        <f>IFERROR(__xludf.DUMMYFUNCTION("""COMPUTED_VALUE"""),"هیأت")</f>
        <v>هیأت</v>
      </c>
      <c r="C3022" s="5" t="str">
        <f>IFERROR(__xludf.DUMMYFUNCTION("""COMPUTED_VALUE"""),"خادم الرضا(ع)")</f>
        <v>خادم الرضا(ع)</v>
      </c>
      <c r="D3022" s="5" t="str">
        <f>IFERROR(__xludf.DUMMYFUNCTION("""COMPUTED_VALUE"""),"خوزستان")</f>
        <v>خوزستان</v>
      </c>
      <c r="E3022" s="5" t="str">
        <f>IFERROR(__xludf.DUMMYFUNCTION("""COMPUTED_VALUE"""),"شوشتر")</f>
        <v>شوشتر</v>
      </c>
      <c r="F3022" s="5"/>
      <c r="G3022" s="5">
        <f>IFERROR(__xludf.DUMMYFUNCTION("""COMPUTED_VALUE"""),2.0)</f>
        <v>2</v>
      </c>
      <c r="H3022" s="6" t="str">
        <f>IFERROR(__xludf.DUMMYFUNCTION("""COMPUTED_VALUE"""),"https://www.instagram.com/shushtarkhademalreza/")</f>
        <v>https://www.instagram.com/shushtarkhademalreza/</v>
      </c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</row>
    <row r="3023">
      <c r="A3023" s="5"/>
      <c r="B3023" s="5" t="str">
        <f>IFERROR(__xludf.DUMMYFUNCTION("""COMPUTED_VALUE"""),"هیأت")</f>
        <v>هیأت</v>
      </c>
      <c r="C3023" s="5" t="str">
        <f>IFERROR(__xludf.DUMMYFUNCTION("""COMPUTED_VALUE"""),"رایة العباس")</f>
        <v>رایة العباس</v>
      </c>
      <c r="D3023" s="5" t="str">
        <f>IFERROR(__xludf.DUMMYFUNCTION("""COMPUTED_VALUE"""),"خوزستان")</f>
        <v>خوزستان</v>
      </c>
      <c r="E3023" s="5" t="str">
        <f>IFERROR(__xludf.DUMMYFUNCTION("""COMPUTED_VALUE"""),"شوشتر")</f>
        <v>شوشتر</v>
      </c>
      <c r="F3023" s="5"/>
      <c r="G3023" s="5">
        <f>IFERROR(__xludf.DUMMYFUNCTION("""COMPUTED_VALUE"""),2.0)</f>
        <v>2</v>
      </c>
      <c r="H3023" s="6" t="str">
        <f>IFERROR(__xludf.DUMMYFUNCTION("""COMPUTED_VALUE"""),"https://www.instagram.com/rayatalabbas_shoushtar/")</f>
        <v>https://www.instagram.com/rayatalabbas_shoushtar/</v>
      </c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</row>
    <row r="3024">
      <c r="A3024" s="5"/>
      <c r="B3024" s="5" t="str">
        <f>IFERROR(__xludf.DUMMYFUNCTION("""COMPUTED_VALUE"""),"هیأت")</f>
        <v>هیأت</v>
      </c>
      <c r="C3024" s="5" t="str">
        <f>IFERROR(__xludf.DUMMYFUNCTION("""COMPUTED_VALUE"""),"زنجیرزنان حسینی")</f>
        <v>زنجیرزنان حسینی</v>
      </c>
      <c r="D3024" s="5" t="str">
        <f>IFERROR(__xludf.DUMMYFUNCTION("""COMPUTED_VALUE"""),"خوزستان")</f>
        <v>خوزستان</v>
      </c>
      <c r="E3024" s="5" t="str">
        <f>IFERROR(__xludf.DUMMYFUNCTION("""COMPUTED_VALUE"""),"شوشتر")</f>
        <v>شوشتر</v>
      </c>
      <c r="F3024" s="5" t="str">
        <f>IFERROR(__xludf.DUMMYFUNCTION("""COMPUTED_VALUE"""),"منطقه بلیتی")</f>
        <v>منطقه بلیتی</v>
      </c>
      <c r="G3024" s="5">
        <f>IFERROR(__xludf.DUMMYFUNCTION("""COMPUTED_VALUE"""),2.0)</f>
        <v>2</v>
      </c>
      <c r="H3024" s="6" t="str">
        <f>IFERROR(__xludf.DUMMYFUNCTION("""COMPUTED_VALUE"""),"https://www.instagram.com/boleyti.heiat/")</f>
        <v>https://www.instagram.com/boleyti.heiat/</v>
      </c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</row>
    <row r="3025">
      <c r="A3025" s="5"/>
      <c r="B3025" s="5" t="str">
        <f>IFERROR(__xludf.DUMMYFUNCTION("""COMPUTED_VALUE"""),"حسینیه")</f>
        <v>حسینیه</v>
      </c>
      <c r="C3025" s="5" t="str">
        <f>IFERROR(__xludf.DUMMYFUNCTION("""COMPUTED_VALUE"""),"کوی دلدل")</f>
        <v>کوی دلدل</v>
      </c>
      <c r="D3025" s="5" t="str">
        <f>IFERROR(__xludf.DUMMYFUNCTION("""COMPUTED_VALUE"""),"خوزستان")</f>
        <v>خوزستان</v>
      </c>
      <c r="E3025" s="5" t="str">
        <f>IFERROR(__xludf.DUMMYFUNCTION("""COMPUTED_VALUE"""),"شوشتر")</f>
        <v>شوشتر</v>
      </c>
      <c r="F3025" s="5"/>
      <c r="G3025" s="5">
        <f>IFERROR(__xludf.DUMMYFUNCTION("""COMPUTED_VALUE"""),2.0)</f>
        <v>2</v>
      </c>
      <c r="H3025" s="6" t="str">
        <f>IFERROR(__xludf.DUMMYFUNCTION("""COMPUTED_VALUE"""),"https://www.instagram.com/hosseiniyeh_doldol.str/")</f>
        <v>https://www.instagram.com/hosseiniyeh_doldol.str/</v>
      </c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</row>
    <row r="3026">
      <c r="A3026" s="5"/>
      <c r="B3026" s="5" t="str">
        <f>IFERROR(__xludf.DUMMYFUNCTION("""COMPUTED_VALUE"""),"هیأت")</f>
        <v>هیأت</v>
      </c>
      <c r="C3026" s="5" t="str">
        <f>IFERROR(__xludf.DUMMYFUNCTION("""COMPUTED_VALUE"""),"محبان آل یاسین")</f>
        <v>محبان آل یاسین</v>
      </c>
      <c r="D3026" s="5" t="str">
        <f>IFERROR(__xludf.DUMMYFUNCTION("""COMPUTED_VALUE"""),"خوزستان")</f>
        <v>خوزستان</v>
      </c>
      <c r="E3026" s="5" t="str">
        <f>IFERROR(__xludf.DUMMYFUNCTION("""COMPUTED_VALUE"""),"شوشتر")</f>
        <v>شوشتر</v>
      </c>
      <c r="F3026" s="5"/>
      <c r="G3026" s="5">
        <f>IFERROR(__xludf.DUMMYFUNCTION("""COMPUTED_VALUE"""),2.0)</f>
        <v>2</v>
      </c>
      <c r="H3026" s="6" t="str">
        <f>IFERROR(__xludf.DUMMYFUNCTION("""COMPUTED_VALUE"""),"https://www.instagram.com/moheban.aleyasin.str")</f>
        <v>https://www.instagram.com/moheban.aleyasin.str</v>
      </c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</row>
    <row r="3027">
      <c r="A3027" s="5"/>
      <c r="B3027" s="5" t="str">
        <f>IFERROR(__xludf.DUMMYFUNCTION("""COMPUTED_VALUE"""),"هیأت")</f>
        <v>هیأت</v>
      </c>
      <c r="C3027" s="5" t="str">
        <f>IFERROR(__xludf.DUMMYFUNCTION("""COMPUTED_VALUE"""),"محله کوره")</f>
        <v>محله کوره</v>
      </c>
      <c r="D3027" s="5" t="str">
        <f>IFERROR(__xludf.DUMMYFUNCTION("""COMPUTED_VALUE"""),"خوزستان")</f>
        <v>خوزستان</v>
      </c>
      <c r="E3027" s="5" t="str">
        <f>IFERROR(__xludf.DUMMYFUNCTION("""COMPUTED_VALUE"""),"شوشتر")</f>
        <v>شوشتر</v>
      </c>
      <c r="F3027" s="5"/>
      <c r="G3027" s="5">
        <f>IFERROR(__xludf.DUMMYFUNCTION("""COMPUTED_VALUE"""),2.0)</f>
        <v>2</v>
      </c>
      <c r="H3027" s="6" t="str">
        <f>IFERROR(__xludf.DUMMYFUNCTION("""COMPUTED_VALUE"""),"https://www.instagram.com/mahale_koore.str/")</f>
        <v>https://www.instagram.com/mahale_koore.str/</v>
      </c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</row>
    <row r="3028">
      <c r="A3028" s="5">
        <f>IFERROR(__xludf.DUMMYFUNCTION("""COMPUTED_VALUE"""),21430.0)</f>
        <v>21430</v>
      </c>
      <c r="B3028" s="5" t="str">
        <f>IFERROR(__xludf.DUMMYFUNCTION("""COMPUTED_VALUE"""),"هیأت")</f>
        <v>هیأت</v>
      </c>
      <c r="C3028" s="5" t="str">
        <f>IFERROR(__xludf.DUMMYFUNCTION("""COMPUTED_VALUE"""),"بیت الرقیه (س) / محفل رهروان شهدا")</f>
        <v>بیت الرقیه (س) / محفل رهروان شهدا</v>
      </c>
      <c r="D3028" s="5" t="str">
        <f>IFERROR(__xludf.DUMMYFUNCTION("""COMPUTED_VALUE"""),"خوزستان")</f>
        <v>خوزستان</v>
      </c>
      <c r="E3028" s="5" t="str">
        <f>IFERROR(__xludf.DUMMYFUNCTION("""COMPUTED_VALUE"""),"گتوند")</f>
        <v>گتوند</v>
      </c>
      <c r="F3028" s="5"/>
      <c r="G3028" s="5">
        <f>IFERROR(__xludf.DUMMYFUNCTION("""COMPUTED_VALUE"""),2.0)</f>
        <v>2</v>
      </c>
      <c r="H3028" s="6" t="str">
        <f>IFERROR(__xludf.DUMMYFUNCTION("""COMPUTED_VALUE"""),"https://www.instagram.com/beytolroghayeh3")</f>
        <v>https://www.instagram.com/beytolroghayeh3</v>
      </c>
      <c r="I3028" s="5"/>
      <c r="J3028" s="6" t="str">
        <f>IFERROR(__xludf.DUMMYFUNCTION("""COMPUTED_VALUE"""),"https://ble.ir/beytolroghayeh3")</f>
        <v>https://ble.ir/beytolroghayeh3</v>
      </c>
      <c r="K3028" s="5"/>
      <c r="L3028" s="5"/>
      <c r="M3028" s="5"/>
      <c r="N3028" s="5"/>
      <c r="O3028" s="5"/>
      <c r="P3028" s="5"/>
      <c r="Q3028" s="5"/>
      <c r="R3028" s="5"/>
      <c r="S3028" s="5"/>
    </row>
    <row r="3029">
      <c r="A3029" s="5"/>
      <c r="B3029" s="5" t="str">
        <f>IFERROR(__xludf.DUMMYFUNCTION("""COMPUTED_VALUE"""),"موکب")</f>
        <v>موکب</v>
      </c>
      <c r="C3029" s="5" t="str">
        <f>IFERROR(__xludf.DUMMYFUNCTION("""COMPUTED_VALUE"""),"خدام الحسین")</f>
        <v>خدام الحسین</v>
      </c>
      <c r="D3029" s="5" t="str">
        <f>IFERROR(__xludf.DUMMYFUNCTION("""COMPUTED_VALUE"""),"خوزستان")</f>
        <v>خوزستان</v>
      </c>
      <c r="E3029" s="5" t="str">
        <f>IFERROR(__xludf.DUMMYFUNCTION("""COMPUTED_VALUE"""),"هندیجان")</f>
        <v>هندیجان</v>
      </c>
      <c r="F3029" s="5"/>
      <c r="G3029" s="5">
        <f>IFERROR(__xludf.DUMMYFUNCTION("""COMPUTED_VALUE"""),2.0)</f>
        <v>2</v>
      </c>
      <c r="H3029" s="6" t="str">
        <f>IFERROR(__xludf.DUMMYFUNCTION("""COMPUTED_VALUE"""),"https://www.instagram.com/khodam___alhossein/")</f>
        <v>https://www.instagram.com/khodam___alhossein/</v>
      </c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</row>
    <row r="3030">
      <c r="A3030" s="5">
        <f>IFERROR(__xludf.DUMMYFUNCTION("""COMPUTED_VALUE"""),28958.0)</f>
        <v>28958</v>
      </c>
      <c r="B3030" s="5" t="str">
        <f>IFERROR(__xludf.DUMMYFUNCTION("""COMPUTED_VALUE"""),"هیأت")</f>
        <v>هیأت</v>
      </c>
      <c r="C3030" s="5" t="str">
        <f>IFERROR(__xludf.DUMMYFUNCTION("""COMPUTED_VALUE"""),"صاحب الزمان(عج)")</f>
        <v>صاحب الزمان(عج)</v>
      </c>
      <c r="D3030" s="5" t="str">
        <f>IFERROR(__xludf.DUMMYFUNCTION("""COMPUTED_VALUE"""),"خوزستان")</f>
        <v>خوزستان</v>
      </c>
      <c r="E3030" s="5" t="str">
        <f>IFERROR(__xludf.DUMMYFUNCTION("""COMPUTED_VALUE"""),"هندیجان")</f>
        <v>هندیجان</v>
      </c>
      <c r="F3030" s="5"/>
      <c r="G3030" s="5">
        <f>IFERROR(__xludf.DUMMYFUNCTION("""COMPUTED_VALUE"""),2.0)</f>
        <v>2</v>
      </c>
      <c r="H3030" s="6" t="str">
        <f>IFERROR(__xludf.DUMMYFUNCTION("""COMPUTED_VALUE"""),"https://www.instagram.com/heyatsahebzaman1355/")</f>
        <v>https://www.instagram.com/heyatsahebzaman1355/</v>
      </c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</row>
    <row r="3031">
      <c r="A3031" s="5">
        <f>IFERROR(__xludf.DUMMYFUNCTION("""COMPUTED_VALUE"""),20368.0)</f>
        <v>20368</v>
      </c>
      <c r="B3031" s="5" t="str">
        <f>IFERROR(__xludf.DUMMYFUNCTION("""COMPUTED_VALUE"""),"هیأت")</f>
        <v>هیأت</v>
      </c>
      <c r="C3031" s="5" t="str">
        <f>IFERROR(__xludf.DUMMYFUNCTION("""COMPUTED_VALUE"""),"فاطمیون")</f>
        <v>فاطمیون</v>
      </c>
      <c r="D3031" s="5" t="str">
        <f>IFERROR(__xludf.DUMMYFUNCTION("""COMPUTED_VALUE"""),"خوزستان")</f>
        <v>خوزستان</v>
      </c>
      <c r="E3031" s="5" t="str">
        <f>IFERROR(__xludf.DUMMYFUNCTION("""COMPUTED_VALUE"""),"هندیجان")</f>
        <v>هندیجان</v>
      </c>
      <c r="F3031" s="5"/>
      <c r="G3031" s="5">
        <f>IFERROR(__xludf.DUMMYFUNCTION("""COMPUTED_VALUE"""),2.0)</f>
        <v>2</v>
      </c>
      <c r="H3031" s="6" t="str">
        <f>IFERROR(__xludf.DUMMYFUNCTION("""COMPUTED_VALUE"""),"https://www.instagram.com/fatemiyon_h/")</f>
        <v>https://www.instagram.com/fatemiyon_h/</v>
      </c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</row>
    <row r="3032">
      <c r="A3032" s="5">
        <f>IFERROR(__xludf.DUMMYFUNCTION("""COMPUTED_VALUE"""),31900.0)</f>
        <v>31900</v>
      </c>
      <c r="B3032" s="5" t="str">
        <f>IFERROR(__xludf.DUMMYFUNCTION("""COMPUTED_VALUE"""),"هیأت")</f>
        <v>هیأت</v>
      </c>
      <c r="C3032" s="5" t="str">
        <f>IFERROR(__xludf.DUMMYFUNCTION("""COMPUTED_VALUE"""),"انصار الحجه")</f>
        <v>انصار الحجه</v>
      </c>
      <c r="D3032" s="5" t="str">
        <f>IFERROR(__xludf.DUMMYFUNCTION("""COMPUTED_VALUE"""),"خوزستان")</f>
        <v>خوزستان</v>
      </c>
      <c r="E3032" s="5" t="str">
        <f>IFERROR(__xludf.DUMMYFUNCTION("""COMPUTED_VALUE"""),"هویزه")</f>
        <v>هویزه</v>
      </c>
      <c r="F3032" s="5"/>
      <c r="G3032" s="5">
        <f>IFERROR(__xludf.DUMMYFUNCTION("""COMPUTED_VALUE"""),2.0)</f>
        <v>2</v>
      </c>
      <c r="H3032" s="6" t="str">
        <f>IFERROR(__xludf.DUMMYFUNCTION("""COMPUTED_VALUE"""),"https://www.instagram.com/h_a_alhojah/")</f>
        <v>https://www.instagram.com/h_a_alhojah/</v>
      </c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</row>
    <row r="3033">
      <c r="A3033" s="5"/>
      <c r="B3033" s="5" t="str">
        <f>IFERROR(__xludf.DUMMYFUNCTION("""COMPUTED_VALUE"""),"هیأت")</f>
        <v>هیأت</v>
      </c>
      <c r="C3033" s="5" t="str">
        <f>IFERROR(__xludf.DUMMYFUNCTION("""COMPUTED_VALUE"""),"انصار الحسين ع")</f>
        <v>انصار الحسين ع</v>
      </c>
      <c r="D3033" s="5" t="str">
        <f>IFERROR(__xludf.DUMMYFUNCTION("""COMPUTED_VALUE"""),"خوزستان")</f>
        <v>خوزستان</v>
      </c>
      <c r="E3033" s="5" t="str">
        <f>IFERROR(__xludf.DUMMYFUNCTION("""COMPUTED_VALUE"""),"هویزه")</f>
        <v>هویزه</v>
      </c>
      <c r="F3033" s="5"/>
      <c r="G3033" s="5">
        <f>IFERROR(__xludf.DUMMYFUNCTION("""COMPUTED_VALUE"""),2.0)</f>
        <v>2</v>
      </c>
      <c r="H3033" s="6" t="str">
        <f>IFERROR(__xludf.DUMMYFUNCTION("""COMPUTED_VALUE"""),"https://www.instagram.com/ansar_al_hossein/")</f>
        <v>https://www.instagram.com/ansar_al_hossein/</v>
      </c>
      <c r="I3033" s="5"/>
      <c r="J3033" s="5"/>
      <c r="K3033" s="6" t="str">
        <f>IFERROR(__xludf.DUMMYFUNCTION("""COMPUTED_VALUE"""),"https://www.youtube.com/@ansar.alhosainhovizeh")</f>
        <v>https://www.youtube.com/@ansar.alhosainhovizeh</v>
      </c>
      <c r="L3033" s="5"/>
      <c r="M3033" s="5"/>
      <c r="N3033" s="5"/>
      <c r="O3033" s="5"/>
      <c r="P3033" s="5"/>
      <c r="Q3033" s="5"/>
      <c r="R3033" s="5"/>
      <c r="S3033" s="5"/>
    </row>
    <row r="3034">
      <c r="A3034" s="5"/>
      <c r="B3034" s="5" t="str">
        <f>IFERROR(__xludf.DUMMYFUNCTION("""COMPUTED_VALUE"""),"هیأت")</f>
        <v>هیأت</v>
      </c>
      <c r="C3034" s="5" t="str">
        <f>IFERROR(__xludf.DUMMYFUNCTION("""COMPUTED_VALUE"""),"الفاطمیون")</f>
        <v>الفاطمیون</v>
      </c>
      <c r="D3034" s="5" t="str">
        <f>IFERROR(__xludf.DUMMYFUNCTION("""COMPUTED_VALUE"""),"خوزستان")</f>
        <v>خوزستان</v>
      </c>
      <c r="E3034" s="5" t="str">
        <f>IFERROR(__xludf.DUMMYFUNCTION("""COMPUTED_VALUE"""),"آبادان")</f>
        <v>آبادان</v>
      </c>
      <c r="F3034" s="5"/>
      <c r="G3034" s="5">
        <f>IFERROR(__xludf.DUMMYFUNCTION("""COMPUTED_VALUE"""),3.0)</f>
        <v>3</v>
      </c>
      <c r="H3034" s="6" t="str">
        <f>IFERROR(__xludf.DUMMYFUNCTION("""COMPUTED_VALUE"""),"https://www.instagram.com/rao___213/")</f>
        <v>https://www.instagram.com/rao___213/</v>
      </c>
      <c r="I3034" s="6" t="str">
        <f>IFERROR(__xludf.DUMMYFUNCTION("""COMPUTED_VALUE"""),"https://t.me/hsgfaomnvc213")</f>
        <v>https://t.me/hsgfaomnvc213</v>
      </c>
      <c r="J3034" s="5"/>
      <c r="K3034" s="5"/>
      <c r="L3034" s="5"/>
      <c r="M3034" s="5"/>
      <c r="N3034" s="5"/>
      <c r="O3034" s="5"/>
      <c r="P3034" s="5"/>
      <c r="Q3034" s="5"/>
      <c r="R3034" s="5"/>
      <c r="S3034" s="5"/>
    </row>
    <row r="3035">
      <c r="A3035" s="5"/>
      <c r="B3035" s="5" t="str">
        <f>IFERROR(__xludf.DUMMYFUNCTION("""COMPUTED_VALUE"""),"هیأت")</f>
        <v>هیأت</v>
      </c>
      <c r="C3035" s="5" t="str">
        <f>IFERROR(__xludf.DUMMYFUNCTION("""COMPUTED_VALUE"""),"بیت الاحزان")</f>
        <v>بیت الاحزان</v>
      </c>
      <c r="D3035" s="5" t="str">
        <f>IFERROR(__xludf.DUMMYFUNCTION("""COMPUTED_VALUE"""),"خوزستان")</f>
        <v>خوزستان</v>
      </c>
      <c r="E3035" s="5" t="str">
        <f>IFERROR(__xludf.DUMMYFUNCTION("""COMPUTED_VALUE"""),"آبادان")</f>
        <v>آبادان</v>
      </c>
      <c r="F3035" s="5"/>
      <c r="G3035" s="5">
        <f>IFERROR(__xludf.DUMMYFUNCTION("""COMPUTED_VALUE"""),3.0)</f>
        <v>3</v>
      </c>
      <c r="H3035" s="6" t="str">
        <f>IFERROR(__xludf.DUMMYFUNCTION("""COMPUTED_VALUE"""),"https://www.instagram.com/beytolahzanabadan")</f>
        <v>https://www.instagram.com/beytolahzanabadan</v>
      </c>
      <c r="I3035" s="5"/>
      <c r="J3035" s="5"/>
      <c r="K3035" s="6" t="str">
        <f>IFERROR(__xludf.DUMMYFUNCTION("""COMPUTED_VALUE"""),"https://www.youtube.com/@Beytolahzanabadan")</f>
        <v>https://www.youtube.com/@Beytolahzanabadan</v>
      </c>
      <c r="L3035" s="5"/>
      <c r="M3035" s="5"/>
      <c r="N3035" s="5"/>
      <c r="O3035" s="5"/>
      <c r="P3035" s="5"/>
      <c r="Q3035" s="5"/>
      <c r="R3035" s="5"/>
      <c r="S3035" s="5"/>
    </row>
    <row r="3036">
      <c r="A3036" s="5"/>
      <c r="B3036" s="5" t="str">
        <f>IFERROR(__xludf.DUMMYFUNCTION("""COMPUTED_VALUE"""),"حسینیه")</f>
        <v>حسینیه</v>
      </c>
      <c r="C3036" s="5" t="str">
        <f>IFERROR(__xludf.DUMMYFUNCTION("""COMPUTED_VALUE"""),"حسین ابن علی")</f>
        <v>حسین ابن علی</v>
      </c>
      <c r="D3036" s="5" t="str">
        <f>IFERROR(__xludf.DUMMYFUNCTION("""COMPUTED_VALUE"""),"خوزستان")</f>
        <v>خوزستان</v>
      </c>
      <c r="E3036" s="5" t="str">
        <f>IFERROR(__xludf.DUMMYFUNCTION("""COMPUTED_VALUE"""),"آبادان")</f>
        <v>آبادان</v>
      </c>
      <c r="F3036" s="5"/>
      <c r="G3036" s="5">
        <f>IFERROR(__xludf.DUMMYFUNCTION("""COMPUTED_VALUE"""),3.0)</f>
        <v>3</v>
      </c>
      <c r="H3036" s="6" t="str">
        <f>IFERROR(__xludf.DUMMYFUNCTION("""COMPUTED_VALUE"""),"https://www.instagram.com/hoseiniy_hosen_ebnali_abadan/")</f>
        <v>https://www.instagram.com/hoseiniy_hosen_ebnali_abadan/</v>
      </c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</row>
    <row r="3037">
      <c r="A3037" s="5"/>
      <c r="B3037" s="5" t="str">
        <f>IFERROR(__xludf.DUMMYFUNCTION("""COMPUTED_VALUE"""),"هیأت")</f>
        <v>هیأت</v>
      </c>
      <c r="C3037" s="5" t="str">
        <f>IFERROR(__xludf.DUMMYFUNCTION("""COMPUTED_VALUE"""),"خاتم الانبیاء")</f>
        <v>خاتم الانبیاء</v>
      </c>
      <c r="D3037" s="5" t="str">
        <f>IFERROR(__xludf.DUMMYFUNCTION("""COMPUTED_VALUE"""),"خوزستان")</f>
        <v>خوزستان</v>
      </c>
      <c r="E3037" s="5" t="str">
        <f>IFERROR(__xludf.DUMMYFUNCTION("""COMPUTED_VALUE"""),"آبادان")</f>
        <v>آبادان</v>
      </c>
      <c r="F3037" s="5"/>
      <c r="G3037" s="5">
        <f>IFERROR(__xludf.DUMMYFUNCTION("""COMPUTED_VALUE"""),3.0)</f>
        <v>3</v>
      </c>
      <c r="H3037" s="6" t="str">
        <f>IFERROR(__xludf.DUMMYFUNCTION("""COMPUTED_VALUE"""),"https://www.instagram.com/khatam_media")</f>
        <v>https://www.instagram.com/khatam_media</v>
      </c>
      <c r="I3037" s="6" t="str">
        <f>IFERROR(__xludf.DUMMYFUNCTION("""COMPUTED_VALUE"""),"https://t.me/ya_khatam_abadan")</f>
        <v>https://t.me/ya_khatam_abadan</v>
      </c>
      <c r="J3037" s="5"/>
      <c r="K3037" s="5"/>
      <c r="L3037" s="5"/>
      <c r="M3037" s="5"/>
      <c r="N3037" s="5"/>
      <c r="O3037" s="5"/>
      <c r="P3037" s="5"/>
      <c r="Q3037" s="5"/>
      <c r="R3037" s="5"/>
      <c r="S3037" s="5"/>
    </row>
    <row r="3038">
      <c r="A3038" s="5"/>
      <c r="B3038" s="5" t="str">
        <f>IFERROR(__xludf.DUMMYFUNCTION("""COMPUTED_VALUE"""),"هیأت")</f>
        <v>هیأت</v>
      </c>
      <c r="C3038" s="5" t="str">
        <f>IFERROR(__xludf.DUMMYFUNCTION("""COMPUTED_VALUE"""),"سفیرالحسین")</f>
        <v>سفیرالحسین</v>
      </c>
      <c r="D3038" s="5" t="str">
        <f>IFERROR(__xludf.DUMMYFUNCTION("""COMPUTED_VALUE"""),"خوزستان")</f>
        <v>خوزستان</v>
      </c>
      <c r="E3038" s="5" t="str">
        <f>IFERROR(__xludf.DUMMYFUNCTION("""COMPUTED_VALUE"""),"آبادان")</f>
        <v>آبادان</v>
      </c>
      <c r="F3038" s="5"/>
      <c r="G3038" s="5">
        <f>IFERROR(__xludf.DUMMYFUNCTION("""COMPUTED_VALUE"""),3.0)</f>
        <v>3</v>
      </c>
      <c r="H3038" s="6" t="str">
        <f>IFERROR(__xludf.DUMMYFUNCTION("""COMPUTED_VALUE"""),"https://www.instagram.com/safiralhosein_abadan/")</f>
        <v>https://www.instagram.com/safiralhosein_abadan/</v>
      </c>
      <c r="I3038" s="6" t="str">
        <f>IFERROR(__xludf.DUMMYFUNCTION("""COMPUTED_VALUE"""),"https://t.me/safir_alhosein_abadan")</f>
        <v>https://t.me/safir_alhosein_abadan</v>
      </c>
      <c r="J3038" s="6" t="str">
        <f>IFERROR(__xludf.DUMMYFUNCTION("""COMPUTED_VALUE"""),"https://eitaa.com/safir_alhosein_abadan")</f>
        <v>https://eitaa.com/safir_alhosein_abadan</v>
      </c>
      <c r="K3038" s="5"/>
      <c r="L3038" s="5"/>
      <c r="M3038" s="5"/>
      <c r="N3038" s="5"/>
      <c r="O3038" s="5"/>
      <c r="P3038" s="5"/>
      <c r="Q3038" s="5"/>
      <c r="R3038" s="5"/>
      <c r="S3038" s="5"/>
    </row>
    <row r="3039">
      <c r="A3039" s="5"/>
      <c r="B3039" s="5" t="str">
        <f>IFERROR(__xludf.DUMMYFUNCTION("""COMPUTED_VALUE"""),"حسینیه")</f>
        <v>حسینیه</v>
      </c>
      <c r="C3039" s="5" t="str">
        <f>IFERROR(__xludf.DUMMYFUNCTION("""COMPUTED_VALUE"""),"شهدا")</f>
        <v>شهدا</v>
      </c>
      <c r="D3039" s="5" t="str">
        <f>IFERROR(__xludf.DUMMYFUNCTION("""COMPUTED_VALUE"""),"خوزستان")</f>
        <v>خوزستان</v>
      </c>
      <c r="E3039" s="5" t="str">
        <f>IFERROR(__xludf.DUMMYFUNCTION("""COMPUTED_VALUE"""),"آبادان")</f>
        <v>آبادان</v>
      </c>
      <c r="F3039" s="5"/>
      <c r="G3039" s="5">
        <f>IFERROR(__xludf.DUMMYFUNCTION("""COMPUTED_VALUE"""),3.0)</f>
        <v>3</v>
      </c>
      <c r="H3039" s="6" t="str">
        <f>IFERROR(__xludf.DUMMYFUNCTION("""COMPUTED_VALUE"""),"https://www.instagram.com/hoseiniye_shohadaye_abadan")</f>
        <v>https://www.instagram.com/hoseiniye_shohadaye_abadan</v>
      </c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</row>
    <row r="3040">
      <c r="A3040" s="5">
        <f>IFERROR(__xludf.DUMMYFUNCTION("""COMPUTED_VALUE"""),29816.0)</f>
        <v>29816</v>
      </c>
      <c r="B3040" s="5" t="str">
        <f>IFERROR(__xludf.DUMMYFUNCTION("""COMPUTED_VALUE"""),"هیأت")</f>
        <v>هیأت</v>
      </c>
      <c r="C3040" s="5" t="str">
        <f>IFERROR(__xludf.DUMMYFUNCTION("""COMPUTED_VALUE"""),"مکتب الصادق (ع)")</f>
        <v>مکتب الصادق (ع)</v>
      </c>
      <c r="D3040" s="5" t="str">
        <f>IFERROR(__xludf.DUMMYFUNCTION("""COMPUTED_VALUE"""),"خوزستان")</f>
        <v>خوزستان</v>
      </c>
      <c r="E3040" s="5" t="str">
        <f>IFERROR(__xludf.DUMMYFUNCTION("""COMPUTED_VALUE"""),"آبادان")</f>
        <v>آبادان</v>
      </c>
      <c r="F3040" s="5"/>
      <c r="G3040" s="5">
        <f>IFERROR(__xludf.DUMMYFUNCTION("""COMPUTED_VALUE"""),3.0)</f>
        <v>3</v>
      </c>
      <c r="H3040" s="6" t="str">
        <f>IFERROR(__xludf.DUMMYFUNCTION("""COMPUTED_VALUE"""),"https://www.instagram.com/maktabosadegh128/")</f>
        <v>https://www.instagram.com/maktabosadegh128/</v>
      </c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</row>
    <row r="3041">
      <c r="A3041" s="5"/>
      <c r="B3041" s="5" t="str">
        <f>IFERROR(__xludf.DUMMYFUNCTION("""COMPUTED_VALUE"""),"هیأت کودک")</f>
        <v>هیأت کودک</v>
      </c>
      <c r="C3041" s="5" t="str">
        <f>IFERROR(__xludf.DUMMYFUNCTION("""COMPUTED_VALUE"""),"مهدا")</f>
        <v>مهدا</v>
      </c>
      <c r="D3041" s="5" t="str">
        <f>IFERROR(__xludf.DUMMYFUNCTION("""COMPUTED_VALUE"""),"خوزستان")</f>
        <v>خوزستان</v>
      </c>
      <c r="E3041" s="5" t="str">
        <f>IFERROR(__xludf.DUMMYFUNCTION("""COMPUTED_VALUE"""),"آبادان")</f>
        <v>آبادان</v>
      </c>
      <c r="F3041" s="5"/>
      <c r="G3041" s="5">
        <f>IFERROR(__xludf.DUMMYFUNCTION("""COMPUTED_VALUE"""),3.0)</f>
        <v>3</v>
      </c>
      <c r="H3041" s="6" t="str">
        <f>IFERROR(__xludf.DUMMYFUNCTION("""COMPUTED_VALUE"""),"https://www.instagram.com/mahda_abadan/")</f>
        <v>https://www.instagram.com/mahda_abadan/</v>
      </c>
      <c r="I3041" s="5"/>
      <c r="J3041" s="6" t="str">
        <f>IFERROR(__xludf.DUMMYFUNCTION("""COMPUTED_VALUE"""),"https://eitaa.com/mahda_abadan")</f>
        <v>https://eitaa.com/mahda_abadan</v>
      </c>
      <c r="K3041" s="5"/>
      <c r="L3041" s="5"/>
      <c r="M3041" s="5"/>
      <c r="N3041" s="5"/>
      <c r="O3041" s="5"/>
      <c r="P3041" s="5"/>
      <c r="Q3041" s="5"/>
      <c r="R3041" s="5"/>
      <c r="S3041" s="5"/>
    </row>
    <row r="3042">
      <c r="A3042" s="5"/>
      <c r="B3042" s="5" t="str">
        <f>IFERROR(__xludf.DUMMYFUNCTION("""COMPUTED_VALUE"""),"هیأت")</f>
        <v>هیأت</v>
      </c>
      <c r="C3042" s="5" t="str">
        <f>IFERROR(__xludf.DUMMYFUNCTION("""COMPUTED_VALUE"""),"بین ‌الحرمین‌")</f>
        <v>بین ‌الحرمین‌</v>
      </c>
      <c r="D3042" s="5" t="str">
        <f>IFERROR(__xludf.DUMMYFUNCTION("""COMPUTED_VALUE"""),"خوزستان")</f>
        <v>خوزستان</v>
      </c>
      <c r="E3042" s="5" t="str">
        <f>IFERROR(__xludf.DUMMYFUNCTION("""COMPUTED_VALUE"""),"امیدیه")</f>
        <v>امیدیه</v>
      </c>
      <c r="F3042" s="5"/>
      <c r="G3042" s="5">
        <f>IFERROR(__xludf.DUMMYFUNCTION("""COMPUTED_VALUE"""),3.0)</f>
        <v>3</v>
      </c>
      <c r="H3042" s="6" t="str">
        <f>IFERROR(__xludf.DUMMYFUNCTION("""COMPUTED_VALUE"""),"https://www.instagram.com/heyaat.beynol.harameyn.omd/")</f>
        <v>https://www.instagram.com/heyaat.beynol.harameyn.omd/</v>
      </c>
      <c r="I3042" s="5"/>
      <c r="J3042" s="6" t="str">
        <f>IFERROR(__xludf.DUMMYFUNCTION("""COMPUTED_VALUE"""),"https://eitaa.com/Heyaat_beynol_harameyn_omd")</f>
        <v>https://eitaa.com/Heyaat_beynol_harameyn_omd</v>
      </c>
      <c r="K3042" s="5"/>
      <c r="L3042" s="5"/>
      <c r="M3042" s="5"/>
      <c r="N3042" s="5"/>
      <c r="O3042" s="5"/>
      <c r="P3042" s="5"/>
      <c r="Q3042" s="5"/>
      <c r="R3042" s="5"/>
      <c r="S3042" s="5"/>
    </row>
    <row r="3043">
      <c r="A3043" s="5"/>
      <c r="B3043" s="5"/>
      <c r="C3043" s="5" t="str">
        <f>IFERROR(__xludf.DUMMYFUNCTION("""COMPUTED_VALUE"""),"متوسلین به حضرت رقیه (س)")</f>
        <v>متوسلین به حضرت رقیه (س)</v>
      </c>
      <c r="D3043" s="5" t="str">
        <f>IFERROR(__xludf.DUMMYFUNCTION("""COMPUTED_VALUE"""),"خوزستان")</f>
        <v>خوزستان</v>
      </c>
      <c r="E3043" s="5" t="str">
        <f>IFERROR(__xludf.DUMMYFUNCTION("""COMPUTED_VALUE"""),"اندیمشک")</f>
        <v>اندیمشک</v>
      </c>
      <c r="F3043" s="5"/>
      <c r="G3043" s="5">
        <f>IFERROR(__xludf.DUMMYFUNCTION("""COMPUTED_VALUE"""),3.0)</f>
        <v>3</v>
      </c>
      <c r="H3043" s="5"/>
      <c r="I3043" s="5"/>
      <c r="J3043" s="6" t="str">
        <f>IFERROR(__xludf.DUMMYFUNCTION("""COMPUTED_VALUE"""),"https://eitaa.com/motevaselin_ir")</f>
        <v>https://eitaa.com/motevaselin_ir</v>
      </c>
      <c r="K3043" s="5"/>
      <c r="L3043" s="5"/>
      <c r="M3043" s="5"/>
      <c r="N3043" s="5"/>
      <c r="O3043" s="5"/>
      <c r="P3043" s="5"/>
      <c r="Q3043" s="5"/>
      <c r="R3043" s="5"/>
      <c r="S3043" s="5"/>
    </row>
    <row r="3044">
      <c r="A3044" s="5"/>
      <c r="B3044" s="5" t="str">
        <f>IFERROR(__xludf.DUMMYFUNCTION("""COMPUTED_VALUE"""),"هیأت")</f>
        <v>هیأت</v>
      </c>
      <c r="C3044" s="5" t="str">
        <f>IFERROR(__xludf.DUMMYFUNCTION("""COMPUTED_VALUE"""),"دارالمحسن")</f>
        <v>دارالمحسن</v>
      </c>
      <c r="D3044" s="5" t="str">
        <f>IFERROR(__xludf.DUMMYFUNCTION("""COMPUTED_VALUE"""),"خوزستان")</f>
        <v>خوزستان</v>
      </c>
      <c r="E3044" s="5" t="str">
        <f>IFERROR(__xludf.DUMMYFUNCTION("""COMPUTED_VALUE"""),"اهواز")</f>
        <v>اهواز</v>
      </c>
      <c r="F3044" s="5"/>
      <c r="G3044" s="5">
        <f>IFERROR(__xludf.DUMMYFUNCTION("""COMPUTED_VALUE"""),3.0)</f>
        <v>3</v>
      </c>
      <c r="H3044" s="6" t="str">
        <f>IFERROR(__xludf.DUMMYFUNCTION("""COMPUTED_VALUE"""),"https://www.instagram.com/dar_almohsen158/")</f>
        <v>https://www.instagram.com/dar_almohsen158/</v>
      </c>
      <c r="I3044" s="6" t="str">
        <f>IFERROR(__xludf.DUMMYFUNCTION("""COMPUTED_VALUE"""),"https://t.me/daralmohsn")</f>
        <v>https://t.me/daralmohsn</v>
      </c>
      <c r="J3044" s="5"/>
      <c r="K3044" s="5"/>
      <c r="L3044" s="5"/>
      <c r="M3044" s="5"/>
      <c r="N3044" s="5"/>
      <c r="O3044" s="5"/>
      <c r="P3044" s="5"/>
      <c r="Q3044" s="5"/>
      <c r="R3044" s="5"/>
      <c r="S3044" s="5"/>
    </row>
    <row r="3045">
      <c r="A3045" s="5"/>
      <c r="B3045" s="5" t="str">
        <f>IFERROR(__xludf.DUMMYFUNCTION("""COMPUTED_VALUE"""),"هیأت")</f>
        <v>هیأت</v>
      </c>
      <c r="C3045" s="5" t="str">
        <f>IFERROR(__xludf.DUMMYFUNCTION("""COMPUTED_VALUE"""),"علمدار حسین")</f>
        <v>علمدار حسین</v>
      </c>
      <c r="D3045" s="5" t="str">
        <f>IFERROR(__xludf.DUMMYFUNCTION("""COMPUTED_VALUE"""),"خوزستان")</f>
        <v>خوزستان</v>
      </c>
      <c r="E3045" s="5" t="str">
        <f>IFERROR(__xludf.DUMMYFUNCTION("""COMPUTED_VALUE"""),"اهواز")</f>
        <v>اهواز</v>
      </c>
      <c r="F3045" s="5"/>
      <c r="G3045" s="5">
        <f>IFERROR(__xludf.DUMMYFUNCTION("""COMPUTED_VALUE"""),3.0)</f>
        <v>3</v>
      </c>
      <c r="H3045" s="6" t="str">
        <f>IFERROR(__xludf.DUMMYFUNCTION("""COMPUTED_VALUE"""),"https://www.instagram.com/heiat_alamdar_hosein")</f>
        <v>https://www.instagram.com/heiat_alamdar_hosein</v>
      </c>
      <c r="I3045" s="5"/>
      <c r="J3045" s="6" t="str">
        <f>IFERROR(__xludf.DUMMYFUNCTION("""COMPUTED_VALUE"""),"https://eitaa.com/Heiat_Alamdar_Hosein")</f>
        <v>https://eitaa.com/Heiat_Alamdar_Hosein</v>
      </c>
      <c r="K3045" s="5"/>
      <c r="L3045" s="5"/>
      <c r="M3045" s="5"/>
      <c r="N3045" s="5"/>
      <c r="O3045" s="5"/>
      <c r="P3045" s="5"/>
      <c r="Q3045" s="5"/>
      <c r="R3045" s="5"/>
      <c r="S3045" s="5"/>
    </row>
    <row r="3046">
      <c r="A3046" s="5"/>
      <c r="B3046" s="5" t="str">
        <f>IFERROR(__xludf.DUMMYFUNCTION("""COMPUTED_VALUE"""),"هیأت")</f>
        <v>هیأت</v>
      </c>
      <c r="C3046" s="5" t="str">
        <f>IFERROR(__xludf.DUMMYFUNCTION("""COMPUTED_VALUE"""),"علی اصغر و علی اکبر")</f>
        <v>علی اصغر و علی اکبر</v>
      </c>
      <c r="D3046" s="5" t="str">
        <f>IFERROR(__xludf.DUMMYFUNCTION("""COMPUTED_VALUE"""),"خوزستان")</f>
        <v>خوزستان</v>
      </c>
      <c r="E3046" s="5" t="str">
        <f>IFERROR(__xludf.DUMMYFUNCTION("""COMPUTED_VALUE"""),"اهواز")</f>
        <v>اهواز</v>
      </c>
      <c r="F3046" s="5"/>
      <c r="G3046" s="5">
        <f>IFERROR(__xludf.DUMMYFUNCTION("""COMPUTED_VALUE"""),3.0)</f>
        <v>3</v>
      </c>
      <c r="H3046" s="6" t="str">
        <f>IFERROR(__xludf.DUMMYFUNCTION("""COMPUTED_VALUE"""),"https://www.instagram.com/heyat_aliasghar_aliakbar/")</f>
        <v>https://www.instagram.com/heyat_aliasghar_aliakbar/</v>
      </c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</row>
    <row r="3047">
      <c r="A3047" s="5"/>
      <c r="B3047" s="5" t="str">
        <f>IFERROR(__xludf.DUMMYFUNCTION("""COMPUTED_VALUE"""),"هیأت")</f>
        <v>هیأت</v>
      </c>
      <c r="C3047" s="5" t="str">
        <f>IFERROR(__xludf.DUMMYFUNCTION("""COMPUTED_VALUE"""),"مراسم عشق")</f>
        <v>مراسم عشق</v>
      </c>
      <c r="D3047" s="5" t="str">
        <f>IFERROR(__xludf.DUMMYFUNCTION("""COMPUTED_VALUE"""),"خوزستان")</f>
        <v>خوزستان</v>
      </c>
      <c r="E3047" s="5" t="str">
        <f>IFERROR(__xludf.DUMMYFUNCTION("""COMPUTED_VALUE"""),"اهواز")</f>
        <v>اهواز</v>
      </c>
      <c r="F3047" s="5"/>
      <c r="G3047" s="5">
        <f>IFERROR(__xludf.DUMMYFUNCTION("""COMPUTED_VALUE"""),3.0)</f>
        <v>3</v>
      </c>
      <c r="H3047" s="6" t="str">
        <f>IFERROR(__xludf.DUMMYFUNCTION("""COMPUTED_VALUE"""),"https://www.instagram.com/maraseme.eshgh")</f>
        <v>https://www.instagram.com/maraseme.eshgh</v>
      </c>
      <c r="I3047" s="6" t="str">
        <f>IFERROR(__xludf.DUMMYFUNCTION("""COMPUTED_VALUE"""),"https://t.me/marasemeeshgh_ahwaz")</f>
        <v>https://t.me/marasemeeshgh_ahwaz</v>
      </c>
      <c r="J3047" s="5"/>
      <c r="K3047" s="5"/>
      <c r="L3047" s="5"/>
      <c r="M3047" s="5"/>
      <c r="N3047" s="5"/>
      <c r="O3047" s="5"/>
      <c r="P3047" s="5"/>
      <c r="Q3047" s="5"/>
      <c r="R3047" s="5"/>
      <c r="S3047" s="5"/>
    </row>
    <row r="3048">
      <c r="A3048" s="5"/>
      <c r="B3048" s="5" t="str">
        <f>IFERROR(__xludf.DUMMYFUNCTION("""COMPUTED_VALUE"""),"هیأت")</f>
        <v>هیأت</v>
      </c>
      <c r="C3048" s="5" t="str">
        <f>IFERROR(__xludf.DUMMYFUNCTION("""COMPUTED_VALUE"""),"موکب الی طریق کربلا")</f>
        <v>موکب الی طریق کربلا</v>
      </c>
      <c r="D3048" s="5" t="str">
        <f>IFERROR(__xludf.DUMMYFUNCTION("""COMPUTED_VALUE"""),"خوزستان")</f>
        <v>خوزستان</v>
      </c>
      <c r="E3048" s="5" t="str">
        <f>IFERROR(__xludf.DUMMYFUNCTION("""COMPUTED_VALUE"""),"اهواز")</f>
        <v>اهواز</v>
      </c>
      <c r="F3048" s="5"/>
      <c r="G3048" s="5">
        <f>IFERROR(__xludf.DUMMYFUNCTION("""COMPUTED_VALUE"""),3.0)</f>
        <v>3</v>
      </c>
      <c r="H3048" s="6" t="str">
        <f>IFERROR(__xludf.DUMMYFUNCTION("""COMPUTED_VALUE"""),"https://www.instagram.com/mokebkarbala")</f>
        <v>https://www.instagram.com/mokebkarbala</v>
      </c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</row>
    <row r="3049">
      <c r="A3049" s="5"/>
      <c r="B3049" s="5" t="str">
        <f>IFERROR(__xludf.DUMMYFUNCTION("""COMPUTED_VALUE"""),"هیأت")</f>
        <v>هیأت</v>
      </c>
      <c r="C3049" s="5" t="str">
        <f>IFERROR(__xludf.DUMMYFUNCTION("""COMPUTED_VALUE"""),"نوجوانان عاشورایی")</f>
        <v>نوجوانان عاشورایی</v>
      </c>
      <c r="D3049" s="5" t="str">
        <f>IFERROR(__xludf.DUMMYFUNCTION("""COMPUTED_VALUE"""),"خوزستان")</f>
        <v>خوزستان</v>
      </c>
      <c r="E3049" s="5" t="str">
        <f>IFERROR(__xludf.DUMMYFUNCTION("""COMPUTED_VALUE"""),"اهواز")</f>
        <v>اهواز</v>
      </c>
      <c r="F3049" s="5"/>
      <c r="G3049" s="5">
        <f>IFERROR(__xludf.DUMMYFUNCTION("""COMPUTED_VALUE"""),3.0)</f>
        <v>3</v>
      </c>
      <c r="H3049" s="6" t="str">
        <f>IFERROR(__xludf.DUMMYFUNCTION("""COMPUTED_VALUE"""),"https://www.instagram.com/nojavananashoorai")</f>
        <v>https://www.instagram.com/nojavananashoorai</v>
      </c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</row>
    <row r="3050">
      <c r="A3050" s="5"/>
      <c r="B3050" s="5" t="str">
        <f>IFERROR(__xludf.DUMMYFUNCTION("""COMPUTED_VALUE"""),"هیأت")</f>
        <v>هیأت</v>
      </c>
      <c r="C3050" s="5" t="str">
        <f>IFERROR(__xludf.DUMMYFUNCTION("""COMPUTED_VALUE"""),"وجیها بالحسین")</f>
        <v>وجیها بالحسین</v>
      </c>
      <c r="D3050" s="5" t="str">
        <f>IFERROR(__xludf.DUMMYFUNCTION("""COMPUTED_VALUE"""),"خوزستان")</f>
        <v>خوزستان</v>
      </c>
      <c r="E3050" s="5" t="str">
        <f>IFERROR(__xludf.DUMMYFUNCTION("""COMPUTED_VALUE"""),"اهواز")</f>
        <v>اهواز</v>
      </c>
      <c r="F3050" s="5"/>
      <c r="G3050" s="5">
        <f>IFERROR(__xludf.DUMMYFUNCTION("""COMPUTED_VALUE"""),3.0)</f>
        <v>3</v>
      </c>
      <c r="H3050" s="6" t="str">
        <f>IFERROR(__xludf.DUMMYFUNCTION("""COMPUTED_VALUE"""),"https://www.instagram.com/vajih128")</f>
        <v>https://www.instagram.com/vajih128</v>
      </c>
      <c r="I3050" s="5"/>
      <c r="J3050" s="6" t="str">
        <f>IFERROR(__xludf.DUMMYFUNCTION("""COMPUTED_VALUE"""),"https://eitaa.com/vajih128")</f>
        <v>https://eitaa.com/vajih128</v>
      </c>
      <c r="K3050" s="5"/>
      <c r="L3050" s="5"/>
      <c r="M3050" s="5"/>
      <c r="N3050" s="5"/>
      <c r="O3050" s="5"/>
      <c r="P3050" s="5"/>
      <c r="Q3050" s="5"/>
      <c r="R3050" s="5"/>
      <c r="S3050" s="5"/>
    </row>
    <row r="3051">
      <c r="A3051" s="5">
        <f>IFERROR(__xludf.DUMMYFUNCTION("""COMPUTED_VALUE"""),31201.0)</f>
        <v>31201</v>
      </c>
      <c r="B3051" s="5" t="str">
        <f>IFERROR(__xludf.DUMMYFUNCTION("""COMPUTED_VALUE"""),"هیأت")</f>
        <v>هیأت</v>
      </c>
      <c r="C3051" s="5" t="str">
        <f>IFERROR(__xludf.DUMMYFUNCTION("""COMPUTED_VALUE"""),"عزاداری ابوالفضل عباس ع غریبی ها")</f>
        <v>عزاداری ابوالفضل عباس ع غریبی ها</v>
      </c>
      <c r="D3051" s="5" t="str">
        <f>IFERROR(__xludf.DUMMYFUNCTION("""COMPUTED_VALUE"""),"خوزستان")</f>
        <v>خوزستان</v>
      </c>
      <c r="E3051" s="5" t="str">
        <f>IFERROR(__xludf.DUMMYFUNCTION("""COMPUTED_VALUE"""),"ایذه")</f>
        <v>ایذه</v>
      </c>
      <c r="F3051" s="5"/>
      <c r="G3051" s="5">
        <f>IFERROR(__xludf.DUMMYFUNCTION("""COMPUTED_VALUE"""),3.0)</f>
        <v>3</v>
      </c>
      <c r="H3051" s="6" t="str">
        <f>IFERROR(__xludf.DUMMYFUNCTION("""COMPUTED_VALUE"""),"https://www.instagram.com/abaalfazlalabas133/")</f>
        <v>https://www.instagram.com/abaalfazlalabas133/</v>
      </c>
      <c r="I3051" s="5"/>
      <c r="J3051" s="6" t="str">
        <f>IFERROR(__xludf.DUMMYFUNCTION("""COMPUTED_VALUE"""),"https://eitaa.com/abaalfazlalabas133")</f>
        <v>https://eitaa.com/abaalfazlalabas133</v>
      </c>
      <c r="K3051" s="5"/>
      <c r="L3051" s="5"/>
      <c r="M3051" s="5"/>
      <c r="N3051" s="5"/>
      <c r="O3051" s="5"/>
      <c r="P3051" s="5"/>
      <c r="Q3051" s="5"/>
      <c r="R3051" s="5"/>
      <c r="S3051" s="5"/>
    </row>
    <row r="3052">
      <c r="A3052" s="5"/>
      <c r="B3052" s="5" t="str">
        <f>IFERROR(__xludf.DUMMYFUNCTION("""COMPUTED_VALUE"""),"هیأت")</f>
        <v>هیأت</v>
      </c>
      <c r="C3052" s="5" t="str">
        <f>IFERROR(__xludf.DUMMYFUNCTION("""COMPUTED_VALUE"""),"خدام الحسین")</f>
        <v>خدام الحسین</v>
      </c>
      <c r="D3052" s="5" t="str">
        <f>IFERROR(__xludf.DUMMYFUNCTION("""COMPUTED_VALUE"""),"خوزستان")</f>
        <v>خوزستان</v>
      </c>
      <c r="E3052" s="5" t="str">
        <f>IFERROR(__xludf.DUMMYFUNCTION("""COMPUTED_VALUE"""),"بندر امام خمینی")</f>
        <v>بندر امام خمینی</v>
      </c>
      <c r="F3052" s="5"/>
      <c r="G3052" s="5">
        <f>IFERROR(__xludf.DUMMYFUNCTION("""COMPUTED_VALUE"""),3.0)</f>
        <v>3</v>
      </c>
      <c r="H3052" s="6" t="str">
        <f>IFERROR(__xludf.DUMMYFUNCTION("""COMPUTED_VALUE"""),"https://www.instagram.com/heyat_khoddam/")</f>
        <v>https://www.instagram.com/heyat_khoddam/</v>
      </c>
      <c r="I3052" s="5"/>
      <c r="J3052" s="6" t="str">
        <f>IFERROR(__xludf.DUMMYFUNCTION("""COMPUTED_VALUE"""),"https://eitaa.com/heyat_khoddam")</f>
        <v>https://eitaa.com/heyat_khoddam</v>
      </c>
      <c r="K3052" s="5"/>
      <c r="L3052" s="5"/>
      <c r="M3052" s="5"/>
      <c r="N3052" s="5"/>
      <c r="O3052" s="5"/>
      <c r="P3052" s="5"/>
      <c r="Q3052" s="5"/>
      <c r="R3052" s="5"/>
      <c r="S3052" s="5"/>
    </row>
    <row r="3053">
      <c r="A3053" s="5"/>
      <c r="B3053" s="5" t="str">
        <f>IFERROR(__xludf.DUMMYFUNCTION("""COMPUTED_VALUE"""),"حسینیه")</f>
        <v>حسینیه</v>
      </c>
      <c r="C3053" s="5" t="str">
        <f>IFERROR(__xludf.DUMMYFUNCTION("""COMPUTED_VALUE"""),"زینبیه")</f>
        <v>زینبیه</v>
      </c>
      <c r="D3053" s="5" t="str">
        <f>IFERROR(__xludf.DUMMYFUNCTION("""COMPUTED_VALUE"""),"خوزستان")</f>
        <v>خوزستان</v>
      </c>
      <c r="E3053" s="5" t="str">
        <f>IFERROR(__xludf.DUMMYFUNCTION("""COMPUTED_VALUE"""),"بندر امام خمینی")</f>
        <v>بندر امام خمینی</v>
      </c>
      <c r="F3053" s="5"/>
      <c r="G3053" s="5">
        <f>IFERROR(__xludf.DUMMYFUNCTION("""COMPUTED_VALUE"""),3.0)</f>
        <v>3</v>
      </c>
      <c r="H3053" s="6" t="str">
        <f>IFERROR(__xludf.DUMMYFUNCTION("""COMPUTED_VALUE"""),"https://www.instagram.com/hoseinieh_alzainabieh/")</f>
        <v>https://www.instagram.com/hoseinieh_alzainabieh/</v>
      </c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</row>
    <row r="3054">
      <c r="A3054" s="5"/>
      <c r="B3054" s="5" t="str">
        <f>IFERROR(__xludf.DUMMYFUNCTION("""COMPUTED_VALUE"""),"حسینیه")</f>
        <v>حسینیه</v>
      </c>
      <c r="C3054" s="5" t="str">
        <f>IFERROR(__xludf.DUMMYFUNCTION("""COMPUTED_VALUE"""),"العباسیه")</f>
        <v>العباسیه</v>
      </c>
      <c r="D3054" s="5" t="str">
        <f>IFERROR(__xludf.DUMMYFUNCTION("""COMPUTED_VALUE"""),"خوزستان")</f>
        <v>خوزستان</v>
      </c>
      <c r="E3054" s="5" t="str">
        <f>IFERROR(__xludf.DUMMYFUNCTION("""COMPUTED_VALUE"""),"بندر ماهشهر")</f>
        <v>بندر ماهشهر</v>
      </c>
      <c r="F3054" s="5"/>
      <c r="G3054" s="5">
        <f>IFERROR(__xludf.DUMMYFUNCTION("""COMPUTED_VALUE"""),3.0)</f>
        <v>3</v>
      </c>
      <c r="H3054" s="6" t="str">
        <f>IFERROR(__xludf.DUMMYFUNCTION("""COMPUTED_VALUE"""),"https://www.instagram.com/hoseinieh_alabbasieh/")</f>
        <v>https://www.instagram.com/hoseinieh_alabbasieh/</v>
      </c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</row>
    <row r="3055">
      <c r="A3055" s="5"/>
      <c r="B3055" s="5" t="str">
        <f>IFERROR(__xludf.DUMMYFUNCTION("""COMPUTED_VALUE"""),"هیأت نوجوان")</f>
        <v>هیأت نوجوان</v>
      </c>
      <c r="C3055" s="5" t="str">
        <f>IFERROR(__xludf.DUMMYFUNCTION("""COMPUTED_VALUE"""),"دمعة رقیه ")</f>
        <v>دمعة رقیه </v>
      </c>
      <c r="D3055" s="5" t="str">
        <f>IFERROR(__xludf.DUMMYFUNCTION("""COMPUTED_VALUE"""),"خوزستان")</f>
        <v>خوزستان</v>
      </c>
      <c r="E3055" s="5" t="str">
        <f>IFERROR(__xludf.DUMMYFUNCTION("""COMPUTED_VALUE"""),"بندر ماهشهر")</f>
        <v>بندر ماهشهر</v>
      </c>
      <c r="F3055" s="5"/>
      <c r="G3055" s="5">
        <f>IFERROR(__xludf.DUMMYFUNCTION("""COMPUTED_VALUE"""),3.0)</f>
        <v>3</v>
      </c>
      <c r="H3055" s="6" t="str">
        <f>IFERROR(__xludf.DUMMYFUNCTION("""COMPUTED_VALUE"""),"https://www.instagram.com/damat_roghaye315")</f>
        <v>https://www.instagram.com/damat_roghaye315</v>
      </c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</row>
    <row r="3056">
      <c r="A3056" s="5"/>
      <c r="B3056" s="5" t="str">
        <f>IFERROR(__xludf.DUMMYFUNCTION("""COMPUTED_VALUE"""),"هیأت")</f>
        <v>هیأت</v>
      </c>
      <c r="C3056" s="5" t="str">
        <f>IFERROR(__xludf.DUMMYFUNCTION("""COMPUTED_VALUE"""),"محبان ولایت")</f>
        <v>محبان ولایت</v>
      </c>
      <c r="D3056" s="5" t="str">
        <f>IFERROR(__xludf.DUMMYFUNCTION("""COMPUTED_VALUE"""),"خوزستان")</f>
        <v>خوزستان</v>
      </c>
      <c r="E3056" s="5" t="str">
        <f>IFERROR(__xludf.DUMMYFUNCTION("""COMPUTED_VALUE"""),"بندر ماهشهر")</f>
        <v>بندر ماهشهر</v>
      </c>
      <c r="F3056" s="5" t="str">
        <f>IFERROR(__xludf.DUMMYFUNCTION("""COMPUTED_VALUE"""),"چمران")</f>
        <v>چمران</v>
      </c>
      <c r="G3056" s="5">
        <f>IFERROR(__xludf.DUMMYFUNCTION("""COMPUTED_VALUE"""),3.0)</f>
        <v>3</v>
      </c>
      <c r="H3056" s="6" t="str">
        <f>IFERROR(__xludf.DUMMYFUNCTION("""COMPUTED_VALUE"""),"https://www.instagram.com/mohebanvelaya/")</f>
        <v>https://www.instagram.com/mohebanvelaya/</v>
      </c>
      <c r="I3056" s="5"/>
      <c r="J3056" s="6" t="str">
        <f>IFERROR(__xludf.DUMMYFUNCTION("""COMPUTED_VALUE"""),"https://eitaa.com/mohebanvelayat")</f>
        <v>https://eitaa.com/mohebanvelayat</v>
      </c>
      <c r="K3056" s="5"/>
      <c r="L3056" s="5"/>
      <c r="M3056" s="5"/>
      <c r="N3056" s="5"/>
      <c r="O3056" s="5"/>
      <c r="P3056" s="5"/>
      <c r="Q3056" s="5"/>
      <c r="R3056" s="5"/>
      <c r="S3056" s="5"/>
    </row>
    <row r="3057">
      <c r="A3057" s="5"/>
      <c r="B3057" s="5" t="str">
        <f>IFERROR(__xludf.DUMMYFUNCTION("""COMPUTED_VALUE"""),"هیأت")</f>
        <v>هیأت</v>
      </c>
      <c r="C3057" s="5" t="str">
        <f>IFERROR(__xludf.DUMMYFUNCTION("""COMPUTED_VALUE"""),"مکتب الحسن")</f>
        <v>مکتب الحسن</v>
      </c>
      <c r="D3057" s="5" t="str">
        <f>IFERROR(__xludf.DUMMYFUNCTION("""COMPUTED_VALUE"""),"خوزستان")</f>
        <v>خوزستان</v>
      </c>
      <c r="E3057" s="5" t="str">
        <f>IFERROR(__xludf.DUMMYFUNCTION("""COMPUTED_VALUE"""),"بندر ماهشهر")</f>
        <v>بندر ماهشهر</v>
      </c>
      <c r="F3057" s="5"/>
      <c r="G3057" s="5">
        <f>IFERROR(__xludf.DUMMYFUNCTION("""COMPUTED_VALUE"""),3.0)</f>
        <v>3</v>
      </c>
      <c r="H3057" s="6" t="str">
        <f>IFERROR(__xludf.DUMMYFUNCTION("""COMPUTED_VALUE"""),"https://www.instagram.com/maktab_al_hassan118/")</f>
        <v>https://www.instagram.com/maktab_al_hassan118/</v>
      </c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</row>
    <row r="3058">
      <c r="A3058" s="5"/>
      <c r="B3058" s="5" t="str">
        <f>IFERROR(__xludf.DUMMYFUNCTION("""COMPUTED_VALUE"""),"هیأت")</f>
        <v>هیأت</v>
      </c>
      <c r="C3058" s="5" t="str">
        <f>IFERROR(__xludf.DUMMYFUNCTION("""COMPUTED_VALUE"""),"منتظران صاحب الزمان")</f>
        <v>منتظران صاحب الزمان</v>
      </c>
      <c r="D3058" s="5" t="str">
        <f>IFERROR(__xludf.DUMMYFUNCTION("""COMPUTED_VALUE"""),"خوزستان")</f>
        <v>خوزستان</v>
      </c>
      <c r="E3058" s="5" t="str">
        <f>IFERROR(__xludf.DUMMYFUNCTION("""COMPUTED_VALUE"""),"بندر ماهشهر")</f>
        <v>بندر ماهشهر</v>
      </c>
      <c r="F3058" s="5"/>
      <c r="G3058" s="5">
        <f>IFERROR(__xludf.DUMMYFUNCTION("""COMPUTED_VALUE"""),3.0)</f>
        <v>3</v>
      </c>
      <c r="H3058" s="6" t="str">
        <f>IFERROR(__xludf.DUMMYFUNCTION("""COMPUTED_VALUE"""),"https://www.instagram.com/heyat_montazeran.313/")</f>
        <v>https://www.instagram.com/heyat_montazeran.313/</v>
      </c>
      <c r="I3058" s="6" t="str">
        <f>IFERROR(__xludf.DUMMYFUNCTION("""COMPUTED_VALUE"""),"https://t.me/heiat_montazeran313ir")</f>
        <v>https://t.me/heiat_montazeran313ir</v>
      </c>
      <c r="J3058" s="5"/>
      <c r="K3058" s="5"/>
      <c r="L3058" s="5"/>
      <c r="M3058" s="5"/>
      <c r="N3058" s="5"/>
      <c r="O3058" s="5"/>
      <c r="P3058" s="5"/>
      <c r="Q3058" s="5"/>
      <c r="R3058" s="5"/>
      <c r="S3058" s="5"/>
    </row>
    <row r="3059">
      <c r="A3059" s="5"/>
      <c r="B3059" s="5" t="str">
        <f>IFERROR(__xludf.DUMMYFUNCTION("""COMPUTED_VALUE"""),"هیأت ")</f>
        <v>هیأت </v>
      </c>
      <c r="C3059" s="5" t="str">
        <f>IFERROR(__xludf.DUMMYFUNCTION("""COMPUTED_VALUE"""),"رزمندگان اسلام")</f>
        <v>رزمندگان اسلام</v>
      </c>
      <c r="D3059" s="5" t="str">
        <f>IFERROR(__xludf.DUMMYFUNCTION("""COMPUTED_VALUE"""),"خوزستان")</f>
        <v>خوزستان</v>
      </c>
      <c r="E3059" s="5" t="str">
        <f>IFERROR(__xludf.DUMMYFUNCTION("""COMPUTED_VALUE"""),"بندرماهشهر")</f>
        <v>بندرماهشهر</v>
      </c>
      <c r="F3059" s="5"/>
      <c r="G3059" s="5">
        <f>IFERROR(__xludf.DUMMYFUNCTION("""COMPUTED_VALUE"""),3.0)</f>
        <v>3</v>
      </c>
      <c r="H3059" s="5"/>
      <c r="I3059" s="5"/>
      <c r="J3059" s="6" t="str">
        <f>IFERROR(__xludf.DUMMYFUNCTION("""COMPUTED_VALUE"""),"https://eitaa.com/razmandeganmahshahr")</f>
        <v>https://eitaa.com/razmandeganmahshahr</v>
      </c>
      <c r="K3059" s="5"/>
      <c r="L3059" s="5"/>
      <c r="M3059" s="5"/>
      <c r="N3059" s="5"/>
      <c r="O3059" s="5"/>
      <c r="P3059" s="5"/>
      <c r="Q3059" s="5"/>
      <c r="R3059" s="5"/>
      <c r="S3059" s="5"/>
    </row>
    <row r="3060">
      <c r="A3060" s="5"/>
      <c r="B3060" s="5" t="str">
        <f>IFERROR(__xludf.DUMMYFUNCTION("""COMPUTED_VALUE"""),"هیأت")</f>
        <v>هیأت</v>
      </c>
      <c r="C3060" s="5" t="str">
        <f>IFERROR(__xludf.DUMMYFUNCTION("""COMPUTED_VALUE"""),"الرضا علیه السلام")</f>
        <v>الرضا علیه السلام</v>
      </c>
      <c r="D3060" s="5" t="str">
        <f>IFERROR(__xludf.DUMMYFUNCTION("""COMPUTED_VALUE"""),"خوزستان")</f>
        <v>خوزستان</v>
      </c>
      <c r="E3060" s="5" t="str">
        <f>IFERROR(__xludf.DUMMYFUNCTION("""COMPUTED_VALUE"""),"بهبهان")</f>
        <v>بهبهان</v>
      </c>
      <c r="F3060" s="5"/>
      <c r="G3060" s="5">
        <f>IFERROR(__xludf.DUMMYFUNCTION("""COMPUTED_VALUE"""),3.0)</f>
        <v>3</v>
      </c>
      <c r="H3060" s="6" t="str">
        <f>IFERROR(__xludf.DUMMYFUNCTION("""COMPUTED_VALUE"""),"https://www.instagram.com/heiatalreza_behbahan8")</f>
        <v>https://www.instagram.com/heiatalreza_behbahan8</v>
      </c>
      <c r="I3060" s="5"/>
      <c r="J3060" s="5"/>
      <c r="K3060" s="6" t="str">
        <f>IFERROR(__xludf.DUMMYFUNCTION("""COMPUTED_VALUE"""),"https://www.youtube.com/@heiatalreza_behbahan8")</f>
        <v>https://www.youtube.com/@heiatalreza_behbahan8</v>
      </c>
      <c r="L3060" s="5"/>
      <c r="M3060" s="5"/>
      <c r="N3060" s="5"/>
      <c r="O3060" s="5"/>
      <c r="P3060" s="5"/>
      <c r="Q3060" s="5"/>
      <c r="R3060" s="5"/>
      <c r="S3060" s="5"/>
    </row>
    <row r="3061">
      <c r="A3061" s="5"/>
      <c r="B3061" s="5" t="str">
        <f>IFERROR(__xludf.DUMMYFUNCTION("""COMPUTED_VALUE"""),"هیأت دانشجویی")</f>
        <v>هیأت دانشجویی</v>
      </c>
      <c r="C3061" s="5" t="str">
        <f>IFERROR(__xludf.DUMMYFUNCTION("""COMPUTED_VALUE"""),"بیت الزهرا")</f>
        <v>بیت الزهرا</v>
      </c>
      <c r="D3061" s="5" t="str">
        <f>IFERROR(__xludf.DUMMYFUNCTION("""COMPUTED_VALUE"""),"خوزستان")</f>
        <v>خوزستان</v>
      </c>
      <c r="E3061" s="5" t="str">
        <f>IFERROR(__xludf.DUMMYFUNCTION("""COMPUTED_VALUE"""),"بهبهان")</f>
        <v>بهبهان</v>
      </c>
      <c r="F3061" s="5" t="str">
        <f>IFERROR(__xludf.DUMMYFUNCTION("""COMPUTED_VALUE"""),"دانشگاه خاتم الانبیاء بهبهان")</f>
        <v>دانشگاه خاتم الانبیاء بهبهان</v>
      </c>
      <c r="G3061" s="5">
        <f>IFERROR(__xludf.DUMMYFUNCTION("""COMPUTED_VALUE"""),3.0)</f>
        <v>3</v>
      </c>
      <c r="H3061" s="6" t="str">
        <f>IFERROR(__xludf.DUMMYFUNCTION("""COMPUTED_VALUE"""),"https://www.instagram.com/heyat_bkatu")</f>
        <v>https://www.instagram.com/heyat_bkatu</v>
      </c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</row>
    <row r="3062">
      <c r="A3062" s="5"/>
      <c r="B3062" s="5" t="str">
        <f>IFERROR(__xludf.DUMMYFUNCTION("""COMPUTED_VALUE"""),"هیأت")</f>
        <v>هیأت</v>
      </c>
      <c r="C3062" s="5" t="str">
        <f>IFERROR(__xludf.DUMMYFUNCTION("""COMPUTED_VALUE"""),"جوانان حسینی")</f>
        <v>جوانان حسینی</v>
      </c>
      <c r="D3062" s="5" t="str">
        <f>IFERROR(__xludf.DUMMYFUNCTION("""COMPUTED_VALUE"""),"خوزستان")</f>
        <v>خوزستان</v>
      </c>
      <c r="E3062" s="5" t="str">
        <f>IFERROR(__xludf.DUMMYFUNCTION("""COMPUTED_VALUE"""),"بهبهان")</f>
        <v>بهبهان</v>
      </c>
      <c r="F3062" s="5"/>
      <c r="G3062" s="5">
        <f>IFERROR(__xludf.DUMMYFUNCTION("""COMPUTED_VALUE"""),3.0)</f>
        <v>3</v>
      </c>
      <c r="H3062" s="6" t="str">
        <f>IFERROR(__xludf.DUMMYFUNCTION("""COMPUTED_VALUE"""),"https://www.instagram.com/heyat.jh")</f>
        <v>https://www.instagram.com/heyat.jh</v>
      </c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</row>
    <row r="3063">
      <c r="A3063" s="5">
        <f>IFERROR(__xludf.DUMMYFUNCTION("""COMPUTED_VALUE"""),19717.0)</f>
        <v>19717</v>
      </c>
      <c r="B3063" s="5" t="str">
        <f>IFERROR(__xludf.DUMMYFUNCTION("""COMPUTED_VALUE"""),"هیأت")</f>
        <v>هیأت</v>
      </c>
      <c r="C3063" s="5" t="str">
        <f>IFERROR(__xludf.DUMMYFUNCTION("""COMPUTED_VALUE"""),"علمدار کربلا")</f>
        <v>علمدار کربلا</v>
      </c>
      <c r="D3063" s="5" t="str">
        <f>IFERROR(__xludf.DUMMYFUNCTION("""COMPUTED_VALUE"""),"خوزستان")</f>
        <v>خوزستان</v>
      </c>
      <c r="E3063" s="5" t="str">
        <f>IFERROR(__xludf.DUMMYFUNCTION("""COMPUTED_VALUE"""),"بهبهان")</f>
        <v>بهبهان</v>
      </c>
      <c r="F3063" s="5"/>
      <c r="G3063" s="5">
        <f>IFERROR(__xludf.DUMMYFUNCTION("""COMPUTED_VALUE"""),3.0)</f>
        <v>3</v>
      </c>
      <c r="H3063" s="6" t="str">
        <f>IFERROR(__xludf.DUMMYFUNCTION("""COMPUTED_VALUE"""),"https://www.instagram.com/alamdar_karbala_96/")</f>
        <v>https://www.instagram.com/alamdar_karbala_96/</v>
      </c>
      <c r="I3063" s="5"/>
      <c r="J3063" s="6" t="str">
        <f>IFERROR(__xludf.DUMMYFUNCTION("""COMPUTED_VALUE"""),"https://eitaa.com/alamdar_karbala_72")</f>
        <v>https://eitaa.com/alamdar_karbala_72</v>
      </c>
      <c r="K3063" s="5"/>
      <c r="L3063" s="5"/>
      <c r="M3063" s="5"/>
      <c r="N3063" s="5"/>
      <c r="O3063" s="5"/>
      <c r="P3063" s="5"/>
      <c r="Q3063" s="5"/>
      <c r="R3063" s="5"/>
      <c r="S3063" s="5"/>
    </row>
    <row r="3064">
      <c r="A3064" s="5"/>
      <c r="B3064" s="5" t="str">
        <f>IFERROR(__xludf.DUMMYFUNCTION("""COMPUTED_VALUE"""),"هیأت ")</f>
        <v>هیأت </v>
      </c>
      <c r="C3064" s="5" t="str">
        <f>IFERROR(__xludf.DUMMYFUNCTION("""COMPUTED_VALUE"""),"محبین قاسم بن الحسن (ع)")</f>
        <v>محبین قاسم بن الحسن (ع)</v>
      </c>
      <c r="D3064" s="5" t="str">
        <f>IFERROR(__xludf.DUMMYFUNCTION("""COMPUTED_VALUE"""),"خوزستان")</f>
        <v>خوزستان</v>
      </c>
      <c r="E3064" s="5" t="str">
        <f>IFERROR(__xludf.DUMMYFUNCTION("""COMPUTED_VALUE"""),"بهبهان")</f>
        <v>بهبهان</v>
      </c>
      <c r="F3064" s="5"/>
      <c r="G3064" s="5">
        <f>IFERROR(__xludf.DUMMYFUNCTION("""COMPUTED_VALUE"""),3.0)</f>
        <v>3</v>
      </c>
      <c r="H3064" s="5"/>
      <c r="I3064" s="5"/>
      <c r="J3064" s="6" t="str">
        <f>IFERROR(__xludf.DUMMYFUNCTION("""COMPUTED_VALUE"""),"https://eitaa.com/ghasemiyon")</f>
        <v>https://eitaa.com/ghasemiyon</v>
      </c>
      <c r="K3064" s="5"/>
      <c r="L3064" s="5"/>
      <c r="M3064" s="5"/>
      <c r="N3064" s="5"/>
      <c r="O3064" s="5"/>
      <c r="P3064" s="5"/>
      <c r="Q3064" s="5"/>
      <c r="R3064" s="5"/>
      <c r="S3064" s="5"/>
    </row>
    <row r="3065">
      <c r="A3065" s="5"/>
      <c r="B3065" s="5" t="str">
        <f>IFERROR(__xludf.DUMMYFUNCTION("""COMPUTED_VALUE"""),"هیأت")</f>
        <v>هیأت</v>
      </c>
      <c r="C3065" s="5" t="str">
        <f>IFERROR(__xludf.DUMMYFUNCTION("""COMPUTED_VALUE"""),"محل کاروانسرا")</f>
        <v>محل کاروانسرا</v>
      </c>
      <c r="D3065" s="5" t="str">
        <f>IFERROR(__xludf.DUMMYFUNCTION("""COMPUTED_VALUE"""),"خوزستان")</f>
        <v>خوزستان</v>
      </c>
      <c r="E3065" s="5" t="str">
        <f>IFERROR(__xludf.DUMMYFUNCTION("""COMPUTED_VALUE"""),"بهبهان")</f>
        <v>بهبهان</v>
      </c>
      <c r="F3065" s="5"/>
      <c r="G3065" s="5">
        <f>IFERROR(__xludf.DUMMYFUNCTION("""COMPUTED_VALUE"""),3.0)</f>
        <v>3</v>
      </c>
      <c r="H3065" s="6" t="str">
        <f>IFERROR(__xludf.DUMMYFUNCTION("""COMPUTED_VALUE"""),"https://www.instagram.com/mahale_karsara")</f>
        <v>https://www.instagram.com/mahale_karsara</v>
      </c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</row>
    <row r="3066">
      <c r="A3066" s="5"/>
      <c r="B3066" s="5" t="str">
        <f>IFERROR(__xludf.DUMMYFUNCTION("""COMPUTED_VALUE"""),"هیأت")</f>
        <v>هیأت</v>
      </c>
      <c r="C3066" s="5" t="str">
        <f>IFERROR(__xludf.DUMMYFUNCTION("""COMPUTED_VALUE"""),"زینبیون")</f>
        <v>زینبیون</v>
      </c>
      <c r="D3066" s="5" t="str">
        <f>IFERROR(__xludf.DUMMYFUNCTION("""COMPUTED_VALUE"""),"خوزستان")</f>
        <v>خوزستان</v>
      </c>
      <c r="E3066" s="5" t="str">
        <f>IFERROR(__xludf.DUMMYFUNCTION("""COMPUTED_VALUE"""),"آبادان")</f>
        <v>آبادان</v>
      </c>
      <c r="F3066" s="5"/>
      <c r="G3066" s="5">
        <f>IFERROR(__xludf.DUMMYFUNCTION("""COMPUTED_VALUE"""),4.0)</f>
        <v>4</v>
      </c>
      <c r="H3066" s="6" t="str">
        <f>IFERROR(__xludf.DUMMYFUNCTION("""COMPUTED_VALUE"""),"https://www.instagram.com/zeynabiyon_ab")</f>
        <v>https://www.instagram.com/zeynabiyon_ab</v>
      </c>
      <c r="I3066" s="6" t="str">
        <f>IFERROR(__xludf.DUMMYFUNCTION("""COMPUTED_VALUE"""),"https://t.me/zeynabiyon_ab")</f>
        <v>https://t.me/zeynabiyon_ab</v>
      </c>
      <c r="J3066" s="6" t="str">
        <f>IFERROR(__xludf.DUMMYFUNCTION("""COMPUTED_VALUE"""),"https://eitaa.com/s/zeynabiyon_ab")</f>
        <v>https://eitaa.com/s/zeynabiyon_ab</v>
      </c>
      <c r="K3066" s="5"/>
      <c r="L3066" s="5"/>
      <c r="M3066" s="5"/>
      <c r="N3066" s="5"/>
      <c r="O3066" s="5"/>
      <c r="P3066" s="5"/>
      <c r="Q3066" s="5"/>
      <c r="R3066" s="5"/>
      <c r="S3066" s="5"/>
    </row>
    <row r="3067">
      <c r="A3067" s="5">
        <f>IFERROR(__xludf.DUMMYFUNCTION("""COMPUTED_VALUE"""),29801.0)</f>
        <v>29801</v>
      </c>
      <c r="B3067" s="5" t="str">
        <f>IFERROR(__xludf.DUMMYFUNCTION("""COMPUTED_VALUE"""),"هیأت")</f>
        <v>هیأت</v>
      </c>
      <c r="C3067" s="5" t="str">
        <f>IFERROR(__xludf.DUMMYFUNCTION("""COMPUTED_VALUE"""),"باب الحوایج موسی بن جعفر (ع)")</f>
        <v>باب الحوایج موسی بن جعفر (ع)</v>
      </c>
      <c r="D3067" s="5" t="str">
        <f>IFERROR(__xludf.DUMMYFUNCTION("""COMPUTED_VALUE"""),"خوزستان")</f>
        <v>خوزستان</v>
      </c>
      <c r="E3067" s="5" t="str">
        <f>IFERROR(__xludf.DUMMYFUNCTION("""COMPUTED_VALUE"""),"آغاجاری")</f>
        <v>آغاجاری</v>
      </c>
      <c r="F3067" s="5"/>
      <c r="G3067" s="5">
        <f>IFERROR(__xludf.DUMMYFUNCTION("""COMPUTED_VALUE"""),4.0)</f>
        <v>4</v>
      </c>
      <c r="H3067" s="6" t="str">
        <f>IFERROR(__xludf.DUMMYFUNCTION("""COMPUTED_VALUE"""),"https://www.instagram.com/babalhavaej1384/")</f>
        <v>https://www.instagram.com/babalhavaej1384/</v>
      </c>
      <c r="I3067" s="6" t="str">
        <f>IFERROR(__xludf.DUMMYFUNCTION("""COMPUTED_VALUE"""),"https://t.me/babalhavaejj1384")</f>
        <v>https://t.me/babalhavaejj1384</v>
      </c>
      <c r="J3067" s="5"/>
      <c r="K3067" s="5"/>
      <c r="L3067" s="5"/>
      <c r="M3067" s="5"/>
      <c r="N3067" s="5"/>
      <c r="O3067" s="5"/>
      <c r="P3067" s="5"/>
      <c r="Q3067" s="5"/>
      <c r="R3067" s="5"/>
      <c r="S3067" s="5"/>
    </row>
    <row r="3068">
      <c r="A3068" s="5">
        <f>IFERROR(__xludf.DUMMYFUNCTION("""COMPUTED_VALUE"""),29823.0)</f>
        <v>29823</v>
      </c>
      <c r="B3068" s="5" t="str">
        <f>IFERROR(__xludf.DUMMYFUNCTION("""COMPUTED_VALUE"""),"هیأت")</f>
        <v>هیأت</v>
      </c>
      <c r="C3068" s="5" t="str">
        <f>IFERROR(__xludf.DUMMYFUNCTION("""COMPUTED_VALUE"""),"انصار")</f>
        <v>انصار</v>
      </c>
      <c r="D3068" s="5" t="str">
        <f>IFERROR(__xludf.DUMMYFUNCTION("""COMPUTED_VALUE"""),"خوزستان")</f>
        <v>خوزستان</v>
      </c>
      <c r="E3068" s="5" t="str">
        <f>IFERROR(__xludf.DUMMYFUNCTION("""COMPUTED_VALUE"""),"امیدیه")</f>
        <v>امیدیه</v>
      </c>
      <c r="F3068" s="5"/>
      <c r="G3068" s="5">
        <f>IFERROR(__xludf.DUMMYFUNCTION("""COMPUTED_VALUE"""),4.0)</f>
        <v>4</v>
      </c>
      <c r="H3068" s="6" t="str">
        <f>IFERROR(__xludf.DUMMYFUNCTION("""COMPUTED_VALUE"""),"https://www.instagram.com/heat.ansar/")</f>
        <v>https://www.instagram.com/heat.ansar/</v>
      </c>
      <c r="I3068" s="5"/>
      <c r="J3068" s="5"/>
      <c r="K3068" s="5" t="str">
        <f>IFERROR(__xludf.DUMMYFUNCTION("""COMPUTED_VALUE"""),"heat_ansar")</f>
        <v>heat_ansar</v>
      </c>
      <c r="L3068" s="5"/>
      <c r="M3068" s="5"/>
      <c r="N3068" s="5"/>
      <c r="O3068" s="5"/>
      <c r="P3068" s="5"/>
      <c r="Q3068" s="5"/>
      <c r="R3068" s="5"/>
      <c r="S3068" s="5"/>
    </row>
    <row r="3069">
      <c r="A3069" s="5"/>
      <c r="B3069" s="5" t="str">
        <f>IFERROR(__xludf.DUMMYFUNCTION("""COMPUTED_VALUE"""),"هیأت")</f>
        <v>هیأت</v>
      </c>
      <c r="C3069" s="5" t="str">
        <f>IFERROR(__xludf.DUMMYFUNCTION("""COMPUTED_VALUE"""),"ابوالقضل العباس")</f>
        <v>ابوالقضل العباس</v>
      </c>
      <c r="D3069" s="5" t="str">
        <f>IFERROR(__xludf.DUMMYFUNCTION("""COMPUTED_VALUE"""),"خوزستان")</f>
        <v>خوزستان</v>
      </c>
      <c r="E3069" s="5" t="str">
        <f>IFERROR(__xludf.DUMMYFUNCTION("""COMPUTED_VALUE"""),"اهواز")</f>
        <v>اهواز</v>
      </c>
      <c r="F3069" s="5"/>
      <c r="G3069" s="5">
        <f>IFERROR(__xludf.DUMMYFUNCTION("""COMPUTED_VALUE"""),4.0)</f>
        <v>4</v>
      </c>
      <c r="H3069" s="6" t="str">
        <f>IFERROR(__xludf.DUMMYFUNCTION("""COMPUTED_VALUE"""),"https://www.instagram.com/ahvz_heyat/")</f>
        <v>https://www.instagram.com/ahvz_heyat/</v>
      </c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</row>
    <row r="3070">
      <c r="A3070" s="5"/>
      <c r="B3070" s="5" t="str">
        <f>IFERROR(__xludf.DUMMYFUNCTION("""COMPUTED_VALUE"""),"هیأت")</f>
        <v>هیأت</v>
      </c>
      <c r="C3070" s="5" t="str">
        <f>IFERROR(__xludf.DUMMYFUNCTION("""COMPUTED_VALUE"""),"امام حسین")</f>
        <v>امام حسین</v>
      </c>
      <c r="D3070" s="5" t="str">
        <f>IFERROR(__xludf.DUMMYFUNCTION("""COMPUTED_VALUE"""),"خوزستان")</f>
        <v>خوزستان</v>
      </c>
      <c r="E3070" s="5" t="str">
        <f>IFERROR(__xludf.DUMMYFUNCTION("""COMPUTED_VALUE"""),"اهواز")</f>
        <v>اهواز</v>
      </c>
      <c r="F3070" s="5"/>
      <c r="G3070" s="5">
        <f>IFERROR(__xludf.DUMMYFUNCTION("""COMPUTED_VALUE"""),4.0)</f>
        <v>4</v>
      </c>
      <c r="H3070" s="6" t="str">
        <f>IFERROR(__xludf.DUMMYFUNCTION("""COMPUTED_VALUE"""),"https://www.instagram.com/imamhussain_ahvaz/")</f>
        <v>https://www.instagram.com/imamhussain_ahvaz/</v>
      </c>
      <c r="I3070" s="6" t="str">
        <f>IFERROR(__xludf.DUMMYFUNCTION("""COMPUTED_VALUE"""),"https://t.me/imamhussain_ahvaz")</f>
        <v>https://t.me/imamhussain_ahvaz</v>
      </c>
      <c r="J3070" s="6" t="str">
        <f>IFERROR(__xludf.DUMMYFUNCTION("""COMPUTED_VALUE"""),"https://eitaa.com/imamhussain_ahvaz")</f>
        <v>https://eitaa.com/imamhussain_ahvaz</v>
      </c>
      <c r="K3070" s="5"/>
      <c r="L3070" s="5"/>
      <c r="M3070" s="5"/>
      <c r="N3070" s="5"/>
      <c r="O3070" s="5"/>
      <c r="P3070" s="5"/>
      <c r="Q3070" s="5"/>
      <c r="R3070" s="5"/>
      <c r="S3070" s="5"/>
    </row>
    <row r="3071">
      <c r="A3071" s="5">
        <f>IFERROR(__xludf.DUMMYFUNCTION("""COMPUTED_VALUE"""),21322.0)</f>
        <v>21322</v>
      </c>
      <c r="B3071" s="5" t="str">
        <f>IFERROR(__xludf.DUMMYFUNCTION("""COMPUTED_VALUE"""),"هیأت")</f>
        <v>هیأت</v>
      </c>
      <c r="C3071" s="5" t="str">
        <f>IFERROR(__xludf.DUMMYFUNCTION("""COMPUTED_VALUE"""),"انصارالحجه (عج)")</f>
        <v>انصارالحجه (عج)</v>
      </c>
      <c r="D3071" s="5" t="str">
        <f>IFERROR(__xludf.DUMMYFUNCTION("""COMPUTED_VALUE"""),"خوزستان")</f>
        <v>خوزستان</v>
      </c>
      <c r="E3071" s="5" t="str">
        <f>IFERROR(__xludf.DUMMYFUNCTION("""COMPUTED_VALUE"""),"اهواز")</f>
        <v>اهواز</v>
      </c>
      <c r="F3071" s="5"/>
      <c r="G3071" s="5">
        <f>IFERROR(__xludf.DUMMYFUNCTION("""COMPUTED_VALUE"""),4.0)</f>
        <v>4</v>
      </c>
      <c r="H3071" s="6" t="str">
        <f>IFERROR(__xludf.DUMMYFUNCTION("""COMPUTED_VALUE"""),"https://www.instagram.com/ansaralhojah")</f>
        <v>https://www.instagram.com/ansaralhojah</v>
      </c>
      <c r="I3071" s="6" t="str">
        <f>IFERROR(__xludf.DUMMYFUNCTION("""COMPUTED_VALUE"""),"https://t.me/ansaralhojah1")</f>
        <v>https://t.me/ansaralhojah1</v>
      </c>
      <c r="J3071" s="6" t="str">
        <f>IFERROR(__xludf.DUMMYFUNCTION("""COMPUTED_VALUE"""),"https://eitaa.com/Ansar_alhojah")</f>
        <v>https://eitaa.com/Ansar_alhojah</v>
      </c>
      <c r="K3071" s="5"/>
      <c r="L3071" s="5"/>
      <c r="M3071" s="5"/>
      <c r="N3071" s="5"/>
      <c r="O3071" s="5"/>
      <c r="P3071" s="5"/>
      <c r="Q3071" s="5"/>
      <c r="R3071" s="5"/>
      <c r="S3071" s="5"/>
    </row>
    <row r="3072">
      <c r="A3072" s="5"/>
      <c r="B3072" s="5" t="str">
        <f>IFERROR(__xludf.DUMMYFUNCTION("""COMPUTED_VALUE"""),"هیأت")</f>
        <v>هیأت</v>
      </c>
      <c r="C3072" s="5" t="str">
        <f>IFERROR(__xludf.DUMMYFUNCTION("""COMPUTED_VALUE"""),"بیت العباس")</f>
        <v>بیت العباس</v>
      </c>
      <c r="D3072" s="5" t="str">
        <f>IFERROR(__xludf.DUMMYFUNCTION("""COMPUTED_VALUE"""),"خوزستان")</f>
        <v>خوزستان</v>
      </c>
      <c r="E3072" s="5" t="str">
        <f>IFERROR(__xludf.DUMMYFUNCTION("""COMPUTED_VALUE"""),"اهواز")</f>
        <v>اهواز</v>
      </c>
      <c r="F3072" s="5"/>
      <c r="G3072" s="5">
        <f>IFERROR(__xludf.DUMMYFUNCTION("""COMPUTED_VALUE"""),4.0)</f>
        <v>4</v>
      </c>
      <c r="H3072" s="6" t="str">
        <f>IFERROR(__xludf.DUMMYFUNCTION("""COMPUTED_VALUE"""),"https://www.instagram.com/kafil_net")</f>
        <v>https://www.instagram.com/kafil_net</v>
      </c>
      <c r="I3072" s="6" t="str">
        <f>IFERROR(__xludf.DUMMYFUNCTION("""COMPUTED_VALUE"""),"https://t.me/kafil_net")</f>
        <v>https://t.me/kafil_net</v>
      </c>
      <c r="J3072" s="6" t="str">
        <f>IFERROR(__xludf.DUMMYFUNCTION("""COMPUTED_VALUE"""),"https://eitaa.com/kafil_net")</f>
        <v>https://eitaa.com/kafil_net</v>
      </c>
      <c r="K3072" s="5"/>
      <c r="L3072" s="5"/>
      <c r="M3072" s="5"/>
      <c r="N3072" s="5"/>
      <c r="O3072" s="5"/>
      <c r="P3072" s="5"/>
      <c r="Q3072" s="5"/>
      <c r="R3072" s="5"/>
      <c r="S3072" s="5"/>
    </row>
    <row r="3073">
      <c r="A3073" s="5"/>
      <c r="B3073" s="5" t="str">
        <f>IFERROR(__xludf.DUMMYFUNCTION("""COMPUTED_VALUE"""),"هیأت")</f>
        <v>هیأت</v>
      </c>
      <c r="C3073" s="5" t="str">
        <f>IFERROR(__xludf.DUMMYFUNCTION("""COMPUTED_VALUE"""),"جنة المجتبی")</f>
        <v>جنة المجتبی</v>
      </c>
      <c r="D3073" s="5" t="str">
        <f>IFERROR(__xludf.DUMMYFUNCTION("""COMPUTED_VALUE"""),"خوزستان")</f>
        <v>خوزستان</v>
      </c>
      <c r="E3073" s="5" t="str">
        <f>IFERROR(__xludf.DUMMYFUNCTION("""COMPUTED_VALUE"""),"اهواز")</f>
        <v>اهواز</v>
      </c>
      <c r="F3073" s="5"/>
      <c r="G3073" s="5">
        <f>IFERROR(__xludf.DUMMYFUNCTION("""COMPUTED_VALUE"""),4.0)</f>
        <v>4</v>
      </c>
      <c r="H3073" s="6" t="str">
        <f>IFERROR(__xludf.DUMMYFUNCTION("""COMPUTED_VALUE"""),"https://www.instagram.com/janat_al_mojtaba")</f>
        <v>https://www.instagram.com/janat_al_mojtaba</v>
      </c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</row>
    <row r="3074">
      <c r="A3074" s="5"/>
      <c r="B3074" s="5" t="str">
        <f>IFERROR(__xludf.DUMMYFUNCTION("""COMPUTED_VALUE"""),"هیأت")</f>
        <v>هیأت</v>
      </c>
      <c r="C3074" s="5" t="str">
        <f>IFERROR(__xludf.DUMMYFUNCTION("""COMPUTED_VALUE"""),"جوانان بنی هاشم")</f>
        <v>جوانان بنی هاشم</v>
      </c>
      <c r="D3074" s="5" t="str">
        <f>IFERROR(__xludf.DUMMYFUNCTION("""COMPUTED_VALUE"""),"خوزستان")</f>
        <v>خوزستان</v>
      </c>
      <c r="E3074" s="5" t="str">
        <f>IFERROR(__xludf.DUMMYFUNCTION("""COMPUTED_VALUE"""),"اهواز")</f>
        <v>اهواز</v>
      </c>
      <c r="F3074" s="5"/>
      <c r="G3074" s="5">
        <f>IFERROR(__xludf.DUMMYFUNCTION("""COMPUTED_VALUE"""),4.0)</f>
        <v>4</v>
      </c>
      <c r="H3074" s="6" t="str">
        <f>IFERROR(__xludf.DUMMYFUNCTION("""COMPUTED_VALUE"""),"https://www.instagram.com/javanan_ahwaz/")</f>
        <v>https://www.instagram.com/javanan_ahwaz/</v>
      </c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</row>
    <row r="3075">
      <c r="A3075" s="5">
        <f>IFERROR(__xludf.DUMMYFUNCTION("""COMPUTED_VALUE"""),32870.0)</f>
        <v>32870</v>
      </c>
      <c r="B3075" s="5" t="str">
        <f>IFERROR(__xludf.DUMMYFUNCTION("""COMPUTED_VALUE"""),"هیأت")</f>
        <v>هیأت</v>
      </c>
      <c r="C3075" s="5" t="str">
        <f>IFERROR(__xludf.DUMMYFUNCTION("""COMPUTED_VALUE"""),"حضرت صاحب الامر (عج)")</f>
        <v>حضرت صاحب الامر (عج)</v>
      </c>
      <c r="D3075" s="5" t="str">
        <f>IFERROR(__xludf.DUMMYFUNCTION("""COMPUTED_VALUE"""),"خوزستان")</f>
        <v>خوزستان</v>
      </c>
      <c r="E3075" s="5" t="str">
        <f>IFERROR(__xludf.DUMMYFUNCTION("""COMPUTED_VALUE"""),"اهواز")</f>
        <v>اهواز</v>
      </c>
      <c r="F3075" s="5" t="str">
        <f>IFERROR(__xludf.DUMMYFUNCTION("""COMPUTED_VALUE"""),"اهـواز آخراسفالت سمت رودخانه نبش خ نشان بیـت الـرقـیه سلام الله علیها")</f>
        <v>اهـواز آخراسفالت سمت رودخانه نبش خ نشان بیـت الـرقـیه سلام الله علیها</v>
      </c>
      <c r="G3075" s="5">
        <f>IFERROR(__xludf.DUMMYFUNCTION("""COMPUTED_VALUE"""),4.0)</f>
        <v>4</v>
      </c>
      <c r="H3075" s="6" t="str">
        <f>IFERROR(__xludf.DUMMYFUNCTION("""COMPUTED_VALUE"""),"https://www.instagram.com/saheb_alamr313/")</f>
        <v>https://www.instagram.com/saheb_alamr313/</v>
      </c>
      <c r="I3075" s="5"/>
      <c r="J3075" s="5"/>
      <c r="K3075" s="5"/>
      <c r="L3075" s="6" t="str">
        <f>IFERROR(__xludf.DUMMYFUNCTION("""COMPUTED_VALUE"""),"aparat.com/sakha313")</f>
        <v>aparat.com/sakha313</v>
      </c>
      <c r="M3075" s="5"/>
      <c r="N3075" s="5"/>
      <c r="O3075" s="5"/>
      <c r="P3075" s="5"/>
      <c r="Q3075" s="5"/>
      <c r="R3075" s="5"/>
      <c r="S3075" s="5"/>
    </row>
    <row r="3076">
      <c r="A3076" s="5"/>
      <c r="B3076" s="5" t="str">
        <f>IFERROR(__xludf.DUMMYFUNCTION("""COMPUTED_VALUE"""),"هیأت")</f>
        <v>هیأت</v>
      </c>
      <c r="C3076" s="5" t="str">
        <f>IFERROR(__xludf.DUMMYFUNCTION("""COMPUTED_VALUE"""),"خادم الرضا")</f>
        <v>خادم الرضا</v>
      </c>
      <c r="D3076" s="5" t="str">
        <f>IFERROR(__xludf.DUMMYFUNCTION("""COMPUTED_VALUE"""),"خوزستان")</f>
        <v>خوزستان</v>
      </c>
      <c r="E3076" s="5" t="str">
        <f>IFERROR(__xludf.DUMMYFUNCTION("""COMPUTED_VALUE"""),"اهواز")</f>
        <v>اهواز</v>
      </c>
      <c r="F3076" s="5"/>
      <c r="G3076" s="5">
        <f>IFERROR(__xludf.DUMMYFUNCTION("""COMPUTED_VALUE"""),4.0)</f>
        <v>4</v>
      </c>
      <c r="H3076" s="6" t="str">
        <f>IFERROR(__xludf.DUMMYFUNCTION("""COMPUTED_VALUE"""),"https://www.instagram.com/khadem_olreza/")</f>
        <v>https://www.instagram.com/khadem_olreza/</v>
      </c>
      <c r="I3076" s="6" t="str">
        <f>IFERROR(__xludf.DUMMYFUNCTION("""COMPUTED_VALUE"""),"https://t.me/khadem_olreza")</f>
        <v>https://t.me/khadem_olreza</v>
      </c>
      <c r="J3076" s="6" t="str">
        <f>IFERROR(__xludf.DUMMYFUNCTION("""COMPUTED_VALUE"""),"https://eitaa.com/kanal_KHADEMO_REZA")</f>
        <v>https://eitaa.com/kanal_KHADEMO_REZA</v>
      </c>
      <c r="K3076" s="5"/>
      <c r="L3076" s="5"/>
      <c r="M3076" s="5"/>
      <c r="N3076" s="5"/>
      <c r="O3076" s="5"/>
      <c r="P3076" s="5"/>
      <c r="Q3076" s="5"/>
      <c r="R3076" s="5"/>
      <c r="S3076" s="5"/>
    </row>
    <row r="3077">
      <c r="A3077" s="5"/>
      <c r="B3077" s="5" t="str">
        <f>IFERROR(__xludf.DUMMYFUNCTION("""COMPUTED_VALUE"""),"هیأت")</f>
        <v>هیأت</v>
      </c>
      <c r="C3077" s="5" t="str">
        <f>IFERROR(__xludf.DUMMYFUNCTION("""COMPUTED_VALUE"""),"خدام العباس")</f>
        <v>خدام العباس</v>
      </c>
      <c r="D3077" s="5" t="str">
        <f>IFERROR(__xludf.DUMMYFUNCTION("""COMPUTED_VALUE"""),"خوزستان")</f>
        <v>خوزستان</v>
      </c>
      <c r="E3077" s="5" t="str">
        <f>IFERROR(__xludf.DUMMYFUNCTION("""COMPUTED_VALUE"""),"اهواز")</f>
        <v>اهواز</v>
      </c>
      <c r="F3077" s="5"/>
      <c r="G3077" s="5">
        <f>IFERROR(__xludf.DUMMYFUNCTION("""COMPUTED_VALUE"""),4.0)</f>
        <v>4</v>
      </c>
      <c r="H3077" s="6" t="str">
        <f>IFERROR(__xludf.DUMMYFUNCTION("""COMPUTED_VALUE"""),"https://www.instagram.com/khodamolabas/")</f>
        <v>https://www.instagram.com/khodamolabas/</v>
      </c>
      <c r="I3077" s="6" t="str">
        <f>IFERROR(__xludf.DUMMYFUNCTION("""COMPUTED_VALUE"""),"https://t.me/khodamolabas_ir")</f>
        <v>https://t.me/khodamolabas_ir</v>
      </c>
      <c r="J3077" s="6" t="str">
        <f>IFERROR(__xludf.DUMMYFUNCTION("""COMPUTED_VALUE"""),"https://eitaa.com/khodamolabas_ir")</f>
        <v>https://eitaa.com/khodamolabas_ir</v>
      </c>
      <c r="K3077" s="5"/>
      <c r="L3077" s="5"/>
      <c r="M3077" s="5"/>
      <c r="N3077" s="5"/>
      <c r="O3077" s="5"/>
      <c r="P3077" s="5"/>
      <c r="Q3077" s="5"/>
      <c r="R3077" s="5"/>
      <c r="S3077" s="5"/>
    </row>
    <row r="3078">
      <c r="A3078" s="5"/>
      <c r="B3078" s="5" t="str">
        <f>IFERROR(__xludf.DUMMYFUNCTION("""COMPUTED_VALUE"""),"هیأت")</f>
        <v>هیأت</v>
      </c>
      <c r="C3078" s="5" t="str">
        <f>IFERROR(__xludf.DUMMYFUNCTION("""COMPUTED_VALUE"""),"خدمةالزهرا")</f>
        <v>خدمةالزهرا</v>
      </c>
      <c r="D3078" s="5" t="str">
        <f>IFERROR(__xludf.DUMMYFUNCTION("""COMPUTED_VALUE"""),"خوزستان")</f>
        <v>خوزستان</v>
      </c>
      <c r="E3078" s="5" t="str">
        <f>IFERROR(__xludf.DUMMYFUNCTION("""COMPUTED_VALUE"""),"اهواز")</f>
        <v>اهواز</v>
      </c>
      <c r="F3078" s="5"/>
      <c r="G3078" s="5">
        <f>IFERROR(__xludf.DUMMYFUNCTION("""COMPUTED_VALUE"""),4.0)</f>
        <v>4</v>
      </c>
      <c r="H3078" s="6" t="str">
        <f>IFERROR(__xludf.DUMMYFUNCTION("""COMPUTED_VALUE"""),"https://www.instagram.com/alfatemiyon313")</f>
        <v>https://www.instagram.com/alfatemiyon313</v>
      </c>
      <c r="I3078" s="6" t="str">
        <f>IFERROR(__xludf.DUMMYFUNCTION("""COMPUTED_VALUE"""),"https://t.me/alfatemiyon313")</f>
        <v>https://t.me/alfatemiyon313</v>
      </c>
      <c r="J3078" s="5"/>
      <c r="K3078" s="6" t="str">
        <f>IFERROR(__xludf.DUMMYFUNCTION("""COMPUTED_VALUE"""),"https://www.youtube.com/@alfatemiyon313")</f>
        <v>https://www.youtube.com/@alfatemiyon313</v>
      </c>
      <c r="L3078" s="5"/>
      <c r="M3078" s="5"/>
      <c r="N3078" s="5"/>
      <c r="O3078" s="5"/>
      <c r="P3078" s="5"/>
      <c r="Q3078" s="5"/>
      <c r="R3078" s="5"/>
      <c r="S3078" s="5"/>
    </row>
    <row r="3079">
      <c r="A3079" s="5">
        <f>IFERROR(__xludf.DUMMYFUNCTION("""COMPUTED_VALUE"""),20835.0)</f>
        <v>20835</v>
      </c>
      <c r="B3079" s="5" t="str">
        <f>IFERROR(__xludf.DUMMYFUNCTION("""COMPUTED_VALUE"""),"هیأت")</f>
        <v>هیأت</v>
      </c>
      <c r="C3079" s="5" t="str">
        <f>IFERROR(__xludf.DUMMYFUNCTION("""COMPUTED_VALUE"""),"رایه المهدی (عج)")</f>
        <v>رایه المهدی (عج)</v>
      </c>
      <c r="D3079" s="5" t="str">
        <f>IFERROR(__xludf.DUMMYFUNCTION("""COMPUTED_VALUE"""),"خوزستان")</f>
        <v>خوزستان</v>
      </c>
      <c r="E3079" s="5" t="str">
        <f>IFERROR(__xludf.DUMMYFUNCTION("""COMPUTED_VALUE"""),"اهواز")</f>
        <v>اهواز</v>
      </c>
      <c r="F3079" s="5"/>
      <c r="G3079" s="5">
        <f>IFERROR(__xludf.DUMMYFUNCTION("""COMPUTED_VALUE"""),4.0)</f>
        <v>4</v>
      </c>
      <c r="H3079" s="6" t="str">
        <f>IFERROR(__xludf.DUMMYFUNCTION("""COMPUTED_VALUE"""),"https://www.instagram.com/rayatolmahdi59/")</f>
        <v>https://www.instagram.com/rayatolmahdi59/</v>
      </c>
      <c r="I3079" s="6" t="str">
        <f>IFERROR(__xludf.DUMMYFUNCTION("""COMPUTED_VALUE"""),"https://l.instagram.com/?u=http%3A%2F%2Ft.me%2FRayatolmahdi59%3Ffbclid%3DPAZXh0bgNhZW0CMTEAAacN7y4NdLP-9voQaD-FUVBKIVBiIfFosC6nrkhfDJZhbJWElWUokIoCpszlEg_aem_gYV8DtTKGAIqOEXVa_eRrA&amp;e=AT2RCNvnIJXsrz-VW5kMot_obCreEwBfIIndq10dKEjpgMeQg111CfUAJNs_by-nEwvvusqI"&amp;"1VCP2wdSobHiZCz7NZIoa2THgS5NfwY")</f>
        <v>https://l.instagram.com/?u=http%3A%2F%2Ft.me%2FRayatolmahdi59%3Ffbclid%3DPAZXh0bgNhZW0CMTEAAacN7y4NdLP-9voQaD-FUVBKIVBiIfFosC6nrkhfDJZhbJWElWUokIoCpszlEg_aem_gYV8DtTKGAIqOEXVa_eRrA&amp;e=AT2RCNvnIJXsrz-VW5kMot_obCreEwBfIIndq10dKEjpgMeQg111CfUAJNs_by-nEwvvusqI1VCP2wdSobHiZCz7NZIoa2THgS5NfwY</v>
      </c>
      <c r="J3079" s="5"/>
      <c r="K3079" s="5"/>
      <c r="L3079" s="5"/>
      <c r="M3079" s="5"/>
      <c r="N3079" s="5"/>
      <c r="O3079" s="5"/>
      <c r="P3079" s="5"/>
      <c r="Q3079" s="5"/>
      <c r="R3079" s="5"/>
      <c r="S3079" s="5"/>
    </row>
    <row r="3080">
      <c r="A3080" s="5">
        <f>IFERROR(__xludf.DUMMYFUNCTION("""COMPUTED_VALUE"""),20731.0)</f>
        <v>20731</v>
      </c>
      <c r="B3080" s="5" t="str">
        <f>IFERROR(__xludf.DUMMYFUNCTION("""COMPUTED_VALUE"""),"هیأت")</f>
        <v>هیأت</v>
      </c>
      <c r="C3080" s="5" t="str">
        <f>IFERROR(__xludf.DUMMYFUNCTION("""COMPUTED_VALUE"""),"سیده زینب (س)")</f>
        <v>سیده زینب (س)</v>
      </c>
      <c r="D3080" s="5" t="str">
        <f>IFERROR(__xludf.DUMMYFUNCTION("""COMPUTED_VALUE"""),"خوزستان")</f>
        <v>خوزستان</v>
      </c>
      <c r="E3080" s="5" t="str">
        <f>IFERROR(__xludf.DUMMYFUNCTION("""COMPUTED_VALUE"""),"اهواز")</f>
        <v>اهواز</v>
      </c>
      <c r="F3080" s="5"/>
      <c r="G3080" s="5">
        <f>IFERROR(__xludf.DUMMYFUNCTION("""COMPUTED_VALUE"""),4.0)</f>
        <v>4</v>
      </c>
      <c r="H3080" s="6" t="str">
        <f>IFERROR(__xludf.DUMMYFUNCTION("""COMPUTED_VALUE"""),"https://www.instagram.com/seyedehzeinab_ahwaz/")</f>
        <v>https://www.instagram.com/seyedehzeinab_ahwaz/</v>
      </c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</row>
    <row r="3081">
      <c r="A3081" s="5"/>
      <c r="B3081" s="5" t="str">
        <f>IFERROR(__xludf.DUMMYFUNCTION("""COMPUTED_VALUE"""),"مسجد")</f>
        <v>مسجد</v>
      </c>
      <c r="C3081" s="5" t="str">
        <f>IFERROR(__xludf.DUMMYFUNCTION("""COMPUTED_VALUE"""),"صاحب الزمان(عج)")</f>
        <v>صاحب الزمان(عج)</v>
      </c>
      <c r="D3081" s="5" t="str">
        <f>IFERROR(__xludf.DUMMYFUNCTION("""COMPUTED_VALUE"""),"خوزستان")</f>
        <v>خوزستان</v>
      </c>
      <c r="E3081" s="5" t="str">
        <f>IFERROR(__xludf.DUMMYFUNCTION("""COMPUTED_VALUE"""),"اهواز")</f>
        <v>اهواز</v>
      </c>
      <c r="F3081" s="5"/>
      <c r="G3081" s="5">
        <f>IFERROR(__xludf.DUMMYFUNCTION("""COMPUTED_VALUE"""),4.0)</f>
        <v>4</v>
      </c>
      <c r="H3081" s="5"/>
      <c r="I3081" s="5"/>
      <c r="J3081" s="6" t="str">
        <f>IFERROR(__xludf.DUMMYFUNCTION("""COMPUTED_VALUE"""),"https://eitaa.com/masjed_sahebazaman_shahrknaft")</f>
        <v>https://eitaa.com/masjed_sahebazaman_shahrknaft</v>
      </c>
      <c r="K3081" s="5"/>
      <c r="L3081" s="5"/>
      <c r="M3081" s="5"/>
      <c r="N3081" s="5"/>
      <c r="O3081" s="5"/>
      <c r="P3081" s="5"/>
      <c r="Q3081" s="5"/>
      <c r="R3081" s="5"/>
      <c r="S3081" s="5"/>
    </row>
    <row r="3082">
      <c r="A3082" s="5"/>
      <c r="B3082" s="5" t="str">
        <f>IFERROR(__xludf.DUMMYFUNCTION("""COMPUTED_VALUE"""),"هیأت")</f>
        <v>هیأت</v>
      </c>
      <c r="C3082" s="5" t="str">
        <f>IFERROR(__xludf.DUMMYFUNCTION("""COMPUTED_VALUE"""),"علی اکبر")</f>
        <v>علی اکبر</v>
      </c>
      <c r="D3082" s="5" t="str">
        <f>IFERROR(__xludf.DUMMYFUNCTION("""COMPUTED_VALUE"""),"خوزستان")</f>
        <v>خوزستان</v>
      </c>
      <c r="E3082" s="5" t="str">
        <f>IFERROR(__xludf.DUMMYFUNCTION("""COMPUTED_VALUE"""),"اهواز")</f>
        <v>اهواز</v>
      </c>
      <c r="F3082" s="5"/>
      <c r="G3082" s="5">
        <f>IFERROR(__xludf.DUMMYFUNCTION("""COMPUTED_VALUE"""),4.0)</f>
        <v>4</v>
      </c>
      <c r="H3082" s="6" t="str">
        <f>IFERROR(__xludf.DUMMYFUNCTION("""COMPUTED_VALUE"""),"https://www.instagram.com/heyat_alialkbar")</f>
        <v>https://www.instagram.com/heyat_alialkbar</v>
      </c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</row>
    <row r="3083">
      <c r="A3083" s="5">
        <f>IFERROR(__xludf.DUMMYFUNCTION("""COMPUTED_VALUE"""),30198.0)</f>
        <v>30198</v>
      </c>
      <c r="B3083" s="5" t="str">
        <f>IFERROR(__xludf.DUMMYFUNCTION("""COMPUTED_VALUE"""),"هیأت")</f>
        <v>هیأت</v>
      </c>
      <c r="C3083" s="5" t="str">
        <f>IFERROR(__xludf.DUMMYFUNCTION("""COMPUTED_VALUE"""),"علی الاکبر (ع)")</f>
        <v>علی الاکبر (ع)</v>
      </c>
      <c r="D3083" s="5" t="str">
        <f>IFERROR(__xludf.DUMMYFUNCTION("""COMPUTED_VALUE"""),"خوزستان")</f>
        <v>خوزستان</v>
      </c>
      <c r="E3083" s="5" t="str">
        <f>IFERROR(__xludf.DUMMYFUNCTION("""COMPUTED_VALUE"""),"اهواز")</f>
        <v>اهواز</v>
      </c>
      <c r="F3083" s="5"/>
      <c r="G3083" s="5">
        <f>IFERROR(__xludf.DUMMYFUNCTION("""COMPUTED_VALUE"""),4.0)</f>
        <v>4</v>
      </c>
      <c r="H3083" s="6" t="str">
        <f>IFERROR(__xludf.DUMMYFUNCTION("""COMPUTED_VALUE"""),"https://www.instagram.com/heat_ali_alakbar/")</f>
        <v>https://www.instagram.com/heat_ali_alakbar/</v>
      </c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</row>
    <row r="3084">
      <c r="A3084" s="5"/>
      <c r="B3084" s="5" t="str">
        <f>IFERROR(__xludf.DUMMYFUNCTION("""COMPUTED_VALUE"""),"هیأت")</f>
        <v>هیأت</v>
      </c>
      <c r="C3084" s="5" t="str">
        <f>IFERROR(__xludf.DUMMYFUNCTION("""COMPUTED_VALUE"""),"محبین اهل بیت")</f>
        <v>محبین اهل بیت</v>
      </c>
      <c r="D3084" s="5" t="str">
        <f>IFERROR(__xludf.DUMMYFUNCTION("""COMPUTED_VALUE"""),"خوزستان")</f>
        <v>خوزستان</v>
      </c>
      <c r="E3084" s="5" t="str">
        <f>IFERROR(__xludf.DUMMYFUNCTION("""COMPUTED_VALUE"""),"اهواز")</f>
        <v>اهواز</v>
      </c>
      <c r="F3084" s="5"/>
      <c r="G3084" s="5">
        <f>IFERROR(__xludf.DUMMYFUNCTION("""COMPUTED_VALUE"""),4.0)</f>
        <v>4</v>
      </c>
      <c r="H3084" s="6" t="str">
        <f>IFERROR(__xludf.DUMMYFUNCTION("""COMPUTED_VALUE"""),"https://www.instagram.com/mohebbin.ahlalbeyt")</f>
        <v>https://www.instagram.com/mohebbin.ahlalbeyt</v>
      </c>
      <c r="I3084" s="6" t="str">
        <f>IFERROR(__xludf.DUMMYFUNCTION("""COMPUTED_VALUE"""),"https://t.me/mohbin_ahlalbyt")</f>
        <v>https://t.me/mohbin_ahlalbyt</v>
      </c>
      <c r="J3084" s="5"/>
      <c r="K3084" s="6" t="str">
        <f>IFERROR(__xludf.DUMMYFUNCTION("""COMPUTED_VALUE"""),"https://www.youtube.com/@mohebin.ahlalbi")</f>
        <v>https://www.youtube.com/@mohebin.ahlalbi</v>
      </c>
      <c r="L3084" s="5"/>
      <c r="M3084" s="5"/>
      <c r="N3084" s="5"/>
      <c r="O3084" s="5"/>
      <c r="P3084" s="5"/>
      <c r="Q3084" s="5"/>
      <c r="R3084" s="5"/>
      <c r="S3084" s="5"/>
    </row>
    <row r="3085">
      <c r="A3085" s="5"/>
      <c r="B3085" s="5" t="str">
        <f>IFERROR(__xludf.DUMMYFUNCTION("""COMPUTED_VALUE"""),"هیأت ")</f>
        <v>هیأت </v>
      </c>
      <c r="C3085" s="5" t="str">
        <f>IFERROR(__xludf.DUMMYFUNCTION("""COMPUTED_VALUE"""),"نورالائمه (ع)")</f>
        <v>نورالائمه (ع)</v>
      </c>
      <c r="D3085" s="5" t="str">
        <f>IFERROR(__xludf.DUMMYFUNCTION("""COMPUTED_VALUE"""),"خوزستان")</f>
        <v>خوزستان</v>
      </c>
      <c r="E3085" s="5" t="str">
        <f>IFERROR(__xludf.DUMMYFUNCTION("""COMPUTED_VALUE"""),"باغ ملک")</f>
        <v>باغ ملک</v>
      </c>
      <c r="F3085" s="5"/>
      <c r="G3085" s="5">
        <f>IFERROR(__xludf.DUMMYFUNCTION("""COMPUTED_VALUE"""),4.0)</f>
        <v>4</v>
      </c>
      <c r="H3085" s="6" t="str">
        <f>IFERROR(__xludf.DUMMYFUNCTION("""COMPUTED_VALUE"""),"https://www.instagram.com/noorolaeme_live/")</f>
        <v>https://www.instagram.com/noorolaeme_live/</v>
      </c>
      <c r="I3085" s="6" t="str">
        <f>IFERROR(__xludf.DUMMYFUNCTION("""COMPUTED_VALUE"""),"t.me/NOOROLAEME_NET")</f>
        <v>t.me/NOOROLAEME_NET</v>
      </c>
      <c r="J3085" s="5"/>
      <c r="K3085" s="5"/>
      <c r="L3085" s="5"/>
      <c r="M3085" s="5"/>
      <c r="N3085" s="5"/>
      <c r="O3085" s="5"/>
      <c r="P3085" s="5"/>
      <c r="Q3085" s="5"/>
      <c r="R3085" s="5"/>
      <c r="S3085" s="5"/>
    </row>
    <row r="3086">
      <c r="A3086" s="5"/>
      <c r="B3086" s="5" t="str">
        <f>IFERROR(__xludf.DUMMYFUNCTION("""COMPUTED_VALUE"""),"هیأت")</f>
        <v>هیأت</v>
      </c>
      <c r="C3086" s="5" t="str">
        <f>IFERROR(__xludf.DUMMYFUNCTION("""COMPUTED_VALUE"""),"محبان اهل بیت")</f>
        <v>محبان اهل بیت</v>
      </c>
      <c r="D3086" s="5" t="str">
        <f>IFERROR(__xludf.DUMMYFUNCTION("""COMPUTED_VALUE"""),"خوزستان")</f>
        <v>خوزستان</v>
      </c>
      <c r="E3086" s="5" t="str">
        <f>IFERROR(__xludf.DUMMYFUNCTION("""COMPUTED_VALUE"""),"بندر امام خمینی")</f>
        <v>بندر امام خمینی</v>
      </c>
      <c r="F3086" s="5"/>
      <c r="G3086" s="5">
        <f>IFERROR(__xludf.DUMMYFUNCTION("""COMPUTED_VALUE"""),4.0)</f>
        <v>4</v>
      </c>
      <c r="H3086" s="6" t="str">
        <f>IFERROR(__xludf.DUMMYFUNCTION("""COMPUTED_VALUE"""),"https://www.instagram.com/hmohebban")</f>
        <v>https://www.instagram.com/hmohebban</v>
      </c>
      <c r="I3086" s="5"/>
      <c r="J3086" s="6" t="str">
        <f>IFERROR(__xludf.DUMMYFUNCTION("""COMPUTED_VALUE"""),"https://sapp.ir/heyaat_moheban")</f>
        <v>https://sapp.ir/heyaat_moheban</v>
      </c>
      <c r="K3086" s="6" t="str">
        <f>IFERROR(__xludf.DUMMYFUNCTION("""COMPUTED_VALUE"""),"https://www.aparat.com/hmohebban")</f>
        <v>https://www.aparat.com/hmohebban</v>
      </c>
      <c r="L3086" s="5"/>
      <c r="M3086" s="5"/>
      <c r="N3086" s="5"/>
      <c r="O3086" s="5"/>
      <c r="P3086" s="5"/>
      <c r="Q3086" s="5"/>
      <c r="R3086" s="5"/>
      <c r="S3086" s="5"/>
    </row>
    <row r="3087">
      <c r="A3087" s="5"/>
      <c r="B3087" s="5" t="str">
        <f>IFERROR(__xludf.DUMMYFUNCTION("""COMPUTED_VALUE"""),"هیأت")</f>
        <v>هیأت</v>
      </c>
      <c r="C3087" s="5" t="str">
        <f>IFERROR(__xludf.DUMMYFUNCTION("""COMPUTED_VALUE"""),"مکتب الحسین")</f>
        <v>مکتب الحسین</v>
      </c>
      <c r="D3087" s="5" t="str">
        <f>IFERROR(__xludf.DUMMYFUNCTION("""COMPUTED_VALUE"""),"خوزستان")</f>
        <v>خوزستان</v>
      </c>
      <c r="E3087" s="5" t="str">
        <f>IFERROR(__xludf.DUMMYFUNCTION("""COMPUTED_VALUE"""),"بندر امام خمینی")</f>
        <v>بندر امام خمینی</v>
      </c>
      <c r="F3087" s="5"/>
      <c r="G3087" s="5">
        <f>IFERROR(__xludf.DUMMYFUNCTION("""COMPUTED_VALUE"""),4.0)</f>
        <v>4</v>
      </c>
      <c r="H3087" s="6" t="str">
        <f>IFERROR(__xludf.DUMMYFUNCTION("""COMPUTED_VALUE"""),"https://www.instagram.com/h_maktab.alhossein/")</f>
        <v>https://www.instagram.com/h_maktab.alhossein/</v>
      </c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</row>
    <row r="3088">
      <c r="A3088" s="5">
        <f>IFERROR(__xludf.DUMMYFUNCTION("""COMPUTED_VALUE"""),25184.0)</f>
        <v>25184</v>
      </c>
      <c r="B3088" s="5" t="str">
        <f>IFERROR(__xludf.DUMMYFUNCTION("""COMPUTED_VALUE"""),"هیأت")</f>
        <v>هیأت</v>
      </c>
      <c r="C3088" s="5" t="str">
        <f>IFERROR(__xludf.DUMMYFUNCTION("""COMPUTED_VALUE"""),"رایه العباس (ع)")</f>
        <v>رایه العباس (ع)</v>
      </c>
      <c r="D3088" s="5" t="str">
        <f>IFERROR(__xludf.DUMMYFUNCTION("""COMPUTED_VALUE"""),"خوزستان")</f>
        <v>خوزستان</v>
      </c>
      <c r="E3088" s="5" t="str">
        <f>IFERROR(__xludf.DUMMYFUNCTION("""COMPUTED_VALUE"""),"بندر ماهشهر")</f>
        <v>بندر ماهشهر</v>
      </c>
      <c r="F3088" s="5"/>
      <c r="G3088" s="5">
        <f>IFERROR(__xludf.DUMMYFUNCTION("""COMPUTED_VALUE"""),4.0)</f>
        <v>4</v>
      </c>
      <c r="H3088" s="6" t="str">
        <f>IFERROR(__xludf.DUMMYFUNCTION("""COMPUTED_VALUE"""),"https://www.instagram.com/rayat_susa/")</f>
        <v>https://www.instagram.com/rayat_susa/</v>
      </c>
      <c r="I3088" s="5"/>
      <c r="J3088" s="6" t="str">
        <f>IFERROR(__xludf.DUMMYFUNCTION("""COMPUTED_VALUE"""),"https://eitaa.com/rayat_susa")</f>
        <v>https://eitaa.com/rayat_susa</v>
      </c>
      <c r="K3088" s="5"/>
      <c r="L3088" s="6" t="str">
        <f>IFERROR(__xludf.DUMMYFUNCTION("""COMPUTED_VALUE"""),"https://www.aparat.com/rayat_susa")</f>
        <v>https://www.aparat.com/rayat_susa</v>
      </c>
      <c r="M3088" s="5"/>
      <c r="N3088" s="5"/>
      <c r="O3088" s="5"/>
      <c r="P3088" s="5"/>
      <c r="Q3088" s="5"/>
      <c r="R3088" s="5"/>
      <c r="S3088" s="5"/>
    </row>
    <row r="3089">
      <c r="A3089" s="5"/>
      <c r="B3089" s="5" t="str">
        <f>IFERROR(__xludf.DUMMYFUNCTION("""COMPUTED_VALUE"""),"هیأت")</f>
        <v>هیأت</v>
      </c>
      <c r="C3089" s="5" t="str">
        <f>IFERROR(__xludf.DUMMYFUNCTION("""COMPUTED_VALUE"""),"قمر بنی هاشم")</f>
        <v>قمر بنی هاشم</v>
      </c>
      <c r="D3089" s="5" t="str">
        <f>IFERROR(__xludf.DUMMYFUNCTION("""COMPUTED_VALUE"""),"خوزستان")</f>
        <v>خوزستان</v>
      </c>
      <c r="E3089" s="5" t="str">
        <f>IFERROR(__xludf.DUMMYFUNCTION("""COMPUTED_VALUE"""),"بندر ماهشهر")</f>
        <v>بندر ماهشهر</v>
      </c>
      <c r="F3089" s="5"/>
      <c r="G3089" s="5">
        <f>IFERROR(__xludf.DUMMYFUNCTION("""COMPUTED_VALUE"""),4.0)</f>
        <v>4</v>
      </c>
      <c r="H3089" s="6" t="str">
        <f>IFERROR(__xludf.DUMMYFUNCTION("""COMPUTED_VALUE"""),"https://www.instagram.com/ghamarbanihashem_ir/")</f>
        <v>https://www.instagram.com/ghamarbanihashem_ir/</v>
      </c>
      <c r="I3089" s="6" t="str">
        <f>IFERROR(__xludf.DUMMYFUNCTION("""COMPUTED_VALUE"""),"https://t.me/MasjedJame_mahshahr")</f>
        <v>https://t.me/MasjedJame_mahshahr</v>
      </c>
      <c r="J3089" s="6" t="str">
        <f>IFERROR(__xludf.DUMMYFUNCTION("""COMPUTED_VALUE"""),"https://eitaa.com/ghamarbanihashem_ir")</f>
        <v>https://eitaa.com/ghamarbanihashem_ir</v>
      </c>
      <c r="K3089" s="5"/>
      <c r="L3089" s="5"/>
      <c r="M3089" s="5"/>
      <c r="N3089" s="5"/>
      <c r="O3089" s="5"/>
      <c r="P3089" s="5"/>
      <c r="Q3089" s="5"/>
      <c r="R3089" s="5"/>
      <c r="S3089" s="5"/>
    </row>
    <row r="3090">
      <c r="A3090" s="5">
        <f>IFERROR(__xludf.DUMMYFUNCTION("""COMPUTED_VALUE"""),26611.0)</f>
        <v>26611</v>
      </c>
      <c r="B3090" s="5" t="str">
        <f>IFERROR(__xludf.DUMMYFUNCTION("""COMPUTED_VALUE"""),"هیأت")</f>
        <v>هیأت</v>
      </c>
      <c r="C3090" s="5" t="str">
        <f>IFERROR(__xludf.DUMMYFUNCTION("""COMPUTED_VALUE"""),"آل یاسین")</f>
        <v>آل یاسین</v>
      </c>
      <c r="D3090" s="5" t="str">
        <f>IFERROR(__xludf.DUMMYFUNCTION("""COMPUTED_VALUE"""),"خوزستان")</f>
        <v>خوزستان</v>
      </c>
      <c r="E3090" s="5" t="str">
        <f>IFERROR(__xludf.DUMMYFUNCTION("""COMPUTED_VALUE"""),"بهبهان")</f>
        <v>بهبهان</v>
      </c>
      <c r="F3090" s="5"/>
      <c r="G3090" s="5">
        <f>IFERROR(__xludf.DUMMYFUNCTION("""COMPUTED_VALUE"""),4.0)</f>
        <v>4</v>
      </c>
      <c r="H3090" s="6" t="str">
        <f>IFERROR(__xludf.DUMMYFUNCTION("""COMPUTED_VALUE"""),"https://www.instagram.com/aleyasin.beh/")</f>
        <v>https://www.instagram.com/aleyasin.beh/</v>
      </c>
      <c r="I3090" s="5"/>
      <c r="J3090" s="6" t="str">
        <f>IFERROR(__xludf.DUMMYFUNCTION("""COMPUTED_VALUE"""),"https://eitaa.com/aleyasinbeh")</f>
        <v>https://eitaa.com/aleyasinbeh</v>
      </c>
      <c r="K3090" s="5"/>
      <c r="L3090" s="5"/>
      <c r="M3090" s="5"/>
      <c r="N3090" s="5"/>
      <c r="O3090" s="5"/>
      <c r="P3090" s="5"/>
      <c r="Q3090" s="5"/>
      <c r="R3090" s="5"/>
      <c r="S3090" s="5"/>
    </row>
    <row r="3091">
      <c r="A3091" s="5">
        <f>IFERROR(__xludf.DUMMYFUNCTION("""COMPUTED_VALUE"""),20747.0)</f>
        <v>20747</v>
      </c>
      <c r="B3091" s="5" t="str">
        <f>IFERROR(__xludf.DUMMYFUNCTION("""COMPUTED_VALUE"""),"هیأت")</f>
        <v>هیأت</v>
      </c>
      <c r="C3091" s="5" t="str">
        <f>IFERROR(__xludf.DUMMYFUNCTION("""COMPUTED_VALUE"""),"رایه العباس (ع)")</f>
        <v>رایه العباس (ع)</v>
      </c>
      <c r="D3091" s="5" t="str">
        <f>IFERROR(__xludf.DUMMYFUNCTION("""COMPUTED_VALUE"""),"خوزستان")</f>
        <v>خوزستان</v>
      </c>
      <c r="E3091" s="5" t="str">
        <f>IFERROR(__xludf.DUMMYFUNCTION("""COMPUTED_VALUE"""),"بهبهان")</f>
        <v>بهبهان</v>
      </c>
      <c r="F3091" s="5"/>
      <c r="G3091" s="5">
        <f>IFERROR(__xludf.DUMMYFUNCTION("""COMPUTED_VALUE"""),4.0)</f>
        <v>4</v>
      </c>
      <c r="H3091" s="6" t="str">
        <f>IFERROR(__xludf.DUMMYFUNCTION("""COMPUTED_VALUE"""),"https://www.instagram.com/raayatoolabbas/")</f>
        <v>https://www.instagram.com/raayatoolabbas/</v>
      </c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</row>
    <row r="3092">
      <c r="A3092" s="5"/>
      <c r="B3092" s="5" t="str">
        <f>IFERROR(__xludf.DUMMYFUNCTION("""COMPUTED_VALUE"""),"هیأت نوجوان")</f>
        <v>هیأت نوجوان</v>
      </c>
      <c r="C3092" s="5" t="str">
        <f>IFERROR(__xludf.DUMMYFUNCTION("""COMPUTED_VALUE"""),"شهدای گمنام")</f>
        <v>شهدای گمنام</v>
      </c>
      <c r="D3092" s="5" t="str">
        <f>IFERROR(__xludf.DUMMYFUNCTION("""COMPUTED_VALUE"""),"خوزستان")</f>
        <v>خوزستان</v>
      </c>
      <c r="E3092" s="5" t="str">
        <f>IFERROR(__xludf.DUMMYFUNCTION("""COMPUTED_VALUE"""),"امیدیه")</f>
        <v>امیدیه</v>
      </c>
      <c r="F3092" s="5"/>
      <c r="G3092" s="5">
        <f>IFERROR(__xludf.DUMMYFUNCTION("""COMPUTED_VALUE"""),5.0)</f>
        <v>5</v>
      </c>
      <c r="H3092" s="6" t="str">
        <f>IFERROR(__xludf.DUMMYFUNCTION("""COMPUTED_VALUE"""),"https://www.instagram.com/mahfelshohada.ir/")</f>
        <v>https://www.instagram.com/mahfelshohada.ir/</v>
      </c>
      <c r="I3092" s="5"/>
      <c r="J3092" s="6" t="str">
        <f>IFERROR(__xludf.DUMMYFUNCTION("""COMPUTED_VALUE"""),"https://eitaa.com/mahfelshohada_ir")</f>
        <v>https://eitaa.com/mahfelshohada_ir</v>
      </c>
      <c r="K3092" s="5"/>
      <c r="L3092" s="5"/>
      <c r="M3092" s="5"/>
      <c r="N3092" s="5"/>
      <c r="O3092" s="5"/>
      <c r="P3092" s="5"/>
      <c r="Q3092" s="5"/>
      <c r="R3092" s="5"/>
      <c r="S3092" s="5"/>
    </row>
    <row r="3093">
      <c r="A3093" s="5"/>
      <c r="B3093" s="5" t="str">
        <f>IFERROR(__xludf.DUMMYFUNCTION("""COMPUTED_VALUE"""),"هیأت")</f>
        <v>هیأت</v>
      </c>
      <c r="C3093" s="5" t="str">
        <f>IFERROR(__xludf.DUMMYFUNCTION("""COMPUTED_VALUE"""),"انصار الثقلین")</f>
        <v>انصار الثقلین</v>
      </c>
      <c r="D3093" s="5" t="str">
        <f>IFERROR(__xludf.DUMMYFUNCTION("""COMPUTED_VALUE"""),"خوزستان")</f>
        <v>خوزستان</v>
      </c>
      <c r="E3093" s="5" t="str">
        <f>IFERROR(__xludf.DUMMYFUNCTION("""COMPUTED_VALUE"""),"امیدیه")</f>
        <v>امیدیه</v>
      </c>
      <c r="F3093" s="5" t="str">
        <f>IFERROR(__xludf.DUMMYFUNCTION("""COMPUTED_VALUE"""),"شعبان - رمضان")</f>
        <v>شعبان - رمضان</v>
      </c>
      <c r="G3093" s="5">
        <f>IFERROR(__xludf.DUMMYFUNCTION("""COMPUTED_VALUE"""),6.0)</f>
        <v>6</v>
      </c>
      <c r="H3093" s="6" t="str">
        <f>IFERROR(__xludf.DUMMYFUNCTION("""COMPUTED_VALUE"""),"https://www.instagram.com/ansar_al_thaghalein/")</f>
        <v>https://www.instagram.com/ansar_al_thaghalein/</v>
      </c>
      <c r="I3093" s="6" t="str">
        <f>IFERROR(__xludf.DUMMYFUNCTION("""COMPUTED_VALUE"""),"https://t.me/ansar1401")</f>
        <v>https://t.me/ansar1401</v>
      </c>
      <c r="J3093" s="6" t="str">
        <f>IFERROR(__xludf.DUMMYFUNCTION("""COMPUTED_VALUE"""),"https://eitaa.com/ansar1437")</f>
        <v>https://eitaa.com/ansar1437</v>
      </c>
      <c r="K3093" s="5"/>
      <c r="L3093" s="5"/>
      <c r="M3093" s="5"/>
      <c r="N3093" s="5"/>
      <c r="O3093" s="5"/>
      <c r="P3093" s="5"/>
      <c r="Q3093" s="5"/>
      <c r="R3093" s="5"/>
      <c r="S3093" s="5"/>
    </row>
    <row r="3094">
      <c r="A3094" s="5"/>
      <c r="B3094" s="5" t="str">
        <f>IFERROR(__xludf.DUMMYFUNCTION("""COMPUTED_VALUE"""),"هیأت")</f>
        <v>هیأت</v>
      </c>
      <c r="C3094" s="5" t="str">
        <f>IFERROR(__xludf.DUMMYFUNCTION("""COMPUTED_VALUE"""),"فاطمیون")</f>
        <v>فاطمیون</v>
      </c>
      <c r="D3094" s="5" t="str">
        <f>IFERROR(__xludf.DUMMYFUNCTION("""COMPUTED_VALUE"""),"خوزستان")</f>
        <v>خوزستان</v>
      </c>
      <c r="E3094" s="5" t="str">
        <f>IFERROR(__xludf.DUMMYFUNCTION("""COMPUTED_VALUE"""),"بندر ماهشهر")</f>
        <v>بندر ماهشهر</v>
      </c>
      <c r="F3094" s="5" t="str">
        <f>IFERROR(__xludf.DUMMYFUNCTION("""COMPUTED_VALUE"""),"رمضان")</f>
        <v>رمضان</v>
      </c>
      <c r="G3094" s="5">
        <f>IFERROR(__xludf.DUMMYFUNCTION("""COMPUTED_VALUE"""),6.0)</f>
        <v>6</v>
      </c>
      <c r="H3094" s="6" t="str">
        <f>IFERROR(__xludf.DUMMYFUNCTION("""COMPUTED_VALUE"""),"https://www.instagram.com/fatemeyoon/")</f>
        <v>https://www.instagram.com/fatemeyoon/</v>
      </c>
      <c r="I3094" s="6" t="str">
        <f>IFERROR(__xludf.DUMMYFUNCTION("""COMPUTED_VALUE"""),"https://t.me/fatemeyoon")</f>
        <v>https://t.me/fatemeyoon</v>
      </c>
      <c r="J3094" s="6" t="str">
        <f>IFERROR(__xludf.DUMMYFUNCTION("""COMPUTED_VALUE"""),"https://eitaa.com/fatemeyoon")</f>
        <v>https://eitaa.com/fatemeyoon</v>
      </c>
      <c r="K3094" s="5"/>
      <c r="L3094" s="5"/>
      <c r="M3094" s="5"/>
      <c r="N3094" s="5"/>
      <c r="O3094" s="5"/>
      <c r="P3094" s="5"/>
      <c r="Q3094" s="5"/>
      <c r="R3094" s="5"/>
      <c r="S3094" s="5"/>
    </row>
    <row r="3095">
      <c r="A3095" s="5">
        <f>IFERROR(__xludf.DUMMYFUNCTION("""COMPUTED_VALUE"""),27334.0)</f>
        <v>27334</v>
      </c>
      <c r="B3095" s="5" t="str">
        <f>IFERROR(__xludf.DUMMYFUNCTION("""COMPUTED_VALUE"""),"هیأت")</f>
        <v>هیأت</v>
      </c>
      <c r="C3095" s="5" t="str">
        <f>IFERROR(__xludf.DUMMYFUNCTION("""COMPUTED_VALUE"""),"انصارالمهدی (عج)")</f>
        <v>انصارالمهدی (عج)</v>
      </c>
      <c r="D3095" s="5" t="str">
        <f>IFERROR(__xludf.DUMMYFUNCTION("""COMPUTED_VALUE"""),"خوزستان")</f>
        <v>خوزستان</v>
      </c>
      <c r="E3095" s="5" t="str">
        <f>IFERROR(__xludf.DUMMYFUNCTION("""COMPUTED_VALUE"""),"آبادان")</f>
        <v>آبادان</v>
      </c>
      <c r="F3095" s="5"/>
      <c r="G3095" s="5">
        <f>IFERROR(__xludf.DUMMYFUNCTION("""COMPUTED_VALUE"""),7.0)</f>
        <v>7</v>
      </c>
      <c r="H3095" s="5"/>
      <c r="I3095" s="5"/>
      <c r="J3095" s="6" t="str">
        <f>IFERROR(__xludf.DUMMYFUNCTION("""COMPUTED_VALUE"""),"https://eitaa.com/jahadiabadan")</f>
        <v>https://eitaa.com/jahadiabadan</v>
      </c>
      <c r="K3095" s="5"/>
      <c r="L3095" s="5"/>
      <c r="M3095" s="5"/>
      <c r="N3095" s="5"/>
      <c r="O3095" s="5"/>
      <c r="P3095" s="5"/>
      <c r="Q3095" s="5"/>
      <c r="R3095" s="5"/>
      <c r="S3095" s="5"/>
    </row>
    <row r="3096">
      <c r="A3096" s="5"/>
      <c r="B3096" s="5" t="str">
        <f>IFERROR(__xludf.DUMMYFUNCTION("""COMPUTED_VALUE"""),"هیأت ")</f>
        <v>هیأت </v>
      </c>
      <c r="C3096" s="5" t="str">
        <f>IFERROR(__xludf.DUMMYFUNCTION("""COMPUTED_VALUE"""),"دختران سلیمانی")</f>
        <v>دختران سلیمانی</v>
      </c>
      <c r="D3096" s="5" t="str">
        <f>IFERROR(__xludf.DUMMYFUNCTION("""COMPUTED_VALUE"""),"خوزستان")</f>
        <v>خوزستان</v>
      </c>
      <c r="E3096" s="5" t="str">
        <f>IFERROR(__xludf.DUMMYFUNCTION("""COMPUTED_VALUE"""),"اهواز")</f>
        <v>اهواز</v>
      </c>
      <c r="F3096" s="5" t="str">
        <f>IFERROR(__xludf.DUMMYFUNCTION("""COMPUTED_VALUE"""),"رمضان - شعبان")</f>
        <v>رمضان - شعبان</v>
      </c>
      <c r="G3096" s="5">
        <f>IFERROR(__xludf.DUMMYFUNCTION("""COMPUTED_VALUE"""),7.0)</f>
        <v>7</v>
      </c>
      <c r="H3096" s="5"/>
      <c r="I3096" s="5"/>
      <c r="J3096" s="6" t="str">
        <f>IFERROR(__xludf.DUMMYFUNCTION("""COMPUTED_VALUE"""),"https://eitaa.com/dokhtaranesoleymani3")</f>
        <v>https://eitaa.com/dokhtaranesoleymani3</v>
      </c>
      <c r="K3096" s="5"/>
      <c r="L3096" s="5"/>
      <c r="M3096" s="5"/>
      <c r="N3096" s="5"/>
      <c r="O3096" s="5"/>
      <c r="P3096" s="5"/>
      <c r="Q3096" s="5"/>
      <c r="R3096" s="5"/>
      <c r="S3096" s="5"/>
    </row>
    <row r="3097">
      <c r="A3097" s="5">
        <f>IFERROR(__xludf.DUMMYFUNCTION("""COMPUTED_VALUE"""),29825.0)</f>
        <v>29825</v>
      </c>
      <c r="B3097" s="5" t="str">
        <f>IFERROR(__xludf.DUMMYFUNCTION("""COMPUTED_VALUE"""),"هیأت")</f>
        <v>هیأت</v>
      </c>
      <c r="C3097" s="5" t="str">
        <f>IFERROR(__xludf.DUMMYFUNCTION("""COMPUTED_VALUE"""),"ابناء الزهرا (س)")</f>
        <v>ابناء الزهرا (س)</v>
      </c>
      <c r="D3097" s="5" t="str">
        <f>IFERROR(__xludf.DUMMYFUNCTION("""COMPUTED_VALUE"""),"خوزستان")</f>
        <v>خوزستان</v>
      </c>
      <c r="E3097" s="5" t="str">
        <f>IFERROR(__xludf.DUMMYFUNCTION("""COMPUTED_VALUE"""),"آبادان")</f>
        <v>آبادان</v>
      </c>
      <c r="F3097" s="5"/>
      <c r="G3097" s="5">
        <f>IFERROR(__xludf.DUMMYFUNCTION("""COMPUTED_VALUE"""),45762.0)</f>
        <v>45762</v>
      </c>
      <c r="H3097" s="6" t="str">
        <f>IFERROR(__xludf.DUMMYFUNCTION("""COMPUTED_VALUE"""),"https://www.instagram.com/feyz.info/")</f>
        <v>https://www.instagram.com/feyz.info/</v>
      </c>
      <c r="I3097" s="6" t="str">
        <f>IFERROR(__xludf.DUMMYFUNCTION("""COMPUTED_VALUE"""),"https://t.me/Feyz_info")</f>
        <v>https://t.me/Feyz_info</v>
      </c>
      <c r="J3097" s="6" t="str">
        <f>IFERROR(__xludf.DUMMYFUNCTION("""COMPUTED_VALUE"""),"https://eitaa.com/Feyz_info")</f>
        <v>https://eitaa.com/Feyz_info</v>
      </c>
      <c r="K3097" s="5"/>
      <c r="L3097" s="5"/>
      <c r="M3097" s="5"/>
      <c r="N3097" s="5"/>
      <c r="O3097" s="5"/>
      <c r="P3097" s="5"/>
      <c r="Q3097" s="5"/>
      <c r="R3097" s="5"/>
      <c r="S3097" s="5"/>
    </row>
    <row r="3098">
      <c r="A3098" s="5"/>
      <c r="B3098" s="5" t="str">
        <f>IFERROR(__xludf.DUMMYFUNCTION("""COMPUTED_VALUE"""),"هیأت")</f>
        <v>هیأت</v>
      </c>
      <c r="C3098" s="5" t="str">
        <f>IFERROR(__xludf.DUMMYFUNCTION("""COMPUTED_VALUE"""),"حضرت ام البنین")</f>
        <v>حضرت ام البنین</v>
      </c>
      <c r="D3098" s="5" t="str">
        <f>IFERROR(__xludf.DUMMYFUNCTION("""COMPUTED_VALUE"""),"خوزستان")</f>
        <v>خوزستان</v>
      </c>
      <c r="E3098" s="5" t="str">
        <f>IFERROR(__xludf.DUMMYFUNCTION("""COMPUTED_VALUE"""),"امیدیه")</f>
        <v>امیدیه</v>
      </c>
      <c r="F3098" s="5"/>
      <c r="G3098" s="5">
        <f>IFERROR(__xludf.DUMMYFUNCTION("""COMPUTED_VALUE"""),45794.0)</f>
        <v>45794</v>
      </c>
      <c r="H3098" s="6" t="str">
        <f>IFERROR(__xludf.DUMMYFUNCTION("""COMPUTED_VALUE"""),"https://www.instagram.com/heyat_omolbanin_omd")</f>
        <v>https://www.instagram.com/heyat_omolbanin_omd</v>
      </c>
      <c r="I3098" s="6" t="str">
        <f>IFERROR(__xludf.DUMMYFUNCTION("""COMPUTED_VALUE"""),"https://t.me/omolbanin_184_133")</f>
        <v>https://t.me/omolbanin_184_133</v>
      </c>
      <c r="J3098" s="5"/>
      <c r="K3098" s="5"/>
      <c r="L3098" s="5"/>
      <c r="M3098" s="5"/>
      <c r="N3098" s="5"/>
      <c r="O3098" s="5"/>
      <c r="P3098" s="5"/>
      <c r="Q3098" s="5"/>
      <c r="R3098" s="5"/>
      <c r="S3098" s="5"/>
    </row>
    <row r="3099">
      <c r="A3099" s="5"/>
      <c r="B3099" s="5" t="str">
        <f>IFERROR(__xludf.DUMMYFUNCTION("""COMPUTED_VALUE"""),"هیأت")</f>
        <v>هیأت</v>
      </c>
      <c r="C3099" s="5" t="str">
        <f>IFERROR(__xludf.DUMMYFUNCTION("""COMPUTED_VALUE"""),"محفل زینبیون")</f>
        <v>محفل زینبیون</v>
      </c>
      <c r="D3099" s="5" t="str">
        <f>IFERROR(__xludf.DUMMYFUNCTION("""COMPUTED_VALUE"""),"خوزستان")</f>
        <v>خوزستان</v>
      </c>
      <c r="E3099" s="5" t="str">
        <f>IFERROR(__xludf.DUMMYFUNCTION("""COMPUTED_VALUE"""),"امیدیه")</f>
        <v>امیدیه</v>
      </c>
      <c r="F3099" s="5"/>
      <c r="G3099" s="5">
        <f>IFERROR(__xludf.DUMMYFUNCTION("""COMPUTED_VALUE"""),45794.0)</f>
        <v>45794</v>
      </c>
      <c r="H3099" s="6" t="str">
        <f>IFERROR(__xludf.DUMMYFUNCTION("""COMPUTED_VALUE"""),"https://www.instagram.com/om.al.mosaeb/")</f>
        <v>https://www.instagram.com/om.al.mosaeb/</v>
      </c>
      <c r="I3099" s="6" t="str">
        <f>IFERROR(__xludf.DUMMYFUNCTION("""COMPUTED_VALUE"""),"t.me/omalmosaeb")</f>
        <v>t.me/omalmosaeb</v>
      </c>
      <c r="J3099" s="5"/>
      <c r="K3099" s="5"/>
      <c r="L3099" s="5"/>
      <c r="M3099" s="5"/>
      <c r="N3099" s="5"/>
      <c r="O3099" s="5"/>
      <c r="P3099" s="5"/>
      <c r="Q3099" s="5"/>
      <c r="R3099" s="5"/>
      <c r="S3099" s="5"/>
    </row>
    <row r="3100">
      <c r="A3100" s="5"/>
      <c r="B3100" s="5" t="str">
        <f>IFERROR(__xludf.DUMMYFUNCTION("""COMPUTED_VALUE"""),"هیأت")</f>
        <v>هیأت</v>
      </c>
      <c r="C3100" s="5" t="str">
        <f>IFERROR(__xludf.DUMMYFUNCTION("""COMPUTED_VALUE"""),"ام البنین سلام الله علیها")</f>
        <v>ام البنین سلام الله علیها</v>
      </c>
      <c r="D3100" s="5" t="str">
        <f>IFERROR(__xludf.DUMMYFUNCTION("""COMPUTED_VALUE"""),"خوزستان")</f>
        <v>خوزستان</v>
      </c>
      <c r="E3100" s="5" t="str">
        <f>IFERROR(__xludf.DUMMYFUNCTION("""COMPUTED_VALUE"""),"اهواز")</f>
        <v>اهواز</v>
      </c>
      <c r="F3100" s="5"/>
      <c r="G3100" s="5">
        <f>IFERROR(__xludf.DUMMYFUNCTION("""COMPUTED_VALUE"""),45794.0)</f>
        <v>45794</v>
      </c>
      <c r="H3100" s="6" t="str">
        <f>IFERROR(__xludf.DUMMYFUNCTION("""COMPUTED_VALUE"""),"https://www.instagram.com/heyat_omolbanin_ahvaz")</f>
        <v>https://www.instagram.com/heyat_omolbanin_ahvaz</v>
      </c>
      <c r="I3100" s="6" t="str">
        <f>IFERROR(__xludf.DUMMYFUNCTION("""COMPUTED_VALUE"""),"https://t.me/heyat_omolbanin_ahvaz")</f>
        <v>https://t.me/heyat_omolbanin_ahvaz</v>
      </c>
      <c r="J3100" s="6" t="str">
        <f>IFERROR(__xludf.DUMMYFUNCTION("""COMPUTED_VALUE"""),"https://eitaa.com/s/heyat_omolbanin_ahvaz")</f>
        <v>https://eitaa.com/s/heyat_omolbanin_ahvaz</v>
      </c>
      <c r="K3100" s="5"/>
      <c r="L3100" s="5"/>
      <c r="M3100" s="5"/>
      <c r="N3100" s="5"/>
      <c r="O3100" s="5"/>
      <c r="P3100" s="5"/>
      <c r="Q3100" s="5"/>
      <c r="R3100" s="5"/>
      <c r="S3100" s="5"/>
    </row>
    <row r="3101">
      <c r="A3101" s="5">
        <f>IFERROR(__xludf.DUMMYFUNCTION("""COMPUTED_VALUE"""),26304.0)</f>
        <v>26304</v>
      </c>
      <c r="B3101" s="5" t="str">
        <f>IFERROR(__xludf.DUMMYFUNCTION("""COMPUTED_VALUE"""),"هیأت")</f>
        <v>هیأت</v>
      </c>
      <c r="C3101" s="5" t="str">
        <f>IFERROR(__xludf.DUMMYFUNCTION("""COMPUTED_VALUE"""),"بیت الاحزان")</f>
        <v>بیت الاحزان</v>
      </c>
      <c r="D3101" s="5" t="str">
        <f>IFERROR(__xludf.DUMMYFUNCTION("""COMPUTED_VALUE"""),"خوزستان")</f>
        <v>خوزستان</v>
      </c>
      <c r="E3101" s="5" t="str">
        <f>IFERROR(__xludf.DUMMYFUNCTION("""COMPUTED_VALUE"""),"اهواز")</f>
        <v>اهواز</v>
      </c>
      <c r="F3101" s="5"/>
      <c r="G3101" s="5">
        <f>IFERROR(__xludf.DUMMYFUNCTION("""COMPUTED_VALUE"""),45794.0)</f>
        <v>45794</v>
      </c>
      <c r="H3101" s="6" t="str">
        <f>IFERROR(__xludf.DUMMYFUNCTION("""COMPUTED_VALUE"""),"https://www.instagram.com/beytolahzan_ahwaz/")</f>
        <v>https://www.instagram.com/beytolahzan_ahwaz/</v>
      </c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</row>
    <row r="3102">
      <c r="A3102" s="5"/>
      <c r="B3102" s="5" t="str">
        <f>IFERROR(__xludf.DUMMYFUNCTION("""COMPUTED_VALUE"""),"هیأت")</f>
        <v>هیأت</v>
      </c>
      <c r="C3102" s="5" t="str">
        <f>IFERROR(__xludf.DUMMYFUNCTION("""COMPUTED_VALUE"""),"خادمین حضرت رقیه")</f>
        <v>خادمین حضرت رقیه</v>
      </c>
      <c r="D3102" s="5" t="str">
        <f>IFERROR(__xludf.DUMMYFUNCTION("""COMPUTED_VALUE"""),"خوزستان")</f>
        <v>خوزستان</v>
      </c>
      <c r="E3102" s="5" t="str">
        <f>IFERROR(__xludf.DUMMYFUNCTION("""COMPUTED_VALUE"""),"اهواز")</f>
        <v>اهواز</v>
      </c>
      <c r="F3102" s="5"/>
      <c r="G3102" s="5">
        <f>IFERROR(__xludf.DUMMYFUNCTION("""COMPUTED_VALUE"""),45794.0)</f>
        <v>45794</v>
      </c>
      <c r="H3102" s="6" t="str">
        <f>IFERROR(__xludf.DUMMYFUNCTION("""COMPUTED_VALUE"""),"https://www.instagram.com/khademin315.ir")</f>
        <v>https://www.instagram.com/khademin315.ir</v>
      </c>
      <c r="I3102" s="6" t="str">
        <f>IFERROR(__xludf.DUMMYFUNCTION("""COMPUTED_VALUE"""),"https://t.me/khademin315ahwaz")</f>
        <v>https://t.me/khademin315ahwaz</v>
      </c>
      <c r="J3102" s="5"/>
      <c r="K3102" s="5"/>
      <c r="L3102" s="5"/>
      <c r="M3102" s="5"/>
      <c r="N3102" s="5"/>
      <c r="O3102" s="5"/>
      <c r="P3102" s="5"/>
      <c r="Q3102" s="5"/>
      <c r="R3102" s="5"/>
      <c r="S3102" s="5"/>
    </row>
    <row r="3103">
      <c r="A3103" s="5"/>
      <c r="B3103" s="5" t="str">
        <f>IFERROR(__xludf.DUMMYFUNCTION("""COMPUTED_VALUE"""),"هیأت")</f>
        <v>هیأت</v>
      </c>
      <c r="C3103" s="5" t="str">
        <f>IFERROR(__xludf.DUMMYFUNCTION("""COMPUTED_VALUE"""),"شاه نجف")</f>
        <v>شاه نجف</v>
      </c>
      <c r="D3103" s="5" t="str">
        <f>IFERROR(__xludf.DUMMYFUNCTION("""COMPUTED_VALUE"""),"خوزستان")</f>
        <v>خوزستان</v>
      </c>
      <c r="E3103" s="5" t="str">
        <f>IFERROR(__xludf.DUMMYFUNCTION("""COMPUTED_VALUE"""),"اهواز")</f>
        <v>اهواز</v>
      </c>
      <c r="F3103" s="5"/>
      <c r="G3103" s="5">
        <f>IFERROR(__xludf.DUMMYFUNCTION("""COMPUTED_VALUE"""),45794.0)</f>
        <v>45794</v>
      </c>
      <c r="H3103" s="6" t="str">
        <f>IFERROR(__xludf.DUMMYFUNCTION("""COMPUTED_VALUE"""),"https://www.instagram.com/shah_najaf_ahwaz/")</f>
        <v>https://www.instagram.com/shah_najaf_ahwaz/</v>
      </c>
      <c r="I3103" s="6" t="str">
        <f>IFERROR(__xludf.DUMMYFUNCTION("""COMPUTED_VALUE"""),"https://t.me/shah_najaf_ahwaz")</f>
        <v>https://t.me/shah_najaf_ahwaz</v>
      </c>
      <c r="J3103" s="5"/>
      <c r="K3103" s="5"/>
      <c r="L3103" s="5"/>
      <c r="M3103" s="5"/>
      <c r="N3103" s="5"/>
      <c r="O3103" s="5"/>
      <c r="P3103" s="5"/>
      <c r="Q3103" s="5"/>
      <c r="R3103" s="5"/>
      <c r="S3103" s="5"/>
    </row>
    <row r="3104">
      <c r="A3104" s="5"/>
      <c r="B3104" s="5" t="str">
        <f>IFERROR(__xludf.DUMMYFUNCTION("""COMPUTED_VALUE"""),"هیأت دانشجویی")</f>
        <v>هیأت دانشجویی</v>
      </c>
      <c r="C3104" s="5" t="str">
        <f>IFERROR(__xludf.DUMMYFUNCTION("""COMPUTED_VALUE"""),"شهدای دانشگاه")</f>
        <v>شهدای دانشگاه</v>
      </c>
      <c r="D3104" s="5" t="str">
        <f>IFERROR(__xludf.DUMMYFUNCTION("""COMPUTED_VALUE"""),"خوزستان")</f>
        <v>خوزستان</v>
      </c>
      <c r="E3104" s="5" t="str">
        <f>IFERROR(__xludf.DUMMYFUNCTION("""COMPUTED_VALUE"""),"اهواز")</f>
        <v>اهواز</v>
      </c>
      <c r="F3104" s="5" t="str">
        <f>IFERROR(__xludf.DUMMYFUNCTION("""COMPUTED_VALUE"""),"دانشاه آزاد اسلامی اهواز")</f>
        <v>دانشاه آزاد اسلامی اهواز</v>
      </c>
      <c r="G3104" s="5">
        <f>IFERROR(__xludf.DUMMYFUNCTION("""COMPUTED_VALUE"""),45794.0)</f>
        <v>45794</v>
      </c>
      <c r="H3104" s="6" t="str">
        <f>IFERROR(__xludf.DUMMYFUNCTION("""COMPUTED_VALUE"""),"https://www.instagram.com/heyat_iau")</f>
        <v>https://www.instagram.com/heyat_iau</v>
      </c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</row>
    <row r="3105">
      <c r="A3105" s="5"/>
      <c r="B3105" s="5" t="str">
        <f>IFERROR(__xludf.DUMMYFUNCTION("""COMPUTED_VALUE"""),"هیأت")</f>
        <v>هیأت</v>
      </c>
      <c r="C3105" s="5" t="str">
        <f>IFERROR(__xludf.DUMMYFUNCTION("""COMPUTED_VALUE"""),"عـزاء الـثـکلـیٰ")</f>
        <v>عـزاء الـثـکلـیٰ</v>
      </c>
      <c r="D3105" s="5" t="str">
        <f>IFERROR(__xludf.DUMMYFUNCTION("""COMPUTED_VALUE"""),"خوزستان")</f>
        <v>خوزستان</v>
      </c>
      <c r="E3105" s="5" t="str">
        <f>IFERROR(__xludf.DUMMYFUNCTION("""COMPUTED_VALUE"""),"اهواز")</f>
        <v>اهواز</v>
      </c>
      <c r="F3105" s="5"/>
      <c r="G3105" s="5">
        <f>IFERROR(__xludf.DUMMYFUNCTION("""COMPUTED_VALUE"""),45794.0)</f>
        <v>45794</v>
      </c>
      <c r="H3105" s="6" t="str">
        <f>IFERROR(__xludf.DUMMYFUNCTION("""COMPUTED_VALUE"""),"https://www.instagram.com/aza.althakla128")</f>
        <v>https://www.instagram.com/aza.althakla128</v>
      </c>
      <c r="I3105" s="6" t="str">
        <f>IFERROR(__xludf.DUMMYFUNCTION("""COMPUTED_VALUE"""),"https://t.me/aza_althakla")</f>
        <v>https://t.me/aza_althakla</v>
      </c>
      <c r="J3105" s="5"/>
      <c r="K3105" s="5"/>
      <c r="L3105" s="5"/>
      <c r="M3105" s="5"/>
      <c r="N3105" s="5"/>
      <c r="O3105" s="5"/>
      <c r="P3105" s="5"/>
      <c r="Q3105" s="5"/>
      <c r="R3105" s="5"/>
      <c r="S3105" s="5"/>
    </row>
    <row r="3106">
      <c r="A3106" s="5"/>
      <c r="B3106" s="5" t="str">
        <f>IFERROR(__xludf.DUMMYFUNCTION("""COMPUTED_VALUE"""),"هیأت")</f>
        <v>هیأت</v>
      </c>
      <c r="C3106" s="5" t="str">
        <f>IFERROR(__xludf.DUMMYFUNCTION("""COMPUTED_VALUE"""),"محبین اهل بیت")</f>
        <v>محبین اهل بیت</v>
      </c>
      <c r="D3106" s="5" t="str">
        <f>IFERROR(__xludf.DUMMYFUNCTION("""COMPUTED_VALUE"""),"خوزستان")</f>
        <v>خوزستان</v>
      </c>
      <c r="E3106" s="5" t="str">
        <f>IFERROR(__xludf.DUMMYFUNCTION("""COMPUTED_VALUE"""),"اهواز")</f>
        <v>اهواز</v>
      </c>
      <c r="F3106" s="5"/>
      <c r="G3106" s="5">
        <f>IFERROR(__xludf.DUMMYFUNCTION("""COMPUTED_VALUE"""),45794.0)</f>
        <v>45794</v>
      </c>
      <c r="H3106" s="6" t="str">
        <f>IFERROR(__xludf.DUMMYFUNCTION("""COMPUTED_VALUE"""),"https://www.instagram.com/heyat_mohebin_ahlebeit110")</f>
        <v>https://www.instagram.com/heyat_mohebin_ahlebeit110</v>
      </c>
      <c r="I3106" s="6" t="str">
        <f>IFERROR(__xludf.DUMMYFUNCTION("""COMPUTED_VALUE"""),"https://t.me/heyatmohbinahlalbeit")</f>
        <v>https://t.me/heyatmohbinahlalbeit</v>
      </c>
      <c r="J3106" s="5"/>
      <c r="K3106" s="5"/>
      <c r="L3106" s="5"/>
      <c r="M3106" s="5"/>
      <c r="N3106" s="5"/>
      <c r="O3106" s="5"/>
      <c r="P3106" s="5"/>
      <c r="Q3106" s="5"/>
      <c r="R3106" s="5"/>
      <c r="S3106" s="5"/>
    </row>
    <row r="3107">
      <c r="A3107" s="5"/>
      <c r="B3107" s="5" t="str">
        <f>IFERROR(__xludf.DUMMYFUNCTION("""COMPUTED_VALUE"""),"هیأت")</f>
        <v>هیأت</v>
      </c>
      <c r="C3107" s="5" t="str">
        <f>IFERROR(__xludf.DUMMYFUNCTION("""COMPUTED_VALUE"""),"آشفتگانِ مقام حضرت علی اکبر (علیه السلام)")</f>
        <v>آشفتگانِ مقام حضرت علی اکبر (علیه السلام)</v>
      </c>
      <c r="D3107" s="5" t="str">
        <f>IFERROR(__xludf.DUMMYFUNCTION("""COMPUTED_VALUE"""),"خوزستان")</f>
        <v>خوزستان</v>
      </c>
      <c r="E3107" s="5" t="str">
        <f>IFERROR(__xludf.DUMMYFUNCTION("""COMPUTED_VALUE"""),"بندر امام خمینی")</f>
        <v>بندر امام خمینی</v>
      </c>
      <c r="F3107" s="5"/>
      <c r="G3107" s="5">
        <f>IFERROR(__xludf.DUMMYFUNCTION("""COMPUTED_VALUE"""),45794.0)</f>
        <v>45794</v>
      </c>
      <c r="H3107" s="6" t="str">
        <f>IFERROR(__xludf.DUMMYFUNCTION("""COMPUTED_VALUE"""),"https://www.instagram.com/maqam_aliakbar/")</f>
        <v>https://www.instagram.com/maqam_aliakbar/</v>
      </c>
      <c r="I3107" s="6" t="str">
        <f>IFERROR(__xludf.DUMMYFUNCTION("""COMPUTED_VALUE"""),"https://t.me/ashofte_maqam")</f>
        <v>https://t.me/ashofte_maqam</v>
      </c>
      <c r="J3107" s="5"/>
      <c r="K3107" s="5"/>
      <c r="L3107" s="5"/>
      <c r="M3107" s="5"/>
      <c r="N3107" s="5"/>
      <c r="O3107" s="5"/>
      <c r="P3107" s="5"/>
      <c r="Q3107" s="5"/>
      <c r="R3107" s="5"/>
      <c r="S3107" s="5"/>
    </row>
    <row r="3108">
      <c r="A3108" s="5"/>
      <c r="B3108" s="5" t="str">
        <f>IFERROR(__xludf.DUMMYFUNCTION("""COMPUTED_VALUE"""),"هیأت")</f>
        <v>هیأت</v>
      </c>
      <c r="C3108" s="5" t="str">
        <f>IFERROR(__xludf.DUMMYFUNCTION("""COMPUTED_VALUE"""),"انصار المهدی")</f>
        <v>انصار المهدی</v>
      </c>
      <c r="D3108" s="5" t="str">
        <f>IFERROR(__xludf.DUMMYFUNCTION("""COMPUTED_VALUE"""),"خوزستان")</f>
        <v>خوزستان</v>
      </c>
      <c r="E3108" s="5" t="str">
        <f>IFERROR(__xludf.DUMMYFUNCTION("""COMPUTED_VALUE"""),"بندر امام خمینی")</f>
        <v>بندر امام خمینی</v>
      </c>
      <c r="F3108" s="5"/>
      <c r="G3108" s="5">
        <f>IFERROR(__xludf.DUMMYFUNCTION("""COMPUTED_VALUE"""),45794.0)</f>
        <v>45794</v>
      </c>
      <c r="H3108" s="6" t="str">
        <f>IFERROR(__xludf.DUMMYFUNCTION("""COMPUTED_VALUE"""),"https://www.instagram.com/ansar.abozar/")</f>
        <v>https://www.instagram.com/ansar.abozar/</v>
      </c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</row>
    <row r="3109">
      <c r="A3109" s="5"/>
      <c r="B3109" s="5" t="str">
        <f>IFERROR(__xludf.DUMMYFUNCTION("""COMPUTED_VALUE"""),"هیأت")</f>
        <v>هیأت</v>
      </c>
      <c r="C3109" s="5" t="str">
        <f>IFERROR(__xludf.DUMMYFUNCTION("""COMPUTED_VALUE"""),"باب القبله")</f>
        <v>باب القبله</v>
      </c>
      <c r="D3109" s="5" t="str">
        <f>IFERROR(__xludf.DUMMYFUNCTION("""COMPUTED_VALUE"""),"خوزستان")</f>
        <v>خوزستان</v>
      </c>
      <c r="E3109" s="5" t="str">
        <f>IFERROR(__xludf.DUMMYFUNCTION("""COMPUTED_VALUE"""),"بندر ماهشهر")</f>
        <v>بندر ماهشهر</v>
      </c>
      <c r="F3109" s="5"/>
      <c r="G3109" s="5">
        <f>IFERROR(__xludf.DUMMYFUNCTION("""COMPUTED_VALUE"""),45794.0)</f>
        <v>45794</v>
      </c>
      <c r="H3109" s="6" t="str">
        <f>IFERROR(__xludf.DUMMYFUNCTION("""COMPUTED_VALUE"""),"https://www.instagram.com/bab_alqeble")</f>
        <v>https://www.instagram.com/bab_alqeble</v>
      </c>
      <c r="I3109" s="6" t="str">
        <f>IFERROR(__xludf.DUMMYFUNCTION("""COMPUTED_VALUE"""),"https://t.me/bab_alqeble")</f>
        <v>https://t.me/bab_alqeble</v>
      </c>
      <c r="J3109" s="5"/>
      <c r="K3109" s="5"/>
      <c r="L3109" s="5"/>
      <c r="M3109" s="5"/>
      <c r="N3109" s="5"/>
      <c r="O3109" s="5"/>
      <c r="P3109" s="5"/>
      <c r="Q3109" s="5"/>
      <c r="R3109" s="5"/>
      <c r="S3109" s="5"/>
    </row>
    <row r="3110">
      <c r="A3110" s="5"/>
      <c r="B3110" s="5" t="str">
        <f>IFERROR(__xludf.DUMMYFUNCTION("""COMPUTED_VALUE"""),"هیأت")</f>
        <v>هیأت</v>
      </c>
      <c r="C3110" s="5" t="str">
        <f>IFERROR(__xludf.DUMMYFUNCTION("""COMPUTED_VALUE"""),"شهزادگان کربلا")</f>
        <v>شهزادگان کربلا</v>
      </c>
      <c r="D3110" s="5" t="str">
        <f>IFERROR(__xludf.DUMMYFUNCTION("""COMPUTED_VALUE"""),"خوزستان")</f>
        <v>خوزستان</v>
      </c>
      <c r="E3110" s="5" t="str">
        <f>IFERROR(__xludf.DUMMYFUNCTION("""COMPUTED_VALUE"""),"بندر ماهشهر")</f>
        <v>بندر ماهشهر</v>
      </c>
      <c r="F3110" s="5"/>
      <c r="G3110" s="5">
        <f>IFERROR(__xludf.DUMMYFUNCTION("""COMPUTED_VALUE"""),45794.0)</f>
        <v>45794</v>
      </c>
      <c r="H3110" s="6" t="str">
        <f>IFERROR(__xludf.DUMMYFUNCTION("""COMPUTED_VALUE"""),"https://www.instagram.com/shahzadegan_mahshahr/")</f>
        <v>https://www.instagram.com/shahzadegan_mahshahr/</v>
      </c>
      <c r="I3110" s="6" t="str">
        <f>IFERROR(__xludf.DUMMYFUNCTION("""COMPUTED_VALUE"""),"https://t.me/Shahzadegan_mahshahr")</f>
        <v>https://t.me/Shahzadegan_mahshahr</v>
      </c>
      <c r="J3110" s="5"/>
      <c r="K3110" s="5"/>
      <c r="L3110" s="5"/>
      <c r="M3110" s="5"/>
      <c r="N3110" s="5"/>
      <c r="O3110" s="5"/>
      <c r="P3110" s="5"/>
      <c r="Q3110" s="5"/>
      <c r="R3110" s="5"/>
      <c r="S3110" s="5"/>
    </row>
    <row r="3111">
      <c r="A3111" s="5"/>
      <c r="B3111" s="5" t="str">
        <f>IFERROR(__xludf.DUMMYFUNCTION("""COMPUTED_VALUE"""),"مسجد")</f>
        <v>مسجد</v>
      </c>
      <c r="C3111" s="5" t="str">
        <f>IFERROR(__xludf.DUMMYFUNCTION("""COMPUTED_VALUE"""),"الغدیر")</f>
        <v>الغدیر</v>
      </c>
      <c r="D3111" s="5" t="str">
        <f>IFERROR(__xludf.DUMMYFUNCTION("""COMPUTED_VALUE"""),"خوزستان")</f>
        <v>خوزستان</v>
      </c>
      <c r="E3111" s="5" t="str">
        <f>IFERROR(__xludf.DUMMYFUNCTION("""COMPUTED_VALUE"""),"آبادان")</f>
        <v>آبادان</v>
      </c>
      <c r="F3111" s="5" t="str">
        <f>IFERROR(__xludf.DUMMYFUNCTION("""COMPUTED_VALUE"""),"رمضان - شعبان")</f>
        <v>رمضان - شعبان</v>
      </c>
      <c r="G3111" s="5">
        <f>IFERROR(__xludf.DUMMYFUNCTION("""COMPUTED_VALUE"""),45795.0)</f>
        <v>45795</v>
      </c>
      <c r="H3111" s="6" t="str">
        <f>IFERROR(__xludf.DUMMYFUNCTION("""COMPUTED_VALUE"""),"https://www.instagram.com/masjed.alghadir1/")</f>
        <v>https://www.instagram.com/masjed.alghadir1/</v>
      </c>
      <c r="I3111" s="5"/>
      <c r="J3111" s="6" t="str">
        <f>IFERROR(__xludf.DUMMYFUNCTION("""COMPUTED_VALUE"""),"https://eitaa.com/masjedalghadir1")</f>
        <v>https://eitaa.com/masjedalghadir1</v>
      </c>
      <c r="K3111" s="5"/>
      <c r="L3111" s="5"/>
      <c r="M3111" s="5"/>
      <c r="N3111" s="5"/>
      <c r="O3111" s="5"/>
      <c r="P3111" s="5"/>
      <c r="Q3111" s="5"/>
      <c r="R3111" s="5"/>
      <c r="S3111" s="5"/>
    </row>
    <row r="3112">
      <c r="A3112" s="5">
        <f>IFERROR(__xludf.DUMMYFUNCTION("""COMPUTED_VALUE"""),19714.0)</f>
        <v>19714</v>
      </c>
      <c r="B3112" s="5" t="str">
        <f>IFERROR(__xludf.DUMMYFUNCTION("""COMPUTED_VALUE"""),"هیأت")</f>
        <v>هیأت</v>
      </c>
      <c r="C3112" s="5" t="str">
        <f>IFERROR(__xludf.DUMMYFUNCTION("""COMPUTED_VALUE"""),"مکتب الزهرا (س)")</f>
        <v>مکتب الزهرا (س)</v>
      </c>
      <c r="D3112" s="5" t="str">
        <f>IFERROR(__xludf.DUMMYFUNCTION("""COMPUTED_VALUE"""),"خوزستان")</f>
        <v>خوزستان</v>
      </c>
      <c r="E3112" s="5" t="str">
        <f>IFERROR(__xludf.DUMMYFUNCTION("""COMPUTED_VALUE"""),"اهواز")</f>
        <v>اهواز</v>
      </c>
      <c r="F3112" s="5"/>
      <c r="G3112" s="5">
        <f>IFERROR(__xludf.DUMMYFUNCTION("""COMPUTED_VALUE"""),45795.0)</f>
        <v>45795</v>
      </c>
      <c r="H3112" s="6" t="str">
        <f>IFERROR(__xludf.DUMMYFUNCTION("""COMPUTED_VALUE"""),"https://www.instagram.com/bakiehir")</f>
        <v>https://www.instagram.com/bakiehir</v>
      </c>
      <c r="I3112" s="6" t="str">
        <f>IFERROR(__xludf.DUMMYFUNCTION("""COMPUTED_VALUE"""),"https://t.me/bakiehir")</f>
        <v>https://t.me/bakiehir</v>
      </c>
      <c r="J3112" s="6" t="str">
        <f>IFERROR(__xludf.DUMMYFUNCTION("""COMPUTED_VALUE"""),"https://eitaa.com/bakiehir")</f>
        <v>https://eitaa.com/bakiehir</v>
      </c>
      <c r="K3112" s="5"/>
      <c r="L3112" s="5"/>
      <c r="M3112" s="5"/>
      <c r="N3112" s="5"/>
      <c r="O3112" s="5"/>
      <c r="P3112" s="5"/>
      <c r="Q3112" s="5"/>
      <c r="R3112" s="5"/>
      <c r="S3112" s="5"/>
    </row>
    <row r="3113">
      <c r="A3113" s="5"/>
      <c r="B3113" s="5" t="str">
        <f>IFERROR(__xludf.DUMMYFUNCTION("""COMPUTED_VALUE"""),"هیأت")</f>
        <v>هیأت</v>
      </c>
      <c r="C3113" s="5" t="str">
        <f>IFERROR(__xludf.DUMMYFUNCTION("""COMPUTED_VALUE"""),"رهروان شهدا")</f>
        <v>رهروان شهدا</v>
      </c>
      <c r="D3113" s="5" t="str">
        <f>IFERROR(__xludf.DUMMYFUNCTION("""COMPUTED_VALUE"""),"خوزستان")</f>
        <v>خوزستان</v>
      </c>
      <c r="E3113" s="5" t="str">
        <f>IFERROR(__xludf.DUMMYFUNCTION("""COMPUTED_VALUE"""),"بندر امام خمینی")</f>
        <v>بندر امام خمینی</v>
      </c>
      <c r="F3113" s="5"/>
      <c r="G3113" s="5">
        <f>IFERROR(__xludf.DUMMYFUNCTION("""COMPUTED_VALUE"""),45795.0)</f>
        <v>45795</v>
      </c>
      <c r="H3113" s="6" t="str">
        <f>IFERROR(__xludf.DUMMYFUNCTION("""COMPUTED_VALUE"""),"https://www.instagram.com/r.shohada_ir/")</f>
        <v>https://www.instagram.com/r.shohada_ir/</v>
      </c>
      <c r="I3113" s="6" t="str">
        <f>IFERROR(__xludf.DUMMYFUNCTION("""COMPUTED_VALUE"""),"https://t.me/heyat_rahrovanshohada")</f>
        <v>https://t.me/heyat_rahrovanshohada</v>
      </c>
      <c r="J3113" s="5"/>
      <c r="K3113" s="5"/>
      <c r="L3113" s="5"/>
      <c r="M3113" s="5"/>
      <c r="N3113" s="5"/>
      <c r="O3113" s="5"/>
      <c r="P3113" s="5"/>
      <c r="Q3113" s="5"/>
      <c r="R3113" s="5"/>
      <c r="S3113" s="5"/>
    </row>
    <row r="3114">
      <c r="A3114" s="5"/>
      <c r="B3114" s="5" t="str">
        <f>IFERROR(__xludf.DUMMYFUNCTION("""COMPUTED_VALUE"""),"هیأت")</f>
        <v>هیأت</v>
      </c>
      <c r="C3114" s="5" t="str">
        <f>IFERROR(__xludf.DUMMYFUNCTION("""COMPUTED_VALUE"""),"جوادالائمه")</f>
        <v>جوادالائمه</v>
      </c>
      <c r="D3114" s="5" t="str">
        <f>IFERROR(__xludf.DUMMYFUNCTION("""COMPUTED_VALUE"""),"خوزستان")</f>
        <v>خوزستان</v>
      </c>
      <c r="E3114" s="5" t="str">
        <f>IFERROR(__xludf.DUMMYFUNCTION("""COMPUTED_VALUE"""),"بندر ماهشهر")</f>
        <v>بندر ماهشهر</v>
      </c>
      <c r="F3114" s="5"/>
      <c r="G3114" s="5">
        <f>IFERROR(__xludf.DUMMYFUNCTION("""COMPUTED_VALUE"""),45795.0)</f>
        <v>45795</v>
      </c>
      <c r="H3114" s="6" t="str">
        <f>IFERROR(__xludf.DUMMYFUNCTION("""COMPUTED_VALUE"""),"https://www.instagram.com/hj_mahshahr")</f>
        <v>https://www.instagram.com/hj_mahshahr</v>
      </c>
      <c r="I3114" s="5"/>
      <c r="J3114" s="6" t="str">
        <f>IFERROR(__xludf.DUMMYFUNCTION("""COMPUTED_VALUE"""),"https://eitaa.com/hj_mahshahr")</f>
        <v>https://eitaa.com/hj_mahshahr</v>
      </c>
      <c r="K3114" s="5"/>
      <c r="L3114" s="5"/>
      <c r="M3114" s="5"/>
      <c r="N3114" s="5"/>
      <c r="O3114" s="5"/>
      <c r="P3114" s="5"/>
      <c r="Q3114" s="5"/>
      <c r="R3114" s="5"/>
      <c r="S3114" s="5"/>
    </row>
    <row r="3115">
      <c r="A3115" s="5"/>
      <c r="B3115" s="5" t="str">
        <f>IFERROR(__xludf.DUMMYFUNCTION("""COMPUTED_VALUE"""),"هیأت")</f>
        <v>هیأت</v>
      </c>
      <c r="C3115" s="5" t="str">
        <f>IFERROR(__xludf.DUMMYFUNCTION("""COMPUTED_VALUE"""),"خُدّام زهرای سه ساله")</f>
        <v>خُدّام زهرای سه ساله</v>
      </c>
      <c r="D3115" s="5" t="str">
        <f>IFERROR(__xludf.DUMMYFUNCTION("""COMPUTED_VALUE"""),"خوزستان")</f>
        <v>خوزستان</v>
      </c>
      <c r="E3115" s="5" t="str">
        <f>IFERROR(__xludf.DUMMYFUNCTION("""COMPUTED_VALUE"""),"بهبهان")</f>
        <v>بهبهان</v>
      </c>
      <c r="F3115" s="5"/>
      <c r="G3115" s="5">
        <f>IFERROR(__xludf.DUMMYFUNCTION("""COMPUTED_VALUE"""),45795.0)</f>
        <v>45795</v>
      </c>
      <c r="H3115" s="6" t="str">
        <f>IFERROR(__xludf.DUMMYFUNCTION("""COMPUTED_VALUE"""),"https://www.instagram.com/zahraye3saleh")</f>
        <v>https://www.instagram.com/zahraye3saleh</v>
      </c>
      <c r="I3115" s="6" t="str">
        <f>IFERROR(__xludf.DUMMYFUNCTION("""COMPUTED_VALUE"""),"https://t.me/zahraye3saleh")</f>
        <v>https://t.me/zahraye3saleh</v>
      </c>
      <c r="J3115" s="5"/>
      <c r="K3115" s="5"/>
      <c r="L3115" s="5"/>
      <c r="M3115" s="5"/>
      <c r="N3115" s="5"/>
      <c r="O3115" s="5"/>
      <c r="P3115" s="5"/>
      <c r="Q3115" s="5"/>
      <c r="R3115" s="5"/>
      <c r="S3115" s="5"/>
    </row>
    <row r="3116">
      <c r="A3116" s="5"/>
      <c r="B3116" s="5" t="str">
        <f>IFERROR(__xludf.DUMMYFUNCTION("""COMPUTED_VALUE"""),"هیأت")</f>
        <v>هیأت</v>
      </c>
      <c r="C3116" s="5" t="str">
        <f>IFERROR(__xludf.DUMMYFUNCTION("""COMPUTED_VALUE"""),"محبین الرقیه")</f>
        <v>محبین الرقیه</v>
      </c>
      <c r="D3116" s="5" t="str">
        <f>IFERROR(__xludf.DUMMYFUNCTION("""COMPUTED_VALUE"""),"خوزستان")</f>
        <v>خوزستان</v>
      </c>
      <c r="E3116" s="5" t="str">
        <f>IFERROR(__xludf.DUMMYFUNCTION("""COMPUTED_VALUE"""),"امیدیه")</f>
        <v>امیدیه</v>
      </c>
      <c r="F3116" s="5"/>
      <c r="G3116" s="5">
        <f>IFERROR(__xludf.DUMMYFUNCTION("""COMPUTED_VALUE"""),45796.0)</f>
        <v>45796</v>
      </c>
      <c r="H3116" s="6" t="str">
        <f>IFERROR(__xludf.DUMMYFUNCTION("""COMPUTED_VALUE"""),"https://www.instagram.com/mohebbinalroghaye")</f>
        <v>https://www.instagram.com/mohebbinalroghaye</v>
      </c>
      <c r="I3116" s="6" t="str">
        <f>IFERROR(__xludf.DUMMYFUNCTION("""COMPUTED_VALUE"""),"https://t.me/mohebbinalroghaye")</f>
        <v>https://t.me/mohebbinalroghaye</v>
      </c>
      <c r="J3116" s="6" t="str">
        <f>IFERROR(__xludf.DUMMYFUNCTION("""COMPUTED_VALUE"""),"https://eitaa.com/mohebbinalroghaye")</f>
        <v>https://eitaa.com/mohebbinalroghaye</v>
      </c>
      <c r="K3116" s="5"/>
      <c r="L3116" s="5"/>
      <c r="M3116" s="5"/>
      <c r="N3116" s="5"/>
      <c r="O3116" s="5"/>
      <c r="P3116" s="5"/>
      <c r="Q3116" s="5"/>
      <c r="R3116" s="5"/>
      <c r="S3116" s="5"/>
    </row>
    <row r="3117">
      <c r="A3117" s="5"/>
      <c r="B3117" s="5" t="str">
        <f>IFERROR(__xludf.DUMMYFUNCTION("""COMPUTED_VALUE"""),"هیأت")</f>
        <v>هیأت</v>
      </c>
      <c r="C3117" s="5" t="str">
        <f>IFERROR(__xludf.DUMMYFUNCTION("""COMPUTED_VALUE"""),"آل طه خدام المهدی")</f>
        <v>آل طه خدام المهدی</v>
      </c>
      <c r="D3117" s="5" t="str">
        <f>IFERROR(__xludf.DUMMYFUNCTION("""COMPUTED_VALUE"""),"خوزستان")</f>
        <v>خوزستان</v>
      </c>
      <c r="E3117" s="5" t="str">
        <f>IFERROR(__xludf.DUMMYFUNCTION("""COMPUTED_VALUE"""),"اهواز")</f>
        <v>اهواز</v>
      </c>
      <c r="F3117" s="5"/>
      <c r="G3117" s="5">
        <f>IFERROR(__xludf.DUMMYFUNCTION("""COMPUTED_VALUE"""),45796.0)</f>
        <v>45796</v>
      </c>
      <c r="H3117" s="6" t="str">
        <f>IFERROR(__xludf.DUMMYFUNCTION("""COMPUTED_VALUE"""),"https://www.instagram.com/hyat_altaha")</f>
        <v>https://www.instagram.com/hyat_altaha</v>
      </c>
      <c r="I3117" s="6" t="str">
        <f>IFERROR(__xludf.DUMMYFUNCTION("""COMPUTED_VALUE"""),"https://t.me/altahakhodamalmahdi")</f>
        <v>https://t.me/altahakhodamalmahdi</v>
      </c>
      <c r="J3117" s="5"/>
      <c r="K3117" s="6" t="str">
        <f>IFERROR(__xludf.DUMMYFUNCTION("""COMPUTED_VALUE"""),"https://www.youtube.com/@HYAT_ALTAHA")</f>
        <v>https://www.youtube.com/@HYAT_ALTAHA</v>
      </c>
      <c r="L3117" s="5"/>
      <c r="M3117" s="5"/>
      <c r="N3117" s="5"/>
      <c r="O3117" s="5"/>
      <c r="P3117" s="5"/>
      <c r="Q3117" s="5"/>
      <c r="R3117" s="5"/>
      <c r="S3117" s="5"/>
    </row>
    <row r="3118">
      <c r="A3118" s="5"/>
      <c r="B3118" s="5" t="str">
        <f>IFERROR(__xludf.DUMMYFUNCTION("""COMPUTED_VALUE"""),"هیأت")</f>
        <v>هیأت</v>
      </c>
      <c r="C3118" s="5" t="str">
        <f>IFERROR(__xludf.DUMMYFUNCTION("""COMPUTED_VALUE"""),"حسن جان")</f>
        <v>حسن جان</v>
      </c>
      <c r="D3118" s="5" t="str">
        <f>IFERROR(__xludf.DUMMYFUNCTION("""COMPUTED_VALUE"""),"خوزستان")</f>
        <v>خوزستان</v>
      </c>
      <c r="E3118" s="5" t="str">
        <f>IFERROR(__xludf.DUMMYFUNCTION("""COMPUTED_VALUE"""),"اهواز")</f>
        <v>اهواز</v>
      </c>
      <c r="F3118" s="5" t="str">
        <f>IFERROR(__xludf.DUMMYFUNCTION("""COMPUTED_VALUE"""),"رمضان")</f>
        <v>رمضان</v>
      </c>
      <c r="G3118" s="5">
        <f>IFERROR(__xludf.DUMMYFUNCTION("""COMPUTED_VALUE"""),45796.0)</f>
        <v>45796</v>
      </c>
      <c r="H3118" s="6" t="str">
        <f>IFERROR(__xludf.DUMMYFUNCTION("""COMPUTED_VALUE"""),"https://www.instagram.com/hasanjan_info")</f>
        <v>https://www.instagram.com/hasanjan_info</v>
      </c>
      <c r="I3118" s="6" t="str">
        <f>IFERROR(__xludf.DUMMYFUNCTION("""COMPUTED_VALUE"""),"https://t.me/hasanjan_info")</f>
        <v>https://t.me/hasanjan_info</v>
      </c>
      <c r="J3118" s="6" t="str">
        <f>IFERROR(__xludf.DUMMYFUNCTION("""COMPUTED_VALUE"""),"https://eitaa.com/hasanjan_info")</f>
        <v>https://eitaa.com/hasanjan_info</v>
      </c>
      <c r="K3118" s="5"/>
      <c r="L3118" s="5"/>
      <c r="M3118" s="5"/>
      <c r="N3118" s="5"/>
      <c r="O3118" s="5"/>
      <c r="P3118" s="5"/>
      <c r="Q3118" s="5"/>
      <c r="R3118" s="5"/>
      <c r="S3118" s="5"/>
    </row>
    <row r="3119">
      <c r="A3119" s="5"/>
      <c r="B3119" s="5" t="str">
        <f>IFERROR(__xludf.DUMMYFUNCTION("""COMPUTED_VALUE"""),"هیأت")</f>
        <v>هیأت</v>
      </c>
      <c r="C3119" s="5" t="str">
        <f>IFERROR(__xludf.DUMMYFUNCTION("""COMPUTED_VALUE"""),"عشاق الحسین")</f>
        <v>عشاق الحسین</v>
      </c>
      <c r="D3119" s="5" t="str">
        <f>IFERROR(__xludf.DUMMYFUNCTION("""COMPUTED_VALUE"""),"خوزستان")</f>
        <v>خوزستان</v>
      </c>
      <c r="E3119" s="5" t="str">
        <f>IFERROR(__xludf.DUMMYFUNCTION("""COMPUTED_VALUE"""),"اهواز")</f>
        <v>اهواز</v>
      </c>
      <c r="F3119" s="5"/>
      <c r="G3119" s="5">
        <f>IFERROR(__xludf.DUMMYFUNCTION("""COMPUTED_VALUE"""),45796.0)</f>
        <v>45796</v>
      </c>
      <c r="H3119" s="6" t="str">
        <f>IFERROR(__xludf.DUMMYFUNCTION("""COMPUTED_VALUE"""),"https://www.instagram.com/heyat_ashaq_alhussain")</f>
        <v>https://www.instagram.com/heyat_ashaq_alhussain</v>
      </c>
      <c r="I3119" s="5"/>
      <c r="J3119" s="5"/>
      <c r="K3119" s="6" t="str">
        <f>IFERROR(__xludf.DUMMYFUNCTION("""COMPUTED_VALUE"""),"https://www.youtube.com/@heyatashagathussain")</f>
        <v>https://www.youtube.com/@heyatashagathussain</v>
      </c>
      <c r="L3119" s="5"/>
      <c r="M3119" s="5"/>
      <c r="N3119" s="5"/>
      <c r="O3119" s="5"/>
      <c r="P3119" s="5"/>
      <c r="Q3119" s="5"/>
      <c r="R3119" s="5"/>
      <c r="S3119" s="5"/>
    </row>
    <row r="3120">
      <c r="A3120" s="5"/>
      <c r="B3120" s="5" t="str">
        <f>IFERROR(__xludf.DUMMYFUNCTION("""COMPUTED_VALUE"""),"حسینیه")</f>
        <v>حسینیه</v>
      </c>
      <c r="C3120" s="5" t="str">
        <f>IFERROR(__xludf.DUMMYFUNCTION("""COMPUTED_VALUE"""),"عقیلة الطالبیين")</f>
        <v>عقیلة الطالبیين</v>
      </c>
      <c r="D3120" s="5" t="str">
        <f>IFERROR(__xludf.DUMMYFUNCTION("""COMPUTED_VALUE"""),"خوزستان")</f>
        <v>خوزستان</v>
      </c>
      <c r="E3120" s="5" t="str">
        <f>IFERROR(__xludf.DUMMYFUNCTION("""COMPUTED_VALUE"""),"اهواز")</f>
        <v>اهواز</v>
      </c>
      <c r="F3120" s="5"/>
      <c r="G3120" s="5">
        <f>IFERROR(__xludf.DUMMYFUNCTION("""COMPUTED_VALUE"""),45796.0)</f>
        <v>45796</v>
      </c>
      <c r="H3120" s="6" t="str">
        <f>IFERROR(__xludf.DUMMYFUNCTION("""COMPUTED_VALUE"""),"https://www.instagram.com/alaghileir/")</f>
        <v>https://www.instagram.com/alaghileir/</v>
      </c>
      <c r="I3120" s="5"/>
      <c r="J3120" s="5"/>
      <c r="K3120" s="6" t="str">
        <f>IFERROR(__xludf.DUMMYFUNCTION("""COMPUTED_VALUE"""),"https://www.youtube.com/@alaghileir")</f>
        <v>https://www.youtube.com/@alaghileir</v>
      </c>
      <c r="L3120" s="5"/>
      <c r="M3120" s="5"/>
      <c r="N3120" s="5"/>
      <c r="O3120" s="5"/>
      <c r="P3120" s="5"/>
      <c r="Q3120" s="5"/>
      <c r="R3120" s="5"/>
      <c r="S3120" s="5"/>
    </row>
    <row r="3121">
      <c r="A3121" s="5">
        <f>IFERROR(__xludf.DUMMYFUNCTION("""COMPUTED_VALUE"""),20746.0)</f>
        <v>20746</v>
      </c>
      <c r="B3121" s="5" t="str">
        <f>IFERROR(__xludf.DUMMYFUNCTION("""COMPUTED_VALUE"""),"هیأت ")</f>
        <v>هیأت </v>
      </c>
      <c r="C3121" s="5" t="str">
        <f>IFERROR(__xludf.DUMMYFUNCTION("""COMPUTED_VALUE"""),"فدائیان حسین (ع)")</f>
        <v>فدائیان حسین (ع)</v>
      </c>
      <c r="D3121" s="5" t="str">
        <f>IFERROR(__xludf.DUMMYFUNCTION("""COMPUTED_VALUE"""),"خوزستان")</f>
        <v>خوزستان</v>
      </c>
      <c r="E3121" s="5" t="str">
        <f>IFERROR(__xludf.DUMMYFUNCTION("""COMPUTED_VALUE"""),"اهواز")</f>
        <v>اهواز</v>
      </c>
      <c r="F3121" s="5" t="str">
        <f>IFERROR(__xludf.DUMMYFUNCTION("""COMPUTED_VALUE"""),"رمضان")</f>
        <v>رمضان</v>
      </c>
      <c r="G3121" s="5">
        <f>IFERROR(__xludf.DUMMYFUNCTION("""COMPUTED_VALUE"""),45796.0)</f>
        <v>45796</v>
      </c>
      <c r="H3121" s="6" t="str">
        <f>IFERROR(__xludf.DUMMYFUNCTION("""COMPUTED_VALUE"""),"https://www.instagram.com/ghobe_ir/")</f>
        <v>https://www.instagram.com/ghobe_ir/</v>
      </c>
      <c r="I3121" s="5"/>
      <c r="J3121" s="6" t="str">
        <f>IFERROR(__xludf.DUMMYFUNCTION("""COMPUTED_VALUE"""),"https://eitaa.com/ghobe_ir")</f>
        <v>https://eitaa.com/ghobe_ir</v>
      </c>
      <c r="K3121" s="5"/>
      <c r="L3121" s="5"/>
      <c r="M3121" s="5"/>
      <c r="N3121" s="5"/>
      <c r="O3121" s="5"/>
      <c r="P3121" s="5"/>
      <c r="Q3121" s="5"/>
      <c r="R3121" s="5"/>
      <c r="S3121" s="5"/>
    </row>
    <row r="3122">
      <c r="A3122" s="5"/>
      <c r="B3122" s="5" t="str">
        <f>IFERROR(__xludf.DUMMYFUNCTION("""COMPUTED_VALUE"""),"هیأت")</f>
        <v>هیأت</v>
      </c>
      <c r="C3122" s="5" t="str">
        <f>IFERROR(__xludf.DUMMYFUNCTION("""COMPUTED_VALUE"""),"محبان فاطمة الزهرا")</f>
        <v>محبان فاطمة الزهرا</v>
      </c>
      <c r="D3122" s="5" t="str">
        <f>IFERROR(__xludf.DUMMYFUNCTION("""COMPUTED_VALUE"""),"خوزستان")</f>
        <v>خوزستان</v>
      </c>
      <c r="E3122" s="5" t="str">
        <f>IFERROR(__xludf.DUMMYFUNCTION("""COMPUTED_VALUE"""),"اهواز")</f>
        <v>اهواز</v>
      </c>
      <c r="F3122" s="5"/>
      <c r="G3122" s="5">
        <f>IFERROR(__xludf.DUMMYFUNCTION("""COMPUTED_VALUE"""),45796.0)</f>
        <v>45796</v>
      </c>
      <c r="H3122" s="6" t="str">
        <f>IFERROR(__xludf.DUMMYFUNCTION("""COMPUTED_VALUE"""),"https://www.instagram.com/fater.14")</f>
        <v>https://www.instagram.com/fater.14</v>
      </c>
      <c r="I3122" s="5"/>
      <c r="J3122" s="6" t="str">
        <f>IFERROR(__xludf.DUMMYFUNCTION("""COMPUTED_VALUE"""),"https://eitaa.com/fater14")</f>
        <v>https://eitaa.com/fater14</v>
      </c>
      <c r="K3122" s="5"/>
      <c r="L3122" s="5"/>
      <c r="M3122" s="5"/>
      <c r="N3122" s="5"/>
      <c r="O3122" s="5"/>
      <c r="P3122" s="5"/>
      <c r="Q3122" s="5"/>
      <c r="R3122" s="5"/>
      <c r="S3122" s="5"/>
    </row>
    <row r="3123">
      <c r="A3123" s="5">
        <f>IFERROR(__xludf.DUMMYFUNCTION("""COMPUTED_VALUE"""),24271.0)</f>
        <v>24271</v>
      </c>
      <c r="B3123" s="5" t="str">
        <f>IFERROR(__xludf.DUMMYFUNCTION("""COMPUTED_VALUE"""),"هیأت")</f>
        <v>هیأت</v>
      </c>
      <c r="C3123" s="5" t="str">
        <f>IFERROR(__xludf.DUMMYFUNCTION("""COMPUTED_VALUE"""),"منتظران مهدی (عج)")</f>
        <v>منتظران مهدی (عج)</v>
      </c>
      <c r="D3123" s="5" t="str">
        <f>IFERROR(__xludf.DUMMYFUNCTION("""COMPUTED_VALUE"""),"خوزستان")</f>
        <v>خوزستان</v>
      </c>
      <c r="E3123" s="5" t="str">
        <f>IFERROR(__xludf.DUMMYFUNCTION("""COMPUTED_VALUE"""),"ایذه")</f>
        <v>ایذه</v>
      </c>
      <c r="F3123" s="5"/>
      <c r="G3123" s="5">
        <f>IFERROR(__xludf.DUMMYFUNCTION("""COMPUTED_VALUE"""),45796.0)</f>
        <v>45796</v>
      </c>
      <c r="H3123" s="6" t="str">
        <f>IFERROR(__xludf.DUMMYFUNCTION("""COMPUTED_VALUE"""),"https://www.instagram.com/bokaeinfo")</f>
        <v>https://www.instagram.com/bokaeinfo</v>
      </c>
      <c r="I3123" s="6" t="str">
        <f>IFERROR(__xludf.DUMMYFUNCTION("""COMPUTED_VALUE"""),"https://t.me/bokaeinfo")</f>
        <v>https://t.me/bokaeinfo</v>
      </c>
      <c r="J3123" s="6" t="str">
        <f>IFERROR(__xludf.DUMMYFUNCTION("""COMPUTED_VALUE"""),"https://eitaa.com/BokaeInfo")</f>
        <v>https://eitaa.com/BokaeInfo</v>
      </c>
      <c r="K3123" s="5"/>
      <c r="L3123" s="5"/>
      <c r="M3123" s="5"/>
      <c r="N3123" s="5"/>
      <c r="O3123" s="5"/>
      <c r="P3123" s="5"/>
      <c r="Q3123" s="5"/>
      <c r="R3123" s="5"/>
      <c r="S3123" s="5"/>
    </row>
    <row r="3124">
      <c r="A3124" s="5"/>
      <c r="B3124" s="5" t="str">
        <f>IFERROR(__xludf.DUMMYFUNCTION("""COMPUTED_VALUE"""),"هیأت")</f>
        <v>هیأت</v>
      </c>
      <c r="C3124" s="5" t="str">
        <f>IFERROR(__xludf.DUMMYFUNCTION("""COMPUTED_VALUE"""),"الرضا")</f>
        <v>الرضا</v>
      </c>
      <c r="D3124" s="5" t="str">
        <f>IFERROR(__xludf.DUMMYFUNCTION("""COMPUTED_VALUE"""),"خوزستان")</f>
        <v>خوزستان</v>
      </c>
      <c r="E3124" s="5" t="str">
        <f>IFERROR(__xludf.DUMMYFUNCTION("""COMPUTED_VALUE"""),"بندر ماهشهر")</f>
        <v>بندر ماهشهر</v>
      </c>
      <c r="F3124" s="5"/>
      <c r="G3124" s="5">
        <f>IFERROR(__xludf.DUMMYFUNCTION("""COMPUTED_VALUE"""),45796.0)</f>
        <v>45796</v>
      </c>
      <c r="H3124" s="6" t="str">
        <f>IFERROR(__xludf.DUMMYFUNCTION("""COMPUTED_VALUE"""),"https://www.instagram.com/heyatoreza.mahshahr")</f>
        <v>https://www.instagram.com/heyatoreza.mahshahr</v>
      </c>
      <c r="I3124" s="6" t="str">
        <f>IFERROR(__xludf.DUMMYFUNCTION("""COMPUTED_VALUE"""),"https://t.me/Heyatorreza")</f>
        <v>https://t.me/Heyatorreza</v>
      </c>
      <c r="J3124" s="6" t="str">
        <f>IFERROR(__xludf.DUMMYFUNCTION("""COMPUTED_VALUE"""),"https://eitaa.com/heyatorrezaa")</f>
        <v>https://eitaa.com/heyatorrezaa</v>
      </c>
      <c r="K3124" s="5"/>
      <c r="L3124" s="5"/>
      <c r="M3124" s="5"/>
      <c r="N3124" s="5"/>
      <c r="O3124" s="5"/>
      <c r="P3124" s="5"/>
      <c r="Q3124" s="5"/>
      <c r="R3124" s="5"/>
      <c r="S3124" s="5"/>
    </row>
    <row r="3125">
      <c r="A3125" s="5">
        <f>IFERROR(__xludf.DUMMYFUNCTION("""COMPUTED_VALUE"""),20744.0)</f>
        <v>20744</v>
      </c>
      <c r="B3125" s="5" t="str">
        <f>IFERROR(__xludf.DUMMYFUNCTION("""COMPUTED_VALUE"""),"هیأت")</f>
        <v>هیأت</v>
      </c>
      <c r="C3125" s="5" t="str">
        <f>IFERROR(__xludf.DUMMYFUNCTION("""COMPUTED_VALUE"""),"خادم الحسین")</f>
        <v>خادم الحسین</v>
      </c>
      <c r="D3125" s="5" t="str">
        <f>IFERROR(__xludf.DUMMYFUNCTION("""COMPUTED_VALUE"""),"خوزستان")</f>
        <v>خوزستان</v>
      </c>
      <c r="E3125" s="5" t="str">
        <f>IFERROR(__xludf.DUMMYFUNCTION("""COMPUTED_VALUE"""),"بندر ماهشهر")</f>
        <v>بندر ماهشهر</v>
      </c>
      <c r="F3125" s="5"/>
      <c r="G3125" s="5">
        <f>IFERROR(__xludf.DUMMYFUNCTION("""COMPUTED_VALUE"""),45796.0)</f>
        <v>45796</v>
      </c>
      <c r="H3125" s="6" t="str">
        <f>IFERROR(__xludf.DUMMYFUNCTION("""COMPUTED_VALUE"""),"https://www.instagram.com/khoddamalhoseyn")</f>
        <v>https://www.instagram.com/khoddamalhoseyn</v>
      </c>
      <c r="I3125" s="6" t="str">
        <f>IFERROR(__xludf.DUMMYFUNCTION("""COMPUTED_VALUE"""),"https://t.me/khoddamalhooseyn")</f>
        <v>https://t.me/khoddamalhooseyn</v>
      </c>
      <c r="J3125" s="5"/>
      <c r="K3125" s="5"/>
      <c r="L3125" s="5"/>
      <c r="M3125" s="5"/>
      <c r="N3125" s="5"/>
      <c r="O3125" s="5"/>
      <c r="P3125" s="5"/>
      <c r="Q3125" s="5"/>
      <c r="R3125" s="5"/>
      <c r="S3125" s="5"/>
    </row>
    <row r="3126">
      <c r="A3126" s="5"/>
      <c r="B3126" s="5" t="str">
        <f>IFERROR(__xludf.DUMMYFUNCTION("""COMPUTED_VALUE"""),"هیأت")</f>
        <v>هیأت</v>
      </c>
      <c r="C3126" s="5" t="str">
        <f>IFERROR(__xludf.DUMMYFUNCTION("""COMPUTED_VALUE"""),"عزاداران چادر خاکی سلام الله علیها")</f>
        <v>عزاداران چادر خاکی سلام الله علیها</v>
      </c>
      <c r="D3126" s="5" t="str">
        <f>IFERROR(__xludf.DUMMYFUNCTION("""COMPUTED_VALUE"""),"خوزستان")</f>
        <v>خوزستان</v>
      </c>
      <c r="E3126" s="5" t="str">
        <f>IFERROR(__xludf.DUMMYFUNCTION("""COMPUTED_VALUE"""),"بندر ماهشهر")</f>
        <v>بندر ماهشهر</v>
      </c>
      <c r="F3126" s="5" t="str">
        <f>IFERROR(__xludf.DUMMYFUNCTION("""COMPUTED_VALUE"""),"چمران")</f>
        <v>چمران</v>
      </c>
      <c r="G3126" s="5">
        <f>IFERROR(__xludf.DUMMYFUNCTION("""COMPUTED_VALUE"""),45796.0)</f>
        <v>45796</v>
      </c>
      <c r="H3126" s="6" t="str">
        <f>IFERROR(__xludf.DUMMYFUNCTION("""COMPUTED_VALUE"""),"https://www.instagram.com/chadoorkhaki69/")</f>
        <v>https://www.instagram.com/chadoorkhaki69/</v>
      </c>
      <c r="I3126" s="6" t="str">
        <f>IFERROR(__xludf.DUMMYFUNCTION("""COMPUTED_VALUE"""),"https://t.me/chadoorkhaki69")</f>
        <v>https://t.me/chadoorkhaki69</v>
      </c>
      <c r="J3126" s="5"/>
      <c r="K3126" s="5"/>
      <c r="L3126" s="5"/>
      <c r="M3126" s="5"/>
      <c r="N3126" s="5"/>
      <c r="O3126" s="5"/>
      <c r="P3126" s="5"/>
      <c r="Q3126" s="5"/>
      <c r="R3126" s="5"/>
      <c r="S3126" s="5"/>
    </row>
    <row r="3127">
      <c r="A3127" s="5"/>
      <c r="B3127" s="5" t="str">
        <f>IFERROR(__xludf.DUMMYFUNCTION("""COMPUTED_VALUE"""),"هیأت")</f>
        <v>هیأت</v>
      </c>
      <c r="C3127" s="5" t="str">
        <f>IFERROR(__xludf.DUMMYFUNCTION("""COMPUTED_VALUE"""),"کربلا")</f>
        <v>کربلا</v>
      </c>
      <c r="D3127" s="5" t="str">
        <f>IFERROR(__xludf.DUMMYFUNCTION("""COMPUTED_VALUE"""),"خوزستان")</f>
        <v>خوزستان</v>
      </c>
      <c r="E3127" s="5" t="str">
        <f>IFERROR(__xludf.DUMMYFUNCTION("""COMPUTED_VALUE"""),"بندر ماهشهر")</f>
        <v>بندر ماهشهر</v>
      </c>
      <c r="F3127" s="5"/>
      <c r="G3127" s="5">
        <f>IFERROR(__xludf.DUMMYFUNCTION("""COMPUTED_VALUE"""),45796.0)</f>
        <v>45796</v>
      </c>
      <c r="H3127" s="6" t="str">
        <f>IFERROR(__xludf.DUMMYFUNCTION("""COMPUTED_VALUE"""),"https://www.instagram.com/karbala_mahshahr1/")</f>
        <v>https://www.instagram.com/karbala_mahshahr1/</v>
      </c>
      <c r="I3127" s="6" t="str">
        <f>IFERROR(__xludf.DUMMYFUNCTION("""COMPUTED_VALUE"""),"https://t.me/karbala_mahshahr1")</f>
        <v>https://t.me/karbala_mahshahr1</v>
      </c>
      <c r="J3127" s="6" t="str">
        <f>IFERROR(__xludf.DUMMYFUNCTION("""COMPUTED_VALUE"""),"https://eitaa.com/karbala_mahshahr1")</f>
        <v>https://eitaa.com/karbala_mahshahr1</v>
      </c>
      <c r="K3127" s="5"/>
      <c r="L3127" s="5"/>
      <c r="M3127" s="5"/>
      <c r="N3127" s="5"/>
      <c r="O3127" s="5"/>
      <c r="P3127" s="5"/>
      <c r="Q3127" s="5"/>
      <c r="R3127" s="5"/>
      <c r="S3127" s="5"/>
    </row>
    <row r="3128">
      <c r="A3128" s="5"/>
      <c r="B3128" s="5" t="str">
        <f>IFERROR(__xludf.DUMMYFUNCTION("""COMPUTED_VALUE"""),"هیأت")</f>
        <v>هیأت</v>
      </c>
      <c r="C3128" s="5" t="str">
        <f>IFERROR(__xludf.DUMMYFUNCTION("""COMPUTED_VALUE"""),"محبان حضرت رقیه")</f>
        <v>محبان حضرت رقیه</v>
      </c>
      <c r="D3128" s="5" t="str">
        <f>IFERROR(__xludf.DUMMYFUNCTION("""COMPUTED_VALUE"""),"خوزستان")</f>
        <v>خوزستان</v>
      </c>
      <c r="E3128" s="5" t="str">
        <f>IFERROR(__xludf.DUMMYFUNCTION("""COMPUTED_VALUE"""),"بندر ماهشهر")</f>
        <v>بندر ماهشهر</v>
      </c>
      <c r="F3128" s="5"/>
      <c r="G3128" s="5">
        <f>IFERROR(__xludf.DUMMYFUNCTION("""COMPUTED_VALUE"""),45796.0)</f>
        <v>45796</v>
      </c>
      <c r="H3128" s="6" t="str">
        <f>IFERROR(__xludf.DUMMYFUNCTION("""COMPUTED_VALUE"""),"https://www.instagram.com/moheban_roqaye_315/")</f>
        <v>https://www.instagram.com/moheban_roqaye_315/</v>
      </c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</row>
    <row r="3129">
      <c r="A3129" s="5"/>
      <c r="B3129" s="5" t="str">
        <f>IFERROR(__xludf.DUMMYFUNCTION("""COMPUTED_VALUE"""),"هیأت")</f>
        <v>هیأت</v>
      </c>
      <c r="C3129" s="5" t="str">
        <f>IFERROR(__xludf.DUMMYFUNCTION("""COMPUTED_VALUE"""),"عشاق الزهرا«س»")</f>
        <v>عشاق الزهرا«س»</v>
      </c>
      <c r="D3129" s="5" t="str">
        <f>IFERROR(__xludf.DUMMYFUNCTION("""COMPUTED_VALUE"""),"خوزستان")</f>
        <v>خوزستان</v>
      </c>
      <c r="E3129" s="5" t="str">
        <f>IFERROR(__xludf.DUMMYFUNCTION("""COMPUTED_VALUE"""),"بهبهان")</f>
        <v>بهبهان</v>
      </c>
      <c r="F3129" s="5"/>
      <c r="G3129" s="5">
        <f>IFERROR(__xludf.DUMMYFUNCTION("""COMPUTED_VALUE"""),45796.0)</f>
        <v>45796</v>
      </c>
      <c r="H3129" s="6" t="str">
        <f>IFERROR(__xludf.DUMMYFUNCTION("""COMPUTED_VALUE"""),"https://www.instagram.com/oshaghozahra.beh")</f>
        <v>https://www.instagram.com/oshaghozahra.beh</v>
      </c>
      <c r="I3129" s="5"/>
      <c r="J3129" s="6" t="str">
        <f>IFERROR(__xludf.DUMMYFUNCTION("""COMPUTED_VALUE"""),"https://eitaa.com/oshaghozahrabeh")</f>
        <v>https://eitaa.com/oshaghozahrabeh</v>
      </c>
      <c r="K3129" s="5"/>
      <c r="L3129" s="5"/>
      <c r="M3129" s="5"/>
      <c r="N3129" s="5"/>
      <c r="O3129" s="5"/>
      <c r="P3129" s="5"/>
      <c r="Q3129" s="5"/>
      <c r="R3129" s="5"/>
      <c r="S3129" s="5"/>
    </row>
    <row r="3130">
      <c r="A3130" s="5"/>
      <c r="B3130" s="5" t="str">
        <f>IFERROR(__xludf.DUMMYFUNCTION("""COMPUTED_VALUE"""),"هیأت")</f>
        <v>هیأت</v>
      </c>
      <c r="C3130" s="5" t="str">
        <f>IFERROR(__xludf.DUMMYFUNCTION("""COMPUTED_VALUE"""),"بهشت معزالمومنین")</f>
        <v>بهشت معزالمومنین</v>
      </c>
      <c r="D3130" s="5" t="str">
        <f>IFERROR(__xludf.DUMMYFUNCTION("""COMPUTED_VALUE"""),"خوزستان")</f>
        <v>خوزستان</v>
      </c>
      <c r="E3130" s="5" t="str">
        <f>IFERROR(__xludf.DUMMYFUNCTION("""COMPUTED_VALUE"""),"بندر ماهشهر")</f>
        <v>بندر ماهشهر</v>
      </c>
      <c r="F3130" s="5"/>
      <c r="G3130" s="5">
        <f>IFERROR(__xludf.DUMMYFUNCTION("""COMPUTED_VALUE"""),45861.0)</f>
        <v>45861</v>
      </c>
      <c r="H3130" s="6" t="str">
        <f>IFERROR(__xludf.DUMMYFUNCTION("""COMPUTED_VALUE"""),"https://www.instagram.com/behesht_moezolmomenin/")</f>
        <v>https://www.instagram.com/behesht_moezolmomenin/</v>
      </c>
      <c r="I3130" s="6" t="str">
        <f>IFERROR(__xludf.DUMMYFUNCTION("""COMPUTED_VALUE"""),"https://t.me/moezolmomenin_ir")</f>
        <v>https://t.me/moezolmomenin_ir</v>
      </c>
      <c r="J3130" s="6" t="str">
        <f>IFERROR(__xludf.DUMMYFUNCTION("""COMPUTED_VALUE"""),"https://eitaa.com/Moezolmomeninir")</f>
        <v>https://eitaa.com/Moezolmomeninir</v>
      </c>
      <c r="K3130" s="5"/>
      <c r="L3130" s="5"/>
      <c r="M3130" s="5"/>
      <c r="N3130" s="5"/>
      <c r="O3130" s="5"/>
      <c r="P3130" s="5"/>
      <c r="Q3130" s="5"/>
      <c r="R3130" s="5"/>
      <c r="S3130" s="5"/>
    </row>
    <row r="3131">
      <c r="A3131" s="5"/>
      <c r="B3131" s="5" t="str">
        <f>IFERROR(__xludf.DUMMYFUNCTION("""COMPUTED_VALUE"""),"هیأت")</f>
        <v>هیأت</v>
      </c>
      <c r="C3131" s="5" t="str">
        <f>IFERROR(__xludf.DUMMYFUNCTION("""COMPUTED_VALUE"""),"معزالمؤمنین")</f>
        <v>معزالمؤمنین</v>
      </c>
      <c r="D3131" s="5" t="str">
        <f>IFERROR(__xludf.DUMMYFUNCTION("""COMPUTED_VALUE"""),"خوزستان")</f>
        <v>خوزستان</v>
      </c>
      <c r="E3131" s="5" t="str">
        <f>IFERROR(__xludf.DUMMYFUNCTION("""COMPUTED_VALUE"""),"بندر ماهشهر")</f>
        <v>بندر ماهشهر</v>
      </c>
      <c r="F3131" s="5"/>
      <c r="G3131" s="5">
        <f>IFERROR(__xludf.DUMMYFUNCTION("""COMPUTED_VALUE"""),45861.0)</f>
        <v>45861</v>
      </c>
      <c r="H3131" s="6" t="str">
        <f>IFERROR(__xludf.DUMMYFUNCTION("""COMPUTED_VALUE"""),"https://www.instagram.com/moezolmomenin_ir")</f>
        <v>https://www.instagram.com/moezolmomenin_ir</v>
      </c>
      <c r="I3131" s="6" t="str">
        <f>IFERROR(__xludf.DUMMYFUNCTION("""COMPUTED_VALUE"""),"https://t.me/moezolmomenin_ir")</f>
        <v>https://t.me/moezolmomenin_ir</v>
      </c>
      <c r="J3131" s="6" t="str">
        <f>IFERROR(__xludf.DUMMYFUNCTION("""COMPUTED_VALUE"""),"https://eitaa.com/Moezolmomeninir")</f>
        <v>https://eitaa.com/Moezolmomeninir</v>
      </c>
      <c r="K3131" s="5"/>
      <c r="L3131" s="5"/>
      <c r="M3131" s="5"/>
      <c r="N3131" s="5"/>
      <c r="O3131" s="5"/>
      <c r="P3131" s="5"/>
      <c r="Q3131" s="5"/>
      <c r="R3131" s="5"/>
      <c r="S3131" s="5"/>
    </row>
    <row r="3132">
      <c r="A3132" s="5"/>
      <c r="B3132" s="5" t="str">
        <f>IFERROR(__xludf.DUMMYFUNCTION("""COMPUTED_VALUE"""),"هیأت")</f>
        <v>هیأت</v>
      </c>
      <c r="C3132" s="5" t="str">
        <f>IFERROR(__xludf.DUMMYFUNCTION("""COMPUTED_VALUE"""),"محبین امام حسن العسکری")</f>
        <v>محبین امام حسن العسکری</v>
      </c>
      <c r="D3132" s="5" t="str">
        <f>IFERROR(__xludf.DUMMYFUNCTION("""COMPUTED_VALUE"""),"خوزستان")</f>
        <v>خوزستان</v>
      </c>
      <c r="E3132" s="5" t="str">
        <f>IFERROR(__xludf.DUMMYFUNCTION("""COMPUTED_VALUE"""),"بهبهان")</f>
        <v>بهبهان</v>
      </c>
      <c r="F3132" s="5" t="str">
        <f>IFERROR(__xludf.DUMMYFUNCTION("""COMPUTED_VALUE"""),"رمضان")</f>
        <v>رمضان</v>
      </c>
      <c r="G3132" s="5">
        <f>IFERROR(__xludf.DUMMYFUNCTION("""COMPUTED_VALUE"""),45861.0)</f>
        <v>45861</v>
      </c>
      <c r="H3132" s="6" t="str">
        <f>IFERROR(__xludf.DUMMYFUNCTION("""COMPUTED_VALUE"""),"https://www.instagram.com/abamahdi313/")</f>
        <v>https://www.instagram.com/abamahdi313/</v>
      </c>
      <c r="I3132" s="5"/>
      <c r="J3132" s="6" t="str">
        <f>IFERROR(__xludf.DUMMYFUNCTION("""COMPUTED_VALUE"""),"https://eitaa.com/abamahdi")</f>
        <v>https://eitaa.com/abamahdi</v>
      </c>
      <c r="K3132" s="5"/>
      <c r="L3132" s="5"/>
      <c r="M3132" s="5"/>
      <c r="N3132" s="5"/>
      <c r="O3132" s="5"/>
      <c r="P3132" s="5"/>
      <c r="Q3132" s="5"/>
      <c r="R3132" s="5"/>
      <c r="S3132" s="5"/>
    </row>
    <row r="3133">
      <c r="A3133" s="5"/>
      <c r="B3133" s="5" t="str">
        <f>IFERROR(__xludf.DUMMYFUNCTION("""COMPUTED_VALUE"""),"هیأت")</f>
        <v>هیأت</v>
      </c>
      <c r="C3133" s="5" t="str">
        <f>IFERROR(__xludf.DUMMYFUNCTION("""COMPUTED_VALUE"""),"کریم اهل بیت فاطمیه")</f>
        <v>کریم اهل بیت فاطمیه</v>
      </c>
      <c r="D3133" s="5" t="str">
        <f>IFERROR(__xludf.DUMMYFUNCTION("""COMPUTED_VALUE"""),"خوزستان")</f>
        <v>خوزستان</v>
      </c>
      <c r="E3133" s="5" t="str">
        <f>IFERROR(__xludf.DUMMYFUNCTION("""COMPUTED_VALUE"""),"اهواز")</f>
        <v>اهواز</v>
      </c>
      <c r="F3133" s="5"/>
      <c r="G3133" s="5"/>
      <c r="H3133" s="6" t="str">
        <f>IFERROR(__xludf.DUMMYFUNCTION("""COMPUTED_VALUE"""),"https://www.instagram.com/seyyedolkarim")</f>
        <v>https://www.instagram.com/seyyedolkarim</v>
      </c>
      <c r="I3133" s="5"/>
      <c r="J3133" s="6" t="str">
        <f>IFERROR(__xludf.DUMMYFUNCTION("""COMPUTED_VALUE"""),"https://eitaa.com/seyyedolkarim")</f>
        <v>https://eitaa.com/seyyedolkarim</v>
      </c>
      <c r="K3133" s="5"/>
      <c r="L3133" s="5"/>
      <c r="M3133" s="5"/>
      <c r="N3133" s="5"/>
      <c r="O3133" s="5"/>
      <c r="P3133" s="5"/>
      <c r="Q3133" s="5"/>
      <c r="R3133" s="5"/>
      <c r="S3133" s="5"/>
    </row>
    <row r="3134">
      <c r="A3134" s="5">
        <f>IFERROR(__xludf.DUMMYFUNCTION("""COMPUTED_VALUE"""),33027.0)</f>
        <v>33027</v>
      </c>
      <c r="B3134" s="5" t="str">
        <f>IFERROR(__xludf.DUMMYFUNCTION("""COMPUTED_VALUE"""),"هیأت")</f>
        <v>هیأت</v>
      </c>
      <c r="C3134" s="5" t="str">
        <f>IFERROR(__xludf.DUMMYFUNCTION("""COMPUTED_VALUE"""),"آقا امام حسین علیه السلام")</f>
        <v>آقا امام حسین علیه السلام</v>
      </c>
      <c r="D3134" s="5" t="str">
        <f>IFERROR(__xludf.DUMMYFUNCTION("""COMPUTED_VALUE"""),"خوزستان")</f>
        <v>خوزستان</v>
      </c>
      <c r="E3134" s="5" t="str">
        <f>IFERROR(__xludf.DUMMYFUNCTION("""COMPUTED_VALUE"""),"خرمشهر")</f>
        <v>خرمشهر</v>
      </c>
      <c r="F3134" s="5"/>
      <c r="G3134" s="5"/>
      <c r="H3134" s="6" t="str">
        <f>IFERROR(__xludf.DUMMYFUNCTION("""COMPUTED_VALUE"""),"https://www.instagram.com/heiat.official/")</f>
        <v>https://www.instagram.com/heiat.official/</v>
      </c>
      <c r="I3134" s="5"/>
      <c r="J3134" s="6" t="str">
        <f>IFERROR(__xludf.DUMMYFUNCTION("""COMPUTED_VALUE"""),"https://eitaa.com/heiateitaa")</f>
        <v>https://eitaa.com/heiateitaa</v>
      </c>
      <c r="K3134" s="5"/>
      <c r="L3134" s="5"/>
      <c r="M3134" s="5"/>
      <c r="N3134" s="5"/>
      <c r="O3134" s="5"/>
      <c r="P3134" s="5"/>
      <c r="Q3134" s="5"/>
      <c r="R3134" s="5"/>
      <c r="S3134" s="5"/>
    </row>
    <row r="3135">
      <c r="A3135" s="5">
        <f>IFERROR(__xludf.DUMMYFUNCTION("""COMPUTED_VALUE"""),32151.0)</f>
        <v>32151</v>
      </c>
      <c r="B3135" s="5" t="str">
        <f>IFERROR(__xludf.DUMMYFUNCTION("""COMPUTED_VALUE"""),"موسسه")</f>
        <v>موسسه</v>
      </c>
      <c r="C3135" s="5" t="str">
        <f>IFERROR(__xludf.DUMMYFUNCTION("""COMPUTED_VALUE"""),"سه شنبه های مهدوی")</f>
        <v>سه شنبه های مهدوی</v>
      </c>
      <c r="D3135" s="5" t="str">
        <f>IFERROR(__xludf.DUMMYFUNCTION("""COMPUTED_VALUE"""),"خوزستان")</f>
        <v>خوزستان</v>
      </c>
      <c r="E3135" s="5" t="str">
        <f>IFERROR(__xludf.DUMMYFUNCTION("""COMPUTED_VALUE"""),"آبادان")</f>
        <v>آبادان</v>
      </c>
      <c r="F3135" s="5"/>
      <c r="G3135" s="5">
        <f>IFERROR(__xludf.DUMMYFUNCTION("""COMPUTED_VALUE"""),2.0)</f>
        <v>2</v>
      </c>
      <c r="H3135" s="5"/>
      <c r="I3135" s="5"/>
      <c r="J3135" s="6" t="str">
        <f>IFERROR(__xludf.DUMMYFUNCTION("""COMPUTED_VALUE"""),"https://eitaa.com/sshanbehaye_mahdavi_abadan")</f>
        <v>https://eitaa.com/sshanbehaye_mahdavi_abadan</v>
      </c>
      <c r="K3135" s="5"/>
      <c r="L3135" s="5"/>
      <c r="M3135" s="5"/>
      <c r="N3135" s="5"/>
      <c r="O3135" s="5"/>
      <c r="P3135" s="5"/>
      <c r="Q3135" s="5"/>
      <c r="R3135" s="5"/>
      <c r="S3135" s="5"/>
    </row>
    <row r="3136">
      <c r="A3136" s="5"/>
      <c r="B3136" s="5" t="str">
        <f>IFERROR(__xludf.DUMMYFUNCTION("""COMPUTED_VALUE"""),"مداح")</f>
        <v>مداح</v>
      </c>
      <c r="C3136" s="5" t="str">
        <f>IFERROR(__xludf.DUMMYFUNCTION("""COMPUTED_VALUE"""),"مصطفی مروانی")</f>
        <v>مصطفی مروانی</v>
      </c>
      <c r="D3136" s="5" t="str">
        <f>IFERROR(__xludf.DUMMYFUNCTION("""COMPUTED_VALUE"""),"خوزستان")</f>
        <v>خوزستان</v>
      </c>
      <c r="E3136" s="5" t="str">
        <f>IFERROR(__xludf.DUMMYFUNCTION("""COMPUTED_VALUE"""),"اهواز")</f>
        <v>اهواز</v>
      </c>
      <c r="F3136" s="5"/>
      <c r="G3136" s="5"/>
      <c r="H3136" s="6" t="str">
        <f>IFERROR(__xludf.DUMMYFUNCTION("""COMPUTED_VALUE"""),"https://www.instagram.com/mostafa_marvani")</f>
        <v>https://www.instagram.com/mostafa_marvani</v>
      </c>
      <c r="I3136" s="5"/>
      <c r="J3136" s="6" t="str">
        <f>IFERROR(__xludf.DUMMYFUNCTION("""COMPUTED_VALUE"""),"https://rubika.ir/marvani_mostafa")</f>
        <v>https://rubika.ir/marvani_mostafa</v>
      </c>
      <c r="K3136" s="5"/>
      <c r="L3136" s="5"/>
      <c r="M3136" s="5"/>
      <c r="N3136" s="5"/>
      <c r="O3136" s="5"/>
      <c r="P3136" s="5"/>
      <c r="Q3136" s="5"/>
      <c r="R3136" s="5"/>
      <c r="S3136" s="5"/>
    </row>
    <row r="3137">
      <c r="A3137" s="5">
        <f>IFERROR(__xludf.DUMMYFUNCTION("""COMPUTED_VALUE"""),29322.0)</f>
        <v>29322</v>
      </c>
      <c r="B3137" s="5" t="str">
        <f>IFERROR(__xludf.DUMMYFUNCTION("""COMPUTED_VALUE"""),"خبرگزاری")</f>
        <v>خبرگزاری</v>
      </c>
      <c r="C3137" s="5" t="str">
        <f>IFERROR(__xludf.DUMMYFUNCTION("""COMPUTED_VALUE"""),"بسیج دانشجویی ")</f>
        <v>بسیج دانشجویی </v>
      </c>
      <c r="D3137" s="5" t="str">
        <f>IFERROR(__xludf.DUMMYFUNCTION("""COMPUTED_VALUE"""),"خوزستان")</f>
        <v>خوزستان</v>
      </c>
      <c r="E3137" s="5" t="str">
        <f>IFERROR(__xludf.DUMMYFUNCTION("""COMPUTED_VALUE"""),"بستان")</f>
        <v>بستان</v>
      </c>
      <c r="F3137" s="5" t="str">
        <f>IFERROR(__xludf.DUMMYFUNCTION("""COMPUTED_VALUE"""),"‍")</f>
        <v>‍</v>
      </c>
      <c r="G3137" s="5"/>
      <c r="H3137" s="5"/>
      <c r="I3137" s="5"/>
      <c r="J3137" s="6" t="str">
        <f>IFERROR(__xludf.DUMMYFUNCTION("""COMPUTED_VALUE"""),"https://eitaa.com/basijnews_DashtAzadagan")</f>
        <v>https://eitaa.com/basijnews_DashtAzadagan</v>
      </c>
      <c r="K3137" s="5"/>
      <c r="L3137" s="5"/>
      <c r="M3137" s="5"/>
      <c r="N3137" s="5"/>
      <c r="O3137" s="5"/>
      <c r="P3137" s="5"/>
      <c r="Q3137" s="5"/>
      <c r="R3137" s="5"/>
      <c r="S3137" s="5"/>
    </row>
    <row r="3138">
      <c r="A3138" s="5">
        <f>IFERROR(__xludf.DUMMYFUNCTION("""COMPUTED_VALUE"""),20733.0)</f>
        <v>20733</v>
      </c>
      <c r="B3138" s="5" t="str">
        <f>IFERROR(__xludf.DUMMYFUNCTION("""COMPUTED_VALUE"""),"هیأت")</f>
        <v>هیأت</v>
      </c>
      <c r="C3138" s="5" t="str">
        <f>IFERROR(__xludf.DUMMYFUNCTION("""COMPUTED_VALUE"""),"منتظران حضرت مهدی (عج)")</f>
        <v>منتظران حضرت مهدی (عج)</v>
      </c>
      <c r="D3138" s="5" t="str">
        <f>IFERROR(__xludf.DUMMYFUNCTION("""COMPUTED_VALUE"""),"خوزستان")</f>
        <v>خوزستان</v>
      </c>
      <c r="E3138" s="5" t="str">
        <f>IFERROR(__xludf.DUMMYFUNCTION("""COMPUTED_VALUE"""),"بهبهان")</f>
        <v>بهبهان</v>
      </c>
      <c r="F3138" s="5"/>
      <c r="G3138" s="5">
        <f>IFERROR(__xludf.DUMMYFUNCTION("""COMPUTED_VALUE"""),45796.0)</f>
        <v>45796</v>
      </c>
      <c r="H3138" s="6" t="str">
        <f>IFERROR(__xludf.DUMMYFUNCTION("""COMPUTED_VALUE"""),"https://www.instagram.com/tajil_ir/")</f>
        <v>https://www.instagram.com/tajil_ir/</v>
      </c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</row>
    <row r="3139">
      <c r="A3139" s="5">
        <f>IFERROR(__xludf.DUMMYFUNCTION("""COMPUTED_VALUE"""),30116.0)</f>
        <v>30116</v>
      </c>
      <c r="B3139" s="5" t="str">
        <f>IFERROR(__xludf.DUMMYFUNCTION("""COMPUTED_VALUE"""),"هیأت")</f>
        <v>هیأت</v>
      </c>
      <c r="C3139" s="5" t="str">
        <f>IFERROR(__xludf.DUMMYFUNCTION("""COMPUTED_VALUE"""),"موسسه فرهنگی هنری سراج")</f>
        <v>موسسه فرهنگی هنری سراج</v>
      </c>
      <c r="D3139" s="5" t="str">
        <f>IFERROR(__xludf.DUMMYFUNCTION("""COMPUTED_VALUE"""),"خوزستان")</f>
        <v>خوزستان</v>
      </c>
      <c r="E3139" s="5" t="str">
        <f>IFERROR(__xludf.DUMMYFUNCTION("""COMPUTED_VALUE"""),"بهبهان")</f>
        <v>بهبهان</v>
      </c>
      <c r="F3139" s="5"/>
      <c r="G3139" s="5">
        <f>IFERROR(__xludf.DUMMYFUNCTION("""COMPUTED_VALUE"""),1.0)</f>
        <v>1</v>
      </c>
      <c r="H3139" s="6" t="str">
        <f>IFERROR(__xludf.DUMMYFUNCTION("""COMPUTED_VALUE"""),"https://www.instagram.com/seraj_behbahan/")</f>
        <v>https://www.instagram.com/seraj_behbahan/</v>
      </c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</row>
    <row r="3140">
      <c r="A3140" s="5">
        <f>IFERROR(__xludf.DUMMYFUNCTION("""COMPUTED_VALUE"""),31885.0)</f>
        <v>31885</v>
      </c>
      <c r="B3140" s="5" t="str">
        <f>IFERROR(__xludf.DUMMYFUNCTION("""COMPUTED_VALUE"""),"هیأت")</f>
        <v>هیأت</v>
      </c>
      <c r="C3140" s="5" t="str">
        <f>IFERROR(__xludf.DUMMYFUNCTION("""COMPUTED_VALUE"""),"ام البنین (س)")</f>
        <v>ام البنین (س)</v>
      </c>
      <c r="D3140" s="5" t="str">
        <f>IFERROR(__xludf.DUMMYFUNCTION("""COMPUTED_VALUE"""),"خوزستان")</f>
        <v>خوزستان</v>
      </c>
      <c r="E3140" s="5" t="str">
        <f>IFERROR(__xludf.DUMMYFUNCTION("""COMPUTED_VALUE"""),"خرمشهر")</f>
        <v>خرمشهر</v>
      </c>
      <c r="F3140" s="5"/>
      <c r="G3140" s="5">
        <f>IFERROR(__xludf.DUMMYFUNCTION("""COMPUTED_VALUE"""),1.0)</f>
        <v>1</v>
      </c>
      <c r="H3140" s="6" t="str">
        <f>IFERROR(__xludf.DUMMYFUNCTION("""COMPUTED_VALUE"""),"https://www.instagram.com/zohrabpours/")</f>
        <v>https://www.instagram.com/zohrabpours/</v>
      </c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</row>
    <row r="3141">
      <c r="A3141" s="5">
        <f>IFERROR(__xludf.DUMMYFUNCTION("""COMPUTED_VALUE"""),32665.0)</f>
        <v>32665</v>
      </c>
      <c r="B3141" s="5" t="str">
        <f>IFERROR(__xludf.DUMMYFUNCTION("""COMPUTED_VALUE"""),"هیأت")</f>
        <v>هیأت</v>
      </c>
      <c r="C3141" s="5" t="str">
        <f>IFERROR(__xludf.DUMMYFUNCTION("""COMPUTED_VALUE"""),"انصارالمهدی")</f>
        <v>انصارالمهدی</v>
      </c>
      <c r="D3141" s="5" t="str">
        <f>IFERROR(__xludf.DUMMYFUNCTION("""COMPUTED_VALUE"""),"خوزستان")</f>
        <v>خوزستان</v>
      </c>
      <c r="E3141" s="5" t="str">
        <f>IFERROR(__xludf.DUMMYFUNCTION("""COMPUTED_VALUE"""),"خرمشهر")</f>
        <v>خرمشهر</v>
      </c>
      <c r="F3141" s="5" t="str">
        <f>IFERROR(__xludf.DUMMYFUNCTION("""COMPUTED_VALUE"""),"خرمشهر خیابان نقدی مسجد امام محمدباقر(ع)")</f>
        <v>خرمشهر خیابان نقدی مسجد امام محمدباقر(ع)</v>
      </c>
      <c r="G3141" s="5">
        <f>IFERROR(__xludf.DUMMYFUNCTION("""COMPUTED_VALUE"""),45796.0)</f>
        <v>45796</v>
      </c>
      <c r="H3141" s="6" t="str">
        <f>IFERROR(__xludf.DUMMYFUNCTION("""COMPUTED_VALUE"""),"https://www.instagram.com/ansaralmahdi_kh")</f>
        <v>https://www.instagram.com/ansaralmahdi_kh</v>
      </c>
      <c r="I3141" s="5"/>
      <c r="J3141" s="6" t="str">
        <f>IFERROR(__xludf.DUMMYFUNCTION("""COMPUTED_VALUE"""),"https://eitaa.com/Ansaralmahdi_kho")</f>
        <v>https://eitaa.com/Ansaralmahdi_kho</v>
      </c>
      <c r="K3141" s="5"/>
      <c r="L3141" s="5"/>
      <c r="M3141" s="5"/>
      <c r="N3141" s="5"/>
      <c r="O3141" s="5"/>
      <c r="P3141" s="5"/>
      <c r="Q3141" s="5"/>
      <c r="R3141" s="5"/>
      <c r="S3141" s="5"/>
    </row>
    <row r="3142">
      <c r="A3142" s="5"/>
      <c r="B3142" s="5" t="str">
        <f>IFERROR(__xludf.DUMMYFUNCTION("""COMPUTED_VALUE"""),"هیأت ")</f>
        <v>هیأت </v>
      </c>
      <c r="C3142" s="5" t="str">
        <f>IFERROR(__xludf.DUMMYFUNCTION("""COMPUTED_VALUE"""),"انصارالمهدی(عج)")</f>
        <v>انصارالمهدی(عج)</v>
      </c>
      <c r="D3142" s="5" t="str">
        <f>IFERROR(__xludf.DUMMYFUNCTION("""COMPUTED_VALUE"""),"خوزستان")</f>
        <v>خوزستان</v>
      </c>
      <c r="E3142" s="5" t="str">
        <f>IFERROR(__xludf.DUMMYFUNCTION("""COMPUTED_VALUE"""),"خرمشهر")</f>
        <v>خرمشهر</v>
      </c>
      <c r="F3142" s="5"/>
      <c r="G3142" s="5">
        <f>IFERROR(__xludf.DUMMYFUNCTION("""COMPUTED_VALUE"""),3.0)</f>
        <v>3</v>
      </c>
      <c r="H3142" s="5"/>
      <c r="I3142" s="5"/>
      <c r="J3142" s="6" t="str">
        <f>IFERROR(__xludf.DUMMYFUNCTION("""COMPUTED_VALUE"""),"https://eitaa.com/Ansaralmahdi_kho")</f>
        <v>https://eitaa.com/Ansaralmahdi_kho</v>
      </c>
      <c r="K3142" s="5"/>
      <c r="L3142" s="5"/>
      <c r="M3142" s="5"/>
      <c r="N3142" s="5"/>
      <c r="O3142" s="5"/>
      <c r="P3142" s="5"/>
      <c r="Q3142" s="5"/>
      <c r="R3142" s="5"/>
      <c r="S3142" s="5"/>
    </row>
    <row r="3143">
      <c r="A3143" s="5"/>
      <c r="B3143" s="5" t="str">
        <f>IFERROR(__xludf.DUMMYFUNCTION("""COMPUTED_VALUE"""),"حسینیه")</f>
        <v>حسینیه</v>
      </c>
      <c r="C3143" s="5" t="str">
        <f>IFERROR(__xludf.DUMMYFUNCTION("""COMPUTED_VALUE"""),"دار الأمام الرضا صلوات الله عليه")</f>
        <v>دار الأمام الرضا صلوات الله عليه</v>
      </c>
      <c r="D3143" s="5" t="str">
        <f>IFERROR(__xludf.DUMMYFUNCTION("""COMPUTED_VALUE"""),"خوزستان")</f>
        <v>خوزستان</v>
      </c>
      <c r="E3143" s="5" t="str">
        <f>IFERROR(__xludf.DUMMYFUNCTION("""COMPUTED_VALUE"""),"خرمشهر")</f>
        <v>خرمشهر</v>
      </c>
      <c r="F3143" s="5"/>
      <c r="G3143" s="5">
        <f>IFERROR(__xludf.DUMMYFUNCTION("""COMPUTED_VALUE"""),3.0)</f>
        <v>3</v>
      </c>
      <c r="H3143" s="6" t="str">
        <f>IFERROR(__xludf.DUMMYFUNCTION("""COMPUTED_VALUE"""),"https://www.instagram.com/dar.al.imam.alreza/")</f>
        <v>https://www.instagram.com/dar.al.imam.alreza/</v>
      </c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</row>
    <row r="3144">
      <c r="A3144" s="5"/>
      <c r="B3144" s="5" t="str">
        <f>IFERROR(__xludf.DUMMYFUNCTION("""COMPUTED_VALUE"""),"هیأت")</f>
        <v>هیأت</v>
      </c>
      <c r="C3144" s="5" t="str">
        <f>IFERROR(__xludf.DUMMYFUNCTION("""COMPUTED_VALUE"""),"شباب القاسم")</f>
        <v>شباب القاسم</v>
      </c>
      <c r="D3144" s="5" t="str">
        <f>IFERROR(__xludf.DUMMYFUNCTION("""COMPUTED_VALUE"""),"خوزستان")</f>
        <v>خوزستان</v>
      </c>
      <c r="E3144" s="5" t="str">
        <f>IFERROR(__xludf.DUMMYFUNCTION("""COMPUTED_VALUE"""),"خرمشهر")</f>
        <v>خرمشهر</v>
      </c>
      <c r="F3144" s="5"/>
      <c r="G3144" s="5"/>
      <c r="H3144" s="6" t="str">
        <f>IFERROR(__xludf.DUMMYFUNCTION("""COMPUTED_VALUE"""),"https://www.instagram.com/mwkib.shbabalqasim")</f>
        <v>https://www.instagram.com/mwkib.shbabalqasim</v>
      </c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</row>
    <row r="3145">
      <c r="A3145" s="5"/>
      <c r="B3145" s="5" t="str">
        <f>IFERROR(__xludf.DUMMYFUNCTION("""COMPUTED_VALUE"""),"هیأت ")</f>
        <v>هیأت </v>
      </c>
      <c r="C3145" s="5" t="str">
        <f>IFERROR(__xludf.DUMMYFUNCTION("""COMPUTED_VALUE"""),"شهدای گمنام")</f>
        <v>شهدای گمنام</v>
      </c>
      <c r="D3145" s="5" t="str">
        <f>IFERROR(__xludf.DUMMYFUNCTION("""COMPUTED_VALUE"""),"خوزستان")</f>
        <v>خوزستان</v>
      </c>
      <c r="E3145" s="5" t="str">
        <f>IFERROR(__xludf.DUMMYFUNCTION("""COMPUTED_VALUE"""),"خرمشهر")</f>
        <v>خرمشهر</v>
      </c>
      <c r="F3145" s="5"/>
      <c r="G3145" s="5"/>
      <c r="H3145" s="6" t="str">
        <f>IFERROR(__xludf.DUMMYFUNCTION("""COMPUTED_VALUE"""),"https://www.instagram.com/shohada_gomnam_khoramshahr/")</f>
        <v>https://www.instagram.com/shohada_gomnam_khoramshahr/</v>
      </c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</row>
    <row r="3146">
      <c r="A3146" s="5">
        <f>IFERROR(__xludf.DUMMYFUNCTION("""COMPUTED_VALUE"""),27341.0)</f>
        <v>27341</v>
      </c>
      <c r="B3146" s="5" t="str">
        <f>IFERROR(__xludf.DUMMYFUNCTION("""COMPUTED_VALUE"""),"هیأت")</f>
        <v>هیأت</v>
      </c>
      <c r="C3146" s="5" t="str">
        <f>IFERROR(__xludf.DUMMYFUNCTION("""COMPUTED_VALUE"""),"عشاق حضرت رقیه (س)")</f>
        <v>عشاق حضرت رقیه (س)</v>
      </c>
      <c r="D3146" s="5" t="str">
        <f>IFERROR(__xludf.DUMMYFUNCTION("""COMPUTED_VALUE"""),"خوزستان")</f>
        <v>خوزستان</v>
      </c>
      <c r="E3146" s="5" t="str">
        <f>IFERROR(__xludf.DUMMYFUNCTION("""COMPUTED_VALUE"""),"خرمشهر")</f>
        <v>خرمشهر</v>
      </c>
      <c r="F3146" s="5"/>
      <c r="G3146" s="5"/>
      <c r="H3146" s="6" t="str">
        <f>IFERROR(__xludf.DUMMYFUNCTION("""COMPUTED_VALUE"""),"https://www.instagram.com/heyat_hazrat_roghaye/")</f>
        <v>https://www.instagram.com/heyat_hazrat_roghaye/</v>
      </c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</row>
    <row r="3147">
      <c r="A3147" s="5">
        <f>IFERROR(__xludf.DUMMYFUNCTION("""COMPUTED_VALUE"""),31513.0)</f>
        <v>31513</v>
      </c>
      <c r="B3147" s="5" t="str">
        <f>IFERROR(__xludf.DUMMYFUNCTION("""COMPUTED_VALUE"""),"هیأت")</f>
        <v>هیأت</v>
      </c>
      <c r="C3147" s="5" t="str">
        <f>IFERROR(__xludf.DUMMYFUNCTION("""COMPUTED_VALUE"""),"قطیع‌ الکفین")</f>
        <v>قطیع‌ الکفین</v>
      </c>
      <c r="D3147" s="5" t="str">
        <f>IFERROR(__xludf.DUMMYFUNCTION("""COMPUTED_VALUE"""),"خوزستان")</f>
        <v>خوزستان</v>
      </c>
      <c r="E3147" s="5" t="str">
        <f>IFERROR(__xludf.DUMMYFUNCTION("""COMPUTED_VALUE"""),"خرمشهر")</f>
        <v>خرمشهر</v>
      </c>
      <c r="F3147" s="5"/>
      <c r="G3147" s="5"/>
      <c r="H3147" s="6" t="str">
        <f>IFERROR(__xludf.DUMMYFUNCTION("""COMPUTED_VALUE"""),"https://www.instagram.com/heyat.ghatia.alkafain/")</f>
        <v>https://www.instagram.com/heyat.ghatia.alkafain/</v>
      </c>
      <c r="I3147" s="6" t="str">
        <f>IFERROR(__xludf.DUMMYFUNCTION("""COMPUTED_VALUE"""),"http://t.me/heyat_ghatia_alkafain")</f>
        <v>http://t.me/heyat_ghatia_alkafain</v>
      </c>
      <c r="J3147" s="5"/>
      <c r="K3147" s="5"/>
      <c r="L3147" s="5"/>
      <c r="M3147" s="5"/>
      <c r="N3147" s="5"/>
      <c r="O3147" s="5"/>
      <c r="P3147" s="5"/>
      <c r="Q3147" s="5"/>
      <c r="R3147" s="5"/>
      <c r="S3147" s="5"/>
    </row>
    <row r="3148">
      <c r="A3148" s="5"/>
      <c r="B3148" s="5" t="str">
        <f>IFERROR(__xludf.DUMMYFUNCTION("""COMPUTED_VALUE"""),"هیأت ")</f>
        <v>هیأت </v>
      </c>
      <c r="C3148" s="5" t="str">
        <f>IFERROR(__xludf.DUMMYFUNCTION("""COMPUTED_VALUE"""),"قمرالعشیره(ع)")</f>
        <v>قمرالعشیره(ع)</v>
      </c>
      <c r="D3148" s="5" t="str">
        <f>IFERROR(__xludf.DUMMYFUNCTION("""COMPUTED_VALUE"""),"خوزستان")</f>
        <v>خوزستان</v>
      </c>
      <c r="E3148" s="5" t="str">
        <f>IFERROR(__xludf.DUMMYFUNCTION("""COMPUTED_VALUE"""),"خرمشهر")</f>
        <v>خرمشهر</v>
      </c>
      <c r="F3148" s="5" t="str">
        <f>IFERROR(__xludf.DUMMYFUNCTION("""COMPUTED_VALUE"""),"مسجد فاطمه الزهرا (س)")</f>
        <v>مسجد فاطمه الزهرا (س)</v>
      </c>
      <c r="G3148" s="5"/>
      <c r="H3148" s="6" t="str">
        <f>IFERROR(__xludf.DUMMYFUNCTION("""COMPUTED_VALUE"""),"https://www.instagram.com/ghamar.alashireh_kh/")</f>
        <v>https://www.instagram.com/ghamar.alashireh_kh/</v>
      </c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</row>
    <row r="3149">
      <c r="A3149" s="5"/>
      <c r="B3149" s="5" t="str">
        <f>IFERROR(__xludf.DUMMYFUNCTION("""COMPUTED_VALUE"""),"هیأت")</f>
        <v>هیأت</v>
      </c>
      <c r="C3149" s="5" t="str">
        <f>IFERROR(__xludf.DUMMYFUNCTION("""COMPUTED_VALUE"""),"لواء سیدة زینب")</f>
        <v>لواء سیدة زینب</v>
      </c>
      <c r="D3149" s="5" t="str">
        <f>IFERROR(__xludf.DUMMYFUNCTION("""COMPUTED_VALUE"""),"خوزستان")</f>
        <v>خوزستان</v>
      </c>
      <c r="E3149" s="5" t="str">
        <f>IFERROR(__xludf.DUMMYFUNCTION("""COMPUTED_VALUE"""),"خرمشهر")</f>
        <v>خرمشهر</v>
      </c>
      <c r="F3149" s="5"/>
      <c r="G3149" s="5"/>
      <c r="H3149" s="6" t="str">
        <f>IFERROR(__xludf.DUMMYFUNCTION("""COMPUTED_VALUE"""),"https://www.instagram.com/lwaa.zainab_1432/")</f>
        <v>https://www.instagram.com/lwaa.zainab_1432/</v>
      </c>
      <c r="I3149" s="6" t="str">
        <f>IFERROR(__xludf.DUMMYFUNCTION("""COMPUTED_VALUE"""),"https://t.me/tl_lwaa_zainab_1432")</f>
        <v>https://t.me/tl_lwaa_zainab_1432</v>
      </c>
      <c r="J3149" s="5"/>
      <c r="K3149" s="5"/>
      <c r="L3149" s="5"/>
      <c r="M3149" s="5"/>
      <c r="N3149" s="5"/>
      <c r="O3149" s="5"/>
      <c r="P3149" s="5"/>
      <c r="Q3149" s="5"/>
      <c r="R3149" s="5"/>
      <c r="S3149" s="5"/>
    </row>
    <row r="3150">
      <c r="A3150" s="5"/>
      <c r="B3150" s="5" t="str">
        <f>IFERROR(__xludf.DUMMYFUNCTION("""COMPUTED_VALUE"""),"هیأت دانشجویی")</f>
        <v>هیأت دانشجویی</v>
      </c>
      <c r="C3150" s="5" t="str">
        <f>IFERROR(__xludf.DUMMYFUNCTION("""COMPUTED_VALUE"""),"محبان اهل بیت")</f>
        <v>محبان اهل بیت</v>
      </c>
      <c r="D3150" s="5" t="str">
        <f>IFERROR(__xludf.DUMMYFUNCTION("""COMPUTED_VALUE"""),"خوزستان")</f>
        <v>خوزستان</v>
      </c>
      <c r="E3150" s="5" t="str">
        <f>IFERROR(__xludf.DUMMYFUNCTION("""COMPUTED_VALUE"""),"خرمشهر")</f>
        <v>خرمشهر</v>
      </c>
      <c r="F3150" s="5" t="str">
        <f>IFERROR(__xludf.DUMMYFUNCTION("""COMPUTED_VALUE"""),"دانشگاه علوم وفنون دریایی خرمشهر")</f>
        <v>دانشگاه علوم وفنون دریایی خرمشهر</v>
      </c>
      <c r="G3150" s="5"/>
      <c r="H3150" s="6" t="str">
        <f>IFERROR(__xludf.DUMMYFUNCTION("""COMPUTED_VALUE"""),"https://www.instagram.com/heyetkmsu")</f>
        <v>https://www.instagram.com/heyetkmsu</v>
      </c>
      <c r="I3150" s="5"/>
      <c r="J3150" s="6" t="str">
        <f>IFERROR(__xludf.DUMMYFUNCTION("""COMPUTED_VALUE"""),"https://eitaa.com/heyetkmsu")</f>
        <v>https://eitaa.com/heyetkmsu</v>
      </c>
      <c r="K3150" s="5"/>
      <c r="L3150" s="5"/>
      <c r="M3150" s="5"/>
      <c r="N3150" s="5"/>
      <c r="O3150" s="5"/>
      <c r="P3150" s="5"/>
      <c r="Q3150" s="5"/>
      <c r="R3150" s="5"/>
      <c r="S3150" s="5"/>
    </row>
    <row r="3151">
      <c r="A3151" s="5"/>
      <c r="B3151" s="5" t="str">
        <f>IFERROR(__xludf.DUMMYFUNCTION("""COMPUTED_VALUE"""),"حسینیه")</f>
        <v>حسینیه</v>
      </c>
      <c r="C3151" s="5" t="str">
        <f>IFERROR(__xludf.DUMMYFUNCTION("""COMPUTED_VALUE"""),"محمد رسول الله(ص)")</f>
        <v>محمد رسول الله(ص)</v>
      </c>
      <c r="D3151" s="5" t="str">
        <f>IFERROR(__xludf.DUMMYFUNCTION("""COMPUTED_VALUE"""),"خوزستان")</f>
        <v>خوزستان</v>
      </c>
      <c r="E3151" s="5" t="str">
        <f>IFERROR(__xludf.DUMMYFUNCTION("""COMPUTED_VALUE"""),"خرمشهر")</f>
        <v>خرمشهر</v>
      </c>
      <c r="F3151" s="5"/>
      <c r="G3151" s="5"/>
      <c r="H3151" s="6" t="str">
        <f>IFERROR(__xludf.DUMMYFUNCTION("""COMPUTED_VALUE"""),"https://www.instagram.com/hosseineh_mohamad_rasoulallah/")</f>
        <v>https://www.instagram.com/hosseineh_mohamad_rasoulallah/</v>
      </c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</row>
    <row r="3152">
      <c r="A3152" s="5"/>
      <c r="B3152" s="5" t="str">
        <f>IFERROR(__xludf.DUMMYFUNCTION("""COMPUTED_VALUE"""),"هیأت")</f>
        <v>هیأت</v>
      </c>
      <c r="C3152" s="5" t="str">
        <f>IFERROR(__xludf.DUMMYFUNCTION("""COMPUTED_VALUE"""),"مکتب الزهرا")</f>
        <v>مکتب الزهرا</v>
      </c>
      <c r="D3152" s="5" t="str">
        <f>IFERROR(__xludf.DUMMYFUNCTION("""COMPUTED_VALUE"""),"خوزستان")</f>
        <v>خوزستان</v>
      </c>
      <c r="E3152" s="5" t="str">
        <f>IFERROR(__xludf.DUMMYFUNCTION("""COMPUTED_VALUE"""),"خرمشهر")</f>
        <v>خرمشهر</v>
      </c>
      <c r="F3152" s="5"/>
      <c r="G3152" s="5"/>
      <c r="H3152" s="6" t="str">
        <f>IFERROR(__xludf.DUMMYFUNCTION("""COMPUTED_VALUE"""),"https://www.instagram.com/hmz.kh/")</f>
        <v>https://www.instagram.com/hmz.kh/</v>
      </c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</row>
    <row r="3153">
      <c r="A3153" s="5"/>
      <c r="B3153" s="5" t="str">
        <f>IFERROR(__xludf.DUMMYFUNCTION("""COMPUTED_VALUE"""),"هیأت")</f>
        <v>هیأت</v>
      </c>
      <c r="C3153" s="5" t="str">
        <f>IFERROR(__xludf.DUMMYFUNCTION("""COMPUTED_VALUE"""),"منتظران صاحب الزمان")</f>
        <v>منتظران صاحب الزمان</v>
      </c>
      <c r="D3153" s="5" t="str">
        <f>IFERROR(__xludf.DUMMYFUNCTION("""COMPUTED_VALUE"""),"خوزستان")</f>
        <v>خوزستان</v>
      </c>
      <c r="E3153" s="5" t="str">
        <f>IFERROR(__xludf.DUMMYFUNCTION("""COMPUTED_VALUE"""),"خرمشهر")</f>
        <v>خرمشهر</v>
      </c>
      <c r="F3153" s="5"/>
      <c r="G3153" s="5"/>
      <c r="H3153" s="6" t="str">
        <f>IFERROR(__xludf.DUMMYFUNCTION("""COMPUTED_VALUE"""),"https://www.instagram.com/montazeran_1427/")</f>
        <v>https://www.instagram.com/montazeran_1427/</v>
      </c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</row>
    <row r="3154">
      <c r="A3154" s="5"/>
      <c r="B3154" s="5" t="str">
        <f>IFERROR(__xludf.DUMMYFUNCTION("""COMPUTED_VALUE"""),"هیأت")</f>
        <v>هیأت</v>
      </c>
      <c r="C3154" s="5" t="str">
        <f>IFERROR(__xludf.DUMMYFUNCTION("""COMPUTED_VALUE"""),"الرسول")</f>
        <v>الرسول</v>
      </c>
      <c r="D3154" s="5" t="str">
        <f>IFERROR(__xludf.DUMMYFUNCTION("""COMPUTED_VALUE"""),"خوزستان")</f>
        <v>خوزستان</v>
      </c>
      <c r="E3154" s="5" t="str">
        <f>IFERROR(__xludf.DUMMYFUNCTION("""COMPUTED_VALUE"""),"دزفول")</f>
        <v>دزفول</v>
      </c>
      <c r="F3154" s="5"/>
      <c r="G3154" s="5"/>
      <c r="H3154" s="6" t="str">
        <f>IFERROR(__xludf.DUMMYFUNCTION("""COMPUTED_VALUE"""),"https://www.instagram.com/masjed_khatam_dez/")</f>
        <v>https://www.instagram.com/masjed_khatam_dez/</v>
      </c>
      <c r="I3154" s="5"/>
      <c r="J3154" s="6" t="str">
        <f>IFERROR(__xludf.DUMMYFUNCTION("""COMPUTED_VALUE"""),"https://eitaa.com/masjed_khatam_dez")</f>
        <v>https://eitaa.com/masjed_khatam_dez</v>
      </c>
      <c r="K3154" s="5"/>
      <c r="L3154" s="5"/>
      <c r="M3154" s="5"/>
      <c r="N3154" s="5"/>
      <c r="O3154" s="5"/>
      <c r="P3154" s="5"/>
      <c r="Q3154" s="5"/>
      <c r="R3154" s="5"/>
      <c r="S3154" s="5"/>
    </row>
    <row r="3155">
      <c r="A3155" s="5"/>
      <c r="B3155" s="5" t="str">
        <f>IFERROR(__xludf.DUMMYFUNCTION("""COMPUTED_VALUE"""),"هیأت")</f>
        <v>هیأت</v>
      </c>
      <c r="C3155" s="5" t="str">
        <f>IFERROR(__xludf.DUMMYFUNCTION("""COMPUTED_VALUE"""),"الرضا")</f>
        <v>الرضا</v>
      </c>
      <c r="D3155" s="5" t="str">
        <f>IFERROR(__xludf.DUMMYFUNCTION("""COMPUTED_VALUE"""),"خوزستان")</f>
        <v>خوزستان</v>
      </c>
      <c r="E3155" s="5" t="str">
        <f>IFERROR(__xludf.DUMMYFUNCTION("""COMPUTED_VALUE"""),"دزفول")</f>
        <v>دزفول</v>
      </c>
      <c r="F3155" s="5"/>
      <c r="G3155" s="5"/>
      <c r="H3155" s="6" t="str">
        <f>IFERROR(__xludf.DUMMYFUNCTION("""COMPUTED_VALUE"""),"https://www.instagram.com/heyatorreza_ir")</f>
        <v>https://www.instagram.com/heyatorreza_ir</v>
      </c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</row>
    <row r="3156">
      <c r="A3156" s="5"/>
      <c r="B3156" s="5" t="str">
        <f>IFERROR(__xludf.DUMMYFUNCTION("""COMPUTED_VALUE"""),"حسینیه")</f>
        <v>حسینیه</v>
      </c>
      <c r="C3156" s="5" t="str">
        <f>IFERROR(__xludf.DUMMYFUNCTION("""COMPUTED_VALUE"""),"امام رضا(ع)")</f>
        <v>امام رضا(ع)</v>
      </c>
      <c r="D3156" s="5" t="str">
        <f>IFERROR(__xludf.DUMMYFUNCTION("""COMPUTED_VALUE"""),"خوزستان")</f>
        <v>خوزستان</v>
      </c>
      <c r="E3156" s="5" t="str">
        <f>IFERROR(__xludf.DUMMYFUNCTION("""COMPUTED_VALUE"""),"دزفول")</f>
        <v>دزفول</v>
      </c>
      <c r="F3156" s="5"/>
      <c r="G3156" s="5"/>
      <c r="H3156" s="6" t="str">
        <f>IFERROR(__xludf.DUMMYFUNCTION("""COMPUTED_VALUE"""),"https://www.instagram.com/hoseinie_emamreza/")</f>
        <v>https://www.instagram.com/hoseinie_emamreza/</v>
      </c>
      <c r="I3156" s="5"/>
      <c r="J3156" s="6" t="str">
        <f>IFERROR(__xludf.DUMMYFUNCTION("""COMPUTED_VALUE"""),"https://eitaa.com/hoseinieemamreza")</f>
        <v>https://eitaa.com/hoseinieemamreza</v>
      </c>
      <c r="K3156" s="5"/>
      <c r="L3156" s="5"/>
      <c r="M3156" s="5"/>
      <c r="N3156" s="5"/>
      <c r="O3156" s="5"/>
      <c r="P3156" s="5"/>
      <c r="Q3156" s="5"/>
      <c r="R3156" s="5"/>
      <c r="S3156" s="5"/>
    </row>
    <row r="3157">
      <c r="A3157" s="5">
        <f>IFERROR(__xludf.DUMMYFUNCTION("""COMPUTED_VALUE"""),27370.0)</f>
        <v>27370</v>
      </c>
      <c r="B3157" s="5" t="str">
        <f>IFERROR(__xludf.DUMMYFUNCTION("""COMPUTED_VALUE"""),"گروه فرهنگی جهادی ")</f>
        <v>گروه فرهنگی جهادی </v>
      </c>
      <c r="C3157" s="5" t="str">
        <f>IFERROR(__xludf.DUMMYFUNCTION("""COMPUTED_VALUE"""),"امام هادی(ع)")</f>
        <v>امام هادی(ع)</v>
      </c>
      <c r="D3157" s="5" t="str">
        <f>IFERROR(__xludf.DUMMYFUNCTION("""COMPUTED_VALUE"""),"خوزستان")</f>
        <v>خوزستان</v>
      </c>
      <c r="E3157" s="5" t="str">
        <f>IFERROR(__xludf.DUMMYFUNCTION("""COMPUTED_VALUE"""),"دزفول")</f>
        <v>دزفول</v>
      </c>
      <c r="F3157" s="5" t="str">
        <f>IFERROR(__xludf.DUMMYFUNCTION("""COMPUTED_VALUE"""),"[طلاب انقلابی شهرستان دزفول]")</f>
        <v>[طلاب انقلابی شهرستان دزفول]</v>
      </c>
      <c r="G3157" s="5"/>
      <c r="H3157" s="6" t="str">
        <f>IFERROR(__xludf.DUMMYFUNCTION("""COMPUTED_VALUE"""),"https://www.instagram.com/jahadi_emamhadi/")</f>
        <v>https://www.instagram.com/jahadi_emamhadi/</v>
      </c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</row>
    <row r="3158">
      <c r="A3158" s="5"/>
      <c r="B3158" s="5" t="str">
        <f>IFERROR(__xludf.DUMMYFUNCTION("""COMPUTED_VALUE"""),"هیأت")</f>
        <v>هیأت</v>
      </c>
      <c r="C3158" s="5" t="str">
        <f>IFERROR(__xludf.DUMMYFUNCTION("""COMPUTED_VALUE"""),"انصار المهدی")</f>
        <v>انصار المهدی</v>
      </c>
      <c r="D3158" s="5" t="str">
        <f>IFERROR(__xludf.DUMMYFUNCTION("""COMPUTED_VALUE"""),"خوزستان")</f>
        <v>خوزستان</v>
      </c>
      <c r="E3158" s="5" t="str">
        <f>IFERROR(__xludf.DUMMYFUNCTION("""COMPUTED_VALUE"""),"دزفول")</f>
        <v>دزفول</v>
      </c>
      <c r="F3158" s="5"/>
      <c r="G3158" s="5"/>
      <c r="H3158" s="6" t="str">
        <f>IFERROR(__xludf.DUMMYFUNCTION("""COMPUTED_VALUE"""),"https://www.instagram.com/ansaralmahdi.dezful/")</f>
        <v>https://www.instagram.com/ansaralmahdi.dezful/</v>
      </c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</row>
    <row r="3159">
      <c r="A3159" s="5"/>
      <c r="B3159" s="5" t="str">
        <f>IFERROR(__xludf.DUMMYFUNCTION("""COMPUTED_VALUE"""),"هیأت")</f>
        <v>هیأت</v>
      </c>
      <c r="C3159" s="5" t="str">
        <f>IFERROR(__xludf.DUMMYFUNCTION("""COMPUTED_VALUE"""),"بیت الحسن")</f>
        <v>بیت الحسن</v>
      </c>
      <c r="D3159" s="5" t="str">
        <f>IFERROR(__xludf.DUMMYFUNCTION("""COMPUTED_VALUE"""),"خوزستان")</f>
        <v>خوزستان</v>
      </c>
      <c r="E3159" s="5" t="str">
        <f>IFERROR(__xludf.DUMMYFUNCTION("""COMPUTED_VALUE"""),"دزفول")</f>
        <v>دزفول</v>
      </c>
      <c r="F3159" s="5"/>
      <c r="G3159" s="5"/>
      <c r="H3159" s="6" t="str">
        <f>IFERROR(__xludf.DUMMYFUNCTION("""COMPUTED_VALUE"""),"https://www.instagram.com/beytolhasan.dez/")</f>
        <v>https://www.instagram.com/beytolhasan.dez/</v>
      </c>
      <c r="I3159" s="5"/>
      <c r="J3159" s="6" t="str">
        <f>IFERROR(__xludf.DUMMYFUNCTION("""COMPUTED_VALUE"""),"https://eitaa.com/Baytolhasandez")</f>
        <v>https://eitaa.com/Baytolhasandez</v>
      </c>
      <c r="K3159" s="5"/>
      <c r="L3159" s="5"/>
      <c r="M3159" s="5"/>
      <c r="N3159" s="5"/>
      <c r="O3159" s="5"/>
      <c r="P3159" s="5"/>
      <c r="Q3159" s="5"/>
      <c r="R3159" s="5"/>
      <c r="S3159" s="5"/>
    </row>
    <row r="3160">
      <c r="A3160" s="5"/>
      <c r="B3160" s="5" t="str">
        <f>IFERROR(__xludf.DUMMYFUNCTION("""COMPUTED_VALUE"""),"هیأت")</f>
        <v>هیأت</v>
      </c>
      <c r="C3160" s="5" t="str">
        <f>IFERROR(__xludf.DUMMYFUNCTION("""COMPUTED_VALUE"""),"تكيه كوچه نخل کربلایی علی خان‌")</f>
        <v>تكيه كوچه نخل کربلایی علی خان‌</v>
      </c>
      <c r="D3160" s="5" t="str">
        <f>IFERROR(__xludf.DUMMYFUNCTION("""COMPUTED_VALUE"""),"خوزستان")</f>
        <v>خوزستان</v>
      </c>
      <c r="E3160" s="5" t="str">
        <f>IFERROR(__xludf.DUMMYFUNCTION("""COMPUTED_VALUE"""),"دزفول")</f>
        <v>دزفول</v>
      </c>
      <c r="F3160" s="5"/>
      <c r="G3160" s="5"/>
      <c r="H3160" s="6" t="str">
        <f>IFERROR(__xludf.DUMMYFUNCTION("""COMPUTED_VALUE"""),"https://www.instagram.com/tekiyenakhl/")</f>
        <v>https://www.instagram.com/tekiyenakhl/</v>
      </c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</row>
    <row r="3161">
      <c r="A3161" s="5">
        <f>IFERROR(__xludf.DUMMYFUNCTION("""COMPUTED_VALUE"""),29072.0)</f>
        <v>29072</v>
      </c>
      <c r="B3161" s="5" t="str">
        <f>IFERROR(__xludf.DUMMYFUNCTION("""COMPUTED_VALUE"""),"هیأت")</f>
        <v>هیأت</v>
      </c>
      <c r="C3161" s="5" t="str">
        <f>IFERROR(__xludf.DUMMYFUNCTION("""COMPUTED_VALUE"""),"حضرت زینب")</f>
        <v>حضرت زینب</v>
      </c>
      <c r="D3161" s="5" t="str">
        <f>IFERROR(__xludf.DUMMYFUNCTION("""COMPUTED_VALUE"""),"خوزستان")</f>
        <v>خوزستان</v>
      </c>
      <c r="E3161" s="5" t="str">
        <f>IFERROR(__xludf.DUMMYFUNCTION("""COMPUTED_VALUE"""),"دزفول")</f>
        <v>دزفول</v>
      </c>
      <c r="F3161" s="5"/>
      <c r="G3161" s="5"/>
      <c r="H3161" s="6" t="str">
        <f>IFERROR(__xludf.DUMMYFUNCTION("""COMPUTED_VALUE"""),"https://www.instagram.com/masjed_zeynab_dezful/")</f>
        <v>https://www.instagram.com/masjed_zeynab_dezful/</v>
      </c>
      <c r="I3161" s="6" t="str">
        <f>IFERROR(__xludf.DUMMYFUNCTION("""COMPUTED_VALUE"""),"eitaa.com/masjed_zeynab_dezful")</f>
        <v>eitaa.com/masjed_zeynab_dezful</v>
      </c>
      <c r="J3161" s="5"/>
      <c r="K3161" s="5"/>
      <c r="L3161" s="5"/>
      <c r="M3161" s="5"/>
      <c r="N3161" s="5"/>
      <c r="O3161" s="5"/>
      <c r="P3161" s="5"/>
      <c r="Q3161" s="5"/>
      <c r="R3161" s="5"/>
      <c r="S3161" s="5"/>
    </row>
    <row r="3162">
      <c r="A3162" s="5">
        <f>IFERROR(__xludf.DUMMYFUNCTION("""COMPUTED_VALUE"""),28600.0)</f>
        <v>28600</v>
      </c>
      <c r="B3162" s="5" t="str">
        <f>IFERROR(__xludf.DUMMYFUNCTION("""COMPUTED_VALUE"""),"هیأت")</f>
        <v>هیأت</v>
      </c>
      <c r="C3162" s="5" t="str">
        <f>IFERROR(__xludf.DUMMYFUNCTION("""COMPUTED_VALUE"""),"حضرت علی اکبر ع")</f>
        <v>حضرت علی اکبر ع</v>
      </c>
      <c r="D3162" s="5" t="str">
        <f>IFERROR(__xludf.DUMMYFUNCTION("""COMPUTED_VALUE"""),"خوزستان")</f>
        <v>خوزستان</v>
      </c>
      <c r="E3162" s="5" t="str">
        <f>IFERROR(__xludf.DUMMYFUNCTION("""COMPUTED_VALUE"""),"دزفول")</f>
        <v>دزفول</v>
      </c>
      <c r="F3162" s="5"/>
      <c r="G3162" s="5"/>
      <c r="H3162" s="6" t="str">
        <f>IFERROR(__xludf.DUMMYFUNCTION("""COMPUTED_VALUE"""),"https://www.instagram.com/aliakbaradl/")</f>
        <v>https://www.instagram.com/aliakbaradl/</v>
      </c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</row>
    <row r="3163">
      <c r="A3163" s="5"/>
      <c r="B3163" s="5" t="str">
        <f>IFERROR(__xludf.DUMMYFUNCTION("""COMPUTED_VALUE"""),"هیأت")</f>
        <v>هیأت</v>
      </c>
      <c r="C3163" s="5" t="str">
        <f>IFERROR(__xludf.DUMMYFUNCTION("""COMPUTED_VALUE"""),"خدام الامام‌زین العابدین")</f>
        <v>خدام الامام‌زین العابدین</v>
      </c>
      <c r="D3163" s="5" t="str">
        <f>IFERROR(__xludf.DUMMYFUNCTION("""COMPUTED_VALUE"""),"خوزستان")</f>
        <v>خوزستان</v>
      </c>
      <c r="E3163" s="5" t="str">
        <f>IFERROR(__xludf.DUMMYFUNCTION("""COMPUTED_VALUE"""),"دزفول")</f>
        <v>دزفول</v>
      </c>
      <c r="F3163" s="5"/>
      <c r="G3163" s="5"/>
      <c r="H3163" s="6" t="str">
        <f>IFERROR(__xludf.DUMMYFUNCTION("""COMPUTED_VALUE"""),"https://www.instagram.com/imam.zaynalabidin/")</f>
        <v>https://www.instagram.com/imam.zaynalabidin/</v>
      </c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</row>
    <row r="3164">
      <c r="A3164" s="5"/>
      <c r="B3164" s="5" t="str">
        <f>IFERROR(__xludf.DUMMYFUNCTION("""COMPUTED_VALUE"""),"هیأت")</f>
        <v>هیأت</v>
      </c>
      <c r="C3164" s="5" t="str">
        <f>IFERROR(__xludf.DUMMYFUNCTION("""COMPUTED_VALUE"""),"خدام الحسین")</f>
        <v>خدام الحسین</v>
      </c>
      <c r="D3164" s="5" t="str">
        <f>IFERROR(__xludf.DUMMYFUNCTION("""COMPUTED_VALUE"""),"خوزستان")</f>
        <v>خوزستان</v>
      </c>
      <c r="E3164" s="5" t="str">
        <f>IFERROR(__xludf.DUMMYFUNCTION("""COMPUTED_VALUE"""),"دزفول")</f>
        <v>دزفول</v>
      </c>
      <c r="F3164" s="5"/>
      <c r="G3164" s="5"/>
      <c r="H3164" s="6" t="str">
        <f>IFERROR(__xludf.DUMMYFUNCTION("""COMPUTED_VALUE"""),"https://www.instagram.com/khodamalhossein118/")</f>
        <v>https://www.instagram.com/khodamalhossein118/</v>
      </c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</row>
    <row r="3165">
      <c r="A3165" s="5">
        <f>IFERROR(__xludf.DUMMYFUNCTION("""COMPUTED_VALUE"""),29814.0)</f>
        <v>29814</v>
      </c>
      <c r="B3165" s="5" t="str">
        <f>IFERROR(__xludf.DUMMYFUNCTION("""COMPUTED_VALUE"""),"هیأت")</f>
        <v>هیأت</v>
      </c>
      <c r="C3165" s="5" t="str">
        <f>IFERROR(__xludf.DUMMYFUNCTION("""COMPUTED_VALUE"""),"خدام العباس (ع)")</f>
        <v>خدام العباس (ع)</v>
      </c>
      <c r="D3165" s="5" t="str">
        <f>IFERROR(__xludf.DUMMYFUNCTION("""COMPUTED_VALUE"""),"خوزستان")</f>
        <v>خوزستان</v>
      </c>
      <c r="E3165" s="5" t="str">
        <f>IFERROR(__xludf.DUMMYFUNCTION("""COMPUTED_VALUE"""),"دزفول")</f>
        <v>دزفول</v>
      </c>
      <c r="F3165" s="5"/>
      <c r="G3165" s="5"/>
      <c r="H3165" s="6" t="str">
        <f>IFERROR(__xludf.DUMMYFUNCTION("""COMPUTED_VALUE"""),"https://www.instagram.com/khodam_alabbas/")</f>
        <v>https://www.instagram.com/khodam_alabbas/</v>
      </c>
      <c r="I3165" s="5"/>
      <c r="J3165" s="6" t="str">
        <f>IFERROR(__xludf.DUMMYFUNCTION("""COMPUTED_VALUE"""),"https://eitaa.com/khodam_alabbas")</f>
        <v>https://eitaa.com/khodam_alabbas</v>
      </c>
      <c r="K3165" s="5"/>
      <c r="L3165" s="5"/>
      <c r="M3165" s="5"/>
      <c r="N3165" s="5"/>
      <c r="O3165" s="5"/>
      <c r="P3165" s="5"/>
      <c r="Q3165" s="5"/>
      <c r="R3165" s="5"/>
      <c r="S3165" s="5"/>
    </row>
    <row r="3166">
      <c r="A3166" s="5"/>
      <c r="B3166" s="5" t="str">
        <f>IFERROR(__xludf.DUMMYFUNCTION("""COMPUTED_VALUE"""),"هیأت")</f>
        <v>هیأت</v>
      </c>
      <c r="C3166" s="5" t="str">
        <f>IFERROR(__xludf.DUMMYFUNCTION("""COMPUTED_VALUE"""),"خدام المهدی عج")</f>
        <v>خدام المهدی عج</v>
      </c>
      <c r="D3166" s="5" t="str">
        <f>IFERROR(__xludf.DUMMYFUNCTION("""COMPUTED_VALUE"""),"خوزستان")</f>
        <v>خوزستان</v>
      </c>
      <c r="E3166" s="5" t="str">
        <f>IFERROR(__xludf.DUMMYFUNCTION("""COMPUTED_VALUE"""),"دزفول")</f>
        <v>دزفول</v>
      </c>
      <c r="F3166" s="5"/>
      <c r="G3166" s="5"/>
      <c r="H3166" s="6" t="str">
        <f>IFERROR(__xludf.DUMMYFUNCTION("""COMPUTED_VALUE"""),"https://www.instagram.com/khoddamdez/")</f>
        <v>https://www.instagram.com/khoddamdez/</v>
      </c>
      <c r="I3166" s="6" t="str">
        <f>IFERROR(__xludf.DUMMYFUNCTION("""COMPUTED_VALUE"""),"https://t.me/khoddam_dez")</f>
        <v>https://t.me/khoddam_dez</v>
      </c>
      <c r="J3166" s="6" t="str">
        <f>IFERROR(__xludf.DUMMYFUNCTION("""COMPUTED_VALUE"""),"https://eitaa.com/khodamalmahdi_dezfoul")</f>
        <v>https://eitaa.com/khodamalmahdi_dezfoul</v>
      </c>
      <c r="K3166" s="5"/>
      <c r="L3166" s="5"/>
      <c r="M3166" s="5"/>
      <c r="N3166" s="5"/>
      <c r="O3166" s="5"/>
      <c r="P3166" s="5"/>
      <c r="Q3166" s="5"/>
      <c r="R3166" s="5"/>
      <c r="S3166" s="5"/>
    </row>
    <row r="3167">
      <c r="A3167" s="5"/>
      <c r="B3167" s="5" t="str">
        <f>IFERROR(__xludf.DUMMYFUNCTION("""COMPUTED_VALUE"""),"هیأت")</f>
        <v>هیأت</v>
      </c>
      <c r="C3167" s="5" t="str">
        <f>IFERROR(__xludf.DUMMYFUNCTION("""COMPUTED_VALUE"""),"خیمه‌گاه عاشقان ابوالفضل العباس")</f>
        <v>خیمه‌گاه عاشقان ابوالفضل العباس</v>
      </c>
      <c r="D3167" s="5" t="str">
        <f>IFERROR(__xludf.DUMMYFUNCTION("""COMPUTED_VALUE"""),"خوزستان")</f>
        <v>خوزستان</v>
      </c>
      <c r="E3167" s="5" t="str">
        <f>IFERROR(__xludf.DUMMYFUNCTION("""COMPUTED_VALUE"""),"دزفول")</f>
        <v>دزفول</v>
      </c>
      <c r="F3167" s="5"/>
      <c r="G3167" s="5"/>
      <c r="H3167" s="6" t="str">
        <f>IFERROR(__xludf.DUMMYFUNCTION("""COMPUTED_VALUE"""),"https://www.instagram.com/kheimegah_dez/")</f>
        <v>https://www.instagram.com/kheimegah_dez/</v>
      </c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</row>
    <row r="3168">
      <c r="A3168" s="5"/>
      <c r="B3168" s="5" t="str">
        <f>IFERROR(__xludf.DUMMYFUNCTION("""COMPUTED_VALUE"""),"هیأت")</f>
        <v>هیأت</v>
      </c>
      <c r="C3168" s="5" t="str">
        <f>IFERROR(__xludf.DUMMYFUNCTION("""COMPUTED_VALUE"""),"رایة المهدی")</f>
        <v>رایة المهدی</v>
      </c>
      <c r="D3168" s="5" t="str">
        <f>IFERROR(__xludf.DUMMYFUNCTION("""COMPUTED_VALUE"""),"خوزستان")</f>
        <v>خوزستان</v>
      </c>
      <c r="E3168" s="5" t="str">
        <f>IFERROR(__xludf.DUMMYFUNCTION("""COMPUTED_VALUE"""),"دزفول")</f>
        <v>دزفول</v>
      </c>
      <c r="F3168" s="5"/>
      <c r="G3168" s="5"/>
      <c r="H3168" s="6" t="str">
        <f>IFERROR(__xludf.DUMMYFUNCTION("""COMPUTED_VALUE"""),"https://www.instagram.com/rayatalhoda_dezful/")</f>
        <v>https://www.instagram.com/rayatalhoda_dezful/</v>
      </c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</row>
    <row r="3169">
      <c r="A3169" s="5"/>
      <c r="B3169" s="5" t="str">
        <f>IFERROR(__xludf.DUMMYFUNCTION("""COMPUTED_VALUE"""),"هیأت")</f>
        <v>هیأت</v>
      </c>
      <c r="C3169" s="5" t="str">
        <f>IFERROR(__xludf.DUMMYFUNCTION("""COMPUTED_VALUE"""),"رزمندگان اسلام")</f>
        <v>رزمندگان اسلام</v>
      </c>
      <c r="D3169" s="5" t="str">
        <f>IFERROR(__xludf.DUMMYFUNCTION("""COMPUTED_VALUE"""),"خوزستان")</f>
        <v>خوزستان</v>
      </c>
      <c r="E3169" s="5" t="str">
        <f>IFERROR(__xludf.DUMMYFUNCTION("""COMPUTED_VALUE"""),"دزفول")</f>
        <v>دزفول</v>
      </c>
      <c r="F3169" s="5"/>
      <c r="G3169" s="5"/>
      <c r="H3169" s="6" t="str">
        <f>IFERROR(__xludf.DUMMYFUNCTION("""COMPUTED_VALUE"""),"https://www.instagram.com/razmandegandezful/")</f>
        <v>https://www.instagram.com/razmandegandezful/</v>
      </c>
      <c r="I3169" s="5"/>
      <c r="J3169" s="6" t="str">
        <f>IFERROR(__xludf.DUMMYFUNCTION("""COMPUTED_VALUE"""),"https://eitaa.com/Razmandegan_Dezful")</f>
        <v>https://eitaa.com/Razmandegan_Dezful</v>
      </c>
      <c r="K3169" s="5"/>
      <c r="L3169" s="5"/>
      <c r="M3169" s="5"/>
      <c r="N3169" s="5"/>
      <c r="O3169" s="5"/>
      <c r="P3169" s="5"/>
      <c r="Q3169" s="5"/>
      <c r="R3169" s="5"/>
      <c r="S3169" s="5"/>
    </row>
    <row r="3170">
      <c r="A3170" s="5"/>
      <c r="B3170" s="5" t="str">
        <f>IFERROR(__xludf.DUMMYFUNCTION("""COMPUTED_VALUE"""),"هیأت")</f>
        <v>هیأت</v>
      </c>
      <c r="C3170" s="5" t="str">
        <f>IFERROR(__xludf.DUMMYFUNCTION("""COMPUTED_VALUE"""),"رهروان شهدا")</f>
        <v>رهروان شهدا</v>
      </c>
      <c r="D3170" s="5" t="str">
        <f>IFERROR(__xludf.DUMMYFUNCTION("""COMPUTED_VALUE"""),"خوزستان")</f>
        <v>خوزستان</v>
      </c>
      <c r="E3170" s="5" t="str">
        <f>IFERROR(__xludf.DUMMYFUNCTION("""COMPUTED_VALUE"""),"دزفول")</f>
        <v>دزفول</v>
      </c>
      <c r="F3170" s="5"/>
      <c r="G3170" s="5"/>
      <c r="H3170" s="6" t="str">
        <f>IFERROR(__xludf.DUMMYFUNCTION("""COMPUTED_VALUE"""),"https://www.instagram.com/rahrovane_shohada_/")</f>
        <v>https://www.instagram.com/rahrovane_shohada_/</v>
      </c>
      <c r="I3170" s="5"/>
      <c r="J3170" s="6" t="str">
        <f>IFERROR(__xludf.DUMMYFUNCTION("""COMPUTED_VALUE"""),"https://eitaa.com/rahrovan_shohada110")</f>
        <v>https://eitaa.com/rahrovan_shohada110</v>
      </c>
      <c r="K3170" s="5"/>
      <c r="L3170" s="5"/>
      <c r="M3170" s="5"/>
      <c r="N3170" s="5"/>
      <c r="O3170" s="5"/>
      <c r="P3170" s="5"/>
      <c r="Q3170" s="5"/>
      <c r="R3170" s="5"/>
      <c r="S3170" s="5"/>
    </row>
    <row r="3171">
      <c r="A3171" s="5"/>
      <c r="B3171" s="5" t="str">
        <f>IFERROR(__xludf.DUMMYFUNCTION("""COMPUTED_VALUE"""),"هیأت")</f>
        <v>هیأت</v>
      </c>
      <c r="C3171" s="5" t="str">
        <f>IFERROR(__xludf.DUMMYFUNCTION("""COMPUTED_VALUE"""),"روضة الزهرا")</f>
        <v>روضة الزهرا</v>
      </c>
      <c r="D3171" s="5" t="str">
        <f>IFERROR(__xludf.DUMMYFUNCTION("""COMPUTED_VALUE"""),"خوزستان")</f>
        <v>خوزستان</v>
      </c>
      <c r="E3171" s="5" t="str">
        <f>IFERROR(__xludf.DUMMYFUNCTION("""COMPUTED_VALUE"""),"دزفول")</f>
        <v>دزفول</v>
      </c>
      <c r="F3171" s="5"/>
      <c r="G3171" s="5"/>
      <c r="H3171" s="6" t="str">
        <f>IFERROR(__xludf.DUMMYFUNCTION("""COMPUTED_VALUE"""),"https://www.instagram.com/rozatoalzahrair/")</f>
        <v>https://www.instagram.com/rozatoalzahrair/</v>
      </c>
      <c r="I3171" s="5"/>
      <c r="J3171" s="6" t="str">
        <f>IFERROR(__xludf.DUMMYFUNCTION("""COMPUTED_VALUE"""),"https://eitaa.ir/rozatoalzahra_ir")</f>
        <v>https://eitaa.ir/rozatoalzahra_ir</v>
      </c>
      <c r="K3171" s="5"/>
      <c r="L3171" s="5"/>
      <c r="M3171" s="5"/>
      <c r="N3171" s="5"/>
      <c r="O3171" s="5"/>
      <c r="P3171" s="5"/>
      <c r="Q3171" s="5"/>
      <c r="R3171" s="5"/>
      <c r="S3171" s="5"/>
    </row>
    <row r="3172">
      <c r="A3172" s="5"/>
      <c r="B3172" s="5" t="str">
        <f>IFERROR(__xludf.DUMMYFUNCTION("""COMPUTED_VALUE"""),"هیأت")</f>
        <v>هیأت</v>
      </c>
      <c r="C3172" s="5" t="str">
        <f>IFERROR(__xludf.DUMMYFUNCTION("""COMPUTED_VALUE"""),"ریحانة النبی")</f>
        <v>ریحانة النبی</v>
      </c>
      <c r="D3172" s="5" t="str">
        <f>IFERROR(__xludf.DUMMYFUNCTION("""COMPUTED_VALUE"""),"خوزستان")</f>
        <v>خوزستان</v>
      </c>
      <c r="E3172" s="5" t="str">
        <f>IFERROR(__xludf.DUMMYFUNCTION("""COMPUTED_VALUE"""),"دزفول")</f>
        <v>دزفول</v>
      </c>
      <c r="F3172" s="5"/>
      <c r="G3172" s="5"/>
      <c r="H3172" s="6" t="str">
        <f>IFERROR(__xludf.DUMMYFUNCTION("""COMPUTED_VALUE"""),"https://www.instagram.com/reyhanaalnabi.ir/")</f>
        <v>https://www.instagram.com/reyhanaalnabi.ir/</v>
      </c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</row>
    <row r="3173">
      <c r="A3173" s="5"/>
      <c r="B3173" s="5" t="str">
        <f>IFERROR(__xludf.DUMMYFUNCTION("""COMPUTED_VALUE"""),"هیأت")</f>
        <v>هیأت</v>
      </c>
      <c r="C3173" s="5" t="str">
        <f>IFERROR(__xludf.DUMMYFUNCTION("""COMPUTED_VALUE"""),"زنجیرزنان امام سجاد")</f>
        <v>زنجیرزنان امام سجاد</v>
      </c>
      <c r="D3173" s="5" t="str">
        <f>IFERROR(__xludf.DUMMYFUNCTION("""COMPUTED_VALUE"""),"خوزستان")</f>
        <v>خوزستان</v>
      </c>
      <c r="E3173" s="5" t="str">
        <f>IFERROR(__xludf.DUMMYFUNCTION("""COMPUTED_VALUE"""),"دزفول")</f>
        <v>دزفول</v>
      </c>
      <c r="F3173" s="5"/>
      <c r="G3173" s="5"/>
      <c r="H3173" s="6" t="str">
        <f>IFERROR(__xludf.DUMMYFUNCTION("""COMPUTED_VALUE"""),"https://www.instagram.com/heyat.emam.sajjad/")</f>
        <v>https://www.instagram.com/heyat.emam.sajjad/</v>
      </c>
      <c r="I3173" s="6" t="str">
        <f>IFERROR(__xludf.DUMMYFUNCTION("""COMPUTED_VALUE"""),"https://t.me/heyat_emam_sajjad_1371")</f>
        <v>https://t.me/heyat_emam_sajjad_1371</v>
      </c>
      <c r="J3173" s="5"/>
      <c r="K3173" s="5"/>
      <c r="L3173" s="5"/>
      <c r="M3173" s="5"/>
      <c r="N3173" s="5"/>
      <c r="O3173" s="5"/>
      <c r="P3173" s="5"/>
      <c r="Q3173" s="5"/>
      <c r="R3173" s="5"/>
      <c r="S3173" s="5"/>
    </row>
    <row r="3174">
      <c r="A3174" s="5"/>
      <c r="B3174" s="5" t="str">
        <f>IFERROR(__xludf.DUMMYFUNCTION("""COMPUTED_VALUE"""),"هیأت")</f>
        <v>هیأت</v>
      </c>
      <c r="C3174" s="5" t="str">
        <f>IFERROR(__xludf.DUMMYFUNCTION("""COMPUTED_VALUE"""),"زنجیرزنان حضرت سبزقبا(ع)")</f>
        <v>زنجیرزنان حضرت سبزقبا(ع)</v>
      </c>
      <c r="D3174" s="5" t="str">
        <f>IFERROR(__xludf.DUMMYFUNCTION("""COMPUTED_VALUE"""),"خوزستان")</f>
        <v>خوزستان</v>
      </c>
      <c r="E3174" s="5" t="str">
        <f>IFERROR(__xludf.DUMMYFUNCTION("""COMPUTED_VALUE"""),"دزفول")</f>
        <v>دزفول</v>
      </c>
      <c r="F3174" s="5"/>
      <c r="G3174" s="5"/>
      <c r="H3174" s="6" t="str">
        <f>IFERROR(__xludf.DUMMYFUNCTION("""COMPUTED_VALUE"""),"https://www.instagram.com/zanjir_sabzeghaba/")</f>
        <v>https://www.instagram.com/zanjir_sabzeghaba/</v>
      </c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</row>
    <row r="3175">
      <c r="A3175" s="5"/>
      <c r="B3175" s="5" t="str">
        <f>IFERROR(__xludf.DUMMYFUNCTION("""COMPUTED_VALUE"""),"هیأت")</f>
        <v>هیأت</v>
      </c>
      <c r="C3175" s="5" t="str">
        <f>IFERROR(__xludf.DUMMYFUNCTION("""COMPUTED_VALUE"""),"زنجیرزنان حضرت قاسم")</f>
        <v>زنجیرزنان حضرت قاسم</v>
      </c>
      <c r="D3175" s="5" t="str">
        <f>IFERROR(__xludf.DUMMYFUNCTION("""COMPUTED_VALUE"""),"خوزستان")</f>
        <v>خوزستان</v>
      </c>
      <c r="E3175" s="5" t="str">
        <f>IFERROR(__xludf.DUMMYFUNCTION("""COMPUTED_VALUE"""),"دزفول")</f>
        <v>دزفول</v>
      </c>
      <c r="F3175" s="5"/>
      <c r="G3175" s="5"/>
      <c r="H3175" s="6" t="str">
        <f>IFERROR(__xludf.DUMMYFUNCTION("""COMPUTED_VALUE"""),"https://www.instagram.com/zanjirzanan.hazrat.ghasem/")</f>
        <v>https://www.instagram.com/zanjirzanan.hazrat.ghasem/</v>
      </c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</row>
    <row r="3176">
      <c r="A3176" s="5"/>
      <c r="B3176" s="5" t="str">
        <f>IFERROR(__xludf.DUMMYFUNCTION("""COMPUTED_VALUE"""),"هیأت")</f>
        <v>هیأت</v>
      </c>
      <c r="C3176" s="5" t="str">
        <f>IFERROR(__xludf.DUMMYFUNCTION("""COMPUTED_VALUE"""),"زنجیرزنان مسجد النبی (ص)")</f>
        <v>زنجیرزنان مسجد النبی (ص)</v>
      </c>
      <c r="D3176" s="5" t="str">
        <f>IFERROR(__xludf.DUMMYFUNCTION("""COMPUTED_VALUE"""),"خوزستان")</f>
        <v>خوزستان</v>
      </c>
      <c r="E3176" s="5" t="str">
        <f>IFERROR(__xludf.DUMMYFUNCTION("""COMPUTED_VALUE"""),"دزفول")</f>
        <v>دزفول</v>
      </c>
      <c r="F3176" s="5"/>
      <c r="G3176" s="5"/>
      <c r="H3176" s="6" t="str">
        <f>IFERROR(__xludf.DUMMYFUNCTION("""COMPUTED_VALUE"""),"https://www.instagram.com/nabiyazahra/")</f>
        <v>https://www.instagram.com/nabiyazahra/</v>
      </c>
      <c r="I3176" s="6" t="str">
        <f>IFERROR(__xludf.DUMMYFUNCTION("""COMPUTED_VALUE"""),"https://t.me/nabiyazahra")</f>
        <v>https://t.me/nabiyazahra</v>
      </c>
      <c r="J3176" s="6" t="str">
        <f>IFERROR(__xludf.DUMMYFUNCTION("""COMPUTED_VALUE"""),"https://eitaa.com/nabiyazahra")</f>
        <v>https://eitaa.com/nabiyazahra</v>
      </c>
      <c r="K3176" s="5"/>
      <c r="L3176" s="5"/>
      <c r="M3176" s="5"/>
      <c r="N3176" s="5"/>
      <c r="O3176" s="5"/>
      <c r="P3176" s="5"/>
      <c r="Q3176" s="5"/>
      <c r="R3176" s="5"/>
      <c r="S3176" s="5"/>
    </row>
    <row r="3177">
      <c r="A3177" s="5"/>
      <c r="B3177" s="5" t="str">
        <f>IFERROR(__xludf.DUMMYFUNCTION("""COMPUTED_VALUE"""),"هیأت")</f>
        <v>هیأت</v>
      </c>
      <c r="C3177" s="5" t="str">
        <f>IFERROR(__xludf.DUMMYFUNCTION("""COMPUTED_VALUE"""),"زنجیرزنان مسجد امام حسین (ع)")</f>
        <v>زنجیرزنان مسجد امام حسین (ع)</v>
      </c>
      <c r="D3177" s="5" t="str">
        <f>IFERROR(__xludf.DUMMYFUNCTION("""COMPUTED_VALUE"""),"خوزستان")</f>
        <v>خوزستان</v>
      </c>
      <c r="E3177" s="5" t="str">
        <f>IFERROR(__xludf.DUMMYFUNCTION("""COMPUTED_VALUE"""),"دزفول")</f>
        <v>دزفول</v>
      </c>
      <c r="F3177" s="5"/>
      <c r="G3177" s="5"/>
      <c r="H3177" s="6" t="str">
        <f>IFERROR(__xludf.DUMMYFUNCTION("""COMPUTED_VALUE"""),"https://www.instagram.com/imamhosseinghalehseyyed/")</f>
        <v>https://www.instagram.com/imamhosseinghalehseyyed/</v>
      </c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</row>
    <row r="3178">
      <c r="A3178" s="5"/>
      <c r="B3178" s="5" t="str">
        <f>IFERROR(__xludf.DUMMYFUNCTION("""COMPUTED_VALUE"""),"کانون فرهنگی تبلیغی")</f>
        <v>کانون فرهنگی تبلیغی</v>
      </c>
      <c r="C3178" s="5" t="str">
        <f>IFERROR(__xludf.DUMMYFUNCTION("""COMPUTED_VALUE"""),"سفیر")</f>
        <v>سفیر</v>
      </c>
      <c r="D3178" s="5" t="str">
        <f>IFERROR(__xludf.DUMMYFUNCTION("""COMPUTED_VALUE"""),"خوزستان")</f>
        <v>خوزستان</v>
      </c>
      <c r="E3178" s="5" t="str">
        <f>IFERROR(__xludf.DUMMYFUNCTION("""COMPUTED_VALUE"""),"دزفول")</f>
        <v>دزفول</v>
      </c>
      <c r="F3178" s="5"/>
      <c r="G3178" s="5"/>
      <c r="H3178" s="6" t="str">
        <f>IFERROR(__xludf.DUMMYFUNCTION("""COMPUTED_VALUE"""),"https://www.instagram.com/safir_khz/")</f>
        <v>https://www.instagram.com/safir_khz/</v>
      </c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</row>
    <row r="3179">
      <c r="A3179" s="5"/>
      <c r="B3179" s="5" t="str">
        <f>IFERROR(__xludf.DUMMYFUNCTION("""COMPUTED_VALUE"""),"هیأت")</f>
        <v>هیأت</v>
      </c>
      <c r="C3179" s="5" t="str">
        <f>IFERROR(__xludf.DUMMYFUNCTION("""COMPUTED_VALUE"""),"سنج و دمام عاشقان حسین بن علی (ع)")</f>
        <v>سنج و دمام عاشقان حسین بن علی (ع)</v>
      </c>
      <c r="D3179" s="5" t="str">
        <f>IFERROR(__xludf.DUMMYFUNCTION("""COMPUTED_VALUE"""),"خوزستان")</f>
        <v>خوزستان</v>
      </c>
      <c r="E3179" s="5" t="str">
        <f>IFERROR(__xludf.DUMMYFUNCTION("""COMPUTED_VALUE"""),"دزفول")</f>
        <v>دزفول</v>
      </c>
      <c r="F3179" s="5"/>
      <c r="G3179" s="5"/>
      <c r="H3179" s="6" t="str">
        <f>IFERROR(__xludf.DUMMYFUNCTION("""COMPUTED_VALUE"""),"https://www.instagram.com/tekyeasheghanehosseinebneali_a/")</f>
        <v>https://www.instagram.com/tekyeasheghanehosseinebneali_a/</v>
      </c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</row>
    <row r="3180">
      <c r="A3180" s="5"/>
      <c r="B3180" s="5" t="str">
        <f>IFERROR(__xludf.DUMMYFUNCTION("""COMPUTED_VALUE"""),"هیأت")</f>
        <v>هیأت</v>
      </c>
      <c r="C3180" s="5" t="str">
        <f>IFERROR(__xludf.DUMMYFUNCTION("""COMPUTED_VALUE"""),"سنج و دمام مالک اشتر")</f>
        <v>سنج و دمام مالک اشتر</v>
      </c>
      <c r="D3180" s="5" t="str">
        <f>IFERROR(__xludf.DUMMYFUNCTION("""COMPUTED_VALUE"""),"خوزستان")</f>
        <v>خوزستان</v>
      </c>
      <c r="E3180" s="5" t="str">
        <f>IFERROR(__xludf.DUMMYFUNCTION("""COMPUTED_VALUE"""),"دزفول")</f>
        <v>دزفول</v>
      </c>
      <c r="F3180" s="5"/>
      <c r="G3180" s="5"/>
      <c r="H3180" s="6" t="str">
        <f>IFERROR(__xludf.DUMMYFUNCTION("""COMPUTED_VALUE"""),"https://www.instagram.com/malekashtar_dezful/")</f>
        <v>https://www.instagram.com/malekashtar_dezful/</v>
      </c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</row>
    <row r="3181">
      <c r="A3181" s="5">
        <f>IFERROR(__xludf.DUMMYFUNCTION("""COMPUTED_VALUE"""),30703.0)</f>
        <v>30703</v>
      </c>
      <c r="B3181" s="5" t="str">
        <f>IFERROR(__xludf.DUMMYFUNCTION("""COMPUTED_VALUE"""),"مسجد")</f>
        <v>مسجد</v>
      </c>
      <c r="C3181" s="5" t="str">
        <f>IFERROR(__xludf.DUMMYFUNCTION("""COMPUTED_VALUE"""),"سیدالشهدا فرهنگ شهر")</f>
        <v>سیدالشهدا فرهنگ شهر</v>
      </c>
      <c r="D3181" s="5" t="str">
        <f>IFERROR(__xludf.DUMMYFUNCTION("""COMPUTED_VALUE"""),"خوزستان")</f>
        <v>خوزستان</v>
      </c>
      <c r="E3181" s="5" t="str">
        <f>IFERROR(__xludf.DUMMYFUNCTION("""COMPUTED_VALUE"""),"دزفول")</f>
        <v>دزفول</v>
      </c>
      <c r="F3181" s="5"/>
      <c r="G3181" s="5"/>
      <c r="H3181" s="6" t="str">
        <f>IFERROR(__xludf.DUMMYFUNCTION("""COMPUTED_VALUE"""),"https://www.instagram.com/serat_jalasat/")</f>
        <v>https://www.instagram.com/serat_jalasat/</v>
      </c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</row>
    <row r="3182">
      <c r="A3182" s="5"/>
      <c r="B3182" s="5" t="str">
        <f>IFERROR(__xludf.DUMMYFUNCTION("""COMPUTED_VALUE"""),"حسینیه")</f>
        <v>حسینیه</v>
      </c>
      <c r="C3182" s="5" t="str">
        <f>IFERROR(__xludf.DUMMYFUNCTION("""COMPUTED_VALUE"""),"سیدالشهداء")</f>
        <v>سیدالشهداء</v>
      </c>
      <c r="D3182" s="5" t="str">
        <f>IFERROR(__xludf.DUMMYFUNCTION("""COMPUTED_VALUE"""),"خوزستان")</f>
        <v>خوزستان</v>
      </c>
      <c r="E3182" s="5" t="str">
        <f>IFERROR(__xludf.DUMMYFUNCTION("""COMPUTED_VALUE"""),"دزفول")</f>
        <v>دزفول</v>
      </c>
      <c r="F3182" s="5"/>
      <c r="G3182" s="5"/>
      <c r="H3182" s="6" t="str">
        <f>IFERROR(__xludf.DUMMYFUNCTION("""COMPUTED_VALUE"""),"https://www.instagram.com/hoseniye.seyed.shohada/")</f>
        <v>https://www.instagram.com/hoseniye.seyed.shohada/</v>
      </c>
      <c r="I3182" s="6" t="str">
        <f>IFERROR(__xludf.DUMMYFUNCTION("""COMPUTED_VALUE"""),"https://t.me/HosseiniehSeyedolshohada")</f>
        <v>https://t.me/HosseiniehSeyedolshohada</v>
      </c>
      <c r="J3182" s="5"/>
      <c r="K3182" s="5"/>
      <c r="L3182" s="5"/>
      <c r="M3182" s="5"/>
      <c r="N3182" s="5"/>
      <c r="O3182" s="5"/>
      <c r="P3182" s="5"/>
      <c r="Q3182" s="5"/>
      <c r="R3182" s="5"/>
      <c r="S3182" s="5"/>
    </row>
    <row r="3183">
      <c r="A3183" s="5"/>
      <c r="B3183" s="5" t="str">
        <f>IFERROR(__xludf.DUMMYFUNCTION("""COMPUTED_VALUE"""),"حسینیه")</f>
        <v>حسینیه</v>
      </c>
      <c r="C3183" s="5" t="str">
        <f>IFERROR(__xludf.DUMMYFUNCTION("""COMPUTED_VALUE"""),"شهداء")</f>
        <v>شهداء</v>
      </c>
      <c r="D3183" s="5" t="str">
        <f>IFERROR(__xludf.DUMMYFUNCTION("""COMPUTED_VALUE"""),"خوزستان")</f>
        <v>خوزستان</v>
      </c>
      <c r="E3183" s="5" t="str">
        <f>IFERROR(__xludf.DUMMYFUNCTION("""COMPUTED_VALUE"""),"دزفول")</f>
        <v>دزفول</v>
      </c>
      <c r="F3183" s="5"/>
      <c r="G3183" s="5"/>
      <c r="H3183" s="6" t="str">
        <f>IFERROR(__xludf.DUMMYFUNCTION("""COMPUTED_VALUE"""),"https://www.instagram.com/hoseinieh.shohada/")</f>
        <v>https://www.instagram.com/hoseinieh.shohada/</v>
      </c>
      <c r="I3183" s="6" t="str">
        <f>IFERROR(__xludf.DUMMYFUNCTION("""COMPUTED_VALUE"""),"https://t.me/hoseinieh_shohada_dezful")</f>
        <v>https://t.me/hoseinieh_shohada_dezful</v>
      </c>
      <c r="J3183" s="5"/>
      <c r="K3183" s="5"/>
      <c r="L3183" s="5"/>
      <c r="M3183" s="5"/>
      <c r="N3183" s="5"/>
      <c r="O3183" s="5"/>
      <c r="P3183" s="5"/>
      <c r="Q3183" s="5"/>
      <c r="R3183" s="5"/>
      <c r="S3183" s="5"/>
    </row>
    <row r="3184">
      <c r="A3184" s="5"/>
      <c r="B3184" s="5" t="str">
        <f>IFERROR(__xludf.DUMMYFUNCTION("""COMPUTED_VALUE"""),"هیأت")</f>
        <v>هیأت</v>
      </c>
      <c r="C3184" s="5" t="str">
        <f>IFERROR(__xludf.DUMMYFUNCTION("""COMPUTED_VALUE"""),"شهدای کارگر")</f>
        <v>شهدای کارگر</v>
      </c>
      <c r="D3184" s="5" t="str">
        <f>IFERROR(__xludf.DUMMYFUNCTION("""COMPUTED_VALUE"""),"خوزستان")</f>
        <v>خوزستان</v>
      </c>
      <c r="E3184" s="5" t="str">
        <f>IFERROR(__xludf.DUMMYFUNCTION("""COMPUTED_VALUE"""),"دزفول")</f>
        <v>دزفول</v>
      </c>
      <c r="F3184" s="5"/>
      <c r="G3184" s="5"/>
      <c r="H3184" s="6" t="str">
        <f>IFERROR(__xludf.DUMMYFUNCTION("""COMPUTED_VALUE"""),"https://www.instagram.com/heyat_shohday_kargar/")</f>
        <v>https://www.instagram.com/heyat_shohday_kargar/</v>
      </c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</row>
    <row r="3185">
      <c r="A3185" s="5"/>
      <c r="B3185" s="5" t="str">
        <f>IFERROR(__xludf.DUMMYFUNCTION("""COMPUTED_VALUE"""),"هیأت دانشجویی")</f>
        <v>هیأت دانشجویی</v>
      </c>
      <c r="C3185" s="5" t="str">
        <f>IFERROR(__xludf.DUMMYFUNCTION("""COMPUTED_VALUE"""),"شهدای گمنام")</f>
        <v>شهدای گمنام</v>
      </c>
      <c r="D3185" s="5" t="str">
        <f>IFERROR(__xludf.DUMMYFUNCTION("""COMPUTED_VALUE"""),"خوزستان")</f>
        <v>خوزستان</v>
      </c>
      <c r="E3185" s="5" t="str">
        <f>IFERROR(__xludf.DUMMYFUNCTION("""COMPUTED_VALUE"""),"دزفول")</f>
        <v>دزفول</v>
      </c>
      <c r="F3185" s="5" t="str">
        <f>IFERROR(__xludf.DUMMYFUNCTION("""COMPUTED_VALUE"""),"دانشگاه آزاد اسلامی دزفول")</f>
        <v>دانشگاه آزاد اسلامی دزفول</v>
      </c>
      <c r="G3185" s="5"/>
      <c r="H3185" s="6" t="str">
        <f>IFERROR(__xludf.DUMMYFUNCTION("""COMPUTED_VALUE"""),"https://www.instagram.com/heyat_iaudez")</f>
        <v>https://www.instagram.com/heyat_iaudez</v>
      </c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</row>
    <row r="3186">
      <c r="A3186" s="5"/>
      <c r="B3186" s="5" t="str">
        <f>IFERROR(__xludf.DUMMYFUNCTION("""COMPUTED_VALUE"""),"هیأت")</f>
        <v>هیأت</v>
      </c>
      <c r="C3186" s="5" t="str">
        <f>IFERROR(__xludf.DUMMYFUNCTION("""COMPUTED_VALUE"""),"شیدانه امام رضا")</f>
        <v>شیدانه امام رضا</v>
      </c>
      <c r="D3186" s="5" t="str">
        <f>IFERROR(__xludf.DUMMYFUNCTION("""COMPUTED_VALUE"""),"خوزستان")</f>
        <v>خوزستان</v>
      </c>
      <c r="E3186" s="5" t="str">
        <f>IFERROR(__xludf.DUMMYFUNCTION("""COMPUTED_VALUE"""),"دزفول")</f>
        <v>دزفول</v>
      </c>
      <c r="F3186" s="5"/>
      <c r="G3186" s="5"/>
      <c r="H3186" s="6" t="str">
        <f>IFERROR(__xludf.DUMMYFUNCTION("""COMPUTED_VALUE"""),"https://www.instagram.com/emam.reza.dezful/")</f>
        <v>https://www.instagram.com/emam.reza.dezful/</v>
      </c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</row>
    <row r="3187">
      <c r="A3187" s="5"/>
      <c r="B3187" s="5" t="str">
        <f>IFERROR(__xludf.DUMMYFUNCTION("""COMPUTED_VALUE"""),"هیأت")</f>
        <v>هیأت</v>
      </c>
      <c r="C3187" s="5" t="str">
        <f>IFERROR(__xludf.DUMMYFUNCTION("""COMPUTED_VALUE"""),"صاحب الزمان (عج)")</f>
        <v>صاحب الزمان (عج)</v>
      </c>
      <c r="D3187" s="5" t="str">
        <f>IFERROR(__xludf.DUMMYFUNCTION("""COMPUTED_VALUE"""),"خوزستان")</f>
        <v>خوزستان</v>
      </c>
      <c r="E3187" s="5" t="str">
        <f>IFERROR(__xludf.DUMMYFUNCTION("""COMPUTED_VALUE"""),"دزفول")</f>
        <v>دزفول</v>
      </c>
      <c r="F3187" s="5"/>
      <c r="G3187" s="5"/>
      <c r="H3187" s="6" t="str">
        <f>IFERROR(__xludf.DUMMYFUNCTION("""COMPUTED_VALUE"""),"https://www.instagram.com/heyat.saheb.alzaman/")</f>
        <v>https://www.instagram.com/heyat.saheb.alzaman/</v>
      </c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</row>
    <row r="3188">
      <c r="A3188" s="5"/>
      <c r="B3188" s="5" t="str">
        <f>IFERROR(__xludf.DUMMYFUNCTION("""COMPUTED_VALUE"""),"هیأت")</f>
        <v>هیأت</v>
      </c>
      <c r="C3188" s="5" t="str">
        <f>IFERROR(__xludf.DUMMYFUNCTION("""COMPUTED_VALUE"""),"عاشقان حسینی(ع)")</f>
        <v>عاشقان حسینی(ع)</v>
      </c>
      <c r="D3188" s="5" t="str">
        <f>IFERROR(__xludf.DUMMYFUNCTION("""COMPUTED_VALUE"""),"خوزستان")</f>
        <v>خوزستان</v>
      </c>
      <c r="E3188" s="5" t="str">
        <f>IFERROR(__xludf.DUMMYFUNCTION("""COMPUTED_VALUE"""),"دزفول")</f>
        <v>دزفول</v>
      </c>
      <c r="F3188" s="5"/>
      <c r="G3188" s="5"/>
      <c r="H3188" s="6" t="str">
        <f>IFERROR(__xludf.DUMMYFUNCTION("""COMPUTED_VALUE"""),"https://www.instagram.com/takiye_asheqan_hoseyni/")</f>
        <v>https://www.instagram.com/takiye_asheqan_hoseyni/</v>
      </c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</row>
    <row r="3189">
      <c r="A3189" s="5"/>
      <c r="B3189" s="5" t="str">
        <f>IFERROR(__xludf.DUMMYFUNCTION("""COMPUTED_VALUE"""),"هیأت")</f>
        <v>هیأت</v>
      </c>
      <c r="C3189" s="5" t="str">
        <f>IFERROR(__xludf.DUMMYFUNCTION("""COMPUTED_VALUE"""),"عزاداران تکیه قمر بنی هاشم (ع)")</f>
        <v>عزاداران تکیه قمر بنی هاشم (ع)</v>
      </c>
      <c r="D3189" s="5" t="str">
        <f>IFERROR(__xludf.DUMMYFUNCTION("""COMPUTED_VALUE"""),"خوزستان")</f>
        <v>خوزستان</v>
      </c>
      <c r="E3189" s="5" t="str">
        <f>IFERROR(__xludf.DUMMYFUNCTION("""COMPUTED_VALUE"""),"دزفول")</f>
        <v>دزفول</v>
      </c>
      <c r="F3189" s="5"/>
      <c r="G3189" s="5"/>
      <c r="H3189" s="6" t="str">
        <f>IFERROR(__xludf.DUMMYFUNCTION("""COMPUTED_VALUE"""),"https://www.instagram.com/ghamar_benjafar/")</f>
        <v>https://www.instagram.com/ghamar_benjafar/</v>
      </c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</row>
    <row r="3190">
      <c r="A3190" s="5"/>
      <c r="B3190" s="5" t="str">
        <f>IFERROR(__xludf.DUMMYFUNCTION("""COMPUTED_VALUE"""),"هیأت")</f>
        <v>هیأت</v>
      </c>
      <c r="C3190" s="5" t="str">
        <f>IFERROR(__xludf.DUMMYFUNCTION("""COMPUTED_VALUE"""),"عزاداران حجله گاه حضرت قاسم(ع)")</f>
        <v>عزاداران حجله گاه حضرت قاسم(ع)</v>
      </c>
      <c r="D3190" s="5" t="str">
        <f>IFERROR(__xludf.DUMMYFUNCTION("""COMPUTED_VALUE"""),"خوزستان")</f>
        <v>خوزستان</v>
      </c>
      <c r="E3190" s="5" t="str">
        <f>IFERROR(__xludf.DUMMYFUNCTION("""COMPUTED_VALUE"""),"دزفول")</f>
        <v>دزفول</v>
      </c>
      <c r="F3190" s="5"/>
      <c r="G3190" s="5"/>
      <c r="H3190" s="6" t="str">
        <f>IFERROR(__xludf.DUMMYFUNCTION("""COMPUTED_VALUE"""),"https://www.instagram.com/heyat_hejlegah_qasem/")</f>
        <v>https://www.instagram.com/heyat_hejlegah_qasem/</v>
      </c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</row>
    <row r="3191">
      <c r="A3191" s="5">
        <f>IFERROR(__xludf.DUMMYFUNCTION("""COMPUTED_VALUE"""),29134.0)</f>
        <v>29134</v>
      </c>
      <c r="B3191" s="5" t="str">
        <f>IFERROR(__xludf.DUMMYFUNCTION("""COMPUTED_VALUE"""),"هیأت")</f>
        <v>هیأت</v>
      </c>
      <c r="C3191" s="5" t="str">
        <f>IFERROR(__xludf.DUMMYFUNCTION("""COMPUTED_VALUE"""),"عزاداران مسجد بعثت")</f>
        <v>عزاداران مسجد بعثت</v>
      </c>
      <c r="D3191" s="5" t="str">
        <f>IFERROR(__xludf.DUMMYFUNCTION("""COMPUTED_VALUE"""),"خوزستان")</f>
        <v>خوزستان</v>
      </c>
      <c r="E3191" s="5" t="str">
        <f>IFERROR(__xludf.DUMMYFUNCTION("""COMPUTED_VALUE"""),"دزفول")</f>
        <v>دزفول</v>
      </c>
      <c r="F3191" s="5"/>
      <c r="G3191" s="5"/>
      <c r="H3191" s="6" t="str">
        <f>IFERROR(__xludf.DUMMYFUNCTION("""COMPUTED_VALUE"""),"https://www.instagram.com/masjed_besat_dezful/")</f>
        <v>https://www.instagram.com/masjed_besat_dezful/</v>
      </c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</row>
    <row r="3192">
      <c r="A3192" s="5"/>
      <c r="B3192" s="5" t="str">
        <f>IFERROR(__xludf.DUMMYFUNCTION("""COMPUTED_VALUE"""),"هیأت")</f>
        <v>هیأت</v>
      </c>
      <c r="C3192" s="5" t="str">
        <f>IFERROR(__xludf.DUMMYFUNCTION("""COMPUTED_VALUE"""),"عزاداران مسجد بعثت(چینی سازان )")</f>
        <v>عزاداران مسجد بعثت(چینی سازان )</v>
      </c>
      <c r="D3192" s="5" t="str">
        <f>IFERROR(__xludf.DUMMYFUNCTION("""COMPUTED_VALUE"""),"خوزستان")</f>
        <v>خوزستان</v>
      </c>
      <c r="E3192" s="5" t="str">
        <f>IFERROR(__xludf.DUMMYFUNCTION("""COMPUTED_VALUE"""),"دزفول")</f>
        <v>دزفول</v>
      </c>
      <c r="F3192" s="5"/>
      <c r="G3192" s="5"/>
      <c r="H3192" s="6" t="str">
        <f>IFERROR(__xludf.DUMMYFUNCTION("""COMPUTED_VALUE"""),"https://www.instagram.com/masjed.besat.dezful/")</f>
        <v>https://www.instagram.com/masjed.besat.dezful/</v>
      </c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</row>
    <row r="3193">
      <c r="A3193" s="5">
        <f>IFERROR(__xludf.DUMMYFUNCTION("""COMPUTED_VALUE"""),30831.0)</f>
        <v>30831</v>
      </c>
      <c r="B3193" s="5" t="str">
        <f>IFERROR(__xludf.DUMMYFUNCTION("""COMPUTED_VALUE"""),"هیأت")</f>
        <v>هیأت</v>
      </c>
      <c r="C3193" s="5" t="str">
        <f>IFERROR(__xludf.DUMMYFUNCTION("""COMPUTED_VALUE"""),"عزاداران مسجد علویه")</f>
        <v>عزاداران مسجد علویه</v>
      </c>
      <c r="D3193" s="5" t="str">
        <f>IFERROR(__xludf.DUMMYFUNCTION("""COMPUTED_VALUE"""),"خوزستان")</f>
        <v>خوزستان</v>
      </c>
      <c r="E3193" s="5" t="str">
        <f>IFERROR(__xludf.DUMMYFUNCTION("""COMPUTED_VALUE"""),"دزفول")</f>
        <v>دزفول</v>
      </c>
      <c r="F3193" s="5"/>
      <c r="G3193" s="5"/>
      <c r="H3193" s="6" t="str">
        <f>IFERROR(__xludf.DUMMYFUNCTION("""COMPUTED_VALUE"""),"https://www.instagram.com/mosque.alavie.dez/")</f>
        <v>https://www.instagram.com/mosque.alavie.dez/</v>
      </c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</row>
    <row r="3194">
      <c r="A3194" s="5"/>
      <c r="B3194" s="5" t="str">
        <f>IFERROR(__xludf.DUMMYFUNCTION("""COMPUTED_VALUE"""),"هیأت")</f>
        <v>هیأت</v>
      </c>
      <c r="C3194" s="5" t="str">
        <f>IFERROR(__xludf.DUMMYFUNCTION("""COMPUTED_VALUE"""),"عزادارن مسجد شهید توتونچی")</f>
        <v>عزادارن مسجد شهید توتونچی</v>
      </c>
      <c r="D3194" s="5" t="str">
        <f>IFERROR(__xludf.DUMMYFUNCTION("""COMPUTED_VALUE"""),"خوزستان")</f>
        <v>خوزستان</v>
      </c>
      <c r="E3194" s="5" t="str">
        <f>IFERROR(__xludf.DUMMYFUNCTION("""COMPUTED_VALUE"""),"دزفول")</f>
        <v>دزفول</v>
      </c>
      <c r="F3194" s="5"/>
      <c r="G3194" s="5"/>
      <c r="H3194" s="6" t="str">
        <f>IFERROR(__xludf.DUMMYFUNCTION("""COMPUTED_VALUE"""),"https://www.instagram.com/heyat_totonchi/")</f>
        <v>https://www.instagram.com/heyat_totonchi/</v>
      </c>
      <c r="I3194" s="6" t="str">
        <f>IFERROR(__xludf.DUMMYFUNCTION("""COMPUTED_VALUE"""),"https://t.me/heyat_totonchi")</f>
        <v>https://t.me/heyat_totonchi</v>
      </c>
      <c r="J3194" s="5"/>
      <c r="K3194" s="5"/>
      <c r="L3194" s="5"/>
      <c r="M3194" s="5"/>
      <c r="N3194" s="5"/>
      <c r="O3194" s="5"/>
      <c r="P3194" s="5"/>
      <c r="Q3194" s="5"/>
      <c r="R3194" s="5"/>
      <c r="S3194" s="5"/>
    </row>
    <row r="3195">
      <c r="A3195" s="5"/>
      <c r="B3195" s="5" t="str">
        <f>IFERROR(__xludf.DUMMYFUNCTION("""COMPUTED_VALUE"""),"حسینیه")</f>
        <v>حسینیه</v>
      </c>
      <c r="C3195" s="5" t="str">
        <f>IFERROR(__xludf.DUMMYFUNCTION("""COMPUTED_VALUE"""),"علم عباس")</f>
        <v>علم عباس</v>
      </c>
      <c r="D3195" s="5" t="str">
        <f>IFERROR(__xludf.DUMMYFUNCTION("""COMPUTED_VALUE"""),"خوزستان")</f>
        <v>خوزستان</v>
      </c>
      <c r="E3195" s="5" t="str">
        <f>IFERROR(__xludf.DUMMYFUNCTION("""COMPUTED_VALUE"""),"دزفول")</f>
        <v>دزفول</v>
      </c>
      <c r="F3195" s="5"/>
      <c r="G3195" s="5"/>
      <c r="H3195" s="6" t="str">
        <f>IFERROR(__xludf.DUMMYFUNCTION("""COMPUTED_VALUE"""),"https://www.instagram.com/hoseynieh.alamabbas/")</f>
        <v>https://www.instagram.com/hoseynieh.alamabbas/</v>
      </c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</row>
    <row r="3196">
      <c r="A3196" s="5"/>
      <c r="B3196" s="5" t="str">
        <f>IFERROR(__xludf.DUMMYFUNCTION("""COMPUTED_VALUE"""),"هیأت ")</f>
        <v>هیأت </v>
      </c>
      <c r="C3196" s="5" t="str">
        <f>IFERROR(__xludf.DUMMYFUNCTION("""COMPUTED_VALUE"""),"علمدار")</f>
        <v>علمدار</v>
      </c>
      <c r="D3196" s="5" t="str">
        <f>IFERROR(__xludf.DUMMYFUNCTION("""COMPUTED_VALUE"""),"خوزستان")</f>
        <v>خوزستان</v>
      </c>
      <c r="E3196" s="5" t="str">
        <f>IFERROR(__xludf.DUMMYFUNCTION("""COMPUTED_VALUE"""),"دزفول")</f>
        <v>دزفول</v>
      </c>
      <c r="F3196" s="5"/>
      <c r="G3196" s="5"/>
      <c r="H3196" s="6" t="str">
        <f>IFERROR(__xludf.DUMMYFUNCTION("""COMPUTED_VALUE"""),"https://www.instagram.com/alamdar_heyat/")</f>
        <v>https://www.instagram.com/alamdar_heyat/</v>
      </c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</row>
    <row r="3197">
      <c r="A3197" s="5"/>
      <c r="B3197" s="5" t="str">
        <f>IFERROR(__xludf.DUMMYFUNCTION("""COMPUTED_VALUE"""),"مسجد")</f>
        <v>مسجد</v>
      </c>
      <c r="C3197" s="5" t="str">
        <f>IFERROR(__xludf.DUMMYFUNCTION("""COMPUTED_VALUE"""),"علی‌ ابن ابی طالب (ع)")</f>
        <v>علی‌ ابن ابی طالب (ع)</v>
      </c>
      <c r="D3197" s="5" t="str">
        <f>IFERROR(__xludf.DUMMYFUNCTION("""COMPUTED_VALUE"""),"خوزستان")</f>
        <v>خوزستان</v>
      </c>
      <c r="E3197" s="5" t="str">
        <f>IFERROR(__xludf.DUMMYFUNCTION("""COMPUTED_VALUE"""),"دزفول")</f>
        <v>دزفول</v>
      </c>
      <c r="F3197" s="5"/>
      <c r="G3197" s="5"/>
      <c r="H3197" s="6" t="str">
        <f>IFERROR(__xludf.DUMMYFUNCTION("""COMPUTED_VALUE"""),"https://www.instagram.com/masjed_aliabneabitaleb_dezfoul/")</f>
        <v>https://www.instagram.com/masjed_aliabneabitaleb_dezfoul/</v>
      </c>
      <c r="I3197" s="6" t="str">
        <f>IFERROR(__xludf.DUMMYFUNCTION("""COMPUTED_VALUE"""),"https://t.me/mobinrezazadeh70")</f>
        <v>https://t.me/mobinrezazadeh70</v>
      </c>
      <c r="J3197" s="5"/>
      <c r="K3197" s="5"/>
      <c r="L3197" s="5"/>
      <c r="M3197" s="5"/>
      <c r="N3197" s="5"/>
      <c r="O3197" s="5"/>
      <c r="P3197" s="5"/>
      <c r="Q3197" s="5"/>
      <c r="R3197" s="5"/>
      <c r="S3197" s="5"/>
    </row>
    <row r="3198">
      <c r="A3198" s="5"/>
      <c r="B3198" s="5" t="str">
        <f>IFERROR(__xludf.DUMMYFUNCTION("""COMPUTED_VALUE"""),"مسجد")</f>
        <v>مسجد</v>
      </c>
      <c r="C3198" s="5" t="str">
        <f>IFERROR(__xludf.DUMMYFUNCTION("""COMPUTED_VALUE"""),"غدیر (هیأت باب الحوائج)")</f>
        <v>غدیر (هیأت باب الحوائج)</v>
      </c>
      <c r="D3198" s="5" t="str">
        <f>IFERROR(__xludf.DUMMYFUNCTION("""COMPUTED_VALUE"""),"خوزستان")</f>
        <v>خوزستان</v>
      </c>
      <c r="E3198" s="5" t="str">
        <f>IFERROR(__xludf.DUMMYFUNCTION("""COMPUTED_VALUE"""),"دزفول")</f>
        <v>دزفول</v>
      </c>
      <c r="F3198" s="5"/>
      <c r="G3198" s="5"/>
      <c r="H3198" s="6" t="str">
        <f>IFERROR(__xludf.DUMMYFUNCTION("""COMPUTED_VALUE"""),"https://www.instagram.com/alghadir_dez/")</f>
        <v>https://www.instagram.com/alghadir_dez/</v>
      </c>
      <c r="I3198" s="5"/>
      <c r="J3198" s="6" t="str">
        <f>IFERROR(__xludf.DUMMYFUNCTION("""COMPUTED_VALUE"""),"https://eitaa.com/sh_farokhi")</f>
        <v>https://eitaa.com/sh_farokhi</v>
      </c>
      <c r="K3198" s="5"/>
      <c r="L3198" s="5"/>
      <c r="M3198" s="5"/>
      <c r="N3198" s="5"/>
      <c r="O3198" s="5"/>
      <c r="P3198" s="5"/>
      <c r="Q3198" s="5"/>
      <c r="R3198" s="5"/>
      <c r="S3198" s="5"/>
    </row>
    <row r="3199">
      <c r="A3199" s="5"/>
      <c r="B3199" s="5" t="str">
        <f>IFERROR(__xludf.DUMMYFUNCTION("""COMPUTED_VALUE"""),"حسینیه")</f>
        <v>حسینیه</v>
      </c>
      <c r="C3199" s="5" t="str">
        <f>IFERROR(__xludf.DUMMYFUNCTION("""COMPUTED_VALUE"""),"فاطمه الزهرا")</f>
        <v>فاطمه الزهرا</v>
      </c>
      <c r="D3199" s="5" t="str">
        <f>IFERROR(__xludf.DUMMYFUNCTION("""COMPUTED_VALUE"""),"خوزستان")</f>
        <v>خوزستان</v>
      </c>
      <c r="E3199" s="5" t="str">
        <f>IFERROR(__xludf.DUMMYFUNCTION("""COMPUTED_VALUE"""),"دزفول")</f>
        <v>دزفول</v>
      </c>
      <c r="F3199" s="5"/>
      <c r="G3199" s="5"/>
      <c r="H3199" s="6" t="str">
        <f>IFERROR(__xludf.DUMMYFUNCTION("""COMPUTED_VALUE"""),"https://www.instagram.com/hosseinieh.fatemeh.alzahra/")</f>
        <v>https://www.instagram.com/hosseinieh.fatemeh.alzahra/</v>
      </c>
      <c r="I3199" s="6" t="str">
        <f>IFERROR(__xludf.DUMMYFUNCTION("""COMPUTED_VALUE"""),"https://t.me/fadakieh_beytolahzan")</f>
        <v>https://t.me/fadakieh_beytolahzan</v>
      </c>
      <c r="J3199" s="6" t="str">
        <f>IFERROR(__xludf.DUMMYFUNCTION("""COMPUTED_VALUE"""),"https://eitaa.com/hosseinieh_fatemh_alzahra")</f>
        <v>https://eitaa.com/hosseinieh_fatemh_alzahra</v>
      </c>
      <c r="K3199" s="5"/>
      <c r="L3199" s="5"/>
      <c r="M3199" s="5"/>
      <c r="N3199" s="5"/>
      <c r="O3199" s="5"/>
      <c r="P3199" s="5"/>
      <c r="Q3199" s="5"/>
      <c r="R3199" s="5"/>
      <c r="S3199" s="5"/>
    </row>
    <row r="3200">
      <c r="A3200" s="5"/>
      <c r="B3200" s="5" t="str">
        <f>IFERROR(__xludf.DUMMYFUNCTION("""COMPUTED_VALUE"""),"حسینیه")</f>
        <v>حسینیه</v>
      </c>
      <c r="C3200" s="5" t="str">
        <f>IFERROR(__xludf.DUMMYFUNCTION("""COMPUTED_VALUE"""),"کاظمین")</f>
        <v>کاظمین</v>
      </c>
      <c r="D3200" s="5" t="str">
        <f>IFERROR(__xludf.DUMMYFUNCTION("""COMPUTED_VALUE"""),"خوزستان")</f>
        <v>خوزستان</v>
      </c>
      <c r="E3200" s="5" t="str">
        <f>IFERROR(__xludf.DUMMYFUNCTION("""COMPUTED_VALUE"""),"دزفول")</f>
        <v>دزفول</v>
      </c>
      <c r="F3200" s="5"/>
      <c r="G3200" s="5"/>
      <c r="H3200" s="6" t="str">
        <f>IFERROR(__xludf.DUMMYFUNCTION("""COMPUTED_VALUE"""),"https://www.instagram.com/hoseiniye.kazemeyn.dezfoul/")</f>
        <v>https://www.instagram.com/hoseiniye.kazemeyn.dezfoul/</v>
      </c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</row>
    <row r="3201">
      <c r="A3201" s="5"/>
      <c r="B3201" s="5" t="str">
        <f>IFERROR(__xludf.DUMMYFUNCTION("""COMPUTED_VALUE"""),"هیأت")</f>
        <v>هیأت</v>
      </c>
      <c r="C3201" s="5" t="str">
        <f>IFERROR(__xludf.DUMMYFUNCTION("""COMPUTED_VALUE"""),"کف العباس")</f>
        <v>کف العباس</v>
      </c>
      <c r="D3201" s="5" t="str">
        <f>IFERROR(__xludf.DUMMYFUNCTION("""COMPUTED_VALUE"""),"خوزستان")</f>
        <v>خوزستان</v>
      </c>
      <c r="E3201" s="5" t="str">
        <f>IFERROR(__xludf.DUMMYFUNCTION("""COMPUTED_VALUE"""),"دزفول")</f>
        <v>دزفول</v>
      </c>
      <c r="F3201" s="5"/>
      <c r="G3201" s="5"/>
      <c r="H3201" s="6" t="str">
        <f>IFERROR(__xludf.DUMMYFUNCTION("""COMPUTED_VALUE"""),"https://www.instagram.com/kafolabas_ir/")</f>
        <v>https://www.instagram.com/kafolabas_ir/</v>
      </c>
      <c r="I3201" s="6" t="str">
        <f>IFERROR(__xludf.DUMMYFUNCTION("""COMPUTED_VALUE"""),"https://t.me/kafolabbas_ir")</f>
        <v>https://t.me/kafolabbas_ir</v>
      </c>
      <c r="J3201" s="5"/>
      <c r="K3201" s="5"/>
      <c r="L3201" s="5"/>
      <c r="M3201" s="5"/>
      <c r="N3201" s="5"/>
      <c r="O3201" s="5"/>
      <c r="P3201" s="5"/>
      <c r="Q3201" s="5"/>
      <c r="R3201" s="5"/>
      <c r="S3201" s="5"/>
    </row>
    <row r="3202">
      <c r="A3202" s="5"/>
      <c r="B3202" s="5" t="str">
        <f>IFERROR(__xludf.DUMMYFUNCTION("""COMPUTED_VALUE"""),"هیأت")</f>
        <v>هیأت</v>
      </c>
      <c r="C3202" s="5" t="str">
        <f>IFERROR(__xludf.DUMMYFUNCTION("""COMPUTED_VALUE"""),"ماتمکده حضرت نرجس خاتون سلام الله علیها")</f>
        <v>ماتمکده حضرت نرجس خاتون سلام الله علیها</v>
      </c>
      <c r="D3202" s="5" t="str">
        <f>IFERROR(__xludf.DUMMYFUNCTION("""COMPUTED_VALUE"""),"خوزستان")</f>
        <v>خوزستان</v>
      </c>
      <c r="E3202" s="5" t="str">
        <f>IFERROR(__xludf.DUMMYFUNCTION("""COMPUTED_VALUE"""),"دزفول")</f>
        <v>دزفول</v>
      </c>
      <c r="F3202" s="5"/>
      <c r="G3202" s="5"/>
      <c r="H3202" s="6" t="str">
        <f>IFERROR(__xludf.DUMMYFUNCTION("""COMPUTED_VALUE"""),"https://www.instagram.com/matamkade_narjes_khatoon/")</f>
        <v>https://www.instagram.com/matamkade_narjes_khatoon/</v>
      </c>
      <c r="I3202" s="6" t="str">
        <f>IFERROR(__xludf.DUMMYFUNCTION("""COMPUTED_VALUE"""),"https://t.me/matamkadehazratnarjeskhaton")</f>
        <v>https://t.me/matamkadehazratnarjeskhaton</v>
      </c>
      <c r="J3202" s="5"/>
      <c r="K3202" s="5"/>
      <c r="L3202" s="5"/>
      <c r="M3202" s="5"/>
      <c r="N3202" s="5"/>
      <c r="O3202" s="5"/>
      <c r="P3202" s="5"/>
      <c r="Q3202" s="5"/>
      <c r="R3202" s="5"/>
      <c r="S3202" s="5"/>
    </row>
    <row r="3203">
      <c r="A3203" s="5"/>
      <c r="B3203" s="5" t="str">
        <f>IFERROR(__xludf.DUMMYFUNCTION("""COMPUTED_VALUE"""),"هیأت")</f>
        <v>هیأت</v>
      </c>
      <c r="C3203" s="5" t="str">
        <f>IFERROR(__xludf.DUMMYFUNCTION("""COMPUTED_VALUE"""),"متحده ابوالفضل العباس")</f>
        <v>متحده ابوالفضل العباس</v>
      </c>
      <c r="D3203" s="5" t="str">
        <f>IFERROR(__xludf.DUMMYFUNCTION("""COMPUTED_VALUE"""),"خوزستان")</f>
        <v>خوزستان</v>
      </c>
      <c r="E3203" s="5" t="str">
        <f>IFERROR(__xludf.DUMMYFUNCTION("""COMPUTED_VALUE"""),"دزفول")</f>
        <v>دزفول</v>
      </c>
      <c r="F3203" s="5"/>
      <c r="G3203" s="5"/>
      <c r="H3203" s="6" t="str">
        <f>IFERROR(__xludf.DUMMYFUNCTION("""COMPUTED_VALUE"""),"https://www.instagram.com/abasieh.ir/")</f>
        <v>https://www.instagram.com/abasieh.ir/</v>
      </c>
      <c r="I3203" s="6" t="str">
        <f>IFERROR(__xludf.DUMMYFUNCTION("""COMPUTED_VALUE"""),"https://t.me/abasiehir")</f>
        <v>https://t.me/abasiehir</v>
      </c>
      <c r="J3203" s="5"/>
      <c r="K3203" s="5"/>
      <c r="L3203" s="5"/>
      <c r="M3203" s="5"/>
      <c r="N3203" s="5"/>
      <c r="O3203" s="5"/>
      <c r="P3203" s="5"/>
      <c r="Q3203" s="5"/>
      <c r="R3203" s="5"/>
      <c r="S3203" s="5"/>
    </row>
    <row r="3204">
      <c r="A3204" s="5">
        <f>IFERROR(__xludf.DUMMYFUNCTION("""COMPUTED_VALUE"""),19873.0)</f>
        <v>19873</v>
      </c>
      <c r="B3204" s="5" t="str">
        <f>IFERROR(__xludf.DUMMYFUNCTION("""COMPUTED_VALUE"""),"هیأت")</f>
        <v>هیأت</v>
      </c>
      <c r="C3204" s="5" t="str">
        <f>IFERROR(__xludf.DUMMYFUNCTION("""COMPUTED_VALUE"""),"محبان امیرالمومنین (ع) معروف به قدمگاه")</f>
        <v>محبان امیرالمومنین (ع) معروف به قدمگاه</v>
      </c>
      <c r="D3204" s="5" t="str">
        <f>IFERROR(__xludf.DUMMYFUNCTION("""COMPUTED_VALUE"""),"خوزستان")</f>
        <v>خوزستان</v>
      </c>
      <c r="E3204" s="5" t="str">
        <f>IFERROR(__xludf.DUMMYFUNCTION("""COMPUTED_VALUE"""),"دزفول")</f>
        <v>دزفول</v>
      </c>
      <c r="F3204" s="5"/>
      <c r="G3204" s="5"/>
      <c r="H3204" s="6" t="str">
        <f>IFERROR(__xludf.DUMMYFUNCTION("""COMPUTED_VALUE"""),"https://www.instagram.com/moheban_ali_ir_")</f>
        <v>https://www.instagram.com/moheban_ali_ir_</v>
      </c>
      <c r="I3204" s="5"/>
      <c r="J3204" s="6" t="str">
        <f>IFERROR(__xludf.DUMMYFUNCTION("""COMPUTED_VALUE"""),"https://eitaa.com/s/moheban_ali_ir/")</f>
        <v>https://eitaa.com/s/moheban_ali_ir/</v>
      </c>
      <c r="K3204" s="5"/>
      <c r="L3204" s="5"/>
      <c r="M3204" s="5"/>
      <c r="N3204" s="5"/>
      <c r="O3204" s="5"/>
      <c r="P3204" s="5"/>
      <c r="Q3204" s="5"/>
      <c r="R3204" s="5"/>
      <c r="S3204" s="5"/>
    </row>
    <row r="3205">
      <c r="A3205" s="5"/>
      <c r="B3205" s="5" t="str">
        <f>IFERROR(__xludf.DUMMYFUNCTION("""COMPUTED_VALUE"""),"هیأت")</f>
        <v>هیأت</v>
      </c>
      <c r="C3205" s="5" t="str">
        <f>IFERROR(__xludf.DUMMYFUNCTION("""COMPUTED_VALUE"""),"محرم")</f>
        <v>محرم</v>
      </c>
      <c r="D3205" s="5" t="str">
        <f>IFERROR(__xludf.DUMMYFUNCTION("""COMPUTED_VALUE"""),"خوزستان")</f>
        <v>خوزستان</v>
      </c>
      <c r="E3205" s="5" t="str">
        <f>IFERROR(__xludf.DUMMYFUNCTION("""COMPUTED_VALUE"""),"دزفول")</f>
        <v>دزفول</v>
      </c>
      <c r="F3205" s="5"/>
      <c r="G3205" s="5"/>
      <c r="H3205" s="6" t="str">
        <f>IFERROR(__xludf.DUMMYFUNCTION("""COMPUTED_VALUE"""),"https://www.instagram.com/moharam.dezfull/")</f>
        <v>https://www.instagram.com/moharam.dezfull/</v>
      </c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</row>
    <row r="3206">
      <c r="A3206" s="5"/>
      <c r="B3206" s="5" t="str">
        <f>IFERROR(__xludf.DUMMYFUNCTION("""COMPUTED_VALUE"""),"هیأت")</f>
        <v>هیأت</v>
      </c>
      <c r="C3206" s="5" t="str">
        <f>IFERROR(__xludf.DUMMYFUNCTION("""COMPUTED_VALUE"""),"مکتب الزهرا")</f>
        <v>مکتب الزهرا</v>
      </c>
      <c r="D3206" s="5" t="str">
        <f>IFERROR(__xludf.DUMMYFUNCTION("""COMPUTED_VALUE"""),"خوزستان")</f>
        <v>خوزستان</v>
      </c>
      <c r="E3206" s="5" t="str">
        <f>IFERROR(__xludf.DUMMYFUNCTION("""COMPUTED_VALUE"""),"دزفول")</f>
        <v>دزفول</v>
      </c>
      <c r="F3206" s="5"/>
      <c r="G3206" s="5"/>
      <c r="H3206" s="6" t="str">
        <f>IFERROR(__xludf.DUMMYFUNCTION("""COMPUTED_VALUE"""),"https://www.instagram.com/fatemiedezful.ir/")</f>
        <v>https://www.instagram.com/fatemiedezful.ir/</v>
      </c>
      <c r="I3206" s="6" t="str">
        <f>IFERROR(__xludf.DUMMYFUNCTION("""COMPUTED_VALUE"""),"https://t.me/fatemiedezfulir")</f>
        <v>https://t.me/fatemiedezfulir</v>
      </c>
      <c r="J3206" s="5"/>
      <c r="K3206" s="5"/>
      <c r="L3206" s="5"/>
      <c r="M3206" s="5"/>
      <c r="N3206" s="5"/>
      <c r="O3206" s="5"/>
      <c r="P3206" s="5"/>
      <c r="Q3206" s="5"/>
      <c r="R3206" s="5"/>
      <c r="S3206" s="5"/>
    </row>
    <row r="3207">
      <c r="A3207" s="5">
        <f>IFERROR(__xludf.DUMMYFUNCTION("""COMPUTED_VALUE"""),32602.0)</f>
        <v>32602</v>
      </c>
      <c r="B3207" s="5" t="str">
        <f>IFERROR(__xludf.DUMMYFUNCTION("""COMPUTED_VALUE"""),"هیأت")</f>
        <v>هیأت</v>
      </c>
      <c r="C3207" s="5" t="str">
        <f>IFERROR(__xludf.DUMMYFUNCTION("""COMPUTED_VALUE"""),"مکتب العباس (ع)")</f>
        <v>مکتب العباس (ع)</v>
      </c>
      <c r="D3207" s="5" t="str">
        <f>IFERROR(__xludf.DUMMYFUNCTION("""COMPUTED_VALUE"""),"خوزستان")</f>
        <v>خوزستان</v>
      </c>
      <c r="E3207" s="5" t="str">
        <f>IFERROR(__xludf.DUMMYFUNCTION("""COMPUTED_VALUE"""),"دزفول")</f>
        <v>دزفول</v>
      </c>
      <c r="F3207" s="5"/>
      <c r="G3207" s="5"/>
      <c r="H3207" s="6" t="str">
        <f>IFERROR(__xludf.DUMMYFUNCTION("""COMPUTED_VALUE"""),"https://www.instagram.com/maktabalabbas/")</f>
        <v>https://www.instagram.com/maktabalabbas/</v>
      </c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</row>
    <row r="3208">
      <c r="A3208" s="5">
        <f>IFERROR(__xludf.DUMMYFUNCTION("""COMPUTED_VALUE"""),19721.0)</f>
        <v>19721</v>
      </c>
      <c r="B3208" s="5" t="str">
        <f>IFERROR(__xludf.DUMMYFUNCTION("""COMPUTED_VALUE"""),"هیأت")</f>
        <v>هیأت</v>
      </c>
      <c r="C3208" s="5" t="str">
        <f>IFERROR(__xludf.DUMMYFUNCTION("""COMPUTED_VALUE"""),"یالثارات الحسین (ع)")</f>
        <v>یالثارات الحسین (ع)</v>
      </c>
      <c r="D3208" s="5" t="str">
        <f>IFERROR(__xludf.DUMMYFUNCTION("""COMPUTED_VALUE"""),"خوزستان")</f>
        <v>خوزستان</v>
      </c>
      <c r="E3208" s="5" t="str">
        <f>IFERROR(__xludf.DUMMYFUNCTION("""COMPUTED_VALUE"""),"دزفول")</f>
        <v>دزفول</v>
      </c>
      <c r="F3208" s="5"/>
      <c r="G3208" s="5"/>
      <c r="H3208" s="6" t="str">
        <f>IFERROR(__xludf.DUMMYFUNCTION("""COMPUTED_VALUE"""),"https://www.instagram.com/yalesaratdez/")</f>
        <v>https://www.instagram.com/yalesaratdez/</v>
      </c>
      <c r="I3208" s="5"/>
      <c r="J3208" s="6" t="str">
        <f>IFERROR(__xludf.DUMMYFUNCTION("""COMPUTED_VALUE"""),"https://eitaa.com/yalesaratdezful")</f>
        <v>https://eitaa.com/yalesaratdezful</v>
      </c>
      <c r="K3208" s="5"/>
      <c r="L3208" s="5"/>
      <c r="M3208" s="6" t="str">
        <f>IFERROR(__xludf.DUMMYFUNCTION("""COMPUTED_VALUE"""),"https://l.instagram.com/?u=http%3A%2F%2Fwww.yalesaratdez.ir%2F%3Ffbclid%3DPAZXh0bgNhZW0CMTEAAafeSF74GVVfA6lg7WEv2GRzSoSAJ7cBRsnKsdtdDTZ6qK7VF7BIVZ1rK1tr9Q_aem_JLBtH4ZWiOmSBqA9jCNAdA&amp;e=AT0wRMaoPCvOxPczftax35Pz57D1pIME-c1mdCJddmUkuW3_HDPlzrjgrdXJjzvxoIXPNmy"&amp;"_CYWrGJlZiAYHRwZ0qp-c1gDbmIRAf30")</f>
        <v>https://l.instagram.com/?u=http%3A%2F%2Fwww.yalesaratdez.ir%2F%3Ffbclid%3DPAZXh0bgNhZW0CMTEAAafeSF74GVVfA6lg7WEv2GRzSoSAJ7cBRsnKsdtdDTZ6qK7VF7BIVZ1rK1tr9Q_aem_JLBtH4ZWiOmSBqA9jCNAdA&amp;e=AT0wRMaoPCvOxPczftax35Pz57D1pIME-c1mdCJddmUkuW3_HDPlzrjgrdXJjzvxoIXPNmy_CYWrGJlZiAYHRwZ0qp-c1gDbmIRAf30</v>
      </c>
      <c r="N3208" s="5"/>
      <c r="O3208" s="5"/>
      <c r="P3208" s="5"/>
      <c r="Q3208" s="5"/>
      <c r="R3208" s="5"/>
      <c r="S3208" s="5"/>
    </row>
    <row r="3209">
      <c r="A3209" s="5">
        <f>IFERROR(__xludf.DUMMYFUNCTION("""COMPUTED_VALUE"""),28487.0)</f>
        <v>28487</v>
      </c>
      <c r="B3209" s="5" t="str">
        <f>IFERROR(__xludf.DUMMYFUNCTION("""COMPUTED_VALUE"""),"هیأت")</f>
        <v>هیأت</v>
      </c>
      <c r="C3209" s="5" t="str">
        <f>IFERROR(__xludf.DUMMYFUNCTION("""COMPUTED_VALUE"""),"ثقلین")</f>
        <v>ثقلین</v>
      </c>
      <c r="D3209" s="5" t="str">
        <f>IFERROR(__xludf.DUMMYFUNCTION("""COMPUTED_VALUE"""),"خوزستان")</f>
        <v>خوزستان</v>
      </c>
      <c r="E3209" s="5" t="str">
        <f>IFERROR(__xludf.DUMMYFUNCTION("""COMPUTED_VALUE"""),"رامشیر")</f>
        <v>رامشیر</v>
      </c>
      <c r="F3209" s="5"/>
      <c r="G3209" s="5"/>
      <c r="H3209" s="6" t="str">
        <f>IFERROR(__xludf.DUMMYFUNCTION("""COMPUTED_VALUE"""),"https://www.instagram.com/thaqalainheyat/")</f>
        <v>https://www.instagram.com/thaqalainheyat/</v>
      </c>
      <c r="I3209" s="6" t="str">
        <f>IFERROR(__xludf.DUMMYFUNCTION("""COMPUTED_VALUE"""),"t.me/the_thaqalain")</f>
        <v>t.me/the_thaqalain</v>
      </c>
      <c r="J3209" s="5"/>
      <c r="K3209" s="5"/>
      <c r="L3209" s="5"/>
      <c r="M3209" s="5"/>
      <c r="N3209" s="5"/>
      <c r="O3209" s="5"/>
      <c r="P3209" s="5"/>
      <c r="Q3209" s="5"/>
      <c r="R3209" s="5"/>
      <c r="S3209" s="5"/>
    </row>
    <row r="3210">
      <c r="A3210" s="5"/>
      <c r="B3210" s="5" t="str">
        <f>IFERROR(__xludf.DUMMYFUNCTION("""COMPUTED_VALUE"""),"هیأت")</f>
        <v>هیأت</v>
      </c>
      <c r="C3210" s="5" t="str">
        <f>IFERROR(__xludf.DUMMYFUNCTION("""COMPUTED_VALUE"""),"قاسم‌بن‌الحسن(ع)")</f>
        <v>قاسم‌بن‌الحسن(ع)</v>
      </c>
      <c r="D3210" s="5" t="str">
        <f>IFERROR(__xludf.DUMMYFUNCTION("""COMPUTED_VALUE"""),"خوزستان")</f>
        <v>خوزستان</v>
      </c>
      <c r="E3210" s="5" t="str">
        <f>IFERROR(__xludf.DUMMYFUNCTION("""COMPUTED_VALUE"""),"رامشیر")</f>
        <v>رامشیر</v>
      </c>
      <c r="F3210" s="5"/>
      <c r="G3210" s="5"/>
      <c r="H3210" s="6" t="str">
        <f>IFERROR(__xludf.DUMMYFUNCTION("""COMPUTED_VALUE"""),"https://www.instagram.com/hyat_ghasem_ramshir/")</f>
        <v>https://www.instagram.com/hyat_ghasem_ramshir/</v>
      </c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</row>
    <row r="3211">
      <c r="A3211" s="5"/>
      <c r="B3211" s="5" t="str">
        <f>IFERROR(__xludf.DUMMYFUNCTION("""COMPUTED_VALUE"""),"هیأت ")</f>
        <v>هیأت </v>
      </c>
      <c r="C3211" s="5" t="str">
        <f>IFERROR(__xludf.DUMMYFUNCTION("""COMPUTED_VALUE"""),"الحیدر (ع)")</f>
        <v>الحیدر (ع)</v>
      </c>
      <c r="D3211" s="5" t="str">
        <f>IFERROR(__xludf.DUMMYFUNCTION("""COMPUTED_VALUE"""),"خوزستان")</f>
        <v>خوزستان</v>
      </c>
      <c r="E3211" s="5" t="str">
        <f>IFERROR(__xludf.DUMMYFUNCTION("""COMPUTED_VALUE"""),"رامهرمز")</f>
        <v>رامهرمز</v>
      </c>
      <c r="F3211" s="5"/>
      <c r="G3211" s="5"/>
      <c r="H3211" s="5"/>
      <c r="I3211" s="5"/>
      <c r="J3211" s="6" t="str">
        <f>IFERROR(__xludf.DUMMYFUNCTION("""COMPUTED_VALUE"""),"https://eitaa.com/alheydar_rmz")</f>
        <v>https://eitaa.com/alheydar_rmz</v>
      </c>
      <c r="K3211" s="5"/>
      <c r="L3211" s="5"/>
      <c r="M3211" s="5"/>
      <c r="N3211" s="5"/>
      <c r="O3211" s="5"/>
      <c r="P3211" s="5"/>
      <c r="Q3211" s="5"/>
      <c r="R3211" s="5"/>
      <c r="S3211" s="5"/>
    </row>
    <row r="3212">
      <c r="A3212" s="5"/>
      <c r="B3212" s="5" t="str">
        <f>IFERROR(__xludf.DUMMYFUNCTION("""COMPUTED_VALUE"""),"هیأت")</f>
        <v>هیأت</v>
      </c>
      <c r="C3212" s="5" t="str">
        <f>IFERROR(__xludf.DUMMYFUNCTION("""COMPUTED_VALUE"""),"حسین جان")</f>
        <v>حسین جان</v>
      </c>
      <c r="D3212" s="5" t="str">
        <f>IFERROR(__xludf.DUMMYFUNCTION("""COMPUTED_VALUE"""),"خوزستان")</f>
        <v>خوزستان</v>
      </c>
      <c r="E3212" s="5" t="str">
        <f>IFERROR(__xludf.DUMMYFUNCTION("""COMPUTED_VALUE"""),"رامهرمز")</f>
        <v>رامهرمز</v>
      </c>
      <c r="F3212" s="5"/>
      <c r="G3212" s="5"/>
      <c r="H3212" s="6" t="str">
        <f>IFERROR(__xludf.DUMMYFUNCTION("""COMPUTED_VALUE"""),"https://www.instagram.com/hosseinjan_rmz")</f>
        <v>https://www.instagram.com/hosseinjan_rmz</v>
      </c>
      <c r="I3212" s="6" t="str">
        <f>IFERROR(__xludf.DUMMYFUNCTION("""COMPUTED_VALUE"""),"https://t.me/hosseinjan_rmz")</f>
        <v>https://t.me/hosseinjan_rmz</v>
      </c>
      <c r="J3212" s="6" t="str">
        <f>IFERROR(__xludf.DUMMYFUNCTION("""COMPUTED_VALUE"""),"https://eitaa.com/hosseinjan_rmz")</f>
        <v>https://eitaa.com/hosseinjan_rmz</v>
      </c>
      <c r="K3212" s="5"/>
      <c r="L3212" s="5"/>
      <c r="M3212" s="5"/>
      <c r="N3212" s="5"/>
      <c r="O3212" s="5"/>
      <c r="P3212" s="5"/>
      <c r="Q3212" s="5"/>
      <c r="R3212" s="5"/>
      <c r="S3212" s="5"/>
    </row>
    <row r="3213">
      <c r="A3213" s="5">
        <f>IFERROR(__xludf.DUMMYFUNCTION("""COMPUTED_VALUE"""),30483.0)</f>
        <v>30483</v>
      </c>
      <c r="B3213" s="5" t="str">
        <f>IFERROR(__xludf.DUMMYFUNCTION("""COMPUTED_VALUE"""),"هیأت")</f>
        <v>هیأت</v>
      </c>
      <c r="C3213" s="5" t="str">
        <f>IFERROR(__xludf.DUMMYFUNCTION("""COMPUTED_VALUE"""),"رزمندگان اسلام")</f>
        <v>رزمندگان اسلام</v>
      </c>
      <c r="D3213" s="5" t="str">
        <f>IFERROR(__xludf.DUMMYFUNCTION("""COMPUTED_VALUE"""),"خوزستان")</f>
        <v>خوزستان</v>
      </c>
      <c r="E3213" s="5" t="str">
        <f>IFERROR(__xludf.DUMMYFUNCTION("""COMPUTED_VALUE"""),"رامهرمز")</f>
        <v>رامهرمز</v>
      </c>
      <c r="F3213" s="5"/>
      <c r="G3213" s="5"/>
      <c r="H3213" s="5"/>
      <c r="I3213" s="5"/>
      <c r="J3213" s="6" t="str">
        <f>IFERROR(__xludf.DUMMYFUNCTION("""COMPUTED_VALUE"""),"https://eitaa.com/shohadaye_gomnam_rmz")</f>
        <v>https://eitaa.com/shohadaye_gomnam_rmz</v>
      </c>
      <c r="K3213" s="5"/>
      <c r="L3213" s="5"/>
      <c r="M3213" s="5"/>
      <c r="N3213" s="5"/>
      <c r="O3213" s="5"/>
      <c r="P3213" s="5"/>
      <c r="Q3213" s="5"/>
      <c r="R3213" s="5"/>
      <c r="S3213" s="5"/>
    </row>
    <row r="3214">
      <c r="A3214" s="5"/>
      <c r="B3214" s="5" t="str">
        <f>IFERROR(__xludf.DUMMYFUNCTION("""COMPUTED_VALUE"""),"هیأت دانشجویی")</f>
        <v>هیأت دانشجویی</v>
      </c>
      <c r="C3214" s="5" t="str">
        <f>IFERROR(__xludf.DUMMYFUNCTION("""COMPUTED_VALUE"""),"فاطمة الزهرا")</f>
        <v>فاطمة الزهرا</v>
      </c>
      <c r="D3214" s="5" t="str">
        <f>IFERROR(__xludf.DUMMYFUNCTION("""COMPUTED_VALUE"""),"خوزستان")</f>
        <v>خوزستان</v>
      </c>
      <c r="E3214" s="5" t="str">
        <f>IFERROR(__xludf.DUMMYFUNCTION("""COMPUTED_VALUE"""),"رامهرمز")</f>
        <v>رامهرمز</v>
      </c>
      <c r="F3214" s="5" t="str">
        <f>IFERROR(__xludf.DUMMYFUNCTION("""COMPUTED_VALUE"""),"دانشگاه آزاد اسلامی رامهرمز")</f>
        <v>دانشگاه آزاد اسلامی رامهرمز</v>
      </c>
      <c r="G3214" s="5"/>
      <c r="H3214" s="6" t="str">
        <f>IFERROR(__xludf.DUMMYFUNCTION("""COMPUTED_VALUE"""),"https://www.instagram.com/heyat_fzu")</f>
        <v>https://www.instagram.com/heyat_fzu</v>
      </c>
      <c r="I3214" s="5"/>
      <c r="J3214" s="6" t="str">
        <f>IFERROR(__xludf.DUMMYFUNCTION("""COMPUTED_VALUE"""),"https://eitaa.com/heyat_fzu")</f>
        <v>https://eitaa.com/heyat_fzu</v>
      </c>
      <c r="K3214" s="5"/>
      <c r="L3214" s="5"/>
      <c r="M3214" s="5"/>
      <c r="N3214" s="5"/>
      <c r="O3214" s="5"/>
      <c r="P3214" s="5"/>
      <c r="Q3214" s="5"/>
      <c r="R3214" s="5"/>
      <c r="S3214" s="5"/>
    </row>
    <row r="3215">
      <c r="A3215" s="5"/>
      <c r="B3215" s="5" t="str">
        <f>IFERROR(__xludf.DUMMYFUNCTION("""COMPUTED_VALUE"""),"هیأت")</f>
        <v>هیأت</v>
      </c>
      <c r="C3215" s="5" t="str">
        <f>IFERROR(__xludf.DUMMYFUNCTION("""COMPUTED_VALUE"""),"کریمه اهل بیت")</f>
        <v>کریمه اهل بیت</v>
      </c>
      <c r="D3215" s="5" t="str">
        <f>IFERROR(__xludf.DUMMYFUNCTION("""COMPUTED_VALUE"""),"خوزستان")</f>
        <v>خوزستان</v>
      </c>
      <c r="E3215" s="5" t="str">
        <f>IFERROR(__xludf.DUMMYFUNCTION("""COMPUTED_VALUE"""),"رامهرمز")</f>
        <v>رامهرمز</v>
      </c>
      <c r="F3215" s="5"/>
      <c r="G3215" s="5"/>
      <c r="H3215" s="6" t="str">
        <f>IFERROR(__xludf.DUMMYFUNCTION("""COMPUTED_VALUE"""),"https://www.instagram.com/karime_rmzz/")</f>
        <v>https://www.instagram.com/karime_rmzz/</v>
      </c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</row>
    <row r="3216">
      <c r="A3216" s="5">
        <f>IFERROR(__xludf.DUMMYFUNCTION("""COMPUTED_VALUE"""),30492.0)</f>
        <v>30492</v>
      </c>
      <c r="B3216" s="5" t="str">
        <f>IFERROR(__xludf.DUMMYFUNCTION("""COMPUTED_VALUE"""),"هیأت")</f>
        <v>هیأت</v>
      </c>
      <c r="C3216" s="5" t="str">
        <f>IFERROR(__xludf.DUMMYFUNCTION("""COMPUTED_VALUE"""),"کریمه اهل بیت (س)")</f>
        <v>کریمه اهل بیت (س)</v>
      </c>
      <c r="D3216" s="5" t="str">
        <f>IFERROR(__xludf.DUMMYFUNCTION("""COMPUTED_VALUE"""),"خوزستان")</f>
        <v>خوزستان</v>
      </c>
      <c r="E3216" s="5" t="str">
        <f>IFERROR(__xludf.DUMMYFUNCTION("""COMPUTED_VALUE"""),"رامهرمز")</f>
        <v>رامهرمز</v>
      </c>
      <c r="F3216" s="5"/>
      <c r="G3216" s="5"/>
      <c r="H3216" s="5"/>
      <c r="I3216" s="5"/>
      <c r="J3216" s="6" t="str">
        <f>IFERROR(__xludf.DUMMYFUNCTION("""COMPUTED_VALUE"""),"https://eitaa.com/Karime_rmz")</f>
        <v>https://eitaa.com/Karime_rmz</v>
      </c>
      <c r="K3216" s="5"/>
      <c r="L3216" s="5"/>
      <c r="M3216" s="5"/>
      <c r="N3216" s="5"/>
      <c r="O3216" s="5"/>
      <c r="P3216" s="5"/>
      <c r="Q3216" s="5"/>
      <c r="R3216" s="5"/>
      <c r="S3216" s="5"/>
    </row>
    <row r="3217">
      <c r="A3217" s="5"/>
      <c r="B3217" s="5" t="str">
        <f>IFERROR(__xludf.DUMMYFUNCTION("""COMPUTED_VALUE"""),"حسینیه")</f>
        <v>حسینیه</v>
      </c>
      <c r="C3217" s="5" t="str">
        <f>IFERROR(__xludf.DUMMYFUNCTION("""COMPUTED_VALUE"""),"اعظم")</f>
        <v>اعظم</v>
      </c>
      <c r="D3217" s="5" t="str">
        <f>IFERROR(__xludf.DUMMYFUNCTION("""COMPUTED_VALUE"""),"خوزستان")</f>
        <v>خوزستان</v>
      </c>
      <c r="E3217" s="5" t="str">
        <f>IFERROR(__xludf.DUMMYFUNCTION("""COMPUTED_VALUE"""),"سوسنگرد")</f>
        <v>سوسنگرد</v>
      </c>
      <c r="F3217" s="5"/>
      <c r="G3217" s="5"/>
      <c r="H3217" s="6" t="str">
        <f>IFERROR(__xludf.DUMMYFUNCTION("""COMPUTED_VALUE"""),"https://www.instagram.com/husseiniyah_alazam_alkhafajie/")</f>
        <v>https://www.instagram.com/husseiniyah_alazam_alkhafajie/</v>
      </c>
      <c r="I3217" s="5"/>
      <c r="J3217" s="5"/>
      <c r="K3217" s="6" t="str">
        <f>IFERROR(__xludf.DUMMYFUNCTION("""COMPUTED_VALUE"""),"https://www.youtube.com/@husseiniyahalazamalkhafajie")</f>
        <v>https://www.youtube.com/@husseiniyahalazamalkhafajie</v>
      </c>
      <c r="L3217" s="5"/>
      <c r="M3217" s="5"/>
      <c r="N3217" s="5"/>
      <c r="O3217" s="5"/>
      <c r="P3217" s="5"/>
      <c r="Q3217" s="5"/>
      <c r="R3217" s="5"/>
      <c r="S3217" s="5"/>
    </row>
    <row r="3218">
      <c r="A3218" s="5"/>
      <c r="B3218" s="5" t="str">
        <f>IFERROR(__xludf.DUMMYFUNCTION("""COMPUTED_VALUE"""),"هیأت")</f>
        <v>هیأت</v>
      </c>
      <c r="C3218" s="5" t="str">
        <f>IFERROR(__xludf.DUMMYFUNCTION("""COMPUTED_VALUE"""),"ابناءالحسين")</f>
        <v>ابناءالحسين</v>
      </c>
      <c r="D3218" s="5" t="str">
        <f>IFERROR(__xludf.DUMMYFUNCTION("""COMPUTED_VALUE"""),"خوزستان")</f>
        <v>خوزستان</v>
      </c>
      <c r="E3218" s="5" t="str">
        <f>IFERROR(__xludf.DUMMYFUNCTION("""COMPUTED_VALUE"""),"شادگان")</f>
        <v>شادگان</v>
      </c>
      <c r="F3218" s="5" t="str">
        <f>IFERROR(__xludf.DUMMYFUNCTION("""COMPUTED_VALUE"""),"فلاحیه")</f>
        <v>فلاحیه</v>
      </c>
      <c r="G3218" s="5"/>
      <c r="H3218" s="6" t="str">
        <f>IFERROR(__xludf.DUMMYFUNCTION("""COMPUTED_VALUE"""),"https://www.instagram.com/abna_alhussein/")</f>
        <v>https://www.instagram.com/abna_alhussein/</v>
      </c>
      <c r="I3218" s="5"/>
      <c r="J3218" s="5"/>
      <c r="K3218" s="6" t="str">
        <f>IFERROR(__xludf.DUMMYFUNCTION("""COMPUTED_VALUE"""),"https://www.youtube.com/@abna_alhussein_1")</f>
        <v>https://www.youtube.com/@abna_alhussein_1</v>
      </c>
      <c r="L3218" s="5"/>
      <c r="M3218" s="5"/>
      <c r="N3218" s="5"/>
      <c r="O3218" s="5"/>
      <c r="P3218" s="5"/>
      <c r="Q3218" s="5"/>
      <c r="R3218" s="5"/>
      <c r="S3218" s="5"/>
    </row>
    <row r="3219">
      <c r="A3219" s="5">
        <f>IFERROR(__xludf.DUMMYFUNCTION("""COMPUTED_VALUE"""),19723.0)</f>
        <v>19723</v>
      </c>
      <c r="B3219" s="5" t="str">
        <f>IFERROR(__xludf.DUMMYFUNCTION("""COMPUTED_VALUE"""),"هیأت")</f>
        <v>هیأت</v>
      </c>
      <c r="C3219" s="5" t="str">
        <f>IFERROR(__xludf.DUMMYFUNCTION("""COMPUTED_VALUE"""),"محبان ام البنین (س)")</f>
        <v>محبان ام البنین (س)</v>
      </c>
      <c r="D3219" s="5" t="str">
        <f>IFERROR(__xludf.DUMMYFUNCTION("""COMPUTED_VALUE"""),"خوزستان")</f>
        <v>خوزستان</v>
      </c>
      <c r="E3219" s="5" t="str">
        <f>IFERROR(__xludf.DUMMYFUNCTION("""COMPUTED_VALUE"""),"شادگان")</f>
        <v>شادگان</v>
      </c>
      <c r="F3219" s="5"/>
      <c r="G3219" s="5"/>
      <c r="H3219" s="6" t="str">
        <f>IFERROR(__xludf.DUMMYFUNCTION("""COMPUTED_VALUE"""),"https://www.instagram.com/heyat_mohebanomolbanin/")</f>
        <v>https://www.instagram.com/heyat_mohebanomolbanin/</v>
      </c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</row>
    <row r="3220">
      <c r="A3220" s="5">
        <f>IFERROR(__xludf.DUMMYFUNCTION("""COMPUTED_VALUE"""),20745.0)</f>
        <v>20745</v>
      </c>
      <c r="B3220" s="5" t="str">
        <f>IFERROR(__xludf.DUMMYFUNCTION("""COMPUTED_VALUE"""),"هیأت")</f>
        <v>هیأت</v>
      </c>
      <c r="C3220" s="5" t="str">
        <f>IFERROR(__xludf.DUMMYFUNCTION("""COMPUTED_VALUE"""),"ودیعت الحسین (ع)")</f>
        <v>ودیعت الحسین (ع)</v>
      </c>
      <c r="D3220" s="5" t="str">
        <f>IFERROR(__xludf.DUMMYFUNCTION("""COMPUTED_VALUE"""),"خوزستان")</f>
        <v>خوزستان</v>
      </c>
      <c r="E3220" s="5" t="str">
        <f>IFERROR(__xludf.DUMMYFUNCTION("""COMPUTED_VALUE"""),"شادگان")</f>
        <v>شادگان</v>
      </c>
      <c r="F3220" s="5"/>
      <c r="G3220" s="5"/>
      <c r="H3220" s="6" t="str">
        <f>IFERROR(__xludf.DUMMYFUNCTION("""COMPUTED_VALUE"""),"https://www.instagram.com/vadiatolhosein")</f>
        <v>https://www.instagram.com/vadiatolhosein</v>
      </c>
      <c r="I3220" s="6" t="str">
        <f>IFERROR(__xludf.DUMMYFUNCTION("""COMPUTED_VALUE"""),"https://t.me/vadiatolhosein")</f>
        <v>https://t.me/vadiatolhosein</v>
      </c>
      <c r="J3220" s="5"/>
      <c r="K3220" s="5"/>
      <c r="L3220" s="5"/>
      <c r="M3220" s="5"/>
      <c r="N3220" s="5"/>
      <c r="O3220" s="5"/>
      <c r="P3220" s="5"/>
      <c r="Q3220" s="5"/>
      <c r="R3220" s="5"/>
      <c r="S3220" s="5"/>
    </row>
    <row r="3221">
      <c r="A3221" s="5">
        <f>IFERROR(__xludf.DUMMYFUNCTION("""COMPUTED_VALUE"""),30696.0)</f>
        <v>30696</v>
      </c>
      <c r="B3221" s="5" t="str">
        <f>IFERROR(__xludf.DUMMYFUNCTION("""COMPUTED_VALUE"""),"هیأت")</f>
        <v>هیأت</v>
      </c>
      <c r="C3221" s="5" t="str">
        <f>IFERROR(__xludf.DUMMYFUNCTION("""COMPUTED_VALUE"""),"ثارالله")</f>
        <v>ثارالله</v>
      </c>
      <c r="D3221" s="5" t="str">
        <f>IFERROR(__xludf.DUMMYFUNCTION("""COMPUTED_VALUE"""),"خوزستان")</f>
        <v>خوزستان</v>
      </c>
      <c r="E3221" s="5" t="str">
        <f>IFERROR(__xludf.DUMMYFUNCTION("""COMPUTED_VALUE"""),"شوش")</f>
        <v>شوش</v>
      </c>
      <c r="F3221" s="5"/>
      <c r="G3221" s="5"/>
      <c r="H3221" s="6" t="str">
        <f>IFERROR(__xludf.DUMMYFUNCTION("""COMPUTED_VALUE"""),"https://www.instagram.com/heiatsarallah_78/")</f>
        <v>https://www.instagram.com/heiatsarallah_78/</v>
      </c>
      <c r="I3221" s="5"/>
      <c r="J3221" s="6" t="str">
        <f>IFERROR(__xludf.DUMMYFUNCTION("""COMPUTED_VALUE"""),"eitaa.com/heiatsarallah_78")</f>
        <v>eitaa.com/heiatsarallah_78</v>
      </c>
      <c r="K3221" s="5"/>
      <c r="L3221" s="5"/>
      <c r="M3221" s="5"/>
      <c r="N3221" s="5"/>
      <c r="O3221" s="5"/>
      <c r="P3221" s="5"/>
      <c r="Q3221" s="5"/>
      <c r="R3221" s="5"/>
      <c r="S3221" s="5"/>
    </row>
    <row r="3222">
      <c r="A3222" s="5"/>
      <c r="B3222" s="5" t="str">
        <f>IFERROR(__xludf.DUMMYFUNCTION("""COMPUTED_VALUE"""),"هیأت")</f>
        <v>هیأت</v>
      </c>
      <c r="C3222" s="5" t="str">
        <f>IFERROR(__xludf.DUMMYFUNCTION("""COMPUTED_VALUE"""),"زنجیرزنان قاسمیه")</f>
        <v>زنجیرزنان قاسمیه</v>
      </c>
      <c r="D3222" s="5" t="str">
        <f>IFERROR(__xludf.DUMMYFUNCTION("""COMPUTED_VALUE"""),"خوزستان")</f>
        <v>خوزستان</v>
      </c>
      <c r="E3222" s="5" t="str">
        <f>IFERROR(__xludf.DUMMYFUNCTION("""COMPUTED_VALUE"""),"شوش")</f>
        <v>شوش</v>
      </c>
      <c r="F3222" s="5"/>
      <c r="G3222" s="5"/>
      <c r="H3222" s="6" t="str">
        <f>IFERROR(__xludf.DUMMYFUNCTION("""COMPUTED_VALUE"""),"https://www.instagram.com/ghasemieh.shoosh.1352/")</f>
        <v>https://www.instagram.com/ghasemieh.shoosh.1352/</v>
      </c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</row>
    <row r="3223">
      <c r="A3223" s="5">
        <f>IFERROR(__xludf.DUMMYFUNCTION("""COMPUTED_VALUE"""),29610.0)</f>
        <v>29610</v>
      </c>
      <c r="B3223" s="5" t="str">
        <f>IFERROR(__xludf.DUMMYFUNCTION("""COMPUTED_VALUE"""),"هیأت")</f>
        <v>هیأت</v>
      </c>
      <c r="C3223" s="5" t="str">
        <f>IFERROR(__xludf.DUMMYFUNCTION("""COMPUTED_VALUE"""),"زیارت عاشورای مسجد حضرت رسول (ص)")</f>
        <v>زیارت عاشورای مسجد حضرت رسول (ص)</v>
      </c>
      <c r="D3223" s="5" t="str">
        <f>IFERROR(__xludf.DUMMYFUNCTION("""COMPUTED_VALUE"""),"خوزستان")</f>
        <v>خوزستان</v>
      </c>
      <c r="E3223" s="5" t="str">
        <f>IFERROR(__xludf.DUMMYFUNCTION("""COMPUTED_VALUE"""),"شوش")</f>
        <v>شوش</v>
      </c>
      <c r="F3223" s="5"/>
      <c r="G3223" s="5"/>
      <c r="H3223" s="5"/>
      <c r="I3223" s="5"/>
      <c r="J3223" s="6" t="str">
        <f>IFERROR(__xludf.DUMMYFUNCTION("""COMPUTED_VALUE"""),"https://eitaa.com/masjederasool_ir1")</f>
        <v>https://eitaa.com/masjederasool_ir1</v>
      </c>
      <c r="K3223" s="5"/>
      <c r="L3223" s="5"/>
      <c r="M3223" s="5"/>
      <c r="N3223" s="5"/>
      <c r="O3223" s="5"/>
      <c r="P3223" s="5"/>
      <c r="Q3223" s="5"/>
      <c r="R3223" s="5"/>
      <c r="S3223" s="5"/>
    </row>
    <row r="3224">
      <c r="A3224" s="5">
        <f>IFERROR(__xludf.DUMMYFUNCTION("""COMPUTED_VALUE"""),30195.0)</f>
        <v>30195</v>
      </c>
      <c r="B3224" s="5" t="str">
        <f>IFERROR(__xludf.DUMMYFUNCTION("""COMPUTED_VALUE"""),"هیأت")</f>
        <v>هیأت</v>
      </c>
      <c r="C3224" s="5" t="str">
        <f>IFERROR(__xludf.DUMMYFUNCTION("""COMPUTED_VALUE"""),"کانون فرهنگی تبلیغی شهید ابراهیم هادی")</f>
        <v>کانون فرهنگی تبلیغی شهید ابراهیم هادی</v>
      </c>
      <c r="D3224" s="5" t="str">
        <f>IFERROR(__xludf.DUMMYFUNCTION("""COMPUTED_VALUE"""),"خوزستان")</f>
        <v>خوزستان</v>
      </c>
      <c r="E3224" s="5" t="str">
        <f>IFERROR(__xludf.DUMMYFUNCTION("""COMPUTED_VALUE"""),"شوش")</f>
        <v>شوش</v>
      </c>
      <c r="F3224" s="5"/>
      <c r="G3224" s="5"/>
      <c r="H3224" s="5"/>
      <c r="I3224" s="5"/>
      <c r="J3224" s="6" t="str">
        <f>IFERROR(__xludf.DUMMYFUNCTION("""COMPUTED_VALUE"""),"https://eitaa.com/kanon_1403")</f>
        <v>https://eitaa.com/kanon_1403</v>
      </c>
      <c r="K3224" s="5"/>
      <c r="L3224" s="5"/>
      <c r="M3224" s="5"/>
      <c r="N3224" s="5"/>
      <c r="O3224" s="5"/>
      <c r="P3224" s="5"/>
      <c r="Q3224" s="5"/>
      <c r="R3224" s="5"/>
      <c r="S3224" s="5"/>
    </row>
    <row r="3225">
      <c r="A3225" s="5"/>
      <c r="B3225" s="5" t="str">
        <f>IFERROR(__xludf.DUMMYFUNCTION("""COMPUTED_VALUE"""),"حسینیه")</f>
        <v>حسینیه</v>
      </c>
      <c r="C3225" s="5" t="str">
        <f>IFERROR(__xludf.DUMMYFUNCTION("""COMPUTED_VALUE"""),"مبارکه کربلا")</f>
        <v>مبارکه کربلا</v>
      </c>
      <c r="D3225" s="5" t="str">
        <f>IFERROR(__xludf.DUMMYFUNCTION("""COMPUTED_VALUE"""),"خوزستان")</f>
        <v>خوزستان</v>
      </c>
      <c r="E3225" s="5" t="str">
        <f>IFERROR(__xludf.DUMMYFUNCTION("""COMPUTED_VALUE"""),"شوش")</f>
        <v>شوش</v>
      </c>
      <c r="F3225" s="5"/>
      <c r="G3225" s="5"/>
      <c r="H3225" s="6" t="str">
        <f>IFERROR(__xludf.DUMMYFUNCTION("""COMPUTED_VALUE"""),"https://www.instagram.com/hossine_mobarke_karbala_shush_/")</f>
        <v>https://www.instagram.com/hossine_mobarke_karbala_shush_/</v>
      </c>
      <c r="I3225" s="6" t="str">
        <f>IFERROR(__xludf.DUMMYFUNCTION("""COMPUTED_VALUE"""),"tlgrm.me/hossine_mobarke_karbala")</f>
        <v>tlgrm.me/hossine_mobarke_karbala</v>
      </c>
      <c r="J3225" s="5"/>
      <c r="K3225" s="5"/>
      <c r="L3225" s="5"/>
      <c r="M3225" s="5"/>
      <c r="N3225" s="5"/>
      <c r="O3225" s="5"/>
      <c r="P3225" s="5"/>
      <c r="Q3225" s="5"/>
      <c r="R3225" s="5"/>
      <c r="S3225" s="5"/>
    </row>
    <row r="3226">
      <c r="A3226" s="5">
        <f>IFERROR(__xludf.DUMMYFUNCTION("""COMPUTED_VALUE"""),29576.0)</f>
        <v>29576</v>
      </c>
      <c r="B3226" s="5" t="str">
        <f>IFERROR(__xludf.DUMMYFUNCTION("""COMPUTED_VALUE"""),"هیأت")</f>
        <v>هیأت</v>
      </c>
      <c r="C3226" s="5" t="str">
        <f>IFERROR(__xludf.DUMMYFUNCTION("""COMPUTED_VALUE"""),"متوسلین به حضرت فاطمه الزهرا (س)")</f>
        <v>متوسلین به حضرت فاطمه الزهرا (س)</v>
      </c>
      <c r="D3226" s="5" t="str">
        <f>IFERROR(__xludf.DUMMYFUNCTION("""COMPUTED_VALUE"""),"خوزستان")</f>
        <v>خوزستان</v>
      </c>
      <c r="E3226" s="5" t="str">
        <f>IFERROR(__xludf.DUMMYFUNCTION("""COMPUTED_VALUE"""),"شوش")</f>
        <v>شوش</v>
      </c>
      <c r="F3226" s="5"/>
      <c r="G3226" s="5"/>
      <c r="H3226" s="6" t="str">
        <f>IFERROR(__xludf.DUMMYFUNCTION("""COMPUTED_VALUE"""),"https://www.instagram.com/kheimegah1381/")</f>
        <v>https://www.instagram.com/kheimegah1381/</v>
      </c>
      <c r="I3226" s="6" t="str">
        <f>IFERROR(__xludf.DUMMYFUNCTION("""COMPUTED_VALUE"""),"t.me/kheimegah1381")</f>
        <v>t.me/kheimegah1381</v>
      </c>
      <c r="J3226" s="5"/>
      <c r="K3226" s="5"/>
      <c r="L3226" s="5"/>
      <c r="M3226" s="5"/>
      <c r="N3226" s="5"/>
      <c r="O3226" s="5"/>
      <c r="P3226" s="5"/>
      <c r="Q3226" s="5"/>
      <c r="R3226" s="5"/>
      <c r="S3226" s="5"/>
    </row>
    <row r="3227">
      <c r="A3227" s="5"/>
      <c r="B3227" s="5" t="str">
        <f>IFERROR(__xludf.DUMMYFUNCTION("""COMPUTED_VALUE"""),"هیأت")</f>
        <v>هیأت</v>
      </c>
      <c r="C3227" s="5" t="str">
        <f>IFERROR(__xludf.DUMMYFUNCTION("""COMPUTED_VALUE"""),"الزهرا")</f>
        <v>الزهرا</v>
      </c>
      <c r="D3227" s="5" t="str">
        <f>IFERROR(__xludf.DUMMYFUNCTION("""COMPUTED_VALUE"""),"خوزستان")</f>
        <v>خوزستان</v>
      </c>
      <c r="E3227" s="5" t="str">
        <f>IFERROR(__xludf.DUMMYFUNCTION("""COMPUTED_VALUE"""),"شوشتر")</f>
        <v>شوشتر</v>
      </c>
      <c r="F3227" s="5" t="str">
        <f>IFERROR(__xludf.DUMMYFUNCTION("""COMPUTED_VALUE"""),"مسجد سبزپوش")</f>
        <v>مسجد سبزپوش</v>
      </c>
      <c r="G3227" s="5"/>
      <c r="H3227" s="6" t="str">
        <f>IFERROR(__xludf.DUMMYFUNCTION("""COMPUTED_VALUE"""),"https://www.instagram.com/masjed_sabzpoush")</f>
        <v>https://www.instagram.com/masjed_sabzpoush</v>
      </c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</row>
    <row r="3228">
      <c r="A3228" s="5"/>
      <c r="B3228" s="5" t="str">
        <f>IFERROR(__xludf.DUMMYFUNCTION("""COMPUTED_VALUE"""),"هیأت")</f>
        <v>هیأت</v>
      </c>
      <c r="C3228" s="5" t="str">
        <f>IFERROR(__xludf.DUMMYFUNCTION("""COMPUTED_VALUE"""),"امـام حسیـن(علیه السلام)")</f>
        <v>امـام حسیـن(علیه السلام)</v>
      </c>
      <c r="D3228" s="5" t="str">
        <f>IFERROR(__xludf.DUMMYFUNCTION("""COMPUTED_VALUE"""),"خوزستان")</f>
        <v>خوزستان</v>
      </c>
      <c r="E3228" s="5" t="str">
        <f>IFERROR(__xludf.DUMMYFUNCTION("""COMPUTED_VALUE"""),"شوشتر")</f>
        <v>شوشتر</v>
      </c>
      <c r="F3228" s="5"/>
      <c r="G3228" s="5"/>
      <c r="H3228" s="6" t="str">
        <f>IFERROR(__xludf.DUMMYFUNCTION("""COMPUTED_VALUE"""),"https://www.instagram.com/heyatolhosein69/")</f>
        <v>https://www.instagram.com/heyatolhosein69/</v>
      </c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</row>
    <row r="3229">
      <c r="A3229" s="5"/>
      <c r="B3229" s="5" t="str">
        <f>IFERROR(__xludf.DUMMYFUNCTION("""COMPUTED_VALUE"""),"هیأت")</f>
        <v>هیأت</v>
      </c>
      <c r="C3229" s="5" t="str">
        <f>IFERROR(__xludf.DUMMYFUNCTION("""COMPUTED_VALUE"""),"بهشت الرقیه(س)")</f>
        <v>بهشت الرقیه(س)</v>
      </c>
      <c r="D3229" s="5" t="str">
        <f>IFERROR(__xludf.DUMMYFUNCTION("""COMPUTED_VALUE"""),"خوزستان")</f>
        <v>خوزستان</v>
      </c>
      <c r="E3229" s="5" t="str">
        <f>IFERROR(__xludf.DUMMYFUNCTION("""COMPUTED_VALUE"""),"شوشتر")</f>
        <v>شوشتر</v>
      </c>
      <c r="F3229" s="5"/>
      <c r="G3229" s="5"/>
      <c r="H3229" s="6" t="str">
        <f>IFERROR(__xludf.DUMMYFUNCTION("""COMPUTED_VALUE"""),"https://www.instagram.com/behshtolrogye_1404/")</f>
        <v>https://www.instagram.com/behshtolrogye_1404/</v>
      </c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</row>
    <row r="3230">
      <c r="A3230" s="5"/>
      <c r="B3230" s="5" t="str">
        <f>IFERROR(__xludf.DUMMYFUNCTION("""COMPUTED_VALUE"""),"هیأت")</f>
        <v>هیأت</v>
      </c>
      <c r="C3230" s="5" t="str">
        <f>IFERROR(__xludf.DUMMYFUNCTION("""COMPUTED_VALUE"""),"پناهندگان امام حسین")</f>
        <v>پناهندگان امام حسین</v>
      </c>
      <c r="D3230" s="5" t="str">
        <f>IFERROR(__xludf.DUMMYFUNCTION("""COMPUTED_VALUE"""),"خوزستان")</f>
        <v>خوزستان</v>
      </c>
      <c r="E3230" s="5" t="str">
        <f>IFERROR(__xludf.DUMMYFUNCTION("""COMPUTED_VALUE"""),"شوشتر")</f>
        <v>شوشتر</v>
      </c>
      <c r="F3230" s="5"/>
      <c r="G3230" s="5"/>
      <c r="H3230" s="6" t="str">
        <f>IFERROR(__xludf.DUMMYFUNCTION("""COMPUTED_VALUE"""),"https://www.instagram.com/panahandegan_shooshtar")</f>
        <v>https://www.instagram.com/panahandegan_shooshtar</v>
      </c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</row>
    <row r="3231">
      <c r="A3231" s="5"/>
      <c r="B3231" s="5" t="str">
        <f>IFERROR(__xludf.DUMMYFUNCTION("""COMPUTED_VALUE"""),"هیأت")</f>
        <v>هیأت</v>
      </c>
      <c r="C3231" s="5" t="str">
        <f>IFERROR(__xludf.DUMMYFUNCTION("""COMPUTED_VALUE"""),"جوانان عاشورایی")</f>
        <v>جوانان عاشورایی</v>
      </c>
      <c r="D3231" s="5" t="str">
        <f>IFERROR(__xludf.DUMMYFUNCTION("""COMPUTED_VALUE"""),"خوزستان")</f>
        <v>خوزستان</v>
      </c>
      <c r="E3231" s="5" t="str">
        <f>IFERROR(__xludf.DUMMYFUNCTION("""COMPUTED_VALUE"""),"شوشتر")</f>
        <v>شوشتر</v>
      </c>
      <c r="F3231" s="5"/>
      <c r="G3231" s="5"/>
      <c r="H3231" s="6" t="str">
        <f>IFERROR(__xludf.DUMMYFUNCTION("""COMPUTED_VALUE"""),"https://www.instagram.com/ashuraee.str/")</f>
        <v>https://www.instagram.com/ashuraee.str/</v>
      </c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</row>
    <row r="3232">
      <c r="A3232" s="5"/>
      <c r="B3232" s="5" t="str">
        <f>IFERROR(__xludf.DUMMYFUNCTION("""COMPUTED_VALUE"""),"هیأت")</f>
        <v>هیأت</v>
      </c>
      <c r="C3232" s="5" t="str">
        <f>IFERROR(__xludf.DUMMYFUNCTION("""COMPUTED_VALUE"""),"سادات")</f>
        <v>سادات</v>
      </c>
      <c r="D3232" s="5" t="str">
        <f>IFERROR(__xludf.DUMMYFUNCTION("""COMPUTED_VALUE"""),"خوزستان")</f>
        <v>خوزستان</v>
      </c>
      <c r="E3232" s="5" t="str">
        <f>IFERROR(__xludf.DUMMYFUNCTION("""COMPUTED_VALUE"""),"شوشتر")</f>
        <v>شوشتر</v>
      </c>
      <c r="F3232" s="5"/>
      <c r="G3232" s="5"/>
      <c r="H3232" s="6" t="str">
        <f>IFERROR(__xludf.DUMMYFUNCTION("""COMPUTED_VALUE"""),"https://www.instagram.com/heyat_sadat_313/")</f>
        <v>https://www.instagram.com/heyat_sadat_313/</v>
      </c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</row>
    <row r="3233">
      <c r="A3233" s="5"/>
      <c r="B3233" s="5" t="str">
        <f>IFERROR(__xludf.DUMMYFUNCTION("""COMPUTED_VALUE"""),"هیأت")</f>
        <v>هیأت</v>
      </c>
      <c r="C3233" s="5" t="str">
        <f>IFERROR(__xludf.DUMMYFUNCTION("""COMPUTED_VALUE"""),"سیدالشهداء")</f>
        <v>سیدالشهداء</v>
      </c>
      <c r="D3233" s="5" t="str">
        <f>IFERROR(__xludf.DUMMYFUNCTION("""COMPUTED_VALUE"""),"خوزستان")</f>
        <v>خوزستان</v>
      </c>
      <c r="E3233" s="5" t="str">
        <f>IFERROR(__xludf.DUMMYFUNCTION("""COMPUTED_VALUE"""),"شوشتر")</f>
        <v>شوشتر</v>
      </c>
      <c r="F3233" s="5" t="str">
        <f>IFERROR(__xludf.DUMMYFUNCTION("""COMPUTED_VALUE"""),"شهرک مهدی آباد")</f>
        <v>شهرک مهدی آباد</v>
      </c>
      <c r="G3233" s="5"/>
      <c r="H3233" s="6" t="str">
        <f>IFERROR(__xludf.DUMMYFUNCTION("""COMPUTED_VALUE"""),"https://www.instagram.com/heyate_seyedalshohada")</f>
        <v>https://www.instagram.com/heyate_seyedalshohada</v>
      </c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</row>
    <row r="3234">
      <c r="A3234" s="5"/>
      <c r="B3234" s="5" t="str">
        <f>IFERROR(__xludf.DUMMYFUNCTION("""COMPUTED_VALUE"""),"هیأت")</f>
        <v>هیأت</v>
      </c>
      <c r="C3234" s="5" t="str">
        <f>IFERROR(__xludf.DUMMYFUNCTION("""COMPUTED_VALUE"""),"صادقیون")</f>
        <v>صادقیون</v>
      </c>
      <c r="D3234" s="5" t="str">
        <f>IFERROR(__xludf.DUMMYFUNCTION("""COMPUTED_VALUE"""),"خوزستان")</f>
        <v>خوزستان</v>
      </c>
      <c r="E3234" s="5" t="str">
        <f>IFERROR(__xludf.DUMMYFUNCTION("""COMPUTED_VALUE"""),"شوشتر")</f>
        <v>شوشتر</v>
      </c>
      <c r="F3234" s="5"/>
      <c r="G3234" s="5"/>
      <c r="H3234" s="6" t="str">
        <f>IFERROR(__xludf.DUMMYFUNCTION("""COMPUTED_VALUE"""),"https://www.instagram.com/heyat_sadeghione_shoushtar")</f>
        <v>https://www.instagram.com/heyat_sadeghione_shoushtar</v>
      </c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</row>
    <row r="3235">
      <c r="A3235" s="5"/>
      <c r="B3235" s="5" t="str">
        <f>IFERROR(__xludf.DUMMYFUNCTION("""COMPUTED_VALUE"""),"هیأت")</f>
        <v>هیأت</v>
      </c>
      <c r="C3235" s="5" t="str">
        <f>IFERROR(__xludf.DUMMYFUNCTION("""COMPUTED_VALUE"""),"عاشقان عباس(ع)")</f>
        <v>عاشقان عباس(ع)</v>
      </c>
      <c r="D3235" s="5" t="str">
        <f>IFERROR(__xludf.DUMMYFUNCTION("""COMPUTED_VALUE"""),"خوزستان")</f>
        <v>خوزستان</v>
      </c>
      <c r="E3235" s="5" t="str">
        <f>IFERROR(__xludf.DUMMYFUNCTION("""COMPUTED_VALUE"""),"شوشتر")</f>
        <v>شوشتر</v>
      </c>
      <c r="F3235" s="5"/>
      <c r="G3235" s="5"/>
      <c r="H3235" s="6" t="str">
        <f>IFERROR(__xludf.DUMMYFUNCTION("""COMPUTED_VALUE"""),"https://www.instagram.com/asheghanabas_313/")</f>
        <v>https://www.instagram.com/asheghanabas_313/</v>
      </c>
      <c r="I3235" s="6" t="str">
        <f>IFERROR(__xludf.DUMMYFUNCTION("""COMPUTED_VALUE"""),"https://t.me/asheghan_abas_str")</f>
        <v>https://t.me/asheghan_abas_str</v>
      </c>
      <c r="J3235" s="5"/>
      <c r="K3235" s="5"/>
      <c r="L3235" s="5"/>
      <c r="M3235" s="5"/>
      <c r="N3235" s="5"/>
      <c r="O3235" s="5"/>
      <c r="P3235" s="5"/>
      <c r="Q3235" s="5"/>
      <c r="R3235" s="5"/>
      <c r="S3235" s="5"/>
    </row>
    <row r="3236">
      <c r="A3236" s="5"/>
      <c r="B3236" s="5" t="str">
        <f>IFERROR(__xludf.DUMMYFUNCTION("""COMPUTED_VALUE"""),"هیأت")</f>
        <v>هیأت</v>
      </c>
      <c r="C3236" s="5" t="str">
        <f>IFERROR(__xludf.DUMMYFUNCTION("""COMPUTED_VALUE"""),"عشاق الحسین")</f>
        <v>عشاق الحسین</v>
      </c>
      <c r="D3236" s="5" t="str">
        <f>IFERROR(__xludf.DUMMYFUNCTION("""COMPUTED_VALUE"""),"خوزستان")</f>
        <v>خوزستان</v>
      </c>
      <c r="E3236" s="5" t="str">
        <f>IFERROR(__xludf.DUMMYFUNCTION("""COMPUTED_VALUE"""),"شوشتر")</f>
        <v>شوشتر</v>
      </c>
      <c r="F3236" s="5"/>
      <c r="G3236" s="5"/>
      <c r="H3236" s="6" t="str">
        <f>IFERROR(__xludf.DUMMYFUNCTION("""COMPUTED_VALUE"""),"https://www.instagram.com/oshagh128_1390/")</f>
        <v>https://www.instagram.com/oshagh128_1390/</v>
      </c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</row>
    <row r="3237">
      <c r="A3237" s="5">
        <f>IFERROR(__xludf.DUMMYFUNCTION("""COMPUTED_VALUE"""),30193.0)</f>
        <v>30193</v>
      </c>
      <c r="B3237" s="5" t="str">
        <f>IFERROR(__xludf.DUMMYFUNCTION("""COMPUTED_VALUE"""),"هیأت")</f>
        <v>هیأت</v>
      </c>
      <c r="C3237" s="5" t="str">
        <f>IFERROR(__xludf.DUMMYFUNCTION("""COMPUTED_VALUE"""),"علامه شیخ شوشتری ره")</f>
        <v>علامه شیخ شوشتری ره</v>
      </c>
      <c r="D3237" s="5" t="str">
        <f>IFERROR(__xludf.DUMMYFUNCTION("""COMPUTED_VALUE"""),"خوزستان")</f>
        <v>خوزستان</v>
      </c>
      <c r="E3237" s="5" t="str">
        <f>IFERROR(__xludf.DUMMYFUNCTION("""COMPUTED_VALUE"""),"شوشتر")</f>
        <v>شوشتر</v>
      </c>
      <c r="F3237" s="5"/>
      <c r="G3237" s="5"/>
      <c r="H3237" s="6" t="str">
        <f>IFERROR(__xludf.DUMMYFUNCTION("""COMPUTED_VALUE"""),"https://www.instagram.com/masjed_allameh/")</f>
        <v>https://www.instagram.com/masjed_allameh/</v>
      </c>
      <c r="I3237" s="5"/>
      <c r="J3237" s="6" t="str">
        <f>IFERROR(__xludf.DUMMYFUNCTION("""COMPUTED_VALUE"""),"https://eitaa.com/masjed_allameh")</f>
        <v>https://eitaa.com/masjed_allameh</v>
      </c>
      <c r="K3237" s="5"/>
      <c r="L3237" s="5"/>
      <c r="M3237" s="5"/>
      <c r="N3237" s="5"/>
      <c r="O3237" s="5"/>
      <c r="P3237" s="5"/>
      <c r="Q3237" s="5"/>
      <c r="R3237" s="5"/>
      <c r="S3237" s="5"/>
    </row>
    <row r="3238">
      <c r="A3238" s="5"/>
      <c r="B3238" s="5" t="str">
        <f>IFERROR(__xludf.DUMMYFUNCTION("""COMPUTED_VALUE"""),"هیأت")</f>
        <v>هیأت</v>
      </c>
      <c r="C3238" s="5" t="str">
        <f>IFERROR(__xludf.DUMMYFUNCTION("""COMPUTED_VALUE"""),"علی‌ابن‌موسی‌الرضا(ع)")</f>
        <v>علی‌ابن‌موسی‌الرضا(ع)</v>
      </c>
      <c r="D3238" s="5" t="str">
        <f>IFERROR(__xludf.DUMMYFUNCTION("""COMPUTED_VALUE"""),"خوزستان")</f>
        <v>خوزستان</v>
      </c>
      <c r="E3238" s="5" t="str">
        <f>IFERROR(__xludf.DUMMYFUNCTION("""COMPUTED_VALUE"""),"شوشتر")</f>
        <v>شوشتر</v>
      </c>
      <c r="F3238" s="5"/>
      <c r="G3238" s="5"/>
      <c r="H3238" s="6" t="str">
        <f>IFERROR(__xludf.DUMMYFUNCTION("""COMPUTED_VALUE"""),"https://www.instagram.com/heyatolreza83")</f>
        <v>https://www.instagram.com/heyatolreza83</v>
      </c>
      <c r="I3238" s="6" t="str">
        <f>IFERROR(__xludf.DUMMYFUNCTION("""COMPUTED_VALUE"""),"https://t.me/heyatolreza83")</f>
        <v>https://t.me/heyatolreza83</v>
      </c>
      <c r="J3238" s="6" t="str">
        <f>IFERROR(__xludf.DUMMYFUNCTION("""COMPUTED_VALUE"""),"https://eitaa.com/heyatolreza83")</f>
        <v>https://eitaa.com/heyatolreza83</v>
      </c>
      <c r="K3238" s="5"/>
      <c r="L3238" s="5"/>
      <c r="M3238" s="5"/>
      <c r="N3238" s="5"/>
      <c r="O3238" s="5"/>
      <c r="P3238" s="5"/>
      <c r="Q3238" s="5"/>
      <c r="R3238" s="5"/>
      <c r="S3238" s="5"/>
    </row>
    <row r="3239">
      <c r="A3239" s="5"/>
      <c r="B3239" s="5" t="str">
        <f>IFERROR(__xludf.DUMMYFUNCTION("""COMPUTED_VALUE"""),"هیأت")</f>
        <v>هیأت</v>
      </c>
      <c r="C3239" s="5" t="str">
        <f>IFERROR(__xludf.DUMMYFUNCTION("""COMPUTED_VALUE"""),"فاطمیون")</f>
        <v>فاطمیون</v>
      </c>
      <c r="D3239" s="5" t="str">
        <f>IFERROR(__xludf.DUMMYFUNCTION("""COMPUTED_VALUE"""),"خوزستان")</f>
        <v>خوزستان</v>
      </c>
      <c r="E3239" s="5" t="str">
        <f>IFERROR(__xludf.DUMMYFUNCTION("""COMPUTED_VALUE"""),"شوشتر")</f>
        <v>شوشتر</v>
      </c>
      <c r="F3239" s="5" t="str">
        <f>IFERROR(__xludf.DUMMYFUNCTION("""COMPUTED_VALUE"""),"لنگر")</f>
        <v>لنگر</v>
      </c>
      <c r="G3239" s="5"/>
      <c r="H3239" s="6" t="str">
        <f>IFERROR(__xludf.DUMMYFUNCTION("""COMPUTED_VALUE"""),"https://www.instagram.com/heyatfatemioonlongor/")</f>
        <v>https://www.instagram.com/heyatfatemioonlongor/</v>
      </c>
      <c r="I3239" s="5"/>
      <c r="J3239" s="6" t="str">
        <f>IFERROR(__xludf.DUMMYFUNCTION("""COMPUTED_VALUE"""),"https://eitaa.com/heyatfatemioonlongor")</f>
        <v>https://eitaa.com/heyatfatemioonlongor</v>
      </c>
      <c r="K3239" s="5"/>
      <c r="L3239" s="5"/>
      <c r="M3239" s="5"/>
      <c r="N3239" s="5"/>
      <c r="O3239" s="5"/>
      <c r="P3239" s="5"/>
      <c r="Q3239" s="5"/>
      <c r="R3239" s="5"/>
      <c r="S3239" s="5"/>
    </row>
    <row r="3240">
      <c r="A3240" s="5"/>
      <c r="B3240" s="5" t="str">
        <f>IFERROR(__xludf.DUMMYFUNCTION("""COMPUTED_VALUE"""),"هیأت")</f>
        <v>هیأت</v>
      </c>
      <c r="C3240" s="5" t="str">
        <f>IFERROR(__xludf.DUMMYFUNCTION("""COMPUTED_VALUE"""),"فداییون سیده زینب")</f>
        <v>فداییون سیده زینب</v>
      </c>
      <c r="D3240" s="5" t="str">
        <f>IFERROR(__xludf.DUMMYFUNCTION("""COMPUTED_VALUE"""),"خوزستان")</f>
        <v>خوزستان</v>
      </c>
      <c r="E3240" s="5" t="str">
        <f>IFERROR(__xludf.DUMMYFUNCTION("""COMPUTED_VALUE"""),"شوشتر")</f>
        <v>شوشتر</v>
      </c>
      <c r="F3240" s="5"/>
      <c r="G3240" s="5"/>
      <c r="H3240" s="6" t="str">
        <f>IFERROR(__xludf.DUMMYFUNCTION("""COMPUTED_VALUE"""),"https://www.instagram.com/fadaeiyon_seyedezeynab")</f>
        <v>https://www.instagram.com/fadaeiyon_seyedezeynab</v>
      </c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</row>
    <row r="3241">
      <c r="A3241" s="5"/>
      <c r="B3241" s="5" t="str">
        <f>IFERROR(__xludf.DUMMYFUNCTION("""COMPUTED_VALUE"""),"هیأت")</f>
        <v>هیأت</v>
      </c>
      <c r="C3241" s="5" t="str">
        <f>IFERROR(__xludf.DUMMYFUNCTION("""COMPUTED_VALUE"""),"محبان آل طاها(ع)")</f>
        <v>محبان آل طاها(ع)</v>
      </c>
      <c r="D3241" s="5" t="str">
        <f>IFERROR(__xludf.DUMMYFUNCTION("""COMPUTED_VALUE"""),"خوزستان")</f>
        <v>خوزستان</v>
      </c>
      <c r="E3241" s="5" t="str">
        <f>IFERROR(__xludf.DUMMYFUNCTION("""COMPUTED_VALUE"""),"شوشتر")</f>
        <v>شوشتر</v>
      </c>
      <c r="F3241" s="5"/>
      <c r="G3241" s="5"/>
      <c r="H3241" s="6" t="str">
        <f>IFERROR(__xludf.DUMMYFUNCTION("""COMPUTED_VALUE"""),"https://www.instagram.com/heyat_al.taha313")</f>
        <v>https://www.instagram.com/heyat_al.taha313</v>
      </c>
      <c r="I3241" s="6" t="str">
        <f>IFERROR(__xludf.DUMMYFUNCTION("""COMPUTED_VALUE"""),"https://t.me/mohebanaltaha313")</f>
        <v>https://t.me/mohebanaltaha313</v>
      </c>
      <c r="J3241" s="5"/>
      <c r="K3241" s="5"/>
      <c r="L3241" s="5"/>
      <c r="M3241" s="5"/>
      <c r="N3241" s="5"/>
      <c r="O3241" s="5"/>
      <c r="P3241" s="5"/>
      <c r="Q3241" s="5"/>
      <c r="R3241" s="5"/>
      <c r="S3241" s="5"/>
    </row>
    <row r="3242">
      <c r="A3242" s="5"/>
      <c r="B3242" s="5" t="str">
        <f>IFERROR(__xludf.DUMMYFUNCTION("""COMPUTED_VALUE"""),"هیأت")</f>
        <v>هیأت</v>
      </c>
      <c r="C3242" s="5" t="str">
        <f>IFERROR(__xludf.DUMMYFUNCTION("""COMPUTED_VALUE"""),"محبان مقام علی ابن ابیطالب(ع)")</f>
        <v>محبان مقام علی ابن ابیطالب(ع)</v>
      </c>
      <c r="D3242" s="5" t="str">
        <f>IFERROR(__xludf.DUMMYFUNCTION("""COMPUTED_VALUE"""),"خوزستان")</f>
        <v>خوزستان</v>
      </c>
      <c r="E3242" s="5" t="str">
        <f>IFERROR(__xludf.DUMMYFUNCTION("""COMPUTED_VALUE"""),"شوشتر")</f>
        <v>شوشتر</v>
      </c>
      <c r="F3242" s="5"/>
      <c r="G3242" s="5"/>
      <c r="H3242" s="6" t="str">
        <f>IFERROR(__xludf.DUMMYFUNCTION("""COMPUTED_VALUE"""),"https://www.instagram.com/magham_alishoshtar/")</f>
        <v>https://www.instagram.com/magham_alishoshtar/</v>
      </c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</row>
    <row r="3243">
      <c r="A3243" s="5"/>
      <c r="B3243" s="5" t="str">
        <f>IFERROR(__xludf.DUMMYFUNCTION("""COMPUTED_VALUE"""),"هیأت")</f>
        <v>هیأت</v>
      </c>
      <c r="C3243" s="5" t="str">
        <f>IFERROR(__xludf.DUMMYFUNCTION("""COMPUTED_VALUE"""),"یوسف الزهرا(عج)")</f>
        <v>یوسف الزهرا(عج)</v>
      </c>
      <c r="D3243" s="5" t="str">
        <f>IFERROR(__xludf.DUMMYFUNCTION("""COMPUTED_VALUE"""),"خوزستان")</f>
        <v>خوزستان</v>
      </c>
      <c r="E3243" s="5" t="str">
        <f>IFERROR(__xludf.DUMMYFUNCTION("""COMPUTED_VALUE"""),"شوشتر")</f>
        <v>شوشتر</v>
      </c>
      <c r="F3243" s="5"/>
      <c r="G3243" s="5"/>
      <c r="H3243" s="6" t="str">
        <f>IFERROR(__xludf.DUMMYFUNCTION("""COMPUTED_VALUE"""),"https://www.instagram.com/heyat_yosefalzahra_shoushtar/")</f>
        <v>https://www.instagram.com/heyat_yosefalzahra_shoushtar/</v>
      </c>
      <c r="I3243" s="6" t="str">
        <f>IFERROR(__xludf.DUMMYFUNCTION("""COMPUTED_VALUE"""),"https://t.me/heyat_yousef_alzahra")</f>
        <v>https://t.me/heyat_yousef_alzahra</v>
      </c>
      <c r="J3243" s="5"/>
      <c r="K3243" s="5"/>
      <c r="L3243" s="5"/>
      <c r="M3243" s="5"/>
      <c r="N3243" s="5"/>
      <c r="O3243" s="5"/>
      <c r="P3243" s="5"/>
      <c r="Q3243" s="5"/>
      <c r="R3243" s="5"/>
      <c r="S3243" s="5"/>
    </row>
    <row r="3244">
      <c r="A3244" s="5">
        <f>IFERROR(__xludf.DUMMYFUNCTION("""COMPUTED_VALUE"""),29319.0)</f>
        <v>29319</v>
      </c>
      <c r="B3244" s="5" t="str">
        <f>IFERROR(__xludf.DUMMYFUNCTION("""COMPUTED_VALUE"""),"هیأت")</f>
        <v>هیأت</v>
      </c>
      <c r="C3244" s="5" t="str">
        <f>IFERROR(__xludf.DUMMYFUNCTION("""COMPUTED_VALUE"""),"جان نثاران حضرت اباالفضل العباس (ع)")</f>
        <v>جان نثاران حضرت اباالفضل العباس (ع)</v>
      </c>
      <c r="D3244" s="5" t="str">
        <f>IFERROR(__xludf.DUMMYFUNCTION("""COMPUTED_VALUE"""),"خوزستان")</f>
        <v>خوزستان</v>
      </c>
      <c r="E3244" s="5" t="str">
        <f>IFERROR(__xludf.DUMMYFUNCTION("""COMPUTED_VALUE"""),"مسجدسلیمان")</f>
        <v>مسجدسلیمان</v>
      </c>
      <c r="F3244" s="5"/>
      <c r="G3244" s="5"/>
      <c r="H3244" s="6" t="str">
        <f>IFERROR(__xludf.DUMMYFUNCTION("""COMPUTED_VALUE"""),"https://www.instagram.com/jan__nsaran/")</f>
        <v>https://www.instagram.com/jan__nsaran/</v>
      </c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</row>
    <row r="3245">
      <c r="A3245" s="5">
        <f>IFERROR(__xludf.DUMMYFUNCTION("""COMPUTED_VALUE"""),27401.0)</f>
        <v>27401</v>
      </c>
      <c r="B3245" s="5" t="str">
        <f>IFERROR(__xludf.DUMMYFUNCTION("""COMPUTED_VALUE"""),"هیأت ")</f>
        <v>هیأت </v>
      </c>
      <c r="C3245" s="5" t="str">
        <f>IFERROR(__xludf.DUMMYFUNCTION("""COMPUTED_VALUE"""),"منتظران ظهور")</f>
        <v>منتظران ظهور</v>
      </c>
      <c r="D3245" s="5" t="str">
        <f>IFERROR(__xludf.DUMMYFUNCTION("""COMPUTED_VALUE"""),"خوزستان")</f>
        <v>خوزستان</v>
      </c>
      <c r="E3245" s="5" t="str">
        <f>IFERROR(__xludf.DUMMYFUNCTION("""COMPUTED_VALUE"""),"هفتگل")</f>
        <v>هفتگل</v>
      </c>
      <c r="F3245" s="5"/>
      <c r="G3245" s="5"/>
      <c r="H3245" s="5"/>
      <c r="I3245" s="5"/>
      <c r="J3245" s="6" t="str">
        <f>IFERROR(__xludf.DUMMYFUNCTION("""COMPUTED_VALUE"""),"https://eitaa.com/zohoor7kL")</f>
        <v>https://eitaa.com/zohoor7kL</v>
      </c>
      <c r="K3245" s="5"/>
      <c r="L3245" s="5"/>
      <c r="M3245" s="5"/>
      <c r="N3245" s="5"/>
      <c r="O3245" s="5"/>
      <c r="P3245" s="5"/>
      <c r="Q3245" s="5"/>
      <c r="R3245" s="5"/>
      <c r="S3245" s="5"/>
    </row>
    <row r="3246">
      <c r="A3246" s="5"/>
      <c r="B3246" s="5" t="str">
        <f>IFERROR(__xludf.DUMMYFUNCTION("""COMPUTED_VALUE"""),"هیأت ")</f>
        <v>هیأت </v>
      </c>
      <c r="C3246" s="5" t="str">
        <f>IFERROR(__xludf.DUMMYFUNCTION("""COMPUTED_VALUE"""),"الرضا (ع)")</f>
        <v>الرضا (ع)</v>
      </c>
      <c r="D3246" s="5" t="str">
        <f>IFERROR(__xludf.DUMMYFUNCTION("""COMPUTED_VALUE"""),"خوزستان")</f>
        <v>خوزستان</v>
      </c>
      <c r="E3246" s="5" t="str">
        <f>IFERROR(__xludf.DUMMYFUNCTION("""COMPUTED_VALUE"""),"هندیجان")</f>
        <v>هندیجان</v>
      </c>
      <c r="F3246" s="5"/>
      <c r="G3246" s="5"/>
      <c r="H3246" s="5"/>
      <c r="I3246" s="5"/>
      <c r="J3246" s="6" t="str">
        <f>IFERROR(__xludf.DUMMYFUNCTION("""COMPUTED_VALUE"""),"https://eitaa.com/heyatorezahendijan")</f>
        <v>https://eitaa.com/heyatorezahendijan</v>
      </c>
      <c r="K3246" s="5"/>
      <c r="L3246" s="5"/>
      <c r="M3246" s="5"/>
      <c r="N3246" s="5"/>
      <c r="O3246" s="5"/>
      <c r="P3246" s="5"/>
      <c r="Q3246" s="5"/>
      <c r="R3246" s="5"/>
      <c r="S3246" s="5"/>
    </row>
    <row r="3247">
      <c r="A3247" s="5">
        <f>IFERROR(__xludf.DUMMYFUNCTION("""COMPUTED_VALUE"""),28340.0)</f>
        <v>28340</v>
      </c>
      <c r="B3247" s="5" t="str">
        <f>IFERROR(__xludf.DUMMYFUNCTION("""COMPUTED_VALUE"""),"موکب")</f>
        <v>موکب</v>
      </c>
      <c r="C3247" s="5" t="str">
        <f>IFERROR(__xludf.DUMMYFUNCTION("""COMPUTED_VALUE"""),"أهالي الحویزه")</f>
        <v>أهالي الحویزه</v>
      </c>
      <c r="D3247" s="5" t="str">
        <f>IFERROR(__xludf.DUMMYFUNCTION("""COMPUTED_VALUE"""),"خوزستان")</f>
        <v>خوزستان</v>
      </c>
      <c r="E3247" s="5" t="str">
        <f>IFERROR(__xludf.DUMMYFUNCTION("""COMPUTED_VALUE"""),"هویزه")</f>
        <v>هویزه</v>
      </c>
      <c r="F3247" s="5"/>
      <c r="G3247" s="5"/>
      <c r="H3247" s="6" t="str">
        <f>IFERROR(__xludf.DUMMYFUNCTION("""COMPUTED_VALUE"""),"https://www.instagram.com/ahali.alhoveyzeh/")</f>
        <v>https://www.instagram.com/ahali.alhoveyzeh/</v>
      </c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</row>
    <row r="3248">
      <c r="A3248" s="5"/>
      <c r="B3248" s="5" t="str">
        <f>IFERROR(__xludf.DUMMYFUNCTION("""COMPUTED_VALUE"""),"رسانه")</f>
        <v>رسانه</v>
      </c>
      <c r="C3248" s="5" t="str">
        <f>IFERROR(__xludf.DUMMYFUNCTION("""COMPUTED_VALUE"""),"رسانه شهــــــــــــــزاده")</f>
        <v>رسانه شهــــــــــــــزاده</v>
      </c>
      <c r="D3248" s="5" t="str">
        <f>IFERROR(__xludf.DUMMYFUNCTION("""COMPUTED_VALUE"""),"خوزستان")</f>
        <v>خوزستان</v>
      </c>
      <c r="E3248" s="5"/>
      <c r="F3248" s="5"/>
      <c r="G3248" s="5"/>
      <c r="H3248" s="6" t="str">
        <f>IFERROR(__xludf.DUMMYFUNCTION("""COMPUTED_VALUE"""),"https://www.instagram.com/shahzadeh.art/")</f>
        <v>https://www.instagram.com/shahzadeh.art/</v>
      </c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</row>
    <row r="3249">
      <c r="A3249" s="5"/>
      <c r="B3249" s="5" t="str">
        <f>IFERROR(__xludf.DUMMYFUNCTION("""COMPUTED_VALUE"""),"رسانه")</f>
        <v>رسانه</v>
      </c>
      <c r="C3249" s="5" t="str">
        <f>IFERROR(__xludf.DUMMYFUNCTION("""COMPUTED_VALUE"""),"رسانه هنری 315")</f>
        <v>رسانه هنری 315</v>
      </c>
      <c r="D3249" s="5" t="str">
        <f>IFERROR(__xludf.DUMMYFUNCTION("""COMPUTED_VALUE"""),"خوزستان")</f>
        <v>خوزستان</v>
      </c>
      <c r="E3249" s="5"/>
      <c r="F3249" s="5"/>
      <c r="G3249" s="5"/>
      <c r="H3249" s="6" t="str">
        <f>IFERROR(__xludf.DUMMYFUNCTION("""COMPUTED_VALUE"""),"https://www.instagram.com/315info/")</f>
        <v>https://www.instagram.com/315info/</v>
      </c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</row>
    <row r="3250">
      <c r="A3250" s="5"/>
      <c r="B3250" s="5"/>
      <c r="C3250" s="5" t="str">
        <f>IFERROR(__xludf.DUMMYFUNCTION("""COMPUTED_VALUE"""),"رسانه هنری علقمه")</f>
        <v>رسانه هنری علقمه</v>
      </c>
      <c r="D3250" s="5" t="str">
        <f>IFERROR(__xludf.DUMMYFUNCTION("""COMPUTED_VALUE"""),"خوزستان")</f>
        <v>خوزستان</v>
      </c>
      <c r="E3250" s="5"/>
      <c r="F3250" s="5"/>
      <c r="G3250" s="5"/>
      <c r="H3250" s="6" t="str">
        <f>IFERROR(__xludf.DUMMYFUNCTION("""COMPUTED_VALUE"""),"https://www.instagram.com/alghameh_media/")</f>
        <v>https://www.instagram.com/alghameh_media/</v>
      </c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</row>
    <row r="3251">
      <c r="A3251" s="5"/>
      <c r="B3251" s="5"/>
      <c r="C3251" s="5" t="str">
        <f>IFERROR(__xludf.DUMMYFUNCTION("""COMPUTED_VALUE"""),"گروه تصویر و صدابرداری حوراء")</f>
        <v>گروه تصویر و صدابرداری حوراء</v>
      </c>
      <c r="D3251" s="5" t="str">
        <f>IFERROR(__xludf.DUMMYFUNCTION("""COMPUTED_VALUE"""),"خوزستان")</f>
        <v>خوزستان</v>
      </c>
      <c r="E3251" s="5"/>
      <c r="F3251" s="5"/>
      <c r="G3251" s="5"/>
      <c r="H3251" s="6" t="str">
        <f>IFERROR(__xludf.DUMMYFUNCTION("""COMPUTED_VALUE"""),"https://www.instagram.com/haora_studioo/")</f>
        <v>https://www.instagram.com/haora_studioo/</v>
      </c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</row>
    <row r="3252">
      <c r="A3252" s="5"/>
      <c r="B3252" s="5"/>
      <c r="C3252" s="5" t="str">
        <f>IFERROR(__xludf.DUMMYFUNCTION("""COMPUTED_VALUE"""),"نجف استوری")</f>
        <v>نجف استوری</v>
      </c>
      <c r="D3252" s="5"/>
      <c r="E3252" s="5"/>
      <c r="F3252" s="5"/>
      <c r="G3252" s="5"/>
      <c r="H3252" s="6" t="str">
        <f>IFERROR(__xludf.DUMMYFUNCTION("""COMPUTED_VALUE"""),"https://www.instagram.com/najaf.stori/")</f>
        <v>https://www.instagram.com/najaf.stori/</v>
      </c>
      <c r="I3252" s="5" t="str">
        <f>IFERROR(__xludf.DUMMYFUNCTION("""COMPUTED_VALUE""")," مربوط به هیأت عزاداران چادر خاکی سلام الله علیها ")</f>
        <v> مربوط به هیأت عزاداران چادر خاکی سلام الله علیها </v>
      </c>
      <c r="J3252" s="5"/>
      <c r="K3252" s="5"/>
      <c r="L3252" s="5"/>
      <c r="M3252" s="5"/>
      <c r="N3252" s="5"/>
      <c r="O3252" s="5"/>
      <c r="P3252" s="5"/>
      <c r="Q3252" s="5"/>
      <c r="R3252" s="5"/>
      <c r="S3252" s="5"/>
    </row>
    <row r="3253">
      <c r="A3253" s="5"/>
      <c r="B3253" s="5"/>
      <c r="C3253" s="5" t="str">
        <f>IFERROR(__xludf.DUMMYFUNCTION("""COMPUTED_VALUE"""),"موسسه هنری فائق")</f>
        <v>موسسه هنری فائق</v>
      </c>
      <c r="D3253" s="5"/>
      <c r="E3253" s="5"/>
      <c r="F3253" s="5"/>
      <c r="G3253" s="5"/>
      <c r="H3253" s="6" t="str">
        <f>IFERROR(__xludf.DUMMYFUNCTION("""COMPUTED_VALUE"""),"https://www.instagram.com/faegh_ir/")</f>
        <v>https://www.instagram.com/faegh_ir/</v>
      </c>
      <c r="I3253" s="5" t="str">
        <f>IFERROR(__xludf.DUMMYFUNCTION("""COMPUTED_VALUE""")," مربوط به هیأت خُدّام زهرای سه ساله ")</f>
        <v> مربوط به هیأت خُدّام زهرای سه ساله </v>
      </c>
      <c r="J3253" s="5"/>
      <c r="K3253" s="5"/>
      <c r="L3253" s="5"/>
      <c r="M3253" s="5"/>
      <c r="N3253" s="5"/>
      <c r="O3253" s="5"/>
      <c r="P3253" s="5"/>
      <c r="Q3253" s="5"/>
      <c r="R3253" s="5"/>
      <c r="S3253" s="5"/>
    </row>
    <row r="3254">
      <c r="A3254" s="5"/>
      <c r="B3254" s="5" t="str">
        <f>IFERROR(__xludf.DUMMYFUNCTION("""COMPUTED_VALUE"""),"مداح")</f>
        <v>مداح</v>
      </c>
      <c r="C3254" s="5" t="str">
        <f>IFERROR(__xludf.DUMMYFUNCTION("""COMPUTED_VALUE"""),"کربلایی مرتضی یبرنژاد")</f>
        <v>کربلایی مرتضی یبرنژاد</v>
      </c>
      <c r="D3254" s="5" t="str">
        <f>IFERROR(__xludf.DUMMYFUNCTION("""COMPUTED_VALUE"""),"خوزستان")</f>
        <v>خوزستان</v>
      </c>
      <c r="E3254" s="5" t="str">
        <f>IFERROR(__xludf.DUMMYFUNCTION("""COMPUTED_VALUE"""),"خوزستان")</f>
        <v>خوزستان</v>
      </c>
      <c r="F3254" s="5"/>
      <c r="G3254" s="5"/>
      <c r="H3254" s="6" t="str">
        <f>IFERROR(__xludf.DUMMYFUNCTION("""COMPUTED_VALUE"""),"https://www.instagram.com/_.133__")</f>
        <v>https://www.instagram.com/_.133__</v>
      </c>
      <c r="I3254" s="6" t="str">
        <f>IFERROR(__xludf.DUMMYFUNCTION("""COMPUTED_VALUE"""),"https://t.me/morteza_yebor313")</f>
        <v>https://t.me/morteza_yebor313</v>
      </c>
      <c r="J3254" s="6" t="str">
        <f>IFERROR(__xludf.DUMMYFUNCTION("""COMPUTED_VALUE"""),"https://eitaa.com/morteza_yebor313")</f>
        <v>https://eitaa.com/morteza_yebor313</v>
      </c>
      <c r="K3254" s="5"/>
      <c r="L3254" s="5"/>
      <c r="M3254" s="5"/>
      <c r="N3254" s="5"/>
      <c r="O3254" s="5"/>
      <c r="P3254" s="5"/>
      <c r="Q3254" s="5"/>
      <c r="R3254" s="5"/>
      <c r="S3254" s="5"/>
    </row>
    <row r="3255">
      <c r="A3255" s="5"/>
      <c r="B3255" s="5" t="str">
        <f>IFERROR(__xludf.DUMMYFUNCTION("""COMPUTED_VALUE"""),"حسینیه")</f>
        <v>حسینیه</v>
      </c>
      <c r="C3255" s="5" t="str">
        <f>IFERROR(__xludf.DUMMYFUNCTION("""COMPUTED_VALUE"""),"حسینیه ثارالله اهواز هیأت رزمندگان اسلام")</f>
        <v>حسینیه ثارالله اهواز هیأت رزمندگان اسلام</v>
      </c>
      <c r="D3255" s="5" t="str">
        <f>IFERROR(__xludf.DUMMYFUNCTION("""COMPUTED_VALUE"""),"خوزستان")</f>
        <v>خوزستان</v>
      </c>
      <c r="E3255" s="5" t="str">
        <f>IFERROR(__xludf.DUMMYFUNCTION("""COMPUTED_VALUE"""),"اهواز")</f>
        <v>اهواز</v>
      </c>
      <c r="F3255" s="5"/>
      <c r="G3255" s="5"/>
      <c r="H3255" s="5"/>
      <c r="I3255" s="5"/>
      <c r="J3255" s="6" t="str">
        <f>IFERROR(__xludf.DUMMYFUNCTION("""COMPUTED_VALUE"""),"https://eitaa.com/sarallah_awz")</f>
        <v>https://eitaa.com/sarallah_awz</v>
      </c>
      <c r="K3255" s="5"/>
      <c r="L3255" s="5"/>
      <c r="M3255" s="5"/>
      <c r="N3255" s="5"/>
      <c r="O3255" s="5"/>
      <c r="P3255" s="5"/>
      <c r="Q3255" s="5"/>
      <c r="R3255" s="5"/>
      <c r="S3255" s="5"/>
    </row>
    <row r="3256">
      <c r="A3256" s="5"/>
      <c r="B3256" s="5" t="str">
        <f>IFERROR(__xludf.DUMMYFUNCTION("""COMPUTED_VALUE"""),"هیأت")</f>
        <v>هیأت</v>
      </c>
      <c r="C3256" s="5" t="str">
        <f>IFERROR(__xludf.DUMMYFUNCTION("""COMPUTED_VALUE"""),"هیأت حجت بن الحسن")</f>
        <v>هیأت حجت بن الحسن</v>
      </c>
      <c r="D3256" s="5" t="str">
        <f>IFERROR(__xludf.DUMMYFUNCTION("""COMPUTED_VALUE"""),"خوزستان")</f>
        <v>خوزستان</v>
      </c>
      <c r="E3256" s="5" t="str">
        <f>IFERROR(__xludf.DUMMYFUNCTION("""COMPUTED_VALUE"""),"اهواز")</f>
        <v>اهواز</v>
      </c>
      <c r="F3256" s="5"/>
      <c r="G3256" s="5"/>
      <c r="H3256" s="5"/>
      <c r="I3256" s="5"/>
      <c r="J3256" s="6" t="str">
        <f>IFERROR(__xludf.DUMMYFUNCTION("""COMPUTED_VALUE"""),"https://eitaa.com/ostadelahi")</f>
        <v>https://eitaa.com/ostadelahi</v>
      </c>
      <c r="K3256" s="5"/>
      <c r="L3256" s="5"/>
      <c r="M3256" s="5"/>
      <c r="N3256" s="5"/>
      <c r="O3256" s="5"/>
      <c r="P3256" s="5"/>
      <c r="Q3256" s="5"/>
      <c r="R3256" s="5"/>
      <c r="S3256" s="5"/>
    </row>
    <row r="3257">
      <c r="A3257" s="5"/>
      <c r="B3257" s="5" t="str">
        <f>IFERROR(__xludf.DUMMYFUNCTION("""COMPUTED_VALUE"""),"هیأت")</f>
        <v>هیأت</v>
      </c>
      <c r="C3257" s="5" t="str">
        <f>IFERROR(__xludf.DUMMYFUNCTION("""COMPUTED_VALUE"""),"روضه الزهرا")</f>
        <v>روضه الزهرا</v>
      </c>
      <c r="D3257" s="5" t="str">
        <f>IFERROR(__xludf.DUMMYFUNCTION("""COMPUTED_VALUE"""),"خوزستان ")</f>
        <v>خوزستان </v>
      </c>
      <c r="E3257" s="5" t="str">
        <f>IFERROR(__xludf.DUMMYFUNCTION("""COMPUTED_VALUE"""),"دزفول")</f>
        <v>دزفول</v>
      </c>
      <c r="F3257" s="5"/>
      <c r="G3257" s="5"/>
      <c r="H3257" s="5"/>
      <c r="I3257" s="5"/>
      <c r="J3257" s="6" t="str">
        <f>IFERROR(__xludf.DUMMYFUNCTION("""COMPUTED_VALUE"""),"https://eitaa.com/rozatoalzahra_ir")</f>
        <v>https://eitaa.com/rozatoalzahra_ir</v>
      </c>
      <c r="K3257" s="5"/>
      <c r="L3257" s="5"/>
      <c r="M3257" s="5"/>
      <c r="N3257" s="5"/>
      <c r="O3257" s="5"/>
      <c r="P3257" s="5"/>
      <c r="Q3257" s="5"/>
      <c r="R3257" s="5"/>
      <c r="S3257" s="5"/>
    </row>
    <row r="3258">
      <c r="A3258" s="5"/>
      <c r="B3258" s="5" t="str">
        <f>IFERROR(__xludf.DUMMYFUNCTION("""COMPUTED_VALUE"""),"حسینیه")</f>
        <v>حسینیه</v>
      </c>
      <c r="C3258" s="5" t="str">
        <f>IFERROR(__xludf.DUMMYFUNCTION("""COMPUTED_VALUE"""),"ثارالله")</f>
        <v>ثارالله</v>
      </c>
      <c r="D3258" s="5" t="str">
        <f>IFERROR(__xludf.DUMMYFUNCTION("""COMPUTED_VALUE"""),"خوزستان")</f>
        <v>خوزستان</v>
      </c>
      <c r="E3258" s="5" t="str">
        <f>IFERROR(__xludf.DUMMYFUNCTION("""COMPUTED_VALUE"""),"دزفول")</f>
        <v>دزفول</v>
      </c>
      <c r="F3258" s="5"/>
      <c r="G3258" s="5"/>
      <c r="H3258" s="5"/>
      <c r="I3258" s="5"/>
      <c r="J3258" s="6" t="str">
        <f>IFERROR(__xludf.DUMMYFUNCTION("""COMPUTED_VALUE"""),"https://eitaa.com/Sarallah_Dezful")</f>
        <v>https://eitaa.com/Sarallah_Dezful</v>
      </c>
      <c r="K3258" s="5"/>
      <c r="L3258" s="5"/>
      <c r="M3258" s="5"/>
      <c r="N3258" s="5"/>
      <c r="O3258" s="5"/>
      <c r="P3258" s="5"/>
      <c r="Q3258" s="5"/>
      <c r="R3258" s="5"/>
      <c r="S3258" s="5"/>
    </row>
    <row r="3259">
      <c r="A3259" s="5"/>
      <c r="B3259" s="5" t="str">
        <f>IFERROR(__xludf.DUMMYFUNCTION("""COMPUTED_VALUE"""),"حسینیه")</f>
        <v>حسینیه</v>
      </c>
      <c r="C3259" s="5" t="str">
        <f>IFERROR(__xludf.DUMMYFUNCTION("""COMPUTED_VALUE"""),"شهید محمدرضا آل مبارک")</f>
        <v>شهید محمدرضا آل مبارک</v>
      </c>
      <c r="D3259" s="5" t="str">
        <f>IFERROR(__xludf.DUMMYFUNCTION("""COMPUTED_VALUE"""),"خوزستان")</f>
        <v>خوزستان</v>
      </c>
      <c r="E3259" s="5" t="str">
        <f>IFERROR(__xludf.DUMMYFUNCTION("""COMPUTED_VALUE"""),"اهواز")</f>
        <v>اهواز</v>
      </c>
      <c r="F3259" s="5"/>
      <c r="G3259" s="5"/>
      <c r="H3259" s="5"/>
      <c r="I3259" s="5"/>
      <c r="J3259" s="6" t="str">
        <f>IFERROR(__xludf.DUMMYFUNCTION("""COMPUTED_VALUE"""),"https://eitaa.com/khadimalreza")</f>
        <v>https://eitaa.com/khadimalreza</v>
      </c>
      <c r="K3259" s="5"/>
      <c r="L3259" s="5"/>
      <c r="M3259" s="5"/>
      <c r="N3259" s="5"/>
      <c r="O3259" s="5"/>
      <c r="P3259" s="5"/>
      <c r="Q3259" s="5"/>
      <c r="R3259" s="5"/>
      <c r="S3259" s="5"/>
    </row>
    <row r="3260">
      <c r="A3260" s="5"/>
      <c r="B3260" s="5" t="str">
        <f>IFERROR(__xludf.DUMMYFUNCTION("""COMPUTED_VALUE"""),"هیأت")</f>
        <v>هیأت</v>
      </c>
      <c r="C3260" s="5" t="str">
        <f>IFERROR(__xludf.DUMMYFUNCTION("""COMPUTED_VALUE"""),"محبان امیر المومنین علی (ع) - قدمگاه امام رضا (ع) ")</f>
        <v>محبان امیر المومنین علی (ع) - قدمگاه امام رضا (ع) </v>
      </c>
      <c r="D3260" s="5" t="str">
        <f>IFERROR(__xludf.DUMMYFUNCTION("""COMPUTED_VALUE"""),"خوزستان")</f>
        <v>خوزستان</v>
      </c>
      <c r="E3260" s="5" t="str">
        <f>IFERROR(__xludf.DUMMYFUNCTION("""COMPUTED_VALUE"""),"دزفول")</f>
        <v>دزفول</v>
      </c>
      <c r="F3260" s="5"/>
      <c r="G3260" s="5"/>
      <c r="H3260" s="5"/>
      <c r="I3260" s="5"/>
      <c r="J3260" s="6" t="str">
        <f>IFERROR(__xludf.DUMMYFUNCTION("""COMPUTED_VALUE"""),"https://eitaa.com/moheban_ali_ir")</f>
        <v>https://eitaa.com/moheban_ali_ir</v>
      </c>
      <c r="K3260" s="5"/>
      <c r="L3260" s="5"/>
      <c r="M3260" s="5"/>
      <c r="N3260" s="5"/>
      <c r="O3260" s="5"/>
      <c r="P3260" s="5"/>
      <c r="Q3260" s="5"/>
      <c r="R3260" s="5"/>
      <c r="S3260" s="5"/>
    </row>
    <row r="3261">
      <c r="A3261" s="5"/>
      <c r="B3261" s="5" t="str">
        <f>IFERROR(__xludf.DUMMYFUNCTION("""COMPUTED_VALUE"""),"هیأت")</f>
        <v>هیأت</v>
      </c>
      <c r="C3261" s="5" t="str">
        <f>IFERROR(__xludf.DUMMYFUNCTION("""COMPUTED_VALUE"""),"منتظران حضرت مهدی (عج) بهبهان")</f>
        <v>منتظران حضرت مهدی (عج) بهبهان</v>
      </c>
      <c r="D3261" s="5" t="str">
        <f>IFERROR(__xludf.DUMMYFUNCTION("""COMPUTED_VALUE"""),"خوزستان")</f>
        <v>خوزستان</v>
      </c>
      <c r="E3261" s="5" t="str">
        <f>IFERROR(__xludf.DUMMYFUNCTION("""COMPUTED_VALUE"""),"بهبهان")</f>
        <v>بهبهان</v>
      </c>
      <c r="F3261" s="5"/>
      <c r="G3261" s="5"/>
      <c r="H3261" s="6" t="str">
        <f>IFERROR(__xludf.DUMMYFUNCTION("""COMPUTED_VALUE"""),"https://www.instagram.com/tajil_ir")</f>
        <v>https://www.instagram.com/tajil_ir</v>
      </c>
      <c r="I3261" s="5"/>
      <c r="J3261" s="6" t="str">
        <f>IFERROR(__xludf.DUMMYFUNCTION("""COMPUTED_VALUE"""),"https://eitaa.com/tajil_ir")</f>
        <v>https://eitaa.com/tajil_ir</v>
      </c>
      <c r="K3261" s="5"/>
      <c r="L3261" s="5"/>
      <c r="M3261" s="5"/>
      <c r="N3261" s="5"/>
      <c r="O3261" s="5"/>
      <c r="P3261" s="5"/>
      <c r="Q3261" s="5"/>
      <c r="R3261" s="5"/>
      <c r="S3261" s="5"/>
    </row>
    <row r="3262">
      <c r="A3262" s="5"/>
      <c r="B3262" s="5" t="str">
        <f>IFERROR(__xludf.DUMMYFUNCTION("""COMPUTED_VALUE"""),"هیأت")</f>
        <v>هیأت</v>
      </c>
      <c r="C3262" s="5" t="str">
        <f>IFERROR(__xludf.DUMMYFUNCTION("""COMPUTED_VALUE"""),"محبان اباالفضل العباس ")</f>
        <v>محبان اباالفضل العباس </v>
      </c>
      <c r="D3262" s="5" t="str">
        <f>IFERROR(__xludf.DUMMYFUNCTION("""COMPUTED_VALUE"""),"خوزستان")</f>
        <v>خوزستان</v>
      </c>
      <c r="E3262" s="5" t="str">
        <f>IFERROR(__xludf.DUMMYFUNCTION("""COMPUTED_VALUE"""),"دزفول")</f>
        <v>دزفول</v>
      </c>
      <c r="F3262" s="5"/>
      <c r="G3262" s="5"/>
      <c r="H3262" s="5"/>
      <c r="I3262" s="5"/>
      <c r="J3262" s="6" t="str">
        <f>IFERROR(__xludf.DUMMYFUNCTION("""COMPUTED_VALUE"""),"https://eitaa.com/mohebandez")</f>
        <v>https://eitaa.com/mohebandez</v>
      </c>
      <c r="K3262" s="5"/>
      <c r="L3262" s="5"/>
      <c r="M3262" s="5"/>
      <c r="N3262" s="5"/>
      <c r="O3262" s="5"/>
      <c r="P3262" s="5"/>
      <c r="Q3262" s="5"/>
      <c r="R3262" s="5"/>
      <c r="S3262" s="5"/>
    </row>
    <row r="3263">
      <c r="A3263" s="5"/>
      <c r="B3263" s="5" t="str">
        <f>IFERROR(__xludf.DUMMYFUNCTION("""COMPUTED_VALUE"""),"هیأت")</f>
        <v>هیأت</v>
      </c>
      <c r="C3263" s="5" t="str">
        <f>IFERROR(__xludf.DUMMYFUNCTION("""COMPUTED_VALUE"""),"انصار الحجه")</f>
        <v>انصار الحجه</v>
      </c>
      <c r="D3263" s="5" t="str">
        <f>IFERROR(__xludf.DUMMYFUNCTION("""COMPUTED_VALUE"""),"خوزستان")</f>
        <v>خوزستان</v>
      </c>
      <c r="E3263" s="5" t="str">
        <f>IFERROR(__xludf.DUMMYFUNCTION("""COMPUTED_VALUE"""),"اهواز")</f>
        <v>اهواز</v>
      </c>
      <c r="F3263" s="5"/>
      <c r="G3263" s="5"/>
      <c r="H3263" s="6" t="str">
        <f>IFERROR(__xludf.DUMMYFUNCTION("""COMPUTED_VALUE"""),"https://www.instagram.com/ansaralhojah")</f>
        <v>https://www.instagram.com/ansaralhojah</v>
      </c>
      <c r="I3263" s="6" t="str">
        <f>IFERROR(__xludf.DUMMYFUNCTION("""COMPUTED_VALUE"""),"https://t.me/ansaralhojah1")</f>
        <v>https://t.me/ansaralhojah1</v>
      </c>
      <c r="J3263" s="6" t="str">
        <f>IFERROR(__xludf.DUMMYFUNCTION("""COMPUTED_VALUE"""),"https://eitaa.com/ansar_alhojah")</f>
        <v>https://eitaa.com/ansar_alhojah</v>
      </c>
      <c r="K3263" s="5"/>
      <c r="L3263" s="5"/>
      <c r="M3263" s="5"/>
      <c r="N3263" s="5"/>
      <c r="O3263" s="5"/>
      <c r="P3263" s="5"/>
      <c r="Q3263" s="5"/>
      <c r="R3263" s="5"/>
      <c r="S3263" s="5"/>
    </row>
    <row r="3264">
      <c r="A3264" s="5"/>
      <c r="B3264" s="5" t="str">
        <f>IFERROR(__xludf.DUMMYFUNCTION("""COMPUTED_VALUE"""),"حسینیه")</f>
        <v>حسینیه</v>
      </c>
      <c r="C3264" s="5" t="str">
        <f>IFERROR(__xludf.DUMMYFUNCTION("""COMPUTED_VALUE"""),"حسینیه شهدا (حاج صادق آهنگران )یاد بود حاج حبیب الله معلمی
 #کانال_حسینیه_شهدا_حاج_صادق_آهنگران")</f>
        <v>حسینیه شهدا (حاج صادق آهنگران )یاد بود حاج حبیب الله معلمی
 #کانال_حسینیه_شهدا_حاج_صادق_آهنگران</v>
      </c>
      <c r="D3264" s="5" t="str">
        <f>IFERROR(__xludf.DUMMYFUNCTION("""COMPUTED_VALUE"""),"خوزستان")</f>
        <v>خوزستان</v>
      </c>
      <c r="E3264" s="5" t="str">
        <f>IFERROR(__xludf.DUMMYFUNCTION("""COMPUTED_VALUE"""),"خوزستان")</f>
        <v>خوزستان</v>
      </c>
      <c r="F3264" s="5"/>
      <c r="G3264" s="5"/>
      <c r="H3264" s="5"/>
      <c r="I3264" s="5"/>
      <c r="J3264" s="6" t="str">
        <f>IFERROR(__xludf.DUMMYFUNCTION("""COMPUTED_VALUE"""),"https://eitaa.com/ahangran401")</f>
        <v>https://eitaa.com/ahangran401</v>
      </c>
      <c r="K3264" s="5"/>
      <c r="L3264" s="5"/>
      <c r="M3264" s="5"/>
      <c r="N3264" s="5"/>
      <c r="O3264" s="5"/>
      <c r="P3264" s="5"/>
      <c r="Q3264" s="5"/>
      <c r="R3264" s="5"/>
      <c r="S3264" s="5"/>
    </row>
    <row r="3265">
      <c r="A3265" s="5"/>
      <c r="B3265" s="5" t="str">
        <f>IFERROR(__xludf.DUMMYFUNCTION("""COMPUTED_VALUE"""),"حسینیه")</f>
        <v>حسینیه</v>
      </c>
      <c r="C3265" s="5" t="str">
        <f>IFERROR(__xludf.DUMMYFUNCTION("""COMPUTED_VALUE"""),"امام رضا(ع)")</f>
        <v>امام رضا(ع)</v>
      </c>
      <c r="D3265" s="5" t="str">
        <f>IFERROR(__xludf.DUMMYFUNCTION("""COMPUTED_VALUE"""),"خوزستان")</f>
        <v>خوزستان</v>
      </c>
      <c r="E3265" s="5" t="str">
        <f>IFERROR(__xludf.DUMMYFUNCTION("""COMPUTED_VALUE"""),"اهواز")</f>
        <v>اهواز</v>
      </c>
      <c r="F3265" s="5"/>
      <c r="G3265" s="5"/>
      <c r="H3265" s="5"/>
      <c r="I3265" s="5"/>
      <c r="J3265" s="6" t="str">
        <f>IFERROR(__xludf.DUMMYFUNCTION("""COMPUTED_VALUE"""),"https://eitaa.com/HosseinehEmamReza")</f>
        <v>https://eitaa.com/HosseinehEmamReza</v>
      </c>
      <c r="K3265" s="5"/>
      <c r="L3265" s="5"/>
      <c r="M3265" s="5"/>
      <c r="N3265" s="5"/>
      <c r="O3265" s="5"/>
      <c r="P3265" s="5"/>
      <c r="Q3265" s="5"/>
      <c r="R3265" s="5"/>
      <c r="S3265" s="5"/>
    </row>
    <row r="3266">
      <c r="A3266" s="5"/>
      <c r="B3266" s="5" t="str">
        <f>IFERROR(__xludf.DUMMYFUNCTION("""COMPUTED_VALUE"""),"هیأت")</f>
        <v>هیأت</v>
      </c>
      <c r="C3266" s="5" t="str">
        <f>IFERROR(__xludf.DUMMYFUNCTION("""COMPUTED_VALUE"""),"صاحب الامر")</f>
        <v>صاحب الامر</v>
      </c>
      <c r="D3266" s="5" t="str">
        <f>IFERROR(__xludf.DUMMYFUNCTION("""COMPUTED_VALUE"""),"خوزستان ")</f>
        <v>خوزستان </v>
      </c>
      <c r="E3266" s="5" t="str">
        <f>IFERROR(__xludf.DUMMYFUNCTION("""COMPUTED_VALUE"""),"اهواز")</f>
        <v>اهواز</v>
      </c>
      <c r="F3266" s="5"/>
      <c r="G3266" s="5"/>
      <c r="H3266" s="5"/>
      <c r="I3266" s="5"/>
      <c r="J3266" s="6" t="str">
        <f>IFERROR(__xludf.DUMMYFUNCTION("""COMPUTED_VALUE"""),"https://eitaa.com/saheb_alamr313")</f>
        <v>https://eitaa.com/saheb_alamr313</v>
      </c>
      <c r="K3266" s="5"/>
      <c r="L3266" s="5"/>
      <c r="M3266" s="5"/>
      <c r="N3266" s="5"/>
      <c r="O3266" s="5"/>
      <c r="P3266" s="5"/>
      <c r="Q3266" s="5"/>
      <c r="R3266" s="5"/>
      <c r="S3266" s="5"/>
    </row>
    <row r="3267">
      <c r="A3267" s="5">
        <f>IFERROR(__xludf.DUMMYFUNCTION("""COMPUTED_VALUE"""),32719.0)</f>
        <v>32719</v>
      </c>
      <c r="B3267" s="5" t="str">
        <f>IFERROR(__xludf.DUMMYFUNCTION("""COMPUTED_VALUE"""),"هیأت")</f>
        <v>هیأت</v>
      </c>
      <c r="C3267" s="5" t="str">
        <f>IFERROR(__xludf.DUMMYFUNCTION("""COMPUTED_VALUE"""),"رزمندگان اسلام")</f>
        <v>رزمندگان اسلام</v>
      </c>
      <c r="D3267" s="5" t="str">
        <f>IFERROR(__xludf.DUMMYFUNCTION("""COMPUTED_VALUE"""),"بوشهر")</f>
        <v>بوشهر</v>
      </c>
      <c r="E3267" s="5" t="str">
        <f>IFERROR(__xludf.DUMMYFUNCTION("""COMPUTED_VALUE"""),"بوشهر")</f>
        <v>بوشهر</v>
      </c>
      <c r="F3267" s="5"/>
      <c r="G3267" s="5"/>
      <c r="H3267" s="5"/>
      <c r="I3267" s="5"/>
      <c r="J3267" s="6" t="str">
        <f>IFERROR(__xludf.DUMMYFUNCTION("""COMPUTED_VALUE"""),"https://eitaa.com/razmandegan_bushehr")</f>
        <v>https://eitaa.com/razmandegan_bushehr</v>
      </c>
      <c r="K3267" s="5"/>
      <c r="L3267" s="5"/>
      <c r="M3267" s="5"/>
      <c r="N3267" s="5"/>
      <c r="O3267" s="5"/>
      <c r="P3267" s="5"/>
      <c r="Q3267" s="5"/>
      <c r="R3267" s="5"/>
      <c r="S3267" s="5"/>
    </row>
    <row r="3268">
      <c r="A3268" s="5">
        <f>IFERROR(__xludf.DUMMYFUNCTION("""COMPUTED_VALUE"""),32595.0)</f>
        <v>32595</v>
      </c>
      <c r="B3268" s="5" t="str">
        <f>IFERROR(__xludf.DUMMYFUNCTION("""COMPUTED_VALUE"""),"هیأت")</f>
        <v>هیأت</v>
      </c>
      <c r="C3268" s="5" t="str">
        <f>IFERROR(__xludf.DUMMYFUNCTION("""COMPUTED_VALUE"""),"الرضا ع")</f>
        <v>الرضا ع</v>
      </c>
      <c r="D3268" s="5" t="str">
        <f>IFERROR(__xludf.DUMMYFUNCTION("""COMPUTED_VALUE"""),"بوشهر")</f>
        <v>بوشهر</v>
      </c>
      <c r="E3268" s="5" t="str">
        <f>IFERROR(__xludf.DUMMYFUNCTION("""COMPUTED_VALUE"""),"دشتی")</f>
        <v>دشتی</v>
      </c>
      <c r="F3268" s="5"/>
      <c r="G3268" s="5"/>
      <c r="H3268" s="6" t="str">
        <f>IFERROR(__xludf.DUMMYFUNCTION("""COMPUTED_VALUE"""),"https://www.instagram.com/heiatoreza.khormuj/")</f>
        <v>https://www.instagram.com/heiatoreza.khormuj/</v>
      </c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</row>
    <row r="3269">
      <c r="A3269" s="5">
        <f>IFERROR(__xludf.DUMMYFUNCTION("""COMPUTED_VALUE"""),29902.0)</f>
        <v>29902</v>
      </c>
      <c r="B3269" s="5" t="str">
        <f>IFERROR(__xludf.DUMMYFUNCTION("""COMPUTED_VALUE"""),"هیأت")</f>
        <v>هیأت</v>
      </c>
      <c r="C3269" s="5" t="str">
        <f>IFERROR(__xludf.DUMMYFUNCTION("""COMPUTED_VALUE"""),"محبان اهل بیت")</f>
        <v>محبان اهل بیت</v>
      </c>
      <c r="D3269" s="5" t="str">
        <f>IFERROR(__xludf.DUMMYFUNCTION("""COMPUTED_VALUE"""),"بوشهر")</f>
        <v>بوشهر</v>
      </c>
      <c r="E3269" s="5" t="str">
        <f>IFERROR(__xludf.DUMMYFUNCTION("""COMPUTED_VALUE"""),"دیلم")</f>
        <v>دیلم</v>
      </c>
      <c r="F3269" s="5"/>
      <c r="G3269" s="5"/>
      <c r="H3269" s="6" t="str">
        <f>IFERROR(__xludf.DUMMYFUNCTION("""COMPUTED_VALUE"""),"https://www.instagram.com/Masjed_Emam_Hossein_Deylam1400")</f>
        <v>https://www.instagram.com/Masjed_Emam_Hossein_Deylam1400</v>
      </c>
      <c r="I3269" s="6" t="str">
        <f>IFERROR(__xludf.DUMMYFUNCTION("""COMPUTED_VALUE"""),"https://t.me/joinchat/AAAAAD_F9WJKDeOtbYkhbg")</f>
        <v>https://t.me/joinchat/AAAAAD_F9WJKDeOtbYkhbg</v>
      </c>
      <c r="J3269" s="6" t="str">
        <f>IFERROR(__xludf.DUMMYFUNCTION("""COMPUTED_VALUE"""),"https://eitaa.com/joinchat/2436170036C43cebb0be0")</f>
        <v>https://eitaa.com/joinchat/2436170036C43cebb0be0</v>
      </c>
      <c r="K3269" s="5"/>
      <c r="L3269" s="5"/>
      <c r="M3269" s="5"/>
      <c r="N3269" s="5"/>
      <c r="O3269" s="5"/>
      <c r="P3269" s="5"/>
      <c r="Q3269" s="5"/>
      <c r="R3269" s="5"/>
      <c r="S3269" s="5"/>
    </row>
    <row r="3270">
      <c r="A3270" s="5">
        <f>IFERROR(__xludf.DUMMYFUNCTION("""COMPUTED_VALUE"""),29901.0)</f>
        <v>29901</v>
      </c>
      <c r="B3270" s="5" t="str">
        <f>IFERROR(__xludf.DUMMYFUNCTION("""COMPUTED_VALUE"""),"هفتگی")</f>
        <v>هفتگی</v>
      </c>
      <c r="C3270" s="5" t="str">
        <f>IFERROR(__xludf.DUMMYFUNCTION("""COMPUTED_VALUE"""),"سیدالشهدا (ع)")</f>
        <v>سیدالشهدا (ع)</v>
      </c>
      <c r="D3270" s="5" t="str">
        <f>IFERROR(__xludf.DUMMYFUNCTION("""COMPUTED_VALUE"""),"بوشهر")</f>
        <v>بوشهر</v>
      </c>
      <c r="E3270" s="5" t="str">
        <f>IFERROR(__xludf.DUMMYFUNCTION("""COMPUTED_VALUE"""),"جم")</f>
        <v>جم</v>
      </c>
      <c r="F3270" s="5" t="str">
        <f>IFERROR(__xludf.DUMMYFUNCTION("""COMPUTED_VALUE"""),"استان بوشهر ٫شهرستان جم ،بخش ریز ،جنب امام زاده حبیب الله و جنت الشهدا")</f>
        <v>استان بوشهر ٫شهرستان جم ،بخش ریز ،جنب امام زاده حبیب الله و جنت الشهدا</v>
      </c>
      <c r="G3270" s="5"/>
      <c r="H3270" s="6" t="str">
        <f>IFERROR(__xludf.DUMMYFUNCTION("""COMPUTED_VALUE"""),"https://www.instagram.com/seyyedoshohada_riz")</f>
        <v>https://www.instagram.com/seyyedoshohada_riz</v>
      </c>
      <c r="I3270" s="5"/>
      <c r="J3270" s="6" t="str">
        <f>IFERROR(__xludf.DUMMYFUNCTION("""COMPUTED_VALUE"""),"https://eitaa.com/seyyedoshohada_riz")</f>
        <v>https://eitaa.com/seyyedoshohada_riz</v>
      </c>
      <c r="K3270" s="5"/>
      <c r="L3270" s="5"/>
      <c r="M3270" s="5"/>
      <c r="N3270" s="5"/>
      <c r="O3270" s="5"/>
      <c r="P3270" s="5"/>
      <c r="Q3270" s="5"/>
      <c r="R3270" s="5"/>
      <c r="S3270" s="5"/>
    </row>
    <row r="3271">
      <c r="A3271" s="5">
        <f>IFERROR(__xludf.DUMMYFUNCTION("""COMPUTED_VALUE"""),29897.0)</f>
        <v>29897</v>
      </c>
      <c r="B3271" s="5" t="str">
        <f>IFERROR(__xludf.DUMMYFUNCTION("""COMPUTED_VALUE"""),"هیأت")</f>
        <v>هیأت</v>
      </c>
      <c r="C3271" s="5" t="str">
        <f>IFERROR(__xludf.DUMMYFUNCTION("""COMPUTED_VALUE"""),"الزهرا")</f>
        <v>الزهرا</v>
      </c>
      <c r="D3271" s="5" t="str">
        <f>IFERROR(__xludf.DUMMYFUNCTION("""COMPUTED_VALUE"""),"بوشهر")</f>
        <v>بوشهر</v>
      </c>
      <c r="E3271" s="5" t="str">
        <f>IFERROR(__xludf.DUMMYFUNCTION("""COMPUTED_VALUE"""),"بندردیر")</f>
        <v>بندردیر</v>
      </c>
      <c r="F3271" s="5" t="str">
        <f>IFERROR(__xludf.DUMMYFUNCTION("""COMPUTED_VALUE"""),"خیابان شهید بهشتی📍")</f>
        <v>خیابان شهید بهشتی📍</v>
      </c>
      <c r="G3271" s="5"/>
      <c r="H3271" s="6" t="str">
        <f>IFERROR(__xludf.DUMMYFUNCTION("""COMPUTED_VALUE"""),"https://www.instagram.com/heyatozzahra313/")</f>
        <v>https://www.instagram.com/heyatozzahra313/</v>
      </c>
      <c r="I3271" s="5"/>
      <c r="J3271" s="5"/>
      <c r="K3271" s="5"/>
      <c r="L3271" s="6" t="str">
        <f>IFERROR(__xludf.DUMMYFUNCTION("""COMPUTED_VALUE"""),"https://www.aparat.com/heyatozzahraa")</f>
        <v>https://www.aparat.com/heyatozzahraa</v>
      </c>
      <c r="M3271" s="5"/>
      <c r="N3271" s="5"/>
      <c r="O3271" s="5"/>
      <c r="P3271" s="5"/>
      <c r="Q3271" s="5"/>
      <c r="R3271" s="5"/>
      <c r="S3271" s="5"/>
    </row>
    <row r="3272">
      <c r="A3272" s="5">
        <f>IFERROR(__xludf.DUMMYFUNCTION("""COMPUTED_VALUE"""),29879.0)</f>
        <v>29879</v>
      </c>
      <c r="B3272" s="5" t="str">
        <f>IFERROR(__xludf.DUMMYFUNCTION("""COMPUTED_VALUE"""),"هیأت")</f>
        <v>هیأت</v>
      </c>
      <c r="C3272" s="5" t="str">
        <f>IFERROR(__xludf.DUMMYFUNCTION("""COMPUTED_VALUE"""),"انصار الحسین (ع)")</f>
        <v>انصار الحسین (ع)</v>
      </c>
      <c r="D3272" s="5" t="str">
        <f>IFERROR(__xludf.DUMMYFUNCTION("""COMPUTED_VALUE"""),"بوشهر")</f>
        <v>بوشهر</v>
      </c>
      <c r="E3272" s="5" t="str">
        <f>IFERROR(__xludf.DUMMYFUNCTION("""COMPUTED_VALUE"""),"کنگان")</f>
        <v>کنگان</v>
      </c>
      <c r="F3272" s="5" t="str">
        <f>IFERROR(__xludf.DUMMYFUNCTION("""COMPUTED_VALUE"""),"انصار الحسین (ع)")</f>
        <v>انصار الحسین (ع)</v>
      </c>
      <c r="G3272" s="5"/>
      <c r="H3272" s="6" t="str">
        <f>IFERROR(__xludf.DUMMYFUNCTION("""COMPUTED_VALUE"""),"https://www.instagram.com/ansaralhosaine/")</f>
        <v>https://www.instagram.com/ansaralhosaine/</v>
      </c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</row>
    <row r="3273">
      <c r="A3273" s="5">
        <f>IFERROR(__xludf.DUMMYFUNCTION("""COMPUTED_VALUE"""),29876.0)</f>
        <v>29876</v>
      </c>
      <c r="B3273" s="5" t="str">
        <f>IFERROR(__xludf.DUMMYFUNCTION("""COMPUTED_VALUE"""),"هیأت")</f>
        <v>هیأت</v>
      </c>
      <c r="C3273" s="5" t="str">
        <f>IFERROR(__xludf.DUMMYFUNCTION("""COMPUTED_VALUE"""),"انصار المهدی (عج)")</f>
        <v>انصار المهدی (عج)</v>
      </c>
      <c r="D3273" s="5" t="str">
        <f>IFERROR(__xludf.DUMMYFUNCTION("""COMPUTED_VALUE"""),"بوشهر")</f>
        <v>بوشهر</v>
      </c>
      <c r="E3273" s="5" t="str">
        <f>IFERROR(__xludf.DUMMYFUNCTION("""COMPUTED_VALUE"""),"گناوه")</f>
        <v>گناوه</v>
      </c>
      <c r="F3273" s="5"/>
      <c r="G3273" s="5"/>
      <c r="H3273" s="5"/>
      <c r="I3273" s="5"/>
      <c r="J3273" s="5"/>
      <c r="K3273" s="5"/>
      <c r="L3273" s="6" t="str">
        <f>IFERROR(__xludf.DUMMYFUNCTION("""COMPUTED_VALUE"""),"https://www.aparat.com/ansar_almahdi_g")</f>
        <v>https://www.aparat.com/ansar_almahdi_g</v>
      </c>
      <c r="M3273" s="5"/>
      <c r="N3273" s="5"/>
      <c r="O3273" s="5"/>
      <c r="P3273" s="5"/>
      <c r="Q3273" s="5"/>
      <c r="R3273" s="5"/>
      <c r="S3273" s="5"/>
    </row>
    <row r="3274">
      <c r="A3274" s="5">
        <f>IFERROR(__xludf.DUMMYFUNCTION("""COMPUTED_VALUE"""),29867.0)</f>
        <v>29867</v>
      </c>
      <c r="B3274" s="5" t="str">
        <f>IFERROR(__xludf.DUMMYFUNCTION("""COMPUTED_VALUE"""),"هیأت")</f>
        <v>هیأت</v>
      </c>
      <c r="C3274" s="5" t="str">
        <f>IFERROR(__xludf.DUMMYFUNCTION("""COMPUTED_VALUE"""),"محبان حضرت مهدی شهر آبدان")</f>
        <v>محبان حضرت مهدی شهر آبدان</v>
      </c>
      <c r="D3274" s="5" t="str">
        <f>IFERROR(__xludf.DUMMYFUNCTION("""COMPUTED_VALUE"""),"بوشهر")</f>
        <v>بوشهر</v>
      </c>
      <c r="E3274" s="5" t="str">
        <f>IFERROR(__xludf.DUMMYFUNCTION("""COMPUTED_VALUE"""),"آبدان")</f>
        <v>آبدان</v>
      </c>
      <c r="F3274" s="5"/>
      <c r="G3274" s="5"/>
      <c r="H3274" s="6" t="str">
        <f>IFERROR(__xludf.DUMMYFUNCTION("""COMPUTED_VALUE"""),"https://www.instagram.com/mohebban_mahdi_313/")</f>
        <v>https://www.instagram.com/mohebban_mahdi_313/</v>
      </c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</row>
    <row r="3275">
      <c r="A3275" s="5">
        <f>IFERROR(__xludf.DUMMYFUNCTION("""COMPUTED_VALUE"""),29866.0)</f>
        <v>29866</v>
      </c>
      <c r="B3275" s="5" t="str">
        <f>IFERROR(__xludf.DUMMYFUNCTION("""COMPUTED_VALUE"""),"هیأت خواهران")</f>
        <v>هیأت خواهران</v>
      </c>
      <c r="C3275" s="5" t="str">
        <f>IFERROR(__xludf.DUMMYFUNCTION("""COMPUTED_VALUE"""),"الزهرا")</f>
        <v>الزهرا</v>
      </c>
      <c r="D3275" s="5" t="str">
        <f>IFERROR(__xludf.DUMMYFUNCTION("""COMPUTED_VALUE"""),"بوشهر")</f>
        <v>بوشهر</v>
      </c>
      <c r="E3275" s="5" t="str">
        <f>IFERROR(__xludf.DUMMYFUNCTION("""COMPUTED_VALUE"""),"چغادک")</f>
        <v>چغادک</v>
      </c>
      <c r="F3275" s="5"/>
      <c r="G3275" s="5"/>
      <c r="H3275" s="6" t="str">
        <f>IFERROR(__xludf.DUMMYFUNCTION("""COMPUTED_VALUE"""),"https://www.instagram.com/heiatalzahra.bu/")</f>
        <v>https://www.instagram.com/heiatalzahra.bu/</v>
      </c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</row>
    <row r="3276">
      <c r="A3276" s="5">
        <f>IFERROR(__xludf.DUMMYFUNCTION("""COMPUTED_VALUE"""),26958.0)</f>
        <v>26958</v>
      </c>
      <c r="B3276" s="5" t="str">
        <f>IFERROR(__xludf.DUMMYFUNCTION("""COMPUTED_VALUE"""),"هیأت")</f>
        <v>هیأت</v>
      </c>
      <c r="C3276" s="5" t="str">
        <f>IFERROR(__xludf.DUMMYFUNCTION("""COMPUTED_VALUE"""),"شهدای گمنام")</f>
        <v>شهدای گمنام</v>
      </c>
      <c r="D3276" s="5" t="str">
        <f>IFERROR(__xludf.DUMMYFUNCTION("""COMPUTED_VALUE"""),"بوشهر")</f>
        <v>بوشهر</v>
      </c>
      <c r="E3276" s="5" t="str">
        <f>IFERROR(__xludf.DUMMYFUNCTION("""COMPUTED_VALUE"""),"کنگان")</f>
        <v>کنگان</v>
      </c>
      <c r="F3276" s="5"/>
      <c r="G3276" s="5"/>
      <c r="H3276" s="6" t="str">
        <f>IFERROR(__xludf.DUMMYFUNCTION("""COMPUTED_VALUE"""),"https://www.instagram.com/heyat.shohadayegomnam/")</f>
        <v>https://www.instagram.com/heyat.shohadayegomnam/</v>
      </c>
      <c r="I3276" s="6" t="str">
        <f>IFERROR(__xludf.DUMMYFUNCTION("""COMPUTED_VALUE"""),"https://t.me/heyatshohadayegomnam")</f>
        <v>https://t.me/heyatshohadayegomnam</v>
      </c>
      <c r="J3276" s="6" t="str">
        <f>IFERROR(__xludf.DUMMYFUNCTION("""COMPUTED_VALUE"""),"https://eitaa.com/heyatshohadayegomnam")</f>
        <v>https://eitaa.com/heyatshohadayegomnam</v>
      </c>
      <c r="K3276" s="5"/>
      <c r="L3276" s="5"/>
      <c r="M3276" s="5"/>
      <c r="N3276" s="5"/>
      <c r="O3276" s="5"/>
      <c r="P3276" s="5"/>
      <c r="Q3276" s="5"/>
      <c r="R3276" s="5"/>
      <c r="S3276" s="5"/>
    </row>
    <row r="3277">
      <c r="A3277" s="5">
        <f>IFERROR(__xludf.DUMMYFUNCTION("""COMPUTED_VALUE"""),26326.0)</f>
        <v>26326</v>
      </c>
      <c r="B3277" s="5" t="str">
        <f>IFERROR(__xludf.DUMMYFUNCTION("""COMPUTED_VALUE"""),"هیأت")</f>
        <v>هیأت</v>
      </c>
      <c r="C3277" s="5" t="str">
        <f>IFERROR(__xludf.DUMMYFUNCTION("""COMPUTED_VALUE"""),"سائلین الزینب (س)")</f>
        <v>سائلین الزینب (س)</v>
      </c>
      <c r="D3277" s="5" t="str">
        <f>IFERROR(__xludf.DUMMYFUNCTION("""COMPUTED_VALUE"""),"بوشهر")</f>
        <v>بوشهر</v>
      </c>
      <c r="E3277" s="5" t="str">
        <f>IFERROR(__xludf.DUMMYFUNCTION("""COMPUTED_VALUE"""),"بوشهر")</f>
        <v>بوشهر</v>
      </c>
      <c r="F3277" s="5"/>
      <c r="G3277" s="5"/>
      <c r="H3277" s="6" t="str">
        <f>IFERROR(__xludf.DUMMYFUNCTION("""COMPUTED_VALUE"""),"https://www.instagram.com/saelinolzeynab69")</f>
        <v>https://www.instagram.com/saelinolzeynab69</v>
      </c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</row>
    <row r="3278">
      <c r="A3278" s="5">
        <f>IFERROR(__xludf.DUMMYFUNCTION("""COMPUTED_VALUE"""),23770.0)</f>
        <v>23770</v>
      </c>
      <c r="B3278" s="5" t="str">
        <f>IFERROR(__xludf.DUMMYFUNCTION("""COMPUTED_VALUE"""),"هیأت")</f>
        <v>هیأت</v>
      </c>
      <c r="C3278" s="5" t="str">
        <f>IFERROR(__xludf.DUMMYFUNCTION("""COMPUTED_VALUE"""),"رایه العباس / رهروان شهدا")</f>
        <v>رایه العباس / رهروان شهدا</v>
      </c>
      <c r="D3278" s="5" t="str">
        <f>IFERROR(__xludf.DUMMYFUNCTION("""COMPUTED_VALUE"""),"بوشهر")</f>
        <v>بوشهر</v>
      </c>
      <c r="E3278" s="5" t="str">
        <f>IFERROR(__xludf.DUMMYFUNCTION("""COMPUTED_VALUE"""),"بوشهر")</f>
        <v>بوشهر</v>
      </c>
      <c r="F3278" s="5"/>
      <c r="G3278" s="5"/>
      <c r="H3278" s="6" t="str">
        <f>IFERROR(__xludf.DUMMYFUNCTION("""COMPUTED_VALUE"""),"https://www.instagram.com/rayatolabbas128")</f>
        <v>https://www.instagram.com/rayatolabbas128</v>
      </c>
      <c r="I3278" s="6" t="str">
        <f>IFERROR(__xludf.DUMMYFUNCTION("""COMPUTED_VALUE"""),"https://t.me/rayatolabbas128")</f>
        <v>https://t.me/rayatolabbas128</v>
      </c>
      <c r="J3278" s="6" t="str">
        <f>IFERROR(__xludf.DUMMYFUNCTION("""COMPUTED_VALUE"""),"https://eitaa.com/rayatolabbas128")</f>
        <v>https://eitaa.com/rayatolabbas128</v>
      </c>
      <c r="K3278" s="5"/>
      <c r="L3278" s="5"/>
      <c r="M3278" s="5"/>
      <c r="N3278" s="5"/>
      <c r="O3278" s="5"/>
      <c r="P3278" s="5"/>
      <c r="Q3278" s="5"/>
      <c r="R3278" s="5"/>
      <c r="S3278" s="5"/>
    </row>
    <row r="3279">
      <c r="A3279" s="5">
        <f>IFERROR(__xludf.DUMMYFUNCTION("""COMPUTED_VALUE"""),23241.0)</f>
        <v>23241</v>
      </c>
      <c r="B3279" s="5" t="str">
        <f>IFERROR(__xludf.DUMMYFUNCTION("""COMPUTED_VALUE"""),"هیأت")</f>
        <v>هیأت</v>
      </c>
      <c r="C3279" s="5" t="str">
        <f>IFERROR(__xludf.DUMMYFUNCTION("""COMPUTED_VALUE"""),"منتظران ظهور (عج)")</f>
        <v>منتظران ظهور (عج)</v>
      </c>
      <c r="D3279" s="5" t="str">
        <f>IFERROR(__xludf.DUMMYFUNCTION("""COMPUTED_VALUE"""),"بوشهر")</f>
        <v>بوشهر</v>
      </c>
      <c r="E3279" s="5" t="str">
        <f>IFERROR(__xludf.DUMMYFUNCTION("""COMPUTED_VALUE"""),"دیلم")</f>
        <v>دیلم</v>
      </c>
      <c r="F3279" s="5"/>
      <c r="G3279" s="5"/>
      <c r="H3279" s="6" t="str">
        <f>IFERROR(__xludf.DUMMYFUNCTION("""COMPUTED_VALUE"""),"https://www.instagram.com/montazeranmahdi_bushehr/")</f>
        <v>https://www.instagram.com/montazeranmahdi_bushehr/</v>
      </c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</row>
    <row r="3280">
      <c r="A3280" s="5">
        <f>IFERROR(__xludf.DUMMYFUNCTION("""COMPUTED_VALUE"""),20823.0)</f>
        <v>20823</v>
      </c>
      <c r="B3280" s="5" t="str">
        <f>IFERROR(__xludf.DUMMYFUNCTION("""COMPUTED_VALUE"""),"هیأت خواهران")</f>
        <v>هیأت خواهران</v>
      </c>
      <c r="C3280" s="5" t="str">
        <f>IFERROR(__xludf.DUMMYFUNCTION("""COMPUTED_VALUE"""),"جنت العباس")</f>
        <v>جنت العباس</v>
      </c>
      <c r="D3280" s="5" t="str">
        <f>IFERROR(__xludf.DUMMYFUNCTION("""COMPUTED_VALUE"""),"بوشهر")</f>
        <v>بوشهر</v>
      </c>
      <c r="E3280" s="5" t="str">
        <f>IFERROR(__xludf.DUMMYFUNCTION("""COMPUTED_VALUE"""),"بوشهر")</f>
        <v>بوشهر</v>
      </c>
      <c r="F3280" s="5"/>
      <c r="G3280" s="5"/>
      <c r="H3280" s="6" t="str">
        <f>IFERROR(__xludf.DUMMYFUNCTION("""COMPUTED_VALUE"""),"https://www.instagram.com/janatolabbass_69/")</f>
        <v>https://www.instagram.com/janatolabbass_69/</v>
      </c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</row>
    <row r="3281">
      <c r="A3281" s="5">
        <f>IFERROR(__xludf.DUMMYFUNCTION("""COMPUTED_VALUE"""),20821.0)</f>
        <v>20821</v>
      </c>
      <c r="B3281" s="5" t="str">
        <f>IFERROR(__xludf.DUMMYFUNCTION("""COMPUTED_VALUE"""),"هیأت")</f>
        <v>هیأت</v>
      </c>
      <c r="C3281" s="5" t="str">
        <f>IFERROR(__xludf.DUMMYFUNCTION("""COMPUTED_VALUE"""),"لواء الزهرا (س)")</f>
        <v>لواء الزهرا (س)</v>
      </c>
      <c r="D3281" s="5" t="str">
        <f>IFERROR(__xludf.DUMMYFUNCTION("""COMPUTED_VALUE"""),"بوشهر")</f>
        <v>بوشهر</v>
      </c>
      <c r="E3281" s="5" t="str">
        <f>IFERROR(__xludf.DUMMYFUNCTION("""COMPUTED_VALUE"""),"کنگان")</f>
        <v>کنگان</v>
      </c>
      <c r="F3281" s="5"/>
      <c r="G3281" s="5"/>
      <c r="H3281" s="5"/>
      <c r="I3281" s="5"/>
      <c r="J3281" s="6" t="str">
        <f>IFERROR(__xludf.DUMMYFUNCTION("""COMPUTED_VALUE"""),"https://eitaa.com/levaolzahra")</f>
        <v>https://eitaa.com/levaolzahra</v>
      </c>
      <c r="K3281" s="5"/>
      <c r="L3281" s="5"/>
      <c r="M3281" s="5"/>
      <c r="N3281" s="5"/>
      <c r="O3281" s="5"/>
      <c r="P3281" s="5"/>
      <c r="Q3281" s="5"/>
      <c r="R3281" s="5"/>
      <c r="S3281" s="5"/>
    </row>
    <row r="3282">
      <c r="A3282" s="5">
        <f>IFERROR(__xludf.DUMMYFUNCTION("""COMPUTED_VALUE"""),20820.0)</f>
        <v>20820</v>
      </c>
      <c r="B3282" s="5" t="str">
        <f>IFERROR(__xludf.DUMMYFUNCTION("""COMPUTED_VALUE"""),"هیأت")</f>
        <v>هیأت</v>
      </c>
      <c r="C3282" s="5" t="str">
        <f>IFERROR(__xludf.DUMMYFUNCTION("""COMPUTED_VALUE"""),"مکتب الحسن (ع)")</f>
        <v>مکتب الحسن (ع)</v>
      </c>
      <c r="D3282" s="5" t="str">
        <f>IFERROR(__xludf.DUMMYFUNCTION("""COMPUTED_VALUE"""),"بوشهر")</f>
        <v>بوشهر</v>
      </c>
      <c r="E3282" s="5" t="str">
        <f>IFERROR(__xludf.DUMMYFUNCTION("""COMPUTED_VALUE"""),"بوشهر")</f>
        <v>بوشهر</v>
      </c>
      <c r="F3282" s="5"/>
      <c r="G3282" s="5"/>
      <c r="H3282" s="6" t="str">
        <f>IFERROR(__xludf.DUMMYFUNCTION("""COMPUTED_VALUE"""),"https://www.instagram.com/maktabalhasan118/")</f>
        <v>https://www.instagram.com/maktabalhasan118/</v>
      </c>
      <c r="I3282" s="6" t="str">
        <f>IFERROR(__xludf.DUMMYFUNCTION("""COMPUTED_VALUE"""),"https://t.me/maktabalhasan118")</f>
        <v>https://t.me/maktabalhasan118</v>
      </c>
      <c r="J3282" s="6" t="str">
        <f>IFERROR(__xludf.DUMMYFUNCTION("""COMPUTED_VALUE"""),"https://eitaa.com/s/maktabalhasn118")</f>
        <v>https://eitaa.com/s/maktabalhasn118</v>
      </c>
      <c r="K3282" s="5"/>
      <c r="L3282" s="5"/>
      <c r="M3282" s="5"/>
      <c r="N3282" s="5"/>
      <c r="O3282" s="5"/>
      <c r="P3282" s="5"/>
      <c r="Q3282" s="5"/>
      <c r="R3282" s="5"/>
      <c r="S3282" s="5"/>
    </row>
    <row r="3283">
      <c r="A3283" s="5">
        <f>IFERROR(__xludf.DUMMYFUNCTION("""COMPUTED_VALUE"""),19837.0)</f>
        <v>19837</v>
      </c>
      <c r="B3283" s="5" t="str">
        <f>IFERROR(__xludf.DUMMYFUNCTION("""COMPUTED_VALUE"""),"هیأت")</f>
        <v>هیأت</v>
      </c>
      <c r="C3283" s="5" t="str">
        <f>IFERROR(__xludf.DUMMYFUNCTION("""COMPUTED_VALUE"""),"محبین آل یاسین")</f>
        <v>محبین آل یاسین</v>
      </c>
      <c r="D3283" s="5" t="str">
        <f>IFERROR(__xludf.DUMMYFUNCTION("""COMPUTED_VALUE"""),"بوشهر")</f>
        <v>بوشهر</v>
      </c>
      <c r="E3283" s="5" t="str">
        <f>IFERROR(__xludf.DUMMYFUNCTION("""COMPUTED_VALUE"""),"بوشهر")</f>
        <v>بوشهر</v>
      </c>
      <c r="F3283" s="5"/>
      <c r="G3283" s="5"/>
      <c r="H3283" s="6" t="str">
        <f>IFERROR(__xludf.DUMMYFUNCTION("""COMPUTED_VALUE"""),"https://www.instagram.com/mohebbinalyasin162/")</f>
        <v>https://www.instagram.com/mohebbinalyasin162/</v>
      </c>
      <c r="I3283" s="5"/>
      <c r="J3283" s="5"/>
      <c r="K3283" s="5"/>
      <c r="L3283" s="6" t="str">
        <f>IFERROR(__xludf.DUMMYFUNCTION("""COMPUTED_VALUE"""),"https://www.aparat.com/Mohebbinalyasin162")</f>
        <v>https://www.aparat.com/Mohebbinalyasin162</v>
      </c>
      <c r="M3283" s="5"/>
      <c r="N3283" s="5"/>
      <c r="O3283" s="5"/>
      <c r="P3283" s="5"/>
      <c r="Q3283" s="5"/>
      <c r="R3283" s="5"/>
      <c r="S3283" s="5"/>
    </row>
    <row r="3284">
      <c r="A3284" s="5">
        <f>IFERROR(__xludf.DUMMYFUNCTION("""COMPUTED_VALUE"""),19835.0)</f>
        <v>19835</v>
      </c>
      <c r="B3284" s="5" t="str">
        <f>IFERROR(__xludf.DUMMYFUNCTION("""COMPUTED_VALUE"""),"هیأت")</f>
        <v>هیأت</v>
      </c>
      <c r="C3284" s="5" t="str">
        <f>IFERROR(__xludf.DUMMYFUNCTION("""COMPUTED_VALUE"""),"الرضا (ع)")</f>
        <v>الرضا (ع)</v>
      </c>
      <c r="D3284" s="5" t="str">
        <f>IFERROR(__xludf.DUMMYFUNCTION("""COMPUTED_VALUE"""),"بوشهر")</f>
        <v>بوشهر</v>
      </c>
      <c r="E3284" s="5" t="str">
        <f>IFERROR(__xludf.DUMMYFUNCTION("""COMPUTED_VALUE"""),"عالی‌شهر")</f>
        <v>عالی‌شهر</v>
      </c>
      <c r="F3284" s="5"/>
      <c r="G3284" s="5"/>
      <c r="H3284" s="6" t="str">
        <f>IFERROR(__xludf.DUMMYFUNCTION("""COMPUTED_VALUE"""),"https://www.instagram.com/heyatoreza_alsr/")</f>
        <v>https://www.instagram.com/heyatoreza_alsr/</v>
      </c>
      <c r="I3284" s="6" t="str">
        <f>IFERROR(__xludf.DUMMYFUNCTION("""COMPUTED_VALUE"""),"https://t.me/heyatoreza_alsr")</f>
        <v>https://t.me/heyatoreza_alsr</v>
      </c>
      <c r="J3284" s="6" t="str">
        <f>IFERROR(__xludf.DUMMYFUNCTION("""COMPUTED_VALUE"""),"https://eitaa.com/heyatoreza_alsr")</f>
        <v>https://eitaa.com/heyatoreza_alsr</v>
      </c>
      <c r="K3284" s="5"/>
      <c r="L3284" s="5"/>
      <c r="M3284" s="5"/>
      <c r="N3284" s="5"/>
      <c r="O3284" s="5"/>
      <c r="P3284" s="5"/>
      <c r="Q3284" s="5"/>
      <c r="R3284" s="5"/>
      <c r="S3284" s="5"/>
    </row>
    <row r="3285">
      <c r="A3285" s="5">
        <f>IFERROR(__xludf.DUMMYFUNCTION("""COMPUTED_VALUE"""),19833.0)</f>
        <v>19833</v>
      </c>
      <c r="B3285" s="5" t="str">
        <f>IFERROR(__xludf.DUMMYFUNCTION("""COMPUTED_VALUE"""),"هیأت")</f>
        <v>هیأت</v>
      </c>
      <c r="C3285" s="5" t="str">
        <f>IFERROR(__xludf.DUMMYFUNCTION("""COMPUTED_VALUE"""),"یا فاطمه الزهرا (س)")</f>
        <v>یا فاطمه الزهرا (س)</v>
      </c>
      <c r="D3285" s="5" t="str">
        <f>IFERROR(__xludf.DUMMYFUNCTION("""COMPUTED_VALUE"""),"بوشهر")</f>
        <v>بوشهر</v>
      </c>
      <c r="E3285" s="5" t="str">
        <f>IFERROR(__xludf.DUMMYFUNCTION("""COMPUTED_VALUE"""),"دیلم")</f>
        <v>دیلم</v>
      </c>
      <c r="F3285" s="5"/>
      <c r="G3285" s="5"/>
      <c r="H3285" s="6" t="str">
        <f>IFERROR(__xludf.DUMMYFUNCTION("""COMPUTED_VALUE"""),"https://www.instagram.com/heyatfatematazzahra/")</f>
        <v>https://www.instagram.com/heyatfatematazzahra/</v>
      </c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</row>
    <row r="3286">
      <c r="A3286" s="5"/>
      <c r="B3286" s="5" t="str">
        <f>IFERROR(__xludf.DUMMYFUNCTION("""COMPUTED_VALUE"""),"هیأت")</f>
        <v>هیأت</v>
      </c>
      <c r="C3286" s="5" t="str">
        <f>IFERROR(__xludf.DUMMYFUNCTION("""COMPUTED_VALUE"""),"ریحانه النبی")</f>
        <v>ریحانه النبی</v>
      </c>
      <c r="D3286" s="5" t="str">
        <f>IFERROR(__xludf.DUMMYFUNCTION("""COMPUTED_VALUE"""),"بوشهر")</f>
        <v>بوشهر</v>
      </c>
      <c r="E3286" s="5" t="str">
        <f>IFERROR(__xludf.DUMMYFUNCTION("""COMPUTED_VALUE"""),"بوشهر")</f>
        <v>بوشهر</v>
      </c>
      <c r="F3286" s="5"/>
      <c r="G3286" s="5"/>
      <c r="H3286" s="6" t="str">
        <f>IFERROR(__xludf.DUMMYFUNCTION("""COMPUTED_VALUE"""),"https://www.instagram.com/bachehaye_reyhane/")</f>
        <v>https://www.instagram.com/bachehaye_reyhane/</v>
      </c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</row>
    <row r="3287">
      <c r="A3287" s="5">
        <f>IFERROR(__xludf.DUMMYFUNCTION("""COMPUTED_VALUE"""),18079.0)</f>
        <v>18079</v>
      </c>
      <c r="B3287" s="5" t="str">
        <f>IFERROR(__xludf.DUMMYFUNCTION("""COMPUTED_VALUE"""),"هیأت")</f>
        <v>هیأت</v>
      </c>
      <c r="C3287" s="5" t="str">
        <f>IFERROR(__xludf.DUMMYFUNCTION("""COMPUTED_VALUE"""),"متوسلین حضرت زینب(س)")</f>
        <v>متوسلین حضرت زینب(س)</v>
      </c>
      <c r="D3287" s="5" t="str">
        <f>IFERROR(__xludf.DUMMYFUNCTION("""COMPUTED_VALUE"""),"بوشهر ")</f>
        <v>بوشهر </v>
      </c>
      <c r="E3287" s="5" t="str">
        <f>IFERROR(__xludf.DUMMYFUNCTION("""COMPUTED_VALUE"""),"کنگان")</f>
        <v>کنگان</v>
      </c>
      <c r="F3287" s="5"/>
      <c r="G3287" s="5"/>
      <c r="H3287" s="6" t="str">
        <f>IFERROR(__xludf.DUMMYFUNCTION("""COMPUTED_VALUE"""),"https://www.instagram.com/heiat_motevasllin/")</f>
        <v>https://www.instagram.com/heiat_motevasllin/</v>
      </c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</row>
    <row r="3288">
      <c r="A3288" s="5">
        <f>IFERROR(__xludf.DUMMYFUNCTION("""COMPUTED_VALUE"""),18078.0)</f>
        <v>18078</v>
      </c>
      <c r="B3288" s="5" t="str">
        <f>IFERROR(__xludf.DUMMYFUNCTION("""COMPUTED_VALUE"""),"هیأت")</f>
        <v>هیأت</v>
      </c>
      <c r="C3288" s="5" t="str">
        <f>IFERROR(__xludf.DUMMYFUNCTION("""COMPUTED_VALUE"""),"عشاق العباس(ع)")</f>
        <v>عشاق العباس(ع)</v>
      </c>
      <c r="D3288" s="5" t="str">
        <f>IFERROR(__xludf.DUMMYFUNCTION("""COMPUTED_VALUE"""),"بوشهر")</f>
        <v>بوشهر</v>
      </c>
      <c r="E3288" s="5" t="str">
        <f>IFERROR(__xludf.DUMMYFUNCTION("""COMPUTED_VALUE"""),"گناوه")</f>
        <v>گناوه</v>
      </c>
      <c r="F3288" s="5"/>
      <c r="G3288" s="5"/>
      <c r="H3288" s="6" t="str">
        <f>IFERROR(__xludf.DUMMYFUNCTION("""COMPUTED_VALUE"""),"https://www.instagram.com/oshagh.alabbas/")</f>
        <v>https://www.instagram.com/oshagh.alabbas/</v>
      </c>
      <c r="I3288" s="6" t="str">
        <f>IFERROR(__xludf.DUMMYFUNCTION("""COMPUTED_VALUE"""),"t.me/oshagh1388")</f>
        <v>t.me/oshagh1388</v>
      </c>
      <c r="J3288" s="6" t="str">
        <f>IFERROR(__xludf.DUMMYFUNCTION("""COMPUTED_VALUE"""),"eitaa.com/oshagh_88")</f>
        <v>eitaa.com/oshagh_88</v>
      </c>
      <c r="K3288" s="5"/>
      <c r="L3288" s="5"/>
      <c r="M3288" s="5"/>
      <c r="N3288" s="5"/>
      <c r="O3288" s="5"/>
      <c r="P3288" s="5"/>
      <c r="Q3288" s="5"/>
      <c r="R3288" s="5"/>
      <c r="S3288" s="5"/>
    </row>
    <row r="3289">
      <c r="A3289" s="5">
        <f>IFERROR(__xludf.DUMMYFUNCTION("""COMPUTED_VALUE"""),18077.0)</f>
        <v>18077</v>
      </c>
      <c r="B3289" s="5" t="str">
        <f>IFERROR(__xludf.DUMMYFUNCTION("""COMPUTED_VALUE"""),"هیأت")</f>
        <v>هیأت</v>
      </c>
      <c r="C3289" s="5" t="str">
        <f>IFERROR(__xludf.DUMMYFUNCTION("""COMPUTED_VALUE"""),"منتظران")</f>
        <v>منتظران</v>
      </c>
      <c r="D3289" s="5" t="str">
        <f>IFERROR(__xludf.DUMMYFUNCTION("""COMPUTED_VALUE"""),"بوشهر")</f>
        <v>بوشهر</v>
      </c>
      <c r="E3289" s="5" t="str">
        <f>IFERROR(__xludf.DUMMYFUNCTION("""COMPUTED_VALUE"""),"گناوه")</f>
        <v>گناوه</v>
      </c>
      <c r="F3289" s="5"/>
      <c r="G3289" s="5"/>
      <c r="H3289" s="6" t="str">
        <f>IFERROR(__xludf.DUMMYFUNCTION("""COMPUTED_VALUE"""),"https://www.instagram.com/heyat.montazeran.bg/")</f>
        <v>https://www.instagram.com/heyat.montazeran.bg/</v>
      </c>
      <c r="I3289" s="5"/>
      <c r="J3289" s="6" t="str">
        <f>IFERROR(__xludf.DUMMYFUNCTION("""COMPUTED_VALUE"""),"https://eitaa.com/montazeranBg")</f>
        <v>https://eitaa.com/montazeranBg</v>
      </c>
      <c r="K3289" s="5"/>
      <c r="L3289" s="5"/>
      <c r="M3289" s="5"/>
      <c r="N3289" s="5"/>
      <c r="O3289" s="5"/>
      <c r="P3289" s="5"/>
      <c r="Q3289" s="5"/>
      <c r="R3289" s="5"/>
      <c r="S3289" s="5"/>
    </row>
    <row r="3290">
      <c r="A3290" s="5"/>
      <c r="B3290" s="5" t="str">
        <f>IFERROR(__xludf.DUMMYFUNCTION("""COMPUTED_VALUE"""),"هیأت")</f>
        <v>هیأت</v>
      </c>
      <c r="C3290" s="5" t="str">
        <f>IFERROR(__xludf.DUMMYFUNCTION("""COMPUTED_VALUE"""),"هیأت محبین قمر بنی هاشم (ع)")</f>
        <v>هیأت محبین قمر بنی هاشم (ع)</v>
      </c>
      <c r="D3290" s="5" t="str">
        <f>IFERROR(__xludf.DUMMYFUNCTION("""COMPUTED_VALUE"""),"بوشهر")</f>
        <v>بوشهر</v>
      </c>
      <c r="E3290" s="5" t="str">
        <f>IFERROR(__xludf.DUMMYFUNCTION("""COMPUTED_VALUE"""),"بوشهر")</f>
        <v>بوشهر</v>
      </c>
      <c r="F3290" s="5"/>
      <c r="G3290" s="5"/>
      <c r="H3290" s="6" t="str">
        <f>IFERROR(__xludf.DUMMYFUNCTION("""COMPUTED_VALUE"""),"https://www.instagram.com/mohebin_qamar_bani_hashem/")</f>
        <v>https://www.instagram.com/mohebin_qamar_bani_hashem/</v>
      </c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</row>
    <row r="3291">
      <c r="A3291" s="5">
        <f>IFERROR(__xludf.DUMMYFUNCTION("""COMPUTED_VALUE"""),3368.0)</f>
        <v>3368</v>
      </c>
      <c r="B3291" s="5" t="str">
        <f>IFERROR(__xludf.DUMMYFUNCTION("""COMPUTED_VALUE"""),"هیأت خواهران")</f>
        <v>هیأت خواهران</v>
      </c>
      <c r="C3291" s="5" t="str">
        <f>IFERROR(__xludf.DUMMYFUNCTION("""COMPUTED_VALUE"""),"کفیل الزینب")</f>
        <v>کفیل الزینب</v>
      </c>
      <c r="D3291" s="5" t="str">
        <f>IFERROR(__xludf.DUMMYFUNCTION("""COMPUTED_VALUE"""),"بوشهر")</f>
        <v>بوشهر</v>
      </c>
      <c r="E3291" s="5" t="str">
        <f>IFERROR(__xludf.DUMMYFUNCTION("""COMPUTED_VALUE"""),"بوشهر")</f>
        <v>بوشهر</v>
      </c>
      <c r="F3291" s="5"/>
      <c r="G3291" s="5"/>
      <c r="H3291" s="6" t="str">
        <f>IFERROR(__xludf.DUMMYFUNCTION("""COMPUTED_VALUE"""),"https://www.instagram.com/kafil_o_zeynab128/")</f>
        <v>https://www.instagram.com/kafil_o_zeynab128/</v>
      </c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</row>
    <row r="3292">
      <c r="A3292" s="5">
        <f>IFERROR(__xludf.DUMMYFUNCTION("""COMPUTED_VALUE"""),3349.0)</f>
        <v>3349</v>
      </c>
      <c r="B3292" s="5" t="str">
        <f>IFERROR(__xludf.DUMMYFUNCTION("""COMPUTED_VALUE"""),"هیأت")</f>
        <v>هیأت</v>
      </c>
      <c r="C3292" s="5" t="str">
        <f>IFERROR(__xludf.DUMMYFUNCTION("""COMPUTED_VALUE"""),"کاظمیون")</f>
        <v>کاظمیون</v>
      </c>
      <c r="D3292" s="5" t="str">
        <f>IFERROR(__xludf.DUMMYFUNCTION("""COMPUTED_VALUE"""),"بوشهر")</f>
        <v>بوشهر</v>
      </c>
      <c r="E3292" s="5" t="str">
        <f>IFERROR(__xludf.DUMMYFUNCTION("""COMPUTED_VALUE"""),"خورموج")</f>
        <v>خورموج</v>
      </c>
      <c r="F3292" s="5"/>
      <c r="G3292" s="5"/>
      <c r="H3292" s="6" t="str">
        <f>IFERROR(__xludf.DUMMYFUNCTION("""COMPUTED_VALUE"""),"https://www.instagram.com/kazemiun/")</f>
        <v>https://www.instagram.com/kazemiun/</v>
      </c>
      <c r="I3292" s="6" t="str">
        <f>IFERROR(__xludf.DUMMYFUNCTION("""COMPUTED_VALUE"""),"https://t.me/kazemiun")</f>
        <v>https://t.me/kazemiun</v>
      </c>
      <c r="J3292" s="5"/>
      <c r="K3292" s="5"/>
      <c r="L3292" s="5"/>
      <c r="M3292" s="5"/>
      <c r="N3292" s="5"/>
      <c r="O3292" s="5"/>
      <c r="P3292" s="5"/>
      <c r="Q3292" s="5"/>
      <c r="R3292" s="5"/>
      <c r="S3292" s="5"/>
    </row>
    <row r="3293">
      <c r="A3293" s="5">
        <f>IFERROR(__xludf.DUMMYFUNCTION("""COMPUTED_VALUE"""),3320.0)</f>
        <v>3320</v>
      </c>
      <c r="B3293" s="5" t="str">
        <f>IFERROR(__xludf.DUMMYFUNCTION("""COMPUTED_VALUE"""),"هیأت")</f>
        <v>هیأت</v>
      </c>
      <c r="C3293" s="5" t="str">
        <f>IFERROR(__xludf.DUMMYFUNCTION("""COMPUTED_VALUE"""),"ابن الرضا (ع)")</f>
        <v>ابن الرضا (ع)</v>
      </c>
      <c r="D3293" s="5" t="str">
        <f>IFERROR(__xludf.DUMMYFUNCTION("""COMPUTED_VALUE"""),"بوشهر")</f>
        <v>بوشهر</v>
      </c>
      <c r="E3293" s="5" t="str">
        <f>IFERROR(__xludf.DUMMYFUNCTION("""COMPUTED_VALUE"""),"خورموج")</f>
        <v>خورموج</v>
      </c>
      <c r="F3293" s="5"/>
      <c r="G3293" s="5"/>
      <c r="H3293" s="6" t="str">
        <f>IFERROR(__xludf.DUMMYFUNCTION("""COMPUTED_VALUE"""),"https://www.instagram.com/heiatoreza.khormuj/")</f>
        <v>https://www.instagram.com/heiatoreza.khormuj/</v>
      </c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</row>
    <row r="3294">
      <c r="A3294" s="5">
        <f>IFERROR(__xludf.DUMMYFUNCTION("""COMPUTED_VALUE"""),3310.0)</f>
        <v>3310</v>
      </c>
      <c r="B3294" s="5" t="str">
        <f>IFERROR(__xludf.DUMMYFUNCTION("""COMPUTED_VALUE"""),"هیأت")</f>
        <v>هیأت</v>
      </c>
      <c r="C3294" s="5" t="str">
        <f>IFERROR(__xludf.DUMMYFUNCTION("""COMPUTED_VALUE"""),"محبین آل یاسین")</f>
        <v>محبین آل یاسین</v>
      </c>
      <c r="D3294" s="5" t="str">
        <f>IFERROR(__xludf.DUMMYFUNCTION("""COMPUTED_VALUE"""),"بوشهر")</f>
        <v>بوشهر</v>
      </c>
      <c r="E3294" s="5" t="str">
        <f>IFERROR(__xludf.DUMMYFUNCTION("""COMPUTED_VALUE"""),"آب پخش")</f>
        <v>آب پخش</v>
      </c>
      <c r="F3294" s="5" t="str">
        <f>IFERROR(__xludf.DUMMYFUNCTION("""COMPUTED_VALUE"""),"«استان بوشهر،آبـپخش،خیابان‌مــعلم؛مسـجد النـبی»")</f>
        <v>«استان بوشهر،آبـپخش،خیابان‌مــعلم؛مسـجد النـبی»</v>
      </c>
      <c r="G3294" s="5"/>
      <c r="H3294" s="6" t="str">
        <f>IFERROR(__xludf.DUMMYFUNCTION("""COMPUTED_VALUE"""),"https://www.instagram.com/aleyasin313.ir/")</f>
        <v>https://www.instagram.com/aleyasin313.ir/</v>
      </c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</row>
    <row r="3295">
      <c r="A3295" s="5">
        <f>IFERROR(__xludf.DUMMYFUNCTION("""COMPUTED_VALUE"""),3275.0)</f>
        <v>3275</v>
      </c>
      <c r="B3295" s="5" t="str">
        <f>IFERROR(__xludf.DUMMYFUNCTION("""COMPUTED_VALUE"""),"هیأت")</f>
        <v>هیأت</v>
      </c>
      <c r="C3295" s="5" t="str">
        <f>IFERROR(__xludf.DUMMYFUNCTION("""COMPUTED_VALUE"""),"فاطمیون")</f>
        <v>فاطمیون</v>
      </c>
      <c r="D3295" s="5" t="str">
        <f>IFERROR(__xludf.DUMMYFUNCTION("""COMPUTED_VALUE"""),"بوشهر")</f>
        <v>بوشهر</v>
      </c>
      <c r="E3295" s="5" t="str">
        <f>IFERROR(__xludf.DUMMYFUNCTION("""COMPUTED_VALUE"""),"عالی‌شهر")</f>
        <v>عالی‌شهر</v>
      </c>
      <c r="F3295" s="5"/>
      <c r="G3295" s="5"/>
      <c r="H3295" s="6" t="str">
        <f>IFERROR(__xludf.DUMMYFUNCTION("""COMPUTED_VALUE"""),"https://www.instagram.com/fatemiyoon_com/")</f>
        <v>https://www.instagram.com/fatemiyoon_com/</v>
      </c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</row>
    <row r="3296">
      <c r="A3296" s="5">
        <f>IFERROR(__xludf.DUMMYFUNCTION("""COMPUTED_VALUE"""),3143.0)</f>
        <v>3143</v>
      </c>
      <c r="B3296" s="5" t="str">
        <f>IFERROR(__xludf.DUMMYFUNCTION("""COMPUTED_VALUE"""),"هیأت")</f>
        <v>هیأت</v>
      </c>
      <c r="C3296" s="5" t="str">
        <f>IFERROR(__xludf.DUMMYFUNCTION("""COMPUTED_VALUE"""),"عاشقان حضرت ابوالفضل العباس (ع) روستای علی آباد")</f>
        <v>عاشقان حضرت ابوالفضل العباس (ع) روستای علی آباد</v>
      </c>
      <c r="D3296" s="5" t="str">
        <f>IFERROR(__xludf.DUMMYFUNCTION("""COMPUTED_VALUE"""),"بوشهر")</f>
        <v>بوشهر</v>
      </c>
      <c r="E3296" s="5" t="str">
        <f>IFERROR(__xludf.DUMMYFUNCTION("""COMPUTED_VALUE"""),"برازجان")</f>
        <v>برازجان</v>
      </c>
      <c r="F3296" s="5"/>
      <c r="G3296" s="5"/>
      <c r="H3296" s="6" t="str">
        <f>IFERROR(__xludf.DUMMYFUNCTION("""COMPUTED_VALUE"""),"https://www.instagram.com/asheghan133.ir/")</f>
        <v>https://www.instagram.com/asheghan133.ir/</v>
      </c>
      <c r="I3296" s="5"/>
      <c r="J3296" s="6" t="str">
        <f>IFERROR(__xludf.DUMMYFUNCTION("""COMPUTED_VALUE"""),"https://eitaa.com/asheghan133")</f>
        <v>https://eitaa.com/asheghan133</v>
      </c>
      <c r="K3296" s="5"/>
      <c r="L3296" s="5"/>
      <c r="M3296" s="5"/>
      <c r="N3296" s="5"/>
      <c r="O3296" s="5"/>
      <c r="P3296" s="5"/>
      <c r="Q3296" s="5"/>
      <c r="R3296" s="5"/>
      <c r="S3296" s="5"/>
    </row>
    <row r="3297">
      <c r="A3297" s="5"/>
      <c r="B3297" s="5" t="str">
        <f>IFERROR(__xludf.DUMMYFUNCTION("""COMPUTED_VALUE"""),"هیأت")</f>
        <v>هیأت</v>
      </c>
      <c r="C3297" s="5" t="str">
        <f>IFERROR(__xludf.DUMMYFUNCTION("""COMPUTED_VALUE"""),"خادم الشهدا")</f>
        <v>خادم الشهدا</v>
      </c>
      <c r="D3297" s="5" t="str">
        <f>IFERROR(__xludf.DUMMYFUNCTION("""COMPUTED_VALUE"""),"بوشهر")</f>
        <v>بوشهر</v>
      </c>
      <c r="E3297" s="5" t="str">
        <f>IFERROR(__xludf.DUMMYFUNCTION("""COMPUTED_VALUE"""),"بوشهر")</f>
        <v>بوشهر</v>
      </c>
      <c r="F3297" s="5"/>
      <c r="G3297" s="5"/>
      <c r="H3297" s="5"/>
      <c r="I3297" s="5"/>
      <c r="J3297" s="6" t="str">
        <f>IFERROR(__xludf.DUMMYFUNCTION("""COMPUTED_VALUE"""),"https://eitaa.com/panjshanbeshohadaei_bu")</f>
        <v>https://eitaa.com/panjshanbeshohadaei_bu</v>
      </c>
      <c r="K3297" s="5"/>
      <c r="L3297" s="5"/>
      <c r="M3297" s="5"/>
      <c r="N3297" s="5"/>
      <c r="O3297" s="5"/>
      <c r="P3297" s="5"/>
      <c r="Q3297" s="5"/>
      <c r="R3297" s="5"/>
      <c r="S3297" s="5"/>
    </row>
    <row r="3298">
      <c r="A3298" s="5">
        <f>IFERROR(__xludf.DUMMYFUNCTION("""COMPUTED_VALUE"""),12944.0)</f>
        <v>12944</v>
      </c>
      <c r="B3298" s="5" t="str">
        <f>IFERROR(__xludf.DUMMYFUNCTION("""COMPUTED_VALUE"""),"هیأت")</f>
        <v>هیأت</v>
      </c>
      <c r="C3298" s="5" t="str">
        <f>IFERROR(__xludf.DUMMYFUNCTION("""COMPUTED_VALUE"""),"پنج تن آل عبا (ع)")</f>
        <v>پنج تن آل عبا (ع)</v>
      </c>
      <c r="D3298" s="5" t="str">
        <f>IFERROR(__xludf.DUMMYFUNCTION("""COMPUTED_VALUE"""),"گلستان")</f>
        <v>گلستان</v>
      </c>
      <c r="E3298" s="5" t="str">
        <f>IFERROR(__xludf.DUMMYFUNCTION("""COMPUTED_VALUE"""),"گنبد کاووس")</f>
        <v>گنبد کاووس</v>
      </c>
      <c r="F3298" s="5" t="str">
        <f>IFERROR(__xludf.DUMMYFUNCTION("""COMPUTED_VALUE"""),"مڪان:فلاح، خ ابوذر ،میـدان مقدم، خ شهسوار حقیقی شمالی ،ڪوچه باقر یوسفی، پلاڪ۱۰")</f>
        <v>مڪان:فلاح، خ ابوذر ،میـدان مقدم، خ شهسوار حقیقی شمالی ،ڪوچه باقر یوسفی، پلاڪ۱۰</v>
      </c>
      <c r="G3298" s="5"/>
      <c r="H3298" s="6" t="str">
        <f>IFERROR(__xludf.DUMMYFUNCTION("""COMPUTED_VALUE"""),"https://www.instagram.com/heiate5tanealeaba")</f>
        <v>https://www.instagram.com/heiate5tanealeaba</v>
      </c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</row>
    <row r="3299">
      <c r="A3299" s="5">
        <f>IFERROR(__xludf.DUMMYFUNCTION("""COMPUTED_VALUE"""),12949.0)</f>
        <v>12949</v>
      </c>
      <c r="B3299" s="5" t="str">
        <f>IFERROR(__xludf.DUMMYFUNCTION("""COMPUTED_VALUE"""),"هیأت")</f>
        <v>هیأت</v>
      </c>
      <c r="C3299" s="5" t="str">
        <f>IFERROR(__xludf.DUMMYFUNCTION("""COMPUTED_VALUE"""),"محبان المهدی(عج)")</f>
        <v>محبان المهدی(عج)</v>
      </c>
      <c r="D3299" s="5" t="str">
        <f>IFERROR(__xludf.DUMMYFUNCTION("""COMPUTED_VALUE"""),"گلستان")</f>
        <v>گلستان</v>
      </c>
      <c r="E3299" s="5" t="str">
        <f>IFERROR(__xludf.DUMMYFUNCTION("""COMPUTED_VALUE"""),"گرگان")</f>
        <v>گرگان</v>
      </c>
      <c r="F3299" s="5"/>
      <c r="G3299" s="5"/>
      <c r="H3299" s="6" t="str">
        <f>IFERROR(__xludf.DUMMYFUNCTION("""COMPUTED_VALUE"""),"https://www.instagram.com/mohebbanolmahdi_s")</f>
        <v>https://www.instagram.com/mohebbanolmahdi_s</v>
      </c>
      <c r="I3299" s="6" t="str">
        <f>IFERROR(__xludf.DUMMYFUNCTION("""COMPUTED_VALUE"""),"https://t.me/mohebbanolmahdi_sooderjan")</f>
        <v>https://t.me/mohebbanolmahdi_sooderjan</v>
      </c>
      <c r="J3299" s="5"/>
      <c r="K3299" s="5"/>
      <c r="L3299" s="5"/>
      <c r="M3299" s="5"/>
      <c r="N3299" s="5"/>
      <c r="O3299" s="5"/>
      <c r="P3299" s="5"/>
      <c r="Q3299" s="5"/>
      <c r="R3299" s="5"/>
      <c r="S3299" s="5"/>
    </row>
    <row r="3300">
      <c r="A3300" s="5">
        <f>IFERROR(__xludf.DUMMYFUNCTION("""COMPUTED_VALUE"""),12953.0)</f>
        <v>12953</v>
      </c>
      <c r="B3300" s="5" t="str">
        <f>IFERROR(__xludf.DUMMYFUNCTION("""COMPUTED_VALUE"""),"هیأت")</f>
        <v>هیأت</v>
      </c>
      <c r="C3300" s="5" t="str">
        <f>IFERROR(__xludf.DUMMYFUNCTION("""COMPUTED_VALUE"""),"عشاق الرقیه (س)")</f>
        <v>عشاق الرقیه (س)</v>
      </c>
      <c r="D3300" s="5" t="str">
        <f>IFERROR(__xludf.DUMMYFUNCTION("""COMPUTED_VALUE"""),"گلستان")</f>
        <v>گلستان</v>
      </c>
      <c r="E3300" s="5" t="str">
        <f>IFERROR(__xludf.DUMMYFUNCTION("""COMPUTED_VALUE"""),"گرگان")</f>
        <v>گرگان</v>
      </c>
      <c r="F3300" s="5"/>
      <c r="G3300" s="5"/>
      <c r="H3300" s="6" t="str">
        <f>IFERROR(__xludf.DUMMYFUNCTION("""COMPUTED_VALUE"""),"https://www.instagram.com/oshagh_roghaye315")</f>
        <v>https://www.instagram.com/oshagh_roghaye315</v>
      </c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</row>
    <row r="3301">
      <c r="A3301" s="5">
        <f>IFERROR(__xludf.DUMMYFUNCTION("""COMPUTED_VALUE"""),12978.0)</f>
        <v>12978</v>
      </c>
      <c r="B3301" s="5" t="str">
        <f>IFERROR(__xludf.DUMMYFUNCTION("""COMPUTED_VALUE"""),"هیأت")</f>
        <v>هیأت</v>
      </c>
      <c r="C3301" s="5" t="str">
        <f>IFERROR(__xludf.DUMMYFUNCTION("""COMPUTED_VALUE"""),"محبان حضرت علی اکبر(ع)")</f>
        <v>محبان حضرت علی اکبر(ع)</v>
      </c>
      <c r="D3301" s="5" t="str">
        <f>IFERROR(__xludf.DUMMYFUNCTION("""COMPUTED_VALUE"""),"گلستان")</f>
        <v>گلستان</v>
      </c>
      <c r="E3301" s="5" t="str">
        <f>IFERROR(__xludf.DUMMYFUNCTION("""COMPUTED_VALUE"""),"کلاله")</f>
        <v>کلاله</v>
      </c>
      <c r="F3301" s="5"/>
      <c r="G3301" s="5"/>
      <c r="H3301" s="6" t="str">
        <f>IFERROR(__xludf.DUMMYFUNCTION("""COMPUTED_VALUE"""),"https://www.instagram.com/heyat_moheban_333")</f>
        <v>https://www.instagram.com/heyat_moheban_333</v>
      </c>
      <c r="I3301" s="5"/>
      <c r="J3301" s="5" t="str">
        <f>IFERROR(__xludf.DUMMYFUNCTION("""COMPUTED_VALUE"""),"@heyat_moheban_333")</f>
        <v>@heyat_moheban_333</v>
      </c>
      <c r="K3301" s="5"/>
      <c r="L3301" s="5"/>
      <c r="M3301" s="5"/>
      <c r="N3301" s="5"/>
      <c r="O3301" s="5"/>
      <c r="P3301" s="5"/>
      <c r="Q3301" s="5"/>
      <c r="R3301" s="5"/>
      <c r="S3301" s="5"/>
    </row>
    <row r="3302">
      <c r="A3302" s="5">
        <f>IFERROR(__xludf.DUMMYFUNCTION("""COMPUTED_VALUE"""),12987.0)</f>
        <v>12987</v>
      </c>
      <c r="B3302" s="5" t="str">
        <f>IFERROR(__xludf.DUMMYFUNCTION("""COMPUTED_VALUE"""),"هیأت")</f>
        <v>هیأت</v>
      </c>
      <c r="C3302" s="5" t="str">
        <f>IFERROR(__xludf.DUMMYFUNCTION("""COMPUTED_VALUE"""),"بین الحرمین (مهدیه کشتیرانی)")</f>
        <v>بین الحرمین (مهدیه کشتیرانی)</v>
      </c>
      <c r="D3302" s="5" t="str">
        <f>IFERROR(__xludf.DUMMYFUNCTION("""COMPUTED_VALUE"""),"گلستان")</f>
        <v>گلستان</v>
      </c>
      <c r="E3302" s="5" t="str">
        <f>IFERROR(__xludf.DUMMYFUNCTION("""COMPUTED_VALUE"""),"بندرگز")</f>
        <v>بندرگز</v>
      </c>
      <c r="F3302" s="5"/>
      <c r="G3302" s="5">
        <f>IFERROR(__xludf.DUMMYFUNCTION("""COMPUTED_VALUE"""),1.0)</f>
        <v>1</v>
      </c>
      <c r="H3302" s="6" t="str">
        <f>IFERROR(__xludf.DUMMYFUNCTION("""COMPUTED_VALUE"""),"https://www.instagram.com/heiat_beinolharamein110")</f>
        <v>https://www.instagram.com/heiat_beinolharamein110</v>
      </c>
      <c r="I3302" s="6" t="str">
        <f>IFERROR(__xludf.DUMMYFUNCTION("""COMPUTED_VALUE"""),"t.me/heiat_bein_ol_harameni_110")</f>
        <v>t.me/heiat_bein_ol_harameni_110</v>
      </c>
      <c r="J3302" s="5"/>
      <c r="K3302" s="5"/>
      <c r="L3302" s="5"/>
      <c r="M3302" s="5"/>
      <c r="N3302" s="5"/>
      <c r="O3302" s="5"/>
      <c r="P3302" s="5"/>
      <c r="Q3302" s="5"/>
      <c r="R3302" s="5"/>
      <c r="S3302" s="5"/>
    </row>
    <row r="3303">
      <c r="A3303" s="5">
        <f>IFERROR(__xludf.DUMMYFUNCTION("""COMPUTED_VALUE"""),13002.0)</f>
        <v>13002</v>
      </c>
      <c r="B3303" s="5" t="str">
        <f>IFERROR(__xludf.DUMMYFUNCTION("""COMPUTED_VALUE"""),"هیأت")</f>
        <v>هیأت</v>
      </c>
      <c r="C3303" s="5" t="str">
        <f>IFERROR(__xludf.DUMMYFUNCTION("""COMPUTED_VALUE"""),"مسجد الاقصی")</f>
        <v>مسجد الاقصی</v>
      </c>
      <c r="D3303" s="5" t="str">
        <f>IFERROR(__xludf.DUMMYFUNCTION("""COMPUTED_VALUE"""),"گلستان")</f>
        <v>گلستان</v>
      </c>
      <c r="E3303" s="5" t="str">
        <f>IFERROR(__xludf.DUMMYFUNCTION("""COMPUTED_VALUE"""),"گرگان")</f>
        <v>گرگان</v>
      </c>
      <c r="F3303" s="5"/>
      <c r="G3303" s="5"/>
      <c r="H3303" s="6" t="str">
        <f>IFERROR(__xludf.DUMMYFUNCTION("""COMPUTED_VALUE"""),"https://www.instagram.com/masjed_aghsa_gorgan")</f>
        <v>https://www.instagram.com/masjed_aghsa_gorgan</v>
      </c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</row>
    <row r="3304">
      <c r="A3304" s="5">
        <f>IFERROR(__xludf.DUMMYFUNCTION("""COMPUTED_VALUE"""),13009.0)</f>
        <v>13009</v>
      </c>
      <c r="B3304" s="5" t="str">
        <f>IFERROR(__xludf.DUMMYFUNCTION("""COMPUTED_VALUE"""),"هیأت")</f>
        <v>هیأت</v>
      </c>
      <c r="C3304" s="5" t="str">
        <f>IFERROR(__xludf.DUMMYFUNCTION("""COMPUTED_VALUE"""),"صاحب الزمان(عج)")</f>
        <v>صاحب الزمان(عج)</v>
      </c>
      <c r="D3304" s="5" t="str">
        <f>IFERROR(__xludf.DUMMYFUNCTION("""COMPUTED_VALUE"""),"گلستان")</f>
        <v>گلستان</v>
      </c>
      <c r="E3304" s="5" t="str">
        <f>IFERROR(__xludf.DUMMYFUNCTION("""COMPUTED_VALUE"""),"گرگان")</f>
        <v>گرگان</v>
      </c>
      <c r="F3304" s="5"/>
      <c r="G3304" s="5"/>
      <c r="H3304" s="6" t="str">
        <f>IFERROR(__xludf.DUMMYFUNCTION("""COMPUTED_VALUE"""),"https://www.instagram.com/heyat_saheb_zaman")</f>
        <v>https://www.instagram.com/heyat_saheb_zaman</v>
      </c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</row>
    <row r="3305">
      <c r="A3305" s="5">
        <f>IFERROR(__xludf.DUMMYFUNCTION("""COMPUTED_VALUE"""),13019.0)</f>
        <v>13019</v>
      </c>
      <c r="B3305" s="5" t="str">
        <f>IFERROR(__xludf.DUMMYFUNCTION("""COMPUTED_VALUE"""),"هیأت")</f>
        <v>هیأت</v>
      </c>
      <c r="C3305" s="5" t="str">
        <f>IFERROR(__xludf.DUMMYFUNCTION("""COMPUTED_VALUE"""),"فدک الزهرا(س)")</f>
        <v>فدک الزهرا(س)</v>
      </c>
      <c r="D3305" s="5" t="str">
        <f>IFERROR(__xludf.DUMMYFUNCTION("""COMPUTED_VALUE"""),"گلستان")</f>
        <v>گلستان</v>
      </c>
      <c r="E3305" s="5" t="str">
        <f>IFERROR(__xludf.DUMMYFUNCTION("""COMPUTED_VALUE"""),"کلاله")</f>
        <v>کلاله</v>
      </c>
      <c r="F3305" s="5"/>
      <c r="G3305" s="5">
        <f>IFERROR(__xludf.DUMMYFUNCTION("""COMPUTED_VALUE"""),1.0)</f>
        <v>1</v>
      </c>
      <c r="H3305" s="6" t="str">
        <f>IFERROR(__xludf.DUMMYFUNCTION("""COMPUTED_VALUE"""),"https://www.instagram.com/kalaleh.heyat")</f>
        <v>https://www.instagram.com/kalaleh.heyat</v>
      </c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</row>
    <row r="3306">
      <c r="A3306" s="5">
        <f>IFERROR(__xludf.DUMMYFUNCTION("""COMPUTED_VALUE"""),13039.0)</f>
        <v>13039</v>
      </c>
      <c r="B3306" s="5" t="str">
        <f>IFERROR(__xludf.DUMMYFUNCTION("""COMPUTED_VALUE"""),"مسجد جامع")</f>
        <v>مسجد جامع</v>
      </c>
      <c r="C3306" s="5" t="str">
        <f>IFERROR(__xludf.DUMMYFUNCTION("""COMPUTED_VALUE"""),"علی بن ابیطالب _ بیت الزهرا (س)")</f>
        <v>علی بن ابیطالب _ بیت الزهرا (س)</v>
      </c>
      <c r="D3306" s="5" t="str">
        <f>IFERROR(__xludf.DUMMYFUNCTION("""COMPUTED_VALUE"""),"گلستان")</f>
        <v>گلستان</v>
      </c>
      <c r="E3306" s="5" t="str">
        <f>IFERROR(__xludf.DUMMYFUNCTION("""COMPUTED_VALUE"""),"گرگان")</f>
        <v>گرگان</v>
      </c>
      <c r="F3306" s="5"/>
      <c r="G3306" s="5"/>
      <c r="H3306" s="5"/>
      <c r="I3306" s="6" t="str">
        <f>IFERROR(__xludf.DUMMYFUNCTION("""COMPUTED_VALUE"""),"https://t.me/bytozzahra")</f>
        <v>https://t.me/bytozzahra</v>
      </c>
      <c r="J3306" s="5"/>
      <c r="K3306" s="5"/>
      <c r="L3306" s="5"/>
      <c r="M3306" s="5"/>
      <c r="N3306" s="5"/>
      <c r="O3306" s="5"/>
      <c r="P3306" s="5"/>
      <c r="Q3306" s="5"/>
      <c r="R3306" s="5"/>
      <c r="S3306" s="5"/>
    </row>
    <row r="3307">
      <c r="A3307" s="5">
        <f>IFERROR(__xludf.DUMMYFUNCTION("""COMPUTED_VALUE"""),13054.0)</f>
        <v>13054</v>
      </c>
      <c r="B3307" s="5" t="str">
        <f>IFERROR(__xludf.DUMMYFUNCTION("""COMPUTED_VALUE"""),"هیأت")</f>
        <v>هیأت</v>
      </c>
      <c r="C3307" s="5" t="str">
        <f>IFERROR(__xludf.DUMMYFUNCTION("""COMPUTED_VALUE"""),"منتظران قائم(عج) (مسجد صاحب الزمان(عج))")</f>
        <v>منتظران قائم(عج) (مسجد صاحب الزمان(عج))</v>
      </c>
      <c r="D3307" s="5" t="str">
        <f>IFERROR(__xludf.DUMMYFUNCTION("""COMPUTED_VALUE"""),"گلستان")</f>
        <v>گلستان</v>
      </c>
      <c r="E3307" s="5" t="str">
        <f>IFERROR(__xludf.DUMMYFUNCTION("""COMPUTED_VALUE"""),"مینودشت")</f>
        <v>مینودشت</v>
      </c>
      <c r="F3307" s="5" t="str">
        <f>IFERROR(__xludf.DUMMYFUNCTION("""COMPUTED_VALUE"""),"خیابان فردوسی 5 علامت پرچم")</f>
        <v>خیابان فردوسی 5 علامت پرچم</v>
      </c>
      <c r="G3307" s="5"/>
      <c r="H3307" s="6" t="str">
        <f>IFERROR(__xludf.DUMMYFUNCTION("""COMPUTED_VALUE"""),"https://www.instagram.com/montazeringhaem313")</f>
        <v>https://www.instagram.com/montazeringhaem313</v>
      </c>
      <c r="I3307" s="5"/>
      <c r="J3307" s="5"/>
      <c r="K3307" s="5"/>
      <c r="L3307" s="5"/>
      <c r="M3307" s="5"/>
      <c r="N3307" s="5" t="str">
        <f>IFERROR(__xludf.DUMMYFUNCTION("""COMPUTED_VALUE"""),"هفتگی و مناسبتی")</f>
        <v>هفتگی و مناسبتی</v>
      </c>
      <c r="O3307" s="5"/>
      <c r="P3307" s="5"/>
      <c r="Q3307" s="5"/>
      <c r="R3307" s="5"/>
      <c r="S3307" s="5"/>
    </row>
    <row r="3308">
      <c r="A3308" s="5">
        <f>IFERROR(__xludf.DUMMYFUNCTION("""COMPUTED_VALUE"""),13056.0)</f>
        <v>13056</v>
      </c>
      <c r="B3308" s="5" t="str">
        <f>IFERROR(__xludf.DUMMYFUNCTION("""COMPUTED_VALUE"""),"هیأت")</f>
        <v>هیأت</v>
      </c>
      <c r="C3308" s="5" t="str">
        <f>IFERROR(__xludf.DUMMYFUNCTION("""COMPUTED_VALUE"""),"فارس الحجاز")</f>
        <v>فارس الحجاز</v>
      </c>
      <c r="D3308" s="5" t="str">
        <f>IFERROR(__xludf.DUMMYFUNCTION("""COMPUTED_VALUE"""),"گلستان")</f>
        <v>گلستان</v>
      </c>
      <c r="E3308" s="5" t="str">
        <f>IFERROR(__xludf.DUMMYFUNCTION("""COMPUTED_VALUE"""),"گرگان")</f>
        <v>گرگان</v>
      </c>
      <c r="F3308" s="5"/>
      <c r="G3308" s="5"/>
      <c r="H3308" s="6" t="str">
        <f>IFERROR(__xludf.DUMMYFUNCTION("""COMPUTED_VALUE"""),"https://www.instagram.com/h_faresalhejaz_gorgan")</f>
        <v>https://www.instagram.com/h_faresalhejaz_gorgan</v>
      </c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</row>
    <row r="3309">
      <c r="A3309" s="5">
        <f>IFERROR(__xludf.DUMMYFUNCTION("""COMPUTED_VALUE"""),13059.0)</f>
        <v>13059</v>
      </c>
      <c r="B3309" s="5" t="str">
        <f>IFERROR(__xludf.DUMMYFUNCTION("""COMPUTED_VALUE"""),"هیأت")</f>
        <v>هیأت</v>
      </c>
      <c r="C3309" s="5" t="str">
        <f>IFERROR(__xludf.DUMMYFUNCTION("""COMPUTED_VALUE"""),"مسجد امام خمینی(ره)")</f>
        <v>مسجد امام خمینی(ره)</v>
      </c>
      <c r="D3309" s="5" t="str">
        <f>IFERROR(__xludf.DUMMYFUNCTION("""COMPUTED_VALUE"""),"گلستان")</f>
        <v>گلستان</v>
      </c>
      <c r="E3309" s="5" t="str">
        <f>IFERROR(__xludf.DUMMYFUNCTION("""COMPUTED_VALUE"""),"گرگان")</f>
        <v>گرگان</v>
      </c>
      <c r="F3309" s="5"/>
      <c r="G3309" s="5"/>
      <c r="H3309" s="6" t="str">
        <f>IFERROR(__xludf.DUMMYFUNCTION("""COMPUTED_VALUE"""),"https://www.instagram.com/masjed_emam_khomeini/")</f>
        <v>https://www.instagram.com/masjed_emam_khomeini/</v>
      </c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</row>
    <row r="3310">
      <c r="A3310" s="5">
        <f>IFERROR(__xludf.DUMMYFUNCTION("""COMPUTED_VALUE"""),13074.0)</f>
        <v>13074</v>
      </c>
      <c r="B3310" s="5" t="str">
        <f>IFERROR(__xludf.DUMMYFUNCTION("""COMPUTED_VALUE"""),"هیأت")</f>
        <v>هیأت</v>
      </c>
      <c r="C3310" s="5" t="str">
        <f>IFERROR(__xludf.DUMMYFUNCTION("""COMPUTED_VALUE"""),"ولی عصر(عج)")</f>
        <v>ولی عصر(عج)</v>
      </c>
      <c r="D3310" s="5" t="str">
        <f>IFERROR(__xludf.DUMMYFUNCTION("""COMPUTED_VALUE"""),"گلستان")</f>
        <v>گلستان</v>
      </c>
      <c r="E3310" s="5" t="str">
        <f>IFERROR(__xludf.DUMMYFUNCTION("""COMPUTED_VALUE"""),"گرگان")</f>
        <v>گرگان</v>
      </c>
      <c r="F3310" s="5"/>
      <c r="G3310" s="5">
        <f>IFERROR(__xludf.DUMMYFUNCTION("""COMPUTED_VALUE"""),1.0)</f>
        <v>1</v>
      </c>
      <c r="H3310" s="6" t="str">
        <f>IFERROR(__xludf.DUMMYFUNCTION("""COMPUTED_VALUE"""),"https://www.instagram.com/khademinemamasr")</f>
        <v>https://www.instagram.com/khademinemamasr</v>
      </c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</row>
    <row r="3311">
      <c r="A3311" s="5">
        <f>IFERROR(__xludf.DUMMYFUNCTION("""COMPUTED_VALUE"""),13081.0)</f>
        <v>13081</v>
      </c>
      <c r="B3311" s="5" t="str">
        <f>IFERROR(__xludf.DUMMYFUNCTION("""COMPUTED_VALUE"""),"هیأت")</f>
        <v>هیأت</v>
      </c>
      <c r="C3311" s="5" t="str">
        <f>IFERROR(__xludf.DUMMYFUNCTION("""COMPUTED_VALUE"""),"بین الحرمین")</f>
        <v>بین الحرمین</v>
      </c>
      <c r="D3311" s="5" t="str">
        <f>IFERROR(__xludf.DUMMYFUNCTION("""COMPUTED_VALUE"""),"گلستان")</f>
        <v>گلستان</v>
      </c>
      <c r="E3311" s="5" t="str">
        <f>IFERROR(__xludf.DUMMYFUNCTION("""COMPUTED_VALUE"""),"کردکوی")</f>
        <v>کردکوی</v>
      </c>
      <c r="F3311" s="5"/>
      <c r="G3311" s="5">
        <f>IFERROR(__xludf.DUMMYFUNCTION("""COMPUTED_VALUE"""),1.0)</f>
        <v>1</v>
      </c>
      <c r="H3311" s="6" t="str">
        <f>IFERROR(__xludf.DUMMYFUNCTION("""COMPUTED_VALUE"""),"https://www.instagram.com/beynolharmeyn_kordkoy")</f>
        <v>https://www.instagram.com/beynolharmeyn_kordkoy</v>
      </c>
      <c r="I3311" s="6" t="str">
        <f>IFERROR(__xludf.DUMMYFUNCTION("""COMPUTED_VALUE"""),"t.me/beynolharmeyn_kordkoy")</f>
        <v>t.me/beynolharmeyn_kordkoy</v>
      </c>
      <c r="J3311" s="5"/>
      <c r="K3311" s="5"/>
      <c r="L3311" s="5"/>
      <c r="M3311" s="5"/>
      <c r="N3311" s="5"/>
      <c r="O3311" s="5"/>
      <c r="P3311" s="5"/>
      <c r="Q3311" s="5"/>
      <c r="R3311" s="5"/>
      <c r="S3311" s="5"/>
    </row>
    <row r="3312">
      <c r="A3312" s="5">
        <f>IFERROR(__xludf.DUMMYFUNCTION("""COMPUTED_VALUE"""),13099.0)</f>
        <v>13099</v>
      </c>
      <c r="B3312" s="5" t="str">
        <f>IFERROR(__xludf.DUMMYFUNCTION("""COMPUTED_VALUE"""),"هیأت")</f>
        <v>هیأت</v>
      </c>
      <c r="C3312" s="5" t="str">
        <f>IFERROR(__xludf.DUMMYFUNCTION("""COMPUTED_VALUE"""),"متوسلین اباعبدالله الحسین(ع) / جوانان کوی سجادیه")</f>
        <v>متوسلین اباعبدالله الحسین(ع) / جوانان کوی سجادیه</v>
      </c>
      <c r="D3312" s="5" t="str">
        <f>IFERROR(__xludf.DUMMYFUNCTION("""COMPUTED_VALUE"""),"گلستان")</f>
        <v>گلستان</v>
      </c>
      <c r="E3312" s="5" t="str">
        <f>IFERROR(__xludf.DUMMYFUNCTION("""COMPUTED_VALUE"""),"گرگان")</f>
        <v>گرگان</v>
      </c>
      <c r="F3312" s="5"/>
      <c r="G3312" s="5"/>
      <c r="H3312" s="6" t="str">
        <f>IFERROR(__xludf.DUMMYFUNCTION("""COMPUTED_VALUE"""),"https://www.instagram.com/javanan_sajadieh")</f>
        <v>https://www.instagram.com/javanan_sajadieh</v>
      </c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</row>
    <row r="3313">
      <c r="A3313" s="5">
        <f>IFERROR(__xludf.DUMMYFUNCTION("""COMPUTED_VALUE"""),13112.0)</f>
        <v>13112</v>
      </c>
      <c r="B3313" s="5" t="str">
        <f>IFERROR(__xludf.DUMMYFUNCTION("""COMPUTED_VALUE"""),"هیأت")</f>
        <v>هیأت</v>
      </c>
      <c r="C3313" s="5" t="str">
        <f>IFERROR(__xludf.DUMMYFUNCTION("""COMPUTED_VALUE"""),"ابوالفضل العباس(ع) (بسیجیان روستای گز)")</f>
        <v>ابوالفضل العباس(ع) (بسیجیان روستای گز)</v>
      </c>
      <c r="D3313" s="5" t="str">
        <f>IFERROR(__xludf.DUMMYFUNCTION("""COMPUTED_VALUE"""),"گلستان")</f>
        <v>گلستان</v>
      </c>
      <c r="E3313" s="5" t="str">
        <f>IFERROR(__xludf.DUMMYFUNCTION("""COMPUTED_VALUE"""),"بندرگز")</f>
        <v>بندرگز</v>
      </c>
      <c r="F3313" s="5" t="str">
        <f>IFERROR(__xludf.DUMMYFUNCTION("""COMPUTED_VALUE"""),"بندرگز، گزشرقی، پایگاه مقاومت بسیج امام حسن مجتبیٰ(ع)")</f>
        <v>بندرگز، گزشرقی، پایگاه مقاومت بسیج امام حسن مجتبیٰ(ع)</v>
      </c>
      <c r="G3313" s="5">
        <f>IFERROR(__xludf.DUMMYFUNCTION("""COMPUTED_VALUE"""),1.0)</f>
        <v>1</v>
      </c>
      <c r="H3313" s="6" t="str">
        <f>IFERROR(__xludf.DUMMYFUNCTION("""COMPUTED_VALUE"""),"https://www.instagram.com/heyat_al_abbas")</f>
        <v>https://www.instagram.com/heyat_al_abbas</v>
      </c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</row>
    <row r="3314">
      <c r="A3314" s="5">
        <f>IFERROR(__xludf.DUMMYFUNCTION("""COMPUTED_VALUE"""),13120.0)</f>
        <v>13120</v>
      </c>
      <c r="B3314" s="5" t="str">
        <f>IFERROR(__xludf.DUMMYFUNCTION("""COMPUTED_VALUE"""),"هیأت")</f>
        <v>هیأت</v>
      </c>
      <c r="C3314" s="5" t="str">
        <f>IFERROR(__xludf.DUMMYFUNCTION("""COMPUTED_VALUE"""),"عشاق الزهرا(س)")</f>
        <v>عشاق الزهرا(س)</v>
      </c>
      <c r="D3314" s="5" t="str">
        <f>IFERROR(__xludf.DUMMYFUNCTION("""COMPUTED_VALUE"""),"گلستان")</f>
        <v>گلستان</v>
      </c>
      <c r="E3314" s="5" t="str">
        <f>IFERROR(__xludf.DUMMYFUNCTION("""COMPUTED_VALUE"""),"گرگان")</f>
        <v>گرگان</v>
      </c>
      <c r="F3314" s="5"/>
      <c r="G3314" s="5"/>
      <c r="H3314" s="6" t="str">
        <f>IFERROR(__xludf.DUMMYFUNCTION("""COMPUTED_VALUE"""),"https://www.instagram.com/oshagh_alzahra_s")</f>
        <v>https://www.instagram.com/oshagh_alzahra_s</v>
      </c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</row>
    <row r="3315">
      <c r="A3315" s="5">
        <f>IFERROR(__xludf.DUMMYFUNCTION("""COMPUTED_VALUE"""),13124.0)</f>
        <v>13124</v>
      </c>
      <c r="B3315" s="5" t="str">
        <f>IFERROR(__xludf.DUMMYFUNCTION("""COMPUTED_VALUE"""),"هیأت")</f>
        <v>هیأت</v>
      </c>
      <c r="C3315" s="5" t="str">
        <f>IFERROR(__xludf.DUMMYFUNCTION("""COMPUTED_VALUE"""),"رزمندگان اسلام")</f>
        <v>رزمندگان اسلام</v>
      </c>
      <c r="D3315" s="5" t="str">
        <f>IFERROR(__xludf.DUMMYFUNCTION("""COMPUTED_VALUE"""),"گلستان")</f>
        <v>گلستان</v>
      </c>
      <c r="E3315" s="5" t="str">
        <f>IFERROR(__xludf.DUMMYFUNCTION("""COMPUTED_VALUE"""),"کردکوی")</f>
        <v>کردکوی</v>
      </c>
      <c r="F3315" s="5"/>
      <c r="G3315" s="5"/>
      <c r="H3315" s="5"/>
      <c r="I3315" s="5"/>
      <c r="J3315" s="5" t="str">
        <f>IFERROR(__xludf.DUMMYFUNCTION("""COMPUTED_VALUE"""),"@razmandegan_kordkuy")</f>
        <v>@razmandegan_kordkuy</v>
      </c>
      <c r="K3315" s="5"/>
      <c r="L3315" s="5"/>
      <c r="M3315" s="5"/>
      <c r="N3315" s="5"/>
      <c r="O3315" s="5"/>
      <c r="P3315" s="5"/>
      <c r="Q3315" s="5"/>
      <c r="R3315" s="5"/>
      <c r="S3315" s="5"/>
    </row>
    <row r="3316">
      <c r="A3316" s="5">
        <f>IFERROR(__xludf.DUMMYFUNCTION("""COMPUTED_VALUE"""),13128.0)</f>
        <v>13128</v>
      </c>
      <c r="B3316" s="5" t="str">
        <f>IFERROR(__xludf.DUMMYFUNCTION("""COMPUTED_VALUE"""),"هیأت")</f>
        <v>هیأت</v>
      </c>
      <c r="C3316" s="5" t="str">
        <f>IFERROR(__xludf.DUMMYFUNCTION("""COMPUTED_VALUE"""),"متوسلین به حضرت ولی عصر(عج)")</f>
        <v>متوسلین به حضرت ولی عصر(عج)</v>
      </c>
      <c r="D3316" s="5" t="str">
        <f>IFERROR(__xludf.DUMMYFUNCTION("""COMPUTED_VALUE"""),"گلستان")</f>
        <v>گلستان</v>
      </c>
      <c r="E3316" s="5" t="str">
        <f>IFERROR(__xludf.DUMMYFUNCTION("""COMPUTED_VALUE"""),"گرگان")</f>
        <v>گرگان</v>
      </c>
      <c r="F3316" s="5"/>
      <c r="G3316" s="5"/>
      <c r="H3316" s="5"/>
      <c r="I3316" s="5"/>
      <c r="J3316" s="6" t="str">
        <f>IFERROR(__xludf.DUMMYFUNCTION("""COMPUTED_VALUE"""),"https://eitaa.com/Valiasr_eslamabad")</f>
        <v>https://eitaa.com/Valiasr_eslamabad</v>
      </c>
      <c r="K3316" s="5"/>
      <c r="L3316" s="5"/>
      <c r="M3316" s="5"/>
      <c r="N3316" s="5"/>
      <c r="O3316" s="5"/>
      <c r="P3316" s="5"/>
      <c r="Q3316" s="5"/>
      <c r="R3316" s="5"/>
      <c r="S3316" s="5"/>
    </row>
    <row r="3317">
      <c r="A3317" s="5">
        <f>IFERROR(__xludf.DUMMYFUNCTION("""COMPUTED_VALUE"""),13133.0)</f>
        <v>13133</v>
      </c>
      <c r="B3317" s="5" t="str">
        <f>IFERROR(__xludf.DUMMYFUNCTION("""COMPUTED_VALUE"""),"کانون")</f>
        <v>کانون</v>
      </c>
      <c r="C3317" s="5" t="str">
        <f>IFERROR(__xludf.DUMMYFUNCTION("""COMPUTED_VALUE"""),"منتظرین قائم(عج) (پایگاه امام حسن مجتبی(ع)) (مسجد پنج تن آل عبا(ع))")</f>
        <v>منتظرین قائم(عج) (پایگاه امام حسن مجتبی(ع)) (مسجد پنج تن آل عبا(ع))</v>
      </c>
      <c r="D3317" s="5" t="str">
        <f>IFERROR(__xludf.DUMMYFUNCTION("""COMPUTED_VALUE"""),"گلستان")</f>
        <v>گلستان</v>
      </c>
      <c r="E3317" s="5" t="str">
        <f>IFERROR(__xludf.DUMMYFUNCTION("""COMPUTED_VALUE"""),"مینودشت")</f>
        <v>مینودشت</v>
      </c>
      <c r="F3317" s="5" t="str">
        <f>IFERROR(__xludf.DUMMYFUNCTION("""COMPUTED_VALUE"""),"مینودشت مسجد پنج تن ال عبا")</f>
        <v>مینودشت مسجد پنج تن ال عبا</v>
      </c>
      <c r="G3317" s="5"/>
      <c r="H3317" s="5"/>
      <c r="I3317" s="6" t="str">
        <f>IFERROR(__xludf.DUMMYFUNCTION("""COMPUTED_VALUE"""),"https://telegram.me/s/masjed5tanminoodasht")</f>
        <v>https://telegram.me/s/masjed5tanminoodasht</v>
      </c>
      <c r="J3317" s="5"/>
      <c r="K3317" s="5"/>
      <c r="L3317" s="5"/>
      <c r="M3317" s="5"/>
      <c r="N3317" s="5" t="str">
        <f>IFERROR(__xludf.DUMMYFUNCTION("""COMPUTED_VALUE"""),"هفتگی و مناسبتی")</f>
        <v>هفتگی و مناسبتی</v>
      </c>
      <c r="O3317" s="5"/>
      <c r="P3317" s="5"/>
      <c r="Q3317" s="5"/>
      <c r="R3317" s="5"/>
      <c r="S3317" s="5"/>
    </row>
    <row r="3318">
      <c r="A3318" s="5">
        <f>IFERROR(__xludf.DUMMYFUNCTION("""COMPUTED_VALUE"""),13136.0)</f>
        <v>13136</v>
      </c>
      <c r="B3318" s="5" t="str">
        <f>IFERROR(__xludf.DUMMYFUNCTION("""COMPUTED_VALUE"""),"هیأت")</f>
        <v>هیأت</v>
      </c>
      <c r="C3318" s="5" t="str">
        <f>IFERROR(__xludf.DUMMYFUNCTION("""COMPUTED_VALUE"""),"عشاق الحسین(ع)")</f>
        <v>عشاق الحسین(ع)</v>
      </c>
      <c r="D3318" s="5" t="str">
        <f>IFERROR(__xludf.DUMMYFUNCTION("""COMPUTED_VALUE"""),"گلستان")</f>
        <v>گلستان</v>
      </c>
      <c r="E3318" s="5" t="str">
        <f>IFERROR(__xludf.DUMMYFUNCTION("""COMPUTED_VALUE"""),"گرگان")</f>
        <v>گرگان</v>
      </c>
      <c r="F3318" s="5"/>
      <c r="G3318" s="5"/>
      <c r="H3318" s="6" t="str">
        <f>IFERROR(__xludf.DUMMYFUNCTION("""COMPUTED_VALUE"""),"https://www.instagram.com/oshaghel_hossein")</f>
        <v>https://www.instagram.com/oshaghel_hossein</v>
      </c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</row>
    <row r="3319">
      <c r="A3319" s="5">
        <f>IFERROR(__xludf.DUMMYFUNCTION("""COMPUTED_VALUE"""),13146.0)</f>
        <v>13146</v>
      </c>
      <c r="B3319" s="5" t="str">
        <f>IFERROR(__xludf.DUMMYFUNCTION("""COMPUTED_VALUE"""),"هیأت")</f>
        <v>هیأت</v>
      </c>
      <c r="C3319" s="5" t="str">
        <f>IFERROR(__xludf.DUMMYFUNCTION("""COMPUTED_VALUE"""),"بیت الزهرا(س) / زوارالحسن(ع)")</f>
        <v>بیت الزهرا(س) / زوارالحسن(ع)</v>
      </c>
      <c r="D3319" s="5" t="str">
        <f>IFERROR(__xludf.DUMMYFUNCTION("""COMPUTED_VALUE"""),"گلستان")</f>
        <v>گلستان</v>
      </c>
      <c r="E3319" s="5" t="str">
        <f>IFERROR(__xludf.DUMMYFUNCTION("""COMPUTED_VALUE"""),"گرگان")</f>
        <v>گرگان</v>
      </c>
      <c r="F3319" s="5"/>
      <c r="G3319" s="5"/>
      <c r="H3319" s="6" t="str">
        <f>IFERROR(__xludf.DUMMYFUNCTION("""COMPUTED_VALUE"""),"https://www.instagram.com/beytozzahra79")</f>
        <v>https://www.instagram.com/beytozzahra79</v>
      </c>
      <c r="I3319" s="6" t="str">
        <f>IFERROR(__xludf.DUMMYFUNCTION("""COMPUTED_VALUE"""),"t.me/bytozzahra")</f>
        <v>t.me/bytozzahra</v>
      </c>
      <c r="J3319" s="5"/>
      <c r="K3319" s="5"/>
      <c r="L3319" s="5"/>
      <c r="M3319" s="5"/>
      <c r="N3319" s="5"/>
      <c r="O3319" s="5"/>
      <c r="P3319" s="5"/>
      <c r="Q3319" s="5"/>
      <c r="R3319" s="5"/>
      <c r="S3319" s="5"/>
    </row>
    <row r="3320">
      <c r="A3320" s="5">
        <f>IFERROR(__xludf.DUMMYFUNCTION("""COMPUTED_VALUE"""),13148.0)</f>
        <v>13148</v>
      </c>
      <c r="B3320" s="5" t="str">
        <f>IFERROR(__xludf.DUMMYFUNCTION("""COMPUTED_VALUE"""),"هیأت")</f>
        <v>هیأت</v>
      </c>
      <c r="C3320" s="5" t="str">
        <f>IFERROR(__xludf.DUMMYFUNCTION("""COMPUTED_VALUE"""),"رایه العباس (ع)")</f>
        <v>رایه العباس (ع)</v>
      </c>
      <c r="D3320" s="5" t="str">
        <f>IFERROR(__xludf.DUMMYFUNCTION("""COMPUTED_VALUE"""),"گلستان")</f>
        <v>گلستان</v>
      </c>
      <c r="E3320" s="5" t="str">
        <f>IFERROR(__xludf.DUMMYFUNCTION("""COMPUTED_VALUE"""),"گرگان")</f>
        <v>گرگان</v>
      </c>
      <c r="F3320" s="5"/>
      <c r="G3320" s="5"/>
      <c r="H3320" s="6" t="str">
        <f>IFERROR(__xludf.DUMMYFUNCTION("""COMPUTED_VALUE"""),"https://www.instagram.com/rayatolabbas_resane?")</f>
        <v>https://www.instagram.com/rayatolabbas_resane?</v>
      </c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</row>
    <row r="3321">
      <c r="A3321" s="5">
        <f>IFERROR(__xludf.DUMMYFUNCTION("""COMPUTED_VALUE"""),13149.0)</f>
        <v>13149</v>
      </c>
      <c r="B3321" s="5" t="str">
        <f>IFERROR(__xludf.DUMMYFUNCTION("""COMPUTED_VALUE"""),"هیأت")</f>
        <v>هیأت</v>
      </c>
      <c r="C3321" s="5" t="str">
        <f>IFERROR(__xludf.DUMMYFUNCTION("""COMPUTED_VALUE"""),"عاشقان حضرت مهدی (عج)")</f>
        <v>عاشقان حضرت مهدی (عج)</v>
      </c>
      <c r="D3321" s="5" t="str">
        <f>IFERROR(__xludf.DUMMYFUNCTION("""COMPUTED_VALUE"""),"گلستان")</f>
        <v>گلستان</v>
      </c>
      <c r="E3321" s="5" t="str">
        <f>IFERROR(__xludf.DUMMYFUNCTION("""COMPUTED_VALUE"""),"گرگان")</f>
        <v>گرگان</v>
      </c>
      <c r="F3321" s="5"/>
      <c r="G3321" s="5"/>
      <c r="H3321" s="6" t="str">
        <f>IFERROR(__xludf.DUMMYFUNCTION("""COMPUTED_VALUE"""),"https://www.instagram.com/asheghanemahdigorgan")</f>
        <v>https://www.instagram.com/asheghanemahdigorgan</v>
      </c>
      <c r="I3321" s="6" t="str">
        <f>IFERROR(__xludf.DUMMYFUNCTION("""COMPUTED_VALUE"""),"https://t.me/s/HeiateAsheghanemahdi")</f>
        <v>https://t.me/s/HeiateAsheghanemahdi</v>
      </c>
      <c r="J3321" s="6" t="str">
        <f>IFERROR(__xludf.DUMMYFUNCTION("""COMPUTED_VALUE"""),"https://eitaa.com/Heiat_asheghanemahdi_gorgan")</f>
        <v>https://eitaa.com/Heiat_asheghanemahdi_gorgan</v>
      </c>
      <c r="K3321" s="5"/>
      <c r="L3321" s="5"/>
      <c r="M3321" s="5"/>
      <c r="N3321" s="5"/>
      <c r="O3321" s="5"/>
      <c r="P3321" s="5"/>
      <c r="Q3321" s="5"/>
      <c r="R3321" s="5"/>
      <c r="S3321" s="5"/>
    </row>
    <row r="3322">
      <c r="A3322" s="5">
        <f>IFERROR(__xludf.DUMMYFUNCTION("""COMPUTED_VALUE"""),13152.0)</f>
        <v>13152</v>
      </c>
      <c r="B3322" s="5" t="str">
        <f>IFERROR(__xludf.DUMMYFUNCTION("""COMPUTED_VALUE"""),"هیأت")</f>
        <v>هیأت</v>
      </c>
      <c r="C3322" s="5" t="str">
        <f>IFERROR(__xludf.DUMMYFUNCTION("""COMPUTED_VALUE"""),"محبان حضرت ابوالفضل (ع) / حیدریون")</f>
        <v>محبان حضرت ابوالفضل (ع) / حیدریون</v>
      </c>
      <c r="D3322" s="5" t="str">
        <f>IFERROR(__xludf.DUMMYFUNCTION("""COMPUTED_VALUE"""),"گلستان")</f>
        <v>گلستان</v>
      </c>
      <c r="E3322" s="5" t="str">
        <f>IFERROR(__xludf.DUMMYFUNCTION("""COMPUTED_VALUE"""),"گرگان")</f>
        <v>گرگان</v>
      </c>
      <c r="F3322" s="5"/>
      <c r="G3322" s="5"/>
      <c r="H3322" s="6" t="str">
        <f>IFERROR(__xludf.DUMMYFUNCTION("""COMPUTED_VALUE"""),"https://www.instagram.com/heydariun_gorgann")</f>
        <v>https://www.instagram.com/heydariun_gorgann</v>
      </c>
      <c r="I3322" s="5" t="str">
        <f>IFERROR(__xludf.DUMMYFUNCTION("""COMPUTED_VALUE"""),"heydarion_gorgan")</f>
        <v>heydarion_gorgan</v>
      </c>
      <c r="J3322" s="5"/>
      <c r="K3322" s="5"/>
      <c r="L3322" s="5"/>
      <c r="M3322" s="5"/>
      <c r="N3322" s="5"/>
      <c r="O3322" s="5"/>
      <c r="P3322" s="5"/>
      <c r="Q3322" s="5"/>
      <c r="R3322" s="5"/>
      <c r="S3322" s="5"/>
    </row>
    <row r="3323">
      <c r="A3323" s="5">
        <f>IFERROR(__xludf.DUMMYFUNCTION("""COMPUTED_VALUE"""),13175.0)</f>
        <v>13175</v>
      </c>
      <c r="B3323" s="5" t="str">
        <f>IFERROR(__xludf.DUMMYFUNCTION("""COMPUTED_VALUE"""),"هیأت")</f>
        <v>هیأت</v>
      </c>
      <c r="C3323" s="5" t="str">
        <f>IFERROR(__xludf.DUMMYFUNCTION("""COMPUTED_VALUE"""),"خیمه العباس (ع) (هیات مسجد صاحب الزمان (عج))")</f>
        <v>خیمه العباس (ع) (هیات مسجد صاحب الزمان (عج))</v>
      </c>
      <c r="D3323" s="5" t="str">
        <f>IFERROR(__xludf.DUMMYFUNCTION("""COMPUTED_VALUE"""),"گلستان")</f>
        <v>گلستان</v>
      </c>
      <c r="E3323" s="5" t="str">
        <f>IFERROR(__xludf.DUMMYFUNCTION("""COMPUTED_VALUE"""),"گرگان")</f>
        <v>گرگان</v>
      </c>
      <c r="F3323" s="5"/>
      <c r="G3323" s="5"/>
      <c r="H3323" s="6" t="str">
        <f>IFERROR(__xludf.DUMMYFUNCTION("""COMPUTED_VALUE"""),"https://www.instagram.com/kheymatol_abas")</f>
        <v>https://www.instagram.com/kheymatol_abas</v>
      </c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</row>
    <row r="3324">
      <c r="A3324" s="5">
        <f>IFERROR(__xludf.DUMMYFUNCTION("""COMPUTED_VALUE"""),13177.0)</f>
        <v>13177</v>
      </c>
      <c r="B3324" s="5" t="str">
        <f>IFERROR(__xludf.DUMMYFUNCTION("""COMPUTED_VALUE"""),"هیأت")</f>
        <v>هیأت</v>
      </c>
      <c r="C3324" s="5" t="str">
        <f>IFERROR(__xludf.DUMMYFUNCTION("""COMPUTED_VALUE"""),"جوانان بنی هاشم(ع)")</f>
        <v>جوانان بنی هاشم(ع)</v>
      </c>
      <c r="D3324" s="5" t="str">
        <f>IFERROR(__xludf.DUMMYFUNCTION("""COMPUTED_VALUE"""),"گلستان")</f>
        <v>گلستان</v>
      </c>
      <c r="E3324" s="5" t="str">
        <f>IFERROR(__xludf.DUMMYFUNCTION("""COMPUTED_VALUE"""),"گرگان")</f>
        <v>گرگان</v>
      </c>
      <c r="F3324" s="5"/>
      <c r="G3324" s="5"/>
      <c r="H3324" s="6" t="str">
        <f>IFERROR(__xludf.DUMMYFUNCTION("""COMPUTED_VALUE"""),"https://www.instagram.com/javananbani_bani_hashem")</f>
        <v>https://www.instagram.com/javananbani_bani_hashem</v>
      </c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</row>
    <row r="3325">
      <c r="A3325" s="5">
        <f>IFERROR(__xludf.DUMMYFUNCTION("""COMPUTED_VALUE"""),13180.0)</f>
        <v>13180</v>
      </c>
      <c r="B3325" s="5" t="str">
        <f>IFERROR(__xludf.DUMMYFUNCTION("""COMPUTED_VALUE"""),"هیأت")</f>
        <v>هیأت</v>
      </c>
      <c r="C3325" s="5" t="str">
        <f>IFERROR(__xludf.DUMMYFUNCTION("""COMPUTED_VALUE"""),"مسجد جامع")</f>
        <v>مسجد جامع</v>
      </c>
      <c r="D3325" s="5" t="str">
        <f>IFERROR(__xludf.DUMMYFUNCTION("""COMPUTED_VALUE"""),"گلستان")</f>
        <v>گلستان</v>
      </c>
      <c r="E3325" s="5" t="str">
        <f>IFERROR(__xludf.DUMMYFUNCTION("""COMPUTED_VALUE"""),"علی آباد کتول")</f>
        <v>علی آباد کتول</v>
      </c>
      <c r="F3325" s="5"/>
      <c r="G3325" s="5"/>
      <c r="H3325" s="6" t="str">
        <f>IFERROR(__xludf.DUMMYFUNCTION("""COMPUTED_VALUE"""),"https://www.instagram.com/bacheh_haye_masjed")</f>
        <v>https://www.instagram.com/bacheh_haye_masjed</v>
      </c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</row>
    <row r="3326">
      <c r="A3326" s="5">
        <f>IFERROR(__xludf.DUMMYFUNCTION("""COMPUTED_VALUE"""),13181.0)</f>
        <v>13181</v>
      </c>
      <c r="B3326" s="5" t="str">
        <f>IFERROR(__xludf.DUMMYFUNCTION("""COMPUTED_VALUE"""),"هیأت")</f>
        <v>هیأت</v>
      </c>
      <c r="C3326" s="5" t="str">
        <f>IFERROR(__xludf.DUMMYFUNCTION("""COMPUTED_VALUE"""),"بیت الرقیه (س)")</f>
        <v>بیت الرقیه (س)</v>
      </c>
      <c r="D3326" s="5" t="str">
        <f>IFERROR(__xludf.DUMMYFUNCTION("""COMPUTED_VALUE"""),"گلستان")</f>
        <v>گلستان</v>
      </c>
      <c r="E3326" s="5" t="str">
        <f>IFERROR(__xludf.DUMMYFUNCTION("""COMPUTED_VALUE"""),"آزادشهر")</f>
        <v>آزادشهر</v>
      </c>
      <c r="F3326" s="5" t="str">
        <f>IFERROR(__xludf.DUMMYFUNCTION("""COMPUTED_VALUE"""),"آزادشهر؛خیابان مکتب الزهرا کوچه عشقی")</f>
        <v>آزادشهر؛خیابان مکتب الزهرا کوچه عشقی</v>
      </c>
      <c r="G3326" s="5"/>
      <c r="H3326" s="6" t="str">
        <f>IFERROR(__xludf.DUMMYFUNCTION("""COMPUTED_VALUE"""),"https://www.instagram.com/bytbibi_3_sale")</f>
        <v>https://www.instagram.com/bytbibi_3_sale</v>
      </c>
      <c r="I3326" s="6" t="str">
        <f>IFERROR(__xludf.DUMMYFUNCTION("""COMPUTED_VALUE"""),"https://t.me/bytbibi")</f>
        <v>https://t.me/bytbibi</v>
      </c>
      <c r="J3326" s="6" t="str">
        <f>IFERROR(__xludf.DUMMYFUNCTION("""COMPUTED_VALUE"""),"https://eitaa.com/bytbibi3")</f>
        <v>https://eitaa.com/bytbibi3</v>
      </c>
      <c r="K3326" s="5"/>
      <c r="L3326" s="5"/>
      <c r="M3326" s="5"/>
      <c r="N3326" s="5" t="str">
        <f>IFERROR(__xludf.DUMMYFUNCTION("""COMPUTED_VALUE"""),"هرهفته شب های پنج شنبه")</f>
        <v>هرهفته شب های پنج شنبه</v>
      </c>
      <c r="O3326" s="5"/>
      <c r="P3326" s="5"/>
      <c r="Q3326" s="5"/>
      <c r="R3326" s="5"/>
      <c r="S3326" s="5"/>
    </row>
    <row r="3327">
      <c r="A3327" s="5">
        <f>IFERROR(__xludf.DUMMYFUNCTION("""COMPUTED_VALUE"""),13191.0)</f>
        <v>13191</v>
      </c>
      <c r="B3327" s="5" t="str">
        <f>IFERROR(__xludf.DUMMYFUNCTION("""COMPUTED_VALUE"""),"هیأت")</f>
        <v>هیأت</v>
      </c>
      <c r="C3327" s="5" t="str">
        <f>IFERROR(__xludf.DUMMYFUNCTION("""COMPUTED_VALUE"""),"امام حسن مجتبی(ع)")</f>
        <v>امام حسن مجتبی(ع)</v>
      </c>
      <c r="D3327" s="5" t="str">
        <f>IFERROR(__xludf.DUMMYFUNCTION("""COMPUTED_VALUE"""),"گلستان")</f>
        <v>گلستان</v>
      </c>
      <c r="E3327" s="5" t="str">
        <f>IFERROR(__xludf.DUMMYFUNCTION("""COMPUTED_VALUE"""),"گرگان")</f>
        <v>گرگان</v>
      </c>
      <c r="F3327" s="5"/>
      <c r="G3327" s="5"/>
      <c r="H3327" s="6" t="str">
        <f>IFERROR(__xludf.DUMMYFUNCTION("""COMPUTED_VALUE"""),"https://www.instagram.com/heyatemamhasanmojtaba")</f>
        <v>https://www.instagram.com/heyatemamhasanmojtaba</v>
      </c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</row>
    <row r="3328">
      <c r="A3328" s="5">
        <f>IFERROR(__xludf.DUMMYFUNCTION("""COMPUTED_VALUE"""),13192.0)</f>
        <v>13192</v>
      </c>
      <c r="B3328" s="5" t="str">
        <f>IFERROR(__xludf.DUMMYFUNCTION("""COMPUTED_VALUE"""),"کانون")</f>
        <v>کانون</v>
      </c>
      <c r="C3328" s="5" t="str">
        <f>IFERROR(__xludf.DUMMYFUNCTION("""COMPUTED_VALUE"""),"یاوران منجی (مجموعه فرهنگی مذهبی)")</f>
        <v>یاوران منجی (مجموعه فرهنگی مذهبی)</v>
      </c>
      <c r="D3328" s="5" t="str">
        <f>IFERROR(__xludf.DUMMYFUNCTION("""COMPUTED_VALUE"""),"گلستان")</f>
        <v>گلستان</v>
      </c>
      <c r="E3328" s="5" t="str">
        <f>IFERROR(__xludf.DUMMYFUNCTION("""COMPUTED_VALUE"""),"گنبد کاووس")</f>
        <v>گنبد کاووس</v>
      </c>
      <c r="F3328" s="5" t="str">
        <f>IFERROR(__xludf.DUMMYFUNCTION("""COMPUTED_VALUE"""),"کمربندی صیاد شیرازی گلزار شهدای گمنام")</f>
        <v>کمربندی صیاد شیرازی گلزار شهدای گمنام</v>
      </c>
      <c r="G3328" s="5">
        <f>IFERROR(__xludf.DUMMYFUNCTION("""COMPUTED_VALUE"""),1.0)</f>
        <v>1</v>
      </c>
      <c r="H3328" s="6" t="str">
        <f>IFERROR(__xludf.DUMMYFUNCTION("""COMPUTED_VALUE"""),"https://www.instagram.com/yavaranemonji")</f>
        <v>https://www.instagram.com/yavaranemonji</v>
      </c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</row>
    <row r="3329">
      <c r="A3329" s="5">
        <f>IFERROR(__xludf.DUMMYFUNCTION("""COMPUTED_VALUE"""),13197.0)</f>
        <v>13197</v>
      </c>
      <c r="B3329" s="5" t="str">
        <f>IFERROR(__xludf.DUMMYFUNCTION("""COMPUTED_VALUE"""),"هیأت")</f>
        <v>هیأت</v>
      </c>
      <c r="C3329" s="5" t="str">
        <f>IFERROR(__xludf.DUMMYFUNCTION("""COMPUTED_VALUE"""),"شهدای آل یاسین")</f>
        <v>شهدای آل یاسین</v>
      </c>
      <c r="D3329" s="5" t="str">
        <f>IFERROR(__xludf.DUMMYFUNCTION("""COMPUTED_VALUE"""),"گلستان")</f>
        <v>گلستان</v>
      </c>
      <c r="E3329" s="5" t="str">
        <f>IFERROR(__xludf.DUMMYFUNCTION("""COMPUTED_VALUE"""),"گرگان")</f>
        <v>گرگان</v>
      </c>
      <c r="F3329" s="5"/>
      <c r="G3329" s="5"/>
      <c r="H3329" s="5"/>
      <c r="I3329" s="5"/>
      <c r="J3329" s="6" t="str">
        <f>IFERROR(__xludf.DUMMYFUNCTION("""COMPUTED_VALUE"""),"https://eitaa.com/heyatshohadayealeyasin")</f>
        <v>https://eitaa.com/heyatshohadayealeyasin</v>
      </c>
      <c r="K3329" s="5"/>
      <c r="L3329" s="5"/>
      <c r="M3329" s="5"/>
      <c r="N3329" s="5"/>
      <c r="O3329" s="5"/>
      <c r="P3329" s="5"/>
      <c r="Q3329" s="5"/>
      <c r="R3329" s="5"/>
      <c r="S3329" s="5"/>
    </row>
    <row r="3330">
      <c r="A3330" s="5">
        <f>IFERROR(__xludf.DUMMYFUNCTION("""COMPUTED_VALUE"""),13230.0)</f>
        <v>13230</v>
      </c>
      <c r="B3330" s="5" t="str">
        <f>IFERROR(__xludf.DUMMYFUNCTION("""COMPUTED_VALUE"""),"کانون")</f>
        <v>کانون</v>
      </c>
      <c r="C3330" s="5" t="str">
        <f>IFERROR(__xludf.DUMMYFUNCTION("""COMPUTED_VALUE"""),"مسجد جامع آزادشهر")</f>
        <v>مسجد جامع آزادشهر</v>
      </c>
      <c r="D3330" s="5" t="str">
        <f>IFERROR(__xludf.DUMMYFUNCTION("""COMPUTED_VALUE"""),"گلستان")</f>
        <v>گلستان</v>
      </c>
      <c r="E3330" s="5" t="str">
        <f>IFERROR(__xludf.DUMMYFUNCTION("""COMPUTED_VALUE"""),"آزادشهر")</f>
        <v>آزادشهر</v>
      </c>
      <c r="F3330" s="5"/>
      <c r="G3330" s="5"/>
      <c r="H3330" s="6" t="str">
        <f>IFERROR(__xludf.DUMMYFUNCTION("""COMPUTED_VALUE"""),"https://www.instagram.com/kanoonazadshahr")</f>
        <v>https://www.instagram.com/kanoonazadshahr</v>
      </c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</row>
    <row r="3331">
      <c r="A3331" s="5">
        <f>IFERROR(__xludf.DUMMYFUNCTION("""COMPUTED_VALUE"""),13300.0)</f>
        <v>13300</v>
      </c>
      <c r="B3331" s="5" t="str">
        <f>IFERROR(__xludf.DUMMYFUNCTION("""COMPUTED_VALUE"""),"هیأت")</f>
        <v>هیأت</v>
      </c>
      <c r="C3331" s="5" t="str">
        <f>IFERROR(__xludf.DUMMYFUNCTION("""COMPUTED_VALUE"""),"جوانان فدائیان امام حسین (ع)")</f>
        <v>جوانان فدائیان امام حسین (ع)</v>
      </c>
      <c r="D3331" s="5" t="str">
        <f>IFERROR(__xludf.DUMMYFUNCTION("""COMPUTED_VALUE"""),"گلستان")</f>
        <v>گلستان</v>
      </c>
      <c r="E3331" s="5" t="str">
        <f>IFERROR(__xludf.DUMMYFUNCTION("""COMPUTED_VALUE"""),"کردکوی")</f>
        <v>کردکوی</v>
      </c>
      <c r="F3331" s="5"/>
      <c r="G3331" s="5"/>
      <c r="H3331" s="6" t="str">
        <f>IFERROR(__xludf.DUMMYFUNCTION("""COMPUTED_VALUE"""),"https://www.instagram.com/heyat_javanan_kordkuy")</f>
        <v>https://www.instagram.com/heyat_javanan_kordkuy</v>
      </c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</row>
    <row r="3332">
      <c r="A3332" s="5">
        <f>IFERROR(__xludf.DUMMYFUNCTION("""COMPUTED_VALUE"""),13304.0)</f>
        <v>13304</v>
      </c>
      <c r="B3332" s="5" t="str">
        <f>IFERROR(__xludf.DUMMYFUNCTION("""COMPUTED_VALUE"""),"مسجد")</f>
        <v>مسجد</v>
      </c>
      <c r="C3332" s="5" t="str">
        <f>IFERROR(__xludf.DUMMYFUNCTION("""COMPUTED_VALUE"""),"کردکوی")</f>
        <v>کردکوی</v>
      </c>
      <c r="D3332" s="5" t="str">
        <f>IFERROR(__xludf.DUMMYFUNCTION("""COMPUTED_VALUE"""),"گلستان")</f>
        <v>گلستان</v>
      </c>
      <c r="E3332" s="5" t="str">
        <f>IFERROR(__xludf.DUMMYFUNCTION("""COMPUTED_VALUE"""),"کردکوی")</f>
        <v>کردکوی</v>
      </c>
      <c r="F3332" s="5"/>
      <c r="G3332" s="5"/>
      <c r="H3332" s="5"/>
      <c r="I3332" s="5"/>
      <c r="J3332" s="5" t="str">
        <f>IFERROR(__xludf.DUMMYFUNCTION("""COMPUTED_VALUE"""),"@kashkkuol")</f>
        <v>@kashkkuol</v>
      </c>
      <c r="K3332" s="5"/>
      <c r="L3332" s="5"/>
      <c r="M3332" s="5"/>
      <c r="N3332" s="5"/>
      <c r="O3332" s="5"/>
      <c r="P3332" s="5"/>
      <c r="Q3332" s="5"/>
      <c r="R3332" s="5"/>
      <c r="S3332" s="5"/>
    </row>
    <row r="3333">
      <c r="A3333" s="5">
        <f>IFERROR(__xludf.DUMMYFUNCTION("""COMPUTED_VALUE"""),13328.0)</f>
        <v>13328</v>
      </c>
      <c r="B3333" s="5" t="str">
        <f>IFERROR(__xludf.DUMMYFUNCTION("""COMPUTED_VALUE"""),"هیأت")</f>
        <v>هیأت</v>
      </c>
      <c r="C3333" s="5" t="str">
        <f>IFERROR(__xludf.DUMMYFUNCTION("""COMPUTED_VALUE"""),"محبین حضرت علی اکبر (ع)")</f>
        <v>محبین حضرت علی اکبر (ع)</v>
      </c>
      <c r="D3333" s="5" t="str">
        <f>IFERROR(__xludf.DUMMYFUNCTION("""COMPUTED_VALUE"""),"گلستان")</f>
        <v>گلستان</v>
      </c>
      <c r="E3333" s="5" t="str">
        <f>IFERROR(__xludf.DUMMYFUNCTION("""COMPUTED_VALUE"""),"گرگان")</f>
        <v>گرگان</v>
      </c>
      <c r="F3333" s="5"/>
      <c r="G3333" s="5"/>
      <c r="H3333" s="5"/>
      <c r="I3333" s="6" t="str">
        <f>IFERROR(__xludf.DUMMYFUNCTION("""COMPUTED_VALUE"""),"https://t.me/s/mohebbin_aliakbar")</f>
        <v>https://t.me/s/mohebbin_aliakbar</v>
      </c>
      <c r="J3333" s="5"/>
      <c r="K3333" s="5"/>
      <c r="L3333" s="5"/>
      <c r="M3333" s="5"/>
      <c r="N3333" s="5"/>
      <c r="O3333" s="5"/>
      <c r="P3333" s="5"/>
      <c r="Q3333" s="5"/>
      <c r="R3333" s="5"/>
      <c r="S3333" s="5"/>
    </row>
    <row r="3334">
      <c r="A3334" s="5">
        <f>IFERROR(__xludf.DUMMYFUNCTION("""COMPUTED_VALUE"""),13350.0)</f>
        <v>13350</v>
      </c>
      <c r="B3334" s="5" t="str">
        <f>IFERROR(__xludf.DUMMYFUNCTION("""COMPUTED_VALUE"""),"هیأت")</f>
        <v>هیأت</v>
      </c>
      <c r="C3334" s="5" t="str">
        <f>IFERROR(__xludf.DUMMYFUNCTION("""COMPUTED_VALUE"""),"پیروان ولایت")</f>
        <v>پیروان ولایت</v>
      </c>
      <c r="D3334" s="5" t="str">
        <f>IFERROR(__xludf.DUMMYFUNCTION("""COMPUTED_VALUE"""),"گلستان")</f>
        <v>گلستان</v>
      </c>
      <c r="E3334" s="5" t="str">
        <f>IFERROR(__xludf.DUMMYFUNCTION("""COMPUTED_VALUE"""),"گرگان")</f>
        <v>گرگان</v>
      </c>
      <c r="F3334" s="5" t="str">
        <f>IFERROR(__xludf.DUMMYFUNCTION("""COMPUTED_VALUE"""),"گرگان- نبش جمهوری ۹ - مجموعه فرهنگی بیت الحسن علیه السلام")</f>
        <v>گرگان- نبش جمهوری ۹ - مجموعه فرهنگی بیت الحسن علیه السلام</v>
      </c>
      <c r="G3334" s="5"/>
      <c r="H3334" s="6" t="str">
        <f>IFERROR(__xludf.DUMMYFUNCTION("""COMPUTED_VALUE"""),"www.instagram.com/heyat.peyrovan.velaya")</f>
        <v>www.instagram.com/heyat.peyrovan.velaya</v>
      </c>
      <c r="I3334" s="6" t="str">
        <f>IFERROR(__xludf.DUMMYFUNCTION("""COMPUTED_VALUE"""),"https://t.me/h_p_v")</f>
        <v>https://t.me/h_p_v</v>
      </c>
      <c r="J3334" s="6" t="str">
        <f>IFERROR(__xludf.DUMMYFUNCTION("""COMPUTED_VALUE"""),"https://eitaa.com/h_p_v_gorgan")</f>
        <v>https://eitaa.com/h_p_v_gorgan</v>
      </c>
      <c r="K3334" s="5"/>
      <c r="L3334" s="5"/>
      <c r="M3334" s="5"/>
      <c r="N3334" s="5" t="str">
        <f>IFERROR(__xludf.DUMMYFUNCTION("""COMPUTED_VALUE"""),"هفتگی شنبه ها")</f>
        <v>هفتگی شنبه ها</v>
      </c>
      <c r="O3334" s="5"/>
      <c r="P3334" s="5"/>
      <c r="Q3334" s="5"/>
      <c r="R3334" s="5"/>
      <c r="S3334" s="5"/>
    </row>
    <row r="3335">
      <c r="A3335" s="5">
        <f>IFERROR(__xludf.DUMMYFUNCTION("""COMPUTED_VALUE"""),13361.0)</f>
        <v>13361</v>
      </c>
      <c r="B3335" s="5" t="str">
        <f>IFERROR(__xludf.DUMMYFUNCTION("""COMPUTED_VALUE"""),"هیأت")</f>
        <v>هیأت</v>
      </c>
      <c r="C3335" s="5" t="str">
        <f>IFERROR(__xludf.DUMMYFUNCTION("""COMPUTED_VALUE"""),"عاشقان قمربنی هاشم(ع)")</f>
        <v>عاشقان قمربنی هاشم(ع)</v>
      </c>
      <c r="D3335" s="5" t="str">
        <f>IFERROR(__xludf.DUMMYFUNCTION("""COMPUTED_VALUE"""),"گلستان")</f>
        <v>گلستان</v>
      </c>
      <c r="E3335" s="5" t="str">
        <f>IFERROR(__xludf.DUMMYFUNCTION("""COMPUTED_VALUE"""),"گرگان")</f>
        <v>گرگان</v>
      </c>
      <c r="F3335" s="5"/>
      <c r="G3335" s="5"/>
      <c r="H3335" s="6" t="str">
        <f>IFERROR(__xludf.DUMMYFUNCTION("""COMPUTED_VALUE"""),"https://www.instagram.com/navayeabas")</f>
        <v>https://www.instagram.com/navayeabas</v>
      </c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</row>
    <row r="3336">
      <c r="A3336" s="5">
        <f>IFERROR(__xludf.DUMMYFUNCTION("""COMPUTED_VALUE"""),13382.0)</f>
        <v>13382</v>
      </c>
      <c r="B3336" s="5" t="str">
        <f>IFERROR(__xludf.DUMMYFUNCTION("""COMPUTED_VALUE"""),"هیأت")</f>
        <v>هیأت</v>
      </c>
      <c r="C3336" s="5" t="str">
        <f>IFERROR(__xludf.DUMMYFUNCTION("""COMPUTED_VALUE"""),"دلباختگان حضرت ابوالفضل العباس(ع)")</f>
        <v>دلباختگان حضرت ابوالفضل العباس(ع)</v>
      </c>
      <c r="D3336" s="5" t="str">
        <f>IFERROR(__xludf.DUMMYFUNCTION("""COMPUTED_VALUE"""),"گلستان")</f>
        <v>گلستان</v>
      </c>
      <c r="E3336" s="5" t="str">
        <f>IFERROR(__xludf.DUMMYFUNCTION("""COMPUTED_VALUE"""),"گرگان")</f>
        <v>گرگان</v>
      </c>
      <c r="F3336" s="5"/>
      <c r="G3336" s="5"/>
      <c r="H3336" s="6" t="str">
        <f>IFERROR(__xludf.DUMMYFUNCTION("""COMPUTED_VALUE"""),"https://www.instagram.com/del.bakhtegan81?")</f>
        <v>https://www.instagram.com/del.bakhtegan81?</v>
      </c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</row>
    <row r="3337">
      <c r="A3337" s="5">
        <f>IFERROR(__xludf.DUMMYFUNCTION("""COMPUTED_VALUE"""),13391.0)</f>
        <v>13391</v>
      </c>
      <c r="B3337" s="5" t="str">
        <f>IFERROR(__xludf.DUMMYFUNCTION("""COMPUTED_VALUE"""),"هیأت")</f>
        <v>هیأت</v>
      </c>
      <c r="C3337" s="5" t="str">
        <f>IFERROR(__xludf.DUMMYFUNCTION("""COMPUTED_VALUE"""),"خادم الائمه(ع)")</f>
        <v>خادم الائمه(ع)</v>
      </c>
      <c r="D3337" s="5" t="str">
        <f>IFERROR(__xludf.DUMMYFUNCTION("""COMPUTED_VALUE"""),"گلستان")</f>
        <v>گلستان</v>
      </c>
      <c r="E3337" s="5" t="str">
        <f>IFERROR(__xludf.DUMMYFUNCTION("""COMPUTED_VALUE"""),"گنبد کاووس")</f>
        <v>گنبد کاووس</v>
      </c>
      <c r="F3337" s="5"/>
      <c r="G3337" s="5"/>
      <c r="H3337" s="6" t="str">
        <f>IFERROR(__xludf.DUMMYFUNCTION("""COMPUTED_VALUE"""),"https://www.instagram.com/khademolaemehgonbad")</f>
        <v>https://www.instagram.com/khademolaemehgonbad</v>
      </c>
      <c r="I3337" s="6" t="str">
        <f>IFERROR(__xludf.DUMMYFUNCTION("""COMPUTED_VALUE"""),"https://t.me/khademolaemegonbad")</f>
        <v>https://t.me/khademolaemegonbad</v>
      </c>
      <c r="J3337" s="5"/>
      <c r="K3337" s="5"/>
      <c r="L3337" s="5"/>
      <c r="M3337" s="5"/>
      <c r="N3337" s="5"/>
      <c r="O3337" s="5"/>
      <c r="P3337" s="5"/>
      <c r="Q3337" s="5"/>
      <c r="R3337" s="5"/>
      <c r="S3337" s="5"/>
    </row>
    <row r="3338">
      <c r="A3338" s="5">
        <f>IFERROR(__xludf.DUMMYFUNCTION("""COMPUTED_VALUE"""),13403.0)</f>
        <v>13403</v>
      </c>
      <c r="B3338" s="5" t="str">
        <f>IFERROR(__xludf.DUMMYFUNCTION("""COMPUTED_VALUE"""),"هیأت")</f>
        <v>هیأت</v>
      </c>
      <c r="C3338" s="5" t="str">
        <f>IFERROR(__xludf.DUMMYFUNCTION("""COMPUTED_VALUE"""),"محبان اهل بیت (ع)")</f>
        <v>محبان اهل بیت (ع)</v>
      </c>
      <c r="D3338" s="5" t="str">
        <f>IFERROR(__xludf.DUMMYFUNCTION("""COMPUTED_VALUE"""),"گلستان")</f>
        <v>گلستان</v>
      </c>
      <c r="E3338" s="5" t="str">
        <f>IFERROR(__xludf.DUMMYFUNCTION("""COMPUTED_VALUE"""),"گنبد کاووس")</f>
        <v>گنبد کاووس</v>
      </c>
      <c r="F3338" s="5" t="str">
        <f>IFERROR(__xludf.DUMMYFUNCTION("""COMPUTED_VALUE"""),"گنبد خیابان امام رضا مسجد المهدی")</f>
        <v>گنبد خیابان امام رضا مسجد المهدی</v>
      </c>
      <c r="G3338" s="5"/>
      <c r="H3338" s="6" t="str">
        <f>IFERROR(__xludf.DUMMYFUNCTION("""COMPUTED_VALUE"""),"https://www.instagram.com/moheban.gonbad")</f>
        <v>https://www.instagram.com/moheban.gonbad</v>
      </c>
      <c r="I3338" s="5"/>
      <c r="J3338" s="5"/>
      <c r="K3338" s="5"/>
      <c r="L3338" s="5"/>
      <c r="M3338" s="5"/>
      <c r="N3338" s="5" t="str">
        <f>IFERROR(__xludf.DUMMYFUNCTION("""COMPUTED_VALUE"""),"مناسبتی")</f>
        <v>مناسبتی</v>
      </c>
      <c r="O3338" s="5"/>
      <c r="P3338" s="5"/>
      <c r="Q3338" s="5"/>
      <c r="R3338" s="5"/>
      <c r="S3338" s="5"/>
    </row>
    <row r="3339">
      <c r="A3339" s="5">
        <f>IFERROR(__xludf.DUMMYFUNCTION("""COMPUTED_VALUE"""),13407.0)</f>
        <v>13407</v>
      </c>
      <c r="B3339" s="5" t="str">
        <f>IFERROR(__xludf.DUMMYFUNCTION("""COMPUTED_VALUE"""),"هیأت")</f>
        <v>هیأت</v>
      </c>
      <c r="C3339" s="5" t="str">
        <f>IFERROR(__xludf.DUMMYFUNCTION("""COMPUTED_VALUE"""),"حسینیه ولی عصر(عج)")</f>
        <v>حسینیه ولی عصر(عج)</v>
      </c>
      <c r="D3339" s="5" t="str">
        <f>IFERROR(__xludf.DUMMYFUNCTION("""COMPUTED_VALUE"""),"گلستان")</f>
        <v>گلستان</v>
      </c>
      <c r="E3339" s="5" t="str">
        <f>IFERROR(__xludf.DUMMYFUNCTION("""COMPUTED_VALUE"""),"گنبد کاووس")</f>
        <v>گنبد کاووس</v>
      </c>
      <c r="F3339" s="5" t="str">
        <f>IFERROR(__xludf.DUMMYFUNCTION("""COMPUTED_VALUE"""),"گنبدکاووس ، خیابان سرابی روبه روی شبکه بهداشت")</f>
        <v>گنبدکاووس ، خیابان سرابی روبه روی شبکه بهداشت</v>
      </c>
      <c r="G3339" s="5"/>
      <c r="H3339" s="6" t="str">
        <f>IFERROR(__xludf.DUMMYFUNCTION("""COMPUTED_VALUE"""),"https://www.instagram.com/hoseinie_valiasr_gonbad")</f>
        <v>https://www.instagram.com/hoseinie_valiasr_gonbad</v>
      </c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</row>
    <row r="3340">
      <c r="A3340" s="5">
        <f>IFERROR(__xludf.DUMMYFUNCTION("""COMPUTED_VALUE"""),13408.0)</f>
        <v>13408</v>
      </c>
      <c r="B3340" s="5" t="str">
        <f>IFERROR(__xludf.DUMMYFUNCTION("""COMPUTED_VALUE"""),"هیأت")</f>
        <v>هیأت</v>
      </c>
      <c r="C3340" s="5" t="str">
        <f>IFERROR(__xludf.DUMMYFUNCTION("""COMPUTED_VALUE"""),"رزمندگان اسلام (خواهران)")</f>
        <v>رزمندگان اسلام (خواهران)</v>
      </c>
      <c r="D3340" s="5" t="str">
        <f>IFERROR(__xludf.DUMMYFUNCTION("""COMPUTED_VALUE"""),"گلستان")</f>
        <v>گلستان</v>
      </c>
      <c r="E3340" s="5" t="str">
        <f>IFERROR(__xludf.DUMMYFUNCTION("""COMPUTED_VALUE"""),"گنبد کاووس")</f>
        <v>گنبد کاووس</v>
      </c>
      <c r="F3340" s="5"/>
      <c r="G3340" s="5"/>
      <c r="H3340" s="6" t="str">
        <f>IFERROR(__xludf.DUMMYFUNCTION("""COMPUTED_VALUE"""),"https://www.instagram.com/razmandegan__gonbad")</f>
        <v>https://www.instagram.com/razmandegan__gonbad</v>
      </c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</row>
    <row r="3341">
      <c r="A3341" s="5">
        <f>IFERROR(__xludf.DUMMYFUNCTION("""COMPUTED_VALUE"""),13409.0)</f>
        <v>13409</v>
      </c>
      <c r="B3341" s="5" t="str">
        <f>IFERROR(__xludf.DUMMYFUNCTION("""COMPUTED_VALUE"""),"کانون")</f>
        <v>کانون</v>
      </c>
      <c r="C3341" s="5" t="str">
        <f>IFERROR(__xludf.DUMMYFUNCTION("""COMPUTED_VALUE"""),"اداره تبلیغات اسلامی")</f>
        <v>اداره تبلیغات اسلامی</v>
      </c>
      <c r="D3341" s="5" t="str">
        <f>IFERROR(__xludf.DUMMYFUNCTION("""COMPUTED_VALUE"""),"گلستان")</f>
        <v>گلستان</v>
      </c>
      <c r="E3341" s="5" t="str">
        <f>IFERROR(__xludf.DUMMYFUNCTION("""COMPUTED_VALUE"""),"مینودشت")</f>
        <v>مینودشت</v>
      </c>
      <c r="F3341" s="5"/>
      <c r="G3341" s="5"/>
      <c r="H3341" s="5"/>
      <c r="I3341" s="5"/>
      <c r="J3341" s="6" t="str">
        <f>IFERROR(__xludf.DUMMYFUNCTION("""COMPUTED_VALUE"""),"https://eitaa.com/nehzat_eslami_minoodasht")</f>
        <v>https://eitaa.com/nehzat_eslami_minoodasht</v>
      </c>
      <c r="K3341" s="5"/>
      <c r="L3341" s="5"/>
      <c r="M3341" s="5"/>
      <c r="N3341" s="5"/>
      <c r="O3341" s="5"/>
      <c r="P3341" s="5"/>
      <c r="Q3341" s="5"/>
      <c r="R3341" s="5"/>
      <c r="S3341" s="5"/>
    </row>
    <row r="3342">
      <c r="A3342" s="5">
        <f>IFERROR(__xludf.DUMMYFUNCTION("""COMPUTED_VALUE"""),13410.0)</f>
        <v>13410</v>
      </c>
      <c r="B3342" s="5" t="str">
        <f>IFERROR(__xludf.DUMMYFUNCTION("""COMPUTED_VALUE"""),"هیأت")</f>
        <v>هیأت</v>
      </c>
      <c r="C3342" s="5" t="str">
        <f>IFERROR(__xludf.DUMMYFUNCTION("""COMPUTED_VALUE"""),"مهدیه")</f>
        <v>مهدیه</v>
      </c>
      <c r="D3342" s="5" t="str">
        <f>IFERROR(__xludf.DUMMYFUNCTION("""COMPUTED_VALUE"""),"گلستان")</f>
        <v>گلستان</v>
      </c>
      <c r="E3342" s="5" t="str">
        <f>IFERROR(__xludf.DUMMYFUNCTION("""COMPUTED_VALUE"""),"مینودشت")</f>
        <v>مینودشت</v>
      </c>
      <c r="F3342" s="5" t="str">
        <f>IFERROR(__xludf.DUMMYFUNCTION("""COMPUTED_VALUE"""),"مینودشت، خیابان ولیعصر، مهدیه مینودشت")</f>
        <v>مینودشت، خیابان ولیعصر، مهدیه مینودشت</v>
      </c>
      <c r="G3342" s="5"/>
      <c r="H3342" s="6" t="str">
        <f>IFERROR(__xludf.DUMMYFUNCTION("""COMPUTED_VALUE"""),"https://www.instagram.com/mahdiehminoodasht")</f>
        <v>https://www.instagram.com/mahdiehminoodasht</v>
      </c>
      <c r="I3342" s="5"/>
      <c r="J3342" s="5"/>
      <c r="K3342" s="5"/>
      <c r="L3342" s="5"/>
      <c r="M3342" s="5"/>
      <c r="N3342" s="5" t="str">
        <f>IFERROR(__xludf.DUMMYFUNCTION("""COMPUTED_VALUE"""),"مناسبتی")</f>
        <v>مناسبتی</v>
      </c>
      <c r="O3342" s="5"/>
      <c r="P3342" s="5"/>
      <c r="Q3342" s="5"/>
      <c r="R3342" s="5"/>
      <c r="S3342" s="5"/>
    </row>
    <row r="3343">
      <c r="A3343" s="5">
        <f>IFERROR(__xludf.DUMMYFUNCTION("""COMPUTED_VALUE"""),13421.0)</f>
        <v>13421</v>
      </c>
      <c r="B3343" s="5" t="str">
        <f>IFERROR(__xludf.DUMMYFUNCTION("""COMPUTED_VALUE"""),"هیأت")</f>
        <v>هیأت</v>
      </c>
      <c r="C3343" s="5" t="str">
        <f>IFERROR(__xludf.DUMMYFUNCTION("""COMPUTED_VALUE"""),"خادم الحسین(ع)")</f>
        <v>خادم الحسین(ع)</v>
      </c>
      <c r="D3343" s="5" t="str">
        <f>IFERROR(__xludf.DUMMYFUNCTION("""COMPUTED_VALUE"""),"گلستان")</f>
        <v>گلستان</v>
      </c>
      <c r="E3343" s="5" t="str">
        <f>IFERROR(__xludf.DUMMYFUNCTION("""COMPUTED_VALUE"""),"گنبد کاووس")</f>
        <v>گنبد کاووس</v>
      </c>
      <c r="F3343" s="5"/>
      <c r="G3343" s="5">
        <f>IFERROR(__xludf.DUMMYFUNCTION("""COMPUTED_VALUE"""),1.0)</f>
        <v>1</v>
      </c>
      <c r="H3343" s="6" t="str">
        <f>IFERROR(__xludf.DUMMYFUNCTION("""COMPUTED_VALUE"""),"https://www.instagram.com/khademolhossain.ir")</f>
        <v>https://www.instagram.com/khademolhossain.ir</v>
      </c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</row>
    <row r="3344">
      <c r="A3344" s="5">
        <f>IFERROR(__xludf.DUMMYFUNCTION("""COMPUTED_VALUE"""),13436.0)</f>
        <v>13436</v>
      </c>
      <c r="B3344" s="5" t="str">
        <f>IFERROR(__xludf.DUMMYFUNCTION("""COMPUTED_VALUE"""),"هیأت")</f>
        <v>هیأت</v>
      </c>
      <c r="C3344" s="5" t="str">
        <f>IFERROR(__xludf.DUMMYFUNCTION("""COMPUTED_VALUE"""),"شباب الجنه")</f>
        <v>شباب الجنه</v>
      </c>
      <c r="D3344" s="5" t="str">
        <f>IFERROR(__xludf.DUMMYFUNCTION("""COMPUTED_VALUE"""),"گلستان")</f>
        <v>گلستان</v>
      </c>
      <c r="E3344" s="5" t="str">
        <f>IFERROR(__xludf.DUMMYFUNCTION("""COMPUTED_VALUE"""),"گنبد کاووس")</f>
        <v>گنبد کاووس</v>
      </c>
      <c r="F3344" s="5" t="str">
        <f>IFERROR(__xludf.DUMMYFUNCTION("""COMPUTED_VALUE"""),"گردان مرزی ، خیابان عترت، جنب نانوایی بارانی ، علامت تابلو")</f>
        <v>گردان مرزی ، خیابان عترت، جنب نانوایی بارانی ، علامت تابلو</v>
      </c>
      <c r="G3344" s="5">
        <f>IFERROR(__xludf.DUMMYFUNCTION("""COMPUTED_VALUE"""),1.0)</f>
        <v>1</v>
      </c>
      <c r="H3344" s="6" t="str">
        <f>IFERROR(__xludf.DUMMYFUNCTION("""COMPUTED_VALUE"""),"https://www.instagram.com/heyat118_gonbad")</f>
        <v>https://www.instagram.com/heyat118_gonbad</v>
      </c>
      <c r="I3344" s="6" t="str">
        <f>IFERROR(__xludf.DUMMYFUNCTION("""COMPUTED_VALUE"""),"https://t.me/heyat118")</f>
        <v>https://t.me/heyat118</v>
      </c>
      <c r="J3344" s="5"/>
      <c r="K3344" s="5"/>
      <c r="L3344" s="5"/>
      <c r="M3344" s="5"/>
      <c r="N3344" s="5"/>
      <c r="O3344" s="5"/>
      <c r="P3344" s="5"/>
      <c r="Q3344" s="5"/>
      <c r="R3344" s="5"/>
      <c r="S3344" s="5"/>
    </row>
    <row r="3345">
      <c r="A3345" s="5">
        <f>IFERROR(__xludf.DUMMYFUNCTION("""COMPUTED_VALUE"""),13437.0)</f>
        <v>13437</v>
      </c>
      <c r="B3345" s="5" t="str">
        <f>IFERROR(__xludf.DUMMYFUNCTION("""COMPUTED_VALUE"""),"هیأت")</f>
        <v>هیأت</v>
      </c>
      <c r="C3345" s="5" t="str">
        <f>IFERROR(__xludf.DUMMYFUNCTION("""COMPUTED_VALUE"""),"حسینیه قائم آل محمد(عج)")</f>
        <v>حسینیه قائم آل محمد(عج)</v>
      </c>
      <c r="D3345" s="5" t="str">
        <f>IFERROR(__xludf.DUMMYFUNCTION("""COMPUTED_VALUE"""),"گلستان")</f>
        <v>گلستان</v>
      </c>
      <c r="E3345" s="5" t="str">
        <f>IFERROR(__xludf.DUMMYFUNCTION("""COMPUTED_VALUE"""),"گنبد کاووس")</f>
        <v>گنبد کاووس</v>
      </c>
      <c r="F3345" s="5" t="str">
        <f>IFERROR(__xludf.DUMMYFUNCTION("""COMPUTED_VALUE"""),"گنبد کاووس، انتهای گردانمرزی ، شهرک بخاراییان مسجد قائم ال محمد عج")</f>
        <v>گنبد کاووس، انتهای گردانمرزی ، شهرک بخاراییان مسجد قائم ال محمد عج</v>
      </c>
      <c r="G3345" s="5"/>
      <c r="H3345" s="6" t="str">
        <f>IFERROR(__xludf.DUMMYFUNCTION("""COMPUTED_VALUE"""),"https://www.instagram.com/ghaem5418")</f>
        <v>https://www.instagram.com/ghaem5418</v>
      </c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</row>
    <row r="3346">
      <c r="A3346" s="5">
        <f>IFERROR(__xludf.DUMMYFUNCTION("""COMPUTED_VALUE"""),13443.0)</f>
        <v>13443</v>
      </c>
      <c r="B3346" s="5" t="str">
        <f>IFERROR(__xludf.DUMMYFUNCTION("""COMPUTED_VALUE"""),"هیأت")</f>
        <v>هیأت</v>
      </c>
      <c r="C3346" s="5" t="str">
        <f>IFERROR(__xludf.DUMMYFUNCTION("""COMPUTED_VALUE"""),"فاطمیون")</f>
        <v>فاطمیون</v>
      </c>
      <c r="D3346" s="5" t="str">
        <f>IFERROR(__xludf.DUMMYFUNCTION("""COMPUTED_VALUE"""),"گلستان")</f>
        <v>گلستان</v>
      </c>
      <c r="E3346" s="5" t="str">
        <f>IFERROR(__xludf.DUMMYFUNCTION("""COMPUTED_VALUE"""),"گنبد کاووس")</f>
        <v>گنبد کاووس</v>
      </c>
      <c r="F3346" s="5" t="str">
        <f>IFERROR(__xludf.DUMMYFUNCTION("""COMPUTED_VALUE"""),"حرم مطهر حضرت یحیی بن زید(ع)")</f>
        <v>حرم مطهر حضرت یحیی بن زید(ع)</v>
      </c>
      <c r="G3346" s="5"/>
      <c r="H3346" s="6" t="str">
        <f>IFERROR(__xludf.DUMMYFUNCTION("""COMPUTED_VALUE"""),"https://www.instagram.com/fatemiun_com1")</f>
        <v>https://www.instagram.com/fatemiun_com1</v>
      </c>
      <c r="I3346" s="5"/>
      <c r="J3346" s="6" t="str">
        <f>IFERROR(__xludf.DUMMYFUNCTION("""COMPUTED_VALUE"""),"https://eitaa.com/fatemiun_com1")</f>
        <v>https://eitaa.com/fatemiun_com1</v>
      </c>
      <c r="K3346" s="6" t="str">
        <f>IFERROR(__xludf.DUMMYFUNCTION("""COMPUTED_VALUE"""),"https://rubika.ir/fatemiun_com1")</f>
        <v>https://rubika.ir/fatemiun_com1</v>
      </c>
      <c r="L3346" s="5"/>
      <c r="M3346" s="5"/>
      <c r="N3346" s="5" t="str">
        <f>IFERROR(__xludf.DUMMYFUNCTION("""COMPUTED_VALUE"""),"شنبه ها")</f>
        <v>شنبه ها</v>
      </c>
      <c r="O3346" s="5"/>
      <c r="P3346" s="5"/>
      <c r="Q3346" s="5"/>
      <c r="R3346" s="5"/>
      <c r="S3346" s="5"/>
    </row>
    <row r="3347">
      <c r="A3347" s="5">
        <f>IFERROR(__xludf.DUMMYFUNCTION("""COMPUTED_VALUE"""),13444.0)</f>
        <v>13444</v>
      </c>
      <c r="B3347" s="5" t="str">
        <f>IFERROR(__xludf.DUMMYFUNCTION("""COMPUTED_VALUE"""),"هیأت")</f>
        <v>هیأت</v>
      </c>
      <c r="C3347" s="5" t="str">
        <f>IFERROR(__xludf.DUMMYFUNCTION("""COMPUTED_VALUE"""),"علمدار")</f>
        <v>علمدار</v>
      </c>
      <c r="D3347" s="5" t="str">
        <f>IFERROR(__xludf.DUMMYFUNCTION("""COMPUTED_VALUE"""),"گلستان")</f>
        <v>گلستان</v>
      </c>
      <c r="E3347" s="5" t="str">
        <f>IFERROR(__xludf.DUMMYFUNCTION("""COMPUTED_VALUE"""),"علی آباد کتول")</f>
        <v>علی آباد کتول</v>
      </c>
      <c r="F3347" s="5"/>
      <c r="G3347" s="5"/>
      <c r="H3347" s="6" t="str">
        <f>IFERROR(__xludf.DUMMYFUNCTION("""COMPUTED_VALUE"""),"https://www.instagram.com/janamalamdar133")</f>
        <v>https://www.instagram.com/janamalamdar133</v>
      </c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</row>
    <row r="3348">
      <c r="A3348" s="5">
        <f>IFERROR(__xludf.DUMMYFUNCTION("""COMPUTED_VALUE"""),13446.0)</f>
        <v>13446</v>
      </c>
      <c r="B3348" s="5" t="str">
        <f>IFERROR(__xludf.DUMMYFUNCTION("""COMPUTED_VALUE"""),"هیأت")</f>
        <v>هیأت</v>
      </c>
      <c r="C3348" s="5" t="str">
        <f>IFERROR(__xludf.DUMMYFUNCTION("""COMPUTED_VALUE"""),"شیفتگان حضرت رقیه (س)")</f>
        <v>شیفتگان حضرت رقیه (س)</v>
      </c>
      <c r="D3348" s="5" t="str">
        <f>IFERROR(__xludf.DUMMYFUNCTION("""COMPUTED_VALUE"""),"گلستان")</f>
        <v>گلستان</v>
      </c>
      <c r="E3348" s="5" t="str">
        <f>IFERROR(__xludf.DUMMYFUNCTION("""COMPUTED_VALUE"""),"گرگان")</f>
        <v>گرگان</v>
      </c>
      <c r="F3348" s="5"/>
      <c r="G3348" s="5"/>
      <c r="H3348" s="6" t="str">
        <f>IFERROR(__xludf.DUMMYFUNCTION("""COMPUTED_VALUE"""),"https://www.instagram.com/heiat_hazrat_roghaye_")</f>
        <v>https://www.instagram.com/heiat_hazrat_roghaye_</v>
      </c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</row>
    <row r="3349">
      <c r="A3349" s="5">
        <f>IFERROR(__xludf.DUMMYFUNCTION("""COMPUTED_VALUE"""),13451.0)</f>
        <v>13451</v>
      </c>
      <c r="B3349" s="5" t="str">
        <f>IFERROR(__xludf.DUMMYFUNCTION("""COMPUTED_VALUE"""),"هیأت")</f>
        <v>هیأت</v>
      </c>
      <c r="C3349" s="5" t="str">
        <f>IFERROR(__xludf.DUMMYFUNCTION("""COMPUTED_VALUE"""),"                 امام زاده عبدالله")</f>
        <v>                 امام زاده عبدالله</v>
      </c>
      <c r="D3349" s="5" t="str">
        <f>IFERROR(__xludf.DUMMYFUNCTION("""COMPUTED_VALUE"""),"گلستان")</f>
        <v>گلستان</v>
      </c>
      <c r="E3349" s="5" t="str">
        <f>IFERROR(__xludf.DUMMYFUNCTION("""COMPUTED_VALUE"""),"گرگان")</f>
        <v>گرگان</v>
      </c>
      <c r="F3349" s="5"/>
      <c r="G3349" s="5"/>
      <c r="H3349" s="5"/>
      <c r="I3349" s="5"/>
      <c r="J3349" s="5" t="str">
        <f>IFERROR(__xludf.DUMMYFUNCTION("""COMPUTED_VALUE"""),"emamzadehabdollah1gorgan")</f>
        <v>emamzadehabdollah1gorgan</v>
      </c>
      <c r="K3349" s="5"/>
      <c r="L3349" s="5"/>
      <c r="M3349" s="5"/>
      <c r="N3349" s="5"/>
      <c r="O3349" s="5"/>
      <c r="P3349" s="5"/>
      <c r="Q3349" s="5"/>
      <c r="R3349" s="5"/>
      <c r="S3349" s="5"/>
    </row>
    <row r="3350">
      <c r="A3350" s="5">
        <f>IFERROR(__xludf.DUMMYFUNCTION("""COMPUTED_VALUE"""),13471.0)</f>
        <v>13471</v>
      </c>
      <c r="B3350" s="5" t="str">
        <f>IFERROR(__xludf.DUMMYFUNCTION("""COMPUTED_VALUE"""),"هیأت")</f>
        <v>هیأت</v>
      </c>
      <c r="C3350" s="5" t="str">
        <f>IFERROR(__xludf.DUMMYFUNCTION("""COMPUTED_VALUE"""),"محبین اهل بیت(ع)")</f>
        <v>محبین اهل بیت(ع)</v>
      </c>
      <c r="D3350" s="5" t="str">
        <f>IFERROR(__xludf.DUMMYFUNCTION("""COMPUTED_VALUE"""),"گلستان")</f>
        <v>گلستان</v>
      </c>
      <c r="E3350" s="5" t="str">
        <f>IFERROR(__xludf.DUMMYFUNCTION("""COMPUTED_VALUE"""),"گرگان")</f>
        <v>گرگان</v>
      </c>
      <c r="F3350" s="5"/>
      <c r="G3350" s="5"/>
      <c r="H3350" s="6" t="str">
        <f>IFERROR(__xludf.DUMMYFUNCTION("""COMPUTED_VALUE"""),"https://www.instagram.com/mooheban_ahle_byt")</f>
        <v>https://www.instagram.com/mooheban_ahle_byt</v>
      </c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</row>
    <row r="3351">
      <c r="A3351" s="5">
        <f>IFERROR(__xludf.DUMMYFUNCTION("""COMPUTED_VALUE"""),13472.0)</f>
        <v>13472</v>
      </c>
      <c r="B3351" s="5" t="str">
        <f>IFERROR(__xludf.DUMMYFUNCTION("""COMPUTED_VALUE"""),"کانون")</f>
        <v>کانون</v>
      </c>
      <c r="C3351" s="5" t="str">
        <f>IFERROR(__xludf.DUMMYFUNCTION("""COMPUTED_VALUE"""),"اباصالح (عج) (جوانان مسجد جامع / شبهای بهشت)")</f>
        <v>اباصالح (عج) (جوانان مسجد جامع / شبهای بهشت)</v>
      </c>
      <c r="D3351" s="5" t="str">
        <f>IFERROR(__xludf.DUMMYFUNCTION("""COMPUTED_VALUE"""),"گلستان")</f>
        <v>گلستان</v>
      </c>
      <c r="E3351" s="5" t="str">
        <f>IFERROR(__xludf.DUMMYFUNCTION("""COMPUTED_VALUE"""),"مینودشت")</f>
        <v>مینودشت</v>
      </c>
      <c r="F3351" s="5" t="str">
        <f>IFERROR(__xludf.DUMMYFUNCTION("""COMPUTED_VALUE"""),"مسجد جامع مینودشت سالن فاطمیه")</f>
        <v>مسجد جامع مینودشت سالن فاطمیه</v>
      </c>
      <c r="G3351" s="5"/>
      <c r="H3351" s="6" t="str">
        <f>IFERROR(__xludf.DUMMYFUNCTION("""COMPUTED_VALUE"""),"https://www.instagram.com/abasaleh.minodasht")</f>
        <v>https://www.instagram.com/abasaleh.minodasht</v>
      </c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</row>
    <row r="3352">
      <c r="A3352" s="5">
        <f>IFERROR(__xludf.DUMMYFUNCTION("""COMPUTED_VALUE"""),13473.0)</f>
        <v>13473</v>
      </c>
      <c r="B3352" s="5" t="str">
        <f>IFERROR(__xludf.DUMMYFUNCTION("""COMPUTED_VALUE"""),"هیأت")</f>
        <v>هیأت</v>
      </c>
      <c r="C3352" s="5" t="str">
        <f>IFERROR(__xludf.DUMMYFUNCTION("""COMPUTED_VALUE"""),"حضرت علی اصغر (ع)")</f>
        <v>حضرت علی اصغر (ع)</v>
      </c>
      <c r="D3352" s="5" t="str">
        <f>IFERROR(__xludf.DUMMYFUNCTION("""COMPUTED_VALUE"""),"گلستان")</f>
        <v>گلستان</v>
      </c>
      <c r="E3352" s="5" t="str">
        <f>IFERROR(__xludf.DUMMYFUNCTION("""COMPUTED_VALUE"""),"مینودشت")</f>
        <v>مینودشت</v>
      </c>
      <c r="F3352" s="5" t="str">
        <f>IFERROR(__xludf.DUMMYFUNCTION("""COMPUTED_VALUE"""),"مینودشت ،خیابان شهیدبشتر، مجتمع حدادی،هیئت حضرت علی‌ اصغر علیه سلام.")</f>
        <v>مینودشت ،خیابان شهیدبشتر، مجتمع حدادی،هیئت حضرت علی‌ اصغر علیه سلام.</v>
      </c>
      <c r="G3352" s="5"/>
      <c r="H3352" s="6" t="str">
        <f>IFERROR(__xludf.DUMMYFUNCTION("""COMPUTED_VALUE"""),"https://www.instagram.com/h.hazrat_aliasghar")</f>
        <v>https://www.instagram.com/h.hazrat_aliasghar</v>
      </c>
      <c r="I3352" s="5"/>
      <c r="J3352" s="5"/>
      <c r="K3352" s="5"/>
      <c r="L3352" s="5"/>
      <c r="M3352" s="5"/>
      <c r="N3352" s="5" t="str">
        <f>IFERROR(__xludf.DUMMYFUNCTION("""COMPUTED_VALUE"""),"مناسبتثی")</f>
        <v>مناسبتثی</v>
      </c>
      <c r="O3352" s="5"/>
      <c r="P3352" s="5"/>
      <c r="Q3352" s="5"/>
      <c r="R3352" s="5"/>
      <c r="S3352" s="5"/>
    </row>
    <row r="3353">
      <c r="A3353" s="5">
        <f>IFERROR(__xludf.DUMMYFUNCTION("""COMPUTED_VALUE"""),13475.0)</f>
        <v>13475</v>
      </c>
      <c r="B3353" s="5" t="str">
        <f>IFERROR(__xludf.DUMMYFUNCTION("""COMPUTED_VALUE"""),"هیأت")</f>
        <v>هیأت</v>
      </c>
      <c r="C3353" s="5" t="str">
        <f>IFERROR(__xludf.DUMMYFUNCTION("""COMPUTED_VALUE"""),"حضرت امیرالمومنین(ع) (جوانان آزادشهر)")</f>
        <v>حضرت امیرالمومنین(ع) (جوانان آزادشهر)</v>
      </c>
      <c r="D3353" s="5" t="str">
        <f>IFERROR(__xludf.DUMMYFUNCTION("""COMPUTED_VALUE"""),"گلستان")</f>
        <v>گلستان</v>
      </c>
      <c r="E3353" s="5" t="str">
        <f>IFERROR(__xludf.DUMMYFUNCTION("""COMPUTED_VALUE"""),"آزادشهر")</f>
        <v>آزادشهر</v>
      </c>
      <c r="F3353" s="5" t="str">
        <f>IFERROR(__xludf.DUMMYFUNCTION("""COMPUTED_VALUE"""),"آزادشهر ، خیابان امام - نبش قرض الحسنه - چهارراه دوم")</f>
        <v>آزادشهر ، خیابان امام - نبش قرض الحسنه - چهارراه دوم</v>
      </c>
      <c r="G3353" s="5"/>
      <c r="H3353" s="6" t="str">
        <f>IFERROR(__xludf.DUMMYFUNCTION("""COMPUTED_VALUE"""),"https://www.instagram.com/heyatamiralmomeninazadshahr")</f>
        <v>https://www.instagram.com/heyatamiralmomeninazadshahr</v>
      </c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</row>
    <row r="3354">
      <c r="A3354" s="5">
        <f>IFERROR(__xludf.DUMMYFUNCTION("""COMPUTED_VALUE"""),13477.0)</f>
        <v>13477</v>
      </c>
      <c r="B3354" s="5" t="str">
        <f>IFERROR(__xludf.DUMMYFUNCTION("""COMPUTED_VALUE"""),"هیأت")</f>
        <v>هیأت</v>
      </c>
      <c r="C3354" s="5" t="str">
        <f>IFERROR(__xludf.DUMMYFUNCTION("""COMPUTED_VALUE"""),"یاحسین (ع)")</f>
        <v>یاحسین (ع)</v>
      </c>
      <c r="D3354" s="5" t="str">
        <f>IFERROR(__xludf.DUMMYFUNCTION("""COMPUTED_VALUE"""),"گلستان")</f>
        <v>گلستان</v>
      </c>
      <c r="E3354" s="5" t="str">
        <f>IFERROR(__xludf.DUMMYFUNCTION("""COMPUTED_VALUE"""),"بندرگز")</f>
        <v>بندرگز</v>
      </c>
      <c r="F3354" s="5"/>
      <c r="G3354" s="5"/>
      <c r="H3354" s="6" t="str">
        <f>IFERROR(__xludf.DUMMYFUNCTION("""COMPUTED_VALUE"""),"https://www.instagram.com/heyat_ya_hosein")</f>
        <v>https://www.instagram.com/heyat_ya_hosein</v>
      </c>
      <c r="I3354" s="5" t="str">
        <f>IFERROR(__xludf.DUMMYFUNCTION("""COMPUTED_VALUE"""),"@heyat_ya_hosein")</f>
        <v>@heyat_ya_hosein</v>
      </c>
      <c r="J3354" s="6" t="str">
        <f>IFERROR(__xludf.DUMMYFUNCTION("""COMPUTED_VALUE"""),"https://eitaa.com/heyat_ya_hossein")</f>
        <v>https://eitaa.com/heyat_ya_hossein</v>
      </c>
      <c r="K3354" s="5"/>
      <c r="L3354" s="5"/>
      <c r="M3354" s="5"/>
      <c r="N3354" s="5"/>
      <c r="O3354" s="5"/>
      <c r="P3354" s="5"/>
      <c r="Q3354" s="5"/>
      <c r="R3354" s="5"/>
      <c r="S3354" s="5"/>
    </row>
    <row r="3355">
      <c r="A3355" s="5">
        <f>IFERROR(__xludf.DUMMYFUNCTION("""COMPUTED_VALUE"""),13500.0)</f>
        <v>13500</v>
      </c>
      <c r="B3355" s="5" t="str">
        <f>IFERROR(__xludf.DUMMYFUNCTION("""COMPUTED_VALUE"""),"هیأت")</f>
        <v>هیأت</v>
      </c>
      <c r="C3355" s="5" t="str">
        <f>IFERROR(__xludf.DUMMYFUNCTION("""COMPUTED_VALUE"""),"حسینی")</f>
        <v>حسینی</v>
      </c>
      <c r="D3355" s="5" t="str">
        <f>IFERROR(__xludf.DUMMYFUNCTION("""COMPUTED_VALUE"""),"گلستان")</f>
        <v>گلستان</v>
      </c>
      <c r="E3355" s="5" t="str">
        <f>IFERROR(__xludf.DUMMYFUNCTION("""COMPUTED_VALUE"""),"کردکوی")</f>
        <v>کردکوی</v>
      </c>
      <c r="F3355" s="5"/>
      <c r="G3355" s="5"/>
      <c r="H3355" s="6" t="str">
        <f>IFERROR(__xludf.DUMMYFUNCTION("""COMPUTED_VALUE"""),"https://www.instagram.com/khiabangorgan")</f>
        <v>https://www.instagram.com/khiabangorgan</v>
      </c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</row>
    <row r="3356">
      <c r="A3356" s="5">
        <f>IFERROR(__xludf.DUMMYFUNCTION("""COMPUTED_VALUE"""),13501.0)</f>
        <v>13501</v>
      </c>
      <c r="B3356" s="5" t="str">
        <f>IFERROR(__xludf.DUMMYFUNCTION("""COMPUTED_VALUE"""),"هیأت")</f>
        <v>هیأت</v>
      </c>
      <c r="C3356" s="5" t="str">
        <f>IFERROR(__xludf.DUMMYFUNCTION("""COMPUTED_VALUE"""),"خادم الجواد (ع)")</f>
        <v>خادم الجواد (ع)</v>
      </c>
      <c r="D3356" s="5" t="str">
        <f>IFERROR(__xludf.DUMMYFUNCTION("""COMPUTED_VALUE"""),"گلستان")</f>
        <v>گلستان</v>
      </c>
      <c r="E3356" s="5" t="str">
        <f>IFERROR(__xludf.DUMMYFUNCTION("""COMPUTED_VALUE"""),"گرگان")</f>
        <v>گرگان</v>
      </c>
      <c r="F3356" s="5"/>
      <c r="G3356" s="5"/>
      <c r="H3356" s="6" t="str">
        <f>IFERROR(__xludf.DUMMYFUNCTION("""COMPUTED_VALUE"""),"https://www.instagram.com/khademoljavad.ir")</f>
        <v>https://www.instagram.com/khademoljavad.ir</v>
      </c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</row>
    <row r="3357">
      <c r="A3357" s="5">
        <f>IFERROR(__xludf.DUMMYFUNCTION("""COMPUTED_VALUE"""),13502.0)</f>
        <v>13502</v>
      </c>
      <c r="B3357" s="5" t="str">
        <f>IFERROR(__xludf.DUMMYFUNCTION("""COMPUTED_VALUE"""),"هیأت")</f>
        <v>هیأت</v>
      </c>
      <c r="C3357" s="5" t="str">
        <f>IFERROR(__xludf.DUMMYFUNCTION("""COMPUTED_VALUE"""),"رزمندگان اسلام")</f>
        <v>رزمندگان اسلام</v>
      </c>
      <c r="D3357" s="5" t="str">
        <f>IFERROR(__xludf.DUMMYFUNCTION("""COMPUTED_VALUE"""),"گلستان")</f>
        <v>گلستان</v>
      </c>
      <c r="E3357" s="5" t="str">
        <f>IFERROR(__xludf.DUMMYFUNCTION("""COMPUTED_VALUE"""),"کلاله")</f>
        <v>کلاله</v>
      </c>
      <c r="F3357" s="5"/>
      <c r="G3357" s="5"/>
      <c r="H3357" s="6" t="str">
        <f>IFERROR(__xludf.DUMMYFUNCTION("""COMPUTED_VALUE"""),"https://www.instagram.com/razmandegan_kalale")</f>
        <v>https://www.instagram.com/razmandegan_kalale</v>
      </c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</row>
    <row r="3358">
      <c r="A3358" s="5">
        <f>IFERROR(__xludf.DUMMYFUNCTION("""COMPUTED_VALUE"""),18193.0)</f>
        <v>18193</v>
      </c>
      <c r="B3358" s="5" t="str">
        <f>IFERROR(__xludf.DUMMYFUNCTION("""COMPUTED_VALUE"""),"هیأت")</f>
        <v>هیأت</v>
      </c>
      <c r="C3358" s="5" t="str">
        <f>IFERROR(__xludf.DUMMYFUNCTION("""COMPUTED_VALUE"""),"مجموعه فرهنگی محفل اشک (رهروان ولایت)")</f>
        <v>مجموعه فرهنگی محفل اشک (رهروان ولایت)</v>
      </c>
      <c r="D3358" s="5" t="str">
        <f>IFERROR(__xludf.DUMMYFUNCTION("""COMPUTED_VALUE"""),"گلستان")</f>
        <v>گلستان</v>
      </c>
      <c r="E3358" s="5" t="str">
        <f>IFERROR(__xludf.DUMMYFUNCTION("""COMPUTED_VALUE"""),"آزادشهر")</f>
        <v>آزادشهر</v>
      </c>
      <c r="F3358" s="5"/>
      <c r="G3358" s="5"/>
      <c r="H3358" s="6" t="str">
        <f>IFERROR(__xludf.DUMMYFUNCTION("""COMPUTED_VALUE"""),"https://instagram.com/rahrovan_velayat_ir")</f>
        <v>https://instagram.com/rahrovan_velayat_ir</v>
      </c>
      <c r="I3358" s="6" t="str">
        <f>IFERROR(__xludf.DUMMYFUNCTION("""COMPUTED_VALUE"""),"https://t.me/rahrovan_velayat_ir ")</f>
        <v>https://t.me/rahrovan_velayat_ir </v>
      </c>
      <c r="J3358" s="6" t="str">
        <f>IFERROR(__xludf.DUMMYFUNCTION("""COMPUTED_VALUE"""),"https://eitaa.com/rahrovan_velayat_ir")</f>
        <v>https://eitaa.com/rahrovan_velayat_ir</v>
      </c>
      <c r="K3358" s="5"/>
      <c r="L3358" s="5"/>
      <c r="M3358" s="5"/>
      <c r="N3358" s="5"/>
      <c r="O3358" s="5"/>
      <c r="P3358" s="5"/>
      <c r="Q3358" s="5"/>
      <c r="R3358" s="5"/>
      <c r="S3358" s="5"/>
    </row>
    <row r="3359">
      <c r="A3359" s="5">
        <f>IFERROR(__xludf.DUMMYFUNCTION("""COMPUTED_VALUE"""),18197.0)</f>
        <v>18197</v>
      </c>
      <c r="B3359" s="5" t="str">
        <f>IFERROR(__xludf.DUMMYFUNCTION("""COMPUTED_VALUE"""),"هیأت")</f>
        <v>هیأت</v>
      </c>
      <c r="C3359" s="5" t="str">
        <f>IFERROR(__xludf.DUMMYFUNCTION("""COMPUTED_VALUE"""),"جوانان متوسلین به ائمه اطهار (ع)")</f>
        <v>جوانان متوسلین به ائمه اطهار (ع)</v>
      </c>
      <c r="D3359" s="5" t="str">
        <f>IFERROR(__xludf.DUMMYFUNCTION("""COMPUTED_VALUE"""),"گلستان")</f>
        <v>گلستان</v>
      </c>
      <c r="E3359" s="5" t="str">
        <f>IFERROR(__xludf.DUMMYFUNCTION("""COMPUTED_VALUE"""),"فاضل آباد")</f>
        <v>فاضل آباد</v>
      </c>
      <c r="F3359" s="5"/>
      <c r="G3359" s="5"/>
      <c r="H3359" s="6" t="str">
        <f>IFERROR(__xludf.DUMMYFUNCTION("""COMPUTED_VALUE"""),"https://www.instagram.com/heyatiha14")</f>
        <v>https://www.instagram.com/heyatiha14</v>
      </c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</row>
    <row r="3360">
      <c r="A3360" s="5">
        <f>IFERROR(__xludf.DUMMYFUNCTION("""COMPUTED_VALUE"""),18198.0)</f>
        <v>18198</v>
      </c>
      <c r="B3360" s="5" t="str">
        <f>IFERROR(__xludf.DUMMYFUNCTION("""COMPUTED_VALUE"""),"هیأت تعزیه")</f>
        <v>هیأت تعزیه</v>
      </c>
      <c r="C3360" s="5" t="str">
        <f>IFERROR(__xludf.DUMMYFUNCTION("""COMPUTED_VALUE"""),"تعزیه حضرت ابوالفضل(ع)")</f>
        <v>تعزیه حضرت ابوالفضل(ع)</v>
      </c>
      <c r="D3360" s="5" t="str">
        <f>IFERROR(__xludf.DUMMYFUNCTION("""COMPUTED_VALUE"""),"گلستان")</f>
        <v>گلستان</v>
      </c>
      <c r="E3360" s="5" t="str">
        <f>IFERROR(__xludf.DUMMYFUNCTION("""COMPUTED_VALUE"""),"علی آباد کتول")</f>
        <v>علی آباد کتول</v>
      </c>
      <c r="F3360" s="5" t="str">
        <f>IFERROR(__xludf.DUMMYFUNCTION("""COMPUTED_VALUE""")," استان گلستان شهرستان علی آباد کتول ، محله .جنگلده . جنگلده ۳۹ بیت العباس
")</f>
        <v> استان گلستان شهرستان علی آباد کتول ، محله .جنگلده . جنگلده ۳۹ بیت العباس
</v>
      </c>
      <c r="G3360" s="5"/>
      <c r="H3360" s="6" t="str">
        <f>IFERROR(__xludf.DUMMYFUNCTION("""COMPUTED_VALUE"""),"https://www.instagram.com/ht_hazrateabolfazl")</f>
        <v>https://www.instagram.com/ht_hazrateabolfazl</v>
      </c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</row>
    <row r="3361">
      <c r="A3361" s="5">
        <f>IFERROR(__xludf.DUMMYFUNCTION("""COMPUTED_VALUE"""),18200.0)</f>
        <v>18200</v>
      </c>
      <c r="B3361" s="5" t="str">
        <f>IFERROR(__xludf.DUMMYFUNCTION("""COMPUTED_VALUE"""),"هیأت")</f>
        <v>هیأت</v>
      </c>
      <c r="C3361" s="5" t="str">
        <f>IFERROR(__xludf.DUMMYFUNCTION("""COMPUTED_VALUE"""),"مسجد صاحب الزمان(عج)")</f>
        <v>مسجد صاحب الزمان(عج)</v>
      </c>
      <c r="D3361" s="5" t="str">
        <f>IFERROR(__xludf.DUMMYFUNCTION("""COMPUTED_VALUE"""),"گلستان")</f>
        <v>گلستان</v>
      </c>
      <c r="E3361" s="5" t="str">
        <f>IFERROR(__xludf.DUMMYFUNCTION("""COMPUTED_VALUE"""),"علی آباد کتول")</f>
        <v>علی آباد کتول</v>
      </c>
      <c r="F3361" s="5"/>
      <c r="G3361" s="5"/>
      <c r="H3361" s="6" t="str">
        <f>IFERROR(__xludf.DUMMYFUNCTION("""COMPUTED_VALUE"""),"https://www.instagram.com/masjed_sahebalzaman_aliabad")</f>
        <v>https://www.instagram.com/masjed_sahebalzaman_aliabad</v>
      </c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</row>
    <row r="3362">
      <c r="A3362" s="5">
        <f>IFERROR(__xludf.DUMMYFUNCTION("""COMPUTED_VALUE"""),18201.0)</f>
        <v>18201</v>
      </c>
      <c r="B3362" s="5" t="str">
        <f>IFERROR(__xludf.DUMMYFUNCTION("""COMPUTED_VALUE"""),"هیأت")</f>
        <v>هیأت</v>
      </c>
      <c r="C3362" s="5" t="str">
        <f>IFERROR(__xludf.DUMMYFUNCTION("""COMPUTED_VALUE"""),"مسجد امام رضا(ع)")</f>
        <v>مسجد امام رضا(ع)</v>
      </c>
      <c r="D3362" s="5" t="str">
        <f>IFERROR(__xludf.DUMMYFUNCTION("""COMPUTED_VALUE"""),"گلستان")</f>
        <v>گلستان</v>
      </c>
      <c r="E3362" s="5" t="str">
        <f>IFERROR(__xludf.DUMMYFUNCTION("""COMPUTED_VALUE"""),"گرگان")</f>
        <v>گرگان</v>
      </c>
      <c r="F3362" s="5"/>
      <c r="G3362" s="5"/>
      <c r="H3362" s="6" t="str">
        <f>IFERROR(__xludf.DUMMYFUNCTION("""COMPUTED_VALUE"""),"https://www.instagram.com/masjed.emamreza.gorgan")</f>
        <v>https://www.instagram.com/masjed.emamreza.gorgan</v>
      </c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</row>
    <row r="3363">
      <c r="A3363" s="5">
        <f>IFERROR(__xludf.DUMMYFUNCTION("""COMPUTED_VALUE"""),18202.0)</f>
        <v>18202</v>
      </c>
      <c r="B3363" s="5" t="str">
        <f>IFERROR(__xludf.DUMMYFUNCTION("""COMPUTED_VALUE"""),"هیأت")</f>
        <v>هیأت</v>
      </c>
      <c r="C3363" s="5" t="str">
        <f>IFERROR(__xludf.DUMMYFUNCTION("""COMPUTED_VALUE"""),"رزمندگان اسلام")</f>
        <v>رزمندگان اسلام</v>
      </c>
      <c r="D3363" s="5" t="str">
        <f>IFERROR(__xludf.DUMMYFUNCTION("""COMPUTED_VALUE"""),"گلستان")</f>
        <v>گلستان</v>
      </c>
      <c r="E3363" s="5" t="str">
        <f>IFERROR(__xludf.DUMMYFUNCTION("""COMPUTED_VALUE"""),"گرگان")</f>
        <v>گرگان</v>
      </c>
      <c r="F3363" s="5"/>
      <c r="G3363" s="5"/>
      <c r="H3363" s="6" t="str">
        <f>IFERROR(__xludf.DUMMYFUNCTION("""COMPUTED_VALUE"""),"https://www.instagram.com/razmandegan.eslam.gor")</f>
        <v>https://www.instagram.com/razmandegan.eslam.gor</v>
      </c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</row>
    <row r="3364">
      <c r="A3364" s="5">
        <f>IFERROR(__xludf.DUMMYFUNCTION("""COMPUTED_VALUE"""),18208.0)</f>
        <v>18208</v>
      </c>
      <c r="B3364" s="5" t="str">
        <f>IFERROR(__xludf.DUMMYFUNCTION("""COMPUTED_VALUE"""),"هیأت")</f>
        <v>هیأت</v>
      </c>
      <c r="C3364" s="5" t="str">
        <f>IFERROR(__xludf.DUMMYFUNCTION("""COMPUTED_VALUE"""),"محبین امیرالمومنین (ع)")</f>
        <v>محبین امیرالمومنین (ع)</v>
      </c>
      <c r="D3364" s="5" t="str">
        <f>IFERROR(__xludf.DUMMYFUNCTION("""COMPUTED_VALUE"""),"گلستان")</f>
        <v>گلستان</v>
      </c>
      <c r="E3364" s="5" t="str">
        <f>IFERROR(__xludf.DUMMYFUNCTION("""COMPUTED_VALUE"""),"بندرگز")</f>
        <v>بندرگز</v>
      </c>
      <c r="F3364" s="5"/>
      <c r="G3364" s="5"/>
      <c r="H3364" s="6" t="str">
        <f>IFERROR(__xludf.DUMMYFUNCTION("""COMPUTED_VALUE"""),"https://www.instagram.com/mohebanali_110")</f>
        <v>https://www.instagram.com/mohebanali_110</v>
      </c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</row>
    <row r="3365">
      <c r="A3365" s="5">
        <f>IFERROR(__xludf.DUMMYFUNCTION("""COMPUTED_VALUE"""),18216.0)</f>
        <v>18216</v>
      </c>
      <c r="B3365" s="5" t="str">
        <f>IFERROR(__xludf.DUMMYFUNCTION("""COMPUTED_VALUE"""),"هیأت")</f>
        <v>هیأت</v>
      </c>
      <c r="C3365" s="5" t="str">
        <f>IFERROR(__xludf.DUMMYFUNCTION("""COMPUTED_VALUE"""),"میثاق الحسین(ع)")</f>
        <v>میثاق الحسین(ع)</v>
      </c>
      <c r="D3365" s="5" t="str">
        <f>IFERROR(__xludf.DUMMYFUNCTION("""COMPUTED_VALUE"""),"گلستان")</f>
        <v>گلستان</v>
      </c>
      <c r="E3365" s="5" t="str">
        <f>IFERROR(__xludf.DUMMYFUNCTION("""COMPUTED_VALUE"""),"گرگان")</f>
        <v>گرگان</v>
      </c>
      <c r="F3365" s="5"/>
      <c r="G3365" s="5"/>
      <c r="H3365" s="6" t="str">
        <f>IFERROR(__xludf.DUMMYFUNCTION("""COMPUTED_VALUE"""),"https://www.instagram.com/heyat.misaghalhossein.gorgan")</f>
        <v>https://www.instagram.com/heyat.misaghalhossein.gorgan</v>
      </c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</row>
    <row r="3366">
      <c r="A3366" s="5">
        <f>IFERROR(__xludf.DUMMYFUNCTION("""COMPUTED_VALUE"""),18217.0)</f>
        <v>18217</v>
      </c>
      <c r="B3366" s="5" t="str">
        <f>IFERROR(__xludf.DUMMYFUNCTION("""COMPUTED_VALUE"""),"کانون")</f>
        <v>کانون</v>
      </c>
      <c r="C3366" s="5" t="str">
        <f>IFERROR(__xludf.DUMMYFUNCTION("""COMPUTED_VALUE"""),"مجموعه فرهنگی مذهبی الزهرا (س)")</f>
        <v>مجموعه فرهنگی مذهبی الزهرا (س)</v>
      </c>
      <c r="D3366" s="5" t="str">
        <f>IFERROR(__xludf.DUMMYFUNCTION("""COMPUTED_VALUE"""),"گلستان")</f>
        <v>گلستان</v>
      </c>
      <c r="E3366" s="5" t="str">
        <f>IFERROR(__xludf.DUMMYFUNCTION("""COMPUTED_VALUE"""),"گنبد کاووس")</f>
        <v>گنبد کاووس</v>
      </c>
      <c r="F3366" s="5" t="str">
        <f>IFERROR(__xludf.DUMMYFUNCTION("""COMPUTED_VALUE"""),"گنبد ٫ بلوار دانشجو ٫ ۲۰متری شقایق / مسجد و پایگاه امام جعفر صادق (ع) / مجموعه فرهنگی الزهرا سلام‌الله‌علیها")</f>
        <v>گنبد ٫ بلوار دانشجو ٫ ۲۰متری شقایق / مسجد و پایگاه امام جعفر صادق (ع) / مجموعه فرهنگی الزهرا سلام‌الله‌علیها</v>
      </c>
      <c r="G3366" s="5"/>
      <c r="H3366" s="5"/>
      <c r="I3366" s="5"/>
      <c r="J3366" s="6" t="str">
        <f>IFERROR(__xludf.DUMMYFUNCTION("""COMPUTED_VALUE"""),"https://eitaa.com/alzahra135")</f>
        <v>https://eitaa.com/alzahra135</v>
      </c>
      <c r="K3366" s="5"/>
      <c r="L3366" s="5"/>
      <c r="M3366" s="5"/>
      <c r="N3366" s="5" t="str">
        <f>IFERROR(__xludf.DUMMYFUNCTION("""COMPUTED_VALUE"""),"مناسبتی")</f>
        <v>مناسبتی</v>
      </c>
      <c r="O3366" s="5"/>
      <c r="P3366" s="5"/>
      <c r="Q3366" s="5"/>
      <c r="R3366" s="5"/>
      <c r="S3366" s="5"/>
    </row>
    <row r="3367">
      <c r="A3367" s="5">
        <f>IFERROR(__xludf.DUMMYFUNCTION("""COMPUTED_VALUE"""),18218.0)</f>
        <v>18218</v>
      </c>
      <c r="B3367" s="5" t="str">
        <f>IFERROR(__xludf.DUMMYFUNCTION("""COMPUTED_VALUE"""),"هیأت")</f>
        <v>هیأت</v>
      </c>
      <c r="C3367" s="5" t="str">
        <f>IFERROR(__xludf.DUMMYFUNCTION("""COMPUTED_VALUE"""),"روضه العباس (ع)")</f>
        <v>روضه العباس (ع)</v>
      </c>
      <c r="D3367" s="5" t="str">
        <f>IFERROR(__xludf.DUMMYFUNCTION("""COMPUTED_VALUE"""),"گلستان")</f>
        <v>گلستان</v>
      </c>
      <c r="E3367" s="5" t="str">
        <f>IFERROR(__xludf.DUMMYFUNCTION("""COMPUTED_VALUE"""),"گنبد کاووس")</f>
        <v>گنبد کاووس</v>
      </c>
      <c r="F3367" s="5"/>
      <c r="G3367" s="5">
        <f>IFERROR(__xludf.DUMMYFUNCTION("""COMPUTED_VALUE"""),1.0)</f>
        <v>1</v>
      </c>
      <c r="H3367" s="6" t="str">
        <f>IFERROR(__xludf.DUMMYFUNCTION("""COMPUTED_VALUE"""),"https://www.instagram.com/rozat_133ir")</f>
        <v>https://www.instagram.com/rozat_133ir</v>
      </c>
      <c r="I3367" s="6" t="str">
        <f>IFERROR(__xludf.DUMMYFUNCTION("""COMPUTED_VALUE"""),"https://t.me/rozat_133ir")</f>
        <v>https://t.me/rozat_133ir</v>
      </c>
      <c r="J3367" s="5"/>
      <c r="K3367" s="5"/>
      <c r="L3367" s="5"/>
      <c r="M3367" s="5"/>
      <c r="N3367" s="5"/>
      <c r="O3367" s="5"/>
      <c r="P3367" s="5"/>
      <c r="Q3367" s="5"/>
      <c r="R3367" s="5"/>
      <c r="S3367" s="5"/>
    </row>
    <row r="3368">
      <c r="A3368" s="5">
        <f>IFERROR(__xludf.DUMMYFUNCTION("""COMPUTED_VALUE"""),18219.0)</f>
        <v>18219</v>
      </c>
      <c r="B3368" s="5" t="str">
        <f>IFERROR(__xludf.DUMMYFUNCTION("""COMPUTED_VALUE"""),"هیأت")</f>
        <v>هیأت</v>
      </c>
      <c r="C3368" s="5" t="str">
        <f>IFERROR(__xludf.DUMMYFUNCTION("""COMPUTED_VALUE"""),"بیت الرقیه (س)")</f>
        <v>بیت الرقیه (س)</v>
      </c>
      <c r="D3368" s="5" t="str">
        <f>IFERROR(__xludf.DUMMYFUNCTION("""COMPUTED_VALUE"""),"گلستان")</f>
        <v>گلستان</v>
      </c>
      <c r="E3368" s="5" t="str">
        <f>IFERROR(__xludf.DUMMYFUNCTION("""COMPUTED_VALUE"""),"گنبد کاووس")</f>
        <v>گنبد کاووس</v>
      </c>
      <c r="F3368" s="5"/>
      <c r="G3368" s="5"/>
      <c r="H3368" s="6" t="str">
        <f>IFERROR(__xludf.DUMMYFUNCTION("""COMPUTED_VALUE"""),"https://www.instagram.com/rozatolroghaie")</f>
        <v>https://www.instagram.com/rozatolroghaie</v>
      </c>
      <c r="I3368" s="6" t="str">
        <f>IFERROR(__xludf.DUMMYFUNCTION("""COMPUTED_VALUE"""),"https://t.me/Roztolroghaye")</f>
        <v>https://t.me/Roztolroghaye</v>
      </c>
      <c r="J3368" s="5"/>
      <c r="K3368" s="5"/>
      <c r="L3368" s="5"/>
      <c r="M3368" s="5"/>
      <c r="N3368" s="5"/>
      <c r="O3368" s="5"/>
      <c r="P3368" s="5"/>
      <c r="Q3368" s="5"/>
      <c r="R3368" s="5"/>
      <c r="S3368" s="5"/>
    </row>
    <row r="3369">
      <c r="A3369" s="5">
        <f>IFERROR(__xludf.DUMMYFUNCTION("""COMPUTED_VALUE"""),18787.0)</f>
        <v>18787</v>
      </c>
      <c r="B3369" s="5" t="str">
        <f>IFERROR(__xludf.DUMMYFUNCTION("""COMPUTED_VALUE"""),"هیأت")</f>
        <v>هیأت</v>
      </c>
      <c r="C3369" s="5" t="str">
        <f>IFERROR(__xludf.DUMMYFUNCTION("""COMPUTED_VALUE"""),"متوسلین حضرت زینب(س)")</f>
        <v>متوسلین حضرت زینب(س)</v>
      </c>
      <c r="D3369" s="5" t="str">
        <f>IFERROR(__xludf.DUMMYFUNCTION("""COMPUTED_VALUE"""),"گلستان")</f>
        <v>گلستان</v>
      </c>
      <c r="E3369" s="5" t="str">
        <f>IFERROR(__xludf.DUMMYFUNCTION("""COMPUTED_VALUE"""),"کلاله")</f>
        <v>کلاله</v>
      </c>
      <c r="F3369" s="5"/>
      <c r="G3369" s="5"/>
      <c r="H3369" s="6" t="str">
        <f>IFERROR(__xludf.DUMMYFUNCTION("""COMPUTED_VALUE"""),"https://www.instagram.com/zeynabiyeh_kalaleh")</f>
        <v>https://www.instagram.com/zeynabiyeh_kalaleh</v>
      </c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</row>
    <row r="3370">
      <c r="A3370" s="5">
        <f>IFERROR(__xludf.DUMMYFUNCTION("""COMPUTED_VALUE"""),18793.0)</f>
        <v>18793</v>
      </c>
      <c r="B3370" s="5" t="str">
        <f>IFERROR(__xludf.DUMMYFUNCTION("""COMPUTED_VALUE"""),"هیأت")</f>
        <v>هیأت</v>
      </c>
      <c r="C3370" s="5" t="str">
        <f>IFERROR(__xludf.DUMMYFUNCTION("""COMPUTED_VALUE"""),"رزمندگان اسلام / پیروان عترت (خواهران)")</f>
        <v>رزمندگان اسلام / پیروان عترت (خواهران)</v>
      </c>
      <c r="D3370" s="5" t="str">
        <f>IFERROR(__xludf.DUMMYFUNCTION("""COMPUTED_VALUE"""),"گلستان")</f>
        <v>گلستان</v>
      </c>
      <c r="E3370" s="5" t="str">
        <f>IFERROR(__xludf.DUMMYFUNCTION("""COMPUTED_VALUE"""),"کلاله")</f>
        <v>کلاله</v>
      </c>
      <c r="F3370" s="5"/>
      <c r="G3370" s="5"/>
      <c r="H3370" s="6" t="str">
        <f>IFERROR(__xludf.DUMMYFUNCTION("""COMPUTED_VALUE"""),"https://www.instagram.com/peyrovanetrat")</f>
        <v>https://www.instagram.com/peyrovanetrat</v>
      </c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</row>
    <row r="3371">
      <c r="A3371" s="5">
        <f>IFERROR(__xludf.DUMMYFUNCTION("""COMPUTED_VALUE"""),19120.0)</f>
        <v>19120</v>
      </c>
      <c r="B3371" s="5" t="str">
        <f>IFERROR(__xludf.DUMMYFUNCTION("""COMPUTED_VALUE"""),"هیأت")</f>
        <v>هیأت</v>
      </c>
      <c r="C3371" s="5" t="str">
        <f>IFERROR(__xludf.DUMMYFUNCTION("""COMPUTED_VALUE"""),"مهدویون")</f>
        <v>مهدویون</v>
      </c>
      <c r="D3371" s="5" t="str">
        <f>IFERROR(__xludf.DUMMYFUNCTION("""COMPUTED_VALUE"""),"گلستان")</f>
        <v>گلستان</v>
      </c>
      <c r="E3371" s="5" t="str">
        <f>IFERROR(__xludf.DUMMYFUNCTION("""COMPUTED_VALUE"""),"گرگان")</f>
        <v>گرگان</v>
      </c>
      <c r="F3371" s="5" t="str">
        <f>IFERROR(__xludf.DUMMYFUNCTION("""COMPUTED_VALUE"""),"گرگان،خ شهدا ،لاله ۶ ،محله میخچه گران،حسینه بخشیانی ها")</f>
        <v>گرگان،خ شهدا ،لاله ۶ ،محله میخچه گران،حسینه بخشیانی ها</v>
      </c>
      <c r="G3371" s="5">
        <f>IFERROR(__xludf.DUMMYFUNCTION("""COMPUTED_VALUE"""),1.0)</f>
        <v>1</v>
      </c>
      <c r="H3371" s="6" t="str">
        <f>IFERROR(__xludf.DUMMYFUNCTION("""COMPUTED_VALUE"""),"https://www.instagram.com/mahdaviun_gorgan")</f>
        <v>https://www.instagram.com/mahdaviun_gorgan</v>
      </c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</row>
    <row r="3372">
      <c r="A3372" s="5">
        <f>IFERROR(__xludf.DUMMYFUNCTION("""COMPUTED_VALUE"""),19151.0)</f>
        <v>19151</v>
      </c>
      <c r="B3372" s="5" t="str">
        <f>IFERROR(__xludf.DUMMYFUNCTION("""COMPUTED_VALUE"""),"هیأت")</f>
        <v>هیأت</v>
      </c>
      <c r="C3372" s="5" t="str">
        <f>IFERROR(__xludf.DUMMYFUNCTION("""COMPUTED_VALUE"""),"چهارده معصوم(ع)")</f>
        <v>چهارده معصوم(ع)</v>
      </c>
      <c r="D3372" s="5" t="str">
        <f>IFERROR(__xludf.DUMMYFUNCTION("""COMPUTED_VALUE"""),"گلستان")</f>
        <v>گلستان</v>
      </c>
      <c r="E3372" s="5" t="str">
        <f>IFERROR(__xludf.DUMMYFUNCTION("""COMPUTED_VALUE"""),"گرگان")</f>
        <v>گرگان</v>
      </c>
      <c r="F3372" s="5"/>
      <c r="G3372" s="5"/>
      <c r="H3372" s="6" t="str">
        <f>IFERROR(__xludf.DUMMYFUNCTION("""COMPUTED_VALUE"""),"https://www.instagram.com/chahardah.masom_ozinee")</f>
        <v>https://www.instagram.com/chahardah.masom_ozinee</v>
      </c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</row>
    <row r="3373">
      <c r="A3373" s="5">
        <f>IFERROR(__xludf.DUMMYFUNCTION("""COMPUTED_VALUE"""),19814.0)</f>
        <v>19814</v>
      </c>
      <c r="B3373" s="5" t="str">
        <f>IFERROR(__xludf.DUMMYFUNCTION("""COMPUTED_VALUE"""),"هیأت")</f>
        <v>هیأت</v>
      </c>
      <c r="C3373" s="5" t="str">
        <f>IFERROR(__xludf.DUMMYFUNCTION("""COMPUTED_VALUE"""),"محبین مهدی (عج) (محله امام رضا(ع))")</f>
        <v>محبین مهدی (عج) (محله امام رضا(ع))</v>
      </c>
      <c r="D3373" s="5" t="str">
        <f>IFERROR(__xludf.DUMMYFUNCTION("""COMPUTED_VALUE"""),"گلستان")</f>
        <v>گلستان</v>
      </c>
      <c r="E3373" s="5" t="str">
        <f>IFERROR(__xludf.DUMMYFUNCTION("""COMPUTED_VALUE"""),"گرگان")</f>
        <v>گرگان</v>
      </c>
      <c r="F3373" s="5"/>
      <c r="G3373" s="5"/>
      <c r="H3373" s="6" t="str">
        <f>IFERROR(__xludf.DUMMYFUNCTION("""COMPUTED_VALUE"""),"https://www.instagram.com/mohebbin_gorgan")</f>
        <v>https://www.instagram.com/mohebbin_gorgan</v>
      </c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</row>
    <row r="3374">
      <c r="A3374" s="5">
        <f>IFERROR(__xludf.DUMMYFUNCTION("""COMPUTED_VALUE"""),20374.0)</f>
        <v>20374</v>
      </c>
      <c r="B3374" s="5" t="str">
        <f>IFERROR(__xludf.DUMMYFUNCTION("""COMPUTED_VALUE"""),"هیأت")</f>
        <v>هیأت</v>
      </c>
      <c r="C3374" s="5" t="str">
        <f>IFERROR(__xludf.DUMMYFUNCTION("""COMPUTED_VALUE"""),"احرار المهدی")</f>
        <v>احرار المهدی</v>
      </c>
      <c r="D3374" s="5" t="str">
        <f>IFERROR(__xludf.DUMMYFUNCTION("""COMPUTED_VALUE"""),"گلستان")</f>
        <v>گلستان</v>
      </c>
      <c r="E3374" s="5" t="str">
        <f>IFERROR(__xludf.DUMMYFUNCTION("""COMPUTED_VALUE"""),"گرگان")</f>
        <v>گرگان</v>
      </c>
      <c r="F3374" s="5"/>
      <c r="G3374" s="5"/>
      <c r="H3374" s="6" t="str">
        <f>IFERROR(__xludf.DUMMYFUNCTION("""COMPUTED_VALUE"""),"https://www.instagram.com/ahraralmahdi.313")</f>
        <v>https://www.instagram.com/ahraralmahdi.313</v>
      </c>
      <c r="I3374" s="5"/>
      <c r="J3374" s="5" t="str">
        <f>IFERROR(__xludf.DUMMYFUNCTION("""COMPUTED_VALUE"""),"@ahraralmahdi313")</f>
        <v>@ahraralmahdi313</v>
      </c>
      <c r="K3374" s="5"/>
      <c r="L3374" s="5"/>
      <c r="M3374" s="5"/>
      <c r="N3374" s="5"/>
      <c r="O3374" s="5"/>
      <c r="P3374" s="5"/>
      <c r="Q3374" s="5"/>
      <c r="R3374" s="5"/>
      <c r="S3374" s="5"/>
    </row>
    <row r="3375">
      <c r="A3375" s="5">
        <f>IFERROR(__xludf.DUMMYFUNCTION("""COMPUTED_VALUE"""),20794.0)</f>
        <v>20794</v>
      </c>
      <c r="B3375" s="5" t="str">
        <f>IFERROR(__xludf.DUMMYFUNCTION("""COMPUTED_VALUE"""),"هیأت")</f>
        <v>هیأت</v>
      </c>
      <c r="C3375" s="5" t="str">
        <f>IFERROR(__xludf.DUMMYFUNCTION("""COMPUTED_VALUE"""),"محسن بن علی (ع)")</f>
        <v>محسن بن علی (ع)</v>
      </c>
      <c r="D3375" s="5" t="str">
        <f>IFERROR(__xludf.DUMMYFUNCTION("""COMPUTED_VALUE"""),"گلستان")</f>
        <v>گلستان</v>
      </c>
      <c r="E3375" s="5" t="str">
        <f>IFERROR(__xludf.DUMMYFUNCTION("""COMPUTED_VALUE"""),"گرگان")</f>
        <v>گرگان</v>
      </c>
      <c r="F3375" s="5"/>
      <c r="G3375" s="5"/>
      <c r="H3375" s="6" t="str">
        <f>IFERROR(__xludf.DUMMYFUNCTION("""COMPUTED_VALUE"""),"https://www.instagram.com/mohsenebnealia")</f>
        <v>https://www.instagram.com/mohsenebnealia</v>
      </c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</row>
    <row r="3376">
      <c r="A3376" s="5">
        <f>IFERROR(__xludf.DUMMYFUNCTION("""COMPUTED_VALUE"""),20799.0)</f>
        <v>20799</v>
      </c>
      <c r="B3376" s="5" t="str">
        <f>IFERROR(__xludf.DUMMYFUNCTION("""COMPUTED_VALUE"""),"هیأت")</f>
        <v>هیأت</v>
      </c>
      <c r="C3376" s="5" t="str">
        <f>IFERROR(__xludf.DUMMYFUNCTION("""COMPUTED_VALUE"""),"دلباختگان حضرت علی اکبر(ع)")</f>
        <v>دلباختگان حضرت علی اکبر(ع)</v>
      </c>
      <c r="D3376" s="5" t="str">
        <f>IFERROR(__xludf.DUMMYFUNCTION("""COMPUTED_VALUE"""),"گلستان")</f>
        <v>گلستان</v>
      </c>
      <c r="E3376" s="5" t="str">
        <f>IFERROR(__xludf.DUMMYFUNCTION("""COMPUTED_VALUE"""),"گرگان")</f>
        <v>گرگان</v>
      </c>
      <c r="F3376" s="5"/>
      <c r="G3376" s="5"/>
      <c r="H3376" s="6" t="str">
        <f>IFERROR(__xludf.DUMMYFUNCTION("""COMPUTED_VALUE"""),"https://www.instagram.com/delbakhtegan.ir")</f>
        <v>https://www.instagram.com/delbakhtegan.ir</v>
      </c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</row>
    <row r="3377">
      <c r="A3377" s="5">
        <f>IFERROR(__xludf.DUMMYFUNCTION("""COMPUTED_VALUE"""),20801.0)</f>
        <v>20801</v>
      </c>
      <c r="B3377" s="5" t="str">
        <f>IFERROR(__xludf.DUMMYFUNCTION("""COMPUTED_VALUE"""),"هیأت")</f>
        <v>هیأت</v>
      </c>
      <c r="C3377" s="5" t="str">
        <f>IFERROR(__xludf.DUMMYFUNCTION("""COMPUTED_VALUE"""),"نورالشهدا")</f>
        <v>نورالشهدا</v>
      </c>
      <c r="D3377" s="5" t="str">
        <f>IFERROR(__xludf.DUMMYFUNCTION("""COMPUTED_VALUE"""),"گلستان")</f>
        <v>گلستان</v>
      </c>
      <c r="E3377" s="5" t="str">
        <f>IFERROR(__xludf.DUMMYFUNCTION("""COMPUTED_VALUE"""),"گرگان")</f>
        <v>گرگان</v>
      </c>
      <c r="F3377" s="5"/>
      <c r="G3377" s="5"/>
      <c r="H3377" s="6" t="str">
        <f>IFERROR(__xludf.DUMMYFUNCTION("""COMPUTED_VALUE"""),"https://www.instagram.com/nooroshohada.ir")</f>
        <v>https://www.instagram.com/nooroshohada.ir</v>
      </c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</row>
    <row r="3378">
      <c r="A3378" s="5">
        <f>IFERROR(__xludf.DUMMYFUNCTION("""COMPUTED_VALUE"""),20802.0)</f>
        <v>20802</v>
      </c>
      <c r="B3378" s="5" t="str">
        <f>IFERROR(__xludf.DUMMYFUNCTION("""COMPUTED_VALUE"""),"هیأت")</f>
        <v>هیأت</v>
      </c>
      <c r="C3378" s="5" t="str">
        <f>IFERROR(__xludf.DUMMYFUNCTION("""COMPUTED_VALUE"""),"هیآت الرضا(ع) (مسجد امام رضا)")</f>
        <v>هیآت الرضا(ع) (مسجد امام رضا)</v>
      </c>
      <c r="D3378" s="5" t="str">
        <f>IFERROR(__xludf.DUMMYFUNCTION("""COMPUTED_VALUE"""),"گلستان")</f>
        <v>گلستان</v>
      </c>
      <c r="E3378" s="5" t="str">
        <f>IFERROR(__xludf.DUMMYFUNCTION("""COMPUTED_VALUE"""),"گرگان")</f>
        <v>گرگان</v>
      </c>
      <c r="F3378" s="5" t="str">
        <f>IFERROR(__xludf.DUMMYFUNCTION("""COMPUTED_VALUE"""),"خـیابان امـام رضـا (علیه السلام) ،
حسینیه مسـجـد امام رضـا(علیه السلام) گـرگــان")</f>
        <v>خـیابان امـام رضـا (علیه السلام) ،
حسینیه مسـجـد امام رضـا(علیه السلام) گـرگــان</v>
      </c>
      <c r="G3378" s="5">
        <f>IFERROR(__xludf.DUMMYFUNCTION("""COMPUTED_VALUE"""),1.0)</f>
        <v>1</v>
      </c>
      <c r="H3378" s="6" t="str">
        <f>IFERROR(__xludf.DUMMYFUNCTION("""COMPUTED_VALUE"""),"https://www.instagram.com/heyaatolreza")</f>
        <v>https://www.instagram.com/heyaatolreza</v>
      </c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</row>
    <row r="3379">
      <c r="A3379" s="5">
        <f>IFERROR(__xludf.DUMMYFUNCTION("""COMPUTED_VALUE"""),20803.0)</f>
        <v>20803</v>
      </c>
      <c r="B3379" s="5" t="str">
        <f>IFERROR(__xludf.DUMMYFUNCTION("""COMPUTED_VALUE"""),"هیأت")</f>
        <v>هیأت</v>
      </c>
      <c r="C3379" s="5" t="str">
        <f>IFERROR(__xludf.DUMMYFUNCTION("""COMPUTED_VALUE"""),"شهدای مدافع حرم")</f>
        <v>شهدای مدافع حرم</v>
      </c>
      <c r="D3379" s="5" t="str">
        <f>IFERROR(__xludf.DUMMYFUNCTION("""COMPUTED_VALUE"""),"گلستان")</f>
        <v>گلستان</v>
      </c>
      <c r="E3379" s="5" t="str">
        <f>IFERROR(__xludf.DUMMYFUNCTION("""COMPUTED_VALUE"""),"علی آباد کتول")</f>
        <v>علی آباد کتول</v>
      </c>
      <c r="F3379" s="5"/>
      <c r="G3379" s="5"/>
      <c r="H3379" s="6" t="str">
        <f>IFERROR(__xludf.DUMMYFUNCTION("""COMPUTED_VALUE"""),"https://www.instagram.com/shohada_m_h")</f>
        <v>https://www.instagram.com/shohada_m_h</v>
      </c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</row>
    <row r="3380">
      <c r="A3380" s="5">
        <f>IFERROR(__xludf.DUMMYFUNCTION("""COMPUTED_VALUE"""),20805.0)</f>
        <v>20805</v>
      </c>
      <c r="B3380" s="5" t="str">
        <f>IFERROR(__xludf.DUMMYFUNCTION("""COMPUTED_VALUE"""),"هیأت")</f>
        <v>هیأت</v>
      </c>
      <c r="C3380" s="5" t="str">
        <f>IFERROR(__xludf.DUMMYFUNCTION("""COMPUTED_VALUE"""),"منتظران ظهور(عج) / منتظران مهدی")</f>
        <v>منتظران ظهور(عج) / منتظران مهدی</v>
      </c>
      <c r="D3380" s="5" t="str">
        <f>IFERROR(__xludf.DUMMYFUNCTION("""COMPUTED_VALUE"""),"گلستان")</f>
        <v>گلستان</v>
      </c>
      <c r="E3380" s="5" t="str">
        <f>IFERROR(__xludf.DUMMYFUNCTION("""COMPUTED_VALUE"""),"گرگان")</f>
        <v>گرگان</v>
      </c>
      <c r="F3380" s="5" t="str">
        <f>IFERROR(__xludf.DUMMYFUNCTION("""COMPUTED_VALUE"""),"انتهای گلشن ۷، فاطمیه امامزاده نه تن")</f>
        <v>انتهای گلشن ۷، فاطمیه امامزاده نه تن</v>
      </c>
      <c r="G3380" s="5"/>
      <c r="H3380" s="6" t="str">
        <f>IFERROR(__xludf.DUMMYFUNCTION("""COMPUTED_VALUE"""),"https://www.instagram.com/montazeran_mahdi_gorgan")</f>
        <v>https://www.instagram.com/montazeran_mahdi_gorgan</v>
      </c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</row>
    <row r="3381">
      <c r="A3381" s="5">
        <f>IFERROR(__xludf.DUMMYFUNCTION("""COMPUTED_VALUE"""),20806.0)</f>
        <v>20806</v>
      </c>
      <c r="B3381" s="5" t="str">
        <f>IFERROR(__xludf.DUMMYFUNCTION("""COMPUTED_VALUE"""),"هیأت")</f>
        <v>هیأت</v>
      </c>
      <c r="C3381" s="5" t="str">
        <f>IFERROR(__xludf.DUMMYFUNCTION("""COMPUTED_VALUE"""),"رهروان حاج قاسم دانشگاهیان")</f>
        <v>رهروان حاج قاسم دانشگاهیان</v>
      </c>
      <c r="D3381" s="5" t="str">
        <f>IFERROR(__xludf.DUMMYFUNCTION("""COMPUTED_VALUE"""),"گلستان")</f>
        <v>گلستان</v>
      </c>
      <c r="E3381" s="5" t="str">
        <f>IFERROR(__xludf.DUMMYFUNCTION("""COMPUTED_VALUE"""),"گرگان")</f>
        <v>گرگان</v>
      </c>
      <c r="F3381" s="5"/>
      <c r="G3381" s="5"/>
      <c r="H3381" s="6" t="str">
        <f>IFERROR(__xludf.DUMMYFUNCTION("""COMPUTED_VALUE"""),"https://www.instagram.com/rahrovan_uni")</f>
        <v>https://www.instagram.com/rahrovan_uni</v>
      </c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</row>
    <row r="3382">
      <c r="A3382" s="5">
        <f>IFERROR(__xludf.DUMMYFUNCTION("""COMPUTED_VALUE"""),21508.0)</f>
        <v>21508</v>
      </c>
      <c r="B3382" s="5" t="str">
        <f>IFERROR(__xludf.DUMMYFUNCTION("""COMPUTED_VALUE"""),"هیأت")</f>
        <v>هیأت</v>
      </c>
      <c r="C3382" s="5" t="str">
        <f>IFERROR(__xludf.DUMMYFUNCTION("""COMPUTED_VALUE"""),"کریم اهل بیت (ع)")</f>
        <v>کریم اهل بیت (ع)</v>
      </c>
      <c r="D3382" s="5" t="str">
        <f>IFERROR(__xludf.DUMMYFUNCTION("""COMPUTED_VALUE"""),"گلستان")</f>
        <v>گلستان</v>
      </c>
      <c r="E3382" s="5" t="str">
        <f>IFERROR(__xludf.DUMMYFUNCTION("""COMPUTED_VALUE"""),"گرگان")</f>
        <v>گرگان</v>
      </c>
      <c r="F3382" s="5"/>
      <c r="G3382" s="5"/>
      <c r="H3382" s="6" t="str">
        <f>IFERROR(__xludf.DUMMYFUNCTION("""COMPUTED_VALUE"""),"https://www.instagram.com/heyat_karimahlebeyt118")</f>
        <v>https://www.instagram.com/heyat_karimahlebeyt118</v>
      </c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</row>
    <row r="3383">
      <c r="A3383" s="5">
        <f>IFERROR(__xludf.DUMMYFUNCTION("""COMPUTED_VALUE"""),21511.0)</f>
        <v>21511</v>
      </c>
      <c r="B3383" s="5" t="str">
        <f>IFERROR(__xludf.DUMMYFUNCTION("""COMPUTED_VALUE"""),"هیأت")</f>
        <v>هیأت</v>
      </c>
      <c r="C3383" s="5" t="str">
        <f>IFERROR(__xludf.DUMMYFUNCTION("""COMPUTED_VALUE"""),"حضرت بقیه الله (عج)")</f>
        <v>حضرت بقیه الله (عج)</v>
      </c>
      <c r="D3383" s="5" t="str">
        <f>IFERROR(__xludf.DUMMYFUNCTION("""COMPUTED_VALUE"""),"گلستان")</f>
        <v>گلستان</v>
      </c>
      <c r="E3383" s="5" t="str">
        <f>IFERROR(__xludf.DUMMYFUNCTION("""COMPUTED_VALUE"""),"کردکوی")</f>
        <v>کردکوی</v>
      </c>
      <c r="F3383" s="5"/>
      <c r="G3383" s="5">
        <f>IFERROR(__xludf.DUMMYFUNCTION("""COMPUTED_VALUE"""),1.0)</f>
        <v>1</v>
      </c>
      <c r="H3383" s="6" t="str">
        <f>IFERROR(__xludf.DUMMYFUNCTION("""COMPUTED_VALUE"""),"https://www.instagram.com/masjed_baghiatallah14")</f>
        <v>https://www.instagram.com/masjed_baghiatallah14</v>
      </c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</row>
    <row r="3384">
      <c r="A3384" s="5">
        <f>IFERROR(__xludf.DUMMYFUNCTION("""COMPUTED_VALUE"""),21537.0)</f>
        <v>21537</v>
      </c>
      <c r="B3384" s="5" t="str">
        <f>IFERROR(__xludf.DUMMYFUNCTION("""COMPUTED_VALUE"""),"هیأت")</f>
        <v>هیأت</v>
      </c>
      <c r="C3384" s="5" t="str">
        <f>IFERROR(__xludf.DUMMYFUNCTION("""COMPUTED_VALUE"""),"غریب مدینه")</f>
        <v>غریب مدینه</v>
      </c>
      <c r="D3384" s="5" t="str">
        <f>IFERROR(__xludf.DUMMYFUNCTION("""COMPUTED_VALUE"""),"گلستان")</f>
        <v>گلستان</v>
      </c>
      <c r="E3384" s="5" t="str">
        <f>IFERROR(__xludf.DUMMYFUNCTION("""COMPUTED_VALUE"""),"مینودشت")</f>
        <v>مینودشت</v>
      </c>
      <c r="F3384" s="5" t="str">
        <f>IFERROR(__xludf.DUMMYFUNCTION("""COMPUTED_VALUE"""),"مینودشت_خ شهیدعلیرضا_گلستان۱ _حسنیه غریب مدینه")</f>
        <v>مینودشت_خ شهیدعلیرضا_گلستان۱ _حسنیه غریب مدینه</v>
      </c>
      <c r="G3384" s="5"/>
      <c r="H3384" s="6" t="str">
        <f>IFERROR(__xludf.DUMMYFUNCTION("""COMPUTED_VALUE"""),"https://www.instagram.com/gharibemadine_info")</f>
        <v>https://www.instagram.com/gharibemadine_info</v>
      </c>
      <c r="I3384" s="6" t="str">
        <f>IFERROR(__xludf.DUMMYFUNCTION("""COMPUTED_VALUE"""),"https://t.me/gharibemadine_info")</f>
        <v>https://t.me/gharibemadine_info</v>
      </c>
      <c r="J3384" s="5"/>
      <c r="K3384" s="5"/>
      <c r="L3384" s="5"/>
      <c r="M3384" s="5"/>
      <c r="N3384" s="5" t="str">
        <f>IFERROR(__xludf.DUMMYFUNCTION("""COMPUTED_VALUE"""),"هفتگی جمعه شب ها ساعت 20")</f>
        <v>هفتگی جمعه شب ها ساعت 20</v>
      </c>
      <c r="O3384" s="5"/>
      <c r="P3384" s="5"/>
      <c r="Q3384" s="5"/>
      <c r="R3384" s="5"/>
      <c r="S3384" s="5"/>
    </row>
    <row r="3385">
      <c r="A3385" s="5">
        <f>IFERROR(__xludf.DUMMYFUNCTION("""COMPUTED_VALUE"""),21538.0)</f>
        <v>21538</v>
      </c>
      <c r="B3385" s="5" t="str">
        <f>IFERROR(__xludf.DUMMYFUNCTION("""COMPUTED_VALUE"""),"هیأت")</f>
        <v>هیأت</v>
      </c>
      <c r="C3385" s="5" t="str">
        <f>IFERROR(__xludf.DUMMYFUNCTION("""COMPUTED_VALUE"""),"امامزاده عبدالله")</f>
        <v>امامزاده عبدالله</v>
      </c>
      <c r="D3385" s="5" t="str">
        <f>IFERROR(__xludf.DUMMYFUNCTION("""COMPUTED_VALUE"""),"گلستان")</f>
        <v>گلستان</v>
      </c>
      <c r="E3385" s="5" t="str">
        <f>IFERROR(__xludf.DUMMYFUNCTION("""COMPUTED_VALUE"""),"گرگان")</f>
        <v>گرگان</v>
      </c>
      <c r="F3385" s="5"/>
      <c r="G3385" s="5"/>
      <c r="H3385" s="6" t="str">
        <f>IFERROR(__xludf.DUMMYFUNCTION("""COMPUTED_VALUE"""),"https://www.instagram.com/emamzadeh.abdollah.gorgan")</f>
        <v>https://www.instagram.com/emamzadeh.abdollah.gorgan</v>
      </c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</row>
    <row r="3386">
      <c r="A3386" s="5">
        <f>IFERROR(__xludf.DUMMYFUNCTION("""COMPUTED_VALUE"""),22437.0)</f>
        <v>22437</v>
      </c>
      <c r="B3386" s="5" t="str">
        <f>IFERROR(__xludf.DUMMYFUNCTION("""COMPUTED_VALUE"""),"حسینیه")</f>
        <v>حسینیه</v>
      </c>
      <c r="C3386" s="5" t="str">
        <f>IFERROR(__xludf.DUMMYFUNCTION("""COMPUTED_VALUE"""),"عترت")</f>
        <v>عترت</v>
      </c>
      <c r="D3386" s="5" t="str">
        <f>IFERROR(__xludf.DUMMYFUNCTION("""COMPUTED_VALUE"""),"گلستان")</f>
        <v>گلستان</v>
      </c>
      <c r="E3386" s="5" t="str">
        <f>IFERROR(__xludf.DUMMYFUNCTION("""COMPUTED_VALUE"""),"گنبد کاووس")</f>
        <v>گنبد کاووس</v>
      </c>
      <c r="F3386" s="5" t="str">
        <f>IFERROR(__xludf.DUMMYFUNCTION("""COMPUTED_VALUE"""),"گنبد کاووس، خیابان ولیعصر شمالی(سیاوش) کوچه دوازدهم")</f>
        <v>گنبد کاووس، خیابان ولیعصر شمالی(سیاوش) کوچه دوازدهم</v>
      </c>
      <c r="G3386" s="5"/>
      <c r="H3386" s="6" t="str">
        <f>IFERROR(__xludf.DUMMYFUNCTION("""COMPUTED_VALUE"""),"https://www.instagram.com/hoseynieh.etrat")</f>
        <v>https://www.instagram.com/hoseynieh.etrat</v>
      </c>
      <c r="I3386" s="5"/>
      <c r="J3386" s="5"/>
      <c r="K3386" s="5"/>
      <c r="L3386" s="5"/>
      <c r="M3386" s="5"/>
      <c r="N3386" s="5" t="str">
        <f>IFERROR(__xludf.DUMMYFUNCTION("""COMPUTED_VALUE"""),"مناسبتی")</f>
        <v>مناسبتی</v>
      </c>
      <c r="O3386" s="5"/>
      <c r="P3386" s="5"/>
      <c r="Q3386" s="5"/>
      <c r="R3386" s="5"/>
      <c r="S3386" s="5"/>
    </row>
    <row r="3387">
      <c r="A3387" s="5">
        <f>IFERROR(__xludf.DUMMYFUNCTION("""COMPUTED_VALUE"""),22710.0)</f>
        <v>22710</v>
      </c>
      <c r="B3387" s="5" t="str">
        <f>IFERROR(__xludf.DUMMYFUNCTION("""COMPUTED_VALUE"""),"شبکه")</f>
        <v>شبکه</v>
      </c>
      <c r="C3387" s="5" t="str">
        <f>IFERROR(__xludf.DUMMYFUNCTION("""COMPUTED_VALUE"""),"شبکه جوانان رضوی")</f>
        <v>شبکه جوانان رضوی</v>
      </c>
      <c r="D3387" s="5" t="str">
        <f>IFERROR(__xludf.DUMMYFUNCTION("""COMPUTED_VALUE"""),"گلستان")</f>
        <v>گلستان</v>
      </c>
      <c r="E3387" s="5" t="str">
        <f>IFERROR(__xludf.DUMMYFUNCTION("""COMPUTED_VALUE"""),"علی آباد کتول")</f>
        <v>علی آباد کتول</v>
      </c>
      <c r="F3387" s="5"/>
      <c r="G3387" s="5">
        <f>IFERROR(__xludf.DUMMYFUNCTION("""COMPUTED_VALUE"""),1.0)</f>
        <v>1</v>
      </c>
      <c r="H3387" s="6" t="str">
        <f>IFERROR(__xludf.DUMMYFUNCTION("""COMPUTED_VALUE"""),"https://www.instagram.com/aliabadshajar")</f>
        <v>https://www.instagram.com/aliabadshajar</v>
      </c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</row>
    <row r="3388">
      <c r="A3388" s="5">
        <f>IFERROR(__xludf.DUMMYFUNCTION("""COMPUTED_VALUE"""),22721.0)</f>
        <v>22721</v>
      </c>
      <c r="B3388" s="5" t="str">
        <f>IFERROR(__xludf.DUMMYFUNCTION("""COMPUTED_VALUE"""),"هیأت")</f>
        <v>هیأت</v>
      </c>
      <c r="C3388" s="5" t="str">
        <f>IFERROR(__xludf.DUMMYFUNCTION("""COMPUTED_VALUE"""),"جوانان انصارالحسین(ع)")</f>
        <v>جوانان انصارالحسین(ع)</v>
      </c>
      <c r="D3388" s="5" t="str">
        <f>IFERROR(__xludf.DUMMYFUNCTION("""COMPUTED_VALUE"""),"گلستان")</f>
        <v>گلستان</v>
      </c>
      <c r="E3388" s="5" t="str">
        <f>IFERROR(__xludf.DUMMYFUNCTION("""COMPUTED_VALUE"""),"گرگان")</f>
        <v>گرگان</v>
      </c>
      <c r="F3388" s="5"/>
      <c r="G3388" s="5"/>
      <c r="H3388" s="6" t="str">
        <f>IFERROR(__xludf.DUMMYFUNCTION("""COMPUTED_VALUE"""),"https://www.instagram.com/ansar_al.hossein")</f>
        <v>https://www.instagram.com/ansar_al.hossein</v>
      </c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</row>
    <row r="3389">
      <c r="A3389" s="5">
        <f>IFERROR(__xludf.DUMMYFUNCTION("""COMPUTED_VALUE"""),22730.0)</f>
        <v>22730</v>
      </c>
      <c r="B3389" s="5" t="str">
        <f>IFERROR(__xludf.DUMMYFUNCTION("""COMPUTED_VALUE"""),"هیأت")</f>
        <v>هیأت</v>
      </c>
      <c r="C3389" s="5" t="str">
        <f>IFERROR(__xludf.DUMMYFUNCTION("""COMPUTED_VALUE"""),"منتظران مهدی (عج)")</f>
        <v>منتظران مهدی (عج)</v>
      </c>
      <c r="D3389" s="5" t="str">
        <f>IFERROR(__xludf.DUMMYFUNCTION("""COMPUTED_VALUE"""),"گلستان")</f>
        <v>گلستان</v>
      </c>
      <c r="E3389" s="5" t="str">
        <f>IFERROR(__xludf.DUMMYFUNCTION("""COMPUTED_VALUE"""),"گنبد کاووس")</f>
        <v>گنبد کاووس</v>
      </c>
      <c r="F3389" s="5" t="str">
        <f>IFERROR(__xludf.DUMMYFUNCTION("""COMPUTED_VALUE"""),"گنبد کاووس سیداباد مسجد حضرت ابوالفضل")</f>
        <v>گنبد کاووس سیداباد مسجد حضرت ابوالفضل</v>
      </c>
      <c r="G3389" s="5"/>
      <c r="H3389" s="6" t="str">
        <f>IFERROR(__xludf.DUMMYFUNCTION("""COMPUTED_VALUE"""),"https://www.instagram.com/313montazeran_com")</f>
        <v>https://www.instagram.com/313montazeran_com</v>
      </c>
      <c r="I3389" s="6" t="str">
        <f>IFERROR(__xludf.DUMMYFUNCTION("""COMPUTED_VALUE"""),"https://t.me/montazeran_mahdi_aj_gonbad")</f>
        <v>https://t.me/montazeran_mahdi_aj_gonbad</v>
      </c>
      <c r="J3389" s="5"/>
      <c r="K3389" s="5"/>
      <c r="L3389" s="5"/>
      <c r="M3389" s="5"/>
      <c r="N3389" s="5" t="str">
        <f>IFERROR(__xludf.DUMMYFUNCTION("""COMPUTED_VALUE"""),"جمعه بعد از نمازمغرب وعشاء، زیارت عاشورا وسینه زنی")</f>
        <v>جمعه بعد از نمازمغرب وعشاء، زیارت عاشورا وسینه زنی</v>
      </c>
      <c r="O3389" s="5"/>
      <c r="P3389" s="5"/>
      <c r="Q3389" s="5"/>
      <c r="R3389" s="5"/>
      <c r="S3389" s="5"/>
    </row>
    <row r="3390">
      <c r="A3390" s="5">
        <f>IFERROR(__xludf.DUMMYFUNCTION("""COMPUTED_VALUE"""),23243.0)</f>
        <v>23243</v>
      </c>
      <c r="B3390" s="5" t="str">
        <f>IFERROR(__xludf.DUMMYFUNCTION("""COMPUTED_VALUE"""),"هیأت")</f>
        <v>هیأت</v>
      </c>
      <c r="C3390" s="5" t="str">
        <f>IFERROR(__xludf.DUMMYFUNCTION("""COMPUTED_VALUE"""),"جوانان رزمندگان اسلام")</f>
        <v>جوانان رزمندگان اسلام</v>
      </c>
      <c r="D3390" s="5" t="str">
        <f>IFERROR(__xludf.DUMMYFUNCTION("""COMPUTED_VALUE"""),"گلستان")</f>
        <v>گلستان</v>
      </c>
      <c r="E3390" s="5" t="str">
        <f>IFERROR(__xludf.DUMMYFUNCTION("""COMPUTED_VALUE"""),"آزادشهر")</f>
        <v>آزادشهر</v>
      </c>
      <c r="F3390" s="5" t="str">
        <f>IFERROR(__xludf.DUMMYFUNCTION("""COMPUTED_VALUE"""),"آزادشهر ، خیابان شهید بهشتی ، پارک شهر ، گلزار شهدای گمنام")</f>
        <v>آزادشهر ، خیابان شهید بهشتی ، پارک شهر ، گلزار شهدای گمنام</v>
      </c>
      <c r="G3390" s="5">
        <f>IFERROR(__xludf.DUMMYFUNCTION("""COMPUTED_VALUE"""),1.0)</f>
        <v>1</v>
      </c>
      <c r="H3390" s="5" t="str">
        <f>IFERROR(__xludf.DUMMYFUNCTION("""COMPUTED_VALUE"""),"https://www.instagram.com/eheyat_azadshahr
https://www.instagram.com/eheyat.azadshahr")</f>
        <v>https://www.instagram.com/eheyat_azadshahr
https://www.instagram.com/eheyat.azadshahr</v>
      </c>
      <c r="I3390" s="6" t="str">
        <f>IFERROR(__xludf.DUMMYFUNCTION("""COMPUTED_VALUE"""),"https://t.me/Eheyat_Azadshahr")</f>
        <v>https://t.me/Eheyat_Azadshahr</v>
      </c>
      <c r="J3390" s="6" t="str">
        <f>IFERROR(__xludf.DUMMYFUNCTION("""COMPUTED_VALUE"""),"https://eitaa.com/razmandegan_azadshahr")</f>
        <v>https://eitaa.com/razmandegan_azadshahr</v>
      </c>
      <c r="K3390" s="5"/>
      <c r="L3390" s="5"/>
      <c r="M3390" s="5"/>
      <c r="N3390" s="5"/>
      <c r="O3390" s="5"/>
      <c r="P3390" s="5"/>
      <c r="Q3390" s="5"/>
      <c r="R3390" s="5"/>
      <c r="S3390" s="5" t="str">
        <f>IFERROR(__xludf.DUMMYFUNCTION("""COMPUTED_VALUE"""),"قرارگاه_جهادی_مردمی_فاتح /  سه شنبه های مهدوی")</f>
        <v>قرارگاه_جهادی_مردمی_فاتح /  سه شنبه های مهدوی</v>
      </c>
    </row>
    <row r="3391">
      <c r="A3391" s="5">
        <f>IFERROR(__xludf.DUMMYFUNCTION("""COMPUTED_VALUE"""),23552.0)</f>
        <v>23552</v>
      </c>
      <c r="B3391" s="5" t="str">
        <f>IFERROR(__xludf.DUMMYFUNCTION("""COMPUTED_VALUE"""),"هیأت")</f>
        <v>هیأت</v>
      </c>
      <c r="C3391" s="5" t="str">
        <f>IFERROR(__xludf.DUMMYFUNCTION("""COMPUTED_VALUE"""),"بین الحرمین")</f>
        <v>بین الحرمین</v>
      </c>
      <c r="D3391" s="5" t="str">
        <f>IFERROR(__xludf.DUMMYFUNCTION("""COMPUTED_VALUE"""),"گلستان")</f>
        <v>گلستان</v>
      </c>
      <c r="E3391" s="5" t="str">
        <f>IFERROR(__xludf.DUMMYFUNCTION("""COMPUTED_VALUE"""),"گالیکش")</f>
        <v>گالیکش</v>
      </c>
      <c r="F3391" s="5"/>
      <c r="G3391" s="5"/>
      <c r="H3391" s="5"/>
      <c r="I3391" s="5"/>
      <c r="J3391" s="5" t="str">
        <f>IFERROR(__xludf.DUMMYFUNCTION("""COMPUTED_VALUE"""),"@bainolharamaingalikesh")</f>
        <v>@bainolharamaingalikesh</v>
      </c>
      <c r="K3391" s="5"/>
      <c r="L3391" s="5"/>
      <c r="M3391" s="5"/>
      <c r="N3391" s="5"/>
      <c r="O3391" s="5"/>
      <c r="P3391" s="5"/>
      <c r="Q3391" s="5"/>
      <c r="R3391" s="5"/>
      <c r="S3391" s="5"/>
    </row>
    <row r="3392">
      <c r="A3392" s="5">
        <f>IFERROR(__xludf.DUMMYFUNCTION("""COMPUTED_VALUE"""),24147.0)</f>
        <v>24147</v>
      </c>
      <c r="B3392" s="5" t="str">
        <f>IFERROR(__xludf.DUMMYFUNCTION("""COMPUTED_VALUE"""),"هیأت")</f>
        <v>هیأت</v>
      </c>
      <c r="C3392" s="5" t="str">
        <f>IFERROR(__xludf.DUMMYFUNCTION("""COMPUTED_VALUE"""),"منتظران ظهور / جوانان منتظرین مهدی")</f>
        <v>منتظران ظهور / جوانان منتظرین مهدی</v>
      </c>
      <c r="D3392" s="5" t="str">
        <f>IFERROR(__xludf.DUMMYFUNCTION("""COMPUTED_VALUE"""),"گلستان")</f>
        <v>گلستان</v>
      </c>
      <c r="E3392" s="5" t="str">
        <f>IFERROR(__xludf.DUMMYFUNCTION("""COMPUTED_VALUE"""),"گرگان")</f>
        <v>گرگان</v>
      </c>
      <c r="F3392" s="5"/>
      <c r="G3392" s="5"/>
      <c r="H3392" s="6" t="str">
        <f>IFERROR(__xludf.DUMMYFUNCTION("""COMPUTED_VALUE"""),"https://www.instagram.com/montazerinmahdigorgan")</f>
        <v>https://www.instagram.com/montazerinmahdigorgan</v>
      </c>
      <c r="I3392" s="5"/>
      <c r="J3392" s="6" t="str">
        <f>IFERROR(__xludf.DUMMYFUNCTION("""COMPUTED_VALUE"""),"rubika.ir/montazerinmahdi")</f>
        <v>rubika.ir/montazerinmahdi</v>
      </c>
      <c r="K3392" s="5"/>
      <c r="L3392" s="5"/>
      <c r="M3392" s="5"/>
      <c r="N3392" s="5"/>
      <c r="O3392" s="5"/>
      <c r="P3392" s="5"/>
      <c r="Q3392" s="5"/>
      <c r="R3392" s="5"/>
      <c r="S3392" s="5"/>
    </row>
    <row r="3393">
      <c r="A3393" s="5">
        <f>IFERROR(__xludf.DUMMYFUNCTION("""COMPUTED_VALUE"""),25128.0)</f>
        <v>25128</v>
      </c>
      <c r="B3393" s="5" t="str">
        <f>IFERROR(__xludf.DUMMYFUNCTION("""COMPUTED_VALUE"""),"هیأت")</f>
        <v>هیأت</v>
      </c>
      <c r="C3393" s="5" t="str">
        <f>IFERROR(__xludf.DUMMYFUNCTION("""COMPUTED_VALUE"""),"حضرت علی اصغر (ع)")</f>
        <v>حضرت علی اصغر (ع)</v>
      </c>
      <c r="D3393" s="5" t="str">
        <f>IFERROR(__xludf.DUMMYFUNCTION("""COMPUTED_VALUE"""),"گلستان")</f>
        <v>گلستان</v>
      </c>
      <c r="E3393" s="5" t="str">
        <f>IFERROR(__xludf.DUMMYFUNCTION("""COMPUTED_VALUE"""),"خانببین ")</f>
        <v>خانببین </v>
      </c>
      <c r="F3393" s="5"/>
      <c r="G3393" s="5"/>
      <c r="H3393" s="6" t="str">
        <f>IFERROR(__xludf.DUMMYFUNCTION("""COMPUTED_VALUE"""),"https://www.instagram.com/ali_asghariha/")</f>
        <v>https://www.instagram.com/ali_asghariha/</v>
      </c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</row>
    <row r="3394">
      <c r="A3394" s="5">
        <f>IFERROR(__xludf.DUMMYFUNCTION("""COMPUTED_VALUE"""),25134.0)</f>
        <v>25134</v>
      </c>
      <c r="B3394" s="5" t="str">
        <f>IFERROR(__xludf.DUMMYFUNCTION("""COMPUTED_VALUE"""),"هیأت")</f>
        <v>هیأت</v>
      </c>
      <c r="C3394" s="5" t="str">
        <f>IFERROR(__xludf.DUMMYFUNCTION("""COMPUTED_VALUE"""),"انصارالمهدی (عج) (دانش آموزی)")</f>
        <v>انصارالمهدی (عج) (دانش آموزی)</v>
      </c>
      <c r="D3394" s="5" t="str">
        <f>IFERROR(__xludf.DUMMYFUNCTION("""COMPUTED_VALUE"""),"گلستان")</f>
        <v>گلستان</v>
      </c>
      <c r="E3394" s="5" t="str">
        <f>IFERROR(__xludf.DUMMYFUNCTION("""COMPUTED_VALUE"""),"گرگان")</f>
        <v>گرگان</v>
      </c>
      <c r="F3394" s="5" t="str">
        <f>IFERROR(__xludf.DUMMYFUNCTION("""COMPUTED_VALUE"""),"ایرانمهر پایین، روبروی ابوذر ٣، حسینیه‌ی شهدای دانش‌آموز")</f>
        <v>ایرانمهر پایین، روبروی ابوذر ٣، حسینیه‌ی شهدای دانش‌آموز</v>
      </c>
      <c r="G3394" s="5">
        <f>IFERROR(__xludf.DUMMYFUNCTION("""COMPUTED_VALUE"""),1.0)</f>
        <v>1</v>
      </c>
      <c r="H3394" s="6" t="str">
        <f>IFERROR(__xludf.DUMMYFUNCTION("""COMPUTED_VALUE"""),"https://www.instagram.com/ansariha_gorgan/")</f>
        <v>https://www.instagram.com/ansariha_gorgan/</v>
      </c>
      <c r="I3394" s="5"/>
      <c r="J3394" s="6" t="str">
        <f>IFERROR(__xludf.DUMMYFUNCTION("""COMPUTED_VALUE"""),"eitaa.com/ansariha_gorgan")</f>
        <v>eitaa.com/ansariha_gorgan</v>
      </c>
      <c r="K3394" s="5"/>
      <c r="L3394" s="5"/>
      <c r="M3394" s="5"/>
      <c r="N3394" s="5"/>
      <c r="O3394" s="5"/>
      <c r="P3394" s="5"/>
      <c r="Q3394" s="5"/>
      <c r="R3394" s="5"/>
      <c r="S3394" s="5"/>
    </row>
    <row r="3395">
      <c r="A3395" s="5">
        <f>IFERROR(__xludf.DUMMYFUNCTION("""COMPUTED_VALUE"""),25478.0)</f>
        <v>25478</v>
      </c>
      <c r="B3395" s="5" t="str">
        <f>IFERROR(__xludf.DUMMYFUNCTION("""COMPUTED_VALUE"""),"هیأت")</f>
        <v>هیأت</v>
      </c>
      <c r="C3395" s="5" t="str">
        <f>IFERROR(__xludf.DUMMYFUNCTION("""COMPUTED_VALUE"""),"بیت الاحزان")</f>
        <v>بیت الاحزان</v>
      </c>
      <c r="D3395" s="5" t="str">
        <f>IFERROR(__xludf.DUMMYFUNCTION("""COMPUTED_VALUE"""),"گلستان")</f>
        <v>گلستان</v>
      </c>
      <c r="E3395" s="5" t="str">
        <f>IFERROR(__xludf.DUMMYFUNCTION("""COMPUTED_VALUE"""),"آزادشهر")</f>
        <v>آزادشهر</v>
      </c>
      <c r="F3395" s="5" t="str">
        <f>IFERROR(__xludf.DUMMYFUNCTION("""COMPUTED_VALUE"""),"گلستان،شهرستان آزادشهر،خیابان شهید کلاهدوز،پاسدار۱۲")</f>
        <v>گلستان،شهرستان آزادشهر،خیابان شهید کلاهدوز،پاسدار۱۲</v>
      </c>
      <c r="G3395" s="5">
        <f>IFERROR(__xludf.DUMMYFUNCTION("""COMPUTED_VALUE"""),1.0)</f>
        <v>1</v>
      </c>
      <c r="H3395" s="6" t="str">
        <f>IFERROR(__xludf.DUMMYFUNCTION("""COMPUTED_VALUE"""),"https://www.instagram.com/beytol_ahzan135")</f>
        <v>https://www.instagram.com/beytol_ahzan135</v>
      </c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</row>
    <row r="3396">
      <c r="A3396" s="5">
        <f>IFERROR(__xludf.DUMMYFUNCTION("""COMPUTED_VALUE"""),25515.0)</f>
        <v>25515</v>
      </c>
      <c r="B3396" s="5" t="str">
        <f>IFERROR(__xludf.DUMMYFUNCTION("""COMPUTED_VALUE"""),"هیأت")</f>
        <v>هیأت</v>
      </c>
      <c r="C3396" s="5" t="str">
        <f>IFERROR(__xludf.DUMMYFUNCTION("""COMPUTED_VALUE"""),"مسجد جامع (روستای حاجی کلاته)")</f>
        <v>مسجد جامع (روستای حاجی کلاته)</v>
      </c>
      <c r="D3396" s="5" t="str">
        <f>IFERROR(__xludf.DUMMYFUNCTION("""COMPUTED_VALUE"""),"گلستان")</f>
        <v>گلستان</v>
      </c>
      <c r="E3396" s="5" t="str">
        <f>IFERROR(__xludf.DUMMYFUNCTION("""COMPUTED_VALUE"""),"علی آباد کتول")</f>
        <v>علی آباد کتول</v>
      </c>
      <c r="F3396" s="5"/>
      <c r="G3396" s="5"/>
      <c r="H3396" s="6" t="str">
        <f>IFERROR(__xludf.DUMMYFUNCTION("""COMPUTED_VALUE"""),"https://www.instagram.com/m_hajikalateh")</f>
        <v>https://www.instagram.com/m_hajikalateh</v>
      </c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</row>
    <row r="3397">
      <c r="A3397" s="5">
        <f>IFERROR(__xludf.DUMMYFUNCTION("""COMPUTED_VALUE"""),25828.0)</f>
        <v>25828</v>
      </c>
      <c r="B3397" s="5" t="str">
        <f>IFERROR(__xludf.DUMMYFUNCTION("""COMPUTED_VALUE"""),"هیأت")</f>
        <v>هیأت</v>
      </c>
      <c r="C3397" s="5" t="str">
        <f>IFERROR(__xludf.DUMMYFUNCTION("""COMPUTED_VALUE"""),"جوانان قمربنی هاشم (ع) محله پل هاشم")</f>
        <v>جوانان قمربنی هاشم (ع) محله پل هاشم</v>
      </c>
      <c r="D3397" s="5" t="str">
        <f>IFERROR(__xludf.DUMMYFUNCTION("""COMPUTED_VALUE"""),"گلستان")</f>
        <v>گلستان</v>
      </c>
      <c r="E3397" s="5" t="str">
        <f>IFERROR(__xludf.DUMMYFUNCTION("""COMPUTED_VALUE"""),"بندرگز")</f>
        <v>بندرگز</v>
      </c>
      <c r="F3397" s="5" t="str">
        <f>IFERROR(__xludf.DUMMYFUNCTION("""COMPUTED_VALUE"""),"تکیه امام رضا (ع) محله ی پل هاشم")</f>
        <v>تکیه امام رضا (ع) محله ی پل هاشم</v>
      </c>
      <c r="G3397" s="5"/>
      <c r="H3397" s="6" t="str">
        <f>IFERROR(__xludf.DUMMYFUNCTION("""COMPUTED_VALUE"""),"https://www.instagram.com/heyat_qamarbani.hashem")</f>
        <v>https://www.instagram.com/heyat_qamarbani.hashem</v>
      </c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</row>
    <row r="3398">
      <c r="A3398" s="5">
        <f>IFERROR(__xludf.DUMMYFUNCTION("""COMPUTED_VALUE"""),26619.0)</f>
        <v>26619</v>
      </c>
      <c r="B3398" s="5" t="str">
        <f>IFERROR(__xludf.DUMMYFUNCTION("""COMPUTED_VALUE"""),"هیأت")</f>
        <v>هیأت</v>
      </c>
      <c r="C3398" s="5" t="str">
        <f>IFERROR(__xludf.DUMMYFUNCTION("""COMPUTED_VALUE"""),"عمار یاسر")</f>
        <v>عمار یاسر</v>
      </c>
      <c r="D3398" s="5" t="str">
        <f>IFERROR(__xludf.DUMMYFUNCTION("""COMPUTED_VALUE"""),"گلستان")</f>
        <v>گلستان</v>
      </c>
      <c r="E3398" s="5" t="str">
        <f>IFERROR(__xludf.DUMMYFUNCTION("""COMPUTED_VALUE"""),"گرگان")</f>
        <v>گرگان</v>
      </c>
      <c r="F3398" s="5"/>
      <c r="G3398" s="5"/>
      <c r="H3398" s="6" t="str">
        <f>IFERROR(__xludf.DUMMYFUNCTION("""COMPUTED_VALUE"""),"https://www.instagram.com/heyat_amar_yaser")</f>
        <v>https://www.instagram.com/heyat_amar_yaser</v>
      </c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</row>
    <row r="3399">
      <c r="A3399" s="5">
        <f>IFERROR(__xludf.DUMMYFUNCTION("""COMPUTED_VALUE"""),27665.0)</f>
        <v>27665</v>
      </c>
      <c r="B3399" s="5" t="str">
        <f>IFERROR(__xludf.DUMMYFUNCTION("""COMPUTED_VALUE"""),"هیأت")</f>
        <v>هیأت</v>
      </c>
      <c r="C3399" s="5" t="str">
        <f>IFERROR(__xludf.DUMMYFUNCTION("""COMPUTED_VALUE"""),"جوانان علی بن موسی الرضا (ع)")</f>
        <v>جوانان علی بن موسی الرضا (ع)</v>
      </c>
      <c r="D3399" s="5" t="str">
        <f>IFERROR(__xludf.DUMMYFUNCTION("""COMPUTED_VALUE"""),"گلستان")</f>
        <v>گلستان</v>
      </c>
      <c r="E3399" s="5" t="str">
        <f>IFERROR(__xludf.DUMMYFUNCTION("""COMPUTED_VALUE"""),"گرگان")</f>
        <v>گرگان</v>
      </c>
      <c r="F3399" s="5"/>
      <c r="G3399" s="5"/>
      <c r="H3399" s="6" t="str">
        <f>IFERROR(__xludf.DUMMYFUNCTION("""COMPUTED_VALUE"""),"https://www.instagram.com/heiat.javanan.aliebnemosareza")</f>
        <v>https://www.instagram.com/heiat.javanan.aliebnemosareza</v>
      </c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</row>
    <row r="3400">
      <c r="A3400" s="5">
        <f>IFERROR(__xludf.DUMMYFUNCTION("""COMPUTED_VALUE"""),27677.0)</f>
        <v>27677</v>
      </c>
      <c r="B3400" s="5" t="str">
        <f>IFERROR(__xludf.DUMMYFUNCTION("""COMPUTED_VALUE"""),"هیأت")</f>
        <v>هیأت</v>
      </c>
      <c r="C3400" s="5" t="str">
        <f>IFERROR(__xludf.DUMMYFUNCTION("""COMPUTED_VALUE"""),"پیروان قرآن مجید سالیکنده حسینیه اعطم")</f>
        <v>پیروان قرآن مجید سالیکنده حسینیه اعطم</v>
      </c>
      <c r="D3400" s="5" t="str">
        <f>IFERROR(__xludf.DUMMYFUNCTION("""COMPUTED_VALUE"""),"گلستان")</f>
        <v>گلستان</v>
      </c>
      <c r="E3400" s="5" t="str">
        <f>IFERROR(__xludf.DUMMYFUNCTION("""COMPUTED_VALUE"""),"کردکوی")</f>
        <v>کردکوی</v>
      </c>
      <c r="F3400" s="5"/>
      <c r="G3400" s="5">
        <f>IFERROR(__xludf.DUMMYFUNCTION("""COMPUTED_VALUE"""),1.0)</f>
        <v>1</v>
      </c>
      <c r="H3400" s="6" t="str">
        <f>IFERROR(__xludf.DUMMYFUNCTION("""COMPUTED_VALUE"""),"https://www.instagram.com/hosseinieh_azam_salikandeh")</f>
        <v>https://www.instagram.com/hosseinieh_azam_salikandeh</v>
      </c>
      <c r="I3400" s="5"/>
      <c r="J3400" s="5" t="str">
        <f>IFERROR(__xludf.DUMMYFUNCTION("""COMPUTED_VALUE"""),"@Hosseinieh_azam_salikandeh")</f>
        <v>@Hosseinieh_azam_salikandeh</v>
      </c>
      <c r="K3400" s="5"/>
      <c r="L3400" s="5"/>
      <c r="M3400" s="5"/>
      <c r="N3400" s="5"/>
      <c r="O3400" s="5"/>
      <c r="P3400" s="5"/>
      <c r="Q3400" s="5"/>
      <c r="R3400" s="5"/>
      <c r="S3400" s="5"/>
    </row>
    <row r="3401">
      <c r="A3401" s="5">
        <f>IFERROR(__xludf.DUMMYFUNCTION("""COMPUTED_VALUE"""),27678.0)</f>
        <v>27678</v>
      </c>
      <c r="B3401" s="5" t="str">
        <f>IFERROR(__xludf.DUMMYFUNCTION("""COMPUTED_VALUE"""),"هیأت")</f>
        <v>هیأت</v>
      </c>
      <c r="C3401" s="5" t="str">
        <f>IFERROR(__xludf.DUMMYFUNCTION("""COMPUTED_VALUE"""),"چهارده معصوم (ع) روستای گل افرا")</f>
        <v>چهارده معصوم (ع) روستای گل افرا</v>
      </c>
      <c r="D3401" s="5" t="str">
        <f>IFERROR(__xludf.DUMMYFUNCTION("""COMPUTED_VALUE"""),"گلستان")</f>
        <v>گلستان</v>
      </c>
      <c r="E3401" s="5" t="str">
        <f>IFERROR(__xludf.DUMMYFUNCTION("""COMPUTED_VALUE"""),"بندرگز")</f>
        <v>بندرگز</v>
      </c>
      <c r="F3401" s="5"/>
      <c r="G3401" s="5"/>
      <c r="H3401" s="6" t="str">
        <f>IFERROR(__xludf.DUMMYFUNCTION("""COMPUTED_VALUE"""),"https://www.instagram.com/golafrayema")</f>
        <v>https://www.instagram.com/golafrayema</v>
      </c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</row>
    <row r="3402">
      <c r="A3402" s="5">
        <f>IFERROR(__xludf.DUMMYFUNCTION("""COMPUTED_VALUE"""),27689.0)</f>
        <v>27689</v>
      </c>
      <c r="B3402" s="5" t="str">
        <f>IFERROR(__xludf.DUMMYFUNCTION("""COMPUTED_VALUE"""),"مسجد ")</f>
        <v>مسجد </v>
      </c>
      <c r="C3402" s="5" t="str">
        <f>IFERROR(__xludf.DUMMYFUNCTION("""COMPUTED_VALUE"""),"امام حسین ع")</f>
        <v>امام حسین ع</v>
      </c>
      <c r="D3402" s="5" t="str">
        <f>IFERROR(__xludf.DUMMYFUNCTION("""COMPUTED_VALUE"""),"گلستان")</f>
        <v>گلستان</v>
      </c>
      <c r="E3402" s="5" t="str">
        <f>IFERROR(__xludf.DUMMYFUNCTION("""COMPUTED_VALUE"""),"کلاله")</f>
        <v>کلاله</v>
      </c>
      <c r="F3402" s="5"/>
      <c r="G3402" s="5"/>
      <c r="H3402" s="5"/>
      <c r="I3402" s="5"/>
      <c r="J3402" s="5" t="str">
        <f>IFERROR(__xludf.DUMMYFUNCTION("""COMPUTED_VALUE"""),"@masjed_nama_kalaleh")</f>
        <v>@masjed_nama_kalaleh</v>
      </c>
      <c r="K3402" s="5"/>
      <c r="L3402" s="5"/>
      <c r="M3402" s="5"/>
      <c r="N3402" s="5"/>
      <c r="O3402" s="5"/>
      <c r="P3402" s="5"/>
      <c r="Q3402" s="5"/>
      <c r="R3402" s="5"/>
      <c r="S3402" s="5"/>
    </row>
    <row r="3403">
      <c r="A3403" s="5">
        <f>IFERROR(__xludf.DUMMYFUNCTION("""COMPUTED_VALUE"""),27696.0)</f>
        <v>27696</v>
      </c>
      <c r="B3403" s="5" t="str">
        <f>IFERROR(__xludf.DUMMYFUNCTION("""COMPUTED_VALUE"""),"هیأت نوجوانان")</f>
        <v>هیأت نوجوانان</v>
      </c>
      <c r="C3403" s="5" t="str">
        <f>IFERROR(__xludf.DUMMYFUNCTION("""COMPUTED_VALUE"""),"عُشّاقُ‌ الزَّهرا(س)")</f>
        <v>عُشّاقُ‌ الزَّهرا(س)</v>
      </c>
      <c r="D3403" s="5" t="str">
        <f>IFERROR(__xludf.DUMMYFUNCTION("""COMPUTED_VALUE"""),"گلستان")</f>
        <v>گلستان</v>
      </c>
      <c r="E3403" s="5" t="str">
        <f>IFERROR(__xludf.DUMMYFUNCTION("""COMPUTED_VALUE"""),"رامیان")</f>
        <v>رامیان</v>
      </c>
      <c r="F3403" s="5"/>
      <c r="G3403" s="5"/>
      <c r="H3403" s="6" t="str">
        <f>IFERROR(__xludf.DUMMYFUNCTION("""COMPUTED_VALUE"""),"https://www.instagram.com/heiat_oshaqozahra_ramian")</f>
        <v>https://www.instagram.com/heiat_oshaqozahra_ramian</v>
      </c>
      <c r="I3403" s="5" t="str">
        <f>IFERROR(__xludf.DUMMYFUNCTION("""COMPUTED_VALUE"""),"@abolfazlrajabloomadahi")</f>
        <v>@abolfazlrajabloomadahi</v>
      </c>
      <c r="J3403" s="5"/>
      <c r="K3403" s="5"/>
      <c r="L3403" s="5"/>
      <c r="M3403" s="5"/>
      <c r="N3403" s="5"/>
      <c r="O3403" s="5"/>
      <c r="P3403" s="5"/>
      <c r="Q3403" s="5"/>
      <c r="R3403" s="5"/>
      <c r="S3403" s="5"/>
    </row>
    <row r="3404">
      <c r="A3404" s="5">
        <f>IFERROR(__xludf.DUMMYFUNCTION("""COMPUTED_VALUE"""),28208.0)</f>
        <v>28208</v>
      </c>
      <c r="B3404" s="5" t="str">
        <f>IFERROR(__xludf.DUMMYFUNCTION("""COMPUTED_VALUE"""),"هیأت")</f>
        <v>هیأت</v>
      </c>
      <c r="C3404" s="5" t="str">
        <f>IFERROR(__xludf.DUMMYFUNCTION("""COMPUTED_VALUE"""),"شهدای گمنام")</f>
        <v>شهدای گمنام</v>
      </c>
      <c r="D3404" s="5" t="str">
        <f>IFERROR(__xludf.DUMMYFUNCTION("""COMPUTED_VALUE"""),"گلستان")</f>
        <v>گلستان</v>
      </c>
      <c r="E3404" s="5" t="str">
        <f>IFERROR(__xludf.DUMMYFUNCTION("""COMPUTED_VALUE"""),"گنبد کاووس")</f>
        <v>گنبد کاووس</v>
      </c>
      <c r="F3404" s="5"/>
      <c r="G3404" s="5"/>
      <c r="H3404" s="6" t="str">
        <f>IFERROR(__xludf.DUMMYFUNCTION("""COMPUTED_VALUE"""),"https://www.instagram.com/heyatshohadaigomnam.gonbad")</f>
        <v>https://www.instagram.com/heyatshohadaigomnam.gonbad</v>
      </c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</row>
    <row r="3405">
      <c r="A3405" s="5">
        <f>IFERROR(__xludf.DUMMYFUNCTION("""COMPUTED_VALUE"""),30264.0)</f>
        <v>30264</v>
      </c>
      <c r="B3405" s="5" t="str">
        <f>IFERROR(__xludf.DUMMYFUNCTION("""COMPUTED_VALUE"""),"هیأت")</f>
        <v>هیأت</v>
      </c>
      <c r="C3405" s="5" t="str">
        <f>IFERROR(__xludf.DUMMYFUNCTION("""COMPUTED_VALUE"""),"مسجد جوانان صاحب الزمان(عج)")</f>
        <v>مسجد جوانان صاحب الزمان(عج)</v>
      </c>
      <c r="D3405" s="5" t="str">
        <f>IFERROR(__xludf.DUMMYFUNCTION("""COMPUTED_VALUE"""),"گلستان")</f>
        <v>گلستان</v>
      </c>
      <c r="E3405" s="5" t="str">
        <f>IFERROR(__xludf.DUMMYFUNCTION("""COMPUTED_VALUE"""),"کردکوی")</f>
        <v>کردکوی</v>
      </c>
      <c r="F3405" s="5"/>
      <c r="G3405" s="5"/>
      <c r="H3405" s="6" t="str">
        <f>IFERROR(__xludf.DUMMYFUNCTION("""COMPUTED_VALUE"""),"https://www.instagram.com/saheb.a.zaman313")</f>
        <v>https://www.instagram.com/saheb.a.zaman313</v>
      </c>
      <c r="I3405" s="5"/>
      <c r="J3405" s="5" t="str">
        <f>IFERROR(__xludf.DUMMYFUNCTION("""COMPUTED_VALUE"""),"@saheb_azaman313")</f>
        <v>@saheb_azaman313</v>
      </c>
      <c r="K3405" s="5"/>
      <c r="L3405" s="5"/>
      <c r="M3405" s="5"/>
      <c r="N3405" s="5"/>
      <c r="O3405" s="5"/>
      <c r="P3405" s="5"/>
      <c r="Q3405" s="5"/>
      <c r="R3405" s="5"/>
      <c r="S3405" s="5"/>
    </row>
    <row r="3406">
      <c r="A3406" s="5">
        <f>IFERROR(__xludf.DUMMYFUNCTION("""COMPUTED_VALUE"""),30409.0)</f>
        <v>30409</v>
      </c>
      <c r="B3406" s="5" t="str">
        <f>IFERROR(__xludf.DUMMYFUNCTION("""COMPUTED_VALUE"""),"هیأت")</f>
        <v>هیأت</v>
      </c>
      <c r="C3406" s="5" t="str">
        <f>IFERROR(__xludf.DUMMYFUNCTION("""COMPUTED_VALUE"""),"مکتب الحسن")</f>
        <v>مکتب الحسن</v>
      </c>
      <c r="D3406" s="5" t="str">
        <f>IFERROR(__xludf.DUMMYFUNCTION("""COMPUTED_VALUE"""),"گلستان")</f>
        <v>گلستان</v>
      </c>
      <c r="E3406" s="5" t="str">
        <f>IFERROR(__xludf.DUMMYFUNCTION("""COMPUTED_VALUE"""),"گنبد کاووس")</f>
        <v>گنبد کاووس</v>
      </c>
      <c r="F3406" s="5" t="str">
        <f>IFERROR(__xludf.DUMMYFUNCTION("""COMPUTED_VALUE"""),"شهرک بهارستان خیابان ارغوان 17")</f>
        <v>شهرک بهارستان خیابان ارغوان 17</v>
      </c>
      <c r="G3406" s="5">
        <f>IFERROR(__xludf.DUMMYFUNCTION("""COMPUTED_VALUE"""),1.0)</f>
        <v>1</v>
      </c>
      <c r="H3406" s="6" t="str">
        <f>IFERROR(__xludf.DUMMYFUNCTION("""COMPUTED_VALUE"""),"https://www.instagram.com/hasaniooun118")</f>
        <v>https://www.instagram.com/hasaniooun118</v>
      </c>
      <c r="I3406" s="6" t="str">
        <f>IFERROR(__xludf.DUMMYFUNCTION("""COMPUTED_VALUE"""),"https://t.me/Hasaniooun")</f>
        <v>https://t.me/Hasaniooun</v>
      </c>
      <c r="J3406" s="5"/>
      <c r="K3406" s="5"/>
      <c r="L3406" s="5"/>
      <c r="M3406" s="5"/>
      <c r="N3406" s="5"/>
      <c r="O3406" s="5"/>
      <c r="P3406" s="5"/>
      <c r="Q3406" s="5"/>
      <c r="R3406" s="5"/>
      <c r="S3406" s="5"/>
    </row>
    <row r="3407">
      <c r="A3407" s="5">
        <f>IFERROR(__xludf.DUMMYFUNCTION("""COMPUTED_VALUE"""),30410.0)</f>
        <v>30410</v>
      </c>
      <c r="B3407" s="5" t="str">
        <f>IFERROR(__xludf.DUMMYFUNCTION("""COMPUTED_VALUE"""),"هیأت")</f>
        <v>هیأت</v>
      </c>
      <c r="C3407" s="5" t="str">
        <f>IFERROR(__xludf.DUMMYFUNCTION("""COMPUTED_VALUE"""),"جنت العباس")</f>
        <v>جنت العباس</v>
      </c>
      <c r="D3407" s="5" t="str">
        <f>IFERROR(__xludf.DUMMYFUNCTION("""COMPUTED_VALUE"""),"گلستان")</f>
        <v>گلستان</v>
      </c>
      <c r="E3407" s="5" t="str">
        <f>IFERROR(__xludf.DUMMYFUNCTION("""COMPUTED_VALUE"""),"گنبد کاووس")</f>
        <v>گنبد کاووس</v>
      </c>
      <c r="F3407" s="5"/>
      <c r="G3407" s="5">
        <f>IFERROR(__xludf.DUMMYFUNCTION("""COMPUTED_VALUE"""),1.0)</f>
        <v>1</v>
      </c>
      <c r="H3407" s="6" t="str">
        <f>IFERROR(__xludf.DUMMYFUNCTION("""COMPUTED_VALUE"""),"https://www.instagram.com/janatolabas_gonbad")</f>
        <v>https://www.instagram.com/janatolabas_gonbad</v>
      </c>
      <c r="I3407" s="6" t="str">
        <f>IFERROR(__xludf.DUMMYFUNCTION("""COMPUTED_VALUE"""),"https://t.me/antolabasgonbad?")</f>
        <v>https://t.me/antolabasgonbad?</v>
      </c>
      <c r="J3407" s="5"/>
      <c r="K3407" s="5"/>
      <c r="L3407" s="5"/>
      <c r="M3407" s="5"/>
      <c r="N3407" s="5" t="str">
        <f>IFERROR(__xludf.DUMMYFUNCTION("""COMPUTED_VALUE"""),"هفتگی")</f>
        <v>هفتگی</v>
      </c>
      <c r="O3407" s="5"/>
      <c r="P3407" s="5"/>
      <c r="Q3407" s="5"/>
      <c r="R3407" s="5"/>
      <c r="S3407" s="5"/>
    </row>
    <row r="3408">
      <c r="A3408" s="5">
        <f>IFERROR(__xludf.DUMMYFUNCTION("""COMPUTED_VALUE"""),30411.0)</f>
        <v>30411</v>
      </c>
      <c r="B3408" s="5" t="str">
        <f>IFERROR(__xludf.DUMMYFUNCTION("""COMPUTED_VALUE"""),"هیأت")</f>
        <v>هیأت</v>
      </c>
      <c r="C3408" s="5" t="str">
        <f>IFERROR(__xludf.DUMMYFUNCTION("""COMPUTED_VALUE"""),"قرارگاه صدرا")</f>
        <v>قرارگاه صدرا</v>
      </c>
      <c r="D3408" s="5" t="str">
        <f>IFERROR(__xludf.DUMMYFUNCTION("""COMPUTED_VALUE"""),"گلستان")</f>
        <v>گلستان</v>
      </c>
      <c r="E3408" s="5" t="str">
        <f>IFERROR(__xludf.DUMMYFUNCTION("""COMPUTED_VALUE"""),"گرگان")</f>
        <v>گرگان</v>
      </c>
      <c r="F3408" s="5"/>
      <c r="G3408" s="5"/>
      <c r="H3408" s="6" t="str">
        <f>IFERROR(__xludf.DUMMYFUNCTION("""COMPUTED_VALUE"""),"https://www.instagram.com/gharargah_sadra")</f>
        <v>https://www.instagram.com/gharargah_sadra</v>
      </c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</row>
    <row r="3409">
      <c r="A3409" s="5">
        <f>IFERROR(__xludf.DUMMYFUNCTION("""COMPUTED_VALUE"""),30570.0)</f>
        <v>30570</v>
      </c>
      <c r="B3409" s="5" t="str">
        <f>IFERROR(__xludf.DUMMYFUNCTION("""COMPUTED_VALUE"""),"هیأت")</f>
        <v>هیأت</v>
      </c>
      <c r="C3409" s="5" t="str">
        <f>IFERROR(__xludf.DUMMYFUNCTION("""COMPUTED_VALUE"""),"یاران آفتاب")</f>
        <v>یاران آفتاب</v>
      </c>
      <c r="D3409" s="5" t="str">
        <f>IFERROR(__xludf.DUMMYFUNCTION("""COMPUTED_VALUE"""),"گلستان")</f>
        <v>گلستان</v>
      </c>
      <c r="E3409" s="5" t="str">
        <f>IFERROR(__xludf.DUMMYFUNCTION("""COMPUTED_VALUE"""),"گرگان")</f>
        <v>گرگان</v>
      </c>
      <c r="F3409" s="5"/>
      <c r="G3409" s="5"/>
      <c r="H3409" s="6" t="str">
        <f>IFERROR(__xludf.DUMMYFUNCTION("""COMPUTED_VALUE"""),"https://www.instagram.com/yaran.aftab.gorgan")</f>
        <v>https://www.instagram.com/yaran.aftab.gorgan</v>
      </c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</row>
    <row r="3410">
      <c r="A3410" s="5">
        <f>IFERROR(__xludf.DUMMYFUNCTION("""COMPUTED_VALUE"""),31191.0)</f>
        <v>31191</v>
      </c>
      <c r="B3410" s="5" t="str">
        <f>IFERROR(__xludf.DUMMYFUNCTION("""COMPUTED_VALUE"""),"هیأت")</f>
        <v>هیأت</v>
      </c>
      <c r="C3410" s="5" t="str">
        <f>IFERROR(__xludf.DUMMYFUNCTION("""COMPUTED_VALUE"""),"علی بن موسی الرضا")</f>
        <v>علی بن موسی الرضا</v>
      </c>
      <c r="D3410" s="5" t="str">
        <f>IFERROR(__xludf.DUMMYFUNCTION("""COMPUTED_VALUE"""),"گلستان")</f>
        <v>گلستان</v>
      </c>
      <c r="E3410" s="5" t="str">
        <f>IFERROR(__xludf.DUMMYFUNCTION("""COMPUTED_VALUE"""),"گرگان")</f>
        <v>گرگان</v>
      </c>
      <c r="F3410" s="5"/>
      <c r="G3410" s="5"/>
      <c r="H3410" s="6" t="str">
        <f>IFERROR(__xludf.DUMMYFUNCTION("""COMPUTED_VALUE"""),"https://www.instagram.com/heyat_emameraouf")</f>
        <v>https://www.instagram.com/heyat_emameraouf</v>
      </c>
      <c r="I3410" s="5"/>
      <c r="J3410" s="6" t="str">
        <f>IFERROR(__xludf.DUMMYFUNCTION("""COMPUTED_VALUE"""),"eitaa.com/heyat_emameraouf")</f>
        <v>eitaa.com/heyat_emameraouf</v>
      </c>
      <c r="K3410" s="5"/>
      <c r="L3410" s="5"/>
      <c r="M3410" s="5"/>
      <c r="N3410" s="5"/>
      <c r="O3410" s="5"/>
      <c r="P3410" s="5"/>
      <c r="Q3410" s="5"/>
      <c r="R3410" s="5"/>
      <c r="S3410" s="5"/>
    </row>
    <row r="3411">
      <c r="A3411" s="5">
        <f>IFERROR(__xludf.DUMMYFUNCTION("""COMPUTED_VALUE"""),31192.0)</f>
        <v>31192</v>
      </c>
      <c r="B3411" s="5" t="str">
        <f>IFERROR(__xludf.DUMMYFUNCTION("""COMPUTED_VALUE"""),"هیأت")</f>
        <v>هیأت</v>
      </c>
      <c r="C3411" s="5" t="str">
        <f>IFERROR(__xludf.DUMMYFUNCTION("""COMPUTED_VALUE"""),"محسن بن علی (ع)")</f>
        <v>محسن بن علی (ع)</v>
      </c>
      <c r="D3411" s="5" t="str">
        <f>IFERROR(__xludf.DUMMYFUNCTION("""COMPUTED_VALUE"""),"گلستان")</f>
        <v>گلستان</v>
      </c>
      <c r="E3411" s="5" t="str">
        <f>IFERROR(__xludf.DUMMYFUNCTION("""COMPUTED_VALUE"""),"گرگان")</f>
        <v>گرگان</v>
      </c>
      <c r="F3411" s="5" t="str">
        <f>IFERROR(__xludf.DUMMYFUNCTION("""COMPUTED_VALUE"""),"گرگان خیابان طهماسبی کوچه 18 بین فخرالدین 1 و 3 محسنیه")</f>
        <v>گرگان خیابان طهماسبی کوچه 18 بین فخرالدین 1 و 3 محسنیه</v>
      </c>
      <c r="G3411" s="5"/>
      <c r="H3411" s="6" t="str">
        <f>IFERROR(__xludf.DUMMYFUNCTION("""COMPUTED_VALUE"""),"https://www.instagram.com/mohsenebnali.ir")</f>
        <v>https://www.instagram.com/mohsenebnali.ir</v>
      </c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</row>
    <row r="3412">
      <c r="A3412" s="5">
        <f>IFERROR(__xludf.DUMMYFUNCTION("""COMPUTED_VALUE"""),31262.0)</f>
        <v>31262</v>
      </c>
      <c r="B3412" s="5" t="str">
        <f>IFERROR(__xludf.DUMMYFUNCTION("""COMPUTED_VALUE"""),"کانون")</f>
        <v>کانون</v>
      </c>
      <c r="C3412" s="5" t="str">
        <f>IFERROR(__xludf.DUMMYFUNCTION("""COMPUTED_VALUE"""),"مجموعه فرهنگی مذهبی مشکات الحسین (ع)")</f>
        <v>مجموعه فرهنگی مذهبی مشکات الحسین (ع)</v>
      </c>
      <c r="D3412" s="5" t="str">
        <f>IFERROR(__xludf.DUMMYFUNCTION("""COMPUTED_VALUE"""),"گلستان")</f>
        <v>گلستان</v>
      </c>
      <c r="E3412" s="5" t="str">
        <f>IFERROR(__xludf.DUMMYFUNCTION("""COMPUTED_VALUE"""),"گنبد کاووس")</f>
        <v>گنبد کاووس</v>
      </c>
      <c r="F3412" s="5"/>
      <c r="G3412" s="5"/>
      <c r="H3412" s="6" t="str">
        <f>IFERROR(__xludf.DUMMYFUNCTION("""COMPUTED_VALUE"""),"https://www.instagram.com/meshkat_alhosein")</f>
        <v>https://www.instagram.com/meshkat_alhosein</v>
      </c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</row>
    <row r="3413">
      <c r="A3413" s="5">
        <f>IFERROR(__xludf.DUMMYFUNCTION("""COMPUTED_VALUE"""),31288.0)</f>
        <v>31288</v>
      </c>
      <c r="B3413" s="5" t="str">
        <f>IFERROR(__xludf.DUMMYFUNCTION("""COMPUTED_VALUE"""),"هیأت")</f>
        <v>هیأت</v>
      </c>
      <c r="C3413" s="5" t="str">
        <f>IFERROR(__xludf.DUMMYFUNCTION("""COMPUTED_VALUE"""),"حضرت زینب (س)")</f>
        <v>حضرت زینب (س)</v>
      </c>
      <c r="D3413" s="5" t="str">
        <f>IFERROR(__xludf.DUMMYFUNCTION("""COMPUTED_VALUE"""),"گلستان")</f>
        <v>گلستان</v>
      </c>
      <c r="E3413" s="5" t="str">
        <f>IFERROR(__xludf.DUMMYFUNCTION("""COMPUTED_VALUE"""),"مینودشت")</f>
        <v>مینودشت</v>
      </c>
      <c r="F3413" s="5"/>
      <c r="G3413" s="5"/>
      <c r="H3413" s="6" t="str">
        <f>IFERROR(__xludf.DUMMYFUNCTION("""COMPUTED_VALUE"""),"https://www.instagram.com/mokeb_minoodasht")</f>
        <v>https://www.instagram.com/mokeb_minoodasht</v>
      </c>
      <c r="I3413" s="6" t="str">
        <f>IFERROR(__xludf.DUMMYFUNCTION("""COMPUTED_VALUE"""),"https://t.me/MOKEBEHAZRATEZEYNABMINOODASHT")</f>
        <v>https://t.me/MOKEBEHAZRATEZEYNABMINOODASHT</v>
      </c>
      <c r="J3413" s="6" t="str">
        <f>IFERROR(__xludf.DUMMYFUNCTION("""COMPUTED_VALUE"""),"https://eitaa.com/MOKEBEHAZRATEZEYNABMINOODASHT")</f>
        <v>https://eitaa.com/MOKEBEHAZRATEZEYNABMINOODASHT</v>
      </c>
      <c r="K3413" s="5"/>
      <c r="L3413" s="5"/>
      <c r="M3413" s="5"/>
      <c r="N3413" s="5" t="str">
        <f>IFERROR(__xludf.DUMMYFUNCTION("""COMPUTED_VALUE"""),"مناسبتی")</f>
        <v>مناسبتی</v>
      </c>
      <c r="O3413" s="5"/>
      <c r="P3413" s="5"/>
      <c r="Q3413" s="5"/>
      <c r="R3413" s="5"/>
      <c r="S3413" s="5"/>
    </row>
    <row r="3414">
      <c r="A3414" s="5">
        <f>IFERROR(__xludf.DUMMYFUNCTION("""COMPUTED_VALUE"""),31289.0)</f>
        <v>31289</v>
      </c>
      <c r="B3414" s="5" t="str">
        <f>IFERROR(__xludf.DUMMYFUNCTION("""COMPUTED_VALUE"""),"هیأت")</f>
        <v>هیأت</v>
      </c>
      <c r="C3414" s="5" t="str">
        <f>IFERROR(__xludf.DUMMYFUNCTION("""COMPUTED_VALUE"""),"ابالفضل العباس ")</f>
        <v>ابالفضل العباس </v>
      </c>
      <c r="D3414" s="5" t="str">
        <f>IFERROR(__xludf.DUMMYFUNCTION("""COMPUTED_VALUE"""),"گلستان")</f>
        <v>گلستان</v>
      </c>
      <c r="E3414" s="5" t="str">
        <f>IFERROR(__xludf.DUMMYFUNCTION("""COMPUTED_VALUE"""),"گرگان")</f>
        <v>گرگان</v>
      </c>
      <c r="F3414" s="5"/>
      <c r="G3414" s="5"/>
      <c r="H3414" s="6" t="str">
        <f>IFERROR(__xludf.DUMMYFUNCTION("""COMPUTED_VALUE"""),"https://www.instagram.com/hyet_abolfazl_abas/")</f>
        <v>https://www.instagram.com/hyet_abolfazl_abas/</v>
      </c>
      <c r="I3414" s="5"/>
      <c r="J3414" s="5" t="str">
        <f>IFERROR(__xludf.DUMMYFUNCTION("""COMPUTED_VALUE"""),"@rayatolabbasgorgan")</f>
        <v>@rayatolabbasgorgan</v>
      </c>
      <c r="K3414" s="5"/>
      <c r="L3414" s="5"/>
      <c r="M3414" s="5"/>
      <c r="N3414" s="5"/>
      <c r="O3414" s="5"/>
      <c r="P3414" s="5"/>
      <c r="Q3414" s="5"/>
      <c r="R3414" s="5"/>
      <c r="S3414" s="5"/>
    </row>
    <row r="3415">
      <c r="A3415" s="5">
        <f>IFERROR(__xludf.DUMMYFUNCTION("""COMPUTED_VALUE"""),31424.0)</f>
        <v>31424</v>
      </c>
      <c r="B3415" s="5" t="str">
        <f>IFERROR(__xludf.DUMMYFUNCTION("""COMPUTED_VALUE"""),"هیأت")</f>
        <v>هیأت</v>
      </c>
      <c r="C3415" s="5" t="str">
        <f>IFERROR(__xludf.DUMMYFUNCTION("""COMPUTED_VALUE"""),"سیدالشهدا")</f>
        <v>سیدالشهدا</v>
      </c>
      <c r="D3415" s="5" t="str">
        <f>IFERROR(__xludf.DUMMYFUNCTION("""COMPUTED_VALUE"""),"گلستان")</f>
        <v>گلستان</v>
      </c>
      <c r="E3415" s="5" t="str">
        <f>IFERROR(__xludf.DUMMYFUNCTION("""COMPUTED_VALUE"""),"علی آباد کتول")</f>
        <v>علی آباد کتول</v>
      </c>
      <c r="F3415" s="5"/>
      <c r="G3415" s="5"/>
      <c r="H3415" s="6" t="str">
        <f>IFERROR(__xludf.DUMMYFUNCTION("""COMPUTED_VALUE"""),"https://www.instagram.com/seyed_shohada128")</f>
        <v>https://www.instagram.com/seyed_shohada128</v>
      </c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</row>
    <row r="3416">
      <c r="A3416" s="5">
        <f>IFERROR(__xludf.DUMMYFUNCTION("""COMPUTED_VALUE"""),31429.0)</f>
        <v>31429</v>
      </c>
      <c r="B3416" s="5" t="str">
        <f>IFERROR(__xludf.DUMMYFUNCTION("""COMPUTED_VALUE"""),"هیأت")</f>
        <v>هیأت</v>
      </c>
      <c r="C3416" s="5" t="str">
        <f>IFERROR(__xludf.DUMMYFUNCTION("""COMPUTED_VALUE"""),"محبان اهلبیت_ ثارالله")</f>
        <v>محبان اهلبیت_ ثارالله</v>
      </c>
      <c r="D3416" s="5" t="str">
        <f>IFERROR(__xludf.DUMMYFUNCTION("""COMPUTED_VALUE"""),"گلستان")</f>
        <v>گلستان</v>
      </c>
      <c r="E3416" s="5" t="str">
        <f>IFERROR(__xludf.DUMMYFUNCTION("""COMPUTED_VALUE"""),"کردکوی")</f>
        <v>کردکوی</v>
      </c>
      <c r="F3416" s="5"/>
      <c r="G3416" s="5">
        <f>IFERROR(__xludf.DUMMYFUNCTION("""COMPUTED_VALUE"""),1.0)</f>
        <v>1</v>
      </c>
      <c r="H3416" s="6" t="str">
        <f>IFERROR(__xludf.DUMMYFUNCTION("""COMPUTED_VALUE"""),"https://www.instagram.com/heyat_moheban_ahle_beyt")</f>
        <v>https://www.instagram.com/heyat_moheban_ahle_beyt</v>
      </c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</row>
    <row r="3417">
      <c r="A3417" s="5">
        <f>IFERROR(__xludf.DUMMYFUNCTION("""COMPUTED_VALUE"""),32199.0)</f>
        <v>32199</v>
      </c>
      <c r="B3417" s="5" t="str">
        <f>IFERROR(__xludf.DUMMYFUNCTION("""COMPUTED_VALUE"""),"هیأت")</f>
        <v>هیأت</v>
      </c>
      <c r="C3417" s="5" t="str">
        <f>IFERROR(__xludf.DUMMYFUNCTION("""COMPUTED_VALUE"""),"متوسلین به حضرت ابوالفضل (ع)")</f>
        <v>متوسلین به حضرت ابوالفضل (ع)</v>
      </c>
      <c r="D3417" s="5" t="str">
        <f>IFERROR(__xludf.DUMMYFUNCTION("""COMPUTED_VALUE"""),"گلستان")</f>
        <v>گلستان</v>
      </c>
      <c r="E3417" s="5" t="str">
        <f>IFERROR(__xludf.DUMMYFUNCTION("""COMPUTED_VALUE"""),"گرگان")</f>
        <v>گرگان</v>
      </c>
      <c r="F3417" s="5"/>
      <c r="G3417" s="5"/>
      <c r="H3417" s="6" t="str">
        <f>IFERROR(__xludf.DUMMYFUNCTION("""COMPUTED_VALUE"""),"https://www.instagram.com/heyat_motavasselin_313")</f>
        <v>https://www.instagram.com/heyat_motavasselin_313</v>
      </c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</row>
    <row r="3418">
      <c r="A3418" s="5">
        <f>IFERROR(__xludf.DUMMYFUNCTION("""COMPUTED_VALUE"""),32475.0)</f>
        <v>32475</v>
      </c>
      <c r="B3418" s="5" t="str">
        <f>IFERROR(__xludf.DUMMYFUNCTION("""COMPUTED_VALUE"""),"هیأت")</f>
        <v>هیأت</v>
      </c>
      <c r="C3418" s="5" t="str">
        <f>IFERROR(__xludf.DUMMYFUNCTION("""COMPUTED_VALUE"""),"احرار الزهرا س")</f>
        <v>احرار الزهرا س</v>
      </c>
      <c r="D3418" s="5" t="str">
        <f>IFERROR(__xludf.DUMMYFUNCTION("""COMPUTED_VALUE"""),"گلستان")</f>
        <v>گلستان</v>
      </c>
      <c r="E3418" s="5" t="str">
        <f>IFERROR(__xludf.DUMMYFUNCTION("""COMPUTED_VALUE"""),"گرگان")</f>
        <v>گرگان</v>
      </c>
      <c r="F3418" s="5"/>
      <c r="G3418" s="5"/>
      <c r="H3418" s="6" t="str">
        <f>IFERROR(__xludf.DUMMYFUNCTION("""COMPUTED_VALUE"""),"https://www.instagram.com/ahrarozahra.info")</f>
        <v>https://www.instagram.com/ahrarozahra.info</v>
      </c>
      <c r="I3418" s="6" t="str">
        <f>IFERROR(__xludf.DUMMYFUNCTION("""COMPUTED_VALUE"""),"telegram.im/beyki213")</f>
        <v>telegram.im/beyki213</v>
      </c>
      <c r="J3418" s="5"/>
      <c r="K3418" s="5"/>
      <c r="L3418" s="5"/>
      <c r="M3418" s="5"/>
      <c r="N3418" s="5"/>
      <c r="O3418" s="5"/>
      <c r="P3418" s="5"/>
      <c r="Q3418" s="5"/>
      <c r="R3418" s="5"/>
      <c r="S3418" s="5"/>
    </row>
    <row r="3419">
      <c r="A3419" s="5">
        <f>IFERROR(__xludf.DUMMYFUNCTION("""COMPUTED_VALUE"""),32618.0)</f>
        <v>32618</v>
      </c>
      <c r="B3419" s="5" t="str">
        <f>IFERROR(__xludf.DUMMYFUNCTION("""COMPUTED_VALUE"""),"هیأت")</f>
        <v>هیأت</v>
      </c>
      <c r="C3419" s="5" t="str">
        <f>IFERROR(__xludf.DUMMYFUNCTION("""COMPUTED_VALUE"""),"اجتماع قلوب")</f>
        <v>اجتماع قلوب</v>
      </c>
      <c r="D3419" s="5" t="str">
        <f>IFERROR(__xludf.DUMMYFUNCTION("""COMPUTED_VALUE"""),"گلستان")</f>
        <v>گلستان</v>
      </c>
      <c r="E3419" s="5" t="str">
        <f>IFERROR(__xludf.DUMMYFUNCTION("""COMPUTED_VALUE"""),"گرگان")</f>
        <v>گرگان</v>
      </c>
      <c r="F3419" s="5"/>
      <c r="G3419" s="5"/>
      <c r="H3419" s="6" t="str">
        <f>IFERROR(__xludf.DUMMYFUNCTION("""COMPUTED_VALUE"""),"https://www.instagram.com/ejtema_gorgan")</f>
        <v>https://www.instagram.com/ejtema_gorgan</v>
      </c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</row>
    <row r="3420">
      <c r="A3420" s="5">
        <f>IFERROR(__xludf.DUMMYFUNCTION("""COMPUTED_VALUE"""),32641.0)</f>
        <v>32641</v>
      </c>
      <c r="B3420" s="5" t="str">
        <f>IFERROR(__xludf.DUMMYFUNCTION("""COMPUTED_VALUE"""),"هیأت")</f>
        <v>هیأت</v>
      </c>
      <c r="C3420" s="5" t="str">
        <f>IFERROR(__xludf.DUMMYFUNCTION("""COMPUTED_VALUE"""),"متوسلین به امام زمان (عج)")</f>
        <v>متوسلین به امام زمان (عج)</v>
      </c>
      <c r="D3420" s="5" t="str">
        <f>IFERROR(__xludf.DUMMYFUNCTION("""COMPUTED_VALUE"""),"گلستان")</f>
        <v>گلستان</v>
      </c>
      <c r="E3420" s="5" t="str">
        <f>IFERROR(__xludf.DUMMYFUNCTION("""COMPUTED_VALUE"""),"کلاله")</f>
        <v>کلاله</v>
      </c>
      <c r="F3420" s="5"/>
      <c r="G3420" s="5"/>
      <c r="H3420" s="5"/>
      <c r="I3420" s="5"/>
      <c r="J3420" s="5" t="str">
        <f>IFERROR(__xludf.DUMMYFUNCTION("""COMPUTED_VALUE"""),"@heyatemotavasselin_313")</f>
        <v>@heyatemotavasselin_313</v>
      </c>
      <c r="K3420" s="5"/>
      <c r="L3420" s="5"/>
      <c r="M3420" s="5"/>
      <c r="N3420" s="5"/>
      <c r="O3420" s="5"/>
      <c r="P3420" s="5"/>
      <c r="Q3420" s="5"/>
      <c r="R3420" s="5"/>
      <c r="S3420" s="5"/>
    </row>
    <row r="3421">
      <c r="A3421" s="5">
        <f>IFERROR(__xludf.DUMMYFUNCTION("""COMPUTED_VALUE"""),32729.0)</f>
        <v>32729</v>
      </c>
      <c r="B3421" s="5" t="str">
        <f>IFERROR(__xludf.DUMMYFUNCTION("""COMPUTED_VALUE"""),"هیأت")</f>
        <v>هیأت</v>
      </c>
      <c r="C3421" s="5" t="str">
        <f>IFERROR(__xludf.DUMMYFUNCTION("""COMPUTED_VALUE"""),"علمداران و علمکشان گلستان")</f>
        <v>علمداران و علمکشان گلستان</v>
      </c>
      <c r="D3421" s="5" t="str">
        <f>IFERROR(__xludf.DUMMYFUNCTION("""COMPUTED_VALUE"""),"گلستان")</f>
        <v>گلستان</v>
      </c>
      <c r="E3421" s="5" t="str">
        <f>IFERROR(__xludf.DUMMYFUNCTION("""COMPUTED_VALUE"""),"گرگان")</f>
        <v>گرگان</v>
      </c>
      <c r="F3421" s="5"/>
      <c r="G3421" s="5"/>
      <c r="H3421" s="6" t="str">
        <f>IFERROR(__xludf.DUMMYFUNCTION("""COMPUTED_VALUE"""),"https://www.instagram.com/alamdaran.alamkshan")</f>
        <v>https://www.instagram.com/alamdaran.alamkshan</v>
      </c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</row>
    <row r="3422">
      <c r="A3422" s="5">
        <f>IFERROR(__xludf.DUMMYFUNCTION("""COMPUTED_VALUE"""),32777.0)</f>
        <v>32777</v>
      </c>
      <c r="B3422" s="5" t="str">
        <f>IFERROR(__xludf.DUMMYFUNCTION("""COMPUTED_VALUE"""),"هیأت")</f>
        <v>هیأت</v>
      </c>
      <c r="C3422" s="5" t="str">
        <f>IFERROR(__xludf.DUMMYFUNCTION("""COMPUTED_VALUE"""),"جوانان جان نثاران قمربنی هاشم (ع)")</f>
        <v>جوانان جان نثاران قمربنی هاشم (ع)</v>
      </c>
      <c r="D3422" s="5" t="str">
        <f>IFERROR(__xludf.DUMMYFUNCTION("""COMPUTED_VALUE"""),"گلستان")</f>
        <v>گلستان</v>
      </c>
      <c r="E3422" s="5" t="str">
        <f>IFERROR(__xludf.DUMMYFUNCTION("""COMPUTED_VALUE"""),"رامیان")</f>
        <v>رامیان</v>
      </c>
      <c r="F3422" s="5"/>
      <c r="G3422" s="5"/>
      <c r="H3422" s="6" t="str">
        <f>IFERROR(__xludf.DUMMYFUNCTION("""COMPUTED_VALUE"""),"https://www.instagram.com/ghamar_bh")</f>
        <v>https://www.instagram.com/ghamar_bh</v>
      </c>
      <c r="I3422" s="6" t="str">
        <f>IFERROR(__xludf.DUMMYFUNCTION("""COMPUTED_VALUE"""),"t.me/GHAMR_BH")</f>
        <v>t.me/GHAMR_BH</v>
      </c>
      <c r="J3422" s="5"/>
      <c r="K3422" s="5"/>
      <c r="L3422" s="5"/>
      <c r="M3422" s="5"/>
      <c r="N3422" s="5"/>
      <c r="O3422" s="5"/>
      <c r="P3422" s="5"/>
      <c r="Q3422" s="5"/>
      <c r="R3422" s="5"/>
      <c r="S3422" s="5"/>
    </row>
    <row r="3423">
      <c r="A3423" s="5">
        <f>IFERROR(__xludf.DUMMYFUNCTION("""COMPUTED_VALUE"""),32976.0)</f>
        <v>32976</v>
      </c>
      <c r="B3423" s="5" t="str">
        <f>IFERROR(__xludf.DUMMYFUNCTION("""COMPUTED_VALUE"""),"هیأت")</f>
        <v>هیأت</v>
      </c>
      <c r="C3423" s="5" t="str">
        <f>IFERROR(__xludf.DUMMYFUNCTION("""COMPUTED_VALUE"""),"مکتب الشهدا")</f>
        <v>مکتب الشهدا</v>
      </c>
      <c r="D3423" s="5" t="str">
        <f>IFERROR(__xludf.DUMMYFUNCTION("""COMPUTED_VALUE"""),"گلستان")</f>
        <v>گلستان</v>
      </c>
      <c r="E3423" s="5" t="str">
        <f>IFERROR(__xludf.DUMMYFUNCTION("""COMPUTED_VALUE"""),"گرگان")</f>
        <v>گرگان</v>
      </c>
      <c r="F3423" s="5" t="str">
        <f>IFERROR(__xludf.DUMMYFUNCTION("""COMPUTED_VALUE"""),"گرگان خیابان جمهوری چهار راه رسالت
مسجد خضر نبی (علیه السلام)
")</f>
        <v>گرگان خیابان جمهوری چهار راه رسالت
مسجد خضر نبی (علیه السلام)
</v>
      </c>
      <c r="G3423" s="5"/>
      <c r="H3423" s="6" t="str">
        <f>IFERROR(__xludf.DUMMYFUNCTION("""COMPUTED_VALUE"""),"https://www.instagram.com/maktabeshohada_gorgan")</f>
        <v>https://www.instagram.com/maktabeshohada_gorgan</v>
      </c>
      <c r="I3423" s="5"/>
      <c r="J3423" s="6" t="str">
        <f>IFERROR(__xludf.DUMMYFUNCTION("""COMPUTED_VALUE"""),"eitaa.com/maktabeshohada_gorgan")</f>
        <v>eitaa.com/maktabeshohada_gorgan</v>
      </c>
      <c r="K3423" s="5"/>
      <c r="L3423" s="5"/>
      <c r="M3423" s="5"/>
      <c r="N3423" s="5"/>
      <c r="O3423" s="5"/>
      <c r="P3423" s="5"/>
      <c r="Q3423" s="5"/>
      <c r="R3423" s="5"/>
      <c r="S3423" s="5"/>
    </row>
    <row r="3424">
      <c r="A3424" s="5">
        <f>IFERROR(__xludf.DUMMYFUNCTION("""COMPUTED_VALUE"""),33383.0)</f>
        <v>33383</v>
      </c>
      <c r="B3424" s="5" t="str">
        <f>IFERROR(__xludf.DUMMYFUNCTION("""COMPUTED_VALUE"""),"هیأت")</f>
        <v>هیأت</v>
      </c>
      <c r="C3424" s="5" t="str">
        <f>IFERROR(__xludf.DUMMYFUNCTION("""COMPUTED_VALUE"""),"خادم الزهرا (س)")</f>
        <v>خادم الزهرا (س)</v>
      </c>
      <c r="D3424" s="5" t="str">
        <f>IFERROR(__xludf.DUMMYFUNCTION("""COMPUTED_VALUE"""),"گلستان")</f>
        <v>گلستان</v>
      </c>
      <c r="E3424" s="5" t="str">
        <f>IFERROR(__xludf.DUMMYFUNCTION("""COMPUTED_VALUE"""),"گرگان")</f>
        <v>گرگان</v>
      </c>
      <c r="F3424" s="5"/>
      <c r="G3424" s="5"/>
      <c r="H3424" s="6" t="str">
        <f>IFERROR(__xludf.DUMMYFUNCTION("""COMPUTED_VALUE"""),"https://www.instagram.com/khademozahra_gor")</f>
        <v>https://www.instagram.com/khademozahra_gor</v>
      </c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</row>
    <row r="3425">
      <c r="A3425" s="5"/>
      <c r="B3425" s="5" t="str">
        <f>IFERROR(__xludf.DUMMYFUNCTION("""COMPUTED_VALUE"""),"هیأت")</f>
        <v>هیأت</v>
      </c>
      <c r="C3425" s="5" t="str">
        <f>IFERROR(__xludf.DUMMYFUNCTION("""COMPUTED_VALUE"""),"انصارالمهدی")</f>
        <v>انصارالمهدی</v>
      </c>
      <c r="D3425" s="5" t="str">
        <f>IFERROR(__xludf.DUMMYFUNCTION("""COMPUTED_VALUE"""),"گلستان")</f>
        <v>گلستان</v>
      </c>
      <c r="E3425" s="5" t="str">
        <f>IFERROR(__xludf.DUMMYFUNCTION("""COMPUTED_VALUE"""),"آزادشهر")</f>
        <v>آزادشهر</v>
      </c>
      <c r="F3425" s="5"/>
      <c r="G3425" s="5"/>
      <c r="H3425" s="6" t="str">
        <f>IFERROR(__xludf.DUMMYFUNCTION("""COMPUTED_VALUE"""),"https://www.instagram.com/ansaralmahdi_azadshahr/")</f>
        <v>https://www.instagram.com/ansaralmahdi_azadshahr/</v>
      </c>
      <c r="I3425" s="5"/>
      <c r="J3425" s="6" t="str">
        <f>IFERROR(__xludf.DUMMYFUNCTION("""COMPUTED_VALUE"""),"https://eitta.com/AnsarAlmahdi_Media")</f>
        <v>https://eitta.com/AnsarAlmahdi_Media</v>
      </c>
      <c r="K3425" s="5"/>
      <c r="L3425" s="5"/>
      <c r="M3425" s="5"/>
      <c r="N3425" s="5"/>
      <c r="O3425" s="5"/>
      <c r="P3425" s="5"/>
      <c r="Q3425" s="5"/>
      <c r="R3425" s="5"/>
      <c r="S3425" s="5"/>
    </row>
    <row r="3426">
      <c r="A3426" s="5"/>
      <c r="B3426" s="5" t="str">
        <f>IFERROR(__xludf.DUMMYFUNCTION("""COMPUTED_VALUE"""),"هیأت")</f>
        <v>هیأت</v>
      </c>
      <c r="C3426" s="5" t="str">
        <f>IFERROR(__xludf.DUMMYFUNCTION("""COMPUTED_VALUE"""),"رزمندگان اسلام")</f>
        <v>رزمندگان اسلام</v>
      </c>
      <c r="D3426" s="5" t="str">
        <f>IFERROR(__xludf.DUMMYFUNCTION("""COMPUTED_VALUE"""),"گلستان")</f>
        <v>گلستان</v>
      </c>
      <c r="E3426" s="5" t="str">
        <f>IFERROR(__xludf.DUMMYFUNCTION("""COMPUTED_VALUE"""),"آزادشهر")</f>
        <v>آزادشهر</v>
      </c>
      <c r="F3426" s="5"/>
      <c r="G3426" s="5"/>
      <c r="H3426" s="6" t="str">
        <f>IFERROR(__xludf.DUMMYFUNCTION("""COMPUTED_VALUE"""),"https://www.instagram.com/eheyat.azadshahr_/")</f>
        <v>https://www.instagram.com/eheyat.azadshahr_/</v>
      </c>
      <c r="I3426" s="5"/>
      <c r="J3426" s="6" t="str">
        <f>IFERROR(__xludf.DUMMYFUNCTION("""COMPUTED_VALUE"""),"https://eitaa.com/razmandegan_azadshahr")</f>
        <v>https://eitaa.com/razmandegan_azadshahr</v>
      </c>
      <c r="K3426" s="5"/>
      <c r="L3426" s="5"/>
      <c r="M3426" s="5"/>
      <c r="N3426" s="5"/>
      <c r="O3426" s="5"/>
      <c r="P3426" s="5"/>
      <c r="Q3426" s="5"/>
      <c r="R3426" s="5"/>
      <c r="S3426" s="5"/>
    </row>
    <row r="3427">
      <c r="A3427" s="5"/>
      <c r="B3427" s="5" t="str">
        <f>IFERROR(__xludf.DUMMYFUNCTION("""COMPUTED_VALUE"""),"هیأت دانــش آمــوزی")</f>
        <v>هیأت دانــش آمــوزی</v>
      </c>
      <c r="C3427" s="5" t="str">
        <f>IFERROR(__xludf.DUMMYFUNCTION("""COMPUTED_VALUE"""),"احباب الـرضا")</f>
        <v>احباب الـرضا</v>
      </c>
      <c r="D3427" s="5" t="str">
        <f>IFERROR(__xludf.DUMMYFUNCTION("""COMPUTED_VALUE"""),"گلستان")</f>
        <v>گلستان</v>
      </c>
      <c r="E3427" s="5" t="str">
        <f>IFERROR(__xludf.DUMMYFUNCTION("""COMPUTED_VALUE"""),"آزادشهر")</f>
        <v>آزادشهر</v>
      </c>
      <c r="F3427" s="5" t="str">
        <f>IFERROR(__xludf.DUMMYFUNCTION("""COMPUTED_VALUE"""),"روستای سوسرا")</f>
        <v>روستای سوسرا</v>
      </c>
      <c r="G3427" s="5"/>
      <c r="H3427" s="6" t="str">
        <f>IFERROR(__xludf.DUMMYFUNCTION("""COMPUTED_VALUE"""),"https://www.instagram.com/hayyat_ahbab_alreza_susra")</f>
        <v>https://www.instagram.com/hayyat_ahbab_alreza_susra</v>
      </c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</row>
    <row r="3428">
      <c r="A3428" s="5"/>
      <c r="B3428" s="5" t="str">
        <f>IFERROR(__xludf.DUMMYFUNCTION("""COMPUTED_VALUE"""),"هیأت")</f>
        <v>هیأت</v>
      </c>
      <c r="C3428" s="5" t="str">
        <f>IFERROR(__xludf.DUMMYFUNCTION("""COMPUTED_VALUE"""),"جوانان امام زمان")</f>
        <v>جوانان امام زمان</v>
      </c>
      <c r="D3428" s="5" t="str">
        <f>IFERROR(__xludf.DUMMYFUNCTION("""COMPUTED_VALUE"""),"گلستان")</f>
        <v>گلستان</v>
      </c>
      <c r="E3428" s="5" t="str">
        <f>IFERROR(__xludf.DUMMYFUNCTION("""COMPUTED_VALUE"""),"آزادشهر")</f>
        <v>آزادشهر</v>
      </c>
      <c r="F3428" s="5" t="str">
        <f>IFERROR(__xludf.DUMMYFUNCTION("""COMPUTED_VALUE""")," آزادشهر خیابان شاهرود انتهای شنبه بازار قدیم")</f>
        <v> آزادشهر خیابان شاهرود انتهای شنبه بازار قدیم</v>
      </c>
      <c r="G3428" s="5"/>
      <c r="H3428" s="6" t="str">
        <f>IFERROR(__xludf.DUMMYFUNCTION("""COMPUTED_VALUE"""),"https://www.instagram.com/heyat_emam_zaman_azadshahr")</f>
        <v>https://www.instagram.com/heyat_emam_zaman_azadshahr</v>
      </c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</row>
    <row r="3429">
      <c r="A3429" s="5"/>
      <c r="B3429" s="5" t="str">
        <f>IFERROR(__xludf.DUMMYFUNCTION("""COMPUTED_VALUE"""),"هیأت")</f>
        <v>هیأت</v>
      </c>
      <c r="C3429" s="5" t="str">
        <f>IFERROR(__xludf.DUMMYFUNCTION("""COMPUTED_VALUE"""),"منتظران مهدی(عج")</f>
        <v>منتظران مهدی(عج</v>
      </c>
      <c r="D3429" s="5" t="str">
        <f>IFERROR(__xludf.DUMMYFUNCTION("""COMPUTED_VALUE"""),"گلستان")</f>
        <v>گلستان</v>
      </c>
      <c r="E3429" s="5" t="str">
        <f>IFERROR(__xludf.DUMMYFUNCTION("""COMPUTED_VALUE"""),"آزادشهر")</f>
        <v>آزادشهر</v>
      </c>
      <c r="F3429" s="5" t="str">
        <f>IFERROR(__xludf.DUMMYFUNCTION("""COMPUTED_VALUE"""),"نگین شهر")</f>
        <v>نگین شهر</v>
      </c>
      <c r="G3429" s="5"/>
      <c r="H3429" s="6" t="str">
        <f>IFERROR(__xludf.DUMMYFUNCTION("""COMPUTED_VALUE"""),"https://www.instagram.com/montazeranemahdi.ng/")</f>
        <v>https://www.instagram.com/montazeranemahdi.ng/</v>
      </c>
      <c r="I3429" s="6" t="str">
        <f>IFERROR(__xludf.DUMMYFUNCTION("""COMPUTED_VALUE"""),"https://t.me/montazeranajneginshahr")</f>
        <v>https://t.me/montazeranajneginshahr</v>
      </c>
      <c r="J3429" s="5"/>
      <c r="K3429" s="5"/>
      <c r="L3429" s="5"/>
      <c r="M3429" s="5"/>
      <c r="N3429" s="5"/>
      <c r="O3429" s="5"/>
      <c r="P3429" s="5"/>
      <c r="Q3429" s="5"/>
      <c r="R3429" s="5"/>
      <c r="S3429" s="5"/>
    </row>
    <row r="3430">
      <c r="A3430" s="5"/>
      <c r="B3430" s="5" t="str">
        <f>IFERROR(__xludf.DUMMYFUNCTION("""COMPUTED_VALUE"""),"هیأت")</f>
        <v>هیأت</v>
      </c>
      <c r="C3430" s="5" t="str">
        <f>IFERROR(__xludf.DUMMYFUNCTION("""COMPUTED_VALUE"""),"خادم الرضا")</f>
        <v>خادم الرضا</v>
      </c>
      <c r="D3430" s="5" t="str">
        <f>IFERROR(__xludf.DUMMYFUNCTION("""COMPUTED_VALUE"""),"گلستان")</f>
        <v>گلستان</v>
      </c>
      <c r="E3430" s="5" t="str">
        <f>IFERROR(__xludf.DUMMYFUNCTION("""COMPUTED_VALUE"""),"آزادشهر")</f>
        <v>آزادشهر</v>
      </c>
      <c r="F3430" s="5" t="str">
        <f>IFERROR(__xludf.DUMMYFUNCTION("""COMPUTED_VALUE"""),"نوده خاندوز")</f>
        <v>نوده خاندوز</v>
      </c>
      <c r="G3430" s="5"/>
      <c r="H3430" s="6" t="str">
        <f>IFERROR(__xludf.DUMMYFUNCTION("""COMPUTED_VALUE"""),"https://www.instagram.com/heyyat_khademolreza/")</f>
        <v>https://www.instagram.com/heyyat_khademolreza/</v>
      </c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</row>
    <row r="3431">
      <c r="A3431" s="5"/>
      <c r="B3431" s="5" t="str">
        <f>IFERROR(__xludf.DUMMYFUNCTION("""COMPUTED_VALUE"""),"هیأت")</f>
        <v>هیأت</v>
      </c>
      <c r="C3431" s="5" t="str">
        <f>IFERROR(__xludf.DUMMYFUNCTION("""COMPUTED_VALUE"""),"اباالفضـلیا")</f>
        <v>اباالفضـلیا</v>
      </c>
      <c r="D3431" s="5" t="str">
        <f>IFERROR(__xludf.DUMMYFUNCTION("""COMPUTED_VALUE"""),"گلستان")</f>
        <v>گلستان</v>
      </c>
      <c r="E3431" s="5" t="str">
        <f>IFERROR(__xludf.DUMMYFUNCTION("""COMPUTED_VALUE"""),"آق قلا")</f>
        <v>آق قلا</v>
      </c>
      <c r="F3431" s="5" t="str">
        <f>IFERROR(__xludf.DUMMYFUNCTION("""COMPUTED_VALUE"""),"انبارالوم")</f>
        <v>انبارالوم</v>
      </c>
      <c r="G3431" s="5"/>
      <c r="H3431" s="6" t="str">
        <f>IFERROR(__xludf.DUMMYFUNCTION("""COMPUTED_VALUE"""),"https://www.instagram.com/abal.fazliya/")</f>
        <v>https://www.instagram.com/abal.fazliya/</v>
      </c>
      <c r="I3431" s="6" t="str">
        <f>IFERROR(__xludf.DUMMYFUNCTION("""COMPUTED_VALUE"""),"https://t.me/abal_fazliya")</f>
        <v>https://t.me/abal_fazliya</v>
      </c>
      <c r="J3431" s="5"/>
      <c r="K3431" s="5"/>
      <c r="L3431" s="5"/>
      <c r="M3431" s="5"/>
      <c r="N3431" s="5"/>
      <c r="O3431" s="5"/>
      <c r="P3431" s="5"/>
      <c r="Q3431" s="5"/>
      <c r="R3431" s="5"/>
      <c r="S3431" s="5"/>
    </row>
    <row r="3432">
      <c r="A3432" s="5"/>
      <c r="B3432" s="5" t="str">
        <f>IFERROR(__xludf.DUMMYFUNCTION("""COMPUTED_VALUE"""),"هیأت")</f>
        <v>هیأت</v>
      </c>
      <c r="C3432" s="5" t="str">
        <f>IFERROR(__xludf.DUMMYFUNCTION("""COMPUTED_VALUE"""),"اباالفضـلیا")</f>
        <v>اباالفضـلیا</v>
      </c>
      <c r="D3432" s="5" t="str">
        <f>IFERROR(__xludf.DUMMYFUNCTION("""COMPUTED_VALUE"""),"گلستان")</f>
        <v>گلستان</v>
      </c>
      <c r="E3432" s="5" t="str">
        <f>IFERROR(__xludf.DUMMYFUNCTION("""COMPUTED_VALUE"""),"آق قلا")</f>
        <v>آق قلا</v>
      </c>
      <c r="F3432" s="5" t="str">
        <f>IFERROR(__xludf.DUMMYFUNCTION("""COMPUTED_VALUE"""),"انبارالوم")</f>
        <v>انبارالوم</v>
      </c>
      <c r="G3432" s="5"/>
      <c r="H3432" s="6" t="str">
        <f>IFERROR(__xludf.DUMMYFUNCTION("""COMPUTED_VALUE"""),"https://www.instagram.com/abalfazliya.ir/")</f>
        <v>https://www.instagram.com/abalfazliya.ir/</v>
      </c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</row>
    <row r="3433">
      <c r="A3433" s="5"/>
      <c r="B3433" s="5" t="str">
        <f>IFERROR(__xludf.DUMMYFUNCTION("""COMPUTED_VALUE"""),"هیأت")</f>
        <v>هیأت</v>
      </c>
      <c r="C3433" s="5" t="str">
        <f>IFERROR(__xludf.DUMMYFUNCTION("""COMPUTED_VALUE"""),"الرضا")</f>
        <v>الرضا</v>
      </c>
      <c r="D3433" s="5" t="str">
        <f>IFERROR(__xludf.DUMMYFUNCTION("""COMPUTED_VALUE"""),"گلستان")</f>
        <v>گلستان</v>
      </c>
      <c r="E3433" s="5" t="str">
        <f>IFERROR(__xludf.DUMMYFUNCTION("""COMPUTED_VALUE"""),"بندر گز")</f>
        <v>بندر گز</v>
      </c>
      <c r="F3433" s="5"/>
      <c r="G3433" s="5"/>
      <c r="H3433" s="6" t="str">
        <f>IFERROR(__xludf.DUMMYFUNCTION("""COMPUTED_VALUE"""),"https://www.instagram.com/heiatorreza_bandargaz/")</f>
        <v>https://www.instagram.com/heiatorreza_bandargaz/</v>
      </c>
      <c r="I3433" s="6" t="str">
        <f>IFERROR(__xludf.DUMMYFUNCTION("""COMPUTED_VALUE"""),"https://t.me/heiatorreza_bandargaz")</f>
        <v>https://t.me/heiatorreza_bandargaz</v>
      </c>
      <c r="J3433" s="5"/>
      <c r="K3433" s="5"/>
      <c r="L3433" s="5"/>
      <c r="M3433" s="5"/>
      <c r="N3433" s="5" t="str">
        <f>IFERROR(__xludf.DUMMYFUNCTION("""COMPUTED_VALUE"""),"مناسبتی")</f>
        <v>مناسبتی</v>
      </c>
      <c r="O3433" s="5"/>
      <c r="P3433" s="5"/>
      <c r="Q3433" s="5"/>
      <c r="R3433" s="5"/>
      <c r="S3433" s="5"/>
    </row>
    <row r="3434">
      <c r="A3434" s="5"/>
      <c r="B3434" s="5" t="str">
        <f>IFERROR(__xludf.DUMMYFUNCTION("""COMPUTED_VALUE"""),"هیأت")</f>
        <v>هیأت</v>
      </c>
      <c r="C3434" s="5" t="str">
        <f>IFERROR(__xludf.DUMMYFUNCTION("""COMPUTED_VALUE"""),"ابوالفضل العباس(ع)")</f>
        <v>ابوالفضل العباس(ع)</v>
      </c>
      <c r="D3434" s="5" t="str">
        <f>IFERROR(__xludf.DUMMYFUNCTION("""COMPUTED_VALUE"""),"گلستان")</f>
        <v>گلستان</v>
      </c>
      <c r="E3434" s="5" t="str">
        <f>IFERROR(__xludf.DUMMYFUNCTION("""COMPUTED_VALUE"""),"بندر گز")</f>
        <v>بندر گز</v>
      </c>
      <c r="F3434" s="5"/>
      <c r="G3434" s="5"/>
      <c r="H3434" s="6" t="str">
        <f>IFERROR(__xludf.DUMMYFUNCTION("""COMPUTED_VALUE"""),"https://www.instagram.com/heyat_abolfazlel_abas/")</f>
        <v>https://www.instagram.com/heyat_abolfazlel_abas/</v>
      </c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</row>
    <row r="3435">
      <c r="A3435" s="5"/>
      <c r="B3435" s="5" t="str">
        <f>IFERROR(__xludf.DUMMYFUNCTION("""COMPUTED_VALUE"""),"هیأت")</f>
        <v>هیأت</v>
      </c>
      <c r="C3435" s="5" t="str">
        <f>IFERROR(__xludf.DUMMYFUNCTION("""COMPUTED_VALUE"""),"عاشقان مولا حسین")</f>
        <v>عاشقان مولا حسین</v>
      </c>
      <c r="D3435" s="5" t="str">
        <f>IFERROR(__xludf.DUMMYFUNCTION("""COMPUTED_VALUE"""),"گلستان")</f>
        <v>گلستان</v>
      </c>
      <c r="E3435" s="5" t="str">
        <f>IFERROR(__xludf.DUMMYFUNCTION("""COMPUTED_VALUE"""),"بندر گز")</f>
        <v>بندر گز</v>
      </c>
      <c r="F3435" s="5"/>
      <c r="G3435" s="5"/>
      <c r="H3435" s="6" t="str">
        <f>IFERROR(__xludf.DUMMYFUNCTION("""COMPUTED_VALUE"""),"https://www.instagram.com/asheghan_molahossein/")</f>
        <v>https://www.instagram.com/asheghan_molahossein/</v>
      </c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</row>
    <row r="3436">
      <c r="A3436" s="5"/>
      <c r="B3436" s="5" t="str">
        <f>IFERROR(__xludf.DUMMYFUNCTION("""COMPUTED_VALUE"""),"هیأت")</f>
        <v>هیأت</v>
      </c>
      <c r="C3436" s="5" t="str">
        <f>IFERROR(__xludf.DUMMYFUNCTION("""COMPUTED_VALUE"""),"الرضا")</f>
        <v>الرضا</v>
      </c>
      <c r="D3436" s="5" t="str">
        <f>IFERROR(__xludf.DUMMYFUNCTION("""COMPUTED_VALUE"""),"گلستان")</f>
        <v>گلستان</v>
      </c>
      <c r="E3436" s="5" t="str">
        <f>IFERROR(__xludf.DUMMYFUNCTION("""COMPUTED_VALUE"""),"بندر گز")</f>
        <v>بندر گز</v>
      </c>
      <c r="F3436" s="5"/>
      <c r="G3436" s="5"/>
      <c r="H3436" s="6" t="str">
        <f>IFERROR(__xludf.DUMMYFUNCTION("""COMPUTED_VALUE"""),"https://www.instagram.com/heiatolrezabandargaz")</f>
        <v>https://www.instagram.com/heiatolrezabandargaz</v>
      </c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</row>
    <row r="3437">
      <c r="A3437" s="5"/>
      <c r="B3437" s="5" t="str">
        <f>IFERROR(__xludf.DUMMYFUNCTION("""COMPUTED_VALUE"""),"هیأت")</f>
        <v>هیأت</v>
      </c>
      <c r="C3437" s="5" t="str">
        <f>IFERROR(__xludf.DUMMYFUNCTION("""COMPUTED_VALUE"""),"قمر بنی هاشم")</f>
        <v>قمر بنی هاشم</v>
      </c>
      <c r="D3437" s="5" t="str">
        <f>IFERROR(__xludf.DUMMYFUNCTION("""COMPUTED_VALUE"""),"گلستان")</f>
        <v>گلستان</v>
      </c>
      <c r="E3437" s="5" t="str">
        <f>IFERROR(__xludf.DUMMYFUNCTION("""COMPUTED_VALUE"""),"بندر گز")</f>
        <v>بندر گز</v>
      </c>
      <c r="F3437" s="5" t="str">
        <f>IFERROR(__xludf.DUMMYFUNCTION("""COMPUTED_VALUE"""),"نوکنده")</f>
        <v>نوکنده</v>
      </c>
      <c r="G3437" s="5"/>
      <c r="H3437" s="6" t="str">
        <f>IFERROR(__xludf.DUMMYFUNCTION("""COMPUTED_VALUE"""),"https://www.instagram.com/heyat_qamar_bani_hashem")</f>
        <v>https://www.instagram.com/heyat_qamar_bani_hashem</v>
      </c>
      <c r="I3437" s="6" t="str">
        <f>IFERROR(__xludf.DUMMYFUNCTION("""COMPUTED_VALUE"""),"https://t.me/ghamar_baniii_hashem")</f>
        <v>https://t.me/ghamar_baniii_hashem</v>
      </c>
      <c r="J3437" s="5"/>
      <c r="K3437" s="5"/>
      <c r="L3437" s="5"/>
      <c r="M3437" s="5"/>
      <c r="N3437" s="5"/>
      <c r="O3437" s="5"/>
      <c r="P3437" s="5"/>
      <c r="Q3437" s="5"/>
      <c r="R3437" s="5"/>
      <c r="S3437" s="5"/>
    </row>
    <row r="3438">
      <c r="A3438" s="5"/>
      <c r="B3438" s="5" t="str">
        <f>IFERROR(__xludf.DUMMYFUNCTION("""COMPUTED_VALUE"""),"هیأت")</f>
        <v>هیأت</v>
      </c>
      <c r="C3438" s="5" t="str">
        <f>IFERROR(__xludf.DUMMYFUNCTION("""COMPUTED_VALUE"""),"کریم آل طه")</f>
        <v>کریم آل طه</v>
      </c>
      <c r="D3438" s="5" t="str">
        <f>IFERROR(__xludf.DUMMYFUNCTION("""COMPUTED_VALUE"""),"گلستان")</f>
        <v>گلستان</v>
      </c>
      <c r="E3438" s="5" t="str">
        <f>IFERROR(__xludf.DUMMYFUNCTION("""COMPUTED_VALUE"""),"بندر گز")</f>
        <v>بندر گز</v>
      </c>
      <c r="F3438" s="5" t="str">
        <f>IFERROR(__xludf.DUMMYFUNCTION("""COMPUTED_VALUE"""),"نوکنده")</f>
        <v>نوکنده</v>
      </c>
      <c r="G3438" s="5"/>
      <c r="H3438" s="6" t="str">
        <f>IFERROR(__xludf.DUMMYFUNCTION("""COMPUTED_VALUE"""),"https://www.instagram.com/heyatkarimaltaha/")</f>
        <v>https://www.instagram.com/heyatkarimaltaha/</v>
      </c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</row>
    <row r="3439">
      <c r="A3439" s="5"/>
      <c r="B3439" s="5" t="str">
        <f>IFERROR(__xludf.DUMMYFUNCTION("""COMPUTED_VALUE"""),"هیأت")</f>
        <v>هیأت</v>
      </c>
      <c r="C3439" s="5" t="str">
        <f>IFERROR(__xludf.DUMMYFUNCTION("""COMPUTED_VALUE"""),"انصارالمهدی(عج)")</f>
        <v>انصارالمهدی(عج)</v>
      </c>
      <c r="D3439" s="5" t="str">
        <f>IFERROR(__xludf.DUMMYFUNCTION("""COMPUTED_VALUE"""),"گلستان")</f>
        <v>گلستان</v>
      </c>
      <c r="E3439" s="5" t="str">
        <f>IFERROR(__xludf.DUMMYFUNCTION("""COMPUTED_VALUE"""),"بندرترکمن")</f>
        <v>بندرترکمن</v>
      </c>
      <c r="F3439" s="5"/>
      <c r="G3439" s="5"/>
      <c r="H3439" s="6" t="str">
        <f>IFERROR(__xludf.DUMMYFUNCTION("""COMPUTED_VALUE"""),"https://www.instagram.com/ansar_bandar/")</f>
        <v>https://www.instagram.com/ansar_bandar/</v>
      </c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</row>
    <row r="3440">
      <c r="A3440" s="5"/>
      <c r="B3440" s="5" t="str">
        <f>IFERROR(__xludf.DUMMYFUNCTION("""COMPUTED_VALUE"""),"هیأت")</f>
        <v>هیأت</v>
      </c>
      <c r="C3440" s="5" t="str">
        <f>IFERROR(__xludf.DUMMYFUNCTION("""COMPUTED_VALUE"""),"انصار حضرت زینب (س)")</f>
        <v>انصار حضرت زینب (س)</v>
      </c>
      <c r="D3440" s="5" t="str">
        <f>IFERROR(__xludf.DUMMYFUNCTION("""COMPUTED_VALUE"""),"گلستان")</f>
        <v>گلستان</v>
      </c>
      <c r="E3440" s="5" t="str">
        <f>IFERROR(__xludf.DUMMYFUNCTION("""COMPUTED_VALUE"""),"بندرگز")</f>
        <v>بندرگز</v>
      </c>
      <c r="F3440" s="5"/>
      <c r="G3440" s="5"/>
      <c r="H3440" s="6" t="str">
        <f>IFERROR(__xludf.DUMMYFUNCTION("""COMPUTED_VALUE"""),"https://www.instagram.com/ansar_ol_zeynab313")</f>
        <v>https://www.instagram.com/ansar_ol_zeynab313</v>
      </c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</row>
    <row r="3441">
      <c r="A3441" s="5"/>
      <c r="B3441" s="5" t="str">
        <f>IFERROR(__xludf.DUMMYFUNCTION("""COMPUTED_VALUE"""),"هیأت")</f>
        <v>هیأت</v>
      </c>
      <c r="C3441" s="5" t="str">
        <f>IFERROR(__xludf.DUMMYFUNCTION("""COMPUTED_VALUE"""),"ابوالفضل العباس(ع)")</f>
        <v>ابوالفضل العباس(ع)</v>
      </c>
      <c r="D3441" s="5" t="str">
        <f>IFERROR(__xludf.DUMMYFUNCTION("""COMPUTED_VALUE"""),"گلستان")</f>
        <v>گلستان</v>
      </c>
      <c r="E3441" s="5" t="str">
        <f>IFERROR(__xludf.DUMMYFUNCTION("""COMPUTED_VALUE"""),"بندرگز")</f>
        <v>بندرگز</v>
      </c>
      <c r="F3441" s="5" t="str">
        <f>IFERROR(__xludf.DUMMYFUNCTION("""COMPUTED_VALUE"""),"مسجد محمدیه بندرگز")</f>
        <v>مسجد محمدیه بندرگز</v>
      </c>
      <c r="G3441" s="5">
        <f>IFERROR(__xludf.DUMMYFUNCTION("""COMPUTED_VALUE"""),1.0)</f>
        <v>1</v>
      </c>
      <c r="H3441" s="6" t="str">
        <f>IFERROR(__xludf.DUMMYFUNCTION("""COMPUTED_VALUE"""),"https://www.instagram.com/heyat_abolfazlel_abas")</f>
        <v>https://www.instagram.com/heyat_abolfazlel_abas</v>
      </c>
      <c r="I3441" s="6" t="str">
        <f>IFERROR(__xludf.DUMMYFUNCTION("""COMPUTED_VALUE"""),"https://www.instagram.com/heyat_abolfazlel_abas")</f>
        <v>https://www.instagram.com/heyat_abolfazlel_abas</v>
      </c>
      <c r="J3441" s="5"/>
      <c r="K3441" s="5"/>
      <c r="L3441" s="5"/>
      <c r="M3441" s="5"/>
      <c r="N3441" s="5"/>
      <c r="O3441" s="5"/>
      <c r="P3441" s="5"/>
      <c r="Q3441" s="5"/>
      <c r="R3441" s="5"/>
      <c r="S3441" s="5"/>
    </row>
    <row r="3442">
      <c r="A3442" s="5"/>
      <c r="B3442" s="5" t="str">
        <f>IFERROR(__xludf.DUMMYFUNCTION("""COMPUTED_VALUE"""),"هیأت")</f>
        <v>هیأت</v>
      </c>
      <c r="C3442" s="5" t="str">
        <f>IFERROR(__xludf.DUMMYFUNCTION("""COMPUTED_VALUE"""),"قمر بنی هاشم")</f>
        <v>قمر بنی هاشم</v>
      </c>
      <c r="D3442" s="5" t="str">
        <f>IFERROR(__xludf.DUMMYFUNCTION("""COMPUTED_VALUE"""),"گلستان")</f>
        <v>گلستان</v>
      </c>
      <c r="E3442" s="5" t="str">
        <f>IFERROR(__xludf.DUMMYFUNCTION("""COMPUTED_VALUE"""),"رامیان")</f>
        <v>رامیان</v>
      </c>
      <c r="F3442" s="5"/>
      <c r="G3442" s="5"/>
      <c r="H3442" s="6" t="str">
        <f>IFERROR(__xludf.DUMMYFUNCTION("""COMPUTED_VALUE"""),"https://www.instagram.com/ghamar_bh/")</f>
        <v>https://www.instagram.com/ghamar_bh/</v>
      </c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</row>
    <row r="3443">
      <c r="A3443" s="5"/>
      <c r="B3443" s="5" t="str">
        <f>IFERROR(__xludf.DUMMYFUNCTION("""COMPUTED_VALUE"""),"هیأت")</f>
        <v>هیأت</v>
      </c>
      <c r="C3443" s="5" t="str">
        <f>IFERROR(__xludf.DUMMYFUNCTION("""COMPUTED_VALUE"""),"حضرت ابوالفضل العباس (ع)")</f>
        <v>حضرت ابوالفضل العباس (ع)</v>
      </c>
      <c r="D3443" s="5" t="str">
        <f>IFERROR(__xludf.DUMMYFUNCTION("""COMPUTED_VALUE"""),"گلستان")</f>
        <v>گلستان</v>
      </c>
      <c r="E3443" s="5" t="str">
        <f>IFERROR(__xludf.DUMMYFUNCTION("""COMPUTED_VALUE"""),"رامیان")</f>
        <v>رامیان</v>
      </c>
      <c r="F3443" s="5"/>
      <c r="G3443" s="5"/>
      <c r="H3443" s="6" t="str">
        <f>IFERROR(__xludf.DUMMYFUNCTION("""COMPUTED_VALUE"""),"https://www.instagram.com/tekiyeh_hazratabolfazl/")</f>
        <v>https://www.instagram.com/tekiyeh_hazratabolfazl/</v>
      </c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</row>
    <row r="3444">
      <c r="A3444" s="5"/>
      <c r="B3444" s="5" t="str">
        <f>IFERROR(__xludf.DUMMYFUNCTION("""COMPUTED_VALUE"""),"هیأت")</f>
        <v>هیأت</v>
      </c>
      <c r="C3444" s="5" t="str">
        <f>IFERROR(__xludf.DUMMYFUNCTION("""COMPUTED_VALUE"""),"معظم عشاق‌الحسن(ع)")</f>
        <v>معظم عشاق‌الحسن(ع)</v>
      </c>
      <c r="D3444" s="5" t="str">
        <f>IFERROR(__xludf.DUMMYFUNCTION("""COMPUTED_VALUE"""),"گلستان")</f>
        <v>گلستان</v>
      </c>
      <c r="E3444" s="5" t="str">
        <f>IFERROR(__xludf.DUMMYFUNCTION("""COMPUTED_VALUE"""),"رامیان")</f>
        <v>رامیان</v>
      </c>
      <c r="F3444" s="5"/>
      <c r="G3444" s="5"/>
      <c r="H3444" s="6" t="str">
        <f>IFERROR(__xludf.DUMMYFUNCTION("""COMPUTED_VALUE"""),"https://www.instagram.com/mahfel_oshaqolhasan")</f>
        <v>https://www.instagram.com/mahfel_oshaqolhasan</v>
      </c>
      <c r="I3444" s="6" t="str">
        <f>IFERROR(__xludf.DUMMYFUNCTION("""COMPUTED_VALUE"""),"https://t.me/oshaqolhasan")</f>
        <v>https://t.me/oshaqolhasan</v>
      </c>
      <c r="J3444" s="5"/>
      <c r="K3444" s="5"/>
      <c r="L3444" s="5"/>
      <c r="M3444" s="5"/>
      <c r="N3444" s="5"/>
      <c r="O3444" s="5"/>
      <c r="P3444" s="5"/>
      <c r="Q3444" s="5"/>
      <c r="R3444" s="5"/>
      <c r="S3444" s="5"/>
    </row>
    <row r="3445">
      <c r="A3445" s="5"/>
      <c r="B3445" s="5" t="str">
        <f>IFERROR(__xludf.DUMMYFUNCTION("""COMPUTED_VALUE"""),"هیأت")</f>
        <v>هیأت</v>
      </c>
      <c r="C3445" s="5" t="str">
        <f>IFERROR(__xludf.DUMMYFUNCTION("""COMPUTED_VALUE"""),"زنجیر زنی سید الشهدا(ع)")</f>
        <v>زنجیر زنی سید الشهدا(ع)</v>
      </c>
      <c r="D3445" s="5" t="str">
        <f>IFERROR(__xludf.DUMMYFUNCTION("""COMPUTED_VALUE"""),"گلستان")</f>
        <v>گلستان</v>
      </c>
      <c r="E3445" s="5" t="str">
        <f>IFERROR(__xludf.DUMMYFUNCTION("""COMPUTED_VALUE"""),"رامیان")</f>
        <v>رامیان</v>
      </c>
      <c r="F3445" s="5"/>
      <c r="G3445" s="5"/>
      <c r="H3445" s="6" t="str">
        <f>IFERROR(__xludf.DUMMYFUNCTION("""COMPUTED_VALUE"""),"https://www.instagram.com/tekiyeh_seyedshohada/")</f>
        <v>https://www.instagram.com/tekiyeh_seyedshohada/</v>
      </c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</row>
    <row r="3446">
      <c r="A3446" s="5"/>
      <c r="B3446" s="5" t="str">
        <f>IFERROR(__xludf.DUMMYFUNCTION("""COMPUTED_VALUE"""),"هیأت")</f>
        <v>هیأت</v>
      </c>
      <c r="C3446" s="5" t="str">
        <f>IFERROR(__xludf.DUMMYFUNCTION("""COMPUTED_VALUE"""),"عزاداران حسینی")</f>
        <v>عزاداران حسینی</v>
      </c>
      <c r="D3446" s="5" t="str">
        <f>IFERROR(__xludf.DUMMYFUNCTION("""COMPUTED_VALUE"""),"گلستان")</f>
        <v>گلستان</v>
      </c>
      <c r="E3446" s="5" t="str">
        <f>IFERROR(__xludf.DUMMYFUNCTION("""COMPUTED_VALUE"""),"علی آباد کتول")</f>
        <v>علی آباد کتول</v>
      </c>
      <c r="F3446" s="5"/>
      <c r="G3446" s="5"/>
      <c r="H3446" s="6" t="str">
        <f>IFERROR(__xludf.DUMMYFUNCTION("""COMPUTED_VALUE"""),"https://www.instagram.com/aliabadekatul")</f>
        <v>https://www.instagram.com/aliabadekatul</v>
      </c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</row>
    <row r="3447">
      <c r="A3447" s="5"/>
      <c r="B3447" s="5" t="str">
        <f>IFERROR(__xludf.DUMMYFUNCTION("""COMPUTED_VALUE"""),"هیأت")</f>
        <v>هیأت</v>
      </c>
      <c r="C3447" s="5" t="str">
        <f>IFERROR(__xludf.DUMMYFUNCTION("""COMPUTED_VALUE"""),"امام جواد")</f>
        <v>امام جواد</v>
      </c>
      <c r="D3447" s="5" t="str">
        <f>IFERROR(__xludf.DUMMYFUNCTION("""COMPUTED_VALUE"""),"گلستان")</f>
        <v>گلستان</v>
      </c>
      <c r="E3447" s="5" t="str">
        <f>IFERROR(__xludf.DUMMYFUNCTION("""COMPUTED_VALUE"""),"علی آباد کتول")</f>
        <v>علی آباد کتول</v>
      </c>
      <c r="F3447" s="5"/>
      <c r="G3447" s="5"/>
      <c r="H3447" s="6" t="str">
        <f>IFERROR(__xludf.DUMMYFUNCTION("""COMPUTED_VALUE"""),"https://www.instagram.com/emamjavad14/")</f>
        <v>https://www.instagram.com/emamjavad14/</v>
      </c>
      <c r="I3447" s="6" t="str">
        <f>IFERROR(__xludf.DUMMYFUNCTION("""COMPUTED_VALUE"""),"https://t.me/emamjavad14_ir")</f>
        <v>https://t.me/emamjavad14_ir</v>
      </c>
      <c r="J3447" s="6" t="str">
        <f>IFERROR(__xludf.DUMMYFUNCTION("""COMPUTED_VALUE"""),"https://eitaa.com/emamjavad14_ir")</f>
        <v>https://eitaa.com/emamjavad14_ir</v>
      </c>
      <c r="K3447" s="5"/>
      <c r="L3447" s="5"/>
      <c r="M3447" s="5"/>
      <c r="N3447" s="5"/>
      <c r="O3447" s="5"/>
      <c r="P3447" s="5"/>
      <c r="Q3447" s="5"/>
      <c r="R3447" s="5"/>
      <c r="S3447" s="5"/>
    </row>
    <row r="3448">
      <c r="A3448" s="5"/>
      <c r="B3448" s="5" t="str">
        <f>IFERROR(__xludf.DUMMYFUNCTION("""COMPUTED_VALUE"""),"هیأت")</f>
        <v>هیأت</v>
      </c>
      <c r="C3448" s="5" t="str">
        <f>IFERROR(__xludf.DUMMYFUNCTION("""COMPUTED_VALUE"""),"ارباب حسین(ع)")</f>
        <v>ارباب حسین(ع)</v>
      </c>
      <c r="D3448" s="5" t="str">
        <f>IFERROR(__xludf.DUMMYFUNCTION("""COMPUTED_VALUE"""),"گلستان")</f>
        <v>گلستان</v>
      </c>
      <c r="E3448" s="5" t="str">
        <f>IFERROR(__xludf.DUMMYFUNCTION("""COMPUTED_VALUE"""),"علی آباد کتول")</f>
        <v>علی آباد کتول</v>
      </c>
      <c r="F3448" s="5"/>
      <c r="G3448" s="5">
        <f>IFERROR(__xludf.DUMMYFUNCTION("""COMPUTED_VALUE"""),1.0)</f>
        <v>1</v>
      </c>
      <c r="H3448" s="6" t="str">
        <f>IFERROR(__xludf.DUMMYFUNCTION("""COMPUTED_VALUE"""),"https://www.instagram.com/arbabhosein87/")</f>
        <v>https://www.instagram.com/arbabhosein87/</v>
      </c>
      <c r="I3448" s="5"/>
      <c r="J3448" s="6" t="str">
        <f>IFERROR(__xludf.DUMMYFUNCTION("""COMPUTED_VALUE"""),"eitaa.com/mokebarbabhosein87")</f>
        <v>eitaa.com/mokebarbabhosein87</v>
      </c>
      <c r="K3448" s="5"/>
      <c r="L3448" s="5"/>
      <c r="M3448" s="5"/>
      <c r="N3448" s="5"/>
      <c r="O3448" s="5"/>
      <c r="P3448" s="5"/>
      <c r="Q3448" s="5"/>
      <c r="R3448" s="5"/>
      <c r="S3448" s="5"/>
    </row>
    <row r="3449">
      <c r="A3449" s="5"/>
      <c r="B3449" s="5" t="str">
        <f>IFERROR(__xludf.DUMMYFUNCTION("""COMPUTED_VALUE"""),"هیأت")</f>
        <v>هیأت</v>
      </c>
      <c r="C3449" s="5" t="str">
        <f>IFERROR(__xludf.DUMMYFUNCTION("""COMPUTED_VALUE"""),"حضرت علی اصغر(ع)")</f>
        <v>حضرت علی اصغر(ع)</v>
      </c>
      <c r="D3449" s="5" t="str">
        <f>IFERROR(__xludf.DUMMYFUNCTION("""COMPUTED_VALUE"""),"گلستان")</f>
        <v>گلستان</v>
      </c>
      <c r="E3449" s="5" t="str">
        <f>IFERROR(__xludf.DUMMYFUNCTION("""COMPUTED_VALUE"""),"علی آباد کتول")</f>
        <v>علی آباد کتول</v>
      </c>
      <c r="F3449" s="5" t="str">
        <f>IFERROR(__xludf.DUMMYFUNCTION("""COMPUTED_VALUE"""),"علی آباد کتول،شهرک منابع طبیعی
")</f>
        <v>علی آباد کتول،شهرک منابع طبیعی
</v>
      </c>
      <c r="G3449" s="5"/>
      <c r="H3449" s="6" t="str">
        <f>IFERROR(__xludf.DUMMYFUNCTION("""COMPUTED_VALUE"""),"https://www.instagram.com/heyat_asheghan_hazrataliasghar")</f>
        <v>https://www.instagram.com/heyat_asheghan_hazrataliasghar</v>
      </c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</row>
    <row r="3450">
      <c r="A3450" s="5"/>
      <c r="B3450" s="5" t="str">
        <f>IFERROR(__xludf.DUMMYFUNCTION("""COMPUTED_VALUE"""),"هیأت")</f>
        <v>هیأت</v>
      </c>
      <c r="C3450" s="5" t="str">
        <f>IFERROR(__xludf.DUMMYFUNCTION("""COMPUTED_VALUE"""),"منتظران مهدی ولاغوز")</f>
        <v>منتظران مهدی ولاغوز</v>
      </c>
      <c r="D3450" s="5" t="str">
        <f>IFERROR(__xludf.DUMMYFUNCTION("""COMPUTED_VALUE"""),"گلستان")</f>
        <v>گلستان</v>
      </c>
      <c r="E3450" s="5" t="str">
        <f>IFERROR(__xludf.DUMMYFUNCTION("""COMPUTED_VALUE"""),"کردکوی")</f>
        <v>کردکوی</v>
      </c>
      <c r="F3450" s="5" t="str">
        <f>IFERROR(__xludf.DUMMYFUNCTION("""COMPUTED_VALUE"""),"ولاغوز")</f>
        <v>ولاغوز</v>
      </c>
      <c r="G3450" s="5"/>
      <c r="H3450" s="6" t="str">
        <f>IFERROR(__xludf.DUMMYFUNCTION("""COMPUTED_VALUE"""),"https://www.instagram.com/montazeran_mahdi_valaghoz/")</f>
        <v>https://www.instagram.com/montazeran_mahdi_valaghoz/</v>
      </c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</row>
    <row r="3451">
      <c r="A3451" s="5"/>
      <c r="B3451" s="5" t="str">
        <f>IFERROR(__xludf.DUMMYFUNCTION("""COMPUTED_VALUE"""),"هیأت")</f>
        <v>هیأت</v>
      </c>
      <c r="C3451" s="5" t="str">
        <f>IFERROR(__xludf.DUMMYFUNCTION("""COMPUTED_VALUE"""),"رضوی")</f>
        <v>رضوی</v>
      </c>
      <c r="D3451" s="5" t="str">
        <f>IFERROR(__xludf.DUMMYFUNCTION("""COMPUTED_VALUE"""),"گلستان")</f>
        <v>گلستان</v>
      </c>
      <c r="E3451" s="5" t="str">
        <f>IFERROR(__xludf.DUMMYFUNCTION("""COMPUTED_VALUE"""),"کردکوی")</f>
        <v>کردکوی</v>
      </c>
      <c r="F3451" s="5"/>
      <c r="G3451" s="5"/>
      <c r="H3451" s="6" t="str">
        <f>IFERROR(__xludf.DUMMYFUNCTION("""COMPUTED_VALUE"""),"https://www.instagram.com/heyat_razavi_kordkuy")</f>
        <v>https://www.instagram.com/heyat_razavi_kordkuy</v>
      </c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</row>
    <row r="3452">
      <c r="A3452" s="5"/>
      <c r="B3452" s="5" t="str">
        <f>IFERROR(__xludf.DUMMYFUNCTION("""COMPUTED_VALUE"""),"هیأت")</f>
        <v>هیأت</v>
      </c>
      <c r="C3452" s="5" t="str">
        <f>IFERROR(__xludf.DUMMYFUNCTION("""COMPUTED_VALUE"""),"سجادیه")</f>
        <v>سجادیه</v>
      </c>
      <c r="D3452" s="5" t="str">
        <f>IFERROR(__xludf.DUMMYFUNCTION("""COMPUTED_VALUE"""),"گلستان")</f>
        <v>گلستان</v>
      </c>
      <c r="E3452" s="5" t="str">
        <f>IFERROR(__xludf.DUMMYFUNCTION("""COMPUTED_VALUE"""),"کردکوی")</f>
        <v>کردکوی</v>
      </c>
      <c r="F3452" s="5"/>
      <c r="G3452" s="5"/>
      <c r="H3452" s="6" t="str">
        <f>IFERROR(__xludf.DUMMYFUNCTION("""COMPUTED_VALUE"""),"https://www.instagram.com/heyat_sajjadieh")</f>
        <v>https://www.instagram.com/heyat_sajjadieh</v>
      </c>
      <c r="I3452" s="5"/>
      <c r="J3452" s="6" t="str">
        <f>IFERROR(__xludf.DUMMYFUNCTION("""COMPUTED_VALUE"""),"https://eitaa.com/heyat_sajjadieh_kordkoy")</f>
        <v>https://eitaa.com/heyat_sajjadieh_kordkoy</v>
      </c>
      <c r="K3452" s="5"/>
      <c r="L3452" s="5"/>
      <c r="M3452" s="5"/>
      <c r="N3452" s="5"/>
      <c r="O3452" s="5"/>
      <c r="P3452" s="5"/>
      <c r="Q3452" s="5"/>
      <c r="R3452" s="5"/>
      <c r="S3452" s="5"/>
    </row>
    <row r="3453">
      <c r="A3453" s="5"/>
      <c r="B3453" s="5" t="str">
        <f>IFERROR(__xludf.DUMMYFUNCTION("""COMPUTED_VALUE"""),"هیأت")</f>
        <v>هیأت</v>
      </c>
      <c r="C3453" s="5" t="str">
        <f>IFERROR(__xludf.DUMMYFUNCTION("""COMPUTED_VALUE"""),"کریم اهل بیت(ع)")</f>
        <v>کریم اهل بیت(ع)</v>
      </c>
      <c r="D3453" s="5" t="str">
        <f>IFERROR(__xludf.DUMMYFUNCTION("""COMPUTED_VALUE"""),"گلستان")</f>
        <v>گلستان</v>
      </c>
      <c r="E3453" s="5" t="str">
        <f>IFERROR(__xludf.DUMMYFUNCTION("""COMPUTED_VALUE"""),"کردکوی")</f>
        <v>کردکوی</v>
      </c>
      <c r="F3453" s="5"/>
      <c r="G3453" s="5"/>
      <c r="H3453" s="6" t="str">
        <f>IFERROR(__xludf.DUMMYFUNCTION("""COMPUTED_VALUE"""),"https://www.instagram.com/heyat.karim.ahle.beyt/")</f>
        <v>https://www.instagram.com/heyat.karim.ahle.beyt/</v>
      </c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</row>
    <row r="3454">
      <c r="A3454" s="5"/>
      <c r="B3454" s="5" t="str">
        <f>IFERROR(__xludf.DUMMYFUNCTION("""COMPUTED_VALUE"""),"هیأت")</f>
        <v>هیأت</v>
      </c>
      <c r="C3454" s="5" t="str">
        <f>IFERROR(__xludf.DUMMYFUNCTION("""COMPUTED_VALUE"""),"محبان اهل بیت-ثارالله")</f>
        <v>محبان اهل بیت-ثارالله</v>
      </c>
      <c r="D3454" s="5" t="str">
        <f>IFERROR(__xludf.DUMMYFUNCTION("""COMPUTED_VALUE"""),"گلستان")</f>
        <v>گلستان</v>
      </c>
      <c r="E3454" s="5" t="str">
        <f>IFERROR(__xludf.DUMMYFUNCTION("""COMPUTED_VALUE"""),"کردکوی")</f>
        <v>کردکوی</v>
      </c>
      <c r="F3454" s="5"/>
      <c r="G3454" s="5"/>
      <c r="H3454" s="6" t="str">
        <f>IFERROR(__xludf.DUMMYFUNCTION("""COMPUTED_VALUE"""),"https://www.instagram.com/heyat_moheban_ahle_beyt/")</f>
        <v>https://www.instagram.com/heyat_moheban_ahle_beyt/</v>
      </c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</row>
    <row r="3455">
      <c r="A3455" s="5"/>
      <c r="B3455" s="5" t="str">
        <f>IFERROR(__xludf.DUMMYFUNCTION("""COMPUTED_VALUE"""),"هیأت")</f>
        <v>هیأت</v>
      </c>
      <c r="C3455" s="5" t="str">
        <f>IFERROR(__xludf.DUMMYFUNCTION("""COMPUTED_VALUE"""),"بین الحرمین")</f>
        <v>بین الحرمین</v>
      </c>
      <c r="D3455" s="5" t="str">
        <f>IFERROR(__xludf.DUMMYFUNCTION("""COMPUTED_VALUE"""),"گلستان")</f>
        <v>گلستان</v>
      </c>
      <c r="E3455" s="5" t="str">
        <f>IFERROR(__xludf.DUMMYFUNCTION("""COMPUTED_VALUE"""),"کردکوی")</f>
        <v>کردکوی</v>
      </c>
      <c r="F3455" s="5"/>
      <c r="G3455" s="5"/>
      <c r="H3455" s="6" t="str">
        <f>IFERROR(__xludf.DUMMYFUNCTION("""COMPUTED_VALUE"""),"https://www.instagram.com/beynolharmeyn_kordkoy/")</f>
        <v>https://www.instagram.com/beynolharmeyn_kordkoy/</v>
      </c>
      <c r="I3455" s="6" t="str">
        <f>IFERROR(__xludf.DUMMYFUNCTION("""COMPUTED_VALUE"""),"https://t.me/beynolharmeyn_kordkoy")</f>
        <v>https://t.me/beynolharmeyn_kordkoy</v>
      </c>
      <c r="J3455" s="5"/>
      <c r="K3455" s="5"/>
      <c r="L3455" s="5"/>
      <c r="M3455" s="5"/>
      <c r="N3455" s="5"/>
      <c r="O3455" s="5"/>
      <c r="P3455" s="5"/>
      <c r="Q3455" s="5"/>
      <c r="R3455" s="5"/>
      <c r="S3455" s="5"/>
    </row>
    <row r="3456">
      <c r="A3456" s="5"/>
      <c r="B3456" s="5" t="str">
        <f>IFERROR(__xludf.DUMMYFUNCTION("""COMPUTED_VALUE"""),"هیأت")</f>
        <v>هیأت</v>
      </c>
      <c r="C3456" s="5" t="str">
        <f>IFERROR(__xludf.DUMMYFUNCTION("""COMPUTED_VALUE"""),"عشاق الحسن")</f>
        <v>عشاق الحسن</v>
      </c>
      <c r="D3456" s="5" t="str">
        <f>IFERROR(__xludf.DUMMYFUNCTION("""COMPUTED_VALUE"""),"گلستان")</f>
        <v>گلستان</v>
      </c>
      <c r="E3456" s="5" t="str">
        <f>IFERROR(__xludf.DUMMYFUNCTION("""COMPUTED_VALUE"""),"کلاله")</f>
        <v>کلاله</v>
      </c>
      <c r="F3456" s="5"/>
      <c r="G3456" s="5"/>
      <c r="H3456" s="6" t="str">
        <f>IFERROR(__xludf.DUMMYFUNCTION("""COMPUTED_VALUE"""),"https://www.instagram.com/eshagh_elhasan118/")</f>
        <v>https://www.instagram.com/eshagh_elhasan118/</v>
      </c>
      <c r="I3456" s="5"/>
      <c r="J3456" s="6" t="str">
        <f>IFERROR(__xludf.DUMMYFUNCTION("""COMPUTED_VALUE"""),"https://eitaa.com/eshagh_elhasan118")</f>
        <v>https://eitaa.com/eshagh_elhasan118</v>
      </c>
      <c r="K3456" s="5"/>
      <c r="L3456" s="5"/>
      <c r="M3456" s="5"/>
      <c r="N3456" s="5"/>
      <c r="O3456" s="5"/>
      <c r="P3456" s="5"/>
      <c r="Q3456" s="5"/>
      <c r="R3456" s="5"/>
      <c r="S3456" s="5"/>
    </row>
    <row r="3457">
      <c r="A3457" s="5"/>
      <c r="B3457" s="5" t="str">
        <f>IFERROR(__xludf.DUMMYFUNCTION("""COMPUTED_VALUE"""),"هیأت")</f>
        <v>هیأت</v>
      </c>
      <c r="C3457" s="5" t="str">
        <f>IFERROR(__xludf.DUMMYFUNCTION("""COMPUTED_VALUE"""),"انصارالمهدی")</f>
        <v>انصارالمهدی</v>
      </c>
      <c r="D3457" s="5" t="str">
        <f>IFERROR(__xludf.DUMMYFUNCTION("""COMPUTED_VALUE"""),"گلستان")</f>
        <v>گلستان</v>
      </c>
      <c r="E3457" s="5" t="str">
        <f>IFERROR(__xludf.DUMMYFUNCTION("""COMPUTED_VALUE"""),"کلاله")</f>
        <v>کلاله</v>
      </c>
      <c r="F3457" s="5"/>
      <c r="G3457" s="5"/>
      <c r="H3457" s="6" t="str">
        <f>IFERROR(__xludf.DUMMYFUNCTION("""COMPUTED_VALUE"""),"https://www.instagram.com/heyatansar_313/")</f>
        <v>https://www.instagram.com/heyatansar_313/</v>
      </c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</row>
    <row r="3458">
      <c r="A3458" s="5"/>
      <c r="B3458" s="5" t="str">
        <f>IFERROR(__xludf.DUMMYFUNCTION("""COMPUTED_VALUE"""),"هیأت")</f>
        <v>هیأت</v>
      </c>
      <c r="C3458" s="5" t="str">
        <f>IFERROR(__xludf.DUMMYFUNCTION("""COMPUTED_VALUE"""),"محبان‌حضرت علی‌اکبر(ع)")</f>
        <v>محبان‌حضرت علی‌اکبر(ع)</v>
      </c>
      <c r="D3458" s="5" t="str">
        <f>IFERROR(__xludf.DUMMYFUNCTION("""COMPUTED_VALUE"""),"گلستان")</f>
        <v>گلستان</v>
      </c>
      <c r="E3458" s="5" t="str">
        <f>IFERROR(__xludf.DUMMYFUNCTION("""COMPUTED_VALUE"""),"کلاله")</f>
        <v>کلاله</v>
      </c>
      <c r="F3458" s="5"/>
      <c r="G3458" s="5"/>
      <c r="H3458" s="6" t="str">
        <f>IFERROR(__xludf.DUMMYFUNCTION("""COMPUTED_VALUE"""),"https://www.instagram.com/heyat_moheban_333/")</f>
        <v>https://www.instagram.com/heyat_moheban_333/</v>
      </c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</row>
    <row r="3459">
      <c r="A3459" s="5"/>
      <c r="B3459" s="5" t="str">
        <f>IFERROR(__xludf.DUMMYFUNCTION("""COMPUTED_VALUE"""),"هیأت")</f>
        <v>هیأت</v>
      </c>
      <c r="C3459" s="5" t="str">
        <f>IFERROR(__xludf.DUMMYFUNCTION("""COMPUTED_VALUE"""),"جوانان بیت الزهرا")</f>
        <v>جوانان بیت الزهرا</v>
      </c>
      <c r="D3459" s="5" t="str">
        <f>IFERROR(__xludf.DUMMYFUNCTION("""COMPUTED_VALUE"""),"گلستان")</f>
        <v>گلستان</v>
      </c>
      <c r="E3459" s="5" t="str">
        <f>IFERROR(__xludf.DUMMYFUNCTION("""COMPUTED_VALUE"""),"کلاله")</f>
        <v>کلاله</v>
      </c>
      <c r="F3459" s="5"/>
      <c r="G3459" s="5"/>
      <c r="H3459" s="6" t="str">
        <f>IFERROR(__xludf.DUMMYFUNCTION("""COMPUTED_VALUE"""),"https://www.instagram.com/beytozahra_kalaleh/")</f>
        <v>https://www.instagram.com/beytozahra_kalaleh/</v>
      </c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</row>
    <row r="3460">
      <c r="A3460" s="5"/>
      <c r="B3460" s="5" t="str">
        <f>IFERROR(__xludf.DUMMYFUNCTION("""COMPUTED_VALUE"""),"هیأت")</f>
        <v>هیأت</v>
      </c>
      <c r="C3460" s="5" t="str">
        <f>IFERROR(__xludf.DUMMYFUNCTION("""COMPUTED_VALUE"""),"فدک‌الزهرا‌سلا‌م‌الله‌علیها‌")</f>
        <v>فدک‌الزهرا‌سلا‌م‌الله‌علیها‌</v>
      </c>
      <c r="D3460" s="5" t="str">
        <f>IFERROR(__xludf.DUMMYFUNCTION("""COMPUTED_VALUE"""),"گلستان")</f>
        <v>گلستان</v>
      </c>
      <c r="E3460" s="5" t="str">
        <f>IFERROR(__xludf.DUMMYFUNCTION("""COMPUTED_VALUE"""),"کلاله")</f>
        <v>کلاله</v>
      </c>
      <c r="F3460" s="5"/>
      <c r="G3460" s="5"/>
      <c r="H3460" s="6" t="str">
        <f>IFERROR(__xludf.DUMMYFUNCTION("""COMPUTED_VALUE"""),"https://www.instagram.com/fadaktv.ir/")</f>
        <v>https://www.instagram.com/fadaktv.ir/</v>
      </c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</row>
    <row r="3461">
      <c r="A3461" s="5"/>
      <c r="B3461" s="5" t="str">
        <f>IFERROR(__xludf.DUMMYFUNCTION("""COMPUTED_VALUE"""),"هیأت")</f>
        <v>هیأت</v>
      </c>
      <c r="C3461" s="5" t="str">
        <f>IFERROR(__xludf.DUMMYFUNCTION("""COMPUTED_VALUE"""),"عزادارن حسین ابن علی(ع)")</f>
        <v>عزادارن حسین ابن علی(ع)</v>
      </c>
      <c r="D3461" s="5" t="str">
        <f>IFERROR(__xludf.DUMMYFUNCTION("""COMPUTED_VALUE"""),"گلستان")</f>
        <v>گلستان</v>
      </c>
      <c r="E3461" s="5" t="str">
        <f>IFERROR(__xludf.DUMMYFUNCTION("""COMPUTED_VALUE"""),"گالیکش")</f>
        <v>گالیکش</v>
      </c>
      <c r="F3461" s="5"/>
      <c r="G3461" s="5"/>
      <c r="H3461" s="6" t="str">
        <f>IFERROR(__xludf.DUMMYFUNCTION("""COMPUTED_VALUE"""),"https://www.instagram.com/masjed.sahebzaman.galikesh")</f>
        <v>https://www.instagram.com/masjed.sahebzaman.galikesh</v>
      </c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</row>
    <row r="3462">
      <c r="A3462" s="5"/>
      <c r="B3462" s="5" t="str">
        <f>IFERROR(__xludf.DUMMYFUNCTION("""COMPUTED_VALUE"""),"حسینیه")</f>
        <v>حسینیه</v>
      </c>
      <c r="C3462" s="5" t="str">
        <f>IFERROR(__xludf.DUMMYFUNCTION("""COMPUTED_VALUE"""),"اعظم سیدالشهدا")</f>
        <v>اعظم سیدالشهدا</v>
      </c>
      <c r="D3462" s="5" t="str">
        <f>IFERROR(__xludf.DUMMYFUNCTION("""COMPUTED_VALUE"""),"گلستان")</f>
        <v>گلستان</v>
      </c>
      <c r="E3462" s="5" t="str">
        <f>IFERROR(__xludf.DUMMYFUNCTION("""COMPUTED_VALUE"""),"گالیکش")</f>
        <v>گالیکش</v>
      </c>
      <c r="F3462" s="5"/>
      <c r="G3462" s="5"/>
      <c r="H3462" s="6" t="str">
        <f>IFERROR(__xludf.DUMMYFUNCTION("""COMPUTED_VALUE"""),"https://www.instagram.com/hosseinie.azam.seyedoshohada/")</f>
        <v>https://www.instagram.com/hosseinie.azam.seyedoshohada/</v>
      </c>
      <c r="I3462" s="6" t="str">
        <f>IFERROR(__xludf.DUMMYFUNCTION("""COMPUTED_VALUE"""),"https://t.me/hoseiniyeazamgalikesh")</f>
        <v>https://t.me/hoseiniyeazamgalikesh</v>
      </c>
      <c r="J3462" s="5"/>
      <c r="K3462" s="5"/>
      <c r="L3462" s="5"/>
      <c r="M3462" s="5"/>
      <c r="N3462" s="5"/>
      <c r="O3462" s="5"/>
      <c r="P3462" s="5"/>
      <c r="Q3462" s="5"/>
      <c r="R3462" s="5"/>
      <c r="S3462" s="5"/>
    </row>
    <row r="3463">
      <c r="A3463" s="5"/>
      <c r="B3463" s="5" t="str">
        <f>IFERROR(__xludf.DUMMYFUNCTION("""COMPUTED_VALUE"""),"هیأت")</f>
        <v>هیأت</v>
      </c>
      <c r="C3463" s="5" t="str">
        <f>IFERROR(__xludf.DUMMYFUNCTION("""COMPUTED_VALUE"""),"بیت‌الاحزان‌حضرت‌زینب‌(س)")</f>
        <v>بیت‌الاحزان‌حضرت‌زینب‌(س)</v>
      </c>
      <c r="D3463" s="5" t="str">
        <f>IFERROR(__xludf.DUMMYFUNCTION("""COMPUTED_VALUE"""),"گلستان")</f>
        <v>گلستان</v>
      </c>
      <c r="E3463" s="5" t="str">
        <f>IFERROR(__xludf.DUMMYFUNCTION("""COMPUTED_VALUE"""),"گرگان")</f>
        <v>گرگان</v>
      </c>
      <c r="F3463" s="5" t="str">
        <f>IFERROR(__xludf.DUMMYFUNCTION("""COMPUTED_VALUE"""),"درس میدان نامجو(گرگان)
انتهای خیابان برزگران
")</f>
        <v>درس میدان نامجو(گرگان)
انتهای خیابان برزگران
</v>
      </c>
      <c r="G3463" s="5"/>
      <c r="H3463" s="6" t="str">
        <f>IFERROR(__xludf.DUMMYFUNCTION("""COMPUTED_VALUE"""),"https://www.instagram.com/beeytolahzan")</f>
        <v>https://www.instagram.com/beeytolahzan</v>
      </c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</row>
    <row r="3464">
      <c r="A3464" s="5"/>
      <c r="B3464" s="5" t="str">
        <f>IFERROR(__xludf.DUMMYFUNCTION("""COMPUTED_VALUE"""),"هیأت دخترانه ")</f>
        <v>هیأت دخترانه </v>
      </c>
      <c r="C3464" s="5" t="str">
        <f>IFERROR(__xludf.DUMMYFUNCTION("""COMPUTED_VALUE"""),"خامس آل عبا")</f>
        <v>خامس آل عبا</v>
      </c>
      <c r="D3464" s="5" t="str">
        <f>IFERROR(__xludf.DUMMYFUNCTION("""COMPUTED_VALUE"""),"گلستان")</f>
        <v>گلستان</v>
      </c>
      <c r="E3464" s="5" t="str">
        <f>IFERROR(__xludf.DUMMYFUNCTION("""COMPUTED_VALUE"""),"گرگان")</f>
        <v>گرگان</v>
      </c>
      <c r="F3464" s="5"/>
      <c r="G3464" s="5"/>
      <c r="H3464" s="6" t="str">
        <f>IFERROR(__xludf.DUMMYFUNCTION("""COMPUTED_VALUE"""),"https://www.instagram.com/dokhtarane_khames_aleaba/")</f>
        <v>https://www.instagram.com/dokhtarane_khames_aleaba/</v>
      </c>
      <c r="I3464" s="5"/>
      <c r="J3464" s="6" t="str">
        <f>IFERROR(__xludf.DUMMYFUNCTION("""COMPUTED_VALUE"""),"https://eitaa.com/s/dokhtaran_khames_aleaba")</f>
        <v>https://eitaa.com/s/dokhtaran_khames_aleaba</v>
      </c>
      <c r="K3464" s="5"/>
      <c r="L3464" s="5"/>
      <c r="M3464" s="5"/>
      <c r="N3464" s="5"/>
      <c r="O3464" s="5"/>
      <c r="P3464" s="5"/>
      <c r="Q3464" s="5"/>
      <c r="R3464" s="5"/>
      <c r="S3464" s="5"/>
    </row>
    <row r="3465">
      <c r="A3465" s="5"/>
      <c r="B3465" s="5" t="str">
        <f>IFERROR(__xludf.DUMMYFUNCTION("""COMPUTED_VALUE"""),"هیأت")</f>
        <v>هیأت</v>
      </c>
      <c r="C3465" s="5" t="str">
        <f>IFERROR(__xludf.DUMMYFUNCTION("""COMPUTED_VALUE"""),"فاطمیون")</f>
        <v>فاطمیون</v>
      </c>
      <c r="D3465" s="5" t="str">
        <f>IFERROR(__xludf.DUMMYFUNCTION("""COMPUTED_VALUE"""),"گلستان")</f>
        <v>گلستان</v>
      </c>
      <c r="E3465" s="5" t="str">
        <f>IFERROR(__xludf.DUMMYFUNCTION("""COMPUTED_VALUE"""),"گرگان")</f>
        <v>گرگان</v>
      </c>
      <c r="F3465" s="5"/>
      <c r="G3465" s="5"/>
      <c r="H3465" s="6" t="str">
        <f>IFERROR(__xludf.DUMMYFUNCTION("""COMPUTED_VALUE"""),"https://www.instagram.com/fatemioongorgan/")</f>
        <v>https://www.instagram.com/fatemioongorgan/</v>
      </c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</row>
    <row r="3466">
      <c r="A3466" s="5"/>
      <c r="B3466" s="5" t="str">
        <f>IFERROR(__xludf.DUMMYFUNCTION("""COMPUTED_VALUE"""),"هیأت")</f>
        <v>هیأت</v>
      </c>
      <c r="C3466" s="5" t="str">
        <f>IFERROR(__xludf.DUMMYFUNCTION("""COMPUTED_VALUE"""),"عزاداران گرگان")</f>
        <v>عزاداران گرگان</v>
      </c>
      <c r="D3466" s="5" t="str">
        <f>IFERROR(__xludf.DUMMYFUNCTION("""COMPUTED_VALUE"""),"گلستان")</f>
        <v>گلستان</v>
      </c>
      <c r="E3466" s="5" t="str">
        <f>IFERROR(__xludf.DUMMYFUNCTION("""COMPUTED_VALUE"""),"گرگان")</f>
        <v>گرگان</v>
      </c>
      <c r="F3466" s="5"/>
      <c r="G3466" s="5"/>
      <c r="H3466" s="6" t="str">
        <f>IFERROR(__xludf.DUMMYFUNCTION("""COMPUTED_VALUE"""),"https://www.instagram.com/h.azadaran")</f>
        <v>https://www.instagram.com/h.azadaran</v>
      </c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</row>
    <row r="3467">
      <c r="A3467" s="5"/>
      <c r="B3467" s="5" t="str">
        <f>IFERROR(__xludf.DUMMYFUNCTION("""COMPUTED_VALUE"""),"هیأت")</f>
        <v>هیأت</v>
      </c>
      <c r="C3467" s="5" t="str">
        <f>IFERROR(__xludf.DUMMYFUNCTION("""COMPUTED_VALUE"""),"عزاداری محمدآباد")</f>
        <v>عزاداری محمدآباد</v>
      </c>
      <c r="D3467" s="5" t="str">
        <f>IFERROR(__xludf.DUMMYFUNCTION("""COMPUTED_VALUE"""),"گلستان")</f>
        <v>گلستان</v>
      </c>
      <c r="E3467" s="5" t="str">
        <f>IFERROR(__xludf.DUMMYFUNCTION("""COMPUTED_VALUE"""),"گرگان")</f>
        <v>گرگان</v>
      </c>
      <c r="F3467" s="5"/>
      <c r="G3467" s="5"/>
      <c r="H3467" s="6" t="str">
        <f>IFERROR(__xludf.DUMMYFUNCTION("""COMPUTED_VALUE"""),"https://www.instagram.com/heiat.mohammadabad.gorgan")</f>
        <v>https://www.instagram.com/heiat.mohammadabad.gorgan</v>
      </c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</row>
    <row r="3468">
      <c r="A3468" s="5"/>
      <c r="B3468" s="5" t="str">
        <f>IFERROR(__xludf.DUMMYFUNCTION("""COMPUTED_VALUE"""),"هیأت")</f>
        <v>هیأت</v>
      </c>
      <c r="C3468" s="5" t="str">
        <f>IFERROR(__xludf.DUMMYFUNCTION("""COMPUTED_VALUE"""),"رایت العباس (ع)")</f>
        <v>رایت العباس (ع)</v>
      </c>
      <c r="D3468" s="5" t="str">
        <f>IFERROR(__xludf.DUMMYFUNCTION("""COMPUTED_VALUE"""),"گلستان")</f>
        <v>گلستان</v>
      </c>
      <c r="E3468" s="5" t="str">
        <f>IFERROR(__xludf.DUMMYFUNCTION("""COMPUTED_VALUE"""),"گرگان")</f>
        <v>گرگان</v>
      </c>
      <c r="F3468" s="5" t="str">
        <f>IFERROR(__xludf.DUMMYFUNCTION("""COMPUTED_VALUE"""),"
گرگان خیابان امام رضا (علیه السلام) نبش کوچه (۱۶ )
اللهم عجل لولیک الفرج
")</f>
        <v>
گرگان خیابان امام رضا (علیه السلام) نبش کوچه (۱۶ )
اللهم عجل لولیک الفرج
</v>
      </c>
      <c r="G3468" s="5"/>
      <c r="H3468" s="6" t="str">
        <f>IFERROR(__xludf.DUMMYFUNCTION("""COMPUTED_VALUE"""),"https://www.instagram.com/heyat_rayatol_abbas")</f>
        <v>https://www.instagram.com/heyat_rayatol_abbas</v>
      </c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</row>
    <row r="3469">
      <c r="A3469" s="5"/>
      <c r="B3469" s="5" t="str">
        <f>IFERROR(__xludf.DUMMYFUNCTION("""COMPUTED_VALUE"""),"هیأت")</f>
        <v>هیأت</v>
      </c>
      <c r="C3469" s="5" t="str">
        <f>IFERROR(__xludf.DUMMYFUNCTION("""COMPUTED_VALUE"""),"محبان فاطمه الزهرا")</f>
        <v>محبان فاطمه الزهرا</v>
      </c>
      <c r="D3469" s="5" t="str">
        <f>IFERROR(__xludf.DUMMYFUNCTION("""COMPUTED_VALUE"""),"گلستان")</f>
        <v>گلستان</v>
      </c>
      <c r="E3469" s="5" t="str">
        <f>IFERROR(__xludf.DUMMYFUNCTION("""COMPUTED_VALUE"""),"گرگان")</f>
        <v>گرگان</v>
      </c>
      <c r="F3469" s="5"/>
      <c r="G3469" s="5"/>
      <c r="H3469" s="6" t="str">
        <f>IFERROR(__xludf.DUMMYFUNCTION("""COMPUTED_VALUE"""),"https://www.instagram.com/hyat.mohebn.fatema.zahra/")</f>
        <v>https://www.instagram.com/hyat.mohebn.fatema.zahra/</v>
      </c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</row>
    <row r="3470">
      <c r="A3470" s="5"/>
      <c r="B3470" s="5" t="str">
        <f>IFERROR(__xludf.DUMMYFUNCTION("""COMPUTED_VALUE"""),"هیأت")</f>
        <v>هیأت</v>
      </c>
      <c r="C3470" s="5" t="str">
        <f>IFERROR(__xludf.DUMMYFUNCTION("""COMPUTED_VALUE"""),"پنج تن آل عبا")</f>
        <v>پنج تن آل عبا</v>
      </c>
      <c r="D3470" s="5" t="str">
        <f>IFERROR(__xludf.DUMMYFUNCTION("""COMPUTED_VALUE"""),"گلستان")</f>
        <v>گلستان</v>
      </c>
      <c r="E3470" s="5" t="str">
        <f>IFERROR(__xludf.DUMMYFUNCTION("""COMPUTED_VALUE"""),"گرگان")</f>
        <v>گرگان</v>
      </c>
      <c r="F3470" s="5"/>
      <c r="G3470" s="5"/>
      <c r="H3470" s="6" t="str">
        <f>IFERROR(__xludf.DUMMYFUNCTION("""COMPUTED_VALUE"""),"https://www.instagram.com/khames.alaba/")</f>
        <v>https://www.instagram.com/khames.alaba/</v>
      </c>
      <c r="I3470" s="5"/>
      <c r="J3470" s="5"/>
      <c r="K3470" s="6" t="str">
        <f>IFERROR(__xludf.DUMMYFUNCTION("""COMPUTED_VALUE"""),"https://rubika.ir/khames_alaba_110")</f>
        <v>https://rubika.ir/khames_alaba_110</v>
      </c>
      <c r="L3470" s="5"/>
      <c r="M3470" s="5"/>
      <c r="N3470" s="5"/>
      <c r="O3470" s="5"/>
      <c r="P3470" s="5"/>
      <c r="Q3470" s="5"/>
      <c r="R3470" s="5"/>
      <c r="S3470" s="5"/>
    </row>
    <row r="3471">
      <c r="A3471" s="5"/>
      <c r="B3471" s="5" t="str">
        <f>IFERROR(__xludf.DUMMYFUNCTION("""COMPUTED_VALUE"""),"هیأت")</f>
        <v>هیأت</v>
      </c>
      <c r="C3471" s="5" t="str">
        <f>IFERROR(__xludf.DUMMYFUNCTION("""COMPUTED_VALUE"""),"مکتب الشهدا")</f>
        <v>مکتب الشهدا</v>
      </c>
      <c r="D3471" s="5" t="str">
        <f>IFERROR(__xludf.DUMMYFUNCTION("""COMPUTED_VALUE"""),"گلستان")</f>
        <v>گلستان</v>
      </c>
      <c r="E3471" s="5" t="str">
        <f>IFERROR(__xludf.DUMMYFUNCTION("""COMPUTED_VALUE"""),"گرگان")</f>
        <v>گرگان</v>
      </c>
      <c r="F3471" s="5"/>
      <c r="G3471" s="5"/>
      <c r="H3471" s="6" t="str">
        <f>IFERROR(__xludf.DUMMYFUNCTION("""COMPUTED_VALUE"""),"https://www.instagram.com/maktabeshohada_gorgan/")</f>
        <v>https://www.instagram.com/maktabeshohada_gorgan/</v>
      </c>
      <c r="I3471" s="5"/>
      <c r="J3471" s="6" t="str">
        <f>IFERROR(__xludf.DUMMYFUNCTION("""COMPUTED_VALUE"""),"https://eitaa.com/maktabeshohada_gorgan")</f>
        <v>https://eitaa.com/maktabeshohada_gorgan</v>
      </c>
      <c r="K3471" s="5"/>
      <c r="L3471" s="5"/>
      <c r="M3471" s="5"/>
      <c r="N3471" s="5" t="str">
        <f>IFERROR(__xludf.DUMMYFUNCTION("""COMPUTED_VALUE"""),"یکشنبه ها")</f>
        <v>یکشنبه ها</v>
      </c>
      <c r="O3471" s="5"/>
      <c r="P3471" s="5"/>
      <c r="Q3471" s="5"/>
      <c r="R3471" s="5"/>
      <c r="S3471" s="5"/>
    </row>
    <row r="3472">
      <c r="A3472" s="5"/>
      <c r="B3472" s="5" t="str">
        <f>IFERROR(__xludf.DUMMYFUNCTION("""COMPUTED_VALUE"""),"مسجد جامع")</f>
        <v>مسجد جامع</v>
      </c>
      <c r="C3472" s="5" t="str">
        <f>IFERROR(__xludf.DUMMYFUNCTION("""COMPUTED_VALUE"""),"مسجد جامع گلشن گرگان")</f>
        <v>مسجد جامع گلشن گرگان</v>
      </c>
      <c r="D3472" s="5" t="str">
        <f>IFERROR(__xludf.DUMMYFUNCTION("""COMPUTED_VALUE"""),"گلستان")</f>
        <v>گلستان</v>
      </c>
      <c r="E3472" s="5" t="str">
        <f>IFERROR(__xludf.DUMMYFUNCTION("""COMPUTED_VALUE"""),"گرگان")</f>
        <v>گرگان</v>
      </c>
      <c r="F3472" s="5"/>
      <c r="G3472" s="5"/>
      <c r="H3472" s="6" t="str">
        <f>IFERROR(__xludf.DUMMYFUNCTION("""COMPUTED_VALUE"""),"https://www.instagram.com/masjed_jame_golshan")</f>
        <v>https://www.instagram.com/masjed_jame_golshan</v>
      </c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</row>
    <row r="3473">
      <c r="A3473" s="5"/>
      <c r="B3473" s="5" t="str">
        <f>IFERROR(__xludf.DUMMYFUNCTION("""COMPUTED_VALUE"""),"دانشجویی")</f>
        <v>دانشجویی</v>
      </c>
      <c r="C3473" s="5" t="str">
        <f>IFERROR(__xludf.DUMMYFUNCTION("""COMPUTED_VALUE"""),"محبان‌الزهرا(س)
")</f>
        <v>محبان‌الزهرا(س)
</v>
      </c>
      <c r="D3473" s="5" t="str">
        <f>IFERROR(__xludf.DUMMYFUNCTION("""COMPUTED_VALUE"""),"گلستان")</f>
        <v>گلستان</v>
      </c>
      <c r="E3473" s="5" t="str">
        <f>IFERROR(__xludf.DUMMYFUNCTION("""COMPUTED_VALUE"""),"گرگان")</f>
        <v>گرگان</v>
      </c>
      <c r="F3473" s="5" t="str">
        <f>IFERROR(__xludf.DUMMYFUNCTION("""COMPUTED_VALUE"""),"دانشگاه آزاد اسلامی")</f>
        <v>دانشگاه آزاد اسلامی</v>
      </c>
      <c r="G3473" s="5">
        <f>IFERROR(__xludf.DUMMYFUNCTION("""COMPUTED_VALUE"""),1.0)</f>
        <v>1</v>
      </c>
      <c r="H3473" s="6" t="str">
        <f>IFERROR(__xludf.DUMMYFUNCTION("""COMPUTED_VALUE"""),"https://www.instagram.com/moheban.o.zahra")</f>
        <v>https://www.instagram.com/moheban.o.zahra</v>
      </c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</row>
    <row r="3474">
      <c r="A3474" s="5"/>
      <c r="B3474" s="5" t="str">
        <f>IFERROR(__xludf.DUMMYFUNCTION("""COMPUTED_VALUE"""),"هیأت")</f>
        <v>هیأت</v>
      </c>
      <c r="C3474" s="5" t="str">
        <f>IFERROR(__xludf.DUMMYFUNCTION("""COMPUTED_VALUE"""),"نورالشهدا")</f>
        <v>نورالشهدا</v>
      </c>
      <c r="D3474" s="5" t="str">
        <f>IFERROR(__xludf.DUMMYFUNCTION("""COMPUTED_VALUE"""),"گلستان")</f>
        <v>گلستان</v>
      </c>
      <c r="E3474" s="5" t="str">
        <f>IFERROR(__xludf.DUMMYFUNCTION("""COMPUTED_VALUE"""),"گرگان")</f>
        <v>گرگان</v>
      </c>
      <c r="F3474" s="5" t="str">
        <f>IFERROR(__xludf.DUMMYFUNCTION("""COMPUTED_VALUE"""),"گلستان،گرگان،کوی دخانیات، بلوار شهید صیاد شیرازی،صیاد ١۴،مسجد امام علی علیه السلام.")</f>
        <v>گلستان،گرگان،کوی دخانیات، بلوار شهید صیاد شیرازی،صیاد ١۴،مسجد امام علی علیه السلام.</v>
      </c>
      <c r="G3474" s="5"/>
      <c r="H3474" s="6" t="str">
        <f>IFERROR(__xludf.DUMMYFUNCTION("""COMPUTED_VALUE"""),"https://www.instagram.com/nooroshohada.ir/")</f>
        <v>https://www.instagram.com/nooroshohada.ir/</v>
      </c>
      <c r="I3474" s="5"/>
      <c r="J3474" s="6" t="str">
        <f>IFERROR(__xludf.DUMMYFUNCTION("""COMPUTED_VALUE"""),"https://eitaa.com/s/noorolshohada_ir")</f>
        <v>https://eitaa.com/s/noorolshohada_ir</v>
      </c>
      <c r="K3474" s="5"/>
      <c r="L3474" s="5"/>
      <c r="M3474" s="5"/>
      <c r="N3474" s="5"/>
      <c r="O3474" s="5"/>
      <c r="P3474" s="5"/>
      <c r="Q3474" s="5"/>
      <c r="R3474" s="5"/>
      <c r="S3474" s="5"/>
    </row>
    <row r="3475">
      <c r="A3475" s="5"/>
      <c r="B3475" s="5" t="str">
        <f>IFERROR(__xludf.DUMMYFUNCTION("""COMPUTED_VALUE"""),"هیأت")</f>
        <v>هیأت</v>
      </c>
      <c r="C3475" s="5" t="str">
        <f>IFERROR(__xludf.DUMMYFUNCTION("""COMPUTED_VALUE"""),"رهروان حاج قاسم")</f>
        <v>رهروان حاج قاسم</v>
      </c>
      <c r="D3475" s="5" t="str">
        <f>IFERROR(__xludf.DUMMYFUNCTION("""COMPUTED_VALUE"""),"گلستان")</f>
        <v>گلستان</v>
      </c>
      <c r="E3475" s="5" t="str">
        <f>IFERROR(__xludf.DUMMYFUNCTION("""COMPUTED_VALUE"""),"گرگان")</f>
        <v>گرگان</v>
      </c>
      <c r="F3475" s="5"/>
      <c r="G3475" s="5"/>
      <c r="H3475" s="6" t="str">
        <f>IFERROR(__xludf.DUMMYFUNCTION("""COMPUTED_VALUE"""),"https://www.instagram.com/rahrovann_ir/")</f>
        <v>https://www.instagram.com/rahrovann_ir/</v>
      </c>
      <c r="I3475" s="6" t="str">
        <f>IFERROR(__xludf.DUMMYFUNCTION("""COMPUTED_VALUE"""),"https://t.me/rahrovann_ir")</f>
        <v>https://t.me/rahrovann_ir</v>
      </c>
      <c r="J3475" s="6" t="str">
        <f>IFERROR(__xludf.DUMMYFUNCTION("""COMPUTED_VALUE"""),"https://eitaa.com/rahrovann_ir")</f>
        <v>https://eitaa.com/rahrovann_ir</v>
      </c>
      <c r="K3475" s="5"/>
      <c r="L3475" s="5"/>
      <c r="M3475" s="5"/>
      <c r="N3475" s="5"/>
      <c r="O3475" s="5"/>
      <c r="P3475" s="5"/>
      <c r="Q3475" s="5"/>
      <c r="R3475" s="5"/>
      <c r="S3475" s="5"/>
    </row>
    <row r="3476">
      <c r="A3476" s="5"/>
      <c r="B3476" s="5" t="str">
        <f>IFERROR(__xludf.DUMMYFUNCTION("""COMPUTED_VALUE"""),"هیأت")</f>
        <v>هیأت</v>
      </c>
      <c r="C3476" s="5" t="str">
        <f>IFERROR(__xludf.DUMMYFUNCTION("""COMPUTED_VALUE"""),"نورالشهداء")</f>
        <v>نورالشهداء</v>
      </c>
      <c r="D3476" s="5" t="str">
        <f>IFERROR(__xludf.DUMMYFUNCTION("""COMPUTED_VALUE"""),"گلستان")</f>
        <v>گلستان</v>
      </c>
      <c r="E3476" s="5" t="str">
        <f>IFERROR(__xludf.DUMMYFUNCTION("""COMPUTED_VALUE"""),"گرگان")</f>
        <v>گرگان</v>
      </c>
      <c r="F3476" s="5"/>
      <c r="G3476" s="5"/>
      <c r="H3476" s="6" t="str">
        <f>IFERROR(__xludf.DUMMYFUNCTION("""COMPUTED_VALUE"""),"https://www.instagram.com/noorolshohada.ir/")</f>
        <v>https://www.instagram.com/noorolshohada.ir/</v>
      </c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</row>
    <row r="3477">
      <c r="A3477" s="5"/>
      <c r="B3477" s="5" t="str">
        <f>IFERROR(__xludf.DUMMYFUNCTION("""COMPUTED_VALUE"""),"هیأت")</f>
        <v>هیأت</v>
      </c>
      <c r="C3477" s="5" t="str">
        <f>IFERROR(__xludf.DUMMYFUNCTION("""COMPUTED_VALUE"""),"امام حسن مجتبی(ع)")</f>
        <v>امام حسن مجتبی(ع)</v>
      </c>
      <c r="D3477" s="5" t="str">
        <f>IFERROR(__xludf.DUMMYFUNCTION("""COMPUTED_VALUE"""),"گلستان")</f>
        <v>گلستان</v>
      </c>
      <c r="E3477" s="5" t="str">
        <f>IFERROR(__xludf.DUMMYFUNCTION("""COMPUTED_VALUE"""),"گرگان")</f>
        <v>گرگان</v>
      </c>
      <c r="F3477" s="5" t="str">
        <f>IFERROR(__xludf.DUMMYFUNCTION("""COMPUTED_VALUE"""),"سرخنکلاته")</f>
        <v>سرخنکلاته</v>
      </c>
      <c r="G3477" s="5"/>
      <c r="H3477" s="6" t="str">
        <f>IFERROR(__xludf.DUMMYFUNCTION("""COMPUTED_VALUE"""),"https://www.instagram.com/heyate_emam_hasan_mojtaba")</f>
        <v>https://www.instagram.com/heyate_emam_hasan_mojtaba</v>
      </c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</row>
    <row r="3478">
      <c r="A3478" s="5"/>
      <c r="B3478" s="5" t="str">
        <f>IFERROR(__xludf.DUMMYFUNCTION("""COMPUTED_VALUE"""),"هیأت")</f>
        <v>هیأت</v>
      </c>
      <c r="C3478" s="5" t="str">
        <f>IFERROR(__xludf.DUMMYFUNCTION("""COMPUTED_VALUE"""),"ثارالله")</f>
        <v>ثارالله</v>
      </c>
      <c r="D3478" s="5" t="str">
        <f>IFERROR(__xludf.DUMMYFUNCTION("""COMPUTED_VALUE"""),"گلستان")</f>
        <v>گلستان</v>
      </c>
      <c r="E3478" s="5" t="str">
        <f>IFERROR(__xludf.DUMMYFUNCTION("""COMPUTED_VALUE"""),"گرگان")</f>
        <v>گرگان</v>
      </c>
      <c r="F3478" s="5" t="str">
        <f>IFERROR(__xludf.DUMMYFUNCTION("""COMPUTED_VALUE"""),"سرخنکلاته")</f>
        <v>سرخنکلاته</v>
      </c>
      <c r="G3478" s="5"/>
      <c r="H3478" s="6" t="str">
        <f>IFERROR(__xludf.DUMMYFUNCTION("""COMPUTED_VALUE"""),"https://www.instagram.com/heiatsarallah96/")</f>
        <v>https://www.instagram.com/heiatsarallah96/</v>
      </c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</row>
    <row r="3479">
      <c r="A3479" s="5"/>
      <c r="B3479" s="5" t="str">
        <f>IFERROR(__xludf.DUMMYFUNCTION("""COMPUTED_VALUE"""),"هیأت")</f>
        <v>هیأت</v>
      </c>
      <c r="C3479" s="5" t="str">
        <f>IFERROR(__xludf.DUMMYFUNCTION("""COMPUTED_VALUE"""),"حضرت رقیه(س)")</f>
        <v>حضرت رقیه(س)</v>
      </c>
      <c r="D3479" s="5" t="str">
        <f>IFERROR(__xludf.DUMMYFUNCTION("""COMPUTED_VALUE"""),"گلستان")</f>
        <v>گلستان</v>
      </c>
      <c r="E3479" s="5" t="str">
        <f>IFERROR(__xludf.DUMMYFUNCTION("""COMPUTED_VALUE"""),"گرگان")</f>
        <v>گرگان</v>
      </c>
      <c r="F3479" s="5" t="str">
        <f>IFERROR(__xludf.DUMMYFUNCTION("""COMPUTED_VALUE"""),"سرخنکلاته")</f>
        <v>سرخنکلاته</v>
      </c>
      <c r="G3479" s="5"/>
      <c r="H3479" s="6" t="str">
        <f>IFERROR(__xludf.DUMMYFUNCTION("""COMPUTED_VALUE"""),"https://www.instagram.com/heyate_hazrate_roqayeh95/")</f>
        <v>https://www.instagram.com/heyate_hazrate_roqayeh95/</v>
      </c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</row>
    <row r="3480">
      <c r="A3480" s="5"/>
      <c r="B3480" s="5" t="str">
        <f>IFERROR(__xludf.DUMMYFUNCTION("""COMPUTED_VALUE"""),"هیأت")</f>
        <v>هیأت</v>
      </c>
      <c r="C3480" s="5" t="str">
        <f>IFERROR(__xludf.DUMMYFUNCTION("""COMPUTED_VALUE"""),"جوانان بنی هاشم(ع)")</f>
        <v>جوانان بنی هاشم(ع)</v>
      </c>
      <c r="D3480" s="5" t="str">
        <f>IFERROR(__xludf.DUMMYFUNCTION("""COMPUTED_VALUE"""),"گلستان")</f>
        <v>گلستان</v>
      </c>
      <c r="E3480" s="5" t="str">
        <f>IFERROR(__xludf.DUMMYFUNCTION("""COMPUTED_VALUE"""),"گرگان")</f>
        <v>گرگان</v>
      </c>
      <c r="F3480" s="5" t="str">
        <f>IFERROR(__xludf.DUMMYFUNCTION("""COMPUTED_VALUE"""),"سرخنکلاته")</f>
        <v>سرخنکلاته</v>
      </c>
      <c r="G3480" s="5"/>
      <c r="H3480" s="6" t="str">
        <f>IFERROR(__xludf.DUMMYFUNCTION("""COMPUTED_VALUE"""),"https://www.instagram.com/javanan_bnihashem")</f>
        <v>https://www.instagram.com/javanan_bnihashem</v>
      </c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</row>
    <row r="3481">
      <c r="A3481" s="5"/>
      <c r="B3481" s="5" t="str">
        <f>IFERROR(__xludf.DUMMYFUNCTION("""COMPUTED_VALUE"""),"هیأت")</f>
        <v>هیأت</v>
      </c>
      <c r="C3481" s="5" t="str">
        <f>IFERROR(__xludf.DUMMYFUNCTION("""COMPUTED_VALUE"""),"خادمین حضرت علی اکبر علیه السلام")</f>
        <v>خادمین حضرت علی اکبر علیه السلام</v>
      </c>
      <c r="D3481" s="5" t="str">
        <f>IFERROR(__xludf.DUMMYFUNCTION("""COMPUTED_VALUE"""),"گلستان")</f>
        <v>گلستان</v>
      </c>
      <c r="E3481" s="5" t="str">
        <f>IFERROR(__xludf.DUMMYFUNCTION("""COMPUTED_VALUE"""),"گنبد کاووس")</f>
        <v>گنبد کاووس</v>
      </c>
      <c r="F3481" s="5" t="str">
        <f>IFERROR(__xludf.DUMMYFUNCTION("""COMPUTED_VALUE"""),"مصلے امـام جـعفر صـادق(ع)")</f>
        <v>مصلے امـام جـعفر صـادق(ع)</v>
      </c>
      <c r="G3481" s="5"/>
      <c r="H3481" s="6" t="str">
        <f>IFERROR(__xludf.DUMMYFUNCTION("""COMPUTED_VALUE"""),"https://www.instagram.com/aliakbar_h333")</f>
        <v>https://www.instagram.com/aliakbar_h333</v>
      </c>
      <c r="I3481" s="5"/>
      <c r="J3481" s="6" t="str">
        <f>IFERROR(__xludf.DUMMYFUNCTION("""COMPUTED_VALUE"""),"eitaa.com/aliakbar_h333")</f>
        <v>eitaa.com/aliakbar_h333</v>
      </c>
      <c r="K3481" s="5"/>
      <c r="L3481" s="5"/>
      <c r="M3481" s="5"/>
      <c r="N3481" s="5" t="str">
        <f>IFERROR(__xludf.DUMMYFUNCTION("""COMPUTED_VALUE"""),"جمعه شب ها")</f>
        <v>جمعه شب ها</v>
      </c>
      <c r="O3481" s="5"/>
      <c r="P3481" s="5"/>
      <c r="Q3481" s="5"/>
      <c r="R3481" s="5"/>
      <c r="S3481" s="5"/>
    </row>
    <row r="3482">
      <c r="A3482" s="5"/>
      <c r="B3482" s="5" t="str">
        <f>IFERROR(__xludf.DUMMYFUNCTION("""COMPUTED_VALUE"""),"مداح")</f>
        <v>مداح</v>
      </c>
      <c r="C3482" s="5" t="str">
        <f>IFERROR(__xludf.DUMMYFUNCTION("""COMPUTED_VALUE"""),"حسن جعفری")</f>
        <v>حسن جعفری</v>
      </c>
      <c r="D3482" s="5" t="str">
        <f>IFERROR(__xludf.DUMMYFUNCTION("""COMPUTED_VALUE"""),"گلستان")</f>
        <v>گلستان</v>
      </c>
      <c r="E3482" s="5" t="str">
        <f>IFERROR(__xludf.DUMMYFUNCTION("""COMPUTED_VALUE"""),"گنبد کاووس")</f>
        <v>گنبد کاووس</v>
      </c>
      <c r="F3482" s="5"/>
      <c r="G3482" s="5"/>
      <c r="H3482" s="6" t="str">
        <f>IFERROR(__xludf.DUMMYFUNCTION("""COMPUTED_VALUE"""),"https://www.instagram.com/hasan.jafary313/")</f>
        <v>https://www.instagram.com/hasan.jafary313/</v>
      </c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</row>
    <row r="3483">
      <c r="A3483" s="5"/>
      <c r="B3483" s="5" t="str">
        <f>IFERROR(__xludf.DUMMYFUNCTION("""COMPUTED_VALUE"""),"هیأت")</f>
        <v>هیأت</v>
      </c>
      <c r="C3483" s="5" t="str">
        <f>IFERROR(__xludf.DUMMYFUNCTION("""COMPUTED_VALUE"""),"منتظران مهدی(عج)")</f>
        <v>منتظران مهدی(عج)</v>
      </c>
      <c r="D3483" s="5" t="str">
        <f>IFERROR(__xludf.DUMMYFUNCTION("""COMPUTED_VALUE"""),"گلستان")</f>
        <v>گلستان</v>
      </c>
      <c r="E3483" s="5" t="str">
        <f>IFERROR(__xludf.DUMMYFUNCTION("""COMPUTED_VALUE"""),"گنبد کاووس")</f>
        <v>گنبد کاووس</v>
      </c>
      <c r="F3483" s="5"/>
      <c r="G3483" s="5"/>
      <c r="H3483" s="6" t="str">
        <f>IFERROR(__xludf.DUMMYFUNCTION("""COMPUTED_VALUE"""),"https://www.instagram.com/313montazeran_com/")</f>
        <v>https://www.instagram.com/313montazeran_com/</v>
      </c>
      <c r="I3483" s="6" t="str">
        <f>IFERROR(__xludf.DUMMYFUNCTION("""COMPUTED_VALUE"""),"https://t.me/montazeran_mahdi_aj_gonbad")</f>
        <v>https://t.me/montazeran_mahdi_aj_gonbad</v>
      </c>
      <c r="J3483" s="5"/>
      <c r="K3483" s="5"/>
      <c r="L3483" s="5"/>
      <c r="M3483" s="5"/>
      <c r="N3483" s="5"/>
      <c r="O3483" s="5"/>
      <c r="P3483" s="5"/>
      <c r="Q3483" s="5"/>
      <c r="R3483" s="5"/>
      <c r="S3483" s="5"/>
    </row>
    <row r="3484">
      <c r="A3484" s="5"/>
      <c r="B3484" s="5" t="str">
        <f>IFERROR(__xludf.DUMMYFUNCTION("""COMPUTED_VALUE"""),"هیأت")</f>
        <v>هیأت</v>
      </c>
      <c r="C3484" s="5" t="str">
        <f>IFERROR(__xludf.DUMMYFUNCTION("""COMPUTED_VALUE"""),"الرضا")</f>
        <v>الرضا</v>
      </c>
      <c r="D3484" s="5" t="str">
        <f>IFERROR(__xludf.DUMMYFUNCTION("""COMPUTED_VALUE"""),"گلستان")</f>
        <v>گلستان</v>
      </c>
      <c r="E3484" s="5" t="str">
        <f>IFERROR(__xludf.DUMMYFUNCTION("""COMPUTED_VALUE"""),"گنبد کاووس")</f>
        <v>گنبد کاووس</v>
      </c>
      <c r="F3484" s="5"/>
      <c r="G3484" s="5"/>
      <c r="H3484" s="6" t="str">
        <f>IFERROR(__xludf.DUMMYFUNCTION("""COMPUTED_VALUE"""),"https://www.instagram.com/emam.reza116/")</f>
        <v>https://www.instagram.com/emam.reza116/</v>
      </c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</row>
    <row r="3485">
      <c r="A3485" s="5"/>
      <c r="B3485" s="5" t="str">
        <f>IFERROR(__xludf.DUMMYFUNCTION("""COMPUTED_VALUE"""),"هیأت")</f>
        <v>هیأت</v>
      </c>
      <c r="C3485" s="5" t="str">
        <f>IFERROR(__xludf.DUMMYFUNCTION("""COMPUTED_VALUE"""),"فدائیان حسین{ع}")</f>
        <v>فدائیان حسین{ع}</v>
      </c>
      <c r="D3485" s="5" t="str">
        <f>IFERROR(__xludf.DUMMYFUNCTION("""COMPUTED_VALUE"""),"گلستان")</f>
        <v>گلستان</v>
      </c>
      <c r="E3485" s="5" t="str">
        <f>IFERROR(__xludf.DUMMYFUNCTION("""COMPUTED_VALUE"""),"گنبد کاووس")</f>
        <v>گنبد کاووس</v>
      </c>
      <c r="F3485" s="5"/>
      <c r="G3485" s="5"/>
      <c r="H3485" s="6" t="str">
        <f>IFERROR(__xludf.DUMMYFUNCTION("""COMPUTED_VALUE"""),"https://www.instagram.com/fadaeian_gonbad/")</f>
        <v>https://www.instagram.com/fadaeian_gonbad/</v>
      </c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</row>
    <row r="3486">
      <c r="A3486" s="5"/>
      <c r="B3486" s="5" t="str">
        <f>IFERROR(__xludf.DUMMYFUNCTION("""COMPUTED_VALUE"""),"هیأت")</f>
        <v>هیأت</v>
      </c>
      <c r="C3486" s="5" t="str">
        <f>IFERROR(__xludf.DUMMYFUNCTION("""COMPUTED_VALUE"""),"جنت العباس")</f>
        <v>جنت العباس</v>
      </c>
      <c r="D3486" s="5" t="str">
        <f>IFERROR(__xludf.DUMMYFUNCTION("""COMPUTED_VALUE"""),"گلستان")</f>
        <v>گلستان</v>
      </c>
      <c r="E3486" s="5" t="str">
        <f>IFERROR(__xludf.DUMMYFUNCTION("""COMPUTED_VALUE"""),"گنبد کاووس")</f>
        <v>گنبد کاووس</v>
      </c>
      <c r="F3486" s="5"/>
      <c r="G3486" s="5"/>
      <c r="H3486" s="6" t="str">
        <f>IFERROR(__xludf.DUMMYFUNCTION("""COMPUTED_VALUE"""),"https://www.instagram.com/janatolabas__gonbad/")</f>
        <v>https://www.instagram.com/janatolabas__gonbad/</v>
      </c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</row>
    <row r="3487">
      <c r="A3487" s="5"/>
      <c r="B3487" s="5" t="str">
        <f>IFERROR(__xludf.DUMMYFUNCTION("""COMPUTED_VALUE"""),"هیأت")</f>
        <v>هیأت</v>
      </c>
      <c r="C3487" s="5" t="str">
        <f>IFERROR(__xludf.DUMMYFUNCTION("""COMPUTED_VALUE"""),"بین الحرمین")</f>
        <v>بین الحرمین</v>
      </c>
      <c r="D3487" s="5" t="str">
        <f>IFERROR(__xludf.DUMMYFUNCTION("""COMPUTED_VALUE"""),"گلستان")</f>
        <v>گلستان</v>
      </c>
      <c r="E3487" s="5" t="str">
        <f>IFERROR(__xludf.DUMMYFUNCTION("""COMPUTED_VALUE"""),"مینودشت")</f>
        <v>مینودشت</v>
      </c>
      <c r="F3487" s="5"/>
      <c r="G3487" s="5"/>
      <c r="H3487" s="6" t="str">
        <f>IFERROR(__xludf.DUMMYFUNCTION("""COMPUTED_VALUE"""),"https://www.instagram.com/beinolharameinminudasht/")</f>
        <v>https://www.instagram.com/beinolharameinminudasht/</v>
      </c>
      <c r="I3487" s="6" t="str">
        <f>IFERROR(__xludf.DUMMYFUNCTION("""COMPUTED_VALUE"""),"https://t.me/beinolharamein_minoodasht")</f>
        <v>https://t.me/beinolharamein_minoodasht</v>
      </c>
      <c r="J3487" s="5"/>
      <c r="K3487" s="5"/>
      <c r="L3487" s="5"/>
      <c r="M3487" s="5"/>
      <c r="N3487" s="5"/>
      <c r="O3487" s="5"/>
      <c r="P3487" s="5"/>
      <c r="Q3487" s="5"/>
      <c r="R3487" s="5"/>
      <c r="S3487" s="5"/>
    </row>
    <row r="3488">
      <c r="A3488" s="5"/>
      <c r="B3488" s="5" t="str">
        <f>IFERROR(__xludf.DUMMYFUNCTION("""COMPUTED_VALUE"""),"هیأت")</f>
        <v>هیأت</v>
      </c>
      <c r="C3488" s="5" t="str">
        <f>IFERROR(__xludf.DUMMYFUNCTION("""COMPUTED_VALUE"""),"هیأت منتظران مهدی (عج)")</f>
        <v>هیأت منتظران مهدی (عج)</v>
      </c>
      <c r="D3488" s="5" t="str">
        <f>IFERROR(__xludf.DUMMYFUNCTION("""COMPUTED_VALUE"""),"گلستان")</f>
        <v>گلستان</v>
      </c>
      <c r="E3488" s="5" t="str">
        <f>IFERROR(__xludf.DUMMYFUNCTION("""COMPUTED_VALUE"""),"گنبد کاووس")</f>
        <v>گنبد کاووس</v>
      </c>
      <c r="F3488" s="5"/>
      <c r="G3488" s="5"/>
      <c r="H3488" s="5"/>
      <c r="I3488" s="5"/>
      <c r="J3488" s="6" t="str">
        <f>IFERROR(__xludf.DUMMYFUNCTION("""COMPUTED_VALUE"""),"https://eitaa.com/montazeran_com")</f>
        <v>https://eitaa.com/montazeran_com</v>
      </c>
      <c r="K3488" s="5"/>
      <c r="L3488" s="5"/>
      <c r="M3488" s="5"/>
      <c r="N3488" s="5"/>
      <c r="O3488" s="5"/>
      <c r="P3488" s="5"/>
      <c r="Q3488" s="5"/>
      <c r="R3488" s="5"/>
      <c r="S3488" s="5"/>
    </row>
    <row r="3489">
      <c r="A3489" s="5">
        <f>IFERROR(__xludf.DUMMYFUNCTION("""COMPUTED_VALUE"""),13133.0)</f>
        <v>13133</v>
      </c>
      <c r="B3489" s="5" t="str">
        <f>IFERROR(__xludf.DUMMYFUNCTION("""COMPUTED_VALUE"""),"کانون")</f>
        <v>کانون</v>
      </c>
      <c r="C3489" s="5" t="str">
        <f>IFERROR(__xludf.DUMMYFUNCTION("""COMPUTED_VALUE"""),"منتظرین قائم(عج) (پایگاه امام حسن مجتبی(ع)) (مسجد پنج تن آل عبا(ع))")</f>
        <v>منتظرین قائم(عج) (پایگاه امام حسن مجتبی(ع)) (مسجد پنج تن آل عبا(ع))</v>
      </c>
      <c r="D3489" s="5" t="str">
        <f>IFERROR(__xludf.DUMMYFUNCTION("""COMPUTED_VALUE"""),"گلستان")</f>
        <v>گلستان</v>
      </c>
      <c r="E3489" s="5" t="str">
        <f>IFERROR(__xludf.DUMMYFUNCTION("""COMPUTED_VALUE"""),"مینودشت")</f>
        <v>مینودشت</v>
      </c>
      <c r="F3489" s="5" t="str">
        <f>IFERROR(__xludf.DUMMYFUNCTION("""COMPUTED_VALUE"""),"مینودشت مسجد پنج تن ال عبا")</f>
        <v>مینودشت مسجد پنج تن ال عبا</v>
      </c>
      <c r="G3489" s="5"/>
      <c r="H3489" s="5"/>
      <c r="I3489" s="6" t="str">
        <f>IFERROR(__xludf.DUMMYFUNCTION("""COMPUTED_VALUE"""),"https://telegram.me/s/masjed5tanminoodasht")</f>
        <v>https://telegram.me/s/masjed5tanminoodasht</v>
      </c>
      <c r="J3489" s="5"/>
      <c r="K3489" s="5"/>
      <c r="L3489" s="5"/>
      <c r="M3489" s="5"/>
      <c r="N3489" s="5" t="str">
        <f>IFERROR(__xludf.DUMMYFUNCTION("""COMPUTED_VALUE"""),"هفتگی و مناسبتی")</f>
        <v>هفتگی و مناسبتی</v>
      </c>
      <c r="O3489" s="5"/>
      <c r="P3489" s="5"/>
      <c r="Q3489" s="5"/>
      <c r="R3489" s="5"/>
      <c r="S3489" s="5"/>
    </row>
    <row r="3490">
      <c r="A3490" s="5">
        <f>IFERROR(__xludf.DUMMYFUNCTION("""COMPUTED_VALUE"""),31288.0)</f>
        <v>31288</v>
      </c>
      <c r="B3490" s="5" t="str">
        <f>IFERROR(__xludf.DUMMYFUNCTION("""COMPUTED_VALUE"""),"هیأت")</f>
        <v>هیأت</v>
      </c>
      <c r="C3490" s="5" t="str">
        <f>IFERROR(__xludf.DUMMYFUNCTION("""COMPUTED_VALUE"""),"حضرت زینب (س)")</f>
        <v>حضرت زینب (س)</v>
      </c>
      <c r="D3490" s="5" t="str">
        <f>IFERROR(__xludf.DUMMYFUNCTION("""COMPUTED_VALUE"""),"گلستان")</f>
        <v>گلستان</v>
      </c>
      <c r="E3490" s="5" t="str">
        <f>IFERROR(__xludf.DUMMYFUNCTION("""COMPUTED_VALUE"""),"مینودشت")</f>
        <v>مینودشت</v>
      </c>
      <c r="F3490" s="5"/>
      <c r="G3490" s="5"/>
      <c r="H3490" s="6" t="str">
        <f>IFERROR(__xludf.DUMMYFUNCTION("""COMPUTED_VALUE"""),"https://www.instagram.com/mokeb_minoodasht?utm_source=ig_web_button_share_sheet&amp;igsh=ZDNlZDc0MzIxNw==")</f>
        <v>https://www.instagram.com/mokeb_minoodasht?utm_source=ig_web_button_share_sheet&amp;igsh=ZDNlZDc0MzIxNw==</v>
      </c>
      <c r="I3490" s="6" t="str">
        <f>IFERROR(__xludf.DUMMYFUNCTION("""COMPUTED_VALUE"""),"https://t.me/MOKEBEHAZRATEZEYNABMINOODASHT")</f>
        <v>https://t.me/MOKEBEHAZRATEZEYNABMINOODASHT</v>
      </c>
      <c r="J3490" s="6" t="str">
        <f>IFERROR(__xludf.DUMMYFUNCTION("""COMPUTED_VALUE"""),"https://eitaa.com/MOKEBEHAZRATEZEYNABMINOODASHT")</f>
        <v>https://eitaa.com/MOKEBEHAZRATEZEYNABMINOODASHT</v>
      </c>
      <c r="K3490" s="5"/>
      <c r="L3490" s="5"/>
      <c r="M3490" s="5"/>
      <c r="N3490" s="5" t="str">
        <f>IFERROR(__xludf.DUMMYFUNCTION("""COMPUTED_VALUE"""),"مناسبتی")</f>
        <v>مناسبتی</v>
      </c>
      <c r="O3490" s="5"/>
      <c r="P3490" s="5"/>
      <c r="Q3490" s="5"/>
      <c r="R3490" s="5"/>
      <c r="S3490" s="5"/>
    </row>
    <row r="3491">
      <c r="A3491" s="5"/>
      <c r="B3491" s="5" t="str">
        <f>IFERROR(__xludf.DUMMYFUNCTION("""COMPUTED_VALUE"""),"هیأت")</f>
        <v>هیأت</v>
      </c>
      <c r="C3491" s="5" t="str">
        <f>IFERROR(__xludf.DUMMYFUNCTION("""COMPUTED_VALUE""")," ابوالفضلیا")</f>
        <v> ابوالفضلیا</v>
      </c>
      <c r="D3491" s="5" t="str">
        <f>IFERROR(__xludf.DUMMYFUNCTION("""COMPUTED_VALUE"""),"گلستان")</f>
        <v>گلستان</v>
      </c>
      <c r="E3491" s="5" t="str">
        <f>IFERROR(__xludf.DUMMYFUNCTION("""COMPUTED_VALUE"""),"مینودشت")</f>
        <v>مینودشت</v>
      </c>
      <c r="F3491" s="5" t="str">
        <f>IFERROR(__xludf.DUMMYFUNCTION("""COMPUTED_VALUE"""),"خیابان پاسداران روبری بلوار بسیج خیابان معلم")</f>
        <v>خیابان پاسداران روبری بلوار بسیج خیابان معلم</v>
      </c>
      <c r="G3491" s="5">
        <f>IFERROR(__xludf.DUMMYFUNCTION("""COMPUTED_VALUE"""),1.0)</f>
        <v>1</v>
      </c>
      <c r="H3491" s="6" t="str">
        <f>IFERROR(__xludf.DUMMYFUNCTION("""COMPUTED_VALUE"""),"https://www.instagram.com/abolfazlia_minoodasht?utm_source=ig_web_button_share_sheet&amp;igsh=ZDNlZDc0MzIxNw==")</f>
        <v>https://www.instagram.com/abolfazlia_minoodasht?utm_source=ig_web_button_share_sheet&amp;igsh=ZDNlZDc0MzIxNw==</v>
      </c>
      <c r="I3491" s="5"/>
      <c r="J3491" s="5"/>
      <c r="K3491" s="5"/>
      <c r="L3491" s="5"/>
      <c r="M3491" s="5"/>
      <c r="N3491" s="5" t="str">
        <f>IFERROR(__xludf.DUMMYFUNCTION("""COMPUTED_VALUE"""),"مناسبتی")</f>
        <v>مناسبتی</v>
      </c>
      <c r="O3491" s="5"/>
      <c r="P3491" s="5"/>
      <c r="Q3491" s="5"/>
      <c r="R3491" s="5"/>
      <c r="S3491" s="5"/>
    </row>
    <row r="3492">
      <c r="A3492" s="5">
        <f>IFERROR(__xludf.DUMMYFUNCTION("""COMPUTED_VALUE"""),13409.0)</f>
        <v>13409</v>
      </c>
      <c r="B3492" s="5" t="str">
        <f>IFERROR(__xludf.DUMMYFUNCTION("""COMPUTED_VALUE"""),"کانون")</f>
        <v>کانون</v>
      </c>
      <c r="C3492" s="5" t="str">
        <f>IFERROR(__xludf.DUMMYFUNCTION("""COMPUTED_VALUE"""),"اداره تبلیغات اسلامی")</f>
        <v>اداره تبلیغات اسلامی</v>
      </c>
      <c r="D3492" s="5" t="str">
        <f>IFERROR(__xludf.DUMMYFUNCTION("""COMPUTED_VALUE"""),"گلستان")</f>
        <v>گلستان</v>
      </c>
      <c r="E3492" s="5" t="str">
        <f>IFERROR(__xludf.DUMMYFUNCTION("""COMPUTED_VALUE"""),"مینودشت")</f>
        <v>مینودشت</v>
      </c>
      <c r="F3492" s="5"/>
      <c r="G3492" s="5"/>
      <c r="H3492" s="5"/>
      <c r="I3492" s="5"/>
      <c r="J3492" s="6" t="str">
        <f>IFERROR(__xludf.DUMMYFUNCTION("""COMPUTED_VALUE"""),"https://eitaa.com/nehzat_eslami_minoodasht")</f>
        <v>https://eitaa.com/nehzat_eslami_minoodasht</v>
      </c>
      <c r="K3492" s="5"/>
      <c r="L3492" s="5"/>
      <c r="M3492" s="5"/>
      <c r="N3492" s="5"/>
      <c r="O3492" s="5"/>
      <c r="P3492" s="5"/>
      <c r="Q3492" s="5"/>
      <c r="R3492" s="5"/>
      <c r="S3492" s="5"/>
    </row>
    <row r="3493">
      <c r="A3493" s="5">
        <f>IFERROR(__xludf.DUMMYFUNCTION("""COMPUTED_VALUE"""),18217.0)</f>
        <v>18217</v>
      </c>
      <c r="B3493" s="5" t="str">
        <f>IFERROR(__xludf.DUMMYFUNCTION("""COMPUTED_VALUE"""),"کانون")</f>
        <v>کانون</v>
      </c>
      <c r="C3493" s="5" t="str">
        <f>IFERROR(__xludf.DUMMYFUNCTION("""COMPUTED_VALUE"""),"مجموعه فرهنگی مذهبی الزهرا (س)")</f>
        <v>مجموعه فرهنگی مذهبی الزهرا (س)</v>
      </c>
      <c r="D3493" s="5" t="str">
        <f>IFERROR(__xludf.DUMMYFUNCTION("""COMPUTED_VALUE"""),"گلستان")</f>
        <v>گلستان</v>
      </c>
      <c r="E3493" s="5" t="str">
        <f>IFERROR(__xludf.DUMMYFUNCTION("""COMPUTED_VALUE"""),"گنبد کاووس")</f>
        <v>گنبد کاووس</v>
      </c>
      <c r="F3493" s="5" t="str">
        <f>IFERROR(__xludf.DUMMYFUNCTION("""COMPUTED_VALUE"""),"گنبد ٫ بلوار دانشجو ٫ ۲۰متری شقایق / مسجد و پایگاه امام جعفر صادق (ع) / مجموعه فرهنگی الزهرا سلام‌الله‌علیها")</f>
        <v>گنبد ٫ بلوار دانشجو ٫ ۲۰متری شقایق / مسجد و پایگاه امام جعفر صادق (ع) / مجموعه فرهنگی الزهرا سلام‌الله‌علیها</v>
      </c>
      <c r="G3493" s="5"/>
      <c r="H3493" s="5"/>
      <c r="I3493" s="5"/>
      <c r="J3493" s="6" t="str">
        <f>IFERROR(__xludf.DUMMYFUNCTION("""COMPUTED_VALUE"""),"https://eitaa.com/alzahra135")</f>
        <v>https://eitaa.com/alzahra135</v>
      </c>
      <c r="K3493" s="5"/>
      <c r="L3493" s="5"/>
      <c r="M3493" s="5"/>
      <c r="N3493" s="5" t="str">
        <f>IFERROR(__xludf.DUMMYFUNCTION("""COMPUTED_VALUE"""),"مناسبتی")</f>
        <v>مناسبتی</v>
      </c>
      <c r="O3493" s="5"/>
      <c r="P3493" s="5"/>
      <c r="Q3493" s="5"/>
      <c r="R3493" s="5"/>
      <c r="S3493" s="5"/>
    </row>
    <row r="3494">
      <c r="A3494" s="5">
        <f>IFERROR(__xludf.DUMMYFUNCTION("""COMPUTED_VALUE"""),13039.0)</f>
        <v>13039</v>
      </c>
      <c r="B3494" s="5" t="str">
        <f>IFERROR(__xludf.DUMMYFUNCTION("""COMPUTED_VALUE"""),"مسجد جامع")</f>
        <v>مسجد جامع</v>
      </c>
      <c r="C3494" s="5" t="str">
        <f>IFERROR(__xludf.DUMMYFUNCTION("""COMPUTED_VALUE"""),"هیات مسجد علی بن ابیطالب _ بیت الزهرا (س)")</f>
        <v>هیات مسجد علی بن ابیطالب _ بیت الزهرا (س)</v>
      </c>
      <c r="D3494" s="5" t="str">
        <f>IFERROR(__xludf.DUMMYFUNCTION("""COMPUTED_VALUE"""),"گلستان")</f>
        <v>گلستان</v>
      </c>
      <c r="E3494" s="5" t="str">
        <f>IFERROR(__xludf.DUMMYFUNCTION("""COMPUTED_VALUE"""),"گرگان")</f>
        <v>گرگان</v>
      </c>
      <c r="F3494" s="5"/>
      <c r="G3494" s="5"/>
      <c r="H3494" s="5"/>
      <c r="I3494" s="5" t="str">
        <f>IFERROR(__xludf.DUMMYFUNCTION("""COMPUTED_VALUE"""),"@bytozzahra")</f>
        <v>@bytozzahra</v>
      </c>
      <c r="J3494" s="5"/>
      <c r="K3494" s="5"/>
      <c r="L3494" s="5"/>
      <c r="M3494" s="5"/>
      <c r="N3494" s="5"/>
      <c r="O3494" s="5"/>
      <c r="P3494" s="5"/>
      <c r="Q3494" s="5"/>
      <c r="R3494" s="5"/>
      <c r="S3494" s="5"/>
    </row>
    <row r="3495">
      <c r="A3495" s="5">
        <f>IFERROR(__xludf.DUMMYFUNCTION("""COMPUTED_VALUE"""),13124.0)</f>
        <v>13124</v>
      </c>
      <c r="B3495" s="5" t="str">
        <f>IFERROR(__xludf.DUMMYFUNCTION("""COMPUTED_VALUE"""),"هیأت")</f>
        <v>هیأت</v>
      </c>
      <c r="C3495" s="5" t="str">
        <f>IFERROR(__xludf.DUMMYFUNCTION("""COMPUTED_VALUE"""),"رزمندگان اسلام")</f>
        <v>رزمندگان اسلام</v>
      </c>
      <c r="D3495" s="5" t="str">
        <f>IFERROR(__xludf.DUMMYFUNCTION("""COMPUTED_VALUE"""),"گلستان")</f>
        <v>گلستان</v>
      </c>
      <c r="E3495" s="5" t="str">
        <f>IFERROR(__xludf.DUMMYFUNCTION("""COMPUTED_VALUE"""),"کردکوی")</f>
        <v>کردکوی</v>
      </c>
      <c r="F3495" s="5"/>
      <c r="G3495" s="5"/>
      <c r="H3495" s="5"/>
      <c r="I3495" s="5"/>
      <c r="J3495" s="5" t="str">
        <f>IFERROR(__xludf.DUMMYFUNCTION("""COMPUTED_VALUE"""),"@razmandegan_kordkuy")</f>
        <v>@razmandegan_kordkuy</v>
      </c>
      <c r="K3495" s="5"/>
      <c r="L3495" s="5"/>
      <c r="M3495" s="5"/>
      <c r="N3495" s="5"/>
      <c r="O3495" s="5"/>
      <c r="P3495" s="5"/>
      <c r="Q3495" s="5"/>
      <c r="R3495" s="5"/>
      <c r="S3495" s="5"/>
    </row>
    <row r="3496">
      <c r="A3496" s="5">
        <f>IFERROR(__xludf.DUMMYFUNCTION("""COMPUTED_VALUE"""),13304.0)</f>
        <v>13304</v>
      </c>
      <c r="B3496" s="5" t="str">
        <f>IFERROR(__xludf.DUMMYFUNCTION("""COMPUTED_VALUE"""),"هیأت")</f>
        <v>هیأت</v>
      </c>
      <c r="C3496" s="5" t="str">
        <f>IFERROR(__xludf.DUMMYFUNCTION("""COMPUTED_VALUE"""),"مسجد جامع کردکوی")</f>
        <v>مسجد جامع کردکوی</v>
      </c>
      <c r="D3496" s="5" t="str">
        <f>IFERROR(__xludf.DUMMYFUNCTION("""COMPUTED_VALUE"""),"گلستان")</f>
        <v>گلستان</v>
      </c>
      <c r="E3496" s="5" t="str">
        <f>IFERROR(__xludf.DUMMYFUNCTION("""COMPUTED_VALUE"""),"کردکوی")</f>
        <v>کردکوی</v>
      </c>
      <c r="F3496" s="5"/>
      <c r="G3496" s="5"/>
      <c r="H3496" s="5"/>
      <c r="I3496" s="5"/>
      <c r="J3496" s="5" t="str">
        <f>IFERROR(__xludf.DUMMYFUNCTION("""COMPUTED_VALUE"""),"@kashkkuol")</f>
        <v>@kashkkuol</v>
      </c>
      <c r="K3496" s="5"/>
      <c r="L3496" s="5"/>
      <c r="M3496" s="5"/>
      <c r="N3496" s="5"/>
      <c r="O3496" s="5"/>
      <c r="P3496" s="5"/>
      <c r="Q3496" s="5"/>
      <c r="R3496" s="5"/>
      <c r="S3496" s="5"/>
    </row>
    <row r="3497">
      <c r="A3497" s="5">
        <f>IFERROR(__xludf.DUMMYFUNCTION("""COMPUTED_VALUE"""),30264.0)</f>
        <v>30264</v>
      </c>
      <c r="B3497" s="5" t="str">
        <f>IFERROR(__xludf.DUMMYFUNCTION("""COMPUTED_VALUE"""),"هیأت")</f>
        <v>هیأت</v>
      </c>
      <c r="C3497" s="5" t="str">
        <f>IFERROR(__xludf.DUMMYFUNCTION("""COMPUTED_VALUE"""),"مسجد جوانان صاحب الزمان(عج)")</f>
        <v>مسجد جوانان صاحب الزمان(عج)</v>
      </c>
      <c r="D3497" s="5" t="str">
        <f>IFERROR(__xludf.DUMMYFUNCTION("""COMPUTED_VALUE"""),"گلستان")</f>
        <v>گلستان</v>
      </c>
      <c r="E3497" s="5" t="str">
        <f>IFERROR(__xludf.DUMMYFUNCTION("""COMPUTED_VALUE"""),"کردکوی")</f>
        <v>کردکوی</v>
      </c>
      <c r="F3497" s="5"/>
      <c r="G3497" s="5"/>
      <c r="H3497" s="6" t="str">
        <f>IFERROR(__xludf.DUMMYFUNCTION("""COMPUTED_VALUE"""),"https://www.instagram.com/saheb.a.zaman313")</f>
        <v>https://www.instagram.com/saheb.a.zaman313</v>
      </c>
      <c r="I3497" s="5"/>
      <c r="J3497" s="5" t="str">
        <f>IFERROR(__xludf.DUMMYFUNCTION("""COMPUTED_VALUE"""),"@saheb_azaman313")</f>
        <v>@saheb_azaman313</v>
      </c>
      <c r="K3497" s="5"/>
      <c r="L3497" s="5"/>
      <c r="M3497" s="5"/>
      <c r="N3497" s="5"/>
      <c r="O3497" s="5"/>
      <c r="P3497" s="5"/>
      <c r="Q3497" s="5"/>
      <c r="R3497" s="5"/>
      <c r="S3497" s="5"/>
    </row>
    <row r="3498">
      <c r="A3498" s="5">
        <f>IFERROR(__xludf.DUMMYFUNCTION("""COMPUTED_VALUE"""),27689.0)</f>
        <v>27689</v>
      </c>
      <c r="B3498" s="5" t="str">
        <f>IFERROR(__xludf.DUMMYFUNCTION("""COMPUTED_VALUE"""),"هیأت")</f>
        <v>هیأت</v>
      </c>
      <c r="C3498" s="5" t="str">
        <f>IFERROR(__xludf.DUMMYFUNCTION("""COMPUTED_VALUE"""),"مسجد امام حسین ع")</f>
        <v>مسجد امام حسین ع</v>
      </c>
      <c r="D3498" s="5" t="str">
        <f>IFERROR(__xludf.DUMMYFUNCTION("""COMPUTED_VALUE"""),"گلستان")</f>
        <v>گلستان</v>
      </c>
      <c r="E3498" s="5" t="str">
        <f>IFERROR(__xludf.DUMMYFUNCTION("""COMPUTED_VALUE"""),"کلاله")</f>
        <v>کلاله</v>
      </c>
      <c r="F3498" s="5"/>
      <c r="G3498" s="5"/>
      <c r="H3498" s="5"/>
      <c r="I3498" s="5"/>
      <c r="J3498" s="5" t="str">
        <f>IFERROR(__xludf.DUMMYFUNCTION("""COMPUTED_VALUE"""),"@masjed_nama_kalaleh")</f>
        <v>@masjed_nama_kalaleh</v>
      </c>
      <c r="K3498" s="5"/>
      <c r="L3498" s="5"/>
      <c r="M3498" s="5"/>
      <c r="N3498" s="5"/>
      <c r="O3498" s="5"/>
      <c r="P3498" s="5"/>
      <c r="Q3498" s="5"/>
      <c r="R3498" s="5"/>
      <c r="S3498" s="5"/>
    </row>
    <row r="3499">
      <c r="A3499" s="5">
        <f>IFERROR(__xludf.DUMMYFUNCTION("""COMPUTED_VALUE"""),32641.0)</f>
        <v>32641</v>
      </c>
      <c r="B3499" s="5" t="str">
        <f>IFERROR(__xludf.DUMMYFUNCTION("""COMPUTED_VALUE"""),"هیأت")</f>
        <v>هیأت</v>
      </c>
      <c r="C3499" s="5" t="str">
        <f>IFERROR(__xludf.DUMMYFUNCTION("""COMPUTED_VALUE"""),"متوسلین به امام زمان (عج)")</f>
        <v>متوسلین به امام زمان (عج)</v>
      </c>
      <c r="D3499" s="5" t="str">
        <f>IFERROR(__xludf.DUMMYFUNCTION("""COMPUTED_VALUE"""),"گلستان")</f>
        <v>گلستان</v>
      </c>
      <c r="E3499" s="5" t="str">
        <f>IFERROR(__xludf.DUMMYFUNCTION("""COMPUTED_VALUE"""),"کلاله")</f>
        <v>کلاله</v>
      </c>
      <c r="F3499" s="5"/>
      <c r="G3499" s="5"/>
      <c r="H3499" s="5"/>
      <c r="I3499" s="5"/>
      <c r="J3499" s="5" t="str">
        <f>IFERROR(__xludf.DUMMYFUNCTION("""COMPUTED_VALUE"""),"@heyatemotavasselin_313")</f>
        <v>@heyatemotavasselin_313</v>
      </c>
      <c r="K3499" s="5"/>
      <c r="L3499" s="5"/>
      <c r="M3499" s="5"/>
      <c r="N3499" s="5"/>
      <c r="O3499" s="5"/>
      <c r="P3499" s="5"/>
      <c r="Q3499" s="5"/>
      <c r="R3499" s="5"/>
      <c r="S3499" s="5"/>
    </row>
    <row r="3500">
      <c r="A3500" s="5">
        <f>IFERROR(__xludf.DUMMYFUNCTION("""COMPUTED_VALUE"""),23552.0)</f>
        <v>23552</v>
      </c>
      <c r="B3500" s="5" t="str">
        <f>IFERROR(__xludf.DUMMYFUNCTION("""COMPUTED_VALUE"""),"هیأت")</f>
        <v>هیأت</v>
      </c>
      <c r="C3500" s="5" t="str">
        <f>IFERROR(__xludf.DUMMYFUNCTION("""COMPUTED_VALUE"""),"بین الحرمین")</f>
        <v>بین الحرمین</v>
      </c>
      <c r="D3500" s="5" t="str">
        <f>IFERROR(__xludf.DUMMYFUNCTION("""COMPUTED_VALUE"""),"گلستان")</f>
        <v>گلستان</v>
      </c>
      <c r="E3500" s="5" t="str">
        <f>IFERROR(__xludf.DUMMYFUNCTION("""COMPUTED_VALUE"""),"گالیکش")</f>
        <v>گالیکش</v>
      </c>
      <c r="F3500" s="5"/>
      <c r="G3500" s="5"/>
      <c r="H3500" s="5"/>
      <c r="I3500" s="5"/>
      <c r="J3500" s="5" t="str">
        <f>IFERROR(__xludf.DUMMYFUNCTION("""COMPUTED_VALUE"""),"@bainolharamaingalikesh")</f>
        <v>@bainolharamaingalikesh</v>
      </c>
      <c r="K3500" s="5"/>
      <c r="L3500" s="5"/>
      <c r="M3500" s="5"/>
      <c r="N3500" s="5"/>
      <c r="O3500" s="5"/>
      <c r="P3500" s="5"/>
      <c r="Q3500" s="5"/>
      <c r="R3500" s="5"/>
      <c r="S3500" s="5"/>
    </row>
    <row r="3501">
      <c r="A3501" s="5">
        <f>IFERROR(__xludf.DUMMYFUNCTION("""COMPUTED_VALUE"""),13451.0)</f>
        <v>13451</v>
      </c>
      <c r="B3501" s="5" t="str">
        <f>IFERROR(__xludf.DUMMYFUNCTION("""COMPUTED_VALUE"""),"هیأت")</f>
        <v>هیأت</v>
      </c>
      <c r="C3501" s="5" t="str">
        <f>IFERROR(__xludf.DUMMYFUNCTION("""COMPUTED_VALUE"""),"                 امام زاده عبدالله")</f>
        <v>                 امام زاده عبدالله</v>
      </c>
      <c r="D3501" s="5" t="str">
        <f>IFERROR(__xludf.DUMMYFUNCTION("""COMPUTED_VALUE"""),"گلستان")</f>
        <v>گلستان</v>
      </c>
      <c r="E3501" s="5" t="str">
        <f>IFERROR(__xludf.DUMMYFUNCTION("""COMPUTED_VALUE"""),"گرگان")</f>
        <v>گرگان</v>
      </c>
      <c r="F3501" s="5"/>
      <c r="G3501" s="5"/>
      <c r="H3501" s="5"/>
      <c r="I3501" s="5"/>
      <c r="J3501" s="5" t="str">
        <f>IFERROR(__xludf.DUMMYFUNCTION("""COMPUTED_VALUE"""),"emamzadehabdollah1gorgan")</f>
        <v>emamzadehabdollah1gorgan</v>
      </c>
      <c r="K3501" s="5"/>
      <c r="L3501" s="5"/>
      <c r="M3501" s="5"/>
      <c r="N3501" s="5"/>
      <c r="O3501" s="5"/>
      <c r="P3501" s="5"/>
      <c r="Q3501" s="5"/>
      <c r="R3501" s="5"/>
      <c r="S3501" s="5"/>
    </row>
    <row r="3502">
      <c r="A3502" s="5">
        <f>IFERROR(__xludf.DUMMYFUNCTION("""COMPUTED_VALUE"""),13328.0)</f>
        <v>13328</v>
      </c>
      <c r="B3502" s="5" t="str">
        <f>IFERROR(__xludf.DUMMYFUNCTION("""COMPUTED_VALUE"""),"هیأت")</f>
        <v>هیأت</v>
      </c>
      <c r="C3502" s="5" t="str">
        <f>IFERROR(__xludf.DUMMYFUNCTION("""COMPUTED_VALUE"""),"محبین حضرت علی اکبر (ع)")</f>
        <v>محبین حضرت علی اکبر (ع)</v>
      </c>
      <c r="D3502" s="5" t="str">
        <f>IFERROR(__xludf.DUMMYFUNCTION("""COMPUTED_VALUE"""),"گلستان")</f>
        <v>گلستان</v>
      </c>
      <c r="E3502" s="5" t="str">
        <f>IFERROR(__xludf.DUMMYFUNCTION("""COMPUTED_VALUE"""),"گرگان")</f>
        <v>گرگان</v>
      </c>
      <c r="F3502" s="5"/>
      <c r="G3502" s="5"/>
      <c r="H3502" s="5"/>
      <c r="I3502" s="6" t="str">
        <f>IFERROR(__xludf.DUMMYFUNCTION("""COMPUTED_VALUE"""),"https://t.me/s/mohebbin_aliakbar")</f>
        <v>https://t.me/s/mohebbin_aliakbar</v>
      </c>
      <c r="J3502" s="5"/>
      <c r="K3502" s="5"/>
      <c r="L3502" s="5"/>
      <c r="M3502" s="5"/>
      <c r="N3502" s="5"/>
      <c r="O3502" s="5"/>
      <c r="P3502" s="5"/>
      <c r="Q3502" s="5"/>
      <c r="R3502" s="5"/>
      <c r="S3502" s="5"/>
    </row>
    <row r="3503">
      <c r="A3503" s="5">
        <f>IFERROR(__xludf.DUMMYFUNCTION("""COMPUTED_VALUE"""),26619.0)</f>
        <v>26619</v>
      </c>
      <c r="B3503" s="5" t="str">
        <f>IFERROR(__xludf.DUMMYFUNCTION("""COMPUTED_VALUE"""),"هیأت")</f>
        <v>هیأت</v>
      </c>
      <c r="C3503" s="5" t="str">
        <f>IFERROR(__xludf.DUMMYFUNCTION("""COMPUTED_VALUE"""),"عمار یاسر")</f>
        <v>عمار یاسر</v>
      </c>
      <c r="D3503" s="5" t="str">
        <f>IFERROR(__xludf.DUMMYFUNCTION("""COMPUTED_VALUE"""),"گلستان")</f>
        <v>گلستان</v>
      </c>
      <c r="E3503" s="5" t="str">
        <f>IFERROR(__xludf.DUMMYFUNCTION("""COMPUTED_VALUE"""),"گرگان")</f>
        <v>گرگان</v>
      </c>
      <c r="F3503" s="5"/>
      <c r="G3503" s="5"/>
      <c r="H3503" s="6" t="str">
        <f>IFERROR(__xludf.DUMMYFUNCTION("""COMPUTED_VALUE"""),"https://www.instagram.com/heyat_amar_yaser?")</f>
        <v>https://www.instagram.com/heyat_amar_yaser?</v>
      </c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</row>
    <row r="3504">
      <c r="A3504" s="5">
        <f>IFERROR(__xludf.DUMMYFUNCTION("""COMPUTED_VALUE"""),25515.0)</f>
        <v>25515</v>
      </c>
      <c r="B3504" s="5" t="str">
        <f>IFERROR(__xludf.DUMMYFUNCTION("""COMPUTED_VALUE"""),"هیأت")</f>
        <v>هیأت</v>
      </c>
      <c r="C3504" s="5" t="str">
        <f>IFERROR(__xludf.DUMMYFUNCTION("""COMPUTED_VALUE"""),"مسجد جامع (روستای حاجی کلاته)")</f>
        <v>مسجد جامع (روستای حاجی کلاته)</v>
      </c>
      <c r="D3504" s="5" t="str">
        <f>IFERROR(__xludf.DUMMYFUNCTION("""COMPUTED_VALUE"""),"گلستان")</f>
        <v>گلستان</v>
      </c>
      <c r="E3504" s="5" t="str">
        <f>IFERROR(__xludf.DUMMYFUNCTION("""COMPUTED_VALUE"""),"علی آباد کتول")</f>
        <v>علی آباد کتول</v>
      </c>
      <c r="F3504" s="5"/>
      <c r="G3504" s="5"/>
      <c r="H3504" s="6" t="str">
        <f>IFERROR(__xludf.DUMMYFUNCTION("""COMPUTED_VALUE"""),"https://www.instagram.com/m_hajikalateh")</f>
        <v>https://www.instagram.com/m_hajikalateh</v>
      </c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</row>
    <row r="3505">
      <c r="A3505" s="5">
        <f>IFERROR(__xludf.DUMMYFUNCTION("""COMPUTED_VALUE"""),13270.0)</f>
        <v>13270</v>
      </c>
      <c r="B3505" s="5" t="str">
        <f>IFERROR(__xludf.DUMMYFUNCTION("""COMPUTED_VALUE"""),"هیأت")</f>
        <v>هیأت</v>
      </c>
      <c r="C3505" s="5" t="str">
        <f>IFERROR(__xludf.DUMMYFUNCTION("""COMPUTED_VALUE"""),"یازینب(س)")</f>
        <v>یازینب(س)</v>
      </c>
      <c r="D3505" s="5" t="str">
        <f>IFERROR(__xludf.DUMMYFUNCTION("""COMPUTED_VALUE"""),"گلستان")</f>
        <v>گلستان</v>
      </c>
      <c r="E3505" s="5" t="str">
        <f>IFERROR(__xludf.DUMMYFUNCTION("""COMPUTED_VALUE"""),"علی آباد کتول")</f>
        <v>علی آباد کتول</v>
      </c>
      <c r="F3505" s="5"/>
      <c r="G3505" s="5"/>
      <c r="H3505" s="6" t="str">
        <f>IFERROR(__xludf.DUMMYFUNCTION("""COMPUTED_VALUE"""),"https://www.instagram.com/sabre_zeinab?utm_source=ig_web_button_share_sheet&amp;igsh=ZDNlZDc0MzIxNw==")</f>
        <v>https://www.instagram.com/sabre_zeinab?utm_source=ig_web_button_share_sheet&amp;igsh=ZDNlZDc0MzIxNw==</v>
      </c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</row>
    <row r="3506">
      <c r="A3506" s="5"/>
      <c r="B3506" s="5" t="str">
        <f>IFERROR(__xludf.DUMMYFUNCTION("""COMPUTED_VALUE"""),"هیأت")</f>
        <v>هیأت</v>
      </c>
      <c r="C3506" s="5" t="str">
        <f>IFERROR(__xludf.DUMMYFUNCTION("""COMPUTED_VALUE"""),"مدافعان ولایت")</f>
        <v>مدافعان ولایت</v>
      </c>
      <c r="D3506" s="5" t="str">
        <f>IFERROR(__xludf.DUMMYFUNCTION("""COMPUTED_VALUE"""),"گلستان")</f>
        <v>گلستان</v>
      </c>
      <c r="E3506" s="5" t="str">
        <f>IFERROR(__xludf.DUMMYFUNCTION("""COMPUTED_VALUE"""),"بهارستان")</f>
        <v>بهارستان</v>
      </c>
      <c r="F3506" s="5"/>
      <c r="G3506" s="5"/>
      <c r="H3506" s="5"/>
      <c r="I3506" s="5"/>
      <c r="J3506" s="6" t="str">
        <f>IFERROR(__xludf.DUMMYFUNCTION("""COMPUTED_VALUE"""),"https://eitaa.com/mv_1396")</f>
        <v>https://eitaa.com/mv_1396</v>
      </c>
      <c r="K3506" s="5"/>
      <c r="L3506" s="5"/>
      <c r="M3506" s="5"/>
      <c r="N3506" s="5"/>
      <c r="O3506" s="5"/>
      <c r="P3506" s="5"/>
      <c r="Q3506" s="5"/>
      <c r="R3506" s="5"/>
      <c r="S3506" s="5"/>
    </row>
    <row r="3507">
      <c r="A3507" s="5"/>
      <c r="B3507" s="5" t="str">
        <f>IFERROR(__xludf.DUMMYFUNCTION("""COMPUTED_VALUE"""),"موکب")</f>
        <v>موکب</v>
      </c>
      <c r="C3507" s="5" t="str">
        <f>IFERROR(__xludf.DUMMYFUNCTION("""COMPUTED_VALUE"""),"حضرت علی اصغر")</f>
        <v>حضرت علی اصغر</v>
      </c>
      <c r="D3507" s="5" t="str">
        <f>IFERROR(__xludf.DUMMYFUNCTION("""COMPUTED_VALUE"""),"گلستان")</f>
        <v>گلستان</v>
      </c>
      <c r="E3507" s="5" t="str">
        <f>IFERROR(__xludf.DUMMYFUNCTION("""COMPUTED_VALUE"""),"گرگان")</f>
        <v>گرگان</v>
      </c>
      <c r="F3507" s="5"/>
      <c r="G3507" s="5"/>
      <c r="H3507" s="5"/>
      <c r="I3507" s="5"/>
      <c r="J3507" s="6" t="str">
        <f>IFERROR(__xludf.DUMMYFUNCTION("""COMPUTED_VALUE"""),"https://eitaa.com/mokebhazrataliasghargorgan")</f>
        <v>https://eitaa.com/mokebhazrataliasghargorgan</v>
      </c>
      <c r="K3507" s="5"/>
      <c r="L3507" s="5"/>
      <c r="M3507" s="5"/>
      <c r="N3507" s="5"/>
      <c r="O3507" s="5"/>
      <c r="P3507" s="5"/>
      <c r="Q3507" s="5"/>
      <c r="R3507" s="5"/>
      <c r="S3507" s="5"/>
    </row>
    <row r="3508">
      <c r="A3508" s="5">
        <f>IFERROR(__xludf.DUMMYFUNCTION("""COMPUTED_VALUE"""),32074.0)</f>
        <v>32074</v>
      </c>
      <c r="B3508" s="5"/>
      <c r="C3508" s="5" t="str">
        <f>IFERROR(__xludf.DUMMYFUNCTION("""COMPUTED_VALUE"""),"انصارالمهدی (عج)")</f>
        <v>انصارالمهدی (عج)</v>
      </c>
      <c r="D3508" s="5" t="str">
        <f>IFERROR(__xludf.DUMMYFUNCTION("""COMPUTED_VALUE"""),"کهگیلویه و بویراحمد")</f>
        <v>کهگیلویه و بویراحمد</v>
      </c>
      <c r="E3508" s="5" t="str">
        <f>IFERROR(__xludf.DUMMYFUNCTION("""COMPUTED_VALUE"""),"سوق")</f>
        <v>سوق</v>
      </c>
      <c r="F3508" s="5"/>
      <c r="G3508" s="5"/>
      <c r="H3508" s="6" t="str">
        <f>IFERROR(__xludf.DUMMYFUNCTION("""COMPUTED_VALUE"""),"https://www.instagram.com/ansarsuq.ir/")</f>
        <v>https://www.instagram.com/ansarsuq.ir/</v>
      </c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</row>
    <row r="3509">
      <c r="A3509" s="5">
        <f>IFERROR(__xludf.DUMMYFUNCTION("""COMPUTED_VALUE"""),30544.0)</f>
        <v>30544</v>
      </c>
      <c r="B3509" s="5"/>
      <c r="C3509" s="5" t="str">
        <f>IFERROR(__xludf.DUMMYFUNCTION("""COMPUTED_VALUE"""),"هیات جوانان حسینی")</f>
        <v>هیات جوانان حسینی</v>
      </c>
      <c r="D3509" s="5" t="str">
        <f>IFERROR(__xludf.DUMMYFUNCTION("""COMPUTED_VALUE"""),"کهگیلویه و بویراحمد")</f>
        <v>کهگیلویه و بویراحمد</v>
      </c>
      <c r="E3509" s="5" t="str">
        <f>IFERROR(__xludf.DUMMYFUNCTION("""COMPUTED_VALUE"""),"یاسوج")</f>
        <v>یاسوج</v>
      </c>
      <c r="F3509" s="5"/>
      <c r="G3509" s="5"/>
      <c r="H3509" s="6" t="str">
        <f>IFERROR(__xludf.DUMMYFUNCTION("""COMPUTED_VALUE"""),"https://www.instagram.com/javananhosseyniyasuj/")</f>
        <v>https://www.instagram.com/javananhosseyniyasuj/</v>
      </c>
      <c r="I3509" s="5"/>
      <c r="J3509" s="6" t="str">
        <f>IFERROR(__xludf.DUMMYFUNCTION("""COMPUTED_VALUE"""),"https://eitaa.com/jhyasuj")</f>
        <v>https://eitaa.com/jhyasuj</v>
      </c>
      <c r="K3509" s="5"/>
      <c r="L3509" s="5"/>
      <c r="M3509" s="5"/>
      <c r="N3509" s="5"/>
      <c r="O3509" s="5"/>
      <c r="P3509" s="5"/>
      <c r="Q3509" s="5"/>
      <c r="R3509" s="5"/>
      <c r="S3509" s="5"/>
    </row>
    <row r="3510">
      <c r="A3510" s="5">
        <f>IFERROR(__xludf.DUMMYFUNCTION("""COMPUTED_VALUE"""),29862.0)</f>
        <v>29862</v>
      </c>
      <c r="B3510" s="5"/>
      <c r="C3510" s="5" t="str">
        <f>IFERROR(__xludf.DUMMYFUNCTION("""COMPUTED_VALUE"""),"عشاق المهدی (عج)")</f>
        <v>عشاق المهدی (عج)</v>
      </c>
      <c r="D3510" s="5" t="str">
        <f>IFERROR(__xludf.DUMMYFUNCTION("""COMPUTED_VALUE"""),"کهگیلویه و بویراحمد")</f>
        <v>کهگیلویه و بویراحمد</v>
      </c>
      <c r="E3510" s="5" t="str">
        <f>IFERROR(__xludf.DUMMYFUNCTION("""COMPUTED_VALUE"""),"باشت")</f>
        <v>باشت</v>
      </c>
      <c r="F3510" s="5"/>
      <c r="G3510" s="5"/>
      <c r="H3510" s="5"/>
      <c r="I3510" s="6" t="str">
        <f>IFERROR(__xludf.DUMMYFUNCTION("""COMPUTED_VALUE"""),"https://t.me/oshaghalmahdi3135")</f>
        <v>https://t.me/oshaghalmahdi3135</v>
      </c>
      <c r="J3510" s="5"/>
      <c r="K3510" s="5"/>
      <c r="L3510" s="5"/>
      <c r="M3510" s="5"/>
      <c r="N3510" s="5"/>
      <c r="O3510" s="5"/>
      <c r="P3510" s="5"/>
      <c r="Q3510" s="5"/>
      <c r="R3510" s="5"/>
      <c r="S3510" s="5"/>
    </row>
    <row r="3511">
      <c r="A3511" s="5">
        <f>IFERROR(__xludf.DUMMYFUNCTION("""COMPUTED_VALUE"""),25163.0)</f>
        <v>25163</v>
      </c>
      <c r="B3511" s="5"/>
      <c r="C3511" s="5" t="str">
        <f>IFERROR(__xludf.DUMMYFUNCTION("""COMPUTED_VALUE"""),"بیت الزهرا")</f>
        <v>بیت الزهرا</v>
      </c>
      <c r="D3511" s="5" t="str">
        <f>IFERROR(__xludf.DUMMYFUNCTION("""COMPUTED_VALUE"""),"کهگیلویه و بویراحمد")</f>
        <v>کهگیلویه و بویراحمد</v>
      </c>
      <c r="E3511" s="5" t="str">
        <f>IFERROR(__xludf.DUMMYFUNCTION("""COMPUTED_VALUE"""),"لنده")</f>
        <v>لنده</v>
      </c>
      <c r="F3511" s="5"/>
      <c r="G3511" s="5"/>
      <c r="H3511" s="6" t="str">
        <f>IFERROR(__xludf.DUMMYFUNCTION("""COMPUTED_VALUE"""),"https://www.instagram.com/beytozahraa1400/")</f>
        <v>https://www.instagram.com/beytozahraa1400/</v>
      </c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</row>
    <row r="3512">
      <c r="A3512" s="5">
        <f>IFERROR(__xludf.DUMMYFUNCTION("""COMPUTED_VALUE"""),25122.0)</f>
        <v>25122</v>
      </c>
      <c r="B3512" s="5"/>
      <c r="C3512" s="5" t="str">
        <f>IFERROR(__xludf.DUMMYFUNCTION("""COMPUTED_VALUE"""),"علمدار ولایت")</f>
        <v>علمدار ولایت</v>
      </c>
      <c r="D3512" s="5" t="str">
        <f>IFERROR(__xludf.DUMMYFUNCTION("""COMPUTED_VALUE"""),"کهگیلویه و بویراحمد")</f>
        <v>کهگیلویه و بویراحمد</v>
      </c>
      <c r="E3512" s="5" t="str">
        <f>IFERROR(__xludf.DUMMYFUNCTION("""COMPUTED_VALUE"""),"یاسوج")</f>
        <v>یاسوج</v>
      </c>
      <c r="F3512" s="5"/>
      <c r="G3512" s="5"/>
      <c r="H3512" s="5"/>
      <c r="I3512" s="5"/>
      <c r="J3512" s="6" t="str">
        <f>IFERROR(__xludf.DUMMYFUNCTION("""COMPUTED_VALUE"""),"https://eitaa.com/eita_alamdarvelayat_313")</f>
        <v>https://eitaa.com/eita_alamdarvelayat_313</v>
      </c>
      <c r="K3512" s="5"/>
      <c r="L3512" s="5"/>
      <c r="M3512" s="5"/>
      <c r="N3512" s="5"/>
      <c r="O3512" s="5"/>
      <c r="P3512" s="5"/>
      <c r="Q3512" s="5"/>
      <c r="R3512" s="5"/>
      <c r="S3512" s="5"/>
    </row>
    <row r="3513">
      <c r="A3513" s="5">
        <f>IFERROR(__xludf.DUMMYFUNCTION("""COMPUTED_VALUE"""),25118.0)</f>
        <v>25118</v>
      </c>
      <c r="B3513" s="5"/>
      <c r="C3513" s="5" t="str">
        <f>IFERROR(__xludf.DUMMYFUNCTION("""COMPUTED_VALUE"""),"جوانان و نوجوانان حسینی")</f>
        <v>جوانان و نوجوانان حسینی</v>
      </c>
      <c r="D3513" s="5" t="str">
        <f>IFERROR(__xludf.DUMMYFUNCTION("""COMPUTED_VALUE"""),"کهگیلویه و بویراحمد")</f>
        <v>کهگیلویه و بویراحمد</v>
      </c>
      <c r="E3513" s="5" t="str">
        <f>IFERROR(__xludf.DUMMYFUNCTION("""COMPUTED_VALUE"""),"لیکک")</f>
        <v>لیکک</v>
      </c>
      <c r="F3513" s="5"/>
      <c r="G3513" s="5"/>
      <c r="H3513" s="5"/>
      <c r="I3513" s="5"/>
      <c r="J3513" s="6" t="str">
        <f>IFERROR(__xludf.DUMMYFUNCTION("""COMPUTED_VALUE"""),"https://eitaa.com/heyate_javanan_hoseyni")</f>
        <v>https://eitaa.com/heyate_javanan_hoseyni</v>
      </c>
      <c r="K3513" s="5"/>
      <c r="L3513" s="5"/>
      <c r="M3513" s="5"/>
      <c r="N3513" s="5"/>
      <c r="O3513" s="5"/>
      <c r="P3513" s="5"/>
      <c r="Q3513" s="5"/>
      <c r="R3513" s="5"/>
      <c r="S3513" s="5"/>
    </row>
    <row r="3514">
      <c r="A3514" s="5">
        <f>IFERROR(__xludf.DUMMYFUNCTION("""COMPUTED_VALUE"""),20815.0)</f>
        <v>20815</v>
      </c>
      <c r="B3514" s="5"/>
      <c r="C3514" s="5" t="str">
        <f>IFERROR(__xludf.DUMMYFUNCTION("""COMPUTED_VALUE"""),"انصارالحسن(ع)")</f>
        <v>انصارالحسن(ع)</v>
      </c>
      <c r="D3514" s="5" t="str">
        <f>IFERROR(__xludf.DUMMYFUNCTION("""COMPUTED_VALUE"""),"کهگیلویه و بویراحمد")</f>
        <v>کهگیلویه و بویراحمد</v>
      </c>
      <c r="E3514" s="5" t="str">
        <f>IFERROR(__xludf.DUMMYFUNCTION("""COMPUTED_VALUE"""),"دوگنبدان")</f>
        <v>دوگنبدان</v>
      </c>
      <c r="F3514" s="5"/>
      <c r="G3514" s="5"/>
      <c r="H3514" s="6" t="str">
        <f>IFERROR(__xludf.DUMMYFUNCTION("""COMPUTED_VALUE"""),"https://www.instagram.com/ansar_al_hasan/")</f>
        <v>https://www.instagram.com/ansar_al_hasan/</v>
      </c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</row>
    <row r="3515">
      <c r="A3515" s="5">
        <f>IFERROR(__xludf.DUMMYFUNCTION("""COMPUTED_VALUE"""),19727.0)</f>
        <v>19727</v>
      </c>
      <c r="B3515" s="5"/>
      <c r="C3515" s="5" t="str">
        <f>IFERROR(__xludf.DUMMYFUNCTION("""COMPUTED_VALUE"""),"محبین آل طه (ع) (هیات مسجد امام حسن عسکری (ع))")</f>
        <v>محبین آل طه (ع) (هیات مسجد امام حسن عسکری (ع))</v>
      </c>
      <c r="D3515" s="5" t="str">
        <f>IFERROR(__xludf.DUMMYFUNCTION("""COMPUTED_VALUE"""),"کهگیلویه و بویراحمد")</f>
        <v>کهگیلویه و بویراحمد</v>
      </c>
      <c r="E3515" s="5" t="str">
        <f>IFERROR(__xludf.DUMMYFUNCTION("""COMPUTED_VALUE"""),"یاسوج")</f>
        <v>یاسوج</v>
      </c>
      <c r="F3515" s="5"/>
      <c r="G3515" s="5"/>
      <c r="H3515" s="6" t="str">
        <f>IFERROR(__xludf.DUMMYFUNCTION("""COMPUTED_VALUE"""),"https://www.instagram.com/aletaha_yasuj")</f>
        <v>https://www.instagram.com/aletaha_yasuj</v>
      </c>
      <c r="I3515" s="5"/>
      <c r="J3515" s="6" t="str">
        <f>IFERROR(__xludf.DUMMYFUNCTION("""COMPUTED_VALUE"""),"https://eitaa.com/aletaha_yasuj")</f>
        <v>https://eitaa.com/aletaha_yasuj</v>
      </c>
      <c r="K3515" s="5"/>
      <c r="L3515" s="5"/>
      <c r="M3515" s="5"/>
      <c r="N3515" s="5"/>
      <c r="O3515" s="5"/>
      <c r="P3515" s="5"/>
      <c r="Q3515" s="5"/>
      <c r="R3515" s="5"/>
      <c r="S3515" s="5"/>
    </row>
    <row r="3516">
      <c r="A3516" s="5">
        <f>IFERROR(__xludf.DUMMYFUNCTION("""COMPUTED_VALUE"""),19550.0)</f>
        <v>19550</v>
      </c>
      <c r="B3516" s="5"/>
      <c r="C3516" s="5" t="str">
        <f>IFERROR(__xludf.DUMMYFUNCTION("""COMPUTED_VALUE"""),"معظم زینبیون")</f>
        <v>معظم زینبیون</v>
      </c>
      <c r="D3516" s="5" t="str">
        <f>IFERROR(__xludf.DUMMYFUNCTION("""COMPUTED_VALUE"""),"کهگیلویه و بویراحمد")</f>
        <v>کهگیلویه و بویراحمد</v>
      </c>
      <c r="E3516" s="5" t="str">
        <f>IFERROR(__xludf.DUMMYFUNCTION("""COMPUTED_VALUE"""),"یاسوج")</f>
        <v>یاسوج</v>
      </c>
      <c r="F3516" s="5"/>
      <c r="G3516" s="5"/>
      <c r="H3516" s="5"/>
      <c r="I3516" s="5"/>
      <c r="J3516" s="6" t="str">
        <f>IFERROR(__xludf.DUMMYFUNCTION("""COMPUTED_VALUE"""),"https://eitaa.com/zeynabiyoun_ysj")</f>
        <v>https://eitaa.com/zeynabiyoun_ysj</v>
      </c>
      <c r="K3516" s="5"/>
      <c r="L3516" s="5"/>
      <c r="M3516" s="5"/>
      <c r="N3516" s="5"/>
      <c r="O3516" s="5"/>
      <c r="P3516" s="5"/>
      <c r="Q3516" s="5"/>
      <c r="R3516" s="5"/>
      <c r="S3516" s="5"/>
    </row>
    <row r="3517">
      <c r="A3517" s="5">
        <f>IFERROR(__xludf.DUMMYFUNCTION("""COMPUTED_VALUE"""),19549.0)</f>
        <v>19549</v>
      </c>
      <c r="B3517" s="5"/>
      <c r="C3517" s="5" t="str">
        <f>IFERROR(__xludf.DUMMYFUNCTION("""COMPUTED_VALUE"""),"میثاق با شهدا")</f>
        <v>میثاق با شهدا</v>
      </c>
      <c r="D3517" s="5" t="str">
        <f>IFERROR(__xludf.DUMMYFUNCTION("""COMPUTED_VALUE"""),"کهگیلویه و بویراحمد")</f>
        <v>کهگیلویه و بویراحمد</v>
      </c>
      <c r="E3517" s="5" t="str">
        <f>IFERROR(__xludf.DUMMYFUNCTION("""COMPUTED_VALUE"""),"یاسوج")</f>
        <v>یاسوج</v>
      </c>
      <c r="F3517" s="5"/>
      <c r="G3517" s="5"/>
      <c r="H3517" s="5"/>
      <c r="I3517" s="5"/>
      <c r="J3517" s="6" t="str">
        <f>IFERROR(__xludf.DUMMYFUNCTION("""COMPUTED_VALUE"""),"https://eitaa.com/misaq_yasouj")</f>
        <v>https://eitaa.com/misaq_yasouj</v>
      </c>
      <c r="K3517" s="5"/>
      <c r="L3517" s="5"/>
      <c r="M3517" s="5"/>
      <c r="N3517" s="5"/>
      <c r="O3517" s="5"/>
      <c r="P3517" s="5"/>
      <c r="Q3517" s="5"/>
      <c r="R3517" s="5"/>
      <c r="S3517" s="5"/>
    </row>
    <row r="3518">
      <c r="A3518" s="5">
        <f>IFERROR(__xludf.DUMMYFUNCTION("""COMPUTED_VALUE"""),18284.0)</f>
        <v>18284</v>
      </c>
      <c r="B3518" s="5"/>
      <c r="C3518" s="5" t="str">
        <f>IFERROR(__xludf.DUMMYFUNCTION("""COMPUTED_VALUE"""),"رزمندگان اسلام")</f>
        <v>رزمندگان اسلام</v>
      </c>
      <c r="D3518" s="5" t="str">
        <f>IFERROR(__xludf.DUMMYFUNCTION("""COMPUTED_VALUE"""),"کهگیلویه و بویراحمد")</f>
        <v>کهگیلویه و بویراحمد</v>
      </c>
      <c r="E3518" s="5" t="str">
        <f>IFERROR(__xludf.DUMMYFUNCTION("""COMPUTED_VALUE"""),"یاسوج")</f>
        <v>یاسوج</v>
      </c>
      <c r="F3518" s="5"/>
      <c r="G3518" s="5"/>
      <c r="H3518" s="5"/>
      <c r="I3518" s="5"/>
      <c r="J3518" s="6" t="str">
        <f>IFERROR(__xludf.DUMMYFUNCTION("""COMPUTED_VALUE"""),"https://eitaa.com/razmandegankb")</f>
        <v>https://eitaa.com/razmandegankb</v>
      </c>
      <c r="K3518" s="5"/>
      <c r="L3518" s="5"/>
      <c r="M3518" s="5"/>
      <c r="N3518" s="5"/>
      <c r="O3518" s="5"/>
      <c r="P3518" s="5"/>
      <c r="Q3518" s="5"/>
      <c r="R3518" s="5"/>
      <c r="S3518" s="5"/>
    </row>
    <row r="3519">
      <c r="A3519" s="5">
        <f>IFERROR(__xludf.DUMMYFUNCTION("""COMPUTED_VALUE"""),17790.0)</f>
        <v>17790</v>
      </c>
      <c r="B3519" s="5"/>
      <c r="C3519" s="5" t="str">
        <f>IFERROR(__xludf.DUMMYFUNCTION("""COMPUTED_VALUE"""),"میثاق با شهدا")</f>
        <v>میثاق با شهدا</v>
      </c>
      <c r="D3519" s="5" t="str">
        <f>IFERROR(__xludf.DUMMYFUNCTION("""COMPUTED_VALUE"""),"کهگیلویه و بویراحمد")</f>
        <v>کهگیلویه و بویراحمد</v>
      </c>
      <c r="E3519" s="5" t="str">
        <f>IFERROR(__xludf.DUMMYFUNCTION("""COMPUTED_VALUE"""),"لیکک")</f>
        <v>لیکک</v>
      </c>
      <c r="F3519" s="5"/>
      <c r="G3519" s="5"/>
      <c r="H3519" s="5"/>
      <c r="I3519" s="5"/>
      <c r="J3519" s="6" t="str">
        <f>IFERROR(__xludf.DUMMYFUNCTION("""COMPUTED_VALUE"""),"https://eitaa.com/misaagh_ir")</f>
        <v>https://eitaa.com/misaagh_ir</v>
      </c>
      <c r="K3519" s="5"/>
      <c r="L3519" s="5"/>
      <c r="M3519" s="5"/>
      <c r="N3519" s="5"/>
      <c r="O3519" s="5"/>
      <c r="P3519" s="5"/>
      <c r="Q3519" s="5"/>
      <c r="R3519" s="5"/>
      <c r="S3519" s="5"/>
    </row>
    <row r="3520">
      <c r="A3520" s="5">
        <f>IFERROR(__xludf.DUMMYFUNCTION("""COMPUTED_VALUE"""),12771.0)</f>
        <v>12771</v>
      </c>
      <c r="B3520" s="5"/>
      <c r="C3520" s="5" t="str">
        <f>IFERROR(__xludf.DUMMYFUNCTION("""COMPUTED_VALUE"""),"حضرت زینب(س)")</f>
        <v>حضرت زینب(س)</v>
      </c>
      <c r="D3520" s="5" t="str">
        <f>IFERROR(__xludf.DUMMYFUNCTION("""COMPUTED_VALUE"""),"کهگیلویه و بویراحمد")</f>
        <v>کهگیلویه و بویراحمد</v>
      </c>
      <c r="E3520" s="5" t="str">
        <f>IFERROR(__xludf.DUMMYFUNCTION("""COMPUTED_VALUE"""),"دهدشت")</f>
        <v>دهدشت</v>
      </c>
      <c r="F3520" s="5"/>
      <c r="G3520" s="5"/>
      <c r="H3520" s="6" t="str">
        <f>IFERROR(__xludf.DUMMYFUNCTION("""COMPUTED_VALUE"""),"https://www.instagram.com/heyat_hazratezeynab/")</f>
        <v>https://www.instagram.com/heyat_hazratezeynab/</v>
      </c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</row>
    <row r="3521">
      <c r="A3521" s="5">
        <f>IFERROR(__xludf.DUMMYFUNCTION("""COMPUTED_VALUE"""),12726.0)</f>
        <v>12726</v>
      </c>
      <c r="B3521" s="5"/>
      <c r="C3521" s="5" t="str">
        <f>IFERROR(__xludf.DUMMYFUNCTION("""COMPUTED_VALUE"""),"مکتب الرقیه (س)")</f>
        <v>مکتب الرقیه (س)</v>
      </c>
      <c r="D3521" s="5" t="str">
        <f>IFERROR(__xludf.DUMMYFUNCTION("""COMPUTED_VALUE"""),"کهگیلویه و بویراحمد")</f>
        <v>کهگیلویه و بویراحمد</v>
      </c>
      <c r="E3521" s="5" t="str">
        <f>IFERROR(__xludf.DUMMYFUNCTION("""COMPUTED_VALUE"""),"باشت")</f>
        <v>باشت</v>
      </c>
      <c r="F3521" s="5"/>
      <c r="G3521" s="5"/>
      <c r="H3521" s="6" t="str">
        <f>IFERROR(__xludf.DUMMYFUNCTION("""COMPUTED_VALUE"""),"https://www.instagram.com/maktab_alroghayeh_basht/")</f>
        <v>https://www.instagram.com/maktab_alroghayeh_basht/</v>
      </c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</row>
    <row r="3522">
      <c r="A3522" s="5">
        <f>IFERROR(__xludf.DUMMYFUNCTION("""COMPUTED_VALUE"""),12706.0)</f>
        <v>12706</v>
      </c>
      <c r="B3522" s="5"/>
      <c r="C3522" s="5" t="str">
        <f>IFERROR(__xludf.DUMMYFUNCTION("""COMPUTED_VALUE"""),"انصارالثقلین")</f>
        <v>انصارالثقلین</v>
      </c>
      <c r="D3522" s="5" t="str">
        <f>IFERROR(__xludf.DUMMYFUNCTION("""COMPUTED_VALUE"""),"کهگیلویه و بویراحمد")</f>
        <v>کهگیلویه و بویراحمد</v>
      </c>
      <c r="E3522" s="5" t="str">
        <f>IFERROR(__xludf.DUMMYFUNCTION("""COMPUTED_VALUE"""),"دهدشت")</f>
        <v>دهدشت</v>
      </c>
      <c r="F3522" s="5"/>
      <c r="G3522" s="5"/>
      <c r="H3522" s="6" t="str">
        <f>IFERROR(__xludf.DUMMYFUNCTION("""COMPUTED_VALUE"""),"https://www.instagram.com/ansar1372.ir/")</f>
        <v>https://www.instagram.com/ansar1372.ir/</v>
      </c>
      <c r="I3522" s="5"/>
      <c r="J3522" s="6" t="str">
        <f>IFERROR(__xludf.DUMMYFUNCTION("""COMPUTED_VALUE"""),"https://eitaa.com/ansarir")</f>
        <v>https://eitaa.com/ansarir</v>
      </c>
      <c r="K3522" s="5"/>
      <c r="L3522" s="5"/>
      <c r="M3522" s="5"/>
      <c r="N3522" s="5"/>
      <c r="O3522" s="5"/>
      <c r="P3522" s="5"/>
      <c r="Q3522" s="5"/>
      <c r="R3522" s="5"/>
      <c r="S3522" s="5"/>
    </row>
    <row r="3523">
      <c r="A3523" s="5">
        <f>IFERROR(__xludf.DUMMYFUNCTION("""COMPUTED_VALUE"""),12685.0)</f>
        <v>12685</v>
      </c>
      <c r="B3523" s="5"/>
      <c r="C3523" s="5" t="str">
        <f>IFERROR(__xludf.DUMMYFUNCTION("""COMPUTED_VALUE"""),"سیدالشهدا (ع)")</f>
        <v>سیدالشهدا (ع)</v>
      </c>
      <c r="D3523" s="5" t="str">
        <f>IFERROR(__xludf.DUMMYFUNCTION("""COMPUTED_VALUE"""),"کهگیلویه و بویراحمد")</f>
        <v>کهگیلویه و بویراحمد</v>
      </c>
      <c r="E3523" s="5" t="str">
        <f>IFERROR(__xludf.DUMMYFUNCTION("""COMPUTED_VALUE"""),"یاسوج")</f>
        <v>یاسوج</v>
      </c>
      <c r="F3523" s="5"/>
      <c r="G3523" s="5"/>
      <c r="H3523" s="5"/>
      <c r="I3523" s="5"/>
      <c r="J3523" s="6" t="str">
        <f>IFERROR(__xludf.DUMMYFUNCTION("""COMPUTED_VALUE"""),"https://eitaa.com/masjd_sayedalshohada")</f>
        <v>https://eitaa.com/masjd_sayedalshohada</v>
      </c>
      <c r="K3523" s="5"/>
      <c r="L3523" s="5"/>
      <c r="M3523" s="5"/>
      <c r="N3523" s="5"/>
      <c r="O3523" s="5"/>
      <c r="P3523" s="5"/>
      <c r="Q3523" s="5"/>
      <c r="R3523" s="5"/>
      <c r="S3523" s="5"/>
    </row>
    <row r="3524">
      <c r="A3524" s="5"/>
      <c r="B3524" s="5" t="str">
        <f>IFERROR(__xludf.DUMMYFUNCTION("""COMPUTED_VALUE"""),"موکب")</f>
        <v>موکب</v>
      </c>
      <c r="C3524" s="5" t="str">
        <f>IFERROR(__xludf.DUMMYFUNCTION("""COMPUTED_VALUE"""),"محبین‌الزهراعمود ‌1094")</f>
        <v>محبین‌الزهراعمود ‌1094</v>
      </c>
      <c r="D3524" s="5" t="str">
        <f>IFERROR(__xludf.DUMMYFUNCTION("""COMPUTED_VALUE"""),"کهگیلویه و بویراحمد")</f>
        <v>کهگیلویه و بویراحمد</v>
      </c>
      <c r="E3524" s="5" t="str">
        <f>IFERROR(__xludf.DUMMYFUNCTION("""COMPUTED_VALUE"""),"یاسوج")</f>
        <v>یاسوج</v>
      </c>
      <c r="F3524" s="5"/>
      <c r="G3524" s="5"/>
      <c r="H3524" s="5"/>
      <c r="I3524" s="5"/>
      <c r="J3524" s="6" t="str">
        <f>IFERROR(__xludf.DUMMYFUNCTION("""COMPUTED_VALUE"""),"https://eitaa.com/mokeb_313")</f>
        <v>https://eitaa.com/mokeb_313</v>
      </c>
      <c r="K3524" s="5"/>
      <c r="L3524" s="5"/>
      <c r="M3524" s="5"/>
      <c r="N3524" s="5"/>
      <c r="O3524" s="5"/>
      <c r="P3524" s="5"/>
      <c r="Q3524" s="5"/>
      <c r="R3524" s="5"/>
      <c r="S3524" s="5"/>
    </row>
    <row r="3525">
      <c r="A3525" s="5"/>
      <c r="B3525" s="5" t="str">
        <f>IFERROR(__xludf.DUMMYFUNCTION("""COMPUTED_VALUE"""),"هیأت")</f>
        <v>هیأت</v>
      </c>
      <c r="C3525" s="5" t="str">
        <f>IFERROR(__xludf.DUMMYFUNCTION("""COMPUTED_VALUE"""),"شیفتگان مهدی")</f>
        <v>شیفتگان مهدی</v>
      </c>
      <c r="D3525" s="5" t="str">
        <f>IFERROR(__xludf.DUMMYFUNCTION("""COMPUTED_VALUE"""),"کهگیلویه و بویراحمد")</f>
        <v>کهگیلویه و بویراحمد</v>
      </c>
      <c r="E3525" s="5" t="str">
        <f>IFERROR(__xludf.DUMMYFUNCTION("""COMPUTED_VALUE"""),"یاسوج")</f>
        <v>یاسوج</v>
      </c>
      <c r="F3525" s="5"/>
      <c r="G3525" s="5"/>
      <c r="H3525" s="6" t="str">
        <f>IFERROR(__xludf.DUMMYFUNCTION("""COMPUTED_VALUE"""),"https://www.instagram.com/shifteganemahdiiii/")</f>
        <v>https://www.instagram.com/shifteganemahdiiii/</v>
      </c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</row>
    <row r="3526">
      <c r="A3526" s="5"/>
      <c r="B3526" s="5" t="str">
        <f>IFERROR(__xludf.DUMMYFUNCTION("""COMPUTED_VALUE"""),"هیأت")</f>
        <v>هیأت</v>
      </c>
      <c r="C3526" s="5" t="str">
        <f>IFERROR(__xludf.DUMMYFUNCTION("""COMPUTED_VALUE"""),"مذهبی محبین آل طاها (ع)")</f>
        <v>مذهبی محبین آل طاها (ع)</v>
      </c>
      <c r="D3526" s="5" t="str">
        <f>IFERROR(__xludf.DUMMYFUNCTION("""COMPUTED_VALUE"""),"کهگیلویه و بویراحمد")</f>
        <v>کهگیلویه و بویراحمد</v>
      </c>
      <c r="E3526" s="5" t="str">
        <f>IFERROR(__xludf.DUMMYFUNCTION("""COMPUTED_VALUE"""),"یاسوج")</f>
        <v>یاسوج</v>
      </c>
      <c r="F3526" s="5"/>
      <c r="G3526" s="5"/>
      <c r="H3526" s="6" t="str">
        <f>IFERROR(__xludf.DUMMYFUNCTION("""COMPUTED_VALUE"""),"https://www.instagram.com/aletaha_yasuj/")</f>
        <v>https://www.instagram.com/aletaha_yasuj/</v>
      </c>
      <c r="I3526" s="5"/>
      <c r="J3526" s="6" t="str">
        <f>IFERROR(__xludf.DUMMYFUNCTION("""COMPUTED_VALUE"""),"eitaa.com/aletaha_yasuj")</f>
        <v>eitaa.com/aletaha_yasuj</v>
      </c>
      <c r="K3526" s="5"/>
      <c r="L3526" s="5"/>
      <c r="M3526" s="5"/>
      <c r="N3526" s="5"/>
      <c r="O3526" s="5"/>
      <c r="P3526" s="5"/>
      <c r="Q3526" s="5"/>
      <c r="R3526" s="5"/>
      <c r="S3526" s="5"/>
    </row>
    <row r="3527">
      <c r="A3527" s="5"/>
      <c r="B3527" s="5" t="str">
        <f>IFERROR(__xludf.DUMMYFUNCTION("""COMPUTED_VALUE"""),"هیأت")</f>
        <v>هیأت</v>
      </c>
      <c r="C3527" s="5" t="str">
        <f>IFERROR(__xludf.DUMMYFUNCTION("""COMPUTED_VALUE"""),"کانون فرهنگی مذهبی حضرت رقیه(س)")</f>
        <v>کانون فرهنگی مذهبی حضرت رقیه(س)</v>
      </c>
      <c r="D3527" s="5" t="str">
        <f>IFERROR(__xludf.DUMMYFUNCTION("""COMPUTED_VALUE"""),"کهگیلویه و بویراحمد")</f>
        <v>کهگیلویه و بویراحمد</v>
      </c>
      <c r="E3527" s="5" t="str">
        <f>IFERROR(__xludf.DUMMYFUNCTION("""COMPUTED_VALUE"""),"یاسوج")</f>
        <v>یاسوج</v>
      </c>
      <c r="F3527" s="5"/>
      <c r="G3527" s="5"/>
      <c r="H3527" s="6" t="str">
        <f>IFERROR(__xludf.DUMMYFUNCTION("""COMPUTED_VALUE"""),"https://www.instagram.com/heyyat_hazrat_rooghayeh/")</f>
        <v>https://www.instagram.com/heyyat_hazrat_rooghayeh/</v>
      </c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</row>
    <row r="3528">
      <c r="A3528" s="5"/>
      <c r="B3528" s="5" t="str">
        <f>IFERROR(__xludf.DUMMYFUNCTION("""COMPUTED_VALUE"""),"هیأت")</f>
        <v>هیأت</v>
      </c>
      <c r="C3528" s="5" t="str">
        <f>IFERROR(__xludf.DUMMYFUNCTION("""COMPUTED_VALUE"""),"خادم الرضا ")</f>
        <v>خادم الرضا </v>
      </c>
      <c r="D3528" s="5" t="str">
        <f>IFERROR(__xludf.DUMMYFUNCTION("""COMPUTED_VALUE"""),"کهگیلویه و بویراحمد")</f>
        <v>کهگیلویه و بویراحمد</v>
      </c>
      <c r="E3528" s="5" t="str">
        <f>IFERROR(__xludf.DUMMYFUNCTION("""COMPUTED_VALUE"""),"یاسوج")</f>
        <v>یاسوج</v>
      </c>
      <c r="F3528" s="5"/>
      <c r="G3528" s="5"/>
      <c r="H3528" s="6" t="str">
        <f>IFERROR(__xludf.DUMMYFUNCTION("""COMPUTED_VALUE"""),"https://www.instagram.com/khademalreza.1/")</f>
        <v>https://www.instagram.com/khademalreza.1/</v>
      </c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</row>
    <row r="3529">
      <c r="A3529" s="5"/>
      <c r="B3529" s="5" t="str">
        <f>IFERROR(__xludf.DUMMYFUNCTION("""COMPUTED_VALUE"""),"هیأت")</f>
        <v>هیأت</v>
      </c>
      <c r="C3529" s="5" t="str">
        <f>IFERROR(__xludf.DUMMYFUNCTION("""COMPUTED_VALUE"""),"سالار شهیدان")</f>
        <v>سالار شهیدان</v>
      </c>
      <c r="D3529" s="5" t="str">
        <f>IFERROR(__xludf.DUMMYFUNCTION("""COMPUTED_VALUE"""),"کهگیلویه و بویراحمد")</f>
        <v>کهگیلویه و بویراحمد</v>
      </c>
      <c r="E3529" s="5" t="str">
        <f>IFERROR(__xludf.DUMMYFUNCTION("""COMPUTED_VALUE"""),"گچساران")</f>
        <v>گچساران</v>
      </c>
      <c r="F3529" s="5"/>
      <c r="G3529" s="5"/>
      <c r="H3529" s="6" t="str">
        <f>IFERROR(__xludf.DUMMYFUNCTION("""COMPUTED_VALUE"""),"https://www.instagram.com/heyat.salar.shahidan/")</f>
        <v>https://www.instagram.com/heyat.salar.shahidan/</v>
      </c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</row>
    <row r="3530">
      <c r="A3530" s="5"/>
      <c r="B3530" s="5" t="str">
        <f>IFERROR(__xludf.DUMMYFUNCTION("""COMPUTED_VALUE"""),"هیأت")</f>
        <v>هیأت</v>
      </c>
      <c r="C3530" s="5" t="str">
        <f>IFERROR(__xludf.DUMMYFUNCTION("""COMPUTED_VALUE"""),"قمربنی هاشم (ع)")</f>
        <v>قمربنی هاشم (ع)</v>
      </c>
      <c r="D3530" s="5" t="str">
        <f>IFERROR(__xludf.DUMMYFUNCTION("""COMPUTED_VALUE"""),"کهگیلویه و بویراحمد")</f>
        <v>کهگیلویه و بویراحمد</v>
      </c>
      <c r="E3530" s="5" t="str">
        <f>IFERROR(__xludf.DUMMYFUNCTION("""COMPUTED_VALUE"""),"لنده")</f>
        <v>لنده</v>
      </c>
      <c r="F3530" s="5"/>
      <c r="G3530" s="5"/>
      <c r="H3530" s="6" t="str">
        <f>IFERROR(__xludf.DUMMYFUNCTION("""COMPUTED_VALUE"""),"https://www.instagram.com/qamarbanihashem_/")</f>
        <v>https://www.instagram.com/qamarbanihashem_/</v>
      </c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</row>
    <row r="3531">
      <c r="A3531" s="5"/>
      <c r="B3531" s="5" t="str">
        <f>IFERROR(__xludf.DUMMYFUNCTION("""COMPUTED_VALUE"""),"هیأت")</f>
        <v>هیأت</v>
      </c>
      <c r="C3531" s="5" t="str">
        <f>IFERROR(__xludf.DUMMYFUNCTION("""COMPUTED_VALUE"""),"معظم زینبیون")</f>
        <v>معظم زینبیون</v>
      </c>
      <c r="D3531" s="5" t="str">
        <f>IFERROR(__xludf.DUMMYFUNCTION("""COMPUTED_VALUE"""),"کهگیلویه و بویراحمد")</f>
        <v>کهگیلویه و بویراحمد</v>
      </c>
      <c r="E3531" s="5" t="str">
        <f>IFERROR(__xludf.DUMMYFUNCTION("""COMPUTED_VALUE"""),"یاسوج")</f>
        <v>یاسوج</v>
      </c>
      <c r="F3531" s="5"/>
      <c r="G3531" s="5"/>
      <c r="H3531" s="6" t="str">
        <f>IFERROR(__xludf.DUMMYFUNCTION("""COMPUTED_VALUE"""),"https://www.instagram.com/zeynabion_ysj/")</f>
        <v>https://www.instagram.com/zeynabion_ysj/</v>
      </c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</row>
    <row r="3532">
      <c r="A3532" s="5"/>
      <c r="B3532" s="5" t="str">
        <f>IFERROR(__xludf.DUMMYFUNCTION("""COMPUTED_VALUE"""),"هیأت")</f>
        <v>هیأت</v>
      </c>
      <c r="C3532" s="5" t="str">
        <f>IFERROR(__xludf.DUMMYFUNCTION("""COMPUTED_VALUE"""),"بین الحرمین")</f>
        <v>بین الحرمین</v>
      </c>
      <c r="D3532" s="5" t="str">
        <f>IFERROR(__xludf.DUMMYFUNCTION("""COMPUTED_VALUE"""),"کهگیلویه و بویراحمد")</f>
        <v>کهگیلویه و بویراحمد</v>
      </c>
      <c r="E3532" s="5" t="str">
        <f>IFERROR(__xludf.DUMMYFUNCTION("""COMPUTED_VALUE"""),"گچساران")</f>
        <v>گچساران</v>
      </c>
      <c r="F3532" s="5"/>
      <c r="G3532" s="5"/>
      <c r="H3532" s="6" t="str">
        <f>IFERROR(__xludf.DUMMYFUNCTION("""COMPUTED_VALUE"""),"https://www.instagram.com/beynolharameyn_gachsaran/")</f>
        <v>https://www.instagram.com/beynolharameyn_gachsaran/</v>
      </c>
      <c r="I3532" s="6" t="str">
        <f>IFERROR(__xludf.DUMMYFUNCTION("""COMPUTED_VALUE"""),"t.me/beynolharameyn_gachsaran")</f>
        <v>t.me/beynolharameyn_gachsaran</v>
      </c>
      <c r="J3532" s="5"/>
      <c r="K3532" s="5"/>
      <c r="L3532" s="5"/>
      <c r="M3532" s="5"/>
      <c r="N3532" s="5"/>
      <c r="O3532" s="5"/>
      <c r="P3532" s="5"/>
      <c r="Q3532" s="5"/>
      <c r="R3532" s="5"/>
      <c r="S3532" s="5"/>
    </row>
    <row r="3533">
      <c r="A3533" s="5"/>
      <c r="B3533" s="5" t="str">
        <f>IFERROR(__xludf.DUMMYFUNCTION("""COMPUTED_VALUE"""),"هیأت")</f>
        <v>هیأت</v>
      </c>
      <c r="C3533" s="5" t="str">
        <f>IFERROR(__xludf.DUMMYFUNCTION("""COMPUTED_VALUE"""),"علمدار ولایت")</f>
        <v>علمدار ولایت</v>
      </c>
      <c r="D3533" s="5" t="str">
        <f>IFERROR(__xludf.DUMMYFUNCTION("""COMPUTED_VALUE"""),"کهگیلویه و بویراحمد")</f>
        <v>کهگیلویه و بویراحمد</v>
      </c>
      <c r="E3533" s="5" t="str">
        <f>IFERROR(__xludf.DUMMYFUNCTION("""COMPUTED_VALUE"""),"یاسوج")</f>
        <v>یاسوج</v>
      </c>
      <c r="F3533" s="5"/>
      <c r="G3533" s="5"/>
      <c r="H3533" s="6" t="str">
        <f>IFERROR(__xludf.DUMMYFUNCTION("""COMPUTED_VALUE"""),"https://www.instagram.com/alamdarvelayat_313/")</f>
        <v>https://www.instagram.com/alamdarvelayat_313/</v>
      </c>
      <c r="I3533" s="6" t="str">
        <f>IFERROR(__xludf.DUMMYFUNCTION("""COMPUTED_VALUE"""),"https://t.me/alamdarvelayat313")</f>
        <v>https://t.me/alamdarvelayat313</v>
      </c>
      <c r="J3533" s="6" t="str">
        <f>IFERROR(__xludf.DUMMYFUNCTION("""COMPUTED_VALUE"""),"https://eitaa.com/eita_alamdarvelayat_313")</f>
        <v>https://eitaa.com/eita_alamdarvelayat_313</v>
      </c>
      <c r="K3533" s="5"/>
      <c r="L3533" s="5"/>
      <c r="M3533" s="5"/>
      <c r="N3533" s="5"/>
      <c r="O3533" s="5"/>
      <c r="P3533" s="5"/>
      <c r="Q3533" s="5"/>
      <c r="R3533" s="5"/>
      <c r="S3533" s="5"/>
    </row>
    <row r="3534">
      <c r="A3534" s="5"/>
      <c r="B3534" s="5" t="str">
        <f>IFERROR(__xludf.DUMMYFUNCTION("""COMPUTED_VALUE"""),"هیأت")</f>
        <v>هیأت</v>
      </c>
      <c r="C3534" s="5" t="str">
        <f>IFERROR(__xludf.DUMMYFUNCTION("""COMPUTED_VALUE"""),"میثاق با شهدا")</f>
        <v>میثاق با شهدا</v>
      </c>
      <c r="D3534" s="5" t="str">
        <f>IFERROR(__xludf.DUMMYFUNCTION("""COMPUTED_VALUE"""),"کهگیلویه و بویراحمد")</f>
        <v>کهگیلویه و بویراحمد</v>
      </c>
      <c r="E3534" s="5" t="str">
        <f>IFERROR(__xludf.DUMMYFUNCTION("""COMPUTED_VALUE"""),"بهمئی")</f>
        <v>بهمئی</v>
      </c>
      <c r="F3534" s="5"/>
      <c r="G3534" s="5"/>
      <c r="H3534" s="6" t="str">
        <f>IFERROR(__xludf.DUMMYFUNCTION("""COMPUTED_VALUE"""),"https://www.instagram.com/misaagh_ir/")</f>
        <v>https://www.instagram.com/misaagh_ir/</v>
      </c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</row>
    <row r="3535">
      <c r="A3535" s="5"/>
      <c r="B3535" s="5" t="str">
        <f>IFERROR(__xludf.DUMMYFUNCTION("""COMPUTED_VALUE"""),"هیأت")</f>
        <v>هیأت</v>
      </c>
      <c r="C3535" s="5" t="str">
        <f>IFERROR(__xludf.DUMMYFUNCTION("""COMPUTED_VALUE"""),"حضرت رقیه (س)")</f>
        <v>حضرت رقیه (س)</v>
      </c>
      <c r="D3535" s="5" t="str">
        <f>IFERROR(__xludf.DUMMYFUNCTION("""COMPUTED_VALUE"""),"کهگیلویه و بویراحمد")</f>
        <v>کهگیلویه و بویراحمد</v>
      </c>
      <c r="E3535" s="5" t="str">
        <f>IFERROR(__xludf.DUMMYFUNCTION("""COMPUTED_VALUE"""),"یاسوج")</f>
        <v>یاسوج</v>
      </c>
      <c r="F3535" s="5"/>
      <c r="G3535" s="5"/>
      <c r="H3535" s="6" t="str">
        <f>IFERROR(__xludf.DUMMYFUNCTION("""COMPUTED_VALUE"""),"https://www.instagram.com/heyyat_hazrat_rooghayeh/")</f>
        <v>https://www.instagram.com/heyyat_hazrat_rooghayeh/</v>
      </c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</row>
    <row r="3536">
      <c r="A3536" s="5"/>
      <c r="B3536" s="5" t="str">
        <f>IFERROR(__xludf.DUMMYFUNCTION("""COMPUTED_VALUE"""),"هیأت")</f>
        <v>هیأت</v>
      </c>
      <c r="C3536" s="5" t="str">
        <f>IFERROR(__xludf.DUMMYFUNCTION("""COMPUTED_VALUE"""),"شهید سینا اراسته")</f>
        <v>شهید سینا اراسته</v>
      </c>
      <c r="D3536" s="5" t="str">
        <f>IFERROR(__xludf.DUMMYFUNCTION("""COMPUTED_VALUE"""),"کهگیلویه و بویراحمد")</f>
        <v>کهگیلویه و بویراحمد</v>
      </c>
      <c r="E3536" s="5" t="str">
        <f>IFERROR(__xludf.DUMMYFUNCTION("""COMPUTED_VALUE"""),"یاسوج")</f>
        <v>یاسوج</v>
      </c>
      <c r="F3536" s="5"/>
      <c r="G3536" s="5"/>
      <c r="H3536" s="6" t="str">
        <f>IFERROR(__xludf.DUMMYFUNCTION("""COMPUTED_VALUE"""),"https://www.instagram.com/shahid_araste_yasuj/")</f>
        <v>https://www.instagram.com/shahid_araste_yasuj/</v>
      </c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</row>
    <row r="3537">
      <c r="A3537" s="5"/>
      <c r="B3537" s="5" t="str">
        <f>IFERROR(__xludf.DUMMYFUNCTION("""COMPUTED_VALUE"""),"هیأت")</f>
        <v>هیأت</v>
      </c>
      <c r="C3537" s="5" t="str">
        <f>IFERROR(__xludf.DUMMYFUNCTION("""COMPUTED_VALUE"""),"خادم الشهدای")</f>
        <v>خادم الشهدای</v>
      </c>
      <c r="D3537" s="5" t="str">
        <f>IFERROR(__xludf.DUMMYFUNCTION("""COMPUTED_VALUE"""),"کهگیلویه و بویراحمد")</f>
        <v>کهگیلویه و بویراحمد</v>
      </c>
      <c r="E3537" s="5" t="str">
        <f>IFERROR(__xludf.DUMMYFUNCTION("""COMPUTED_VALUE"""),"چرام")</f>
        <v>چرام</v>
      </c>
      <c r="F3537" s="5"/>
      <c r="G3537" s="5"/>
      <c r="H3537" s="6" t="str">
        <f>IFERROR(__xludf.DUMMYFUNCTION("""COMPUTED_VALUE"""),"https://www.instagram.com/khademoshohada.choram/")</f>
        <v>https://www.instagram.com/khademoshohada.choram/</v>
      </c>
      <c r="I3537" s="6" t="str">
        <f>IFERROR(__xludf.DUMMYFUNCTION("""COMPUTED_VALUE"""),"eitaa.com/choram7")</f>
        <v>eitaa.com/choram7</v>
      </c>
      <c r="J3537" s="5"/>
      <c r="K3537" s="5"/>
      <c r="L3537" s="5"/>
      <c r="M3537" s="5"/>
      <c r="N3537" s="5"/>
      <c r="O3537" s="5"/>
      <c r="P3537" s="5"/>
      <c r="Q3537" s="5"/>
      <c r="R3537" s="5"/>
      <c r="S3537" s="5"/>
    </row>
    <row r="3538">
      <c r="A3538" s="5"/>
      <c r="B3538" s="5" t="str">
        <f>IFERROR(__xludf.DUMMYFUNCTION("""COMPUTED_VALUE"""),"هیأت")</f>
        <v>هیأت</v>
      </c>
      <c r="C3538" s="5" t="str">
        <f>IFERROR(__xludf.DUMMYFUNCTION("""COMPUTED_VALUE"""),"جوانان حسینی")</f>
        <v>جوانان حسینی</v>
      </c>
      <c r="D3538" s="5" t="str">
        <f>IFERROR(__xludf.DUMMYFUNCTION("""COMPUTED_VALUE"""),"کهگیلویه و بویراحمد")</f>
        <v>کهگیلویه و بویراحمد</v>
      </c>
      <c r="E3538" s="5" t="str">
        <f>IFERROR(__xludf.DUMMYFUNCTION("""COMPUTED_VALUE"""),"گچساران")</f>
        <v>گچساران</v>
      </c>
      <c r="F3538" s="5"/>
      <c r="G3538" s="5"/>
      <c r="H3538" s="6" t="str">
        <f>IFERROR(__xludf.DUMMYFUNCTION("""COMPUTED_VALUE"""),"https://www.instagram.com/javananehoseini/")</f>
        <v>https://www.instagram.com/javananehoseini/</v>
      </c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</row>
    <row r="3539">
      <c r="A3539" s="5">
        <f>IFERROR(__xludf.DUMMYFUNCTION("""COMPUTED_VALUE"""),26568.0)</f>
        <v>26568</v>
      </c>
      <c r="B3539" s="5"/>
      <c r="C3539" s="5" t="str">
        <f>IFERROR(__xludf.DUMMYFUNCTION("""COMPUTED_VALUE"""),"انصار قمربنی هاشم (ع) عباسیه")</f>
        <v>انصار قمربنی هاشم (ع) عباسیه</v>
      </c>
      <c r="D3539" s="5" t="str">
        <f>IFERROR(__xludf.DUMMYFUNCTION("""COMPUTED_VALUE"""),"کرمانشاه")</f>
        <v>کرمانشاه</v>
      </c>
      <c r="E3539" s="5" t="str">
        <f>IFERROR(__xludf.DUMMYFUNCTION("""COMPUTED_VALUE"""),"کرمانشاه")</f>
        <v>کرمانشاه</v>
      </c>
      <c r="F3539" s="5"/>
      <c r="G3539" s="5"/>
      <c r="H3539" s="6" t="str">
        <f>IFERROR(__xludf.DUMMYFUNCTION("""COMPUTED_VALUE"""),"https://www.instagram.com/abasie_kermanshah/")</f>
        <v>https://www.instagram.com/abasie_kermanshah/</v>
      </c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</row>
    <row r="3540">
      <c r="A3540" s="5"/>
      <c r="B3540" s="5"/>
      <c r="C3540" s="5" t="str">
        <f>IFERROR(__xludf.DUMMYFUNCTION("""COMPUTED_VALUE"""),"سیدالشهدا")</f>
        <v>سیدالشهدا</v>
      </c>
      <c r="D3540" s="5" t="str">
        <f>IFERROR(__xludf.DUMMYFUNCTION("""COMPUTED_VALUE"""),"کرمانشاه")</f>
        <v>کرمانشاه</v>
      </c>
      <c r="E3540" s="5" t="str">
        <f>IFERROR(__xludf.DUMMYFUNCTION("""COMPUTED_VALUE"""),"کرمانشاه")</f>
        <v>کرمانشاه</v>
      </c>
      <c r="F3540" s="5"/>
      <c r="G3540" s="5"/>
      <c r="H3540" s="6" t="str">
        <f>IFERROR(__xludf.DUMMYFUNCTION("""COMPUTED_VALUE"""),"https://www.instagram.com/seyedal_shahada/")</f>
        <v>https://www.instagram.com/seyedal_shahada/</v>
      </c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</row>
    <row r="3541">
      <c r="A3541" s="5">
        <f>IFERROR(__xludf.DUMMYFUNCTION("""COMPUTED_VALUE"""),26392.0)</f>
        <v>26392</v>
      </c>
      <c r="B3541" s="5"/>
      <c r="C3541" s="5" t="str">
        <f>IFERROR(__xludf.DUMMYFUNCTION("""COMPUTED_VALUE"""),"عاشقان اباصالح المهدی (عج)")</f>
        <v>عاشقان اباصالح المهدی (عج)</v>
      </c>
      <c r="D3541" s="5" t="str">
        <f>IFERROR(__xludf.DUMMYFUNCTION("""COMPUTED_VALUE"""),"کرمانشاه")</f>
        <v>کرمانشاه</v>
      </c>
      <c r="E3541" s="5" t="str">
        <f>IFERROR(__xludf.DUMMYFUNCTION("""COMPUTED_VALUE"""),"کرمانشاه")</f>
        <v>کرمانشاه</v>
      </c>
      <c r="F3541" s="5"/>
      <c r="G3541" s="5"/>
      <c r="H3541" s="5"/>
      <c r="I3541" s="5"/>
      <c r="J3541" s="6" t="str">
        <f>IFERROR(__xludf.DUMMYFUNCTION("""COMPUTED_VALUE"""),"https://eitaa.com/asheghanabasaleh_ir")</f>
        <v>https://eitaa.com/asheghanabasaleh_ir</v>
      </c>
      <c r="K3541" s="5"/>
      <c r="L3541" s="5"/>
      <c r="M3541" s="5"/>
      <c r="N3541" s="5"/>
      <c r="O3541" s="5"/>
      <c r="P3541" s="5"/>
      <c r="Q3541" s="5"/>
      <c r="R3541" s="5"/>
      <c r="S3541" s="5"/>
    </row>
    <row r="3542">
      <c r="A3542" s="5">
        <f>IFERROR(__xludf.DUMMYFUNCTION("""COMPUTED_VALUE"""),25292.0)</f>
        <v>25292</v>
      </c>
      <c r="B3542" s="5"/>
      <c r="C3542" s="5" t="str">
        <f>IFERROR(__xludf.DUMMYFUNCTION("""COMPUTED_VALUE"""),"محبان الهادی (ع)")</f>
        <v>محبان الهادی (ع)</v>
      </c>
      <c r="D3542" s="5" t="str">
        <f>IFERROR(__xludf.DUMMYFUNCTION("""COMPUTED_VALUE"""),"کرمانشاه")</f>
        <v>کرمانشاه</v>
      </c>
      <c r="E3542" s="5" t="str">
        <f>IFERROR(__xludf.DUMMYFUNCTION("""COMPUTED_VALUE"""),"کرمانشاه")</f>
        <v>کرمانشاه</v>
      </c>
      <c r="F3542" s="5"/>
      <c r="G3542" s="5"/>
      <c r="H3542" s="6" t="str">
        <f>IFERROR(__xludf.DUMMYFUNCTION("""COMPUTED_VALUE"""),"https://www.instagram.com/mohebaneemamhadi/")</f>
        <v>https://www.instagram.com/mohebaneemamhadi/</v>
      </c>
      <c r="I3542" s="5"/>
      <c r="J3542" s="6" t="str">
        <f>IFERROR(__xludf.DUMMYFUNCTION("""COMPUTED_VALUE"""),"eitaa.com/mohebaneemamhadi")</f>
        <v>eitaa.com/mohebaneemamhadi</v>
      </c>
      <c r="K3542" s="5"/>
      <c r="L3542" s="5"/>
      <c r="M3542" s="5"/>
      <c r="N3542" s="5"/>
      <c r="O3542" s="5"/>
      <c r="P3542" s="5"/>
      <c r="Q3542" s="5"/>
      <c r="R3542" s="5"/>
      <c r="S3542" s="5"/>
    </row>
    <row r="3543">
      <c r="A3543" s="5">
        <f>IFERROR(__xludf.DUMMYFUNCTION("""COMPUTED_VALUE"""),25113.0)</f>
        <v>25113</v>
      </c>
      <c r="B3543" s="5"/>
      <c r="C3543" s="5" t="str">
        <f>IFERROR(__xludf.DUMMYFUNCTION("""COMPUTED_VALUE"""),"محبان اهل بیت دانشگاه رازی ( دانشجویی )")</f>
        <v>محبان اهل بیت دانشگاه رازی ( دانشجویی )</v>
      </c>
      <c r="D3543" s="5" t="str">
        <f>IFERROR(__xludf.DUMMYFUNCTION("""COMPUTED_VALUE"""),"کرمانشاه")</f>
        <v>کرمانشاه</v>
      </c>
      <c r="E3543" s="5" t="str">
        <f>IFERROR(__xludf.DUMMYFUNCTION("""COMPUTED_VALUE"""),"کرمانشاه")</f>
        <v>کرمانشاه</v>
      </c>
      <c r="F3543" s="5"/>
      <c r="G3543" s="5"/>
      <c r="H3543" s="6" t="str">
        <f>IFERROR(__xludf.DUMMYFUNCTION("""COMPUTED_VALUE"""),"https://www.instagram.com/heyat_razi")</f>
        <v>https://www.instagram.com/heyat_razi</v>
      </c>
      <c r="I3543" s="5"/>
      <c r="J3543" s="6" t="str">
        <f>IFERROR(__xludf.DUMMYFUNCTION("""COMPUTED_VALUE"""),"https://eitaa.com/heyat_razi")</f>
        <v>https://eitaa.com/heyat_razi</v>
      </c>
      <c r="K3543" s="5"/>
      <c r="L3543" s="5"/>
      <c r="M3543" s="5"/>
      <c r="N3543" s="5"/>
      <c r="O3543" s="5"/>
      <c r="P3543" s="5"/>
      <c r="Q3543" s="5"/>
      <c r="R3543" s="5"/>
      <c r="S3543" s="5"/>
    </row>
    <row r="3544">
      <c r="A3544" s="5"/>
      <c r="B3544" s="5"/>
      <c r="C3544" s="5" t="str">
        <f>IFERROR(__xludf.DUMMYFUNCTION("""COMPUTED_VALUE"""),"انصارالمهدی (عج)")</f>
        <v>انصارالمهدی (عج)</v>
      </c>
      <c r="D3544" s="5" t="str">
        <f>IFERROR(__xludf.DUMMYFUNCTION("""COMPUTED_VALUE"""),"کرمانشاه")</f>
        <v>کرمانشاه</v>
      </c>
      <c r="E3544" s="5" t="str">
        <f>IFERROR(__xludf.DUMMYFUNCTION("""COMPUTED_VALUE"""),"کرمانشاه")</f>
        <v>کرمانشاه</v>
      </c>
      <c r="F3544" s="5"/>
      <c r="G3544" s="5"/>
      <c r="H3544" s="5"/>
      <c r="I3544" s="5"/>
      <c r="J3544" s="6" t="str">
        <f>IFERROR(__xludf.DUMMYFUNCTION("""COMPUTED_VALUE"""),"https://eitaa.com/heiat_ansarolmahdi_ksh")</f>
        <v>https://eitaa.com/heiat_ansarolmahdi_ksh</v>
      </c>
      <c r="K3544" s="5"/>
      <c r="L3544" s="5"/>
      <c r="M3544" s="5"/>
      <c r="N3544" s="5"/>
      <c r="O3544" s="5"/>
      <c r="P3544" s="5"/>
      <c r="Q3544" s="5"/>
      <c r="R3544" s="5"/>
      <c r="S3544" s="5"/>
    </row>
    <row r="3545">
      <c r="A3545" s="5">
        <f>IFERROR(__xludf.DUMMYFUNCTION("""COMPUTED_VALUE"""),23275.0)</f>
        <v>23275</v>
      </c>
      <c r="B3545" s="5"/>
      <c r="C3545" s="5" t="str">
        <f>IFERROR(__xludf.DUMMYFUNCTION("""COMPUTED_VALUE"""),"روضه رضوان")</f>
        <v>روضه رضوان</v>
      </c>
      <c r="D3545" s="5" t="str">
        <f>IFERROR(__xludf.DUMMYFUNCTION("""COMPUTED_VALUE"""),"کرمانشاه")</f>
        <v>کرمانشاه</v>
      </c>
      <c r="E3545" s="5" t="str">
        <f>IFERROR(__xludf.DUMMYFUNCTION("""COMPUTED_VALUE"""),"کرمانشاه")</f>
        <v>کرمانشاه</v>
      </c>
      <c r="F3545" s="5"/>
      <c r="G3545" s="5"/>
      <c r="H3545" s="6" t="str">
        <f>IFERROR(__xludf.DUMMYFUNCTION("""COMPUTED_VALUE"""),"https://www.instagram.com/roze_rezvan_info")</f>
        <v>https://www.instagram.com/roze_rezvan_info</v>
      </c>
      <c r="I3545" s="5"/>
      <c r="J3545" s="6" t="str">
        <f>IFERROR(__xludf.DUMMYFUNCTION("""COMPUTED_VALUE"""),"https://eitaa.com/RozeRezvanKsh")</f>
        <v>https://eitaa.com/RozeRezvanKsh</v>
      </c>
      <c r="K3545" s="5"/>
      <c r="L3545" s="5"/>
      <c r="M3545" s="5"/>
      <c r="N3545" s="5"/>
      <c r="O3545" s="5"/>
      <c r="P3545" s="5"/>
      <c r="Q3545" s="5"/>
      <c r="R3545" s="5"/>
      <c r="S3545" s="5"/>
    </row>
    <row r="3546">
      <c r="A3546" s="5">
        <f>IFERROR(__xludf.DUMMYFUNCTION("""COMPUTED_VALUE"""),22307.0)</f>
        <v>22307</v>
      </c>
      <c r="B3546" s="5"/>
      <c r="C3546" s="5" t="str">
        <f>IFERROR(__xludf.DUMMYFUNCTION("""COMPUTED_VALUE"""),"متوسلین به حضرت اباالفضل (ع)")</f>
        <v>متوسلین به حضرت اباالفضل (ع)</v>
      </c>
      <c r="D3546" s="5" t="str">
        <f>IFERROR(__xludf.DUMMYFUNCTION("""COMPUTED_VALUE"""),"کرمانشاه")</f>
        <v>کرمانشاه</v>
      </c>
      <c r="E3546" s="5" t="str">
        <f>IFERROR(__xludf.DUMMYFUNCTION("""COMPUTED_VALUE"""),"سنقر")</f>
        <v>سنقر</v>
      </c>
      <c r="F3546" s="5"/>
      <c r="G3546" s="5"/>
      <c r="H3546" s="5"/>
      <c r="I3546" s="5"/>
      <c r="J3546" s="6" t="str">
        <f>IFERROR(__xludf.DUMMYFUNCTION("""COMPUTED_VALUE"""),"https://eitaa.com/abalfazlia")</f>
        <v>https://eitaa.com/abalfazlia</v>
      </c>
      <c r="K3546" s="5"/>
      <c r="L3546" s="5"/>
      <c r="M3546" s="5"/>
      <c r="N3546" s="5"/>
      <c r="O3546" s="5"/>
      <c r="P3546" s="5"/>
      <c r="Q3546" s="5"/>
      <c r="R3546" s="5"/>
      <c r="S3546" s="5"/>
    </row>
    <row r="3547">
      <c r="A3547" s="5">
        <f>IFERROR(__xludf.DUMMYFUNCTION("""COMPUTED_VALUE"""),21501.0)</f>
        <v>21501</v>
      </c>
      <c r="B3547" s="5"/>
      <c r="C3547" s="5" t="str">
        <f>IFERROR(__xludf.DUMMYFUNCTION("""COMPUTED_VALUE"""),"امام رضا (ع)")</f>
        <v>امام رضا (ع)</v>
      </c>
      <c r="D3547" s="5" t="str">
        <f>IFERROR(__xludf.DUMMYFUNCTION("""COMPUTED_VALUE"""),"کرمانشاه")</f>
        <v>کرمانشاه</v>
      </c>
      <c r="E3547" s="5" t="str">
        <f>IFERROR(__xludf.DUMMYFUNCTION("""COMPUTED_VALUE"""),"کرمانشاه")</f>
        <v>کرمانشاه</v>
      </c>
      <c r="F3547" s="5"/>
      <c r="G3547" s="5"/>
      <c r="H3547" s="6" t="str">
        <f>IFERROR(__xludf.DUMMYFUNCTION("""COMPUTED_VALUE"""),"https://www.instagram.com/heyat_emamreza_kermanshah/")</f>
        <v>https://www.instagram.com/heyat_emamreza_kermanshah/</v>
      </c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</row>
    <row r="3548">
      <c r="A3548" s="5">
        <f>IFERROR(__xludf.DUMMYFUNCTION("""COMPUTED_VALUE"""),21500.0)</f>
        <v>21500</v>
      </c>
      <c r="B3548" s="5"/>
      <c r="C3548" s="5" t="str">
        <f>IFERROR(__xludf.DUMMYFUNCTION("""COMPUTED_VALUE"""),"یا زهرا (س) (هیات موسسه آیت الله جلیلی)")</f>
        <v>یا زهرا (س) (هیات موسسه آیت الله جلیلی)</v>
      </c>
      <c r="D3548" s="5" t="str">
        <f>IFERROR(__xludf.DUMMYFUNCTION("""COMPUTED_VALUE"""),"کرمانشاه")</f>
        <v>کرمانشاه</v>
      </c>
      <c r="E3548" s="5" t="str">
        <f>IFERROR(__xludf.DUMMYFUNCTION("""COMPUTED_VALUE"""),"کرمانشاه")</f>
        <v>کرمانشاه</v>
      </c>
      <c r="F3548" s="5"/>
      <c r="G3548" s="5"/>
      <c r="H3548" s="6" t="str">
        <f>IFERROR(__xludf.DUMMYFUNCTION("""COMPUTED_VALUE"""),"https://www.instagram.com/heyat_yazahra.s/")</f>
        <v>https://www.instagram.com/heyat_yazahra.s/</v>
      </c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</row>
    <row r="3549">
      <c r="A3549" s="5">
        <f>IFERROR(__xludf.DUMMYFUNCTION("""COMPUTED_VALUE"""),21345.0)</f>
        <v>21345</v>
      </c>
      <c r="B3549" s="5"/>
      <c r="C3549" s="5" t="str">
        <f>IFERROR(__xludf.DUMMYFUNCTION("""COMPUTED_VALUE"""),"حسینیه معظم علمدارکربلا")</f>
        <v>حسینیه معظم علمدارکربلا</v>
      </c>
      <c r="D3549" s="5" t="str">
        <f>IFERROR(__xludf.DUMMYFUNCTION("""COMPUTED_VALUE"""),"کرمانشاه")</f>
        <v>کرمانشاه</v>
      </c>
      <c r="E3549" s="5" t="str">
        <f>IFERROR(__xludf.DUMMYFUNCTION("""COMPUTED_VALUE"""),"کرمانشاه")</f>
        <v>کرمانشاه</v>
      </c>
      <c r="F3549" s="5"/>
      <c r="G3549" s="5"/>
      <c r="H3549" s="6" t="str">
        <f>IFERROR(__xludf.DUMMYFUNCTION("""COMPUTED_VALUE"""),"https://www.instagram.com/hosseiniyeh_alamdar_karbala/")</f>
        <v>https://www.instagram.com/hosseiniyeh_alamdar_karbala/</v>
      </c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</row>
    <row r="3550">
      <c r="A3550" s="5">
        <f>IFERROR(__xludf.DUMMYFUNCTION("""COMPUTED_VALUE"""),20716.0)</f>
        <v>20716</v>
      </c>
      <c r="B3550" s="5"/>
      <c r="C3550" s="5" t="str">
        <f>IFERROR(__xludf.DUMMYFUNCTION("""COMPUTED_VALUE"""),"عقیله العرب (س)")</f>
        <v>عقیله العرب (س)</v>
      </c>
      <c r="D3550" s="5" t="str">
        <f>IFERROR(__xludf.DUMMYFUNCTION("""COMPUTED_VALUE"""),"کرمانشاه")</f>
        <v>کرمانشاه</v>
      </c>
      <c r="E3550" s="5" t="str">
        <f>IFERROR(__xludf.DUMMYFUNCTION("""COMPUTED_VALUE"""),"کرمانشاه")</f>
        <v>کرمانشاه</v>
      </c>
      <c r="F3550" s="5"/>
      <c r="G3550" s="5"/>
      <c r="H3550" s="6" t="str">
        <f>IFERROR(__xludf.DUMMYFUNCTION("""COMPUTED_VALUE"""),"https://www.instagram.com/69aghilatolarab/")</f>
        <v>https://www.instagram.com/69aghilatolarab/</v>
      </c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</row>
    <row r="3551">
      <c r="A3551" s="5">
        <f>IFERROR(__xludf.DUMMYFUNCTION("""COMPUTED_VALUE"""),19812.0)</f>
        <v>19812</v>
      </c>
      <c r="B3551" s="5"/>
      <c r="C3551" s="5" t="str">
        <f>IFERROR(__xludf.DUMMYFUNCTION("""COMPUTED_VALUE"""),"جان نثاران قمربنی هاشم(ع) مسجد رشید")</f>
        <v>جان نثاران قمربنی هاشم(ع) مسجد رشید</v>
      </c>
      <c r="D3551" s="5" t="str">
        <f>IFERROR(__xludf.DUMMYFUNCTION("""COMPUTED_VALUE"""),"کرمانشاه")</f>
        <v>کرمانشاه</v>
      </c>
      <c r="E3551" s="5" t="str">
        <f>IFERROR(__xludf.DUMMYFUNCTION("""COMPUTED_VALUE"""),"کرمانشاه")</f>
        <v>کرمانشاه</v>
      </c>
      <c r="F3551" s="5"/>
      <c r="G3551" s="5"/>
      <c r="H3551" s="5"/>
      <c r="I3551" s="5"/>
      <c r="J3551" s="6" t="str">
        <f>IFERROR(__xludf.DUMMYFUNCTION("""COMPUTED_VALUE"""),"https://eitaa.com/badralhavashem")</f>
        <v>https://eitaa.com/badralhavashem</v>
      </c>
      <c r="K3551" s="5"/>
      <c r="L3551" s="5"/>
      <c r="M3551" s="5"/>
      <c r="N3551" s="5"/>
      <c r="O3551" s="5"/>
      <c r="P3551" s="5"/>
      <c r="Q3551" s="5"/>
      <c r="R3551" s="5"/>
      <c r="S3551" s="5"/>
    </row>
    <row r="3552">
      <c r="A3552" s="5">
        <f>IFERROR(__xludf.DUMMYFUNCTION("""COMPUTED_VALUE"""),19810.0)</f>
        <v>19810</v>
      </c>
      <c r="B3552" s="5"/>
      <c r="C3552" s="5" t="str">
        <f>IFERROR(__xludf.DUMMYFUNCTION("""COMPUTED_VALUE"""),"رزمندگان اسلام")</f>
        <v>رزمندگان اسلام</v>
      </c>
      <c r="D3552" s="5" t="str">
        <f>IFERROR(__xludf.DUMMYFUNCTION("""COMPUTED_VALUE"""),"کرمانشاه")</f>
        <v>کرمانشاه</v>
      </c>
      <c r="E3552" s="5" t="str">
        <f>IFERROR(__xludf.DUMMYFUNCTION("""COMPUTED_VALUE"""),"گیلانغرب")</f>
        <v>گیلانغرب</v>
      </c>
      <c r="F3552" s="5"/>
      <c r="G3552" s="5"/>
      <c r="H3552" s="5"/>
      <c r="I3552" s="5"/>
      <c r="J3552" s="6" t="str">
        <f>IFERROR(__xludf.DUMMYFUNCTION("""COMPUTED_VALUE"""),"https://eitaa.com/razmandganz")</f>
        <v>https://eitaa.com/razmandganz</v>
      </c>
      <c r="K3552" s="5"/>
      <c r="L3552" s="5"/>
      <c r="M3552" s="5"/>
      <c r="N3552" s="5"/>
      <c r="O3552" s="5"/>
      <c r="P3552" s="5"/>
      <c r="Q3552" s="5"/>
      <c r="R3552" s="5"/>
      <c r="S3552" s="5"/>
    </row>
    <row r="3553">
      <c r="A3553" s="5">
        <f>IFERROR(__xludf.DUMMYFUNCTION("""COMPUTED_VALUE"""),19806.0)</f>
        <v>19806</v>
      </c>
      <c r="B3553" s="5"/>
      <c r="C3553" s="5" t="str">
        <f>IFERROR(__xludf.DUMMYFUNCTION("""COMPUTED_VALUE"""),"مسجد حضرت امیر(ع)")</f>
        <v>مسجد حضرت امیر(ع)</v>
      </c>
      <c r="D3553" s="5" t="str">
        <f>IFERROR(__xludf.DUMMYFUNCTION("""COMPUTED_VALUE"""),"کرمانشاه")</f>
        <v>کرمانشاه</v>
      </c>
      <c r="E3553" s="5" t="str">
        <f>IFERROR(__xludf.DUMMYFUNCTION("""COMPUTED_VALUE"""),"اسلام آبادغرب")</f>
        <v>اسلام آبادغرب</v>
      </c>
      <c r="F3553" s="5"/>
      <c r="G3553" s="5"/>
      <c r="H3553" s="5"/>
      <c r="I3553" s="5"/>
      <c r="J3553" s="6" t="str">
        <f>IFERROR(__xludf.DUMMYFUNCTION("""COMPUTED_VALUE"""),"https://eitaa.com/mosqueimamaliwestlslamabad")</f>
        <v>https://eitaa.com/mosqueimamaliwestlslamabad</v>
      </c>
      <c r="K3553" s="5"/>
      <c r="L3553" s="5"/>
      <c r="M3553" s="5"/>
      <c r="N3553" s="5"/>
      <c r="O3553" s="5"/>
      <c r="P3553" s="5"/>
      <c r="Q3553" s="5"/>
      <c r="R3553" s="5"/>
      <c r="S3553" s="5"/>
    </row>
    <row r="3554">
      <c r="A3554" s="5">
        <f>IFERROR(__xludf.DUMMYFUNCTION("""COMPUTED_VALUE"""),19803.0)</f>
        <v>19803</v>
      </c>
      <c r="B3554" s="5"/>
      <c r="C3554" s="5" t="str">
        <f>IFERROR(__xludf.DUMMYFUNCTION("""COMPUTED_VALUE"""),"ثارالله(ع)")</f>
        <v>ثارالله(ع)</v>
      </c>
      <c r="D3554" s="5" t="str">
        <f>IFERROR(__xludf.DUMMYFUNCTION("""COMPUTED_VALUE"""),"کرمانشاه")</f>
        <v>کرمانشاه</v>
      </c>
      <c r="E3554" s="5" t="str">
        <f>IFERROR(__xludf.DUMMYFUNCTION("""COMPUTED_VALUE"""),"کرمانشاه")</f>
        <v>کرمانشاه</v>
      </c>
      <c r="F3554" s="5"/>
      <c r="G3554" s="5"/>
      <c r="H3554" s="6" t="str">
        <f>IFERROR(__xludf.DUMMYFUNCTION("""COMPUTED_VALUE"""),"https://www.instagram.com/heiatesarallah")</f>
        <v>https://www.instagram.com/heiatesarallah</v>
      </c>
      <c r="I3554" s="6" t="str">
        <f>IFERROR(__xludf.DUMMYFUNCTION("""COMPUTED_VALUE"""),"https://t.me/HeiatesarallaH")</f>
        <v>https://t.me/HeiatesarallaH</v>
      </c>
      <c r="J3554" s="6" t="str">
        <f>IFERROR(__xludf.DUMMYFUNCTION("""COMPUTED_VALUE"""),"https://eitaa.com/HeiatesarallaH")</f>
        <v>https://eitaa.com/HeiatesarallaH</v>
      </c>
      <c r="K3554" s="5"/>
      <c r="L3554" s="5"/>
      <c r="M3554" s="5"/>
      <c r="N3554" s="5"/>
      <c r="O3554" s="5"/>
      <c r="P3554" s="5"/>
      <c r="Q3554" s="5"/>
      <c r="R3554" s="5"/>
      <c r="S3554" s="5"/>
    </row>
    <row r="3555">
      <c r="A3555" s="5">
        <f>IFERROR(__xludf.DUMMYFUNCTION("""COMPUTED_VALUE"""),19801.0)</f>
        <v>19801</v>
      </c>
      <c r="B3555" s="5"/>
      <c r="C3555" s="5" t="str">
        <f>IFERROR(__xludf.DUMMYFUNCTION("""COMPUTED_VALUE"""),"کانون فاطمیون")</f>
        <v>کانون فاطمیون</v>
      </c>
      <c r="D3555" s="5" t="str">
        <f>IFERROR(__xludf.DUMMYFUNCTION("""COMPUTED_VALUE"""),"کرمانشاه")</f>
        <v>کرمانشاه</v>
      </c>
      <c r="E3555" s="5" t="str">
        <f>IFERROR(__xludf.DUMMYFUNCTION("""COMPUTED_VALUE"""),"کرمانشاه")</f>
        <v>کرمانشاه</v>
      </c>
      <c r="F3555" s="5"/>
      <c r="G3555" s="5"/>
      <c r="H3555" s="6" t="str">
        <f>IFERROR(__xludf.DUMMYFUNCTION("""COMPUTED_VALUE"""),"https://www.instagram.com/fatemion135/")</f>
        <v>https://www.instagram.com/fatemion135/</v>
      </c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</row>
    <row r="3556">
      <c r="A3556" s="5">
        <f>IFERROR(__xludf.DUMMYFUNCTION("""COMPUTED_VALUE"""),19800.0)</f>
        <v>19800</v>
      </c>
      <c r="B3556" s="5"/>
      <c r="C3556" s="5" t="str">
        <f>IFERROR(__xludf.DUMMYFUNCTION("""COMPUTED_VALUE"""),"لواء الزینب (س)")</f>
        <v>لواء الزینب (س)</v>
      </c>
      <c r="D3556" s="5" t="str">
        <f>IFERROR(__xludf.DUMMYFUNCTION("""COMPUTED_VALUE"""),"کرمانشاه")</f>
        <v>کرمانشاه</v>
      </c>
      <c r="E3556" s="5" t="str">
        <f>IFERROR(__xludf.DUMMYFUNCTION("""COMPUTED_VALUE"""),"هرسین")</f>
        <v>هرسین</v>
      </c>
      <c r="F3556" s="5"/>
      <c r="G3556" s="5"/>
      <c r="H3556" s="6" t="str">
        <f>IFERROR(__xludf.DUMMYFUNCTION("""COMPUTED_VALUE"""),"https://www.instagram.com/leva_zeynab_harsin/")</f>
        <v>https://www.instagram.com/leva_zeynab_harsin/</v>
      </c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</row>
    <row r="3557">
      <c r="A3557" s="5">
        <f>IFERROR(__xludf.DUMMYFUNCTION("""COMPUTED_VALUE"""),19799.0)</f>
        <v>19799</v>
      </c>
      <c r="B3557" s="5"/>
      <c r="C3557" s="5" t="str">
        <f>IFERROR(__xludf.DUMMYFUNCTION("""COMPUTED_VALUE"""),"ریحانه النبی (س)")</f>
        <v>ریحانه النبی (س)</v>
      </c>
      <c r="D3557" s="5" t="str">
        <f>IFERROR(__xludf.DUMMYFUNCTION("""COMPUTED_VALUE"""),"کرمانشاه")</f>
        <v>کرمانشاه</v>
      </c>
      <c r="E3557" s="5" t="str">
        <f>IFERROR(__xludf.DUMMYFUNCTION("""COMPUTED_VALUE"""),"کرمانشاه")</f>
        <v>کرمانشاه</v>
      </c>
      <c r="F3557" s="5"/>
      <c r="G3557" s="5"/>
      <c r="H3557" s="6" t="str">
        <f>IFERROR(__xludf.DUMMYFUNCTION("""COMPUTED_VALUE"""),"https://www.instagram.com/reyhane_krsh/")</f>
        <v>https://www.instagram.com/reyhane_krsh/</v>
      </c>
      <c r="I3557" s="5"/>
      <c r="J3557" s="6" t="str">
        <f>IFERROR(__xludf.DUMMYFUNCTION("""COMPUTED_VALUE"""),"https://eitaa.com/reyhane_krsh")</f>
        <v>https://eitaa.com/reyhane_krsh</v>
      </c>
      <c r="K3557" s="5"/>
      <c r="L3557" s="5"/>
      <c r="M3557" s="5"/>
      <c r="N3557" s="5"/>
      <c r="O3557" s="5"/>
      <c r="P3557" s="5"/>
      <c r="Q3557" s="5"/>
      <c r="R3557" s="5"/>
      <c r="S3557" s="5"/>
    </row>
    <row r="3558">
      <c r="A3558" s="5">
        <f>IFERROR(__xludf.DUMMYFUNCTION("""COMPUTED_VALUE"""),19798.0)</f>
        <v>19798</v>
      </c>
      <c r="B3558" s="5"/>
      <c r="C3558" s="5" t="str">
        <f>IFERROR(__xludf.DUMMYFUNCTION("""COMPUTED_VALUE"""),"متوسلین به اهل بیت حافظیه (حسینیه علمدار)")</f>
        <v>متوسلین به اهل بیت حافظیه (حسینیه علمدار)</v>
      </c>
      <c r="D3558" s="5" t="str">
        <f>IFERROR(__xludf.DUMMYFUNCTION("""COMPUTED_VALUE"""),"کرمانشاه")</f>
        <v>کرمانشاه</v>
      </c>
      <c r="E3558" s="5" t="str">
        <f>IFERROR(__xludf.DUMMYFUNCTION("""COMPUTED_VALUE"""),"کرمانشاه")</f>
        <v>کرمانشاه</v>
      </c>
      <c r="F3558" s="5"/>
      <c r="G3558" s="5"/>
      <c r="H3558" s="6" t="str">
        <f>IFERROR(__xludf.DUMMYFUNCTION("""COMPUTED_VALUE"""),"https://www.instagram.com/alamdar_kermanshah/")</f>
        <v>https://www.instagram.com/alamdar_kermanshah/</v>
      </c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</row>
    <row r="3559">
      <c r="A3559" s="5">
        <f>IFERROR(__xludf.DUMMYFUNCTION("""COMPUTED_VALUE"""),19796.0)</f>
        <v>19796</v>
      </c>
      <c r="B3559" s="5"/>
      <c r="C3559" s="5" t="str">
        <f>IFERROR(__xludf.DUMMYFUNCTION("""COMPUTED_VALUE"""),"حضرت علی اصغر (ع)")</f>
        <v>حضرت علی اصغر (ع)</v>
      </c>
      <c r="D3559" s="5" t="str">
        <f>IFERROR(__xludf.DUMMYFUNCTION("""COMPUTED_VALUE"""),"کرمانشاه")</f>
        <v>کرمانشاه</v>
      </c>
      <c r="E3559" s="5" t="str">
        <f>IFERROR(__xludf.DUMMYFUNCTION("""COMPUTED_VALUE"""),"کرمانشاه")</f>
        <v>کرمانشاه</v>
      </c>
      <c r="F3559" s="5"/>
      <c r="G3559" s="5"/>
      <c r="H3559" s="6" t="str">
        <f>IFERROR(__xludf.DUMMYFUNCTION("""COMPUTED_VALUE"""),"https://www.instagram.com/ali.asghar.kermanshah/")</f>
        <v>https://www.instagram.com/ali.asghar.kermanshah/</v>
      </c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</row>
    <row r="3560">
      <c r="A3560" s="5">
        <f>IFERROR(__xludf.DUMMYFUNCTION("""COMPUTED_VALUE"""),19048.0)</f>
        <v>19048</v>
      </c>
      <c r="B3560" s="5"/>
      <c r="C3560" s="5" t="str">
        <f>IFERROR(__xludf.DUMMYFUNCTION("""COMPUTED_VALUE"""),"فاطمیون")</f>
        <v>فاطمیون</v>
      </c>
      <c r="D3560" s="5" t="str">
        <f>IFERROR(__xludf.DUMMYFUNCTION("""COMPUTED_VALUE"""),"کرمانشاه")</f>
        <v>کرمانشاه</v>
      </c>
      <c r="E3560" s="5" t="str">
        <f>IFERROR(__xludf.DUMMYFUNCTION("""COMPUTED_VALUE"""),"سنقر")</f>
        <v>سنقر</v>
      </c>
      <c r="F3560" s="5"/>
      <c r="G3560" s="5"/>
      <c r="H3560" s="6" t="str">
        <f>IFERROR(__xludf.DUMMYFUNCTION("""COMPUTED_VALUE"""),"https://www.instagram.com/fatemiuoon/")</f>
        <v>https://www.instagram.com/fatemiuoon/</v>
      </c>
      <c r="I3560" s="6" t="str">
        <f>IFERROR(__xludf.DUMMYFUNCTION("""COMPUTED_VALUE"""),"t.me/fatemiuoonsonghor")</f>
        <v>t.me/fatemiuoonsonghor</v>
      </c>
      <c r="J3560" s="5"/>
      <c r="K3560" s="5"/>
      <c r="L3560" s="5"/>
      <c r="M3560" s="5"/>
      <c r="N3560" s="5"/>
      <c r="O3560" s="5"/>
      <c r="P3560" s="5"/>
      <c r="Q3560" s="5"/>
      <c r="R3560" s="5"/>
      <c r="S3560" s="5"/>
    </row>
    <row r="3561">
      <c r="A3561" s="5">
        <f>IFERROR(__xludf.DUMMYFUNCTION("""COMPUTED_VALUE"""),12315.0)</f>
        <v>12315</v>
      </c>
      <c r="B3561" s="5"/>
      <c r="C3561" s="5" t="str">
        <f>IFERROR(__xludf.DUMMYFUNCTION("""COMPUTED_VALUE"""),"خادم‌الشهداء")</f>
        <v>خادم‌الشهداء</v>
      </c>
      <c r="D3561" s="5" t="str">
        <f>IFERROR(__xludf.DUMMYFUNCTION("""COMPUTED_VALUE"""),"کرمانشاه")</f>
        <v>کرمانشاه</v>
      </c>
      <c r="E3561" s="5" t="str">
        <f>IFERROR(__xludf.DUMMYFUNCTION("""COMPUTED_VALUE"""),"کرمانشاه")</f>
        <v>کرمانشاه</v>
      </c>
      <c r="F3561" s="5"/>
      <c r="G3561" s="5"/>
      <c r="H3561" s="6" t="str">
        <f>IFERROR(__xludf.DUMMYFUNCTION("""COMPUTED_VALUE"""),"https://www.instagram.com/hkhademoshohada/")</f>
        <v>https://www.instagram.com/hkhademoshohada/</v>
      </c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</row>
    <row r="3562">
      <c r="A3562" s="5">
        <f>IFERROR(__xludf.DUMMYFUNCTION("""COMPUTED_VALUE"""),18309.0)</f>
        <v>18309</v>
      </c>
      <c r="B3562" s="5"/>
      <c r="C3562" s="5" t="str">
        <f>IFERROR(__xludf.DUMMYFUNCTION("""COMPUTED_VALUE"""),"عشاق الزهرا (س)")</f>
        <v>عشاق الزهرا (س)</v>
      </c>
      <c r="D3562" s="5" t="str">
        <f>IFERROR(__xludf.DUMMYFUNCTION("""COMPUTED_VALUE"""),"کرمانشاه")</f>
        <v>کرمانشاه</v>
      </c>
      <c r="E3562" s="5" t="str">
        <f>IFERROR(__xludf.DUMMYFUNCTION("""COMPUTED_VALUE"""),"کرمانشاه")</f>
        <v>کرمانشاه</v>
      </c>
      <c r="F3562" s="5"/>
      <c r="G3562" s="5"/>
      <c r="H3562" s="6" t="str">
        <f>IFERROR(__xludf.DUMMYFUNCTION("""COMPUTED_VALUE"""),"https://www.instagram.com/norolhussain/")</f>
        <v>https://www.instagram.com/norolhussain/</v>
      </c>
      <c r="I3562" s="6" t="str">
        <f>IFERROR(__xludf.DUMMYFUNCTION("""COMPUTED_VALUE"""),"t.me/norolhussain")</f>
        <v>t.me/norolhussain</v>
      </c>
      <c r="J3562" s="5"/>
      <c r="K3562" s="5"/>
      <c r="L3562" s="5"/>
      <c r="M3562" s="5"/>
      <c r="N3562" s="5"/>
      <c r="O3562" s="5"/>
      <c r="P3562" s="5"/>
      <c r="Q3562" s="5"/>
      <c r="R3562" s="5"/>
      <c r="S3562" s="5"/>
    </row>
    <row r="3563">
      <c r="A3563" s="5">
        <f>IFERROR(__xludf.DUMMYFUNCTION("""COMPUTED_VALUE"""),18299.0)</f>
        <v>18299</v>
      </c>
      <c r="B3563" s="5"/>
      <c r="C3563" s="5" t="str">
        <f>IFERROR(__xludf.DUMMYFUNCTION("""COMPUTED_VALUE"""),"متوسلین به اهل‌ بیت (حسینیه بیت الحسن(ع)")</f>
        <v>متوسلین به اهل‌ بیت (حسینیه بیت الحسن(ع)</v>
      </c>
      <c r="D3563" s="5" t="str">
        <f>IFERROR(__xludf.DUMMYFUNCTION("""COMPUTED_VALUE"""),"کرمانشاه")</f>
        <v>کرمانشاه</v>
      </c>
      <c r="E3563" s="5" t="str">
        <f>IFERROR(__xludf.DUMMYFUNCTION("""COMPUTED_VALUE"""),"کرمانشاه")</f>
        <v>کرمانشاه</v>
      </c>
      <c r="F3563" s="5"/>
      <c r="G3563" s="5"/>
      <c r="H3563" s="6" t="str">
        <f>IFERROR(__xludf.DUMMYFUNCTION("""COMPUTED_VALUE"""),"https://www.instagram.com/beytolhassan_118/")</f>
        <v>https://www.instagram.com/beytolhassan_118/</v>
      </c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</row>
    <row r="3564">
      <c r="A3564" s="5">
        <f>IFERROR(__xludf.DUMMYFUNCTION("""COMPUTED_VALUE"""),12677.0)</f>
        <v>12677</v>
      </c>
      <c r="B3564" s="5"/>
      <c r="C3564" s="5" t="str">
        <f>IFERROR(__xludf.DUMMYFUNCTION("""COMPUTED_VALUE"""),"رزمندگان اسلام (حضرت عباس(ع))")</f>
        <v>رزمندگان اسلام (حضرت عباس(ع))</v>
      </c>
      <c r="D3564" s="5" t="str">
        <f>IFERROR(__xludf.DUMMYFUNCTION("""COMPUTED_VALUE"""),"کرمانشاه")</f>
        <v>کرمانشاه</v>
      </c>
      <c r="E3564" s="5" t="str">
        <f>IFERROR(__xludf.DUMMYFUNCTION("""COMPUTED_VALUE"""),"کرمانشاه")</f>
        <v>کرمانشاه</v>
      </c>
      <c r="F3564" s="5"/>
      <c r="G3564" s="5"/>
      <c r="H3564" s="5"/>
      <c r="I3564" s="5"/>
      <c r="J3564" s="6" t="str">
        <f>IFERROR(__xludf.DUMMYFUNCTION("""COMPUTED_VALUE"""),"https://eitaa.com/heiat_alnabi")</f>
        <v>https://eitaa.com/heiat_alnabi</v>
      </c>
      <c r="K3564" s="5"/>
      <c r="L3564" s="5"/>
      <c r="M3564" s="5"/>
      <c r="N3564" s="5"/>
      <c r="O3564" s="5"/>
      <c r="P3564" s="5"/>
      <c r="Q3564" s="5"/>
      <c r="R3564" s="5"/>
      <c r="S3564" s="5"/>
    </row>
    <row r="3565">
      <c r="A3565" s="5">
        <f>IFERROR(__xludf.DUMMYFUNCTION("""COMPUTED_VALUE"""),12676.0)</f>
        <v>12676</v>
      </c>
      <c r="B3565" s="5"/>
      <c r="C3565" s="5" t="str">
        <f>IFERROR(__xludf.DUMMYFUNCTION("""COMPUTED_VALUE"""),"عشاق الزینب (س)")</f>
        <v>عشاق الزینب (س)</v>
      </c>
      <c r="D3565" s="5" t="str">
        <f>IFERROR(__xludf.DUMMYFUNCTION("""COMPUTED_VALUE"""),"کرمانشاه")</f>
        <v>کرمانشاه</v>
      </c>
      <c r="E3565" s="5" t="str">
        <f>IFERROR(__xludf.DUMMYFUNCTION("""COMPUTED_VALUE"""),"کرمانشاه")</f>
        <v>کرمانشاه</v>
      </c>
      <c r="F3565" s="5"/>
      <c r="G3565" s="5"/>
      <c r="H3565" s="6" t="str">
        <f>IFERROR(__xludf.DUMMYFUNCTION("""COMPUTED_VALUE"""),"https://www.instagram.com/oshagholzaiinab/")</f>
        <v>https://www.instagram.com/oshagholzaiinab/</v>
      </c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</row>
    <row r="3566">
      <c r="A3566" s="5">
        <f>IFERROR(__xludf.DUMMYFUNCTION("""COMPUTED_VALUE"""),12659.0)</f>
        <v>12659</v>
      </c>
      <c r="B3566" s="5"/>
      <c r="C3566" s="5" t="str">
        <f>IFERROR(__xludf.DUMMYFUNCTION("""COMPUTED_VALUE"""),"جلسه حدیث کسا")</f>
        <v>جلسه حدیث کسا</v>
      </c>
      <c r="D3566" s="5" t="str">
        <f>IFERROR(__xludf.DUMMYFUNCTION("""COMPUTED_VALUE"""),"کرمانشاه")</f>
        <v>کرمانشاه</v>
      </c>
      <c r="E3566" s="5" t="str">
        <f>IFERROR(__xludf.DUMMYFUNCTION("""COMPUTED_VALUE"""),"کرمانشاه")</f>
        <v>کرمانشاه</v>
      </c>
      <c r="F3566" s="5"/>
      <c r="G3566" s="5"/>
      <c r="H3566" s="6" t="str">
        <f>IFERROR(__xludf.DUMMYFUNCTION("""COMPUTED_VALUE"""),"https://www.instagram.com/hadis_kasa/")</f>
        <v>https://www.instagram.com/hadis_kasa/</v>
      </c>
      <c r="I3566" s="6" t="str">
        <f>IFERROR(__xludf.DUMMYFUNCTION("""COMPUTED_VALUE"""),"t.me/hadiskasaa")</f>
        <v>t.me/hadiskasaa</v>
      </c>
      <c r="J3566" s="5"/>
      <c r="K3566" s="5"/>
      <c r="L3566" s="5"/>
      <c r="M3566" s="5"/>
      <c r="N3566" s="5"/>
      <c r="O3566" s="5"/>
      <c r="P3566" s="5"/>
      <c r="Q3566" s="5"/>
      <c r="R3566" s="5"/>
      <c r="S3566" s="5"/>
    </row>
    <row r="3567">
      <c r="A3567" s="5">
        <f>IFERROR(__xludf.DUMMYFUNCTION("""COMPUTED_VALUE"""),12630.0)</f>
        <v>12630</v>
      </c>
      <c r="B3567" s="5"/>
      <c r="C3567" s="5" t="str">
        <f>IFERROR(__xludf.DUMMYFUNCTION("""COMPUTED_VALUE"""),"انصار صاحب الزمان(عج) جلسه هفتگی جوادالائمه (مسجد هاشمی)")</f>
        <v>انصار صاحب الزمان(عج) جلسه هفتگی جوادالائمه (مسجد هاشمی)</v>
      </c>
      <c r="D3567" s="5" t="str">
        <f>IFERROR(__xludf.DUMMYFUNCTION("""COMPUTED_VALUE"""),"کرمانشاه")</f>
        <v>کرمانشاه</v>
      </c>
      <c r="E3567" s="5" t="str">
        <f>IFERROR(__xludf.DUMMYFUNCTION("""COMPUTED_VALUE"""),"کرمانشاه")</f>
        <v>کرمانشاه</v>
      </c>
      <c r="F3567" s="5"/>
      <c r="G3567" s="5"/>
      <c r="H3567" s="5"/>
      <c r="I3567" s="5"/>
      <c r="J3567" s="6" t="str">
        <f>IFERROR(__xludf.DUMMYFUNCTION("""COMPUTED_VALUE"""),"https://eitaa.com/M_hazrat_saheb_alzaman")</f>
        <v>https://eitaa.com/M_hazrat_saheb_alzaman</v>
      </c>
      <c r="K3567" s="5"/>
      <c r="L3567" s="5"/>
      <c r="M3567" s="5"/>
      <c r="N3567" s="5"/>
      <c r="O3567" s="5"/>
      <c r="P3567" s="5"/>
      <c r="Q3567" s="5"/>
      <c r="R3567" s="5"/>
      <c r="S3567" s="5"/>
    </row>
    <row r="3568">
      <c r="A3568" s="5">
        <f>IFERROR(__xludf.DUMMYFUNCTION("""COMPUTED_VALUE"""),12590.0)</f>
        <v>12590</v>
      </c>
      <c r="B3568" s="5"/>
      <c r="C3568" s="5" t="str">
        <f>IFERROR(__xludf.DUMMYFUNCTION("""COMPUTED_VALUE"""),"محبان شاهزاده حضرت علی اکبر(ع)")</f>
        <v>محبان شاهزاده حضرت علی اکبر(ع)</v>
      </c>
      <c r="D3568" s="5" t="str">
        <f>IFERROR(__xludf.DUMMYFUNCTION("""COMPUTED_VALUE"""),"کرمانشاه")</f>
        <v>کرمانشاه</v>
      </c>
      <c r="E3568" s="5" t="str">
        <f>IFERROR(__xludf.DUMMYFUNCTION("""COMPUTED_VALUE"""),"کرمانشاه")</f>
        <v>کرمانشاه</v>
      </c>
      <c r="F3568" s="5"/>
      <c r="G3568" s="5"/>
      <c r="H3568" s="6" t="str">
        <f>IFERROR(__xludf.DUMMYFUNCTION("""COMPUTED_VALUE"""),"https://www.instagram.com/moghadasi.info/")</f>
        <v>https://www.instagram.com/moghadasi.info/</v>
      </c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</row>
    <row r="3569">
      <c r="A3569" s="5">
        <f>IFERROR(__xludf.DUMMYFUNCTION("""COMPUTED_VALUE"""),12553.0)</f>
        <v>12553</v>
      </c>
      <c r="B3569" s="5"/>
      <c r="C3569" s="5" t="str">
        <f>IFERROR(__xludf.DUMMYFUNCTION("""COMPUTED_VALUE"""),"آل یاسین")</f>
        <v>آل یاسین</v>
      </c>
      <c r="D3569" s="5" t="str">
        <f>IFERROR(__xludf.DUMMYFUNCTION("""COMPUTED_VALUE"""),"کرمانشاه")</f>
        <v>کرمانشاه</v>
      </c>
      <c r="E3569" s="5" t="str">
        <f>IFERROR(__xludf.DUMMYFUNCTION("""COMPUTED_VALUE"""),"قصرشیرین")</f>
        <v>قصرشیرین</v>
      </c>
      <c r="F3569" s="5"/>
      <c r="G3569" s="5"/>
      <c r="H3569" s="5"/>
      <c r="I3569" s="5"/>
      <c r="J3569" s="6" t="str">
        <f>IFERROR(__xludf.DUMMYFUNCTION("""COMPUTED_VALUE"""),"https://eitaa.com/aleyasingasr")</f>
        <v>https://eitaa.com/aleyasingasr</v>
      </c>
      <c r="K3569" s="5"/>
      <c r="L3569" s="5"/>
      <c r="M3569" s="5"/>
      <c r="N3569" s="5"/>
      <c r="O3569" s="5"/>
      <c r="P3569" s="5"/>
      <c r="Q3569" s="5"/>
      <c r="R3569" s="5"/>
      <c r="S3569" s="5"/>
    </row>
    <row r="3570">
      <c r="A3570" s="5">
        <f>IFERROR(__xludf.DUMMYFUNCTION("""COMPUTED_VALUE"""),12540.0)</f>
        <v>12540</v>
      </c>
      <c r="B3570" s="5"/>
      <c r="C3570" s="5" t="str">
        <f>IFERROR(__xludf.DUMMYFUNCTION("""COMPUTED_VALUE"""),"مسلم بن عقیل(ع)")</f>
        <v>مسلم بن عقیل(ع)</v>
      </c>
      <c r="D3570" s="5" t="str">
        <f>IFERROR(__xludf.DUMMYFUNCTION("""COMPUTED_VALUE"""),"کرمانشاه")</f>
        <v>کرمانشاه</v>
      </c>
      <c r="E3570" s="5" t="str">
        <f>IFERROR(__xludf.DUMMYFUNCTION("""COMPUTED_VALUE"""),"کرمانشاه")</f>
        <v>کرمانشاه</v>
      </c>
      <c r="F3570" s="5"/>
      <c r="G3570" s="5"/>
      <c r="H3570" s="6" t="str">
        <f>IFERROR(__xludf.DUMMYFUNCTION("""COMPUTED_VALUE"""),"https://www.instagram.com/moslem_ebn_aghil_kermanshah/")</f>
        <v>https://www.instagram.com/moslem_ebn_aghil_kermanshah/</v>
      </c>
      <c r="I3570" s="6" t="str">
        <f>IFERROR(__xludf.DUMMYFUNCTION("""COMPUTED_VALUE"""),"tlgrm.me/moslemebnaghilkermanshah")</f>
        <v>tlgrm.me/moslemebnaghilkermanshah</v>
      </c>
      <c r="J3570" s="5"/>
      <c r="K3570" s="5"/>
      <c r="L3570" s="5"/>
      <c r="M3570" s="5"/>
      <c r="N3570" s="5"/>
      <c r="O3570" s="5"/>
      <c r="P3570" s="5"/>
      <c r="Q3570" s="5"/>
      <c r="R3570" s="5"/>
      <c r="S3570" s="5"/>
    </row>
    <row r="3571">
      <c r="A3571" s="5">
        <f>IFERROR(__xludf.DUMMYFUNCTION("""COMPUTED_VALUE"""),12390.0)</f>
        <v>12390</v>
      </c>
      <c r="B3571" s="5"/>
      <c r="C3571" s="5" t="str">
        <f>IFERROR(__xludf.DUMMYFUNCTION("""COMPUTED_VALUE"""),"منتظران بقیه الله (عج) (مجمع زینبیون)")</f>
        <v>منتظران بقیه الله (عج) (مجمع زینبیون)</v>
      </c>
      <c r="D3571" s="5" t="str">
        <f>IFERROR(__xludf.DUMMYFUNCTION("""COMPUTED_VALUE"""),"کرمانشاه")</f>
        <v>کرمانشاه</v>
      </c>
      <c r="E3571" s="5" t="str">
        <f>IFERROR(__xludf.DUMMYFUNCTION("""COMPUTED_VALUE"""),"کرمانشاه")</f>
        <v>کرمانشاه</v>
      </c>
      <c r="F3571" s="5"/>
      <c r="G3571" s="5"/>
      <c r="H3571" s="6" t="str">
        <f>IFERROR(__xludf.DUMMYFUNCTION("""COMPUTED_VALUE"""),"https://www.instagram.com/heatmontazeranbagheatalah/")</f>
        <v>https://www.instagram.com/heatmontazeranbagheatalah/</v>
      </c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</row>
    <row r="3572">
      <c r="A3572" s="5">
        <f>IFERROR(__xludf.DUMMYFUNCTION("""COMPUTED_VALUE"""),12301.0)</f>
        <v>12301</v>
      </c>
      <c r="B3572" s="5"/>
      <c r="C3572" s="5" t="str">
        <f>IFERROR(__xludf.DUMMYFUNCTION("""COMPUTED_VALUE"""),"منتظران موعود(عج) (مسجدفاطمیه)")</f>
        <v>منتظران موعود(عج) (مسجدفاطمیه)</v>
      </c>
      <c r="D3572" s="5" t="str">
        <f>IFERROR(__xludf.DUMMYFUNCTION("""COMPUTED_VALUE"""),"کرمانشاه")</f>
        <v>کرمانشاه</v>
      </c>
      <c r="E3572" s="5" t="str">
        <f>IFERROR(__xludf.DUMMYFUNCTION("""COMPUTED_VALUE"""),"کنگاور")</f>
        <v>کنگاور</v>
      </c>
      <c r="F3572" s="5"/>
      <c r="G3572" s="5"/>
      <c r="H3572" s="5"/>
      <c r="I3572" s="5"/>
      <c r="J3572" s="6" t="str">
        <f>IFERROR(__xludf.DUMMYFUNCTION("""COMPUTED_VALUE"""),"https://eitaa.com/Hmontazeran")</f>
        <v>https://eitaa.com/Hmontazeran</v>
      </c>
      <c r="K3572" s="5"/>
      <c r="L3572" s="5"/>
      <c r="M3572" s="5"/>
      <c r="N3572" s="5"/>
      <c r="O3572" s="5"/>
      <c r="P3572" s="5"/>
      <c r="Q3572" s="5"/>
      <c r="R3572" s="5"/>
      <c r="S3572" s="5"/>
    </row>
    <row r="3573">
      <c r="A3573" s="5">
        <f>IFERROR(__xludf.DUMMYFUNCTION("""COMPUTED_VALUE"""),12295.0)</f>
        <v>12295</v>
      </c>
      <c r="B3573" s="5"/>
      <c r="C3573" s="5" t="str">
        <f>IFERROR(__xludf.DUMMYFUNCTION("""COMPUTED_VALUE"""),"ام ابیها(س)")</f>
        <v>ام ابیها(س)</v>
      </c>
      <c r="D3573" s="5" t="str">
        <f>IFERROR(__xludf.DUMMYFUNCTION("""COMPUTED_VALUE"""),"کرمانشاه")</f>
        <v>کرمانشاه</v>
      </c>
      <c r="E3573" s="5" t="str">
        <f>IFERROR(__xludf.DUMMYFUNCTION("""COMPUTED_VALUE"""),"کرمانشاه")</f>
        <v>کرمانشاه</v>
      </c>
      <c r="F3573" s="5"/>
      <c r="G3573" s="5"/>
      <c r="H3573" s="6" t="str">
        <f>IFERROR(__xludf.DUMMYFUNCTION("""COMPUTED_VALUE"""),"https://www.instagram.com/heyat_ome_abiha_kr/")</f>
        <v>https://www.instagram.com/heyat_ome_abiha_kr/</v>
      </c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</row>
    <row r="3574">
      <c r="A3574" s="5">
        <f>IFERROR(__xludf.DUMMYFUNCTION("""COMPUTED_VALUE"""),12227.0)</f>
        <v>12227</v>
      </c>
      <c r="B3574" s="5"/>
      <c r="C3574" s="5" t="str">
        <f>IFERROR(__xludf.DUMMYFUNCTION("""COMPUTED_VALUE"""),"هیات الرضا (ع)")</f>
        <v>هیات الرضا (ع)</v>
      </c>
      <c r="D3574" s="5" t="str">
        <f>IFERROR(__xludf.DUMMYFUNCTION("""COMPUTED_VALUE"""),"کرمانشاه")</f>
        <v>کرمانشاه</v>
      </c>
      <c r="E3574" s="5" t="str">
        <f>IFERROR(__xludf.DUMMYFUNCTION("""COMPUTED_VALUE"""),"کرمانشاه")</f>
        <v>کرمانشاه</v>
      </c>
      <c r="F3574" s="5"/>
      <c r="G3574" s="5"/>
      <c r="H3574" s="6" t="str">
        <f>IFERROR(__xludf.DUMMYFUNCTION("""COMPUTED_VALUE"""),"https://www.instagram.com/heiat_reza_kermanshah/")</f>
        <v>https://www.instagram.com/heiat_reza_kermanshah/</v>
      </c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</row>
    <row r="3575">
      <c r="A3575" s="5">
        <f>IFERROR(__xludf.DUMMYFUNCTION("""COMPUTED_VALUE"""),12224.0)</f>
        <v>12224</v>
      </c>
      <c r="B3575" s="5"/>
      <c r="C3575" s="5" t="str">
        <f>IFERROR(__xludf.DUMMYFUNCTION("""COMPUTED_VALUE"""),"رایه العباس (ع)")</f>
        <v>رایه العباس (ع)</v>
      </c>
      <c r="D3575" s="5" t="str">
        <f>IFERROR(__xludf.DUMMYFUNCTION("""COMPUTED_VALUE"""),"کرمانشاه")</f>
        <v>کرمانشاه</v>
      </c>
      <c r="E3575" s="5" t="str">
        <f>IFERROR(__xludf.DUMMYFUNCTION("""COMPUTED_VALUE"""),"کرمانشاه")</f>
        <v>کرمانشاه</v>
      </c>
      <c r="F3575" s="5"/>
      <c r="G3575" s="5"/>
      <c r="H3575" s="5"/>
      <c r="I3575" s="5"/>
      <c r="J3575" s="6" t="str">
        <f>IFERROR(__xludf.DUMMYFUNCTION("""COMPUTED_VALUE"""),"https://eitaa.com/Rayat_Al_Abbas")</f>
        <v>https://eitaa.com/Rayat_Al_Abbas</v>
      </c>
      <c r="K3575" s="5"/>
      <c r="L3575" s="5"/>
      <c r="M3575" s="5"/>
      <c r="N3575" s="5"/>
      <c r="O3575" s="5"/>
      <c r="P3575" s="5"/>
      <c r="Q3575" s="5"/>
      <c r="R3575" s="5"/>
      <c r="S3575" s="5"/>
    </row>
    <row r="3576">
      <c r="A3576" s="5">
        <f>IFERROR(__xludf.DUMMYFUNCTION("""COMPUTED_VALUE"""),12207.0)</f>
        <v>12207</v>
      </c>
      <c r="B3576" s="5"/>
      <c r="C3576" s="5" t="str">
        <f>IFERROR(__xludf.DUMMYFUNCTION("""COMPUTED_VALUE"""),"سائلین حضرت زهرا (س) / سائلین حضرت زینب (س)")</f>
        <v>سائلین حضرت زهرا (س) / سائلین حضرت زینب (س)</v>
      </c>
      <c r="D3576" s="5" t="str">
        <f>IFERROR(__xludf.DUMMYFUNCTION("""COMPUTED_VALUE"""),"کرمانشاه")</f>
        <v>کرمانشاه</v>
      </c>
      <c r="E3576" s="5" t="str">
        <f>IFERROR(__xludf.DUMMYFUNCTION("""COMPUTED_VALUE"""),"کرمانشاه")</f>
        <v>کرمانشاه</v>
      </c>
      <c r="F3576" s="5"/>
      <c r="G3576" s="5"/>
      <c r="H3576" s="6" t="str">
        <f>IFERROR(__xludf.DUMMYFUNCTION("""COMPUTED_VALUE"""),"https://www.instagram.com/saelinzahra/")</f>
        <v>https://www.instagram.com/saelinzahra/</v>
      </c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</row>
    <row r="3577">
      <c r="A3577" s="5">
        <f>IFERROR(__xludf.DUMMYFUNCTION("""COMPUTED_VALUE"""),12101.0)</f>
        <v>12101</v>
      </c>
      <c r="B3577" s="5"/>
      <c r="C3577" s="5" t="str">
        <f>IFERROR(__xludf.DUMMYFUNCTION("""COMPUTED_VALUE"""),"هیات الزهرا (س)")</f>
        <v>هیات الزهرا (س)</v>
      </c>
      <c r="D3577" s="5" t="str">
        <f>IFERROR(__xludf.DUMMYFUNCTION("""COMPUTED_VALUE"""),"کرمانشاه")</f>
        <v>کرمانشاه</v>
      </c>
      <c r="E3577" s="5" t="str">
        <f>IFERROR(__xludf.DUMMYFUNCTION("""COMPUTED_VALUE"""),"کرمانشاه")</f>
        <v>کرمانشاه</v>
      </c>
      <c r="F3577" s="5"/>
      <c r="G3577" s="5"/>
      <c r="H3577" s="6" t="str">
        <f>IFERROR(__xludf.DUMMYFUNCTION("""COMPUTED_VALUE"""),"https://www.instagram.com/heiatalzahra_kermanshah/")</f>
        <v>https://www.instagram.com/heiatalzahra_kermanshah/</v>
      </c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</row>
    <row r="3578">
      <c r="A3578" s="5"/>
      <c r="B3578" s="5"/>
      <c r="C3578" s="5" t="str">
        <f>IFERROR(__xludf.DUMMYFUNCTION("""COMPUTED_VALUE"""),"مکتب الزهرا (س)")</f>
        <v>مکتب الزهرا (س)</v>
      </c>
      <c r="D3578" s="5" t="str">
        <f>IFERROR(__xludf.DUMMYFUNCTION("""COMPUTED_VALUE"""),"کرمانشاه")</f>
        <v>کرمانشاه</v>
      </c>
      <c r="E3578" s="5" t="str">
        <f>IFERROR(__xludf.DUMMYFUNCTION("""COMPUTED_VALUE"""),"اسلام آبادغرب")</f>
        <v>اسلام آبادغرب</v>
      </c>
      <c r="F3578" s="5"/>
      <c r="G3578" s="5"/>
      <c r="H3578" s="6" t="str">
        <f>IFERROR(__xludf.DUMMYFUNCTION("""COMPUTED_VALUE"""),"https://www.instagram.com/maktab_zahra_31/")</f>
        <v>https://www.instagram.com/maktab_zahra_31/</v>
      </c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</row>
    <row r="3579">
      <c r="A3579" s="5"/>
      <c r="B3579" s="5" t="str">
        <f>IFERROR(__xludf.DUMMYFUNCTION("""COMPUTED_VALUE"""),"هیأت")</f>
        <v>هیأت</v>
      </c>
      <c r="C3579" s="5" t="str">
        <f>IFERROR(__xludf.DUMMYFUNCTION("""COMPUTED_VALUE"""),"امام زمان عج")</f>
        <v>امام زمان عج</v>
      </c>
      <c r="D3579" s="5" t="str">
        <f>IFERROR(__xludf.DUMMYFUNCTION("""COMPUTED_VALUE"""),"کرمانشاه")</f>
        <v>کرمانشاه</v>
      </c>
      <c r="E3579" s="5" t="str">
        <f>IFERROR(__xludf.DUMMYFUNCTION("""COMPUTED_VALUE"""),"کرمانشاه")</f>
        <v>کرمانشاه</v>
      </c>
      <c r="F3579" s="5"/>
      <c r="G3579" s="5"/>
      <c r="H3579" s="5"/>
      <c r="I3579" s="5"/>
      <c r="J3579" s="6" t="str">
        <f>IFERROR(__xludf.DUMMYFUNCTION("""COMPUTED_VALUE"""),"https://eitaa.com/hemamzaman")</f>
        <v>https://eitaa.com/hemamzaman</v>
      </c>
      <c r="K3579" s="5"/>
      <c r="L3579" s="5"/>
      <c r="M3579" s="5"/>
      <c r="N3579" s="5"/>
      <c r="O3579" s="5"/>
      <c r="P3579" s="5"/>
      <c r="Q3579" s="5"/>
      <c r="R3579" s="5"/>
      <c r="S3579" s="5"/>
    </row>
    <row r="3580">
      <c r="A3580" s="5"/>
      <c r="B3580" s="5" t="str">
        <f>IFERROR(__xludf.DUMMYFUNCTION("""COMPUTED_VALUE"""),"حسینیه")</f>
        <v>حسینیه</v>
      </c>
      <c r="C3580" s="5" t="str">
        <f>IFERROR(__xludf.DUMMYFUNCTION("""COMPUTED_VALUE"""),"علمدار")</f>
        <v>علمدار</v>
      </c>
      <c r="D3580" s="5" t="str">
        <f>IFERROR(__xludf.DUMMYFUNCTION("""COMPUTED_VALUE"""),"کرمانشاه")</f>
        <v>کرمانشاه</v>
      </c>
      <c r="E3580" s="5" t="str">
        <f>IFERROR(__xludf.DUMMYFUNCTION("""COMPUTED_VALUE"""),"کرمانشاه")</f>
        <v>کرمانشاه</v>
      </c>
      <c r="F3580" s="5"/>
      <c r="G3580" s="5"/>
      <c r="H3580" s="5"/>
      <c r="I3580" s="5"/>
      <c r="J3580" s="6" t="str">
        <f>IFERROR(__xludf.DUMMYFUNCTION("""COMPUTED_VALUE"""),"https://eitaa.com/alamdar_kermanshah")</f>
        <v>https://eitaa.com/alamdar_kermanshah</v>
      </c>
      <c r="K3580" s="5"/>
      <c r="L3580" s="5"/>
      <c r="M3580" s="5"/>
      <c r="N3580" s="5"/>
      <c r="O3580" s="5"/>
      <c r="P3580" s="5"/>
      <c r="Q3580" s="5"/>
      <c r="R3580" s="5"/>
      <c r="S3580" s="5"/>
    </row>
    <row r="3581">
      <c r="A3581" s="5"/>
      <c r="B3581" s="5" t="str">
        <f>IFERROR(__xludf.DUMMYFUNCTION("""COMPUTED_VALUE"""),"هیأت")</f>
        <v>هیأت</v>
      </c>
      <c r="C3581" s="5" t="str">
        <f>IFERROR(__xludf.DUMMYFUNCTION("""COMPUTED_VALUE"""),"صاحب الزمان ناشنوایان کرمانشاه")</f>
        <v>صاحب الزمان ناشنوایان کرمانشاه</v>
      </c>
      <c r="D3581" s="5" t="str">
        <f>IFERROR(__xludf.DUMMYFUNCTION("""COMPUTED_VALUE"""),"کرمانشاه")</f>
        <v>کرمانشاه</v>
      </c>
      <c r="E3581" s="5" t="str">
        <f>IFERROR(__xludf.DUMMYFUNCTION("""COMPUTED_VALUE"""),"کرمانشاه")</f>
        <v>کرمانشاه</v>
      </c>
      <c r="F3581" s="5"/>
      <c r="G3581" s="5"/>
      <c r="H3581" s="5"/>
      <c r="I3581" s="5"/>
      <c r="J3581" s="6" t="str">
        <f>IFERROR(__xludf.DUMMYFUNCTION("""COMPUTED_VALUE"""),"https://eitaa.com/heyat_saheb_alzaman_deaf")</f>
        <v>https://eitaa.com/heyat_saheb_alzaman_deaf</v>
      </c>
      <c r="K3581" s="5"/>
      <c r="L3581" s="5"/>
      <c r="M3581" s="5"/>
      <c r="N3581" s="5"/>
      <c r="O3581" s="5"/>
      <c r="P3581" s="5"/>
      <c r="Q3581" s="5"/>
      <c r="R3581" s="5"/>
      <c r="S3581" s="5"/>
    </row>
    <row r="3582">
      <c r="A3582" s="5"/>
      <c r="B3582" s="5"/>
      <c r="C3582" s="5" t="str">
        <f>IFERROR(__xludf.DUMMYFUNCTION("""COMPUTED_VALUE"""),"عاشقان علمدار")</f>
        <v>عاشقان علمدار</v>
      </c>
      <c r="D3582" s="5" t="str">
        <f>IFERROR(__xludf.DUMMYFUNCTION("""COMPUTED_VALUE"""),"کرمان")</f>
        <v>کرمان</v>
      </c>
      <c r="E3582" s="5" t="str">
        <f>IFERROR(__xludf.DUMMYFUNCTION("""COMPUTED_VALUE"""),"رفسنجان")</f>
        <v>رفسنجان</v>
      </c>
      <c r="F3582" s="5"/>
      <c r="G3582" s="5"/>
      <c r="H3582" s="6" t="str">
        <f>IFERROR(__xludf.DUMMYFUNCTION("""COMPUTED_VALUE"""),"https://www.instagram.com/alamdar.ra/")</f>
        <v>https://www.instagram.com/alamdar.ra/</v>
      </c>
      <c r="I3582" s="6" t="str">
        <f>IFERROR(__xludf.DUMMYFUNCTION("""COMPUTED_VALUE"""),"t.me/heiat_asheghan_alamdar")</f>
        <v>t.me/heiat_asheghan_alamdar</v>
      </c>
      <c r="J3582" s="5"/>
      <c r="K3582" s="5"/>
      <c r="L3582" s="5"/>
      <c r="M3582" s="5"/>
      <c r="N3582" s="5"/>
      <c r="O3582" s="5"/>
      <c r="P3582" s="5"/>
      <c r="Q3582" s="5"/>
      <c r="R3582" s="5"/>
      <c r="S3582" s="5"/>
    </row>
    <row r="3583">
      <c r="A3583" s="5">
        <f>IFERROR(__xludf.DUMMYFUNCTION("""COMPUTED_VALUE"""),32715.0)</f>
        <v>32715</v>
      </c>
      <c r="B3583" s="5"/>
      <c r="C3583" s="5" t="str">
        <f>IFERROR(__xludf.DUMMYFUNCTION("""COMPUTED_VALUE"""),"سید الساجدین (ع)")</f>
        <v>سید الساجدین (ع)</v>
      </c>
      <c r="D3583" s="5" t="str">
        <f>IFERROR(__xludf.DUMMYFUNCTION("""COMPUTED_VALUE"""),"کرمان")</f>
        <v>کرمان</v>
      </c>
      <c r="E3583" s="5" t="str">
        <f>IFERROR(__xludf.DUMMYFUNCTION("""COMPUTED_VALUE"""),"کرمان")</f>
        <v>کرمان</v>
      </c>
      <c r="F3583" s="5"/>
      <c r="G3583" s="5"/>
      <c r="H3583" s="6" t="str">
        <f>IFERROR(__xludf.DUMMYFUNCTION("""COMPUTED_VALUE"""),"https://www.instagram.com/heyaat_s_sajedin/")</f>
        <v>https://www.instagram.com/heyaat_s_sajedin/</v>
      </c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</row>
    <row r="3584">
      <c r="A3584" s="5">
        <f>IFERROR(__xludf.DUMMYFUNCTION("""COMPUTED_VALUE"""),32713.0)</f>
        <v>32713</v>
      </c>
      <c r="B3584" s="5"/>
      <c r="C3584" s="5" t="str">
        <f>IFERROR(__xludf.DUMMYFUNCTION("""COMPUTED_VALUE"""),"مکتب الزهرا (س)")</f>
        <v>مکتب الزهرا (س)</v>
      </c>
      <c r="D3584" s="5" t="str">
        <f>IFERROR(__xludf.DUMMYFUNCTION("""COMPUTED_VALUE"""),"کرمان")</f>
        <v>کرمان</v>
      </c>
      <c r="E3584" s="5" t="str">
        <f>IFERROR(__xludf.DUMMYFUNCTION("""COMPUTED_VALUE"""),"کرمان")</f>
        <v>کرمان</v>
      </c>
      <c r="F3584" s="5"/>
      <c r="G3584" s="5"/>
      <c r="H3584" s="6" t="str">
        <f>IFERROR(__xludf.DUMMYFUNCTION("""COMPUTED_VALUE"""),"https://www.instagram.com/heyat_maktabol_zahra/")</f>
        <v>https://www.instagram.com/heyat_maktabol_zahra/</v>
      </c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</row>
    <row r="3585">
      <c r="A3585" s="5">
        <f>IFERROR(__xludf.DUMMYFUNCTION("""COMPUTED_VALUE"""),32712.0)</f>
        <v>32712</v>
      </c>
      <c r="B3585" s="5"/>
      <c r="C3585" s="5" t="str">
        <f>IFERROR(__xludf.DUMMYFUNCTION("""COMPUTED_VALUE"""),"فاطمیه")</f>
        <v>فاطمیه</v>
      </c>
      <c r="D3585" s="5" t="str">
        <f>IFERROR(__xludf.DUMMYFUNCTION("""COMPUTED_VALUE"""),"کرمان")</f>
        <v>کرمان</v>
      </c>
      <c r="E3585" s="5" t="str">
        <f>IFERROR(__xludf.DUMMYFUNCTION("""COMPUTED_VALUE"""),"خانوک")</f>
        <v>خانوک</v>
      </c>
      <c r="F3585" s="5"/>
      <c r="G3585" s="5"/>
      <c r="H3585" s="6" t="str">
        <f>IFERROR(__xludf.DUMMYFUNCTION("""COMPUTED_VALUE"""),"https://www.instagram.com/fatemiyeh_khanook/")</f>
        <v>https://www.instagram.com/fatemiyeh_khanook/</v>
      </c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</row>
    <row r="3586">
      <c r="A3586" s="5">
        <f>IFERROR(__xludf.DUMMYFUNCTION("""COMPUTED_VALUE"""),32711.0)</f>
        <v>32711</v>
      </c>
      <c r="B3586" s="5"/>
      <c r="C3586" s="5" t="str">
        <f>IFERROR(__xludf.DUMMYFUNCTION("""COMPUTED_VALUE"""),"مجمع فاطمیون")</f>
        <v>مجمع فاطمیون</v>
      </c>
      <c r="D3586" s="5" t="str">
        <f>IFERROR(__xludf.DUMMYFUNCTION("""COMPUTED_VALUE"""),"کرمان")</f>
        <v>کرمان</v>
      </c>
      <c r="E3586" s="5" t="str">
        <f>IFERROR(__xludf.DUMMYFUNCTION("""COMPUTED_VALUE"""),"کرمان")</f>
        <v>کرمان</v>
      </c>
      <c r="F3586" s="5"/>
      <c r="G3586" s="5"/>
      <c r="H3586" s="6" t="str">
        <f>IFERROR(__xludf.DUMMYFUNCTION("""COMPUTED_VALUE"""),"https://www.instagram.com/fatemiyoon__/")</f>
        <v>https://www.instagram.com/fatemiyoon__/</v>
      </c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</row>
    <row r="3587">
      <c r="A3587" s="5">
        <f>IFERROR(__xludf.DUMMYFUNCTION("""COMPUTED_VALUE"""),25101.0)</f>
        <v>25101</v>
      </c>
      <c r="B3587" s="5"/>
      <c r="C3587" s="5" t="str">
        <f>IFERROR(__xludf.DUMMYFUNCTION("""COMPUTED_VALUE"""),"رایةالمهدی(عج)")</f>
        <v>رایةالمهدی(عج)</v>
      </c>
      <c r="D3587" s="5" t="str">
        <f>IFERROR(__xludf.DUMMYFUNCTION("""COMPUTED_VALUE"""),"کرمان")</f>
        <v>کرمان</v>
      </c>
      <c r="E3587" s="5" t="str">
        <f>IFERROR(__xludf.DUMMYFUNCTION("""COMPUTED_VALUE"""),"کرمان")</f>
        <v>کرمان</v>
      </c>
      <c r="F3587" s="5"/>
      <c r="G3587" s="5"/>
      <c r="H3587" s="6" t="str">
        <f>IFERROR(__xludf.DUMMYFUNCTION("""COMPUTED_VALUE"""),"https://www.instagram.com/heyatrayatolmahdi313/")</f>
        <v>https://www.instagram.com/heyatrayatolmahdi313/</v>
      </c>
      <c r="I3587" s="5"/>
      <c r="J3587" s="6" t="str">
        <f>IFERROR(__xludf.DUMMYFUNCTION("""COMPUTED_VALUE"""),"https://eitaa.com/heyatrayatolmahdi313")</f>
        <v>https://eitaa.com/heyatrayatolmahdi313</v>
      </c>
      <c r="K3587" s="5"/>
      <c r="L3587" s="5"/>
      <c r="M3587" s="5"/>
      <c r="N3587" s="5"/>
      <c r="O3587" s="5"/>
      <c r="P3587" s="5"/>
      <c r="Q3587" s="5"/>
      <c r="R3587" s="5"/>
      <c r="S3587" s="5"/>
    </row>
    <row r="3588">
      <c r="A3588" s="5">
        <f>IFERROR(__xludf.DUMMYFUNCTION("""COMPUTED_VALUE"""),32708.0)</f>
        <v>32708</v>
      </c>
      <c r="B3588" s="5"/>
      <c r="C3588" s="5" t="str">
        <f>IFERROR(__xludf.DUMMYFUNCTION("""COMPUTED_VALUE"""),"جنت الحسن (ع)")</f>
        <v>جنت الحسن (ع)</v>
      </c>
      <c r="D3588" s="5" t="str">
        <f>IFERROR(__xludf.DUMMYFUNCTION("""COMPUTED_VALUE"""),"کرمان")</f>
        <v>کرمان</v>
      </c>
      <c r="E3588" s="5" t="str">
        <f>IFERROR(__xludf.DUMMYFUNCTION("""COMPUTED_VALUE"""),"اختیارآباد")</f>
        <v>اختیارآباد</v>
      </c>
      <c r="F3588" s="5"/>
      <c r="G3588" s="5"/>
      <c r="H3588" s="6" t="str">
        <f>IFERROR(__xludf.DUMMYFUNCTION("""COMPUTED_VALUE"""),"https://www.instagram.com/janatol_hasan_118/")</f>
        <v>https://www.instagram.com/janatol_hasan_118/</v>
      </c>
      <c r="I3588" s="5"/>
      <c r="J3588" s="6" t="str">
        <f>IFERROR(__xludf.DUMMYFUNCTION("""COMPUTED_VALUE"""),"t.me/Janatol_Hasan_118")</f>
        <v>t.me/Janatol_Hasan_118</v>
      </c>
      <c r="K3588" s="5"/>
      <c r="L3588" s="5"/>
      <c r="M3588" s="5"/>
      <c r="N3588" s="5"/>
      <c r="O3588" s="5"/>
      <c r="P3588" s="5"/>
      <c r="Q3588" s="5"/>
      <c r="R3588" s="5"/>
      <c r="S3588" s="5"/>
    </row>
    <row r="3589">
      <c r="A3589" s="5">
        <f>IFERROR(__xludf.DUMMYFUNCTION("""COMPUTED_VALUE"""),32706.0)</f>
        <v>32706</v>
      </c>
      <c r="B3589" s="5"/>
      <c r="C3589" s="5" t="str">
        <f>IFERROR(__xludf.DUMMYFUNCTION("""COMPUTED_VALUE"""),"پسران ام البنین (س)")</f>
        <v>پسران ام البنین (س)</v>
      </c>
      <c r="D3589" s="5" t="str">
        <f>IFERROR(__xludf.DUMMYFUNCTION("""COMPUTED_VALUE"""),"کرمان")</f>
        <v>کرمان</v>
      </c>
      <c r="E3589" s="5" t="str">
        <f>IFERROR(__xludf.DUMMYFUNCTION("""COMPUTED_VALUE"""),"کرمان")</f>
        <v>کرمان</v>
      </c>
      <c r="F3589" s="5"/>
      <c r="G3589" s="5"/>
      <c r="H3589" s="6" t="str">
        <f>IFERROR(__xludf.DUMMYFUNCTION("""COMPUTED_VALUE"""),"https://www.instagram.com/pesaraneomolbanin/")</f>
        <v>https://www.instagram.com/pesaraneomolbanin/</v>
      </c>
      <c r="I3589" s="5"/>
      <c r="J3589" s="6" t="str">
        <f>IFERROR(__xludf.DUMMYFUNCTION("""COMPUTED_VALUE"""),"https://eitaa.com/pesaraneomolbanin")</f>
        <v>https://eitaa.com/pesaraneomolbanin</v>
      </c>
      <c r="K3589" s="5"/>
      <c r="L3589" s="5"/>
      <c r="M3589" s="5"/>
      <c r="N3589" s="5"/>
      <c r="O3589" s="5"/>
      <c r="P3589" s="5"/>
      <c r="Q3589" s="5"/>
      <c r="R3589" s="5"/>
      <c r="S3589" s="5"/>
    </row>
    <row r="3590">
      <c r="A3590" s="5">
        <f>IFERROR(__xludf.DUMMYFUNCTION("""COMPUTED_VALUE"""),32705.0)</f>
        <v>32705</v>
      </c>
      <c r="B3590" s="5"/>
      <c r="C3590" s="5" t="str">
        <f>IFERROR(__xludf.DUMMYFUNCTION("""COMPUTED_VALUE"""),"روضه الزهرا (س)")</f>
        <v>روضه الزهرا (س)</v>
      </c>
      <c r="D3590" s="5" t="str">
        <f>IFERROR(__xludf.DUMMYFUNCTION("""COMPUTED_VALUE"""),"کرمان")</f>
        <v>کرمان</v>
      </c>
      <c r="E3590" s="5" t="str">
        <f>IFERROR(__xludf.DUMMYFUNCTION("""COMPUTED_VALUE"""),"کرمان")</f>
        <v>کرمان</v>
      </c>
      <c r="F3590" s="5"/>
      <c r="G3590" s="5"/>
      <c r="H3590" s="6" t="str">
        <f>IFERROR(__xludf.DUMMYFUNCTION("""COMPUTED_VALUE"""),"https://www.instagram.com/roze_zahra_kerman/")</f>
        <v>https://www.instagram.com/roze_zahra_kerman/</v>
      </c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</row>
    <row r="3591">
      <c r="A3591" s="5">
        <f>IFERROR(__xludf.DUMMYFUNCTION("""COMPUTED_VALUE"""),32704.0)</f>
        <v>32704</v>
      </c>
      <c r="B3591" s="5"/>
      <c r="C3591" s="5" t="str">
        <f>IFERROR(__xludf.DUMMYFUNCTION("""COMPUTED_VALUE"""),"غلامان ابوالفضل العباس(ع)")</f>
        <v>غلامان ابوالفضل العباس(ع)</v>
      </c>
      <c r="D3591" s="5" t="str">
        <f>IFERROR(__xludf.DUMMYFUNCTION("""COMPUTED_VALUE"""),"کرمان")</f>
        <v>کرمان</v>
      </c>
      <c r="E3591" s="5" t="str">
        <f>IFERROR(__xludf.DUMMYFUNCTION("""COMPUTED_VALUE"""),"کرمان")</f>
        <v>کرمان</v>
      </c>
      <c r="F3591" s="5"/>
      <c r="G3591" s="5"/>
      <c r="H3591" s="6" t="str">
        <f>IFERROR(__xludf.DUMMYFUNCTION("""COMPUTED_VALUE"""),"https://www.instagram.com/gholaman_abolfazl/")</f>
        <v>https://www.instagram.com/gholaman_abolfazl/</v>
      </c>
      <c r="I3591" s="6" t="str">
        <f>IFERROR(__xludf.DUMMYFUNCTION("""COMPUTED_VALUE"""),"https://t.me/gholaman_abolfazl")</f>
        <v>https://t.me/gholaman_abolfazl</v>
      </c>
      <c r="J3591" s="5"/>
      <c r="K3591" s="5"/>
      <c r="L3591" s="5"/>
      <c r="M3591" s="5"/>
      <c r="N3591" s="5"/>
      <c r="O3591" s="5"/>
      <c r="P3591" s="5"/>
      <c r="Q3591" s="5"/>
      <c r="R3591" s="5"/>
      <c r="S3591" s="5"/>
    </row>
    <row r="3592">
      <c r="A3592" s="5">
        <f>IFERROR(__xludf.DUMMYFUNCTION("""COMPUTED_VALUE"""),32703.0)</f>
        <v>32703</v>
      </c>
      <c r="B3592" s="5"/>
      <c r="C3592" s="5" t="str">
        <f>IFERROR(__xludf.DUMMYFUNCTION("""COMPUTED_VALUE"""),"بیت الحسن مجتبی (ع)")</f>
        <v>بیت الحسن مجتبی (ع)</v>
      </c>
      <c r="D3592" s="5" t="str">
        <f>IFERROR(__xludf.DUMMYFUNCTION("""COMPUTED_VALUE"""),"کرمان")</f>
        <v>کرمان</v>
      </c>
      <c r="E3592" s="5" t="str">
        <f>IFERROR(__xludf.DUMMYFUNCTION("""COMPUTED_VALUE"""),"کرمان")</f>
        <v>کرمان</v>
      </c>
      <c r="F3592" s="5"/>
      <c r="G3592" s="5"/>
      <c r="H3592" s="6" t="str">
        <f>IFERROR(__xludf.DUMMYFUNCTION("""COMPUTED_VALUE"""),"https://www.instagram.com/beytolhassan_ker/")</f>
        <v>https://www.instagram.com/beytolhassan_ker/</v>
      </c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</row>
    <row r="3593">
      <c r="A3593" s="5">
        <f>IFERROR(__xludf.DUMMYFUNCTION("""COMPUTED_VALUE"""),32702.0)</f>
        <v>32702</v>
      </c>
      <c r="B3593" s="5"/>
      <c r="C3593" s="5" t="str">
        <f>IFERROR(__xludf.DUMMYFUNCTION("""COMPUTED_VALUE"""),"فاطمیون")</f>
        <v>فاطمیون</v>
      </c>
      <c r="D3593" s="5" t="str">
        <f>IFERROR(__xludf.DUMMYFUNCTION("""COMPUTED_VALUE"""),"کرمان")</f>
        <v>کرمان</v>
      </c>
      <c r="E3593" s="5" t="str">
        <f>IFERROR(__xludf.DUMMYFUNCTION("""COMPUTED_VALUE"""),"اندوهجرد")</f>
        <v>اندوهجرد</v>
      </c>
      <c r="F3593" s="5"/>
      <c r="G3593" s="5"/>
      <c r="H3593" s="6" t="str">
        <f>IFERROR(__xludf.DUMMYFUNCTION("""COMPUTED_VALUE"""),"https://www.instagram.com/fatemeyoon_andohjerd/")</f>
        <v>https://www.instagram.com/fatemeyoon_andohjerd/</v>
      </c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</row>
    <row r="3594">
      <c r="A3594" s="5">
        <f>IFERROR(__xludf.DUMMYFUNCTION("""COMPUTED_VALUE"""),32701.0)</f>
        <v>32701</v>
      </c>
      <c r="B3594" s="5"/>
      <c r="C3594" s="5" t="str">
        <f>IFERROR(__xludf.DUMMYFUNCTION("""COMPUTED_VALUE"""),"بیت الزهرا (س)")</f>
        <v>بیت الزهرا (س)</v>
      </c>
      <c r="D3594" s="5" t="str">
        <f>IFERROR(__xludf.DUMMYFUNCTION("""COMPUTED_VALUE"""),"کرمان")</f>
        <v>کرمان</v>
      </c>
      <c r="E3594" s="5" t="str">
        <f>IFERROR(__xludf.DUMMYFUNCTION("""COMPUTED_VALUE"""),"کرمان")</f>
        <v>کرمان</v>
      </c>
      <c r="F3594" s="5"/>
      <c r="G3594" s="5"/>
      <c r="H3594" s="6" t="str">
        <f>IFERROR(__xludf.DUMMYFUNCTION("""COMPUTED_VALUE"""),"https://www.instagram.com/heiat.beitoalzahra.kerman/")</f>
        <v>https://www.instagram.com/heiat.beitoalzahra.kerman/</v>
      </c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</row>
    <row r="3595">
      <c r="A3595" s="5">
        <f>IFERROR(__xludf.DUMMYFUNCTION("""COMPUTED_VALUE"""),32699.0)</f>
        <v>32699</v>
      </c>
      <c r="B3595" s="5"/>
      <c r="C3595" s="5" t="str">
        <f>IFERROR(__xludf.DUMMYFUNCTION("""COMPUTED_VALUE"""),"خادم الرقیه (س)")</f>
        <v>خادم الرقیه (س)</v>
      </c>
      <c r="D3595" s="5" t="str">
        <f>IFERROR(__xludf.DUMMYFUNCTION("""COMPUTED_VALUE"""),"کرمان")</f>
        <v>کرمان</v>
      </c>
      <c r="E3595" s="5" t="str">
        <f>IFERROR(__xludf.DUMMYFUNCTION("""COMPUTED_VALUE"""),"کرمان")</f>
        <v>کرمان</v>
      </c>
      <c r="F3595" s="5"/>
      <c r="G3595" s="5"/>
      <c r="H3595" s="6" t="str">
        <f>IFERROR(__xludf.DUMMYFUNCTION("""COMPUTED_VALUE"""),"https://www.instagram.com/khadem_roghayye/")</f>
        <v>https://www.instagram.com/khadem_roghayye/</v>
      </c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</row>
    <row r="3596">
      <c r="A3596" s="5">
        <f>IFERROR(__xludf.DUMMYFUNCTION("""COMPUTED_VALUE"""),32698.0)</f>
        <v>32698</v>
      </c>
      <c r="B3596" s="5"/>
      <c r="C3596" s="5" t="str">
        <f>IFERROR(__xludf.DUMMYFUNCTION("""COMPUTED_VALUE"""),"سیدالشهدا (ع)")</f>
        <v>سیدالشهدا (ع)</v>
      </c>
      <c r="D3596" s="5" t="str">
        <f>IFERROR(__xludf.DUMMYFUNCTION("""COMPUTED_VALUE"""),"کرمان")</f>
        <v>کرمان</v>
      </c>
      <c r="E3596" s="5" t="str">
        <f>IFERROR(__xludf.DUMMYFUNCTION("""COMPUTED_VALUE"""),"کرمان")</f>
        <v>کرمان</v>
      </c>
      <c r="F3596" s="5"/>
      <c r="G3596" s="5"/>
      <c r="H3596" s="6" t="str">
        <f>IFERROR(__xludf.DUMMYFUNCTION("""COMPUTED_VALUE"""),"https://www.instagram.com/heyatseyedoshohada_kerman/")</f>
        <v>https://www.instagram.com/heyatseyedoshohada_kerman/</v>
      </c>
      <c r="I3596" s="6" t="str">
        <f>IFERROR(__xludf.DUMMYFUNCTION("""COMPUTED_VALUE"""),"t.me/heyatseyedoshohada_kerman")</f>
        <v>t.me/heyatseyedoshohada_kerman</v>
      </c>
      <c r="J3596" s="5"/>
      <c r="K3596" s="5"/>
      <c r="L3596" s="5"/>
      <c r="M3596" s="5"/>
      <c r="N3596" s="5"/>
      <c r="O3596" s="5"/>
      <c r="P3596" s="5"/>
      <c r="Q3596" s="5"/>
      <c r="R3596" s="5"/>
      <c r="S3596" s="5"/>
    </row>
    <row r="3597">
      <c r="A3597" s="5">
        <f>IFERROR(__xludf.DUMMYFUNCTION("""COMPUTED_VALUE"""),32695.0)</f>
        <v>32695</v>
      </c>
      <c r="B3597" s="5"/>
      <c r="C3597" s="5" t="str">
        <f>IFERROR(__xludf.DUMMYFUNCTION("""COMPUTED_VALUE"""),"محفل زوارالحسین (ع) کاظم اباد")</f>
        <v>محفل زوارالحسین (ع) کاظم اباد</v>
      </c>
      <c r="D3597" s="5" t="str">
        <f>IFERROR(__xludf.DUMMYFUNCTION("""COMPUTED_VALUE"""),"کرمان")</f>
        <v>کرمان</v>
      </c>
      <c r="E3597" s="5" t="str">
        <f>IFERROR(__xludf.DUMMYFUNCTION("""COMPUTED_VALUE"""),"کاظم آباد")</f>
        <v>کاظم آباد</v>
      </c>
      <c r="F3597" s="5"/>
      <c r="G3597" s="5"/>
      <c r="H3597" s="6" t="str">
        <f>IFERROR(__xludf.DUMMYFUNCTION("""COMPUTED_VALUE"""),"https://www.instagram.com/zovar_olhossein/")</f>
        <v>https://www.instagram.com/zovar_olhossein/</v>
      </c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</row>
    <row r="3598">
      <c r="A3598" s="5"/>
      <c r="B3598" s="5"/>
      <c r="C3598" s="5" t="str">
        <f>IFERROR(__xludf.DUMMYFUNCTION("""COMPUTED_VALUE"""),"معراج الحسین (ع)")</f>
        <v>معراج الحسین (ع)</v>
      </c>
      <c r="D3598" s="5" t="str">
        <f>IFERROR(__xludf.DUMMYFUNCTION("""COMPUTED_VALUE"""),"کرمان")</f>
        <v>کرمان</v>
      </c>
      <c r="E3598" s="5" t="str">
        <f>IFERROR(__xludf.DUMMYFUNCTION("""COMPUTED_VALUE"""),"کرمان")</f>
        <v>کرمان</v>
      </c>
      <c r="F3598" s="5"/>
      <c r="G3598" s="5"/>
      <c r="H3598" s="6" t="str">
        <f>IFERROR(__xludf.DUMMYFUNCTION("""COMPUTED_VALUE"""),"https://www.instagram.com/meraj_hosein_kerman/")</f>
        <v>https://www.instagram.com/meraj_hosein_kerman/</v>
      </c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</row>
    <row r="3599">
      <c r="A3599" s="5">
        <f>IFERROR(__xludf.DUMMYFUNCTION("""COMPUTED_VALUE"""),32672.0)</f>
        <v>32672</v>
      </c>
      <c r="B3599" s="5"/>
      <c r="C3599" s="5" t="str">
        <f>IFERROR(__xludf.DUMMYFUNCTION("""COMPUTED_VALUE"""),"نمایش عروسکی سیار بچه های امام حسین ع")</f>
        <v>نمایش عروسکی سیار بچه های امام حسین ع</v>
      </c>
      <c r="D3599" s="5" t="str">
        <f>IFERROR(__xludf.DUMMYFUNCTION("""COMPUTED_VALUE"""),"کرمان")</f>
        <v>کرمان</v>
      </c>
      <c r="E3599" s="5" t="str">
        <f>IFERROR(__xludf.DUMMYFUNCTION("""COMPUTED_VALUE"""),"شهربابک")</f>
        <v>شهربابک</v>
      </c>
      <c r="F3599" s="5"/>
      <c r="G3599" s="5"/>
      <c r="H3599" s="6" t="str">
        <f>IFERROR(__xludf.DUMMYFUNCTION("""COMPUTED_VALUE"""),"https://www.instagram.com/baziran.shahrbabak")</f>
        <v>https://www.instagram.com/baziran.shahrbabak</v>
      </c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</row>
    <row r="3600">
      <c r="A3600" s="5">
        <f>IFERROR(__xludf.DUMMYFUNCTION("""COMPUTED_VALUE"""),32649.0)</f>
        <v>32649</v>
      </c>
      <c r="B3600" s="5"/>
      <c r="C3600" s="5" t="str">
        <f>IFERROR(__xludf.DUMMYFUNCTION("""COMPUTED_VALUE"""),"گلخانه های کودک")</f>
        <v>گلخانه های کودک</v>
      </c>
      <c r="D3600" s="5" t="str">
        <f>IFERROR(__xludf.DUMMYFUNCTION("""COMPUTED_VALUE"""),"کرمان")</f>
        <v>کرمان</v>
      </c>
      <c r="E3600" s="5" t="str">
        <f>IFERROR(__xludf.DUMMYFUNCTION("""COMPUTED_VALUE"""),"کرمان")</f>
        <v>کرمان</v>
      </c>
      <c r="F3600" s="5"/>
      <c r="G3600" s="5"/>
      <c r="H3600" s="6" t="str">
        <f>IFERROR(__xludf.DUMMYFUNCTION("""COMPUTED_VALUE"""),"https://www.instagram.com/golkhane_koodak/")</f>
        <v>https://www.instagram.com/golkhane_koodak/</v>
      </c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</row>
    <row r="3601">
      <c r="A3601" s="5">
        <f>IFERROR(__xludf.DUMMYFUNCTION("""COMPUTED_VALUE"""),30386.0)</f>
        <v>30386</v>
      </c>
      <c r="B3601" s="5"/>
      <c r="C3601" s="5" t="str">
        <f>IFERROR(__xludf.DUMMYFUNCTION("""COMPUTED_VALUE"""),"روضه الرقیه (س) محله سعیدی")</f>
        <v>روضه الرقیه (س) محله سعیدی</v>
      </c>
      <c r="D3601" s="5" t="str">
        <f>IFERROR(__xludf.DUMMYFUNCTION("""COMPUTED_VALUE"""),"کرمان")</f>
        <v>کرمان</v>
      </c>
      <c r="E3601" s="5" t="str">
        <f>IFERROR(__xludf.DUMMYFUNCTION("""COMPUTED_VALUE"""),"کرمان")</f>
        <v>کرمان</v>
      </c>
      <c r="F3601" s="5"/>
      <c r="G3601" s="5"/>
      <c r="H3601" s="6" t="str">
        <f>IFERROR(__xludf.DUMMYFUNCTION("""COMPUTED_VALUE"""),"https://www.instagram.com/rozatolrogheyeh_315/")</f>
        <v>https://www.instagram.com/rozatolrogheyeh_315/</v>
      </c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</row>
    <row r="3602">
      <c r="A3602" s="5">
        <f>IFERROR(__xludf.DUMMYFUNCTION("""COMPUTED_VALUE"""),30385.0)</f>
        <v>30385</v>
      </c>
      <c r="B3602" s="5"/>
      <c r="C3602" s="5" t="str">
        <f>IFERROR(__xludf.DUMMYFUNCTION("""COMPUTED_VALUE"""),"هیات رهروان شهدا متوسلین به حضرت رقیه س رباط")</f>
        <v>هیات رهروان شهدا متوسلین به حضرت رقیه س رباط</v>
      </c>
      <c r="D3602" s="5" t="str">
        <f>IFERROR(__xludf.DUMMYFUNCTION("""COMPUTED_VALUE"""),"کرمان")</f>
        <v>کرمان</v>
      </c>
      <c r="E3602" s="5" t="str">
        <f>IFERROR(__xludf.DUMMYFUNCTION("""COMPUTED_VALUE"""),"کرمان")</f>
        <v>کرمان</v>
      </c>
      <c r="F3602" s="5"/>
      <c r="G3602" s="5"/>
      <c r="H3602" s="6" t="str">
        <f>IFERROR(__xludf.DUMMYFUNCTION("""COMPUTED_VALUE"""),"https://www.instagram.com/rahrovanshohadarobat_315/")</f>
        <v>https://www.instagram.com/rahrovanshohadarobat_315/</v>
      </c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</row>
    <row r="3603">
      <c r="A3603" s="5">
        <f>IFERROR(__xludf.DUMMYFUNCTION("""COMPUTED_VALUE"""),29925.0)</f>
        <v>29925</v>
      </c>
      <c r="B3603" s="5"/>
      <c r="C3603" s="5" t="str">
        <f>IFERROR(__xludf.DUMMYFUNCTION("""COMPUTED_VALUE"""),"هیات شهید حججی")</f>
        <v>هیات شهید حججی</v>
      </c>
      <c r="D3603" s="5" t="str">
        <f>IFERROR(__xludf.DUMMYFUNCTION("""COMPUTED_VALUE"""),"کرمان")</f>
        <v>کرمان</v>
      </c>
      <c r="E3603" s="5" t="str">
        <f>IFERROR(__xludf.DUMMYFUNCTION("""COMPUTED_VALUE"""),"کرمان")</f>
        <v>کرمان</v>
      </c>
      <c r="F3603" s="5"/>
      <c r="G3603" s="5"/>
      <c r="H3603" s="5"/>
      <c r="I3603" s="5"/>
      <c r="J3603" s="6" t="str">
        <f>IFERROR(__xludf.DUMMYFUNCTION("""COMPUTED_VALUE"""),"https://eitaa.com/Heiat_Shahid_Mohsen_Hojaji")</f>
        <v>https://eitaa.com/Heiat_Shahid_Mohsen_Hojaji</v>
      </c>
      <c r="K3603" s="5"/>
      <c r="L3603" s="5"/>
      <c r="M3603" s="5"/>
      <c r="N3603" s="5"/>
      <c r="O3603" s="5"/>
      <c r="P3603" s="5"/>
      <c r="Q3603" s="5"/>
      <c r="R3603" s="5"/>
      <c r="S3603" s="5"/>
    </row>
    <row r="3604">
      <c r="A3604" s="5">
        <f>IFERROR(__xludf.DUMMYFUNCTION("""COMPUTED_VALUE"""),29921.0)</f>
        <v>29921</v>
      </c>
      <c r="B3604" s="5"/>
      <c r="C3604" s="5" t="str">
        <f>IFERROR(__xludf.DUMMYFUNCTION("""COMPUTED_VALUE"""),"هیأت دوازده امام کرمان")</f>
        <v>هیأت دوازده امام کرمان</v>
      </c>
      <c r="D3604" s="5" t="str">
        <f>IFERROR(__xludf.DUMMYFUNCTION("""COMPUTED_VALUE"""),"کرمان")</f>
        <v>کرمان</v>
      </c>
      <c r="E3604" s="5" t="str">
        <f>IFERROR(__xludf.DUMMYFUNCTION("""COMPUTED_VALUE"""),"کرمان")</f>
        <v>کرمان</v>
      </c>
      <c r="F3604" s="5"/>
      <c r="G3604" s="5"/>
      <c r="H3604" s="6" t="str">
        <f>IFERROR(__xludf.DUMMYFUNCTION("""COMPUTED_VALUE"""),"https://www.instagram.com/heyat.12emam/")</f>
        <v>https://www.instagram.com/heyat.12emam/</v>
      </c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</row>
    <row r="3605">
      <c r="A3605" s="5">
        <f>IFERROR(__xludf.DUMMYFUNCTION("""COMPUTED_VALUE"""),29381.0)</f>
        <v>29381</v>
      </c>
      <c r="B3605" s="5"/>
      <c r="C3605" s="5" t="str">
        <f>IFERROR(__xludf.DUMMYFUNCTION("""COMPUTED_VALUE"""),"اجتماع مدافعان حریم ولایت")</f>
        <v>اجتماع مدافعان حریم ولایت</v>
      </c>
      <c r="D3605" s="5" t="str">
        <f>IFERROR(__xludf.DUMMYFUNCTION("""COMPUTED_VALUE"""),"کرمان")</f>
        <v>کرمان</v>
      </c>
      <c r="E3605" s="5" t="str">
        <f>IFERROR(__xludf.DUMMYFUNCTION("""COMPUTED_VALUE"""),"نرماشیر")</f>
        <v>نرماشیر</v>
      </c>
      <c r="F3605" s="5"/>
      <c r="G3605" s="5"/>
      <c r="H3605" s="6" t="str">
        <f>IFERROR(__xludf.DUMMYFUNCTION("""COMPUTED_VALUE"""),"https://www.instagram.com/modafein__harimvelayat/")</f>
        <v>https://www.instagram.com/modafein__harimvelayat/</v>
      </c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</row>
    <row r="3606">
      <c r="A3606" s="5">
        <f>IFERROR(__xludf.DUMMYFUNCTION("""COMPUTED_VALUE"""),26637.0)</f>
        <v>26637</v>
      </c>
      <c r="B3606" s="5"/>
      <c r="C3606" s="5" t="str">
        <f>IFERROR(__xludf.DUMMYFUNCTION("""COMPUTED_VALUE"""),"منتظران یوسف زهرا (عج) حاجی آباد")</f>
        <v>منتظران یوسف زهرا (عج) حاجی آباد</v>
      </c>
      <c r="D3606" s="5" t="str">
        <f>IFERROR(__xludf.DUMMYFUNCTION("""COMPUTED_VALUE"""),"کرمان")</f>
        <v>کرمان</v>
      </c>
      <c r="E3606" s="5" t="str">
        <f>IFERROR(__xludf.DUMMYFUNCTION("""COMPUTED_VALUE"""),"کرمان")</f>
        <v>کرمان</v>
      </c>
      <c r="F3606" s="5"/>
      <c r="G3606" s="5"/>
      <c r="H3606" s="6" t="str">
        <f>IFERROR(__xludf.DUMMYFUNCTION("""COMPUTED_VALUE"""),"https://www.instagram.com/montazeran88/")</f>
        <v>https://www.instagram.com/montazeran88/</v>
      </c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</row>
    <row r="3607">
      <c r="A3607" s="5">
        <f>IFERROR(__xludf.DUMMYFUNCTION("""COMPUTED_VALUE"""),26351.0)</f>
        <v>26351</v>
      </c>
      <c r="B3607" s="5"/>
      <c r="C3607" s="5" t="str">
        <f>IFERROR(__xludf.DUMMYFUNCTION("""COMPUTED_VALUE"""),"عشاق الرسول (ص)")</f>
        <v>عشاق الرسول (ص)</v>
      </c>
      <c r="D3607" s="5" t="str">
        <f>IFERROR(__xludf.DUMMYFUNCTION("""COMPUTED_VALUE"""),"کرمان")</f>
        <v>کرمان</v>
      </c>
      <c r="E3607" s="5" t="str">
        <f>IFERROR(__xludf.DUMMYFUNCTION("""COMPUTED_VALUE"""),"زرند")</f>
        <v>زرند</v>
      </c>
      <c r="F3607" s="5"/>
      <c r="G3607" s="5"/>
      <c r="H3607" s="6" t="str">
        <f>IFERROR(__xludf.DUMMYFUNCTION("""COMPUTED_VALUE"""),"https://www.instagram.com/oshaghorasool_cyb2/")</f>
        <v>https://www.instagram.com/oshaghorasool_cyb2/</v>
      </c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</row>
    <row r="3608">
      <c r="A3608" s="5">
        <f>IFERROR(__xludf.DUMMYFUNCTION("""COMPUTED_VALUE"""),26348.0)</f>
        <v>26348</v>
      </c>
      <c r="B3608" s="5"/>
      <c r="C3608" s="5" t="str">
        <f>IFERROR(__xludf.DUMMYFUNCTION("""COMPUTED_VALUE"""),"فاطمیون شهدای گمنام")</f>
        <v>فاطمیون شهدای گمنام</v>
      </c>
      <c r="D3608" s="5" t="str">
        <f>IFERROR(__xludf.DUMMYFUNCTION("""COMPUTED_VALUE"""),"کرمان")</f>
        <v>کرمان</v>
      </c>
      <c r="E3608" s="5" t="str">
        <f>IFERROR(__xludf.DUMMYFUNCTION("""COMPUTED_VALUE"""),"قلعه گنج")</f>
        <v>قلعه گنج</v>
      </c>
      <c r="F3608" s="5"/>
      <c r="G3608" s="5"/>
      <c r="H3608" s="6" t="str">
        <f>IFERROR(__xludf.DUMMYFUNCTION("""COMPUTED_VALUE"""),"https://www.instagram.com/shohadaygomnam.ghaleganj/")</f>
        <v>https://www.instagram.com/shohadaygomnam.ghaleganj/</v>
      </c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</row>
    <row r="3609">
      <c r="A3609" s="5">
        <f>IFERROR(__xludf.DUMMYFUNCTION("""COMPUTED_VALUE"""),26346.0)</f>
        <v>26346</v>
      </c>
      <c r="B3609" s="5"/>
      <c r="C3609" s="5" t="str">
        <f>IFERROR(__xludf.DUMMYFUNCTION("""COMPUTED_VALUE"""),"حضرت علی اصغر (ع) منطقه سلیمانیه")</f>
        <v>حضرت علی اصغر (ع) منطقه سلیمانیه</v>
      </c>
      <c r="D3609" s="5" t="str">
        <f>IFERROR(__xludf.DUMMYFUNCTION("""COMPUTED_VALUE"""),"کرمان")</f>
        <v>کرمان</v>
      </c>
      <c r="E3609" s="5" t="str">
        <f>IFERROR(__xludf.DUMMYFUNCTION("""COMPUTED_VALUE"""),"سیرجان")</f>
        <v>سیرجان</v>
      </c>
      <c r="F3609" s="5"/>
      <c r="G3609" s="5"/>
      <c r="H3609" s="6" t="str">
        <f>IFERROR(__xludf.DUMMYFUNCTION("""COMPUTED_VALUE"""),"https://www.instagram.com/aliasghar_soleymanieh/")</f>
        <v>https://www.instagram.com/aliasghar_soleymanieh/</v>
      </c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</row>
    <row r="3610">
      <c r="A3610" s="5">
        <f>IFERROR(__xludf.DUMMYFUNCTION("""COMPUTED_VALUE"""),26341.0)</f>
        <v>26341</v>
      </c>
      <c r="B3610" s="5"/>
      <c r="C3610" s="5" t="str">
        <f>IFERROR(__xludf.DUMMYFUNCTION("""COMPUTED_VALUE"""),"فاطمیه")</f>
        <v>فاطمیه</v>
      </c>
      <c r="D3610" s="5" t="str">
        <f>IFERROR(__xludf.DUMMYFUNCTION("""COMPUTED_VALUE"""),"کرمان")</f>
        <v>کرمان</v>
      </c>
      <c r="E3610" s="5" t="str">
        <f>IFERROR(__xludf.DUMMYFUNCTION("""COMPUTED_VALUE"""),"کرمان")</f>
        <v>کرمان</v>
      </c>
      <c r="F3610" s="5"/>
      <c r="G3610" s="5"/>
      <c r="H3610" s="6" t="str">
        <f>IFERROR(__xludf.DUMMYFUNCTION("""COMPUTED_VALUE"""),"https://www.instagram.com/heyat_fatemiyeh_kerman/")</f>
        <v>https://www.instagram.com/heyat_fatemiyeh_kerman/</v>
      </c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</row>
    <row r="3611">
      <c r="A3611" s="5">
        <f>IFERROR(__xludf.DUMMYFUNCTION("""COMPUTED_VALUE"""),25109.0)</f>
        <v>25109</v>
      </c>
      <c r="B3611" s="5"/>
      <c r="C3611" s="5" t="str">
        <f>IFERROR(__xludf.DUMMYFUNCTION("""COMPUTED_VALUE"""),"مسجد جامع")</f>
        <v>مسجد جامع</v>
      </c>
      <c r="D3611" s="5" t="str">
        <f>IFERROR(__xludf.DUMMYFUNCTION("""COMPUTED_VALUE"""),"کرمان")</f>
        <v>کرمان</v>
      </c>
      <c r="E3611" s="5" t="str">
        <f>IFERROR(__xludf.DUMMYFUNCTION("""COMPUTED_VALUE"""),"کوهبنان")</f>
        <v>کوهبنان</v>
      </c>
      <c r="F3611" s="5"/>
      <c r="G3611" s="5"/>
      <c r="H3611" s="6" t="str">
        <f>IFERROR(__xludf.DUMMYFUNCTION("""COMPUTED_VALUE"""),"https://www.instagram.com/masjedjamekouhbanan/")</f>
        <v>https://www.instagram.com/masjedjamekouhbanan/</v>
      </c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</row>
    <row r="3612">
      <c r="A3612" s="5">
        <f>IFERROR(__xludf.DUMMYFUNCTION("""COMPUTED_VALUE"""),25107.0)</f>
        <v>25107</v>
      </c>
      <c r="B3612" s="5"/>
      <c r="C3612" s="5" t="str">
        <f>IFERROR(__xludf.DUMMYFUNCTION("""COMPUTED_VALUE"""),"باقر العلوم (ع)")</f>
        <v>باقر العلوم (ع)</v>
      </c>
      <c r="D3612" s="5" t="str">
        <f>IFERROR(__xludf.DUMMYFUNCTION("""COMPUTED_VALUE"""),"کرمان")</f>
        <v>کرمان</v>
      </c>
      <c r="E3612" s="5" t="str">
        <f>IFERROR(__xludf.DUMMYFUNCTION("""COMPUTED_VALUE"""),"کرمان")</f>
        <v>کرمان</v>
      </c>
      <c r="F3612" s="5"/>
      <c r="G3612" s="5"/>
      <c r="H3612" s="5"/>
      <c r="I3612" s="5"/>
      <c r="J3612" s="6" t="str">
        <f>IFERROR(__xludf.DUMMYFUNCTION("""COMPUTED_VALUE"""),"https://eitaa.com/heatbagheralolomkerman")</f>
        <v>https://eitaa.com/heatbagheralolomkerman</v>
      </c>
      <c r="K3612" s="5"/>
      <c r="L3612" s="5"/>
      <c r="M3612" s="5"/>
      <c r="N3612" s="5"/>
      <c r="O3612" s="5"/>
      <c r="P3612" s="5"/>
      <c r="Q3612" s="5"/>
      <c r="R3612" s="5"/>
      <c r="S3612" s="5"/>
    </row>
    <row r="3613">
      <c r="A3613" s="5">
        <f>IFERROR(__xludf.DUMMYFUNCTION("""COMPUTED_VALUE"""),20912.0)</f>
        <v>20912</v>
      </c>
      <c r="B3613" s="5"/>
      <c r="C3613" s="5" t="str">
        <f>IFERROR(__xludf.DUMMYFUNCTION("""COMPUTED_VALUE"""),"هیات الزهرا (س)")</f>
        <v>هیات الزهرا (س)</v>
      </c>
      <c r="D3613" s="5" t="str">
        <f>IFERROR(__xludf.DUMMYFUNCTION("""COMPUTED_VALUE"""),"کرمان")</f>
        <v>کرمان</v>
      </c>
      <c r="E3613" s="5" t="str">
        <f>IFERROR(__xludf.DUMMYFUNCTION("""COMPUTED_VALUE"""),"کرمان")</f>
        <v>کرمان</v>
      </c>
      <c r="F3613" s="5"/>
      <c r="G3613" s="5"/>
      <c r="H3613" s="6" t="str">
        <f>IFERROR(__xludf.DUMMYFUNCTION("""COMPUTED_VALUE"""),"https://www.instagram.com/heyatozahrakerman.ir/")</f>
        <v>https://www.instagram.com/heyatozahrakerman.ir/</v>
      </c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</row>
    <row r="3614">
      <c r="A3614" s="5">
        <f>IFERROR(__xludf.DUMMYFUNCTION("""COMPUTED_VALUE"""),20910.0)</f>
        <v>20910</v>
      </c>
      <c r="B3614" s="5"/>
      <c r="C3614" s="5" t="str">
        <f>IFERROR(__xludf.DUMMYFUNCTION("""COMPUTED_VALUE"""),"شیفتگان حضرت رقیه (س)")</f>
        <v>شیفتگان حضرت رقیه (س)</v>
      </c>
      <c r="D3614" s="5" t="str">
        <f>IFERROR(__xludf.DUMMYFUNCTION("""COMPUTED_VALUE"""),"کرمان")</f>
        <v>کرمان</v>
      </c>
      <c r="E3614" s="5" t="str">
        <f>IFERROR(__xludf.DUMMYFUNCTION("""COMPUTED_VALUE"""),"ماهان")</f>
        <v>ماهان</v>
      </c>
      <c r="F3614" s="5"/>
      <c r="G3614" s="5"/>
      <c r="H3614" s="6" t="str">
        <f>IFERROR(__xludf.DUMMYFUNCTION("""COMPUTED_VALUE"""),"https://www.instagram.com/heiat_hazrat_roghaye_/")</f>
        <v>https://www.instagram.com/heiat_hazrat_roghaye_/</v>
      </c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</row>
    <row r="3615">
      <c r="A3615" s="5">
        <f>IFERROR(__xludf.DUMMYFUNCTION("""COMPUTED_VALUE"""),20906.0)</f>
        <v>20906</v>
      </c>
      <c r="B3615" s="5"/>
      <c r="C3615" s="5" t="str">
        <f>IFERROR(__xludf.DUMMYFUNCTION("""COMPUTED_VALUE"""),"ام المصائب")</f>
        <v>ام المصائب</v>
      </c>
      <c r="D3615" s="5" t="str">
        <f>IFERROR(__xludf.DUMMYFUNCTION("""COMPUTED_VALUE"""),"کرمان")</f>
        <v>کرمان</v>
      </c>
      <c r="E3615" s="5" t="str">
        <f>IFERROR(__xludf.DUMMYFUNCTION("""COMPUTED_VALUE"""),"بم")</f>
        <v>بم</v>
      </c>
      <c r="F3615" s="5"/>
      <c r="G3615" s="5"/>
      <c r="H3615" s="5"/>
      <c r="I3615" s="5"/>
      <c r="J3615" s="6" t="str">
        <f>IFERROR(__xludf.DUMMYFUNCTION("""COMPUTED_VALUE"""),"https://eitaa.com/HeyateHazrateOmmulMasaeb")</f>
        <v>https://eitaa.com/HeyateHazrateOmmulMasaeb</v>
      </c>
      <c r="K3615" s="5"/>
      <c r="L3615" s="5"/>
      <c r="M3615" s="5"/>
      <c r="N3615" s="5"/>
      <c r="O3615" s="5"/>
      <c r="P3615" s="5"/>
      <c r="Q3615" s="5"/>
      <c r="R3615" s="5"/>
      <c r="S3615" s="5"/>
    </row>
    <row r="3616">
      <c r="A3616" s="5">
        <f>IFERROR(__xludf.DUMMYFUNCTION("""COMPUTED_VALUE"""),20905.0)</f>
        <v>20905</v>
      </c>
      <c r="B3616" s="5"/>
      <c r="C3616" s="5" t="str">
        <f>IFERROR(__xludf.DUMMYFUNCTION("""COMPUTED_VALUE"""),"آل یاسین (حسین آباد پشترود)")</f>
        <v>آل یاسین (حسین آباد پشترود)</v>
      </c>
      <c r="D3616" s="5" t="str">
        <f>IFERROR(__xludf.DUMMYFUNCTION("""COMPUTED_VALUE"""),"کرمان")</f>
        <v>کرمان</v>
      </c>
      <c r="E3616" s="5" t="str">
        <f>IFERROR(__xludf.DUMMYFUNCTION("""COMPUTED_VALUE"""),"کرمان")</f>
        <v>کرمان</v>
      </c>
      <c r="F3616" s="5"/>
      <c r="G3616" s="5"/>
      <c r="H3616" s="6" t="str">
        <f>IFERROR(__xludf.DUMMYFUNCTION("""COMPUTED_VALUE"""),"https://www.instagram.com/heiate.al_yassin/")</f>
        <v>https://www.instagram.com/heiate.al_yassin/</v>
      </c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</row>
    <row r="3617">
      <c r="A3617" s="5">
        <f>IFERROR(__xludf.DUMMYFUNCTION("""COMPUTED_VALUE"""),20903.0)</f>
        <v>20903</v>
      </c>
      <c r="B3617" s="5"/>
      <c r="C3617" s="5" t="str">
        <f>IFERROR(__xludf.DUMMYFUNCTION("""COMPUTED_VALUE"""),"حضرت ابوالفضل العباس (ع)")</f>
        <v>حضرت ابوالفضل العباس (ع)</v>
      </c>
      <c r="D3617" s="5" t="str">
        <f>IFERROR(__xludf.DUMMYFUNCTION("""COMPUTED_VALUE"""),"کرمان")</f>
        <v>کرمان</v>
      </c>
      <c r="E3617" s="5" t="str">
        <f>IFERROR(__xludf.DUMMYFUNCTION("""COMPUTED_VALUE"""),"کرمان")</f>
        <v>کرمان</v>
      </c>
      <c r="F3617" s="5"/>
      <c r="G3617" s="5"/>
      <c r="H3617" s="6" t="str">
        <f>IFERROR(__xludf.DUMMYFUNCTION("""COMPUTED_VALUE"""),"https://www.instagram.com/heiat_abolfazl_kerman/")</f>
        <v>https://www.instagram.com/heiat_abolfazl_kerman/</v>
      </c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</row>
    <row r="3618">
      <c r="A3618" s="5">
        <f>IFERROR(__xludf.DUMMYFUNCTION("""COMPUTED_VALUE"""),20888.0)</f>
        <v>20888</v>
      </c>
      <c r="B3618" s="5"/>
      <c r="C3618" s="5" t="str">
        <f>IFERROR(__xludf.DUMMYFUNCTION("""COMPUTED_VALUE"""),"جوانان خادم الرضا(ع)")</f>
        <v>جوانان خادم الرضا(ع)</v>
      </c>
      <c r="D3618" s="5" t="str">
        <f>IFERROR(__xludf.DUMMYFUNCTION("""COMPUTED_VALUE"""),"کرمان")</f>
        <v>کرمان</v>
      </c>
      <c r="E3618" s="5" t="str">
        <f>IFERROR(__xludf.DUMMYFUNCTION("""COMPUTED_VALUE"""),"بردسیر")</f>
        <v>بردسیر</v>
      </c>
      <c r="F3618" s="5"/>
      <c r="G3618" s="5"/>
      <c r="H3618" s="6" t="str">
        <f>IFERROR(__xludf.DUMMYFUNCTION("""COMPUTED_VALUE"""),"https://www.instagram.com/khademreza_resane/")</f>
        <v>https://www.instagram.com/khademreza_resane/</v>
      </c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</row>
    <row r="3619">
      <c r="A3619" s="5">
        <f>IFERROR(__xludf.DUMMYFUNCTION("""COMPUTED_VALUE"""),20886.0)</f>
        <v>20886</v>
      </c>
      <c r="B3619" s="5"/>
      <c r="C3619" s="5" t="str">
        <f>IFERROR(__xludf.DUMMYFUNCTION("""COMPUTED_VALUE"""),"اباعبدالله الحسین (ع)")</f>
        <v>اباعبدالله الحسین (ع)</v>
      </c>
      <c r="D3619" s="5" t="str">
        <f>IFERROR(__xludf.DUMMYFUNCTION("""COMPUTED_VALUE"""),"کرمان")</f>
        <v>کرمان</v>
      </c>
      <c r="E3619" s="5" t="str">
        <f>IFERROR(__xludf.DUMMYFUNCTION("""COMPUTED_VALUE"""),"رفسنجان")</f>
        <v>رفسنجان</v>
      </c>
      <c r="F3619" s="5"/>
      <c r="G3619" s="5"/>
      <c r="H3619" s="6" t="str">
        <f>IFERROR(__xludf.DUMMYFUNCTION("""COMPUTED_VALUE"""),"https://www.instagram.com/heiat.abaabdelah/")</f>
        <v>https://www.instagram.com/heiat.abaabdelah/</v>
      </c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</row>
    <row r="3620">
      <c r="A3620" s="5">
        <f>IFERROR(__xludf.DUMMYFUNCTION("""COMPUTED_VALUE"""),20649.0)</f>
        <v>20649</v>
      </c>
      <c r="B3620" s="5"/>
      <c r="C3620" s="5" t="str">
        <f>IFERROR(__xludf.DUMMYFUNCTION("""COMPUTED_VALUE"""),"ذبیح العطشان")</f>
        <v>ذبیح العطشان</v>
      </c>
      <c r="D3620" s="5" t="str">
        <f>IFERROR(__xludf.DUMMYFUNCTION("""COMPUTED_VALUE"""),"کرمان")</f>
        <v>کرمان</v>
      </c>
      <c r="E3620" s="5" t="str">
        <f>IFERROR(__xludf.DUMMYFUNCTION("""COMPUTED_VALUE"""),"کرمان")</f>
        <v>کرمان</v>
      </c>
      <c r="F3620" s="5"/>
      <c r="G3620" s="5"/>
      <c r="H3620" s="6" t="str">
        <f>IFERROR(__xludf.DUMMYFUNCTION("""COMPUTED_VALUE"""),"https://www.instagram.com/zabihkerman/")</f>
        <v>https://www.instagram.com/zabihkerman/</v>
      </c>
      <c r="I3620" s="6" t="str">
        <f>IFERROR(__xludf.DUMMYFUNCTION("""COMPUTED_VALUE"""),"t.me/zabihkerman")</f>
        <v>t.me/zabihkerman</v>
      </c>
      <c r="J3620" s="5"/>
      <c r="K3620" s="5"/>
      <c r="L3620" s="5"/>
      <c r="M3620" s="5"/>
      <c r="N3620" s="5"/>
      <c r="O3620" s="5"/>
      <c r="P3620" s="5"/>
      <c r="Q3620" s="5"/>
      <c r="R3620" s="5"/>
      <c r="S3620" s="5"/>
    </row>
    <row r="3621">
      <c r="A3621" s="5">
        <f>IFERROR(__xludf.DUMMYFUNCTION("""COMPUTED_VALUE"""),19817.0)</f>
        <v>19817</v>
      </c>
      <c r="B3621" s="5"/>
      <c r="C3621" s="5" t="str">
        <f>IFERROR(__xludf.DUMMYFUNCTION("""COMPUTED_VALUE"""),"بقیه الله (مسجد انصارالمهدی)")</f>
        <v>بقیه الله (مسجد انصارالمهدی)</v>
      </c>
      <c r="D3621" s="5" t="str">
        <f>IFERROR(__xludf.DUMMYFUNCTION("""COMPUTED_VALUE"""),"کرمان")</f>
        <v>کرمان</v>
      </c>
      <c r="E3621" s="5" t="str">
        <f>IFERROR(__xludf.DUMMYFUNCTION("""COMPUTED_VALUE"""),"کرمان")</f>
        <v>کرمان</v>
      </c>
      <c r="F3621" s="5"/>
      <c r="G3621" s="5"/>
      <c r="H3621" s="6" t="str">
        <f>IFERROR(__xludf.DUMMYFUNCTION("""COMPUTED_VALUE"""),"https://www.instagram.com/baghiyatallah_59/")</f>
        <v>https://www.instagram.com/baghiyatallah_59/</v>
      </c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</row>
    <row r="3622">
      <c r="A3622" s="5">
        <f>IFERROR(__xludf.DUMMYFUNCTION("""COMPUTED_VALUE"""),19868.0)</f>
        <v>19868</v>
      </c>
      <c r="B3622" s="5"/>
      <c r="C3622" s="5" t="str">
        <f>IFERROR(__xludf.DUMMYFUNCTION("""COMPUTED_VALUE"""),"علقمه")</f>
        <v>علقمه</v>
      </c>
      <c r="D3622" s="5" t="str">
        <f>IFERROR(__xludf.DUMMYFUNCTION("""COMPUTED_VALUE"""),"کرمان")</f>
        <v>کرمان</v>
      </c>
      <c r="E3622" s="5" t="str">
        <f>IFERROR(__xludf.DUMMYFUNCTION("""COMPUTED_VALUE"""),"رفسنجان")</f>
        <v>رفسنجان</v>
      </c>
      <c r="F3622" s="5"/>
      <c r="G3622" s="5"/>
      <c r="H3622" s="5"/>
      <c r="I3622" s="5"/>
      <c r="J3622" s="6" t="str">
        <f>IFERROR(__xludf.DUMMYFUNCTION("""COMPUTED_VALUE"""),"https://eitaa.com/Mahfelalghamerafsanjan")</f>
        <v>https://eitaa.com/Mahfelalghamerafsanjan</v>
      </c>
      <c r="K3622" s="5"/>
      <c r="L3622" s="5"/>
      <c r="M3622" s="5"/>
      <c r="N3622" s="5"/>
      <c r="O3622" s="5"/>
      <c r="P3622" s="5"/>
      <c r="Q3622" s="5"/>
      <c r="R3622" s="5"/>
      <c r="S3622" s="5"/>
    </row>
    <row r="3623">
      <c r="A3623" s="5">
        <f>IFERROR(__xludf.DUMMYFUNCTION("""COMPUTED_VALUE"""),19685.0)</f>
        <v>19685</v>
      </c>
      <c r="B3623" s="5"/>
      <c r="C3623" s="5" t="str">
        <f>IFERROR(__xludf.DUMMYFUNCTION("""COMPUTED_VALUE"""),"یا لثارات الحسین (ع)")</f>
        <v>یا لثارات الحسین (ع)</v>
      </c>
      <c r="D3623" s="5" t="str">
        <f>IFERROR(__xludf.DUMMYFUNCTION("""COMPUTED_VALUE"""),"کرمان")</f>
        <v>کرمان</v>
      </c>
      <c r="E3623" s="5" t="str">
        <f>IFERROR(__xludf.DUMMYFUNCTION("""COMPUTED_VALUE"""),"امین شهر")</f>
        <v>امین شهر</v>
      </c>
      <c r="F3623" s="5"/>
      <c r="G3623" s="5"/>
      <c r="H3623" s="5"/>
      <c r="I3623" s="5"/>
      <c r="J3623" s="6" t="str">
        <f>IFERROR(__xludf.DUMMYFUNCTION("""COMPUTED_VALUE"""),"https://eitaa.com/yalesaratalhoseinanar")</f>
        <v>https://eitaa.com/yalesaratalhoseinanar</v>
      </c>
      <c r="K3623" s="5"/>
      <c r="L3623" s="5"/>
      <c r="M3623" s="5"/>
      <c r="N3623" s="5"/>
      <c r="O3623" s="5"/>
      <c r="P3623" s="5"/>
      <c r="Q3623" s="5"/>
      <c r="R3623" s="5"/>
      <c r="S3623" s="5"/>
    </row>
    <row r="3624">
      <c r="A3624" s="5">
        <f>IFERROR(__xludf.DUMMYFUNCTION("""COMPUTED_VALUE"""),19684.0)</f>
        <v>19684</v>
      </c>
      <c r="B3624" s="5"/>
      <c r="C3624" s="5" t="str">
        <f>IFERROR(__xludf.DUMMYFUNCTION("""COMPUTED_VALUE"""),"ریحانه النبی (س)")</f>
        <v>ریحانه النبی (س)</v>
      </c>
      <c r="D3624" s="5" t="str">
        <f>IFERROR(__xludf.DUMMYFUNCTION("""COMPUTED_VALUE"""),"کرمان")</f>
        <v>کرمان</v>
      </c>
      <c r="E3624" s="5" t="str">
        <f>IFERROR(__xludf.DUMMYFUNCTION("""COMPUTED_VALUE"""),"رودبارجنوب")</f>
        <v>رودبارجنوب</v>
      </c>
      <c r="F3624" s="5"/>
      <c r="G3624" s="5"/>
      <c r="H3624" s="6" t="str">
        <f>IFERROR(__xludf.DUMMYFUNCTION("""COMPUTED_VALUE"""),"https://www.instagram.com/reyhanatoanabiroodbar/")</f>
        <v>https://www.instagram.com/reyhanatoanabiroodbar/</v>
      </c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</row>
    <row r="3625">
      <c r="A3625" s="5">
        <f>IFERROR(__xludf.DUMMYFUNCTION("""COMPUTED_VALUE"""),19683.0)</f>
        <v>19683</v>
      </c>
      <c r="B3625" s="5"/>
      <c r="C3625" s="5" t="str">
        <f>IFERROR(__xludf.DUMMYFUNCTION("""COMPUTED_VALUE"""),"شهدای گمنام")</f>
        <v>شهدای گمنام</v>
      </c>
      <c r="D3625" s="5" t="str">
        <f>IFERROR(__xludf.DUMMYFUNCTION("""COMPUTED_VALUE"""),"کرمان")</f>
        <v>کرمان</v>
      </c>
      <c r="E3625" s="5" t="str">
        <f>IFERROR(__xludf.DUMMYFUNCTION("""COMPUTED_VALUE"""),"رودبار")</f>
        <v>رودبار</v>
      </c>
      <c r="F3625" s="5"/>
      <c r="G3625" s="5"/>
      <c r="H3625" s="6" t="str">
        <f>IFERROR(__xludf.DUMMYFUNCTION("""COMPUTED_VALUE"""),"https://www.instagram.com/beyragholhosain/")</f>
        <v>https://www.instagram.com/beyragholhosain/</v>
      </c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</row>
    <row r="3626">
      <c r="A3626" s="5">
        <f>IFERROR(__xludf.DUMMYFUNCTION("""COMPUTED_VALUE"""),19678.0)</f>
        <v>19678</v>
      </c>
      <c r="B3626" s="5"/>
      <c r="C3626" s="5" t="str">
        <f>IFERROR(__xludf.DUMMYFUNCTION("""COMPUTED_VALUE"""),"مدافعان حریم اهل بیت (ع) دارالصابرین (شهدای گمنام)")</f>
        <v>مدافعان حریم اهل بیت (ع) دارالصابرین (شهدای گمنام)</v>
      </c>
      <c r="D3626" s="5" t="str">
        <f>IFERROR(__xludf.DUMMYFUNCTION("""COMPUTED_VALUE"""),"کرمان")</f>
        <v>کرمان</v>
      </c>
      <c r="E3626" s="5" t="str">
        <f>IFERROR(__xludf.DUMMYFUNCTION("""COMPUTED_VALUE"""),"بم")</f>
        <v>بم</v>
      </c>
      <c r="F3626" s="5"/>
      <c r="G3626" s="5"/>
      <c r="H3626" s="5"/>
      <c r="I3626" s="5"/>
      <c r="J3626" s="6" t="str">
        <f>IFERROR(__xludf.DUMMYFUNCTION("""COMPUTED_VALUE"""),"https://eitaa.com/valaeiyan")</f>
        <v>https://eitaa.com/valaeiyan</v>
      </c>
      <c r="K3626" s="5"/>
      <c r="L3626" s="5"/>
      <c r="M3626" s="5"/>
      <c r="N3626" s="5"/>
      <c r="O3626" s="5"/>
      <c r="P3626" s="5"/>
      <c r="Q3626" s="5"/>
      <c r="R3626" s="5"/>
      <c r="S3626" s="5"/>
    </row>
    <row r="3627">
      <c r="A3627" s="5">
        <f>IFERROR(__xludf.DUMMYFUNCTION("""COMPUTED_VALUE"""),19677.0)</f>
        <v>19677</v>
      </c>
      <c r="B3627" s="5"/>
      <c r="C3627" s="5" t="str">
        <f>IFERROR(__xludf.DUMMYFUNCTION("""COMPUTED_VALUE"""),"محب الرضا(ع)")</f>
        <v>محب الرضا(ع)</v>
      </c>
      <c r="D3627" s="5" t="str">
        <f>IFERROR(__xludf.DUMMYFUNCTION("""COMPUTED_VALUE"""),"کرمان")</f>
        <v>کرمان</v>
      </c>
      <c r="E3627" s="5" t="str">
        <f>IFERROR(__xludf.DUMMYFUNCTION("""COMPUTED_VALUE"""),"بم")</f>
        <v>بم</v>
      </c>
      <c r="F3627" s="5"/>
      <c r="G3627" s="5"/>
      <c r="H3627" s="6" t="str">
        <f>IFERROR(__xludf.DUMMYFUNCTION("""COMPUTED_VALUE"""),"https://www.instagram.com/mohebolreza__bam/")</f>
        <v>https://www.instagram.com/mohebolreza__bam/</v>
      </c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</row>
    <row r="3628">
      <c r="A3628" s="5">
        <f>IFERROR(__xludf.DUMMYFUNCTION("""COMPUTED_VALUE"""),19676.0)</f>
        <v>19676</v>
      </c>
      <c r="B3628" s="5"/>
      <c r="C3628" s="5" t="str">
        <f>IFERROR(__xludf.DUMMYFUNCTION("""COMPUTED_VALUE"""),"مهدیه سیرجان")</f>
        <v>مهدیه سیرجان</v>
      </c>
      <c r="D3628" s="5" t="str">
        <f>IFERROR(__xludf.DUMMYFUNCTION("""COMPUTED_VALUE"""),"کرمان")</f>
        <v>کرمان</v>
      </c>
      <c r="E3628" s="5" t="str">
        <f>IFERROR(__xludf.DUMMYFUNCTION("""COMPUTED_VALUE"""),"سیرجان")</f>
        <v>سیرجان</v>
      </c>
      <c r="F3628" s="5"/>
      <c r="G3628" s="5"/>
      <c r="H3628" s="6" t="str">
        <f>IFERROR(__xludf.DUMMYFUNCTION("""COMPUTED_VALUE"""),"https://www.instagram.com/majma_mahdiyeh_sirjan/")</f>
        <v>https://www.instagram.com/majma_mahdiyeh_sirjan/</v>
      </c>
      <c r="I3628" s="6" t="str">
        <f>IFERROR(__xludf.DUMMYFUNCTION("""COMPUTED_VALUE"""),"t.me/majma_mahdiyeh_sirjan")</f>
        <v>t.me/majma_mahdiyeh_sirjan</v>
      </c>
      <c r="J3628" s="5"/>
      <c r="K3628" s="5"/>
      <c r="L3628" s="5"/>
      <c r="M3628" s="5"/>
      <c r="N3628" s="5"/>
      <c r="O3628" s="5"/>
      <c r="P3628" s="5"/>
      <c r="Q3628" s="5"/>
      <c r="R3628" s="5"/>
      <c r="S3628" s="5"/>
    </row>
    <row r="3629">
      <c r="A3629" s="5">
        <f>IFERROR(__xludf.DUMMYFUNCTION("""COMPUTED_VALUE"""),19675.0)</f>
        <v>19675</v>
      </c>
      <c r="B3629" s="5"/>
      <c r="C3629" s="5" t="str">
        <f>IFERROR(__xludf.DUMMYFUNCTION("""COMPUTED_VALUE"""),"انصارالمهدی (عج)")</f>
        <v>انصارالمهدی (عج)</v>
      </c>
      <c r="D3629" s="5" t="str">
        <f>IFERROR(__xludf.DUMMYFUNCTION("""COMPUTED_VALUE"""),"کرمان")</f>
        <v>کرمان</v>
      </c>
      <c r="E3629" s="5" t="str">
        <f>IFERROR(__xludf.DUMMYFUNCTION("""COMPUTED_VALUE"""),"سیرجان")</f>
        <v>سیرجان</v>
      </c>
      <c r="F3629" s="5"/>
      <c r="G3629" s="5"/>
      <c r="H3629" s="6" t="str">
        <f>IFERROR(__xludf.DUMMYFUNCTION("""COMPUTED_VALUE"""),"https://www.instagram.com/ansar_srj/")</f>
        <v>https://www.instagram.com/ansar_srj/</v>
      </c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</row>
    <row r="3630">
      <c r="A3630" s="5">
        <f>IFERROR(__xludf.DUMMYFUNCTION("""COMPUTED_VALUE"""),19672.0)</f>
        <v>19672</v>
      </c>
      <c r="B3630" s="5"/>
      <c r="C3630" s="5" t="str">
        <f>IFERROR(__xludf.DUMMYFUNCTION("""COMPUTED_VALUE"""),"یاوران امام عصر(عج)")</f>
        <v>یاوران امام عصر(عج)</v>
      </c>
      <c r="D3630" s="5" t="str">
        <f>IFERROR(__xludf.DUMMYFUNCTION("""COMPUTED_VALUE"""),"کرمان")</f>
        <v>کرمان</v>
      </c>
      <c r="E3630" s="5" t="str">
        <f>IFERROR(__xludf.DUMMYFUNCTION("""COMPUTED_VALUE"""),"کرمان")</f>
        <v>کرمان</v>
      </c>
      <c r="F3630" s="5"/>
      <c r="G3630" s="5"/>
      <c r="H3630" s="6" t="str">
        <f>IFERROR(__xludf.DUMMYFUNCTION("""COMPUTED_VALUE"""),"https://www.instagram.com/yavaran_kerman/")</f>
        <v>https://www.instagram.com/yavaran_kerman/</v>
      </c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</row>
    <row r="3631">
      <c r="A3631" s="5">
        <f>IFERROR(__xludf.DUMMYFUNCTION("""COMPUTED_VALUE"""),19671.0)</f>
        <v>19671</v>
      </c>
      <c r="B3631" s="5"/>
      <c r="C3631" s="5" t="str">
        <f>IFERROR(__xludf.DUMMYFUNCTION("""COMPUTED_VALUE"""),"هیات الرضا (ع)")</f>
        <v>هیات الرضا (ع)</v>
      </c>
      <c r="D3631" s="5" t="str">
        <f>IFERROR(__xludf.DUMMYFUNCTION("""COMPUTED_VALUE"""),"کرمان")</f>
        <v>کرمان</v>
      </c>
      <c r="E3631" s="5" t="str">
        <f>IFERROR(__xludf.DUMMYFUNCTION("""COMPUTED_VALUE"""),"کرمان")</f>
        <v>کرمان</v>
      </c>
      <c r="F3631" s="5"/>
      <c r="G3631" s="5"/>
      <c r="H3631" s="6" t="str">
        <f>IFERROR(__xludf.DUMMYFUNCTION("""COMPUTED_VALUE"""),"https://www.instagram.com/heyatreza/")</f>
        <v>https://www.instagram.com/heyatreza/</v>
      </c>
      <c r="I3631" s="6" t="str">
        <f>IFERROR(__xludf.DUMMYFUNCTION("""COMPUTED_VALUE"""),"t.me/heyatrezaa")</f>
        <v>t.me/heyatrezaa</v>
      </c>
      <c r="J3631" s="5"/>
      <c r="K3631" s="5"/>
      <c r="L3631" s="5"/>
      <c r="M3631" s="5"/>
      <c r="N3631" s="5"/>
      <c r="O3631" s="5"/>
      <c r="P3631" s="5"/>
      <c r="Q3631" s="5"/>
      <c r="R3631" s="5"/>
      <c r="S3631" s="5"/>
    </row>
    <row r="3632">
      <c r="A3632" s="5"/>
      <c r="B3632" s="5"/>
      <c r="C3632" s="5" t="str">
        <f>IFERROR(__xludf.DUMMYFUNCTION("""COMPUTED_VALUE"""),"تفحص سیره شهدا")</f>
        <v>تفحص سیره شهدا</v>
      </c>
      <c r="D3632" s="5" t="str">
        <f>IFERROR(__xludf.DUMMYFUNCTION("""COMPUTED_VALUE"""),"کرمان")</f>
        <v>کرمان</v>
      </c>
      <c r="E3632" s="5" t="str">
        <f>IFERROR(__xludf.DUMMYFUNCTION("""COMPUTED_VALUE"""),"سیرجان")</f>
        <v>سیرجان</v>
      </c>
      <c r="F3632" s="5"/>
      <c r="G3632" s="5"/>
      <c r="H3632" s="6" t="str">
        <f>IFERROR(__xludf.DUMMYFUNCTION("""COMPUTED_VALUE"""),"https://www.instagram.com/heyat_tafahos/")</f>
        <v>https://www.instagram.com/heyat_tafahos/</v>
      </c>
      <c r="I3632" s="6" t="str">
        <f>IFERROR(__xludf.DUMMYFUNCTION("""COMPUTED_VALUE"""),"t.me/heyat_tafahos")</f>
        <v>t.me/heyat_tafahos</v>
      </c>
      <c r="J3632" s="5"/>
      <c r="K3632" s="5"/>
      <c r="L3632" s="5"/>
      <c r="M3632" s="5"/>
      <c r="N3632" s="5"/>
      <c r="O3632" s="5"/>
      <c r="P3632" s="5"/>
      <c r="Q3632" s="5"/>
      <c r="R3632" s="5"/>
      <c r="S3632" s="5"/>
    </row>
    <row r="3633">
      <c r="A3633" s="5"/>
      <c r="B3633" s="5"/>
      <c r="C3633" s="5" t="str">
        <f>IFERROR(__xludf.DUMMYFUNCTION("""COMPUTED_VALUE"""),"محبین الزهرا (س)")</f>
        <v>محبین الزهرا (س)</v>
      </c>
      <c r="D3633" s="5" t="str">
        <f>IFERROR(__xludf.DUMMYFUNCTION("""COMPUTED_VALUE"""),"کرمان")</f>
        <v>کرمان</v>
      </c>
      <c r="E3633" s="5" t="str">
        <f>IFERROR(__xludf.DUMMYFUNCTION("""COMPUTED_VALUE"""),"انار")</f>
        <v>انار</v>
      </c>
      <c r="F3633" s="5"/>
      <c r="G3633" s="5"/>
      <c r="H3633" s="5"/>
      <c r="I3633" s="5"/>
      <c r="J3633" s="6" t="str">
        <f>IFERROR(__xludf.DUMMYFUNCTION("""COMPUTED_VALUE"""),"https://eitaa.com/mohebin18")</f>
        <v>https://eitaa.com/mohebin18</v>
      </c>
      <c r="K3633" s="5"/>
      <c r="L3633" s="5"/>
      <c r="M3633" s="5"/>
      <c r="N3633" s="5"/>
      <c r="O3633" s="5"/>
      <c r="P3633" s="5"/>
      <c r="Q3633" s="5"/>
      <c r="R3633" s="5"/>
      <c r="S3633" s="5"/>
    </row>
    <row r="3634">
      <c r="A3634" s="5">
        <f>IFERROR(__xludf.DUMMYFUNCTION("""COMPUTED_VALUE"""),18394.0)</f>
        <v>18394</v>
      </c>
      <c r="B3634" s="5"/>
      <c r="C3634" s="5" t="str">
        <f>IFERROR(__xludf.DUMMYFUNCTION("""COMPUTED_VALUE"""),"انصارالمهدی (عج)")</f>
        <v>انصارالمهدی (عج)</v>
      </c>
      <c r="D3634" s="5" t="str">
        <f>IFERROR(__xludf.DUMMYFUNCTION("""COMPUTED_VALUE"""),"کرمان")</f>
        <v>کرمان</v>
      </c>
      <c r="E3634" s="5" t="str">
        <f>IFERROR(__xludf.DUMMYFUNCTION("""COMPUTED_VALUE"""),"بم")</f>
        <v>بم</v>
      </c>
      <c r="F3634" s="5"/>
      <c r="G3634" s="5"/>
      <c r="H3634" s="6" t="str">
        <f>IFERROR(__xludf.DUMMYFUNCTION("""COMPUTED_VALUE"""),"https://www.instagram.com/ansarolmahdi_bam/")</f>
        <v>https://www.instagram.com/ansarolmahdi_bam/</v>
      </c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</row>
    <row r="3635">
      <c r="A3635" s="5">
        <f>IFERROR(__xludf.DUMMYFUNCTION("""COMPUTED_VALUE"""),18393.0)</f>
        <v>18393</v>
      </c>
      <c r="B3635" s="5"/>
      <c r="C3635" s="5" t="str">
        <f>IFERROR(__xludf.DUMMYFUNCTION("""COMPUTED_VALUE"""),"جوانان مهدوی")</f>
        <v>جوانان مهدوی</v>
      </c>
      <c r="D3635" s="5" t="str">
        <f>IFERROR(__xludf.DUMMYFUNCTION("""COMPUTED_VALUE"""),"کرمان")</f>
        <v>کرمان</v>
      </c>
      <c r="E3635" s="5" t="str">
        <f>IFERROR(__xludf.DUMMYFUNCTION("""COMPUTED_VALUE"""),"راور")</f>
        <v>راور</v>
      </c>
      <c r="F3635" s="5"/>
      <c r="G3635" s="5"/>
      <c r="H3635" s="5"/>
      <c r="I3635" s="5"/>
      <c r="J3635" s="6" t="str">
        <f>IFERROR(__xludf.DUMMYFUNCTION("""COMPUTED_VALUE"""),"https://eitaa.com/javananmahdaviravar")</f>
        <v>https://eitaa.com/javananmahdaviravar</v>
      </c>
      <c r="K3635" s="5"/>
      <c r="L3635" s="5"/>
      <c r="M3635" s="5"/>
      <c r="N3635" s="5"/>
      <c r="O3635" s="5"/>
      <c r="P3635" s="5"/>
      <c r="Q3635" s="5"/>
      <c r="R3635" s="5"/>
      <c r="S3635" s="5"/>
    </row>
    <row r="3636">
      <c r="A3636" s="5">
        <f>IFERROR(__xludf.DUMMYFUNCTION("""COMPUTED_VALUE"""),18388.0)</f>
        <v>18388</v>
      </c>
      <c r="B3636" s="5"/>
      <c r="C3636" s="5" t="str">
        <f>IFERROR(__xludf.DUMMYFUNCTION("""COMPUTED_VALUE"""),"علی بن موسی الرضا(ع)")</f>
        <v>علی بن موسی الرضا(ع)</v>
      </c>
      <c r="D3636" s="5" t="str">
        <f>IFERROR(__xludf.DUMMYFUNCTION("""COMPUTED_VALUE"""),"کرمان")</f>
        <v>کرمان</v>
      </c>
      <c r="E3636" s="5" t="str">
        <f>IFERROR(__xludf.DUMMYFUNCTION("""COMPUTED_VALUE"""),"کوهبنان")</f>
        <v>کوهبنان</v>
      </c>
      <c r="F3636" s="5"/>
      <c r="G3636" s="5"/>
      <c r="H3636" s="5"/>
      <c r="I3636" s="5"/>
      <c r="J3636" s="6" t="str">
        <f>IFERROR(__xludf.DUMMYFUNCTION("""COMPUTED_VALUE"""),"https://eitaa.com/masjedorezakoohbanan")</f>
        <v>https://eitaa.com/masjedorezakoohbanan</v>
      </c>
      <c r="K3636" s="5"/>
      <c r="L3636" s="5"/>
      <c r="M3636" s="5"/>
      <c r="N3636" s="5"/>
      <c r="O3636" s="5"/>
      <c r="P3636" s="5"/>
      <c r="Q3636" s="5"/>
      <c r="R3636" s="5"/>
      <c r="S3636" s="5"/>
    </row>
    <row r="3637">
      <c r="A3637" s="5">
        <f>IFERROR(__xludf.DUMMYFUNCTION("""COMPUTED_VALUE"""),18387.0)</f>
        <v>18387</v>
      </c>
      <c r="B3637" s="5"/>
      <c r="C3637" s="5" t="str">
        <f>IFERROR(__xludf.DUMMYFUNCTION("""COMPUTED_VALUE"""),"زینبیون
")</f>
        <v>زینبیون
</v>
      </c>
      <c r="D3637" s="5" t="str">
        <f>IFERROR(__xludf.DUMMYFUNCTION("""COMPUTED_VALUE"""),"کرمان")</f>
        <v>کرمان</v>
      </c>
      <c r="E3637" s="5" t="str">
        <f>IFERROR(__xludf.DUMMYFUNCTION("""COMPUTED_VALUE"""),"فهرج")</f>
        <v>فهرج</v>
      </c>
      <c r="F3637" s="5"/>
      <c r="G3637" s="5"/>
      <c r="H3637" s="6" t="str">
        <f>IFERROR(__xludf.DUMMYFUNCTION("""COMPUTED_VALUE"""),"https://www.instagram.com/dfueijwjk/")</f>
        <v>https://www.instagram.com/dfueijwjk/</v>
      </c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</row>
    <row r="3638">
      <c r="A3638" s="5">
        <f>IFERROR(__xludf.DUMMYFUNCTION("""COMPUTED_VALUE"""),18384.0)</f>
        <v>18384</v>
      </c>
      <c r="B3638" s="5"/>
      <c r="C3638" s="5" t="str">
        <f>IFERROR(__xludf.DUMMYFUNCTION("""COMPUTED_VALUE"""),"ثارالله(ع)")</f>
        <v>ثارالله(ع)</v>
      </c>
      <c r="D3638" s="5" t="str">
        <f>IFERROR(__xludf.DUMMYFUNCTION("""COMPUTED_VALUE"""),"کرمان")</f>
        <v>کرمان</v>
      </c>
      <c r="E3638" s="5" t="str">
        <f>IFERROR(__xludf.DUMMYFUNCTION("""COMPUTED_VALUE"""),"سیرجان")</f>
        <v>سیرجان</v>
      </c>
      <c r="F3638" s="5"/>
      <c r="G3638" s="5"/>
      <c r="H3638" s="6" t="str">
        <f>IFERROR(__xludf.DUMMYFUNCTION("""COMPUTED_VALUE"""),"https://www.instagram.com/sarallah_sirjan/")</f>
        <v>https://www.instagram.com/sarallah_sirjan/</v>
      </c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</row>
    <row r="3639">
      <c r="A3639" s="5">
        <f>IFERROR(__xludf.DUMMYFUNCTION("""COMPUTED_VALUE"""),18383.0)</f>
        <v>18383</v>
      </c>
      <c r="B3639" s="5"/>
      <c r="C3639" s="5" t="str">
        <f>IFERROR(__xludf.DUMMYFUNCTION("""COMPUTED_VALUE"""),"عشاق الحسین (ع)")</f>
        <v>عشاق الحسین (ع)</v>
      </c>
      <c r="D3639" s="5" t="str">
        <f>IFERROR(__xludf.DUMMYFUNCTION("""COMPUTED_VALUE"""),"کرمان")</f>
        <v>کرمان</v>
      </c>
      <c r="E3639" s="5" t="str">
        <f>IFERROR(__xludf.DUMMYFUNCTION("""COMPUTED_VALUE"""),"راین")</f>
        <v>راین</v>
      </c>
      <c r="F3639" s="5"/>
      <c r="G3639" s="5"/>
      <c r="H3639" s="6" t="str">
        <f>IFERROR(__xludf.DUMMYFUNCTION("""COMPUTED_VALUE"""),"https://www.instagram.com/oshagholhosein_rayen/")</f>
        <v>https://www.instagram.com/oshagholhosein_rayen/</v>
      </c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</row>
    <row r="3640">
      <c r="A3640" s="5">
        <f>IFERROR(__xludf.DUMMYFUNCTION("""COMPUTED_VALUE"""),18191.0)</f>
        <v>18191</v>
      </c>
      <c r="B3640" s="5"/>
      <c r="C3640" s="5" t="str">
        <f>IFERROR(__xludf.DUMMYFUNCTION("""COMPUTED_VALUE"""),"امام حسن مجتبی(ع)")</f>
        <v>امام حسن مجتبی(ع)</v>
      </c>
      <c r="D3640" s="5" t="str">
        <f>IFERROR(__xludf.DUMMYFUNCTION("""COMPUTED_VALUE"""),"کرمان")</f>
        <v>کرمان</v>
      </c>
      <c r="E3640" s="5" t="str">
        <f>IFERROR(__xludf.DUMMYFUNCTION("""COMPUTED_VALUE"""),"شهربابک")</f>
        <v>شهربابک</v>
      </c>
      <c r="F3640" s="5"/>
      <c r="G3640" s="5"/>
      <c r="H3640" s="6" t="str">
        <f>IFERROR(__xludf.DUMMYFUNCTION("""COMPUTED_VALUE"""),"https://www.instagram.com/heyatemamhasan_/")</f>
        <v>https://www.instagram.com/heyatemamhasan_/</v>
      </c>
      <c r="I3640" s="5"/>
      <c r="J3640" s="6" t="str">
        <f>IFERROR(__xludf.DUMMYFUNCTION("""COMPUTED_VALUE"""),"eitaa.com/heyatemamhasan_sh")</f>
        <v>eitaa.com/heyatemamhasan_sh</v>
      </c>
      <c r="K3640" s="5"/>
      <c r="L3640" s="5"/>
      <c r="M3640" s="5"/>
      <c r="N3640" s="5"/>
      <c r="O3640" s="5"/>
      <c r="P3640" s="5"/>
      <c r="Q3640" s="5"/>
      <c r="R3640" s="5"/>
      <c r="S3640" s="5"/>
    </row>
    <row r="3641">
      <c r="A3641" s="5">
        <f>IFERROR(__xludf.DUMMYFUNCTION("""COMPUTED_VALUE"""),18178.0)</f>
        <v>18178</v>
      </c>
      <c r="B3641" s="5"/>
      <c r="C3641" s="5" t="str">
        <f>IFERROR(__xludf.DUMMYFUNCTION("""COMPUTED_VALUE"""),"محفل زینبیون")</f>
        <v>محفل زینبیون</v>
      </c>
      <c r="D3641" s="5" t="str">
        <f>IFERROR(__xludf.DUMMYFUNCTION("""COMPUTED_VALUE"""),"کرمان")</f>
        <v>کرمان</v>
      </c>
      <c r="E3641" s="5" t="str">
        <f>IFERROR(__xludf.DUMMYFUNCTION("""COMPUTED_VALUE"""),"کرمان")</f>
        <v>کرمان</v>
      </c>
      <c r="F3641" s="5"/>
      <c r="G3641" s="5"/>
      <c r="H3641" s="6" t="str">
        <f>IFERROR(__xludf.DUMMYFUNCTION("""COMPUTED_VALUE"""),"https://www.instagram.com/mahfele__zeynabiyon/")</f>
        <v>https://www.instagram.com/mahfele__zeynabiyon/</v>
      </c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</row>
    <row r="3642">
      <c r="A3642" s="5">
        <f>IFERROR(__xludf.DUMMYFUNCTION("""COMPUTED_VALUE"""),18176.0)</f>
        <v>18176</v>
      </c>
      <c r="B3642" s="5"/>
      <c r="C3642" s="5" t="str">
        <f>IFERROR(__xludf.DUMMYFUNCTION("""COMPUTED_VALUE"""),"سفره حضرت ام البنین (س)")</f>
        <v>سفره حضرت ام البنین (س)</v>
      </c>
      <c r="D3642" s="5" t="str">
        <f>IFERROR(__xludf.DUMMYFUNCTION("""COMPUTED_VALUE"""),"کرمان")</f>
        <v>کرمان</v>
      </c>
      <c r="E3642" s="5" t="str">
        <f>IFERROR(__xludf.DUMMYFUNCTION("""COMPUTED_VALUE"""),"زرند")</f>
        <v>زرند</v>
      </c>
      <c r="F3642" s="5"/>
      <c r="G3642" s="5"/>
      <c r="H3642" s="6" t="str">
        <f>IFERROR(__xludf.DUMMYFUNCTION("""COMPUTED_VALUE"""),"https://www.instagram.com/sofre_omalbanin_zarand/")</f>
        <v>https://www.instagram.com/sofre_omalbanin_zarand/</v>
      </c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</row>
    <row r="3643">
      <c r="A3643" s="5">
        <f>IFERROR(__xludf.DUMMYFUNCTION("""COMPUTED_VALUE"""),17974.0)</f>
        <v>17974</v>
      </c>
      <c r="B3643" s="5"/>
      <c r="C3643" s="5" t="str">
        <f>IFERROR(__xludf.DUMMYFUNCTION("""COMPUTED_VALUE"""),"شهدای گمنام")</f>
        <v>شهدای گمنام</v>
      </c>
      <c r="D3643" s="5" t="str">
        <f>IFERROR(__xludf.DUMMYFUNCTION("""COMPUTED_VALUE"""),"کرمان")</f>
        <v>کرمان</v>
      </c>
      <c r="E3643" s="5" t="str">
        <f>IFERROR(__xludf.DUMMYFUNCTION("""COMPUTED_VALUE"""),"بم")</f>
        <v>بم</v>
      </c>
      <c r="F3643" s="5"/>
      <c r="G3643" s="5"/>
      <c r="H3643" s="6" t="str">
        <f>IFERROR(__xludf.DUMMYFUNCTION("""COMPUTED_VALUE"""),"https://www.instagram.com/shg_bam/")</f>
        <v>https://www.instagram.com/shg_bam/</v>
      </c>
      <c r="I3643" s="6" t="str">
        <f>IFERROR(__xludf.DUMMYFUNCTION("""COMPUTED_VALUE"""),"https://t.me/shg_bam")</f>
        <v>https://t.me/shg_bam</v>
      </c>
      <c r="J3643" s="5"/>
      <c r="K3643" s="5"/>
      <c r="L3643" s="5"/>
      <c r="M3643" s="5"/>
      <c r="N3643" s="5"/>
      <c r="O3643" s="5"/>
      <c r="P3643" s="5"/>
      <c r="Q3643" s="5"/>
      <c r="R3643" s="5"/>
      <c r="S3643" s="5"/>
    </row>
    <row r="3644">
      <c r="A3644" s="5">
        <f>IFERROR(__xludf.DUMMYFUNCTION("""COMPUTED_VALUE"""),17973.0)</f>
        <v>17973</v>
      </c>
      <c r="B3644" s="5"/>
      <c r="C3644" s="5" t="str">
        <f>IFERROR(__xludf.DUMMYFUNCTION("""COMPUTED_VALUE"""),"علمدار")</f>
        <v>علمدار</v>
      </c>
      <c r="D3644" s="5" t="str">
        <f>IFERROR(__xludf.DUMMYFUNCTION("""COMPUTED_VALUE"""),"کرمان")</f>
        <v>کرمان</v>
      </c>
      <c r="E3644" s="5" t="str">
        <f>IFERROR(__xludf.DUMMYFUNCTION("""COMPUTED_VALUE"""),"بم")</f>
        <v>بم</v>
      </c>
      <c r="F3644" s="5"/>
      <c r="G3644" s="5"/>
      <c r="H3644" s="6" t="str">
        <f>IFERROR(__xludf.DUMMYFUNCTION("""COMPUTED_VALUE"""),"https://www.instagram.com/alamdar_bam/")</f>
        <v>https://www.instagram.com/alamdar_bam/</v>
      </c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</row>
    <row r="3645">
      <c r="A3645" s="5">
        <f>IFERROR(__xludf.DUMMYFUNCTION("""COMPUTED_VALUE"""),17735.0)</f>
        <v>17735</v>
      </c>
      <c r="B3645" s="5"/>
      <c r="C3645" s="5" t="str">
        <f>IFERROR(__xludf.DUMMYFUNCTION("""COMPUTED_VALUE"""),"یازهرا(س)")</f>
        <v>یازهرا(س)</v>
      </c>
      <c r="D3645" s="5" t="str">
        <f>IFERROR(__xludf.DUMMYFUNCTION("""COMPUTED_VALUE"""),"کرمان")</f>
        <v>کرمان</v>
      </c>
      <c r="E3645" s="5" t="str">
        <f>IFERROR(__xludf.DUMMYFUNCTION("""COMPUTED_VALUE"""),"بم")</f>
        <v>بم</v>
      </c>
      <c r="F3645" s="5"/>
      <c r="G3645" s="5"/>
      <c r="H3645" s="6" t="str">
        <f>IFERROR(__xludf.DUMMYFUNCTION("""COMPUTED_VALUE"""),"https://www.instagram.com/heyat_azadaran_fatemeh_zahra/")</f>
        <v>https://www.instagram.com/heyat_azadaran_fatemeh_zahra/</v>
      </c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</row>
    <row r="3646">
      <c r="A3646" s="5">
        <f>IFERROR(__xludf.DUMMYFUNCTION("""COMPUTED_VALUE"""),12149.0)</f>
        <v>12149</v>
      </c>
      <c r="B3646" s="5"/>
      <c r="C3646" s="5" t="str">
        <f>IFERROR(__xludf.DUMMYFUNCTION("""COMPUTED_VALUE"""),"اباعبدالله الحسین (ع)")</f>
        <v>اباعبدالله الحسین (ع)</v>
      </c>
      <c r="D3646" s="5" t="str">
        <f>IFERROR(__xludf.DUMMYFUNCTION("""COMPUTED_VALUE"""),"کرمان")</f>
        <v>کرمان</v>
      </c>
      <c r="E3646" s="5" t="str">
        <f>IFERROR(__xludf.DUMMYFUNCTION("""COMPUTED_VALUE"""),"بردسیر")</f>
        <v>بردسیر</v>
      </c>
      <c r="F3646" s="5"/>
      <c r="G3646" s="5"/>
      <c r="H3646" s="6" t="str">
        <f>IFERROR(__xludf.DUMMYFUNCTION("""COMPUTED_VALUE"""),"https://www.instagram.com/heyat.bardsir/")</f>
        <v>https://www.instagram.com/heyat.bardsir/</v>
      </c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</row>
    <row r="3647">
      <c r="A3647" s="5">
        <f>IFERROR(__xludf.DUMMYFUNCTION("""COMPUTED_VALUE"""),12141.0)</f>
        <v>12141</v>
      </c>
      <c r="B3647" s="5"/>
      <c r="C3647" s="5" t="str">
        <f>IFERROR(__xludf.DUMMYFUNCTION("""COMPUTED_VALUE"""),"فاطمیون روستای هنزا")</f>
        <v>فاطمیون روستای هنزا</v>
      </c>
      <c r="D3647" s="5" t="str">
        <f>IFERROR(__xludf.DUMMYFUNCTION("""COMPUTED_VALUE"""),"کرمان")</f>
        <v>کرمان</v>
      </c>
      <c r="E3647" s="5" t="str">
        <f>IFERROR(__xludf.DUMMYFUNCTION("""COMPUTED_VALUE"""),"هنزا")</f>
        <v>هنزا</v>
      </c>
      <c r="F3647" s="5"/>
      <c r="G3647" s="5"/>
      <c r="H3647" s="5"/>
      <c r="I3647" s="5"/>
      <c r="J3647" s="6" t="str">
        <f>IFERROR(__xludf.DUMMYFUNCTION("""COMPUTED_VALUE"""),"https://eitaa.com/fatemiyoonhanza")</f>
        <v>https://eitaa.com/fatemiyoonhanza</v>
      </c>
      <c r="K3647" s="5"/>
      <c r="L3647" s="5"/>
      <c r="M3647" s="5"/>
      <c r="N3647" s="5"/>
      <c r="O3647" s="5"/>
      <c r="P3647" s="5"/>
      <c r="Q3647" s="5"/>
      <c r="R3647" s="5"/>
      <c r="S3647" s="5"/>
    </row>
    <row r="3648">
      <c r="A3648" s="5">
        <f>IFERROR(__xludf.DUMMYFUNCTION("""COMPUTED_VALUE"""),12114.0)</f>
        <v>12114</v>
      </c>
      <c r="B3648" s="5"/>
      <c r="C3648" s="5" t="str">
        <f>IFERROR(__xludf.DUMMYFUNCTION("""COMPUTED_VALUE"""),"انصارالمهدی (عج)")</f>
        <v>انصارالمهدی (عج)</v>
      </c>
      <c r="D3648" s="5" t="str">
        <f>IFERROR(__xludf.DUMMYFUNCTION("""COMPUTED_VALUE"""),"کرمان")</f>
        <v>کرمان</v>
      </c>
      <c r="E3648" s="5" t="str">
        <f>IFERROR(__xludf.DUMMYFUNCTION("""COMPUTED_VALUE"""),"کرمان")</f>
        <v>کرمان</v>
      </c>
      <c r="F3648" s="5"/>
      <c r="G3648" s="5"/>
      <c r="H3648" s="5"/>
      <c r="I3648" s="5"/>
      <c r="J3648" s="6" t="str">
        <f>IFERROR(__xludf.DUMMYFUNCTION("""COMPUTED_VALUE"""),"https://eitaa.com/ansarolmahdi_kerman")</f>
        <v>https://eitaa.com/ansarolmahdi_kerman</v>
      </c>
      <c r="K3648" s="5"/>
      <c r="L3648" s="5"/>
      <c r="M3648" s="5"/>
      <c r="N3648" s="5"/>
      <c r="O3648" s="5"/>
      <c r="P3648" s="5"/>
      <c r="Q3648" s="5"/>
      <c r="R3648" s="5"/>
      <c r="S3648" s="5"/>
    </row>
    <row r="3649">
      <c r="A3649" s="5">
        <f>IFERROR(__xludf.DUMMYFUNCTION("""COMPUTED_VALUE"""),12110.0)</f>
        <v>12110</v>
      </c>
      <c r="B3649" s="5"/>
      <c r="C3649" s="5" t="str">
        <f>IFERROR(__xludf.DUMMYFUNCTION("""COMPUTED_VALUE"""),"محبین المجتبی (ع)")</f>
        <v>محبین المجتبی (ع)</v>
      </c>
      <c r="D3649" s="5" t="str">
        <f>IFERROR(__xludf.DUMMYFUNCTION("""COMPUTED_VALUE"""),"کرمان")</f>
        <v>کرمان</v>
      </c>
      <c r="E3649" s="5" t="str">
        <f>IFERROR(__xludf.DUMMYFUNCTION("""COMPUTED_VALUE"""),"کرمان")</f>
        <v>کرمان</v>
      </c>
      <c r="F3649" s="5"/>
      <c r="G3649" s="5"/>
      <c r="H3649" s="6" t="str">
        <f>IFERROR(__xludf.DUMMYFUNCTION("""COMPUTED_VALUE"""),"https://www.instagram.com/mohebbinemojtaba_kerman/")</f>
        <v>https://www.instagram.com/mohebbinemojtaba_kerman/</v>
      </c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</row>
    <row r="3650">
      <c r="A3650" s="5">
        <f>IFERROR(__xludf.DUMMYFUNCTION("""COMPUTED_VALUE"""),12109.0)</f>
        <v>12109</v>
      </c>
      <c r="B3650" s="5"/>
      <c r="C3650" s="5" t="str">
        <f>IFERROR(__xludf.DUMMYFUNCTION("""COMPUTED_VALUE"""),"خادم الرضا (ع)")</f>
        <v>خادم الرضا (ع)</v>
      </c>
      <c r="D3650" s="5" t="str">
        <f>IFERROR(__xludf.DUMMYFUNCTION("""COMPUTED_VALUE"""),"کرمان")</f>
        <v>کرمان</v>
      </c>
      <c r="E3650" s="5" t="str">
        <f>IFERROR(__xludf.DUMMYFUNCTION("""COMPUTED_VALUE"""),"کرمان")</f>
        <v>کرمان</v>
      </c>
      <c r="F3650" s="5"/>
      <c r="G3650" s="5"/>
      <c r="H3650" s="6" t="str">
        <f>IFERROR(__xludf.DUMMYFUNCTION("""COMPUTED_VALUE"""),"https://www.instagram.com/khadem_alreza_kerman/")</f>
        <v>https://www.instagram.com/khadem_alreza_kerman/</v>
      </c>
      <c r="I3650" s="6" t="str">
        <f>IFERROR(__xludf.DUMMYFUNCTION("""COMPUTED_VALUE"""),"t.me/khadem_alreza_kerman")</f>
        <v>t.me/khadem_alreza_kerman</v>
      </c>
      <c r="J3650" s="5"/>
      <c r="K3650" s="5"/>
      <c r="L3650" s="5"/>
      <c r="M3650" s="5"/>
      <c r="N3650" s="5"/>
      <c r="O3650" s="5"/>
      <c r="P3650" s="5"/>
      <c r="Q3650" s="5"/>
      <c r="R3650" s="5"/>
      <c r="S3650" s="5"/>
    </row>
    <row r="3651">
      <c r="A3651" s="5">
        <f>IFERROR(__xludf.DUMMYFUNCTION("""COMPUTED_VALUE"""),12053.0)</f>
        <v>12053</v>
      </c>
      <c r="B3651" s="5"/>
      <c r="C3651" s="5" t="str">
        <f>IFERROR(__xludf.DUMMYFUNCTION("""COMPUTED_VALUE"""),"دلباختگان یوسف زهرا (عج)")</f>
        <v>دلباختگان یوسف زهرا (عج)</v>
      </c>
      <c r="D3651" s="5" t="str">
        <f>IFERROR(__xludf.DUMMYFUNCTION("""COMPUTED_VALUE"""),"کرمان")</f>
        <v>کرمان</v>
      </c>
      <c r="E3651" s="5" t="str">
        <f>IFERROR(__xludf.DUMMYFUNCTION("""COMPUTED_VALUE"""),"کرمان")</f>
        <v>کرمان</v>
      </c>
      <c r="F3651" s="5"/>
      <c r="G3651" s="5"/>
      <c r="H3651" s="6" t="str">
        <f>IFERROR(__xludf.DUMMYFUNCTION("""COMPUTED_VALUE"""),"https://www.instagram.com/delbakhtegan_ker/")</f>
        <v>https://www.instagram.com/delbakhtegan_ker/</v>
      </c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</row>
    <row r="3652">
      <c r="A3652" s="5">
        <f>IFERROR(__xludf.DUMMYFUNCTION("""COMPUTED_VALUE"""),12047.0)</f>
        <v>12047</v>
      </c>
      <c r="B3652" s="5"/>
      <c r="C3652" s="5" t="str">
        <f>IFERROR(__xludf.DUMMYFUNCTION("""COMPUTED_VALUE"""),"ام المصائب (س)")</f>
        <v>ام المصائب (س)</v>
      </c>
      <c r="D3652" s="5" t="str">
        <f>IFERROR(__xludf.DUMMYFUNCTION("""COMPUTED_VALUE"""),"کرمان")</f>
        <v>کرمان</v>
      </c>
      <c r="E3652" s="5" t="str">
        <f>IFERROR(__xludf.DUMMYFUNCTION("""COMPUTED_VALUE"""),"کرمان")</f>
        <v>کرمان</v>
      </c>
      <c r="F3652" s="5"/>
      <c r="G3652" s="5"/>
      <c r="H3652" s="6" t="str">
        <f>IFERROR(__xludf.DUMMYFUNCTION("""COMPUTED_VALUE"""),"https://www.instagram.com/ommolmasaeb_kerman/")</f>
        <v>https://www.instagram.com/ommolmasaeb_kerman/</v>
      </c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</row>
    <row r="3653">
      <c r="A3653" s="5">
        <f>IFERROR(__xludf.DUMMYFUNCTION("""COMPUTED_VALUE"""),12039.0)</f>
        <v>12039</v>
      </c>
      <c r="B3653" s="5"/>
      <c r="C3653" s="5" t="str">
        <f>IFERROR(__xludf.DUMMYFUNCTION("""COMPUTED_VALUE"""),"رهروان شهدای گمنام")</f>
        <v>رهروان شهدای گمنام</v>
      </c>
      <c r="D3653" s="5" t="str">
        <f>IFERROR(__xludf.DUMMYFUNCTION("""COMPUTED_VALUE"""),"کرمان")</f>
        <v>کرمان</v>
      </c>
      <c r="E3653" s="5" t="str">
        <f>IFERROR(__xludf.DUMMYFUNCTION("""COMPUTED_VALUE"""),"کرمان")</f>
        <v>کرمان</v>
      </c>
      <c r="F3653" s="5"/>
      <c r="G3653" s="5"/>
      <c r="H3653" s="6" t="str">
        <f>IFERROR(__xludf.DUMMYFUNCTION("""COMPUTED_VALUE"""),"https://www.instagram.com/h.r.shohada/")</f>
        <v>https://www.instagram.com/h.r.shohada/</v>
      </c>
      <c r="I3653" s="5"/>
      <c r="J3653" s="6" t="str">
        <f>IFERROR(__xludf.DUMMYFUNCTION("""COMPUTED_VALUE"""),"https://eitaa.com/rahrovane_shohadaa")</f>
        <v>https://eitaa.com/rahrovane_shohadaa</v>
      </c>
      <c r="K3653" s="5"/>
      <c r="L3653" s="5"/>
      <c r="M3653" s="5"/>
      <c r="N3653" s="5"/>
      <c r="O3653" s="5"/>
      <c r="P3653" s="5"/>
      <c r="Q3653" s="5"/>
      <c r="R3653" s="5"/>
      <c r="S3653" s="5"/>
    </row>
    <row r="3654">
      <c r="A3654" s="5">
        <f>IFERROR(__xludf.DUMMYFUNCTION("""COMPUTED_VALUE"""),12015.0)</f>
        <v>12015</v>
      </c>
      <c r="B3654" s="5"/>
      <c r="C3654" s="5" t="str">
        <f>IFERROR(__xludf.DUMMYFUNCTION("""COMPUTED_VALUE"""),"امام حسن مجتبی(ع)")</f>
        <v>امام حسن مجتبی(ع)</v>
      </c>
      <c r="D3654" s="5" t="str">
        <f>IFERROR(__xludf.DUMMYFUNCTION("""COMPUTED_VALUE"""),"کرمان")</f>
        <v>کرمان</v>
      </c>
      <c r="E3654" s="5" t="str">
        <f>IFERROR(__xludf.DUMMYFUNCTION("""COMPUTED_VALUE"""),"کرمان")</f>
        <v>کرمان</v>
      </c>
      <c r="F3654" s="5"/>
      <c r="G3654" s="5"/>
      <c r="H3654" s="6" t="str">
        <f>IFERROR(__xludf.DUMMYFUNCTION("""COMPUTED_VALUE"""),"https://www.instagram.com/emamhasan_kerman/")</f>
        <v>https://www.instagram.com/emamhasan_kerman/</v>
      </c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</row>
    <row r="3655">
      <c r="A3655" s="5">
        <f>IFERROR(__xludf.DUMMYFUNCTION("""COMPUTED_VALUE"""),11873.0)</f>
        <v>11873</v>
      </c>
      <c r="B3655" s="5"/>
      <c r="C3655" s="5" t="str">
        <f>IFERROR(__xludf.DUMMYFUNCTION("""COMPUTED_VALUE"""),"محبان شاهزاده علی اصغر(ع) روستای سیرج")</f>
        <v>محبان شاهزاده علی اصغر(ع) روستای سیرج</v>
      </c>
      <c r="D3655" s="5" t="str">
        <f>IFERROR(__xludf.DUMMYFUNCTION("""COMPUTED_VALUE"""),"کرمان")</f>
        <v>کرمان</v>
      </c>
      <c r="E3655" s="5" t="str">
        <f>IFERROR(__xludf.DUMMYFUNCTION("""COMPUTED_VALUE"""),"شهداد")</f>
        <v>شهداد</v>
      </c>
      <c r="F3655" s="5"/>
      <c r="G3655" s="5"/>
      <c r="H3655" s="6" t="str">
        <f>IFERROR(__xludf.DUMMYFUNCTION("""COMPUTED_VALUE"""),"https://www.instagram.com/shahzadeh_aliasghar_sirch/")</f>
        <v>https://www.instagram.com/shahzadeh_aliasghar_sirch/</v>
      </c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</row>
    <row r="3656">
      <c r="A3656" s="5">
        <f>IFERROR(__xludf.DUMMYFUNCTION("""COMPUTED_VALUE"""),11843.0)</f>
        <v>11843</v>
      </c>
      <c r="B3656" s="5"/>
      <c r="C3656" s="5" t="str">
        <f>IFERROR(__xludf.DUMMYFUNCTION("""COMPUTED_VALUE"""),"ام الائمه (س)")</f>
        <v>ام الائمه (س)</v>
      </c>
      <c r="D3656" s="5" t="str">
        <f>IFERROR(__xludf.DUMMYFUNCTION("""COMPUTED_VALUE"""),"کرمان")</f>
        <v>کرمان</v>
      </c>
      <c r="E3656" s="5" t="str">
        <f>IFERROR(__xludf.DUMMYFUNCTION("""COMPUTED_VALUE"""),"گلباف")</f>
        <v>گلباف</v>
      </c>
      <c r="F3656" s="5"/>
      <c r="G3656" s="5"/>
      <c r="H3656" s="6" t="str">
        <f>IFERROR(__xludf.DUMMYFUNCTION("""COMPUTED_VALUE"""),"https://www.instagram.com/ommolaemmeh1387/")</f>
        <v>https://www.instagram.com/ommolaemmeh1387/</v>
      </c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</row>
    <row r="3657">
      <c r="A3657" s="5">
        <f>IFERROR(__xludf.DUMMYFUNCTION("""COMPUTED_VALUE"""),11703.0)</f>
        <v>11703</v>
      </c>
      <c r="B3657" s="5"/>
      <c r="C3657" s="5" t="str">
        <f>IFERROR(__xludf.DUMMYFUNCTION("""COMPUTED_VALUE"""),"مکتب الائمه(ع)")</f>
        <v>مکتب الائمه(ع)</v>
      </c>
      <c r="D3657" s="5" t="str">
        <f>IFERROR(__xludf.DUMMYFUNCTION("""COMPUTED_VALUE"""),"کرمان")</f>
        <v>کرمان</v>
      </c>
      <c r="E3657" s="5" t="str">
        <f>IFERROR(__xludf.DUMMYFUNCTION("""COMPUTED_VALUE"""),"چترود")</f>
        <v>چترود</v>
      </c>
      <c r="F3657" s="5"/>
      <c r="G3657" s="5"/>
      <c r="H3657" s="5"/>
      <c r="I3657" s="6" t="str">
        <f>IFERROR(__xludf.DUMMYFUNCTION("""COMPUTED_VALUE"""),"https://t.me/chmaktab")</f>
        <v>https://t.me/chmaktab</v>
      </c>
      <c r="J3657" s="5"/>
      <c r="K3657" s="5"/>
      <c r="L3657" s="5"/>
      <c r="M3657" s="5"/>
      <c r="N3657" s="5"/>
      <c r="O3657" s="5"/>
      <c r="P3657" s="5"/>
      <c r="Q3657" s="5"/>
      <c r="R3657" s="5"/>
      <c r="S3657" s="5"/>
    </row>
    <row r="3658">
      <c r="A3658" s="5">
        <f>IFERROR(__xludf.DUMMYFUNCTION("""COMPUTED_VALUE"""),11698.0)</f>
        <v>11698</v>
      </c>
      <c r="B3658" s="5"/>
      <c r="C3658" s="5" t="str">
        <f>IFERROR(__xludf.DUMMYFUNCTION("""COMPUTED_VALUE"""),"هیات مسجد شهدای بیت الله الحرام")</f>
        <v>هیات مسجد شهدای بیت الله الحرام</v>
      </c>
      <c r="D3658" s="5" t="str">
        <f>IFERROR(__xludf.DUMMYFUNCTION("""COMPUTED_VALUE"""),"کرمان")</f>
        <v>کرمان</v>
      </c>
      <c r="E3658" s="5" t="str">
        <f>IFERROR(__xludf.DUMMYFUNCTION("""COMPUTED_VALUE"""),"کرمان")</f>
        <v>کرمان</v>
      </c>
      <c r="F3658" s="5"/>
      <c r="G3658" s="5"/>
      <c r="H3658" s="5"/>
      <c r="I3658" s="5"/>
      <c r="J3658" s="6" t="str">
        <f>IFERROR(__xludf.DUMMYFUNCTION("""COMPUTED_VALUE"""),"https://eitaa.com/beitollah")</f>
        <v>https://eitaa.com/beitollah</v>
      </c>
      <c r="K3658" s="5"/>
      <c r="L3658" s="5"/>
      <c r="M3658" s="5"/>
      <c r="N3658" s="5"/>
      <c r="O3658" s="5"/>
      <c r="P3658" s="5"/>
      <c r="Q3658" s="5"/>
      <c r="R3658" s="5"/>
      <c r="S3658" s="5"/>
    </row>
    <row r="3659">
      <c r="A3659" s="5">
        <f>IFERROR(__xludf.DUMMYFUNCTION("""COMPUTED_VALUE"""),11631.0)</f>
        <v>11631</v>
      </c>
      <c r="B3659" s="5"/>
      <c r="C3659" s="5" t="str">
        <f>IFERROR(__xludf.DUMMYFUNCTION("""COMPUTED_VALUE"""),"عشاق الرقیه (س) حسینیه اعظم")</f>
        <v>عشاق الرقیه (س) حسینیه اعظم</v>
      </c>
      <c r="D3659" s="5" t="str">
        <f>IFERROR(__xludf.DUMMYFUNCTION("""COMPUTED_VALUE"""),"کرمان")</f>
        <v>کرمان</v>
      </c>
      <c r="E3659" s="5" t="str">
        <f>IFERROR(__xludf.DUMMYFUNCTION("""COMPUTED_VALUE"""),"کرمان")</f>
        <v>کرمان</v>
      </c>
      <c r="F3659" s="5"/>
      <c r="G3659" s="5"/>
      <c r="H3659" s="6" t="str">
        <f>IFERROR(__xludf.DUMMYFUNCTION("""COMPUTED_VALUE"""),"https://www.instagram.com/oshagh.alroghayeh.kerman/")</f>
        <v>https://www.instagram.com/oshagh.alroghayeh.kerman/</v>
      </c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</row>
    <row r="3660">
      <c r="A3660" s="5">
        <f>IFERROR(__xludf.DUMMYFUNCTION("""COMPUTED_VALUE"""),11595.0)</f>
        <v>11595</v>
      </c>
      <c r="B3660" s="5"/>
      <c r="C3660" s="5" t="str">
        <f>IFERROR(__xludf.DUMMYFUNCTION("""COMPUTED_VALUE"""),"فاطمیون")</f>
        <v>فاطمیون</v>
      </c>
      <c r="D3660" s="5" t="str">
        <f>IFERROR(__xludf.DUMMYFUNCTION("""COMPUTED_VALUE"""),"کرمان")</f>
        <v>کرمان</v>
      </c>
      <c r="E3660" s="5" t="str">
        <f>IFERROR(__xludf.DUMMYFUNCTION("""COMPUTED_VALUE"""),"رفسنجان")</f>
        <v>رفسنجان</v>
      </c>
      <c r="F3660" s="5"/>
      <c r="G3660" s="5"/>
      <c r="H3660" s="6" t="str">
        <f>IFERROR(__xludf.DUMMYFUNCTION("""COMPUTED_VALUE"""),"https://www.instagram.com/fatemion_rafsanjan/")</f>
        <v>https://www.instagram.com/fatemion_rafsanjan/</v>
      </c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</row>
    <row r="3661">
      <c r="A3661" s="5">
        <f>IFERROR(__xludf.DUMMYFUNCTION("""COMPUTED_VALUE"""),11589.0)</f>
        <v>11589</v>
      </c>
      <c r="B3661" s="5"/>
      <c r="C3661" s="5" t="str">
        <f>IFERROR(__xludf.DUMMYFUNCTION("""COMPUTED_VALUE"""),"محبان حضرت رقیه (س)")</f>
        <v>محبان حضرت رقیه (س)</v>
      </c>
      <c r="D3661" s="5" t="str">
        <f>IFERROR(__xludf.DUMMYFUNCTION("""COMPUTED_VALUE"""),"کرمان")</f>
        <v>کرمان</v>
      </c>
      <c r="E3661" s="5" t="str">
        <f>IFERROR(__xludf.DUMMYFUNCTION("""COMPUTED_VALUE"""),"کرمان")</f>
        <v>کرمان</v>
      </c>
      <c r="F3661" s="5"/>
      <c r="G3661" s="5"/>
      <c r="H3661" s="6" t="str">
        <f>IFERROR(__xludf.DUMMYFUNCTION("""COMPUTED_VALUE"""),"https://www.instagram.com/moheban.315/")</f>
        <v>https://www.instagram.com/moheban.315/</v>
      </c>
      <c r="I3661" s="5"/>
      <c r="J3661" s="6" t="str">
        <f>IFERROR(__xludf.DUMMYFUNCTION("""COMPUTED_VALUE"""),"eitaa.com/moheban315")</f>
        <v>eitaa.com/moheban315</v>
      </c>
      <c r="K3661" s="5"/>
      <c r="L3661" s="5"/>
      <c r="M3661" s="5"/>
      <c r="N3661" s="5"/>
      <c r="O3661" s="5"/>
      <c r="P3661" s="5"/>
      <c r="Q3661" s="5"/>
      <c r="R3661" s="5"/>
      <c r="S3661" s="5"/>
    </row>
    <row r="3662">
      <c r="A3662" s="5">
        <f>IFERROR(__xludf.DUMMYFUNCTION("""COMPUTED_VALUE"""),11581.0)</f>
        <v>11581</v>
      </c>
      <c r="B3662" s="5"/>
      <c r="C3662" s="5" t="str">
        <f>IFERROR(__xludf.DUMMYFUNCTION("""COMPUTED_VALUE"""),"لواء الزینب (س)")</f>
        <v>لواء الزینب (س)</v>
      </c>
      <c r="D3662" s="5" t="str">
        <f>IFERROR(__xludf.DUMMYFUNCTION("""COMPUTED_VALUE"""),"کرمان")</f>
        <v>کرمان</v>
      </c>
      <c r="E3662" s="5" t="str">
        <f>IFERROR(__xludf.DUMMYFUNCTION("""COMPUTED_VALUE"""),"کرمان")</f>
        <v>کرمان</v>
      </c>
      <c r="F3662" s="5"/>
      <c r="G3662" s="5"/>
      <c r="H3662" s="6" t="str">
        <f>IFERROR(__xludf.DUMMYFUNCTION("""COMPUTED_VALUE"""),"https://www.instagram.com/levaalzeynab_kerman/")</f>
        <v>https://www.instagram.com/levaalzeynab_kerman/</v>
      </c>
      <c r="I3662" s="6" t="str">
        <f>IFERROR(__xludf.DUMMYFUNCTION("""COMPUTED_VALUE"""),"t.me/levaalzeynab_kerman")</f>
        <v>t.me/levaalzeynab_kerman</v>
      </c>
      <c r="J3662" s="5"/>
      <c r="K3662" s="5"/>
      <c r="L3662" s="5"/>
      <c r="M3662" s="5"/>
      <c r="N3662" s="5"/>
      <c r="O3662" s="5"/>
      <c r="P3662" s="5"/>
      <c r="Q3662" s="5"/>
      <c r="R3662" s="5"/>
      <c r="S3662" s="5"/>
    </row>
    <row r="3663">
      <c r="A3663" s="5">
        <f>IFERROR(__xludf.DUMMYFUNCTION("""COMPUTED_VALUE"""),11580.0)</f>
        <v>11580</v>
      </c>
      <c r="B3663" s="5"/>
      <c r="C3663" s="5" t="str">
        <f>IFERROR(__xludf.DUMMYFUNCTION("""COMPUTED_VALUE"""),"محبین اهل بیت(ع)")</f>
        <v>محبین اهل بیت(ع)</v>
      </c>
      <c r="D3663" s="5" t="str">
        <f>IFERROR(__xludf.DUMMYFUNCTION("""COMPUTED_VALUE"""),"کرمان")</f>
        <v>کرمان</v>
      </c>
      <c r="E3663" s="5" t="str">
        <f>IFERROR(__xludf.DUMMYFUNCTION("""COMPUTED_VALUE"""),"ماهان")</f>
        <v>ماهان</v>
      </c>
      <c r="F3663" s="5"/>
      <c r="G3663" s="5"/>
      <c r="H3663" s="6" t="str">
        <f>IFERROR(__xludf.DUMMYFUNCTION("""COMPUTED_VALUE"""),"https://www.instagram.com/mohebinahlebeit.mahan/")</f>
        <v>https://www.instagram.com/mohebinahlebeit.mahan/</v>
      </c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</row>
    <row r="3664">
      <c r="A3664" s="5">
        <f>IFERROR(__xludf.DUMMYFUNCTION("""COMPUTED_VALUE"""),11575.0)</f>
        <v>11575</v>
      </c>
      <c r="B3664" s="5"/>
      <c r="C3664" s="5" t="str">
        <f>IFERROR(__xludf.DUMMYFUNCTION("""COMPUTED_VALUE"""),"تشنگان فرات محبان حضرت زینب (س)")</f>
        <v>تشنگان فرات محبان حضرت زینب (س)</v>
      </c>
      <c r="D3664" s="5" t="str">
        <f>IFERROR(__xludf.DUMMYFUNCTION("""COMPUTED_VALUE"""),"کرمان")</f>
        <v>کرمان</v>
      </c>
      <c r="E3664" s="5" t="str">
        <f>IFERROR(__xludf.DUMMYFUNCTION("""COMPUTED_VALUE"""),"کرمان")</f>
        <v>کرمان</v>
      </c>
      <c r="F3664" s="5"/>
      <c r="G3664" s="5"/>
      <c r="H3664" s="6" t="str">
        <f>IFERROR(__xludf.DUMMYFUNCTION("""COMPUTED_VALUE"""),"https://www.instagram.com/teshnegan_ir/")</f>
        <v>https://www.instagram.com/teshnegan_ir/</v>
      </c>
      <c r="I3664" s="6" t="str">
        <f>IFERROR(__xludf.DUMMYFUNCTION("""COMPUTED_VALUE"""),"t.me/Teshnegan_ir")</f>
        <v>t.me/Teshnegan_ir</v>
      </c>
      <c r="J3664" s="5"/>
      <c r="K3664" s="5"/>
      <c r="L3664" s="5"/>
      <c r="M3664" s="5"/>
      <c r="N3664" s="5"/>
      <c r="O3664" s="5"/>
      <c r="P3664" s="5"/>
      <c r="Q3664" s="5"/>
      <c r="R3664" s="5"/>
      <c r="S3664" s="5"/>
    </row>
    <row r="3665">
      <c r="A3665" s="5">
        <f>IFERROR(__xludf.DUMMYFUNCTION("""COMPUTED_VALUE"""),11478.0)</f>
        <v>11478</v>
      </c>
      <c r="B3665" s="5"/>
      <c r="C3665" s="5" t="str">
        <f>IFERROR(__xludf.DUMMYFUNCTION("""COMPUTED_VALUE"""),"مجمع فاطمیون")</f>
        <v>مجمع فاطمیون</v>
      </c>
      <c r="D3665" s="5" t="str">
        <f>IFERROR(__xludf.DUMMYFUNCTION("""COMPUTED_VALUE"""),"کرمان")</f>
        <v>کرمان</v>
      </c>
      <c r="E3665" s="5" t="str">
        <f>IFERROR(__xludf.DUMMYFUNCTION("""COMPUTED_VALUE"""),"کرمان")</f>
        <v>کرمان</v>
      </c>
      <c r="F3665" s="5"/>
      <c r="G3665" s="5"/>
      <c r="H3665" s="6" t="str">
        <f>IFERROR(__xludf.DUMMYFUNCTION("""COMPUTED_VALUE"""),"https://www.instagram.com/fatemiyoon__/")</f>
        <v>https://www.instagram.com/fatemiyoon__/</v>
      </c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</row>
    <row r="3666">
      <c r="A3666" s="5">
        <f>IFERROR(__xludf.DUMMYFUNCTION("""COMPUTED_VALUE"""),11463.0)</f>
        <v>11463</v>
      </c>
      <c r="B3666" s="5"/>
      <c r="C3666" s="5" t="str">
        <f>IFERROR(__xludf.DUMMYFUNCTION("""COMPUTED_VALUE"""),"محبان قائم (عج)")</f>
        <v>محبان قائم (عج)</v>
      </c>
      <c r="D3666" s="5" t="str">
        <f>IFERROR(__xludf.DUMMYFUNCTION("""COMPUTED_VALUE"""),"کرمان")</f>
        <v>کرمان</v>
      </c>
      <c r="E3666" s="5" t="str">
        <f>IFERROR(__xludf.DUMMYFUNCTION("""COMPUTED_VALUE"""),"کرمان")</f>
        <v>کرمان</v>
      </c>
      <c r="F3666" s="5"/>
      <c r="G3666" s="5"/>
      <c r="H3666" s="5"/>
      <c r="I3666" s="5"/>
      <c r="J3666" s="6" t="str">
        <f>IFERROR(__xludf.DUMMYFUNCTION("""COMPUTED_VALUE"""),"https://eitaa.com/mohebbanqaem1347")</f>
        <v>https://eitaa.com/mohebbanqaem1347</v>
      </c>
      <c r="K3666" s="5"/>
      <c r="L3666" s="5"/>
      <c r="M3666" s="5"/>
      <c r="N3666" s="5"/>
      <c r="O3666" s="5"/>
      <c r="P3666" s="5"/>
      <c r="Q3666" s="5"/>
      <c r="R3666" s="5"/>
      <c r="S3666" s="5"/>
    </row>
    <row r="3667">
      <c r="A3667" s="5">
        <f>IFERROR(__xludf.DUMMYFUNCTION("""COMPUTED_VALUE"""),11457.0)</f>
        <v>11457</v>
      </c>
      <c r="B3667" s="5"/>
      <c r="C3667" s="5" t="str">
        <f>IFERROR(__xludf.DUMMYFUNCTION("""COMPUTED_VALUE"""),"ثارالله (ع)")</f>
        <v>ثارالله (ع)</v>
      </c>
      <c r="D3667" s="5" t="str">
        <f>IFERROR(__xludf.DUMMYFUNCTION("""COMPUTED_VALUE"""),"کرمان")</f>
        <v>کرمان</v>
      </c>
      <c r="E3667" s="5" t="str">
        <f>IFERROR(__xludf.DUMMYFUNCTION("""COMPUTED_VALUE"""),"کرمان")</f>
        <v>کرمان</v>
      </c>
      <c r="F3667" s="5"/>
      <c r="G3667" s="5"/>
      <c r="H3667" s="5"/>
      <c r="I3667" s="5"/>
      <c r="J3667" s="6" t="str">
        <f>IFERROR(__xludf.DUMMYFUNCTION("""COMPUTED_VALUE"""),"https://eitaa.com/h_sarallah")</f>
        <v>https://eitaa.com/h_sarallah</v>
      </c>
      <c r="K3667" s="5"/>
      <c r="L3667" s="5"/>
      <c r="M3667" s="5"/>
      <c r="N3667" s="5"/>
      <c r="O3667" s="5"/>
      <c r="P3667" s="5"/>
      <c r="Q3667" s="5"/>
      <c r="R3667" s="5"/>
      <c r="S3667" s="5"/>
    </row>
    <row r="3668">
      <c r="A3668" s="5">
        <f>IFERROR(__xludf.DUMMYFUNCTION("""COMPUTED_VALUE"""),11442.0)</f>
        <v>11442</v>
      </c>
      <c r="B3668" s="5"/>
      <c r="C3668" s="5" t="str">
        <f>IFERROR(__xludf.DUMMYFUNCTION("""COMPUTED_VALUE"""),"معراج الحسین (ع)")</f>
        <v>معراج الحسین (ع)</v>
      </c>
      <c r="D3668" s="5" t="str">
        <f>IFERROR(__xludf.DUMMYFUNCTION("""COMPUTED_VALUE"""),"کرمان")</f>
        <v>کرمان</v>
      </c>
      <c r="E3668" s="5" t="str">
        <f>IFERROR(__xludf.DUMMYFUNCTION("""COMPUTED_VALUE"""),"کرمان")</f>
        <v>کرمان</v>
      </c>
      <c r="F3668" s="5"/>
      <c r="G3668" s="5"/>
      <c r="H3668" s="6" t="str">
        <f>IFERROR(__xludf.DUMMYFUNCTION("""COMPUTED_VALUE"""),"https://www.instagram.com/meraj_hosein_kerman/")</f>
        <v>https://www.instagram.com/meraj_hosein_kerman/</v>
      </c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</row>
    <row r="3669">
      <c r="A3669" s="5">
        <f>IFERROR(__xludf.DUMMYFUNCTION("""COMPUTED_VALUE"""),11418.0)</f>
        <v>11418</v>
      </c>
      <c r="B3669" s="5"/>
      <c r="C3669" s="5" t="str">
        <f>IFERROR(__xludf.DUMMYFUNCTION("""COMPUTED_VALUE"""),"مکتب الزهرا (س)")</f>
        <v>مکتب الزهرا (س)</v>
      </c>
      <c r="D3669" s="5" t="str">
        <f>IFERROR(__xludf.DUMMYFUNCTION("""COMPUTED_VALUE"""),"کرمان")</f>
        <v>کرمان</v>
      </c>
      <c r="E3669" s="5" t="str">
        <f>IFERROR(__xludf.DUMMYFUNCTION("""COMPUTED_VALUE"""),"بم")</f>
        <v>بم</v>
      </c>
      <c r="F3669" s="5"/>
      <c r="G3669" s="5"/>
      <c r="H3669" s="6" t="str">
        <f>IFERROR(__xludf.DUMMYFUNCTION("""COMPUTED_VALUE"""),"https://www.instagram.com/maktabol_zahra/")</f>
        <v>https://www.instagram.com/maktabol_zahra/</v>
      </c>
      <c r="I3669" s="6" t="str">
        <f>IFERROR(__xludf.DUMMYFUNCTION("""COMPUTED_VALUE"""),"t.me/maktabollzahra")</f>
        <v>t.me/maktabollzahra</v>
      </c>
      <c r="J3669" s="5"/>
      <c r="K3669" s="5"/>
      <c r="L3669" s="5"/>
      <c r="M3669" s="5"/>
      <c r="N3669" s="5"/>
      <c r="O3669" s="5"/>
      <c r="P3669" s="5"/>
      <c r="Q3669" s="5"/>
      <c r="R3669" s="5"/>
      <c r="S3669" s="5"/>
    </row>
    <row r="3670">
      <c r="A3670" s="5">
        <f>IFERROR(__xludf.DUMMYFUNCTION("""COMPUTED_VALUE"""),11404.0)</f>
        <v>11404</v>
      </c>
      <c r="B3670" s="5"/>
      <c r="C3670" s="5" t="str">
        <f>IFERROR(__xludf.DUMMYFUNCTION("""COMPUTED_VALUE"""),"عاشقان ثارالله (ع)")</f>
        <v>عاشقان ثارالله (ع)</v>
      </c>
      <c r="D3670" s="5" t="str">
        <f>IFERROR(__xludf.DUMMYFUNCTION("""COMPUTED_VALUE"""),"کرمان")</f>
        <v>کرمان</v>
      </c>
      <c r="E3670" s="5" t="str">
        <f>IFERROR(__xludf.DUMMYFUNCTION("""COMPUTED_VALUE"""),"بردسیر")</f>
        <v>بردسیر</v>
      </c>
      <c r="F3670" s="5"/>
      <c r="G3670" s="5"/>
      <c r="H3670" s="6" t="str">
        <f>IFERROR(__xludf.DUMMYFUNCTION("""COMPUTED_VALUE"""),"https://www.instagram.com/sarallah_bardsir/")</f>
        <v>https://www.instagram.com/sarallah_bardsir/</v>
      </c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</row>
    <row r="3671">
      <c r="A3671" s="5">
        <f>IFERROR(__xludf.DUMMYFUNCTION("""COMPUTED_VALUE"""),11395.0)</f>
        <v>11395</v>
      </c>
      <c r="B3671" s="5"/>
      <c r="C3671" s="5" t="str">
        <f>IFERROR(__xludf.DUMMYFUNCTION("""COMPUTED_VALUE"""),"وارثین فدک")</f>
        <v>وارثین فدک</v>
      </c>
      <c r="D3671" s="5" t="str">
        <f>IFERROR(__xludf.DUMMYFUNCTION("""COMPUTED_VALUE"""),"کرمان")</f>
        <v>کرمان</v>
      </c>
      <c r="E3671" s="5" t="str">
        <f>IFERROR(__xludf.DUMMYFUNCTION("""COMPUTED_VALUE"""),"شهربابک")</f>
        <v>شهربابک</v>
      </c>
      <c r="F3671" s="5"/>
      <c r="G3671" s="5"/>
      <c r="H3671" s="6" t="str">
        <f>IFERROR(__xludf.DUMMYFUNCTION("""COMPUTED_VALUE"""),"https://www.instagram.com/varesinfadak/")</f>
        <v>https://www.instagram.com/varesinfadak/</v>
      </c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</row>
    <row r="3672">
      <c r="A3672" s="5">
        <f>IFERROR(__xludf.DUMMYFUNCTION("""COMPUTED_VALUE"""),11394.0)</f>
        <v>11394</v>
      </c>
      <c r="B3672" s="5"/>
      <c r="C3672" s="5" t="str">
        <f>IFERROR(__xludf.DUMMYFUNCTION("""COMPUTED_VALUE"""),"بیت الاحزان")</f>
        <v>بیت الاحزان</v>
      </c>
      <c r="D3672" s="5" t="str">
        <f>IFERROR(__xludf.DUMMYFUNCTION("""COMPUTED_VALUE"""),"کرمان")</f>
        <v>کرمان</v>
      </c>
      <c r="E3672" s="5" t="str">
        <f>IFERROR(__xludf.DUMMYFUNCTION("""COMPUTED_VALUE"""),"کرمان")</f>
        <v>کرمان</v>
      </c>
      <c r="F3672" s="5"/>
      <c r="G3672" s="5"/>
      <c r="H3672" s="6" t="str">
        <f>IFERROR(__xludf.DUMMYFUNCTION("""COMPUTED_VALUE"""),"https://www.instagram.com/h_beytolahzan_kerman/")</f>
        <v>https://www.instagram.com/h_beytolahzan_kerman/</v>
      </c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</row>
    <row r="3673">
      <c r="A3673" s="5">
        <f>IFERROR(__xludf.DUMMYFUNCTION("""COMPUTED_VALUE"""),11375.0)</f>
        <v>11375</v>
      </c>
      <c r="B3673" s="5"/>
      <c r="C3673" s="5" t="str">
        <f>IFERROR(__xludf.DUMMYFUNCTION("""COMPUTED_VALUE"""),"جنت الرضا (ع)")</f>
        <v>جنت الرضا (ع)</v>
      </c>
      <c r="D3673" s="5" t="str">
        <f>IFERROR(__xludf.DUMMYFUNCTION("""COMPUTED_VALUE"""),"کرمان")</f>
        <v>کرمان</v>
      </c>
      <c r="E3673" s="5" t="str">
        <f>IFERROR(__xludf.DUMMYFUNCTION("""COMPUTED_VALUE"""),"کرمان")</f>
        <v>کرمان</v>
      </c>
      <c r="F3673" s="5"/>
      <c r="G3673" s="5"/>
      <c r="H3673" s="6" t="str">
        <f>IFERROR(__xludf.DUMMYFUNCTION("""COMPUTED_VALUE"""),"https://www.instagram.com/imam_hussain_valfajr/")</f>
        <v>https://www.instagram.com/imam_hussain_valfajr/</v>
      </c>
      <c r="I3673" s="5"/>
      <c r="J3673" s="6" t="str">
        <f>IFERROR(__xludf.DUMMYFUNCTION("""COMPUTED_VALUE"""),"https://eitaa.com/h_janatoreza")</f>
        <v>https://eitaa.com/h_janatoreza</v>
      </c>
      <c r="K3673" s="5"/>
      <c r="L3673" s="5"/>
      <c r="M3673" s="5"/>
      <c r="N3673" s="5"/>
      <c r="O3673" s="5"/>
      <c r="P3673" s="5"/>
      <c r="Q3673" s="5"/>
      <c r="R3673" s="5"/>
      <c r="S3673" s="5"/>
    </row>
    <row r="3674">
      <c r="A3674" s="5">
        <f>IFERROR(__xludf.DUMMYFUNCTION("""COMPUTED_VALUE"""),11357.0)</f>
        <v>11357</v>
      </c>
      <c r="B3674" s="5"/>
      <c r="C3674" s="5" t="str">
        <f>IFERROR(__xludf.DUMMYFUNCTION("""COMPUTED_VALUE"""),"دلدادگان بین الحرمین (هیات مسجد ابوالفضل (ع))")</f>
        <v>دلدادگان بین الحرمین (هیات مسجد ابوالفضل (ع))</v>
      </c>
      <c r="D3674" s="5" t="str">
        <f>IFERROR(__xludf.DUMMYFUNCTION("""COMPUTED_VALUE"""),"کرمان")</f>
        <v>کرمان</v>
      </c>
      <c r="E3674" s="5" t="str">
        <f>IFERROR(__xludf.DUMMYFUNCTION("""COMPUTED_VALUE"""),"کرمان")</f>
        <v>کرمان</v>
      </c>
      <c r="F3674" s="5"/>
      <c r="G3674" s="5"/>
      <c r="H3674" s="6" t="str">
        <f>IFERROR(__xludf.DUMMYFUNCTION("""COMPUTED_VALUE"""),"https://www.instagram.com/d.beynolharameyn/")</f>
        <v>https://www.instagram.com/d.beynolharameyn/</v>
      </c>
      <c r="I3674" s="6" t="str">
        <f>IFERROR(__xludf.DUMMYFUNCTION("""COMPUTED_VALUE"""),"t.me/d_beynolharameyn")</f>
        <v>t.me/d_beynolharameyn</v>
      </c>
      <c r="J3674" s="5"/>
      <c r="K3674" s="5"/>
      <c r="L3674" s="5"/>
      <c r="M3674" s="5"/>
      <c r="N3674" s="5"/>
      <c r="O3674" s="5"/>
      <c r="P3674" s="5"/>
      <c r="Q3674" s="5"/>
      <c r="R3674" s="5"/>
      <c r="S3674" s="5"/>
    </row>
    <row r="3675">
      <c r="A3675" s="5">
        <f>IFERROR(__xludf.DUMMYFUNCTION("""COMPUTED_VALUE"""),11341.0)</f>
        <v>11341</v>
      </c>
      <c r="B3675" s="5"/>
      <c r="C3675" s="5" t="str">
        <f>IFERROR(__xludf.DUMMYFUNCTION("""COMPUTED_VALUE"""),"مکتب الصادق (ع) سرآسیاب فرسنگی")</f>
        <v>مکتب الصادق (ع) سرآسیاب فرسنگی</v>
      </c>
      <c r="D3675" s="5" t="str">
        <f>IFERROR(__xludf.DUMMYFUNCTION("""COMPUTED_VALUE"""),"کرمان")</f>
        <v>کرمان</v>
      </c>
      <c r="E3675" s="5" t="str">
        <f>IFERROR(__xludf.DUMMYFUNCTION("""COMPUTED_VALUE"""),"کرمان")</f>
        <v>کرمان</v>
      </c>
      <c r="F3675" s="5"/>
      <c r="G3675" s="5"/>
      <c r="H3675" s="6" t="str">
        <f>IFERROR(__xludf.DUMMYFUNCTION("""COMPUTED_VALUE"""),"https://www.instagram.com/maktabalsadegh195/")</f>
        <v>https://www.instagram.com/maktabalsadegh195/</v>
      </c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</row>
    <row r="3676">
      <c r="A3676" s="5"/>
      <c r="B3676" s="5" t="str">
        <f>IFERROR(__xludf.DUMMYFUNCTION("""COMPUTED_VALUE"""),"هیأت دانشجویی")</f>
        <v>هیأت دانشجویی</v>
      </c>
      <c r="C3676" s="5" t="str">
        <f>IFERROR(__xludf.DUMMYFUNCTION("""COMPUTED_VALUE"""),"مکتب الزهرا (س)")</f>
        <v>مکتب الزهرا (س)</v>
      </c>
      <c r="D3676" s="5" t="str">
        <f>IFERROR(__xludf.DUMMYFUNCTION("""COMPUTED_VALUE"""),"کرمان")</f>
        <v>کرمان</v>
      </c>
      <c r="E3676" s="5" t="str">
        <f>IFERROR(__xludf.DUMMYFUNCTION("""COMPUTED_VALUE"""),"کرمان")</f>
        <v>کرمان</v>
      </c>
      <c r="F3676" s="5" t="str">
        <f>IFERROR(__xludf.DUMMYFUNCTION("""COMPUTED_VALUE"""),"دانشگاه فرهنگیان پردیس باهنر")</f>
        <v>دانشگاه فرهنگیان پردیس باهنر</v>
      </c>
      <c r="G3676" s="5"/>
      <c r="H3676" s="6" t="str">
        <f>IFERROR(__xludf.DUMMYFUNCTION("""COMPUTED_VALUE"""),"https://www.instagram.com/maktabzahracfu/")</f>
        <v>https://www.instagram.com/maktabzahracfu/</v>
      </c>
      <c r="I3676" s="5"/>
      <c r="J3676" s="6" t="str">
        <f>IFERROR(__xludf.DUMMYFUNCTION("""COMPUTED_VALUE"""),"https://eitaa.com/maktabzahracfu")</f>
        <v>https://eitaa.com/maktabzahracfu</v>
      </c>
      <c r="K3676" s="5"/>
      <c r="L3676" s="5"/>
      <c r="M3676" s="5"/>
      <c r="N3676" s="5"/>
      <c r="O3676" s="5"/>
      <c r="P3676" s="5"/>
      <c r="Q3676" s="5"/>
      <c r="R3676" s="5"/>
      <c r="S3676" s="5"/>
    </row>
    <row r="3677">
      <c r="A3677" s="5"/>
      <c r="B3677" s="5" t="str">
        <f>IFERROR(__xludf.DUMMYFUNCTION("""COMPUTED_VALUE"""),"هیأت دانشجویی")</f>
        <v>هیأت دانشجویی</v>
      </c>
      <c r="C3677" s="5" t="str">
        <f>IFERROR(__xludf.DUMMYFUNCTION("""COMPUTED_VALUE"""),"مکتب الصادق")</f>
        <v>مکتب الصادق</v>
      </c>
      <c r="D3677" s="5" t="str">
        <f>IFERROR(__xludf.DUMMYFUNCTION("""COMPUTED_VALUE"""),"کرمان")</f>
        <v>کرمان</v>
      </c>
      <c r="E3677" s="5" t="str">
        <f>IFERROR(__xludf.DUMMYFUNCTION("""COMPUTED_VALUE"""),"کرمان")</f>
        <v>کرمان</v>
      </c>
      <c r="F3677" s="5" t="str">
        <f>IFERROR(__xludf.DUMMYFUNCTION("""COMPUTED_VALUE"""),"دانشگاه فرهنگیان پردیس خواجه نصیرالدین طوسی")</f>
        <v>دانشگاه فرهنگیان پردیس خواجه نصیرالدین طوسی</v>
      </c>
      <c r="G3677" s="5"/>
      <c r="H3677" s="6" t="str">
        <f>IFERROR(__xludf.DUMMYFUNCTION("""COMPUTED_VALUE"""),"https://www.instagram.com/maktab_alsadegh_kerman/")</f>
        <v>https://www.instagram.com/maktab_alsadegh_kerman/</v>
      </c>
      <c r="I3677" s="5"/>
      <c r="J3677" s="6" t="str">
        <f>IFERROR(__xludf.DUMMYFUNCTION("""COMPUTED_VALUE"""),"https://eitaa.com/maktab_alsadegh_kerman")</f>
        <v>https://eitaa.com/maktab_alsadegh_kerman</v>
      </c>
      <c r="K3677" s="5"/>
      <c r="L3677" s="5"/>
      <c r="M3677" s="5"/>
      <c r="N3677" s="5"/>
      <c r="O3677" s="5"/>
      <c r="P3677" s="5"/>
      <c r="Q3677" s="5"/>
      <c r="R3677" s="5"/>
      <c r="S3677" s="5"/>
    </row>
    <row r="3678">
      <c r="A3678" s="5"/>
      <c r="B3678" s="5" t="str">
        <f>IFERROR(__xludf.DUMMYFUNCTION("""COMPUTED_VALUE"""),"هیأت دانشجویی")</f>
        <v>هیأت دانشجویی</v>
      </c>
      <c r="C3678" s="5" t="str">
        <f>IFERROR(__xludf.DUMMYFUNCTION("""COMPUTED_VALUE"""),"حضرت خدیجه")</f>
        <v>حضرت خدیجه</v>
      </c>
      <c r="D3678" s="5" t="str">
        <f>IFERROR(__xludf.DUMMYFUNCTION("""COMPUTED_VALUE"""),"کرمان")</f>
        <v>کرمان</v>
      </c>
      <c r="E3678" s="5" t="str">
        <f>IFERROR(__xludf.DUMMYFUNCTION("""COMPUTED_VALUE"""),"کرمان")</f>
        <v>کرمان</v>
      </c>
      <c r="F3678" s="5" t="str">
        <f>IFERROR(__xludf.DUMMYFUNCTION("""COMPUTED_VALUE"""),"دانشگاه فرهنگیان پردیس باهنر")</f>
        <v>دانشگاه فرهنگیان پردیس باهنر</v>
      </c>
      <c r="G3678" s="5"/>
      <c r="H3678" s="6" t="str">
        <f>IFERROR(__xludf.DUMMYFUNCTION("""COMPUTED_VALUE"""),"https://www.instagram.com/heyat_hazratkhadijeh/")</f>
        <v>https://www.instagram.com/heyat_hazratkhadijeh/</v>
      </c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</row>
    <row r="3679">
      <c r="A3679" s="5">
        <f>IFERROR(__xludf.DUMMYFUNCTION("""COMPUTED_VALUE"""),33336.0)</f>
        <v>33336</v>
      </c>
      <c r="B3679" s="5" t="str">
        <f>IFERROR(__xludf.DUMMYFUNCTION("""COMPUTED_VALUE"""),"هیأت")</f>
        <v>هیأت</v>
      </c>
      <c r="C3679" s="5" t="str">
        <f>IFERROR(__xludf.DUMMYFUNCTION("""COMPUTED_VALUE"""),"روضه خانگی")</f>
        <v>روضه خانگی</v>
      </c>
      <c r="D3679" s="5" t="str">
        <f>IFERROR(__xludf.DUMMYFUNCTION("""COMPUTED_VALUE"""),"کرمان")</f>
        <v>کرمان</v>
      </c>
      <c r="E3679" s="5" t="str">
        <f>IFERROR(__xludf.DUMMYFUNCTION("""COMPUTED_VALUE"""),"کرمان")</f>
        <v>کرمان</v>
      </c>
      <c r="F3679" s="5"/>
      <c r="G3679" s="5"/>
      <c r="H3679" s="5"/>
      <c r="I3679" s="5"/>
      <c r="J3679" s="6" t="str">
        <f>IFERROR(__xludf.DUMMYFUNCTION("""COMPUTED_VALUE"""),"https://eitaa.com/HomemadeRoza")</f>
        <v>https://eitaa.com/HomemadeRoza</v>
      </c>
      <c r="K3679" s="5"/>
      <c r="L3679" s="5"/>
      <c r="M3679" s="5"/>
      <c r="N3679" s="5"/>
      <c r="O3679" s="5"/>
      <c r="P3679" s="5"/>
      <c r="Q3679" s="5"/>
      <c r="R3679" s="5"/>
      <c r="S3679" s="5"/>
    </row>
    <row r="3680">
      <c r="A3680" s="5">
        <f>IFERROR(__xludf.DUMMYFUNCTION("""COMPUTED_VALUE"""),33161.0)</f>
        <v>33161</v>
      </c>
      <c r="B3680" s="5" t="str">
        <f>IFERROR(__xludf.DUMMYFUNCTION("""COMPUTED_VALUE"""),"هیأت")</f>
        <v>هیأت</v>
      </c>
      <c r="C3680" s="5" t="str">
        <f>IFERROR(__xludf.DUMMYFUNCTION("""COMPUTED_VALUE"""),"ایوان نجف")</f>
        <v>ایوان نجف</v>
      </c>
      <c r="D3680" s="5" t="str">
        <f>IFERROR(__xludf.DUMMYFUNCTION("""COMPUTED_VALUE"""),"کرمان")</f>
        <v>کرمان</v>
      </c>
      <c r="E3680" s="5" t="str">
        <f>IFERROR(__xludf.DUMMYFUNCTION("""COMPUTED_VALUE"""),"کرمان")</f>
        <v>کرمان</v>
      </c>
      <c r="F3680" s="5"/>
      <c r="G3680" s="5"/>
      <c r="H3680" s="6" t="str">
        <f>IFERROR(__xludf.DUMMYFUNCTION("""COMPUTED_VALUE"""),"https://www.instagram.com/eyvannajaf_kerman")</f>
        <v>https://www.instagram.com/eyvannajaf_kerman</v>
      </c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</row>
    <row r="3681">
      <c r="A3681" s="5">
        <f>IFERROR(__xludf.DUMMYFUNCTION("""COMPUTED_VALUE"""),32968.0)</f>
        <v>32968</v>
      </c>
      <c r="B3681" s="5" t="str">
        <f>IFERROR(__xludf.DUMMYFUNCTION("""COMPUTED_VALUE"""),"هیأت")</f>
        <v>هیأت</v>
      </c>
      <c r="C3681" s="5" t="str">
        <f>IFERROR(__xludf.DUMMYFUNCTION("""COMPUTED_VALUE"""),"هیات حسینیه اعظم سعدی")</f>
        <v>هیات حسینیه اعظم سعدی</v>
      </c>
      <c r="D3681" s="5" t="str">
        <f>IFERROR(__xludf.DUMMYFUNCTION("""COMPUTED_VALUE"""),"کرمان")</f>
        <v>کرمان</v>
      </c>
      <c r="E3681" s="5" t="str">
        <f>IFERROR(__xludf.DUMMYFUNCTION("""COMPUTED_VALUE"""),"کرمان")</f>
        <v>کرمان</v>
      </c>
      <c r="F3681" s="5"/>
      <c r="G3681" s="5"/>
      <c r="H3681" s="6" t="str">
        <f>IFERROR(__xludf.DUMMYFUNCTION("""COMPUTED_VALUE"""),"https://www.instagram.com/hoseiniehazam.kerman")</f>
        <v>https://www.instagram.com/hoseiniehazam.kerman</v>
      </c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</row>
    <row r="3682">
      <c r="A3682" s="5">
        <f>IFERROR(__xludf.DUMMYFUNCTION("""COMPUTED_VALUE"""),32966.0)</f>
        <v>32966</v>
      </c>
      <c r="B3682" s="5" t="str">
        <f>IFERROR(__xludf.DUMMYFUNCTION("""COMPUTED_VALUE"""),"هیأت")</f>
        <v>هیأت</v>
      </c>
      <c r="C3682" s="5" t="str">
        <f>IFERROR(__xludf.DUMMYFUNCTION("""COMPUTED_VALUE"""),"راویان نینوا")</f>
        <v>راویان نینوا</v>
      </c>
      <c r="D3682" s="5" t="str">
        <f>IFERROR(__xludf.DUMMYFUNCTION("""COMPUTED_VALUE"""),"کرمان")</f>
        <v>کرمان</v>
      </c>
      <c r="E3682" s="5" t="str">
        <f>IFERROR(__xludf.DUMMYFUNCTION("""COMPUTED_VALUE"""),"کرمان")</f>
        <v>کرمان</v>
      </c>
      <c r="F3682" s="5"/>
      <c r="G3682" s="5"/>
      <c r="H3682" s="6" t="str">
        <f>IFERROR(__xludf.DUMMYFUNCTION("""COMPUTED_VALUE"""),"https://www.instagram.com/ravianneynava313")</f>
        <v>https://www.instagram.com/ravianneynava313</v>
      </c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</row>
    <row r="3683">
      <c r="A3683" s="5">
        <f>IFERROR(__xludf.DUMMYFUNCTION("""COMPUTED_VALUE"""),32964.0)</f>
        <v>32964</v>
      </c>
      <c r="B3683" s="5" t="str">
        <f>IFERROR(__xludf.DUMMYFUNCTION("""COMPUTED_VALUE"""),"هیأت")</f>
        <v>هیأت</v>
      </c>
      <c r="C3683" s="5" t="str">
        <f>IFERROR(__xludf.DUMMYFUNCTION("""COMPUTED_VALUE"""),"محبان امام سجاد (ع)")</f>
        <v>محبان امام سجاد (ع)</v>
      </c>
      <c r="D3683" s="5" t="str">
        <f>IFERROR(__xludf.DUMMYFUNCTION("""COMPUTED_VALUE"""),"کرمان")</f>
        <v>کرمان</v>
      </c>
      <c r="E3683" s="5" t="str">
        <f>IFERROR(__xludf.DUMMYFUNCTION("""COMPUTED_VALUE"""),"کرمان")</f>
        <v>کرمان</v>
      </c>
      <c r="F3683" s="5"/>
      <c r="G3683" s="5"/>
      <c r="H3683" s="6" t="str">
        <f>IFERROR(__xludf.DUMMYFUNCTION("""COMPUTED_VALUE"""),"https://www.instagram.com/emaam_sajaad")</f>
        <v>https://www.instagram.com/emaam_sajaad</v>
      </c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</row>
    <row r="3684">
      <c r="A3684" s="5">
        <f>IFERROR(__xludf.DUMMYFUNCTION("""COMPUTED_VALUE"""),32963.0)</f>
        <v>32963</v>
      </c>
      <c r="B3684" s="5" t="str">
        <f>IFERROR(__xludf.DUMMYFUNCTION("""COMPUTED_VALUE"""),"هیأت")</f>
        <v>هیأت</v>
      </c>
      <c r="C3684" s="5" t="str">
        <f>IFERROR(__xludf.DUMMYFUNCTION("""COMPUTED_VALUE"""),"خادم الحسین (ع) محله ولی عصر")</f>
        <v>خادم الحسین (ع) محله ولی عصر</v>
      </c>
      <c r="D3684" s="5" t="str">
        <f>IFERROR(__xludf.DUMMYFUNCTION("""COMPUTED_VALUE"""),"کرمان")</f>
        <v>کرمان</v>
      </c>
      <c r="E3684" s="5" t="str">
        <f>IFERROR(__xludf.DUMMYFUNCTION("""COMPUTED_VALUE"""),"کرمان")</f>
        <v>کرمان</v>
      </c>
      <c r="F3684" s="5"/>
      <c r="G3684" s="5"/>
      <c r="H3684" s="6" t="str">
        <f>IFERROR(__xludf.DUMMYFUNCTION("""COMPUTED_VALUE"""),"https://www.instagram.com/khademolhasan_kerman")</f>
        <v>https://www.instagram.com/khademolhasan_kerman</v>
      </c>
      <c r="I3684" s="6" t="str">
        <f>IFERROR(__xludf.DUMMYFUNCTION("""COMPUTED_VALUE"""),"https://t.me/khademolhasan_kerman")</f>
        <v>https://t.me/khademolhasan_kerman</v>
      </c>
      <c r="J3684" s="5"/>
      <c r="K3684" s="5"/>
      <c r="L3684" s="5"/>
      <c r="M3684" s="5"/>
      <c r="N3684" s="5"/>
      <c r="O3684" s="5"/>
      <c r="P3684" s="5"/>
      <c r="Q3684" s="5"/>
      <c r="R3684" s="5"/>
      <c r="S3684" s="5"/>
    </row>
    <row r="3685">
      <c r="A3685" s="5">
        <f>IFERROR(__xludf.DUMMYFUNCTION("""COMPUTED_VALUE"""),32771.0)</f>
        <v>32771</v>
      </c>
      <c r="B3685" s="5" t="str">
        <f>IFERROR(__xludf.DUMMYFUNCTION("""COMPUTED_VALUE"""),"هیأت")</f>
        <v>هیأت</v>
      </c>
      <c r="C3685" s="5" t="str">
        <f>IFERROR(__xludf.DUMMYFUNCTION("""COMPUTED_VALUE"""),"حسینیه معظم بهاالدین شهر گلزار")</f>
        <v>حسینیه معظم بهاالدین شهر گلزار</v>
      </c>
      <c r="D3685" s="5" t="str">
        <f>IFERROR(__xludf.DUMMYFUNCTION("""COMPUTED_VALUE"""),"کرمان")</f>
        <v>کرمان</v>
      </c>
      <c r="E3685" s="5" t="str">
        <f>IFERROR(__xludf.DUMMYFUNCTION("""COMPUTED_VALUE"""),"بردسیر")</f>
        <v>بردسیر</v>
      </c>
      <c r="F3685" s="5"/>
      <c r="G3685" s="5"/>
      <c r="H3685" s="6" t="str">
        <f>IFERROR(__xludf.DUMMYFUNCTION("""COMPUTED_VALUE"""),"https://www.instagram.com/behaaldin_golzar")</f>
        <v>https://www.instagram.com/behaaldin_golzar</v>
      </c>
      <c r="I3685" s="6" t="str">
        <f>IFERROR(__xludf.DUMMYFUNCTION("""COMPUTED_VALUE"""),"https://t.me/Behaaldin_golzar")</f>
        <v>https://t.me/Behaaldin_golzar</v>
      </c>
      <c r="J3685" s="5"/>
      <c r="K3685" s="5"/>
      <c r="L3685" s="5"/>
      <c r="M3685" s="5"/>
      <c r="N3685" s="5"/>
      <c r="O3685" s="5"/>
      <c r="P3685" s="5"/>
      <c r="Q3685" s="5"/>
      <c r="R3685" s="5"/>
      <c r="S3685" s="5"/>
    </row>
    <row r="3686">
      <c r="A3686" s="5">
        <f>IFERROR(__xludf.DUMMYFUNCTION("""COMPUTED_VALUE"""),32715.0)</f>
        <v>32715</v>
      </c>
      <c r="B3686" s="5" t="str">
        <f>IFERROR(__xludf.DUMMYFUNCTION("""COMPUTED_VALUE"""),"هیأت")</f>
        <v>هیأت</v>
      </c>
      <c r="C3686" s="5" t="str">
        <f>IFERROR(__xludf.DUMMYFUNCTION("""COMPUTED_VALUE"""),"سید الساجدین (ع)")</f>
        <v>سید الساجدین (ع)</v>
      </c>
      <c r="D3686" s="5" t="str">
        <f>IFERROR(__xludf.DUMMYFUNCTION("""COMPUTED_VALUE"""),"کرمان")</f>
        <v>کرمان</v>
      </c>
      <c r="E3686" s="5" t="str">
        <f>IFERROR(__xludf.DUMMYFUNCTION("""COMPUTED_VALUE"""),"کرمان")</f>
        <v>کرمان</v>
      </c>
      <c r="F3686" s="5"/>
      <c r="G3686" s="5">
        <f>IFERROR(__xludf.DUMMYFUNCTION("""COMPUTED_VALUE"""),1.0)</f>
        <v>1</v>
      </c>
      <c r="H3686" s="6" t="str">
        <f>IFERROR(__xludf.DUMMYFUNCTION("""COMPUTED_VALUE"""),"https://www.instagram.com/heyaat_s_sajedin/")</f>
        <v>https://www.instagram.com/heyaat_s_sajedin/</v>
      </c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</row>
    <row r="3687">
      <c r="A3687" s="5">
        <f>IFERROR(__xludf.DUMMYFUNCTION("""COMPUTED_VALUE"""),32713.0)</f>
        <v>32713</v>
      </c>
      <c r="B3687" s="5" t="str">
        <f>IFERROR(__xludf.DUMMYFUNCTION("""COMPUTED_VALUE"""),"هیأت")</f>
        <v>هیأت</v>
      </c>
      <c r="C3687" s="5" t="str">
        <f>IFERROR(__xludf.DUMMYFUNCTION("""COMPUTED_VALUE"""),"مکتب الزهرا (س)")</f>
        <v>مکتب الزهرا (س)</v>
      </c>
      <c r="D3687" s="5" t="str">
        <f>IFERROR(__xludf.DUMMYFUNCTION("""COMPUTED_VALUE"""),"کرمان")</f>
        <v>کرمان</v>
      </c>
      <c r="E3687" s="5" t="str">
        <f>IFERROR(__xludf.DUMMYFUNCTION("""COMPUTED_VALUE"""),"کرمان")</f>
        <v>کرمان</v>
      </c>
      <c r="F3687" s="5"/>
      <c r="G3687" s="5"/>
      <c r="H3687" s="6" t="str">
        <f>IFERROR(__xludf.DUMMYFUNCTION("""COMPUTED_VALUE"""),"https://www.instagram.com/maktabolzahraa")</f>
        <v>https://www.instagram.com/maktabolzahraa</v>
      </c>
      <c r="I3687" s="6" t="str">
        <f>IFERROR(__xludf.DUMMYFUNCTION("""COMPUTED_VALUE"""),"https://t.me/maktabolzahra_kerman")</f>
        <v>https://t.me/maktabolzahra_kerman</v>
      </c>
      <c r="J3687" s="6" t="str">
        <f>IFERROR(__xludf.DUMMYFUNCTION("""COMPUTED_VALUE"""),"https://eitaa.com/maktabzahracfu")</f>
        <v>https://eitaa.com/maktabzahracfu</v>
      </c>
      <c r="K3687" s="5"/>
      <c r="L3687" s="5"/>
      <c r="M3687" s="5"/>
      <c r="N3687" s="5"/>
      <c r="O3687" s="5"/>
      <c r="P3687" s="5"/>
      <c r="Q3687" s="5"/>
      <c r="R3687" s="5"/>
      <c r="S3687" s="5"/>
    </row>
    <row r="3688">
      <c r="A3688" s="5">
        <f>IFERROR(__xludf.DUMMYFUNCTION("""COMPUTED_VALUE"""),32697.0)</f>
        <v>32697</v>
      </c>
      <c r="B3688" s="5" t="str">
        <f>IFERROR(__xludf.DUMMYFUNCTION("""COMPUTED_VALUE"""),"هیأت")</f>
        <v>هیأت</v>
      </c>
      <c r="C3688" s="5" t="str">
        <f>IFERROR(__xludf.DUMMYFUNCTION("""COMPUTED_VALUE"""),"محبان الحسن (ع)")</f>
        <v>محبان الحسن (ع)</v>
      </c>
      <c r="D3688" s="5" t="str">
        <f>IFERROR(__xludf.DUMMYFUNCTION("""COMPUTED_VALUE"""),"کرمان")</f>
        <v>کرمان</v>
      </c>
      <c r="E3688" s="5" t="str">
        <f>IFERROR(__xludf.DUMMYFUNCTION("""COMPUTED_VALUE"""),"کرمان")</f>
        <v>کرمان</v>
      </c>
      <c r="F3688" s="5"/>
      <c r="G3688" s="5"/>
      <c r="H3688" s="6" t="str">
        <f>IFERROR(__xludf.DUMMYFUNCTION("""COMPUTED_VALUE"""),"https://www.instagram.com/mohebbanheiat")</f>
        <v>https://www.instagram.com/mohebbanheiat</v>
      </c>
      <c r="I3688" s="5"/>
      <c r="J3688" s="6" t="str">
        <f>IFERROR(__xludf.DUMMYFUNCTION("""COMPUTED_VALUE"""),"https://eitaa.com/mohebanalhasan")</f>
        <v>https://eitaa.com/mohebanalhasan</v>
      </c>
      <c r="K3688" s="5"/>
      <c r="L3688" s="5"/>
      <c r="M3688" s="5"/>
      <c r="N3688" s="5"/>
      <c r="O3688" s="5"/>
      <c r="P3688" s="5"/>
      <c r="Q3688" s="5"/>
      <c r="R3688" s="5"/>
      <c r="S3688" s="5"/>
    </row>
    <row r="3689">
      <c r="A3689" s="5">
        <f>IFERROR(__xludf.DUMMYFUNCTION("""COMPUTED_VALUE"""),32671.0)</f>
        <v>32671</v>
      </c>
      <c r="B3689" s="5" t="str">
        <f>IFERROR(__xludf.DUMMYFUNCTION("""COMPUTED_VALUE"""),"هیأت")</f>
        <v>هیأت</v>
      </c>
      <c r="C3689" s="5" t="str">
        <f>IFERROR(__xludf.DUMMYFUNCTION("""COMPUTED_VALUE"""),"مهر حسین (ع)")</f>
        <v>مهر حسین (ع)</v>
      </c>
      <c r="D3689" s="5" t="str">
        <f>IFERROR(__xludf.DUMMYFUNCTION("""COMPUTED_VALUE"""),"کرمان")</f>
        <v>کرمان</v>
      </c>
      <c r="E3689" s="5" t="str">
        <f>IFERROR(__xludf.DUMMYFUNCTION("""COMPUTED_VALUE"""),"کرمان")</f>
        <v>کرمان</v>
      </c>
      <c r="F3689" s="5"/>
      <c r="G3689" s="5"/>
      <c r="H3689" s="5"/>
      <c r="I3689" s="5"/>
      <c r="J3689" s="6" t="str">
        <f>IFERROR(__xludf.DUMMYFUNCTION("""COMPUTED_VALUE"""),"https://eitaa.com/mehr_hosein")</f>
        <v>https://eitaa.com/mehr_hosein</v>
      </c>
      <c r="K3689" s="5"/>
      <c r="L3689" s="5"/>
      <c r="M3689" s="5"/>
      <c r="N3689" s="5"/>
      <c r="O3689" s="5"/>
      <c r="P3689" s="5"/>
      <c r="Q3689" s="5"/>
      <c r="R3689" s="5"/>
      <c r="S3689" s="5"/>
    </row>
    <row r="3690">
      <c r="A3690" s="5">
        <f>IFERROR(__xludf.DUMMYFUNCTION("""COMPUTED_VALUE"""),32395.0)</f>
        <v>32395</v>
      </c>
      <c r="B3690" s="5" t="str">
        <f>IFERROR(__xludf.DUMMYFUNCTION("""COMPUTED_VALUE"""),"هیأت")</f>
        <v>هیأت</v>
      </c>
      <c r="C3690" s="5" t="str">
        <f>IFERROR(__xludf.DUMMYFUNCTION("""COMPUTED_VALUE"""),"ثارالله")</f>
        <v>ثارالله</v>
      </c>
      <c r="D3690" s="5" t="str">
        <f>IFERROR(__xludf.DUMMYFUNCTION("""COMPUTED_VALUE"""),"کرمان")</f>
        <v>کرمان</v>
      </c>
      <c r="E3690" s="5" t="str">
        <f>IFERROR(__xludf.DUMMYFUNCTION("""COMPUTED_VALUE"""),"کرمان")</f>
        <v>کرمان</v>
      </c>
      <c r="F3690" s="5"/>
      <c r="G3690" s="5"/>
      <c r="H3690" s="6" t="str">
        <f>IFERROR(__xludf.DUMMYFUNCTION("""COMPUTED_VALUE"""),"https://www.instagram.com/h_sarallah")</f>
        <v>https://www.instagram.com/h_sarallah</v>
      </c>
      <c r="I3690" s="5"/>
      <c r="J3690" s="6" t="str">
        <f>IFERROR(__xludf.DUMMYFUNCTION("""COMPUTED_VALUE"""),"https://eitaa.com/h_sarallah")</f>
        <v>https://eitaa.com/h_sarallah</v>
      </c>
      <c r="K3690" s="5"/>
      <c r="L3690" s="5"/>
      <c r="M3690" s="5"/>
      <c r="N3690" s="5"/>
      <c r="O3690" s="5"/>
      <c r="P3690" s="5"/>
      <c r="Q3690" s="5"/>
      <c r="R3690" s="5"/>
      <c r="S3690" s="5"/>
    </row>
    <row r="3691">
      <c r="A3691" s="5">
        <f>IFERROR(__xludf.DUMMYFUNCTION("""COMPUTED_VALUE"""),32385.0)</f>
        <v>32385</v>
      </c>
      <c r="B3691" s="5" t="str">
        <f>IFERROR(__xludf.DUMMYFUNCTION("""COMPUTED_VALUE"""),"هیأت دانشجویی")</f>
        <v>هیأت دانشجویی</v>
      </c>
      <c r="C3691" s="5" t="str">
        <f>IFERROR(__xludf.DUMMYFUNCTION("""COMPUTED_VALUE"""),"دار الثقیلین")</f>
        <v>دار الثقیلین</v>
      </c>
      <c r="D3691" s="5" t="str">
        <f>IFERROR(__xludf.DUMMYFUNCTION("""COMPUTED_VALUE"""),"کرمان")</f>
        <v>کرمان</v>
      </c>
      <c r="E3691" s="5" t="str">
        <f>IFERROR(__xludf.DUMMYFUNCTION("""COMPUTED_VALUE"""),"کرمان")</f>
        <v>کرمان</v>
      </c>
      <c r="F3691" s="5"/>
      <c r="G3691" s="5"/>
      <c r="H3691" s="6" t="str">
        <f>IFERROR(__xludf.DUMMYFUNCTION("""COMPUTED_VALUE"""),"https://www.instagram.com/darolsaghalein_sbu")</f>
        <v>https://www.instagram.com/darolsaghalein_sbu</v>
      </c>
      <c r="I3691" s="6" t="str">
        <f>IFERROR(__xludf.DUMMYFUNCTION("""COMPUTED_VALUE"""),"https://t.me/darolsaghalein_tm")</f>
        <v>https://t.me/darolsaghalein_tm</v>
      </c>
      <c r="J3691" s="6" t="str">
        <f>IFERROR(__xludf.DUMMYFUNCTION("""COMPUTED_VALUE"""),"https://eitaa.com/darolsaghalein")</f>
        <v>https://eitaa.com/darolsaghalein</v>
      </c>
      <c r="K3691" s="5"/>
      <c r="L3691" s="5"/>
      <c r="M3691" s="5"/>
      <c r="N3691" s="5"/>
      <c r="O3691" s="5"/>
      <c r="P3691" s="5"/>
      <c r="Q3691" s="5"/>
      <c r="R3691" s="5"/>
      <c r="S3691" s="5"/>
    </row>
    <row r="3692">
      <c r="A3692" s="5">
        <f>IFERROR(__xludf.DUMMYFUNCTION("""COMPUTED_VALUE"""),32383.0)</f>
        <v>32383</v>
      </c>
      <c r="B3692" s="5" t="str">
        <f>IFERROR(__xludf.DUMMYFUNCTION("""COMPUTED_VALUE"""),"هیأت")</f>
        <v>هیأت</v>
      </c>
      <c r="C3692" s="5" t="str">
        <f>IFERROR(__xludf.DUMMYFUNCTION("""COMPUTED_VALUE"""),"حسینیه معظم بهاءالدین")</f>
        <v>حسینیه معظم بهاءالدین</v>
      </c>
      <c r="D3692" s="5" t="str">
        <f>IFERROR(__xludf.DUMMYFUNCTION("""COMPUTED_VALUE"""),"کرمان")</f>
        <v>کرمان</v>
      </c>
      <c r="E3692" s="5" t="str">
        <f>IFERROR(__xludf.DUMMYFUNCTION("""COMPUTED_VALUE"""),"بردسیر")</f>
        <v>بردسیر</v>
      </c>
      <c r="F3692" s="5"/>
      <c r="G3692" s="5"/>
      <c r="H3692" s="6" t="str">
        <f>IFERROR(__xludf.DUMMYFUNCTION("""COMPUTED_VALUE"""),"https://www.instagram.com/behaaldin_golzar")</f>
        <v>https://www.instagram.com/behaaldin_golzar</v>
      </c>
      <c r="I3692" s="6" t="str">
        <f>IFERROR(__xludf.DUMMYFUNCTION("""COMPUTED_VALUE"""),"https://t.me/Behaaldin_golzar")</f>
        <v>https://t.me/Behaaldin_golzar</v>
      </c>
      <c r="J3692" s="5"/>
      <c r="K3692" s="5"/>
      <c r="L3692" s="5"/>
      <c r="M3692" s="5"/>
      <c r="N3692" s="5"/>
      <c r="O3692" s="5"/>
      <c r="P3692" s="5"/>
      <c r="Q3692" s="5"/>
      <c r="R3692" s="5"/>
      <c r="S3692" s="5"/>
    </row>
    <row r="3693">
      <c r="A3693" s="5">
        <f>IFERROR(__xludf.DUMMYFUNCTION("""COMPUTED_VALUE"""),32257.0)</f>
        <v>32257</v>
      </c>
      <c r="B3693" s="5" t="str">
        <f>IFERROR(__xludf.DUMMYFUNCTION("""COMPUTED_VALUE"""),"هیأت")</f>
        <v>هیأت</v>
      </c>
      <c r="C3693" s="5" t="str">
        <f>IFERROR(__xludf.DUMMYFUNCTION("""COMPUTED_VALUE"""),"رزمندگان اسلام   ")</f>
        <v>رزمندگان اسلام   </v>
      </c>
      <c r="D3693" s="5" t="str">
        <f>IFERROR(__xludf.DUMMYFUNCTION("""COMPUTED_VALUE"""),"کرمان")</f>
        <v>کرمان</v>
      </c>
      <c r="E3693" s="5" t="str">
        <f>IFERROR(__xludf.DUMMYFUNCTION("""COMPUTED_VALUE"""),"کرمان")</f>
        <v>کرمان</v>
      </c>
      <c r="F3693" s="5"/>
      <c r="G3693" s="5"/>
      <c r="H3693" s="6" t="str">
        <f>IFERROR(__xludf.DUMMYFUNCTION("""COMPUTED_VALUE"""),"https://www.instagram.com/heyat_razmandegan_kerman")</f>
        <v>https://www.instagram.com/heyat_razmandegan_kerman</v>
      </c>
      <c r="I3693" s="6" t="str">
        <f>IFERROR(__xludf.DUMMYFUNCTION("""COMPUTED_VALUE"""),"https://t.me/razmandegan_eslam_kerman")</f>
        <v>https://t.me/razmandegan_eslam_kerman</v>
      </c>
      <c r="J3693" s="5"/>
      <c r="K3693" s="5"/>
      <c r="L3693" s="5"/>
      <c r="M3693" s="5"/>
      <c r="N3693" s="5"/>
      <c r="O3693" s="5"/>
      <c r="P3693" s="5"/>
      <c r="Q3693" s="5"/>
      <c r="R3693" s="5"/>
      <c r="S3693" s="5"/>
    </row>
    <row r="3694">
      <c r="A3694" s="5">
        <f>IFERROR(__xludf.DUMMYFUNCTION("""COMPUTED_VALUE"""),32194.0)</f>
        <v>32194</v>
      </c>
      <c r="B3694" s="5" t="str">
        <f>IFERROR(__xludf.DUMMYFUNCTION("""COMPUTED_VALUE"""),"هیأت")</f>
        <v>هیأت</v>
      </c>
      <c r="C3694" s="5" t="str">
        <f>IFERROR(__xludf.DUMMYFUNCTION("""COMPUTED_VALUE"""),"کانون فرهنگی تربیتی مسجد امام محمد باقر (ع)")</f>
        <v>کانون فرهنگی تربیتی مسجد امام محمد باقر (ع)</v>
      </c>
      <c r="D3694" s="5" t="str">
        <f>IFERROR(__xludf.DUMMYFUNCTION("""COMPUTED_VALUE"""),"کرمان")</f>
        <v>کرمان</v>
      </c>
      <c r="E3694" s="5" t="str">
        <f>IFERROR(__xludf.DUMMYFUNCTION("""COMPUTED_VALUE"""),"کرمان")</f>
        <v>کرمان</v>
      </c>
      <c r="F3694" s="5"/>
      <c r="G3694" s="5"/>
      <c r="H3694" s="5"/>
      <c r="I3694" s="5"/>
      <c r="J3694" s="6" t="str">
        <f>IFERROR(__xludf.DUMMYFUNCTION("""COMPUTED_VALUE"""),"https://eitaa.com/kanoonemb")</f>
        <v>https://eitaa.com/kanoonemb</v>
      </c>
      <c r="K3694" s="5"/>
      <c r="L3694" s="5"/>
      <c r="M3694" s="5"/>
      <c r="N3694" s="5"/>
      <c r="O3694" s="5"/>
      <c r="P3694" s="5"/>
      <c r="Q3694" s="5"/>
      <c r="R3694" s="5"/>
      <c r="S3694" s="5"/>
    </row>
    <row r="3695">
      <c r="A3695" s="5">
        <f>IFERROR(__xludf.DUMMYFUNCTION("""COMPUTED_VALUE"""),32181.0)</f>
        <v>32181</v>
      </c>
      <c r="B3695" s="5" t="str">
        <f>IFERROR(__xludf.DUMMYFUNCTION("""COMPUTED_VALUE"""),"هیأت")</f>
        <v>هیأت</v>
      </c>
      <c r="C3695" s="5" t="str">
        <f>IFERROR(__xludf.DUMMYFUNCTION("""COMPUTED_VALUE"""),"صاحب الامر")</f>
        <v>صاحب الامر</v>
      </c>
      <c r="D3695" s="5" t="str">
        <f>IFERROR(__xludf.DUMMYFUNCTION("""COMPUTED_VALUE"""),"کرمان")</f>
        <v>کرمان</v>
      </c>
      <c r="E3695" s="5" t="str">
        <f>IFERROR(__xludf.DUMMYFUNCTION("""COMPUTED_VALUE"""),"کرمان")</f>
        <v>کرمان</v>
      </c>
      <c r="F3695" s="5"/>
      <c r="G3695" s="5"/>
      <c r="H3695" s="6" t="str">
        <f>IFERROR(__xludf.DUMMYFUNCTION("""COMPUTED_VALUE"""),"https://www.instagram.com/sahebolamr_ir")</f>
        <v>https://www.instagram.com/sahebolamr_ir</v>
      </c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</row>
    <row r="3696">
      <c r="A3696" s="5">
        <f>IFERROR(__xludf.DUMMYFUNCTION("""COMPUTED_VALUE"""),31973.0)</f>
        <v>31973</v>
      </c>
      <c r="B3696" s="5" t="str">
        <f>IFERROR(__xludf.DUMMYFUNCTION("""COMPUTED_VALUE"""),"هیأت دانش آموزی")</f>
        <v>هیأت دانش آموزی</v>
      </c>
      <c r="C3696" s="5" t="str">
        <f>IFERROR(__xludf.DUMMYFUNCTION("""COMPUTED_VALUE"""),"انصار المهدی")</f>
        <v>انصار المهدی</v>
      </c>
      <c r="D3696" s="5" t="str">
        <f>IFERROR(__xludf.DUMMYFUNCTION("""COMPUTED_VALUE"""),"کرمان")</f>
        <v>کرمان</v>
      </c>
      <c r="E3696" s="5" t="str">
        <f>IFERROR(__xludf.DUMMYFUNCTION("""COMPUTED_VALUE"""),"کرمان")</f>
        <v>کرمان</v>
      </c>
      <c r="F3696" s="5"/>
      <c r="G3696" s="5"/>
      <c r="H3696" s="6" t="str">
        <f>IFERROR(__xludf.DUMMYFUNCTION("""COMPUTED_VALUE"""),"https://www.instagram.com/ansarolmahdi_kerman")</f>
        <v>https://www.instagram.com/ansarolmahdi_kerman</v>
      </c>
      <c r="I3696" s="5"/>
      <c r="J3696" s="6" t="str">
        <f>IFERROR(__xludf.DUMMYFUNCTION("""COMPUTED_VALUE"""),"https://eitaa.com/ansarolmahdi_kerman")</f>
        <v>https://eitaa.com/ansarolmahdi_kerman</v>
      </c>
      <c r="K3696" s="5"/>
      <c r="L3696" s="5"/>
      <c r="M3696" s="5"/>
      <c r="N3696" s="5"/>
      <c r="O3696" s="5"/>
      <c r="P3696" s="5"/>
      <c r="Q3696" s="5"/>
      <c r="R3696" s="5"/>
      <c r="S3696" s="5"/>
    </row>
    <row r="3697">
      <c r="A3697" s="5">
        <f>IFERROR(__xludf.DUMMYFUNCTION("""COMPUTED_VALUE"""),31932.0)</f>
        <v>31932</v>
      </c>
      <c r="B3697" s="5" t="str">
        <f>IFERROR(__xludf.DUMMYFUNCTION("""COMPUTED_VALUE"""),"هیأت")</f>
        <v>هیأت</v>
      </c>
      <c r="C3697" s="5" t="str">
        <f>IFERROR(__xludf.DUMMYFUNCTION("""COMPUTED_VALUE"""),"بیت الرقیه")</f>
        <v>بیت الرقیه</v>
      </c>
      <c r="D3697" s="5" t="str">
        <f>IFERROR(__xludf.DUMMYFUNCTION("""COMPUTED_VALUE"""),"کرمان")</f>
        <v>کرمان</v>
      </c>
      <c r="E3697" s="5" t="str">
        <f>IFERROR(__xludf.DUMMYFUNCTION("""COMPUTED_VALUE"""),"عنبرآباد")</f>
        <v>عنبرآباد</v>
      </c>
      <c r="F3697" s="5"/>
      <c r="G3697" s="5"/>
      <c r="H3697" s="6" t="str">
        <f>IFERROR(__xludf.DUMMYFUNCTION("""COMPUTED_VALUE"""),"https://www.instagram.com/anbarabad_city_council313")</f>
        <v>https://www.instagram.com/anbarabad_city_council313</v>
      </c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</row>
    <row r="3698">
      <c r="A3698" s="5">
        <f>IFERROR(__xludf.DUMMYFUNCTION("""COMPUTED_VALUE"""),31683.0)</f>
        <v>31683</v>
      </c>
      <c r="B3698" s="5" t="str">
        <f>IFERROR(__xludf.DUMMYFUNCTION("""COMPUTED_VALUE"""),"هیأت")</f>
        <v>هیأت</v>
      </c>
      <c r="C3698" s="5" t="str">
        <f>IFERROR(__xludf.DUMMYFUNCTION("""COMPUTED_VALUE"""),"فاطمه الزهرا (س)")</f>
        <v>فاطمه الزهرا (س)</v>
      </c>
      <c r="D3698" s="5" t="str">
        <f>IFERROR(__xludf.DUMMYFUNCTION("""COMPUTED_VALUE"""),"کرمان")</f>
        <v>کرمان</v>
      </c>
      <c r="E3698" s="5" t="str">
        <f>IFERROR(__xludf.DUMMYFUNCTION("""COMPUTED_VALUE"""),"زرند")</f>
        <v>زرند</v>
      </c>
      <c r="F3698" s="5"/>
      <c r="G3698" s="5"/>
      <c r="H3698" s="6" t="str">
        <f>IFERROR(__xludf.DUMMYFUNCTION("""COMPUTED_VALUE"""),"https://www.instagram.com/tazieh.saraye.fatemehzahra")</f>
        <v>https://www.instagram.com/tazieh.saraye.fatemehzahra</v>
      </c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</row>
    <row r="3699">
      <c r="A3699" s="5">
        <f>IFERROR(__xludf.DUMMYFUNCTION("""COMPUTED_VALUE"""),31677.0)</f>
        <v>31677</v>
      </c>
      <c r="B3699" s="5" t="str">
        <f>IFERROR(__xludf.DUMMYFUNCTION("""COMPUTED_VALUE"""),"هیأت")</f>
        <v>هیأت</v>
      </c>
      <c r="C3699" s="5" t="str">
        <f>IFERROR(__xludf.DUMMYFUNCTION("""COMPUTED_VALUE"""),"سقاخانه حضرت ابوالفضل (ع)")</f>
        <v>سقاخانه حضرت ابوالفضل (ع)</v>
      </c>
      <c r="D3699" s="5" t="str">
        <f>IFERROR(__xludf.DUMMYFUNCTION("""COMPUTED_VALUE"""),"کرمان")</f>
        <v>کرمان</v>
      </c>
      <c r="E3699" s="5" t="str">
        <f>IFERROR(__xludf.DUMMYFUNCTION("""COMPUTED_VALUE"""),"زرند")</f>
        <v>زرند</v>
      </c>
      <c r="F3699" s="5"/>
      <c r="G3699" s="5"/>
      <c r="H3699" s="6" t="str">
        <f>IFERROR(__xludf.DUMMYFUNCTION("""COMPUTED_VALUE"""),"https://www.instagram.com/saghakhane_abalfazl_zarand")</f>
        <v>https://www.instagram.com/saghakhane_abalfazl_zarand</v>
      </c>
      <c r="I3699" s="5"/>
      <c r="J3699" s="6" t="str">
        <f>IFERROR(__xludf.DUMMYFUNCTION("""COMPUTED_VALUE"""),"https://eitaa.com/Sagha_Khaneh_Aballfazl")</f>
        <v>https://eitaa.com/Sagha_Khaneh_Aballfazl</v>
      </c>
      <c r="K3699" s="5"/>
      <c r="L3699" s="5"/>
      <c r="M3699" s="5"/>
      <c r="N3699" s="5"/>
      <c r="O3699" s="5"/>
      <c r="P3699" s="5"/>
      <c r="Q3699" s="5"/>
      <c r="R3699" s="5"/>
      <c r="S3699" s="5"/>
    </row>
    <row r="3700">
      <c r="A3700" s="5">
        <f>IFERROR(__xludf.DUMMYFUNCTION("""COMPUTED_VALUE"""),31673.0)</f>
        <v>31673</v>
      </c>
      <c r="B3700" s="5" t="str">
        <f>IFERROR(__xludf.DUMMYFUNCTION("""COMPUTED_VALUE"""),"هیأت")</f>
        <v>هیأت</v>
      </c>
      <c r="C3700" s="5" t="str">
        <f>IFERROR(__xludf.DUMMYFUNCTION("""COMPUTED_VALUE"""),"شهدای گمنام")</f>
        <v>شهدای گمنام</v>
      </c>
      <c r="D3700" s="5" t="str">
        <f>IFERROR(__xludf.DUMMYFUNCTION("""COMPUTED_VALUE"""),"کرمان")</f>
        <v>کرمان</v>
      </c>
      <c r="E3700" s="5" t="str">
        <f>IFERROR(__xludf.DUMMYFUNCTION("""COMPUTED_VALUE"""),"رابر")</f>
        <v>رابر</v>
      </c>
      <c r="F3700" s="5"/>
      <c r="G3700" s="5"/>
      <c r="H3700" s="6" t="str">
        <f>IFERROR(__xludf.DUMMYFUNCTION("""COMPUTED_VALUE"""),"https://www.instagram.com/shohada_gomnam_rabor")</f>
        <v>https://www.instagram.com/shohada_gomnam_rabor</v>
      </c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</row>
    <row r="3701">
      <c r="A3701" s="5">
        <f>IFERROR(__xludf.DUMMYFUNCTION("""COMPUTED_VALUE"""),31539.0)</f>
        <v>31539</v>
      </c>
      <c r="B3701" s="5" t="str">
        <f>IFERROR(__xludf.DUMMYFUNCTION("""COMPUTED_VALUE"""),"هیأت")</f>
        <v>هیأت</v>
      </c>
      <c r="C3701" s="5" t="str">
        <f>IFERROR(__xludf.DUMMYFUNCTION("""COMPUTED_VALUE"""),"حضرت علی اکبر (ع)")</f>
        <v>حضرت علی اکبر (ع)</v>
      </c>
      <c r="D3701" s="5" t="str">
        <f>IFERROR(__xludf.DUMMYFUNCTION("""COMPUTED_VALUE"""),"کرمان")</f>
        <v>کرمان</v>
      </c>
      <c r="E3701" s="5" t="str">
        <f>IFERROR(__xludf.DUMMYFUNCTION("""COMPUTED_VALUE"""),"بافت")</f>
        <v>بافت</v>
      </c>
      <c r="F3701" s="5"/>
      <c r="G3701" s="5"/>
      <c r="H3701" s="6" t="str">
        <f>IFERROR(__xludf.DUMMYFUNCTION("""COMPUTED_VALUE"""),"https://www.instagram.com/heyat_aliakbaar")</f>
        <v>https://www.instagram.com/heyat_aliakbaar</v>
      </c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</row>
    <row r="3702">
      <c r="A3702" s="5">
        <f>IFERROR(__xludf.DUMMYFUNCTION("""COMPUTED_VALUE"""),31537.0)</f>
        <v>31537</v>
      </c>
      <c r="B3702" s="5" t="str">
        <f>IFERROR(__xludf.DUMMYFUNCTION("""COMPUTED_VALUE"""),"هیأت")</f>
        <v>هیأت</v>
      </c>
      <c r="C3702" s="5" t="str">
        <f>IFERROR(__xludf.DUMMYFUNCTION("""COMPUTED_VALUE"""),"کریم اهل بیت")</f>
        <v>کریم اهل بیت</v>
      </c>
      <c r="D3702" s="5" t="str">
        <f>IFERROR(__xludf.DUMMYFUNCTION("""COMPUTED_VALUE"""),"کرمان")</f>
        <v>کرمان</v>
      </c>
      <c r="E3702" s="5" t="str">
        <f>IFERROR(__xludf.DUMMYFUNCTION("""COMPUTED_VALUE"""),"کرمان")</f>
        <v>کرمان</v>
      </c>
      <c r="F3702" s="5"/>
      <c r="G3702" s="5"/>
      <c r="H3702" s="6" t="str">
        <f>IFERROR(__xludf.DUMMYFUNCTION("""COMPUTED_VALUE"""),"https://www.instagram.com/heyat.karimahlebeyt")</f>
        <v>https://www.instagram.com/heyat.karimahlebeyt</v>
      </c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</row>
    <row r="3703">
      <c r="A3703" s="5">
        <f>IFERROR(__xludf.DUMMYFUNCTION("""COMPUTED_VALUE"""),31415.0)</f>
        <v>31415</v>
      </c>
      <c r="B3703" s="5" t="str">
        <f>IFERROR(__xludf.DUMMYFUNCTION("""COMPUTED_VALUE"""),"هیأت")</f>
        <v>هیأت</v>
      </c>
      <c r="C3703" s="5" t="str">
        <f>IFERROR(__xludf.DUMMYFUNCTION("""COMPUTED_VALUE"""),"عاشقان حیدر کرار (ع)")</f>
        <v>عاشقان حیدر کرار (ع)</v>
      </c>
      <c r="D3703" s="5" t="str">
        <f>IFERROR(__xludf.DUMMYFUNCTION("""COMPUTED_VALUE"""),"کرمان")</f>
        <v>کرمان</v>
      </c>
      <c r="E3703" s="5" t="str">
        <f>IFERROR(__xludf.DUMMYFUNCTION("""COMPUTED_VALUE"""),"رفسنجان")</f>
        <v>رفسنجان</v>
      </c>
      <c r="F3703" s="5"/>
      <c r="G3703" s="5"/>
      <c r="H3703" s="6" t="str">
        <f>IFERROR(__xludf.DUMMYFUNCTION("""COMPUTED_VALUE"""),"https://www.instagram.com/asheghan_heydarkarar")</f>
        <v>https://www.instagram.com/asheghan_heydarkarar</v>
      </c>
      <c r="I3703" s="6" t="str">
        <f>IFERROR(__xludf.DUMMYFUNCTION("""COMPUTED_VALUE"""),"https://t.me/heiatasheghanheydarkararrafsanjn")</f>
        <v>https://t.me/heiatasheghanheydarkararrafsanjn</v>
      </c>
      <c r="J3703" s="5"/>
      <c r="K3703" s="5"/>
      <c r="L3703" s="5"/>
      <c r="M3703" s="5"/>
      <c r="N3703" s="5"/>
      <c r="O3703" s="5"/>
      <c r="P3703" s="5"/>
      <c r="Q3703" s="5"/>
      <c r="R3703" s="5"/>
      <c r="S3703" s="5"/>
    </row>
    <row r="3704">
      <c r="A3704" s="5">
        <f>IFERROR(__xludf.DUMMYFUNCTION("""COMPUTED_VALUE"""),31366.0)</f>
        <v>31366</v>
      </c>
      <c r="B3704" s="5" t="str">
        <f>IFERROR(__xludf.DUMMYFUNCTION("""COMPUTED_VALUE"""),"هیأت")</f>
        <v>هیأت</v>
      </c>
      <c r="C3704" s="5" t="str">
        <f>IFERROR(__xludf.DUMMYFUNCTION("""COMPUTED_VALUE"""),"قمر بنی هاشم")</f>
        <v>قمر بنی هاشم</v>
      </c>
      <c r="D3704" s="5" t="str">
        <f>IFERROR(__xludf.DUMMYFUNCTION("""COMPUTED_VALUE"""),"کرمان")</f>
        <v>کرمان</v>
      </c>
      <c r="E3704" s="5" t="str">
        <f>IFERROR(__xludf.DUMMYFUNCTION("""COMPUTED_VALUE"""),"کرمان")</f>
        <v>کرمان</v>
      </c>
      <c r="F3704" s="5"/>
      <c r="G3704" s="5"/>
      <c r="H3704" s="6" t="str">
        <f>IFERROR(__xludf.DUMMYFUNCTION("""COMPUTED_VALUE"""),"https://www.instagram.com/heiatghamarbanihashem")</f>
        <v>https://www.instagram.com/heiatghamarbanihashem</v>
      </c>
      <c r="I3704" s="6" t="str">
        <f>IFERROR(__xludf.DUMMYFUNCTION("""COMPUTED_VALUE"""),"https://t.me/ghamarbanihashembaghin")</f>
        <v>https://t.me/ghamarbanihashembaghin</v>
      </c>
      <c r="J3704" s="5"/>
      <c r="K3704" s="5"/>
      <c r="L3704" s="5"/>
      <c r="M3704" s="5"/>
      <c r="N3704" s="5"/>
      <c r="O3704" s="5"/>
      <c r="P3704" s="5"/>
      <c r="Q3704" s="5"/>
      <c r="R3704" s="5"/>
      <c r="S3704" s="5"/>
    </row>
    <row r="3705">
      <c r="A3705" s="5">
        <f>IFERROR(__xludf.DUMMYFUNCTION("""COMPUTED_VALUE"""),31365.0)</f>
        <v>31365</v>
      </c>
      <c r="B3705" s="5" t="str">
        <f>IFERROR(__xludf.DUMMYFUNCTION("""COMPUTED_VALUE"""),"هیأت")</f>
        <v>هیأت</v>
      </c>
      <c r="C3705" s="5" t="str">
        <f>IFERROR(__xludf.DUMMYFUNCTION("""COMPUTED_VALUE"""),"منتظران حضرت مهدی (عج)")</f>
        <v>منتظران حضرت مهدی (عج)</v>
      </c>
      <c r="D3705" s="5" t="str">
        <f>IFERROR(__xludf.DUMMYFUNCTION("""COMPUTED_VALUE"""),"کرمان")</f>
        <v>کرمان</v>
      </c>
      <c r="E3705" s="5" t="str">
        <f>IFERROR(__xludf.DUMMYFUNCTION("""COMPUTED_VALUE"""),"رفسنجان")</f>
        <v>رفسنجان</v>
      </c>
      <c r="F3705" s="5"/>
      <c r="G3705" s="5"/>
      <c r="H3705" s="6" t="str">
        <f>IFERROR(__xludf.DUMMYFUNCTION("""COMPUTED_VALUE"""),"https://www.instagram.com/mahdieh_rafsanjan")</f>
        <v>https://www.instagram.com/mahdieh_rafsanjan</v>
      </c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</row>
    <row r="3706">
      <c r="A3706" s="5">
        <f>IFERROR(__xludf.DUMMYFUNCTION("""COMPUTED_VALUE"""),31360.0)</f>
        <v>31360</v>
      </c>
      <c r="B3706" s="5" t="str">
        <f>IFERROR(__xludf.DUMMYFUNCTION("""COMPUTED_VALUE"""),"هیأت")</f>
        <v>هیأت</v>
      </c>
      <c r="C3706" s="5" t="str">
        <f>IFERROR(__xludf.DUMMYFUNCTION("""COMPUTED_VALUE"""),"عاشقان علی اصغر")</f>
        <v>عاشقان علی اصغر</v>
      </c>
      <c r="D3706" s="5" t="str">
        <f>IFERROR(__xludf.DUMMYFUNCTION("""COMPUTED_VALUE"""),"کرمان")</f>
        <v>کرمان</v>
      </c>
      <c r="E3706" s="5" t="str">
        <f>IFERROR(__xludf.DUMMYFUNCTION("""COMPUTED_VALUE"""),"کرمان")</f>
        <v>کرمان</v>
      </c>
      <c r="F3706" s="5"/>
      <c r="G3706" s="5"/>
      <c r="H3706" s="6" t="str">
        <f>IFERROR(__xludf.DUMMYFUNCTION("""COMPUTED_VALUE"""),"https://www.instagram.com/heyat.ashghanaliasghar")</f>
        <v>https://www.instagram.com/heyat.ashghanaliasghar</v>
      </c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</row>
    <row r="3707">
      <c r="A3707" s="5">
        <f>IFERROR(__xludf.DUMMYFUNCTION("""COMPUTED_VALUE"""),31198.0)</f>
        <v>31198</v>
      </c>
      <c r="B3707" s="5" t="str">
        <f>IFERROR(__xludf.DUMMYFUNCTION("""COMPUTED_VALUE"""),"هیأت")</f>
        <v>هیأت</v>
      </c>
      <c r="C3707" s="5" t="str">
        <f>IFERROR(__xludf.DUMMYFUNCTION("""COMPUTED_VALUE"""),"متوسلین به فاطمه الزهرا")</f>
        <v>متوسلین به فاطمه الزهرا</v>
      </c>
      <c r="D3707" s="5" t="str">
        <f>IFERROR(__xludf.DUMMYFUNCTION("""COMPUTED_VALUE"""),"کرمان")</f>
        <v>کرمان</v>
      </c>
      <c r="E3707" s="5" t="str">
        <f>IFERROR(__xludf.DUMMYFUNCTION("""COMPUTED_VALUE"""),"کرمان")</f>
        <v>کرمان</v>
      </c>
      <c r="F3707" s="5"/>
      <c r="G3707" s="5"/>
      <c r="H3707" s="5"/>
      <c r="I3707" s="5"/>
      <c r="J3707" s="6" t="str">
        <f>IFERROR(__xludf.DUMMYFUNCTION("""COMPUTED_VALUE"""),"https://eitaa.com/Najvaye_lea")</f>
        <v>https://eitaa.com/Najvaye_lea</v>
      </c>
      <c r="K3707" s="5"/>
      <c r="L3707" s="5"/>
      <c r="M3707" s="5"/>
      <c r="N3707" s="5"/>
      <c r="O3707" s="5"/>
      <c r="P3707" s="5"/>
      <c r="Q3707" s="5"/>
      <c r="R3707" s="5"/>
      <c r="S3707" s="5"/>
    </row>
    <row r="3708">
      <c r="A3708" s="5">
        <f>IFERROR(__xludf.DUMMYFUNCTION("""COMPUTED_VALUE"""),31197.0)</f>
        <v>31197</v>
      </c>
      <c r="B3708" s="5" t="str">
        <f>IFERROR(__xludf.DUMMYFUNCTION("""COMPUTED_VALUE"""),"هیأت")</f>
        <v>هیأت</v>
      </c>
      <c r="C3708" s="5" t="str">
        <f>IFERROR(__xludf.DUMMYFUNCTION("""COMPUTED_VALUE"""),"امام رضا")</f>
        <v>امام رضا</v>
      </c>
      <c r="D3708" s="5" t="str">
        <f>IFERROR(__xludf.DUMMYFUNCTION("""COMPUTED_VALUE"""),"کرمان")</f>
        <v>کرمان</v>
      </c>
      <c r="E3708" s="5" t="str">
        <f>IFERROR(__xludf.DUMMYFUNCTION("""COMPUTED_VALUE"""),"بافت")</f>
        <v>بافت</v>
      </c>
      <c r="F3708" s="5"/>
      <c r="G3708" s="5"/>
      <c r="H3708" s="6" t="str">
        <f>IFERROR(__xludf.DUMMYFUNCTION("""COMPUTED_VALUE"""),"https://www.instagram.com/emam_reza_baft")</f>
        <v>https://www.instagram.com/emam_reza_baft</v>
      </c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</row>
    <row r="3709">
      <c r="A3709" s="5">
        <f>IFERROR(__xludf.DUMMYFUNCTION("""COMPUTED_VALUE"""),31172.0)</f>
        <v>31172</v>
      </c>
      <c r="B3709" s="5" t="str">
        <f>IFERROR(__xludf.DUMMYFUNCTION("""COMPUTED_VALUE"""),"حسینیه")</f>
        <v>حسینیه</v>
      </c>
      <c r="C3709" s="5" t="str">
        <f>IFERROR(__xludf.DUMMYFUNCTION("""COMPUTED_VALUE"""),"حسینیه ابراهیمی")</f>
        <v>حسینیه ابراهیمی</v>
      </c>
      <c r="D3709" s="5" t="str">
        <f>IFERROR(__xludf.DUMMYFUNCTION("""COMPUTED_VALUE"""),"کرمان")</f>
        <v>کرمان</v>
      </c>
      <c r="E3709" s="5" t="str">
        <f>IFERROR(__xludf.DUMMYFUNCTION("""COMPUTED_VALUE"""),"کرمان")</f>
        <v>کرمان</v>
      </c>
      <c r="F3709" s="5"/>
      <c r="G3709" s="5"/>
      <c r="H3709" s="6" t="str">
        <f>IFERROR(__xludf.DUMMYFUNCTION("""COMPUTED_VALUE"""),"https://www.instagram.com/hoseiniehseyedebrahimi")</f>
        <v>https://www.instagram.com/hoseiniehseyedebrahimi</v>
      </c>
      <c r="I3709" s="6" t="str">
        <f>IFERROR(__xludf.DUMMYFUNCTION("""COMPUTED_VALUE"""),"https://t.me/hmse1")</f>
        <v>https://t.me/hmse1</v>
      </c>
      <c r="J3709" s="5"/>
      <c r="K3709" s="5"/>
      <c r="L3709" s="5"/>
      <c r="M3709" s="5"/>
      <c r="N3709" s="5"/>
      <c r="O3709" s="5"/>
      <c r="P3709" s="5"/>
      <c r="Q3709" s="5"/>
      <c r="R3709" s="5"/>
      <c r="S3709" s="5"/>
    </row>
    <row r="3710">
      <c r="A3710" s="5">
        <f>IFERROR(__xludf.DUMMYFUNCTION("""COMPUTED_VALUE"""),31167.0)</f>
        <v>31167</v>
      </c>
      <c r="B3710" s="5" t="str">
        <f>IFERROR(__xludf.DUMMYFUNCTION("""COMPUTED_VALUE"""),"هیأت")</f>
        <v>هیأت</v>
      </c>
      <c r="C3710" s="5" t="str">
        <f>IFERROR(__xludf.DUMMYFUNCTION("""COMPUTED_VALUE"""),"حضرت ابوالفضل (ع)")</f>
        <v>حضرت ابوالفضل (ع)</v>
      </c>
      <c r="D3710" s="5" t="str">
        <f>IFERROR(__xludf.DUMMYFUNCTION("""COMPUTED_VALUE"""),"کرمان")</f>
        <v>کرمان</v>
      </c>
      <c r="E3710" s="5" t="str">
        <f>IFERROR(__xludf.DUMMYFUNCTION("""COMPUTED_VALUE"""),"بردسیر")</f>
        <v>بردسیر</v>
      </c>
      <c r="F3710" s="5"/>
      <c r="G3710" s="5">
        <f>IFERROR(__xludf.DUMMYFUNCTION("""COMPUTED_VALUE"""),1.0)</f>
        <v>1</v>
      </c>
      <c r="H3710" s="6" t="str">
        <f>IFERROR(__xludf.DUMMYFUNCTION("""COMPUTED_VALUE"""),"https://www.instagram.com/heyathazratabolfazlbardsir")</f>
        <v>https://www.instagram.com/heyathazratabolfazlbardsir</v>
      </c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</row>
    <row r="3711">
      <c r="A3711" s="5">
        <f>IFERROR(__xludf.DUMMYFUNCTION("""COMPUTED_VALUE"""),31159.0)</f>
        <v>31159</v>
      </c>
      <c r="B3711" s="5" t="str">
        <f>IFERROR(__xludf.DUMMYFUNCTION("""COMPUTED_VALUE"""),"هیأت")</f>
        <v>هیأت</v>
      </c>
      <c r="C3711" s="5" t="str">
        <f>IFERROR(__xludf.DUMMYFUNCTION("""COMPUTED_VALUE"""),"تکیه حضرت ابوالفضل (ع)")</f>
        <v>تکیه حضرت ابوالفضل (ع)</v>
      </c>
      <c r="D3711" s="5" t="str">
        <f>IFERROR(__xludf.DUMMYFUNCTION("""COMPUTED_VALUE"""),"کرمان")</f>
        <v>کرمان</v>
      </c>
      <c r="E3711" s="5" t="str">
        <f>IFERROR(__xludf.DUMMYFUNCTION("""COMPUTED_VALUE"""),"کرمان")</f>
        <v>کرمان</v>
      </c>
      <c r="F3711" s="5"/>
      <c r="G3711" s="5"/>
      <c r="H3711" s="6" t="str">
        <f>IFERROR(__xludf.DUMMYFUNCTION("""COMPUTED_VALUE"""),"https://www.instagram.com/heiat_abolfazl_kerman")</f>
        <v>https://www.instagram.com/heiat_abolfazl_kerman</v>
      </c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</row>
    <row r="3712">
      <c r="A3712" s="5">
        <f>IFERROR(__xludf.DUMMYFUNCTION("""COMPUTED_VALUE"""),31145.0)</f>
        <v>31145</v>
      </c>
      <c r="B3712" s="5" t="str">
        <f>IFERROR(__xludf.DUMMYFUNCTION("""COMPUTED_VALUE"""),"هیأت")</f>
        <v>هیأت</v>
      </c>
      <c r="C3712" s="5" t="str">
        <f>IFERROR(__xludf.DUMMYFUNCTION("""COMPUTED_VALUE"""),"ابوالفضل")</f>
        <v>ابوالفضل</v>
      </c>
      <c r="D3712" s="5" t="str">
        <f>IFERROR(__xludf.DUMMYFUNCTION("""COMPUTED_VALUE"""),"کرمان")</f>
        <v>کرمان</v>
      </c>
      <c r="E3712" s="5" t="str">
        <f>IFERROR(__xludf.DUMMYFUNCTION("""COMPUTED_VALUE"""),"رفسنجان")</f>
        <v>رفسنجان</v>
      </c>
      <c r="F3712" s="5"/>
      <c r="G3712" s="5"/>
      <c r="H3712" s="6" t="str">
        <f>IFERROR(__xludf.DUMMYFUNCTION("""COMPUTED_VALUE"""),"https://www.instagram.com/heyat.abalfazl_")</f>
        <v>https://www.instagram.com/heyat.abalfazl_</v>
      </c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</row>
    <row r="3713">
      <c r="A3713" s="5">
        <f>IFERROR(__xludf.DUMMYFUNCTION("""COMPUTED_VALUE"""),31009.0)</f>
        <v>31009</v>
      </c>
      <c r="B3713" s="5" t="str">
        <f>IFERROR(__xludf.DUMMYFUNCTION("""COMPUTED_VALUE"""),"هیأت")</f>
        <v>هیأت</v>
      </c>
      <c r="C3713" s="5" t="str">
        <f>IFERROR(__xludf.DUMMYFUNCTION("""COMPUTED_VALUE"""),"ابا عبدالله")</f>
        <v>ابا عبدالله</v>
      </c>
      <c r="D3713" s="5" t="str">
        <f>IFERROR(__xludf.DUMMYFUNCTION("""COMPUTED_VALUE"""),"کرمان")</f>
        <v>کرمان</v>
      </c>
      <c r="E3713" s="5" t="str">
        <f>IFERROR(__xludf.DUMMYFUNCTION("""COMPUTED_VALUE"""),"رفسنجان")</f>
        <v>رفسنجان</v>
      </c>
      <c r="F3713" s="5"/>
      <c r="G3713" s="5"/>
      <c r="H3713" s="6" t="str">
        <f>IFERROR(__xludf.DUMMYFUNCTION("""COMPUTED_VALUE"""),"https://www.instagram.com/heiat.abaabdelah")</f>
        <v>https://www.instagram.com/heiat.abaabdelah</v>
      </c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</row>
    <row r="3714">
      <c r="A3714" s="5">
        <f>IFERROR(__xludf.DUMMYFUNCTION("""COMPUTED_VALUE"""),30950.0)</f>
        <v>30950</v>
      </c>
      <c r="B3714" s="5" t="str">
        <f>IFERROR(__xludf.DUMMYFUNCTION("""COMPUTED_VALUE"""),"هیأت")</f>
        <v>هیأت</v>
      </c>
      <c r="C3714" s="5" t="str">
        <f>IFERROR(__xludf.DUMMYFUNCTION("""COMPUTED_VALUE"""),"الزهرا")</f>
        <v>الزهرا</v>
      </c>
      <c r="D3714" s="5" t="str">
        <f>IFERROR(__xludf.DUMMYFUNCTION("""COMPUTED_VALUE"""),"کرمان")</f>
        <v>کرمان</v>
      </c>
      <c r="E3714" s="5" t="str">
        <f>IFERROR(__xludf.DUMMYFUNCTION("""COMPUTED_VALUE"""),"کرمان")</f>
        <v>کرمان</v>
      </c>
      <c r="F3714" s="5"/>
      <c r="G3714" s="5"/>
      <c r="H3714" s="6" t="str">
        <f>IFERROR(__xludf.DUMMYFUNCTION("""COMPUTED_VALUE"""),"https://www.instagram.com/heyaatozahra1383")</f>
        <v>https://www.instagram.com/heyaatozahra1383</v>
      </c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</row>
    <row r="3715">
      <c r="A3715" s="5">
        <f>IFERROR(__xludf.DUMMYFUNCTION("""COMPUTED_VALUE"""),30688.0)</f>
        <v>30688</v>
      </c>
      <c r="B3715" s="5" t="str">
        <f>IFERROR(__xludf.DUMMYFUNCTION("""COMPUTED_VALUE"""),"مسجد")</f>
        <v>مسجد</v>
      </c>
      <c r="C3715" s="5" t="str">
        <f>IFERROR(__xludf.DUMMYFUNCTION("""COMPUTED_VALUE"""),"مشکوه الرسول")</f>
        <v>مشکوه الرسول</v>
      </c>
      <c r="D3715" s="5" t="str">
        <f>IFERROR(__xludf.DUMMYFUNCTION("""COMPUTED_VALUE"""),"کرمان")</f>
        <v>کرمان</v>
      </c>
      <c r="E3715" s="5" t="str">
        <f>IFERROR(__xludf.DUMMYFUNCTION("""COMPUTED_VALUE"""),"رفسنجان")</f>
        <v>رفسنجان</v>
      </c>
      <c r="F3715" s="5"/>
      <c r="G3715" s="5"/>
      <c r="H3715" s="6" t="str">
        <f>IFERROR(__xludf.DUMMYFUNCTION("""COMPUTED_VALUE"""),"https://www.instagram.com/masjed.meshkatalrasol")</f>
        <v>https://www.instagram.com/masjed.meshkatalrasol</v>
      </c>
      <c r="I3715" s="5"/>
      <c r="J3715" s="6" t="str">
        <f>IFERROR(__xludf.DUMMYFUNCTION("""COMPUTED_VALUE"""),"https://eitaa.com/meshkatalrasool")</f>
        <v>https://eitaa.com/meshkatalrasool</v>
      </c>
      <c r="K3715" s="5"/>
      <c r="L3715" s="5"/>
      <c r="M3715" s="5"/>
      <c r="N3715" s="5"/>
      <c r="O3715" s="5"/>
      <c r="P3715" s="5"/>
      <c r="Q3715" s="5"/>
      <c r="R3715" s="5"/>
      <c r="S3715" s="5"/>
    </row>
    <row r="3716">
      <c r="A3716" s="5">
        <f>IFERROR(__xludf.DUMMYFUNCTION("""COMPUTED_VALUE"""),30611.0)</f>
        <v>30611</v>
      </c>
      <c r="B3716" s="5" t="str">
        <f>IFERROR(__xludf.DUMMYFUNCTION("""COMPUTED_VALUE"""),"هیأت")</f>
        <v>هیأت</v>
      </c>
      <c r="C3716" s="5" t="str">
        <f>IFERROR(__xludf.DUMMYFUNCTION("""COMPUTED_VALUE"""),"بانوی بی نشان مدینه")</f>
        <v>بانوی بی نشان مدینه</v>
      </c>
      <c r="D3716" s="5" t="str">
        <f>IFERROR(__xludf.DUMMYFUNCTION("""COMPUTED_VALUE"""),"کرمان")</f>
        <v>کرمان</v>
      </c>
      <c r="E3716" s="5" t="str">
        <f>IFERROR(__xludf.DUMMYFUNCTION("""COMPUTED_VALUE"""),"رفسنجان")</f>
        <v>رفسنجان</v>
      </c>
      <c r="F3716" s="5"/>
      <c r="G3716" s="5"/>
      <c r="H3716" s="6" t="str">
        <f>IFERROR(__xludf.DUMMYFUNCTION("""COMPUTED_VALUE"""),"https://www.instagram.com/banooyebineshanemadineh")</f>
        <v>https://www.instagram.com/banooyebineshanemadineh</v>
      </c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</row>
    <row r="3717">
      <c r="A3717" s="5">
        <f>IFERROR(__xludf.DUMMYFUNCTION("""COMPUTED_VALUE"""),30112.0)</f>
        <v>30112</v>
      </c>
      <c r="B3717" s="5" t="str">
        <f>IFERROR(__xludf.DUMMYFUNCTION("""COMPUTED_VALUE"""),"هیأت بانوان")</f>
        <v>هیأت بانوان</v>
      </c>
      <c r="C3717" s="5" t="str">
        <f>IFERROR(__xludf.DUMMYFUNCTION("""COMPUTED_VALUE"""),"آئینه خانه")</f>
        <v>آئینه خانه</v>
      </c>
      <c r="D3717" s="5" t="str">
        <f>IFERROR(__xludf.DUMMYFUNCTION("""COMPUTED_VALUE"""),"کرمان")</f>
        <v>کرمان</v>
      </c>
      <c r="E3717" s="5" t="str">
        <f>IFERROR(__xludf.DUMMYFUNCTION("""COMPUTED_VALUE"""),"کرمان")</f>
        <v>کرمان</v>
      </c>
      <c r="F3717" s="5"/>
      <c r="G3717" s="5"/>
      <c r="H3717" s="6" t="str">
        <f>IFERROR(__xludf.DUMMYFUNCTION("""COMPUTED_VALUE"""),"https://www.instagram.com/aeeneh_khaneh")</f>
        <v>https://www.instagram.com/aeeneh_khaneh</v>
      </c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</row>
    <row r="3718">
      <c r="A3718" s="5">
        <f>IFERROR(__xludf.DUMMYFUNCTION("""COMPUTED_VALUE"""),30085.0)</f>
        <v>30085</v>
      </c>
      <c r="B3718" s="5" t="str">
        <f>IFERROR(__xludf.DUMMYFUNCTION("""COMPUTED_VALUE"""),"هیأت")</f>
        <v>هیأت</v>
      </c>
      <c r="C3718" s="5" t="str">
        <f>IFERROR(__xludf.DUMMYFUNCTION("""COMPUTED_VALUE"""),"رهروان مکتب شهید سلیمانی")</f>
        <v>رهروان مکتب شهید سلیمانی</v>
      </c>
      <c r="D3718" s="5" t="str">
        <f>IFERROR(__xludf.DUMMYFUNCTION("""COMPUTED_VALUE"""),"کرمان")</f>
        <v>کرمان</v>
      </c>
      <c r="E3718" s="5" t="str">
        <f>IFERROR(__xludf.DUMMYFUNCTION("""COMPUTED_VALUE"""),"کرمان")</f>
        <v>کرمان</v>
      </c>
      <c r="F3718" s="5"/>
      <c r="G3718" s="5"/>
      <c r="H3718" s="5"/>
      <c r="I3718" s="5"/>
      <c r="J3718" s="6" t="str">
        <f>IFERROR(__xludf.DUMMYFUNCTION("""COMPUTED_VALUE"""),"https://eitaa.com/heyatrahrovan")</f>
        <v>https://eitaa.com/heyatrahrovan</v>
      </c>
      <c r="K3718" s="5"/>
      <c r="L3718" s="5"/>
      <c r="M3718" s="5"/>
      <c r="N3718" s="5"/>
      <c r="O3718" s="5"/>
      <c r="P3718" s="5"/>
      <c r="Q3718" s="5"/>
      <c r="R3718" s="5"/>
      <c r="S3718" s="5"/>
    </row>
    <row r="3719">
      <c r="A3719" s="5">
        <f>IFERROR(__xludf.DUMMYFUNCTION("""COMPUTED_VALUE"""),29578.0)</f>
        <v>29578</v>
      </c>
      <c r="B3719" s="5" t="str">
        <f>IFERROR(__xludf.DUMMYFUNCTION("""COMPUTED_VALUE"""),"هیأت")</f>
        <v>هیأت</v>
      </c>
      <c r="C3719" s="5" t="str">
        <f>IFERROR(__xludf.DUMMYFUNCTION("""COMPUTED_VALUE"""),"تشنگان فرات خیابان جامی")</f>
        <v>تشنگان فرات خیابان جامی</v>
      </c>
      <c r="D3719" s="5" t="str">
        <f>IFERROR(__xludf.DUMMYFUNCTION("""COMPUTED_VALUE"""),"کرمان")</f>
        <v>کرمان</v>
      </c>
      <c r="E3719" s="5" t="str">
        <f>IFERROR(__xludf.DUMMYFUNCTION("""COMPUTED_VALUE"""),"کرمان")</f>
        <v>کرمان</v>
      </c>
      <c r="F3719" s="5"/>
      <c r="G3719" s="5"/>
      <c r="H3719" s="6" t="str">
        <f>IFERROR(__xludf.DUMMYFUNCTION("""COMPUTED_VALUE"""),"https://www.instagram.com/teshnegan_live")</f>
        <v>https://www.instagram.com/teshnegan_live</v>
      </c>
      <c r="I3719" s="5"/>
      <c r="J3719" s="6" t="str">
        <f>IFERROR(__xludf.DUMMYFUNCTION("""COMPUTED_VALUE"""),"https://eitaa.com/yaranebiriyaa")</f>
        <v>https://eitaa.com/yaranebiriyaa</v>
      </c>
      <c r="K3719" s="5"/>
      <c r="L3719" s="5"/>
      <c r="M3719" s="5"/>
      <c r="N3719" s="5"/>
      <c r="O3719" s="5"/>
      <c r="P3719" s="5"/>
      <c r="Q3719" s="5"/>
      <c r="R3719" s="5"/>
      <c r="S3719" s="5"/>
    </row>
    <row r="3720">
      <c r="A3720" s="5">
        <f>IFERROR(__xludf.DUMMYFUNCTION("""COMPUTED_VALUE"""),29377.0)</f>
        <v>29377</v>
      </c>
      <c r="B3720" s="5" t="str">
        <f>IFERROR(__xludf.DUMMYFUNCTION("""COMPUTED_VALUE"""),"هیأت")</f>
        <v>هیأت</v>
      </c>
      <c r="C3720" s="5" t="str">
        <f>IFERROR(__xludf.DUMMYFUNCTION("""COMPUTED_VALUE"""),"معظم ثارالله شهرک امام رضا علیه")</f>
        <v>معظم ثارالله شهرک امام رضا علیه</v>
      </c>
      <c r="D3720" s="5" t="str">
        <f>IFERROR(__xludf.DUMMYFUNCTION("""COMPUTED_VALUE"""),"کرمان")</f>
        <v>کرمان</v>
      </c>
      <c r="E3720" s="5" t="str">
        <f>IFERROR(__xludf.DUMMYFUNCTION("""COMPUTED_VALUE"""),"کوهبنان")</f>
        <v>کوهبنان</v>
      </c>
      <c r="F3720" s="5"/>
      <c r="G3720" s="5"/>
      <c r="H3720" s="6" t="str">
        <f>IFERROR(__xludf.DUMMYFUNCTION("""COMPUTED_VALUE"""),"https://www.instagram.com/heyat.saralah.kouhbanan")</f>
        <v>https://www.instagram.com/heyat.saralah.kouhbanan</v>
      </c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</row>
    <row r="3721">
      <c r="A3721" s="5">
        <f>IFERROR(__xludf.DUMMYFUNCTION("""COMPUTED_VALUE"""),29376.0)</f>
        <v>29376</v>
      </c>
      <c r="B3721" s="5" t="str">
        <f>IFERROR(__xludf.DUMMYFUNCTION("""COMPUTED_VALUE"""),"هیأت")</f>
        <v>هیأت</v>
      </c>
      <c r="C3721" s="5" t="str">
        <f>IFERROR(__xludf.DUMMYFUNCTION("""COMPUTED_VALUE"""),"محبان حضرت علی اکبر (ع)")</f>
        <v>محبان حضرت علی اکبر (ع)</v>
      </c>
      <c r="D3721" s="5" t="str">
        <f>IFERROR(__xludf.DUMMYFUNCTION("""COMPUTED_VALUE"""),"کرمان")</f>
        <v>کرمان</v>
      </c>
      <c r="E3721" s="5" t="str">
        <f>IFERROR(__xludf.DUMMYFUNCTION("""COMPUTED_VALUE"""),"کوهبنان")</f>
        <v>کوهبنان</v>
      </c>
      <c r="F3721" s="5"/>
      <c r="G3721" s="5"/>
      <c r="H3721" s="6" t="str">
        <f>IFERROR(__xludf.DUMMYFUNCTION("""COMPUTED_VALUE"""),"https://www.instagram.com/hazrataliakbar1377")</f>
        <v>https://www.instagram.com/hazrataliakbar1377</v>
      </c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</row>
    <row r="3722">
      <c r="A3722" s="5">
        <f>IFERROR(__xludf.DUMMYFUNCTION("""COMPUTED_VALUE"""),29375.0)</f>
        <v>29375</v>
      </c>
      <c r="B3722" s="5" t="str">
        <f>IFERROR(__xludf.DUMMYFUNCTION("""COMPUTED_VALUE"""),"هیأت ")</f>
        <v>هیأت </v>
      </c>
      <c r="C3722" s="5" t="str">
        <f>IFERROR(__xludf.DUMMYFUNCTION("""COMPUTED_VALUE"""),"مجمع جوانان عاشورایی هیات مسجد صاحب الزمان عج")</f>
        <v>مجمع جوانان عاشورایی هیات مسجد صاحب الزمان عج</v>
      </c>
      <c r="D3722" s="5" t="str">
        <f>IFERROR(__xludf.DUMMYFUNCTION("""COMPUTED_VALUE"""),"کرمان")</f>
        <v>کرمان</v>
      </c>
      <c r="E3722" s="5" t="str">
        <f>IFERROR(__xludf.DUMMYFUNCTION("""COMPUTED_VALUE"""),"راور")</f>
        <v>راور</v>
      </c>
      <c r="F3722" s="5"/>
      <c r="G3722" s="5"/>
      <c r="H3722" s="6" t="str">
        <f>IFERROR(__xludf.DUMMYFUNCTION("""COMPUTED_VALUE"""),"https://www.instagram.com/heiat_sahebazaman")</f>
        <v>https://www.instagram.com/heiat_sahebazaman</v>
      </c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</row>
    <row r="3723">
      <c r="A3723" s="5">
        <f>IFERROR(__xludf.DUMMYFUNCTION("""COMPUTED_VALUE"""),28824.0)</f>
        <v>28824</v>
      </c>
      <c r="B3723" s="5" t="str">
        <f>IFERROR(__xludf.DUMMYFUNCTION("""COMPUTED_VALUE"""),"هیأت")</f>
        <v>هیأت</v>
      </c>
      <c r="C3723" s="5" t="str">
        <f>IFERROR(__xludf.DUMMYFUNCTION("""COMPUTED_VALUE"""),"حضرت ابوالفضل")</f>
        <v>حضرت ابوالفضل</v>
      </c>
      <c r="D3723" s="5" t="str">
        <f>IFERROR(__xludf.DUMMYFUNCTION("""COMPUTED_VALUE"""),"کرمان")</f>
        <v>کرمان</v>
      </c>
      <c r="E3723" s="5" t="str">
        <f>IFERROR(__xludf.DUMMYFUNCTION("""COMPUTED_VALUE"""),"بافت")</f>
        <v>بافت</v>
      </c>
      <c r="F3723" s="5"/>
      <c r="G3723" s="5"/>
      <c r="H3723" s="6" t="str">
        <f>IFERROR(__xludf.DUMMYFUNCTION("""COMPUTED_VALUE"""),"https://www.instagram.com/heyate.abolfazlbaft")</f>
        <v>https://www.instagram.com/heyate.abolfazlbaft</v>
      </c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</row>
    <row r="3724">
      <c r="A3724" s="5">
        <f>IFERROR(__xludf.DUMMYFUNCTION("""COMPUTED_VALUE"""),28823.0)</f>
        <v>28823</v>
      </c>
      <c r="B3724" s="5" t="str">
        <f>IFERROR(__xludf.DUMMYFUNCTION("""COMPUTED_VALUE"""),"هیأت")</f>
        <v>هیأت</v>
      </c>
      <c r="C3724" s="5" t="str">
        <f>IFERROR(__xludf.DUMMYFUNCTION("""COMPUTED_VALUE"""),"قاسم بن الحسن(ع)")</f>
        <v>قاسم بن الحسن(ع)</v>
      </c>
      <c r="D3724" s="5" t="str">
        <f>IFERROR(__xludf.DUMMYFUNCTION("""COMPUTED_VALUE"""),"کرمان")</f>
        <v>کرمان</v>
      </c>
      <c r="E3724" s="5" t="str">
        <f>IFERROR(__xludf.DUMMYFUNCTION("""COMPUTED_VALUE"""),"کرمان")</f>
        <v>کرمان</v>
      </c>
      <c r="F3724" s="5"/>
      <c r="G3724" s="5"/>
      <c r="H3724" s="6" t="str">
        <f>IFERROR(__xludf.DUMMYFUNCTION("""COMPUTED_VALUE"""),"https://www.instagram.com/qasamibnlhasan")</f>
        <v>https://www.instagram.com/qasamibnlhasan</v>
      </c>
      <c r="I3724" s="6" t="str">
        <f>IFERROR(__xludf.DUMMYFUNCTION("""COMPUTED_VALUE"""),"https://t.me/QasimibnlHasanbaghin")</f>
        <v>https://t.me/QasimibnlHasanbaghin</v>
      </c>
      <c r="J3724" s="5"/>
      <c r="K3724" s="5"/>
      <c r="L3724" s="5"/>
      <c r="M3724" s="5"/>
      <c r="N3724" s="5"/>
      <c r="O3724" s="5"/>
      <c r="P3724" s="5"/>
      <c r="Q3724" s="5"/>
      <c r="R3724" s="5"/>
      <c r="S3724" s="5"/>
    </row>
    <row r="3725">
      <c r="A3725" s="5">
        <f>IFERROR(__xludf.DUMMYFUNCTION("""COMPUTED_VALUE"""),28684.0)</f>
        <v>28684</v>
      </c>
      <c r="B3725" s="5" t="str">
        <f>IFERROR(__xludf.DUMMYFUNCTION("""COMPUTED_VALUE"""),"هیأت")</f>
        <v>هیأت</v>
      </c>
      <c r="C3725" s="5" t="str">
        <f>IFERROR(__xludf.DUMMYFUNCTION("""COMPUTED_VALUE"""),"ولی عصر")</f>
        <v>ولی عصر</v>
      </c>
      <c r="D3725" s="5" t="str">
        <f>IFERROR(__xludf.DUMMYFUNCTION("""COMPUTED_VALUE"""),"کرمان")</f>
        <v>کرمان</v>
      </c>
      <c r="E3725" s="5" t="str">
        <f>IFERROR(__xludf.DUMMYFUNCTION("""COMPUTED_VALUE"""),"کرمان")</f>
        <v>کرمان</v>
      </c>
      <c r="F3725" s="5"/>
      <c r="G3725" s="5"/>
      <c r="H3725" s="6" t="str">
        <f>IFERROR(__xludf.DUMMYFUNCTION("""COMPUTED_VALUE"""),"https://www.instagram.com/mamh__valiasr")</f>
        <v>https://www.instagram.com/mamh__valiasr</v>
      </c>
      <c r="I3725" s="5"/>
      <c r="J3725" s="6" t="str">
        <f>IFERROR(__xludf.DUMMYFUNCTION("""COMPUTED_VALUE"""),"https://eitaa.com/azadaranaliakbar")</f>
        <v>https://eitaa.com/azadaranaliakbar</v>
      </c>
      <c r="K3725" s="5"/>
      <c r="L3725" s="5"/>
      <c r="M3725" s="5"/>
      <c r="N3725" s="5"/>
      <c r="O3725" s="5"/>
      <c r="P3725" s="5"/>
      <c r="Q3725" s="5"/>
      <c r="R3725" s="5"/>
      <c r="S3725" s="5"/>
    </row>
    <row r="3726">
      <c r="A3726" s="5">
        <f>IFERROR(__xludf.DUMMYFUNCTION("""COMPUTED_VALUE"""),28586.0)</f>
        <v>28586</v>
      </c>
      <c r="B3726" s="5" t="str">
        <f>IFERROR(__xludf.DUMMYFUNCTION("""COMPUTED_VALUE"""),"هیأت")</f>
        <v>هیأت</v>
      </c>
      <c r="C3726" s="5" t="str">
        <f>IFERROR(__xludf.DUMMYFUNCTION("""COMPUTED_VALUE"""),"محبان الزهراء")</f>
        <v>محبان الزهراء</v>
      </c>
      <c r="D3726" s="5" t="str">
        <f>IFERROR(__xludf.DUMMYFUNCTION("""COMPUTED_VALUE"""),"کرمان")</f>
        <v>کرمان</v>
      </c>
      <c r="E3726" s="5" t="str">
        <f>IFERROR(__xludf.DUMMYFUNCTION("""COMPUTED_VALUE"""),"کرمان")</f>
        <v>کرمان</v>
      </c>
      <c r="F3726" s="5"/>
      <c r="G3726" s="5"/>
      <c r="H3726" s="6" t="str">
        <f>IFERROR(__xludf.DUMMYFUNCTION("""COMPUTED_VALUE"""),"https://www.instagram.com/_moheban.alzahra.kerman")</f>
        <v>https://www.instagram.com/_moheban.alzahra.kerman</v>
      </c>
      <c r="I3726" s="6" t="str">
        <f>IFERROR(__xludf.DUMMYFUNCTION("""COMPUTED_VALUE"""),"https://t.me/Mohebanzahraykerman")</f>
        <v>https://t.me/Mohebanzahraykerman</v>
      </c>
      <c r="J3726" s="5"/>
      <c r="K3726" s="5"/>
      <c r="L3726" s="5"/>
      <c r="M3726" s="5"/>
      <c r="N3726" s="5"/>
      <c r="O3726" s="5"/>
      <c r="P3726" s="5"/>
      <c r="Q3726" s="5"/>
      <c r="R3726" s="5"/>
      <c r="S3726" s="5"/>
    </row>
    <row r="3727">
      <c r="A3727" s="5">
        <f>IFERROR(__xludf.DUMMYFUNCTION("""COMPUTED_VALUE"""),28299.0)</f>
        <v>28299</v>
      </c>
      <c r="B3727" s="5" t="str">
        <f>IFERROR(__xludf.DUMMYFUNCTION("""COMPUTED_VALUE"""),"هیأت")</f>
        <v>هیأت</v>
      </c>
      <c r="C3727" s="5" t="str">
        <f>IFERROR(__xludf.DUMMYFUNCTION("""COMPUTED_VALUE"""),"تکیه حضرت رقیه س")</f>
        <v>تکیه حضرت رقیه س</v>
      </c>
      <c r="D3727" s="5" t="str">
        <f>IFERROR(__xludf.DUMMYFUNCTION("""COMPUTED_VALUE"""),"کرمان")</f>
        <v>کرمان</v>
      </c>
      <c r="E3727" s="5" t="str">
        <f>IFERROR(__xludf.DUMMYFUNCTION("""COMPUTED_VALUE"""),"کرمان")</f>
        <v>کرمان</v>
      </c>
      <c r="F3727" s="5"/>
      <c r="G3727" s="5"/>
      <c r="H3727" s="6" t="str">
        <f>IFERROR(__xludf.DUMMYFUNCTION("""COMPUTED_VALUE"""),"https://www.instagram.com/tekye_roghaye")</f>
        <v>https://www.instagram.com/tekye_roghaye</v>
      </c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</row>
    <row r="3728">
      <c r="A3728" s="5">
        <f>IFERROR(__xludf.DUMMYFUNCTION("""COMPUTED_VALUE"""),28229.0)</f>
        <v>28229</v>
      </c>
      <c r="B3728" s="5" t="str">
        <f>IFERROR(__xludf.DUMMYFUNCTION("""COMPUTED_VALUE"""),"هیأت")</f>
        <v>هیأت</v>
      </c>
      <c r="C3728" s="5" t="str">
        <f>IFERROR(__xludf.DUMMYFUNCTION("""COMPUTED_VALUE"""),"عزاداران غلامان ابوالفضل ع")</f>
        <v>عزاداران غلامان ابوالفضل ع</v>
      </c>
      <c r="D3728" s="5" t="str">
        <f>IFERROR(__xludf.DUMMYFUNCTION("""COMPUTED_VALUE"""),"کرمان")</f>
        <v>کرمان</v>
      </c>
      <c r="E3728" s="5" t="str">
        <f>IFERROR(__xludf.DUMMYFUNCTION("""COMPUTED_VALUE"""),"کرمان")</f>
        <v>کرمان</v>
      </c>
      <c r="F3728" s="5"/>
      <c r="G3728" s="5"/>
      <c r="H3728" s="6" t="str">
        <f>IFERROR(__xludf.DUMMYFUNCTION("""COMPUTED_VALUE"""),"https://www.instagram.com/heyat.gholaman.kerman")</f>
        <v>https://www.instagram.com/heyat.gholaman.kerman</v>
      </c>
      <c r="I3728" s="6" t="str">
        <f>IFERROR(__xludf.DUMMYFUNCTION("""COMPUTED_VALUE"""),"https://t.me/gholaman_kerman")</f>
        <v>https://t.me/gholaman_kerman</v>
      </c>
      <c r="J3728" s="5"/>
      <c r="K3728" s="5"/>
      <c r="L3728" s="5"/>
      <c r="M3728" s="5"/>
      <c r="N3728" s="5"/>
      <c r="O3728" s="5"/>
      <c r="P3728" s="5"/>
      <c r="Q3728" s="5"/>
      <c r="R3728" s="5"/>
      <c r="S3728" s="5"/>
    </row>
    <row r="3729">
      <c r="A3729" s="5">
        <f>IFERROR(__xludf.DUMMYFUNCTION("""COMPUTED_VALUE"""),28211.0)</f>
        <v>28211</v>
      </c>
      <c r="B3729" s="5" t="str">
        <f>IFERROR(__xludf.DUMMYFUNCTION("""COMPUTED_VALUE"""),"هیأت")</f>
        <v>هیأت</v>
      </c>
      <c r="C3729" s="5" t="str">
        <f>IFERROR(__xludf.DUMMYFUNCTION("""COMPUTED_VALUE"""),"ولیعصر عج")</f>
        <v>ولیعصر عج</v>
      </c>
      <c r="D3729" s="5" t="str">
        <f>IFERROR(__xludf.DUMMYFUNCTION("""COMPUTED_VALUE"""),"کرمان")</f>
        <v>کرمان</v>
      </c>
      <c r="E3729" s="5" t="str">
        <f>IFERROR(__xludf.DUMMYFUNCTION("""COMPUTED_VALUE"""),"کرمان")</f>
        <v>کرمان</v>
      </c>
      <c r="F3729" s="5"/>
      <c r="G3729" s="5"/>
      <c r="H3729" s="5"/>
      <c r="I3729" s="5"/>
      <c r="J3729" s="6" t="str">
        <f>IFERROR(__xludf.DUMMYFUNCTION("""COMPUTED_VALUE"""),"https://eitaa.com/mosque_Vali_Asr_town_Elahiye")</f>
        <v>https://eitaa.com/mosque_Vali_Asr_town_Elahiye</v>
      </c>
      <c r="K3729" s="5"/>
      <c r="L3729" s="5"/>
      <c r="M3729" s="5"/>
      <c r="N3729" s="5"/>
      <c r="O3729" s="5"/>
      <c r="P3729" s="5"/>
      <c r="Q3729" s="5"/>
      <c r="R3729" s="5"/>
      <c r="S3729" s="5"/>
    </row>
    <row r="3730">
      <c r="A3730" s="5">
        <f>IFERROR(__xludf.DUMMYFUNCTION("""COMPUTED_VALUE"""),28178.0)</f>
        <v>28178</v>
      </c>
      <c r="B3730" s="5" t="str">
        <f>IFERROR(__xludf.DUMMYFUNCTION("""COMPUTED_VALUE"""),"هیأت")</f>
        <v>هیأت</v>
      </c>
      <c r="C3730" s="5" t="str">
        <f>IFERROR(__xludf.DUMMYFUNCTION("""COMPUTED_VALUE"""),"باب الحوایج امام حسن مجتبی (ع)")</f>
        <v>باب الحوایج امام حسن مجتبی (ع)</v>
      </c>
      <c r="D3730" s="5" t="str">
        <f>IFERROR(__xludf.DUMMYFUNCTION("""COMPUTED_VALUE"""),"کرمان")</f>
        <v>کرمان</v>
      </c>
      <c r="E3730" s="5" t="str">
        <f>IFERROR(__xludf.DUMMYFUNCTION("""COMPUTED_VALUE"""),"کرمان")</f>
        <v>کرمان</v>
      </c>
      <c r="F3730" s="5"/>
      <c r="G3730" s="5"/>
      <c r="H3730" s="6" t="str">
        <f>IFERROR(__xludf.DUMMYFUNCTION("""COMPUTED_VALUE"""),"https://www.instagram.com/heyat_babalhavaej")</f>
        <v>https://www.instagram.com/heyat_babalhavaej</v>
      </c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</row>
    <row r="3731">
      <c r="A3731" s="5">
        <f>IFERROR(__xludf.DUMMYFUNCTION("""COMPUTED_VALUE"""),27980.0)</f>
        <v>27980</v>
      </c>
      <c r="B3731" s="5" t="str">
        <f>IFERROR(__xludf.DUMMYFUNCTION("""COMPUTED_VALUE"""),"هیأت")</f>
        <v>هیأت</v>
      </c>
      <c r="C3731" s="5" t="str">
        <f>IFERROR(__xludf.DUMMYFUNCTION("""COMPUTED_VALUE"""),"حیدریون")</f>
        <v>حیدریون</v>
      </c>
      <c r="D3731" s="5" t="str">
        <f>IFERROR(__xludf.DUMMYFUNCTION("""COMPUTED_VALUE"""),"کرمان")</f>
        <v>کرمان</v>
      </c>
      <c r="E3731" s="5" t="str">
        <f>IFERROR(__xludf.DUMMYFUNCTION("""COMPUTED_VALUE"""),"زرند")</f>
        <v>زرند</v>
      </c>
      <c r="F3731" s="5"/>
      <c r="G3731" s="5"/>
      <c r="H3731" s="6" t="str">
        <f>IFERROR(__xludf.DUMMYFUNCTION("""COMPUTED_VALUE"""),"https://www.instagram.com/navaye_heydariyon")</f>
        <v>https://www.instagram.com/navaye_heydariyon</v>
      </c>
      <c r="I3731" s="6" t="str">
        <f>IFERROR(__xludf.DUMMYFUNCTION("""COMPUTED_VALUE"""),"https://t.me/navaye_heydariyon")</f>
        <v>https://t.me/navaye_heydariyon</v>
      </c>
      <c r="J3731" s="5"/>
      <c r="K3731" s="5"/>
      <c r="L3731" s="5"/>
      <c r="M3731" s="5"/>
      <c r="N3731" s="5"/>
      <c r="O3731" s="5"/>
      <c r="P3731" s="5"/>
      <c r="Q3731" s="5"/>
      <c r="R3731" s="5"/>
      <c r="S3731" s="5"/>
    </row>
    <row r="3732">
      <c r="A3732" s="5">
        <f>IFERROR(__xludf.DUMMYFUNCTION("""COMPUTED_VALUE"""),27657.0)</f>
        <v>27657</v>
      </c>
      <c r="B3732" s="5" t="str">
        <f>IFERROR(__xludf.DUMMYFUNCTION("""COMPUTED_VALUE"""),"هیأت")</f>
        <v>هیأت</v>
      </c>
      <c r="C3732" s="5" t="str">
        <f>IFERROR(__xludf.DUMMYFUNCTION("""COMPUTED_VALUE"""),"انصارالمهدی (عج)")</f>
        <v>انصارالمهدی (عج)</v>
      </c>
      <c r="D3732" s="5" t="str">
        <f>IFERROR(__xludf.DUMMYFUNCTION("""COMPUTED_VALUE"""),"کرمان")</f>
        <v>کرمان</v>
      </c>
      <c r="E3732" s="5" t="str">
        <f>IFERROR(__xludf.DUMMYFUNCTION("""COMPUTED_VALUE"""),"قلعه گنج")</f>
        <v>قلعه گنج</v>
      </c>
      <c r="F3732" s="5"/>
      <c r="G3732" s="5"/>
      <c r="H3732" s="6" t="str">
        <f>IFERROR(__xludf.DUMMYFUNCTION("""COMPUTED_VALUE"""),"https://www.instagram.com/ansarmahdi_galeganji")</f>
        <v>https://www.instagram.com/ansarmahdi_galeganji</v>
      </c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</row>
    <row r="3733">
      <c r="A3733" s="5">
        <f>IFERROR(__xludf.DUMMYFUNCTION("""COMPUTED_VALUE"""),27653.0)</f>
        <v>27653</v>
      </c>
      <c r="B3733" s="5" t="str">
        <f>IFERROR(__xludf.DUMMYFUNCTION("""COMPUTED_VALUE"""),"هیأت")</f>
        <v>هیأت</v>
      </c>
      <c r="C3733" s="5" t="str">
        <f>IFERROR(__xludf.DUMMYFUNCTION("""COMPUTED_VALUE"""),"شهیدباکری")</f>
        <v>شهیدباکری</v>
      </c>
      <c r="D3733" s="5" t="str">
        <f>IFERROR(__xludf.DUMMYFUNCTION("""COMPUTED_VALUE"""),"کرمان")</f>
        <v>کرمان</v>
      </c>
      <c r="E3733" s="5" t="str">
        <f>IFERROR(__xludf.DUMMYFUNCTION("""COMPUTED_VALUE"""),"رودبارجنوب")</f>
        <v>رودبارجنوب</v>
      </c>
      <c r="F3733" s="5"/>
      <c r="G3733" s="5"/>
      <c r="H3733" s="6" t="str">
        <f>IFERROR(__xludf.DUMMYFUNCTION("""COMPUTED_VALUE"""),"https://www.instagram.com/jahadi_shahid_bakerii")</f>
        <v>https://www.instagram.com/jahadi_shahid_bakerii</v>
      </c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</row>
    <row r="3734">
      <c r="A3734" s="5">
        <f>IFERROR(__xludf.DUMMYFUNCTION("""COMPUTED_VALUE"""),27650.0)</f>
        <v>27650</v>
      </c>
      <c r="B3734" s="5" t="str">
        <f>IFERROR(__xludf.DUMMYFUNCTION("""COMPUTED_VALUE"""),"هیأت")</f>
        <v>هیأت</v>
      </c>
      <c r="C3734" s="5" t="str">
        <f>IFERROR(__xludf.DUMMYFUNCTION("""COMPUTED_VALUE"""),"غلامان علی اکبر")</f>
        <v>غلامان علی اکبر</v>
      </c>
      <c r="D3734" s="5" t="str">
        <f>IFERROR(__xludf.DUMMYFUNCTION("""COMPUTED_VALUE"""),"کرمان")</f>
        <v>کرمان</v>
      </c>
      <c r="E3734" s="5" t="str">
        <f>IFERROR(__xludf.DUMMYFUNCTION("""COMPUTED_VALUE"""),"جیرفت")</f>
        <v>جیرفت</v>
      </c>
      <c r="F3734" s="5"/>
      <c r="G3734" s="5"/>
      <c r="H3734" s="6" t="str">
        <f>IFERROR(__xludf.DUMMYFUNCTION("""COMPUTED_VALUE"""),"https://www.instagram.com/gholaman_ali_akbar")</f>
        <v>https://www.instagram.com/gholaman_ali_akbar</v>
      </c>
      <c r="I3734" s="5"/>
      <c r="J3734" s="6" t="str">
        <f>IFERROR(__xludf.DUMMYFUNCTION("""COMPUTED_VALUE"""),"https://eitaa.com/gholaman_aliakbar")</f>
        <v>https://eitaa.com/gholaman_aliakbar</v>
      </c>
      <c r="K3734" s="5"/>
      <c r="L3734" s="5"/>
      <c r="M3734" s="5"/>
      <c r="N3734" s="5"/>
      <c r="O3734" s="5"/>
      <c r="P3734" s="5"/>
      <c r="Q3734" s="5"/>
      <c r="R3734" s="5"/>
      <c r="S3734" s="5"/>
    </row>
    <row r="3735">
      <c r="A3735" s="5">
        <f>IFERROR(__xludf.DUMMYFUNCTION("""COMPUTED_VALUE"""),27648.0)</f>
        <v>27648</v>
      </c>
      <c r="B3735" s="5" t="str">
        <f>IFERROR(__xludf.DUMMYFUNCTION("""COMPUTED_VALUE"""),"هیأت")</f>
        <v>هیأت</v>
      </c>
      <c r="C3735" s="5" t="str">
        <f>IFERROR(__xludf.DUMMYFUNCTION("""COMPUTED_VALUE"""),"روضه الرقیه (س) شهرک فجر")</f>
        <v>روضه الرقیه (س) شهرک فجر</v>
      </c>
      <c r="D3735" s="5" t="str">
        <f>IFERROR(__xludf.DUMMYFUNCTION("""COMPUTED_VALUE"""),"کرمان")</f>
        <v>کرمان</v>
      </c>
      <c r="E3735" s="5" t="str">
        <f>IFERROR(__xludf.DUMMYFUNCTION("""COMPUTED_VALUE"""),"جیرفت")</f>
        <v>جیرفت</v>
      </c>
      <c r="F3735" s="5"/>
      <c r="G3735" s="5"/>
      <c r="H3735" s="6" t="str">
        <f>IFERROR(__xludf.DUMMYFUNCTION("""COMPUTED_VALUE"""),"https://www.instagram.com/rozatoroghayeh")</f>
        <v>https://www.instagram.com/rozatoroghayeh</v>
      </c>
      <c r="I3735" s="5"/>
      <c r="J3735" s="6" t="str">
        <f>IFERROR(__xludf.DUMMYFUNCTION("""COMPUTED_VALUE"""),"https://eitaa.com/rozatorroghaye")</f>
        <v>https://eitaa.com/rozatorroghaye</v>
      </c>
      <c r="K3735" s="5"/>
      <c r="L3735" s="5"/>
      <c r="M3735" s="5"/>
      <c r="N3735" s="5"/>
      <c r="O3735" s="5"/>
      <c r="P3735" s="5"/>
      <c r="Q3735" s="5"/>
      <c r="R3735" s="5"/>
      <c r="S3735" s="5"/>
    </row>
    <row r="3736">
      <c r="A3736" s="5">
        <f>IFERROR(__xludf.DUMMYFUNCTION("""COMPUTED_VALUE"""),27647.0)</f>
        <v>27647</v>
      </c>
      <c r="B3736" s="5" t="str">
        <f>IFERROR(__xludf.DUMMYFUNCTION("""COMPUTED_VALUE"""),"هیأت")</f>
        <v>هیأت</v>
      </c>
      <c r="C3736" s="5" t="str">
        <f>IFERROR(__xludf.DUMMYFUNCTION("""COMPUTED_VALUE"""),"عبدالله بن الحسن صدرا")</f>
        <v>عبدالله بن الحسن صدرا</v>
      </c>
      <c r="D3736" s="5" t="str">
        <f>IFERROR(__xludf.DUMMYFUNCTION("""COMPUTED_VALUE"""),"کرمان")</f>
        <v>کرمان</v>
      </c>
      <c r="E3736" s="5" t="str">
        <f>IFERROR(__xludf.DUMMYFUNCTION("""COMPUTED_VALUE"""),"بم")</f>
        <v>بم</v>
      </c>
      <c r="F3736" s="5"/>
      <c r="G3736" s="5"/>
      <c r="H3736" s="6" t="str">
        <f>IFERROR(__xludf.DUMMYFUNCTION("""COMPUTED_VALUE"""),"https://www.instagram.com/sadra__live/")</f>
        <v>https://www.instagram.com/sadra__live/</v>
      </c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</row>
    <row r="3737">
      <c r="A3737" s="5">
        <f>IFERROR(__xludf.DUMMYFUNCTION("""COMPUTED_VALUE"""),27643.0)</f>
        <v>27643</v>
      </c>
      <c r="B3737" s="5" t="str">
        <f>IFERROR(__xludf.DUMMYFUNCTION("""COMPUTED_VALUE"""),"هیأت")</f>
        <v>هیأت</v>
      </c>
      <c r="C3737" s="5" t="str">
        <f>IFERROR(__xludf.DUMMYFUNCTION("""COMPUTED_VALUE"""),"مکتب الزهرا")</f>
        <v>مکتب الزهرا</v>
      </c>
      <c r="D3737" s="5" t="str">
        <f>IFERROR(__xludf.DUMMYFUNCTION("""COMPUTED_VALUE"""),"کرمان")</f>
        <v>کرمان</v>
      </c>
      <c r="E3737" s="5" t="str">
        <f>IFERROR(__xludf.DUMMYFUNCTION("""COMPUTED_VALUE"""),"زرند")</f>
        <v>زرند</v>
      </c>
      <c r="F3737" s="5"/>
      <c r="G3737" s="5"/>
      <c r="H3737" s="6" t="str">
        <f>IFERROR(__xludf.DUMMYFUNCTION("""COMPUTED_VALUE"""),"https://www.instagram.com/maktab_al_zahra118")</f>
        <v>https://www.instagram.com/maktab_al_zahra118</v>
      </c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</row>
    <row r="3738">
      <c r="A3738" s="5">
        <f>IFERROR(__xludf.DUMMYFUNCTION("""COMPUTED_VALUE"""),27641.0)</f>
        <v>27641</v>
      </c>
      <c r="B3738" s="5" t="str">
        <f>IFERROR(__xludf.DUMMYFUNCTION("""COMPUTED_VALUE"""),"هیأت جوانان")</f>
        <v>هیأت جوانان</v>
      </c>
      <c r="C3738" s="5" t="str">
        <f>IFERROR(__xludf.DUMMYFUNCTION("""COMPUTED_VALUE"""),"ابوالفضل محمدیه زیدآباد سیرجان")</f>
        <v>ابوالفضل محمدیه زیدآباد سیرجان</v>
      </c>
      <c r="D3738" s="5" t="str">
        <f>IFERROR(__xludf.DUMMYFUNCTION("""COMPUTED_VALUE"""),"کرمان")</f>
        <v>کرمان</v>
      </c>
      <c r="E3738" s="5" t="str">
        <f>IFERROR(__xludf.DUMMYFUNCTION("""COMPUTED_VALUE"""),"سیرجان")</f>
        <v>سیرجان</v>
      </c>
      <c r="F3738" s="5"/>
      <c r="G3738" s="5"/>
      <c r="H3738" s="6" t="str">
        <f>IFERROR(__xludf.DUMMYFUNCTION("""COMPUTED_VALUE"""),"https://www.instagram.com/heiatjavananabaolfazl.z")</f>
        <v>https://www.instagram.com/heiatjavananabaolfazl.z</v>
      </c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</row>
    <row r="3739">
      <c r="A3739" s="5">
        <f>IFERROR(__xludf.DUMMYFUNCTION("""COMPUTED_VALUE"""),27640.0)</f>
        <v>27640</v>
      </c>
      <c r="B3739" s="5" t="str">
        <f>IFERROR(__xludf.DUMMYFUNCTION("""COMPUTED_VALUE"""),"هیأت")</f>
        <v>هیأت</v>
      </c>
      <c r="C3739" s="5" t="str">
        <f>IFERROR(__xludf.DUMMYFUNCTION("""COMPUTED_VALUE"""),"ام البنین سقاخانه")</f>
        <v>ام البنین سقاخانه</v>
      </c>
      <c r="D3739" s="5" t="str">
        <f>IFERROR(__xludf.DUMMYFUNCTION("""COMPUTED_VALUE"""),"کرمان")</f>
        <v>کرمان</v>
      </c>
      <c r="E3739" s="5" t="str">
        <f>IFERROR(__xludf.DUMMYFUNCTION("""COMPUTED_VALUE"""),"بافت")</f>
        <v>بافت</v>
      </c>
      <c r="F3739" s="5"/>
      <c r="G3739" s="5"/>
      <c r="H3739" s="6" t="str">
        <f>IFERROR(__xludf.DUMMYFUNCTION("""COMPUTED_VALUE"""),"https://www.instagram.com/heyate_omolbanin_saqakhane")</f>
        <v>https://www.instagram.com/heyate_omolbanin_saqakhane</v>
      </c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</row>
    <row r="3740">
      <c r="A3740" s="5">
        <f>IFERROR(__xludf.DUMMYFUNCTION("""COMPUTED_VALUE"""),27638.0)</f>
        <v>27638</v>
      </c>
      <c r="B3740" s="5" t="str">
        <f>IFERROR(__xludf.DUMMYFUNCTION("""COMPUTED_VALUE"""),"هیأت")</f>
        <v>هیأت</v>
      </c>
      <c r="C3740" s="5" t="str">
        <f>IFERROR(__xludf.DUMMYFUNCTION("""COMPUTED_VALUE"""),"کانون فرهنگی مذهبی علمدار روستای داوران")</f>
        <v>کانون فرهنگی مذهبی علمدار روستای داوران</v>
      </c>
      <c r="D3740" s="5" t="str">
        <f>IFERROR(__xludf.DUMMYFUNCTION("""COMPUTED_VALUE"""),"کرمان")</f>
        <v>کرمان</v>
      </c>
      <c r="E3740" s="5" t="str">
        <f>IFERROR(__xludf.DUMMYFUNCTION("""COMPUTED_VALUE"""),"رفسنجان")</f>
        <v>رفسنجان</v>
      </c>
      <c r="F3740" s="5"/>
      <c r="G3740" s="5"/>
      <c r="H3740" s="6" t="str">
        <f>IFERROR(__xludf.DUMMYFUNCTION("""COMPUTED_VALUE"""),"https://www.instagram.com/alamdar_davaran/")</f>
        <v>https://www.instagram.com/alamdar_davaran/</v>
      </c>
      <c r="I3740" s="6" t="str">
        <f>IFERROR(__xludf.DUMMYFUNCTION("""COMPUTED_VALUE"""),"https://t.me/alamdar_davaran")</f>
        <v>https://t.me/alamdar_davaran</v>
      </c>
      <c r="J3740" s="6" t="str">
        <f>IFERROR(__xludf.DUMMYFUNCTION("""COMPUTED_VALUE"""),"https://eitaa.com/alamdar_davaran")</f>
        <v>https://eitaa.com/alamdar_davaran</v>
      </c>
      <c r="K3740" s="5"/>
      <c r="L3740" s="5"/>
      <c r="M3740" s="5"/>
      <c r="N3740" s="5"/>
      <c r="O3740" s="5"/>
      <c r="P3740" s="5"/>
      <c r="Q3740" s="5"/>
      <c r="R3740" s="5"/>
      <c r="S3740" s="5"/>
    </row>
    <row r="3741">
      <c r="A3741" s="5">
        <f>IFERROR(__xludf.DUMMYFUNCTION("""COMPUTED_VALUE"""),26654.0)</f>
        <v>26654</v>
      </c>
      <c r="B3741" s="5" t="str">
        <f>IFERROR(__xludf.DUMMYFUNCTION("""COMPUTED_VALUE"""),"هیأت")</f>
        <v>هیأت</v>
      </c>
      <c r="C3741" s="5" t="str">
        <f>IFERROR(__xludf.DUMMYFUNCTION("""COMPUTED_VALUE"""),"کربلا")</f>
        <v>کربلا</v>
      </c>
      <c r="D3741" s="5" t="str">
        <f>IFERROR(__xludf.DUMMYFUNCTION("""COMPUTED_VALUE"""),"کرمان")</f>
        <v>کرمان</v>
      </c>
      <c r="E3741" s="5" t="str">
        <f>IFERROR(__xludf.DUMMYFUNCTION("""COMPUTED_VALUE"""),"رفسنجان")</f>
        <v>رفسنجان</v>
      </c>
      <c r="F3741" s="5"/>
      <c r="G3741" s="5"/>
      <c r="H3741" s="6" t="str">
        <f>IFERROR(__xludf.DUMMYFUNCTION("""COMPUTED_VALUE"""),"https://www.instagram.com/heiatkarbala")</f>
        <v>https://www.instagram.com/heiatkarbala</v>
      </c>
      <c r="I3741" s="5"/>
      <c r="J3741" s="6" t="str">
        <f>IFERROR(__xludf.DUMMYFUNCTION("""COMPUTED_VALUE"""),"https://eitaa.com/heiatkarbala")</f>
        <v>https://eitaa.com/heiatkarbala</v>
      </c>
      <c r="K3741" s="5"/>
      <c r="L3741" s="5"/>
      <c r="M3741" s="5"/>
      <c r="N3741" s="5"/>
      <c r="O3741" s="5"/>
      <c r="P3741" s="5"/>
      <c r="Q3741" s="5"/>
      <c r="R3741" s="5"/>
      <c r="S3741" s="5"/>
    </row>
    <row r="3742">
      <c r="A3742" s="5">
        <f>IFERROR(__xludf.DUMMYFUNCTION("""COMPUTED_VALUE"""),26637.0)</f>
        <v>26637</v>
      </c>
      <c r="B3742" s="5" t="str">
        <f>IFERROR(__xludf.DUMMYFUNCTION("""COMPUTED_VALUE"""),"هیأت")</f>
        <v>هیأت</v>
      </c>
      <c r="C3742" s="5" t="str">
        <f>IFERROR(__xludf.DUMMYFUNCTION("""COMPUTED_VALUE"""),"منتظران یوسف زهرا (عج) حاجی آباد")</f>
        <v>منتظران یوسف زهرا (عج) حاجی آباد</v>
      </c>
      <c r="D3742" s="5" t="str">
        <f>IFERROR(__xludf.DUMMYFUNCTION("""COMPUTED_VALUE"""),"کرمان")</f>
        <v>کرمان</v>
      </c>
      <c r="E3742" s="5" t="str">
        <f>IFERROR(__xludf.DUMMYFUNCTION("""COMPUTED_VALUE"""),"کرمان")</f>
        <v>کرمان</v>
      </c>
      <c r="F3742" s="5"/>
      <c r="G3742" s="5"/>
      <c r="H3742" s="5"/>
      <c r="I3742" s="5"/>
      <c r="J3742" s="6" t="str">
        <f>IFERROR(__xludf.DUMMYFUNCTION("""COMPUTED_VALUE"""),"https://eitaa.com/montazerankerman")</f>
        <v>https://eitaa.com/montazerankerman</v>
      </c>
      <c r="K3742" s="5"/>
      <c r="L3742" s="5"/>
      <c r="M3742" s="5"/>
      <c r="N3742" s="5"/>
      <c r="O3742" s="5"/>
      <c r="P3742" s="5"/>
      <c r="Q3742" s="5"/>
      <c r="R3742" s="5"/>
      <c r="S3742" s="5"/>
    </row>
    <row r="3743">
      <c r="A3743" s="5">
        <f>IFERROR(__xludf.DUMMYFUNCTION("""COMPUTED_VALUE"""),26350.0)</f>
        <v>26350</v>
      </c>
      <c r="B3743" s="5" t="str">
        <f>IFERROR(__xludf.DUMMYFUNCTION("""COMPUTED_VALUE"""),"هیأت")</f>
        <v>هیأت</v>
      </c>
      <c r="C3743" s="5" t="str">
        <f>IFERROR(__xludf.DUMMYFUNCTION("""COMPUTED_VALUE"""),"ثارالله (ع)")</f>
        <v>ثارالله (ع)</v>
      </c>
      <c r="D3743" s="5" t="str">
        <f>IFERROR(__xludf.DUMMYFUNCTION("""COMPUTED_VALUE"""),"کرمان")</f>
        <v>کرمان</v>
      </c>
      <c r="E3743" s="5" t="str">
        <f>IFERROR(__xludf.DUMMYFUNCTION("""COMPUTED_VALUE"""),"کهنوج")</f>
        <v>کهنوج</v>
      </c>
      <c r="F3743" s="5"/>
      <c r="G3743" s="5"/>
      <c r="H3743" s="6" t="str">
        <f>IFERROR(__xludf.DUMMYFUNCTION("""COMPUTED_VALUE"""),"https://www.instagram.com/sarallah.vaziriha.kahnooj")</f>
        <v>https://www.instagram.com/sarallah.vaziriha.kahnooj</v>
      </c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</row>
    <row r="3744">
      <c r="A3744" s="5">
        <f>IFERROR(__xludf.DUMMYFUNCTION("""COMPUTED_VALUE"""),26346.0)</f>
        <v>26346</v>
      </c>
      <c r="B3744" s="5" t="str">
        <f>IFERROR(__xludf.DUMMYFUNCTION("""COMPUTED_VALUE"""),"هیأت")</f>
        <v>هیأت</v>
      </c>
      <c r="C3744" s="5" t="str">
        <f>IFERROR(__xludf.DUMMYFUNCTION("""COMPUTED_VALUE"""),"حضرت علی اصغر (ع) منطقه سلیمانیه")</f>
        <v>حضرت علی اصغر (ع) منطقه سلیمانیه</v>
      </c>
      <c r="D3744" s="5" t="str">
        <f>IFERROR(__xludf.DUMMYFUNCTION("""COMPUTED_VALUE"""),"کرمان")</f>
        <v>کرمان</v>
      </c>
      <c r="E3744" s="5" t="str">
        <f>IFERROR(__xludf.DUMMYFUNCTION("""COMPUTED_VALUE"""),"سیرجان")</f>
        <v>سیرجان</v>
      </c>
      <c r="F3744" s="5"/>
      <c r="G3744" s="5"/>
      <c r="H3744" s="6" t="str">
        <f>IFERROR(__xludf.DUMMYFUNCTION("""COMPUTED_VALUE"""),"https://www.instagram.com/aliasghar_soleymanieh")</f>
        <v>https://www.instagram.com/aliasghar_soleymanieh</v>
      </c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</row>
    <row r="3745">
      <c r="A3745" s="5">
        <f>IFERROR(__xludf.DUMMYFUNCTION("""COMPUTED_VALUE"""),26341.0)</f>
        <v>26341</v>
      </c>
      <c r="B3745" s="5" t="str">
        <f>IFERROR(__xludf.DUMMYFUNCTION("""COMPUTED_VALUE"""),"تکیه")</f>
        <v>تکیه</v>
      </c>
      <c r="C3745" s="5" t="str">
        <f>IFERROR(__xludf.DUMMYFUNCTION("""COMPUTED_VALUE"""),"فاطمیه")</f>
        <v>فاطمیه</v>
      </c>
      <c r="D3745" s="5" t="str">
        <f>IFERROR(__xludf.DUMMYFUNCTION("""COMPUTED_VALUE"""),"کرمان")</f>
        <v>کرمان</v>
      </c>
      <c r="E3745" s="5" t="str">
        <f>IFERROR(__xludf.DUMMYFUNCTION("""COMPUTED_VALUE"""),"کرمان")</f>
        <v>کرمان</v>
      </c>
      <c r="F3745" s="5"/>
      <c r="G3745" s="5"/>
      <c r="H3745" s="6" t="str">
        <f>IFERROR(__xludf.DUMMYFUNCTION("""COMPUTED_VALUE"""),"https://www.instagram.com/tekie_fatemie_kerman_")</f>
        <v>https://www.instagram.com/tekie_fatemie_kerman_</v>
      </c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</row>
    <row r="3746">
      <c r="A3746" s="5">
        <f>IFERROR(__xludf.DUMMYFUNCTION("""COMPUTED_VALUE"""),26211.0)</f>
        <v>26211</v>
      </c>
      <c r="B3746" s="5" t="str">
        <f>IFERROR(__xludf.DUMMYFUNCTION("""COMPUTED_VALUE"""),"هیأت")</f>
        <v>هیأت</v>
      </c>
      <c r="C3746" s="5" t="str">
        <f>IFERROR(__xludf.DUMMYFUNCTION("""COMPUTED_VALUE"""),"سینه زنی وتعزیه خوانی سیدالشهدا")</f>
        <v>سینه زنی وتعزیه خوانی سیدالشهدا</v>
      </c>
      <c r="D3746" s="5" t="str">
        <f>IFERROR(__xludf.DUMMYFUNCTION("""COMPUTED_VALUE"""),"کرمان")</f>
        <v>کرمان</v>
      </c>
      <c r="E3746" s="5" t="str">
        <f>IFERROR(__xludf.DUMMYFUNCTION("""COMPUTED_VALUE"""),"زرند")</f>
        <v>زرند</v>
      </c>
      <c r="F3746" s="5"/>
      <c r="G3746" s="5"/>
      <c r="H3746" s="6" t="str">
        <f>IFERROR(__xludf.DUMMYFUNCTION("""COMPUTED_VALUE"""),"https://www.instagram.com/taziye1368")</f>
        <v>https://www.instagram.com/taziye1368</v>
      </c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</row>
    <row r="3747">
      <c r="A3747" s="5">
        <f>IFERROR(__xludf.DUMMYFUNCTION("""COMPUTED_VALUE"""),25957.0)</f>
        <v>25957</v>
      </c>
      <c r="B3747" s="5" t="str">
        <f>IFERROR(__xludf.DUMMYFUNCTION("""COMPUTED_VALUE"""),"هیأت")</f>
        <v>هیأت</v>
      </c>
      <c r="C3747" s="5" t="str">
        <f>IFERROR(__xludf.DUMMYFUNCTION("""COMPUTED_VALUE"""),"خادم الشهدا")</f>
        <v>خادم الشهدا</v>
      </c>
      <c r="D3747" s="5" t="str">
        <f>IFERROR(__xludf.DUMMYFUNCTION("""COMPUTED_VALUE"""),"کرمان")</f>
        <v>کرمان</v>
      </c>
      <c r="E3747" s="5" t="str">
        <f>IFERROR(__xludf.DUMMYFUNCTION("""COMPUTED_VALUE"""),"عنبرآباد")</f>
        <v>عنبرآباد</v>
      </c>
      <c r="F3747" s="5"/>
      <c r="G3747" s="5"/>
      <c r="H3747" s="5"/>
      <c r="I3747" s="5"/>
      <c r="J3747" s="6" t="str">
        <f>IFERROR(__xludf.DUMMYFUNCTION("""COMPUTED_VALUE"""),"https://www.eitaa.com/khademin_anbarabad_kerman")</f>
        <v>https://www.eitaa.com/khademin_anbarabad_kerman</v>
      </c>
      <c r="K3747" s="5"/>
      <c r="L3747" s="5"/>
      <c r="M3747" s="5"/>
      <c r="N3747" s="5"/>
      <c r="O3747" s="5"/>
      <c r="P3747" s="5"/>
      <c r="Q3747" s="5"/>
      <c r="R3747" s="5"/>
      <c r="S3747" s="5"/>
    </row>
    <row r="3748">
      <c r="A3748" s="5">
        <f>IFERROR(__xludf.DUMMYFUNCTION("""COMPUTED_VALUE"""),25835.0)</f>
        <v>25835</v>
      </c>
      <c r="B3748" s="5" t="str">
        <f>IFERROR(__xludf.DUMMYFUNCTION("""COMPUTED_VALUE"""),"هیأت")</f>
        <v>هیأت</v>
      </c>
      <c r="C3748" s="5" t="str">
        <f>IFERROR(__xludf.DUMMYFUNCTION("""COMPUTED_VALUE"""),"نسیم مهربانی")</f>
        <v>نسیم مهربانی</v>
      </c>
      <c r="D3748" s="5" t="str">
        <f>IFERROR(__xludf.DUMMYFUNCTION("""COMPUTED_VALUE"""),"کرمان")</f>
        <v>کرمان</v>
      </c>
      <c r="E3748" s="5" t="str">
        <f>IFERROR(__xludf.DUMMYFUNCTION("""COMPUTED_VALUE"""),"عنبرآباد")</f>
        <v>عنبرآباد</v>
      </c>
      <c r="F3748" s="5"/>
      <c r="G3748" s="5"/>
      <c r="H3748" s="6" t="str">
        <f>IFERROR(__xludf.DUMMYFUNCTION("""COMPUTED_VALUE"""),"https://www.instagram.com/nasime_mehrabani.anbarabad")</f>
        <v>https://www.instagram.com/nasime_mehrabani.anbarabad</v>
      </c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</row>
    <row r="3749">
      <c r="A3749" s="5">
        <f>IFERROR(__xludf.DUMMYFUNCTION("""COMPUTED_VALUE"""),25109.0)</f>
        <v>25109</v>
      </c>
      <c r="B3749" s="5" t="str">
        <f>IFERROR(__xludf.DUMMYFUNCTION("""COMPUTED_VALUE"""),"هیأت")</f>
        <v>هیأت</v>
      </c>
      <c r="C3749" s="5" t="str">
        <f>IFERROR(__xludf.DUMMYFUNCTION("""COMPUTED_VALUE"""),"مسجد جامع")</f>
        <v>مسجد جامع</v>
      </c>
      <c r="D3749" s="5" t="str">
        <f>IFERROR(__xludf.DUMMYFUNCTION("""COMPUTED_VALUE"""),"کرمان")</f>
        <v>کرمان</v>
      </c>
      <c r="E3749" s="5" t="str">
        <f>IFERROR(__xludf.DUMMYFUNCTION("""COMPUTED_VALUE"""),"کوهبنان")</f>
        <v>کوهبنان</v>
      </c>
      <c r="F3749" s="5"/>
      <c r="G3749" s="5"/>
      <c r="H3749" s="6" t="str">
        <f>IFERROR(__xludf.DUMMYFUNCTION("""COMPUTED_VALUE"""),"https://www.instagram.com/masjedjamekouhbanan")</f>
        <v>https://www.instagram.com/masjedjamekouhbanan</v>
      </c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</row>
    <row r="3750">
      <c r="A3750" s="5">
        <f>IFERROR(__xludf.DUMMYFUNCTION("""COMPUTED_VALUE"""),25107.0)</f>
        <v>25107</v>
      </c>
      <c r="B3750" s="5" t="str">
        <f>IFERROR(__xludf.DUMMYFUNCTION("""COMPUTED_VALUE"""),"هیأت")</f>
        <v>هیأت</v>
      </c>
      <c r="C3750" s="5" t="str">
        <f>IFERROR(__xludf.DUMMYFUNCTION("""COMPUTED_VALUE"""),"باقر العلوم (ع)")</f>
        <v>باقر العلوم (ع)</v>
      </c>
      <c r="D3750" s="5" t="str">
        <f>IFERROR(__xludf.DUMMYFUNCTION("""COMPUTED_VALUE"""),"کرمان")</f>
        <v>کرمان</v>
      </c>
      <c r="E3750" s="5" t="str">
        <f>IFERROR(__xludf.DUMMYFUNCTION("""COMPUTED_VALUE"""),"کرمان")</f>
        <v>کرمان</v>
      </c>
      <c r="F3750" s="5"/>
      <c r="G3750" s="5"/>
      <c r="H3750" s="5"/>
      <c r="I3750" s="5"/>
      <c r="J3750" s="6" t="str">
        <f>IFERROR(__xludf.DUMMYFUNCTION("""COMPUTED_VALUE"""),"https://eitaa.com/bagheralulum")</f>
        <v>https://eitaa.com/bagheralulum</v>
      </c>
      <c r="K3750" s="5"/>
      <c r="L3750" s="5"/>
      <c r="M3750" s="5"/>
      <c r="N3750" s="5"/>
      <c r="O3750" s="5"/>
      <c r="P3750" s="5"/>
      <c r="Q3750" s="5"/>
      <c r="R3750" s="5"/>
      <c r="S3750" s="5"/>
    </row>
    <row r="3751">
      <c r="A3751" s="5">
        <f>IFERROR(__xludf.DUMMYFUNCTION("""COMPUTED_VALUE"""),25106.0)</f>
        <v>25106</v>
      </c>
      <c r="B3751" s="5" t="str">
        <f>IFERROR(__xludf.DUMMYFUNCTION("""COMPUTED_VALUE"""),"هیأت")</f>
        <v>هیأت</v>
      </c>
      <c r="C3751" s="5" t="str">
        <f>IFERROR(__xludf.DUMMYFUNCTION("""COMPUTED_VALUE"""),"زائر علقمه")</f>
        <v>زائر علقمه</v>
      </c>
      <c r="D3751" s="5" t="str">
        <f>IFERROR(__xludf.DUMMYFUNCTION("""COMPUTED_VALUE"""),"کرمان")</f>
        <v>کرمان</v>
      </c>
      <c r="E3751" s="5" t="str">
        <f>IFERROR(__xludf.DUMMYFUNCTION("""COMPUTED_VALUE"""),"کرمان")</f>
        <v>کرمان</v>
      </c>
      <c r="F3751" s="5"/>
      <c r="G3751" s="5"/>
      <c r="H3751" s="6" t="str">
        <f>IFERROR(__xludf.DUMMYFUNCTION("""COMPUTED_VALUE"""),"https://www.instagram.com/mookeb_zaer_alqame")</f>
        <v>https://www.instagram.com/mookeb_zaer_alqame</v>
      </c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</row>
    <row r="3752">
      <c r="A3752" s="5">
        <f>IFERROR(__xludf.DUMMYFUNCTION("""COMPUTED_VALUE"""),25101.0)</f>
        <v>25101</v>
      </c>
      <c r="B3752" s="5" t="str">
        <f>IFERROR(__xludf.DUMMYFUNCTION("""COMPUTED_VALUE"""),"هیأت")</f>
        <v>هیأت</v>
      </c>
      <c r="C3752" s="5" t="str">
        <f>IFERROR(__xludf.DUMMYFUNCTION("""COMPUTED_VALUE"""),"رایه المهدی (عج)")</f>
        <v>رایه المهدی (عج)</v>
      </c>
      <c r="D3752" s="5" t="str">
        <f>IFERROR(__xludf.DUMMYFUNCTION("""COMPUTED_VALUE"""),"کرمان")</f>
        <v>کرمان</v>
      </c>
      <c r="E3752" s="5" t="str">
        <f>IFERROR(__xludf.DUMMYFUNCTION("""COMPUTED_VALUE"""),"کرمان")</f>
        <v>کرمان</v>
      </c>
      <c r="F3752" s="5"/>
      <c r="G3752" s="5"/>
      <c r="H3752" s="6" t="str">
        <f>IFERROR(__xludf.DUMMYFUNCTION("""COMPUTED_VALUE"""),"https://www.instagram.com/heyatrayatolmahdi313")</f>
        <v>https://www.instagram.com/heyatrayatolmahdi313</v>
      </c>
      <c r="I3752" s="5"/>
      <c r="J3752" s="6" t="str">
        <f>IFERROR(__xludf.DUMMYFUNCTION("""COMPUTED_VALUE"""),"https://eitaa.com/heyatrayatolmahdi313")</f>
        <v>https://eitaa.com/heyatrayatolmahdi313</v>
      </c>
      <c r="K3752" s="5"/>
      <c r="L3752" s="5"/>
      <c r="M3752" s="5"/>
      <c r="N3752" s="5"/>
      <c r="O3752" s="5"/>
      <c r="P3752" s="5"/>
      <c r="Q3752" s="5"/>
      <c r="R3752" s="5"/>
      <c r="S3752" s="5"/>
    </row>
    <row r="3753">
      <c r="A3753" s="5">
        <f>IFERROR(__xludf.DUMMYFUNCTION("""COMPUTED_VALUE"""),25005.0)</f>
        <v>25005</v>
      </c>
      <c r="B3753" s="5" t="str">
        <f>IFERROR(__xludf.DUMMYFUNCTION("""COMPUTED_VALUE"""),"هیأت")</f>
        <v>هیأت</v>
      </c>
      <c r="C3753" s="5" t="str">
        <f>IFERROR(__xludf.DUMMYFUNCTION("""COMPUTED_VALUE"""),"وارثان غدیر")</f>
        <v>وارثان غدیر</v>
      </c>
      <c r="D3753" s="5" t="str">
        <f>IFERROR(__xludf.DUMMYFUNCTION("""COMPUTED_VALUE"""),"کرمان")</f>
        <v>کرمان</v>
      </c>
      <c r="E3753" s="5" t="str">
        <f>IFERROR(__xludf.DUMMYFUNCTION("""COMPUTED_VALUE"""),"کرمان")</f>
        <v>کرمان</v>
      </c>
      <c r="F3753" s="5"/>
      <c r="G3753" s="5"/>
      <c r="H3753" s="6" t="str">
        <f>IFERROR(__xludf.DUMMYFUNCTION("""COMPUTED_VALUE"""),"https://www.instagram.com/varesan.ghadir")</f>
        <v>https://www.instagram.com/varesan.ghadir</v>
      </c>
      <c r="I3753" s="5"/>
      <c r="J3753" s="6" t="str">
        <f>IFERROR(__xludf.DUMMYFUNCTION("""COMPUTED_VALUE"""),"https://eitaa.com/etelaeresanikerman")</f>
        <v>https://eitaa.com/etelaeresanikerman</v>
      </c>
      <c r="K3753" s="5"/>
      <c r="L3753" s="5"/>
      <c r="M3753" s="5"/>
      <c r="N3753" s="5"/>
      <c r="O3753" s="5"/>
      <c r="P3753" s="5"/>
      <c r="Q3753" s="5"/>
      <c r="R3753" s="5"/>
      <c r="S3753" s="5"/>
    </row>
    <row r="3754">
      <c r="A3754" s="5">
        <f>IFERROR(__xludf.DUMMYFUNCTION("""COMPUTED_VALUE"""),24786.0)</f>
        <v>24786</v>
      </c>
      <c r="B3754" s="5" t="str">
        <f>IFERROR(__xludf.DUMMYFUNCTION("""COMPUTED_VALUE"""),"هیأت")</f>
        <v>هیأت</v>
      </c>
      <c r="C3754" s="5" t="str">
        <f>IFERROR(__xludf.DUMMYFUNCTION("""COMPUTED_VALUE"""),"غیاث")</f>
        <v>غیاث</v>
      </c>
      <c r="D3754" s="5" t="str">
        <f>IFERROR(__xludf.DUMMYFUNCTION("""COMPUTED_VALUE"""),"کرمان")</f>
        <v>کرمان</v>
      </c>
      <c r="E3754" s="5" t="str">
        <f>IFERROR(__xludf.DUMMYFUNCTION("""COMPUTED_VALUE"""),"کرمان")</f>
        <v>کرمان</v>
      </c>
      <c r="F3754" s="5"/>
      <c r="G3754" s="5"/>
      <c r="H3754" s="6" t="str">
        <f>IFERROR(__xludf.DUMMYFUNCTION("""COMPUTED_VALUE"""),"https://www.instagram.com/ghiaskerman")</f>
        <v>https://www.instagram.com/ghiaskerman</v>
      </c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</row>
    <row r="3755">
      <c r="A3755" s="5">
        <f>IFERROR(__xludf.DUMMYFUNCTION("""COMPUTED_VALUE"""),24697.0)</f>
        <v>24697</v>
      </c>
      <c r="B3755" s="5" t="str">
        <f>IFERROR(__xludf.DUMMYFUNCTION("""COMPUTED_VALUE"""),"هیأت")</f>
        <v>هیأت</v>
      </c>
      <c r="C3755" s="5" t="str">
        <f>IFERROR(__xludf.DUMMYFUNCTION("""COMPUTED_VALUE"""),"مسجد امام حسن مجتبی(ع)")</f>
        <v>مسجد امام حسن مجتبی(ع)</v>
      </c>
      <c r="D3755" s="5" t="str">
        <f>IFERROR(__xludf.DUMMYFUNCTION("""COMPUTED_VALUE"""),"کرمان")</f>
        <v>کرمان</v>
      </c>
      <c r="E3755" s="5" t="str">
        <f>IFERROR(__xludf.DUMMYFUNCTION("""COMPUTED_VALUE"""),"کرمان")</f>
        <v>کرمان</v>
      </c>
      <c r="F3755" s="5"/>
      <c r="G3755" s="5"/>
      <c r="H3755" s="6" t="str">
        <f>IFERROR(__xludf.DUMMYFUNCTION("""COMPUTED_VALUE"""),"https://www.instagram.com/emamhasankerman")</f>
        <v>https://www.instagram.com/emamhasankerman</v>
      </c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</row>
    <row r="3756">
      <c r="A3756" s="5">
        <f>IFERROR(__xludf.DUMMYFUNCTION("""COMPUTED_VALUE"""),24507.0)</f>
        <v>24507</v>
      </c>
      <c r="B3756" s="5" t="str">
        <f>IFERROR(__xludf.DUMMYFUNCTION("""COMPUTED_VALUE"""),"تکیه")</f>
        <v>تکیه</v>
      </c>
      <c r="C3756" s="5" t="str">
        <f>IFERROR(__xludf.DUMMYFUNCTION("""COMPUTED_VALUE"""),"محبان المهدی (عج)")</f>
        <v>محبان المهدی (عج)</v>
      </c>
      <c r="D3756" s="5" t="str">
        <f>IFERROR(__xludf.DUMMYFUNCTION("""COMPUTED_VALUE"""),"کرمان")</f>
        <v>کرمان</v>
      </c>
      <c r="E3756" s="5" t="str">
        <f>IFERROR(__xludf.DUMMYFUNCTION("""COMPUTED_VALUE"""),"کرمان")</f>
        <v>کرمان</v>
      </c>
      <c r="F3756" s="5"/>
      <c r="G3756" s="5"/>
      <c r="H3756" s="6" t="str">
        <f>IFERROR(__xludf.DUMMYFUNCTION("""COMPUTED_VALUE"""),"https://www.instagram.com/moheban.mahdii")</f>
        <v>https://www.instagram.com/moheban.mahdii</v>
      </c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</row>
    <row r="3757">
      <c r="A3757" s="5">
        <f>IFERROR(__xludf.DUMMYFUNCTION("""COMPUTED_VALUE"""),24503.0)</f>
        <v>24503</v>
      </c>
      <c r="B3757" s="5" t="str">
        <f>IFERROR(__xludf.DUMMYFUNCTION("""COMPUTED_VALUE"""),"هیأت")</f>
        <v>هیأت</v>
      </c>
      <c r="C3757" s="5" t="str">
        <f>IFERROR(__xludf.DUMMYFUNCTION("""COMPUTED_VALUE"""),"محبان حضرت ابوالفضل (عج)")</f>
        <v>محبان حضرت ابوالفضل (عج)</v>
      </c>
      <c r="D3757" s="5" t="str">
        <f>IFERROR(__xludf.DUMMYFUNCTION("""COMPUTED_VALUE"""),"کرمان")</f>
        <v>کرمان</v>
      </c>
      <c r="E3757" s="5" t="str">
        <f>IFERROR(__xludf.DUMMYFUNCTION("""COMPUTED_VALUE"""),"جیرفت")</f>
        <v>جیرفت</v>
      </c>
      <c r="F3757" s="5"/>
      <c r="G3757" s="5"/>
      <c r="H3757" s="6" t="str">
        <f>IFERROR(__xludf.DUMMYFUNCTION("""COMPUTED_VALUE"""),"https://www.instagram.com/heyat_mohebban_abolfazl_jiroft")</f>
        <v>https://www.instagram.com/heyat_mohebban_abolfazl_jiroft</v>
      </c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</row>
    <row r="3758">
      <c r="A3758" s="5">
        <f>IFERROR(__xludf.DUMMYFUNCTION("""COMPUTED_VALUE"""),24501.0)</f>
        <v>24501</v>
      </c>
      <c r="B3758" s="5" t="str">
        <f>IFERROR(__xludf.DUMMYFUNCTION("""COMPUTED_VALUE"""),"هیأت")</f>
        <v>هیأت</v>
      </c>
      <c r="C3758" s="5" t="str">
        <f>IFERROR(__xludf.DUMMYFUNCTION("""COMPUTED_VALUE"""),"هیات الحسین (ع)")</f>
        <v>هیات الحسین (ع)</v>
      </c>
      <c r="D3758" s="5" t="str">
        <f>IFERROR(__xludf.DUMMYFUNCTION("""COMPUTED_VALUE"""),"کرمان")</f>
        <v>کرمان</v>
      </c>
      <c r="E3758" s="5" t="str">
        <f>IFERROR(__xludf.DUMMYFUNCTION("""COMPUTED_VALUE"""),"کرمان")</f>
        <v>کرمان</v>
      </c>
      <c r="F3758" s="5"/>
      <c r="G3758" s="5"/>
      <c r="H3758" s="6" t="str">
        <f>IFERROR(__xludf.DUMMYFUNCTION("""COMPUTED_VALUE"""),"https://www.instagram.com/heyat_alhoosinkerman")</f>
        <v>https://www.instagram.com/heyat_alhoosinkerman</v>
      </c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</row>
    <row r="3759">
      <c r="A3759" s="5">
        <f>IFERROR(__xludf.DUMMYFUNCTION("""COMPUTED_VALUE"""),24495.0)</f>
        <v>24495</v>
      </c>
      <c r="B3759" s="5" t="str">
        <f>IFERROR(__xludf.DUMMYFUNCTION("""COMPUTED_VALUE"""),"هیأت")</f>
        <v>هیأت</v>
      </c>
      <c r="C3759" s="5" t="str">
        <f>IFERROR(__xludf.DUMMYFUNCTION("""COMPUTED_VALUE"""),"قمربنی هاشم (ع)")</f>
        <v>قمربنی هاشم (ع)</v>
      </c>
      <c r="D3759" s="5" t="str">
        <f>IFERROR(__xludf.DUMMYFUNCTION("""COMPUTED_VALUE"""),"کرمان")</f>
        <v>کرمان</v>
      </c>
      <c r="E3759" s="5" t="str">
        <f>IFERROR(__xludf.DUMMYFUNCTION("""COMPUTED_VALUE"""),"رابر")</f>
        <v>رابر</v>
      </c>
      <c r="F3759" s="5"/>
      <c r="G3759" s="5"/>
      <c r="H3759" s="6" t="str">
        <f>IFERROR(__xludf.DUMMYFUNCTION("""COMPUTED_VALUE"""),"https://www.instagram.com/heyat_gamarbanihashemkuyraberi")</f>
        <v>https://www.instagram.com/heyat_gamarbanihashemkuyraberi</v>
      </c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</row>
    <row r="3760">
      <c r="A3760" s="5">
        <f>IFERROR(__xludf.DUMMYFUNCTION("""COMPUTED_VALUE"""),24427.0)</f>
        <v>24427</v>
      </c>
      <c r="B3760" s="5" t="str">
        <f>IFERROR(__xludf.DUMMYFUNCTION("""COMPUTED_VALUE"""),"حسینیه")</f>
        <v>حسینیه</v>
      </c>
      <c r="C3760" s="5" t="str">
        <f>IFERROR(__xludf.DUMMYFUNCTION("""COMPUTED_VALUE"""),"حضرت ابوالفضل (ع)")</f>
        <v>حضرت ابوالفضل (ع)</v>
      </c>
      <c r="D3760" s="5" t="str">
        <f>IFERROR(__xludf.DUMMYFUNCTION("""COMPUTED_VALUE"""),"کرمان")</f>
        <v>کرمان</v>
      </c>
      <c r="E3760" s="5" t="str">
        <f>IFERROR(__xludf.DUMMYFUNCTION("""COMPUTED_VALUE"""),"کهنوج")</f>
        <v>کهنوج</v>
      </c>
      <c r="F3760" s="5"/>
      <c r="G3760" s="5"/>
      <c r="H3760" s="6" t="str">
        <f>IFERROR(__xludf.DUMMYFUNCTION("""COMPUTED_VALUE"""),"https://www.instagram.com/hosseinie.abalfazl.nakhlestan")</f>
        <v>https://www.instagram.com/hosseinie.abalfazl.nakhlestan</v>
      </c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</row>
    <row r="3761">
      <c r="A3761" s="5">
        <f>IFERROR(__xludf.DUMMYFUNCTION("""COMPUTED_VALUE"""),24246.0)</f>
        <v>24246</v>
      </c>
      <c r="B3761" s="5" t="str">
        <f>IFERROR(__xludf.DUMMYFUNCTION("""COMPUTED_VALUE"""),"هیأت")</f>
        <v>هیأت</v>
      </c>
      <c r="C3761" s="5" t="str">
        <f>IFERROR(__xludf.DUMMYFUNCTION("""COMPUTED_VALUE"""),"علمدار")</f>
        <v>علمدار</v>
      </c>
      <c r="D3761" s="5" t="str">
        <f>IFERROR(__xludf.DUMMYFUNCTION("""COMPUTED_VALUE"""),"کرمان")</f>
        <v>کرمان</v>
      </c>
      <c r="E3761" s="5" t="str">
        <f>IFERROR(__xludf.DUMMYFUNCTION("""COMPUTED_VALUE"""),"کرمان")</f>
        <v>کرمان</v>
      </c>
      <c r="F3761" s="5"/>
      <c r="G3761" s="5"/>
      <c r="H3761" s="6" t="str">
        <f>IFERROR(__xludf.DUMMYFUNCTION("""COMPUTED_VALUE"""),"https://www.instagram.com/tv_alamdarkerman")</f>
        <v>https://www.instagram.com/tv_alamdarkerman</v>
      </c>
      <c r="I3761" s="6" t="str">
        <f>IFERROR(__xludf.DUMMYFUNCTION("""COMPUTED_VALUE"""),"https://t.me/alamdarkerman")</f>
        <v>https://t.me/alamdarkerman</v>
      </c>
      <c r="J3761" s="5"/>
      <c r="K3761" s="5"/>
      <c r="L3761" s="5"/>
      <c r="M3761" s="5"/>
      <c r="N3761" s="5"/>
      <c r="O3761" s="5"/>
      <c r="P3761" s="5"/>
      <c r="Q3761" s="5"/>
      <c r="R3761" s="5"/>
      <c r="S3761" s="5"/>
    </row>
    <row r="3762">
      <c r="A3762" s="5">
        <f>IFERROR(__xludf.DUMMYFUNCTION("""COMPUTED_VALUE"""),24153.0)</f>
        <v>24153</v>
      </c>
      <c r="B3762" s="5" t="str">
        <f>IFERROR(__xludf.DUMMYFUNCTION("""COMPUTED_VALUE"""),"هیأت")</f>
        <v>هیأت</v>
      </c>
      <c r="C3762" s="5" t="str">
        <f>IFERROR(__xludf.DUMMYFUNCTION("""COMPUTED_VALUE"""),"انصارالحسین(ع)")</f>
        <v>انصارالحسین(ع)</v>
      </c>
      <c r="D3762" s="5" t="str">
        <f>IFERROR(__xludf.DUMMYFUNCTION("""COMPUTED_VALUE"""),"کرمان")</f>
        <v>کرمان</v>
      </c>
      <c r="E3762" s="5" t="str">
        <f>IFERROR(__xludf.DUMMYFUNCTION("""COMPUTED_VALUE"""),"بردسیر")</f>
        <v>بردسیر</v>
      </c>
      <c r="F3762" s="5"/>
      <c r="G3762" s="5"/>
      <c r="H3762" s="6" t="str">
        <f>IFERROR(__xludf.DUMMYFUNCTION("""COMPUTED_VALUE"""),"https://www.instagram.com/heyat_ansaralhossein")</f>
        <v>https://www.instagram.com/heyat_ansaralhossein</v>
      </c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</row>
    <row r="3763">
      <c r="A3763" s="5">
        <f>IFERROR(__xludf.DUMMYFUNCTION("""COMPUTED_VALUE"""),24152.0)</f>
        <v>24152</v>
      </c>
      <c r="B3763" s="5" t="str">
        <f>IFERROR(__xludf.DUMMYFUNCTION("""COMPUTED_VALUE"""),"هیأت")</f>
        <v>هیأت</v>
      </c>
      <c r="C3763" s="5" t="str">
        <f>IFERROR(__xludf.DUMMYFUNCTION("""COMPUTED_VALUE"""),"مسجد المهدی")</f>
        <v>مسجد المهدی</v>
      </c>
      <c r="D3763" s="5" t="str">
        <f>IFERROR(__xludf.DUMMYFUNCTION("""COMPUTED_VALUE"""),"کرمان")</f>
        <v>کرمان</v>
      </c>
      <c r="E3763" s="5" t="str">
        <f>IFERROR(__xludf.DUMMYFUNCTION("""COMPUTED_VALUE"""),"کرمان")</f>
        <v>کرمان</v>
      </c>
      <c r="F3763" s="5"/>
      <c r="G3763" s="5"/>
      <c r="H3763" s="6" t="str">
        <f>IFERROR(__xludf.DUMMYFUNCTION("""COMPUTED_VALUE"""),"https://www.instagram.com/masjjed_almahdi")</f>
        <v>https://www.instagram.com/masjjed_almahdi</v>
      </c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</row>
    <row r="3764">
      <c r="A3764" s="5">
        <f>IFERROR(__xludf.DUMMYFUNCTION("""COMPUTED_VALUE"""),24151.0)</f>
        <v>24151</v>
      </c>
      <c r="B3764" s="5" t="str">
        <f>IFERROR(__xludf.DUMMYFUNCTION("""COMPUTED_VALUE"""),"هیأت")</f>
        <v>هیأت</v>
      </c>
      <c r="C3764" s="5" t="str">
        <f>IFERROR(__xludf.DUMMYFUNCTION("""COMPUTED_VALUE"""),"ابوالفضل(ع)")</f>
        <v>ابوالفضل(ع)</v>
      </c>
      <c r="D3764" s="5" t="str">
        <f>IFERROR(__xludf.DUMMYFUNCTION("""COMPUTED_VALUE"""),"کرمان")</f>
        <v>کرمان</v>
      </c>
      <c r="E3764" s="5" t="str">
        <f>IFERROR(__xludf.DUMMYFUNCTION("""COMPUTED_VALUE"""),"بردسیر")</f>
        <v>بردسیر</v>
      </c>
      <c r="F3764" s="5"/>
      <c r="G3764" s="5"/>
      <c r="H3764" s="6" t="str">
        <f>IFERROR(__xludf.DUMMYFUNCTION("""COMPUTED_VALUE"""),"https://www.instagram.com/heyathazratabolfazlbardsir")</f>
        <v>https://www.instagram.com/heyathazratabolfazlbardsir</v>
      </c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</row>
    <row r="3765">
      <c r="A3765" s="5">
        <f>IFERROR(__xludf.DUMMYFUNCTION("""COMPUTED_VALUE"""),24118.0)</f>
        <v>24118</v>
      </c>
      <c r="B3765" s="5" t="str">
        <f>IFERROR(__xludf.DUMMYFUNCTION("""COMPUTED_VALUE"""),"هیأت")</f>
        <v>هیأت</v>
      </c>
      <c r="C3765" s="5" t="str">
        <f>IFERROR(__xludf.DUMMYFUNCTION("""COMPUTED_VALUE"""),"ابوالفضل العباس(ع) مسجد صاحب الزمان روستای علی آبادعلیا")</f>
        <v>ابوالفضل العباس(ع) مسجد صاحب الزمان روستای علی آبادعلیا</v>
      </c>
      <c r="D3765" s="5" t="str">
        <f>IFERROR(__xludf.DUMMYFUNCTION("""COMPUTED_VALUE"""),"کرمان")</f>
        <v>کرمان</v>
      </c>
      <c r="E3765" s="5" t="str">
        <f>IFERROR(__xludf.DUMMYFUNCTION("""COMPUTED_VALUE"""),"رودبارجنوب")</f>
        <v>رودبارجنوب</v>
      </c>
      <c r="F3765" s="5"/>
      <c r="G3765" s="5"/>
      <c r="H3765" s="5"/>
      <c r="I3765" s="6" t="str">
        <f>IFERROR(__xludf.DUMMYFUNCTION("""COMPUTED_VALUE"""),"https://t.me/sahebazaman88")</f>
        <v>https://t.me/sahebazaman88</v>
      </c>
      <c r="J3765" s="5"/>
      <c r="K3765" s="5"/>
      <c r="L3765" s="5"/>
      <c r="M3765" s="5"/>
      <c r="N3765" s="5"/>
      <c r="O3765" s="5"/>
      <c r="P3765" s="5"/>
      <c r="Q3765" s="5"/>
      <c r="R3765" s="5"/>
      <c r="S3765" s="5"/>
    </row>
    <row r="3766">
      <c r="A3766" s="5">
        <f>IFERROR(__xludf.DUMMYFUNCTION("""COMPUTED_VALUE"""),24029.0)</f>
        <v>24029</v>
      </c>
      <c r="B3766" s="5" t="str">
        <f>IFERROR(__xludf.DUMMYFUNCTION("""COMPUTED_VALUE"""),"هیأت")</f>
        <v>هیأت</v>
      </c>
      <c r="C3766" s="5" t="str">
        <f>IFERROR(__xludf.DUMMYFUNCTION("""COMPUTED_VALUE"""),"محبان علی اصغر(ع)")</f>
        <v>محبان علی اصغر(ع)</v>
      </c>
      <c r="D3766" s="5" t="str">
        <f>IFERROR(__xludf.DUMMYFUNCTION("""COMPUTED_VALUE"""),"کرمان")</f>
        <v>کرمان</v>
      </c>
      <c r="E3766" s="5" t="str">
        <f>IFERROR(__xludf.DUMMYFUNCTION("""COMPUTED_VALUE"""),"نرماشیر")</f>
        <v>نرماشیر</v>
      </c>
      <c r="F3766" s="5"/>
      <c r="G3766" s="5"/>
      <c r="H3766" s="6" t="str">
        <f>IFERROR(__xludf.DUMMYFUNCTION("""COMPUTED_VALUE"""),"https://www.instagram.com/mohebanaliasghar1141")</f>
        <v>https://www.instagram.com/mohebanaliasghar1141</v>
      </c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</row>
    <row r="3767">
      <c r="A3767" s="5">
        <f>IFERROR(__xludf.DUMMYFUNCTION("""COMPUTED_VALUE"""),24026.0)</f>
        <v>24026</v>
      </c>
      <c r="B3767" s="5" t="str">
        <f>IFERROR(__xludf.DUMMYFUNCTION("""COMPUTED_VALUE"""),"هیأت")</f>
        <v>هیأت</v>
      </c>
      <c r="C3767" s="5" t="str">
        <f>IFERROR(__xludf.DUMMYFUNCTION("""COMPUTED_VALUE"""),"حسینیون")</f>
        <v>حسینیون</v>
      </c>
      <c r="D3767" s="5" t="str">
        <f>IFERROR(__xludf.DUMMYFUNCTION("""COMPUTED_VALUE"""),"کرمان")</f>
        <v>کرمان</v>
      </c>
      <c r="E3767" s="5" t="str">
        <f>IFERROR(__xludf.DUMMYFUNCTION("""COMPUTED_VALUE"""),"فهرج")</f>
        <v>فهرج</v>
      </c>
      <c r="F3767" s="5"/>
      <c r="G3767" s="5"/>
      <c r="H3767" s="6" t="str">
        <f>IFERROR(__xludf.DUMMYFUNCTION("""COMPUTED_VALUE"""),"https://www.instagram.com/hoseinyun313")</f>
        <v>https://www.instagram.com/hoseinyun313</v>
      </c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</row>
    <row r="3768">
      <c r="A3768" s="5">
        <f>IFERROR(__xludf.DUMMYFUNCTION("""COMPUTED_VALUE"""),23737.0)</f>
        <v>23737</v>
      </c>
      <c r="B3768" s="5" t="str">
        <f>IFERROR(__xludf.DUMMYFUNCTION("""COMPUTED_VALUE"""),"هیأت")</f>
        <v>هیأت</v>
      </c>
      <c r="C3768" s="5" t="str">
        <f>IFERROR(__xludf.DUMMYFUNCTION("""COMPUTED_VALUE"""),"غلامان حسینی")</f>
        <v>غلامان حسینی</v>
      </c>
      <c r="D3768" s="5" t="str">
        <f>IFERROR(__xludf.DUMMYFUNCTION("""COMPUTED_VALUE"""),"کرمان")</f>
        <v>کرمان</v>
      </c>
      <c r="E3768" s="5" t="str">
        <f>IFERROR(__xludf.DUMMYFUNCTION("""COMPUTED_VALUE"""),"بم")</f>
        <v>بم</v>
      </c>
      <c r="F3768" s="5"/>
      <c r="G3768" s="5"/>
      <c r="H3768" s="6" t="str">
        <f>IFERROR(__xludf.DUMMYFUNCTION("""COMPUTED_VALUE"""),"https://www.instagram.com/gholaman_hasani_bam")</f>
        <v>https://www.instagram.com/gholaman_hasani_bam</v>
      </c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</row>
    <row r="3769">
      <c r="A3769" s="5">
        <f>IFERROR(__xludf.DUMMYFUNCTION("""COMPUTED_VALUE"""),23636.0)</f>
        <v>23636</v>
      </c>
      <c r="B3769" s="5" t="str">
        <f>IFERROR(__xludf.DUMMYFUNCTION("""COMPUTED_VALUE"""),"هیأت")</f>
        <v>هیأت</v>
      </c>
      <c r="C3769" s="5" t="str">
        <f>IFERROR(__xludf.DUMMYFUNCTION("""COMPUTED_VALUE"""),"ریحانه الحسین (ع) روستای هوتک")</f>
        <v>ریحانه الحسین (ع) روستای هوتک</v>
      </c>
      <c r="D3769" s="5" t="str">
        <f>IFERROR(__xludf.DUMMYFUNCTION("""COMPUTED_VALUE"""),"کرمان")</f>
        <v>کرمان</v>
      </c>
      <c r="E3769" s="5" t="str">
        <f>IFERROR(__xludf.DUMMYFUNCTION("""COMPUTED_VALUE"""),"کرمان")</f>
        <v>کرمان</v>
      </c>
      <c r="F3769" s="5"/>
      <c r="G3769" s="5"/>
      <c r="H3769" s="6" t="str">
        <f>IFERROR(__xludf.DUMMYFUNCTION("""COMPUTED_VALUE"""),"https://www.instagram.com/tazieh.reyhanatolhossein")</f>
        <v>https://www.instagram.com/tazieh.reyhanatolhossein</v>
      </c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</row>
    <row r="3770">
      <c r="A3770" s="5">
        <f>IFERROR(__xludf.DUMMYFUNCTION("""COMPUTED_VALUE"""),23611.0)</f>
        <v>23611</v>
      </c>
      <c r="B3770" s="5" t="str">
        <f>IFERROR(__xludf.DUMMYFUNCTION("""COMPUTED_VALUE"""),"هیأت")</f>
        <v>هیأت</v>
      </c>
      <c r="C3770" s="5" t="str">
        <f>IFERROR(__xludf.DUMMYFUNCTION("""COMPUTED_VALUE"""),"بین الحرمین")</f>
        <v>بین الحرمین</v>
      </c>
      <c r="D3770" s="5" t="str">
        <f>IFERROR(__xludf.DUMMYFUNCTION("""COMPUTED_VALUE"""),"کرمان")</f>
        <v>کرمان</v>
      </c>
      <c r="E3770" s="5" t="str">
        <f>IFERROR(__xludf.DUMMYFUNCTION("""COMPUTED_VALUE"""),"رفسنجان")</f>
        <v>رفسنجان</v>
      </c>
      <c r="F3770" s="5"/>
      <c r="G3770" s="5"/>
      <c r="H3770" s="6" t="str">
        <f>IFERROR(__xludf.DUMMYFUNCTION("""COMPUTED_VALUE"""),"https://www.instagram.com/beinolharamein.r")</f>
        <v>https://www.instagram.com/beinolharamein.r</v>
      </c>
      <c r="I3770" s="5"/>
      <c r="J3770" s="6" t="str">
        <f>IFERROR(__xludf.DUMMYFUNCTION("""COMPUTED_VALUE"""),"https://eitaa.com/Beynolharameynrafsanjan")</f>
        <v>https://eitaa.com/Beynolharameynrafsanjan</v>
      </c>
      <c r="K3770" s="5"/>
      <c r="L3770" s="5"/>
      <c r="M3770" s="5"/>
      <c r="N3770" s="5"/>
      <c r="O3770" s="5"/>
      <c r="P3770" s="5"/>
      <c r="Q3770" s="5"/>
      <c r="R3770" s="5"/>
      <c r="S3770" s="5"/>
    </row>
    <row r="3771">
      <c r="A3771" s="5">
        <f>IFERROR(__xludf.DUMMYFUNCTION("""COMPUTED_VALUE"""),23573.0)</f>
        <v>23573</v>
      </c>
      <c r="B3771" s="5" t="str">
        <f>IFERROR(__xludf.DUMMYFUNCTION("""COMPUTED_VALUE"""),"هیأت")</f>
        <v>هیأت</v>
      </c>
      <c r="C3771" s="5" t="str">
        <f>IFERROR(__xludf.DUMMYFUNCTION("""COMPUTED_VALUE"""),"حسنیه کریم اهل بیت")</f>
        <v>حسنیه کریم اهل بیت</v>
      </c>
      <c r="D3771" s="5" t="str">
        <f>IFERROR(__xludf.DUMMYFUNCTION("""COMPUTED_VALUE"""),"کرمان")</f>
        <v>کرمان</v>
      </c>
      <c r="E3771" s="5" t="str">
        <f>IFERROR(__xludf.DUMMYFUNCTION("""COMPUTED_VALUE"""),"زرند")</f>
        <v>زرند</v>
      </c>
      <c r="F3771" s="5"/>
      <c r="G3771" s="5"/>
      <c r="H3771" s="6" t="str">
        <f>IFERROR(__xludf.DUMMYFUNCTION("""COMPUTED_VALUE"""),"https://www.instagram.com/rayatalmahdi_ir")</f>
        <v>https://www.instagram.com/rayatalmahdi_ir</v>
      </c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</row>
    <row r="3772">
      <c r="A3772" s="5">
        <f>IFERROR(__xludf.DUMMYFUNCTION("""COMPUTED_VALUE"""),23565.0)</f>
        <v>23565</v>
      </c>
      <c r="B3772" s="5" t="str">
        <f>IFERROR(__xludf.DUMMYFUNCTION("""COMPUTED_VALUE"""),"هیأت")</f>
        <v>هیأت</v>
      </c>
      <c r="C3772" s="5" t="str">
        <f>IFERROR(__xludf.DUMMYFUNCTION("""COMPUTED_VALUE"""),"مسجد فاطمه الزهرا (س)")</f>
        <v>مسجد فاطمه الزهرا (س)</v>
      </c>
      <c r="D3772" s="5" t="str">
        <f>IFERROR(__xludf.DUMMYFUNCTION("""COMPUTED_VALUE"""),"کرمان")</f>
        <v>کرمان</v>
      </c>
      <c r="E3772" s="5" t="str">
        <f>IFERROR(__xludf.DUMMYFUNCTION("""COMPUTED_VALUE"""),"کرمان")</f>
        <v>کرمان</v>
      </c>
      <c r="F3772" s="5"/>
      <c r="G3772" s="5"/>
      <c r="H3772" s="6" t="str">
        <f>IFERROR(__xludf.DUMMYFUNCTION("""COMPUTED_VALUE"""),"https://www.instagram.com/masjedazahra")</f>
        <v>https://www.instagram.com/masjedazahra</v>
      </c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</row>
    <row r="3773">
      <c r="A3773" s="5">
        <f>IFERROR(__xludf.DUMMYFUNCTION("""COMPUTED_VALUE"""),23455.0)</f>
        <v>23455</v>
      </c>
      <c r="B3773" s="5" t="str">
        <f>IFERROR(__xludf.DUMMYFUNCTION("""COMPUTED_VALUE"""),"هیأت")</f>
        <v>هیأت</v>
      </c>
      <c r="C3773" s="5" t="str">
        <f>IFERROR(__xludf.DUMMYFUNCTION("""COMPUTED_VALUE"""),"محفل آل یاسین")</f>
        <v>محفل آل یاسین</v>
      </c>
      <c r="D3773" s="5" t="str">
        <f>IFERROR(__xludf.DUMMYFUNCTION("""COMPUTED_VALUE"""),"کرمان")</f>
        <v>کرمان</v>
      </c>
      <c r="E3773" s="5" t="str">
        <f>IFERROR(__xludf.DUMMYFUNCTION("""COMPUTED_VALUE"""),"انار")</f>
        <v>انار</v>
      </c>
      <c r="F3773" s="5"/>
      <c r="G3773" s="5"/>
      <c r="H3773" s="5"/>
      <c r="I3773" s="5"/>
      <c r="J3773" s="6" t="str">
        <f>IFERROR(__xludf.DUMMYFUNCTION("""COMPUTED_VALUE"""),"https://eitaa.com/alyasin_anar")</f>
        <v>https://eitaa.com/alyasin_anar</v>
      </c>
      <c r="K3773" s="5"/>
      <c r="L3773" s="5"/>
      <c r="M3773" s="5"/>
      <c r="N3773" s="5"/>
      <c r="O3773" s="5"/>
      <c r="P3773" s="5"/>
      <c r="Q3773" s="5"/>
      <c r="R3773" s="5"/>
      <c r="S3773" s="5"/>
    </row>
    <row r="3774">
      <c r="A3774" s="5">
        <f>IFERROR(__xludf.DUMMYFUNCTION("""COMPUTED_VALUE"""),22789.0)</f>
        <v>22789</v>
      </c>
      <c r="B3774" s="5" t="str">
        <f>IFERROR(__xludf.DUMMYFUNCTION("""COMPUTED_VALUE"""),"هیأت")</f>
        <v>هیأت</v>
      </c>
      <c r="C3774" s="5" t="str">
        <f>IFERROR(__xludf.DUMMYFUNCTION("""COMPUTED_VALUE"""),"مسجد ابوالفضل نخلستان")</f>
        <v>مسجد ابوالفضل نخلستان</v>
      </c>
      <c r="D3774" s="5" t="str">
        <f>IFERROR(__xludf.DUMMYFUNCTION("""COMPUTED_VALUE"""),"کرمان")</f>
        <v>کرمان</v>
      </c>
      <c r="E3774" s="5" t="str">
        <f>IFERROR(__xludf.DUMMYFUNCTION("""COMPUTED_VALUE"""),"کهنوج")</f>
        <v>کهنوج</v>
      </c>
      <c r="F3774" s="5"/>
      <c r="G3774" s="5"/>
      <c r="H3774" s="6" t="str">
        <f>IFERROR(__xludf.DUMMYFUNCTION("""COMPUTED_VALUE"""),"https://www.instagram.com/hosseinie.abalfazl.nakhlestan")</f>
        <v>https://www.instagram.com/hosseinie.abalfazl.nakhlestan</v>
      </c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</row>
    <row r="3775">
      <c r="A3775" s="5">
        <f>IFERROR(__xludf.DUMMYFUNCTION("""COMPUTED_VALUE"""),22788.0)</f>
        <v>22788</v>
      </c>
      <c r="B3775" s="5" t="str">
        <f>IFERROR(__xludf.DUMMYFUNCTION("""COMPUTED_VALUE"""),"هیأت")</f>
        <v>هیأت</v>
      </c>
      <c r="C3775" s="5" t="str">
        <f>IFERROR(__xludf.DUMMYFUNCTION("""COMPUTED_VALUE"""),"محبان امام زمان (عج)")</f>
        <v>محبان امام زمان (عج)</v>
      </c>
      <c r="D3775" s="5" t="str">
        <f>IFERROR(__xludf.DUMMYFUNCTION("""COMPUTED_VALUE"""),"کرمان")</f>
        <v>کرمان</v>
      </c>
      <c r="E3775" s="5" t="str">
        <f>IFERROR(__xludf.DUMMYFUNCTION("""COMPUTED_VALUE"""),"کرمان")</f>
        <v>کرمان</v>
      </c>
      <c r="F3775" s="5"/>
      <c r="G3775" s="5"/>
      <c r="H3775" s="6" t="str">
        <f>IFERROR(__xludf.DUMMYFUNCTION("""COMPUTED_VALUE"""),"https://www.instagram.com/h.m.sahebazaman.kerman")</f>
        <v>https://www.instagram.com/h.m.sahebazaman.kerman</v>
      </c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</row>
    <row r="3776">
      <c r="A3776" s="5">
        <f>IFERROR(__xludf.DUMMYFUNCTION("""COMPUTED_VALUE"""),22782.0)</f>
        <v>22782</v>
      </c>
      <c r="B3776" s="5" t="str">
        <f>IFERROR(__xludf.DUMMYFUNCTION("""COMPUTED_VALUE"""),"هیأت")</f>
        <v>هیأت</v>
      </c>
      <c r="C3776" s="5" t="str">
        <f>IFERROR(__xludf.DUMMYFUNCTION("""COMPUTED_VALUE"""),"تفحص شهدا")</f>
        <v>تفحص شهدا</v>
      </c>
      <c r="D3776" s="5" t="str">
        <f>IFERROR(__xludf.DUMMYFUNCTION("""COMPUTED_VALUE"""),"کرمان")</f>
        <v>کرمان</v>
      </c>
      <c r="E3776" s="5" t="str">
        <f>IFERROR(__xludf.DUMMYFUNCTION("""COMPUTED_VALUE"""),"سیرجان")</f>
        <v>سیرجان</v>
      </c>
      <c r="F3776" s="5"/>
      <c r="G3776" s="5"/>
      <c r="H3776" s="6" t="str">
        <f>IFERROR(__xludf.DUMMYFUNCTION("""COMPUTED_VALUE"""),"https://www.instagram.com/heyat_tafahos")</f>
        <v>https://www.instagram.com/heyat_tafahos</v>
      </c>
      <c r="I3776" s="6" t="str">
        <f>IFERROR(__xludf.DUMMYFUNCTION("""COMPUTED_VALUE"""),"https://t.me/heyat_tafahos")</f>
        <v>https://t.me/heyat_tafahos</v>
      </c>
      <c r="J3776" s="5"/>
      <c r="K3776" s="5"/>
      <c r="L3776" s="5"/>
      <c r="M3776" s="5"/>
      <c r="N3776" s="5"/>
      <c r="O3776" s="5"/>
      <c r="P3776" s="5"/>
      <c r="Q3776" s="5"/>
      <c r="R3776" s="5"/>
      <c r="S3776" s="5"/>
    </row>
    <row r="3777">
      <c r="A3777" s="5">
        <f>IFERROR(__xludf.DUMMYFUNCTION("""COMPUTED_VALUE"""),22780.0)</f>
        <v>22780</v>
      </c>
      <c r="B3777" s="5" t="str">
        <f>IFERROR(__xludf.DUMMYFUNCTION("""COMPUTED_VALUE"""),"هیأت")</f>
        <v>هیأت</v>
      </c>
      <c r="C3777" s="5" t="str">
        <f>IFERROR(__xludf.DUMMYFUNCTION("""COMPUTED_VALUE"""),"خاتم الانبیا")</f>
        <v>خاتم الانبیا</v>
      </c>
      <c r="D3777" s="5" t="str">
        <f>IFERROR(__xludf.DUMMYFUNCTION("""COMPUTED_VALUE"""),"کرمان")</f>
        <v>کرمان</v>
      </c>
      <c r="E3777" s="5" t="str">
        <f>IFERROR(__xludf.DUMMYFUNCTION("""COMPUTED_VALUE"""),"رفسنجان")</f>
        <v>رفسنجان</v>
      </c>
      <c r="F3777" s="5"/>
      <c r="G3777" s="5"/>
      <c r="H3777" s="6" t="str">
        <f>IFERROR(__xludf.DUMMYFUNCTION("""COMPUTED_VALUE"""),"https://www.instagram.com/mokeb.khatamolanbia")</f>
        <v>https://www.instagram.com/mokeb.khatamolanbia</v>
      </c>
      <c r="I3777" s="6" t="str">
        <f>IFERROR(__xludf.DUMMYFUNCTION("""COMPUTED_VALUE"""),"https://t.me/mukebekhatamolanbia")</f>
        <v>https://t.me/mukebekhatamolanbia</v>
      </c>
      <c r="J3777" s="5"/>
      <c r="K3777" s="5"/>
      <c r="L3777" s="5"/>
      <c r="M3777" s="5"/>
      <c r="N3777" s="5"/>
      <c r="O3777" s="5"/>
      <c r="P3777" s="5"/>
      <c r="Q3777" s="5"/>
      <c r="R3777" s="5"/>
      <c r="S3777" s="5"/>
    </row>
    <row r="3778">
      <c r="A3778" s="5">
        <f>IFERROR(__xludf.DUMMYFUNCTION("""COMPUTED_VALUE"""),22777.0)</f>
        <v>22777</v>
      </c>
      <c r="B3778" s="5" t="str">
        <f>IFERROR(__xludf.DUMMYFUNCTION("""COMPUTED_VALUE"""),"هیأت دانشجویی")</f>
        <v>هیأت دانشجویی</v>
      </c>
      <c r="C3778" s="5" t="str">
        <f>IFERROR(__xludf.DUMMYFUNCTION("""COMPUTED_VALUE"""),"مهدی صاحب الزمان (عج)")</f>
        <v>مهدی صاحب الزمان (عج)</v>
      </c>
      <c r="D3778" s="5" t="str">
        <f>IFERROR(__xludf.DUMMYFUNCTION("""COMPUTED_VALUE"""),"کرمان")</f>
        <v>کرمان</v>
      </c>
      <c r="E3778" s="5" t="str">
        <f>IFERROR(__xludf.DUMMYFUNCTION("""COMPUTED_VALUE"""),"بم")</f>
        <v>بم</v>
      </c>
      <c r="F3778" s="5"/>
      <c r="G3778" s="5"/>
      <c r="H3778" s="6" t="str">
        <f>IFERROR(__xludf.DUMMYFUNCTION("""COMPUTED_VALUE"""),"https://www.instagram.com/mubamheyat")</f>
        <v>https://www.instagram.com/mubamheyat</v>
      </c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</row>
    <row r="3779">
      <c r="A3779" s="5">
        <f>IFERROR(__xludf.DUMMYFUNCTION("""COMPUTED_VALUE"""),22239.0)</f>
        <v>22239</v>
      </c>
      <c r="B3779" s="5" t="str">
        <f>IFERROR(__xludf.DUMMYFUNCTION("""COMPUTED_VALUE"""),"هیأت")</f>
        <v>هیأت</v>
      </c>
      <c r="C3779" s="5" t="str">
        <f>IFERROR(__xludf.DUMMYFUNCTION("""COMPUTED_VALUE"""),"معراج الشهدا")</f>
        <v>معراج الشهدا</v>
      </c>
      <c r="D3779" s="5" t="str">
        <f>IFERROR(__xludf.DUMMYFUNCTION("""COMPUTED_VALUE"""),"کرمان")</f>
        <v>کرمان</v>
      </c>
      <c r="E3779" s="5" t="str">
        <f>IFERROR(__xludf.DUMMYFUNCTION("""COMPUTED_VALUE"""),"کرمان")</f>
        <v>کرمان</v>
      </c>
      <c r="F3779" s="5"/>
      <c r="G3779" s="5"/>
      <c r="H3779" s="6" t="str">
        <f>IFERROR(__xludf.DUMMYFUNCTION("""COMPUTED_VALUE"""),"https://www.instagram.com/mokebmeraj.ir")</f>
        <v>https://www.instagram.com/mokebmeraj.ir</v>
      </c>
      <c r="I3779" s="6" t="str">
        <f>IFERROR(__xludf.DUMMYFUNCTION("""COMPUTED_VALUE"""),"https://t.me/tafahoseshohada")</f>
        <v>https://t.me/tafahoseshohada</v>
      </c>
      <c r="J3779" s="6" t="str">
        <f>IFERROR(__xludf.DUMMYFUNCTION("""COMPUTED_VALUE"""),"https://www.eitaa.com/merajshohadaa")</f>
        <v>https://www.eitaa.com/merajshohadaa</v>
      </c>
      <c r="K3779" s="5"/>
      <c r="L3779" s="5"/>
      <c r="M3779" s="5"/>
      <c r="N3779" s="5"/>
      <c r="O3779" s="5"/>
      <c r="P3779" s="5"/>
      <c r="Q3779" s="5"/>
      <c r="R3779" s="5"/>
      <c r="S3779" s="5"/>
    </row>
    <row r="3780">
      <c r="A3780" s="5">
        <f>IFERROR(__xludf.DUMMYFUNCTION("""COMPUTED_VALUE"""),22224.0)</f>
        <v>22224</v>
      </c>
      <c r="B3780" s="5" t="str">
        <f>IFERROR(__xludf.DUMMYFUNCTION("""COMPUTED_VALUE"""),"هیأت")</f>
        <v>هیأت</v>
      </c>
      <c r="C3780" s="5" t="str">
        <f>IFERROR(__xludf.DUMMYFUNCTION("""COMPUTED_VALUE"""),"زینبیون")</f>
        <v>زینبیون</v>
      </c>
      <c r="D3780" s="5" t="str">
        <f>IFERROR(__xludf.DUMMYFUNCTION("""COMPUTED_VALUE"""),"کرمان")</f>
        <v>کرمان</v>
      </c>
      <c r="E3780" s="5" t="str">
        <f>IFERROR(__xludf.DUMMYFUNCTION("""COMPUTED_VALUE"""),"فهرج")</f>
        <v>فهرج</v>
      </c>
      <c r="F3780" s="5"/>
      <c r="G3780" s="5"/>
      <c r="H3780" s="6" t="str">
        <f>IFERROR(__xludf.DUMMYFUNCTION("""COMPUTED_VALUE"""),"https://www.instagram.com/zaynabion.fahraj")</f>
        <v>https://www.instagram.com/zaynabion.fahraj</v>
      </c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</row>
    <row r="3781">
      <c r="A3781" s="5">
        <f>IFERROR(__xludf.DUMMYFUNCTION("""COMPUTED_VALUE"""),22217.0)</f>
        <v>22217</v>
      </c>
      <c r="B3781" s="5" t="str">
        <f>IFERROR(__xludf.DUMMYFUNCTION("""COMPUTED_VALUE"""),"هیأت")</f>
        <v>هیأت</v>
      </c>
      <c r="C3781" s="5" t="str">
        <f>IFERROR(__xludf.DUMMYFUNCTION("""COMPUTED_VALUE"""),"جوانان علی اکبر(ع)")</f>
        <v>جوانان علی اکبر(ع)</v>
      </c>
      <c r="D3781" s="5" t="str">
        <f>IFERROR(__xludf.DUMMYFUNCTION("""COMPUTED_VALUE"""),"کرمان")</f>
        <v>کرمان</v>
      </c>
      <c r="E3781" s="5" t="str">
        <f>IFERROR(__xludf.DUMMYFUNCTION("""COMPUTED_VALUE"""),"کرمان")</f>
        <v>کرمان</v>
      </c>
      <c r="F3781" s="5"/>
      <c r="G3781" s="5"/>
      <c r="H3781" s="6" t="str">
        <f>IFERROR(__xludf.DUMMYFUNCTION("""COMPUTED_VALUE"""),"https://www.instagram.com/javanan_kerman")</f>
        <v>https://www.instagram.com/javanan_kerman</v>
      </c>
      <c r="I3781" s="6" t="str">
        <f>IFERROR(__xludf.DUMMYFUNCTION("""COMPUTED_VALUE"""),"https://t.me/javanaan_kerman")</f>
        <v>https://t.me/javanaan_kerman</v>
      </c>
      <c r="J3781" s="5"/>
      <c r="K3781" s="5"/>
      <c r="L3781" s="5"/>
      <c r="M3781" s="5"/>
      <c r="N3781" s="5"/>
      <c r="O3781" s="5"/>
      <c r="P3781" s="5"/>
      <c r="Q3781" s="5"/>
      <c r="R3781" s="5"/>
      <c r="S3781" s="5"/>
    </row>
    <row r="3782">
      <c r="A3782" s="5">
        <f>IFERROR(__xludf.DUMMYFUNCTION("""COMPUTED_VALUE"""),22159.0)</f>
        <v>22159</v>
      </c>
      <c r="B3782" s="5" t="str">
        <f>IFERROR(__xludf.DUMMYFUNCTION("""COMPUTED_VALUE"""),"هیأت")</f>
        <v>هیأت</v>
      </c>
      <c r="C3782" s="5" t="str">
        <f>IFERROR(__xludf.DUMMYFUNCTION("""COMPUTED_VALUE"""),"لواءالزینب")</f>
        <v>لواءالزینب</v>
      </c>
      <c r="D3782" s="5" t="str">
        <f>IFERROR(__xludf.DUMMYFUNCTION("""COMPUTED_VALUE"""),"کرمان")</f>
        <v>کرمان</v>
      </c>
      <c r="E3782" s="5" t="str">
        <f>IFERROR(__xludf.DUMMYFUNCTION("""COMPUTED_VALUE"""),"کرمان")</f>
        <v>کرمان</v>
      </c>
      <c r="F3782" s="5"/>
      <c r="G3782" s="5"/>
      <c r="H3782" s="6" t="str">
        <f>IFERROR(__xludf.DUMMYFUNCTION("""COMPUTED_VALUE"""),"https://www.instagram.com/levaalzeynab_kerman")</f>
        <v>https://www.instagram.com/levaalzeynab_kerman</v>
      </c>
      <c r="I3782" s="6" t="str">
        <f>IFERROR(__xludf.DUMMYFUNCTION("""COMPUTED_VALUE"""),"https://t.me/levaalzeynab_kerman")</f>
        <v>https://t.me/levaalzeynab_kerman</v>
      </c>
      <c r="J3782" s="5"/>
      <c r="K3782" s="5"/>
      <c r="L3782" s="5"/>
      <c r="M3782" s="5"/>
      <c r="N3782" s="5"/>
      <c r="O3782" s="5"/>
      <c r="P3782" s="5"/>
      <c r="Q3782" s="5"/>
      <c r="R3782" s="5"/>
      <c r="S3782" s="5"/>
    </row>
    <row r="3783">
      <c r="A3783" s="5">
        <f>IFERROR(__xludf.DUMMYFUNCTION("""COMPUTED_VALUE"""),22071.0)</f>
        <v>22071</v>
      </c>
      <c r="B3783" s="5" t="str">
        <f>IFERROR(__xludf.DUMMYFUNCTION("""COMPUTED_VALUE"""),"هیأت")</f>
        <v>هیأت</v>
      </c>
      <c r="C3783" s="5" t="str">
        <f>IFERROR(__xludf.DUMMYFUNCTION("""COMPUTED_VALUE"""),"محبان المهدی (عج)")</f>
        <v>محبان المهدی (عج)</v>
      </c>
      <c r="D3783" s="5" t="str">
        <f>IFERROR(__xludf.DUMMYFUNCTION("""COMPUTED_VALUE"""),"کرمان")</f>
        <v>کرمان</v>
      </c>
      <c r="E3783" s="5" t="str">
        <f>IFERROR(__xludf.DUMMYFUNCTION("""COMPUTED_VALUE"""),"رفسنجان")</f>
        <v>رفسنجان</v>
      </c>
      <c r="F3783" s="5"/>
      <c r="G3783" s="5"/>
      <c r="H3783" s="6" t="str">
        <f>IFERROR(__xludf.DUMMYFUNCTION("""COMPUTED_VALUE"""),"https://www.instagram.com/heyat_mohebban_mahdi")</f>
        <v>https://www.instagram.com/heyat_mohebban_mahdi</v>
      </c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</row>
    <row r="3784">
      <c r="A3784" s="5">
        <f>IFERROR(__xludf.DUMMYFUNCTION("""COMPUTED_VALUE"""),21273.0)</f>
        <v>21273</v>
      </c>
      <c r="B3784" s="5" t="str">
        <f>IFERROR(__xludf.DUMMYFUNCTION("""COMPUTED_VALUE"""),"هیأت")</f>
        <v>هیأت</v>
      </c>
      <c r="C3784" s="5" t="str">
        <f>IFERROR(__xludf.DUMMYFUNCTION("""COMPUTED_VALUE"""),"هیات اعظم بانوان")</f>
        <v>هیات اعظم بانوان</v>
      </c>
      <c r="D3784" s="5" t="str">
        <f>IFERROR(__xludf.DUMMYFUNCTION("""COMPUTED_VALUE"""),"کرمان")</f>
        <v>کرمان</v>
      </c>
      <c r="E3784" s="5" t="str">
        <f>IFERROR(__xludf.DUMMYFUNCTION("""COMPUTED_VALUE"""),"رفسنجان")</f>
        <v>رفسنجان</v>
      </c>
      <c r="F3784" s="5"/>
      <c r="G3784" s="5"/>
      <c r="H3784" s="6" t="str">
        <f>IFERROR(__xludf.DUMMYFUNCTION("""COMPUTED_VALUE"""),"https://www.instagram.com/heyat_azam")</f>
        <v>https://www.instagram.com/heyat_azam</v>
      </c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</row>
    <row r="3785">
      <c r="A3785" s="5">
        <f>IFERROR(__xludf.DUMMYFUNCTION("""COMPUTED_VALUE"""),20888.0)</f>
        <v>20888</v>
      </c>
      <c r="B3785" s="5" t="str">
        <f>IFERROR(__xludf.DUMMYFUNCTION("""COMPUTED_VALUE"""),"هیأت")</f>
        <v>هیأت</v>
      </c>
      <c r="C3785" s="5" t="str">
        <f>IFERROR(__xludf.DUMMYFUNCTION("""COMPUTED_VALUE"""),"جوانان خادم الرضا(ع)")</f>
        <v>جوانان خادم الرضا(ع)</v>
      </c>
      <c r="D3785" s="5" t="str">
        <f>IFERROR(__xludf.DUMMYFUNCTION("""COMPUTED_VALUE"""),"کرمان")</f>
        <v>کرمان</v>
      </c>
      <c r="E3785" s="5" t="str">
        <f>IFERROR(__xludf.DUMMYFUNCTION("""COMPUTED_VALUE"""),"بردسیر")</f>
        <v>بردسیر</v>
      </c>
      <c r="F3785" s="5"/>
      <c r="G3785" s="5"/>
      <c r="H3785" s="6" t="str">
        <f>IFERROR(__xludf.DUMMYFUNCTION("""COMPUTED_VALUE"""),"https://www.instagram.com/javanan_khadem_reza")</f>
        <v>https://www.instagram.com/javanan_khadem_reza</v>
      </c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</row>
    <row r="3786">
      <c r="A3786" s="5">
        <f>IFERROR(__xludf.DUMMYFUNCTION("""COMPUTED_VALUE"""),20545.0)</f>
        <v>20545</v>
      </c>
      <c r="B3786" s="5" t="str">
        <f>IFERROR(__xludf.DUMMYFUNCTION("""COMPUTED_VALUE"""),"هیأت")</f>
        <v>هیأت</v>
      </c>
      <c r="C3786" s="5" t="str">
        <f>IFERROR(__xludf.DUMMYFUNCTION("""COMPUTED_VALUE"""),"اداره کل سازمان اوقاف")</f>
        <v>اداره کل سازمان اوقاف</v>
      </c>
      <c r="D3786" s="5" t="str">
        <f>IFERROR(__xludf.DUMMYFUNCTION("""COMPUTED_VALUE"""),"کرمان")</f>
        <v>کرمان</v>
      </c>
      <c r="E3786" s="5" t="str">
        <f>IFERROR(__xludf.DUMMYFUNCTION("""COMPUTED_VALUE"""),"کرمان")</f>
        <v>کرمان</v>
      </c>
      <c r="F3786" s="5"/>
      <c r="G3786" s="5"/>
      <c r="H3786" s="6" t="str">
        <f>IFERROR(__xludf.DUMMYFUNCTION("""COMPUTED_VALUE"""),"https://www.instagram.com/oghaf.kr")</f>
        <v>https://www.instagram.com/oghaf.kr</v>
      </c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</row>
    <row r="3787">
      <c r="A3787" s="5">
        <f>IFERROR(__xludf.DUMMYFUNCTION("""COMPUTED_VALUE"""),20542.0)</f>
        <v>20542</v>
      </c>
      <c r="B3787" s="5" t="str">
        <f>IFERROR(__xludf.DUMMYFUNCTION("""COMPUTED_VALUE"""),"هیأت")</f>
        <v>هیأت</v>
      </c>
      <c r="C3787" s="5" t="str">
        <f>IFERROR(__xludf.DUMMYFUNCTION("""COMPUTED_VALUE"""),"شهدای گمنام زنگی آباد")</f>
        <v>شهدای گمنام زنگی آباد</v>
      </c>
      <c r="D3787" s="5" t="str">
        <f>IFERROR(__xludf.DUMMYFUNCTION("""COMPUTED_VALUE"""),"کرمان")</f>
        <v>کرمان</v>
      </c>
      <c r="E3787" s="5" t="str">
        <f>IFERROR(__xludf.DUMMYFUNCTION("""COMPUTED_VALUE"""),"کرمان")</f>
        <v>کرمان</v>
      </c>
      <c r="F3787" s="5"/>
      <c r="G3787" s="5"/>
      <c r="H3787" s="6" t="str">
        <f>IFERROR(__xludf.DUMMYFUNCTION("""COMPUTED_VALUE"""),"https://www.instagram.com/shohadayegomnam.zangiabad")</f>
        <v>https://www.instagram.com/shohadayegomnam.zangiabad</v>
      </c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</row>
    <row r="3788">
      <c r="A3788" s="5">
        <f>IFERROR(__xludf.DUMMYFUNCTION("""COMPUTED_VALUE"""),20539.0)</f>
        <v>20539</v>
      </c>
      <c r="B3788" s="5" t="str">
        <f>IFERROR(__xludf.DUMMYFUNCTION("""COMPUTED_VALUE"""),"هیأت")</f>
        <v>هیأت</v>
      </c>
      <c r="C3788" s="5" t="str">
        <f>IFERROR(__xludf.DUMMYFUNCTION("""COMPUTED_VALUE"""),"مکتب المهدی")</f>
        <v>مکتب المهدی</v>
      </c>
      <c r="D3788" s="5" t="str">
        <f>IFERROR(__xludf.DUMMYFUNCTION("""COMPUTED_VALUE"""),"کرمان")</f>
        <v>کرمان</v>
      </c>
      <c r="E3788" s="5" t="str">
        <f>IFERROR(__xludf.DUMMYFUNCTION("""COMPUTED_VALUE"""),"نرماشیر")</f>
        <v>نرماشیر</v>
      </c>
      <c r="F3788" s="5"/>
      <c r="G3788" s="5"/>
      <c r="H3788" s="6" t="str">
        <f>IFERROR(__xludf.DUMMYFUNCTION("""COMPUTED_VALUE"""),"https://www.instagram.com/maktabolmahdi1392")</f>
        <v>https://www.instagram.com/maktabolmahdi1392</v>
      </c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</row>
    <row r="3789">
      <c r="A3789" s="5">
        <f>IFERROR(__xludf.DUMMYFUNCTION("""COMPUTED_VALUE"""),20505.0)</f>
        <v>20505</v>
      </c>
      <c r="B3789" s="5" t="str">
        <f>IFERROR(__xludf.DUMMYFUNCTION("""COMPUTED_VALUE"""),"هیأت")</f>
        <v>هیأت</v>
      </c>
      <c r="C3789" s="5" t="str">
        <f>IFERROR(__xludf.DUMMYFUNCTION("""COMPUTED_VALUE"""),"رزمندگان اسلام سیرچ")</f>
        <v>رزمندگان اسلام سیرچ</v>
      </c>
      <c r="D3789" s="5" t="str">
        <f>IFERROR(__xludf.DUMMYFUNCTION("""COMPUTED_VALUE"""),"کرمان")</f>
        <v>کرمان</v>
      </c>
      <c r="E3789" s="5" t="str">
        <f>IFERROR(__xludf.DUMMYFUNCTION("""COMPUTED_VALUE"""),"کرمان")</f>
        <v>کرمان</v>
      </c>
      <c r="F3789" s="5"/>
      <c r="G3789" s="5"/>
      <c r="H3789" s="6" t="str">
        <f>IFERROR(__xludf.DUMMYFUNCTION("""COMPUTED_VALUE"""),"https://www.instagram.com/r.razmandegan.ir/")</f>
        <v>https://www.instagram.com/r.razmandegan.ir/</v>
      </c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</row>
    <row r="3790">
      <c r="A3790" s="5">
        <f>IFERROR(__xludf.DUMMYFUNCTION("""COMPUTED_VALUE"""),20435.0)</f>
        <v>20435</v>
      </c>
      <c r="B3790" s="5" t="str">
        <f>IFERROR(__xludf.DUMMYFUNCTION("""COMPUTED_VALUE"""),"هیأت")</f>
        <v>هیأت</v>
      </c>
      <c r="C3790" s="5" t="str">
        <f>IFERROR(__xludf.DUMMYFUNCTION("""COMPUTED_VALUE"""),"متوسلین به امام الزمان(عج)")</f>
        <v>متوسلین به امام الزمان(عج)</v>
      </c>
      <c r="D3790" s="5" t="str">
        <f>IFERROR(__xludf.DUMMYFUNCTION("""COMPUTED_VALUE"""),"کرمان")</f>
        <v>کرمان</v>
      </c>
      <c r="E3790" s="5" t="str">
        <f>IFERROR(__xludf.DUMMYFUNCTION("""COMPUTED_VALUE"""),"کرمان")</f>
        <v>کرمان</v>
      </c>
      <c r="F3790" s="5"/>
      <c r="G3790" s="5"/>
      <c r="H3790" s="6" t="str">
        <f>IFERROR(__xludf.DUMMYFUNCTION("""COMPUTED_VALUE"""),"https://www.instagram.com/reza.vala.1365/")</f>
        <v>https://www.instagram.com/reza.vala.1365/</v>
      </c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</row>
    <row r="3791">
      <c r="A3791" s="5">
        <f>IFERROR(__xludf.DUMMYFUNCTION("""COMPUTED_VALUE"""),20369.0)</f>
        <v>20369</v>
      </c>
      <c r="B3791" s="5" t="str">
        <f>IFERROR(__xludf.DUMMYFUNCTION("""COMPUTED_VALUE"""),"هیأت")</f>
        <v>هیأت</v>
      </c>
      <c r="C3791" s="5" t="str">
        <f>IFERROR(__xludf.DUMMYFUNCTION("""COMPUTED_VALUE"""),"سیدالشهدا(ع)")</f>
        <v>سیدالشهدا(ع)</v>
      </c>
      <c r="D3791" s="5" t="str">
        <f>IFERROR(__xludf.DUMMYFUNCTION("""COMPUTED_VALUE"""),"کرمان")</f>
        <v>کرمان</v>
      </c>
      <c r="E3791" s="5" t="str">
        <f>IFERROR(__xludf.DUMMYFUNCTION("""COMPUTED_VALUE"""),"رودبارجنوب")</f>
        <v>رودبارجنوب</v>
      </c>
      <c r="F3791" s="5"/>
      <c r="G3791" s="5"/>
      <c r="H3791" s="6" t="str">
        <f>IFERROR(__xludf.DUMMYFUNCTION("""COMPUTED_VALUE"""),"https://www.instagram.com/seyede_shohada_rodbar")</f>
        <v>https://www.instagram.com/seyede_shohada_rodbar</v>
      </c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</row>
    <row r="3792">
      <c r="A3792" s="5">
        <f>IFERROR(__xludf.DUMMYFUNCTION("""COMPUTED_VALUE"""),20119.0)</f>
        <v>20119</v>
      </c>
      <c r="B3792" s="5" t="str">
        <f>IFERROR(__xludf.DUMMYFUNCTION("""COMPUTED_VALUE"""),"هیأت")</f>
        <v>هیأت</v>
      </c>
      <c r="C3792" s="5" t="str">
        <f>IFERROR(__xludf.DUMMYFUNCTION("""COMPUTED_VALUE"""),"حضرت فاطمه معصومه(س)")</f>
        <v>حضرت فاطمه معصومه(س)</v>
      </c>
      <c r="D3792" s="5" t="str">
        <f>IFERROR(__xludf.DUMMYFUNCTION("""COMPUTED_VALUE"""),"کرمان")</f>
        <v>کرمان</v>
      </c>
      <c r="E3792" s="5" t="str">
        <f>IFERROR(__xludf.DUMMYFUNCTION("""COMPUTED_VALUE"""),"جیرفت")</f>
        <v>جیرفت</v>
      </c>
      <c r="F3792" s="5"/>
      <c r="G3792" s="5"/>
      <c r="H3792" s="6" t="str">
        <f>IFERROR(__xludf.DUMMYFUNCTION("""COMPUTED_VALUE"""),"https://www.instagram.com/heiat_fatemeh_masomeh")</f>
        <v>https://www.instagram.com/heiat_fatemeh_masomeh</v>
      </c>
      <c r="I3792" s="6" t="str">
        <f>IFERROR(__xludf.DUMMYFUNCTION("""COMPUTED_VALUE"""),"https://t.me/jiroft_heat_fatemeh_masomeh")</f>
        <v>https://t.me/jiroft_heat_fatemeh_masomeh</v>
      </c>
      <c r="J3792" s="5"/>
      <c r="K3792" s="5"/>
      <c r="L3792" s="5"/>
      <c r="M3792" s="5"/>
      <c r="N3792" s="5"/>
      <c r="O3792" s="5"/>
      <c r="P3792" s="5"/>
      <c r="Q3792" s="5"/>
      <c r="R3792" s="5"/>
      <c r="S3792" s="5"/>
    </row>
    <row r="3793">
      <c r="A3793" s="5">
        <f>IFERROR(__xludf.DUMMYFUNCTION("""COMPUTED_VALUE"""),19971.0)</f>
        <v>19971</v>
      </c>
      <c r="B3793" s="5" t="str">
        <f>IFERROR(__xludf.DUMMYFUNCTION("""COMPUTED_VALUE"""),"هیأت")</f>
        <v>هیأت</v>
      </c>
      <c r="C3793" s="5" t="str">
        <f>IFERROR(__xludf.DUMMYFUNCTION("""COMPUTED_VALUE"""),"رزمندگان اسلام")</f>
        <v>رزمندگان اسلام</v>
      </c>
      <c r="D3793" s="5" t="str">
        <f>IFERROR(__xludf.DUMMYFUNCTION("""COMPUTED_VALUE"""),"کرمان")</f>
        <v>کرمان</v>
      </c>
      <c r="E3793" s="5" t="str">
        <f>IFERROR(__xludf.DUMMYFUNCTION("""COMPUTED_VALUE"""),"کرمان")</f>
        <v>کرمان</v>
      </c>
      <c r="F3793" s="5"/>
      <c r="G3793" s="5"/>
      <c r="H3793" s="5"/>
      <c r="I3793" s="6" t="str">
        <f>IFERROR(__xludf.DUMMYFUNCTION("""COMPUTED_VALUE"""),"https://t.me/razmandegan_eslam_kerman")</f>
        <v>https://t.me/razmandegan_eslam_kerman</v>
      </c>
      <c r="J3793" s="6" t="str">
        <f>IFERROR(__xludf.DUMMYFUNCTION("""COMPUTED_VALUE"""),"https://eitaa.com/razmandegan_eslam_kerman")</f>
        <v>https://eitaa.com/razmandegan_eslam_kerman</v>
      </c>
      <c r="K3793" s="5"/>
      <c r="L3793" s="5"/>
      <c r="M3793" s="5"/>
      <c r="N3793" s="5"/>
      <c r="O3793" s="5"/>
      <c r="P3793" s="5"/>
      <c r="Q3793" s="5"/>
      <c r="R3793" s="5"/>
      <c r="S3793" s="5"/>
    </row>
    <row r="3794">
      <c r="A3794" s="5">
        <f>IFERROR(__xludf.DUMMYFUNCTION("""COMPUTED_VALUE"""),19792.0)</f>
        <v>19792</v>
      </c>
      <c r="B3794" s="5" t="str">
        <f>IFERROR(__xludf.DUMMYFUNCTION("""COMPUTED_VALUE"""),"هیأت")</f>
        <v>هیأت</v>
      </c>
      <c r="C3794" s="5" t="str">
        <f>IFERROR(__xludf.DUMMYFUNCTION("""COMPUTED_VALUE"""),"علمدار")</f>
        <v>علمدار</v>
      </c>
      <c r="D3794" s="5" t="str">
        <f>IFERROR(__xludf.DUMMYFUNCTION("""COMPUTED_VALUE"""),"کرمان")</f>
        <v>کرمان</v>
      </c>
      <c r="E3794" s="5" t="str">
        <f>IFERROR(__xludf.DUMMYFUNCTION("""COMPUTED_VALUE"""),"راور")</f>
        <v>راور</v>
      </c>
      <c r="F3794" s="5"/>
      <c r="G3794" s="5"/>
      <c r="H3794" s="6" t="str">
        <f>IFERROR(__xludf.DUMMYFUNCTION("""COMPUTED_VALUE"""),"https://www.instagram.com/taziye_alamdar_ravar")</f>
        <v>https://www.instagram.com/taziye_alamdar_ravar</v>
      </c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</row>
    <row r="3795">
      <c r="A3795" s="5">
        <f>IFERROR(__xludf.DUMMYFUNCTION("""COMPUTED_VALUE"""),19686.0)</f>
        <v>19686</v>
      </c>
      <c r="B3795" s="5" t="str">
        <f>IFERROR(__xludf.DUMMYFUNCTION("""COMPUTED_VALUE"""),"هیأت")</f>
        <v>هیأت</v>
      </c>
      <c r="C3795" s="5" t="str">
        <f>IFERROR(__xludf.DUMMYFUNCTION("""COMPUTED_VALUE"""),"علقمه")</f>
        <v>علقمه</v>
      </c>
      <c r="D3795" s="5" t="str">
        <f>IFERROR(__xludf.DUMMYFUNCTION("""COMPUTED_VALUE"""),"کرمان")</f>
        <v>کرمان</v>
      </c>
      <c r="E3795" s="5" t="str">
        <f>IFERROR(__xludf.DUMMYFUNCTION("""COMPUTED_VALUE"""),"رفسنجان")</f>
        <v>رفسنجان</v>
      </c>
      <c r="F3795" s="5"/>
      <c r="G3795" s="5"/>
      <c r="H3795" s="6" t="str">
        <f>IFERROR(__xludf.DUMMYFUNCTION("""COMPUTED_VALUE"""),"https://www.instagram.com/alghame.133/")</f>
        <v>https://www.instagram.com/alghame.133/</v>
      </c>
      <c r="I3795" s="6" t="str">
        <f>IFERROR(__xludf.DUMMYFUNCTION("""COMPUTED_VALUE"""),"https://t.me/alghame0133")</f>
        <v>https://t.me/alghame0133</v>
      </c>
      <c r="J3795" s="5"/>
      <c r="K3795" s="5"/>
      <c r="L3795" s="5"/>
      <c r="M3795" s="5"/>
      <c r="N3795" s="5"/>
      <c r="O3795" s="5"/>
      <c r="P3795" s="5"/>
      <c r="Q3795" s="5"/>
      <c r="R3795" s="5"/>
      <c r="S3795" s="5"/>
    </row>
    <row r="3796">
      <c r="A3796" s="5">
        <f>IFERROR(__xludf.DUMMYFUNCTION("""COMPUTED_VALUE"""),19685.0)</f>
        <v>19685</v>
      </c>
      <c r="B3796" s="5" t="str">
        <f>IFERROR(__xludf.DUMMYFUNCTION("""COMPUTED_VALUE"""),"هیأت")</f>
        <v>هیأت</v>
      </c>
      <c r="C3796" s="5" t="str">
        <f>IFERROR(__xludf.DUMMYFUNCTION("""COMPUTED_VALUE"""),"یا لثارات الحسین (ع)")</f>
        <v>یا لثارات الحسین (ع)</v>
      </c>
      <c r="D3796" s="5" t="str">
        <f>IFERROR(__xludf.DUMMYFUNCTION("""COMPUTED_VALUE"""),"کرمان")</f>
        <v>کرمان</v>
      </c>
      <c r="E3796" s="5" t="str">
        <f>IFERROR(__xludf.DUMMYFUNCTION("""COMPUTED_VALUE"""),"انار")</f>
        <v>انار</v>
      </c>
      <c r="F3796" s="5"/>
      <c r="G3796" s="5"/>
      <c r="H3796" s="6" t="str">
        <f>IFERROR(__xludf.DUMMYFUNCTION("""COMPUTED_VALUE"""),"https://www.instagram.com/heyat.yalesaratalhossein.anar")</f>
        <v>https://www.instagram.com/heyat.yalesaratalhossein.anar</v>
      </c>
      <c r="I3796" s="6" t="str">
        <f>IFERROR(__xludf.DUMMYFUNCTION("""COMPUTED_VALUE"""),"https://t.me/wwwyalesaratalhosseinir")</f>
        <v>https://t.me/wwwyalesaratalhosseinir</v>
      </c>
      <c r="J3796" s="5"/>
      <c r="K3796" s="5"/>
      <c r="L3796" s="5"/>
      <c r="M3796" s="5"/>
      <c r="N3796" s="5"/>
      <c r="O3796" s="5"/>
      <c r="P3796" s="5"/>
      <c r="Q3796" s="5"/>
      <c r="R3796" s="5"/>
      <c r="S3796" s="5"/>
    </row>
    <row r="3797">
      <c r="A3797" s="5">
        <f>IFERROR(__xludf.DUMMYFUNCTION("""COMPUTED_VALUE"""),18393.0)</f>
        <v>18393</v>
      </c>
      <c r="B3797" s="5" t="str">
        <f>IFERROR(__xludf.DUMMYFUNCTION("""COMPUTED_VALUE"""),"هیأت")</f>
        <v>هیأت</v>
      </c>
      <c r="C3797" s="5" t="str">
        <f>IFERROR(__xludf.DUMMYFUNCTION("""COMPUTED_VALUE"""),"جوانان مهدوی")</f>
        <v>جوانان مهدوی</v>
      </c>
      <c r="D3797" s="5" t="str">
        <f>IFERROR(__xludf.DUMMYFUNCTION("""COMPUTED_VALUE"""),"کرمان")</f>
        <v>کرمان</v>
      </c>
      <c r="E3797" s="5" t="str">
        <f>IFERROR(__xludf.DUMMYFUNCTION("""COMPUTED_VALUE"""),"راور")</f>
        <v>راور</v>
      </c>
      <c r="F3797" s="5"/>
      <c r="G3797" s="5"/>
      <c r="H3797" s="6" t="str">
        <f>IFERROR(__xludf.DUMMYFUNCTION("""COMPUTED_VALUE"""),"https://www.instagram.com/javanan_mahdavi_ravar")</f>
        <v>https://www.instagram.com/javanan_mahdavi_ravar</v>
      </c>
      <c r="I3797" s="5"/>
      <c r="J3797" s="6" t="str">
        <f>IFERROR(__xludf.DUMMYFUNCTION("""COMPUTED_VALUE"""),"https://eitaa.com/javananmahdaviravar")</f>
        <v>https://eitaa.com/javananmahdaviravar</v>
      </c>
      <c r="K3797" s="5"/>
      <c r="L3797" s="5"/>
      <c r="M3797" s="5"/>
      <c r="N3797" s="5"/>
      <c r="O3797" s="5"/>
      <c r="P3797" s="5"/>
      <c r="Q3797" s="5"/>
      <c r="R3797" s="5"/>
      <c r="S3797" s="5"/>
    </row>
    <row r="3798">
      <c r="A3798" s="5">
        <f>IFERROR(__xludf.DUMMYFUNCTION("""COMPUTED_VALUE"""),18392.0)</f>
        <v>18392</v>
      </c>
      <c r="B3798" s="5" t="str">
        <f>IFERROR(__xludf.DUMMYFUNCTION("""COMPUTED_VALUE"""),"هیأت")</f>
        <v>هیأت</v>
      </c>
      <c r="C3798" s="5" t="str">
        <f>IFERROR(__xludf.DUMMYFUNCTION("""COMPUTED_VALUE"""),"محبان علمدار کربلا")</f>
        <v>محبان علمدار کربلا</v>
      </c>
      <c r="D3798" s="5" t="str">
        <f>IFERROR(__xludf.DUMMYFUNCTION("""COMPUTED_VALUE"""),"کرمان")</f>
        <v>کرمان</v>
      </c>
      <c r="E3798" s="5" t="str">
        <f>IFERROR(__xludf.DUMMYFUNCTION("""COMPUTED_VALUE"""),"کرمان")</f>
        <v>کرمان</v>
      </c>
      <c r="F3798" s="5"/>
      <c r="G3798" s="5"/>
      <c r="H3798" s="5"/>
      <c r="I3798" s="5"/>
      <c r="J3798" s="5"/>
      <c r="K3798" s="6" t="str">
        <f>IFERROR(__xludf.DUMMYFUNCTION("""COMPUTED_VALUE"""),"https://youtube.com/channel/UCkmrEeosFO1hSppRUJtOlfQ?si=lKUO8N8FKPmgIzFX")</f>
        <v>https://youtube.com/channel/UCkmrEeosFO1hSppRUJtOlfQ?si=lKUO8N8FKPmgIzFX</v>
      </c>
      <c r="L3798" s="5"/>
      <c r="M3798" s="5"/>
      <c r="N3798" s="5"/>
      <c r="O3798" s="5"/>
      <c r="P3798" s="5"/>
      <c r="Q3798" s="5"/>
      <c r="R3798" s="5"/>
      <c r="S3798" s="5"/>
    </row>
    <row r="3799">
      <c r="A3799" s="5">
        <f>IFERROR(__xludf.DUMMYFUNCTION("""COMPUTED_VALUE"""),18384.0)</f>
        <v>18384</v>
      </c>
      <c r="B3799" s="5" t="str">
        <f>IFERROR(__xludf.DUMMYFUNCTION("""COMPUTED_VALUE"""),"هیأت")</f>
        <v>هیأت</v>
      </c>
      <c r="C3799" s="5" t="str">
        <f>IFERROR(__xludf.DUMMYFUNCTION("""COMPUTED_VALUE"""),"ثارالله(ع)")</f>
        <v>ثارالله(ع)</v>
      </c>
      <c r="D3799" s="5" t="str">
        <f>IFERROR(__xludf.DUMMYFUNCTION("""COMPUTED_VALUE"""),"کرمان")</f>
        <v>کرمان</v>
      </c>
      <c r="E3799" s="5" t="str">
        <f>IFERROR(__xludf.DUMMYFUNCTION("""COMPUTED_VALUE"""),"سیرجان")</f>
        <v>سیرجان</v>
      </c>
      <c r="F3799" s="5"/>
      <c r="G3799" s="5"/>
      <c r="H3799" s="6" t="str">
        <f>IFERROR(__xludf.DUMMYFUNCTION("""COMPUTED_VALUE"""),"https://www.instagram.com/sarallah_sirjan")</f>
        <v>https://www.instagram.com/sarallah_sirjan</v>
      </c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</row>
    <row r="3800">
      <c r="A3800" s="5">
        <f>IFERROR(__xludf.DUMMYFUNCTION("""COMPUTED_VALUE"""),18383.0)</f>
        <v>18383</v>
      </c>
      <c r="B3800" s="5" t="str">
        <f>IFERROR(__xludf.DUMMYFUNCTION("""COMPUTED_VALUE"""),"هیأت")</f>
        <v>هیأت</v>
      </c>
      <c r="C3800" s="5" t="str">
        <f>IFERROR(__xludf.DUMMYFUNCTION("""COMPUTED_VALUE"""),"عشاق الحسین (ع)")</f>
        <v>عشاق الحسین (ع)</v>
      </c>
      <c r="D3800" s="5" t="str">
        <f>IFERROR(__xludf.DUMMYFUNCTION("""COMPUTED_VALUE"""),"کرمان")</f>
        <v>کرمان</v>
      </c>
      <c r="E3800" s="5" t="str">
        <f>IFERROR(__xludf.DUMMYFUNCTION("""COMPUTED_VALUE"""),"کرمان")</f>
        <v>کرمان</v>
      </c>
      <c r="F3800" s="5"/>
      <c r="G3800" s="5"/>
      <c r="H3800" s="6" t="str">
        <f>IFERROR(__xludf.DUMMYFUNCTION("""COMPUTED_VALUE"""),"https://www.instagram.com/heiatoshaghalhosein1443")</f>
        <v>https://www.instagram.com/heiatoshaghalhosein1443</v>
      </c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</row>
    <row r="3801">
      <c r="A3801" s="5">
        <f>IFERROR(__xludf.DUMMYFUNCTION("""COMPUTED_VALUE"""),18181.0)</f>
        <v>18181</v>
      </c>
      <c r="B3801" s="5" t="str">
        <f>IFERROR(__xludf.DUMMYFUNCTION("""COMPUTED_VALUE"""),"هیأت")</f>
        <v>هیأت</v>
      </c>
      <c r="C3801" s="5" t="str">
        <f>IFERROR(__xludf.DUMMYFUNCTION("""COMPUTED_VALUE"""),"شاهزاده علی اصغر(ع)")</f>
        <v>شاهزاده علی اصغر(ع)</v>
      </c>
      <c r="D3801" s="5" t="str">
        <f>IFERROR(__xludf.DUMMYFUNCTION("""COMPUTED_VALUE"""),"کرمان")</f>
        <v>کرمان</v>
      </c>
      <c r="E3801" s="5" t="str">
        <f>IFERROR(__xludf.DUMMYFUNCTION("""COMPUTED_VALUE"""),"کرمان")</f>
        <v>کرمان</v>
      </c>
      <c r="F3801" s="5"/>
      <c r="G3801" s="5"/>
      <c r="H3801" s="6" t="str">
        <f>IFERROR(__xludf.DUMMYFUNCTION("""COMPUTED_VALUE"""),"https://www.instagram.com/heyat_shahzadealiasghar")</f>
        <v>https://www.instagram.com/heyat_shahzadealiasghar</v>
      </c>
      <c r="I3801" s="5"/>
      <c r="J3801" s="6" t="str">
        <f>IFERROR(__xludf.DUMMYFUNCTION("""COMPUTED_VALUE"""),"https://eitaa.com/heyat_shahzadealiasghar")</f>
        <v>https://eitaa.com/heyat_shahzadealiasghar</v>
      </c>
      <c r="K3801" s="5"/>
      <c r="L3801" s="5"/>
      <c r="M3801" s="5"/>
      <c r="N3801" s="5"/>
      <c r="O3801" s="5"/>
      <c r="P3801" s="5"/>
      <c r="Q3801" s="5"/>
      <c r="R3801" s="5"/>
      <c r="S3801" s="5"/>
    </row>
    <row r="3802">
      <c r="A3802" s="5">
        <f>IFERROR(__xludf.DUMMYFUNCTION("""COMPUTED_VALUE"""),12150.0)</f>
        <v>12150</v>
      </c>
      <c r="B3802" s="5" t="str">
        <f>IFERROR(__xludf.DUMMYFUNCTION("""COMPUTED_VALUE"""),"هیأت")</f>
        <v>هیأت</v>
      </c>
      <c r="C3802" s="5" t="str">
        <f>IFERROR(__xludf.DUMMYFUNCTION("""COMPUTED_VALUE"""),"منتظران مهدی(عج)")</f>
        <v>منتظران مهدی(عج)</v>
      </c>
      <c r="D3802" s="5" t="str">
        <f>IFERROR(__xludf.DUMMYFUNCTION("""COMPUTED_VALUE"""),"کرمان")</f>
        <v>کرمان</v>
      </c>
      <c r="E3802" s="5" t="str">
        <f>IFERROR(__xludf.DUMMYFUNCTION("""COMPUTED_VALUE"""),"بم")</f>
        <v>بم</v>
      </c>
      <c r="F3802" s="5"/>
      <c r="G3802" s="5"/>
      <c r="H3802" s="6" t="str">
        <f>IFERROR(__xludf.DUMMYFUNCTION("""COMPUTED_VALUE"""),"https://www.instagram.com/h.montazeran.bam")</f>
        <v>https://www.instagram.com/h.montazeran.bam</v>
      </c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</row>
    <row r="3803">
      <c r="A3803" s="5">
        <f>IFERROR(__xludf.DUMMYFUNCTION("""COMPUTED_VALUE"""),12148.0)</f>
        <v>12148</v>
      </c>
      <c r="B3803" s="5" t="str">
        <f>IFERROR(__xludf.DUMMYFUNCTION("""COMPUTED_VALUE"""),"هیأت")</f>
        <v>هیأت</v>
      </c>
      <c r="C3803" s="5" t="str">
        <f>IFERROR(__xludf.DUMMYFUNCTION("""COMPUTED_VALUE"""),"بیت الله الحرام")</f>
        <v>بیت الله الحرام</v>
      </c>
      <c r="D3803" s="5" t="str">
        <f>IFERROR(__xludf.DUMMYFUNCTION("""COMPUTED_VALUE"""),"کرمان")</f>
        <v>کرمان</v>
      </c>
      <c r="E3803" s="5" t="str">
        <f>IFERROR(__xludf.DUMMYFUNCTION("""COMPUTED_VALUE"""),"کرمان")</f>
        <v>کرمان</v>
      </c>
      <c r="F3803" s="5"/>
      <c r="G3803" s="5"/>
      <c r="H3803" s="6" t="str">
        <f>IFERROR(__xludf.DUMMYFUNCTION("""COMPUTED_VALUE"""),"https://www.instagram.com/beitollah.media")</f>
        <v>https://www.instagram.com/beitollah.media</v>
      </c>
      <c r="I3803" s="5"/>
      <c r="J3803" s="6" t="str">
        <f>IFERROR(__xludf.DUMMYFUNCTION("""COMPUTED_VALUE"""),"https://eitaa.com/beitollah")</f>
        <v>https://eitaa.com/beitollah</v>
      </c>
      <c r="K3803" s="5"/>
      <c r="L3803" s="5"/>
      <c r="M3803" s="5"/>
      <c r="N3803" s="5"/>
      <c r="O3803" s="5"/>
      <c r="P3803" s="5"/>
      <c r="Q3803" s="5"/>
      <c r="R3803" s="5"/>
      <c r="S3803" s="5"/>
    </row>
    <row r="3804">
      <c r="A3804" s="5">
        <f>IFERROR(__xludf.DUMMYFUNCTION("""COMPUTED_VALUE"""),12145.0)</f>
        <v>12145</v>
      </c>
      <c r="B3804" s="5" t="str">
        <f>IFERROR(__xludf.DUMMYFUNCTION("""COMPUTED_VALUE"""),"هیأت")</f>
        <v>هیأت</v>
      </c>
      <c r="C3804" s="5" t="str">
        <f>IFERROR(__xludf.DUMMYFUNCTION("""COMPUTED_VALUE"""),"خادمین مهدیه مسجد امام زمان(عج)")</f>
        <v>خادمین مهدیه مسجد امام زمان(عج)</v>
      </c>
      <c r="D3804" s="5" t="str">
        <f>IFERROR(__xludf.DUMMYFUNCTION("""COMPUTED_VALUE"""),"کرمان")</f>
        <v>کرمان</v>
      </c>
      <c r="E3804" s="5" t="str">
        <f>IFERROR(__xludf.DUMMYFUNCTION("""COMPUTED_VALUE"""),"کرمان")</f>
        <v>کرمان</v>
      </c>
      <c r="F3804" s="5"/>
      <c r="G3804" s="5"/>
      <c r="H3804" s="6" t="str">
        <f>IFERROR(__xludf.DUMMYFUNCTION("""COMPUTED_VALUE"""),"https://www.instagram.com/khademolmahdi_kerman")</f>
        <v>https://www.instagram.com/khademolmahdi_kerman</v>
      </c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</row>
    <row r="3805">
      <c r="A3805" s="5">
        <f>IFERROR(__xludf.DUMMYFUNCTION("""COMPUTED_VALUE"""),12143.0)</f>
        <v>12143</v>
      </c>
      <c r="B3805" s="5" t="str">
        <f>IFERROR(__xludf.DUMMYFUNCTION("""COMPUTED_VALUE"""),"هیأت")</f>
        <v>هیأت</v>
      </c>
      <c r="C3805" s="5" t="str">
        <f>IFERROR(__xludf.DUMMYFUNCTION("""COMPUTED_VALUE"""),"کف العباس(ع)")</f>
        <v>کف العباس(ع)</v>
      </c>
      <c r="D3805" s="5" t="str">
        <f>IFERROR(__xludf.DUMMYFUNCTION("""COMPUTED_VALUE"""),"کرمان")</f>
        <v>کرمان</v>
      </c>
      <c r="E3805" s="5" t="str">
        <f>IFERROR(__xludf.DUMMYFUNCTION("""COMPUTED_VALUE"""),"کرمان")</f>
        <v>کرمان</v>
      </c>
      <c r="F3805" s="5"/>
      <c r="G3805" s="5"/>
      <c r="H3805" s="6" t="str">
        <f>IFERROR(__xludf.DUMMYFUNCTION("""COMPUTED_VALUE"""),"https://www.instagram.com/kaffolabas133")</f>
        <v>https://www.instagram.com/kaffolabas133</v>
      </c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</row>
    <row r="3806">
      <c r="A3806" s="5">
        <f>IFERROR(__xludf.DUMMYFUNCTION("""COMPUTED_VALUE"""),12138.0)</f>
        <v>12138</v>
      </c>
      <c r="B3806" s="5" t="str">
        <f>IFERROR(__xludf.DUMMYFUNCTION("""COMPUTED_VALUE"""),"هیأت")</f>
        <v>هیأت</v>
      </c>
      <c r="C3806" s="5" t="str">
        <f>IFERROR(__xludf.DUMMYFUNCTION("""COMPUTED_VALUE"""),"شهدا شاهرخ آباد")</f>
        <v>شهدا شاهرخ آباد</v>
      </c>
      <c r="D3806" s="5" t="str">
        <f>IFERROR(__xludf.DUMMYFUNCTION("""COMPUTED_VALUE"""),"کرمان")</f>
        <v>کرمان</v>
      </c>
      <c r="E3806" s="5" t="str">
        <f>IFERROR(__xludf.DUMMYFUNCTION("""COMPUTED_VALUE"""),"کرمان")</f>
        <v>کرمان</v>
      </c>
      <c r="F3806" s="5"/>
      <c r="G3806" s="5"/>
      <c r="H3806" s="6" t="str">
        <f>IFERROR(__xludf.DUMMYFUNCTION("""COMPUTED_VALUE"""),"https://www.instagram.com/h.shohada.sh")</f>
        <v>https://www.instagram.com/h.shohada.sh</v>
      </c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</row>
    <row r="3807">
      <c r="A3807" s="5">
        <f>IFERROR(__xludf.DUMMYFUNCTION("""COMPUTED_VALUE"""),12136.0)</f>
        <v>12136</v>
      </c>
      <c r="B3807" s="5" t="str">
        <f>IFERROR(__xludf.DUMMYFUNCTION("""COMPUTED_VALUE"""),"هیأت")</f>
        <v>هیأت</v>
      </c>
      <c r="C3807" s="5" t="str">
        <f>IFERROR(__xludf.DUMMYFUNCTION("""COMPUTED_VALUE"""),"انصارالمهدی(عج) (کهوروییه)")</f>
        <v>انصارالمهدی(عج) (کهوروییه)</v>
      </c>
      <c r="D3807" s="5" t="str">
        <f>IFERROR(__xludf.DUMMYFUNCTION("""COMPUTED_VALUE"""),"کرمان")</f>
        <v>کرمان</v>
      </c>
      <c r="E3807" s="5" t="str">
        <f>IFERROR(__xludf.DUMMYFUNCTION("""COMPUTED_VALUE"""),"جیرفت")</f>
        <v>جیرفت</v>
      </c>
      <c r="F3807" s="5"/>
      <c r="G3807" s="5"/>
      <c r="H3807" s="6" t="str">
        <f>IFERROR(__xludf.DUMMYFUNCTION("""COMPUTED_VALUE"""),"https://www.instagram.com/ansar_almahdi_343")</f>
        <v>https://www.instagram.com/ansar_almahdi_343</v>
      </c>
      <c r="I3807" s="6" t="str">
        <f>IFERROR(__xludf.DUMMYFUNCTION("""COMPUTED_VALUE"""),"https://t.me/heatansaralmahdik")</f>
        <v>https://t.me/heatansaralmahdik</v>
      </c>
      <c r="J3807" s="5"/>
      <c r="K3807" s="5"/>
      <c r="L3807" s="5"/>
      <c r="M3807" s="5"/>
      <c r="N3807" s="5"/>
      <c r="O3807" s="5"/>
      <c r="P3807" s="5"/>
      <c r="Q3807" s="5"/>
      <c r="R3807" s="5"/>
      <c r="S3807" s="5"/>
    </row>
    <row r="3808">
      <c r="A3808" s="5">
        <f>IFERROR(__xludf.DUMMYFUNCTION("""COMPUTED_VALUE"""),12130.0)</f>
        <v>12130</v>
      </c>
      <c r="B3808" s="5" t="str">
        <f>IFERROR(__xludf.DUMMYFUNCTION("""COMPUTED_VALUE"""),"هیأت")</f>
        <v>هیأت</v>
      </c>
      <c r="C3808" s="5" t="str">
        <f>IFERROR(__xludf.DUMMYFUNCTION("""COMPUTED_VALUE"""),"ابوالفضل العباس(ع)")</f>
        <v>ابوالفضل العباس(ع)</v>
      </c>
      <c r="D3808" s="5" t="str">
        <f>IFERROR(__xludf.DUMMYFUNCTION("""COMPUTED_VALUE"""),"کرمان")</f>
        <v>کرمان</v>
      </c>
      <c r="E3808" s="5" t="str">
        <f>IFERROR(__xludf.DUMMYFUNCTION("""COMPUTED_VALUE"""),"نرماشیر")</f>
        <v>نرماشیر</v>
      </c>
      <c r="F3808" s="5"/>
      <c r="G3808" s="5"/>
      <c r="H3808" s="6" t="str">
        <f>IFERROR(__xludf.DUMMYFUNCTION("""COMPUTED_VALUE"""),"https://www.instagram.com/heat.abolfazlelabbas")</f>
        <v>https://www.instagram.com/heat.abolfazlelabbas</v>
      </c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</row>
    <row r="3809">
      <c r="A3809" s="5">
        <f>IFERROR(__xludf.DUMMYFUNCTION("""COMPUTED_VALUE"""),12128.0)</f>
        <v>12128</v>
      </c>
      <c r="B3809" s="5" t="str">
        <f>IFERROR(__xludf.DUMMYFUNCTION("""COMPUTED_VALUE"""),"هیأت")</f>
        <v>هیأت</v>
      </c>
      <c r="C3809" s="5" t="str">
        <f>IFERROR(__xludf.DUMMYFUNCTION("""COMPUTED_VALUE"""),"اهل بیت(ع)")</f>
        <v>اهل بیت(ع)</v>
      </c>
      <c r="D3809" s="5" t="str">
        <f>IFERROR(__xludf.DUMMYFUNCTION("""COMPUTED_VALUE"""),"کرمان")</f>
        <v>کرمان</v>
      </c>
      <c r="E3809" s="5" t="str">
        <f>IFERROR(__xludf.DUMMYFUNCTION("""COMPUTED_VALUE"""),"کرمان")</f>
        <v>کرمان</v>
      </c>
      <c r="F3809" s="5"/>
      <c r="G3809" s="5"/>
      <c r="H3809" s="6" t="str">
        <f>IFERROR(__xludf.DUMMYFUNCTION("""COMPUTED_VALUE"""),"https://www.instagram.com/heyat.karimahlebeyt")</f>
        <v>https://www.instagram.com/heyat.karimahlebeyt</v>
      </c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</row>
    <row r="3810">
      <c r="A3810" s="5">
        <f>IFERROR(__xludf.DUMMYFUNCTION("""COMPUTED_VALUE"""),12127.0)</f>
        <v>12127</v>
      </c>
      <c r="B3810" s="5" t="str">
        <f>IFERROR(__xludf.DUMMYFUNCTION("""COMPUTED_VALUE"""),"هیأت")</f>
        <v>هیأت</v>
      </c>
      <c r="C3810" s="5" t="str">
        <f>IFERROR(__xludf.DUMMYFUNCTION("""COMPUTED_VALUE"""),"چترود")</f>
        <v>چترود</v>
      </c>
      <c r="D3810" s="5" t="str">
        <f>IFERROR(__xludf.DUMMYFUNCTION("""COMPUTED_VALUE"""),"کرمان")</f>
        <v>کرمان</v>
      </c>
      <c r="E3810" s="5" t="str">
        <f>IFERROR(__xludf.DUMMYFUNCTION("""COMPUTED_VALUE"""),"کرمان")</f>
        <v>کرمان</v>
      </c>
      <c r="F3810" s="5"/>
      <c r="G3810" s="5"/>
      <c r="H3810" s="6" t="str">
        <f>IFERROR(__xludf.DUMMYFUNCTION("""COMPUTED_VALUE"""),"https://www.instagram.com/heyat_fatemiyoon_chatrood")</f>
        <v>https://www.instagram.com/heyat_fatemiyoon_chatrood</v>
      </c>
      <c r="I3810" s="6" t="str">
        <f>IFERROR(__xludf.DUMMYFUNCTION("""COMPUTED_VALUE"""),"https://t.me/kowsar_chatrod")</f>
        <v>https://t.me/kowsar_chatrod</v>
      </c>
      <c r="J3810" s="5"/>
      <c r="K3810" s="5"/>
      <c r="L3810" s="5"/>
      <c r="M3810" s="5"/>
      <c r="N3810" s="5"/>
      <c r="O3810" s="5"/>
      <c r="P3810" s="5"/>
      <c r="Q3810" s="5"/>
      <c r="R3810" s="5"/>
      <c r="S3810" s="5"/>
    </row>
    <row r="3811">
      <c r="A3811" s="5">
        <f>IFERROR(__xludf.DUMMYFUNCTION("""COMPUTED_VALUE"""),12121.0)</f>
        <v>12121</v>
      </c>
      <c r="B3811" s="5" t="str">
        <f>IFERROR(__xludf.DUMMYFUNCTION("""COMPUTED_VALUE"""),"هیأت")</f>
        <v>هیأت</v>
      </c>
      <c r="C3811" s="5" t="str">
        <f>IFERROR(__xludf.DUMMYFUNCTION("""COMPUTED_VALUE"""),"طفلان مسلم(ع)")</f>
        <v>طفلان مسلم(ع)</v>
      </c>
      <c r="D3811" s="5" t="str">
        <f>IFERROR(__xludf.DUMMYFUNCTION("""COMPUTED_VALUE"""),"کرمان")</f>
        <v>کرمان</v>
      </c>
      <c r="E3811" s="5" t="str">
        <f>IFERROR(__xludf.DUMMYFUNCTION("""COMPUTED_VALUE"""),"رفسنجان")</f>
        <v>رفسنجان</v>
      </c>
      <c r="F3811" s="5"/>
      <c r="G3811" s="5"/>
      <c r="H3811" s="6" t="str">
        <f>IFERROR(__xludf.DUMMYFUNCTION("""COMPUTED_VALUE"""),"https://www.instagram.com/teflan.moslem.rafsanjan")</f>
        <v>https://www.instagram.com/teflan.moslem.rafsanjan</v>
      </c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</row>
    <row r="3812">
      <c r="A3812" s="5">
        <f>IFERROR(__xludf.DUMMYFUNCTION("""COMPUTED_VALUE"""),12116.0)</f>
        <v>12116</v>
      </c>
      <c r="B3812" s="5" t="str">
        <f>IFERROR(__xludf.DUMMYFUNCTION("""COMPUTED_VALUE"""),"هیأت")</f>
        <v>هیأت</v>
      </c>
      <c r="C3812" s="5" t="str">
        <f>IFERROR(__xludf.DUMMYFUNCTION("""COMPUTED_VALUE"""),"شهدای خانوک")</f>
        <v>شهدای خانوک</v>
      </c>
      <c r="D3812" s="5" t="str">
        <f>IFERROR(__xludf.DUMMYFUNCTION("""COMPUTED_VALUE"""),"کرمان")</f>
        <v>کرمان</v>
      </c>
      <c r="E3812" s="5" t="str">
        <f>IFERROR(__xludf.DUMMYFUNCTION("""COMPUTED_VALUE"""),"زرند")</f>
        <v>زرند</v>
      </c>
      <c r="F3812" s="5"/>
      <c r="G3812" s="5"/>
      <c r="H3812" s="5"/>
      <c r="I3812" s="5"/>
      <c r="J3812" s="6" t="str">
        <f>IFERROR(__xludf.DUMMYFUNCTION("""COMPUTED_VALUE"""),"https://eitaa.com/heyat_shohada_khanook")</f>
        <v>https://eitaa.com/heyat_shohada_khanook</v>
      </c>
      <c r="K3812" s="5"/>
      <c r="L3812" s="5"/>
      <c r="M3812" s="5"/>
      <c r="N3812" s="5"/>
      <c r="O3812" s="5"/>
      <c r="P3812" s="5"/>
      <c r="Q3812" s="5"/>
      <c r="R3812" s="5"/>
      <c r="S3812" s="5"/>
    </row>
    <row r="3813">
      <c r="A3813" s="5">
        <f>IFERROR(__xludf.DUMMYFUNCTION("""COMPUTED_VALUE"""),12098.0)</f>
        <v>12098</v>
      </c>
      <c r="B3813" s="5" t="str">
        <f>IFERROR(__xludf.DUMMYFUNCTION("""COMPUTED_VALUE"""),"هیأت")</f>
        <v>هیأت</v>
      </c>
      <c r="C3813" s="5" t="str">
        <f>IFERROR(__xludf.DUMMYFUNCTION("""COMPUTED_VALUE"""),"بیت المهدی")</f>
        <v>بیت المهدی</v>
      </c>
      <c r="D3813" s="5" t="str">
        <f>IFERROR(__xludf.DUMMYFUNCTION("""COMPUTED_VALUE"""),"کرمان")</f>
        <v>کرمان</v>
      </c>
      <c r="E3813" s="5" t="str">
        <f>IFERROR(__xludf.DUMMYFUNCTION("""COMPUTED_VALUE"""),"کرمان")</f>
        <v>کرمان</v>
      </c>
      <c r="F3813" s="5"/>
      <c r="G3813" s="5"/>
      <c r="H3813" s="6" t="str">
        <f>IFERROR(__xludf.DUMMYFUNCTION("""COMPUTED_VALUE"""),"https://www.instagram.com/beytolmahdi")</f>
        <v>https://www.instagram.com/beytolmahdi</v>
      </c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</row>
    <row r="3814">
      <c r="A3814" s="5">
        <f>IFERROR(__xludf.DUMMYFUNCTION("""COMPUTED_VALUE"""),12092.0)</f>
        <v>12092</v>
      </c>
      <c r="B3814" s="5" t="str">
        <f>IFERROR(__xludf.DUMMYFUNCTION("""COMPUTED_VALUE"""),"هیأت")</f>
        <v>هیأت</v>
      </c>
      <c r="C3814" s="5" t="str">
        <f>IFERROR(__xludf.DUMMYFUNCTION("""COMPUTED_VALUE"""),"جان نثاران امام حسین(ع)")</f>
        <v>جان نثاران امام حسین(ع)</v>
      </c>
      <c r="D3814" s="5" t="str">
        <f>IFERROR(__xludf.DUMMYFUNCTION("""COMPUTED_VALUE"""),"کرمان")</f>
        <v>کرمان</v>
      </c>
      <c r="E3814" s="5" t="str">
        <f>IFERROR(__xludf.DUMMYFUNCTION("""COMPUTED_VALUE"""),"کرمان")</f>
        <v>کرمان</v>
      </c>
      <c r="F3814" s="5"/>
      <c r="G3814" s="5"/>
      <c r="H3814" s="6" t="str">
        <f>IFERROR(__xludf.DUMMYFUNCTION("""COMPUTED_VALUE"""),"https://www.instagram.com/jannesaran.kerman")</f>
        <v>https://www.instagram.com/jannesaran.kerman</v>
      </c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</row>
    <row r="3815">
      <c r="A3815" s="5">
        <f>IFERROR(__xludf.DUMMYFUNCTION("""COMPUTED_VALUE"""),12081.0)</f>
        <v>12081</v>
      </c>
      <c r="B3815" s="5" t="str">
        <f>IFERROR(__xludf.DUMMYFUNCTION("""COMPUTED_VALUE"""),"هیأت")</f>
        <v>هیأت</v>
      </c>
      <c r="C3815" s="5" t="str">
        <f>IFERROR(__xludf.DUMMYFUNCTION("""COMPUTED_VALUE"""),"رهروان شهدا")</f>
        <v>رهروان شهدا</v>
      </c>
      <c r="D3815" s="5" t="str">
        <f>IFERROR(__xludf.DUMMYFUNCTION("""COMPUTED_VALUE"""),"کرمان")</f>
        <v>کرمان</v>
      </c>
      <c r="E3815" s="5" t="str">
        <f>IFERROR(__xludf.DUMMYFUNCTION("""COMPUTED_VALUE"""),"رفسنجان")</f>
        <v>رفسنجان</v>
      </c>
      <c r="F3815" s="5"/>
      <c r="G3815" s="5"/>
      <c r="H3815" s="6" t="str">
        <f>IFERROR(__xludf.DUMMYFUNCTION("""COMPUTED_VALUE"""),"https://www.instagram.com/heiat.rahruvan.shohada")</f>
        <v>https://www.instagram.com/heiat.rahruvan.shohada</v>
      </c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</row>
    <row r="3816">
      <c r="A3816" s="5">
        <f>IFERROR(__xludf.DUMMYFUNCTION("""COMPUTED_VALUE"""),12075.0)</f>
        <v>12075</v>
      </c>
      <c r="B3816" s="5" t="str">
        <f>IFERROR(__xludf.DUMMYFUNCTION("""COMPUTED_VALUE"""),"هیأت")</f>
        <v>هیأت</v>
      </c>
      <c r="C3816" s="5" t="str">
        <f>IFERROR(__xludf.DUMMYFUNCTION("""COMPUTED_VALUE"""),"محبان الحسین (ع)")</f>
        <v>محبان الحسین (ع)</v>
      </c>
      <c r="D3816" s="5" t="str">
        <f>IFERROR(__xludf.DUMMYFUNCTION("""COMPUTED_VALUE"""),"کرمان")</f>
        <v>کرمان</v>
      </c>
      <c r="E3816" s="5" t="str">
        <f>IFERROR(__xludf.DUMMYFUNCTION("""COMPUTED_VALUE"""),"بم")</f>
        <v>بم</v>
      </c>
      <c r="F3816" s="5"/>
      <c r="G3816" s="5"/>
      <c r="H3816" s="6" t="str">
        <f>IFERROR(__xludf.DUMMYFUNCTION("""COMPUTED_VALUE"""),"https://www.instagram.com/moheban.alhusseinbam")</f>
        <v>https://www.instagram.com/moheban.alhusseinbam</v>
      </c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</row>
    <row r="3817">
      <c r="A3817" s="5">
        <f>IFERROR(__xludf.DUMMYFUNCTION("""COMPUTED_VALUE"""),12067.0)</f>
        <v>12067</v>
      </c>
      <c r="B3817" s="5" t="str">
        <f>IFERROR(__xludf.DUMMYFUNCTION("""COMPUTED_VALUE"""),"هیأت")</f>
        <v>هیأت</v>
      </c>
      <c r="C3817" s="5" t="str">
        <f>IFERROR(__xludf.DUMMYFUNCTION("""COMPUTED_VALUE"""),"مسجد امام باقر(ع)")</f>
        <v>مسجد امام باقر(ع)</v>
      </c>
      <c r="D3817" s="5" t="str">
        <f>IFERROR(__xludf.DUMMYFUNCTION("""COMPUTED_VALUE"""),"کرمان")</f>
        <v>کرمان</v>
      </c>
      <c r="E3817" s="5" t="str">
        <f>IFERROR(__xludf.DUMMYFUNCTION("""COMPUTED_VALUE"""),"بافت")</f>
        <v>بافت</v>
      </c>
      <c r="F3817" s="5"/>
      <c r="G3817" s="5"/>
      <c r="H3817" s="6" t="str">
        <f>IFERROR(__xludf.DUMMYFUNCTION("""COMPUTED_VALUE"""),"https://www.instagram.com/heyate_imam_mohammad_bagher_b")</f>
        <v>https://www.instagram.com/heyate_imam_mohammad_bagher_b</v>
      </c>
      <c r="I3817" s="6" t="str">
        <f>IFERROR(__xludf.DUMMYFUNCTION("""COMPUTED_VALUE"""),"https://t.me/emam_mohamad_bagher_baft")</f>
        <v>https://t.me/emam_mohamad_bagher_baft</v>
      </c>
      <c r="J3817" s="5"/>
      <c r="K3817" s="5"/>
      <c r="L3817" s="5"/>
      <c r="M3817" s="5"/>
      <c r="N3817" s="5"/>
      <c r="O3817" s="5"/>
      <c r="P3817" s="5"/>
      <c r="Q3817" s="5"/>
      <c r="R3817" s="5"/>
      <c r="S3817" s="5"/>
    </row>
    <row r="3818">
      <c r="A3818" s="5">
        <f>IFERROR(__xludf.DUMMYFUNCTION("""COMPUTED_VALUE"""),12029.0)</f>
        <v>12029</v>
      </c>
      <c r="B3818" s="5" t="str">
        <f>IFERROR(__xludf.DUMMYFUNCTION("""COMPUTED_VALUE"""),"هیأت")</f>
        <v>هیأت</v>
      </c>
      <c r="C3818" s="5" t="str">
        <f>IFERROR(__xludf.DUMMYFUNCTION("""COMPUTED_VALUE"""),"عاشقان بقیع")</f>
        <v>عاشقان بقیع</v>
      </c>
      <c r="D3818" s="5" t="str">
        <f>IFERROR(__xludf.DUMMYFUNCTION("""COMPUTED_VALUE"""),"کرمان")</f>
        <v>کرمان</v>
      </c>
      <c r="E3818" s="5" t="str">
        <f>IFERROR(__xludf.DUMMYFUNCTION("""COMPUTED_VALUE"""),"کرمان")</f>
        <v>کرمان</v>
      </c>
      <c r="F3818" s="5"/>
      <c r="G3818" s="5"/>
      <c r="H3818" s="6" t="str">
        <f>IFERROR(__xludf.DUMMYFUNCTION("""COMPUTED_VALUE"""),"https://www.instagram.com/asheghan_baqhi_kerman")</f>
        <v>https://www.instagram.com/asheghan_baqhi_kerman</v>
      </c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</row>
    <row r="3819">
      <c r="A3819" s="5">
        <f>IFERROR(__xludf.DUMMYFUNCTION("""COMPUTED_VALUE"""),12009.0)</f>
        <v>12009</v>
      </c>
      <c r="B3819" s="5" t="str">
        <f>IFERROR(__xludf.DUMMYFUNCTION("""COMPUTED_VALUE"""),"هیأت")</f>
        <v>هیأت</v>
      </c>
      <c r="C3819" s="5" t="str">
        <f>IFERROR(__xludf.DUMMYFUNCTION("""COMPUTED_VALUE"""),"امام حسن مجتبی(ع)")</f>
        <v>امام حسن مجتبی(ع)</v>
      </c>
      <c r="D3819" s="5" t="str">
        <f>IFERROR(__xludf.DUMMYFUNCTION("""COMPUTED_VALUE"""),"کرمان")</f>
        <v>کرمان</v>
      </c>
      <c r="E3819" s="5" t="str">
        <f>IFERROR(__xludf.DUMMYFUNCTION("""COMPUTED_VALUE"""),"راور")</f>
        <v>راور</v>
      </c>
      <c r="F3819" s="5"/>
      <c r="G3819" s="5"/>
      <c r="H3819" s="6" t="str">
        <f>IFERROR(__xludf.DUMMYFUNCTION("""COMPUTED_VALUE"""),"https://www.instagram.com/hasanioun_ravari")</f>
        <v>https://www.instagram.com/hasanioun_ravari</v>
      </c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</row>
    <row r="3820">
      <c r="A3820" s="5">
        <f>IFERROR(__xludf.DUMMYFUNCTION("""COMPUTED_VALUE"""),12003.0)</f>
        <v>12003</v>
      </c>
      <c r="B3820" s="5" t="str">
        <f>IFERROR(__xludf.DUMMYFUNCTION("""COMPUTED_VALUE"""),"هیأت")</f>
        <v>هیأت</v>
      </c>
      <c r="C3820" s="5" t="str">
        <f>IFERROR(__xludf.DUMMYFUNCTION("""COMPUTED_VALUE"""),"بیت الاحزان")</f>
        <v>بیت الاحزان</v>
      </c>
      <c r="D3820" s="5" t="str">
        <f>IFERROR(__xludf.DUMMYFUNCTION("""COMPUTED_VALUE"""),"کرمان")</f>
        <v>کرمان</v>
      </c>
      <c r="E3820" s="5" t="str">
        <f>IFERROR(__xludf.DUMMYFUNCTION("""COMPUTED_VALUE"""),"زرند")</f>
        <v>زرند</v>
      </c>
      <c r="F3820" s="5"/>
      <c r="G3820" s="5"/>
      <c r="H3820" s="6" t="str">
        <f>IFERROR(__xludf.DUMMYFUNCTION("""COMPUTED_VALUE"""),"https://www.instagram.com/beytolahzanzarand")</f>
        <v>https://www.instagram.com/beytolahzanzarand</v>
      </c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</row>
    <row r="3821">
      <c r="A3821" s="5">
        <f>IFERROR(__xludf.DUMMYFUNCTION("""COMPUTED_VALUE"""),11999.0)</f>
        <v>11999</v>
      </c>
      <c r="B3821" s="5" t="str">
        <f>IFERROR(__xludf.DUMMYFUNCTION("""COMPUTED_VALUE"""),"هیأت")</f>
        <v>هیأت</v>
      </c>
      <c r="C3821" s="5" t="str">
        <f>IFERROR(__xludf.DUMMYFUNCTION("""COMPUTED_VALUE"""),"محبان الرضا(ع)")</f>
        <v>محبان الرضا(ع)</v>
      </c>
      <c r="D3821" s="5" t="str">
        <f>IFERROR(__xludf.DUMMYFUNCTION("""COMPUTED_VALUE"""),"کرمان")</f>
        <v>کرمان</v>
      </c>
      <c r="E3821" s="5" t="str">
        <f>IFERROR(__xludf.DUMMYFUNCTION("""COMPUTED_VALUE"""),"زرند")</f>
        <v>زرند</v>
      </c>
      <c r="F3821" s="5"/>
      <c r="G3821" s="5"/>
      <c r="H3821" s="6" t="str">
        <f>IFERROR(__xludf.DUMMYFUNCTION("""COMPUTED_VALUE"""),"https://www.instagram.com/m.emamreza_zarand1")</f>
        <v>https://www.instagram.com/m.emamreza_zarand1</v>
      </c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</row>
    <row r="3822">
      <c r="A3822" s="5">
        <f>IFERROR(__xludf.DUMMYFUNCTION("""COMPUTED_VALUE"""),11998.0)</f>
        <v>11998</v>
      </c>
      <c r="B3822" s="5" t="str">
        <f>IFERROR(__xludf.DUMMYFUNCTION("""COMPUTED_VALUE"""),"هیأت")</f>
        <v>هیأت</v>
      </c>
      <c r="C3822" s="5" t="str">
        <f>IFERROR(__xludf.DUMMYFUNCTION("""COMPUTED_VALUE"""),"جنت الحسین (ع)")</f>
        <v>جنت الحسین (ع)</v>
      </c>
      <c r="D3822" s="5" t="str">
        <f>IFERROR(__xludf.DUMMYFUNCTION("""COMPUTED_VALUE"""),"کرمان")</f>
        <v>کرمان</v>
      </c>
      <c r="E3822" s="5" t="str">
        <f>IFERROR(__xludf.DUMMYFUNCTION("""COMPUTED_VALUE"""),"زرند")</f>
        <v>زرند</v>
      </c>
      <c r="F3822" s="5"/>
      <c r="G3822" s="5"/>
      <c r="H3822" s="6" t="str">
        <f>IFERROR(__xludf.DUMMYFUNCTION("""COMPUTED_VALUE"""),"https://www.instagram.com/jannat.alhossein")</f>
        <v>https://www.instagram.com/jannat.alhossein</v>
      </c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</row>
    <row r="3823">
      <c r="A3823" s="5">
        <f>IFERROR(__xludf.DUMMYFUNCTION("""COMPUTED_VALUE"""),11979.0)</f>
        <v>11979</v>
      </c>
      <c r="B3823" s="5" t="str">
        <f>IFERROR(__xludf.DUMMYFUNCTION("""COMPUTED_VALUE"""),"هیأت")</f>
        <v>هیأت</v>
      </c>
      <c r="C3823" s="5" t="str">
        <f>IFERROR(__xludf.DUMMYFUNCTION("""COMPUTED_VALUE"""),"محبین الزهرا (س) (مجموعه عام المنفعه)")</f>
        <v>محبین الزهرا (س) (مجموعه عام المنفعه)</v>
      </c>
      <c r="D3823" s="5" t="str">
        <f>IFERROR(__xludf.DUMMYFUNCTION("""COMPUTED_VALUE"""),"کرمان")</f>
        <v>کرمان</v>
      </c>
      <c r="E3823" s="5" t="str">
        <f>IFERROR(__xludf.DUMMYFUNCTION("""COMPUTED_VALUE"""),"انار")</f>
        <v>انار</v>
      </c>
      <c r="F3823" s="5"/>
      <c r="G3823" s="5"/>
      <c r="H3823" s="6" t="str">
        <f>IFERROR(__xludf.DUMMYFUNCTION("""COMPUTED_VALUE"""),"https://www.instagram.com/mohebin18")</f>
        <v>https://www.instagram.com/mohebin18</v>
      </c>
      <c r="I3823" s="5"/>
      <c r="J3823" s="6" t="str">
        <f>IFERROR(__xludf.DUMMYFUNCTION("""COMPUTED_VALUE"""),"https://eitaa.com/mohebin18")</f>
        <v>https://eitaa.com/mohebin18</v>
      </c>
      <c r="K3823" s="5"/>
      <c r="L3823" s="5"/>
      <c r="M3823" s="5"/>
      <c r="N3823" s="5"/>
      <c r="O3823" s="5"/>
      <c r="P3823" s="5"/>
      <c r="Q3823" s="5"/>
      <c r="R3823" s="5"/>
      <c r="S3823" s="5"/>
    </row>
    <row r="3824">
      <c r="A3824" s="5">
        <f>IFERROR(__xludf.DUMMYFUNCTION("""COMPUTED_VALUE"""),11968.0)</f>
        <v>11968</v>
      </c>
      <c r="B3824" s="5" t="str">
        <f>IFERROR(__xludf.DUMMYFUNCTION("""COMPUTED_VALUE"""),"هیأت")</f>
        <v>هیأت</v>
      </c>
      <c r="C3824" s="5" t="str">
        <f>IFERROR(__xludf.DUMMYFUNCTION("""COMPUTED_VALUE"""),"ثارالله (مسجد النبی(ص))")</f>
        <v>ثارالله (مسجد النبی(ص))</v>
      </c>
      <c r="D3824" s="5" t="str">
        <f>IFERROR(__xludf.DUMMYFUNCTION("""COMPUTED_VALUE"""),"کرمان")</f>
        <v>کرمان</v>
      </c>
      <c r="E3824" s="5" t="str">
        <f>IFERROR(__xludf.DUMMYFUNCTION("""COMPUTED_VALUE"""),"بافت")</f>
        <v>بافت</v>
      </c>
      <c r="F3824" s="5"/>
      <c r="G3824" s="5"/>
      <c r="H3824" s="6" t="str">
        <f>IFERROR(__xludf.DUMMYFUNCTION("""COMPUTED_VALUE"""),"https://www.instagram.com/heyat_sarallah_masjednabi")</f>
        <v>https://www.instagram.com/heyat_sarallah_masjednabi</v>
      </c>
      <c r="I3824" s="6" t="str">
        <f>IFERROR(__xludf.DUMMYFUNCTION("""COMPUTED_VALUE"""),"https://t.me/heyat_sarallah_masjednabi")</f>
        <v>https://t.me/heyat_sarallah_masjednabi</v>
      </c>
      <c r="J3824" s="5"/>
      <c r="K3824" s="5"/>
      <c r="L3824" s="5"/>
      <c r="M3824" s="5"/>
      <c r="N3824" s="5"/>
      <c r="O3824" s="5"/>
      <c r="P3824" s="5"/>
      <c r="Q3824" s="5"/>
      <c r="R3824" s="5"/>
      <c r="S3824" s="5"/>
    </row>
    <row r="3825">
      <c r="A3825" s="5">
        <f>IFERROR(__xludf.DUMMYFUNCTION("""COMPUTED_VALUE"""),11954.0)</f>
        <v>11954</v>
      </c>
      <c r="B3825" s="5" t="str">
        <f>IFERROR(__xludf.DUMMYFUNCTION("""COMPUTED_VALUE"""),"هیأت")</f>
        <v>هیأت</v>
      </c>
      <c r="C3825" s="5" t="str">
        <f>IFERROR(__xludf.DUMMYFUNCTION("""COMPUTED_VALUE"""),"انصارالمهدی(عج)")</f>
        <v>انصارالمهدی(عج)</v>
      </c>
      <c r="D3825" s="5" t="str">
        <f>IFERROR(__xludf.DUMMYFUNCTION("""COMPUTED_VALUE"""),"کرمان")</f>
        <v>کرمان</v>
      </c>
      <c r="E3825" s="5" t="str">
        <f>IFERROR(__xludf.DUMMYFUNCTION("""COMPUTED_VALUE"""),"شهربابک")</f>
        <v>شهربابک</v>
      </c>
      <c r="F3825" s="5"/>
      <c r="G3825" s="5"/>
      <c r="H3825" s="6" t="str">
        <f>IFERROR(__xludf.DUMMYFUNCTION("""COMPUTED_VALUE"""),"https://www.instagram.com/ansaralmahdi_shahrebabak")</f>
        <v>https://www.instagram.com/ansaralmahdi_shahrebabak</v>
      </c>
      <c r="I3825" s="5"/>
      <c r="J3825" s="6" t="str">
        <f>IFERROR(__xludf.DUMMYFUNCTION("""COMPUTED_VALUE"""),"https://eitaa.com/ansaralmahdiii1404")</f>
        <v>https://eitaa.com/ansaralmahdiii1404</v>
      </c>
      <c r="K3825" s="5"/>
      <c r="L3825" s="5"/>
      <c r="M3825" s="5"/>
      <c r="N3825" s="5"/>
      <c r="O3825" s="5"/>
      <c r="P3825" s="5"/>
      <c r="Q3825" s="5"/>
      <c r="R3825" s="5"/>
      <c r="S3825" s="5"/>
    </row>
    <row r="3826">
      <c r="A3826" s="5">
        <f>IFERROR(__xludf.DUMMYFUNCTION("""COMPUTED_VALUE"""),11947.0)</f>
        <v>11947</v>
      </c>
      <c r="B3826" s="5" t="str">
        <f>IFERROR(__xludf.DUMMYFUNCTION("""COMPUTED_VALUE"""),"هیأت")</f>
        <v>هیأت</v>
      </c>
      <c r="C3826" s="5" t="str">
        <f>IFERROR(__xludf.DUMMYFUNCTION("""COMPUTED_VALUE"""),"مهدیه صاحب الزمان(عج)")</f>
        <v>مهدیه صاحب الزمان(عج)</v>
      </c>
      <c r="D3826" s="5" t="str">
        <f>IFERROR(__xludf.DUMMYFUNCTION("""COMPUTED_VALUE"""),"کرمان")</f>
        <v>کرمان</v>
      </c>
      <c r="E3826" s="5" t="str">
        <f>IFERROR(__xludf.DUMMYFUNCTION("""COMPUTED_VALUE"""),"بم")</f>
        <v>بم</v>
      </c>
      <c r="F3826" s="5"/>
      <c r="G3826" s="5"/>
      <c r="H3826" s="6" t="str">
        <f>IFERROR(__xludf.DUMMYFUNCTION("""COMPUTED_VALUE"""),"https://www.instagram.com/mahdiehbam")</f>
        <v>https://www.instagram.com/mahdiehbam</v>
      </c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</row>
    <row r="3827">
      <c r="A3827" s="5">
        <f>IFERROR(__xludf.DUMMYFUNCTION("""COMPUTED_VALUE"""),11945.0)</f>
        <v>11945</v>
      </c>
      <c r="B3827" s="5" t="str">
        <f>IFERROR(__xludf.DUMMYFUNCTION("""COMPUTED_VALUE"""),"هیأت")</f>
        <v>هیأت</v>
      </c>
      <c r="C3827" s="5" t="str">
        <f>IFERROR(__xludf.DUMMYFUNCTION("""COMPUTED_VALUE"""),"رهروان شهدای گمنام")</f>
        <v>رهروان شهدای گمنام</v>
      </c>
      <c r="D3827" s="5" t="str">
        <f>IFERROR(__xludf.DUMMYFUNCTION("""COMPUTED_VALUE"""),"کرمان")</f>
        <v>کرمان</v>
      </c>
      <c r="E3827" s="5" t="str">
        <f>IFERROR(__xludf.DUMMYFUNCTION("""COMPUTED_VALUE"""),"بم")</f>
        <v>بم</v>
      </c>
      <c r="F3827" s="5"/>
      <c r="G3827" s="5"/>
      <c r="H3827" s="6" t="str">
        <f>IFERROR(__xludf.DUMMYFUNCTION("""COMPUTED_VALUE"""),"https://www.instagram.com/heiat.rahrovan.shohada.bam")</f>
        <v>https://www.instagram.com/heiat.rahrovan.shohada.bam</v>
      </c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</row>
    <row r="3828">
      <c r="A3828" s="5">
        <f>IFERROR(__xludf.DUMMYFUNCTION("""COMPUTED_VALUE"""),11940.0)</f>
        <v>11940</v>
      </c>
      <c r="B3828" s="5" t="str">
        <f>IFERROR(__xludf.DUMMYFUNCTION("""COMPUTED_VALUE"""),"هیأت")</f>
        <v>هیأت</v>
      </c>
      <c r="C3828" s="5" t="str">
        <f>IFERROR(__xludf.DUMMYFUNCTION("""COMPUTED_VALUE"""),"بین الحرمین")</f>
        <v>بین الحرمین</v>
      </c>
      <c r="D3828" s="5" t="str">
        <f>IFERROR(__xludf.DUMMYFUNCTION("""COMPUTED_VALUE"""),"کرمان")</f>
        <v>کرمان</v>
      </c>
      <c r="E3828" s="5" t="str">
        <f>IFERROR(__xludf.DUMMYFUNCTION("""COMPUTED_VALUE"""),"بم")</f>
        <v>بم</v>
      </c>
      <c r="F3828" s="5"/>
      <c r="G3828" s="5"/>
      <c r="H3828" s="6" t="str">
        <f>IFERROR(__xludf.DUMMYFUNCTION("""COMPUTED_VALUE"""),"https://www.instagram.com/bh_bam1365")</f>
        <v>https://www.instagram.com/bh_bam1365</v>
      </c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</row>
    <row r="3829">
      <c r="A3829" s="5">
        <f>IFERROR(__xludf.DUMMYFUNCTION("""COMPUTED_VALUE"""),11912.0)</f>
        <v>11912</v>
      </c>
      <c r="B3829" s="5" t="str">
        <f>IFERROR(__xludf.DUMMYFUNCTION("""COMPUTED_VALUE"""),"هیأت")</f>
        <v>هیأت</v>
      </c>
      <c r="C3829" s="5" t="str">
        <f>IFERROR(__xludf.DUMMYFUNCTION("""COMPUTED_VALUE"""),"انصارالرسول(ص)")</f>
        <v>انصارالرسول(ص)</v>
      </c>
      <c r="D3829" s="5" t="str">
        <f>IFERROR(__xludf.DUMMYFUNCTION("""COMPUTED_VALUE"""),"کرمان")</f>
        <v>کرمان</v>
      </c>
      <c r="E3829" s="5" t="str">
        <f>IFERROR(__xludf.DUMMYFUNCTION("""COMPUTED_VALUE"""),"جیرفت")</f>
        <v>جیرفت</v>
      </c>
      <c r="F3829" s="5"/>
      <c r="G3829" s="5"/>
      <c r="H3829" s="6" t="str">
        <f>IFERROR(__xludf.DUMMYFUNCTION("""COMPUTED_VALUE"""),"https://www.instagram.com/ansarorasool/")</f>
        <v>https://www.instagram.com/ansarorasool/</v>
      </c>
      <c r="I3829" s="6" t="str">
        <f>IFERROR(__xludf.DUMMYFUNCTION("""COMPUTED_VALUE"""),"https://t.me/ansarorasool")</f>
        <v>https://t.me/ansarorasool</v>
      </c>
      <c r="J3829" s="5"/>
      <c r="K3829" s="5"/>
      <c r="L3829" s="5"/>
      <c r="M3829" s="5"/>
      <c r="N3829" s="5"/>
      <c r="O3829" s="5"/>
      <c r="P3829" s="5"/>
      <c r="Q3829" s="5"/>
      <c r="R3829" s="5"/>
      <c r="S3829" s="5"/>
    </row>
    <row r="3830">
      <c r="A3830" s="5">
        <f>IFERROR(__xludf.DUMMYFUNCTION("""COMPUTED_VALUE"""),11911.0)</f>
        <v>11911</v>
      </c>
      <c r="B3830" s="5" t="str">
        <f>IFERROR(__xludf.DUMMYFUNCTION("""COMPUTED_VALUE"""),"هیأت")</f>
        <v>هیأت</v>
      </c>
      <c r="C3830" s="5" t="str">
        <f>IFERROR(__xludf.DUMMYFUNCTION("""COMPUTED_VALUE"""),"محبان امام علی(ع)")</f>
        <v>محبان امام علی(ع)</v>
      </c>
      <c r="D3830" s="5" t="str">
        <f>IFERROR(__xludf.DUMMYFUNCTION("""COMPUTED_VALUE"""),"کرمان")</f>
        <v>کرمان</v>
      </c>
      <c r="E3830" s="5" t="str">
        <f>IFERROR(__xludf.DUMMYFUNCTION("""COMPUTED_VALUE"""),"بم")</f>
        <v>بم</v>
      </c>
      <c r="F3830" s="5"/>
      <c r="G3830" s="5"/>
      <c r="H3830" s="5"/>
      <c r="I3830" s="5"/>
      <c r="J3830" s="6" t="str">
        <f>IFERROR(__xludf.DUMMYFUNCTION("""COMPUTED_VALUE"""),"https://eitaa.com/moheban_bam")</f>
        <v>https://eitaa.com/moheban_bam</v>
      </c>
      <c r="K3830" s="5"/>
      <c r="L3830" s="5"/>
      <c r="M3830" s="5"/>
      <c r="N3830" s="5"/>
      <c r="O3830" s="5"/>
      <c r="P3830" s="5"/>
      <c r="Q3830" s="5"/>
      <c r="R3830" s="5"/>
      <c r="S3830" s="5"/>
    </row>
    <row r="3831">
      <c r="A3831" s="5">
        <f>IFERROR(__xludf.DUMMYFUNCTION("""COMPUTED_VALUE"""),11902.0)</f>
        <v>11902</v>
      </c>
      <c r="B3831" s="5" t="str">
        <f>IFERROR(__xludf.DUMMYFUNCTION("""COMPUTED_VALUE"""),"هیأت")</f>
        <v>هیأت</v>
      </c>
      <c r="C3831" s="5" t="str">
        <f>IFERROR(__xludf.DUMMYFUNCTION("""COMPUTED_VALUE"""),"جوادالائمه (ع) / هیات الزهرا (س)")</f>
        <v>جوادالائمه (ع) / هیات الزهرا (س)</v>
      </c>
      <c r="D3831" s="5" t="str">
        <f>IFERROR(__xludf.DUMMYFUNCTION("""COMPUTED_VALUE"""),"کرمان")</f>
        <v>کرمان</v>
      </c>
      <c r="E3831" s="5" t="str">
        <f>IFERROR(__xludf.DUMMYFUNCTION("""COMPUTED_VALUE"""),"کرمان")</f>
        <v>کرمان</v>
      </c>
      <c r="F3831" s="5"/>
      <c r="G3831" s="5"/>
      <c r="H3831" s="6" t="str">
        <f>IFERROR(__xludf.DUMMYFUNCTION("""COMPUTED_VALUE"""),"https://www.instagram.com/javadolaemeh_kerman.ir")</f>
        <v>https://www.instagram.com/javadolaemeh_kerman.ir</v>
      </c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</row>
    <row r="3832">
      <c r="A3832" s="5">
        <f>IFERROR(__xludf.DUMMYFUNCTION("""COMPUTED_VALUE"""),11901.0)</f>
        <v>11901</v>
      </c>
      <c r="B3832" s="5" t="str">
        <f>IFERROR(__xludf.DUMMYFUNCTION("""COMPUTED_VALUE"""),"هیأت")</f>
        <v>هیأت</v>
      </c>
      <c r="C3832" s="5" t="str">
        <f>IFERROR(__xludf.DUMMYFUNCTION("""COMPUTED_VALUE"""),"بیت الاحزان (شهدای گمنام)")</f>
        <v>بیت الاحزان (شهدای گمنام)</v>
      </c>
      <c r="D3832" s="5" t="str">
        <f>IFERROR(__xludf.DUMMYFUNCTION("""COMPUTED_VALUE"""),"کرمان")</f>
        <v>کرمان</v>
      </c>
      <c r="E3832" s="5" t="str">
        <f>IFERROR(__xludf.DUMMYFUNCTION("""COMPUTED_VALUE"""),"بم")</f>
        <v>بم</v>
      </c>
      <c r="F3832" s="5"/>
      <c r="G3832" s="5"/>
      <c r="H3832" s="5"/>
      <c r="I3832" s="5"/>
      <c r="J3832" s="6" t="str">
        <f>IFERROR(__xludf.DUMMYFUNCTION("""COMPUTED_VALUE"""),"https://eitaa.com/beytolahzanbam")</f>
        <v>https://eitaa.com/beytolahzanbam</v>
      </c>
      <c r="K3832" s="5"/>
      <c r="L3832" s="5"/>
      <c r="M3832" s="5"/>
      <c r="N3832" s="5"/>
      <c r="O3832" s="5"/>
      <c r="P3832" s="5"/>
      <c r="Q3832" s="5"/>
      <c r="R3832" s="5"/>
      <c r="S3832" s="5"/>
    </row>
    <row r="3833">
      <c r="A3833" s="5">
        <f>IFERROR(__xludf.DUMMYFUNCTION("""COMPUTED_VALUE"""),11899.0)</f>
        <v>11899</v>
      </c>
      <c r="B3833" s="5" t="str">
        <f>IFERROR(__xludf.DUMMYFUNCTION("""COMPUTED_VALUE"""),"هیأت")</f>
        <v>هیأت</v>
      </c>
      <c r="C3833" s="5" t="str">
        <f>IFERROR(__xludf.DUMMYFUNCTION("""COMPUTED_VALUE"""),"عاشقان امام رضا(ع)")</f>
        <v>عاشقان امام رضا(ع)</v>
      </c>
      <c r="D3833" s="5" t="str">
        <f>IFERROR(__xludf.DUMMYFUNCTION("""COMPUTED_VALUE"""),"کرمان")</f>
        <v>کرمان</v>
      </c>
      <c r="E3833" s="5" t="str">
        <f>IFERROR(__xludf.DUMMYFUNCTION("""COMPUTED_VALUE"""),"بدون شهرستان")</f>
        <v>بدون شهرستان</v>
      </c>
      <c r="F3833" s="5"/>
      <c r="G3833" s="5"/>
      <c r="H3833" s="5"/>
      <c r="I3833" s="5"/>
      <c r="J3833" s="6" t="str">
        <f>IFERROR(__xludf.DUMMYFUNCTION("""COMPUTED_VALUE"""),"https://eitaa.com/asheghaneharameEMAMREZA")</f>
        <v>https://eitaa.com/asheghaneharameEMAMREZA</v>
      </c>
      <c r="K3833" s="5"/>
      <c r="L3833" s="5"/>
      <c r="M3833" s="5"/>
      <c r="N3833" s="5"/>
      <c r="O3833" s="5"/>
      <c r="P3833" s="5"/>
      <c r="Q3833" s="5"/>
      <c r="R3833" s="5"/>
      <c r="S3833" s="5"/>
    </row>
    <row r="3834">
      <c r="A3834" s="5">
        <f>IFERROR(__xludf.DUMMYFUNCTION("""COMPUTED_VALUE"""),11891.0)</f>
        <v>11891</v>
      </c>
      <c r="B3834" s="5" t="str">
        <f>IFERROR(__xludf.DUMMYFUNCTION("""COMPUTED_VALUE"""),"هیأت")</f>
        <v>هیأت</v>
      </c>
      <c r="C3834" s="5" t="str">
        <f>IFERROR(__xludf.DUMMYFUNCTION("""COMPUTED_VALUE"""),"عشاق المهدی(عج)")</f>
        <v>عشاق المهدی(عج)</v>
      </c>
      <c r="D3834" s="5" t="str">
        <f>IFERROR(__xludf.DUMMYFUNCTION("""COMPUTED_VALUE"""),"کرمان")</f>
        <v>کرمان</v>
      </c>
      <c r="E3834" s="5" t="str">
        <f>IFERROR(__xludf.DUMMYFUNCTION("""COMPUTED_VALUE"""),"کرمان")</f>
        <v>کرمان</v>
      </c>
      <c r="F3834" s="5"/>
      <c r="G3834" s="5"/>
      <c r="H3834" s="6" t="str">
        <f>IFERROR(__xludf.DUMMYFUNCTION("""COMPUTED_VALUE"""),"https://www.instagram.com/oshagholmahdi.313.kerman")</f>
        <v>https://www.instagram.com/oshagholmahdi.313.kerman</v>
      </c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</row>
    <row r="3835">
      <c r="A3835" s="5">
        <f>IFERROR(__xludf.DUMMYFUNCTION("""COMPUTED_VALUE"""),11890.0)</f>
        <v>11890</v>
      </c>
      <c r="B3835" s="5" t="str">
        <f>IFERROR(__xludf.DUMMYFUNCTION("""COMPUTED_VALUE"""),"هیأت جوانان")</f>
        <v>هیأت جوانان</v>
      </c>
      <c r="C3835" s="5" t="str">
        <f>IFERROR(__xludf.DUMMYFUNCTION("""COMPUTED_VALUE"""),"حضرت علی اکبر(ع) جوشان")</f>
        <v>حضرت علی اکبر(ع) جوشان</v>
      </c>
      <c r="D3835" s="5" t="str">
        <f>IFERROR(__xludf.DUMMYFUNCTION("""COMPUTED_VALUE"""),"کرمان")</f>
        <v>کرمان</v>
      </c>
      <c r="E3835" s="5" t="str">
        <f>IFERROR(__xludf.DUMMYFUNCTION("""COMPUTED_VALUE"""),"کرمان")</f>
        <v>کرمان</v>
      </c>
      <c r="F3835" s="5"/>
      <c r="G3835" s="5"/>
      <c r="H3835" s="6" t="str">
        <f>IFERROR(__xludf.DUMMYFUNCTION("""COMPUTED_VALUE"""),"https://www.instagram.com/hyate_javanan_aliakbar_joshan")</f>
        <v>https://www.instagram.com/hyate_javanan_aliakbar_joshan</v>
      </c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</row>
    <row r="3836">
      <c r="A3836" s="5">
        <f>IFERROR(__xludf.DUMMYFUNCTION("""COMPUTED_VALUE"""),11888.0)</f>
        <v>11888</v>
      </c>
      <c r="B3836" s="5" t="str">
        <f>IFERROR(__xludf.DUMMYFUNCTION("""COMPUTED_VALUE"""),"هیأت")</f>
        <v>هیأت</v>
      </c>
      <c r="C3836" s="5" t="str">
        <f>IFERROR(__xludf.DUMMYFUNCTION("""COMPUTED_VALUE"""),"محفل حیدریون")</f>
        <v>محفل حیدریون</v>
      </c>
      <c r="D3836" s="5" t="str">
        <f>IFERROR(__xludf.DUMMYFUNCTION("""COMPUTED_VALUE"""),"کرمان")</f>
        <v>کرمان</v>
      </c>
      <c r="E3836" s="5" t="str">
        <f>IFERROR(__xludf.DUMMYFUNCTION("""COMPUTED_VALUE"""),"کرمان")</f>
        <v>کرمان</v>
      </c>
      <c r="F3836" s="5"/>
      <c r="G3836" s="5"/>
      <c r="H3836" s="6" t="str">
        <f>IFERROR(__xludf.DUMMYFUNCTION("""COMPUTED_VALUE"""),"https://www.instagram.com/mahfele110")</f>
        <v>https://www.instagram.com/mahfele110</v>
      </c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</row>
    <row r="3837">
      <c r="A3837" s="5">
        <f>IFERROR(__xludf.DUMMYFUNCTION("""COMPUTED_VALUE"""),11886.0)</f>
        <v>11886</v>
      </c>
      <c r="B3837" s="5" t="str">
        <f>IFERROR(__xludf.DUMMYFUNCTION("""COMPUTED_VALUE"""),"هیأت")</f>
        <v>هیأت</v>
      </c>
      <c r="C3837" s="5" t="str">
        <f>IFERROR(__xludf.DUMMYFUNCTION("""COMPUTED_VALUE"""),"کانون فرهنگی تربیتی حاج داوود فقیه")</f>
        <v>کانون فرهنگی تربیتی حاج داوود فقیه</v>
      </c>
      <c r="D3837" s="5" t="str">
        <f>IFERROR(__xludf.DUMMYFUNCTION("""COMPUTED_VALUE"""),"کرمان")</f>
        <v>کرمان</v>
      </c>
      <c r="E3837" s="5" t="str">
        <f>IFERROR(__xludf.DUMMYFUNCTION("""COMPUTED_VALUE"""),"سیرجان")</f>
        <v>سیرجان</v>
      </c>
      <c r="F3837" s="5"/>
      <c r="G3837" s="5"/>
      <c r="H3837" s="5"/>
      <c r="I3837" s="5"/>
      <c r="J3837" s="6" t="str">
        <f>IFERROR(__xludf.DUMMYFUNCTION("""COMPUTED_VALUE"""),"https://eitaa.com/kanoonsirjan")</f>
        <v>https://eitaa.com/kanoonsirjan</v>
      </c>
      <c r="K3837" s="5"/>
      <c r="L3837" s="5"/>
      <c r="M3837" s="5"/>
      <c r="N3837" s="5"/>
      <c r="O3837" s="5"/>
      <c r="P3837" s="5"/>
      <c r="Q3837" s="5"/>
      <c r="R3837" s="5"/>
      <c r="S3837" s="5"/>
    </row>
    <row r="3838">
      <c r="A3838" s="5">
        <f>IFERROR(__xludf.DUMMYFUNCTION("""COMPUTED_VALUE"""),11869.0)</f>
        <v>11869</v>
      </c>
      <c r="B3838" s="5" t="str">
        <f>IFERROR(__xludf.DUMMYFUNCTION("""COMPUTED_VALUE"""),"هیأت")</f>
        <v>هیأت</v>
      </c>
      <c r="C3838" s="5" t="str">
        <f>IFERROR(__xludf.DUMMYFUNCTION("""COMPUTED_VALUE"""),"سیدالساجدین(ع)")</f>
        <v>سیدالساجدین(ع)</v>
      </c>
      <c r="D3838" s="5" t="str">
        <f>IFERROR(__xludf.DUMMYFUNCTION("""COMPUTED_VALUE"""),"کرمان")</f>
        <v>کرمان</v>
      </c>
      <c r="E3838" s="5" t="str">
        <f>IFERROR(__xludf.DUMMYFUNCTION("""COMPUTED_VALUE"""),"رفسنجان")</f>
        <v>رفسنجان</v>
      </c>
      <c r="F3838" s="5"/>
      <c r="G3838" s="5"/>
      <c r="H3838" s="6" t="str">
        <f>IFERROR(__xludf.DUMMYFUNCTION("""COMPUTED_VALUE"""),"https://www.instagram.com/heiatseyedolsajedin")</f>
        <v>https://www.instagram.com/heiatseyedolsajedin</v>
      </c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</row>
    <row r="3839">
      <c r="A3839" s="5">
        <f>IFERROR(__xludf.DUMMYFUNCTION("""COMPUTED_VALUE"""),11857.0)</f>
        <v>11857</v>
      </c>
      <c r="B3839" s="5" t="str">
        <f>IFERROR(__xludf.DUMMYFUNCTION("""COMPUTED_VALUE"""),"هیأت دانشجویی")</f>
        <v>هیأت دانشجویی</v>
      </c>
      <c r="C3839" s="5" t="str">
        <f>IFERROR(__xludf.DUMMYFUNCTION("""COMPUTED_VALUE"""),"محبان اهل بیت(ع) (دانشگاه علوم پزشکی)")</f>
        <v>محبان اهل بیت(ع) (دانشگاه علوم پزشکی)</v>
      </c>
      <c r="D3839" s="5" t="str">
        <f>IFERROR(__xludf.DUMMYFUNCTION("""COMPUTED_VALUE"""),"کرمان")</f>
        <v>کرمان</v>
      </c>
      <c r="E3839" s="5" t="str">
        <f>IFERROR(__xludf.DUMMYFUNCTION("""COMPUTED_VALUE"""),"بدون شهرستان")</f>
        <v>بدون شهرستان</v>
      </c>
      <c r="F3839" s="5"/>
      <c r="G3839" s="5"/>
      <c r="H3839" s="6" t="str">
        <f>IFERROR(__xludf.DUMMYFUNCTION("""COMPUTED_VALUE"""),"https://www.instagram.com/heyat_moheban_kmu")</f>
        <v>https://www.instagram.com/heyat_moheban_kmu</v>
      </c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</row>
    <row r="3840">
      <c r="A3840" s="5">
        <f>IFERROR(__xludf.DUMMYFUNCTION("""COMPUTED_VALUE"""),11822.0)</f>
        <v>11822</v>
      </c>
      <c r="B3840" s="5" t="str">
        <f>IFERROR(__xludf.DUMMYFUNCTION("""COMPUTED_VALUE"""),"هیأت")</f>
        <v>هیأت</v>
      </c>
      <c r="C3840" s="5" t="str">
        <f>IFERROR(__xludf.DUMMYFUNCTION("""COMPUTED_VALUE"""),"شهیدین")</f>
        <v>شهیدین</v>
      </c>
      <c r="D3840" s="5" t="str">
        <f>IFERROR(__xludf.DUMMYFUNCTION("""COMPUTED_VALUE"""),"کرمان")</f>
        <v>کرمان</v>
      </c>
      <c r="E3840" s="5" t="str">
        <f>IFERROR(__xludf.DUMMYFUNCTION("""COMPUTED_VALUE"""),"کرمان")</f>
        <v>کرمان</v>
      </c>
      <c r="F3840" s="5"/>
      <c r="G3840" s="5"/>
      <c r="H3840" s="5"/>
      <c r="I3840" s="5"/>
      <c r="J3840" s="6" t="str">
        <f>IFERROR(__xludf.DUMMYFUNCTION("""COMPUTED_VALUE"""),"https://eitaa.com/Shahideyn")</f>
        <v>https://eitaa.com/Shahideyn</v>
      </c>
      <c r="K3840" s="5"/>
      <c r="L3840" s="5"/>
      <c r="M3840" s="5"/>
      <c r="N3840" s="5"/>
      <c r="O3840" s="5"/>
      <c r="P3840" s="5"/>
      <c r="Q3840" s="5"/>
      <c r="R3840" s="5"/>
      <c r="S3840" s="5"/>
    </row>
    <row r="3841">
      <c r="A3841" s="5">
        <f>IFERROR(__xludf.DUMMYFUNCTION("""COMPUTED_VALUE"""),11821.0)</f>
        <v>11821</v>
      </c>
      <c r="B3841" s="5" t="str">
        <f>IFERROR(__xludf.DUMMYFUNCTION("""COMPUTED_VALUE"""),"هیأت")</f>
        <v>هیأت</v>
      </c>
      <c r="C3841" s="5" t="str">
        <f>IFERROR(__xludf.DUMMYFUNCTION("""COMPUTED_VALUE"""),"معراج شهدا")</f>
        <v>معراج شهدا</v>
      </c>
      <c r="D3841" s="5" t="str">
        <f>IFERROR(__xludf.DUMMYFUNCTION("""COMPUTED_VALUE"""),"کرمان")</f>
        <v>کرمان</v>
      </c>
      <c r="E3841" s="5" t="str">
        <f>IFERROR(__xludf.DUMMYFUNCTION("""COMPUTED_VALUE"""),"کرمان")</f>
        <v>کرمان</v>
      </c>
      <c r="F3841" s="5"/>
      <c r="G3841" s="5"/>
      <c r="H3841" s="6" t="str">
        <f>IFERROR(__xludf.DUMMYFUNCTION("""COMPUTED_VALUE"""),"https://www.instagram.com/mokebmeraj.ir")</f>
        <v>https://www.instagram.com/mokebmeraj.ir</v>
      </c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</row>
    <row r="3842">
      <c r="A3842" s="5">
        <f>IFERROR(__xludf.DUMMYFUNCTION("""COMPUTED_VALUE"""),11814.0)</f>
        <v>11814</v>
      </c>
      <c r="B3842" s="5" t="str">
        <f>IFERROR(__xludf.DUMMYFUNCTION("""COMPUTED_VALUE"""),"هیأت")</f>
        <v>هیأت</v>
      </c>
      <c r="C3842" s="5" t="str">
        <f>IFERROR(__xludf.DUMMYFUNCTION("""COMPUTED_VALUE"""),"روضه العباس (ع)")</f>
        <v>روضه العباس (ع)</v>
      </c>
      <c r="D3842" s="5" t="str">
        <f>IFERROR(__xludf.DUMMYFUNCTION("""COMPUTED_VALUE"""),"کرمان")</f>
        <v>کرمان</v>
      </c>
      <c r="E3842" s="5" t="str">
        <f>IFERROR(__xludf.DUMMYFUNCTION("""COMPUTED_VALUE"""),"کرمان")</f>
        <v>کرمان</v>
      </c>
      <c r="F3842" s="5"/>
      <c r="G3842" s="5"/>
      <c r="H3842" s="6" t="str">
        <f>IFERROR(__xludf.DUMMYFUNCTION("""COMPUTED_VALUE"""),"https://www.instagram.com/yasekabood99")</f>
        <v>https://www.instagram.com/yasekabood99</v>
      </c>
      <c r="I3842" s="6" t="str">
        <f>IFERROR(__xludf.DUMMYFUNCTION("""COMPUTED_VALUE"""),"https://t.me/rozatolabbaskerman")</f>
        <v>https://t.me/rozatolabbaskerman</v>
      </c>
      <c r="J3842" s="5"/>
      <c r="K3842" s="5"/>
      <c r="L3842" s="5"/>
      <c r="M3842" s="5"/>
      <c r="N3842" s="5"/>
      <c r="O3842" s="5"/>
      <c r="P3842" s="5"/>
      <c r="Q3842" s="5"/>
      <c r="R3842" s="5"/>
      <c r="S3842" s="5"/>
    </row>
    <row r="3843">
      <c r="A3843" s="5">
        <f>IFERROR(__xludf.DUMMYFUNCTION("""COMPUTED_VALUE"""),11812.0)</f>
        <v>11812</v>
      </c>
      <c r="B3843" s="5" t="str">
        <f>IFERROR(__xludf.DUMMYFUNCTION("""COMPUTED_VALUE"""),"هیأت")</f>
        <v>هیأت</v>
      </c>
      <c r="C3843" s="5" t="str">
        <f>IFERROR(__xludf.DUMMYFUNCTION("""COMPUTED_VALUE"""),"هیات‌ الزهرا (س)")</f>
        <v>هیات‌ الزهرا (س)</v>
      </c>
      <c r="D3843" s="5" t="str">
        <f>IFERROR(__xludf.DUMMYFUNCTION("""COMPUTED_VALUE"""),"کرمان")</f>
        <v>کرمان</v>
      </c>
      <c r="E3843" s="5" t="str">
        <f>IFERROR(__xludf.DUMMYFUNCTION("""COMPUTED_VALUE"""),"کرمان")</f>
        <v>کرمان</v>
      </c>
      <c r="F3843" s="5"/>
      <c r="G3843" s="5"/>
      <c r="H3843" s="6" t="str">
        <f>IFERROR(__xludf.DUMMYFUNCTION("""COMPUTED_VALUE"""),"https://www.instagram.com/heyatozahrakerman.ir")</f>
        <v>https://www.instagram.com/heyatozahrakerman.ir</v>
      </c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</row>
    <row r="3844">
      <c r="A3844" s="5">
        <f>IFERROR(__xludf.DUMMYFUNCTION("""COMPUTED_VALUE"""),11805.0)</f>
        <v>11805</v>
      </c>
      <c r="B3844" s="5" t="str">
        <f>IFERROR(__xludf.DUMMYFUNCTION("""COMPUTED_VALUE"""),"هیأت")</f>
        <v>هیأت</v>
      </c>
      <c r="C3844" s="5" t="str">
        <f>IFERROR(__xludf.DUMMYFUNCTION("""COMPUTED_VALUE"""),"محبان امام حسین(ع)")</f>
        <v>محبان امام حسین(ع)</v>
      </c>
      <c r="D3844" s="5" t="str">
        <f>IFERROR(__xludf.DUMMYFUNCTION("""COMPUTED_VALUE"""),"کرمان")</f>
        <v>کرمان</v>
      </c>
      <c r="E3844" s="5" t="str">
        <f>IFERROR(__xludf.DUMMYFUNCTION("""COMPUTED_VALUE"""),"کرمان")</f>
        <v>کرمان</v>
      </c>
      <c r="F3844" s="5"/>
      <c r="G3844" s="5"/>
      <c r="H3844" s="6" t="str">
        <f>IFERROR(__xludf.DUMMYFUNCTION("""COMPUTED_VALUE"""),"https://www.instagram.com/heyat_mohebban_lmam_hossein")</f>
        <v>https://www.instagram.com/heyat_mohebban_lmam_hossein</v>
      </c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</row>
    <row r="3845">
      <c r="A3845" s="5">
        <f>IFERROR(__xludf.DUMMYFUNCTION("""COMPUTED_VALUE"""),11801.0)</f>
        <v>11801</v>
      </c>
      <c r="B3845" s="5" t="str">
        <f>IFERROR(__xludf.DUMMYFUNCTION("""COMPUTED_VALUE"""),"هیأت")</f>
        <v>هیأت</v>
      </c>
      <c r="C3845" s="5" t="str">
        <f>IFERROR(__xludf.DUMMYFUNCTION("""COMPUTED_VALUE"""),"مسجد امام حسین(ع)")</f>
        <v>مسجد امام حسین(ع)</v>
      </c>
      <c r="D3845" s="5" t="str">
        <f>IFERROR(__xludf.DUMMYFUNCTION("""COMPUTED_VALUE"""),"کرمان")</f>
        <v>کرمان</v>
      </c>
      <c r="E3845" s="5" t="str">
        <f>IFERROR(__xludf.DUMMYFUNCTION("""COMPUTED_VALUE"""),"کرمان")</f>
        <v>کرمان</v>
      </c>
      <c r="F3845" s="5"/>
      <c r="G3845" s="5"/>
      <c r="H3845" s="6" t="str">
        <f>IFERROR(__xludf.DUMMYFUNCTION("""COMPUTED_VALUE"""),"https://www.instagram.com/imam_hussain_valfajr")</f>
        <v>https://www.instagram.com/imam_hussain_valfajr</v>
      </c>
      <c r="I3845" s="5"/>
      <c r="J3845" s="6" t="str">
        <f>IFERROR(__xludf.DUMMYFUNCTION("""COMPUTED_VALUE"""),"https://eitaa.com/E_hosein_kerman")</f>
        <v>https://eitaa.com/E_hosein_kerman</v>
      </c>
      <c r="K3845" s="5"/>
      <c r="L3845" s="5"/>
      <c r="M3845" s="5"/>
      <c r="N3845" s="5"/>
      <c r="O3845" s="5"/>
      <c r="P3845" s="5"/>
      <c r="Q3845" s="5"/>
      <c r="R3845" s="5"/>
      <c r="S3845" s="5"/>
    </row>
    <row r="3846">
      <c r="A3846" s="5">
        <f>IFERROR(__xludf.DUMMYFUNCTION("""COMPUTED_VALUE"""),11774.0)</f>
        <v>11774</v>
      </c>
      <c r="B3846" s="5" t="str">
        <f>IFERROR(__xludf.DUMMYFUNCTION("""COMPUTED_VALUE"""),"هیأت")</f>
        <v>هیأت</v>
      </c>
      <c r="C3846" s="5" t="str">
        <f>IFERROR(__xludf.DUMMYFUNCTION("""COMPUTED_VALUE"""),"دفتر امام جمعه")</f>
        <v>دفتر امام جمعه</v>
      </c>
      <c r="D3846" s="5" t="str">
        <f>IFERROR(__xludf.DUMMYFUNCTION("""COMPUTED_VALUE"""),"کرمان")</f>
        <v>کرمان</v>
      </c>
      <c r="E3846" s="5" t="str">
        <f>IFERROR(__xludf.DUMMYFUNCTION("""COMPUTED_VALUE"""),"بدون شهرستان")</f>
        <v>بدون شهرستان</v>
      </c>
      <c r="F3846" s="5"/>
      <c r="G3846" s="5"/>
      <c r="H3846" s="5"/>
      <c r="I3846" s="5"/>
      <c r="J3846" s="6" t="str">
        <f>IFERROR(__xludf.DUMMYFUNCTION("""COMPUTED_VALUE"""),"https://eitaa.com/imamjomekerman")</f>
        <v>https://eitaa.com/imamjomekerman</v>
      </c>
      <c r="K3846" s="5"/>
      <c r="L3846" s="5"/>
      <c r="M3846" s="5"/>
      <c r="N3846" s="5"/>
      <c r="O3846" s="5"/>
      <c r="P3846" s="5"/>
      <c r="Q3846" s="5"/>
      <c r="R3846" s="5"/>
      <c r="S3846" s="5"/>
    </row>
    <row r="3847">
      <c r="A3847" s="5">
        <f>IFERROR(__xludf.DUMMYFUNCTION("""COMPUTED_VALUE"""),11764.0)</f>
        <v>11764</v>
      </c>
      <c r="B3847" s="5" t="str">
        <f>IFERROR(__xludf.DUMMYFUNCTION("""COMPUTED_VALUE"""),"هیأت")</f>
        <v>هیأت</v>
      </c>
      <c r="C3847" s="5" t="str">
        <f>IFERROR(__xludf.DUMMYFUNCTION("""COMPUTED_VALUE"""),"موسسه فرهنگی مذهبی سردار شهید علویان")</f>
        <v>موسسه فرهنگی مذهبی سردار شهید علویان</v>
      </c>
      <c r="D3847" s="5" t="str">
        <f>IFERROR(__xludf.DUMMYFUNCTION("""COMPUTED_VALUE"""),"کرمان")</f>
        <v>کرمان</v>
      </c>
      <c r="E3847" s="5" t="str">
        <f>IFERROR(__xludf.DUMMYFUNCTION("""COMPUTED_VALUE"""),"شهربابک")</f>
        <v>شهربابک</v>
      </c>
      <c r="F3847" s="5"/>
      <c r="G3847" s="5"/>
      <c r="H3847" s="5"/>
      <c r="I3847" s="6" t="str">
        <f>IFERROR(__xludf.DUMMYFUNCTION("""COMPUTED_VALUE"""),"https://t.me/shahidalavian")</f>
        <v>https://t.me/shahidalavian</v>
      </c>
      <c r="J3847" s="5"/>
      <c r="K3847" s="5"/>
      <c r="L3847" s="5"/>
      <c r="M3847" s="5"/>
      <c r="N3847" s="5"/>
      <c r="O3847" s="5"/>
      <c r="P3847" s="5"/>
      <c r="Q3847" s="5"/>
      <c r="R3847" s="5"/>
      <c r="S3847" s="5"/>
    </row>
    <row r="3848">
      <c r="A3848" s="5">
        <f>IFERROR(__xludf.DUMMYFUNCTION("""COMPUTED_VALUE"""),11762.0)</f>
        <v>11762</v>
      </c>
      <c r="B3848" s="5" t="str">
        <f>IFERROR(__xludf.DUMMYFUNCTION("""COMPUTED_VALUE"""),"هیأت")</f>
        <v>هیأت</v>
      </c>
      <c r="C3848" s="5" t="str">
        <f>IFERROR(__xludf.DUMMYFUNCTION("""COMPUTED_VALUE"""),"حضرت علی اکبر(ع)")</f>
        <v>حضرت علی اکبر(ع)</v>
      </c>
      <c r="D3848" s="5" t="str">
        <f>IFERROR(__xludf.DUMMYFUNCTION("""COMPUTED_VALUE"""),"کرمان")</f>
        <v>کرمان</v>
      </c>
      <c r="E3848" s="5" t="str">
        <f>IFERROR(__xludf.DUMMYFUNCTION("""COMPUTED_VALUE"""),"بم")</f>
        <v>بم</v>
      </c>
      <c r="F3848" s="5"/>
      <c r="G3848" s="5"/>
      <c r="H3848" s="6" t="str">
        <f>IFERROR(__xludf.DUMMYFUNCTION("""COMPUTED_VALUE"""),"https://www.instagram.com/heyaat_shahzadeh_aliakbar")</f>
        <v>https://www.instagram.com/heyaat_shahzadeh_aliakbar</v>
      </c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</row>
    <row r="3849">
      <c r="A3849" s="5">
        <f>IFERROR(__xludf.DUMMYFUNCTION("""COMPUTED_VALUE"""),11760.0)</f>
        <v>11760</v>
      </c>
      <c r="B3849" s="5" t="str">
        <f>IFERROR(__xludf.DUMMYFUNCTION("""COMPUTED_VALUE"""),"هیأت")</f>
        <v>هیأت</v>
      </c>
      <c r="C3849" s="5" t="str">
        <f>IFERROR(__xludf.DUMMYFUNCTION("""COMPUTED_VALUE"""),"غلامان حضرت ابوالفضل(ع)")</f>
        <v>غلامان حضرت ابوالفضل(ع)</v>
      </c>
      <c r="D3849" s="5" t="str">
        <f>IFERROR(__xludf.DUMMYFUNCTION("""COMPUTED_VALUE"""),"کرمان")</f>
        <v>کرمان</v>
      </c>
      <c r="E3849" s="5" t="str">
        <f>IFERROR(__xludf.DUMMYFUNCTION("""COMPUTED_VALUE"""),"بدون شهرستان")</f>
        <v>بدون شهرستان</v>
      </c>
      <c r="F3849" s="5"/>
      <c r="G3849" s="5"/>
      <c r="H3849" s="6" t="str">
        <f>IFERROR(__xludf.DUMMYFUNCTION("""COMPUTED_VALUE"""),"https://www.instagram.com/heyat.gholaman.kerman")</f>
        <v>https://www.instagram.com/heyat.gholaman.kerman</v>
      </c>
      <c r="I3849" s="6" t="str">
        <f>IFERROR(__xludf.DUMMYFUNCTION("""COMPUTED_VALUE"""),"https://t.me/gholaman_kerman")</f>
        <v>https://t.me/gholaman_kerman</v>
      </c>
      <c r="J3849" s="5"/>
      <c r="K3849" s="5"/>
      <c r="L3849" s="5"/>
      <c r="M3849" s="5"/>
      <c r="N3849" s="5"/>
      <c r="O3849" s="5"/>
      <c r="P3849" s="5"/>
      <c r="Q3849" s="5"/>
      <c r="R3849" s="5"/>
      <c r="S3849" s="5"/>
    </row>
    <row r="3850">
      <c r="A3850" s="5">
        <f>IFERROR(__xludf.DUMMYFUNCTION("""COMPUTED_VALUE"""),11758.0)</f>
        <v>11758</v>
      </c>
      <c r="B3850" s="5" t="str">
        <f>IFERROR(__xludf.DUMMYFUNCTION("""COMPUTED_VALUE"""),"هیأت")</f>
        <v>هیأت</v>
      </c>
      <c r="C3850" s="5" t="str">
        <f>IFERROR(__xludf.DUMMYFUNCTION("""COMPUTED_VALUE"""),"غریب مدینه")</f>
        <v>غریب مدینه</v>
      </c>
      <c r="D3850" s="5" t="str">
        <f>IFERROR(__xludf.DUMMYFUNCTION("""COMPUTED_VALUE"""),"کرمان")</f>
        <v>کرمان</v>
      </c>
      <c r="E3850" s="5" t="str">
        <f>IFERROR(__xludf.DUMMYFUNCTION("""COMPUTED_VALUE"""),"سیرجان")</f>
        <v>سیرجان</v>
      </c>
      <c r="F3850" s="5"/>
      <c r="G3850" s="5"/>
      <c r="H3850" s="6" t="str">
        <f>IFERROR(__xludf.DUMMYFUNCTION("""COMPUTED_VALUE"""),"https://www.instagram.com/gharib_madineh_sirjan118")</f>
        <v>https://www.instagram.com/gharib_madineh_sirjan118</v>
      </c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</row>
    <row r="3851">
      <c r="A3851" s="5">
        <f>IFERROR(__xludf.DUMMYFUNCTION("""COMPUTED_VALUE"""),11755.0)</f>
        <v>11755</v>
      </c>
      <c r="B3851" s="5" t="str">
        <f>IFERROR(__xludf.DUMMYFUNCTION("""COMPUTED_VALUE"""),"حسینیه")</f>
        <v>حسینیه</v>
      </c>
      <c r="C3851" s="5" t="str">
        <f>IFERROR(__xludf.DUMMYFUNCTION("""COMPUTED_VALUE"""),"بین الحرمین")</f>
        <v>بین الحرمین</v>
      </c>
      <c r="D3851" s="5" t="str">
        <f>IFERROR(__xludf.DUMMYFUNCTION("""COMPUTED_VALUE"""),"کرمان")</f>
        <v>کرمان</v>
      </c>
      <c r="E3851" s="5" t="str">
        <f>IFERROR(__xludf.DUMMYFUNCTION("""COMPUTED_VALUE"""),"سیرجان")</f>
        <v>سیرجان</v>
      </c>
      <c r="F3851" s="5"/>
      <c r="G3851" s="5"/>
      <c r="H3851" s="6" t="str">
        <f>IFERROR(__xludf.DUMMYFUNCTION("""COMPUTED_VALUE"""),"https://www.instagram.com/hsynyhbynlhrmyn")</f>
        <v>https://www.instagram.com/hsynyhbynlhrmyn</v>
      </c>
      <c r="I3851" s="6" t="str">
        <f>IFERROR(__xludf.DUMMYFUNCTION("""COMPUTED_VALUE"""),"https://t.me/bynoulharamaynsirjan")</f>
        <v>https://t.me/bynoulharamaynsirjan</v>
      </c>
      <c r="J3851" s="5"/>
      <c r="K3851" s="5"/>
      <c r="L3851" s="5"/>
      <c r="M3851" s="5"/>
      <c r="N3851" s="5"/>
      <c r="O3851" s="5"/>
      <c r="P3851" s="5"/>
      <c r="Q3851" s="5"/>
      <c r="R3851" s="5"/>
      <c r="S3851" s="5"/>
    </row>
    <row r="3852">
      <c r="A3852" s="5">
        <f>IFERROR(__xludf.DUMMYFUNCTION("""COMPUTED_VALUE"""),11751.0)</f>
        <v>11751</v>
      </c>
      <c r="B3852" s="5" t="str">
        <f>IFERROR(__xludf.DUMMYFUNCTION("""COMPUTED_VALUE"""),"هیأت")</f>
        <v>هیأت</v>
      </c>
      <c r="C3852" s="5" t="str">
        <f>IFERROR(__xludf.DUMMYFUNCTION("""COMPUTED_VALUE"""),"مسجد حضرت ابوالفضل(ع)")</f>
        <v>مسجد حضرت ابوالفضل(ع)</v>
      </c>
      <c r="D3852" s="5" t="str">
        <f>IFERROR(__xludf.DUMMYFUNCTION("""COMPUTED_VALUE"""),"کرمان")</f>
        <v>کرمان</v>
      </c>
      <c r="E3852" s="5" t="str">
        <f>IFERROR(__xludf.DUMMYFUNCTION("""COMPUTED_VALUE"""),"بدون شهرستان")</f>
        <v>بدون شهرستان</v>
      </c>
      <c r="F3852" s="5"/>
      <c r="G3852" s="5"/>
      <c r="H3852" s="6" t="str">
        <f>IFERROR(__xludf.DUMMYFUNCTION("""COMPUTED_VALUE"""),"https://www.instagram.com/heyatabalfazl1")</f>
        <v>https://www.instagram.com/heyatabalfazl1</v>
      </c>
      <c r="I3852" s="5"/>
      <c r="J3852" s="6" t="str">
        <f>IFERROR(__xludf.DUMMYFUNCTION("""COMPUTED_VALUE"""),"https://eitaa.com/Masjed_Abalfazl_ZangiAbad")</f>
        <v>https://eitaa.com/Masjed_Abalfazl_ZangiAbad</v>
      </c>
      <c r="K3852" s="5"/>
      <c r="L3852" s="5"/>
      <c r="M3852" s="5"/>
      <c r="N3852" s="5"/>
      <c r="O3852" s="5"/>
      <c r="P3852" s="5"/>
      <c r="Q3852" s="5"/>
      <c r="R3852" s="5"/>
      <c r="S3852" s="5"/>
    </row>
    <row r="3853">
      <c r="A3853" s="5">
        <f>IFERROR(__xludf.DUMMYFUNCTION("""COMPUTED_VALUE"""),11746.0)</f>
        <v>11746</v>
      </c>
      <c r="B3853" s="5" t="str">
        <f>IFERROR(__xludf.DUMMYFUNCTION("""COMPUTED_VALUE"""),"هیأت")</f>
        <v>هیأت</v>
      </c>
      <c r="C3853" s="5" t="str">
        <f>IFERROR(__xludf.DUMMYFUNCTION("""COMPUTED_VALUE"""),"احمدآباد")</f>
        <v>احمدآباد</v>
      </c>
      <c r="D3853" s="5" t="str">
        <f>IFERROR(__xludf.DUMMYFUNCTION("""COMPUTED_VALUE"""),"کرمان")</f>
        <v>کرمان</v>
      </c>
      <c r="E3853" s="5" t="str">
        <f>IFERROR(__xludf.DUMMYFUNCTION("""COMPUTED_VALUE"""),"زرند")</f>
        <v>زرند</v>
      </c>
      <c r="F3853" s="5"/>
      <c r="G3853" s="5"/>
      <c r="H3853" s="6" t="str">
        <f>IFERROR(__xludf.DUMMYFUNCTION("""COMPUTED_VALUE"""),"https://www.instagram.com/ahmadabad_deilamghani")</f>
        <v>https://www.instagram.com/ahmadabad_deilamghani</v>
      </c>
      <c r="I3853" s="6" t="str">
        <f>IFERROR(__xludf.DUMMYFUNCTION("""COMPUTED_VALUE"""),"https://t.me/AhmadAbadDeilamghani")</f>
        <v>https://t.me/AhmadAbadDeilamghani</v>
      </c>
      <c r="J3853" s="5"/>
      <c r="K3853" s="5"/>
      <c r="L3853" s="5"/>
      <c r="M3853" s="5"/>
      <c r="N3853" s="5"/>
      <c r="O3853" s="5"/>
      <c r="P3853" s="5"/>
      <c r="Q3853" s="5"/>
      <c r="R3853" s="5"/>
      <c r="S3853" s="5"/>
    </row>
    <row r="3854">
      <c r="A3854" s="5">
        <f>IFERROR(__xludf.DUMMYFUNCTION("""COMPUTED_VALUE"""),11738.0)</f>
        <v>11738</v>
      </c>
      <c r="B3854" s="5" t="str">
        <f>IFERROR(__xludf.DUMMYFUNCTION("""COMPUTED_VALUE"""),"هیأت")</f>
        <v>هیأت</v>
      </c>
      <c r="C3854" s="5" t="str">
        <f>IFERROR(__xludf.DUMMYFUNCTION("""COMPUTED_VALUE"""),"محبان الرضا(ع)")</f>
        <v>محبان الرضا(ع)</v>
      </c>
      <c r="D3854" s="5" t="str">
        <f>IFERROR(__xludf.DUMMYFUNCTION("""COMPUTED_VALUE"""),"کرمان")</f>
        <v>کرمان</v>
      </c>
      <c r="E3854" s="5" t="str">
        <f>IFERROR(__xludf.DUMMYFUNCTION("""COMPUTED_VALUE"""),"بدون شهرستان")</f>
        <v>بدون شهرستان</v>
      </c>
      <c r="F3854" s="5"/>
      <c r="G3854" s="5"/>
      <c r="H3854" s="6" t="str">
        <f>IFERROR(__xludf.DUMMYFUNCTION("""COMPUTED_VALUE"""),"https://www.instagram.com/heyatmohebanorezaa")</f>
        <v>https://www.instagram.com/heyatmohebanorezaa</v>
      </c>
      <c r="I3854" s="6" t="str">
        <f>IFERROR(__xludf.DUMMYFUNCTION("""COMPUTED_VALUE"""),"https://t.me/heyatmohebanorezaa")</f>
        <v>https://t.me/heyatmohebanorezaa</v>
      </c>
      <c r="J3854" s="5"/>
      <c r="K3854" s="5"/>
      <c r="L3854" s="5"/>
      <c r="M3854" s="5"/>
      <c r="N3854" s="5"/>
      <c r="O3854" s="5"/>
      <c r="P3854" s="5"/>
      <c r="Q3854" s="5"/>
      <c r="R3854" s="5"/>
      <c r="S3854" s="5"/>
    </row>
    <row r="3855">
      <c r="A3855" s="5">
        <f>IFERROR(__xludf.DUMMYFUNCTION("""COMPUTED_VALUE"""),11731.0)</f>
        <v>11731</v>
      </c>
      <c r="B3855" s="5" t="str">
        <f>IFERROR(__xludf.DUMMYFUNCTION("""COMPUTED_VALUE"""),"هیأت")</f>
        <v>هیأت</v>
      </c>
      <c r="C3855" s="5" t="str">
        <f>IFERROR(__xludf.DUMMYFUNCTION("""COMPUTED_VALUE"""),"تکیه عاشقان حضرت ابوالفضل(ع)")</f>
        <v>تکیه عاشقان حضرت ابوالفضل(ع)</v>
      </c>
      <c r="D3855" s="5" t="str">
        <f>IFERROR(__xludf.DUMMYFUNCTION("""COMPUTED_VALUE"""),"کرمان")</f>
        <v>کرمان</v>
      </c>
      <c r="E3855" s="5" t="str">
        <f>IFERROR(__xludf.DUMMYFUNCTION("""COMPUTED_VALUE"""),"رفسنجان")</f>
        <v>رفسنجان</v>
      </c>
      <c r="F3855" s="5"/>
      <c r="G3855" s="5"/>
      <c r="H3855" s="6" t="str">
        <f>IFERROR(__xludf.DUMMYFUNCTION("""COMPUTED_VALUE"""),"https://www.instagram.com/asheghanabolfazl")</f>
        <v>https://www.instagram.com/asheghanabolfazl</v>
      </c>
      <c r="I3855" s="6" t="str">
        <f>IFERROR(__xludf.DUMMYFUNCTION("""COMPUTED_VALUE"""),"https://t.me/asheghanabolfazlrafsnjan")</f>
        <v>https://t.me/asheghanabolfazlrafsnjan</v>
      </c>
      <c r="J3855" s="5"/>
      <c r="K3855" s="5"/>
      <c r="L3855" s="5"/>
      <c r="M3855" s="5"/>
      <c r="N3855" s="5"/>
      <c r="O3855" s="5"/>
      <c r="P3855" s="5"/>
      <c r="Q3855" s="5"/>
      <c r="R3855" s="5"/>
      <c r="S3855" s="5"/>
    </row>
    <row r="3856">
      <c r="A3856" s="5">
        <f>IFERROR(__xludf.DUMMYFUNCTION("""COMPUTED_VALUE"""),11729.0)</f>
        <v>11729</v>
      </c>
      <c r="B3856" s="5" t="str">
        <f>IFERROR(__xludf.DUMMYFUNCTION("""COMPUTED_VALUE"""),"هیأت دانش آموزی")</f>
        <v>هیأت دانش آموزی</v>
      </c>
      <c r="C3856" s="5" t="str">
        <f>IFERROR(__xludf.DUMMYFUNCTION("""COMPUTED_VALUE"""),"انصارالمهدی(عج)")</f>
        <v>انصارالمهدی(عج)</v>
      </c>
      <c r="D3856" s="5" t="str">
        <f>IFERROR(__xludf.DUMMYFUNCTION("""COMPUTED_VALUE"""),"کرمان")</f>
        <v>کرمان</v>
      </c>
      <c r="E3856" s="5" t="str">
        <f>IFERROR(__xludf.DUMMYFUNCTION("""COMPUTED_VALUE"""),"رفسنجان")</f>
        <v>رفسنجان</v>
      </c>
      <c r="F3856" s="5"/>
      <c r="G3856" s="5"/>
      <c r="H3856" s="6" t="str">
        <f>IFERROR(__xludf.DUMMYFUNCTION("""COMPUTED_VALUE"""),"https://www.instagram.com/ansaralmahdi_raf")</f>
        <v>https://www.instagram.com/ansaralmahdi_raf</v>
      </c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</row>
    <row r="3857">
      <c r="A3857" s="5">
        <f>IFERROR(__xludf.DUMMYFUNCTION("""COMPUTED_VALUE"""),11721.0)</f>
        <v>11721</v>
      </c>
      <c r="B3857" s="5" t="str">
        <f>IFERROR(__xludf.DUMMYFUNCTION("""COMPUTED_VALUE"""),"هیأت")</f>
        <v>هیأت</v>
      </c>
      <c r="C3857" s="5" t="str">
        <f>IFERROR(__xludf.DUMMYFUNCTION("""COMPUTED_VALUE"""),"بیت العباس(ع)")</f>
        <v>بیت العباس(ع)</v>
      </c>
      <c r="D3857" s="5" t="str">
        <f>IFERROR(__xludf.DUMMYFUNCTION("""COMPUTED_VALUE"""),"کرمان")</f>
        <v>کرمان</v>
      </c>
      <c r="E3857" s="5" t="str">
        <f>IFERROR(__xludf.DUMMYFUNCTION("""COMPUTED_VALUE"""),"رفسنجان")</f>
        <v>رفسنجان</v>
      </c>
      <c r="F3857" s="5"/>
      <c r="G3857" s="5"/>
      <c r="H3857" s="6" t="str">
        <f>IFERROR(__xludf.DUMMYFUNCTION("""COMPUTED_VALUE"""),"https://www.instagram.com/beitoolabbas.rafsanjan")</f>
        <v>https://www.instagram.com/beitoolabbas.rafsanjan</v>
      </c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</row>
    <row r="3858">
      <c r="A3858" s="5">
        <f>IFERROR(__xludf.DUMMYFUNCTION("""COMPUTED_VALUE"""),11718.0)</f>
        <v>11718</v>
      </c>
      <c r="B3858" s="5" t="str">
        <f>IFERROR(__xludf.DUMMYFUNCTION("""COMPUTED_VALUE"""),"هیأت")</f>
        <v>هیأت</v>
      </c>
      <c r="C3858" s="5" t="str">
        <f>IFERROR(__xludf.DUMMYFUNCTION("""COMPUTED_VALUE"""),"هیات الشهدا")</f>
        <v>هیات الشهدا</v>
      </c>
      <c r="D3858" s="5" t="str">
        <f>IFERROR(__xludf.DUMMYFUNCTION("""COMPUTED_VALUE"""),"کرمان")</f>
        <v>کرمان</v>
      </c>
      <c r="E3858" s="5" t="str">
        <f>IFERROR(__xludf.DUMMYFUNCTION("""COMPUTED_VALUE"""),"رفسنجان")</f>
        <v>رفسنجان</v>
      </c>
      <c r="F3858" s="5"/>
      <c r="G3858" s="5"/>
      <c r="H3858" s="5"/>
      <c r="I3858" s="5"/>
      <c r="J3858" s="6" t="str">
        <f>IFERROR(__xludf.DUMMYFUNCTION("""COMPUTED_VALUE"""),"https://eitaa.com/shohada_rafsanjan")</f>
        <v>https://eitaa.com/shohada_rafsanjan</v>
      </c>
      <c r="K3858" s="5"/>
      <c r="L3858" s="5"/>
      <c r="M3858" s="5"/>
      <c r="N3858" s="5"/>
      <c r="O3858" s="5"/>
      <c r="P3858" s="5"/>
      <c r="Q3858" s="5"/>
      <c r="R3858" s="5"/>
      <c r="S3858" s="5"/>
    </row>
    <row r="3859">
      <c r="A3859" s="5">
        <f>IFERROR(__xludf.DUMMYFUNCTION("""COMPUTED_VALUE"""),11715.0)</f>
        <v>11715</v>
      </c>
      <c r="B3859" s="5" t="str">
        <f>IFERROR(__xludf.DUMMYFUNCTION("""COMPUTED_VALUE"""),"مسجد")</f>
        <v>مسجد</v>
      </c>
      <c r="C3859" s="5" t="str">
        <f>IFERROR(__xludf.DUMMYFUNCTION("""COMPUTED_VALUE"""),"حضرت علی اکبر(ع)")</f>
        <v>حضرت علی اکبر(ع)</v>
      </c>
      <c r="D3859" s="5" t="str">
        <f>IFERROR(__xludf.DUMMYFUNCTION("""COMPUTED_VALUE"""),"کرمان")</f>
        <v>کرمان</v>
      </c>
      <c r="E3859" s="5" t="str">
        <f>IFERROR(__xludf.DUMMYFUNCTION("""COMPUTED_VALUE"""),"راور")</f>
        <v>راور</v>
      </c>
      <c r="F3859" s="5"/>
      <c r="G3859" s="5"/>
      <c r="H3859" s="6" t="str">
        <f>IFERROR(__xludf.DUMMYFUNCTION("""COMPUTED_VALUE"""),"https://www.instagram.com/masjed.aliakbar.ravar")</f>
        <v>https://www.instagram.com/masjed.aliakbar.ravar</v>
      </c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</row>
    <row r="3860">
      <c r="A3860" s="5">
        <f>IFERROR(__xludf.DUMMYFUNCTION("""COMPUTED_VALUE"""),11713.0)</f>
        <v>11713</v>
      </c>
      <c r="B3860" s="5" t="str">
        <f>IFERROR(__xludf.DUMMYFUNCTION("""COMPUTED_VALUE"""),"هیأت")</f>
        <v>هیأت</v>
      </c>
      <c r="C3860" s="5" t="str">
        <f>IFERROR(__xludf.DUMMYFUNCTION("""COMPUTED_VALUE"""),"مسجد صاحب زمان(عج)")</f>
        <v>مسجد صاحب زمان(عج)</v>
      </c>
      <c r="D3860" s="5" t="str">
        <f>IFERROR(__xludf.DUMMYFUNCTION("""COMPUTED_VALUE"""),"کرمان")</f>
        <v>کرمان</v>
      </c>
      <c r="E3860" s="5" t="str">
        <f>IFERROR(__xludf.DUMMYFUNCTION("""COMPUTED_VALUE"""),"رابر")</f>
        <v>رابر</v>
      </c>
      <c r="F3860" s="5"/>
      <c r="G3860" s="5"/>
      <c r="H3860" s="6" t="str">
        <f>IFERROR(__xludf.DUMMYFUNCTION("""COMPUTED_VALUE"""),"https://www.instagram.com/heiate_sahebalzaman")</f>
        <v>https://www.instagram.com/heiate_sahebalzaman</v>
      </c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</row>
    <row r="3861">
      <c r="A3861" s="5">
        <f>IFERROR(__xludf.DUMMYFUNCTION("""COMPUTED_VALUE"""),11703.0)</f>
        <v>11703</v>
      </c>
      <c r="B3861" s="5" t="str">
        <f>IFERROR(__xludf.DUMMYFUNCTION("""COMPUTED_VALUE"""),"هیأت")</f>
        <v>هیأت</v>
      </c>
      <c r="C3861" s="5" t="str">
        <f>IFERROR(__xludf.DUMMYFUNCTION("""COMPUTED_VALUE"""),"مکتب الائمه(ع)")</f>
        <v>مکتب الائمه(ع)</v>
      </c>
      <c r="D3861" s="5" t="str">
        <f>IFERROR(__xludf.DUMMYFUNCTION("""COMPUTED_VALUE"""),"کرمان")</f>
        <v>کرمان</v>
      </c>
      <c r="E3861" s="5" t="str">
        <f>IFERROR(__xludf.DUMMYFUNCTION("""COMPUTED_VALUE"""),"کرمان")</f>
        <v>کرمان</v>
      </c>
      <c r="F3861" s="5"/>
      <c r="G3861" s="5"/>
      <c r="H3861" s="6" t="str">
        <f>IFERROR(__xludf.DUMMYFUNCTION("""COMPUTED_VALUE"""),"https://www.instagram.com/maktabol_aemeh_kerman")</f>
        <v>https://www.instagram.com/maktabol_aemeh_kerman</v>
      </c>
      <c r="I3861" s="6" t="str">
        <f>IFERROR(__xludf.DUMMYFUNCTION("""COMPUTED_VALUE"""),"https://t.me/maktabol_aemeh_kerman")</f>
        <v>https://t.me/maktabol_aemeh_kerman</v>
      </c>
      <c r="J3861" s="5"/>
      <c r="K3861" s="5"/>
      <c r="L3861" s="5"/>
      <c r="M3861" s="5"/>
      <c r="N3861" s="5"/>
      <c r="O3861" s="5"/>
      <c r="P3861" s="5"/>
      <c r="Q3861" s="5"/>
      <c r="R3861" s="5"/>
      <c r="S3861" s="5"/>
    </row>
    <row r="3862">
      <c r="A3862" s="5">
        <f>IFERROR(__xludf.DUMMYFUNCTION("""COMPUTED_VALUE"""),11674.0)</f>
        <v>11674</v>
      </c>
      <c r="B3862" s="5" t="str">
        <f>IFERROR(__xludf.DUMMYFUNCTION("""COMPUTED_VALUE"""),"هیأت")</f>
        <v>هیأت</v>
      </c>
      <c r="C3862" s="5" t="str">
        <f>IFERROR(__xludf.DUMMYFUNCTION("""COMPUTED_VALUE"""),"مکتب العباس(ع)")</f>
        <v>مکتب العباس(ع)</v>
      </c>
      <c r="D3862" s="5" t="str">
        <f>IFERROR(__xludf.DUMMYFUNCTION("""COMPUTED_VALUE"""),"کرمان")</f>
        <v>کرمان</v>
      </c>
      <c r="E3862" s="5" t="str">
        <f>IFERROR(__xludf.DUMMYFUNCTION("""COMPUTED_VALUE"""),"بم")</f>
        <v>بم</v>
      </c>
      <c r="F3862" s="5"/>
      <c r="G3862" s="5"/>
      <c r="H3862" s="6" t="str">
        <f>IFERROR(__xludf.DUMMYFUNCTION("""COMPUTED_VALUE"""),"https://www.instagram.com/maktabolabas_133")</f>
        <v>https://www.instagram.com/maktabolabas_133</v>
      </c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</row>
    <row r="3863">
      <c r="A3863" s="5">
        <f>IFERROR(__xludf.DUMMYFUNCTION("""COMPUTED_VALUE"""),11669.0)</f>
        <v>11669</v>
      </c>
      <c r="B3863" s="5" t="str">
        <f>IFERROR(__xludf.DUMMYFUNCTION("""COMPUTED_VALUE"""),"هیأت")</f>
        <v>هیأت</v>
      </c>
      <c r="C3863" s="5" t="str">
        <f>IFERROR(__xludf.DUMMYFUNCTION("""COMPUTED_VALUE"""),"ابوالفضل العباس(ع) (عرب خانه)")</f>
        <v>ابوالفضل العباس(ع) (عرب خانه)</v>
      </c>
      <c r="D3863" s="5" t="str">
        <f>IFERROR(__xludf.DUMMYFUNCTION("""COMPUTED_VALUE"""),"کرمان")</f>
        <v>کرمان</v>
      </c>
      <c r="E3863" s="5" t="str">
        <f>IFERROR(__xludf.DUMMYFUNCTION("""COMPUTED_VALUE"""),"بم")</f>
        <v>بم</v>
      </c>
      <c r="F3863" s="5"/>
      <c r="G3863" s="5"/>
      <c r="H3863" s="6" t="str">
        <f>IFERROR(__xludf.DUMMYFUNCTION("""COMPUTED_VALUE"""),"https://www.instagram.com/heyat__abalfazalabas__bam/")</f>
        <v>https://www.instagram.com/heyat__abalfazalabas__bam/</v>
      </c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</row>
    <row r="3864">
      <c r="A3864" s="5">
        <f>IFERROR(__xludf.DUMMYFUNCTION("""COMPUTED_VALUE"""),11650.0)</f>
        <v>11650</v>
      </c>
      <c r="B3864" s="5" t="str">
        <f>IFERROR(__xludf.DUMMYFUNCTION("""COMPUTED_VALUE"""),"هیأت")</f>
        <v>هیأت</v>
      </c>
      <c r="C3864" s="5" t="str">
        <f>IFERROR(__xludf.DUMMYFUNCTION("""COMPUTED_VALUE"""),"انصارالزهرا (س)")</f>
        <v>انصارالزهرا (س)</v>
      </c>
      <c r="D3864" s="5" t="str">
        <f>IFERROR(__xludf.DUMMYFUNCTION("""COMPUTED_VALUE"""),"کرمان")</f>
        <v>کرمان</v>
      </c>
      <c r="E3864" s="5" t="str">
        <f>IFERROR(__xludf.DUMMYFUNCTION("""COMPUTED_VALUE"""),"شهربابک")</f>
        <v>شهربابک</v>
      </c>
      <c r="F3864" s="5"/>
      <c r="G3864" s="5"/>
      <c r="H3864" s="6" t="str">
        <f>IFERROR(__xludf.DUMMYFUNCTION("""COMPUTED_VALUE"""),"https://www.instagram.com/ansaralzahra_ir")</f>
        <v>https://www.instagram.com/ansaralzahra_ir</v>
      </c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</row>
    <row r="3865">
      <c r="A3865" s="5">
        <f>IFERROR(__xludf.DUMMYFUNCTION("""COMPUTED_VALUE"""),11649.0)</f>
        <v>11649</v>
      </c>
      <c r="B3865" s="5" t="str">
        <f>IFERROR(__xludf.DUMMYFUNCTION("""COMPUTED_VALUE"""),"هیأت")</f>
        <v>هیأت</v>
      </c>
      <c r="C3865" s="5" t="str">
        <f>IFERROR(__xludf.DUMMYFUNCTION("""COMPUTED_VALUE"""),"موسسه فرهنگی ورزشی امید فردا (امید مهدی)")</f>
        <v>موسسه فرهنگی ورزشی امید فردا (امید مهدی)</v>
      </c>
      <c r="D3865" s="5" t="str">
        <f>IFERROR(__xludf.DUMMYFUNCTION("""COMPUTED_VALUE"""),"کرمان")</f>
        <v>کرمان</v>
      </c>
      <c r="E3865" s="5" t="str">
        <f>IFERROR(__xludf.DUMMYFUNCTION("""COMPUTED_VALUE"""),"شهربابک")</f>
        <v>شهربابک</v>
      </c>
      <c r="F3865" s="5"/>
      <c r="G3865" s="5"/>
      <c r="H3865" s="6" t="str">
        <f>IFERROR(__xludf.DUMMYFUNCTION("""COMPUTED_VALUE"""),"https://www.instagram.com/fc.omidmahdi.shahrbabak")</f>
        <v>https://www.instagram.com/fc.omidmahdi.shahrbabak</v>
      </c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</row>
    <row r="3866">
      <c r="A3866" s="5">
        <f>IFERROR(__xludf.DUMMYFUNCTION("""COMPUTED_VALUE"""),11648.0)</f>
        <v>11648</v>
      </c>
      <c r="B3866" s="5" t="str">
        <f>IFERROR(__xludf.DUMMYFUNCTION("""COMPUTED_VALUE"""),"هیأت")</f>
        <v>هیأت</v>
      </c>
      <c r="C3866" s="5" t="str">
        <f>IFERROR(__xludf.DUMMYFUNCTION("""COMPUTED_VALUE"""),"شهدای گمنام")</f>
        <v>شهدای گمنام</v>
      </c>
      <c r="D3866" s="5" t="str">
        <f>IFERROR(__xludf.DUMMYFUNCTION("""COMPUTED_VALUE"""),"کرمان")</f>
        <v>کرمان</v>
      </c>
      <c r="E3866" s="5" t="str">
        <f>IFERROR(__xludf.DUMMYFUNCTION("""COMPUTED_VALUE"""),"شهربابک")</f>
        <v>شهربابک</v>
      </c>
      <c r="F3866" s="5"/>
      <c r="G3866" s="5"/>
      <c r="H3866" s="6" t="str">
        <f>IFERROR(__xludf.DUMMYFUNCTION("""COMPUTED_VALUE"""),"https://www.instagram.com/shohadayegomnam.1389")</f>
        <v>https://www.instagram.com/shohadayegomnam.1389</v>
      </c>
      <c r="I3866" s="6" t="str">
        <f>IFERROR(__xludf.DUMMYFUNCTION("""COMPUTED_VALUE"""),"https://t.me/shohadayegomnam89")</f>
        <v>https://t.me/shohadayegomnam89</v>
      </c>
      <c r="J3866" s="5"/>
      <c r="K3866" s="5"/>
      <c r="L3866" s="5"/>
      <c r="M3866" s="5"/>
      <c r="N3866" s="5"/>
      <c r="O3866" s="5"/>
      <c r="P3866" s="5"/>
      <c r="Q3866" s="5"/>
      <c r="R3866" s="5"/>
      <c r="S3866" s="5"/>
    </row>
    <row r="3867">
      <c r="A3867" s="5">
        <f>IFERROR(__xludf.DUMMYFUNCTION("""COMPUTED_VALUE"""),11642.0)</f>
        <v>11642</v>
      </c>
      <c r="B3867" s="5" t="str">
        <f>IFERROR(__xludf.DUMMYFUNCTION("""COMPUTED_VALUE"""),"هیأت")</f>
        <v>هیأت</v>
      </c>
      <c r="C3867" s="5" t="str">
        <f>IFERROR(__xludf.DUMMYFUNCTION("""COMPUTED_VALUE"""),"عاشقان کربلا")</f>
        <v>عاشقان کربلا</v>
      </c>
      <c r="D3867" s="5" t="str">
        <f>IFERROR(__xludf.DUMMYFUNCTION("""COMPUTED_VALUE"""),"کرمان")</f>
        <v>کرمان</v>
      </c>
      <c r="E3867" s="5" t="str">
        <f>IFERROR(__xludf.DUMMYFUNCTION("""COMPUTED_VALUE"""),"انار")</f>
        <v>انار</v>
      </c>
      <c r="F3867" s="5"/>
      <c r="G3867" s="5"/>
      <c r="H3867" s="6" t="str">
        <f>IFERROR(__xludf.DUMMYFUNCTION("""COMPUTED_VALUE"""),"https://www.instagram.com/asheghankarbala.ir")</f>
        <v>https://www.instagram.com/asheghankarbala.ir</v>
      </c>
      <c r="I3867" s="5"/>
      <c r="J3867" s="6" t="str">
        <f>IFERROR(__xludf.DUMMYFUNCTION("""COMPUTED_VALUE"""),"https://eitaa.com/asheghankarbalaanar")</f>
        <v>https://eitaa.com/asheghankarbalaanar</v>
      </c>
      <c r="K3867" s="5"/>
      <c r="L3867" s="5"/>
      <c r="M3867" s="5"/>
      <c r="N3867" s="5"/>
      <c r="O3867" s="5"/>
      <c r="P3867" s="5"/>
      <c r="Q3867" s="5"/>
      <c r="R3867" s="5"/>
      <c r="S3867" s="5"/>
    </row>
    <row r="3868">
      <c r="A3868" s="5">
        <f>IFERROR(__xludf.DUMMYFUNCTION("""COMPUTED_VALUE"""),11634.0)</f>
        <v>11634</v>
      </c>
      <c r="B3868" s="5" t="str">
        <f>IFERROR(__xludf.DUMMYFUNCTION("""COMPUTED_VALUE"""),"هیأت")</f>
        <v>هیأت</v>
      </c>
      <c r="C3868" s="5" t="str">
        <f>IFERROR(__xludf.DUMMYFUNCTION("""COMPUTED_VALUE"""),"کانون فرهنگی امام باقر(ع)")</f>
        <v>کانون فرهنگی امام باقر(ع)</v>
      </c>
      <c r="D3868" s="5" t="str">
        <f>IFERROR(__xludf.DUMMYFUNCTION("""COMPUTED_VALUE"""),"کرمان")</f>
        <v>کرمان</v>
      </c>
      <c r="E3868" s="5" t="str">
        <f>IFERROR(__xludf.DUMMYFUNCTION("""COMPUTED_VALUE"""),"بدون شهرستان")</f>
        <v>بدون شهرستان</v>
      </c>
      <c r="F3868" s="5"/>
      <c r="G3868" s="5"/>
      <c r="H3868" s="5"/>
      <c r="I3868" s="5"/>
      <c r="J3868" s="6" t="str">
        <f>IFERROR(__xludf.DUMMYFUNCTION("""COMPUTED_VALUE"""),"https://eitaa.com/kanoonemb")</f>
        <v>https://eitaa.com/kanoonemb</v>
      </c>
      <c r="K3868" s="5"/>
      <c r="L3868" s="5"/>
      <c r="M3868" s="5"/>
      <c r="N3868" s="5"/>
      <c r="O3868" s="5"/>
      <c r="P3868" s="5"/>
      <c r="Q3868" s="5"/>
      <c r="R3868" s="5"/>
      <c r="S3868" s="5"/>
    </row>
    <row r="3869">
      <c r="A3869" s="5">
        <f>IFERROR(__xludf.DUMMYFUNCTION("""COMPUTED_VALUE"""),11633.0)</f>
        <v>11633</v>
      </c>
      <c r="B3869" s="5" t="str">
        <f>IFERROR(__xludf.DUMMYFUNCTION("""COMPUTED_VALUE"""),"هیأت")</f>
        <v>هیأت</v>
      </c>
      <c r="C3869" s="5" t="str">
        <f>IFERROR(__xludf.DUMMYFUNCTION("""COMPUTED_VALUE"""),"مهدیه امام حسن مجتبی(ع)")</f>
        <v>مهدیه امام حسن مجتبی(ع)</v>
      </c>
      <c r="D3869" s="5" t="str">
        <f>IFERROR(__xludf.DUMMYFUNCTION("""COMPUTED_VALUE"""),"کرمان")</f>
        <v>کرمان</v>
      </c>
      <c r="E3869" s="5" t="str">
        <f>IFERROR(__xludf.DUMMYFUNCTION("""COMPUTED_VALUE"""),"بدون شهرستان")</f>
        <v>بدون شهرستان</v>
      </c>
      <c r="F3869" s="5"/>
      <c r="G3869" s="5"/>
      <c r="H3869" s="6" t="str">
        <f>IFERROR(__xludf.DUMMYFUNCTION("""COMPUTED_VALUE"""),"https://www.instagram.com/ih118")</f>
        <v>https://www.instagram.com/ih118</v>
      </c>
      <c r="I3869" s="6" t="str">
        <f>IFERROR(__xludf.DUMMYFUNCTION("""COMPUTED_VALUE"""),"https://t.me/ih_118")</f>
        <v>https://t.me/ih_118</v>
      </c>
      <c r="J3869" s="5"/>
      <c r="K3869" s="5"/>
      <c r="L3869" s="5"/>
      <c r="M3869" s="5"/>
      <c r="N3869" s="5"/>
      <c r="O3869" s="5"/>
      <c r="P3869" s="5"/>
      <c r="Q3869" s="5"/>
      <c r="R3869" s="5"/>
      <c r="S3869" s="5"/>
    </row>
    <row r="3870">
      <c r="A3870" s="5">
        <f>IFERROR(__xludf.DUMMYFUNCTION("""COMPUTED_VALUE"""),11625.0)</f>
        <v>11625</v>
      </c>
      <c r="B3870" s="5" t="str">
        <f>IFERROR(__xludf.DUMMYFUNCTION("""COMPUTED_VALUE"""),"هیأت")</f>
        <v>هیأت</v>
      </c>
      <c r="C3870" s="5" t="str">
        <f>IFERROR(__xludf.DUMMYFUNCTION("""COMPUTED_VALUE"""),"مکتب الصادق(ع) (حوزه علمیه محمودیه)")</f>
        <v>مکتب الصادق(ع) (حوزه علمیه محمودیه)</v>
      </c>
      <c r="D3870" s="5" t="str">
        <f>IFERROR(__xludf.DUMMYFUNCTION("""COMPUTED_VALUE"""),"کرمان")</f>
        <v>کرمان</v>
      </c>
      <c r="E3870" s="5" t="str">
        <f>IFERROR(__xludf.DUMMYFUNCTION("""COMPUTED_VALUE"""),"کرمان")</f>
        <v>کرمان</v>
      </c>
      <c r="F3870" s="5"/>
      <c r="G3870" s="5"/>
      <c r="H3870" s="5"/>
      <c r="I3870" s="5"/>
      <c r="J3870" s="6" t="str">
        <f>IFERROR(__xludf.DUMMYFUNCTION("""COMPUTED_VALUE"""),"https://eitaa.com/Mahmoudiyah")</f>
        <v>https://eitaa.com/Mahmoudiyah</v>
      </c>
      <c r="K3870" s="5"/>
      <c r="L3870" s="5"/>
      <c r="M3870" s="5"/>
      <c r="N3870" s="5"/>
      <c r="O3870" s="5"/>
      <c r="P3870" s="5"/>
      <c r="Q3870" s="5"/>
      <c r="R3870" s="5"/>
      <c r="S3870" s="5"/>
    </row>
    <row r="3871">
      <c r="A3871" s="5">
        <f>IFERROR(__xludf.DUMMYFUNCTION("""COMPUTED_VALUE"""),11623.0)</f>
        <v>11623</v>
      </c>
      <c r="B3871" s="5" t="str">
        <f>IFERROR(__xludf.DUMMYFUNCTION("""COMPUTED_VALUE"""),"مسجد")</f>
        <v>مسجد</v>
      </c>
      <c r="C3871" s="5" t="str">
        <f>IFERROR(__xludf.DUMMYFUNCTION("""COMPUTED_VALUE"""),"امام محمدباقر(ع)")</f>
        <v>امام محمدباقر(ع)</v>
      </c>
      <c r="D3871" s="5" t="str">
        <f>IFERROR(__xludf.DUMMYFUNCTION("""COMPUTED_VALUE"""),"کرمان")</f>
        <v>کرمان</v>
      </c>
      <c r="E3871" s="5" t="str">
        <f>IFERROR(__xludf.DUMMYFUNCTION("""COMPUTED_VALUE"""),"بدون شهرستان")</f>
        <v>بدون شهرستان</v>
      </c>
      <c r="F3871" s="5"/>
      <c r="G3871" s="5"/>
      <c r="H3871" s="5"/>
      <c r="I3871" s="5"/>
      <c r="J3871" s="6" t="str">
        <f>IFERROR(__xludf.DUMMYFUNCTION("""COMPUTED_VALUE"""),"https://eitaa.com/masjedemb")</f>
        <v>https://eitaa.com/masjedemb</v>
      </c>
      <c r="K3871" s="5"/>
      <c r="L3871" s="5"/>
      <c r="M3871" s="5"/>
      <c r="N3871" s="5"/>
      <c r="O3871" s="5"/>
      <c r="P3871" s="5"/>
      <c r="Q3871" s="5"/>
      <c r="R3871" s="5"/>
      <c r="S3871" s="5"/>
    </row>
    <row r="3872">
      <c r="A3872" s="5">
        <f>IFERROR(__xludf.DUMMYFUNCTION("""COMPUTED_VALUE"""),11611.0)</f>
        <v>11611</v>
      </c>
      <c r="B3872" s="5" t="str">
        <f>IFERROR(__xludf.DUMMYFUNCTION("""COMPUTED_VALUE"""),"هیأت")</f>
        <v>هیأت</v>
      </c>
      <c r="C3872" s="5" t="str">
        <f>IFERROR(__xludf.DUMMYFUNCTION("""COMPUTED_VALUE"""),"موسی بن جعفر(ع)")</f>
        <v>موسی بن جعفر(ع)</v>
      </c>
      <c r="D3872" s="5" t="str">
        <f>IFERROR(__xludf.DUMMYFUNCTION("""COMPUTED_VALUE"""),"کرمان")</f>
        <v>کرمان</v>
      </c>
      <c r="E3872" s="5" t="str">
        <f>IFERROR(__xludf.DUMMYFUNCTION("""COMPUTED_VALUE"""),"بدون شهرستان")</f>
        <v>بدون شهرستان</v>
      </c>
      <c r="F3872" s="5"/>
      <c r="G3872" s="5"/>
      <c r="H3872" s="6" t="str">
        <f>IFERROR(__xludf.DUMMYFUNCTION("""COMPUTED_VALUE"""),"https://www.instagram.com/heyate_musa_ebne_jafar_kerman")</f>
        <v>https://www.instagram.com/heyate_musa_ebne_jafar_kerman</v>
      </c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</row>
    <row r="3873">
      <c r="A3873" s="5">
        <f>IFERROR(__xludf.DUMMYFUNCTION("""COMPUTED_VALUE"""),11609.0)</f>
        <v>11609</v>
      </c>
      <c r="B3873" s="5" t="str">
        <f>IFERROR(__xludf.DUMMYFUNCTION("""COMPUTED_VALUE"""),"هیأت")</f>
        <v>هیأت</v>
      </c>
      <c r="C3873" s="5" t="str">
        <f>IFERROR(__xludf.DUMMYFUNCTION("""COMPUTED_VALUE"""),"جوادالائمه(ع)")</f>
        <v>جوادالائمه(ع)</v>
      </c>
      <c r="D3873" s="5" t="str">
        <f>IFERROR(__xludf.DUMMYFUNCTION("""COMPUTED_VALUE"""),"کرمان")</f>
        <v>کرمان</v>
      </c>
      <c r="E3873" s="5" t="str">
        <f>IFERROR(__xludf.DUMMYFUNCTION("""COMPUTED_VALUE"""),"بدون شهرستان")</f>
        <v>بدون شهرستان</v>
      </c>
      <c r="F3873" s="5"/>
      <c r="G3873" s="5"/>
      <c r="H3873" s="6" t="str">
        <f>IFERROR(__xludf.DUMMYFUNCTION("""COMPUTED_VALUE"""),"https://www.instagram.com/javadolaeeme")</f>
        <v>https://www.instagram.com/javadolaeeme</v>
      </c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</row>
    <row r="3874">
      <c r="A3874" s="5">
        <f>IFERROR(__xludf.DUMMYFUNCTION("""COMPUTED_VALUE"""),11598.0)</f>
        <v>11598</v>
      </c>
      <c r="B3874" s="5" t="str">
        <f>IFERROR(__xludf.DUMMYFUNCTION("""COMPUTED_VALUE"""),"هیأت")</f>
        <v>هیأت</v>
      </c>
      <c r="C3874" s="5" t="str">
        <f>IFERROR(__xludf.DUMMYFUNCTION("""COMPUTED_VALUE"""),"منتظران مهدی (عج)")</f>
        <v>منتظران مهدی (عج)</v>
      </c>
      <c r="D3874" s="5" t="str">
        <f>IFERROR(__xludf.DUMMYFUNCTION("""COMPUTED_VALUE"""),"کرمان")</f>
        <v>کرمان</v>
      </c>
      <c r="E3874" s="5" t="str">
        <f>IFERROR(__xludf.DUMMYFUNCTION("""COMPUTED_VALUE"""),"فاریاب")</f>
        <v>فاریاب</v>
      </c>
      <c r="F3874" s="5"/>
      <c r="G3874" s="5"/>
      <c r="H3874" s="6" t="str">
        <f>IFERROR(__xludf.DUMMYFUNCTION("""COMPUTED_VALUE"""),"https://www.instagram.com/mehdi_as_waiting_board_313")</f>
        <v>https://www.instagram.com/mehdi_as_waiting_board_313</v>
      </c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</row>
    <row r="3875">
      <c r="A3875" s="5">
        <f>IFERROR(__xludf.DUMMYFUNCTION("""COMPUTED_VALUE"""),11595.0)</f>
        <v>11595</v>
      </c>
      <c r="B3875" s="5" t="str">
        <f>IFERROR(__xludf.DUMMYFUNCTION("""COMPUTED_VALUE"""),"هیأت")</f>
        <v>هیأت</v>
      </c>
      <c r="C3875" s="5" t="str">
        <f>IFERROR(__xludf.DUMMYFUNCTION("""COMPUTED_VALUE"""),"فاطمیون")</f>
        <v>فاطمیون</v>
      </c>
      <c r="D3875" s="5" t="str">
        <f>IFERROR(__xludf.DUMMYFUNCTION("""COMPUTED_VALUE"""),"کرمان")</f>
        <v>کرمان</v>
      </c>
      <c r="E3875" s="5" t="str">
        <f>IFERROR(__xludf.DUMMYFUNCTION("""COMPUTED_VALUE"""),"رفسنجان")</f>
        <v>رفسنجان</v>
      </c>
      <c r="F3875" s="5"/>
      <c r="G3875" s="5"/>
      <c r="H3875" s="6" t="str">
        <f>IFERROR(__xludf.DUMMYFUNCTION("""COMPUTED_VALUE"""),"https://www.instagram.com/fatemeun_rafsanjan")</f>
        <v>https://www.instagram.com/fatemeun_rafsanjan</v>
      </c>
      <c r="I3875" s="6" t="str">
        <f>IFERROR(__xludf.DUMMYFUNCTION("""COMPUTED_VALUE"""),"https://t.me/fatemeun_rafsanjan")</f>
        <v>https://t.me/fatemeun_rafsanjan</v>
      </c>
      <c r="J3875" s="5"/>
      <c r="K3875" s="5"/>
      <c r="L3875" s="5"/>
      <c r="M3875" s="5"/>
      <c r="N3875" s="5"/>
      <c r="O3875" s="5"/>
      <c r="P3875" s="5"/>
      <c r="Q3875" s="5"/>
      <c r="R3875" s="5"/>
      <c r="S3875" s="5"/>
    </row>
    <row r="3876">
      <c r="A3876" s="5">
        <f>IFERROR(__xludf.DUMMYFUNCTION("""COMPUTED_VALUE"""),11588.0)</f>
        <v>11588</v>
      </c>
      <c r="B3876" s="5" t="str">
        <f>IFERROR(__xludf.DUMMYFUNCTION("""COMPUTED_VALUE"""),"هیأت")</f>
        <v>هیأت</v>
      </c>
      <c r="C3876" s="5" t="str">
        <f>IFERROR(__xludf.DUMMYFUNCTION("""COMPUTED_VALUE"""),"رهروان شهدا")</f>
        <v>رهروان شهدا</v>
      </c>
      <c r="D3876" s="5" t="str">
        <f>IFERROR(__xludf.DUMMYFUNCTION("""COMPUTED_VALUE"""),"کرمان")</f>
        <v>کرمان</v>
      </c>
      <c r="E3876" s="5" t="str">
        <f>IFERROR(__xludf.DUMMYFUNCTION("""COMPUTED_VALUE"""),"راور")</f>
        <v>راور</v>
      </c>
      <c r="F3876" s="5"/>
      <c r="G3876" s="5"/>
      <c r="H3876" s="6" t="str">
        <f>IFERROR(__xludf.DUMMYFUNCTION("""COMPUTED_VALUE"""),"https://www.instagram.com/rahrovanshohada_ravar")</f>
        <v>https://www.instagram.com/rahrovanshohada_ravar</v>
      </c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</row>
    <row r="3877">
      <c r="A3877" s="5">
        <f>IFERROR(__xludf.DUMMYFUNCTION("""COMPUTED_VALUE"""),11586.0)</f>
        <v>11586</v>
      </c>
      <c r="B3877" s="5" t="str">
        <f>IFERROR(__xludf.DUMMYFUNCTION("""COMPUTED_VALUE"""),"هیأت")</f>
        <v>هیأت</v>
      </c>
      <c r="C3877" s="5" t="str">
        <f>IFERROR(__xludf.DUMMYFUNCTION("""COMPUTED_VALUE"""),"ولایت مداران بنی الزهرا (س)")</f>
        <v>ولایت مداران بنی الزهرا (س)</v>
      </c>
      <c r="D3877" s="5" t="str">
        <f>IFERROR(__xludf.DUMMYFUNCTION("""COMPUTED_VALUE"""),"کرمان")</f>
        <v>کرمان</v>
      </c>
      <c r="E3877" s="5" t="str">
        <f>IFERROR(__xludf.DUMMYFUNCTION("""COMPUTED_VALUE"""),"کوهبنان")</f>
        <v>کوهبنان</v>
      </c>
      <c r="F3877" s="5"/>
      <c r="G3877" s="5"/>
      <c r="H3877" s="6" t="str">
        <f>IFERROR(__xludf.DUMMYFUNCTION("""COMPUTED_VALUE"""),"https://www.instagram.com/heyat.banizahra")</f>
        <v>https://www.instagram.com/heyat.banizahra</v>
      </c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</row>
    <row r="3878">
      <c r="A3878" s="5">
        <f>IFERROR(__xludf.DUMMYFUNCTION("""COMPUTED_VALUE"""),11584.0)</f>
        <v>11584</v>
      </c>
      <c r="B3878" s="5" t="str">
        <f>IFERROR(__xludf.DUMMYFUNCTION("""COMPUTED_VALUE"""),"هیأت")</f>
        <v>هیأت</v>
      </c>
      <c r="C3878" s="5" t="str">
        <f>IFERROR(__xludf.DUMMYFUNCTION("""COMPUTED_VALUE"""),"حیدریون")</f>
        <v>حیدریون</v>
      </c>
      <c r="D3878" s="5" t="str">
        <f>IFERROR(__xludf.DUMMYFUNCTION("""COMPUTED_VALUE"""),"کرمان")</f>
        <v>کرمان</v>
      </c>
      <c r="E3878" s="5" t="str">
        <f>IFERROR(__xludf.DUMMYFUNCTION("""COMPUTED_VALUE"""),"سیرجان")</f>
        <v>سیرجان</v>
      </c>
      <c r="F3878" s="5"/>
      <c r="G3878" s="5"/>
      <c r="H3878" s="6" t="str">
        <f>IFERROR(__xludf.DUMMYFUNCTION("""COMPUTED_VALUE"""),"https://www.instagram.com/heydariyon_sirjan")</f>
        <v>https://www.instagram.com/heydariyon_sirjan</v>
      </c>
      <c r="I3878" s="6" t="str">
        <f>IFERROR(__xludf.DUMMYFUNCTION("""COMPUTED_VALUE"""),"https://t.me/heydariyon_sirjan")</f>
        <v>https://t.me/heydariyon_sirjan</v>
      </c>
      <c r="J3878" s="5"/>
      <c r="K3878" s="5"/>
      <c r="L3878" s="5"/>
      <c r="M3878" s="5"/>
      <c r="N3878" s="5"/>
      <c r="O3878" s="5"/>
      <c r="P3878" s="5"/>
      <c r="Q3878" s="5"/>
      <c r="R3878" s="5"/>
      <c r="S3878" s="5"/>
    </row>
    <row r="3879">
      <c r="A3879" s="5">
        <f>IFERROR(__xludf.DUMMYFUNCTION("""COMPUTED_VALUE"""),11580.0)</f>
        <v>11580</v>
      </c>
      <c r="B3879" s="5" t="str">
        <f>IFERROR(__xludf.DUMMYFUNCTION("""COMPUTED_VALUE"""),"هیأت")</f>
        <v>هیأت</v>
      </c>
      <c r="C3879" s="5" t="str">
        <f>IFERROR(__xludf.DUMMYFUNCTION("""COMPUTED_VALUE"""),"محبین اهل بیت(ع)")</f>
        <v>محبین اهل بیت(ع)</v>
      </c>
      <c r="D3879" s="5" t="str">
        <f>IFERROR(__xludf.DUMMYFUNCTION("""COMPUTED_VALUE"""),"کرمان")</f>
        <v>کرمان</v>
      </c>
      <c r="E3879" s="5" t="str">
        <f>IFERROR(__xludf.DUMMYFUNCTION("""COMPUTED_VALUE"""),"کرمان")</f>
        <v>کرمان</v>
      </c>
      <c r="F3879" s="5"/>
      <c r="G3879" s="5"/>
      <c r="H3879" s="6" t="str">
        <f>IFERROR(__xludf.DUMMYFUNCTION("""COMPUTED_VALUE"""),"https://www.instagram.com/heiat_mohebbin_ahlebait")</f>
        <v>https://www.instagram.com/heiat_mohebbin_ahlebait</v>
      </c>
      <c r="I3879" s="5"/>
      <c r="J3879" s="6" t="str">
        <f>IFERROR(__xludf.DUMMYFUNCTION("""COMPUTED_VALUE"""),"https://eitaa.org/mohebbin_net")</f>
        <v>https://eitaa.org/mohebbin_net</v>
      </c>
      <c r="K3879" s="5"/>
      <c r="L3879" s="5"/>
      <c r="M3879" s="5"/>
      <c r="N3879" s="5"/>
      <c r="O3879" s="5"/>
      <c r="P3879" s="5"/>
      <c r="Q3879" s="5"/>
      <c r="R3879" s="5"/>
      <c r="S3879" s="5"/>
    </row>
    <row r="3880">
      <c r="A3880" s="5">
        <f>IFERROR(__xludf.DUMMYFUNCTION("""COMPUTED_VALUE"""),11568.0)</f>
        <v>11568</v>
      </c>
      <c r="B3880" s="5" t="str">
        <f>IFERROR(__xludf.DUMMYFUNCTION("""COMPUTED_VALUE"""),"هیأت")</f>
        <v>هیأت</v>
      </c>
      <c r="C3880" s="5" t="str">
        <f>IFERROR(__xludf.DUMMYFUNCTION("""COMPUTED_VALUE"""),"علمدار")</f>
        <v>علمدار</v>
      </c>
      <c r="D3880" s="5" t="str">
        <f>IFERROR(__xludf.DUMMYFUNCTION("""COMPUTED_VALUE"""),"کرمان")</f>
        <v>کرمان</v>
      </c>
      <c r="E3880" s="5" t="str">
        <f>IFERROR(__xludf.DUMMYFUNCTION("""COMPUTED_VALUE"""),"انار")</f>
        <v>انار</v>
      </c>
      <c r="F3880" s="5"/>
      <c r="G3880" s="5"/>
      <c r="H3880" s="6" t="str">
        <f>IFERROR(__xludf.DUMMYFUNCTION("""COMPUTED_VALUE"""),"https://www.instagram.com/heyatalamdar_")</f>
        <v>https://www.instagram.com/heyatalamdar_</v>
      </c>
      <c r="I3880" s="5"/>
      <c r="J3880" s="6" t="str">
        <f>IFERROR(__xludf.DUMMYFUNCTION("""COMPUTED_VALUE"""),"https://eitaa.com/alam_133")</f>
        <v>https://eitaa.com/alam_133</v>
      </c>
      <c r="K3880" s="5"/>
      <c r="L3880" s="5"/>
      <c r="M3880" s="5"/>
      <c r="N3880" s="5"/>
      <c r="O3880" s="5"/>
      <c r="P3880" s="5"/>
      <c r="Q3880" s="5"/>
      <c r="R3880" s="5"/>
      <c r="S3880" s="5"/>
    </row>
    <row r="3881">
      <c r="A3881" s="5">
        <f>IFERROR(__xludf.DUMMYFUNCTION("""COMPUTED_VALUE"""),11567.0)</f>
        <v>11567</v>
      </c>
      <c r="B3881" s="5" t="str">
        <f>IFERROR(__xludf.DUMMYFUNCTION("""COMPUTED_VALUE"""),"هیأت")</f>
        <v>هیأت</v>
      </c>
      <c r="C3881" s="5" t="str">
        <f>IFERROR(__xludf.DUMMYFUNCTION("""COMPUTED_VALUE"""),"محبین اهل بیت(ع) (مسجد صاحب الزمان(عج))")</f>
        <v>محبین اهل بیت(ع) (مسجد صاحب الزمان(عج))</v>
      </c>
      <c r="D3881" s="5" t="str">
        <f>IFERROR(__xludf.DUMMYFUNCTION("""COMPUTED_VALUE"""),"کرمان")</f>
        <v>کرمان</v>
      </c>
      <c r="E3881" s="5" t="str">
        <f>IFERROR(__xludf.DUMMYFUNCTION("""COMPUTED_VALUE"""),"شهربابک")</f>
        <v>شهربابک</v>
      </c>
      <c r="F3881" s="5"/>
      <c r="G3881" s="5"/>
      <c r="H3881" s="6" t="str">
        <f>IFERROR(__xludf.DUMMYFUNCTION("""COMPUTED_VALUE"""),"https://www.instagram.com/heyat.mohebin.ahlebeyt")</f>
        <v>https://www.instagram.com/heyat.mohebin.ahlebeyt</v>
      </c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</row>
    <row r="3882">
      <c r="A3882" s="5">
        <f>IFERROR(__xludf.DUMMYFUNCTION("""COMPUTED_VALUE"""),11562.0)</f>
        <v>11562</v>
      </c>
      <c r="B3882" s="5" t="str">
        <f>IFERROR(__xludf.DUMMYFUNCTION("""COMPUTED_VALUE"""),"هیأت")</f>
        <v>هیأت</v>
      </c>
      <c r="C3882" s="5" t="str">
        <f>IFERROR(__xludf.DUMMYFUNCTION("""COMPUTED_VALUE"""),"رهروان حضرت علی اصغر(ع)")</f>
        <v>رهروان حضرت علی اصغر(ع)</v>
      </c>
      <c r="D3882" s="5" t="str">
        <f>IFERROR(__xludf.DUMMYFUNCTION("""COMPUTED_VALUE"""),"کرمان")</f>
        <v>کرمان</v>
      </c>
      <c r="E3882" s="5" t="str">
        <f>IFERROR(__xludf.DUMMYFUNCTION("""COMPUTED_VALUE"""),"انار")</f>
        <v>انار</v>
      </c>
      <c r="F3882" s="5"/>
      <c r="G3882" s="5"/>
      <c r="H3882" s="6" t="str">
        <f>IFERROR(__xludf.DUMMYFUNCTION("""COMPUTED_VALUE"""),"https://www.instagram.com/heyate.aliasghar/")</f>
        <v>https://www.instagram.com/heyate.aliasghar/</v>
      </c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</row>
    <row r="3883">
      <c r="A3883" s="5">
        <f>IFERROR(__xludf.DUMMYFUNCTION("""COMPUTED_VALUE"""),11544.0)</f>
        <v>11544</v>
      </c>
      <c r="B3883" s="5" t="str">
        <f>IFERROR(__xludf.DUMMYFUNCTION("""COMPUTED_VALUE"""),"هیأت")</f>
        <v>هیأت</v>
      </c>
      <c r="C3883" s="5" t="str">
        <f>IFERROR(__xludf.DUMMYFUNCTION("""COMPUTED_VALUE"""),"علمدار (دانشگاه آزاد کهنوج)")</f>
        <v>علمدار (دانشگاه آزاد کهنوج)</v>
      </c>
      <c r="D3883" s="5" t="str">
        <f>IFERROR(__xludf.DUMMYFUNCTION("""COMPUTED_VALUE"""),"کرمان")</f>
        <v>کرمان</v>
      </c>
      <c r="E3883" s="5" t="str">
        <f>IFERROR(__xludf.DUMMYFUNCTION("""COMPUTED_VALUE"""),"کهنوج")</f>
        <v>کهنوج</v>
      </c>
      <c r="F3883" s="5"/>
      <c r="G3883" s="5"/>
      <c r="H3883" s="6" t="str">
        <f>IFERROR(__xludf.DUMMYFUNCTION("""COMPUTED_VALUE"""),"https://www.instagram.com/iau.kahnouj")</f>
        <v>https://www.instagram.com/iau.kahnouj</v>
      </c>
      <c r="I3883" s="6" t="str">
        <f>IFERROR(__xludf.DUMMYFUNCTION("""COMPUTED_VALUE"""),"https://t.me/iaukahnouj")</f>
        <v>https://t.me/iaukahnouj</v>
      </c>
      <c r="J3883" s="6" t="str">
        <f>IFERROR(__xludf.DUMMYFUNCTION("""COMPUTED_VALUE"""),"https://eitaa.com/iaukahnouj")</f>
        <v>https://eitaa.com/iaukahnouj</v>
      </c>
      <c r="K3883" s="5"/>
      <c r="L3883" s="5"/>
      <c r="M3883" s="5"/>
      <c r="N3883" s="5"/>
      <c r="O3883" s="5"/>
      <c r="P3883" s="5"/>
      <c r="Q3883" s="5"/>
      <c r="R3883" s="5"/>
      <c r="S3883" s="5"/>
    </row>
    <row r="3884">
      <c r="A3884" s="5">
        <f>IFERROR(__xludf.DUMMYFUNCTION("""COMPUTED_VALUE"""),11531.0)</f>
        <v>11531</v>
      </c>
      <c r="B3884" s="5" t="str">
        <f>IFERROR(__xludf.DUMMYFUNCTION("""COMPUTED_VALUE"""),"هیأت")</f>
        <v>هیأت</v>
      </c>
      <c r="C3884" s="5" t="str">
        <f>IFERROR(__xludf.DUMMYFUNCTION("""COMPUTED_VALUE"""),"لثارت الحسین(ع)")</f>
        <v>لثارت الحسین(ع)</v>
      </c>
      <c r="D3884" s="5" t="str">
        <f>IFERROR(__xludf.DUMMYFUNCTION("""COMPUTED_VALUE"""),"کرمان")</f>
        <v>کرمان</v>
      </c>
      <c r="E3884" s="5" t="str">
        <f>IFERROR(__xludf.DUMMYFUNCTION("""COMPUTED_VALUE"""),"بدون شهرستان")</f>
        <v>بدون شهرستان</v>
      </c>
      <c r="F3884" s="5"/>
      <c r="G3884" s="5"/>
      <c r="H3884" s="6" t="str">
        <f>IFERROR(__xludf.DUMMYFUNCTION("""COMPUTED_VALUE"""),"https://www.instagram.com/lesaratal.hossain")</f>
        <v>https://www.instagram.com/lesaratal.hossain</v>
      </c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</row>
    <row r="3885">
      <c r="A3885" s="5">
        <f>IFERROR(__xludf.DUMMYFUNCTION("""COMPUTED_VALUE"""),11529.0)</f>
        <v>11529</v>
      </c>
      <c r="B3885" s="5" t="str">
        <f>IFERROR(__xludf.DUMMYFUNCTION("""COMPUTED_VALUE"""),"هیأت")</f>
        <v>هیأت</v>
      </c>
      <c r="C3885" s="5" t="str">
        <f>IFERROR(__xludf.DUMMYFUNCTION("""COMPUTED_VALUE"""),"مهدیه بقیه الله (عج)")</f>
        <v>مهدیه بقیه الله (عج)</v>
      </c>
      <c r="D3885" s="5" t="str">
        <f>IFERROR(__xludf.DUMMYFUNCTION("""COMPUTED_VALUE"""),"کرمان")</f>
        <v>کرمان</v>
      </c>
      <c r="E3885" s="5" t="str">
        <f>IFERROR(__xludf.DUMMYFUNCTION("""COMPUTED_VALUE"""),"بافت")</f>
        <v>بافت</v>
      </c>
      <c r="F3885" s="5"/>
      <c r="G3885" s="5"/>
      <c r="H3885" s="6" t="str">
        <f>IFERROR(__xludf.DUMMYFUNCTION("""COMPUTED_VALUE"""),"https://www.instagram.com/mahdie_baft")</f>
        <v>https://www.instagram.com/mahdie_baft</v>
      </c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</row>
    <row r="3886">
      <c r="A3886" s="5">
        <f>IFERROR(__xludf.DUMMYFUNCTION("""COMPUTED_VALUE"""),11523.0)</f>
        <v>11523</v>
      </c>
      <c r="B3886" s="5" t="str">
        <f>IFERROR(__xludf.DUMMYFUNCTION("""COMPUTED_VALUE"""),"هیأت")</f>
        <v>هیأت</v>
      </c>
      <c r="C3886" s="5" t="str">
        <f>IFERROR(__xludf.DUMMYFUNCTION("""COMPUTED_VALUE"""),"شهدای خانوک")</f>
        <v>شهدای خانوک</v>
      </c>
      <c r="D3886" s="5" t="str">
        <f>IFERROR(__xludf.DUMMYFUNCTION("""COMPUTED_VALUE"""),"کرمان")</f>
        <v>کرمان</v>
      </c>
      <c r="E3886" s="5" t="str">
        <f>IFERROR(__xludf.DUMMYFUNCTION("""COMPUTED_VALUE"""),"زرند")</f>
        <v>زرند</v>
      </c>
      <c r="F3886" s="5"/>
      <c r="G3886" s="5"/>
      <c r="H3886" s="6" t="str">
        <f>IFERROR(__xludf.DUMMYFUNCTION("""COMPUTED_VALUE"""),"https://www.instagram.com/heyat_shohada_khanook")</f>
        <v>https://www.instagram.com/heyat_shohada_khanook</v>
      </c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</row>
    <row r="3887">
      <c r="A3887" s="5">
        <f>IFERROR(__xludf.DUMMYFUNCTION("""COMPUTED_VALUE"""),11520.0)</f>
        <v>11520</v>
      </c>
      <c r="B3887" s="5" t="str">
        <f>IFERROR(__xludf.DUMMYFUNCTION("""COMPUTED_VALUE"""),"هیأت")</f>
        <v>هیأت</v>
      </c>
      <c r="C3887" s="5" t="str">
        <f>IFERROR(__xludf.DUMMYFUNCTION("""COMPUTED_VALUE"""),"مجمع بیت العباس (ع)")</f>
        <v>مجمع بیت العباس (ع)</v>
      </c>
      <c r="D3887" s="5" t="str">
        <f>IFERROR(__xludf.DUMMYFUNCTION("""COMPUTED_VALUE"""),"کرمان")</f>
        <v>کرمان</v>
      </c>
      <c r="E3887" s="5" t="str">
        <f>IFERROR(__xludf.DUMMYFUNCTION("""COMPUTED_VALUE"""),"زرند")</f>
        <v>زرند</v>
      </c>
      <c r="F3887" s="5"/>
      <c r="G3887" s="5"/>
      <c r="H3887" s="6" t="str">
        <f>IFERROR(__xludf.DUMMYFUNCTION("""COMPUTED_VALUE"""),"https://www.instagram.com/bitolabas")</f>
        <v>https://www.instagram.com/bitolabas</v>
      </c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</row>
    <row r="3888">
      <c r="A3888" s="5">
        <f>IFERROR(__xludf.DUMMYFUNCTION("""COMPUTED_VALUE"""),11510.0)</f>
        <v>11510</v>
      </c>
      <c r="B3888" s="5" t="str">
        <f>IFERROR(__xludf.DUMMYFUNCTION("""COMPUTED_VALUE"""),"هیأت")</f>
        <v>هیأت</v>
      </c>
      <c r="C3888" s="5" t="str">
        <f>IFERROR(__xludf.DUMMYFUNCTION("""COMPUTED_VALUE"""),"دفتر امام جمعه")</f>
        <v>دفتر امام جمعه</v>
      </c>
      <c r="D3888" s="5" t="str">
        <f>IFERROR(__xludf.DUMMYFUNCTION("""COMPUTED_VALUE"""),"کرمان")</f>
        <v>کرمان</v>
      </c>
      <c r="E3888" s="5" t="str">
        <f>IFERROR(__xludf.DUMMYFUNCTION("""COMPUTED_VALUE"""),"زرند")</f>
        <v>زرند</v>
      </c>
      <c r="F3888" s="5"/>
      <c r="G3888" s="5"/>
      <c r="H3888" s="6" t="str">
        <f>IFERROR(__xludf.DUMMYFUNCTION("""COMPUTED_VALUE"""),"https://www.instagram.com/namazjome.zarand")</f>
        <v>https://www.instagram.com/namazjome.zarand</v>
      </c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</row>
    <row r="3889">
      <c r="A3889" s="5">
        <f>IFERROR(__xludf.DUMMYFUNCTION("""COMPUTED_VALUE"""),11506.0)</f>
        <v>11506</v>
      </c>
      <c r="B3889" s="5" t="str">
        <f>IFERROR(__xludf.DUMMYFUNCTION("""COMPUTED_VALUE"""),"هیأت")</f>
        <v>هیأت</v>
      </c>
      <c r="C3889" s="5" t="str">
        <f>IFERROR(__xludf.DUMMYFUNCTION("""COMPUTED_VALUE"""),"تعذیه خوانی حضرت ابوالفضل(ع)")</f>
        <v>تعذیه خوانی حضرت ابوالفضل(ع)</v>
      </c>
      <c r="D3889" s="5" t="str">
        <f>IFERROR(__xludf.DUMMYFUNCTION("""COMPUTED_VALUE"""),"کرمان")</f>
        <v>کرمان</v>
      </c>
      <c r="E3889" s="5" t="str">
        <f>IFERROR(__xludf.DUMMYFUNCTION("""COMPUTED_VALUE"""),"کرمان")</f>
        <v>کرمان</v>
      </c>
      <c r="F3889" s="5"/>
      <c r="G3889" s="5"/>
      <c r="H3889" s="5"/>
      <c r="I3889" s="6" t="str">
        <f>IFERROR(__xludf.DUMMYFUNCTION("""COMPUTED_VALUE"""),"https://eitaa.com/tazieh_kerman_dehziyar")</f>
        <v>https://eitaa.com/tazieh_kerman_dehziyar</v>
      </c>
      <c r="J3889" s="5"/>
      <c r="K3889" s="5"/>
      <c r="L3889" s="5"/>
      <c r="M3889" s="5"/>
      <c r="N3889" s="5"/>
      <c r="O3889" s="5"/>
      <c r="P3889" s="5"/>
      <c r="Q3889" s="5"/>
      <c r="R3889" s="5"/>
      <c r="S3889" s="5"/>
    </row>
    <row r="3890">
      <c r="A3890" s="5">
        <f>IFERROR(__xludf.DUMMYFUNCTION("""COMPUTED_VALUE"""),11501.0)</f>
        <v>11501</v>
      </c>
      <c r="B3890" s="5" t="str">
        <f>IFERROR(__xludf.DUMMYFUNCTION("""COMPUTED_VALUE"""),"هیأت")</f>
        <v>هیأت</v>
      </c>
      <c r="C3890" s="5" t="str">
        <f>IFERROR(__xludf.DUMMYFUNCTION("""COMPUTED_VALUE"""),"حضرت علی اصغر(ع)")</f>
        <v>حضرت علی اصغر(ع)</v>
      </c>
      <c r="D3890" s="5" t="str">
        <f>IFERROR(__xludf.DUMMYFUNCTION("""COMPUTED_VALUE"""),"کرمان")</f>
        <v>کرمان</v>
      </c>
      <c r="E3890" s="5" t="str">
        <f>IFERROR(__xludf.DUMMYFUNCTION("""COMPUTED_VALUE"""),"کوهبنان")</f>
        <v>کوهبنان</v>
      </c>
      <c r="F3890" s="5"/>
      <c r="G3890" s="5"/>
      <c r="H3890" s="6" t="str">
        <f>IFERROR(__xludf.DUMMYFUNCTION("""COMPUTED_VALUE"""),"https://www.instagram.com/shahzade.ali_asghar")</f>
        <v>https://www.instagram.com/shahzade.ali_asghar</v>
      </c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</row>
    <row r="3891">
      <c r="A3891" s="5">
        <f>IFERROR(__xludf.DUMMYFUNCTION("""COMPUTED_VALUE"""),11499.0)</f>
        <v>11499</v>
      </c>
      <c r="B3891" s="5" t="str">
        <f>IFERROR(__xludf.DUMMYFUNCTION("""COMPUTED_VALUE"""),"هیأت")</f>
        <v>هیأت</v>
      </c>
      <c r="C3891" s="5" t="str">
        <f>IFERROR(__xludf.DUMMYFUNCTION("""COMPUTED_VALUE"""),"قمربنی هاشم (ع)")</f>
        <v>قمربنی هاشم (ع)</v>
      </c>
      <c r="D3891" s="5" t="str">
        <f>IFERROR(__xludf.DUMMYFUNCTION("""COMPUTED_VALUE"""),"کرمان")</f>
        <v>کرمان</v>
      </c>
      <c r="E3891" s="5" t="str">
        <f>IFERROR(__xludf.DUMMYFUNCTION("""COMPUTED_VALUE"""),"فاریاب")</f>
        <v>فاریاب</v>
      </c>
      <c r="F3891" s="5"/>
      <c r="G3891" s="5"/>
      <c r="H3891" s="6" t="str">
        <f>IFERROR(__xludf.DUMMYFUNCTION("""COMPUTED_VALUE"""),"https://www.instagram.com/qamar_.bani_heshm.lr")</f>
        <v>https://www.instagram.com/qamar_.bani_heshm.lr</v>
      </c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</row>
    <row r="3892">
      <c r="A3892" s="5">
        <f>IFERROR(__xludf.DUMMYFUNCTION("""COMPUTED_VALUE"""),11496.0)</f>
        <v>11496</v>
      </c>
      <c r="B3892" s="5" t="str">
        <f>IFERROR(__xludf.DUMMYFUNCTION("""COMPUTED_VALUE"""),"هیأت")</f>
        <v>هیأت</v>
      </c>
      <c r="C3892" s="5" t="str">
        <f>IFERROR(__xludf.DUMMYFUNCTION("""COMPUTED_VALUE"""),"مجمع جوانان عاشورائی صاحب الزمان(عج)")</f>
        <v>مجمع جوانان عاشورائی صاحب الزمان(عج)</v>
      </c>
      <c r="D3892" s="5" t="str">
        <f>IFERROR(__xludf.DUMMYFUNCTION("""COMPUTED_VALUE"""),"کرمان")</f>
        <v>کرمان</v>
      </c>
      <c r="E3892" s="5" t="str">
        <f>IFERROR(__xludf.DUMMYFUNCTION("""COMPUTED_VALUE"""),"راور")</f>
        <v>راور</v>
      </c>
      <c r="F3892" s="5"/>
      <c r="G3892" s="5"/>
      <c r="H3892" s="6" t="str">
        <f>IFERROR(__xludf.DUMMYFUNCTION("""COMPUTED_VALUE"""),"https://www.instagram.com/heiate_sahebalzaman")</f>
        <v>https://www.instagram.com/heiate_sahebalzaman</v>
      </c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</row>
    <row r="3893">
      <c r="A3893" s="5">
        <f>IFERROR(__xludf.DUMMYFUNCTION("""COMPUTED_VALUE"""),11495.0)</f>
        <v>11495</v>
      </c>
      <c r="B3893" s="5" t="str">
        <f>IFERROR(__xludf.DUMMYFUNCTION("""COMPUTED_VALUE"""),"هیأت")</f>
        <v>هیأت</v>
      </c>
      <c r="C3893" s="5" t="str">
        <f>IFERROR(__xludf.DUMMYFUNCTION("""COMPUTED_VALUE"""),"شهدای گمنام")</f>
        <v>شهدای گمنام</v>
      </c>
      <c r="D3893" s="5" t="str">
        <f>IFERROR(__xludf.DUMMYFUNCTION("""COMPUTED_VALUE"""),"کرمان")</f>
        <v>کرمان</v>
      </c>
      <c r="E3893" s="5" t="str">
        <f>IFERROR(__xludf.DUMMYFUNCTION("""COMPUTED_VALUE"""),"رفسنجان")</f>
        <v>رفسنجان</v>
      </c>
      <c r="F3893" s="5"/>
      <c r="G3893" s="5"/>
      <c r="H3893" s="6" t="str">
        <f>IFERROR(__xludf.DUMMYFUNCTION("""COMPUTED_VALUE"""),"https://www.instagram.com/shohadaaye.gomnam")</f>
        <v>https://www.instagram.com/shohadaaye.gomnam</v>
      </c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</row>
    <row r="3894">
      <c r="A3894" s="5">
        <f>IFERROR(__xludf.DUMMYFUNCTION("""COMPUTED_VALUE"""),11478.0)</f>
        <v>11478</v>
      </c>
      <c r="B3894" s="5" t="str">
        <f>IFERROR(__xludf.DUMMYFUNCTION("""COMPUTED_VALUE"""),"هیأت")</f>
        <v>هیأت</v>
      </c>
      <c r="C3894" s="5" t="str">
        <f>IFERROR(__xludf.DUMMYFUNCTION("""COMPUTED_VALUE"""),"مجمع فاطمیون (قرانی)")</f>
        <v>مجمع فاطمیون (قرانی)</v>
      </c>
      <c r="D3894" s="5" t="str">
        <f>IFERROR(__xludf.DUMMYFUNCTION("""COMPUTED_VALUE"""),"کرمان")</f>
        <v>کرمان</v>
      </c>
      <c r="E3894" s="5" t="str">
        <f>IFERROR(__xludf.DUMMYFUNCTION("""COMPUTED_VALUE"""),"کرمان")</f>
        <v>کرمان</v>
      </c>
      <c r="F3894" s="5"/>
      <c r="G3894" s="5"/>
      <c r="H3894" s="5"/>
      <c r="I3894" s="5"/>
      <c r="J3894" s="6" t="str">
        <f>IFERROR(__xludf.DUMMYFUNCTION("""COMPUTED_VALUE"""),"https://eitaa.com/heyatequranifatemiyon")</f>
        <v>https://eitaa.com/heyatequranifatemiyon</v>
      </c>
      <c r="K3894" s="5"/>
      <c r="L3894" s="5"/>
      <c r="M3894" s="5"/>
      <c r="N3894" s="5"/>
      <c r="O3894" s="5"/>
      <c r="P3894" s="5"/>
      <c r="Q3894" s="5"/>
      <c r="R3894" s="5"/>
      <c r="S3894" s="5"/>
    </row>
    <row r="3895">
      <c r="A3895" s="5">
        <f>IFERROR(__xludf.DUMMYFUNCTION("""COMPUTED_VALUE"""),11476.0)</f>
        <v>11476</v>
      </c>
      <c r="B3895" s="5" t="str">
        <f>IFERROR(__xludf.DUMMYFUNCTION("""COMPUTED_VALUE"""),"هیأت")</f>
        <v>هیأت</v>
      </c>
      <c r="C3895" s="5" t="str">
        <f>IFERROR(__xludf.DUMMYFUNCTION("""COMPUTED_VALUE"""),"علیا مخدره حضرت رقیه (س)")</f>
        <v>علیا مخدره حضرت رقیه (س)</v>
      </c>
      <c r="D3895" s="5" t="str">
        <f>IFERROR(__xludf.DUMMYFUNCTION("""COMPUTED_VALUE"""),"کرمان")</f>
        <v>کرمان</v>
      </c>
      <c r="E3895" s="5" t="str">
        <f>IFERROR(__xludf.DUMMYFUNCTION("""COMPUTED_VALUE"""),"کرمان")</f>
        <v>کرمان</v>
      </c>
      <c r="F3895" s="5"/>
      <c r="G3895" s="5"/>
      <c r="H3895" s="6" t="str">
        <f>IFERROR(__xludf.DUMMYFUNCTION("""COMPUTED_VALUE"""),"https://www.instagram.com/oliya_mokhadre/")</f>
        <v>https://www.instagram.com/oliya_mokhadre/</v>
      </c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</row>
    <row r="3896">
      <c r="A3896" s="5">
        <f>IFERROR(__xludf.DUMMYFUNCTION("""COMPUTED_VALUE"""),11474.0)</f>
        <v>11474</v>
      </c>
      <c r="B3896" s="5" t="str">
        <f>IFERROR(__xludf.DUMMYFUNCTION("""COMPUTED_VALUE"""),"هیأت")</f>
        <v>هیأت</v>
      </c>
      <c r="C3896" s="5" t="str">
        <f>IFERROR(__xludf.DUMMYFUNCTION("""COMPUTED_VALUE"""),"عاشقان علی بن موسی الرضا(ع)")</f>
        <v>عاشقان علی بن موسی الرضا(ع)</v>
      </c>
      <c r="D3896" s="5" t="str">
        <f>IFERROR(__xludf.DUMMYFUNCTION("""COMPUTED_VALUE"""),"کرمان")</f>
        <v>کرمان</v>
      </c>
      <c r="E3896" s="5" t="str">
        <f>IFERROR(__xludf.DUMMYFUNCTION("""COMPUTED_VALUE"""),"بدون شهرستان")</f>
        <v>بدون شهرستان</v>
      </c>
      <c r="F3896" s="5"/>
      <c r="G3896" s="5"/>
      <c r="H3896" s="6" t="str">
        <f>IFERROR(__xludf.DUMMYFUNCTION("""COMPUTED_VALUE"""),"https://www.instagram.com/heyat_asheqan_reza")</f>
        <v>https://www.instagram.com/heyat_asheqan_reza</v>
      </c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</row>
    <row r="3897">
      <c r="A3897" s="5">
        <f>IFERROR(__xludf.DUMMYFUNCTION("""COMPUTED_VALUE"""),11470.0)</f>
        <v>11470</v>
      </c>
      <c r="B3897" s="5" t="str">
        <f>IFERROR(__xludf.DUMMYFUNCTION("""COMPUTED_VALUE"""),"هیأت")</f>
        <v>هیأت</v>
      </c>
      <c r="C3897" s="5" t="str">
        <f>IFERROR(__xludf.DUMMYFUNCTION("""COMPUTED_VALUE"""),"حضرت امیرالمومنین(ع) (بسیج دانشجویی دانشگاه شهید باهنر)")</f>
        <v>حضرت امیرالمومنین(ع) (بسیج دانشجویی دانشگاه شهید باهنر)</v>
      </c>
      <c r="D3897" s="5" t="str">
        <f>IFERROR(__xludf.DUMMYFUNCTION("""COMPUTED_VALUE"""),"کرمان")</f>
        <v>کرمان</v>
      </c>
      <c r="E3897" s="5" t="str">
        <f>IFERROR(__xludf.DUMMYFUNCTION("""COMPUTED_VALUE"""),"کرمان")</f>
        <v>کرمان</v>
      </c>
      <c r="F3897" s="5"/>
      <c r="G3897" s="5"/>
      <c r="H3897" s="6" t="str">
        <f>IFERROR(__xludf.DUMMYFUNCTION("""COMPUTED_VALUE"""),"https://www.instagram.com/sarv.bahonar")</f>
        <v>https://www.instagram.com/sarv.bahonar</v>
      </c>
      <c r="I3897" s="6" t="str">
        <f>IFERROR(__xludf.DUMMYFUNCTION("""COMPUTED_VALUE"""),"https://t.me/bdbahonar")</f>
        <v>https://t.me/bdbahonar</v>
      </c>
      <c r="J3897" s="6" t="str">
        <f>IFERROR(__xludf.DUMMYFUNCTION("""COMPUTED_VALUE"""),"https://eitaa.com/bdbahonar")</f>
        <v>https://eitaa.com/bdbahonar</v>
      </c>
      <c r="K3897" s="5"/>
      <c r="L3897" s="5"/>
      <c r="M3897" s="5"/>
      <c r="N3897" s="5"/>
      <c r="O3897" s="5"/>
      <c r="P3897" s="5"/>
      <c r="Q3897" s="5"/>
      <c r="R3897" s="5"/>
      <c r="S3897" s="5"/>
    </row>
    <row r="3898">
      <c r="A3898" s="5">
        <f>IFERROR(__xludf.DUMMYFUNCTION("""COMPUTED_VALUE"""),11464.0)</f>
        <v>11464</v>
      </c>
      <c r="B3898" s="5" t="str">
        <f>IFERROR(__xludf.DUMMYFUNCTION("""COMPUTED_VALUE"""),"هیأت")</f>
        <v>هیأت</v>
      </c>
      <c r="C3898" s="5" t="str">
        <f>IFERROR(__xludf.DUMMYFUNCTION("""COMPUTED_VALUE"""),"خادمین شهدا")</f>
        <v>خادمین شهدا</v>
      </c>
      <c r="D3898" s="5" t="str">
        <f>IFERROR(__xludf.DUMMYFUNCTION("""COMPUTED_VALUE"""),"کرمان")</f>
        <v>کرمان</v>
      </c>
      <c r="E3898" s="5" t="str">
        <f>IFERROR(__xludf.DUMMYFUNCTION("""COMPUTED_VALUE"""),"کرمان")</f>
        <v>کرمان</v>
      </c>
      <c r="F3898" s="5"/>
      <c r="G3898" s="5"/>
      <c r="H3898" s="6" t="str">
        <f>IFERROR(__xludf.DUMMYFUNCTION("""COMPUTED_VALUE"""),"https://www.instagram.com/khademin_shohada_kerman")</f>
        <v>https://www.instagram.com/khademin_shohada_kerman</v>
      </c>
      <c r="I3898" s="5"/>
      <c r="J3898" s="6" t="str">
        <f>IFERROR(__xludf.DUMMYFUNCTION("""COMPUTED_VALUE"""),"https://eitaa.com/Khademin_shohada_kerman")</f>
        <v>https://eitaa.com/Khademin_shohada_kerman</v>
      </c>
      <c r="K3898" s="5"/>
      <c r="L3898" s="5"/>
      <c r="M3898" s="5"/>
      <c r="N3898" s="5"/>
      <c r="O3898" s="5"/>
      <c r="P3898" s="5"/>
      <c r="Q3898" s="5"/>
      <c r="R3898" s="5"/>
      <c r="S3898" s="5"/>
    </row>
    <row r="3899">
      <c r="A3899" s="5">
        <f>IFERROR(__xludf.DUMMYFUNCTION("""COMPUTED_VALUE"""),11463.0)</f>
        <v>11463</v>
      </c>
      <c r="B3899" s="5" t="str">
        <f>IFERROR(__xludf.DUMMYFUNCTION("""COMPUTED_VALUE"""),"هیأت")</f>
        <v>هیأت</v>
      </c>
      <c r="C3899" s="5" t="str">
        <f>IFERROR(__xludf.DUMMYFUNCTION("""COMPUTED_VALUE"""),"محبان قائم (عج)")</f>
        <v>محبان قائم (عج)</v>
      </c>
      <c r="D3899" s="5" t="str">
        <f>IFERROR(__xludf.DUMMYFUNCTION("""COMPUTED_VALUE"""),"کرمان")</f>
        <v>کرمان</v>
      </c>
      <c r="E3899" s="5" t="str">
        <f>IFERROR(__xludf.DUMMYFUNCTION("""COMPUTED_VALUE"""),"کرمان")</f>
        <v>کرمان</v>
      </c>
      <c r="F3899" s="5"/>
      <c r="G3899" s="5"/>
      <c r="H3899" s="6" t="str">
        <f>IFERROR(__xludf.DUMMYFUNCTION("""COMPUTED_VALUE"""),"https://www.instagram.com/moheban_ghaem")</f>
        <v>https://www.instagram.com/moheban_ghaem</v>
      </c>
      <c r="I3899" s="5"/>
      <c r="J3899" s="6" t="str">
        <f>IFERROR(__xludf.DUMMYFUNCTION("""COMPUTED_VALUE"""),"https://eitaa.com/mohebbanqaem1347")</f>
        <v>https://eitaa.com/mohebbanqaem1347</v>
      </c>
      <c r="K3899" s="5"/>
      <c r="L3899" s="5"/>
      <c r="M3899" s="5"/>
      <c r="N3899" s="5"/>
      <c r="O3899" s="5"/>
      <c r="P3899" s="5"/>
      <c r="Q3899" s="5"/>
      <c r="R3899" s="5"/>
      <c r="S3899" s="5"/>
    </row>
    <row r="3900">
      <c r="A3900" s="5">
        <f>IFERROR(__xludf.DUMMYFUNCTION("""COMPUTED_VALUE"""),11461.0)</f>
        <v>11461</v>
      </c>
      <c r="B3900" s="5" t="str">
        <f>IFERROR(__xludf.DUMMYFUNCTION("""COMPUTED_VALUE"""),"هیأت")</f>
        <v>هیأت</v>
      </c>
      <c r="C3900" s="5" t="str">
        <f>IFERROR(__xludf.DUMMYFUNCTION("""COMPUTED_VALUE"""),"هیات النبی (ص)")</f>
        <v>هیات النبی (ص)</v>
      </c>
      <c r="D3900" s="5" t="str">
        <f>IFERROR(__xludf.DUMMYFUNCTION("""COMPUTED_VALUE"""),"کرمان")</f>
        <v>کرمان</v>
      </c>
      <c r="E3900" s="5" t="str">
        <f>IFERROR(__xludf.DUMMYFUNCTION("""COMPUTED_VALUE"""),"کرمان")</f>
        <v>کرمان</v>
      </c>
      <c r="F3900" s="5"/>
      <c r="G3900" s="5"/>
      <c r="H3900" s="6" t="str">
        <f>IFERROR(__xludf.DUMMYFUNCTION("""COMPUTED_VALUE"""),"https://www.instagram.com/heyatalnabi")</f>
        <v>https://www.instagram.com/heyatalnabi</v>
      </c>
      <c r="I3900" s="5"/>
      <c r="J3900" s="6" t="str">
        <f>IFERROR(__xludf.DUMMYFUNCTION("""COMPUTED_VALUE"""),"https://eitaa.com/heyatalnabi")</f>
        <v>https://eitaa.com/heyatalnabi</v>
      </c>
      <c r="K3900" s="5"/>
      <c r="L3900" s="5"/>
      <c r="M3900" s="5"/>
      <c r="N3900" s="5"/>
      <c r="O3900" s="5"/>
      <c r="P3900" s="5"/>
      <c r="Q3900" s="5"/>
      <c r="R3900" s="5"/>
      <c r="S3900" s="5"/>
    </row>
    <row r="3901">
      <c r="A3901" s="5">
        <f>IFERROR(__xludf.DUMMYFUNCTION("""COMPUTED_VALUE"""),11460.0)</f>
        <v>11460</v>
      </c>
      <c r="B3901" s="5" t="str">
        <f>IFERROR(__xludf.DUMMYFUNCTION("""COMPUTED_VALUE"""),"هیأت")</f>
        <v>هیأت</v>
      </c>
      <c r="C3901" s="5" t="str">
        <f>IFERROR(__xludf.DUMMYFUNCTION("""COMPUTED_VALUE"""),"محفل بسیجیان و رهروان شهدای / متوسلین به حضرت زهرا (س)")</f>
        <v>محفل بسیجیان و رهروان شهدای / متوسلین به حضرت زهرا (س)</v>
      </c>
      <c r="D3901" s="5" t="str">
        <f>IFERROR(__xludf.DUMMYFUNCTION("""COMPUTED_VALUE"""),"کرمان")</f>
        <v>کرمان</v>
      </c>
      <c r="E3901" s="5" t="str">
        <f>IFERROR(__xludf.DUMMYFUNCTION("""COMPUTED_VALUE"""),"کرمان")</f>
        <v>کرمان</v>
      </c>
      <c r="F3901" s="5"/>
      <c r="G3901" s="5"/>
      <c r="H3901" s="6" t="str">
        <f>IFERROR(__xludf.DUMMYFUNCTION("""COMPUTED_VALUE"""),"https://www.instagram.com/rahrovaneshohada.info")</f>
        <v>https://www.instagram.com/rahrovaneshohada.info</v>
      </c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</row>
    <row r="3902">
      <c r="A3902" s="5">
        <f>IFERROR(__xludf.DUMMYFUNCTION("""COMPUTED_VALUE"""),11457.0)</f>
        <v>11457</v>
      </c>
      <c r="B3902" s="5" t="str">
        <f>IFERROR(__xludf.DUMMYFUNCTION("""COMPUTED_VALUE"""),"هیأت")</f>
        <v>هیأت</v>
      </c>
      <c r="C3902" s="5" t="str">
        <f>IFERROR(__xludf.DUMMYFUNCTION("""COMPUTED_VALUE"""),"ثارالله (ع)")</f>
        <v>ثارالله (ع)</v>
      </c>
      <c r="D3902" s="5" t="str">
        <f>IFERROR(__xludf.DUMMYFUNCTION("""COMPUTED_VALUE"""),"کرمان")</f>
        <v>کرمان</v>
      </c>
      <c r="E3902" s="5" t="str">
        <f>IFERROR(__xludf.DUMMYFUNCTION("""COMPUTED_VALUE"""),"کرمان")</f>
        <v>کرمان</v>
      </c>
      <c r="F3902" s="5"/>
      <c r="G3902" s="5"/>
      <c r="H3902" s="5"/>
      <c r="I3902" s="6" t="str">
        <f>IFERROR(__xludf.DUMMYFUNCTION("""COMPUTED_VALUE"""),"https://t.me/h_sarallah")</f>
        <v>https://t.me/h_sarallah</v>
      </c>
      <c r="J3902" s="6" t="str">
        <f>IFERROR(__xludf.DUMMYFUNCTION("""COMPUTED_VALUE"""),"https://eitaa.com/h_sarallah")</f>
        <v>https://eitaa.com/h_sarallah</v>
      </c>
      <c r="K3902" s="5"/>
      <c r="L3902" s="5"/>
      <c r="M3902" s="5"/>
      <c r="N3902" s="5"/>
      <c r="O3902" s="5"/>
      <c r="P3902" s="5"/>
      <c r="Q3902" s="5"/>
      <c r="R3902" s="5"/>
      <c r="S3902" s="5"/>
    </row>
    <row r="3903">
      <c r="A3903" s="5">
        <f>IFERROR(__xludf.DUMMYFUNCTION("""COMPUTED_VALUE"""),11452.0)</f>
        <v>11452</v>
      </c>
      <c r="B3903" s="5" t="str">
        <f>IFERROR(__xludf.DUMMYFUNCTION("""COMPUTED_VALUE"""),"هیأت")</f>
        <v>هیأت</v>
      </c>
      <c r="C3903" s="5" t="str">
        <f>IFERROR(__xludf.DUMMYFUNCTION("""COMPUTED_VALUE"""),"محفل غم فدائیان حسین(ع)")</f>
        <v>محفل غم فدائیان حسین(ع)</v>
      </c>
      <c r="D3903" s="5" t="str">
        <f>IFERROR(__xludf.DUMMYFUNCTION("""COMPUTED_VALUE"""),"کرمان")</f>
        <v>کرمان</v>
      </c>
      <c r="E3903" s="5" t="str">
        <f>IFERROR(__xludf.DUMMYFUNCTION("""COMPUTED_VALUE"""),"کرمان")</f>
        <v>کرمان</v>
      </c>
      <c r="F3903" s="5"/>
      <c r="G3903" s="5"/>
      <c r="H3903" s="6" t="str">
        <f>IFERROR(__xludf.DUMMYFUNCTION("""COMPUTED_VALUE"""),"https://www.instagram.com/mahfell")</f>
        <v>https://www.instagram.com/mahfell</v>
      </c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</row>
    <row r="3904">
      <c r="A3904" s="5">
        <f>IFERROR(__xludf.DUMMYFUNCTION("""COMPUTED_VALUE"""),11442.0)</f>
        <v>11442</v>
      </c>
      <c r="B3904" s="5" t="str">
        <f>IFERROR(__xludf.DUMMYFUNCTION("""COMPUTED_VALUE"""),"هیأت")</f>
        <v>هیأت</v>
      </c>
      <c r="C3904" s="5" t="str">
        <f>IFERROR(__xludf.DUMMYFUNCTION("""COMPUTED_VALUE"""),"معراج الحسین (ع)")</f>
        <v>معراج الحسین (ع)</v>
      </c>
      <c r="D3904" s="5" t="str">
        <f>IFERROR(__xludf.DUMMYFUNCTION("""COMPUTED_VALUE"""),"کرمان")</f>
        <v>کرمان</v>
      </c>
      <c r="E3904" s="5" t="str">
        <f>IFERROR(__xludf.DUMMYFUNCTION("""COMPUTED_VALUE"""),"کرمان")</f>
        <v>کرمان</v>
      </c>
      <c r="F3904" s="5"/>
      <c r="G3904" s="5"/>
      <c r="H3904" s="6" t="str">
        <f>IFERROR(__xludf.DUMMYFUNCTION("""COMPUTED_VALUE"""),"https://www.instagram.com/meraj_hosein_kerman")</f>
        <v>https://www.instagram.com/meraj_hosein_kerman</v>
      </c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</row>
    <row r="3905">
      <c r="A3905" s="5">
        <f>IFERROR(__xludf.DUMMYFUNCTION("""COMPUTED_VALUE"""),11439.0)</f>
        <v>11439</v>
      </c>
      <c r="B3905" s="5" t="str">
        <f>IFERROR(__xludf.DUMMYFUNCTION("""COMPUTED_VALUE"""),"هیأت")</f>
        <v>هیأت</v>
      </c>
      <c r="C3905" s="5" t="str">
        <f>IFERROR(__xludf.DUMMYFUNCTION("""COMPUTED_VALUE"""),"شهدای طاهرآباد")</f>
        <v>شهدای طاهرآباد</v>
      </c>
      <c r="D3905" s="5" t="str">
        <f>IFERROR(__xludf.DUMMYFUNCTION("""COMPUTED_VALUE"""),"کرمان")</f>
        <v>کرمان</v>
      </c>
      <c r="E3905" s="5" t="str">
        <f>IFERROR(__xludf.DUMMYFUNCTION("""COMPUTED_VALUE"""),"کرمان")</f>
        <v>کرمان</v>
      </c>
      <c r="F3905" s="5"/>
      <c r="G3905" s="5"/>
      <c r="H3905" s="5"/>
      <c r="I3905" s="5"/>
      <c r="J3905" s="6" t="str">
        <f>IFERROR(__xludf.DUMMYFUNCTION("""COMPUTED_VALUE"""),"https://eitaa.com/heyatsadatTaherabad")</f>
        <v>https://eitaa.com/heyatsadatTaherabad</v>
      </c>
      <c r="K3905" s="5"/>
      <c r="L3905" s="5"/>
      <c r="M3905" s="5"/>
      <c r="N3905" s="5"/>
      <c r="O3905" s="5"/>
      <c r="P3905" s="5"/>
      <c r="Q3905" s="5"/>
      <c r="R3905" s="5"/>
      <c r="S3905" s="5"/>
    </row>
    <row r="3906">
      <c r="A3906" s="5">
        <f>IFERROR(__xludf.DUMMYFUNCTION("""COMPUTED_VALUE"""),11421.0)</f>
        <v>11421</v>
      </c>
      <c r="B3906" s="5" t="str">
        <f>IFERROR(__xludf.DUMMYFUNCTION("""COMPUTED_VALUE"""),"هیأت")</f>
        <v>هیأت</v>
      </c>
      <c r="C3906" s="5" t="str">
        <f>IFERROR(__xludf.DUMMYFUNCTION("""COMPUTED_VALUE"""),"ابوالفضل العباس (ع) شور آباد")</f>
        <v>ابوالفضل العباس (ع) شور آباد</v>
      </c>
      <c r="D3906" s="5" t="str">
        <f>IFERROR(__xludf.DUMMYFUNCTION("""COMPUTED_VALUE"""),"کرمان")</f>
        <v>کرمان</v>
      </c>
      <c r="E3906" s="5" t="str">
        <f>IFERROR(__xludf.DUMMYFUNCTION("""COMPUTED_VALUE"""),"فهرج")</f>
        <v>فهرج</v>
      </c>
      <c r="F3906" s="5"/>
      <c r="G3906" s="5"/>
      <c r="H3906" s="6" t="str">
        <f>IFERROR(__xludf.DUMMYFUNCTION("""COMPUTED_VALUE"""),"https://www.instagram.com/heyat.abalfazlabbas.shorabad")</f>
        <v>https://www.instagram.com/heyat.abalfazlabbas.shorabad</v>
      </c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</row>
    <row r="3907">
      <c r="A3907" s="5">
        <f>IFERROR(__xludf.DUMMYFUNCTION("""COMPUTED_VALUE"""),11419.0)</f>
        <v>11419</v>
      </c>
      <c r="B3907" s="5" t="str">
        <f>IFERROR(__xludf.DUMMYFUNCTION("""COMPUTED_VALUE"""),"هیأت")</f>
        <v>هیأت</v>
      </c>
      <c r="C3907" s="5" t="str">
        <f>IFERROR(__xludf.DUMMYFUNCTION("""COMPUTED_VALUE"""),"بیت الرقیه (س)")</f>
        <v>بیت الرقیه (س)</v>
      </c>
      <c r="D3907" s="5" t="str">
        <f>IFERROR(__xludf.DUMMYFUNCTION("""COMPUTED_VALUE"""),"کرمان")</f>
        <v>کرمان</v>
      </c>
      <c r="E3907" s="5" t="str">
        <f>IFERROR(__xludf.DUMMYFUNCTION("""COMPUTED_VALUE"""),"بم")</f>
        <v>بم</v>
      </c>
      <c r="F3907" s="5"/>
      <c r="G3907" s="5"/>
      <c r="H3907" s="6" t="str">
        <f>IFERROR(__xludf.DUMMYFUNCTION("""COMPUTED_VALUE"""),"https://www.instagram.com/beytoalroghaye_bam")</f>
        <v>https://www.instagram.com/beytoalroghaye_bam</v>
      </c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</row>
    <row r="3908">
      <c r="A3908" s="5">
        <f>IFERROR(__xludf.DUMMYFUNCTION("""COMPUTED_VALUE"""),11418.0)</f>
        <v>11418</v>
      </c>
      <c r="B3908" s="5" t="str">
        <f>IFERROR(__xludf.DUMMYFUNCTION("""COMPUTED_VALUE"""),"هیأت")</f>
        <v>هیأت</v>
      </c>
      <c r="C3908" s="5" t="str">
        <f>IFERROR(__xludf.DUMMYFUNCTION("""COMPUTED_VALUE"""),"مکتب الزهرا (س)")</f>
        <v>مکتب الزهرا (س)</v>
      </c>
      <c r="D3908" s="5" t="str">
        <f>IFERROR(__xludf.DUMMYFUNCTION("""COMPUTED_VALUE"""),"کرمان")</f>
        <v>کرمان</v>
      </c>
      <c r="E3908" s="5" t="str">
        <f>IFERROR(__xludf.DUMMYFUNCTION("""COMPUTED_VALUE"""),"بم")</f>
        <v>بم</v>
      </c>
      <c r="F3908" s="5"/>
      <c r="G3908" s="5"/>
      <c r="H3908" s="6" t="str">
        <f>IFERROR(__xludf.DUMMYFUNCTION("""COMPUTED_VALUE"""),"https://www.instagram.com/maktabol_zahra_bravat_bam")</f>
        <v>https://www.instagram.com/maktabol_zahra_bravat_bam</v>
      </c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</row>
    <row r="3909">
      <c r="A3909" s="5">
        <f>IFERROR(__xludf.DUMMYFUNCTION("""COMPUTED_VALUE"""),11417.0)</f>
        <v>11417</v>
      </c>
      <c r="B3909" s="5" t="str">
        <f>IFERROR(__xludf.DUMMYFUNCTION("""COMPUTED_VALUE"""),"هیأت")</f>
        <v>هیأت</v>
      </c>
      <c r="C3909" s="5" t="str">
        <f>IFERROR(__xludf.DUMMYFUNCTION("""COMPUTED_VALUE"""),"امام حسین (ع)")</f>
        <v>امام حسین (ع)</v>
      </c>
      <c r="D3909" s="5" t="str">
        <f>IFERROR(__xludf.DUMMYFUNCTION("""COMPUTED_VALUE"""),"کرمان")</f>
        <v>کرمان</v>
      </c>
      <c r="E3909" s="5" t="str">
        <f>IFERROR(__xludf.DUMMYFUNCTION("""COMPUTED_VALUE"""),"رودبارجنوب")</f>
        <v>رودبارجنوب</v>
      </c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</row>
    <row r="3910">
      <c r="A3910" s="5">
        <f>IFERROR(__xludf.DUMMYFUNCTION("""COMPUTED_VALUE"""),11415.0)</f>
        <v>11415</v>
      </c>
      <c r="B3910" s="5" t="str">
        <f>IFERROR(__xludf.DUMMYFUNCTION("""COMPUTED_VALUE"""),"هیأت")</f>
        <v>هیأت</v>
      </c>
      <c r="C3910" s="5" t="str">
        <f>IFERROR(__xludf.DUMMYFUNCTION("""COMPUTED_VALUE"""),"حضرت ابوالفضل(ع)")</f>
        <v>حضرت ابوالفضل(ع)</v>
      </c>
      <c r="D3910" s="5" t="str">
        <f>IFERROR(__xludf.DUMMYFUNCTION("""COMPUTED_VALUE"""),"کرمان")</f>
        <v>کرمان</v>
      </c>
      <c r="E3910" s="5" t="str">
        <f>IFERROR(__xludf.DUMMYFUNCTION("""COMPUTED_VALUE"""),"رودبارجنوب")</f>
        <v>رودبارجنوب</v>
      </c>
      <c r="F3910" s="5"/>
      <c r="G3910" s="5"/>
      <c r="H3910" s="6" t="str">
        <f>IFERROR(__xludf.DUMMYFUNCTION("""COMPUTED_VALUE"""),"https://www.instagram.com/deldadegan.abbas")</f>
        <v>https://www.instagram.com/deldadegan.abbas</v>
      </c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</row>
    <row r="3911">
      <c r="A3911" s="5">
        <f>IFERROR(__xludf.DUMMYFUNCTION("""COMPUTED_VALUE"""),11400.0)</f>
        <v>11400</v>
      </c>
      <c r="B3911" s="5" t="str">
        <f>IFERROR(__xludf.DUMMYFUNCTION("""COMPUTED_VALUE"""),"هیأت")</f>
        <v>هیأت</v>
      </c>
      <c r="C3911" s="5" t="str">
        <f>IFERROR(__xludf.DUMMYFUNCTION("""COMPUTED_VALUE"""),"بیت الاحزان حضرت زهرا(س)")</f>
        <v>بیت الاحزان حضرت زهرا(س)</v>
      </c>
      <c r="D3911" s="5" t="str">
        <f>IFERROR(__xludf.DUMMYFUNCTION("""COMPUTED_VALUE"""),"کرمان")</f>
        <v>کرمان</v>
      </c>
      <c r="E3911" s="5" t="str">
        <f>IFERROR(__xludf.DUMMYFUNCTION("""COMPUTED_VALUE"""),"زرند")</f>
        <v>زرند</v>
      </c>
      <c r="F3911" s="5"/>
      <c r="G3911" s="5"/>
      <c r="H3911" s="6" t="str">
        <f>IFERROR(__xludf.DUMMYFUNCTION("""COMPUTED_VALUE"""),"https://www.instagram.com/beytolahzan_213/")</f>
        <v>https://www.instagram.com/beytolahzan_213/</v>
      </c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</row>
    <row r="3912">
      <c r="A3912" s="5">
        <f>IFERROR(__xludf.DUMMYFUNCTION("""COMPUTED_VALUE"""),11395.0)</f>
        <v>11395</v>
      </c>
      <c r="B3912" s="5" t="str">
        <f>IFERROR(__xludf.DUMMYFUNCTION("""COMPUTED_VALUE"""),"هیأت")</f>
        <v>هیأت</v>
      </c>
      <c r="C3912" s="5" t="str">
        <f>IFERROR(__xludf.DUMMYFUNCTION("""COMPUTED_VALUE"""),"وارثین فدک")</f>
        <v>وارثین فدک</v>
      </c>
      <c r="D3912" s="5" t="str">
        <f>IFERROR(__xludf.DUMMYFUNCTION("""COMPUTED_VALUE"""),"کرمان")</f>
        <v>کرمان</v>
      </c>
      <c r="E3912" s="5" t="str">
        <f>IFERROR(__xludf.DUMMYFUNCTION("""COMPUTED_VALUE"""),"شهربابک")</f>
        <v>شهربابک</v>
      </c>
      <c r="F3912" s="5"/>
      <c r="G3912" s="5"/>
      <c r="H3912" s="6" t="str">
        <f>IFERROR(__xludf.DUMMYFUNCTION("""COMPUTED_VALUE"""),"https://www.instagram.com/varesinfadak")</f>
        <v>https://www.instagram.com/varesinfadak</v>
      </c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</row>
    <row r="3913">
      <c r="A3913" s="5">
        <f>IFERROR(__xludf.DUMMYFUNCTION("""COMPUTED_VALUE"""),11388.0)</f>
        <v>11388</v>
      </c>
      <c r="B3913" s="5" t="str">
        <f>IFERROR(__xludf.DUMMYFUNCTION("""COMPUTED_VALUE"""),"هیأت")</f>
        <v>هیأت</v>
      </c>
      <c r="C3913" s="5" t="str">
        <f>IFERROR(__xludf.DUMMYFUNCTION("""COMPUTED_VALUE"""),"مسجد صاحب الزمان(عج)")</f>
        <v>مسجد صاحب الزمان(عج)</v>
      </c>
      <c r="D3913" s="5" t="str">
        <f>IFERROR(__xludf.DUMMYFUNCTION("""COMPUTED_VALUE"""),"کرمان")</f>
        <v>کرمان</v>
      </c>
      <c r="E3913" s="5" t="str">
        <f>IFERROR(__xludf.DUMMYFUNCTION("""COMPUTED_VALUE"""),"کرمان")</f>
        <v>کرمان</v>
      </c>
      <c r="F3913" s="5"/>
      <c r="G3913" s="5"/>
      <c r="H3913" s="5"/>
      <c r="I3913" s="5"/>
      <c r="J3913" s="6" t="str">
        <f>IFERROR(__xludf.DUMMYFUNCTION("""COMPUTED_VALUE"""),"https://eitaa.com/mahdeyesahebazaman")</f>
        <v>https://eitaa.com/mahdeyesahebazaman</v>
      </c>
      <c r="K3913" s="5"/>
      <c r="L3913" s="5"/>
      <c r="M3913" s="5"/>
      <c r="N3913" s="5"/>
      <c r="O3913" s="5"/>
      <c r="P3913" s="5"/>
      <c r="Q3913" s="5"/>
      <c r="R3913" s="5"/>
      <c r="S3913" s="5"/>
    </row>
    <row r="3914">
      <c r="A3914" s="5">
        <f>IFERROR(__xludf.DUMMYFUNCTION("""COMPUTED_VALUE"""),11375.0)</f>
        <v>11375</v>
      </c>
      <c r="B3914" s="5" t="str">
        <f>IFERROR(__xludf.DUMMYFUNCTION("""COMPUTED_VALUE"""),"هیأت دانش آموزی")</f>
        <v>هیأت دانش آموزی</v>
      </c>
      <c r="C3914" s="5" t="str">
        <f>IFERROR(__xludf.DUMMYFUNCTION("""COMPUTED_VALUE"""),"جنت الرضا (ع)")</f>
        <v>جنت الرضا (ع)</v>
      </c>
      <c r="D3914" s="5" t="str">
        <f>IFERROR(__xludf.DUMMYFUNCTION("""COMPUTED_VALUE"""),"کرمان")</f>
        <v>کرمان</v>
      </c>
      <c r="E3914" s="5" t="str">
        <f>IFERROR(__xludf.DUMMYFUNCTION("""COMPUTED_VALUE"""),"کرمان")</f>
        <v>کرمان</v>
      </c>
      <c r="F3914" s="5"/>
      <c r="G3914" s="5"/>
      <c r="H3914" s="6" t="str">
        <f>IFERROR(__xludf.DUMMYFUNCTION("""COMPUTED_VALUE"""),"https://www.instagram.com/jannat_alreza")</f>
        <v>https://www.instagram.com/jannat_alreza</v>
      </c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</row>
    <row r="3915">
      <c r="A3915" s="5">
        <f>IFERROR(__xludf.DUMMYFUNCTION("""COMPUTED_VALUE"""),11373.0)</f>
        <v>11373</v>
      </c>
      <c r="B3915" s="5" t="str">
        <f>IFERROR(__xludf.DUMMYFUNCTION("""COMPUTED_VALUE"""),"هیأت")</f>
        <v>هیأت</v>
      </c>
      <c r="C3915" s="5" t="str">
        <f>IFERROR(__xludf.DUMMYFUNCTION("""COMPUTED_VALUE"""),"حضرت ابوالفضل(ع) الغدیر")</f>
        <v>حضرت ابوالفضل(ع) الغدیر</v>
      </c>
      <c r="D3915" s="5" t="str">
        <f>IFERROR(__xludf.DUMMYFUNCTION("""COMPUTED_VALUE"""),"کرمان")</f>
        <v>کرمان</v>
      </c>
      <c r="E3915" s="5" t="str">
        <f>IFERROR(__xludf.DUMMYFUNCTION("""COMPUTED_VALUE"""),"کرمان")</f>
        <v>کرمان</v>
      </c>
      <c r="F3915" s="5"/>
      <c r="G3915" s="5"/>
      <c r="H3915" s="6" t="str">
        <f>IFERROR(__xludf.DUMMYFUNCTION("""COMPUTED_VALUE"""),"https://www.instagram.com/masjed_abolfazlll")</f>
        <v>https://www.instagram.com/masjed_abolfazlll</v>
      </c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</row>
    <row r="3916">
      <c r="A3916" s="5">
        <f>IFERROR(__xludf.DUMMYFUNCTION("""COMPUTED_VALUE"""),11368.0)</f>
        <v>11368</v>
      </c>
      <c r="B3916" s="5" t="str">
        <f>IFERROR(__xludf.DUMMYFUNCTION("""COMPUTED_VALUE"""),"هیأت")</f>
        <v>هیأت</v>
      </c>
      <c r="C3916" s="5" t="str">
        <f>IFERROR(__xludf.DUMMYFUNCTION("""COMPUTED_VALUE"""),"رهروان حضرت علی اکبر (ع)")</f>
        <v>رهروان حضرت علی اکبر (ع)</v>
      </c>
      <c r="D3916" s="5" t="str">
        <f>IFERROR(__xludf.DUMMYFUNCTION("""COMPUTED_VALUE"""),"کرمان")</f>
        <v>کرمان</v>
      </c>
      <c r="E3916" s="5" t="str">
        <f>IFERROR(__xludf.DUMMYFUNCTION("""COMPUTED_VALUE"""),"کرمان")</f>
        <v>کرمان</v>
      </c>
      <c r="F3916" s="5"/>
      <c r="G3916" s="5"/>
      <c r="H3916" s="5"/>
      <c r="I3916" s="5"/>
      <c r="J3916" s="6" t="str">
        <f>IFERROR(__xludf.DUMMYFUNCTION("""COMPUTED_VALUE"""),"https://eitaa.com/aliakbar_rahrovan")</f>
        <v>https://eitaa.com/aliakbar_rahrovan</v>
      </c>
      <c r="K3916" s="5"/>
      <c r="L3916" s="5"/>
      <c r="M3916" s="5"/>
      <c r="N3916" s="5"/>
      <c r="O3916" s="5"/>
      <c r="P3916" s="5"/>
      <c r="Q3916" s="5"/>
      <c r="R3916" s="5"/>
      <c r="S3916" s="5"/>
    </row>
    <row r="3917">
      <c r="A3917" s="5">
        <f>IFERROR(__xludf.DUMMYFUNCTION("""COMPUTED_VALUE"""),11367.0)</f>
        <v>11367</v>
      </c>
      <c r="B3917" s="5" t="str">
        <f>IFERROR(__xludf.DUMMYFUNCTION("""COMPUTED_VALUE"""),"هیأت")</f>
        <v>هیأت</v>
      </c>
      <c r="C3917" s="5" t="str">
        <f>IFERROR(__xludf.DUMMYFUNCTION("""COMPUTED_VALUE"""),"مهدی جان(عج)")</f>
        <v>مهدی جان(عج)</v>
      </c>
      <c r="D3917" s="5" t="str">
        <f>IFERROR(__xludf.DUMMYFUNCTION("""COMPUTED_VALUE"""),"کرمان")</f>
        <v>کرمان</v>
      </c>
      <c r="E3917" s="5" t="str">
        <f>IFERROR(__xludf.DUMMYFUNCTION("""COMPUTED_VALUE"""),"کرمان")</f>
        <v>کرمان</v>
      </c>
      <c r="F3917" s="5"/>
      <c r="G3917" s="5"/>
      <c r="H3917" s="6" t="str">
        <f>IFERROR(__xludf.DUMMYFUNCTION("""COMPUTED_VALUE"""),"https://www.instagram.com/mahdijankerman")</f>
        <v>https://www.instagram.com/mahdijankerman</v>
      </c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</row>
    <row r="3918">
      <c r="A3918" s="5">
        <f>IFERROR(__xludf.DUMMYFUNCTION("""COMPUTED_VALUE"""),11364.0)</f>
        <v>11364</v>
      </c>
      <c r="B3918" s="5" t="str">
        <f>IFERROR(__xludf.DUMMYFUNCTION("""COMPUTED_VALUE"""),"هیأت")</f>
        <v>هیأت</v>
      </c>
      <c r="C3918" s="5" t="str">
        <f>IFERROR(__xludf.DUMMYFUNCTION("""COMPUTED_VALUE"""),"محبان امام زمان(عج)")</f>
        <v>محبان امام زمان(عج)</v>
      </c>
      <c r="D3918" s="5" t="str">
        <f>IFERROR(__xludf.DUMMYFUNCTION("""COMPUTED_VALUE"""),"کرمان")</f>
        <v>کرمان</v>
      </c>
      <c r="E3918" s="5" t="str">
        <f>IFERROR(__xludf.DUMMYFUNCTION("""COMPUTED_VALUE"""),"کرمان")</f>
        <v>کرمان</v>
      </c>
      <c r="F3918" s="5"/>
      <c r="G3918" s="5"/>
      <c r="H3918" s="6" t="str">
        <f>IFERROR(__xludf.DUMMYFUNCTION("""COMPUTED_VALUE"""),"https://www.instagram.com/h.m.sahebazaman.kerman42")</f>
        <v>https://www.instagram.com/h.m.sahebazaman.kerman42</v>
      </c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</row>
    <row r="3919">
      <c r="A3919" s="5">
        <f>IFERROR(__xludf.DUMMYFUNCTION("""COMPUTED_VALUE"""),11363.0)</f>
        <v>11363</v>
      </c>
      <c r="B3919" s="5" t="str">
        <f>IFERROR(__xludf.DUMMYFUNCTION("""COMPUTED_VALUE"""),"هیأت")</f>
        <v>هیأت</v>
      </c>
      <c r="C3919" s="5" t="str">
        <f>IFERROR(__xludf.DUMMYFUNCTION("""COMPUTED_VALUE"""),"کف العباس (ع)")</f>
        <v>کف العباس (ع)</v>
      </c>
      <c r="D3919" s="5" t="str">
        <f>IFERROR(__xludf.DUMMYFUNCTION("""COMPUTED_VALUE"""),"کرمان")</f>
        <v>کرمان</v>
      </c>
      <c r="E3919" s="5" t="str">
        <f>IFERROR(__xludf.DUMMYFUNCTION("""COMPUTED_VALUE"""),"کرمان")</f>
        <v>کرمان</v>
      </c>
      <c r="F3919" s="5"/>
      <c r="G3919" s="5"/>
      <c r="H3919" s="6" t="str">
        <f>IFERROR(__xludf.DUMMYFUNCTION("""COMPUTED_VALUE"""),"https://www.instagram.com/heiat_kaffolabbas/")</f>
        <v>https://www.instagram.com/heiat_kaffolabbas/</v>
      </c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</row>
    <row r="3920">
      <c r="A3920" s="5">
        <f>IFERROR(__xludf.DUMMYFUNCTION("""COMPUTED_VALUE"""),11355.0)</f>
        <v>11355</v>
      </c>
      <c r="B3920" s="5" t="str">
        <f>IFERROR(__xludf.DUMMYFUNCTION("""COMPUTED_VALUE"""),"هیأت")</f>
        <v>هیأت</v>
      </c>
      <c r="C3920" s="5" t="str">
        <f>IFERROR(__xludf.DUMMYFUNCTION("""COMPUTED_VALUE"""),"منتظران مهدی / منتظران ظهور")</f>
        <v>منتظران مهدی / منتظران ظهور</v>
      </c>
      <c r="D3920" s="5" t="str">
        <f>IFERROR(__xludf.DUMMYFUNCTION("""COMPUTED_VALUE"""),"کرمان")</f>
        <v>کرمان</v>
      </c>
      <c r="E3920" s="5" t="str">
        <f>IFERROR(__xludf.DUMMYFUNCTION("""COMPUTED_VALUE"""),"کرمان")</f>
        <v>کرمان</v>
      </c>
      <c r="F3920" s="5"/>
      <c r="G3920" s="5"/>
      <c r="H3920" s="5"/>
      <c r="I3920" s="6" t="str">
        <f>IFERROR(__xludf.DUMMYFUNCTION("""COMPUTED_VALUE"""),"https://t.me/montazerankerman")</f>
        <v>https://t.me/montazerankerman</v>
      </c>
      <c r="J3920" s="6" t="str">
        <f>IFERROR(__xludf.DUMMYFUNCTION("""COMPUTED_VALUE"""),"https://eitaa.com/heatmontazeranzohorkerman")</f>
        <v>https://eitaa.com/heatmontazeranzohorkerman</v>
      </c>
      <c r="K3920" s="5"/>
      <c r="L3920" s="5"/>
      <c r="M3920" s="5"/>
      <c r="N3920" s="5"/>
      <c r="O3920" s="5"/>
      <c r="P3920" s="5"/>
      <c r="Q3920" s="5"/>
      <c r="R3920" s="5"/>
      <c r="S3920" s="5"/>
    </row>
    <row r="3921">
      <c r="A3921" s="5">
        <f>IFERROR(__xludf.DUMMYFUNCTION("""COMPUTED_VALUE"""),11349.0)</f>
        <v>11349</v>
      </c>
      <c r="B3921" s="5" t="str">
        <f>IFERROR(__xludf.DUMMYFUNCTION("""COMPUTED_VALUE"""),"هیأت")</f>
        <v>هیأت</v>
      </c>
      <c r="C3921" s="5" t="str">
        <f>IFERROR(__xludf.DUMMYFUNCTION("""COMPUTED_VALUE"""),"جوانان علقمه")</f>
        <v>جوانان علقمه</v>
      </c>
      <c r="D3921" s="5" t="str">
        <f>IFERROR(__xludf.DUMMYFUNCTION("""COMPUTED_VALUE"""),"کرمان")</f>
        <v>کرمان</v>
      </c>
      <c r="E3921" s="5" t="str">
        <f>IFERROR(__xludf.DUMMYFUNCTION("""COMPUTED_VALUE"""),"کرمان")</f>
        <v>کرمان</v>
      </c>
      <c r="F3921" s="5"/>
      <c r="G3921" s="5"/>
      <c r="H3921" s="6" t="str">
        <f>IFERROR(__xludf.DUMMYFUNCTION("""COMPUTED_VALUE"""),"https://www.instagram.com/alghameh_kerman/")</f>
        <v>https://www.instagram.com/alghameh_kerman/</v>
      </c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</row>
    <row r="3922">
      <c r="A3922" s="5">
        <f>IFERROR(__xludf.DUMMYFUNCTION("""COMPUTED_VALUE"""),11346.0)</f>
        <v>11346</v>
      </c>
      <c r="B3922" s="5" t="str">
        <f>IFERROR(__xludf.DUMMYFUNCTION("""COMPUTED_VALUE"""),"هیأت")</f>
        <v>هیأت</v>
      </c>
      <c r="C3922" s="5" t="str">
        <f>IFERROR(__xludf.DUMMYFUNCTION("""COMPUTED_VALUE"""),"مجمع اسلامی محبین اهل بیت (ع)")</f>
        <v>مجمع اسلامی محبین اهل بیت (ع)</v>
      </c>
      <c r="D3922" s="5" t="str">
        <f>IFERROR(__xludf.DUMMYFUNCTION("""COMPUTED_VALUE"""),"کرمان")</f>
        <v>کرمان</v>
      </c>
      <c r="E3922" s="5" t="str">
        <f>IFERROR(__xludf.DUMMYFUNCTION("""COMPUTED_VALUE"""),"کرمان")</f>
        <v>کرمان</v>
      </c>
      <c r="F3922" s="5"/>
      <c r="G3922" s="5"/>
      <c r="H3922" s="6" t="str">
        <f>IFERROR(__xludf.DUMMYFUNCTION("""COMPUTED_VALUE"""),"https://www.instagram.com/majma_313/")</f>
        <v>https://www.instagram.com/majma_313/</v>
      </c>
      <c r="I3922" s="5"/>
      <c r="J3922" s="6" t="str">
        <f>IFERROR(__xludf.DUMMYFUNCTION("""COMPUTED_VALUE"""),"https://eitaa.com/majmamohebin")</f>
        <v>https://eitaa.com/majmamohebin</v>
      </c>
      <c r="K3922" s="5"/>
      <c r="L3922" s="5"/>
      <c r="M3922" s="5"/>
      <c r="N3922" s="5"/>
      <c r="O3922" s="5"/>
      <c r="P3922" s="5"/>
      <c r="Q3922" s="5"/>
      <c r="R3922" s="5"/>
      <c r="S3922" s="5"/>
    </row>
    <row r="3923">
      <c r="A3923" s="5">
        <f>IFERROR(__xludf.DUMMYFUNCTION("""COMPUTED_VALUE"""),11338.0)</f>
        <v>11338</v>
      </c>
      <c r="B3923" s="5" t="str">
        <f>IFERROR(__xludf.DUMMYFUNCTION("""COMPUTED_VALUE"""),"هیأت")</f>
        <v>هیأت</v>
      </c>
      <c r="C3923" s="5" t="str">
        <f>IFERROR(__xludf.DUMMYFUNCTION("""COMPUTED_VALUE"""),"امام حسین(ع) / انصارالرسول(ص)")</f>
        <v>امام حسین(ع) / انصارالرسول(ص)</v>
      </c>
      <c r="D3923" s="5" t="str">
        <f>IFERROR(__xludf.DUMMYFUNCTION("""COMPUTED_VALUE"""),"کرمان")</f>
        <v>کرمان</v>
      </c>
      <c r="E3923" s="5" t="str">
        <f>IFERROR(__xludf.DUMMYFUNCTION("""COMPUTED_VALUE"""),"جیرفت")</f>
        <v>جیرفت</v>
      </c>
      <c r="F3923" s="5"/>
      <c r="G3923" s="5"/>
      <c r="H3923" s="5"/>
      <c r="I3923" s="6" t="str">
        <f>IFERROR(__xludf.DUMMYFUNCTION("""COMPUTED_VALUE"""),"https://t.me/ansarorasool")</f>
        <v>https://t.me/ansarorasool</v>
      </c>
      <c r="J3923" s="6" t="str">
        <f>IFERROR(__xludf.DUMMYFUNCTION("""COMPUTED_VALUE"""),"http://eitaa.com/Ansarorasool")</f>
        <v>http://eitaa.com/Ansarorasool</v>
      </c>
      <c r="K3923" s="5"/>
      <c r="L3923" s="5"/>
      <c r="M3923" s="5"/>
      <c r="N3923" s="5"/>
      <c r="O3923" s="5"/>
      <c r="P3923" s="5"/>
      <c r="Q3923" s="5"/>
      <c r="R3923" s="5"/>
      <c r="S3923" s="5"/>
    </row>
    <row r="3924">
      <c r="A3924" s="5">
        <f>IFERROR(__xludf.DUMMYFUNCTION("""COMPUTED_VALUE"""),11336.0)</f>
        <v>11336</v>
      </c>
      <c r="B3924" s="5" t="str">
        <f>IFERROR(__xludf.DUMMYFUNCTION("""COMPUTED_VALUE"""),"هیأت")</f>
        <v>هیأت</v>
      </c>
      <c r="C3924" s="5" t="str">
        <f>IFERROR(__xludf.DUMMYFUNCTION("""COMPUTED_VALUE"""),"امام جواد(ع)")</f>
        <v>امام جواد(ع)</v>
      </c>
      <c r="D3924" s="5" t="str">
        <f>IFERROR(__xludf.DUMMYFUNCTION("""COMPUTED_VALUE"""),"کرمان")</f>
        <v>کرمان</v>
      </c>
      <c r="E3924" s="5" t="str">
        <f>IFERROR(__xludf.DUMMYFUNCTION("""COMPUTED_VALUE"""),"کرمان")</f>
        <v>کرمان</v>
      </c>
      <c r="F3924" s="5"/>
      <c r="G3924" s="5"/>
      <c r="H3924" s="6" t="str">
        <f>IFERROR(__xludf.DUMMYFUNCTION("""COMPUTED_VALUE"""),"https://www.instagram.com/imamjavad_kerman14")</f>
        <v>https://www.instagram.com/imamjavad_kerman14</v>
      </c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</row>
    <row r="3925">
      <c r="A3925" s="5"/>
      <c r="B3925" s="5" t="str">
        <f>IFERROR(__xludf.DUMMYFUNCTION("""COMPUTED_VALUE"""),"هیأت")</f>
        <v>هیأت</v>
      </c>
      <c r="C3925" s="5" t="str">
        <f>IFERROR(__xludf.DUMMYFUNCTION("""COMPUTED_VALUE"""),"هیأت روح الله رفسنجان")</f>
        <v>هیأت روح الله رفسنجان</v>
      </c>
      <c r="D3925" s="5" t="str">
        <f>IFERROR(__xludf.DUMMYFUNCTION("""COMPUTED_VALUE"""),"کرمان")</f>
        <v>کرمان</v>
      </c>
      <c r="E3925" s="5" t="str">
        <f>IFERROR(__xludf.DUMMYFUNCTION("""COMPUTED_VALUE"""),"رفسنجان")</f>
        <v>رفسنجان</v>
      </c>
      <c r="F3925" s="5"/>
      <c r="G3925" s="5"/>
      <c r="H3925" s="5"/>
      <c r="I3925" s="5"/>
      <c r="J3925" s="6" t="str">
        <f>IFERROR(__xludf.DUMMYFUNCTION("""COMPUTED_VALUE"""),"https://eitaa.com/hoseyniye_roh_alah")</f>
        <v>https://eitaa.com/hoseyniye_roh_alah</v>
      </c>
      <c r="K3925" s="5"/>
      <c r="L3925" s="5"/>
      <c r="M3925" s="5"/>
      <c r="N3925" s="5"/>
      <c r="O3925" s="5"/>
      <c r="P3925" s="5"/>
      <c r="Q3925" s="5"/>
      <c r="R3925" s="5"/>
      <c r="S3925" s="5"/>
    </row>
    <row r="3926">
      <c r="A3926" s="5"/>
      <c r="B3926" s="5" t="str">
        <f>IFERROR(__xludf.DUMMYFUNCTION("""COMPUTED_VALUE"""),"موکب")</f>
        <v>موکب</v>
      </c>
      <c r="C3926" s="5" t="str">
        <f>IFERROR(__xludf.DUMMYFUNCTION("""COMPUTED_VALUE"""),"موکب امیرالمؤمنین امام علی علیه السلام")</f>
        <v>موکب امیرالمؤمنین امام علی علیه السلام</v>
      </c>
      <c r="D3926" s="5" t="str">
        <f>IFERROR(__xludf.DUMMYFUNCTION("""COMPUTED_VALUE"""),"کرمان")</f>
        <v>کرمان</v>
      </c>
      <c r="E3926" s="5" t="str">
        <f>IFERROR(__xludf.DUMMYFUNCTION("""COMPUTED_VALUE"""),"رفسنجان")</f>
        <v>رفسنجان</v>
      </c>
      <c r="F3926" s="5"/>
      <c r="G3926" s="5"/>
      <c r="H3926" s="5"/>
      <c r="I3926" s="5"/>
      <c r="J3926" s="6" t="str">
        <f>IFERROR(__xludf.DUMMYFUNCTION("""COMPUTED_VALUE"""),"https://eitaa.com/Mokebnoogh")</f>
        <v>https://eitaa.com/Mokebnoogh</v>
      </c>
      <c r="K3926" s="5"/>
      <c r="L3926" s="5"/>
      <c r="M3926" s="5"/>
      <c r="N3926" s="5"/>
      <c r="O3926" s="5"/>
      <c r="P3926" s="5"/>
      <c r="Q3926" s="5"/>
      <c r="R3926" s="5"/>
      <c r="S3926" s="5"/>
    </row>
    <row r="3927">
      <c r="A3927" s="5"/>
      <c r="B3927" s="5" t="str">
        <f>IFERROR(__xludf.DUMMYFUNCTION("""COMPUTED_VALUE"""),"حسینیه")</f>
        <v>حسینیه</v>
      </c>
      <c r="C3927" s="5" t="str">
        <f>IFERROR(__xludf.DUMMYFUNCTION("""COMPUTED_VALUE"""),"حسینیه حاج ماشاءالله خدادادپور-کرمان")</f>
        <v>حسینیه حاج ماشاءالله خدادادپور-کرمان</v>
      </c>
      <c r="D3927" s="5" t="str">
        <f>IFERROR(__xludf.DUMMYFUNCTION("""COMPUTED_VALUE"""),"کرمان")</f>
        <v>کرمان</v>
      </c>
      <c r="E3927" s="5" t="str">
        <f>IFERROR(__xludf.DUMMYFUNCTION("""COMPUTED_VALUE"""),"کرمان")</f>
        <v>کرمان</v>
      </c>
      <c r="F3927" s="5"/>
      <c r="G3927" s="5"/>
      <c r="H3927" s="5"/>
      <c r="I3927" s="5"/>
      <c r="J3927" s="6" t="str">
        <f>IFERROR(__xludf.DUMMYFUNCTION("""COMPUTED_VALUE"""),"https://eitaa.com/hajmashallah")</f>
        <v>https://eitaa.com/hajmashallah</v>
      </c>
      <c r="K3927" s="5"/>
      <c r="L3927" s="5"/>
      <c r="M3927" s="5"/>
      <c r="N3927" s="5"/>
      <c r="O3927" s="5"/>
      <c r="P3927" s="5"/>
      <c r="Q3927" s="5"/>
      <c r="R3927" s="5"/>
      <c r="S3927" s="5"/>
    </row>
    <row r="3928">
      <c r="A3928" s="5">
        <f>IFERROR(__xludf.DUMMYFUNCTION("""COMPUTED_VALUE"""),26580.0)</f>
        <v>26580</v>
      </c>
      <c r="B3928" s="5" t="str">
        <f>IFERROR(__xludf.DUMMYFUNCTION("""COMPUTED_VALUE"""),"هیأت مناسبتی")</f>
        <v>هیأت مناسبتی</v>
      </c>
      <c r="C3928" s="5" t="str">
        <f>IFERROR(__xludf.DUMMYFUNCTION("""COMPUTED_VALUE"""),"انصار المهدی (عج)")</f>
        <v>انصار المهدی (عج)</v>
      </c>
      <c r="D3928" s="5" t="str">
        <f>IFERROR(__xludf.DUMMYFUNCTION("""COMPUTED_VALUE"""),"ایلام")</f>
        <v>ایلام</v>
      </c>
      <c r="E3928" s="5" t="str">
        <f>IFERROR(__xludf.DUMMYFUNCTION("""COMPUTED_VALUE"""),"دره شهر")</f>
        <v>دره شهر</v>
      </c>
      <c r="F3928" s="5"/>
      <c r="G3928" s="5"/>
      <c r="H3928" s="5"/>
      <c r="I3928" s="5"/>
      <c r="J3928" s="6" t="str">
        <f>IFERROR(__xludf.DUMMYFUNCTION("""COMPUTED_VALUE"""),"https://eitaa.com/ansaralmahdi1")</f>
        <v>https://eitaa.com/ansaralmahdi1</v>
      </c>
      <c r="K3928" s="5"/>
      <c r="L3928" s="5"/>
      <c r="M3928" s="5"/>
      <c r="N3928" s="5"/>
      <c r="O3928" s="5"/>
      <c r="P3928" s="5"/>
      <c r="Q3928" s="5"/>
      <c r="R3928" s="5"/>
      <c r="S3928" s="5"/>
    </row>
    <row r="3929">
      <c r="A3929" s="5"/>
      <c r="B3929" s="5" t="str">
        <f>IFERROR(__xludf.DUMMYFUNCTION("""COMPUTED_VALUE"""),"هیأت هفتگی")</f>
        <v>هیأت هفتگی</v>
      </c>
      <c r="C3929" s="5" t="str">
        <f>IFERROR(__xludf.DUMMYFUNCTION("""COMPUTED_VALUE"""),"مجمع جوانان شهرستان ملکشاهی")</f>
        <v>مجمع جوانان شهرستان ملکشاهی</v>
      </c>
      <c r="D3929" s="5" t="str">
        <f>IFERROR(__xludf.DUMMYFUNCTION("""COMPUTED_VALUE"""),"ایلام")</f>
        <v>ایلام</v>
      </c>
      <c r="E3929" s="5" t="str">
        <f>IFERROR(__xludf.DUMMYFUNCTION("""COMPUTED_VALUE"""),"ملکشاهی")</f>
        <v>ملکشاهی</v>
      </c>
      <c r="F3929" s="5"/>
      <c r="G3929" s="5"/>
      <c r="H3929" s="6" t="str">
        <f>IFERROR(__xludf.DUMMYFUNCTION("""COMPUTED_VALUE"""),"https://www.instagram.com/majma_javanan_malekshahi/")</f>
        <v>https://www.instagram.com/majma_javanan_malekshahi/</v>
      </c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</row>
    <row r="3930">
      <c r="A3930" s="5">
        <f>IFERROR(__xludf.DUMMYFUNCTION("""COMPUTED_VALUE"""),21823.0)</f>
        <v>21823</v>
      </c>
      <c r="B3930" s="5" t="str">
        <f>IFERROR(__xludf.DUMMYFUNCTION("""COMPUTED_VALUE"""),"هیأت هفتگی")</f>
        <v>هیأت هفتگی</v>
      </c>
      <c r="C3930" s="5" t="str">
        <f>IFERROR(__xludf.DUMMYFUNCTION("""COMPUTED_VALUE"""),"جامعه المهدی (عج) مسجد سیدالشهدا")</f>
        <v>جامعه المهدی (عج) مسجد سیدالشهدا</v>
      </c>
      <c r="D3930" s="5" t="str">
        <f>IFERROR(__xludf.DUMMYFUNCTION("""COMPUTED_VALUE"""),"ایلام")</f>
        <v>ایلام</v>
      </c>
      <c r="E3930" s="5" t="str">
        <f>IFERROR(__xludf.DUMMYFUNCTION("""COMPUTED_VALUE"""),"ایلام")</f>
        <v>ایلام</v>
      </c>
      <c r="F3930" s="5" t="str">
        <f>IFERROR(__xludf.DUMMYFUNCTION("""COMPUTED_VALUE"""),"مسجد سید الشهداء")</f>
        <v>مسجد سید الشهداء</v>
      </c>
      <c r="G3930" s="5"/>
      <c r="H3930" s="5"/>
      <c r="I3930" s="5"/>
      <c r="J3930" s="6" t="str">
        <f>IFERROR(__xludf.DUMMYFUNCTION("""COMPUTED_VALUE"""),"https://eitaa.com/jamatolmahdi_ilam")</f>
        <v>https://eitaa.com/jamatolmahdi_ilam</v>
      </c>
      <c r="K3930" s="5"/>
      <c r="L3930" s="5"/>
      <c r="M3930" s="5"/>
      <c r="N3930" s="5"/>
      <c r="O3930" s="5"/>
      <c r="P3930" s="5"/>
      <c r="Q3930" s="5"/>
      <c r="R3930" s="5"/>
      <c r="S3930" s="5"/>
    </row>
    <row r="3931">
      <c r="A3931" s="5">
        <f>IFERROR(__xludf.DUMMYFUNCTION("""COMPUTED_VALUE"""),21693.0)</f>
        <v>21693</v>
      </c>
      <c r="B3931" s="5" t="str">
        <f>IFERROR(__xludf.DUMMYFUNCTION("""COMPUTED_VALUE""")," هیأت هفتگی")</f>
        <v> هیأت هفتگی</v>
      </c>
      <c r="C3931" s="5" t="str">
        <f>IFERROR(__xludf.DUMMYFUNCTION("""COMPUTED_VALUE"""),"دلسوختگان بقیع")</f>
        <v>دلسوختگان بقیع</v>
      </c>
      <c r="D3931" s="5" t="str">
        <f>IFERROR(__xludf.DUMMYFUNCTION("""COMPUTED_VALUE"""),"ایلام")</f>
        <v>ایلام</v>
      </c>
      <c r="E3931" s="5" t="str">
        <f>IFERROR(__xludf.DUMMYFUNCTION("""COMPUTED_VALUE"""),"ایوان")</f>
        <v>ایوان</v>
      </c>
      <c r="F3931" s="5"/>
      <c r="G3931" s="5"/>
      <c r="H3931" s="5"/>
      <c r="I3931" s="5"/>
      <c r="J3931" s="6" t="str">
        <f>IFERROR(__xludf.DUMMYFUNCTION("""COMPUTED_VALUE"""),"https://eitaa.com/delsookhtgan")</f>
        <v>https://eitaa.com/delsookhtgan</v>
      </c>
      <c r="K3931" s="5"/>
      <c r="L3931" s="5"/>
      <c r="M3931" s="5"/>
      <c r="N3931" s="5"/>
      <c r="O3931" s="5"/>
      <c r="P3931" s="5"/>
      <c r="Q3931" s="5"/>
      <c r="R3931" s="5"/>
      <c r="S3931" s="5"/>
    </row>
    <row r="3932">
      <c r="A3932" s="5">
        <f>IFERROR(__xludf.DUMMYFUNCTION("""COMPUTED_VALUE"""),21692.0)</f>
        <v>21692</v>
      </c>
      <c r="B3932" s="5" t="str">
        <f>IFERROR(__xludf.DUMMYFUNCTION("""COMPUTED_VALUE"""),"هیأت مناسبتی")</f>
        <v>هیأت مناسبتی</v>
      </c>
      <c r="C3932" s="5" t="str">
        <f>IFERROR(__xludf.DUMMYFUNCTION("""COMPUTED_VALUE"""),"محبان العباس (ع)")</f>
        <v>محبان العباس (ع)</v>
      </c>
      <c r="D3932" s="5" t="str">
        <f>IFERROR(__xludf.DUMMYFUNCTION("""COMPUTED_VALUE"""),"ایلام")</f>
        <v>ایلام</v>
      </c>
      <c r="E3932" s="5" t="str">
        <f>IFERROR(__xludf.DUMMYFUNCTION("""COMPUTED_VALUE"""),"ایوان")</f>
        <v>ایوان</v>
      </c>
      <c r="F3932" s="5"/>
      <c r="G3932" s="5"/>
      <c r="H3932" s="6" t="str">
        <f>IFERROR(__xludf.DUMMYFUNCTION("""COMPUTED_VALUE"""),"https://www.instagram.com/mohebanalabbas313/")</f>
        <v>https://www.instagram.com/mohebanalabbas313/</v>
      </c>
      <c r="I3932" s="5"/>
      <c r="J3932" s="6" t="str">
        <f>IFERROR(__xludf.DUMMYFUNCTION("""COMPUTED_VALUE"""),"https://eitaa.com/mohebanalabbas313")</f>
        <v>https://eitaa.com/mohebanalabbas313</v>
      </c>
      <c r="K3932" s="5"/>
      <c r="L3932" s="5"/>
      <c r="M3932" s="5"/>
      <c r="N3932" s="5"/>
      <c r="O3932" s="5"/>
      <c r="P3932" s="5"/>
      <c r="Q3932" s="5"/>
      <c r="R3932" s="5"/>
      <c r="S3932" s="5"/>
    </row>
    <row r="3933">
      <c r="A3933" s="5">
        <f>IFERROR(__xludf.DUMMYFUNCTION("""COMPUTED_VALUE"""),18069.0)</f>
        <v>18069</v>
      </c>
      <c r="B3933" s="5" t="str">
        <f>IFERROR(__xludf.DUMMYFUNCTION("""COMPUTED_VALUE"""),"هیأت مناسبتی")</f>
        <v>هیأت مناسبتی</v>
      </c>
      <c r="C3933" s="5" t="str">
        <f>IFERROR(__xludf.DUMMYFUNCTION("""COMPUTED_VALUE"""),"متوسلین به امیرالمومنین(ع)")</f>
        <v>متوسلین به امیرالمومنین(ع)</v>
      </c>
      <c r="D3933" s="5" t="str">
        <f>IFERROR(__xludf.DUMMYFUNCTION("""COMPUTED_VALUE"""),"ایلام")</f>
        <v>ایلام</v>
      </c>
      <c r="E3933" s="5" t="str">
        <f>IFERROR(__xludf.DUMMYFUNCTION("""COMPUTED_VALUE"""),"ملکشاهی")</f>
        <v>ملکشاهی</v>
      </c>
      <c r="F3933" s="5"/>
      <c r="G3933" s="5"/>
      <c r="H3933" s="6" t="str">
        <f>IFERROR(__xludf.DUMMYFUNCTION("""COMPUTED_VALUE"""),"https://www.instagram.com/masjed_hazeratamir")</f>
        <v>https://www.instagram.com/masjed_hazeratamir</v>
      </c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</row>
    <row r="3934">
      <c r="A3934" s="5">
        <f>IFERROR(__xludf.DUMMYFUNCTION("""COMPUTED_VALUE"""),2906.0)</f>
        <v>2906</v>
      </c>
      <c r="B3934" s="5" t="str">
        <f>IFERROR(__xludf.DUMMYFUNCTION("""COMPUTED_VALUE"""),"هیأت هفتگی")</f>
        <v>هیأت هفتگی</v>
      </c>
      <c r="C3934" s="5" t="str">
        <f>IFERROR(__xludf.DUMMYFUNCTION("""COMPUTED_VALUE"""),"جامعه الحسین (ع)")</f>
        <v>جامعه الحسین (ع)</v>
      </c>
      <c r="D3934" s="5" t="str">
        <f>IFERROR(__xludf.DUMMYFUNCTION("""COMPUTED_VALUE"""),"ایلام")</f>
        <v>ایلام</v>
      </c>
      <c r="E3934" s="5" t="str">
        <f>IFERROR(__xludf.DUMMYFUNCTION("""COMPUTED_VALUE"""),"ایلام")</f>
        <v>ایلام</v>
      </c>
      <c r="F3934" s="5"/>
      <c r="G3934" s="5"/>
      <c r="H3934" s="5"/>
      <c r="I3934" s="5"/>
      <c r="J3934" s="6" t="str">
        <f>IFERROR(__xludf.DUMMYFUNCTION("""COMPUTED_VALUE"""),"https://www.eitaa.com/s/jameatol_hosein/")</f>
        <v>https://www.eitaa.com/s/jameatol_hosein/</v>
      </c>
      <c r="K3934" s="5"/>
      <c r="L3934" s="5"/>
      <c r="M3934" s="5"/>
      <c r="N3934" s="5"/>
      <c r="O3934" s="5"/>
      <c r="P3934" s="5"/>
      <c r="Q3934" s="5"/>
      <c r="R3934" s="5"/>
      <c r="S3934" s="5"/>
    </row>
    <row r="3935">
      <c r="A3935" s="5">
        <f>IFERROR(__xludf.DUMMYFUNCTION("""COMPUTED_VALUE"""),2793.0)</f>
        <v>2793</v>
      </c>
      <c r="B3935" s="5" t="str">
        <f>IFERROR(__xludf.DUMMYFUNCTION("""COMPUTED_VALUE"""),"هیأت هفتگی")</f>
        <v>هیأت هفتگی</v>
      </c>
      <c r="C3935" s="5" t="str">
        <f>IFERROR(__xludf.DUMMYFUNCTION("""COMPUTED_VALUE"""),"جوانان انصارالمهدی (عج)")</f>
        <v>جوانان انصارالمهدی (عج)</v>
      </c>
      <c r="D3935" s="5" t="str">
        <f>IFERROR(__xludf.DUMMYFUNCTION("""COMPUTED_VALUE"""),"ایلام")</f>
        <v>ایلام</v>
      </c>
      <c r="E3935" s="5" t="str">
        <f>IFERROR(__xludf.DUMMYFUNCTION("""COMPUTED_VALUE"""),"دهلران")</f>
        <v>دهلران</v>
      </c>
      <c r="F3935" s="5"/>
      <c r="G3935" s="5"/>
      <c r="H3935" s="6" t="str">
        <f>IFERROR(__xludf.DUMMYFUNCTION("""COMPUTED_VALUE"""),"https://Instagram.com/Ansaralmahdi_dehloran")</f>
        <v>https://Instagram.com/Ansaralmahdi_dehloran</v>
      </c>
      <c r="I3935" s="5"/>
      <c r="J3935" s="6" t="str">
        <f>IFERROR(__xludf.DUMMYFUNCTION("""COMPUTED_VALUE"""),"https://eitaa.com/ansaralmahdi_dehloran")</f>
        <v>https://eitaa.com/ansaralmahdi_dehloran</v>
      </c>
      <c r="K3935" s="5"/>
      <c r="L3935" s="5"/>
      <c r="M3935" s="5"/>
      <c r="N3935" s="5"/>
      <c r="O3935" s="5"/>
      <c r="P3935" s="5"/>
      <c r="Q3935" s="5"/>
      <c r="R3935" s="5"/>
      <c r="S3935" s="5"/>
    </row>
    <row r="3936">
      <c r="A3936" s="5">
        <f>IFERROR(__xludf.DUMMYFUNCTION("""COMPUTED_VALUE"""),2791.0)</f>
        <v>2791</v>
      </c>
      <c r="B3936" s="5"/>
      <c r="C3936" s="5" t="str">
        <f>IFERROR(__xludf.DUMMYFUNCTION("""COMPUTED_VALUE"""),"محبان حضرت امیرالمومنین(ع)")</f>
        <v>محبان حضرت امیرالمومنین(ع)</v>
      </c>
      <c r="D3936" s="5" t="str">
        <f>IFERROR(__xludf.DUMMYFUNCTION("""COMPUTED_VALUE"""),"ایلام")</f>
        <v>ایلام</v>
      </c>
      <c r="E3936" s="5" t="str">
        <f>IFERROR(__xludf.DUMMYFUNCTION("""COMPUTED_VALUE"""),"دهلران")</f>
        <v>دهلران</v>
      </c>
      <c r="F3936" s="5"/>
      <c r="G3936" s="5"/>
      <c r="H3936" s="6" t="str">
        <f>IFERROR(__xludf.DUMMYFUNCTION("""COMPUTED_VALUE"""),"https://www.instagram.com/rahekarbala.dehloran")</f>
        <v>https://www.instagram.com/rahekarbala.dehloran</v>
      </c>
      <c r="I3936" s="5"/>
      <c r="J3936" s="6" t="str">
        <f>IFERROR(__xludf.DUMMYFUNCTION("""COMPUTED_VALUE"""),"http://eitaa.com/Amir_alMominin313")</f>
        <v>http://eitaa.com/Amir_alMominin313</v>
      </c>
      <c r="K3936" s="5"/>
      <c r="L3936" s="5"/>
      <c r="M3936" s="5"/>
      <c r="N3936" s="5"/>
      <c r="O3936" s="5"/>
      <c r="P3936" s="5"/>
      <c r="Q3936" s="5"/>
      <c r="R3936" s="5"/>
      <c r="S3936" s="5"/>
    </row>
    <row r="3937">
      <c r="A3937" s="5">
        <f>IFERROR(__xludf.DUMMYFUNCTION("""COMPUTED_VALUE"""),2762.0)</f>
        <v>2762</v>
      </c>
      <c r="B3937" s="5"/>
      <c r="C3937" s="5" t="str">
        <f>IFERROR(__xludf.DUMMYFUNCTION("""COMPUTED_VALUE"""),"امام حسن مجتبی (ع)")</f>
        <v>امام حسن مجتبی (ع)</v>
      </c>
      <c r="D3937" s="5" t="str">
        <f>IFERROR(__xludf.DUMMYFUNCTION("""COMPUTED_VALUE"""),"ایلام")</f>
        <v>ایلام</v>
      </c>
      <c r="E3937" s="5" t="str">
        <f>IFERROR(__xludf.DUMMYFUNCTION("""COMPUTED_VALUE"""),"دره شهر")</f>
        <v>دره شهر</v>
      </c>
      <c r="F3937" s="5"/>
      <c r="G3937" s="5"/>
      <c r="H3937" s="5"/>
      <c r="I3937" s="5"/>
      <c r="J3937" s="6" t="str">
        <f>IFERROR(__xludf.DUMMYFUNCTION("""COMPUTED_VALUE"""),"https://eitaa.com/Emamhasane_mojtaba")</f>
        <v>https://eitaa.com/Emamhasane_mojtaba</v>
      </c>
      <c r="K3937" s="5"/>
      <c r="L3937" s="5"/>
      <c r="M3937" s="5"/>
      <c r="N3937" s="5"/>
      <c r="O3937" s="5"/>
      <c r="P3937" s="5"/>
      <c r="Q3937" s="5"/>
      <c r="R3937" s="5"/>
      <c r="S3937" s="5"/>
    </row>
    <row r="3938">
      <c r="A3938" s="5">
        <f>IFERROR(__xludf.DUMMYFUNCTION("""COMPUTED_VALUE"""),2689.0)</f>
        <v>2689</v>
      </c>
      <c r="B3938" s="5"/>
      <c r="C3938" s="5" t="str">
        <f>IFERROR(__xludf.DUMMYFUNCTION("""COMPUTED_VALUE"""),"خادمین اهل بیت(ع) (مسجد خاتم الانبیا(ص))")</f>
        <v>خادمین اهل بیت(ع) (مسجد خاتم الانبیا(ص))</v>
      </c>
      <c r="D3938" s="5" t="str">
        <f>IFERROR(__xludf.DUMMYFUNCTION("""COMPUTED_VALUE"""),"ایلام")</f>
        <v>ایلام</v>
      </c>
      <c r="E3938" s="5" t="str">
        <f>IFERROR(__xludf.DUMMYFUNCTION("""COMPUTED_VALUE"""),"ایلام")</f>
        <v>ایلام</v>
      </c>
      <c r="F3938" s="5"/>
      <c r="G3938" s="5"/>
      <c r="H3938" s="6" t="str">
        <f>IFERROR(__xludf.DUMMYFUNCTION("""COMPUTED_VALUE"""),"https://www.instagram.com/khatamolanbia.ilam/")</f>
        <v>https://www.instagram.com/khatamolanbia.ilam/</v>
      </c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</row>
    <row r="3939">
      <c r="A3939" s="5">
        <f>IFERROR(__xludf.DUMMYFUNCTION("""COMPUTED_VALUE"""),2681.0)</f>
        <v>2681</v>
      </c>
      <c r="B3939" s="5"/>
      <c r="C3939" s="5" t="str">
        <f>IFERROR(__xludf.DUMMYFUNCTION("""COMPUTED_VALUE"""),"انصارالحسین (ع) (حسینیه امام علی(ع))")</f>
        <v>انصارالحسین (ع) (حسینیه امام علی(ع))</v>
      </c>
      <c r="D3939" s="5" t="str">
        <f>IFERROR(__xludf.DUMMYFUNCTION("""COMPUTED_VALUE"""),"ایلام")</f>
        <v>ایلام</v>
      </c>
      <c r="E3939" s="5" t="str">
        <f>IFERROR(__xludf.DUMMYFUNCTION("""COMPUTED_VALUE"""),"ایلام")</f>
        <v>ایلام</v>
      </c>
      <c r="F3939" s="5"/>
      <c r="G3939" s="5"/>
      <c r="H3939" s="6" t="str">
        <f>IFERROR(__xludf.DUMMYFUNCTION("""COMPUTED_VALUE"""),"https://www.instagram.com/h_seyedmousavi.ilam/")</f>
        <v>https://www.instagram.com/h_seyedmousavi.ilam/</v>
      </c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</row>
    <row r="3940">
      <c r="A3940" s="5">
        <f>IFERROR(__xludf.DUMMYFUNCTION("""COMPUTED_VALUE"""),2650.0)</f>
        <v>2650</v>
      </c>
      <c r="B3940" s="5" t="str">
        <f>IFERROR(__xludf.DUMMYFUNCTION("""COMPUTED_VALUE"""),"هیأت هفتگی")</f>
        <v>هیأت هفتگی</v>
      </c>
      <c r="C3940" s="5" t="str">
        <f>IFERROR(__xludf.DUMMYFUNCTION("""COMPUTED_VALUE"""),"محبان امام جعفرصادق(ع)")</f>
        <v>محبان امام جعفرصادق(ع)</v>
      </c>
      <c r="D3940" s="5" t="str">
        <f>IFERROR(__xludf.DUMMYFUNCTION("""COMPUTED_VALUE"""),"ایلام")</f>
        <v>ایلام</v>
      </c>
      <c r="E3940" s="5" t="str">
        <f>IFERROR(__xludf.DUMMYFUNCTION("""COMPUTED_VALUE"""),"ایلام")</f>
        <v>ایلام</v>
      </c>
      <c r="F3940" s="5"/>
      <c r="G3940" s="5"/>
      <c r="H3940" s="5"/>
      <c r="I3940" s="5"/>
      <c r="J3940" s="6" t="str">
        <f>IFERROR(__xludf.DUMMYFUNCTION("""COMPUTED_VALUE"""),"https://eitaa.com/emamsadeghilam")</f>
        <v>https://eitaa.com/emamsadeghilam</v>
      </c>
      <c r="K3940" s="5"/>
      <c r="L3940" s="5"/>
      <c r="M3940" s="5"/>
      <c r="N3940" s="5"/>
      <c r="O3940" s="5"/>
      <c r="P3940" s="5"/>
      <c r="Q3940" s="5"/>
      <c r="R3940" s="5"/>
      <c r="S3940" s="5"/>
    </row>
    <row r="3941">
      <c r="A3941" s="5">
        <f>IFERROR(__xludf.DUMMYFUNCTION("""COMPUTED_VALUE"""),2625.0)</f>
        <v>2625</v>
      </c>
      <c r="B3941" s="5"/>
      <c r="C3941" s="5" t="str">
        <f>IFERROR(__xludf.DUMMYFUNCTION("""COMPUTED_VALUE"""),"محبان آل عبا")</f>
        <v>محبان آل عبا</v>
      </c>
      <c r="D3941" s="5" t="str">
        <f>IFERROR(__xludf.DUMMYFUNCTION("""COMPUTED_VALUE"""),"ایلام")</f>
        <v>ایلام</v>
      </c>
      <c r="E3941" s="5" t="str">
        <f>IFERROR(__xludf.DUMMYFUNCTION("""COMPUTED_VALUE"""),"ایلام")</f>
        <v>ایلام</v>
      </c>
      <c r="F3941" s="5"/>
      <c r="G3941" s="5"/>
      <c r="H3941" s="6" t="str">
        <f>IFERROR(__xludf.DUMMYFUNCTION("""COMPUTED_VALUE"""),"https://www.instagram.com/mohebanealeabailam/")</f>
        <v>https://www.instagram.com/mohebanealeabailam/</v>
      </c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</row>
    <row r="3942">
      <c r="A3942" s="5">
        <f>IFERROR(__xludf.DUMMYFUNCTION("""COMPUTED_VALUE"""),2563.0)</f>
        <v>2563</v>
      </c>
      <c r="B3942" s="5"/>
      <c r="C3942" s="5" t="str">
        <f>IFERROR(__xludf.DUMMYFUNCTION("""COMPUTED_VALUE"""),"محبان اهل بیت (ع) (روستای باسکله گرمه)")</f>
        <v>محبان اهل بیت (ع) (روستای باسکله گرمه)</v>
      </c>
      <c r="D3942" s="5" t="str">
        <f>IFERROR(__xludf.DUMMYFUNCTION("""COMPUTED_VALUE"""),"ایلام")</f>
        <v>ایلام</v>
      </c>
      <c r="E3942" s="5" t="str">
        <f>IFERROR(__xludf.DUMMYFUNCTION("""COMPUTED_VALUE"""),"ایوان")</f>
        <v>ایوان</v>
      </c>
      <c r="F3942" s="5"/>
      <c r="G3942" s="5"/>
      <c r="H3942" s="5"/>
      <c r="I3942" s="5"/>
      <c r="J3942" s="6" t="str">
        <f>IFERROR(__xludf.DUMMYFUNCTION("""COMPUTED_VALUE"""),"https://eitaa.com/mhbn_ir")</f>
        <v>https://eitaa.com/mhbn_ir</v>
      </c>
      <c r="K3942" s="5"/>
      <c r="L3942" s="5"/>
      <c r="M3942" s="5"/>
      <c r="N3942" s="5"/>
      <c r="O3942" s="5"/>
      <c r="P3942" s="5"/>
      <c r="Q3942" s="5"/>
      <c r="R3942" s="5"/>
      <c r="S3942" s="5"/>
    </row>
    <row r="3943">
      <c r="A3943" s="5">
        <f>IFERROR(__xludf.DUMMYFUNCTION("""COMPUTED_VALUE"""),2543.0)</f>
        <v>2543</v>
      </c>
      <c r="B3943" s="5"/>
      <c r="C3943" s="5" t="str">
        <f>IFERROR(__xludf.DUMMYFUNCTION("""COMPUTED_VALUE"""),"محبان علی بن ابیطالب (ع)")</f>
        <v>محبان علی بن ابیطالب (ع)</v>
      </c>
      <c r="D3943" s="5" t="str">
        <f>IFERROR(__xludf.DUMMYFUNCTION("""COMPUTED_VALUE"""),"ایلام")</f>
        <v>ایلام</v>
      </c>
      <c r="E3943" s="5" t="str">
        <f>IFERROR(__xludf.DUMMYFUNCTION("""COMPUTED_VALUE"""),"ایلام")</f>
        <v>ایلام</v>
      </c>
      <c r="F3943" s="5"/>
      <c r="G3943" s="5"/>
      <c r="H3943" s="5"/>
      <c r="I3943" s="5"/>
      <c r="J3943" s="6" t="str">
        <f>IFERROR(__xludf.DUMMYFUNCTION("""COMPUTED_VALUE"""),"https://eitaa.com/mohebanilam")</f>
        <v>https://eitaa.com/mohebanilam</v>
      </c>
      <c r="K3943" s="5"/>
      <c r="L3943" s="5"/>
      <c r="M3943" s="5"/>
      <c r="N3943" s="5"/>
      <c r="O3943" s="5"/>
      <c r="P3943" s="5"/>
      <c r="Q3943" s="5"/>
      <c r="R3943" s="5"/>
      <c r="S3943" s="5"/>
    </row>
    <row r="3944">
      <c r="A3944" s="5"/>
      <c r="B3944" s="5" t="str">
        <f>IFERROR(__xludf.DUMMYFUNCTION("""COMPUTED_VALUE"""),"هیأت")</f>
        <v>هیأت</v>
      </c>
      <c r="C3944" s="5" t="str">
        <f>IFERROR(__xludf.DUMMYFUNCTION("""COMPUTED_VALUE"""),"جامعة المهدی")</f>
        <v>جامعة المهدی</v>
      </c>
      <c r="D3944" s="5" t="str">
        <f>IFERROR(__xludf.DUMMYFUNCTION("""COMPUTED_VALUE"""),"ایلام")</f>
        <v>ایلام</v>
      </c>
      <c r="E3944" s="5" t="str">
        <f>IFERROR(__xludf.DUMMYFUNCTION("""COMPUTED_VALUE"""),"ایلام")</f>
        <v>ایلام</v>
      </c>
      <c r="F3944" s="5"/>
      <c r="G3944" s="5"/>
      <c r="H3944" s="6" t="str">
        <f>IFERROR(__xludf.DUMMYFUNCTION("""COMPUTED_VALUE"""),"http://instagram.com/heyat.jameatalmahdi/")</f>
        <v>http://instagram.com/heyat.jameatalmahdi/</v>
      </c>
      <c r="I3944" s="5"/>
      <c r="J3944" s="6" t="str">
        <f>IFERROR(__xludf.DUMMYFUNCTION("""COMPUTED_VALUE"""),"eitaa.com/jamatolmahdi_ilam")</f>
        <v>eitaa.com/jamatolmahdi_ilam</v>
      </c>
      <c r="K3944" s="5"/>
      <c r="L3944" s="5"/>
      <c r="M3944" s="5"/>
      <c r="N3944" s="5"/>
      <c r="O3944" s="5"/>
      <c r="P3944" s="5"/>
      <c r="Q3944" s="5"/>
      <c r="R3944" s="5"/>
      <c r="S3944" s="5"/>
    </row>
    <row r="3945">
      <c r="A3945" s="5"/>
      <c r="B3945" s="5" t="str">
        <f>IFERROR(__xludf.DUMMYFUNCTION("""COMPUTED_VALUE"""),"هیأت")</f>
        <v>هیأت</v>
      </c>
      <c r="C3945" s="5" t="str">
        <f>IFERROR(__xludf.DUMMYFUNCTION("""COMPUTED_VALUE"""),"محبان علی ابن ابی طالب (ع)")</f>
        <v>محبان علی ابن ابی طالب (ع)</v>
      </c>
      <c r="D3945" s="5" t="str">
        <f>IFERROR(__xludf.DUMMYFUNCTION("""COMPUTED_VALUE"""),"ایلام")</f>
        <v>ایلام</v>
      </c>
      <c r="E3945" s="5" t="str">
        <f>IFERROR(__xludf.DUMMYFUNCTION("""COMPUTED_VALUE"""),"ایلام")</f>
        <v>ایلام</v>
      </c>
      <c r="F3945" s="5"/>
      <c r="G3945" s="5"/>
      <c r="H3945" s="6" t="str">
        <f>IFERROR(__xludf.DUMMYFUNCTION("""COMPUTED_VALUE"""),"http://instagram.com/mohebanilam")</f>
        <v>http://instagram.com/mohebanilam</v>
      </c>
      <c r="I3945" s="6" t="str">
        <f>IFERROR(__xludf.DUMMYFUNCTION("""COMPUTED_VALUE"""),"t.me/mohebanilam")</f>
        <v>t.me/mohebanilam</v>
      </c>
      <c r="J3945" s="6" t="str">
        <f>IFERROR(__xludf.DUMMYFUNCTION("""COMPUTED_VALUE"""),"https://eitaa.com/mohebanilam")</f>
        <v>https://eitaa.com/mohebanilam</v>
      </c>
      <c r="K3945" s="5"/>
      <c r="L3945" s="5"/>
      <c r="M3945" s="5"/>
      <c r="N3945" s="5"/>
      <c r="O3945" s="5"/>
      <c r="P3945" s="5"/>
      <c r="Q3945" s="5"/>
      <c r="R3945" s="5"/>
      <c r="S3945" s="5"/>
    </row>
    <row r="3946">
      <c r="A3946" s="5"/>
      <c r="B3946" s="5" t="str">
        <f>IFERROR(__xludf.DUMMYFUNCTION("""COMPUTED_VALUE"""),"هیأت")</f>
        <v>هیأت</v>
      </c>
      <c r="C3946" s="5" t="str">
        <f>IFERROR(__xludf.DUMMYFUNCTION("""COMPUTED_VALUE"""),"آل طاها")</f>
        <v>آل طاها</v>
      </c>
      <c r="D3946" s="5" t="str">
        <f>IFERROR(__xludf.DUMMYFUNCTION("""COMPUTED_VALUE"""),"ایلام")</f>
        <v>ایلام</v>
      </c>
      <c r="E3946" s="5" t="str">
        <f>IFERROR(__xludf.DUMMYFUNCTION("""COMPUTED_VALUE"""),"ایلام")</f>
        <v>ایلام</v>
      </c>
      <c r="F3946" s="5"/>
      <c r="G3946" s="5"/>
      <c r="H3946" s="6" t="str">
        <f>IFERROR(__xludf.DUMMYFUNCTION("""COMPUTED_VALUE"""),"https://www.instagram.com/aletaha_ilam/")</f>
        <v>https://www.instagram.com/aletaha_ilam/</v>
      </c>
      <c r="I3946" s="6" t="str">
        <f>IFERROR(__xludf.DUMMYFUNCTION("""COMPUTED_VALUE"""),"t.me/Aletaha_ilam")</f>
        <v>t.me/Aletaha_ilam</v>
      </c>
      <c r="J3946" s="5"/>
      <c r="K3946" s="5"/>
      <c r="L3946" s="5"/>
      <c r="M3946" s="5"/>
      <c r="N3946" s="5"/>
      <c r="O3946" s="5"/>
      <c r="P3946" s="5"/>
      <c r="Q3946" s="5"/>
      <c r="R3946" s="5"/>
      <c r="S3946" s="5"/>
    </row>
    <row r="3947">
      <c r="A3947" s="5"/>
      <c r="B3947" s="5" t="str">
        <f>IFERROR(__xludf.DUMMYFUNCTION("""COMPUTED_VALUE"""),"هیأت")</f>
        <v>هیأت</v>
      </c>
      <c r="C3947" s="5" t="str">
        <f>IFERROR(__xludf.DUMMYFUNCTION("""COMPUTED_VALUE"""),"انصار حسین ابن علی")</f>
        <v>انصار حسین ابن علی</v>
      </c>
      <c r="D3947" s="5" t="str">
        <f>IFERROR(__xludf.DUMMYFUNCTION("""COMPUTED_VALUE"""),"ایلام")</f>
        <v>ایلام</v>
      </c>
      <c r="E3947" s="5" t="str">
        <f>IFERROR(__xludf.DUMMYFUNCTION("""COMPUTED_VALUE"""),"ایلام")</f>
        <v>ایلام</v>
      </c>
      <c r="F3947" s="5"/>
      <c r="G3947" s="5"/>
      <c r="H3947" s="6" t="str">
        <f>IFERROR(__xludf.DUMMYFUNCTION("""COMPUTED_VALUE"""),"https://www.instagram.com/h_seyedmousavi.ilam/")</f>
        <v>https://www.instagram.com/h_seyedmousavi.ilam/</v>
      </c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</row>
    <row r="3948">
      <c r="A3948" s="5"/>
      <c r="B3948" s="5" t="str">
        <f>IFERROR(__xludf.DUMMYFUNCTION("""COMPUTED_VALUE"""),"مسجد")</f>
        <v>مسجد</v>
      </c>
      <c r="C3948" s="5" t="str">
        <f>IFERROR(__xludf.DUMMYFUNCTION("""COMPUTED_VALUE"""),"مقدس صاحب الزمان (عج)")</f>
        <v>مقدس صاحب الزمان (عج)</v>
      </c>
      <c r="D3948" s="5" t="str">
        <f>IFERROR(__xludf.DUMMYFUNCTION("""COMPUTED_VALUE"""),"ایلام")</f>
        <v>ایلام</v>
      </c>
      <c r="E3948" s="5" t="str">
        <f>IFERROR(__xludf.DUMMYFUNCTION("""COMPUTED_VALUE"""),"ایلام")</f>
        <v>ایلام</v>
      </c>
      <c r="F3948" s="5"/>
      <c r="G3948" s="5"/>
      <c r="H3948" s="5"/>
      <c r="I3948" s="5"/>
      <c r="J3948" s="6" t="str">
        <f>IFERROR(__xludf.DUMMYFUNCTION("""COMPUTED_VALUE"""),"https://eitaa.com/ofough")</f>
        <v>https://eitaa.com/ofough</v>
      </c>
      <c r="K3948" s="5"/>
      <c r="L3948" s="5"/>
      <c r="M3948" s="5"/>
      <c r="N3948" s="5"/>
      <c r="O3948" s="5"/>
      <c r="P3948" s="5"/>
      <c r="Q3948" s="5"/>
      <c r="R3948" s="5"/>
      <c r="S3948" s="5"/>
    </row>
    <row r="3949">
      <c r="A3949" s="5"/>
      <c r="B3949" s="5" t="str">
        <f>IFERROR(__xludf.DUMMYFUNCTION("""COMPUTED_VALUE"""),"هیأت")</f>
        <v>هیأت</v>
      </c>
      <c r="C3949" s="5" t="str">
        <f>IFERROR(__xludf.DUMMYFUNCTION("""COMPUTED_VALUE"""),"دخترانه فادیا")</f>
        <v>دخترانه فادیا</v>
      </c>
      <c r="D3949" s="5" t="str">
        <f>IFERROR(__xludf.DUMMYFUNCTION("""COMPUTED_VALUE"""),"ایلام")</f>
        <v>ایلام</v>
      </c>
      <c r="E3949" s="5" t="str">
        <f>IFERROR(__xludf.DUMMYFUNCTION("""COMPUTED_VALUE"""),"دهلران")</f>
        <v>دهلران</v>
      </c>
      <c r="F3949" s="5"/>
      <c r="G3949" s="5"/>
      <c r="H3949" s="6" t="str">
        <f>IFERROR(__xludf.DUMMYFUNCTION("""COMPUTED_VALUE"""),"https://www.instagram.com/fadia.heyat_ilam/")</f>
        <v>https://www.instagram.com/fadia.heyat_ilam/</v>
      </c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</row>
    <row r="3950">
      <c r="A3950" s="5"/>
      <c r="B3950" s="5" t="str">
        <f>IFERROR(__xludf.DUMMYFUNCTION("""COMPUTED_VALUE"""),"هیأت")</f>
        <v>هیأت</v>
      </c>
      <c r="C3950" s="5" t="str">
        <f>IFERROR(__xludf.DUMMYFUNCTION("""COMPUTED_VALUE"""),"انصار تکیه مقدس و معظم حضرت اباالفضل (ع)")</f>
        <v>انصار تکیه مقدس و معظم حضرت اباالفضل (ع)</v>
      </c>
      <c r="D3950" s="5" t="str">
        <f>IFERROR(__xludf.DUMMYFUNCTION("""COMPUTED_VALUE"""),"ایلام")</f>
        <v>ایلام</v>
      </c>
      <c r="E3950" s="5" t="str">
        <f>IFERROR(__xludf.DUMMYFUNCTION("""COMPUTED_VALUE"""),"ایلام")</f>
        <v>ایلام</v>
      </c>
      <c r="F3950" s="5"/>
      <c r="G3950" s="5"/>
      <c r="H3950" s="6" t="str">
        <f>IFERROR(__xludf.DUMMYFUNCTION("""COMPUTED_VALUE"""),"https://www.instagram.com/hata_ilam/")</f>
        <v>https://www.instagram.com/hata_ilam/</v>
      </c>
      <c r="I3950" s="5"/>
      <c r="J3950" s="6" t="str">
        <f>IFERROR(__xludf.DUMMYFUNCTION("""COMPUTED_VALUE"""),"eitaa.com/hata_ilam")</f>
        <v>eitaa.com/hata_ilam</v>
      </c>
      <c r="K3950" s="5"/>
      <c r="L3950" s="5"/>
      <c r="M3950" s="5"/>
      <c r="N3950" s="5"/>
      <c r="O3950" s="5"/>
      <c r="P3950" s="5"/>
      <c r="Q3950" s="5"/>
      <c r="R3950" s="5"/>
      <c r="S3950" s="5"/>
    </row>
    <row r="3951">
      <c r="A3951" s="5"/>
      <c r="B3951" s="5" t="str">
        <f>IFERROR(__xludf.DUMMYFUNCTION("""COMPUTED_VALUE"""),"هیأت")</f>
        <v>هیأت</v>
      </c>
      <c r="C3951" s="5" t="str">
        <f>IFERROR(__xludf.DUMMYFUNCTION("""COMPUTED_VALUE"""),"علمدار کربلا")</f>
        <v>علمدار کربلا</v>
      </c>
      <c r="D3951" s="5" t="str">
        <f>IFERROR(__xludf.DUMMYFUNCTION("""COMPUTED_VALUE"""),"ایلام")</f>
        <v>ایلام</v>
      </c>
      <c r="E3951" s="5" t="str">
        <f>IFERROR(__xludf.DUMMYFUNCTION("""COMPUTED_VALUE"""),"مهران")</f>
        <v>مهران</v>
      </c>
      <c r="F3951" s="5"/>
      <c r="G3951" s="5"/>
      <c r="H3951" s="5"/>
      <c r="I3951" s="5"/>
      <c r="J3951" s="6" t="str">
        <f>IFERROR(__xludf.DUMMYFUNCTION("""COMPUTED_VALUE"""),"https://eitaa.com/alamdarkarbalaa3_13")</f>
        <v>https://eitaa.com/alamdarkarbalaa3_13</v>
      </c>
      <c r="K3951" s="5"/>
      <c r="L3951" s="5"/>
      <c r="M3951" s="5"/>
      <c r="N3951" s="5"/>
      <c r="O3951" s="5"/>
      <c r="P3951" s="5"/>
      <c r="Q3951" s="5"/>
      <c r="R3951" s="5"/>
      <c r="S3951" s="5"/>
    </row>
    <row r="3952">
      <c r="A3952" s="5"/>
      <c r="B3952" s="5" t="str">
        <f>IFERROR(__xludf.DUMMYFUNCTION("""COMPUTED_VALUE"""),"هیأت")</f>
        <v>هیأت</v>
      </c>
      <c r="C3952" s="5" t="str">
        <f>IFERROR(__xludf.DUMMYFUNCTION("""COMPUTED_VALUE"""),"حضرت صاحب الامر (عج)")</f>
        <v>حضرت صاحب الامر (عج)</v>
      </c>
      <c r="D3952" s="5" t="str">
        <f>IFERROR(__xludf.DUMMYFUNCTION("""COMPUTED_VALUE"""),"ایلام")</f>
        <v>ایلام</v>
      </c>
      <c r="E3952" s="5" t="str">
        <f>IFERROR(__xludf.DUMMYFUNCTION("""COMPUTED_VALUE"""),"ایلام")</f>
        <v>ایلام</v>
      </c>
      <c r="F3952" s="5"/>
      <c r="G3952" s="5"/>
      <c r="H3952" s="6" t="str">
        <f>IFERROR(__xludf.DUMMYFUNCTION("""COMPUTED_VALUE"""),"https://www.instagram.com/sahebolamr.ilam110/")</f>
        <v>https://www.instagram.com/sahebolamr.ilam110/</v>
      </c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</row>
    <row r="3953">
      <c r="A3953" s="5"/>
      <c r="B3953" s="5" t="str">
        <f>IFERROR(__xludf.DUMMYFUNCTION("""COMPUTED_VALUE"""),"هیأت")</f>
        <v>هیأت</v>
      </c>
      <c r="C3953" s="5" t="str">
        <f>IFERROR(__xludf.DUMMYFUNCTION("""COMPUTED_VALUE"""),"حضرت علی اکبر")</f>
        <v>حضرت علی اکبر</v>
      </c>
      <c r="D3953" s="5" t="str">
        <f>IFERROR(__xludf.DUMMYFUNCTION("""COMPUTED_VALUE"""),"ایلام")</f>
        <v>ایلام</v>
      </c>
      <c r="E3953" s="5" t="str">
        <f>IFERROR(__xludf.DUMMYFUNCTION("""COMPUTED_VALUE"""),"ایلام")</f>
        <v>ایلام</v>
      </c>
      <c r="F3953" s="5" t="str">
        <f>IFERROR(__xludf.DUMMYFUNCTION("""COMPUTED_VALUE"""),"دانشگاه ایلام")</f>
        <v>دانشگاه ایلام</v>
      </c>
      <c r="G3953" s="5"/>
      <c r="H3953" s="5"/>
      <c r="I3953" s="5"/>
      <c r="J3953" s="6" t="str">
        <f>IFERROR(__xludf.DUMMYFUNCTION("""COMPUTED_VALUE"""),"https://eitaa.com/heyat_hazrat_aliakbar_ilamuni")</f>
        <v>https://eitaa.com/heyat_hazrat_aliakbar_ilamuni</v>
      </c>
      <c r="K3953" s="5"/>
      <c r="L3953" s="5"/>
      <c r="M3953" s="5"/>
      <c r="N3953" s="5"/>
      <c r="O3953" s="5"/>
      <c r="P3953" s="5"/>
      <c r="Q3953" s="5"/>
      <c r="R3953" s="5"/>
      <c r="S3953" s="5"/>
    </row>
    <row r="3954">
      <c r="A3954" s="5"/>
      <c r="B3954" s="5" t="str">
        <f>IFERROR(__xludf.DUMMYFUNCTION("""COMPUTED_VALUE"""),"هیأت")</f>
        <v>هیأت</v>
      </c>
      <c r="C3954" s="5" t="str">
        <f>IFERROR(__xludf.DUMMYFUNCTION("""COMPUTED_VALUE"""),"عصر حضور")</f>
        <v>عصر حضور</v>
      </c>
      <c r="D3954" s="5" t="str">
        <f>IFERROR(__xludf.DUMMYFUNCTION("""COMPUTED_VALUE"""),"ایلام")</f>
        <v>ایلام</v>
      </c>
      <c r="E3954" s="5" t="str">
        <f>IFERROR(__xludf.DUMMYFUNCTION("""COMPUTED_VALUE"""),"ایلام")</f>
        <v>ایلام</v>
      </c>
      <c r="F3954" s="5"/>
      <c r="G3954" s="5"/>
      <c r="H3954" s="6" t="str">
        <f>IFERROR(__xludf.DUMMYFUNCTION("""COMPUTED_VALUE"""),"https://www.instagram.com/asrehozur/")</f>
        <v>https://www.instagram.com/asrehozur/</v>
      </c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</row>
    <row r="3955">
      <c r="A3955" s="5"/>
      <c r="B3955" s="5" t="str">
        <f>IFERROR(__xludf.DUMMYFUNCTION("""COMPUTED_VALUE"""),"هیأت")</f>
        <v>هیأت</v>
      </c>
      <c r="C3955" s="5" t="str">
        <f>IFERROR(__xludf.DUMMYFUNCTION("""COMPUTED_VALUE"""),"جامعه الحسین (ع)")</f>
        <v>جامعه الحسین (ع)</v>
      </c>
      <c r="D3955" s="5" t="str">
        <f>IFERROR(__xludf.DUMMYFUNCTION("""COMPUTED_VALUE"""),"ایلام")</f>
        <v>ایلام</v>
      </c>
      <c r="E3955" s="5" t="str">
        <f>IFERROR(__xludf.DUMMYFUNCTION("""COMPUTED_VALUE"""),"ایلام")</f>
        <v>ایلام</v>
      </c>
      <c r="F3955" s="5"/>
      <c r="G3955" s="5"/>
      <c r="H3955" s="5"/>
      <c r="I3955" s="5"/>
      <c r="J3955" s="6" t="str">
        <f>IFERROR(__xludf.DUMMYFUNCTION("""COMPUTED_VALUE"""),"https://eitaa.com/jameatol_hosein")</f>
        <v>https://eitaa.com/jameatol_hosein</v>
      </c>
      <c r="K3955" s="5"/>
      <c r="L3955" s="5"/>
      <c r="M3955" s="5"/>
      <c r="N3955" s="5"/>
      <c r="O3955" s="5"/>
      <c r="P3955" s="5"/>
      <c r="Q3955" s="5"/>
      <c r="R3955" s="5"/>
      <c r="S3955" s="5"/>
    </row>
    <row r="3956">
      <c r="A3956" s="5"/>
      <c r="B3956" s="5" t="str">
        <f>IFERROR(__xludf.DUMMYFUNCTION("""COMPUTED_VALUE"""),"هیأت جوانان")</f>
        <v>هیأت جوانان</v>
      </c>
      <c r="C3956" s="5" t="str">
        <f>IFERROR(__xludf.DUMMYFUNCTION("""COMPUTED_VALUE"""),"انصار المهدی (عج)")</f>
        <v>انصار المهدی (عج)</v>
      </c>
      <c r="D3956" s="5" t="str">
        <f>IFERROR(__xludf.DUMMYFUNCTION("""COMPUTED_VALUE"""),"ایلام")</f>
        <v>ایلام</v>
      </c>
      <c r="E3956" s="5" t="str">
        <f>IFERROR(__xludf.DUMMYFUNCTION("""COMPUTED_VALUE"""),"دهلران")</f>
        <v>دهلران</v>
      </c>
      <c r="F3956" s="5"/>
      <c r="G3956" s="5"/>
      <c r="H3956" s="6" t="str">
        <f>IFERROR(__xludf.DUMMYFUNCTION("""COMPUTED_VALUE"""),"https://www.instagram.com/ansaralmahdi_dehloran/")</f>
        <v>https://www.instagram.com/ansaralmahdi_dehloran/</v>
      </c>
      <c r="I3956" s="5"/>
      <c r="J3956" s="6" t="str">
        <f>IFERROR(__xludf.DUMMYFUNCTION("""COMPUTED_VALUE"""),"eitaa.com/ansaralmahdi_dehloran")</f>
        <v>eitaa.com/ansaralmahdi_dehloran</v>
      </c>
      <c r="K3956" s="5"/>
      <c r="L3956" s="5"/>
      <c r="M3956" s="5"/>
      <c r="N3956" s="5"/>
      <c r="O3956" s="5"/>
      <c r="P3956" s="5"/>
      <c r="Q3956" s="5"/>
      <c r="R3956" s="5"/>
      <c r="S3956" s="5"/>
    </row>
    <row r="3957">
      <c r="A3957" s="5"/>
      <c r="B3957" s="5" t="str">
        <f>IFERROR(__xludf.DUMMYFUNCTION("""COMPUTED_VALUE"""),"هیأت")</f>
        <v>هیأت</v>
      </c>
      <c r="C3957" s="5" t="str">
        <f>IFERROR(__xludf.DUMMYFUNCTION("""COMPUTED_VALUE"""),"منتظران ظهور")</f>
        <v>منتظران ظهور</v>
      </c>
      <c r="D3957" s="5" t="str">
        <f>IFERROR(__xludf.DUMMYFUNCTION("""COMPUTED_VALUE"""),"ایلام")</f>
        <v>ایلام</v>
      </c>
      <c r="E3957" s="5" t="str">
        <f>IFERROR(__xludf.DUMMYFUNCTION("""COMPUTED_VALUE"""),"دهلران")</f>
        <v>دهلران</v>
      </c>
      <c r="F3957" s="5"/>
      <c r="G3957" s="5"/>
      <c r="H3957" s="5"/>
      <c r="I3957" s="5"/>
      <c r="J3957" s="6" t="str">
        <f>IFERROR(__xludf.DUMMYFUNCTION("""COMPUTED_VALUE"""),"https://eitaa.com/jahadekabiredehloran")</f>
        <v>https://eitaa.com/jahadekabiredehloran</v>
      </c>
      <c r="K3957" s="5"/>
      <c r="L3957" s="5"/>
      <c r="M3957" s="5"/>
      <c r="N3957" s="5"/>
      <c r="O3957" s="5"/>
      <c r="P3957" s="5"/>
      <c r="Q3957" s="5"/>
      <c r="R3957" s="5"/>
      <c r="S3957" s="5"/>
    </row>
    <row r="3958">
      <c r="A3958" s="5"/>
      <c r="B3958" s="5" t="str">
        <f>IFERROR(__xludf.DUMMYFUNCTION("""COMPUTED_VALUE"""),"هیأت")</f>
        <v>هیأت</v>
      </c>
      <c r="C3958" s="5" t="str">
        <f>IFERROR(__xludf.DUMMYFUNCTION("""COMPUTED_VALUE"""),"امام حسن مجتبی (ع)")</f>
        <v>امام حسن مجتبی (ع)</v>
      </c>
      <c r="D3958" s="5" t="str">
        <f>IFERROR(__xludf.DUMMYFUNCTION("""COMPUTED_VALUE"""),"ایلام")</f>
        <v>ایلام</v>
      </c>
      <c r="E3958" s="5" t="str">
        <f>IFERROR(__xludf.DUMMYFUNCTION("""COMPUTED_VALUE"""),"دره شهر")</f>
        <v>دره شهر</v>
      </c>
      <c r="F3958" s="5"/>
      <c r="G3958" s="5"/>
      <c r="H3958" s="5"/>
      <c r="I3958" s="5"/>
      <c r="J3958" s="6" t="str">
        <f>IFERROR(__xludf.DUMMYFUNCTION("""COMPUTED_VALUE"""),"https://eitaa.com/Emamhasane_mojtaba")</f>
        <v>https://eitaa.com/Emamhasane_mojtaba</v>
      </c>
      <c r="K3958" s="5"/>
      <c r="L3958" s="5"/>
      <c r="M3958" s="5"/>
      <c r="N3958" s="5"/>
      <c r="O3958" s="5"/>
      <c r="P3958" s="5"/>
      <c r="Q3958" s="5"/>
      <c r="R3958" s="5"/>
      <c r="S3958" s="5"/>
    </row>
    <row r="3959">
      <c r="A3959" s="5"/>
      <c r="B3959" s="5" t="str">
        <f>IFERROR(__xludf.DUMMYFUNCTION("""COMPUTED_VALUE"""),"هیأت")</f>
        <v>هیأت</v>
      </c>
      <c r="C3959" s="5" t="str">
        <f>IFERROR(__xludf.DUMMYFUNCTION("""COMPUTED_VALUE"""),"اباعبدالله الحسین (ع)")</f>
        <v>اباعبدالله الحسین (ع)</v>
      </c>
      <c r="D3959" s="5" t="str">
        <f>IFERROR(__xludf.DUMMYFUNCTION("""COMPUTED_VALUE"""),"ایلام")</f>
        <v>ایلام</v>
      </c>
      <c r="E3959" s="5" t="str">
        <f>IFERROR(__xludf.DUMMYFUNCTION("""COMPUTED_VALUE"""),"آبدانان")</f>
        <v>آبدانان</v>
      </c>
      <c r="F3959" s="5"/>
      <c r="G3959" s="5"/>
      <c r="H3959" s="5"/>
      <c r="I3959" s="5"/>
      <c r="J3959" s="6" t="str">
        <f>IFERROR(__xludf.DUMMYFUNCTION("""COMPUTED_VALUE"""),"https://eitaa.com/abaabdellahabdanan")</f>
        <v>https://eitaa.com/abaabdellahabdanan</v>
      </c>
      <c r="K3959" s="5"/>
      <c r="L3959" s="5"/>
      <c r="M3959" s="5"/>
      <c r="N3959" s="5"/>
      <c r="O3959" s="5"/>
      <c r="P3959" s="5"/>
      <c r="Q3959" s="5"/>
      <c r="R3959" s="5"/>
      <c r="S3959" s="5"/>
    </row>
    <row r="3960">
      <c r="A3960" s="5"/>
      <c r="B3960" s="5" t="str">
        <f>IFERROR(__xludf.DUMMYFUNCTION("""COMPUTED_VALUE"""),"هیأت")</f>
        <v>هیأت</v>
      </c>
      <c r="C3960" s="5" t="str">
        <f>IFERROR(__xludf.DUMMYFUNCTION("""COMPUTED_VALUE"""),"حضرت علی اکبر")</f>
        <v>حضرت علی اکبر</v>
      </c>
      <c r="D3960" s="5" t="str">
        <f>IFERROR(__xludf.DUMMYFUNCTION("""COMPUTED_VALUE"""),"ایلام")</f>
        <v>ایلام</v>
      </c>
      <c r="E3960" s="5" t="str">
        <f>IFERROR(__xludf.DUMMYFUNCTION("""COMPUTED_VALUE"""),"ایلام")</f>
        <v>ایلام</v>
      </c>
      <c r="F3960" s="5"/>
      <c r="G3960" s="5"/>
      <c r="H3960" s="6" t="str">
        <f>IFERROR(__xludf.DUMMYFUNCTION("""COMPUTED_VALUE"""),"https://www.instagram.com/ilamuni_heyat/")</f>
        <v>https://www.instagram.com/ilamuni_heyat/</v>
      </c>
      <c r="I3960" s="6" t="str">
        <f>IFERROR(__xludf.DUMMYFUNCTION("""COMPUTED_VALUE"""),"t.me/heyat_ali_akbar_uni_ilam")</f>
        <v>t.me/heyat_ali_akbar_uni_ilam</v>
      </c>
      <c r="J3960" s="5"/>
      <c r="K3960" s="5"/>
      <c r="L3960" s="5"/>
      <c r="M3960" s="5"/>
      <c r="N3960" s="5"/>
      <c r="O3960" s="5"/>
      <c r="P3960" s="5"/>
      <c r="Q3960" s="5"/>
      <c r="R3960" s="5"/>
      <c r="S3960" s="5"/>
    </row>
    <row r="3961">
      <c r="A3961" s="5"/>
      <c r="B3961" s="5" t="str">
        <f>IFERROR(__xludf.DUMMYFUNCTION("""COMPUTED_VALUE"""),"موکب")</f>
        <v>موکب</v>
      </c>
      <c r="C3961" s="5" t="str">
        <f>IFERROR(__xludf.DUMMYFUNCTION("""COMPUTED_VALUE"""),"شهدای کربلا آدریان")</f>
        <v>شهدای کربلا آدریان</v>
      </c>
      <c r="D3961" s="5" t="str">
        <f>IFERROR(__xludf.DUMMYFUNCTION("""COMPUTED_VALUE"""),"ایلام")</f>
        <v>ایلام</v>
      </c>
      <c r="E3961" s="5" t="str">
        <f>IFERROR(__xludf.DUMMYFUNCTION("""COMPUTED_VALUE"""),"مهران")</f>
        <v>مهران</v>
      </c>
      <c r="F3961" s="5"/>
      <c r="G3961" s="5"/>
      <c r="H3961" s="5"/>
      <c r="I3961" s="5"/>
      <c r="J3961" s="6" t="str">
        <f>IFERROR(__xludf.DUMMYFUNCTION("""COMPUTED_VALUE"""),"https://eitaa.com/mokebadarian")</f>
        <v>https://eitaa.com/mokebadarian</v>
      </c>
      <c r="K3961" s="5"/>
      <c r="L3961" s="5"/>
      <c r="M3961" s="5"/>
      <c r="N3961" s="5"/>
      <c r="O3961" s="5"/>
      <c r="P3961" s="5"/>
      <c r="Q3961" s="5"/>
      <c r="R3961" s="5"/>
      <c r="S3961" s="5"/>
    </row>
    <row r="3962">
      <c r="A3962" s="5"/>
      <c r="B3962" s="5" t="str">
        <f>IFERROR(__xludf.DUMMYFUNCTION("""COMPUTED_VALUE"""),"حسینیه")</f>
        <v>حسینیه</v>
      </c>
      <c r="C3962" s="5" t="str">
        <f>IFERROR(__xludf.DUMMYFUNCTION("""COMPUTED_VALUE"""),"استان ایلام")</f>
        <v>استان ایلام</v>
      </c>
      <c r="D3962" s="5" t="str">
        <f>IFERROR(__xludf.DUMMYFUNCTION("""COMPUTED_VALUE"""),"ایلام")</f>
        <v>ایلام</v>
      </c>
      <c r="E3962" s="5" t="str">
        <f>IFERROR(__xludf.DUMMYFUNCTION("""COMPUTED_VALUE"""),"ایلام")</f>
        <v>ایلام</v>
      </c>
      <c r="F3962" s="5"/>
      <c r="G3962" s="5"/>
      <c r="H3962" s="5"/>
      <c r="I3962" s="5"/>
      <c r="J3962" s="6" t="str">
        <f>IFERROR(__xludf.DUMMYFUNCTION("""COMPUTED_VALUE"""),"https://eitaa.com/hoseynieh_ilam")</f>
        <v>https://eitaa.com/hoseynieh_ilam</v>
      </c>
      <c r="K3962" s="5"/>
      <c r="L3962" s="5"/>
      <c r="M3962" s="5"/>
      <c r="N3962" s="5"/>
      <c r="O3962" s="5"/>
      <c r="P3962" s="5"/>
      <c r="Q3962" s="5"/>
      <c r="R3962" s="5"/>
      <c r="S3962" s="5"/>
    </row>
    <row r="3963">
      <c r="A3963" s="5">
        <f>IFERROR(__xludf.DUMMYFUNCTION("""COMPUTED_VALUE"""),10294.0)</f>
        <v>10294</v>
      </c>
      <c r="B3963" s="5" t="str">
        <f>IFERROR(__xludf.DUMMYFUNCTION("""COMPUTED_VALUE"""),"هیأت")</f>
        <v>هیأت</v>
      </c>
      <c r="C3963" s="5" t="str">
        <f>IFERROR(__xludf.DUMMYFUNCTION("""COMPUTED_VALUE"""),"ابن الکریم (ع)")</f>
        <v>ابن الکریم (ع)</v>
      </c>
      <c r="D3963" s="5" t="str">
        <f>IFERROR(__xludf.DUMMYFUNCTION("""COMPUTED_VALUE"""),"قزوین")</f>
        <v>قزوین</v>
      </c>
      <c r="E3963" s="5" t="str">
        <f>IFERROR(__xludf.DUMMYFUNCTION("""COMPUTED_VALUE"""),"آبیک")</f>
        <v>آبیک</v>
      </c>
      <c r="F3963" s="5"/>
      <c r="G3963" s="5"/>
      <c r="H3963" s="6" t="str">
        <f>IFERROR(__xludf.DUMMYFUNCTION("""COMPUTED_VALUE"""),"https://www.instagram.com/ebnolkarim315/")</f>
        <v>https://www.instagram.com/ebnolkarim315/</v>
      </c>
      <c r="I3963" s="6" t="str">
        <f>IFERROR(__xludf.DUMMYFUNCTION("""COMPUTED_VALUE"""),"t.me/ebnolkarim315")</f>
        <v>t.me/ebnolkarim315</v>
      </c>
      <c r="J3963" s="5"/>
      <c r="K3963" s="5"/>
      <c r="L3963" s="5"/>
      <c r="M3963" s="5"/>
      <c r="N3963" s="5"/>
      <c r="O3963" s="5"/>
      <c r="P3963" s="5"/>
      <c r="Q3963" s="5"/>
      <c r="R3963" s="5"/>
      <c r="S3963" s="5"/>
    </row>
    <row r="3964">
      <c r="A3964" s="5">
        <f>IFERROR(__xludf.DUMMYFUNCTION("""COMPUTED_VALUE"""),10241.0)</f>
        <v>10241</v>
      </c>
      <c r="B3964" s="5" t="str">
        <f>IFERROR(__xludf.DUMMYFUNCTION("""COMPUTED_VALUE"""),"هیأت")</f>
        <v>هیأت</v>
      </c>
      <c r="C3964" s="5" t="str">
        <f>IFERROR(__xludf.DUMMYFUNCTION("""COMPUTED_VALUE"""),"عشاق الحسین (ع) قشلاق")</f>
        <v>عشاق الحسین (ع) قشلاق</v>
      </c>
      <c r="D3964" s="5" t="str">
        <f>IFERROR(__xludf.DUMMYFUNCTION("""COMPUTED_VALUE"""),"قزوین")</f>
        <v>قزوین</v>
      </c>
      <c r="E3964" s="5" t="str">
        <f>IFERROR(__xludf.DUMMYFUNCTION("""COMPUTED_VALUE"""),"آبیک")</f>
        <v>آبیک</v>
      </c>
      <c r="F3964" s="5"/>
      <c r="G3964" s="5"/>
      <c r="H3964" s="5"/>
      <c r="I3964" s="5"/>
      <c r="J3964" s="6" t="str">
        <f>IFERROR(__xludf.DUMMYFUNCTION("""COMPUTED_VALUE"""),"https://eitaa.com/oshagholhossein1376")</f>
        <v>https://eitaa.com/oshagholhossein1376</v>
      </c>
      <c r="K3964" s="5"/>
      <c r="L3964" s="5"/>
      <c r="M3964" s="5"/>
      <c r="N3964" s="5"/>
      <c r="O3964" s="5"/>
      <c r="P3964" s="5"/>
      <c r="Q3964" s="5"/>
      <c r="R3964" s="5"/>
      <c r="S3964" s="5"/>
    </row>
    <row r="3965">
      <c r="A3965" s="5">
        <f>IFERROR(__xludf.DUMMYFUNCTION("""COMPUTED_VALUE"""),29583.0)</f>
        <v>29583</v>
      </c>
      <c r="B3965" s="5" t="str">
        <f>IFERROR(__xludf.DUMMYFUNCTION("""COMPUTED_VALUE"""),"هیأت")</f>
        <v>هیأت</v>
      </c>
      <c r="C3965" s="5" t="str">
        <f>IFERROR(__xludf.DUMMYFUNCTION("""COMPUTED_VALUE"""),"عشاق المهدی")</f>
        <v>عشاق المهدی</v>
      </c>
      <c r="D3965" s="5" t="str">
        <f>IFERROR(__xludf.DUMMYFUNCTION("""COMPUTED_VALUE"""),"قزوین")</f>
        <v>قزوین</v>
      </c>
      <c r="E3965" s="5" t="str">
        <f>IFERROR(__xludf.DUMMYFUNCTION("""COMPUTED_VALUE"""),"آبیک")</f>
        <v>آبیک</v>
      </c>
      <c r="F3965" s="5"/>
      <c r="G3965" s="5"/>
      <c r="H3965" s="6" t="str">
        <f>IFERROR(__xludf.DUMMYFUNCTION("""COMPUTED_VALUE"""),"https://www.instagram.com/oshagh__abyek/")</f>
        <v>https://www.instagram.com/oshagh__abyek/</v>
      </c>
      <c r="I3965" s="6" t="str">
        <f>IFERROR(__xludf.DUMMYFUNCTION("""COMPUTED_VALUE"""),"t.me/oshagh_abyek")</f>
        <v>t.me/oshagh_abyek</v>
      </c>
      <c r="J3965" s="5"/>
      <c r="K3965" s="5"/>
      <c r="L3965" s="5"/>
      <c r="M3965" s="5"/>
      <c r="N3965" s="5"/>
      <c r="O3965" s="5"/>
      <c r="P3965" s="5"/>
      <c r="Q3965" s="5"/>
      <c r="R3965" s="5"/>
      <c r="S3965" s="5"/>
    </row>
    <row r="3966">
      <c r="A3966" s="5">
        <f>IFERROR(__xludf.DUMMYFUNCTION("""COMPUTED_VALUE"""),10293.0)</f>
        <v>10293</v>
      </c>
      <c r="B3966" s="5" t="str">
        <f>IFERROR(__xludf.DUMMYFUNCTION("""COMPUTED_VALUE"""),"هیأت")</f>
        <v>هیأت</v>
      </c>
      <c r="C3966" s="5" t="str">
        <f>IFERROR(__xludf.DUMMYFUNCTION("""COMPUTED_VALUE"""),"مسجد ولی عصر(عج)")</f>
        <v>مسجد ولی عصر(عج)</v>
      </c>
      <c r="D3966" s="5" t="str">
        <f>IFERROR(__xludf.DUMMYFUNCTION("""COMPUTED_VALUE"""),"قزوین")</f>
        <v>قزوین</v>
      </c>
      <c r="E3966" s="5" t="str">
        <f>IFERROR(__xludf.DUMMYFUNCTION("""COMPUTED_VALUE"""),"آبیک")</f>
        <v>آبیک</v>
      </c>
      <c r="F3966" s="5"/>
      <c r="G3966" s="5">
        <f>IFERROR(__xludf.DUMMYFUNCTION("""COMPUTED_VALUE"""),1.0)</f>
        <v>1</v>
      </c>
      <c r="H3966" s="5"/>
      <c r="I3966" s="6" t="str">
        <f>IFERROR(__xludf.DUMMYFUNCTION("""COMPUTED_VALUE"""),"https://t.me/masjedvaliasrabyek97")</f>
        <v>https://t.me/masjedvaliasrabyek97</v>
      </c>
      <c r="J3966" s="5"/>
      <c r="K3966" s="5"/>
      <c r="L3966" s="5"/>
      <c r="M3966" s="5"/>
      <c r="N3966" s="5"/>
      <c r="O3966" s="5"/>
      <c r="P3966" s="5"/>
      <c r="Q3966" s="5"/>
      <c r="R3966" s="5"/>
      <c r="S3966" s="5"/>
    </row>
    <row r="3967">
      <c r="A3967" s="5"/>
      <c r="B3967" s="5" t="str">
        <f>IFERROR(__xludf.DUMMYFUNCTION("""COMPUTED_VALUE"""),"حسینیه")</f>
        <v>حسینیه</v>
      </c>
      <c r="C3967" s="5" t="str">
        <f>IFERROR(__xludf.DUMMYFUNCTION("""COMPUTED_VALUE"""),"ورزشکاران")</f>
        <v>ورزشکاران</v>
      </c>
      <c r="D3967" s="5" t="str">
        <f>IFERROR(__xludf.DUMMYFUNCTION("""COMPUTED_VALUE"""),"قزوین")</f>
        <v>قزوین</v>
      </c>
      <c r="E3967" s="5" t="str">
        <f>IFERROR(__xludf.DUMMYFUNCTION("""COMPUTED_VALUE"""),"آبیک")</f>
        <v>آبیک</v>
      </c>
      <c r="F3967" s="5"/>
      <c r="G3967" s="5"/>
      <c r="H3967" s="6" t="str">
        <f>IFERROR(__xludf.DUMMYFUNCTION("""COMPUTED_VALUE"""),"https://www.instagram.com/hose_ynie_varzeshkaran")</f>
        <v>https://www.instagram.com/hose_ynie_varzeshkaran</v>
      </c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</row>
    <row r="3968">
      <c r="A3968" s="5"/>
      <c r="B3968" s="5" t="str">
        <f>IFERROR(__xludf.DUMMYFUNCTION("""COMPUTED_VALUE"""),"هیأت")</f>
        <v>هیأت</v>
      </c>
      <c r="C3968" s="5" t="str">
        <f>IFERROR(__xludf.DUMMYFUNCTION("""COMPUTED_VALUE"""),"شیفتگان امام حسین")</f>
        <v>شیفتگان امام حسین</v>
      </c>
      <c r="D3968" s="5" t="str">
        <f>IFERROR(__xludf.DUMMYFUNCTION("""COMPUTED_VALUE"""),"قزوین")</f>
        <v>قزوین</v>
      </c>
      <c r="E3968" s="5" t="str">
        <f>IFERROR(__xludf.DUMMYFUNCTION("""COMPUTED_VALUE"""),"آبیک")</f>
        <v>آبیک</v>
      </c>
      <c r="F3968" s="5"/>
      <c r="G3968" s="5"/>
      <c r="H3968" s="6" t="str">
        <f>IFERROR(__xludf.DUMMYFUNCTION("""COMPUTED_VALUE"""),"https://www.instagram.com/heyat.shiftegan.emamhossein/")</f>
        <v>https://www.instagram.com/heyat.shiftegan.emamhossein/</v>
      </c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</row>
    <row r="3969">
      <c r="A3969" s="5"/>
      <c r="B3969" s="5" t="str">
        <f>IFERROR(__xludf.DUMMYFUNCTION("""COMPUTED_VALUE"""),"هیأت")</f>
        <v>هیأت</v>
      </c>
      <c r="C3969" s="5" t="str">
        <f>IFERROR(__xludf.DUMMYFUNCTION("""COMPUTED_VALUE"""),"ابناءفاطمه(س)")</f>
        <v>ابناءفاطمه(س)</v>
      </c>
      <c r="D3969" s="5" t="str">
        <f>IFERROR(__xludf.DUMMYFUNCTION("""COMPUTED_VALUE"""),"قزوین")</f>
        <v>قزوین</v>
      </c>
      <c r="E3969" s="5" t="str">
        <f>IFERROR(__xludf.DUMMYFUNCTION("""COMPUTED_VALUE"""),"آبیک")</f>
        <v>آبیک</v>
      </c>
      <c r="F3969" s="5"/>
      <c r="G3969" s="5"/>
      <c r="H3969" s="6" t="str">
        <f>IFERROR(__xludf.DUMMYFUNCTION("""COMPUTED_VALUE"""),"https://www.instagram.com/abnafateme/")</f>
        <v>https://www.instagram.com/abnafateme/</v>
      </c>
      <c r="I3969" s="6" t="str">
        <f>IFERROR(__xludf.DUMMYFUNCTION("""COMPUTED_VALUE"""),"https://t.me/abnafateme")</f>
        <v>https://t.me/abnafateme</v>
      </c>
      <c r="J3969" s="6" t="str">
        <f>IFERROR(__xludf.DUMMYFUNCTION("""COMPUTED_VALUE"""),"https://eitaa.com/abnafateme")</f>
        <v>https://eitaa.com/abnafateme</v>
      </c>
      <c r="K3969" s="5"/>
      <c r="L3969" s="5"/>
      <c r="M3969" s="5"/>
      <c r="N3969" s="5"/>
      <c r="O3969" s="5"/>
      <c r="P3969" s="5"/>
      <c r="Q3969" s="5"/>
      <c r="R3969" s="5"/>
      <c r="S3969" s="5"/>
    </row>
    <row r="3970">
      <c r="A3970" s="5"/>
      <c r="B3970" s="5" t="str">
        <f>IFERROR(__xludf.DUMMYFUNCTION("""COMPUTED_VALUE"""),"هیأت")</f>
        <v>هیأت</v>
      </c>
      <c r="C3970" s="5" t="str">
        <f>IFERROR(__xludf.DUMMYFUNCTION("""COMPUTED_VALUE"""),"بیرق معظم رضویون")</f>
        <v>بیرق معظم رضویون</v>
      </c>
      <c r="D3970" s="5" t="str">
        <f>IFERROR(__xludf.DUMMYFUNCTION("""COMPUTED_VALUE"""),"قزوین")</f>
        <v>قزوین</v>
      </c>
      <c r="E3970" s="5" t="str">
        <f>IFERROR(__xludf.DUMMYFUNCTION("""COMPUTED_VALUE"""),"آبیک")</f>
        <v>آبیک</v>
      </c>
      <c r="F3970" s="5"/>
      <c r="G3970" s="5"/>
      <c r="H3970" s="6" t="str">
        <f>IFERROR(__xludf.DUMMYFUNCTION("""COMPUTED_VALUE"""),"https://www.instagram.com/razavioon.ir/")</f>
        <v>https://www.instagram.com/razavioon.ir/</v>
      </c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</row>
    <row r="3971">
      <c r="A3971" s="5"/>
      <c r="B3971" s="5" t="str">
        <f>IFERROR(__xludf.DUMMYFUNCTION("""COMPUTED_VALUE"""),"هیأت")</f>
        <v>هیأت</v>
      </c>
      <c r="C3971" s="5" t="str">
        <f>IFERROR(__xludf.DUMMYFUNCTION("""COMPUTED_VALUE"""),"مکتب العباس (ع)")</f>
        <v>مکتب العباس (ع)</v>
      </c>
      <c r="D3971" s="5" t="str">
        <f>IFERROR(__xludf.DUMMYFUNCTION("""COMPUTED_VALUE"""),"قزوین")</f>
        <v>قزوین</v>
      </c>
      <c r="E3971" s="5" t="str">
        <f>IFERROR(__xludf.DUMMYFUNCTION("""COMPUTED_VALUE"""),"آبیک")</f>
        <v>آبیک</v>
      </c>
      <c r="F3971" s="5"/>
      <c r="G3971" s="5"/>
      <c r="H3971" s="6" t="str">
        <f>IFERROR(__xludf.DUMMYFUNCTION("""COMPUTED_VALUE"""),"https://www.instagram.com/h.j.abyek/")</f>
        <v>https://www.instagram.com/h.j.abyek/</v>
      </c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</row>
    <row r="3972">
      <c r="A3972" s="5">
        <f>IFERROR(__xludf.DUMMYFUNCTION("""COMPUTED_VALUE"""),10163.0)</f>
        <v>10163</v>
      </c>
      <c r="B3972" s="5" t="str">
        <f>IFERROR(__xludf.DUMMYFUNCTION("""COMPUTED_VALUE"""),"هیأت")</f>
        <v>هیأت</v>
      </c>
      <c r="C3972" s="5" t="str">
        <f>IFERROR(__xludf.DUMMYFUNCTION("""COMPUTED_VALUE"""),"محبان امام رضا (ع)")</f>
        <v>محبان امام رضا (ع)</v>
      </c>
      <c r="D3972" s="5" t="str">
        <f>IFERROR(__xludf.DUMMYFUNCTION("""COMPUTED_VALUE"""),"قزوین")</f>
        <v>قزوین</v>
      </c>
      <c r="E3972" s="5" t="str">
        <f>IFERROR(__xludf.DUMMYFUNCTION("""COMPUTED_VALUE"""),"آبیک")</f>
        <v>آبیک</v>
      </c>
      <c r="F3972" s="5"/>
      <c r="G3972" s="5"/>
      <c r="H3972" s="6" t="str">
        <f>IFERROR(__xludf.DUMMYFUNCTION("""COMPUTED_VALUE"""),"https://www.instagram.com/mohebban_ab1/")</f>
        <v>https://www.instagram.com/mohebban_ab1/</v>
      </c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</row>
    <row r="3973">
      <c r="A3973" s="5"/>
      <c r="B3973" s="5" t="str">
        <f>IFERROR(__xludf.DUMMYFUNCTION("""COMPUTED_VALUE"""),"هیأت")</f>
        <v>هیأت</v>
      </c>
      <c r="C3973" s="5" t="str">
        <f>IFERROR(__xludf.DUMMYFUNCTION("""COMPUTED_VALUE""")," آیین مافی")</f>
        <v> آیین مافی</v>
      </c>
      <c r="D3973" s="5" t="str">
        <f>IFERROR(__xludf.DUMMYFUNCTION("""COMPUTED_VALUE"""),"قزوین")</f>
        <v>قزوین</v>
      </c>
      <c r="E3973" s="5" t="str">
        <f>IFERROR(__xludf.DUMMYFUNCTION("""COMPUTED_VALUE"""),"آبیک")</f>
        <v>آبیک</v>
      </c>
      <c r="F3973" s="5" t="str">
        <f>IFERROR(__xludf.DUMMYFUNCTION("""COMPUTED_VALUE"""),"زیاران")</f>
        <v>زیاران</v>
      </c>
      <c r="G3973" s="5"/>
      <c r="H3973" s="6" t="str">
        <f>IFERROR(__xludf.DUMMYFUNCTION("""COMPUTED_VALUE"""),"https://www.instagram.com/heiat_mafi_ziyaran/")</f>
        <v>https://www.instagram.com/heiat_mafi_ziyaran/</v>
      </c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</row>
    <row r="3974">
      <c r="A3974" s="5"/>
      <c r="B3974" s="5" t="str">
        <f>IFERROR(__xludf.DUMMYFUNCTION("""COMPUTED_VALUE"""),"هیأت")</f>
        <v>هیأت</v>
      </c>
      <c r="C3974" s="5" t="str">
        <f>IFERROR(__xludf.DUMMYFUNCTION("""COMPUTED_VALUE"""),"جوانان شهدا")</f>
        <v>جوانان شهدا</v>
      </c>
      <c r="D3974" s="5" t="str">
        <f>IFERROR(__xludf.DUMMYFUNCTION("""COMPUTED_VALUE"""),"قزوین")</f>
        <v>قزوین</v>
      </c>
      <c r="E3974" s="5" t="str">
        <f>IFERROR(__xludf.DUMMYFUNCTION("""COMPUTED_VALUE"""),"آبیک")</f>
        <v>آبیک</v>
      </c>
      <c r="F3974" s="5" t="str">
        <f>IFERROR(__xludf.DUMMYFUNCTION("""COMPUTED_VALUE"""),"زیاران")</f>
        <v>زیاران</v>
      </c>
      <c r="G3974" s="5"/>
      <c r="H3974" s="6" t="str">
        <f>IFERROR(__xludf.DUMMYFUNCTION("""COMPUTED_VALUE"""),"https://www.instagram.com/sabeghoon_heyat/")</f>
        <v>https://www.instagram.com/sabeghoon_heyat/</v>
      </c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</row>
    <row r="3975">
      <c r="A3975" s="5">
        <f>IFERROR(__xludf.DUMMYFUNCTION("""COMPUTED_VALUE"""),19844.0)</f>
        <v>19844</v>
      </c>
      <c r="B3975" s="5" t="str">
        <f>IFERROR(__xludf.DUMMYFUNCTION("""COMPUTED_VALUE"""),"هیأت")</f>
        <v>هیأت</v>
      </c>
      <c r="C3975" s="5" t="str">
        <f>IFERROR(__xludf.DUMMYFUNCTION("""COMPUTED_VALUE"""),"شهدای گمنام")</f>
        <v>شهدای گمنام</v>
      </c>
      <c r="D3975" s="5" t="str">
        <f>IFERROR(__xludf.DUMMYFUNCTION("""COMPUTED_VALUE"""),"قزوین")</f>
        <v>قزوین</v>
      </c>
      <c r="E3975" s="5" t="str">
        <f>IFERROR(__xludf.DUMMYFUNCTION("""COMPUTED_VALUE"""),"البرز")</f>
        <v>البرز</v>
      </c>
      <c r="F3975" s="5" t="str">
        <f>IFERROR(__xludf.DUMMYFUNCTION("""COMPUTED_VALUE"""),"الوند")</f>
        <v>الوند</v>
      </c>
      <c r="G3975" s="5"/>
      <c r="H3975" s="6" t="str">
        <f>IFERROR(__xludf.DUMMYFUNCTION("""COMPUTED_VALUE"""),"https://www.instagram.com/shohada_gomnam_alvand/")</f>
        <v>https://www.instagram.com/shohada_gomnam_alvand/</v>
      </c>
      <c r="I3975" s="6" t="str">
        <f>IFERROR(__xludf.DUMMYFUNCTION("""COMPUTED_VALUE"""),"https://t.me/shohada_gomnam_alvand")</f>
        <v>https://t.me/shohada_gomnam_alvand</v>
      </c>
      <c r="J3975" s="6" t="str">
        <f>IFERROR(__xludf.DUMMYFUNCTION("""COMPUTED_VALUE"""),"https://eitaa.com/shohada_gomnam_alvand")</f>
        <v>https://eitaa.com/shohada_gomnam_alvand</v>
      </c>
      <c r="K3975" s="5"/>
      <c r="L3975" s="5"/>
      <c r="M3975" s="5"/>
      <c r="N3975" s="5"/>
      <c r="O3975" s="5"/>
      <c r="P3975" s="5"/>
      <c r="Q3975" s="5"/>
      <c r="R3975" s="5"/>
      <c r="S3975" s="5"/>
    </row>
    <row r="3976">
      <c r="A3976" s="5">
        <f>IFERROR(__xludf.DUMMYFUNCTION("""COMPUTED_VALUE"""),18296.0)</f>
        <v>18296</v>
      </c>
      <c r="B3976" s="5" t="str">
        <f>IFERROR(__xludf.DUMMYFUNCTION("""COMPUTED_VALUE"""),"هیأت")</f>
        <v>هیأت</v>
      </c>
      <c r="C3976" s="5" t="str">
        <f>IFERROR(__xludf.DUMMYFUNCTION("""COMPUTED_VALUE"""),"انصارالحسین(ع)")</f>
        <v>انصارالحسین(ع)</v>
      </c>
      <c r="D3976" s="5" t="str">
        <f>IFERROR(__xludf.DUMMYFUNCTION("""COMPUTED_VALUE"""),"قزوین")</f>
        <v>قزوین</v>
      </c>
      <c r="E3976" s="5" t="str">
        <f>IFERROR(__xludf.DUMMYFUNCTION("""COMPUTED_VALUE"""),"البرز")</f>
        <v>البرز</v>
      </c>
      <c r="F3976" s="5" t="str">
        <f>IFERROR(__xludf.DUMMYFUNCTION("""COMPUTED_VALUE"""),"الوند")</f>
        <v>الوند</v>
      </c>
      <c r="G3976" s="5"/>
      <c r="H3976" s="6" t="str">
        <f>IFERROR(__xludf.DUMMYFUNCTION("""COMPUTED_VALUE"""),"https://www.instagram.com/mahfel_ansaralhosein/")</f>
        <v>https://www.instagram.com/mahfel_ansaralhosein/</v>
      </c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</row>
    <row r="3977">
      <c r="A3977" s="5">
        <f>IFERROR(__xludf.DUMMYFUNCTION("""COMPUTED_VALUE"""),18295.0)</f>
        <v>18295</v>
      </c>
      <c r="B3977" s="5" t="str">
        <f>IFERROR(__xludf.DUMMYFUNCTION("""COMPUTED_VALUE"""),"هیأت")</f>
        <v>هیأت</v>
      </c>
      <c r="C3977" s="5" t="str">
        <f>IFERROR(__xludf.DUMMYFUNCTION("""COMPUTED_VALUE"""),"فاطمیون")</f>
        <v>فاطمیون</v>
      </c>
      <c r="D3977" s="5" t="str">
        <f>IFERROR(__xludf.DUMMYFUNCTION("""COMPUTED_VALUE"""),"قزوین")</f>
        <v>قزوین</v>
      </c>
      <c r="E3977" s="5" t="str">
        <f>IFERROR(__xludf.DUMMYFUNCTION("""COMPUTED_VALUE"""),"البرز")</f>
        <v>البرز</v>
      </c>
      <c r="F3977" s="5" t="str">
        <f>IFERROR(__xludf.DUMMYFUNCTION("""COMPUTED_VALUE"""),"الوند")</f>
        <v>الوند</v>
      </c>
      <c r="G3977" s="5"/>
      <c r="H3977" s="6" t="str">
        <f>IFERROR(__xludf.DUMMYFUNCTION("""COMPUTED_VALUE"""),"https://www.instagram.com/fatemion_alvand/")</f>
        <v>https://www.instagram.com/fatemion_alvand/</v>
      </c>
      <c r="I3977" s="6" t="str">
        <f>IFERROR(__xludf.DUMMYFUNCTION("""COMPUTED_VALUE"""),"t.me/fatemiuon")</f>
        <v>t.me/fatemiuon</v>
      </c>
      <c r="J3977" s="5"/>
      <c r="K3977" s="5"/>
      <c r="L3977" s="5"/>
      <c r="M3977" s="5"/>
      <c r="N3977" s="5"/>
      <c r="O3977" s="5"/>
      <c r="P3977" s="5"/>
      <c r="Q3977" s="5"/>
      <c r="R3977" s="5"/>
      <c r="S3977" s="5"/>
    </row>
    <row r="3978">
      <c r="A3978" s="5">
        <f>IFERROR(__xludf.DUMMYFUNCTION("""COMPUTED_VALUE"""),17968.0)</f>
        <v>17968</v>
      </c>
      <c r="B3978" s="5" t="str">
        <f>IFERROR(__xludf.DUMMYFUNCTION("""COMPUTED_VALUE"""),"هیأت")</f>
        <v>هیأت</v>
      </c>
      <c r="C3978" s="5" t="str">
        <f>IFERROR(__xludf.DUMMYFUNCTION("""COMPUTED_VALUE"""),"مکتب العباس (ع)")</f>
        <v>مکتب العباس (ع)</v>
      </c>
      <c r="D3978" s="5" t="str">
        <f>IFERROR(__xludf.DUMMYFUNCTION("""COMPUTED_VALUE"""),"قزوین")</f>
        <v>قزوین</v>
      </c>
      <c r="E3978" s="5" t="str">
        <f>IFERROR(__xludf.DUMMYFUNCTION("""COMPUTED_VALUE"""),"البرز")</f>
        <v>البرز</v>
      </c>
      <c r="F3978" s="5" t="str">
        <f>IFERROR(__xludf.DUMMYFUNCTION("""COMPUTED_VALUE"""),"الوند")</f>
        <v>الوند</v>
      </c>
      <c r="G3978" s="5"/>
      <c r="H3978" s="6" t="str">
        <f>IFERROR(__xludf.DUMMYFUNCTION("""COMPUTED_VALUE"""),"https://www.instagram.com/maktabolabbasalvand")</f>
        <v>https://www.instagram.com/maktabolabbasalvand</v>
      </c>
      <c r="I3978" s="5"/>
      <c r="J3978" s="6" t="str">
        <f>IFERROR(__xludf.DUMMYFUNCTION("""COMPUTED_VALUE"""),"https://eitaa.com/Maktab97")</f>
        <v>https://eitaa.com/Maktab97</v>
      </c>
      <c r="K3978" s="5"/>
      <c r="L3978" s="5"/>
      <c r="M3978" s="5"/>
      <c r="N3978" s="5"/>
      <c r="O3978" s="5"/>
      <c r="P3978" s="5"/>
      <c r="Q3978" s="5"/>
      <c r="R3978" s="5"/>
      <c r="S3978" s="5"/>
    </row>
    <row r="3979">
      <c r="A3979" s="5"/>
      <c r="B3979" s="5" t="str">
        <f>IFERROR(__xludf.DUMMYFUNCTION("""COMPUTED_VALUE"""),"هیأت")</f>
        <v>هیأت</v>
      </c>
      <c r="C3979" s="5" t="str">
        <f>IFERROR(__xludf.DUMMYFUNCTION("""COMPUTED_VALUE"""),"جوانان بزرگ مسجد قمربنی هاشم‌")</f>
        <v>جوانان بزرگ مسجد قمربنی هاشم‌</v>
      </c>
      <c r="D3979" s="5" t="str">
        <f>IFERROR(__xludf.DUMMYFUNCTION("""COMPUTED_VALUE"""),"قزوین")</f>
        <v>قزوین</v>
      </c>
      <c r="E3979" s="5" t="str">
        <f>IFERROR(__xludf.DUMMYFUNCTION("""COMPUTED_VALUE"""),"البرز")</f>
        <v>البرز</v>
      </c>
      <c r="F3979" s="5" t="str">
        <f>IFERROR(__xludf.DUMMYFUNCTION("""COMPUTED_VALUE"""),"الوند")</f>
        <v>الوند</v>
      </c>
      <c r="G3979" s="5"/>
      <c r="H3979" s="6" t="str">
        <f>IFERROR(__xludf.DUMMYFUNCTION("""COMPUTED_VALUE"""),"https://www.instagram.com/javanan_ghamarbani_cpehesham/")</f>
        <v>https://www.instagram.com/javanan_ghamarbani_cpehesham/</v>
      </c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</row>
    <row r="3980">
      <c r="A3980" s="5"/>
      <c r="B3980" s="5" t="str">
        <f>IFERROR(__xludf.DUMMYFUNCTION("""COMPUTED_VALUE"""),"هیأت")</f>
        <v>هیأت</v>
      </c>
      <c r="C3980" s="5" t="str">
        <f>IFERROR(__xludf.DUMMYFUNCTION("""COMPUTED_VALUE"""),"منتظران ظهور")</f>
        <v>منتظران ظهور</v>
      </c>
      <c r="D3980" s="5" t="str">
        <f>IFERROR(__xludf.DUMMYFUNCTION("""COMPUTED_VALUE"""),"قزوین")</f>
        <v>قزوین</v>
      </c>
      <c r="E3980" s="5" t="str">
        <f>IFERROR(__xludf.DUMMYFUNCTION("""COMPUTED_VALUE"""),"البرز")</f>
        <v>البرز</v>
      </c>
      <c r="F3980" s="5" t="str">
        <f>IFERROR(__xludf.DUMMYFUNCTION("""COMPUTED_VALUE"""),"الوند")</f>
        <v>الوند</v>
      </c>
      <c r="G3980" s="5">
        <f>IFERROR(__xludf.DUMMYFUNCTION("""COMPUTED_VALUE"""),1.0)</f>
        <v>1</v>
      </c>
      <c r="H3980" s="6" t="str">
        <f>IFERROR(__xludf.DUMMYFUNCTION("""COMPUTED_VALUE"""),"https://www.instagram.com/montazeranzohoor12/")</f>
        <v>https://www.instagram.com/montazeranzohoor12/</v>
      </c>
      <c r="I3980" s="6" t="str">
        <f>IFERROR(__xludf.DUMMYFUNCTION("""COMPUTED_VALUE"""),"http://t.me/montazeranzohoor12")</f>
        <v>http://t.me/montazeranzohoor12</v>
      </c>
      <c r="J3980" s="5"/>
      <c r="K3980" s="5"/>
      <c r="L3980" s="5"/>
      <c r="M3980" s="5"/>
      <c r="N3980" s="5"/>
      <c r="O3980" s="5"/>
      <c r="P3980" s="5"/>
      <c r="Q3980" s="5"/>
      <c r="R3980" s="5"/>
      <c r="S3980" s="5"/>
    </row>
    <row r="3981">
      <c r="A3981" s="5"/>
      <c r="B3981" s="5" t="str">
        <f>IFERROR(__xludf.DUMMYFUNCTION("""COMPUTED_VALUE"""),"هیأت")</f>
        <v>هیأت</v>
      </c>
      <c r="C3981" s="5" t="str">
        <f>IFERROR(__xludf.DUMMYFUNCTION("""COMPUTED_VALUE"""),"حضرت رقیه (س)")</f>
        <v>حضرت رقیه (س)</v>
      </c>
      <c r="D3981" s="5" t="str">
        <f>IFERROR(__xludf.DUMMYFUNCTION("""COMPUTED_VALUE"""),"قزوین")</f>
        <v>قزوین</v>
      </c>
      <c r="E3981" s="5" t="str">
        <f>IFERROR(__xludf.DUMMYFUNCTION("""COMPUTED_VALUE"""),"البرز")</f>
        <v>البرز</v>
      </c>
      <c r="F3981" s="5" t="str">
        <f>IFERROR(__xludf.DUMMYFUNCTION("""COMPUTED_VALUE"""),"الوند")</f>
        <v>الوند</v>
      </c>
      <c r="G3981" s="5">
        <f>IFERROR(__xludf.DUMMYFUNCTION("""COMPUTED_VALUE"""),1.0)</f>
        <v>1</v>
      </c>
      <c r="H3981" s="5"/>
      <c r="I3981" s="6" t="str">
        <f>IFERROR(__xludf.DUMMYFUNCTION("""COMPUTED_VALUE"""),"https://t.me/yaroghayeh1380")</f>
        <v>https://t.me/yaroghayeh1380</v>
      </c>
      <c r="J3981" s="5"/>
      <c r="K3981" s="5"/>
      <c r="L3981" s="5"/>
      <c r="M3981" s="5"/>
      <c r="N3981" s="5"/>
      <c r="O3981" s="5"/>
      <c r="P3981" s="5"/>
      <c r="Q3981" s="5"/>
      <c r="R3981" s="5"/>
      <c r="S3981" s="5"/>
    </row>
    <row r="3982">
      <c r="A3982" s="5"/>
      <c r="B3982" s="5" t="str">
        <f>IFERROR(__xludf.DUMMYFUNCTION("""COMPUTED_VALUE"""),"هیأت")</f>
        <v>هیأت</v>
      </c>
      <c r="C3982" s="5" t="str">
        <f>IFERROR(__xludf.DUMMYFUNCTION("""COMPUTED_VALUE"""),"لواءالزینب")</f>
        <v>لواءالزینب</v>
      </c>
      <c r="D3982" s="5" t="str">
        <f>IFERROR(__xludf.DUMMYFUNCTION("""COMPUTED_VALUE"""),"قزوین")</f>
        <v>قزوین</v>
      </c>
      <c r="E3982" s="5" t="str">
        <f>IFERROR(__xludf.DUMMYFUNCTION("""COMPUTED_VALUE"""),"البرز")</f>
        <v>البرز</v>
      </c>
      <c r="F3982" s="5" t="str">
        <f>IFERROR(__xludf.DUMMYFUNCTION("""COMPUTED_VALUE"""),"الوند")</f>
        <v>الوند</v>
      </c>
      <c r="G3982" s="5"/>
      <c r="H3982" s="6" t="str">
        <f>IFERROR(__xludf.DUMMYFUNCTION("""COMPUTED_VALUE"""),"https://www.instagram.com/levaozzeinab_alvand/")</f>
        <v>https://www.instagram.com/levaozzeinab_alvand/</v>
      </c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</row>
    <row r="3983">
      <c r="A3983" s="5"/>
      <c r="B3983" s="5" t="str">
        <f>IFERROR(__xludf.DUMMYFUNCTION("""COMPUTED_VALUE"""),"حسینیه")</f>
        <v>حسینیه</v>
      </c>
      <c r="C3983" s="5" t="str">
        <f>IFERROR(__xludf.DUMMYFUNCTION("""COMPUTED_VALUE"""),"انصارالحسین")</f>
        <v>انصارالحسین</v>
      </c>
      <c r="D3983" s="5" t="str">
        <f>IFERROR(__xludf.DUMMYFUNCTION("""COMPUTED_VALUE"""),"قزوین")</f>
        <v>قزوین</v>
      </c>
      <c r="E3983" s="5" t="str">
        <f>IFERROR(__xludf.DUMMYFUNCTION("""COMPUTED_VALUE"""),"البرز")</f>
        <v>البرز</v>
      </c>
      <c r="F3983" s="5" t="str">
        <f>IFERROR(__xludf.DUMMYFUNCTION("""COMPUTED_VALUE"""),"الوند")</f>
        <v>الوند</v>
      </c>
      <c r="G3983" s="5"/>
      <c r="H3983" s="6" t="str">
        <f>IFERROR(__xludf.DUMMYFUNCTION("""COMPUTED_VALUE"""),"https://www.instagram.com/mahfel_ansar_alhossein/")</f>
        <v>https://www.instagram.com/mahfel_ansar_alhossein/</v>
      </c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</row>
    <row r="3984">
      <c r="A3984" s="5"/>
      <c r="B3984" s="5" t="str">
        <f>IFERROR(__xludf.DUMMYFUNCTION("""COMPUTED_VALUE"""),"هیأت")</f>
        <v>هیأت</v>
      </c>
      <c r="C3984" s="5" t="str">
        <f>IFERROR(__xludf.DUMMYFUNCTION("""COMPUTED_VALUE"""),"عشاق الرقیة")</f>
        <v>عشاق الرقیة</v>
      </c>
      <c r="D3984" s="5" t="str">
        <f>IFERROR(__xludf.DUMMYFUNCTION("""COMPUTED_VALUE"""),"قزوین")</f>
        <v>قزوین</v>
      </c>
      <c r="E3984" s="5" t="str">
        <f>IFERROR(__xludf.DUMMYFUNCTION("""COMPUTED_VALUE"""),"البرز")</f>
        <v>البرز</v>
      </c>
      <c r="F3984" s="5" t="str">
        <f>IFERROR(__xludf.DUMMYFUNCTION("""COMPUTED_VALUE"""),"الوند")</f>
        <v>الوند</v>
      </c>
      <c r="G3984" s="5"/>
      <c r="H3984" s="6" t="str">
        <f>IFERROR(__xludf.DUMMYFUNCTION("""COMPUTED_VALUE"""),"https://www.instagram.com/heeyatosagolrogey128/")</f>
        <v>https://www.instagram.com/heeyatosagolrogey128/</v>
      </c>
      <c r="I3984" s="5"/>
      <c r="J3984" s="5" t="str">
        <f>IFERROR(__xludf.DUMMYFUNCTION("""COMPUTED_VALUE"""),"*")</f>
        <v>*</v>
      </c>
      <c r="K3984" s="5"/>
      <c r="L3984" s="5"/>
      <c r="M3984" s="5"/>
      <c r="N3984" s="5"/>
      <c r="O3984" s="5"/>
      <c r="P3984" s="5"/>
      <c r="Q3984" s="5"/>
      <c r="R3984" s="5"/>
      <c r="S3984" s="5"/>
    </row>
    <row r="3985">
      <c r="A3985" s="5"/>
      <c r="B3985" s="5" t="str">
        <f>IFERROR(__xludf.DUMMYFUNCTION("""COMPUTED_VALUE"""),"هیأت")</f>
        <v>هیأت</v>
      </c>
      <c r="C3985" s="5" t="str">
        <f>IFERROR(__xludf.DUMMYFUNCTION("""COMPUTED_VALUE"""),"بیت الحسن")</f>
        <v>بیت الحسن</v>
      </c>
      <c r="D3985" s="5" t="str">
        <f>IFERROR(__xludf.DUMMYFUNCTION("""COMPUTED_VALUE"""),"قزوین")</f>
        <v>قزوین</v>
      </c>
      <c r="E3985" s="5" t="str">
        <f>IFERROR(__xludf.DUMMYFUNCTION("""COMPUTED_VALUE"""),"البرز")</f>
        <v>البرز</v>
      </c>
      <c r="F3985" s="5" t="str">
        <f>IFERROR(__xludf.DUMMYFUNCTION("""COMPUTED_VALUE"""),"بیدستان")</f>
        <v>بیدستان</v>
      </c>
      <c r="G3985" s="5"/>
      <c r="H3985" s="6" t="str">
        <f>IFERROR(__xludf.DUMMYFUNCTION("""COMPUTED_VALUE"""),"https://www.instagram.com/beytolhasan2/")</f>
        <v>https://www.instagram.com/beytolhasan2/</v>
      </c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</row>
    <row r="3986">
      <c r="A3986" s="5">
        <f>IFERROR(__xludf.DUMMYFUNCTION("""COMPUTED_VALUE"""),23313.0)</f>
        <v>23313</v>
      </c>
      <c r="B3986" s="5" t="str">
        <f>IFERROR(__xludf.DUMMYFUNCTION("""COMPUTED_VALUE"""),"هیأت")</f>
        <v>هیأت</v>
      </c>
      <c r="C3986" s="5" t="str">
        <f>IFERROR(__xludf.DUMMYFUNCTION("""COMPUTED_VALUE"""),"مدافعان حرم")</f>
        <v>مدافعان حرم</v>
      </c>
      <c r="D3986" s="5" t="str">
        <f>IFERROR(__xludf.DUMMYFUNCTION("""COMPUTED_VALUE"""),"قزوین")</f>
        <v>قزوین</v>
      </c>
      <c r="E3986" s="5" t="str">
        <f>IFERROR(__xludf.DUMMYFUNCTION("""COMPUTED_VALUE"""),"البرز")</f>
        <v>البرز</v>
      </c>
      <c r="F3986" s="5" t="str">
        <f>IFERROR(__xludf.DUMMYFUNCTION("""COMPUTED_VALUE"""),"بیدستان")</f>
        <v>بیدستان</v>
      </c>
      <c r="G3986" s="5"/>
      <c r="H3986" s="6" t="str">
        <f>IFERROR(__xludf.DUMMYFUNCTION("""COMPUTED_VALUE"""),"https://www.instagram.com/heyat_modafean_haram14/")</f>
        <v>https://www.instagram.com/heyat_modafean_haram14/</v>
      </c>
      <c r="I3986" s="6" t="str">
        <f>IFERROR(__xludf.DUMMYFUNCTION("""COMPUTED_VALUE"""),"https://t.me/heyaat_Modafeane_Haram")</f>
        <v>https://t.me/heyaat_Modafeane_Haram</v>
      </c>
      <c r="J3986" s="6" t="str">
        <f>IFERROR(__xludf.DUMMYFUNCTION("""COMPUTED_VALUE"""),"https://eitaa.com/heyaat_modafeane_haram")</f>
        <v>https://eitaa.com/heyaat_modafeane_haram</v>
      </c>
      <c r="K3986" s="5"/>
      <c r="L3986" s="5"/>
      <c r="M3986" s="5"/>
      <c r="N3986" s="5"/>
      <c r="O3986" s="5"/>
      <c r="P3986" s="5"/>
      <c r="Q3986" s="5"/>
      <c r="R3986" s="5"/>
      <c r="S3986" s="5"/>
    </row>
    <row r="3987">
      <c r="A3987" s="5">
        <f>IFERROR(__xludf.DUMMYFUNCTION("""COMPUTED_VALUE"""),19296.0)</f>
        <v>19296</v>
      </c>
      <c r="B3987" s="5" t="str">
        <f>IFERROR(__xludf.DUMMYFUNCTION("""COMPUTED_VALUE"""),"هیأت")</f>
        <v>هیأت</v>
      </c>
      <c r="C3987" s="5" t="str">
        <f>IFERROR(__xludf.DUMMYFUNCTION("""COMPUTED_VALUE"""),"بنت الحسین (س)")</f>
        <v>بنت الحسین (س)</v>
      </c>
      <c r="D3987" s="5" t="str">
        <f>IFERROR(__xludf.DUMMYFUNCTION("""COMPUTED_VALUE"""),"قزوین")</f>
        <v>قزوین</v>
      </c>
      <c r="E3987" s="5" t="str">
        <f>IFERROR(__xludf.DUMMYFUNCTION("""COMPUTED_VALUE"""),"البرز")</f>
        <v>البرز</v>
      </c>
      <c r="F3987" s="5" t="str">
        <f>IFERROR(__xludf.DUMMYFUNCTION("""COMPUTED_VALUE"""),"شریفیه")</f>
        <v>شریفیه</v>
      </c>
      <c r="G3987" s="5"/>
      <c r="H3987" s="5"/>
      <c r="I3987" s="5"/>
      <c r="J3987" s="6" t="str">
        <f>IFERROR(__xludf.DUMMYFUNCTION("""COMPUTED_VALUE"""),"https://eitaa.com/bentolhossin_salamola")</f>
        <v>https://eitaa.com/bentolhossin_salamola</v>
      </c>
      <c r="K3987" s="5"/>
      <c r="L3987" s="5"/>
      <c r="M3987" s="5"/>
      <c r="N3987" s="5"/>
      <c r="O3987" s="5"/>
      <c r="P3987" s="5"/>
      <c r="Q3987" s="5"/>
      <c r="R3987" s="5"/>
      <c r="S3987" s="5"/>
    </row>
    <row r="3988">
      <c r="A3988" s="5">
        <f>IFERROR(__xludf.DUMMYFUNCTION("""COMPUTED_VALUE"""),29665.0)</f>
        <v>29665</v>
      </c>
      <c r="B3988" s="5" t="str">
        <f>IFERROR(__xludf.DUMMYFUNCTION("""COMPUTED_VALUE"""),"هیأت")</f>
        <v>هیأت</v>
      </c>
      <c r="C3988" s="5" t="str">
        <f>IFERROR(__xludf.DUMMYFUNCTION("""COMPUTED_VALUE"""),"عشاق الزهرا (س)")</f>
        <v>عشاق الزهرا (س)</v>
      </c>
      <c r="D3988" s="5" t="str">
        <f>IFERROR(__xludf.DUMMYFUNCTION("""COMPUTED_VALUE"""),"قزوین")</f>
        <v>قزوین</v>
      </c>
      <c r="E3988" s="5" t="str">
        <f>IFERROR(__xludf.DUMMYFUNCTION("""COMPUTED_VALUE"""),"البرز")</f>
        <v>البرز</v>
      </c>
      <c r="F3988" s="5" t="str">
        <f>IFERROR(__xludf.DUMMYFUNCTION("""COMPUTED_VALUE"""),"شریفیه")</f>
        <v>شریفیه</v>
      </c>
      <c r="G3988" s="5"/>
      <c r="H3988" s="6" t="str">
        <f>IFERROR(__xludf.DUMMYFUNCTION("""COMPUTED_VALUE"""),"http://instagram.com/Oshaghozahra_ir")</f>
        <v>http://instagram.com/Oshaghozahra_ir</v>
      </c>
      <c r="I3988" s="6" t="str">
        <f>IFERROR(__xludf.DUMMYFUNCTION("""COMPUTED_VALUE"""),"https://t.me/Oshaghozahra_ir")</f>
        <v>https://t.me/Oshaghozahra_ir</v>
      </c>
      <c r="J3988" s="5"/>
      <c r="K3988" s="5"/>
      <c r="L3988" s="5"/>
      <c r="M3988" s="5"/>
      <c r="N3988" s="5"/>
      <c r="O3988" s="5"/>
      <c r="P3988" s="5"/>
      <c r="Q3988" s="5"/>
      <c r="R3988" s="5"/>
      <c r="S3988" s="5"/>
    </row>
    <row r="3989">
      <c r="A3989" s="5"/>
      <c r="B3989" s="5" t="str">
        <f>IFERROR(__xludf.DUMMYFUNCTION("""COMPUTED_VALUE"""),"هیأت")</f>
        <v>هیأت</v>
      </c>
      <c r="C3989" s="5" t="str">
        <f>IFERROR(__xludf.DUMMYFUNCTION("""COMPUTED_VALUE"""),"قاسم ابن الحسن")</f>
        <v>قاسم ابن الحسن</v>
      </c>
      <c r="D3989" s="5" t="str">
        <f>IFERROR(__xludf.DUMMYFUNCTION("""COMPUTED_VALUE"""),"قزوین")</f>
        <v>قزوین</v>
      </c>
      <c r="E3989" s="5" t="str">
        <f>IFERROR(__xludf.DUMMYFUNCTION("""COMPUTED_VALUE"""),"البرز")</f>
        <v>البرز</v>
      </c>
      <c r="F3989" s="5" t="str">
        <f>IFERROR(__xludf.DUMMYFUNCTION("""COMPUTED_VALUE"""),"محمدیه")</f>
        <v>محمدیه</v>
      </c>
      <c r="G3989" s="5"/>
      <c r="H3989" s="6" t="str">
        <f>IFERROR(__xludf.DUMMYFUNCTION("""COMPUTED_VALUE"""),"https://www.instagram.com/heyat.qasem201/")</f>
        <v>https://www.instagram.com/heyat.qasem201/</v>
      </c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</row>
    <row r="3990">
      <c r="A3990" s="5">
        <f>IFERROR(__xludf.DUMMYFUNCTION("""COMPUTED_VALUE"""),17971.0)</f>
        <v>17971</v>
      </c>
      <c r="B3990" s="5" t="str">
        <f>IFERROR(__xludf.DUMMYFUNCTION("""COMPUTED_VALUE"""),"هیأت")</f>
        <v>هیأت</v>
      </c>
      <c r="C3990" s="5" t="str">
        <f>IFERROR(__xludf.DUMMYFUNCTION("""COMPUTED_VALUE"""),"یازهرا (س)")</f>
        <v>یازهرا (س)</v>
      </c>
      <c r="D3990" s="5" t="str">
        <f>IFERROR(__xludf.DUMMYFUNCTION("""COMPUTED_VALUE"""),"قزوین")</f>
        <v>قزوین</v>
      </c>
      <c r="E3990" s="5" t="str">
        <f>IFERROR(__xludf.DUMMYFUNCTION("""COMPUTED_VALUE"""),"البرز")</f>
        <v>البرز</v>
      </c>
      <c r="F3990" s="5" t="str">
        <f>IFERROR(__xludf.DUMMYFUNCTION("""COMPUTED_VALUE"""),"محمدیه")</f>
        <v>محمدیه</v>
      </c>
      <c r="G3990" s="5"/>
      <c r="H3990" s="6" t="str">
        <f>IFERROR(__xludf.DUMMYFUNCTION("""COMPUTED_VALUE"""),"https://www.instagram.com/yazahra.ir/")</f>
        <v>https://www.instagram.com/yazahra.ir/</v>
      </c>
      <c r="I3990" s="6" t="str">
        <f>IFERROR(__xludf.DUMMYFUNCTION("""COMPUTED_VALUE"""),"t.me/yazahra_ir")</f>
        <v>t.me/yazahra_ir</v>
      </c>
      <c r="J3990" s="5"/>
      <c r="K3990" s="5"/>
      <c r="L3990" s="5"/>
      <c r="M3990" s="5"/>
      <c r="N3990" s="5"/>
      <c r="O3990" s="5"/>
      <c r="P3990" s="5"/>
      <c r="Q3990" s="5"/>
      <c r="R3990" s="5"/>
      <c r="S3990" s="5"/>
    </row>
    <row r="3991">
      <c r="A3991" s="5">
        <f>IFERROR(__xludf.DUMMYFUNCTION("""COMPUTED_VALUE"""),10096.0)</f>
        <v>10096</v>
      </c>
      <c r="B3991" s="5" t="str">
        <f>IFERROR(__xludf.DUMMYFUNCTION("""COMPUTED_VALUE"""),"هیأت")</f>
        <v>هیأت</v>
      </c>
      <c r="C3991" s="5" t="str">
        <f>IFERROR(__xludf.DUMMYFUNCTION("""COMPUTED_VALUE"""),"حضرت قاسم (ع)")</f>
        <v>حضرت قاسم (ع)</v>
      </c>
      <c r="D3991" s="5" t="str">
        <f>IFERROR(__xludf.DUMMYFUNCTION("""COMPUTED_VALUE"""),"قزوین")</f>
        <v>قزوین</v>
      </c>
      <c r="E3991" s="5" t="str">
        <f>IFERROR(__xludf.DUMMYFUNCTION("""COMPUTED_VALUE"""),"البرز")</f>
        <v>البرز</v>
      </c>
      <c r="F3991" s="5" t="str">
        <f>IFERROR(__xludf.DUMMYFUNCTION("""COMPUTED_VALUE"""),"محمدیه")</f>
        <v>محمدیه</v>
      </c>
      <c r="G3991" s="5"/>
      <c r="H3991" s="6" t="str">
        <f>IFERROR(__xludf.DUMMYFUNCTION("""COMPUTED_VALUE"""),"https://www.instagram.com/asheghan.hazrate.ghasem/")</f>
        <v>https://www.instagram.com/asheghan.hazrate.ghasem/</v>
      </c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</row>
    <row r="3992">
      <c r="A3992" s="5">
        <f>IFERROR(__xludf.DUMMYFUNCTION("""COMPUTED_VALUE"""),23540.0)</f>
        <v>23540</v>
      </c>
      <c r="B3992" s="5" t="str">
        <f>IFERROR(__xludf.DUMMYFUNCTION("""COMPUTED_VALUE"""),"هیأت")</f>
        <v>هیأت</v>
      </c>
      <c r="C3992" s="5" t="str">
        <f>IFERROR(__xludf.DUMMYFUNCTION("""COMPUTED_VALUE"""),"انصار المهدی (عج)")</f>
        <v>انصار المهدی (عج)</v>
      </c>
      <c r="D3992" s="5" t="str">
        <f>IFERROR(__xludf.DUMMYFUNCTION("""COMPUTED_VALUE"""),"قزوین")</f>
        <v>قزوین</v>
      </c>
      <c r="E3992" s="5" t="str">
        <f>IFERROR(__xludf.DUMMYFUNCTION("""COMPUTED_VALUE"""),"البرز")</f>
        <v>البرز</v>
      </c>
      <c r="F3992" s="5" t="str">
        <f>IFERROR(__xludf.DUMMYFUNCTION("""COMPUTED_VALUE"""),"محمدیه")</f>
        <v>محمدیه</v>
      </c>
      <c r="G3992" s="5"/>
      <c r="H3992" s="6" t="str">
        <f>IFERROR(__xludf.DUMMYFUNCTION("""COMPUTED_VALUE"""),"https://www.instagram.com/ansaralmahdy313/")</f>
        <v>https://www.instagram.com/ansaralmahdy313/</v>
      </c>
      <c r="I3992" s="6" t="str">
        <f>IFERROR(__xludf.DUMMYFUNCTION("""COMPUTED_VALUE"""),"t.me/akhbarheyat")</f>
        <v>t.me/akhbarheyat</v>
      </c>
      <c r="J3992" s="5"/>
      <c r="K3992" s="5"/>
      <c r="L3992" s="5"/>
      <c r="M3992" s="5"/>
      <c r="N3992" s="5"/>
      <c r="O3992" s="5"/>
      <c r="P3992" s="5"/>
      <c r="Q3992" s="5"/>
      <c r="R3992" s="5"/>
      <c r="S3992" s="5"/>
    </row>
    <row r="3993">
      <c r="A3993" s="5"/>
      <c r="B3993" s="5" t="str">
        <f>IFERROR(__xludf.DUMMYFUNCTION("""COMPUTED_VALUE"""),"هیأت")</f>
        <v>هیأت</v>
      </c>
      <c r="C3993" s="5" t="str">
        <f>IFERROR(__xludf.DUMMYFUNCTION("""COMPUTED_VALUE"""),"فاطمه الزهرا")</f>
        <v>فاطمه الزهرا</v>
      </c>
      <c r="D3993" s="5" t="str">
        <f>IFERROR(__xludf.DUMMYFUNCTION("""COMPUTED_VALUE"""),"قزوین")</f>
        <v>قزوین</v>
      </c>
      <c r="E3993" s="5" t="str">
        <f>IFERROR(__xludf.DUMMYFUNCTION("""COMPUTED_VALUE"""),"البرز")</f>
        <v>البرز</v>
      </c>
      <c r="F3993" s="5" t="str">
        <f>IFERROR(__xludf.DUMMYFUNCTION("""COMPUTED_VALUE"""),"محمدیه")</f>
        <v>محمدیه</v>
      </c>
      <c r="G3993" s="5"/>
      <c r="H3993" s="5"/>
      <c r="I3993" s="5"/>
      <c r="J3993" s="6" t="str">
        <f>IFERROR(__xludf.DUMMYFUNCTION("""COMPUTED_VALUE"""),"https://eitaa.com/fatemeh_alzahra")</f>
        <v>https://eitaa.com/fatemeh_alzahra</v>
      </c>
      <c r="K3993" s="5"/>
      <c r="L3993" s="5"/>
      <c r="M3993" s="5"/>
      <c r="N3993" s="5"/>
      <c r="O3993" s="5"/>
      <c r="P3993" s="5"/>
      <c r="Q3993" s="5"/>
      <c r="R3993" s="5"/>
      <c r="S3993" s="5"/>
    </row>
    <row r="3994">
      <c r="A3994" s="5">
        <f>IFERROR(__xludf.DUMMYFUNCTION("""COMPUTED_VALUE"""),29515.0)</f>
        <v>29515</v>
      </c>
      <c r="B3994" s="5" t="str">
        <f>IFERROR(__xludf.DUMMYFUNCTION("""COMPUTED_VALUE"""),"هیأت")</f>
        <v>هیأت</v>
      </c>
      <c r="C3994" s="5" t="str">
        <f>IFERROR(__xludf.DUMMYFUNCTION("""COMPUTED_VALUE"""),"قمربنی هاشم و قاسم بن الحسن (ع) ")</f>
        <v>قمربنی هاشم و قاسم بن الحسن (ع) </v>
      </c>
      <c r="D3994" s="5" t="str">
        <f>IFERROR(__xludf.DUMMYFUNCTION("""COMPUTED_VALUE"""),"قزوین")</f>
        <v>قزوین</v>
      </c>
      <c r="E3994" s="5" t="str">
        <f>IFERROR(__xludf.DUMMYFUNCTION("""COMPUTED_VALUE"""),"البرز")</f>
        <v>البرز</v>
      </c>
      <c r="F3994" s="5" t="str">
        <f>IFERROR(__xludf.DUMMYFUNCTION("""COMPUTED_VALUE"""),"محمدیه، باورس")</f>
        <v>محمدیه، باورس</v>
      </c>
      <c r="G3994" s="5"/>
      <c r="H3994" s="5"/>
      <c r="I3994" s="5"/>
      <c r="J3994" s="6" t="str">
        <f>IFERROR(__xludf.DUMMYFUNCTION("""COMPUTED_VALUE"""),"https://eitaa.com/heyat2bavers")</f>
        <v>https://eitaa.com/heyat2bavers</v>
      </c>
      <c r="K3994" s="5"/>
      <c r="L3994" s="5"/>
      <c r="M3994" s="5"/>
      <c r="N3994" s="5"/>
      <c r="O3994" s="5"/>
      <c r="P3994" s="5"/>
      <c r="Q3994" s="5"/>
      <c r="R3994" s="5"/>
      <c r="S3994" s="5"/>
    </row>
    <row r="3995">
      <c r="A3995" s="5"/>
      <c r="B3995" s="5" t="str">
        <f>IFERROR(__xludf.DUMMYFUNCTION("""COMPUTED_VALUE"""),"هیأت")</f>
        <v>هیأت</v>
      </c>
      <c r="C3995" s="5" t="str">
        <f>IFERROR(__xludf.DUMMYFUNCTION("""COMPUTED_VALUE"""),"امام حسن مجتبی")</f>
        <v>امام حسن مجتبی</v>
      </c>
      <c r="D3995" s="5" t="str">
        <f>IFERROR(__xludf.DUMMYFUNCTION("""COMPUTED_VALUE"""),"قزوین")</f>
        <v>قزوین</v>
      </c>
      <c r="E3995" s="5" t="str">
        <f>IFERROR(__xludf.DUMMYFUNCTION("""COMPUTED_VALUE"""),"البرز")</f>
        <v>البرز</v>
      </c>
      <c r="F3995" s="5" t="str">
        <f>IFERROR(__xludf.DUMMYFUNCTION("""COMPUTED_VALUE"""),"مهرگان")</f>
        <v>مهرگان</v>
      </c>
      <c r="G3995" s="5"/>
      <c r="H3995" s="6" t="str">
        <f>IFERROR(__xludf.DUMMYFUNCTION("""COMPUTED_VALUE"""),"https://www.instagram.com/imam_hasan_mojtaba_mehregan/")</f>
        <v>https://www.instagram.com/imam_hasan_mojtaba_mehregan/</v>
      </c>
      <c r="I3995" s="5" t="str">
        <f>IFERROR(__xludf.DUMMYFUNCTION("""COMPUTED_VALUE"""),"*")</f>
        <v>*</v>
      </c>
      <c r="J3995" s="5" t="str">
        <f>IFERROR(__xludf.DUMMYFUNCTION("""COMPUTED_VALUE"""),"*")</f>
        <v>*</v>
      </c>
      <c r="K3995" s="5"/>
      <c r="L3995" s="5"/>
      <c r="M3995" s="5"/>
      <c r="N3995" s="5"/>
      <c r="O3995" s="5"/>
      <c r="P3995" s="5"/>
      <c r="Q3995" s="5"/>
      <c r="R3995" s="5"/>
      <c r="S3995" s="5"/>
    </row>
    <row r="3996">
      <c r="A3996" s="5"/>
      <c r="B3996" s="5" t="str">
        <f>IFERROR(__xludf.DUMMYFUNCTION("""COMPUTED_VALUE"""),"هیأت")</f>
        <v>هیأت</v>
      </c>
      <c r="C3996" s="5" t="str">
        <f>IFERROR(__xludf.DUMMYFUNCTION("""COMPUTED_VALUE"""),"یازهرا (س)")</f>
        <v>یازهرا (س)</v>
      </c>
      <c r="D3996" s="5" t="str">
        <f>IFERROR(__xludf.DUMMYFUNCTION("""COMPUTED_VALUE"""),"قزوین")</f>
        <v>قزوین</v>
      </c>
      <c r="E3996" s="5" t="str">
        <f>IFERROR(__xludf.DUMMYFUNCTION("""COMPUTED_VALUE"""),"البرز")</f>
        <v>البرز</v>
      </c>
      <c r="F3996" s="5" t="str">
        <f>IFERROR(__xludf.DUMMYFUNCTION("""COMPUTED_VALUE"""),"مهرگان")</f>
        <v>مهرگان</v>
      </c>
      <c r="G3996" s="5"/>
      <c r="H3996" s="6" t="str">
        <f>IFERROR(__xludf.DUMMYFUNCTION("""COMPUTED_VALUE"""),"https://www.instagram.com/yazahra.mehregan/")</f>
        <v>https://www.instagram.com/yazahra.mehregan/</v>
      </c>
      <c r="I3996" s="6" t="str">
        <f>IFERROR(__xludf.DUMMYFUNCTION("""COMPUTED_VALUE"""),"https://t.me/yazahra_mehregan")</f>
        <v>https://t.me/yazahra_mehregan</v>
      </c>
      <c r="J3996" s="5"/>
      <c r="K3996" s="5"/>
      <c r="L3996" s="5"/>
      <c r="M3996" s="5"/>
      <c r="N3996" s="5"/>
      <c r="O3996" s="5"/>
      <c r="P3996" s="5"/>
      <c r="Q3996" s="5"/>
      <c r="R3996" s="5"/>
      <c r="S3996" s="5"/>
    </row>
    <row r="3997">
      <c r="A3997" s="5">
        <f>IFERROR(__xludf.DUMMYFUNCTION("""COMPUTED_VALUE"""),10141.0)</f>
        <v>10141</v>
      </c>
      <c r="B3997" s="5" t="str">
        <f>IFERROR(__xludf.DUMMYFUNCTION("""COMPUTED_VALUE"""),"هیأت")</f>
        <v>هیأت</v>
      </c>
      <c r="C3997" s="5" t="str">
        <f>IFERROR(__xludf.DUMMYFUNCTION("""COMPUTED_VALUE"""),"شهدای گمنام")</f>
        <v>شهدای گمنام</v>
      </c>
      <c r="D3997" s="5" t="str">
        <f>IFERROR(__xludf.DUMMYFUNCTION("""COMPUTED_VALUE"""),"قزوین")</f>
        <v>قزوین</v>
      </c>
      <c r="E3997" s="5" t="str">
        <f>IFERROR(__xludf.DUMMYFUNCTION("""COMPUTED_VALUE"""),"بوئین زهرا")</f>
        <v>بوئین زهرا</v>
      </c>
      <c r="F3997" s="5" t="str">
        <f>IFERROR(__xludf.DUMMYFUNCTION("""COMPUTED_VALUE"""),"دانسفهان")</f>
        <v>دانسفهان</v>
      </c>
      <c r="G3997" s="5"/>
      <c r="H3997" s="6" t="str">
        <f>IFERROR(__xludf.DUMMYFUNCTION("""COMPUTED_VALUE"""),"https://www.instagram.com/danesfahanheiat/")</f>
        <v>https://www.instagram.com/danesfahanheiat/</v>
      </c>
      <c r="I3997" s="6" t="str">
        <f>IFERROR(__xludf.DUMMYFUNCTION("""COMPUTED_VALUE"""),"t.me/danesfahanheiat")</f>
        <v>t.me/danesfahanheiat</v>
      </c>
      <c r="J3997" s="5"/>
      <c r="K3997" s="5"/>
      <c r="L3997" s="5"/>
      <c r="M3997" s="5"/>
      <c r="N3997" s="5"/>
      <c r="O3997" s="5"/>
      <c r="P3997" s="5"/>
      <c r="Q3997" s="5"/>
      <c r="R3997" s="5"/>
      <c r="S3997" s="5"/>
    </row>
    <row r="3998">
      <c r="A3998" s="5">
        <f>IFERROR(__xludf.DUMMYFUNCTION("""COMPUTED_VALUE"""),10244.0)</f>
        <v>10244</v>
      </c>
      <c r="B3998" s="5" t="str">
        <f>IFERROR(__xludf.DUMMYFUNCTION("""COMPUTED_VALUE"""),"هیأت")</f>
        <v>هیأت</v>
      </c>
      <c r="C3998" s="5" t="str">
        <f>IFERROR(__xludf.DUMMYFUNCTION("""COMPUTED_VALUE"""),"محبان اهل بیت(ع)")</f>
        <v>محبان اهل بیت(ع)</v>
      </c>
      <c r="D3998" s="5" t="str">
        <f>IFERROR(__xludf.DUMMYFUNCTION("""COMPUTED_VALUE"""),"قزوین")</f>
        <v>قزوین</v>
      </c>
      <c r="E3998" s="5" t="str">
        <f>IFERROR(__xludf.DUMMYFUNCTION("""COMPUTED_VALUE"""),"بوئین زهرا")</f>
        <v>بوئین زهرا</v>
      </c>
      <c r="F3998" s="5" t="str">
        <f>IFERROR(__xludf.DUMMYFUNCTION("""COMPUTED_VALUE"""),"شال")</f>
        <v>شال</v>
      </c>
      <c r="G3998" s="5"/>
      <c r="H3998" s="6" t="str">
        <f>IFERROR(__xludf.DUMMYFUNCTION("""COMPUTED_VALUE"""),"https://www.instagram.com/heyat_moheban_ahlebeit/")</f>
        <v>https://www.instagram.com/heyat_moheban_ahlebeit/</v>
      </c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</row>
    <row r="3999">
      <c r="A3999" s="5"/>
      <c r="B3999" s="5" t="str">
        <f>IFERROR(__xludf.DUMMYFUNCTION("""COMPUTED_VALUE"""),"هیأت")</f>
        <v>هیأت</v>
      </c>
      <c r="C3999" s="5" t="str">
        <f>IFERROR(__xludf.DUMMYFUNCTION("""COMPUTED_VALUE"""),"ثارالله (ع)")</f>
        <v>ثارالله (ع)</v>
      </c>
      <c r="D3999" s="5" t="str">
        <f>IFERROR(__xludf.DUMMYFUNCTION("""COMPUTED_VALUE"""),"قزوین")</f>
        <v>قزوین</v>
      </c>
      <c r="E3999" s="5" t="str">
        <f>IFERROR(__xludf.DUMMYFUNCTION("""COMPUTED_VALUE"""),"بوئین زهرا")</f>
        <v>بوئین زهرا</v>
      </c>
      <c r="F3999" s="5" t="str">
        <f>IFERROR(__xludf.DUMMYFUNCTION("""COMPUTED_VALUE"""),"شال")</f>
        <v>شال</v>
      </c>
      <c r="G3999" s="5"/>
      <c r="H3999" s="6" t="str">
        <f>IFERROR(__xludf.DUMMYFUNCTION("""COMPUTED_VALUE"""),"https://www.instagram.com/heyat_saralah_shall/")</f>
        <v>https://www.instagram.com/heyat_saralah_shall/</v>
      </c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</row>
    <row r="4000">
      <c r="A4000" s="5">
        <f>IFERROR(__xludf.DUMMYFUNCTION("""COMPUTED_VALUE"""),21050.0)</f>
        <v>21050</v>
      </c>
      <c r="B4000" s="5" t="str">
        <f>IFERROR(__xludf.DUMMYFUNCTION("""COMPUTED_VALUE"""),"هیأت")</f>
        <v>هیأت</v>
      </c>
      <c r="C4000" s="5" t="str">
        <f>IFERROR(__xludf.DUMMYFUNCTION("""COMPUTED_VALUE"""),"چهارده معصوم (ع) مسجدصاحب الزمان")</f>
        <v>چهارده معصوم (ع) مسجدصاحب الزمان</v>
      </c>
      <c r="D4000" s="5" t="str">
        <f>IFERROR(__xludf.DUMMYFUNCTION("""COMPUTED_VALUE"""),"قزوین")</f>
        <v>قزوین</v>
      </c>
      <c r="E4000" s="5" t="str">
        <f>IFERROR(__xludf.DUMMYFUNCTION("""COMPUTED_VALUE"""),"بوئین زهرا")</f>
        <v>بوئین زهرا</v>
      </c>
      <c r="F4000" s="5" t="str">
        <f>IFERROR(__xludf.DUMMYFUNCTION("""COMPUTED_VALUE"""),"شال")</f>
        <v>شال</v>
      </c>
      <c r="G4000" s="5"/>
      <c r="H4000" s="6" t="str">
        <f>IFERROR(__xludf.DUMMYFUNCTION("""COMPUTED_VALUE"""),"https://www.instagram.com/heyat_14masom_shal/")</f>
        <v>https://www.instagram.com/heyat_14masom_shal/</v>
      </c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</row>
    <row r="4001">
      <c r="A4001" s="5"/>
      <c r="B4001" s="5" t="str">
        <f>IFERROR(__xludf.DUMMYFUNCTION("""COMPUTED_VALUE"""),"هیأت")</f>
        <v>هیأت</v>
      </c>
      <c r="C4001" s="5" t="str">
        <f>IFERROR(__xludf.DUMMYFUNCTION("""COMPUTED_VALUE"""),"عاشورائیان")</f>
        <v>عاشورائیان</v>
      </c>
      <c r="D4001" s="5" t="str">
        <f>IFERROR(__xludf.DUMMYFUNCTION("""COMPUTED_VALUE"""),"قزوین")</f>
        <v>قزوین</v>
      </c>
      <c r="E4001" s="5" t="str">
        <f>IFERROR(__xludf.DUMMYFUNCTION("""COMPUTED_VALUE"""),"بوئین زهرا")</f>
        <v>بوئین زهرا</v>
      </c>
      <c r="F4001" s="5" t="str">
        <f>IFERROR(__xludf.DUMMYFUNCTION("""COMPUTED_VALUE"""),"شال")</f>
        <v>شال</v>
      </c>
      <c r="G4001" s="5"/>
      <c r="H4001" s="6" t="str">
        <f>IFERROR(__xludf.DUMMYFUNCTION("""COMPUTED_VALUE"""),"https://www.instagram.com/heyat_ashuraiyan_shall/")</f>
        <v>https://www.instagram.com/heyat_ashuraiyan_shall/</v>
      </c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</row>
    <row r="4002">
      <c r="A4002" s="5"/>
      <c r="B4002" s="5" t="str">
        <f>IFERROR(__xludf.DUMMYFUNCTION("""COMPUTED_VALUE"""),"هیأت")</f>
        <v>هیأت</v>
      </c>
      <c r="C4002" s="5" t="str">
        <f>IFERROR(__xludf.DUMMYFUNCTION("""COMPUTED_VALUE"""),"رزمندگان اسلام")</f>
        <v>رزمندگان اسلام</v>
      </c>
      <c r="D4002" s="5" t="str">
        <f>IFERROR(__xludf.DUMMYFUNCTION("""COMPUTED_VALUE"""),"قزوین")</f>
        <v>قزوین</v>
      </c>
      <c r="E4002" s="5" t="str">
        <f>IFERROR(__xludf.DUMMYFUNCTION("""COMPUTED_VALUE"""),"بوئین زهرا")</f>
        <v>بوئین زهرا</v>
      </c>
      <c r="F4002" s="5" t="str">
        <f>IFERROR(__xludf.DUMMYFUNCTION("""COMPUTED_VALUE"""),"شال")</f>
        <v>شال</v>
      </c>
      <c r="G4002" s="5">
        <f>IFERROR(__xludf.DUMMYFUNCTION("""COMPUTED_VALUE"""),1.0)</f>
        <v>1</v>
      </c>
      <c r="H4002" s="6" t="str">
        <f>IFERROR(__xludf.DUMMYFUNCTION("""COMPUTED_VALUE"""),"https://www.instagram.com/hrbshall/")</f>
        <v>https://www.instagram.com/hrbshall/</v>
      </c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</row>
    <row r="4003">
      <c r="A4003" s="5"/>
      <c r="B4003" s="5" t="str">
        <f>IFERROR(__xludf.DUMMYFUNCTION("""COMPUTED_VALUE"""),"هیأت")</f>
        <v>هیأت</v>
      </c>
      <c r="C4003" s="5" t="str">
        <f>IFERROR(__xludf.DUMMYFUNCTION("""COMPUTED_VALUE"""),"آقا علی بن موسی الرضا علیه السلام")</f>
        <v>آقا علی بن موسی الرضا علیه السلام</v>
      </c>
      <c r="D4003" s="5" t="str">
        <f>IFERROR(__xludf.DUMMYFUNCTION("""COMPUTED_VALUE"""),"قزوین")</f>
        <v>قزوین</v>
      </c>
      <c r="E4003" s="5" t="str">
        <f>IFERROR(__xludf.DUMMYFUNCTION("""COMPUTED_VALUE"""),"بوئین زهرا")</f>
        <v>بوئین زهرا</v>
      </c>
      <c r="F4003" s="5" t="str">
        <f>IFERROR(__xludf.DUMMYFUNCTION("""COMPUTED_VALUE"""),"شال")</f>
        <v>شال</v>
      </c>
      <c r="G4003" s="5"/>
      <c r="H4003" s="6" t="str">
        <f>IFERROR(__xludf.DUMMYFUNCTION("""COMPUTED_VALUE"""),"https://www.instagram.com/heyate_emam_reza_shal/")</f>
        <v>https://www.instagram.com/heyate_emam_reza_shal/</v>
      </c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</row>
    <row r="4004">
      <c r="A4004" s="5"/>
      <c r="B4004" s="5" t="str">
        <f>IFERROR(__xludf.DUMMYFUNCTION("""COMPUTED_VALUE"""),"هیأت")</f>
        <v>هیأت</v>
      </c>
      <c r="C4004" s="5" t="str">
        <f>IFERROR(__xludf.DUMMYFUNCTION("""COMPUTED_VALUE"""),"انصارالمهدی (عج) ")</f>
        <v>انصارالمهدی (عج) </v>
      </c>
      <c r="D4004" s="5" t="str">
        <f>IFERROR(__xludf.DUMMYFUNCTION("""COMPUTED_VALUE"""),"قزوین")</f>
        <v>قزوین</v>
      </c>
      <c r="E4004" s="5" t="str">
        <f>IFERROR(__xludf.DUMMYFUNCTION("""COMPUTED_VALUE"""),"بوئین زهرا")</f>
        <v>بوئین زهرا</v>
      </c>
      <c r="F4004" s="5" t="str">
        <f>IFERROR(__xludf.DUMMYFUNCTION("""COMPUTED_VALUE"""),"قلعه گنجی")</f>
        <v>قلعه گنجی</v>
      </c>
      <c r="G4004" s="5"/>
      <c r="H4004" s="6" t="str">
        <f>IFERROR(__xludf.DUMMYFUNCTION("""COMPUTED_VALUE"""),"https://www.instagram.com/ansarmahdi_galeganji/")</f>
        <v>https://www.instagram.com/ansarmahdi_galeganji/</v>
      </c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</row>
    <row r="4005">
      <c r="A4005" s="5">
        <f>IFERROR(__xludf.DUMMYFUNCTION("""COMPUTED_VALUE"""),20787.0)</f>
        <v>20787</v>
      </c>
      <c r="B4005" s="5"/>
      <c r="C4005" s="5" t="str">
        <f>IFERROR(__xludf.DUMMYFUNCTION("""COMPUTED_VALUE"""),"انصارالمهدی (عج)")</f>
        <v>انصارالمهدی (عج)</v>
      </c>
      <c r="D4005" s="5" t="str">
        <f>IFERROR(__xludf.DUMMYFUNCTION("""COMPUTED_VALUE"""),"قزوین")</f>
        <v>قزوین</v>
      </c>
      <c r="E4005" s="5" t="str">
        <f>IFERROR(__xludf.DUMMYFUNCTION("""COMPUTED_VALUE"""),"بوئین زهرا")</f>
        <v>بوئین زهرا</v>
      </c>
      <c r="F4005" s="5"/>
      <c r="G4005" s="5"/>
      <c r="H4005" s="5"/>
      <c r="I4005" s="5"/>
      <c r="J4005" s="6" t="str">
        <f>IFERROR(__xludf.DUMMYFUNCTION("""COMPUTED_VALUE"""),"https://eitaa.com/h_ansaralmahdi")</f>
        <v>https://eitaa.com/h_ansaralmahdi</v>
      </c>
      <c r="K4005" s="5"/>
      <c r="L4005" s="5"/>
      <c r="M4005" s="5"/>
      <c r="N4005" s="5"/>
      <c r="O4005" s="5"/>
      <c r="P4005" s="5"/>
      <c r="Q4005" s="5"/>
      <c r="R4005" s="5"/>
      <c r="S4005" s="5"/>
    </row>
    <row r="4006">
      <c r="A4006" s="5">
        <f>IFERROR(__xludf.DUMMYFUNCTION("""COMPUTED_VALUE"""),10429.0)</f>
        <v>10429</v>
      </c>
      <c r="B4006" s="5"/>
      <c r="C4006" s="5" t="str">
        <f>IFERROR(__xludf.DUMMYFUNCTION("""COMPUTED_VALUE"""),"انصارالحسین(ع) (خوزنین)")</f>
        <v>انصارالحسین(ع) (خوزنین)</v>
      </c>
      <c r="D4006" s="5" t="str">
        <f>IFERROR(__xludf.DUMMYFUNCTION("""COMPUTED_VALUE"""),"قزوین")</f>
        <v>قزوین</v>
      </c>
      <c r="E4006" s="5" t="str">
        <f>IFERROR(__xludf.DUMMYFUNCTION("""COMPUTED_VALUE"""),"بوئین زهرا")</f>
        <v>بوئین زهرا</v>
      </c>
      <c r="F4006" s="5"/>
      <c r="G4006" s="5"/>
      <c r="H4006" s="6" t="str">
        <f>IFERROR(__xludf.DUMMYFUNCTION("""COMPUTED_VALUE"""),"https://www.instagram.com/ansaralhosein_khoznin1/")</f>
        <v>https://www.instagram.com/ansaralhosein_khoznin1/</v>
      </c>
      <c r="I4006" s="6" t="str">
        <f>IFERROR(__xludf.DUMMYFUNCTION("""COMPUTED_VALUE"""),"https://t.me/ansaralhosein_khoznin")</f>
        <v>https://t.me/ansaralhosein_khoznin</v>
      </c>
      <c r="J4006" s="5"/>
      <c r="K4006" s="5"/>
      <c r="L4006" s="5"/>
      <c r="M4006" s="5"/>
      <c r="N4006" s="5"/>
      <c r="O4006" s="5"/>
      <c r="P4006" s="5"/>
      <c r="Q4006" s="5"/>
      <c r="R4006" s="5"/>
      <c r="S4006" s="5"/>
    </row>
    <row r="4007">
      <c r="A4007" s="5"/>
      <c r="B4007" s="5" t="str">
        <f>IFERROR(__xludf.DUMMYFUNCTION("""COMPUTED_VALUE"""),"حسینه ")</f>
        <v>حسینه </v>
      </c>
      <c r="C4007" s="5" t="str">
        <f>IFERROR(__xludf.DUMMYFUNCTION("""COMPUTED_VALUE"""),"علی اصغر")</f>
        <v>علی اصغر</v>
      </c>
      <c r="D4007" s="5" t="str">
        <f>IFERROR(__xludf.DUMMYFUNCTION("""COMPUTED_VALUE"""),"قزوین")</f>
        <v>قزوین</v>
      </c>
      <c r="E4007" s="5" t="str">
        <f>IFERROR(__xludf.DUMMYFUNCTION("""COMPUTED_VALUE"""),"بوئین زهرا")</f>
        <v>بوئین زهرا</v>
      </c>
      <c r="F4007" s="5"/>
      <c r="G4007" s="5"/>
      <c r="H4007" s="6" t="str">
        <f>IFERROR(__xludf.DUMMYFUNCTION("""COMPUTED_VALUE"""),"https://www.instagram.com/hoseynieh_aliasghar_buinzahra/")</f>
        <v>https://www.instagram.com/hoseynieh_aliasghar_buinzahra/</v>
      </c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</row>
    <row r="4008">
      <c r="A4008" s="5"/>
      <c r="B4008" s="5" t="str">
        <f>IFERROR(__xludf.DUMMYFUNCTION("""COMPUTED_VALUE"""),"هیأت")</f>
        <v>هیأت</v>
      </c>
      <c r="C4008" s="5" t="str">
        <f>IFERROR(__xludf.DUMMYFUNCTION("""COMPUTED_VALUE"""),"جوانان طفلان مسلم")</f>
        <v>جوانان طفلان مسلم</v>
      </c>
      <c r="D4008" s="5" t="str">
        <f>IFERROR(__xludf.DUMMYFUNCTION("""COMPUTED_VALUE"""),"قزوین")</f>
        <v>قزوین</v>
      </c>
      <c r="E4008" s="5" t="str">
        <f>IFERROR(__xludf.DUMMYFUNCTION("""COMPUTED_VALUE"""),"بوئین زهرا")</f>
        <v>بوئین زهرا</v>
      </c>
      <c r="F4008" s="5"/>
      <c r="G4008" s="5"/>
      <c r="H4008" s="6" t="str">
        <f>IFERROR(__xludf.DUMMYFUNCTION("""COMPUTED_VALUE"""),"https://www.instagram.com/teflannemoslem/")</f>
        <v>https://www.instagram.com/teflannemoslem/</v>
      </c>
      <c r="I4008" s="6" t="str">
        <f>IFERROR(__xludf.DUMMYFUNCTION("""COMPUTED_VALUE"""),"https://t.me/teflanemoslam")</f>
        <v>https://t.me/teflanemoslam</v>
      </c>
      <c r="J4008" s="5"/>
      <c r="K4008" s="5"/>
      <c r="L4008" s="5"/>
      <c r="M4008" s="5"/>
      <c r="N4008" s="5"/>
      <c r="O4008" s="5"/>
      <c r="P4008" s="5"/>
      <c r="Q4008" s="5"/>
      <c r="R4008" s="5"/>
      <c r="S4008" s="5"/>
    </row>
    <row r="4009">
      <c r="A4009" s="5">
        <f>IFERROR(__xludf.DUMMYFUNCTION("""COMPUTED_VALUE"""),20808.0)</f>
        <v>20808</v>
      </c>
      <c r="B4009" s="5" t="str">
        <f>IFERROR(__xludf.DUMMYFUNCTION("""COMPUTED_VALUE"""),"هیأت")</f>
        <v>هیأت</v>
      </c>
      <c r="C4009" s="5" t="str">
        <f>IFERROR(__xludf.DUMMYFUNCTION("""COMPUTED_VALUE"""),"عماریاسر")</f>
        <v>عماریاسر</v>
      </c>
      <c r="D4009" s="5" t="str">
        <f>IFERROR(__xludf.DUMMYFUNCTION("""COMPUTED_VALUE"""),"قزوین")</f>
        <v>قزوین</v>
      </c>
      <c r="E4009" s="5" t="str">
        <f>IFERROR(__xludf.DUMMYFUNCTION("""COMPUTED_VALUE"""),"تاکستان")</f>
        <v>تاکستان</v>
      </c>
      <c r="F4009" s="5" t="str">
        <f>IFERROR(__xludf.DUMMYFUNCTION("""COMPUTED_VALUE"""),"اسفرورین")</f>
        <v>اسفرورین</v>
      </c>
      <c r="G4009" s="5"/>
      <c r="H4009" s="5"/>
      <c r="I4009" s="5"/>
      <c r="J4009" s="6" t="str">
        <f>IFERROR(__xludf.DUMMYFUNCTION("""COMPUTED_VALUE"""),"https://eitaa.com/ammaryaseresfarvarin")</f>
        <v>https://eitaa.com/ammaryaseresfarvarin</v>
      </c>
      <c r="K4009" s="5"/>
      <c r="L4009" s="5"/>
      <c r="M4009" s="5"/>
      <c r="N4009" s="5"/>
      <c r="O4009" s="5"/>
      <c r="P4009" s="5"/>
      <c r="Q4009" s="5"/>
      <c r="R4009" s="5"/>
      <c r="S4009" s="5"/>
    </row>
    <row r="4010">
      <c r="A4010" s="5">
        <f>IFERROR(__xludf.DUMMYFUNCTION("""COMPUTED_VALUE"""),10331.0)</f>
        <v>10331</v>
      </c>
      <c r="B4010" s="5" t="str">
        <f>IFERROR(__xludf.DUMMYFUNCTION("""COMPUTED_VALUE"""),"هیأت")</f>
        <v>هیأت</v>
      </c>
      <c r="C4010" s="5" t="str">
        <f>IFERROR(__xludf.DUMMYFUNCTION("""COMPUTED_VALUE"""),"محبان اهل بیت(ع)")</f>
        <v>محبان اهل بیت(ع)</v>
      </c>
      <c r="D4010" s="5" t="str">
        <f>IFERROR(__xludf.DUMMYFUNCTION("""COMPUTED_VALUE"""),"قزوین")</f>
        <v>قزوین</v>
      </c>
      <c r="E4010" s="5" t="str">
        <f>IFERROR(__xludf.DUMMYFUNCTION("""COMPUTED_VALUE"""),"تاکستان")</f>
        <v>تاکستان</v>
      </c>
      <c r="F4010" s="5" t="str">
        <f>IFERROR(__xludf.DUMMYFUNCTION("""COMPUTED_VALUE"""),"اسفرورین")</f>
        <v>اسفرورین</v>
      </c>
      <c r="G4010" s="5"/>
      <c r="H4010" s="6" t="str">
        <f>IFERROR(__xludf.DUMMYFUNCTION("""COMPUTED_VALUE"""),"https://www.instagram.com/mohebban.ahl.beyt/")</f>
        <v>https://www.instagram.com/mohebban.ahl.beyt/</v>
      </c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</row>
    <row r="4011">
      <c r="A4011" s="5"/>
      <c r="B4011" s="5" t="str">
        <f>IFERROR(__xludf.DUMMYFUNCTION("""COMPUTED_VALUE"""),"هیأت")</f>
        <v>هیأت</v>
      </c>
      <c r="C4011" s="5" t="str">
        <f>IFERROR(__xludf.DUMMYFUNCTION("""COMPUTED_VALUE"""),"عمار یاسر")</f>
        <v>عمار یاسر</v>
      </c>
      <c r="D4011" s="5" t="str">
        <f>IFERROR(__xludf.DUMMYFUNCTION("""COMPUTED_VALUE"""),"قزوین")</f>
        <v>قزوین</v>
      </c>
      <c r="E4011" s="5" t="str">
        <f>IFERROR(__xludf.DUMMYFUNCTION("""COMPUTED_VALUE"""),"تاکستان")</f>
        <v>تاکستان</v>
      </c>
      <c r="F4011" s="5" t="str">
        <f>IFERROR(__xludf.DUMMYFUNCTION("""COMPUTED_VALUE"""),"اسفرورین")</f>
        <v>اسفرورین</v>
      </c>
      <c r="G4011" s="5"/>
      <c r="H4011" s="6" t="str">
        <f>IFERROR(__xludf.DUMMYFUNCTION("""COMPUTED_VALUE"""),"https://www.instagram.com/ammaryaseresfarvarin/")</f>
        <v>https://www.instagram.com/ammaryaseresfarvarin/</v>
      </c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</row>
    <row r="4012">
      <c r="A4012" s="5">
        <f>IFERROR(__xludf.DUMMYFUNCTION("""COMPUTED_VALUE"""),23315.0)</f>
        <v>23315</v>
      </c>
      <c r="B4012" s="5" t="str">
        <f>IFERROR(__xludf.DUMMYFUNCTION("""COMPUTED_VALUE"""),"هیأت")</f>
        <v>هیأت</v>
      </c>
      <c r="C4012" s="5" t="str">
        <f>IFERROR(__xludf.DUMMYFUNCTION("""COMPUTED_VALUE"""),"الشهدا")</f>
        <v>الشهدا</v>
      </c>
      <c r="D4012" s="5" t="str">
        <f>IFERROR(__xludf.DUMMYFUNCTION("""COMPUTED_VALUE"""),"قزوین")</f>
        <v>قزوین</v>
      </c>
      <c r="E4012" s="5" t="str">
        <f>IFERROR(__xludf.DUMMYFUNCTION("""COMPUTED_VALUE"""),"تاکستان")</f>
        <v>تاکستان</v>
      </c>
      <c r="F4012" s="5" t="str">
        <f>IFERROR(__xludf.DUMMYFUNCTION("""COMPUTED_VALUE"""),"خرمدشت")</f>
        <v>خرمدشت</v>
      </c>
      <c r="G4012" s="5"/>
      <c r="H4012" s="5"/>
      <c r="I4012" s="5"/>
      <c r="J4012" s="6" t="str">
        <f>IFERROR(__xludf.DUMMYFUNCTION("""COMPUTED_VALUE"""),"https://eitaa.com/heyatoshohaada")</f>
        <v>https://eitaa.com/heyatoshohaada</v>
      </c>
      <c r="K4012" s="5"/>
      <c r="L4012" s="5"/>
      <c r="M4012" s="5"/>
      <c r="N4012" s="5"/>
      <c r="O4012" s="5"/>
      <c r="P4012" s="5"/>
      <c r="Q4012" s="5"/>
      <c r="R4012" s="5"/>
      <c r="S4012" s="5"/>
    </row>
    <row r="4013">
      <c r="A4013" s="5"/>
      <c r="B4013" s="5" t="str">
        <f>IFERROR(__xludf.DUMMYFUNCTION("""COMPUTED_VALUE"""),"هیأت")</f>
        <v>هیأت</v>
      </c>
      <c r="C4013" s="5" t="str">
        <f>IFERROR(__xludf.DUMMYFUNCTION("""COMPUTED_VALUE"""),"شهدای")</f>
        <v>شهدای</v>
      </c>
      <c r="D4013" s="5" t="str">
        <f>IFERROR(__xludf.DUMMYFUNCTION("""COMPUTED_VALUE"""),"قزوین")</f>
        <v>قزوین</v>
      </c>
      <c r="E4013" s="5" t="str">
        <f>IFERROR(__xludf.DUMMYFUNCTION("""COMPUTED_VALUE"""),"تاکستان")</f>
        <v>تاکستان</v>
      </c>
      <c r="F4013" s="5" t="str">
        <f>IFERROR(__xludf.DUMMYFUNCTION("""COMPUTED_VALUE"""),"خرمدشت")</f>
        <v>خرمدشت</v>
      </c>
      <c r="G4013" s="5"/>
      <c r="H4013" s="5"/>
      <c r="I4013" s="5"/>
      <c r="J4013" s="6" t="str">
        <f>IFERROR(__xludf.DUMMYFUNCTION("""COMPUTED_VALUE"""),"https://eitaa.com/heyatoshohaada")</f>
        <v>https://eitaa.com/heyatoshohaada</v>
      </c>
      <c r="K4013" s="5"/>
      <c r="L4013" s="5"/>
      <c r="M4013" s="5"/>
      <c r="N4013" s="5"/>
      <c r="O4013" s="5"/>
      <c r="P4013" s="5"/>
      <c r="Q4013" s="5"/>
      <c r="R4013" s="5"/>
      <c r="S4013" s="5"/>
    </row>
    <row r="4014">
      <c r="A4014" s="5"/>
      <c r="B4014" s="5" t="str">
        <f>IFERROR(__xludf.DUMMYFUNCTION("""COMPUTED_VALUE"""),"هیأت")</f>
        <v>هیأت</v>
      </c>
      <c r="C4014" s="5" t="str">
        <f>IFERROR(__xludf.DUMMYFUNCTION("""COMPUTED_VALUE"""),"زینبیه")</f>
        <v>زینبیه</v>
      </c>
      <c r="D4014" s="5" t="str">
        <f>IFERROR(__xludf.DUMMYFUNCTION("""COMPUTED_VALUE"""),"قزوین")</f>
        <v>قزوین</v>
      </c>
      <c r="E4014" s="5" t="str">
        <f>IFERROR(__xludf.DUMMYFUNCTION("""COMPUTED_VALUE"""),"تاکستان")</f>
        <v>تاکستان</v>
      </c>
      <c r="F4014" s="5" t="str">
        <f>IFERROR(__xludf.DUMMYFUNCTION("""COMPUTED_VALUE"""),"ضیاءآباد")</f>
        <v>ضیاءآباد</v>
      </c>
      <c r="G4014" s="5"/>
      <c r="H4014" s="6" t="str">
        <f>IFERROR(__xludf.DUMMYFUNCTION("""COMPUTED_VALUE"""),"https://www.instagram.com/zeinabei2/")</f>
        <v>https://www.instagram.com/zeinabei2/</v>
      </c>
      <c r="I4014" s="6" t="str">
        <f>IFERROR(__xludf.DUMMYFUNCTION("""COMPUTED_VALUE"""),"https://t.me/Zeinabei1")</f>
        <v>https://t.me/Zeinabei1</v>
      </c>
      <c r="J4014" s="5"/>
      <c r="K4014" s="5"/>
      <c r="L4014" s="5"/>
      <c r="M4014" s="5"/>
      <c r="N4014" s="5"/>
      <c r="O4014" s="5"/>
      <c r="P4014" s="5"/>
      <c r="Q4014" s="5"/>
      <c r="R4014" s="5"/>
      <c r="S4014" s="5"/>
    </row>
    <row r="4015">
      <c r="A4015" s="5">
        <f>IFERROR(__xludf.DUMMYFUNCTION("""COMPUTED_VALUE"""),19274.0)</f>
        <v>19274</v>
      </c>
      <c r="B4015" s="5" t="str">
        <f>IFERROR(__xludf.DUMMYFUNCTION("""COMPUTED_VALUE"""),"هیأت")</f>
        <v>هیأت</v>
      </c>
      <c r="C4015" s="5" t="str">
        <f>IFERROR(__xludf.DUMMYFUNCTION("""COMPUTED_VALUE"""),"حضرت فاطمه الزهرا (س)")</f>
        <v>حضرت فاطمه الزهرا (س)</v>
      </c>
      <c r="D4015" s="5" t="str">
        <f>IFERROR(__xludf.DUMMYFUNCTION("""COMPUTED_VALUE"""),"قزوین")</f>
        <v>قزوین</v>
      </c>
      <c r="E4015" s="5" t="str">
        <f>IFERROR(__xludf.DUMMYFUNCTION("""COMPUTED_VALUE"""),"تاکستان")</f>
        <v>تاکستان</v>
      </c>
      <c r="F4015" s="5" t="str">
        <f>IFERROR(__xludf.DUMMYFUNCTION("""COMPUTED_VALUE"""),"نرجه")</f>
        <v>نرجه</v>
      </c>
      <c r="G4015" s="5"/>
      <c r="H4015" s="6" t="str">
        <f>IFERROR(__xludf.DUMMYFUNCTION("""COMPUTED_VALUE"""),"https://www.instagram.com/heiat_fateme_zahra_narjeh/")</f>
        <v>https://www.instagram.com/heiat_fateme_zahra_narjeh/</v>
      </c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</row>
    <row r="4016">
      <c r="A4016" s="5">
        <f>IFERROR(__xludf.DUMMYFUNCTION("""COMPUTED_VALUE"""),10218.0)</f>
        <v>10218</v>
      </c>
      <c r="B4016" s="5" t="str">
        <f>IFERROR(__xludf.DUMMYFUNCTION("""COMPUTED_VALUE"""),"هیأت")</f>
        <v>هیأت</v>
      </c>
      <c r="C4016" s="5" t="str">
        <f>IFERROR(__xludf.DUMMYFUNCTION("""COMPUTED_VALUE"""),"مهدی آل محمد(عج) مسجد امام حسین(ع)")</f>
        <v>مهدی آل محمد(عج) مسجد امام حسین(ع)</v>
      </c>
      <c r="D4016" s="5" t="str">
        <f>IFERROR(__xludf.DUMMYFUNCTION("""COMPUTED_VALUE"""),"قزوین")</f>
        <v>قزوین</v>
      </c>
      <c r="E4016" s="5" t="str">
        <f>IFERROR(__xludf.DUMMYFUNCTION("""COMPUTED_VALUE"""),"تاکستان")</f>
        <v>تاکستان</v>
      </c>
      <c r="F4016" s="5"/>
      <c r="G4016" s="5"/>
      <c r="H4016" s="6" t="str">
        <f>IFERROR(__xludf.DUMMYFUNCTION("""COMPUTED_VALUE"""),"https://www.instagram.com/mahdialmohamad_")</f>
        <v>https://www.instagram.com/mahdialmohamad_</v>
      </c>
      <c r="I4016" s="5"/>
      <c r="J4016" s="6" t="str">
        <f>IFERROR(__xludf.DUMMYFUNCTION("""COMPUTED_VALUE"""),"https://eitaa.com/mahdialmohamad")</f>
        <v>https://eitaa.com/mahdialmohamad</v>
      </c>
      <c r="K4016" s="5"/>
      <c r="L4016" s="5"/>
      <c r="M4016" s="5"/>
      <c r="N4016" s="5"/>
      <c r="O4016" s="5"/>
      <c r="P4016" s="5"/>
      <c r="Q4016" s="5"/>
      <c r="R4016" s="5"/>
      <c r="S4016" s="5"/>
    </row>
    <row r="4017">
      <c r="A4017" s="5">
        <f>IFERROR(__xludf.DUMMYFUNCTION("""COMPUTED_VALUE"""),10143.0)</f>
        <v>10143</v>
      </c>
      <c r="B4017" s="5" t="str">
        <f>IFERROR(__xludf.DUMMYFUNCTION("""COMPUTED_VALUE"""),"هیأت")</f>
        <v>هیأت</v>
      </c>
      <c r="C4017" s="5" t="str">
        <f>IFERROR(__xludf.DUMMYFUNCTION("""COMPUTED_VALUE"""),"مکتب الزهرا (س) (رزمندگان اسلام)")</f>
        <v>مکتب الزهرا (س) (رزمندگان اسلام)</v>
      </c>
      <c r="D4017" s="5" t="str">
        <f>IFERROR(__xludf.DUMMYFUNCTION("""COMPUTED_VALUE"""),"قزوین")</f>
        <v>قزوین</v>
      </c>
      <c r="E4017" s="5" t="str">
        <f>IFERROR(__xludf.DUMMYFUNCTION("""COMPUTED_VALUE"""),"تاکستان")</f>
        <v>تاکستان</v>
      </c>
      <c r="F4017" s="5"/>
      <c r="G4017" s="5"/>
      <c r="H4017" s="5"/>
      <c r="I4017" s="6" t="str">
        <f>IFERROR(__xludf.DUMMYFUNCTION("""COMPUTED_VALUE"""),"https://t.me/mahfel_maktab_zahra")</f>
        <v>https://t.me/mahfel_maktab_zahra</v>
      </c>
      <c r="J4017" s="5"/>
      <c r="K4017" s="5"/>
      <c r="L4017" s="5"/>
      <c r="M4017" s="5"/>
      <c r="N4017" s="5"/>
      <c r="O4017" s="5"/>
      <c r="P4017" s="5"/>
      <c r="Q4017" s="5"/>
      <c r="R4017" s="5"/>
      <c r="S4017" s="5"/>
    </row>
    <row r="4018">
      <c r="A4018" s="5"/>
      <c r="B4018" s="5" t="str">
        <f>IFERROR(__xludf.DUMMYFUNCTION("""COMPUTED_VALUE"""),"هیأت")</f>
        <v>هیأت</v>
      </c>
      <c r="C4018" s="5" t="str">
        <f>IFERROR(__xludf.DUMMYFUNCTION("""COMPUTED_VALUE"""),"مکتب الزهرا")</f>
        <v>مکتب الزهرا</v>
      </c>
      <c r="D4018" s="5" t="str">
        <f>IFERROR(__xludf.DUMMYFUNCTION("""COMPUTED_VALUE"""),"قزوین")</f>
        <v>قزوین</v>
      </c>
      <c r="E4018" s="5" t="str">
        <f>IFERROR(__xludf.DUMMYFUNCTION("""COMPUTED_VALUE"""),"تاکستان")</f>
        <v>تاکستان</v>
      </c>
      <c r="F4018" s="5"/>
      <c r="G4018" s="5"/>
      <c r="H4018" s="6" t="str">
        <f>IFERROR(__xludf.DUMMYFUNCTION("""COMPUTED_VALUE"""),"https://www.instagram.com/mahfel_maktab_zahra/")</f>
        <v>https://www.instagram.com/mahfel_maktab_zahra/</v>
      </c>
      <c r="I4018" s="6" t="str">
        <f>IFERROR(__xludf.DUMMYFUNCTION("""COMPUTED_VALUE"""),"t.me/mahfel_maktab_zahra")</f>
        <v>t.me/mahfel_maktab_zahra</v>
      </c>
      <c r="J4018" s="5"/>
      <c r="K4018" s="5"/>
      <c r="L4018" s="5"/>
      <c r="M4018" s="5"/>
      <c r="N4018" s="5"/>
      <c r="O4018" s="5"/>
      <c r="P4018" s="5"/>
      <c r="Q4018" s="5"/>
      <c r="R4018" s="5"/>
      <c r="S4018" s="5"/>
    </row>
    <row r="4019">
      <c r="A4019" s="5"/>
      <c r="B4019" s="5" t="str">
        <f>IFERROR(__xludf.DUMMYFUNCTION("""COMPUTED_VALUE"""),"هیأت")</f>
        <v>هیأت</v>
      </c>
      <c r="C4019" s="5" t="str">
        <f>IFERROR(__xludf.DUMMYFUNCTION("""COMPUTED_VALUE"""),"مکتب العباس (ع)")</f>
        <v>مکتب العباس (ع)</v>
      </c>
      <c r="D4019" s="5" t="str">
        <f>IFERROR(__xludf.DUMMYFUNCTION("""COMPUTED_VALUE"""),"قزوین")</f>
        <v>قزوین</v>
      </c>
      <c r="E4019" s="5" t="str">
        <f>IFERROR(__xludf.DUMMYFUNCTION("""COMPUTED_VALUE"""),"تاکستان")</f>
        <v>تاکستان</v>
      </c>
      <c r="F4019" s="5"/>
      <c r="G4019" s="5"/>
      <c r="H4019" s="6" t="str">
        <f>IFERROR(__xludf.DUMMYFUNCTION("""COMPUTED_VALUE"""),"https://www.instagram.com/maktabalabbas133/channel/")</f>
        <v>https://www.instagram.com/maktabalabbas133/channel/</v>
      </c>
      <c r="I4019" s="6" t="str">
        <f>IFERROR(__xludf.DUMMYFUNCTION("""COMPUTED_VALUE"""),"t.me/maktabalabbas133")</f>
        <v>t.me/maktabalabbas133</v>
      </c>
      <c r="J4019" s="5"/>
      <c r="K4019" s="5"/>
      <c r="L4019" s="5"/>
      <c r="M4019" s="5"/>
      <c r="N4019" s="5"/>
      <c r="O4019" s="5"/>
      <c r="P4019" s="5"/>
      <c r="Q4019" s="5"/>
      <c r="R4019" s="5"/>
      <c r="S4019" s="5"/>
    </row>
    <row r="4020">
      <c r="A4020" s="5"/>
      <c r="B4020" s="5" t="str">
        <f>IFERROR(__xludf.DUMMYFUNCTION("""COMPUTED_VALUE"""),"هیأت")</f>
        <v>هیأت</v>
      </c>
      <c r="C4020" s="5" t="str">
        <f>IFERROR(__xludf.DUMMYFUNCTION("""COMPUTED_VALUE"""),"فدائیان حسین (ع)")</f>
        <v>فدائیان حسین (ع)</v>
      </c>
      <c r="D4020" s="5" t="str">
        <f>IFERROR(__xludf.DUMMYFUNCTION("""COMPUTED_VALUE"""),"قزوین")</f>
        <v>قزوین</v>
      </c>
      <c r="E4020" s="5" t="str">
        <f>IFERROR(__xludf.DUMMYFUNCTION("""COMPUTED_VALUE"""),"تاکستان")</f>
        <v>تاکستان</v>
      </c>
      <c r="F4020" s="5"/>
      <c r="G4020" s="5"/>
      <c r="H4020" s="6" t="str">
        <f>IFERROR(__xludf.DUMMYFUNCTION("""COMPUTED_VALUE"""),"https://www.instagram.com/fadayanehosien")</f>
        <v>https://www.instagram.com/fadayanehosien</v>
      </c>
      <c r="I4020" s="5" t="str">
        <f>IFERROR(__xludf.DUMMYFUNCTION("""COMPUTED_VALUE"""),"*")</f>
        <v>*</v>
      </c>
      <c r="J4020" s="5"/>
      <c r="K4020" s="5"/>
      <c r="L4020" s="5"/>
      <c r="M4020" s="5"/>
      <c r="N4020" s="5"/>
      <c r="O4020" s="5"/>
      <c r="P4020" s="5"/>
      <c r="Q4020" s="5"/>
      <c r="R4020" s="5"/>
      <c r="S4020" s="5"/>
    </row>
    <row r="4021">
      <c r="A4021" s="5"/>
      <c r="B4021" s="5" t="str">
        <f>IFERROR(__xludf.DUMMYFUNCTION("""COMPUTED_VALUE"""),"هیأت")</f>
        <v>هیأت</v>
      </c>
      <c r="C4021" s="5" t="str">
        <f>IFERROR(__xludf.DUMMYFUNCTION("""COMPUTED_VALUE"""),"فاطمیون")</f>
        <v>فاطمیون</v>
      </c>
      <c r="D4021" s="5" t="str">
        <f>IFERROR(__xludf.DUMMYFUNCTION("""COMPUTED_VALUE"""),"قزوین")</f>
        <v>قزوین</v>
      </c>
      <c r="E4021" s="5" t="str">
        <f>IFERROR(__xludf.DUMMYFUNCTION("""COMPUTED_VALUE"""),"تاکستان")</f>
        <v>تاکستان</v>
      </c>
      <c r="F4021" s="5"/>
      <c r="G4021" s="5"/>
      <c r="H4021" s="6" t="str">
        <f>IFERROR(__xludf.DUMMYFUNCTION("""COMPUTED_VALUE"""),"https://www.instagram.com/fatemiyoun_tak/")</f>
        <v>https://www.instagram.com/fatemiyoun_tak/</v>
      </c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</row>
    <row r="4022">
      <c r="A4022" s="5"/>
      <c r="B4022" s="5" t="str">
        <f>IFERROR(__xludf.DUMMYFUNCTION("""COMPUTED_VALUE"""),"هیأت")</f>
        <v>هیأت</v>
      </c>
      <c r="C4022" s="5" t="str">
        <f>IFERROR(__xludf.DUMMYFUNCTION("""COMPUTED_VALUE"""),"بین الحرمین")</f>
        <v>بین الحرمین</v>
      </c>
      <c r="D4022" s="5" t="str">
        <f>IFERROR(__xludf.DUMMYFUNCTION("""COMPUTED_VALUE"""),"قزوین")</f>
        <v>قزوین</v>
      </c>
      <c r="E4022" s="5" t="str">
        <f>IFERROR(__xludf.DUMMYFUNCTION("""COMPUTED_VALUE"""),"تاکستان")</f>
        <v>تاکستان</v>
      </c>
      <c r="F4022" s="5"/>
      <c r="G4022" s="5"/>
      <c r="H4022" s="6" t="str">
        <f>IFERROR(__xludf.DUMMYFUNCTION("""COMPUTED_VALUE"""),"https://www.instagram.com/bh_takestan/")</f>
        <v>https://www.instagram.com/bh_takestan/</v>
      </c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</row>
    <row r="4023">
      <c r="A4023" s="5"/>
      <c r="B4023" s="5" t="str">
        <f>IFERROR(__xludf.DUMMYFUNCTION("""COMPUTED_VALUE"""),"هیأت")</f>
        <v>هیأت</v>
      </c>
      <c r="C4023" s="5" t="str">
        <f>IFERROR(__xludf.DUMMYFUNCTION("""COMPUTED_VALUE"""),"میثاق با شهدا")</f>
        <v>میثاق با شهدا</v>
      </c>
      <c r="D4023" s="5" t="str">
        <f>IFERROR(__xludf.DUMMYFUNCTION("""COMPUTED_VALUE"""),"قزوین")</f>
        <v>قزوین</v>
      </c>
      <c r="E4023" s="5" t="str">
        <f>IFERROR(__xludf.DUMMYFUNCTION("""COMPUTED_VALUE"""),"تاکستان")</f>
        <v>تاکستان</v>
      </c>
      <c r="F4023" s="5"/>
      <c r="G4023" s="5"/>
      <c r="H4023" s="6" t="str">
        <f>IFERROR(__xludf.DUMMYFUNCTION("""COMPUTED_VALUE"""),"https://www.instagram.com/heyat_misagh_ba_shohada/")</f>
        <v>https://www.instagram.com/heyat_misagh_ba_shohada/</v>
      </c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</row>
    <row r="4024">
      <c r="A4024" s="5"/>
      <c r="B4024" s="5" t="str">
        <f>IFERROR(__xludf.DUMMYFUNCTION("""COMPUTED_VALUE"""),"هیأت")</f>
        <v>هیأت</v>
      </c>
      <c r="C4024" s="5" t="str">
        <f>IFERROR(__xludf.DUMMYFUNCTION("""COMPUTED_VALUE"""),"طریق الجنة")</f>
        <v>طریق الجنة</v>
      </c>
      <c r="D4024" s="5" t="str">
        <f>IFERROR(__xludf.DUMMYFUNCTION("""COMPUTED_VALUE"""),"قزوین")</f>
        <v>قزوین</v>
      </c>
      <c r="E4024" s="5" t="str">
        <f>IFERROR(__xludf.DUMMYFUNCTION("""COMPUTED_VALUE"""),"تاکستان")</f>
        <v>تاکستان</v>
      </c>
      <c r="F4024" s="5"/>
      <c r="G4024" s="5"/>
      <c r="H4024" s="6" t="str">
        <f>IFERROR(__xludf.DUMMYFUNCTION("""COMPUTED_VALUE"""),"https://www.instagram.com/tarigh.aljane/")</f>
        <v>https://www.instagram.com/tarigh.aljane/</v>
      </c>
      <c r="I4024" s="6" t="str">
        <f>IFERROR(__xludf.DUMMYFUNCTION("""COMPUTED_VALUE"""),"https://telegram.me/Tarigh_aljane")</f>
        <v>https://telegram.me/Tarigh_aljane</v>
      </c>
      <c r="J4024" s="5"/>
      <c r="K4024" s="5"/>
      <c r="L4024" s="5"/>
      <c r="M4024" s="5"/>
      <c r="N4024" s="5"/>
      <c r="O4024" s="5"/>
      <c r="P4024" s="5"/>
      <c r="Q4024" s="5"/>
      <c r="R4024" s="5"/>
      <c r="S4024" s="5"/>
    </row>
    <row r="4025">
      <c r="A4025" s="5"/>
      <c r="B4025" s="5" t="str">
        <f>IFERROR(__xludf.DUMMYFUNCTION("""COMPUTED_VALUE"""),"هیأت")</f>
        <v>هیأت</v>
      </c>
      <c r="C4025" s="5" t="str">
        <f>IFERROR(__xludf.DUMMYFUNCTION("""COMPUTED_VALUE"""),"بقیة الله ارواحنا له الفدا ")</f>
        <v>بقیة الله ارواحنا له الفدا </v>
      </c>
      <c r="D4025" s="5" t="str">
        <f>IFERROR(__xludf.DUMMYFUNCTION("""COMPUTED_VALUE"""),"قزوین")</f>
        <v>قزوین</v>
      </c>
      <c r="E4025" s="5" t="str">
        <f>IFERROR(__xludf.DUMMYFUNCTION("""COMPUTED_VALUE"""),"تاکستان")</f>
        <v>تاکستان</v>
      </c>
      <c r="F4025" s="5"/>
      <c r="G4025" s="5"/>
      <c r="H4025" s="6" t="str">
        <f>IFERROR(__xludf.DUMMYFUNCTION("""COMPUTED_VALUE"""),"https://www.instagram.com/heyat_bageyatallah/")</f>
        <v>https://www.instagram.com/heyat_bageyatallah/</v>
      </c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</row>
    <row r="4026">
      <c r="A4026" s="5"/>
      <c r="B4026" s="5" t="str">
        <f>IFERROR(__xludf.DUMMYFUNCTION("""COMPUTED_VALUE"""),"هیأت")</f>
        <v>هیأت</v>
      </c>
      <c r="C4026" s="5" t="str">
        <f>IFERROR(__xludf.DUMMYFUNCTION("""COMPUTED_VALUE"""),"مسجد امام حسن عسکری(ع) ")</f>
        <v>مسجد امام حسن عسکری(ع) </v>
      </c>
      <c r="D4026" s="5" t="str">
        <f>IFERROR(__xludf.DUMMYFUNCTION("""COMPUTED_VALUE"""),"قزوین")</f>
        <v>قزوین</v>
      </c>
      <c r="E4026" s="5" t="str">
        <f>IFERROR(__xludf.DUMMYFUNCTION("""COMPUTED_VALUE"""),"قزوین")</f>
        <v>قزوین</v>
      </c>
      <c r="F4026" s="5" t="str">
        <f>IFERROR(__xludf.DUMMYFUNCTION("""COMPUTED_VALUE"""),"(شهرک کوثر)")</f>
        <v>(شهرک کوثر)</v>
      </c>
      <c r="G4026" s="5"/>
      <c r="H4026" s="5"/>
      <c r="I4026" s="5"/>
      <c r="J4026" s="6" t="str">
        <f>IFERROR(__xludf.DUMMYFUNCTION("""COMPUTED_VALUE"""),"https://eitaa.com/MasjedjameEmamHasanAskary")</f>
        <v>https://eitaa.com/MasjedjameEmamHasanAskary</v>
      </c>
      <c r="K4026" s="5"/>
      <c r="L4026" s="5"/>
      <c r="M4026" s="5"/>
      <c r="N4026" s="5"/>
      <c r="O4026" s="5"/>
      <c r="P4026" s="5"/>
      <c r="Q4026" s="5"/>
      <c r="R4026" s="5"/>
      <c r="S4026" s="5"/>
    </row>
    <row r="4027">
      <c r="A4027" s="5">
        <f>IFERROR(__xludf.DUMMYFUNCTION("""COMPUTED_VALUE"""),10418.0)</f>
        <v>10418</v>
      </c>
      <c r="B4027" s="5" t="str">
        <f>IFERROR(__xludf.DUMMYFUNCTION("""COMPUTED_VALUE"""),"هیأت")</f>
        <v>هیأت</v>
      </c>
      <c r="C4027" s="5" t="str">
        <f>IFERROR(__xludf.DUMMYFUNCTION("""COMPUTED_VALUE"""),"عشاق المهدی (عج)")</f>
        <v>عشاق المهدی (عج)</v>
      </c>
      <c r="D4027" s="5" t="str">
        <f>IFERROR(__xludf.DUMMYFUNCTION("""COMPUTED_VALUE"""),"قزوین")</f>
        <v>قزوین</v>
      </c>
      <c r="E4027" s="5" t="str">
        <f>IFERROR(__xludf.DUMMYFUNCTION("""COMPUTED_VALUE"""),"قزوین")</f>
        <v>قزوین</v>
      </c>
      <c r="F4027" s="5" t="str">
        <f>IFERROR(__xludf.DUMMYFUNCTION("""COMPUTED_VALUE"""),"اقبالیه")</f>
        <v>اقبالیه</v>
      </c>
      <c r="G4027" s="5"/>
      <c r="H4027" s="6" t="str">
        <f>IFERROR(__xludf.DUMMYFUNCTION("""COMPUTED_VALUE"""),"https://www.instagram.com/oshaqh_almahdi/")</f>
        <v>https://www.instagram.com/oshaqh_almahdi/</v>
      </c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</row>
    <row r="4028">
      <c r="A4028" s="5">
        <f>IFERROR(__xludf.DUMMYFUNCTION("""COMPUTED_VALUE"""),10215.0)</f>
        <v>10215</v>
      </c>
      <c r="B4028" s="5" t="str">
        <f>IFERROR(__xludf.DUMMYFUNCTION("""COMPUTED_VALUE"""),"هیأت")</f>
        <v>هیأت</v>
      </c>
      <c r="C4028" s="5" t="str">
        <f>IFERROR(__xludf.DUMMYFUNCTION("""COMPUTED_VALUE"""),"مکتب خادمین حسینی (مجمع الحسنین)")</f>
        <v>مکتب خادمین حسینی (مجمع الحسنین)</v>
      </c>
      <c r="D4028" s="5" t="str">
        <f>IFERROR(__xludf.DUMMYFUNCTION("""COMPUTED_VALUE"""),"قزوین")</f>
        <v>قزوین</v>
      </c>
      <c r="E4028" s="5" t="str">
        <f>IFERROR(__xludf.DUMMYFUNCTION("""COMPUTED_VALUE"""),"قزوین")</f>
        <v>قزوین</v>
      </c>
      <c r="F4028" s="5" t="str">
        <f>IFERROR(__xludf.DUMMYFUNCTION("""COMPUTED_VALUE"""),"اقبالیه")</f>
        <v>اقبالیه</v>
      </c>
      <c r="G4028" s="5"/>
      <c r="H4028" s="6" t="str">
        <f>IFERROR(__xludf.DUMMYFUNCTION("""COMPUTED_VALUE"""),"https://www.instagram.com/majmaolhasanin/")</f>
        <v>https://www.instagram.com/majmaolhasanin/</v>
      </c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</row>
    <row r="4029">
      <c r="A4029" s="5">
        <f>IFERROR(__xludf.DUMMYFUNCTION("""COMPUTED_VALUE"""),10189.0)</f>
        <v>10189</v>
      </c>
      <c r="B4029" s="5" t="str">
        <f>IFERROR(__xludf.DUMMYFUNCTION("""COMPUTED_VALUE"""),"هیأت")</f>
        <v>هیأت</v>
      </c>
      <c r="C4029" s="5" t="str">
        <f>IFERROR(__xludf.DUMMYFUNCTION("""COMPUTED_VALUE"""),"پیروان ولایت مسجد جهارده معصوم(ع)")</f>
        <v>پیروان ولایت مسجد جهارده معصوم(ع)</v>
      </c>
      <c r="D4029" s="5" t="str">
        <f>IFERROR(__xludf.DUMMYFUNCTION("""COMPUTED_VALUE"""),"قزوین")</f>
        <v>قزوین</v>
      </c>
      <c r="E4029" s="5" t="str">
        <f>IFERROR(__xludf.DUMMYFUNCTION("""COMPUTED_VALUE"""),"قزوین")</f>
        <v>قزوین</v>
      </c>
      <c r="F4029" s="5" t="str">
        <f>IFERROR(__xludf.DUMMYFUNCTION("""COMPUTED_VALUE"""),"اقبالیه")</f>
        <v>اقبالیه</v>
      </c>
      <c r="G4029" s="5"/>
      <c r="H4029" s="5"/>
      <c r="I4029" s="5"/>
      <c r="J4029" s="6" t="str">
        <f>IFERROR(__xludf.DUMMYFUNCTION("""COMPUTED_VALUE"""),"https://eitaa.com/peyrovanvelayat_egbaliye")</f>
        <v>https://eitaa.com/peyrovanvelayat_egbaliye</v>
      </c>
      <c r="K4029" s="5"/>
      <c r="L4029" s="5"/>
      <c r="M4029" s="5"/>
      <c r="N4029" s="5"/>
      <c r="O4029" s="5"/>
      <c r="P4029" s="5"/>
      <c r="Q4029" s="5"/>
      <c r="R4029" s="5"/>
      <c r="S4029" s="5"/>
    </row>
    <row r="4030">
      <c r="A4030" s="5">
        <f>IFERROR(__xludf.DUMMYFUNCTION("""COMPUTED_VALUE"""),10159.0)</f>
        <v>10159</v>
      </c>
      <c r="B4030" s="5" t="str">
        <f>IFERROR(__xludf.DUMMYFUNCTION("""COMPUTED_VALUE"""),"هیأت")</f>
        <v>هیأت</v>
      </c>
      <c r="C4030" s="5" t="str">
        <f>IFERROR(__xludf.DUMMYFUNCTION("""COMPUTED_VALUE"""),"الشهدا")</f>
        <v>الشهدا</v>
      </c>
      <c r="D4030" s="5" t="str">
        <f>IFERROR(__xludf.DUMMYFUNCTION("""COMPUTED_VALUE"""),"قزوین")</f>
        <v>قزوین</v>
      </c>
      <c r="E4030" s="5" t="str">
        <f>IFERROR(__xludf.DUMMYFUNCTION("""COMPUTED_VALUE"""),"قزوین")</f>
        <v>قزوین</v>
      </c>
      <c r="F4030" s="5" t="str">
        <f>IFERROR(__xludf.DUMMYFUNCTION("""COMPUTED_VALUE"""),"اقبالیه")</f>
        <v>اقبالیه</v>
      </c>
      <c r="G4030" s="5"/>
      <c r="H4030" s="6" t="str">
        <f>IFERROR(__xludf.DUMMYFUNCTION("""COMPUTED_VALUE"""),"https://www.instagram.com/heiatoshohada92/")</f>
        <v>https://www.instagram.com/heiatoshohada92/</v>
      </c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</row>
    <row r="4031">
      <c r="A4031" s="5"/>
      <c r="B4031" s="5" t="str">
        <f>IFERROR(__xludf.DUMMYFUNCTION("""COMPUTED_VALUE"""),"هیأت")</f>
        <v>هیأت</v>
      </c>
      <c r="C4031" s="5" t="str">
        <f>IFERROR(__xludf.DUMMYFUNCTION("""COMPUTED_VALUE"""),"شهدای گمنام")</f>
        <v>شهدای گمنام</v>
      </c>
      <c r="D4031" s="5" t="str">
        <f>IFERROR(__xludf.DUMMYFUNCTION("""COMPUTED_VALUE"""),"قزوین")</f>
        <v>قزوین</v>
      </c>
      <c r="E4031" s="5" t="str">
        <f>IFERROR(__xludf.DUMMYFUNCTION("""COMPUTED_VALUE"""),"قزوین")</f>
        <v>قزوین</v>
      </c>
      <c r="F4031" s="5" t="str">
        <f>IFERROR(__xludf.DUMMYFUNCTION("""COMPUTED_VALUE"""),"اقبالیه")</f>
        <v>اقبالیه</v>
      </c>
      <c r="G4031" s="5"/>
      <c r="H4031" s="6" t="str">
        <f>IFERROR(__xludf.DUMMYFUNCTION("""COMPUTED_VALUE"""),"https://www.instagram.com/gomnam__1394/")</f>
        <v>https://www.instagram.com/gomnam__1394/</v>
      </c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</row>
    <row r="4032">
      <c r="A4032" s="5"/>
      <c r="B4032" s="5" t="str">
        <f>IFERROR(__xludf.DUMMYFUNCTION("""COMPUTED_VALUE"""),"هیأت")</f>
        <v>هیأت</v>
      </c>
      <c r="C4032" s="5" t="str">
        <f>IFERROR(__xludf.DUMMYFUNCTION("""COMPUTED_VALUE"""),"زینبیون")</f>
        <v>زینبیون</v>
      </c>
      <c r="D4032" s="5" t="str">
        <f>IFERROR(__xludf.DUMMYFUNCTION("""COMPUTED_VALUE"""),"قزوین")</f>
        <v>قزوین</v>
      </c>
      <c r="E4032" s="5" t="str">
        <f>IFERROR(__xludf.DUMMYFUNCTION("""COMPUTED_VALUE"""),"قزوین")</f>
        <v>قزوین</v>
      </c>
      <c r="F4032" s="5" t="str">
        <f>IFERROR(__xludf.DUMMYFUNCTION("""COMPUTED_VALUE"""),"اقبالیه")</f>
        <v>اقبالیه</v>
      </c>
      <c r="G4032" s="5"/>
      <c r="H4032" s="6" t="str">
        <f>IFERROR(__xludf.DUMMYFUNCTION("""COMPUTED_VALUE"""),"https://www.instagram.com/zeiynabyon")</f>
        <v>https://www.instagram.com/zeiynabyon</v>
      </c>
      <c r="I4032" s="6" t="str">
        <f>IFERROR(__xludf.DUMMYFUNCTION("""COMPUTED_VALUE"""),"https://telegram.dog/zeiynabyon1441")</f>
        <v>https://telegram.dog/zeiynabyon1441</v>
      </c>
      <c r="J4032" s="5"/>
      <c r="K4032" s="5"/>
      <c r="L4032" s="5"/>
      <c r="M4032" s="5"/>
      <c r="N4032" s="5"/>
      <c r="O4032" s="5"/>
      <c r="P4032" s="5"/>
      <c r="Q4032" s="5"/>
      <c r="R4032" s="5"/>
      <c r="S4032" s="5"/>
    </row>
    <row r="4033">
      <c r="A4033" s="5"/>
      <c r="B4033" s="5" t="str">
        <f>IFERROR(__xludf.DUMMYFUNCTION("""COMPUTED_VALUE"""),"هیأت")</f>
        <v>هیأت</v>
      </c>
      <c r="C4033" s="5" t="str">
        <f>IFERROR(__xludf.DUMMYFUNCTION("""COMPUTED_VALUE"""),"فاطمه الزهرا")</f>
        <v>فاطمه الزهرا</v>
      </c>
      <c r="D4033" s="5" t="str">
        <f>IFERROR(__xludf.DUMMYFUNCTION("""COMPUTED_VALUE"""),"قزوین")</f>
        <v>قزوین</v>
      </c>
      <c r="E4033" s="5" t="str">
        <f>IFERROR(__xludf.DUMMYFUNCTION("""COMPUTED_VALUE"""),"قزوین")</f>
        <v>قزوین</v>
      </c>
      <c r="F4033" s="5" t="str">
        <f>IFERROR(__xludf.DUMMYFUNCTION("""COMPUTED_VALUE"""),"اقبالیه")</f>
        <v>اقبالیه</v>
      </c>
      <c r="G4033" s="5"/>
      <c r="H4033" s="6" t="str">
        <f>IFERROR(__xludf.DUMMYFUNCTION("""COMPUTED_VALUE"""),"https://www.instagram.com/asgari_martyr/")</f>
        <v>https://www.instagram.com/asgari_martyr/</v>
      </c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</row>
    <row r="4034">
      <c r="A4034" s="5"/>
      <c r="B4034" s="5" t="str">
        <f>IFERROR(__xludf.DUMMYFUNCTION("""COMPUTED_VALUE"""),"هیأت")</f>
        <v>هیأت</v>
      </c>
      <c r="C4034" s="5" t="str">
        <f>IFERROR(__xludf.DUMMYFUNCTION("""COMPUTED_VALUE"""),"پیروان ولایت")</f>
        <v>پیروان ولایت</v>
      </c>
      <c r="D4034" s="5" t="str">
        <f>IFERROR(__xludf.DUMMYFUNCTION("""COMPUTED_VALUE"""),"قزوین")</f>
        <v>قزوین</v>
      </c>
      <c r="E4034" s="5" t="str">
        <f>IFERROR(__xludf.DUMMYFUNCTION("""COMPUTED_VALUE"""),"قزوین")</f>
        <v>قزوین</v>
      </c>
      <c r="F4034" s="5" t="str">
        <f>IFERROR(__xludf.DUMMYFUNCTION("""COMPUTED_VALUE"""),"اقبالیه")</f>
        <v>اقبالیه</v>
      </c>
      <c r="G4034" s="5"/>
      <c r="H4034" s="6" t="str">
        <f>IFERROR(__xludf.DUMMYFUNCTION("""COMPUTED_VALUE"""),"https://www.instagram.com/peyrovanvelayat_egbaliye/")</f>
        <v>https://www.instagram.com/peyrovanvelayat_egbaliye/</v>
      </c>
      <c r="I4034" s="6" t="str">
        <f>IFERROR(__xludf.DUMMYFUNCTION("""COMPUTED_VALUE"""),"https://t.me/HeyatepeyrovaneVelayat96")</f>
        <v>https://t.me/HeyatepeyrovaneVelayat96</v>
      </c>
      <c r="J4034" s="5"/>
      <c r="K4034" s="5"/>
      <c r="L4034" s="5"/>
      <c r="M4034" s="5"/>
      <c r="N4034" s="5"/>
      <c r="O4034" s="5"/>
      <c r="P4034" s="5"/>
      <c r="Q4034" s="5"/>
      <c r="R4034" s="5"/>
      <c r="S4034" s="5"/>
    </row>
    <row r="4035">
      <c r="A4035" s="5"/>
      <c r="B4035" s="5" t="str">
        <f>IFERROR(__xludf.DUMMYFUNCTION("""COMPUTED_VALUE"""),"هیأت")</f>
        <v>هیأت</v>
      </c>
      <c r="C4035" s="5" t="str">
        <f>IFERROR(__xludf.DUMMYFUNCTION("""COMPUTED_VALUE"""),"مکتب خادمین الحسین(ع)")</f>
        <v>مکتب خادمین الحسین(ع)</v>
      </c>
      <c r="D4035" s="5" t="str">
        <f>IFERROR(__xludf.DUMMYFUNCTION("""COMPUTED_VALUE"""),"قزوین")</f>
        <v>قزوین</v>
      </c>
      <c r="E4035" s="5" t="str">
        <f>IFERROR(__xludf.DUMMYFUNCTION("""COMPUTED_VALUE"""),"قزوین")</f>
        <v>قزوین</v>
      </c>
      <c r="F4035" s="5" t="str">
        <f>IFERROR(__xludf.DUMMYFUNCTION("""COMPUTED_VALUE"""),"اقبالیه")</f>
        <v>اقبالیه</v>
      </c>
      <c r="G4035" s="5">
        <f>IFERROR(__xludf.DUMMYFUNCTION("""COMPUTED_VALUE"""),1.0)</f>
        <v>1</v>
      </c>
      <c r="H4035" s="6" t="str">
        <f>IFERROR(__xludf.DUMMYFUNCTION("""COMPUTED_VALUE"""),"https://www.instagram.com/maktab1382/")</f>
        <v>https://www.instagram.com/maktab1382/</v>
      </c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</row>
    <row r="4036">
      <c r="A4036" s="5"/>
      <c r="B4036" s="5" t="str">
        <f>IFERROR(__xludf.DUMMYFUNCTION("""COMPUTED_VALUE"""),"هیأت")</f>
        <v>هیأت</v>
      </c>
      <c r="C4036" s="5" t="str">
        <f>IFERROR(__xludf.DUMMYFUNCTION("""COMPUTED_VALUE"""),"مکتب الرضا")</f>
        <v>مکتب الرضا</v>
      </c>
      <c r="D4036" s="5" t="str">
        <f>IFERROR(__xludf.DUMMYFUNCTION("""COMPUTED_VALUE"""),"قزوین")</f>
        <v>قزوین</v>
      </c>
      <c r="E4036" s="5" t="str">
        <f>IFERROR(__xludf.DUMMYFUNCTION("""COMPUTED_VALUE"""),"قزوین")</f>
        <v>قزوین</v>
      </c>
      <c r="F4036" s="5" t="str">
        <f>IFERROR(__xludf.DUMMYFUNCTION("""COMPUTED_VALUE"""),"اقبالیه")</f>
        <v>اقبالیه</v>
      </c>
      <c r="G4036" s="5"/>
      <c r="H4036" s="6" t="str">
        <f>IFERROR(__xludf.DUMMYFUNCTION("""COMPUTED_VALUE"""),"https://www.instagram.com/maktabreza75/")</f>
        <v>https://www.instagram.com/maktabreza75/</v>
      </c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</row>
    <row r="4037">
      <c r="A4037" s="5"/>
      <c r="B4037" s="5" t="str">
        <f>IFERROR(__xludf.DUMMYFUNCTION("""COMPUTED_VALUE"""),"هیأت")</f>
        <v>هیأت</v>
      </c>
      <c r="C4037" s="5" t="str">
        <f>IFERROR(__xludf.DUMMYFUNCTION("""COMPUTED_VALUE"""),"چهارده معصوم")</f>
        <v>چهارده معصوم</v>
      </c>
      <c r="D4037" s="5" t="str">
        <f>IFERROR(__xludf.DUMMYFUNCTION("""COMPUTED_VALUE"""),"قزوین")</f>
        <v>قزوین</v>
      </c>
      <c r="E4037" s="5" t="str">
        <f>IFERROR(__xludf.DUMMYFUNCTION("""COMPUTED_VALUE"""),"قزوین")</f>
        <v>قزوین</v>
      </c>
      <c r="F4037" s="5" t="str">
        <f>IFERROR(__xludf.DUMMYFUNCTION("""COMPUTED_VALUE"""),"اقبالیه")</f>
        <v>اقبالیه</v>
      </c>
      <c r="G4037" s="5"/>
      <c r="H4037" s="6" t="str">
        <f>IFERROR(__xludf.DUMMYFUNCTION("""COMPUTED_VALUE"""),"https://www.instagram.com/heiat_14masom_eghbaliye/")</f>
        <v>https://www.instagram.com/heiat_14masom_eghbaliye/</v>
      </c>
      <c r="I4037" s="5"/>
      <c r="J4037" s="6" t="str">
        <f>IFERROR(__xludf.DUMMYFUNCTION("""COMPUTED_VALUE"""),"https://eitaa.com/heiat_14masom_eghbaliiye")</f>
        <v>https://eitaa.com/heiat_14masom_eghbaliiye</v>
      </c>
      <c r="K4037" s="5"/>
      <c r="L4037" s="5"/>
      <c r="M4037" s="5"/>
      <c r="N4037" s="5"/>
      <c r="O4037" s="5"/>
      <c r="P4037" s="5"/>
      <c r="Q4037" s="5"/>
      <c r="R4037" s="5"/>
      <c r="S4037" s="5"/>
    </row>
    <row r="4038">
      <c r="A4038" s="5"/>
      <c r="B4038" s="5" t="str">
        <f>IFERROR(__xludf.DUMMYFUNCTION("""COMPUTED_VALUE"""),"هیأت دانشجویی")</f>
        <v>هیأت دانشجویی</v>
      </c>
      <c r="C4038" s="5" t="str">
        <f>IFERROR(__xludf.DUMMYFUNCTION("""COMPUTED_VALUE"""),"محبین اهل‌بیت‌ (ع)")</f>
        <v>محبین اهل‌بیت‌ (ع)</v>
      </c>
      <c r="D4038" s="5" t="str">
        <f>IFERROR(__xludf.DUMMYFUNCTION("""COMPUTED_VALUE"""),"قزوین")</f>
        <v>قزوین</v>
      </c>
      <c r="E4038" s="5" t="str">
        <f>IFERROR(__xludf.DUMMYFUNCTION("""COMPUTED_VALUE"""),"قزوین")</f>
        <v>قزوین</v>
      </c>
      <c r="F4038" s="5" t="str">
        <f>IFERROR(__xludf.DUMMYFUNCTION("""COMPUTED_VALUE"""),"دانشگاه بین المللی امام خمینی")</f>
        <v>دانشگاه بین المللی امام خمینی</v>
      </c>
      <c r="G4038" s="5"/>
      <c r="H4038" s="6" t="str">
        <f>IFERROR(__xludf.DUMMYFUNCTION("""COMPUTED_VALUE"""),"https://www.instagram.com/mohebbin.info/")</f>
        <v>https://www.instagram.com/mohebbin.info/</v>
      </c>
      <c r="I4038" s="6" t="str">
        <f>IFERROR(__xludf.DUMMYFUNCTION("""COMPUTED_VALUE"""),"https://t.me/mohebbin_info")</f>
        <v>https://t.me/mohebbin_info</v>
      </c>
      <c r="J4038" s="5"/>
      <c r="K4038" s="5"/>
      <c r="L4038" s="5"/>
      <c r="M4038" s="5"/>
      <c r="N4038" s="5"/>
      <c r="O4038" s="5"/>
      <c r="P4038" s="5"/>
      <c r="Q4038" s="5"/>
      <c r="R4038" s="5"/>
      <c r="S4038" s="5"/>
    </row>
    <row r="4039">
      <c r="A4039" s="5"/>
      <c r="B4039" s="5" t="str">
        <f>IFERROR(__xludf.DUMMYFUNCTION("""COMPUTED_VALUE"""),"هیأت دانشجویی")</f>
        <v>هیأت دانشجویی</v>
      </c>
      <c r="C4039" s="5" t="str">
        <f>IFERROR(__xludf.DUMMYFUNCTION("""COMPUTED_VALUE"""),"شهدای گمنام")</f>
        <v>شهدای گمنام</v>
      </c>
      <c r="D4039" s="5" t="str">
        <f>IFERROR(__xludf.DUMMYFUNCTION("""COMPUTED_VALUE"""),"قزوین")</f>
        <v>قزوین</v>
      </c>
      <c r="E4039" s="5" t="str">
        <f>IFERROR(__xludf.DUMMYFUNCTION("""COMPUTED_VALUE"""),"قزوین")</f>
        <v>قزوین</v>
      </c>
      <c r="F4039" s="5" t="str">
        <f>IFERROR(__xludf.DUMMYFUNCTION("""COMPUTED_VALUE"""),"دانشگاه علوم پزشكي")</f>
        <v>دانشگاه علوم پزشكي</v>
      </c>
      <c r="G4039" s="5"/>
      <c r="H4039" s="6" t="str">
        <f>IFERROR(__xludf.DUMMYFUNCTION("""COMPUTED_VALUE"""),"https://www.instagram.com/heyat.qums/")</f>
        <v>https://www.instagram.com/heyat.qums/</v>
      </c>
      <c r="I4039" s="6" t="str">
        <f>IFERROR(__xludf.DUMMYFUNCTION("""COMPUTED_VALUE"""),"https://t.me/heyatqums")</f>
        <v>https://t.me/heyatqums</v>
      </c>
      <c r="J4039" s="5"/>
      <c r="K4039" s="5"/>
      <c r="L4039" s="5"/>
      <c r="M4039" s="5"/>
      <c r="N4039" s="5"/>
      <c r="O4039" s="5"/>
      <c r="P4039" s="5"/>
      <c r="Q4039" s="5"/>
      <c r="R4039" s="5"/>
      <c r="S4039" s="5"/>
    </row>
    <row r="4040">
      <c r="A4040" s="5"/>
      <c r="B4040" s="5" t="str">
        <f>IFERROR(__xludf.DUMMYFUNCTION("""COMPUTED_VALUE"""),"هیأت")</f>
        <v>هیأت</v>
      </c>
      <c r="C4040" s="5" t="str">
        <f>IFERROR(__xludf.DUMMYFUNCTION("""COMPUTED_VALUE"""),"جنت الحسن علیه السلام")</f>
        <v>جنت الحسن علیه السلام</v>
      </c>
      <c r="D4040" s="5" t="str">
        <f>IFERROR(__xludf.DUMMYFUNCTION("""COMPUTED_VALUE"""),"قزوین")</f>
        <v>قزوین</v>
      </c>
      <c r="E4040" s="5" t="str">
        <f>IFERROR(__xludf.DUMMYFUNCTION("""COMPUTED_VALUE"""),"قزوین")</f>
        <v>قزوین</v>
      </c>
      <c r="F4040" s="5" t="str">
        <f>IFERROR(__xludf.DUMMYFUNCTION("""COMPUTED_VALUE"""),"رزجرد")</f>
        <v>رزجرد</v>
      </c>
      <c r="G4040" s="5"/>
      <c r="H4040" s="6" t="str">
        <f>IFERROR(__xludf.DUMMYFUNCTION("""COMPUTED_VALUE"""),"https://www.instagram.com/janathasan_razjerd/")</f>
        <v>https://www.instagram.com/janathasan_razjerd/</v>
      </c>
      <c r="I4040" s="6" t="str">
        <f>IFERROR(__xludf.DUMMYFUNCTION("""COMPUTED_VALUE"""),"https://t.me/janathasan2")</f>
        <v>https://t.me/janathasan2</v>
      </c>
      <c r="J4040" s="5"/>
      <c r="K4040" s="5"/>
      <c r="L4040" s="5"/>
      <c r="M4040" s="5"/>
      <c r="N4040" s="5"/>
      <c r="O4040" s="5"/>
      <c r="P4040" s="5"/>
      <c r="Q4040" s="5"/>
      <c r="R4040" s="5"/>
      <c r="S4040" s="5"/>
    </row>
    <row r="4041">
      <c r="A4041" s="5"/>
      <c r="B4041" s="5" t="str">
        <f>IFERROR(__xludf.DUMMYFUNCTION("""COMPUTED_VALUE"""),"هیأت")</f>
        <v>هیأت</v>
      </c>
      <c r="C4041" s="5" t="str">
        <f>IFERROR(__xludf.DUMMYFUNCTION("""COMPUTED_VALUE"""),"محبین اهل‌ بیت")</f>
        <v>محبین اهل‌ بیت</v>
      </c>
      <c r="D4041" s="5" t="str">
        <f>IFERROR(__xludf.DUMMYFUNCTION("""COMPUTED_VALUE"""),"قزوین")</f>
        <v>قزوین</v>
      </c>
      <c r="E4041" s="5" t="str">
        <f>IFERROR(__xludf.DUMMYFUNCTION("""COMPUTED_VALUE"""),"قزوین")</f>
        <v>قزوین</v>
      </c>
      <c r="F4041" s="5" t="str">
        <f>IFERROR(__xludf.DUMMYFUNCTION("""COMPUTED_VALUE"""),"شهرک حصارآباد")</f>
        <v>شهرک حصارآباد</v>
      </c>
      <c r="G4041" s="5"/>
      <c r="H4041" s="6" t="str">
        <f>IFERROR(__xludf.DUMMYFUNCTION("""COMPUTED_VALUE"""),"https://www.instagram.com/mohebbin_ahlebeyt_hassar/")</f>
        <v>https://www.instagram.com/mohebbin_ahlebeyt_hassar/</v>
      </c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</row>
    <row r="4042">
      <c r="A4042" s="5"/>
      <c r="B4042" s="5" t="str">
        <f>IFERROR(__xludf.DUMMYFUNCTION("""COMPUTED_VALUE"""),"هیأت")</f>
        <v>هیأت</v>
      </c>
      <c r="C4042" s="5" t="str">
        <f>IFERROR(__xludf.DUMMYFUNCTION("""COMPUTED_VALUE"""),"محبان علی اکبر(ع)")</f>
        <v>محبان علی اکبر(ع)</v>
      </c>
      <c r="D4042" s="5" t="str">
        <f>IFERROR(__xludf.DUMMYFUNCTION("""COMPUTED_VALUE"""),"قزوین")</f>
        <v>قزوین</v>
      </c>
      <c r="E4042" s="5" t="str">
        <f>IFERROR(__xludf.DUMMYFUNCTION("""COMPUTED_VALUE"""),"قزوین")</f>
        <v>قزوین</v>
      </c>
      <c r="F4042" s="5" t="str">
        <f>IFERROR(__xludf.DUMMYFUNCTION("""COMPUTED_VALUE"""),"شهرک کوثر")</f>
        <v>شهرک کوثر</v>
      </c>
      <c r="G4042" s="5"/>
      <c r="H4042" s="6" t="str">
        <f>IFERROR(__xludf.DUMMYFUNCTION("""COMPUTED_VALUE"""),"https://www.instagram.com/mohebanaliakbar_qazvin/")</f>
        <v>https://www.instagram.com/mohebanaliakbar_qazvin/</v>
      </c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</row>
    <row r="4043">
      <c r="A4043" s="5"/>
      <c r="B4043" s="5" t="str">
        <f>IFERROR(__xludf.DUMMYFUNCTION("""COMPUTED_VALUE"""),"هیأت")</f>
        <v>هیأت</v>
      </c>
      <c r="C4043" s="5" t="str">
        <f>IFERROR(__xludf.DUMMYFUNCTION("""COMPUTED_VALUE"""),"خاکنشینان بقیع")</f>
        <v>خاکنشینان بقیع</v>
      </c>
      <c r="D4043" s="5" t="str">
        <f>IFERROR(__xludf.DUMMYFUNCTION("""COMPUTED_VALUE"""),"قزوین")</f>
        <v>قزوین</v>
      </c>
      <c r="E4043" s="5" t="str">
        <f>IFERROR(__xludf.DUMMYFUNCTION("""COMPUTED_VALUE"""),"قزوین")</f>
        <v>قزوین</v>
      </c>
      <c r="F4043" s="5" t="str">
        <f>IFERROR(__xludf.DUMMYFUNCTION("""COMPUTED_VALUE"""),"شهرک مدرس")</f>
        <v>شهرک مدرس</v>
      </c>
      <c r="G4043" s="5"/>
      <c r="H4043" s="6" t="str">
        <f>IFERROR(__xludf.DUMMYFUNCTION("""COMPUTED_VALUE"""),"https://www.instagram.com/khakneshinan_ir/")</f>
        <v>https://www.instagram.com/khakneshinan_ir/</v>
      </c>
      <c r="I4043" s="6" t="str">
        <f>IFERROR(__xludf.DUMMYFUNCTION("""COMPUTED_VALUE"""),"https://t.me/khakneshinan_ir")</f>
        <v>https://t.me/khakneshinan_ir</v>
      </c>
      <c r="J4043" s="5"/>
      <c r="K4043" s="5"/>
      <c r="L4043" s="5"/>
      <c r="M4043" s="5"/>
      <c r="N4043" s="5"/>
      <c r="O4043" s="5"/>
      <c r="P4043" s="5"/>
      <c r="Q4043" s="5"/>
      <c r="R4043" s="5"/>
      <c r="S4043" s="5"/>
    </row>
    <row r="4044">
      <c r="A4044" s="5"/>
      <c r="B4044" s="5" t="str">
        <f>IFERROR(__xludf.DUMMYFUNCTION("""COMPUTED_VALUE"""),"هیأت")</f>
        <v>هیأت</v>
      </c>
      <c r="C4044" s="5" t="str">
        <f>IFERROR(__xludf.DUMMYFUNCTION("""COMPUTED_VALUE"""),"مسجد حضرت صاحب الزمان(عج)")</f>
        <v>مسجد حضرت صاحب الزمان(عج)</v>
      </c>
      <c r="D4044" s="5" t="str">
        <f>IFERROR(__xludf.DUMMYFUNCTION("""COMPUTED_VALUE"""),"قزوین")</f>
        <v>قزوین</v>
      </c>
      <c r="E4044" s="5" t="str">
        <f>IFERROR(__xludf.DUMMYFUNCTION("""COMPUTED_VALUE"""),"قزوین")</f>
        <v>قزوین</v>
      </c>
      <c r="F4044" s="5" t="str">
        <f>IFERROR(__xludf.DUMMYFUNCTION("""COMPUTED_VALUE"""),"شهرک مهدیه")</f>
        <v>شهرک مهدیه</v>
      </c>
      <c r="G4044" s="5"/>
      <c r="H4044" s="5"/>
      <c r="I4044" s="5"/>
      <c r="J4044" s="6" t="str">
        <f>IFERROR(__xludf.DUMMYFUNCTION("""COMPUTED_VALUE"""),"https://eitaa.com/masjedesz")</f>
        <v>https://eitaa.com/masjedesz</v>
      </c>
      <c r="K4044" s="5"/>
      <c r="L4044" s="5"/>
      <c r="M4044" s="5"/>
      <c r="N4044" s="5"/>
      <c r="O4044" s="5"/>
      <c r="P4044" s="5"/>
      <c r="Q4044" s="5"/>
      <c r="R4044" s="5"/>
      <c r="S4044" s="5"/>
    </row>
    <row r="4045">
      <c r="A4045" s="5"/>
      <c r="B4045" s="5" t="str">
        <f>IFERROR(__xludf.DUMMYFUNCTION("""COMPUTED_VALUE"""),"هیأت")</f>
        <v>هیأت</v>
      </c>
      <c r="C4045" s="5" t="str">
        <f>IFERROR(__xludf.DUMMYFUNCTION("""COMPUTED_VALUE"""),"رقیه جان (س)")</f>
        <v>رقیه جان (س)</v>
      </c>
      <c r="D4045" s="5" t="str">
        <f>IFERROR(__xludf.DUMMYFUNCTION("""COMPUTED_VALUE"""),"قزوین")</f>
        <v>قزوین</v>
      </c>
      <c r="E4045" s="5" t="str">
        <f>IFERROR(__xludf.DUMMYFUNCTION("""COMPUTED_VALUE"""),"قزوین")</f>
        <v>قزوین</v>
      </c>
      <c r="F4045" s="5" t="str">
        <f>IFERROR(__xludf.DUMMYFUNCTION("""COMPUTED_VALUE"""),"شهرک ناصرآباد")</f>
        <v>شهرک ناصرآباد</v>
      </c>
      <c r="G4045" s="5"/>
      <c r="H4045" s="6" t="str">
        <f>IFERROR(__xludf.DUMMYFUNCTION("""COMPUTED_VALUE"""),"https://www.instagram.com/roghayehjan_info/")</f>
        <v>https://www.instagram.com/roghayehjan_info/</v>
      </c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</row>
    <row r="4046">
      <c r="A4046" s="5"/>
      <c r="B4046" s="5" t="str">
        <f>IFERROR(__xludf.DUMMYFUNCTION("""COMPUTED_VALUE"""),"هیأت")</f>
        <v>هیأت</v>
      </c>
      <c r="C4046" s="5" t="str">
        <f>IFERROR(__xludf.DUMMYFUNCTION("""COMPUTED_VALUE"""),"کریم اهل بیت(ع)")</f>
        <v>کریم اهل بیت(ع)</v>
      </c>
      <c r="D4046" s="5" t="str">
        <f>IFERROR(__xludf.DUMMYFUNCTION("""COMPUTED_VALUE"""),"قزوین")</f>
        <v>قزوین</v>
      </c>
      <c r="E4046" s="5" t="str">
        <f>IFERROR(__xludf.DUMMYFUNCTION("""COMPUTED_VALUE"""),"قزوین")</f>
        <v>قزوین</v>
      </c>
      <c r="F4046" s="5" t="str">
        <f>IFERROR(__xludf.DUMMYFUNCTION("""COMPUTED_VALUE"""),"محمودآباد")</f>
        <v>محمودآباد</v>
      </c>
      <c r="G4046" s="5"/>
      <c r="H4046" s="6" t="str">
        <f>IFERROR(__xludf.DUMMYFUNCTION("""COMPUTED_VALUE"""),"https://www.instagram.com/heyate_karimahlebeyt")</f>
        <v>https://www.instagram.com/heyate_karimahlebeyt</v>
      </c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</row>
    <row r="4047">
      <c r="A4047" s="5"/>
      <c r="B4047" s="5" t="str">
        <f>IFERROR(__xludf.DUMMYFUNCTION("""COMPUTED_VALUE"""),"هیأت")</f>
        <v>هیأت</v>
      </c>
      <c r="C4047" s="5" t="str">
        <f>IFERROR(__xludf.DUMMYFUNCTION("""COMPUTED_VALUE"""),"روضه الشهدا (روضه الزهرا)")</f>
        <v>روضه الشهدا (روضه الزهرا)</v>
      </c>
      <c r="D4047" s="5" t="str">
        <f>IFERROR(__xludf.DUMMYFUNCTION("""COMPUTED_VALUE"""),"قزوین")</f>
        <v>قزوین</v>
      </c>
      <c r="E4047" s="5" t="str">
        <f>IFERROR(__xludf.DUMMYFUNCTION("""COMPUTED_VALUE"""),"قزوین")</f>
        <v>قزوین</v>
      </c>
      <c r="F4047" s="5" t="str">
        <f>IFERROR(__xludf.DUMMYFUNCTION("""COMPUTED_VALUE"""),"مسجد امام خمینی (ره)")</f>
        <v>مسجد امام خمینی (ره)</v>
      </c>
      <c r="G4047" s="5"/>
      <c r="H4047" s="6" t="str">
        <f>IFERROR(__xludf.DUMMYFUNCTION("""COMPUTED_VALUE"""),"https://www.instagram.com/rozatoshoohada/")</f>
        <v>https://www.instagram.com/rozatoshoohada/</v>
      </c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</row>
    <row r="4048">
      <c r="A4048" s="5"/>
      <c r="B4048" s="5" t="str">
        <f>IFERROR(__xludf.DUMMYFUNCTION("""COMPUTED_VALUE"""),"هیأت")</f>
        <v>هیأت</v>
      </c>
      <c r="C4048" s="5" t="str">
        <f>IFERROR(__xludf.DUMMYFUNCTION("""COMPUTED_VALUE"""),"الزهرا (س)")</f>
        <v>الزهرا (س)</v>
      </c>
      <c r="D4048" s="5" t="str">
        <f>IFERROR(__xludf.DUMMYFUNCTION("""COMPUTED_VALUE"""),"قزوین")</f>
        <v>قزوین</v>
      </c>
      <c r="E4048" s="5" t="str">
        <f>IFERROR(__xludf.DUMMYFUNCTION("""COMPUTED_VALUE"""),"قزوین")</f>
        <v>قزوین</v>
      </c>
      <c r="F4048" s="5" t="str">
        <f>IFERROR(__xludf.DUMMYFUNCTION("""COMPUTED_VALUE"""),"مینودر")</f>
        <v>مینودر</v>
      </c>
      <c r="G4048" s="5"/>
      <c r="H4048" s="6" t="str">
        <f>IFERROR(__xludf.DUMMYFUNCTION("""COMPUTED_VALUE"""),"https://www.instagram.com/alzahra125.ir/")</f>
        <v>https://www.instagram.com/alzahra125.ir/</v>
      </c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</row>
    <row r="4049">
      <c r="A4049" s="5"/>
      <c r="B4049" s="5" t="str">
        <f>IFERROR(__xludf.DUMMYFUNCTION("""COMPUTED_VALUE"""),"هیأت")</f>
        <v>هیأت</v>
      </c>
      <c r="C4049" s="5" t="str">
        <f>IFERROR(__xludf.DUMMYFUNCTION("""COMPUTED_VALUE"""),"مهدی جان")</f>
        <v>مهدی جان</v>
      </c>
      <c r="D4049" s="5" t="str">
        <f>IFERROR(__xludf.DUMMYFUNCTION("""COMPUTED_VALUE"""),"قزوین")</f>
        <v>قزوین</v>
      </c>
      <c r="E4049" s="5" t="str">
        <f>IFERROR(__xludf.DUMMYFUNCTION("""COMPUTED_VALUE"""),"قزوین")</f>
        <v>قزوین</v>
      </c>
      <c r="F4049" s="5" t="str">
        <f>IFERROR(__xludf.DUMMYFUNCTION("""COMPUTED_VALUE"""),"مینودر")</f>
        <v>مینودر</v>
      </c>
      <c r="G4049" s="5"/>
      <c r="H4049" s="6" t="str">
        <f>IFERROR(__xludf.DUMMYFUNCTION("""COMPUTED_VALUE"""),"https://www.instagram.com/mf_mahdijan/")</f>
        <v>https://www.instagram.com/mf_mahdijan/</v>
      </c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</row>
    <row r="4050">
      <c r="A4050" s="5"/>
      <c r="B4050" s="5" t="str">
        <f>IFERROR(__xludf.DUMMYFUNCTION("""COMPUTED_VALUE"""),"حسینیه")</f>
        <v>حسینیه</v>
      </c>
      <c r="C4050" s="5" t="str">
        <f>IFERROR(__xludf.DUMMYFUNCTION("""COMPUTED_VALUE"""),"لثارات الحسین علیه السلام")</f>
        <v>لثارات الحسین علیه السلام</v>
      </c>
      <c r="D4050" s="5" t="str">
        <f>IFERROR(__xludf.DUMMYFUNCTION("""COMPUTED_VALUE"""),"قزوین")</f>
        <v>قزوین</v>
      </c>
      <c r="E4050" s="5" t="str">
        <f>IFERROR(__xludf.DUMMYFUNCTION("""COMPUTED_VALUE"""),"قزوین")</f>
        <v>قزوین</v>
      </c>
      <c r="F4050" s="5" t="str">
        <f>IFERROR(__xludf.DUMMYFUNCTION("""COMPUTED_VALUE"""),"مینودر")</f>
        <v>مینودر</v>
      </c>
      <c r="G4050" s="5"/>
      <c r="H4050" s="6" t="str">
        <f>IFERROR(__xludf.DUMMYFUNCTION("""COMPUTED_VALUE"""),"https://www.instagram.com/lasarat_qazvin/")</f>
        <v>https://www.instagram.com/lasarat_qazvin/</v>
      </c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</row>
    <row r="4051">
      <c r="A4051" s="5"/>
      <c r="B4051" s="5" t="str">
        <f>IFERROR(__xludf.DUMMYFUNCTION("""COMPUTED_VALUE"""),"حسینیه")</f>
        <v>حسینیه</v>
      </c>
      <c r="C4051" s="5" t="str">
        <f>IFERROR(__xludf.DUMMYFUNCTION("""COMPUTED_VALUE"""),"بیت الحسن")</f>
        <v>بیت الحسن</v>
      </c>
      <c r="D4051" s="5" t="str">
        <f>IFERROR(__xludf.DUMMYFUNCTION("""COMPUTED_VALUE"""),"قزوین")</f>
        <v>قزوین</v>
      </c>
      <c r="E4051" s="5" t="str">
        <f>IFERROR(__xludf.DUMMYFUNCTION("""COMPUTED_VALUE"""),"قزوین")</f>
        <v>قزوین</v>
      </c>
      <c r="F4051" s="5" t="str">
        <f>IFERROR(__xludf.DUMMYFUNCTION("""COMPUTED_VALUE"""),"نصرت آباد")</f>
        <v>نصرت آباد</v>
      </c>
      <c r="G4051" s="5"/>
      <c r="H4051" s="6" t="str">
        <f>IFERROR(__xludf.DUMMYFUNCTION("""COMPUTED_VALUE"""),"https://www.instagram.com/heyat_ehm/")</f>
        <v>https://www.instagram.com/heyat_ehm/</v>
      </c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</row>
    <row r="4052">
      <c r="A4052" s="5">
        <f>IFERROR(__xludf.DUMMYFUNCTION("""COMPUTED_VALUE"""),32647.0)</f>
        <v>32647</v>
      </c>
      <c r="B4052" s="5" t="str">
        <f>IFERROR(__xludf.DUMMYFUNCTION("""COMPUTED_VALUE"""),"هیأت هفتگی")</f>
        <v>هیأت هفتگی</v>
      </c>
      <c r="C4052" s="5" t="str">
        <f>IFERROR(__xludf.DUMMYFUNCTION("""COMPUTED_VALUE"""),"خادمان حضرت مهدی (عج)")</f>
        <v>خادمان حضرت مهدی (عج)</v>
      </c>
      <c r="D4052" s="5" t="str">
        <f>IFERROR(__xludf.DUMMYFUNCTION("""COMPUTED_VALUE"""),"قزوین")</f>
        <v>قزوین</v>
      </c>
      <c r="E4052" s="5" t="str">
        <f>IFERROR(__xludf.DUMMYFUNCTION("""COMPUTED_VALUE"""),"قزوین")</f>
        <v>قزوین</v>
      </c>
      <c r="F4052" s="5"/>
      <c r="G4052" s="5"/>
      <c r="H4052" s="6" t="str">
        <f>IFERROR(__xludf.DUMMYFUNCTION("""COMPUTED_VALUE"""),"https://www.instagram.com/khademanmahdi_ir")</f>
        <v>https://www.instagram.com/khademanmahdi_ir</v>
      </c>
      <c r="I4052" s="5"/>
      <c r="J4052" s="6" t="str">
        <f>IFERROR(__xludf.DUMMYFUNCTION("""COMPUTED_VALUE"""),"https://eitaa.com/khademanmahdi_ir")</f>
        <v>https://eitaa.com/khademanmahdi_ir</v>
      </c>
      <c r="K4052" s="5"/>
      <c r="L4052" s="5"/>
      <c r="M4052" s="5"/>
      <c r="N4052" s="5"/>
      <c r="O4052" s="5"/>
      <c r="P4052" s="5"/>
      <c r="Q4052" s="5"/>
      <c r="R4052" s="5"/>
      <c r="S4052" s="5"/>
    </row>
    <row r="4053">
      <c r="A4053" s="5">
        <f>IFERROR(__xludf.DUMMYFUNCTION("""COMPUTED_VALUE"""),32646.0)</f>
        <v>32646</v>
      </c>
      <c r="B4053" s="5" t="str">
        <f>IFERROR(__xludf.DUMMYFUNCTION("""COMPUTED_VALUE"""),"هیأت")</f>
        <v>هیأت</v>
      </c>
      <c r="C4053" s="5" t="str">
        <f>IFERROR(__xludf.DUMMYFUNCTION("""COMPUTED_VALUE"""),"حسن جان")</f>
        <v>حسن جان</v>
      </c>
      <c r="D4053" s="5" t="str">
        <f>IFERROR(__xludf.DUMMYFUNCTION("""COMPUTED_VALUE"""),"قزوین")</f>
        <v>قزوین</v>
      </c>
      <c r="E4053" s="5" t="str">
        <f>IFERROR(__xludf.DUMMYFUNCTION("""COMPUTED_VALUE"""),"قزوین")</f>
        <v>قزوین</v>
      </c>
      <c r="F4053" s="5"/>
      <c r="G4053" s="5"/>
      <c r="H4053" s="6" t="str">
        <f>IFERROR(__xludf.DUMMYFUNCTION("""COMPUTED_VALUE"""),"https://www.instagram.com/hasanjan_qazvin/")</f>
        <v>https://www.instagram.com/hasanjan_qazvin/</v>
      </c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</row>
    <row r="4054">
      <c r="A4054" s="5">
        <f>IFERROR(__xludf.DUMMYFUNCTION("""COMPUTED_VALUE"""),32645.0)</f>
        <v>32645</v>
      </c>
      <c r="B4054" s="5" t="str">
        <f>IFERROR(__xludf.DUMMYFUNCTION("""COMPUTED_VALUE"""),"هیأت")</f>
        <v>هیأت</v>
      </c>
      <c r="C4054" s="5" t="str">
        <f>IFERROR(__xludf.DUMMYFUNCTION("""COMPUTED_VALUE"""),"پنجره فولاد")</f>
        <v>پنجره فولاد</v>
      </c>
      <c r="D4054" s="5" t="str">
        <f>IFERROR(__xludf.DUMMYFUNCTION("""COMPUTED_VALUE"""),"قزوین")</f>
        <v>قزوین</v>
      </c>
      <c r="E4054" s="5" t="str">
        <f>IFERROR(__xludf.DUMMYFUNCTION("""COMPUTED_VALUE"""),"قزوین")</f>
        <v>قزوین</v>
      </c>
      <c r="F4054" s="5"/>
      <c r="G4054" s="5"/>
      <c r="H4054" s="6" t="str">
        <f>IFERROR(__xludf.DUMMYFUNCTION("""COMPUTED_VALUE"""),"https://www.instagram.com/panjarefolad_ir/")</f>
        <v>https://www.instagram.com/panjarefolad_ir/</v>
      </c>
      <c r="I4054" s="5" t="str">
        <f>IFERROR(__xludf.DUMMYFUNCTION("""COMPUTED_VALUE""")," ")</f>
        <v> </v>
      </c>
      <c r="J4054" s="5"/>
      <c r="K4054" s="5"/>
      <c r="L4054" s="5"/>
      <c r="M4054" s="5"/>
      <c r="N4054" s="5"/>
      <c r="O4054" s="5"/>
      <c r="P4054" s="5"/>
      <c r="Q4054" s="5"/>
      <c r="R4054" s="5"/>
      <c r="S4054" s="5"/>
    </row>
    <row r="4055">
      <c r="A4055" s="5">
        <f>IFERROR(__xludf.DUMMYFUNCTION("""COMPUTED_VALUE"""),32644.0)</f>
        <v>32644</v>
      </c>
      <c r="B4055" s="5" t="str">
        <f>IFERROR(__xludf.DUMMYFUNCTION("""COMPUTED_VALUE"""),"هیأت")</f>
        <v>هیأت</v>
      </c>
      <c r="C4055" s="5" t="str">
        <f>IFERROR(__xludf.DUMMYFUNCTION("""COMPUTED_VALUE"""),"شباب الشمس")</f>
        <v>شباب الشمس</v>
      </c>
      <c r="D4055" s="5" t="str">
        <f>IFERROR(__xludf.DUMMYFUNCTION("""COMPUTED_VALUE"""),"قزوین")</f>
        <v>قزوین</v>
      </c>
      <c r="E4055" s="5" t="str">
        <f>IFERROR(__xludf.DUMMYFUNCTION("""COMPUTED_VALUE"""),"قزوین")</f>
        <v>قزوین</v>
      </c>
      <c r="F4055" s="5"/>
      <c r="G4055" s="5"/>
      <c r="H4055" s="6" t="str">
        <f>IFERROR(__xludf.DUMMYFUNCTION("""COMPUTED_VALUE"""),"https://www.instagram.com/shabab8_info/")</f>
        <v>https://www.instagram.com/shabab8_info/</v>
      </c>
      <c r="I4055" s="5"/>
      <c r="J4055" s="6" t="str">
        <f>IFERROR(__xludf.DUMMYFUNCTION("""COMPUTED_VALUE"""),"https://eitaa.com/shabab8_info")</f>
        <v>https://eitaa.com/shabab8_info</v>
      </c>
      <c r="K4055" s="5"/>
      <c r="L4055" s="5"/>
      <c r="M4055" s="5"/>
      <c r="N4055" s="5"/>
      <c r="O4055" s="5"/>
      <c r="P4055" s="5"/>
      <c r="Q4055" s="5"/>
      <c r="R4055" s="5"/>
      <c r="S4055" s="5"/>
    </row>
    <row r="4056">
      <c r="A4056" s="5">
        <f>IFERROR(__xludf.DUMMYFUNCTION("""COMPUTED_VALUE"""),29350.0)</f>
        <v>29350</v>
      </c>
      <c r="B4056" s="5" t="str">
        <f>IFERROR(__xludf.DUMMYFUNCTION("""COMPUTED_VALUE"""),"هیأت")</f>
        <v>هیأت</v>
      </c>
      <c r="C4056" s="5" t="str">
        <f>IFERROR(__xludf.DUMMYFUNCTION("""COMPUTED_VALUE"""),"محبان اهل البیت (ع)")</f>
        <v>محبان اهل البیت (ع)</v>
      </c>
      <c r="D4056" s="5" t="str">
        <f>IFERROR(__xludf.DUMMYFUNCTION("""COMPUTED_VALUE"""),"قزوین")</f>
        <v>قزوین</v>
      </c>
      <c r="E4056" s="5" t="str">
        <f>IFERROR(__xludf.DUMMYFUNCTION("""COMPUTED_VALUE"""),"قزوین")</f>
        <v>قزوین</v>
      </c>
      <c r="F4056" s="5"/>
      <c r="G4056" s="5"/>
      <c r="H4056" s="6" t="str">
        <f>IFERROR(__xludf.DUMMYFUNCTION("""COMPUTED_VALUE"""),"https://www.instagram.com/h_mohebaneahlebeyt/")</f>
        <v>https://www.instagram.com/h_mohebaneahlebeyt/</v>
      </c>
      <c r="I4056" s="6" t="str">
        <f>IFERROR(__xludf.DUMMYFUNCTION("""COMPUTED_VALUE"""),"https://t.me/h_mohebaneahlebeyt")</f>
        <v>https://t.me/h_mohebaneahlebeyt</v>
      </c>
      <c r="J4056" s="6" t="str">
        <f>IFERROR(__xludf.DUMMYFUNCTION("""COMPUTED_VALUE"""),"https://eitaa.com/H_Mohebaneahlebeyt")</f>
        <v>https://eitaa.com/H_Mohebaneahlebeyt</v>
      </c>
      <c r="K4056" s="5"/>
      <c r="L4056" s="5"/>
      <c r="M4056" s="5"/>
      <c r="N4056" s="5"/>
      <c r="O4056" s="5"/>
      <c r="P4056" s="5"/>
      <c r="Q4056" s="5"/>
      <c r="R4056" s="5"/>
      <c r="S4056" s="5"/>
    </row>
    <row r="4057">
      <c r="A4057" s="5">
        <f>IFERROR(__xludf.DUMMYFUNCTION("""COMPUTED_VALUE"""),26512.0)</f>
        <v>26512</v>
      </c>
      <c r="B4057" s="5" t="str">
        <f>IFERROR(__xludf.DUMMYFUNCTION("""COMPUTED_VALUE"""),"هیأت")</f>
        <v>هیأت</v>
      </c>
      <c r="C4057" s="5" t="str">
        <f>IFERROR(__xludf.DUMMYFUNCTION("""COMPUTED_VALUE"""),"شمس الشموس
")</f>
        <v>شمس الشموس
</v>
      </c>
      <c r="D4057" s="5" t="str">
        <f>IFERROR(__xludf.DUMMYFUNCTION("""COMPUTED_VALUE"""),"قزوین")</f>
        <v>قزوین</v>
      </c>
      <c r="E4057" s="5" t="str">
        <f>IFERROR(__xludf.DUMMYFUNCTION("""COMPUTED_VALUE"""),"قزوین")</f>
        <v>قزوین</v>
      </c>
      <c r="F4057" s="5"/>
      <c r="G4057" s="5"/>
      <c r="H4057" s="5"/>
      <c r="I4057" s="5"/>
      <c r="J4057" s="6" t="str">
        <f>IFERROR(__xludf.DUMMYFUNCTION("""COMPUTED_VALUE"""),"https://eitaa.com/Shamsoshomous_info")</f>
        <v>https://eitaa.com/Shamsoshomous_info</v>
      </c>
      <c r="K4057" s="5"/>
      <c r="L4057" s="5"/>
      <c r="M4057" s="5"/>
      <c r="N4057" s="5"/>
      <c r="O4057" s="5"/>
      <c r="P4057" s="5"/>
      <c r="Q4057" s="5"/>
      <c r="R4057" s="5"/>
      <c r="S4057" s="5"/>
    </row>
    <row r="4058">
      <c r="A4058" s="5">
        <f>IFERROR(__xludf.DUMMYFUNCTION("""COMPUTED_VALUE"""),26510.0)</f>
        <v>26510</v>
      </c>
      <c r="B4058" s="5" t="str">
        <f>IFERROR(__xludf.DUMMYFUNCTION("""COMPUTED_VALUE"""),"هیأت")</f>
        <v>هیأت</v>
      </c>
      <c r="C4058" s="5" t="str">
        <f>IFERROR(__xludf.DUMMYFUNCTION("""COMPUTED_VALUE"""),"روضه الرضا (ع)")</f>
        <v>روضه الرضا (ع)</v>
      </c>
      <c r="D4058" s="5" t="str">
        <f>IFERROR(__xludf.DUMMYFUNCTION("""COMPUTED_VALUE"""),"قزوین")</f>
        <v>قزوین</v>
      </c>
      <c r="E4058" s="5" t="str">
        <f>IFERROR(__xludf.DUMMYFUNCTION("""COMPUTED_VALUE"""),"قزوین")</f>
        <v>قزوین</v>
      </c>
      <c r="F4058" s="5"/>
      <c r="G4058" s="5"/>
      <c r="H4058" s="6" t="str">
        <f>IFERROR(__xludf.DUMMYFUNCTION("""COMPUTED_VALUE"""),"https://www.instagram.com/heeyat_rozatoreza/")</f>
        <v>https://www.instagram.com/heeyat_rozatoreza/</v>
      </c>
      <c r="I4058" s="6" t="str">
        <f>IFERROR(__xludf.DUMMYFUNCTION("""COMPUTED_VALUE"""),"t.me/heyat_rozatoreza")</f>
        <v>t.me/heyat_rozatoreza</v>
      </c>
      <c r="J4058" s="5"/>
      <c r="K4058" s="5"/>
      <c r="L4058" s="5"/>
      <c r="M4058" s="5"/>
      <c r="N4058" s="5"/>
      <c r="O4058" s="5"/>
      <c r="P4058" s="5"/>
      <c r="Q4058" s="5"/>
      <c r="R4058" s="5"/>
      <c r="S4058" s="5"/>
    </row>
    <row r="4059">
      <c r="A4059" s="5">
        <f>IFERROR(__xludf.DUMMYFUNCTION("""COMPUTED_VALUE"""),23321.0)</f>
        <v>23321</v>
      </c>
      <c r="B4059" s="5" t="str">
        <f>IFERROR(__xludf.DUMMYFUNCTION("""COMPUTED_VALUE"""),"هیأت")</f>
        <v>هیأت</v>
      </c>
      <c r="C4059" s="5" t="str">
        <f>IFERROR(__xludf.DUMMYFUNCTION("""COMPUTED_VALUE"""),"الشهدا")</f>
        <v>الشهدا</v>
      </c>
      <c r="D4059" s="5" t="str">
        <f>IFERROR(__xludf.DUMMYFUNCTION("""COMPUTED_VALUE"""),"قزوین")</f>
        <v>قزوین</v>
      </c>
      <c r="E4059" s="5" t="str">
        <f>IFERROR(__xludf.DUMMYFUNCTION("""COMPUTED_VALUE"""),"قزوین")</f>
        <v>قزوین</v>
      </c>
      <c r="F4059" s="5"/>
      <c r="G4059" s="5"/>
      <c r="H4059" s="6" t="str">
        <f>IFERROR(__xludf.DUMMYFUNCTION("""COMPUTED_VALUE"""),"https://www.instagram.com/heyatalshohada/")</f>
        <v>https://www.instagram.com/heyatalshohada/</v>
      </c>
      <c r="I4059" s="5" t="str">
        <f>IFERROR(__xludf.DUMMYFUNCTION("""COMPUTED_VALUE"""),"telegram.dog/heyatalshohada_qaz")</f>
        <v>telegram.dog/heyatalshohada_qaz</v>
      </c>
      <c r="J4059" s="5"/>
      <c r="K4059" s="5"/>
      <c r="L4059" s="5"/>
      <c r="M4059" s="5"/>
      <c r="N4059" s="5"/>
      <c r="O4059" s="5"/>
      <c r="P4059" s="5"/>
      <c r="Q4059" s="5"/>
      <c r="R4059" s="5"/>
      <c r="S4059" s="5"/>
    </row>
    <row r="4060">
      <c r="A4060" s="5">
        <f>IFERROR(__xludf.DUMMYFUNCTION("""COMPUTED_VALUE"""),22152.0)</f>
        <v>22152</v>
      </c>
      <c r="B4060" s="5" t="str">
        <f>IFERROR(__xludf.DUMMYFUNCTION("""COMPUTED_VALUE"""),"هیأت")</f>
        <v>هیأت</v>
      </c>
      <c r="C4060" s="5" t="str">
        <f>IFERROR(__xludf.DUMMYFUNCTION("""COMPUTED_VALUE"""),"انصارالصلاه")</f>
        <v>انصارالصلاه</v>
      </c>
      <c r="D4060" s="5" t="str">
        <f>IFERROR(__xludf.DUMMYFUNCTION("""COMPUTED_VALUE"""),"قزوین")</f>
        <v>قزوین</v>
      </c>
      <c r="E4060" s="5" t="str">
        <f>IFERROR(__xludf.DUMMYFUNCTION("""COMPUTED_VALUE"""),"قزوین")</f>
        <v>قزوین</v>
      </c>
      <c r="F4060" s="5"/>
      <c r="G4060" s="5"/>
      <c r="H4060" s="5"/>
      <c r="I4060" s="5"/>
      <c r="J4060" s="6" t="str">
        <f>IFERROR(__xludf.DUMMYFUNCTION("""COMPUTED_VALUE"""),"https://eitaa.com/yaranenamaz")</f>
        <v>https://eitaa.com/yaranenamaz</v>
      </c>
      <c r="K4060" s="5"/>
      <c r="L4060" s="5"/>
      <c r="M4060" s="5"/>
      <c r="N4060" s="5"/>
      <c r="O4060" s="5"/>
      <c r="P4060" s="5"/>
      <c r="Q4060" s="5"/>
      <c r="R4060" s="5"/>
      <c r="S4060" s="5"/>
    </row>
    <row r="4061">
      <c r="A4061" s="5">
        <f>IFERROR(__xludf.DUMMYFUNCTION("""COMPUTED_VALUE"""),22150.0)</f>
        <v>22150</v>
      </c>
      <c r="B4061" s="5" t="str">
        <f>IFERROR(__xludf.DUMMYFUNCTION("""COMPUTED_VALUE"""),"هیأت")</f>
        <v>هیأت</v>
      </c>
      <c r="C4061" s="5" t="str">
        <f>IFERROR(__xludf.DUMMYFUNCTION("""COMPUTED_VALUE"""),"ابن الرضا (ع) _ امام زاده حسین")</f>
        <v>ابن الرضا (ع) _ امام زاده حسین</v>
      </c>
      <c r="D4061" s="5" t="str">
        <f>IFERROR(__xludf.DUMMYFUNCTION("""COMPUTED_VALUE"""),"قزوین")</f>
        <v>قزوین</v>
      </c>
      <c r="E4061" s="5" t="str">
        <f>IFERROR(__xludf.DUMMYFUNCTION("""COMPUTED_VALUE"""),"قزوین")</f>
        <v>قزوین</v>
      </c>
      <c r="F4061" s="5"/>
      <c r="G4061" s="5"/>
      <c r="H4061" s="5"/>
      <c r="I4061" s="5"/>
      <c r="J4061" s="6" t="str">
        <f>IFERROR(__xludf.DUMMYFUNCTION("""COMPUTED_VALUE"""),"https://eitaa.com/ebn_reza_qazvin")</f>
        <v>https://eitaa.com/ebn_reza_qazvin</v>
      </c>
      <c r="K4061" s="5"/>
      <c r="L4061" s="5"/>
      <c r="M4061" s="5"/>
      <c r="N4061" s="5"/>
      <c r="O4061" s="5"/>
      <c r="P4061" s="5"/>
      <c r="Q4061" s="5"/>
      <c r="R4061" s="5"/>
      <c r="S4061" s="5"/>
    </row>
    <row r="4062">
      <c r="A4062" s="5">
        <f>IFERROR(__xludf.DUMMYFUNCTION("""COMPUTED_VALUE"""),21310.0)</f>
        <v>21310</v>
      </c>
      <c r="B4062" s="5" t="str">
        <f>IFERROR(__xludf.DUMMYFUNCTION("""COMPUTED_VALUE"""),"هیأت")</f>
        <v>هیأت</v>
      </c>
      <c r="C4062" s="5" t="str">
        <f>IFERROR(__xludf.DUMMYFUNCTION("""COMPUTED_VALUE"""),"امام حسین(ع)")</f>
        <v>امام حسین(ع)</v>
      </c>
      <c r="D4062" s="5" t="str">
        <f>IFERROR(__xludf.DUMMYFUNCTION("""COMPUTED_VALUE"""),"قزوین")</f>
        <v>قزوین</v>
      </c>
      <c r="E4062" s="5" t="str">
        <f>IFERROR(__xludf.DUMMYFUNCTION("""COMPUTED_VALUE"""),"قزوین")</f>
        <v>قزوین</v>
      </c>
      <c r="F4062" s="5"/>
      <c r="G4062" s="5"/>
      <c r="H4062" s="6" t="str">
        <f>IFERROR(__xludf.DUMMYFUNCTION("""COMPUTED_VALUE"""),"https://www.instagram.com/emamhosein_qaz/")</f>
        <v>https://www.instagram.com/emamhosein_qaz/</v>
      </c>
      <c r="I4062" s="5"/>
      <c r="J4062" s="5"/>
      <c r="K4062" s="5"/>
      <c r="L4062" s="5"/>
      <c r="M4062" s="6" t="str">
        <f>IFERROR(__xludf.DUMMYFUNCTION("""COMPUTED_VALUE"""),"qazvin.com/")</f>
        <v>qazvin.com/</v>
      </c>
      <c r="N4062" s="5"/>
      <c r="O4062" s="5"/>
      <c r="P4062" s="5"/>
      <c r="Q4062" s="5"/>
      <c r="R4062" s="5"/>
      <c r="S4062" s="5"/>
    </row>
    <row r="4063">
      <c r="A4063" s="5">
        <f>IFERROR(__xludf.DUMMYFUNCTION("""COMPUTED_VALUE"""),20694.0)</f>
        <v>20694</v>
      </c>
      <c r="B4063" s="5" t="str">
        <f>IFERROR(__xludf.DUMMYFUNCTION("""COMPUTED_VALUE"""),"هیأت")</f>
        <v>هیأت</v>
      </c>
      <c r="C4063" s="5" t="str">
        <f>IFERROR(__xludf.DUMMYFUNCTION("""COMPUTED_VALUE"""),"عاشقان اهل بیت (ع)")</f>
        <v>عاشقان اهل بیت (ع)</v>
      </c>
      <c r="D4063" s="5" t="str">
        <f>IFERROR(__xludf.DUMMYFUNCTION("""COMPUTED_VALUE"""),"قزوین")</f>
        <v>قزوین</v>
      </c>
      <c r="E4063" s="5" t="str">
        <f>IFERROR(__xludf.DUMMYFUNCTION("""COMPUTED_VALUE"""),"قزوین")</f>
        <v>قزوین</v>
      </c>
      <c r="F4063" s="5"/>
      <c r="G4063" s="5"/>
      <c r="H4063" s="5"/>
      <c r="I4063" s="5"/>
      <c r="J4063" s="6" t="str">
        <f>IFERROR(__xludf.DUMMYFUNCTION("""COMPUTED_VALUE"""),"https://eitaa.com/heyatasheghaneqazvin")</f>
        <v>https://eitaa.com/heyatasheghaneqazvin</v>
      </c>
      <c r="K4063" s="5"/>
      <c r="L4063" s="5"/>
      <c r="M4063" s="5"/>
      <c r="N4063" s="5"/>
      <c r="O4063" s="5"/>
      <c r="P4063" s="5"/>
      <c r="Q4063" s="5"/>
      <c r="R4063" s="5"/>
      <c r="S4063" s="5"/>
    </row>
    <row r="4064">
      <c r="A4064" s="5">
        <f>IFERROR(__xludf.DUMMYFUNCTION("""COMPUTED_VALUE"""),20140.0)</f>
        <v>20140</v>
      </c>
      <c r="B4064" s="5" t="str">
        <f>IFERROR(__xludf.DUMMYFUNCTION("""COMPUTED_VALUE"""),"هیأت")</f>
        <v>هیأت</v>
      </c>
      <c r="C4064" s="5" t="str">
        <f>IFERROR(__xludf.DUMMYFUNCTION("""COMPUTED_VALUE"""),"جوادالائمه(ع)")</f>
        <v>جوادالائمه(ع)</v>
      </c>
      <c r="D4064" s="5" t="str">
        <f>IFERROR(__xludf.DUMMYFUNCTION("""COMPUTED_VALUE"""),"قزوین")</f>
        <v>قزوین</v>
      </c>
      <c r="E4064" s="5" t="str">
        <f>IFERROR(__xludf.DUMMYFUNCTION("""COMPUTED_VALUE"""),"قزوین")</f>
        <v>قزوین</v>
      </c>
      <c r="F4064" s="5"/>
      <c r="G4064" s="5"/>
      <c r="H4064" s="6" t="str">
        <f>IFERROR(__xludf.DUMMYFUNCTION("""COMPUTED_VALUE"""),"https://www.instagram.com/javadolaemeh_qazvin/")</f>
        <v>https://www.instagram.com/javadolaemeh_qazvin/</v>
      </c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</row>
    <row r="4065">
      <c r="A4065" s="5">
        <f>IFERROR(__xludf.DUMMYFUNCTION("""COMPUTED_VALUE"""),19840.0)</f>
        <v>19840</v>
      </c>
      <c r="B4065" s="5" t="str">
        <f>IFERROR(__xludf.DUMMYFUNCTION("""COMPUTED_VALUE"""),"هیأت")</f>
        <v>هیأت</v>
      </c>
      <c r="C4065" s="5" t="str">
        <f>IFERROR(__xludf.DUMMYFUNCTION("""COMPUTED_VALUE"""),"مکتب المهدی (عج)")</f>
        <v>مکتب المهدی (عج)</v>
      </c>
      <c r="D4065" s="5" t="str">
        <f>IFERROR(__xludf.DUMMYFUNCTION("""COMPUTED_VALUE"""),"قزوین")</f>
        <v>قزوین</v>
      </c>
      <c r="E4065" s="5" t="str">
        <f>IFERROR(__xludf.DUMMYFUNCTION("""COMPUTED_VALUE"""),"قزوین")</f>
        <v>قزوین</v>
      </c>
      <c r="F4065" s="5"/>
      <c r="G4065" s="5"/>
      <c r="H4065" s="5"/>
      <c r="I4065" s="5"/>
      <c r="J4065" s="6" t="str">
        <f>IFERROR(__xludf.DUMMYFUNCTION("""COMPUTED_VALUE"""),"https://eitaa.com/ansarolmahdiqazvin")</f>
        <v>https://eitaa.com/ansarolmahdiqazvin</v>
      </c>
      <c r="K4065" s="5"/>
      <c r="L4065" s="5"/>
      <c r="M4065" s="5"/>
      <c r="N4065" s="5"/>
      <c r="O4065" s="5"/>
      <c r="P4065" s="5"/>
      <c r="Q4065" s="5"/>
      <c r="R4065" s="5"/>
      <c r="S4065" s="5"/>
    </row>
    <row r="4066">
      <c r="A4066" s="5">
        <f>IFERROR(__xludf.DUMMYFUNCTION("""COMPUTED_VALUE"""),18428.0)</f>
        <v>18428</v>
      </c>
      <c r="B4066" s="5" t="str">
        <f>IFERROR(__xludf.DUMMYFUNCTION("""COMPUTED_VALUE"""),"هیأت")</f>
        <v>هیأت</v>
      </c>
      <c r="C4066" s="5" t="str">
        <f>IFERROR(__xludf.DUMMYFUNCTION("""COMPUTED_VALUE"""),"میثم تمار")</f>
        <v>میثم تمار</v>
      </c>
      <c r="D4066" s="5" t="str">
        <f>IFERROR(__xludf.DUMMYFUNCTION("""COMPUTED_VALUE"""),"قزوین")</f>
        <v>قزوین</v>
      </c>
      <c r="E4066" s="5" t="str">
        <f>IFERROR(__xludf.DUMMYFUNCTION("""COMPUTED_VALUE"""),"قزوین")</f>
        <v>قزوین</v>
      </c>
      <c r="F4066" s="5"/>
      <c r="G4066" s="5"/>
      <c r="H4066" s="6" t="str">
        <f>IFERROR(__xludf.DUMMYFUNCTION("""COMPUTED_VALUE"""),"https://www.instagram.com/meysamtammar_qz.ir/")</f>
        <v>https://www.instagram.com/meysamtammar_qz.ir/</v>
      </c>
      <c r="I4066" s="5"/>
      <c r="J4066" s="6" t="str">
        <f>IFERROR(__xludf.DUMMYFUNCTION("""COMPUTED_VALUE"""),"https://eitaa.com/meysamtammar_qz")</f>
        <v>https://eitaa.com/meysamtammar_qz</v>
      </c>
      <c r="K4066" s="5"/>
      <c r="L4066" s="5"/>
      <c r="M4066" s="5"/>
      <c r="N4066" s="5"/>
      <c r="O4066" s="5"/>
      <c r="P4066" s="5"/>
      <c r="Q4066" s="5"/>
      <c r="R4066" s="5"/>
      <c r="S4066" s="5"/>
    </row>
    <row r="4067">
      <c r="A4067" s="5">
        <f>IFERROR(__xludf.DUMMYFUNCTION("""COMPUTED_VALUE"""),18427.0)</f>
        <v>18427</v>
      </c>
      <c r="B4067" s="5" t="str">
        <f>IFERROR(__xludf.DUMMYFUNCTION("""COMPUTED_VALUE"""),"هیأت")</f>
        <v>هیأت</v>
      </c>
      <c r="C4067" s="5" t="str">
        <f>IFERROR(__xludf.DUMMYFUNCTION("""COMPUTED_VALUE"""),"عاشورا")</f>
        <v>عاشورا</v>
      </c>
      <c r="D4067" s="5" t="str">
        <f>IFERROR(__xludf.DUMMYFUNCTION("""COMPUTED_VALUE"""),"قزوین")</f>
        <v>قزوین</v>
      </c>
      <c r="E4067" s="5" t="str">
        <f>IFERROR(__xludf.DUMMYFUNCTION("""COMPUTED_VALUE"""),"قزوین")</f>
        <v>قزوین</v>
      </c>
      <c r="F4067" s="5"/>
      <c r="G4067" s="5"/>
      <c r="H4067" s="6" t="str">
        <f>IFERROR(__xludf.DUMMYFUNCTION("""COMPUTED_VALUE"""),"https://www.instagram.com/heyaat_ashoora_qazvin/")</f>
        <v>https://www.instagram.com/heyaat_ashoora_qazvin/</v>
      </c>
      <c r="I4067" s="6" t="str">
        <f>IFERROR(__xludf.DUMMYFUNCTION("""COMPUTED_VALUE"""),"t.me/heyaat_ashoora")</f>
        <v>t.me/heyaat_ashoora</v>
      </c>
      <c r="J4067" s="5"/>
      <c r="K4067" s="5"/>
      <c r="L4067" s="5"/>
      <c r="M4067" s="5"/>
      <c r="N4067" s="5"/>
      <c r="O4067" s="5"/>
      <c r="P4067" s="5"/>
      <c r="Q4067" s="5"/>
      <c r="R4067" s="5"/>
      <c r="S4067" s="5"/>
    </row>
    <row r="4068">
      <c r="A4068" s="5"/>
      <c r="B4068" s="5" t="str">
        <f>IFERROR(__xludf.DUMMYFUNCTION("""COMPUTED_VALUE"""),"هیأت")</f>
        <v>هیأت</v>
      </c>
      <c r="C4068" s="5" t="str">
        <f>IFERROR(__xludf.DUMMYFUNCTION("""COMPUTED_VALUE"""),"مکتب الزهرا (س)")</f>
        <v>مکتب الزهرا (س)</v>
      </c>
      <c r="D4068" s="5" t="str">
        <f>IFERROR(__xludf.DUMMYFUNCTION("""COMPUTED_VALUE"""),"قزوین")</f>
        <v>قزوین</v>
      </c>
      <c r="E4068" s="5" t="str">
        <f>IFERROR(__xludf.DUMMYFUNCTION("""COMPUTED_VALUE"""),"قزوین")</f>
        <v>قزوین</v>
      </c>
      <c r="F4068" s="5"/>
      <c r="G4068" s="5"/>
      <c r="H4068" s="6" t="str">
        <f>IFERROR(__xludf.DUMMYFUNCTION("""COMPUTED_VALUE"""),"https://www.instagram.com/maktabalzahra.qazvin/")</f>
        <v>https://www.instagram.com/maktabalzahra.qazvin/</v>
      </c>
      <c r="I4068" s="6" t="str">
        <f>IFERROR(__xludf.DUMMYFUNCTION("""COMPUTED_VALUE"""),"telegram.me/Maktabalzahraa")</f>
        <v>telegram.me/Maktabalzahraa</v>
      </c>
      <c r="J4068" s="5"/>
      <c r="K4068" s="5"/>
      <c r="L4068" s="5"/>
      <c r="M4068" s="5"/>
      <c r="N4068" s="5"/>
      <c r="O4068" s="5"/>
      <c r="P4068" s="5"/>
      <c r="Q4068" s="5"/>
      <c r="R4068" s="5"/>
      <c r="S4068" s="5"/>
    </row>
    <row r="4069">
      <c r="A4069" s="5">
        <f>IFERROR(__xludf.DUMMYFUNCTION("""COMPUTED_VALUE"""),10430.0)</f>
        <v>10430</v>
      </c>
      <c r="B4069" s="5" t="str">
        <f>IFERROR(__xludf.DUMMYFUNCTION("""COMPUTED_VALUE"""),"هیأت")</f>
        <v>هیأت</v>
      </c>
      <c r="C4069" s="5" t="str">
        <f>IFERROR(__xludf.DUMMYFUNCTION("""COMPUTED_VALUE"""),"محبان الزهرا(س)")</f>
        <v>محبان الزهرا(س)</v>
      </c>
      <c r="D4069" s="5" t="str">
        <f>IFERROR(__xludf.DUMMYFUNCTION("""COMPUTED_VALUE"""),"قزوین")</f>
        <v>قزوین</v>
      </c>
      <c r="E4069" s="5" t="str">
        <f>IFERROR(__xludf.DUMMYFUNCTION("""COMPUTED_VALUE"""),"قزوین")</f>
        <v>قزوین</v>
      </c>
      <c r="F4069" s="5"/>
      <c r="G4069" s="5"/>
      <c r="H4069" s="6" t="str">
        <f>IFERROR(__xludf.DUMMYFUNCTION("""COMPUTED_VALUE"""),"https://www.instagram.com/heiat_mohebanalzahra/")</f>
        <v>https://www.instagram.com/heiat_mohebanalzahra/</v>
      </c>
      <c r="I4069" s="6" t="str">
        <f>IFERROR(__xludf.DUMMYFUNCTION("""COMPUTED_VALUE"""),"t.me/heiat_mohebanalzahra")</f>
        <v>t.me/heiat_mohebanalzahra</v>
      </c>
      <c r="J4069" s="5"/>
      <c r="K4069" s="5"/>
      <c r="L4069" s="5"/>
      <c r="M4069" s="5"/>
      <c r="N4069" s="5"/>
      <c r="O4069" s="5"/>
      <c r="P4069" s="5"/>
      <c r="Q4069" s="5"/>
      <c r="R4069" s="5"/>
      <c r="S4069" s="5"/>
    </row>
    <row r="4070">
      <c r="A4070" s="5">
        <f>IFERROR(__xludf.DUMMYFUNCTION("""COMPUTED_VALUE"""),10398.0)</f>
        <v>10398</v>
      </c>
      <c r="B4070" s="5" t="str">
        <f>IFERROR(__xludf.DUMMYFUNCTION("""COMPUTED_VALUE"""),"هیأت")</f>
        <v>هیأت</v>
      </c>
      <c r="C4070" s="5" t="str">
        <f>IFERROR(__xludf.DUMMYFUNCTION("""COMPUTED_VALUE"""),"کانون تربیتی آستان امامزاده اسماعیل _ حسینیه امامزاده اسماعیل")</f>
        <v>کانون تربیتی آستان امامزاده اسماعیل _ حسینیه امامزاده اسماعیل</v>
      </c>
      <c r="D4070" s="5" t="str">
        <f>IFERROR(__xludf.DUMMYFUNCTION("""COMPUTED_VALUE"""),"قزوین")</f>
        <v>قزوین</v>
      </c>
      <c r="E4070" s="5" t="str">
        <f>IFERROR(__xludf.DUMMYFUNCTION("""COMPUTED_VALUE"""),"قزوین")</f>
        <v>قزوین</v>
      </c>
      <c r="F4070" s="5"/>
      <c r="G4070" s="5"/>
      <c r="H4070" s="6" t="str">
        <f>IFERROR(__xludf.DUMMYFUNCTION("""COMPUTED_VALUE"""),"https://www.instagram.com/i_esmaeil/")</f>
        <v>https://www.instagram.com/i_esmaeil/</v>
      </c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</row>
    <row r="4071">
      <c r="A4071" s="5">
        <f>IFERROR(__xludf.DUMMYFUNCTION("""COMPUTED_VALUE"""),10350.0)</f>
        <v>10350</v>
      </c>
      <c r="B4071" s="5" t="str">
        <f>IFERROR(__xludf.DUMMYFUNCTION("""COMPUTED_VALUE"""),"هیأت")</f>
        <v>هیأت</v>
      </c>
      <c r="C4071" s="5" t="str">
        <f>IFERROR(__xludf.DUMMYFUNCTION("""COMPUTED_VALUE"""),"خادمان حضرت مهدی (عج)")</f>
        <v>خادمان حضرت مهدی (عج)</v>
      </c>
      <c r="D4071" s="5" t="str">
        <f>IFERROR(__xludf.DUMMYFUNCTION("""COMPUTED_VALUE"""),"قزوین")</f>
        <v>قزوین</v>
      </c>
      <c r="E4071" s="5" t="str">
        <f>IFERROR(__xludf.DUMMYFUNCTION("""COMPUTED_VALUE"""),"قزوین")</f>
        <v>قزوین</v>
      </c>
      <c r="F4071" s="5"/>
      <c r="G4071" s="5"/>
      <c r="H4071" s="6" t="str">
        <f>IFERROR(__xludf.DUMMYFUNCTION("""COMPUTED_VALUE"""),"https://www.instagram.com/khademanmahdi_ir")</f>
        <v>https://www.instagram.com/khademanmahdi_ir</v>
      </c>
      <c r="I4071" s="5"/>
      <c r="J4071" s="6" t="str">
        <f>IFERROR(__xludf.DUMMYFUNCTION("""COMPUTED_VALUE"""),"https://eitaa.com/khademanmahdi_ir")</f>
        <v>https://eitaa.com/khademanmahdi_ir</v>
      </c>
      <c r="K4071" s="5"/>
      <c r="L4071" s="5"/>
      <c r="M4071" s="5"/>
      <c r="N4071" s="5"/>
      <c r="O4071" s="5"/>
      <c r="P4071" s="5"/>
      <c r="Q4071" s="5"/>
      <c r="R4071" s="5"/>
      <c r="S4071" s="5"/>
    </row>
    <row r="4072">
      <c r="A4072" s="5">
        <f>IFERROR(__xludf.DUMMYFUNCTION("""COMPUTED_VALUE"""),10283.0)</f>
        <v>10283</v>
      </c>
      <c r="B4072" s="5" t="str">
        <f>IFERROR(__xludf.DUMMYFUNCTION("""COMPUTED_VALUE"""),"هیأت")</f>
        <v>هیأت</v>
      </c>
      <c r="C4072" s="5" t="str">
        <f>IFERROR(__xludf.DUMMYFUNCTION("""COMPUTED_VALUE"""),"الزهرا (س)")</f>
        <v>الزهرا (س)</v>
      </c>
      <c r="D4072" s="5" t="str">
        <f>IFERROR(__xludf.DUMMYFUNCTION("""COMPUTED_VALUE"""),"قزوین")</f>
        <v>قزوین</v>
      </c>
      <c r="E4072" s="5" t="str">
        <f>IFERROR(__xludf.DUMMYFUNCTION("""COMPUTED_VALUE"""),"قزوین")</f>
        <v>قزوین</v>
      </c>
      <c r="F4072" s="5"/>
      <c r="G4072" s="5"/>
      <c r="H4072" s="6" t="str">
        <f>IFERROR(__xludf.DUMMYFUNCTION("""COMPUTED_VALUE"""),"https://www.instagram.com/alzahraqazvin/")</f>
        <v>https://www.instagram.com/alzahraqazvin/</v>
      </c>
      <c r="I4072" s="5"/>
      <c r="J4072" s="5"/>
      <c r="K4072" s="5"/>
      <c r="L4072" s="5"/>
      <c r="M4072" s="6" t="str">
        <f>IFERROR(__xludf.DUMMYFUNCTION("""COMPUTED_VALUE"""),"www.alzahraqazvin.ir")</f>
        <v>www.alzahraqazvin.ir</v>
      </c>
      <c r="N4072" s="5"/>
      <c r="O4072" s="5"/>
      <c r="P4072" s="5"/>
      <c r="Q4072" s="5"/>
      <c r="R4072" s="5"/>
      <c r="S4072" s="5"/>
    </row>
    <row r="4073">
      <c r="A4073" s="5">
        <f>IFERROR(__xludf.DUMMYFUNCTION("""COMPUTED_VALUE"""),10270.0)</f>
        <v>10270</v>
      </c>
      <c r="B4073" s="5" t="str">
        <f>IFERROR(__xludf.DUMMYFUNCTION("""COMPUTED_VALUE"""),"هیأت")</f>
        <v>هیأت</v>
      </c>
      <c r="C4073" s="5" t="str">
        <f>IFERROR(__xludf.DUMMYFUNCTION("""COMPUTED_VALUE"""),"رزمندگان اسلام")</f>
        <v>رزمندگان اسلام</v>
      </c>
      <c r="D4073" s="5" t="str">
        <f>IFERROR(__xludf.DUMMYFUNCTION("""COMPUTED_VALUE"""),"قزوین")</f>
        <v>قزوین</v>
      </c>
      <c r="E4073" s="5" t="str">
        <f>IFERROR(__xludf.DUMMYFUNCTION("""COMPUTED_VALUE"""),"قزوین")</f>
        <v>قزوین</v>
      </c>
      <c r="F4073" s="5"/>
      <c r="G4073" s="5"/>
      <c r="H4073" s="6" t="str">
        <f>IFERROR(__xludf.DUMMYFUNCTION("""COMPUTED_VALUE"""),"https://www.instagram.com/razmandegan_qazvin.ir/")</f>
        <v>https://www.instagram.com/razmandegan_qazvin.ir/</v>
      </c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</row>
    <row r="4074">
      <c r="A4074" s="5">
        <f>IFERROR(__xludf.DUMMYFUNCTION("""COMPUTED_VALUE"""),10238.0)</f>
        <v>10238</v>
      </c>
      <c r="B4074" s="5"/>
      <c r="C4074" s="5" t="str">
        <f>IFERROR(__xludf.DUMMYFUNCTION("""COMPUTED_VALUE""")," ")</f>
        <v> </v>
      </c>
      <c r="D4074" s="5" t="str">
        <f>IFERROR(__xludf.DUMMYFUNCTION("""COMPUTED_VALUE"""),"قزوین")</f>
        <v>قزوین</v>
      </c>
      <c r="E4074" s="5" t="str">
        <f>IFERROR(__xludf.DUMMYFUNCTION("""COMPUTED_VALUE"""),"قزوین")</f>
        <v>قزوین</v>
      </c>
      <c r="F4074" s="5"/>
      <c r="G4074" s="5"/>
      <c r="H4074" s="5"/>
      <c r="I4074" s="5"/>
      <c r="J4074" s="6" t="str">
        <f>IFERROR(__xludf.DUMMYFUNCTION("""COMPUTED_VALUE"""),"https://eitaa.com/hasanieh_heyat")</f>
        <v>https://eitaa.com/hasanieh_heyat</v>
      </c>
      <c r="K4074" s="5"/>
      <c r="L4074" s="5"/>
      <c r="M4074" s="5"/>
      <c r="N4074" s="5"/>
      <c r="O4074" s="5"/>
      <c r="P4074" s="5"/>
      <c r="Q4074" s="5"/>
      <c r="R4074" s="5"/>
      <c r="S4074" s="5"/>
    </row>
    <row r="4075">
      <c r="A4075" s="5">
        <f>IFERROR(__xludf.DUMMYFUNCTION("""COMPUTED_VALUE"""),10235.0)</f>
        <v>10235</v>
      </c>
      <c r="B4075" s="5" t="str">
        <f>IFERROR(__xludf.DUMMYFUNCTION("""COMPUTED_VALUE"""),"هیأت")</f>
        <v>هیأت</v>
      </c>
      <c r="C4075" s="5" t="str">
        <f>IFERROR(__xludf.DUMMYFUNCTION("""COMPUTED_VALUE"""),"رزمندگان انصارالمهدی (عج)")</f>
        <v>رزمندگان انصارالمهدی (عج)</v>
      </c>
      <c r="D4075" s="5" t="str">
        <f>IFERROR(__xludf.DUMMYFUNCTION("""COMPUTED_VALUE"""),"قزوین")</f>
        <v>قزوین</v>
      </c>
      <c r="E4075" s="5" t="str">
        <f>IFERROR(__xludf.DUMMYFUNCTION("""COMPUTED_VALUE"""),"قزوین")</f>
        <v>قزوین</v>
      </c>
      <c r="F4075" s="5"/>
      <c r="G4075" s="5"/>
      <c r="H4075" s="6" t="str">
        <f>IFERROR(__xludf.DUMMYFUNCTION("""COMPUTED_VALUE"""),"https://www.instagram.com/ansarolmahdi_qazvin/")</f>
        <v>https://www.instagram.com/ansarolmahdi_qazvin/</v>
      </c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</row>
    <row r="4076">
      <c r="A4076" s="5">
        <f>IFERROR(__xludf.DUMMYFUNCTION("""COMPUTED_VALUE"""),10228.0)</f>
        <v>10228</v>
      </c>
      <c r="B4076" s="5" t="str">
        <f>IFERROR(__xludf.DUMMYFUNCTION("""COMPUTED_VALUE"""),"هیأت")</f>
        <v>هیأت</v>
      </c>
      <c r="C4076" s="5" t="str">
        <f>IFERROR(__xludf.DUMMYFUNCTION("""COMPUTED_VALUE"""),"یاوران ولایت (مسجد مهدیه)")</f>
        <v>یاوران ولایت (مسجد مهدیه)</v>
      </c>
      <c r="D4076" s="5" t="str">
        <f>IFERROR(__xludf.DUMMYFUNCTION("""COMPUTED_VALUE"""),"قزوین")</f>
        <v>قزوین</v>
      </c>
      <c r="E4076" s="5" t="str">
        <f>IFERROR(__xludf.DUMMYFUNCTION("""COMPUTED_VALUE"""),"قزوین")</f>
        <v>قزوین</v>
      </c>
      <c r="F4076" s="5"/>
      <c r="G4076" s="5"/>
      <c r="H4076" s="6" t="str">
        <f>IFERROR(__xludf.DUMMYFUNCTION("""COMPUTED_VALUE"""),"https://www.instagram.com/yavaranevelayat_qazvin/")</f>
        <v>https://www.instagram.com/yavaranevelayat_qazvin/</v>
      </c>
      <c r="I4076" s="5"/>
      <c r="J4076" s="6" t="str">
        <f>IFERROR(__xludf.DUMMYFUNCTION("""COMPUTED_VALUE"""),"eitaa.com/yavaranevelayat_qazvin")</f>
        <v>eitaa.com/yavaranevelayat_qazvin</v>
      </c>
      <c r="K4076" s="5"/>
      <c r="L4076" s="5"/>
      <c r="M4076" s="5"/>
      <c r="N4076" s="5"/>
      <c r="O4076" s="5"/>
      <c r="P4076" s="5"/>
      <c r="Q4076" s="5"/>
      <c r="R4076" s="5"/>
      <c r="S4076" s="5"/>
    </row>
    <row r="4077">
      <c r="A4077" s="5">
        <f>IFERROR(__xludf.DUMMYFUNCTION("""COMPUTED_VALUE"""),10227.0)</f>
        <v>10227</v>
      </c>
      <c r="B4077" s="5" t="str">
        <f>IFERROR(__xludf.DUMMYFUNCTION("""COMPUTED_VALUE"""),"هیأت")</f>
        <v>هیأت</v>
      </c>
      <c r="C4077" s="5" t="str">
        <f>IFERROR(__xludf.DUMMYFUNCTION("""COMPUTED_VALUE"""),"خیمه العباس (ع) مسجد حضرت امیر")</f>
        <v>خیمه العباس (ع) مسجد حضرت امیر</v>
      </c>
      <c r="D4077" s="5" t="str">
        <f>IFERROR(__xludf.DUMMYFUNCTION("""COMPUTED_VALUE"""),"قزوین")</f>
        <v>قزوین</v>
      </c>
      <c r="E4077" s="5" t="str">
        <f>IFERROR(__xludf.DUMMYFUNCTION("""COMPUTED_VALUE"""),"قزوین")</f>
        <v>قزوین</v>
      </c>
      <c r="F4077" s="5"/>
      <c r="G4077" s="5"/>
      <c r="H4077" s="6" t="str">
        <f>IFERROR(__xludf.DUMMYFUNCTION("""COMPUTED_VALUE"""),"https://www.instagram.com/masjedamir.net_/")</f>
        <v>https://www.instagram.com/masjedamir.net_/</v>
      </c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</row>
    <row r="4078">
      <c r="A4078" s="5">
        <f>IFERROR(__xludf.DUMMYFUNCTION("""COMPUTED_VALUE"""),10175.0)</f>
        <v>10175</v>
      </c>
      <c r="B4078" s="5" t="str">
        <f>IFERROR(__xludf.DUMMYFUNCTION("""COMPUTED_VALUE"""),"هیأت")</f>
        <v>هیأت</v>
      </c>
      <c r="C4078" s="5" t="str">
        <f>IFERROR(__xludf.DUMMYFUNCTION("""COMPUTED_VALUE"""),"بیت العباس(ع) مسجد سنجیده")</f>
        <v>بیت العباس(ع) مسجد سنجیده</v>
      </c>
      <c r="D4078" s="5" t="str">
        <f>IFERROR(__xludf.DUMMYFUNCTION("""COMPUTED_VALUE"""),"قزوین")</f>
        <v>قزوین</v>
      </c>
      <c r="E4078" s="5" t="str">
        <f>IFERROR(__xludf.DUMMYFUNCTION("""COMPUTED_VALUE"""),"قزوین")</f>
        <v>قزوین</v>
      </c>
      <c r="F4078" s="5"/>
      <c r="G4078" s="5"/>
      <c r="H4078" s="6" t="str">
        <f>IFERROR(__xludf.DUMMYFUNCTION("""COMPUTED_VALUE"""),"https://www.instagram.com/beitolabbasqazvin/")</f>
        <v>https://www.instagram.com/beitolabbasqazvin/</v>
      </c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</row>
    <row r="4079">
      <c r="A4079" s="5">
        <f>IFERROR(__xludf.DUMMYFUNCTION("""COMPUTED_VALUE"""),10174.0)</f>
        <v>10174</v>
      </c>
      <c r="B4079" s="5" t="str">
        <f>IFERROR(__xludf.DUMMYFUNCTION("""COMPUTED_VALUE"""),"هیأت")</f>
        <v>هیأت</v>
      </c>
      <c r="C4079" s="5" t="str">
        <f>IFERROR(__xludf.DUMMYFUNCTION("""COMPUTED_VALUE"""),"مکتب العباس (ع)")</f>
        <v>مکتب العباس (ع)</v>
      </c>
      <c r="D4079" s="5" t="str">
        <f>IFERROR(__xludf.DUMMYFUNCTION("""COMPUTED_VALUE"""),"قزوین")</f>
        <v>قزوین</v>
      </c>
      <c r="E4079" s="5" t="str">
        <f>IFERROR(__xludf.DUMMYFUNCTION("""COMPUTED_VALUE"""),"قزوین")</f>
        <v>قزوین</v>
      </c>
      <c r="F4079" s="5"/>
      <c r="G4079" s="5"/>
      <c r="H4079" s="6" t="str">
        <f>IFERROR(__xludf.DUMMYFUNCTION("""COMPUTED_VALUE"""),"https://www.instagram.com/maktabalabas/")</f>
        <v>https://www.instagram.com/maktabalabas/</v>
      </c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</row>
    <row r="4080">
      <c r="A4080" s="5">
        <f>IFERROR(__xludf.DUMMYFUNCTION("""COMPUTED_VALUE"""),10134.0)</f>
        <v>10134</v>
      </c>
      <c r="B4080" s="5" t="str">
        <f>IFERROR(__xludf.DUMMYFUNCTION("""COMPUTED_VALUE"""),"هیأت")</f>
        <v>هیأت</v>
      </c>
      <c r="C4080" s="5" t="str">
        <f>IFERROR(__xludf.DUMMYFUNCTION("""COMPUTED_VALUE"""),"ثارالله (ع)")</f>
        <v>ثارالله (ع)</v>
      </c>
      <c r="D4080" s="5" t="str">
        <f>IFERROR(__xludf.DUMMYFUNCTION("""COMPUTED_VALUE"""),"قزوین")</f>
        <v>قزوین</v>
      </c>
      <c r="E4080" s="5" t="str">
        <f>IFERROR(__xludf.DUMMYFUNCTION("""COMPUTED_VALUE"""),"قزوین")</f>
        <v>قزوین</v>
      </c>
      <c r="F4080" s="5"/>
      <c r="G4080" s="5"/>
      <c r="H4080" s="6" t="str">
        <f>IFERROR(__xludf.DUMMYFUNCTION("""COMPUTED_VALUE"""),"https://www.instagram.com/sarallah_qaz/")</f>
        <v>https://www.instagram.com/sarallah_qaz/</v>
      </c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</row>
    <row r="4081">
      <c r="A4081" s="5"/>
      <c r="B4081" s="5" t="str">
        <f>IFERROR(__xludf.DUMMYFUNCTION("""COMPUTED_VALUE"""),"هیأت")</f>
        <v>هیأت</v>
      </c>
      <c r="C4081" s="5" t="str">
        <f>IFERROR(__xludf.DUMMYFUNCTION("""COMPUTED_VALUE"""),"خدام الرضا (ع)")</f>
        <v>خدام الرضا (ع)</v>
      </c>
      <c r="D4081" s="5" t="str">
        <f>IFERROR(__xludf.DUMMYFUNCTION("""COMPUTED_VALUE"""),"قزوین")</f>
        <v>قزوین</v>
      </c>
      <c r="E4081" s="5" t="str">
        <f>IFERROR(__xludf.DUMMYFUNCTION("""COMPUTED_VALUE"""),"قزوین")</f>
        <v>قزوین</v>
      </c>
      <c r="F4081" s="5"/>
      <c r="G4081" s="5"/>
      <c r="H4081" s="6" t="str">
        <f>IFERROR(__xludf.DUMMYFUNCTION("""COMPUTED_VALUE"""),"https://www.instagram.com/khoddamor_reza_qazvin/")</f>
        <v>https://www.instagram.com/khoddamor_reza_qazvin/</v>
      </c>
      <c r="I4081" s="6" t="str">
        <f>IFERROR(__xludf.DUMMYFUNCTION("""COMPUTED_VALUE"""),"t.me/khoddamor_reza")</f>
        <v>t.me/khoddamor_reza</v>
      </c>
      <c r="J4081" s="5"/>
      <c r="K4081" s="5"/>
      <c r="L4081" s="5"/>
      <c r="M4081" s="5"/>
      <c r="N4081" s="5"/>
      <c r="O4081" s="5"/>
      <c r="P4081" s="5"/>
      <c r="Q4081" s="5"/>
      <c r="R4081" s="5"/>
      <c r="S4081" s="5"/>
    </row>
    <row r="4082">
      <c r="A4082" s="5">
        <f>IFERROR(__xludf.DUMMYFUNCTION("""COMPUTED_VALUE"""),10130.0)</f>
        <v>10130</v>
      </c>
      <c r="B4082" s="5" t="str">
        <f>IFERROR(__xludf.DUMMYFUNCTION("""COMPUTED_VALUE"""),"هیأت")</f>
        <v>هیأت</v>
      </c>
      <c r="C4082" s="5" t="str">
        <f>IFERROR(__xludf.DUMMYFUNCTION("""COMPUTED_VALUE"""),"محسن الزهرا(ع) (مسجد صاحب الزمان(عج))")</f>
        <v>محسن الزهرا(ع) (مسجد صاحب الزمان(عج))</v>
      </c>
      <c r="D4082" s="5" t="str">
        <f>IFERROR(__xludf.DUMMYFUNCTION("""COMPUTED_VALUE"""),"قزوین")</f>
        <v>قزوین</v>
      </c>
      <c r="E4082" s="5" t="str">
        <f>IFERROR(__xludf.DUMMYFUNCTION("""COMPUTED_VALUE"""),"قزوین")</f>
        <v>قزوین</v>
      </c>
      <c r="F4082" s="5"/>
      <c r="G4082" s="5"/>
      <c r="H4082" s="5"/>
      <c r="I4082" s="5"/>
      <c r="J4082" s="6" t="str">
        <f>IFERROR(__xludf.DUMMYFUNCTION("""COMPUTED_VALUE"""),"https://eitaa.com/mohsenzahra_qazvin")</f>
        <v>https://eitaa.com/mohsenzahra_qazvin</v>
      </c>
      <c r="K4082" s="5"/>
      <c r="L4082" s="5"/>
      <c r="M4082" s="5"/>
      <c r="N4082" s="5"/>
      <c r="O4082" s="5"/>
      <c r="P4082" s="5"/>
      <c r="Q4082" s="5"/>
      <c r="R4082" s="5"/>
      <c r="S4082" s="5"/>
    </row>
    <row r="4083">
      <c r="A4083" s="5">
        <f>IFERROR(__xludf.DUMMYFUNCTION("""COMPUTED_VALUE"""),101129.0)</f>
        <v>101129</v>
      </c>
      <c r="B4083" s="5" t="str">
        <f>IFERROR(__xludf.DUMMYFUNCTION("""COMPUTED_VALUE"""),"هیأت")</f>
        <v>هیأت</v>
      </c>
      <c r="C4083" s="5" t="str">
        <f>IFERROR(__xludf.DUMMYFUNCTION("""COMPUTED_VALUE"""),"عاشورائیان (شهرک کوثر)")</f>
        <v>عاشورائیان (شهرک کوثر)</v>
      </c>
      <c r="D4083" s="5" t="str">
        <f>IFERROR(__xludf.DUMMYFUNCTION("""COMPUTED_VALUE"""),"قزوین")</f>
        <v>قزوین</v>
      </c>
      <c r="E4083" s="5" t="str">
        <f>IFERROR(__xludf.DUMMYFUNCTION("""COMPUTED_VALUE"""),"قزوین")</f>
        <v>قزوین</v>
      </c>
      <c r="F4083" s="5"/>
      <c r="G4083" s="5"/>
      <c r="H4083" s="6" t="str">
        <f>IFERROR(__xludf.DUMMYFUNCTION("""COMPUTED_VALUE"""),"https://www.instagram.com/ashouraiyanqazvin")</f>
        <v>https://www.instagram.com/ashouraiyanqazvin</v>
      </c>
      <c r="I4083" s="6" t="str">
        <f>IFERROR(__xludf.DUMMYFUNCTION("""COMPUTED_VALUE"""),"t.me/ashouraiyanqazvin")</f>
        <v>t.me/ashouraiyanqazvin</v>
      </c>
      <c r="J4083" s="6" t="str">
        <f>IFERROR(__xludf.DUMMYFUNCTION("""COMPUTED_VALUE"""),"https://eitaa.com/ashouraiyanqazvin")</f>
        <v>https://eitaa.com/ashouraiyanqazvin</v>
      </c>
      <c r="K4083" s="5"/>
      <c r="L4083" s="5"/>
      <c r="M4083" s="5"/>
      <c r="N4083" s="5"/>
      <c r="O4083" s="5"/>
      <c r="P4083" s="5"/>
      <c r="Q4083" s="5"/>
      <c r="R4083" s="5"/>
      <c r="S4083" s="5"/>
    </row>
    <row r="4084">
      <c r="A4084" s="5">
        <f>IFERROR(__xludf.DUMMYFUNCTION("""COMPUTED_VALUE"""),10127.0)</f>
        <v>10127</v>
      </c>
      <c r="B4084" s="5" t="str">
        <f>IFERROR(__xludf.DUMMYFUNCTION("""COMPUTED_VALUE"""),"هیأت")</f>
        <v>هیأت</v>
      </c>
      <c r="C4084" s="5" t="str">
        <f>IFERROR(__xludf.DUMMYFUNCTION("""COMPUTED_VALUE"""),"حسین جان(ع) (مسجد جامع المهدی)")</f>
        <v>حسین جان(ع) (مسجد جامع المهدی)</v>
      </c>
      <c r="D4084" s="5" t="str">
        <f>IFERROR(__xludf.DUMMYFUNCTION("""COMPUTED_VALUE"""),"قزوین")</f>
        <v>قزوین</v>
      </c>
      <c r="E4084" s="5" t="str">
        <f>IFERROR(__xludf.DUMMYFUNCTION("""COMPUTED_VALUE"""),"قزوین")</f>
        <v>قزوین</v>
      </c>
      <c r="F4084" s="5"/>
      <c r="G4084" s="5"/>
      <c r="H4084" s="6" t="str">
        <f>IFERROR(__xludf.DUMMYFUNCTION("""COMPUTED_VALUE"""),"https://www.instagram.com/hosseinjan_qazvin/")</f>
        <v>https://www.instagram.com/hosseinjan_qazvin/</v>
      </c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</row>
    <row r="4085">
      <c r="A4085" s="5"/>
      <c r="B4085" s="5" t="str">
        <f>IFERROR(__xludf.DUMMYFUNCTION("""COMPUTED_VALUE"""),"هیأت")</f>
        <v>هیأت</v>
      </c>
      <c r="C4085" s="5" t="str">
        <f>IFERROR(__xludf.DUMMYFUNCTION("""COMPUTED_VALUE"""),"محبین ام ابیها")</f>
        <v>محبین ام ابیها</v>
      </c>
      <c r="D4085" s="5" t="str">
        <f>IFERROR(__xludf.DUMMYFUNCTION("""COMPUTED_VALUE"""),"قزوین")</f>
        <v>قزوین</v>
      </c>
      <c r="E4085" s="5" t="str">
        <f>IFERROR(__xludf.DUMMYFUNCTION("""COMPUTED_VALUE"""),"قزوین")</f>
        <v>قزوین</v>
      </c>
      <c r="F4085" s="5"/>
      <c r="G4085" s="5"/>
      <c r="H4085" s="6" t="str">
        <f>IFERROR(__xludf.DUMMYFUNCTION("""COMPUTED_VALUE"""),"https://www.instagram.com/hussainia_omm_abiha1437/")</f>
        <v>https://www.instagram.com/hussainia_omm_abiha1437/</v>
      </c>
      <c r="I4085" s="6" t="str">
        <f>IFERROR(__xludf.DUMMYFUNCTION("""COMPUTED_VALUE"""),"https://t.me/mohebbin_ommeabiha")</f>
        <v>https://t.me/mohebbin_ommeabiha</v>
      </c>
      <c r="J4085" s="5"/>
      <c r="K4085" s="5"/>
      <c r="L4085" s="5"/>
      <c r="M4085" s="5"/>
      <c r="N4085" s="5"/>
      <c r="O4085" s="5"/>
      <c r="P4085" s="5"/>
      <c r="Q4085" s="5"/>
      <c r="R4085" s="5"/>
      <c r="S4085" s="5"/>
    </row>
    <row r="4086">
      <c r="A4086" s="5"/>
      <c r="B4086" s="5" t="str">
        <f>IFERROR(__xludf.DUMMYFUNCTION("""COMPUTED_VALUE"""),"هیأت")</f>
        <v>هیأت</v>
      </c>
      <c r="C4086" s="5" t="str">
        <f>IFERROR(__xludf.DUMMYFUNCTION("""COMPUTED_VALUE"""),"حسن جان")</f>
        <v>حسن جان</v>
      </c>
      <c r="D4086" s="5" t="str">
        <f>IFERROR(__xludf.DUMMYFUNCTION("""COMPUTED_VALUE"""),"قزوین")</f>
        <v>قزوین</v>
      </c>
      <c r="E4086" s="5" t="str">
        <f>IFERROR(__xludf.DUMMYFUNCTION("""COMPUTED_VALUE"""),"قزوین")</f>
        <v>قزوین</v>
      </c>
      <c r="F4086" s="5"/>
      <c r="G4086" s="5"/>
      <c r="H4086" s="6" t="str">
        <f>IFERROR(__xludf.DUMMYFUNCTION("""COMPUTED_VALUE"""),"https://www.instagram.com/hasanjaanqazvin/")</f>
        <v>https://www.instagram.com/hasanjaanqazvin/</v>
      </c>
      <c r="I4086" s="6" t="str">
        <f>IFERROR(__xludf.DUMMYFUNCTION("""COMPUTED_VALUE"""),"https://t.me/hasanjaan_qazvin")</f>
        <v>https://t.me/hasanjaan_qazvin</v>
      </c>
      <c r="J4086" s="5"/>
      <c r="K4086" s="5"/>
      <c r="L4086" s="5"/>
      <c r="M4086" s="5"/>
      <c r="N4086" s="5"/>
      <c r="O4086" s="5"/>
      <c r="P4086" s="5"/>
      <c r="Q4086" s="5"/>
      <c r="R4086" s="5"/>
      <c r="S4086" s="5"/>
    </row>
    <row r="4087">
      <c r="A4087" s="5"/>
      <c r="B4087" s="5" t="str">
        <f>IFERROR(__xludf.DUMMYFUNCTION("""COMPUTED_VALUE"""),"هیأت")</f>
        <v>هیأت</v>
      </c>
      <c r="C4087" s="5" t="str">
        <f>IFERROR(__xludf.DUMMYFUNCTION("""COMPUTED_VALUE"""),"حضرت مسلم علیه السلام")</f>
        <v>حضرت مسلم علیه السلام</v>
      </c>
      <c r="D4087" s="5" t="str">
        <f>IFERROR(__xludf.DUMMYFUNCTION("""COMPUTED_VALUE"""),"قزوین")</f>
        <v>قزوین</v>
      </c>
      <c r="E4087" s="5" t="str">
        <f>IFERROR(__xludf.DUMMYFUNCTION("""COMPUTED_VALUE"""),"قزوین")</f>
        <v>قزوین</v>
      </c>
      <c r="F4087" s="5"/>
      <c r="G4087" s="5"/>
      <c r="H4087" s="6" t="str">
        <f>IFERROR(__xludf.DUMMYFUNCTION("""COMPUTED_VALUE"""),"https://www.instagram.com/hazratmoslem_qazvin/")</f>
        <v>https://www.instagram.com/hazratmoslem_qazvin/</v>
      </c>
      <c r="I4087" s="6" t="str">
        <f>IFERROR(__xludf.DUMMYFUNCTION("""COMPUTED_VALUE"""),"https://t.me/majmoe_hazratmoslem")</f>
        <v>https://t.me/majmoe_hazratmoslem</v>
      </c>
      <c r="J4087" s="5"/>
      <c r="K4087" s="5"/>
      <c r="L4087" s="5"/>
      <c r="M4087" s="5"/>
      <c r="N4087" s="5"/>
      <c r="O4087" s="5"/>
      <c r="P4087" s="5"/>
      <c r="Q4087" s="5"/>
      <c r="R4087" s="5"/>
      <c r="S4087" s="5"/>
    </row>
    <row r="4088">
      <c r="A4088" s="5"/>
      <c r="B4088" s="5" t="str">
        <f>IFERROR(__xludf.DUMMYFUNCTION("""COMPUTED_VALUE"""),"هیأت")</f>
        <v>هیأت</v>
      </c>
      <c r="C4088" s="5" t="str">
        <f>IFERROR(__xludf.DUMMYFUNCTION("""COMPUTED_VALUE"""),"محفل معظم یا علی (ع)")</f>
        <v>محفل معظم یا علی (ع)</v>
      </c>
      <c r="D4088" s="5" t="str">
        <f>IFERROR(__xludf.DUMMYFUNCTION("""COMPUTED_VALUE"""),"قزوین")</f>
        <v>قزوین</v>
      </c>
      <c r="E4088" s="5" t="str">
        <f>IFERROR(__xludf.DUMMYFUNCTION("""COMPUTED_VALUE"""),"قزوین")</f>
        <v>قزوین</v>
      </c>
      <c r="F4088" s="5"/>
      <c r="G4088" s="5"/>
      <c r="H4088" s="6" t="str">
        <f>IFERROR(__xludf.DUMMYFUNCTION("""COMPUTED_VALUE"""),"https://www.instagram.com/mahfel_moazam_yaali_qazvin/")</f>
        <v>https://www.instagram.com/mahfel_moazam_yaali_qazvin/</v>
      </c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</row>
    <row r="4089">
      <c r="A4089" s="5"/>
      <c r="B4089" s="5" t="str">
        <f>IFERROR(__xludf.DUMMYFUNCTION("""COMPUTED_VALUE"""),"هیأت")</f>
        <v>هیأت</v>
      </c>
      <c r="C4089" s="5" t="str">
        <f>IFERROR(__xludf.DUMMYFUNCTION("""COMPUTED_VALUE"""),"بیت العباس (ع)")</f>
        <v>بیت العباس (ع)</v>
      </c>
      <c r="D4089" s="5" t="str">
        <f>IFERROR(__xludf.DUMMYFUNCTION("""COMPUTED_VALUE"""),"قزوین")</f>
        <v>قزوین</v>
      </c>
      <c r="E4089" s="5" t="str">
        <f>IFERROR(__xludf.DUMMYFUNCTION("""COMPUTED_VALUE"""),"قزوین")</f>
        <v>قزوین</v>
      </c>
      <c r="F4089" s="5"/>
      <c r="G4089" s="5"/>
      <c r="H4089" s="6" t="str">
        <f>IFERROR(__xludf.DUMMYFUNCTION("""COMPUTED_VALUE"""),"https://www.instagram.com/beitol_abbas_qazvinn/")</f>
        <v>https://www.instagram.com/beitol_abbas_qazvinn/</v>
      </c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</row>
    <row r="4090">
      <c r="A4090" s="5"/>
      <c r="B4090" s="5" t="str">
        <f>IFERROR(__xludf.DUMMYFUNCTION("""COMPUTED_VALUE"""),"هیأت")</f>
        <v>هیأت</v>
      </c>
      <c r="C4090" s="5" t="str">
        <f>IFERROR(__xludf.DUMMYFUNCTION("""COMPUTED_VALUE"""),"محسنیه کربلایی ها")</f>
        <v>محسنیه کربلایی ها</v>
      </c>
      <c r="D4090" s="5" t="str">
        <f>IFERROR(__xludf.DUMMYFUNCTION("""COMPUTED_VALUE"""),"قزوین")</f>
        <v>قزوین</v>
      </c>
      <c r="E4090" s="5" t="str">
        <f>IFERROR(__xludf.DUMMYFUNCTION("""COMPUTED_VALUE"""),"قزوین")</f>
        <v>قزوین</v>
      </c>
      <c r="F4090" s="5"/>
      <c r="G4090" s="5"/>
      <c r="H4090" s="6" t="str">
        <f>IFERROR(__xludf.DUMMYFUNCTION("""COMPUTED_VALUE"""),"https://www.instagram.com/mohseniyeqazvin/")</f>
        <v>https://www.instagram.com/mohseniyeqazvin/</v>
      </c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</row>
    <row r="4091">
      <c r="A4091" s="5"/>
      <c r="B4091" s="5" t="str">
        <f>IFERROR(__xludf.DUMMYFUNCTION("""COMPUTED_VALUE"""),"هنری")</f>
        <v>هنری</v>
      </c>
      <c r="C4091" s="5" t="str">
        <f>IFERROR(__xludf.DUMMYFUNCTION("""COMPUTED_VALUE"""),"فدک")</f>
        <v>فدک</v>
      </c>
      <c r="D4091" s="5" t="str">
        <f>IFERROR(__xludf.DUMMYFUNCTION("""COMPUTED_VALUE"""),"قزوین")</f>
        <v>قزوین</v>
      </c>
      <c r="E4091" s="5" t="str">
        <f>IFERROR(__xludf.DUMMYFUNCTION("""COMPUTED_VALUE"""),"قزوین")</f>
        <v>قزوین</v>
      </c>
      <c r="F4091" s="5"/>
      <c r="G4091" s="5"/>
      <c r="H4091" s="6" t="str">
        <f>IFERROR(__xludf.DUMMYFUNCTION("""COMPUTED_VALUE"""),"https://www.instagram.com/fadak.qazvin/")</f>
        <v>https://www.instagram.com/fadak.qazvin/</v>
      </c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</row>
    <row r="4092">
      <c r="A4092" s="5"/>
      <c r="B4092" s="5" t="str">
        <f>IFERROR(__xludf.DUMMYFUNCTION("""COMPUTED_VALUE"""),"هیأت")</f>
        <v>هیأت</v>
      </c>
      <c r="C4092" s="5" t="str">
        <f>IFERROR(__xludf.DUMMYFUNCTION("""COMPUTED_VALUE"""),"پیامبــراعظــم")</f>
        <v>پیامبــراعظــم</v>
      </c>
      <c r="D4092" s="5" t="str">
        <f>IFERROR(__xludf.DUMMYFUNCTION("""COMPUTED_VALUE"""),"قزوین")</f>
        <v>قزوین</v>
      </c>
      <c r="E4092" s="5" t="str">
        <f>IFERROR(__xludf.DUMMYFUNCTION("""COMPUTED_VALUE"""),"قزوین")</f>
        <v>قزوین</v>
      </c>
      <c r="F4092" s="5"/>
      <c r="G4092" s="5"/>
      <c r="H4092" s="6" t="str">
        <f>IFERROR(__xludf.DUMMYFUNCTION("""COMPUTED_VALUE"""),"https://www.instagram.com/mohammadeamin_info/")</f>
        <v>https://www.instagram.com/mohammadeamin_info/</v>
      </c>
      <c r="I4092" s="6" t="str">
        <f>IFERROR(__xludf.DUMMYFUNCTION("""COMPUTED_VALUE"""),"https://t.me/Mohammadeamin_info")</f>
        <v>https://t.me/Mohammadeamin_info</v>
      </c>
      <c r="J4092" s="5"/>
      <c r="K4092" s="5"/>
      <c r="L4092" s="5"/>
      <c r="M4092" s="5"/>
      <c r="N4092" s="5"/>
      <c r="O4092" s="5"/>
      <c r="P4092" s="5"/>
      <c r="Q4092" s="5"/>
      <c r="R4092" s="5"/>
      <c r="S4092" s="5"/>
    </row>
    <row r="4093">
      <c r="A4093" s="5"/>
      <c r="B4093" s="5" t="str">
        <f>IFERROR(__xludf.DUMMYFUNCTION("""COMPUTED_VALUE"""),"هیأت")</f>
        <v>هیأت</v>
      </c>
      <c r="C4093" s="5" t="str">
        <f>IFERROR(__xludf.DUMMYFUNCTION("""COMPUTED_VALUE"""),"اباصالح المهدی")</f>
        <v>اباصالح المهدی</v>
      </c>
      <c r="D4093" s="5" t="str">
        <f>IFERROR(__xludf.DUMMYFUNCTION("""COMPUTED_VALUE"""),"قزوین")</f>
        <v>قزوین</v>
      </c>
      <c r="E4093" s="5" t="str">
        <f>IFERROR(__xludf.DUMMYFUNCTION("""COMPUTED_VALUE"""),"قزوین")</f>
        <v>قزوین</v>
      </c>
      <c r="F4093" s="5"/>
      <c r="G4093" s="5"/>
      <c r="H4093" s="5"/>
      <c r="I4093" s="5"/>
      <c r="J4093" s="6" t="str">
        <f>IFERROR(__xludf.DUMMYFUNCTION("""COMPUTED_VALUE"""),"https://eitaa.com/abasaleh_inf")</f>
        <v>https://eitaa.com/abasaleh_inf</v>
      </c>
      <c r="K4093" s="5"/>
      <c r="L4093" s="5"/>
      <c r="M4093" s="5"/>
      <c r="N4093" s="5"/>
      <c r="O4093" s="5"/>
      <c r="P4093" s="5"/>
      <c r="Q4093" s="5"/>
      <c r="R4093" s="5"/>
      <c r="S4093" s="5"/>
    </row>
    <row r="4094">
      <c r="A4094" s="5"/>
      <c r="B4094" s="5" t="str">
        <f>IFERROR(__xludf.DUMMYFUNCTION("""COMPUTED_VALUE"""),"هیأت")</f>
        <v>هیأت</v>
      </c>
      <c r="C4094" s="5" t="str">
        <f>IFERROR(__xludf.DUMMYFUNCTION("""COMPUTED_VALUE"""),"محبان امام حسن مجتبی (ع)")</f>
        <v>محبان امام حسن مجتبی (ع)</v>
      </c>
      <c r="D4094" s="5" t="str">
        <f>IFERROR(__xludf.DUMMYFUNCTION("""COMPUTED_VALUE"""),"قزوین")</f>
        <v>قزوین</v>
      </c>
      <c r="E4094" s="5" t="str">
        <f>IFERROR(__xludf.DUMMYFUNCTION("""COMPUTED_VALUE"""),"قزوین")</f>
        <v>قزوین</v>
      </c>
      <c r="F4094" s="5"/>
      <c r="G4094" s="5"/>
      <c r="H4094" s="5"/>
      <c r="I4094" s="5"/>
      <c r="J4094" s="6" t="str">
        <f>IFERROR(__xludf.DUMMYFUNCTION("""COMPUTED_VALUE"""),"https://eitaa.com/hasanieh_heyat")</f>
        <v>https://eitaa.com/hasanieh_heyat</v>
      </c>
      <c r="K4094" s="5"/>
      <c r="L4094" s="5"/>
      <c r="M4094" s="5"/>
      <c r="N4094" s="5"/>
      <c r="O4094" s="5"/>
      <c r="P4094" s="5"/>
      <c r="Q4094" s="5"/>
      <c r="R4094" s="5"/>
      <c r="S4094" s="5"/>
    </row>
    <row r="4095">
      <c r="A4095" s="5"/>
      <c r="B4095" s="5" t="str">
        <f>IFERROR(__xludf.DUMMYFUNCTION("""COMPUTED_VALUE"""),"هیأت")</f>
        <v>هیأت</v>
      </c>
      <c r="C4095" s="5" t="str">
        <f>IFERROR(__xludf.DUMMYFUNCTION("""COMPUTED_VALUE"""),"انصارالصلاه (موسسه فرهنگی کمیل)")</f>
        <v>انصارالصلاه (موسسه فرهنگی کمیل)</v>
      </c>
      <c r="D4095" s="5" t="str">
        <f>IFERROR(__xludf.DUMMYFUNCTION("""COMPUTED_VALUE"""),"قزوین")</f>
        <v>قزوین</v>
      </c>
      <c r="E4095" s="5" t="str">
        <f>IFERROR(__xludf.DUMMYFUNCTION("""COMPUTED_VALUE"""),"قزوین")</f>
        <v>قزوین</v>
      </c>
      <c r="F4095" s="5"/>
      <c r="G4095" s="5"/>
      <c r="H4095" s="6" t="str">
        <f>IFERROR(__xludf.DUMMYFUNCTION("""COMPUTED_VALUE"""),"https://www.instagram.com/yaranenamaz/")</f>
        <v>https://www.instagram.com/yaranenamaz/</v>
      </c>
      <c r="I4095" s="6" t="str">
        <f>IFERROR(__xludf.DUMMYFUNCTION("""COMPUTED_VALUE"""),"https://t.me/yaranenamaz")</f>
        <v>https://t.me/yaranenamaz</v>
      </c>
      <c r="J4095" s="5"/>
      <c r="K4095" s="5"/>
      <c r="L4095" s="5"/>
      <c r="M4095" s="6" t="str">
        <f>IFERROR(__xludf.DUMMYFUNCTION("""COMPUTED_VALUE"""),"www.yaranenamaz.com")</f>
        <v>www.yaranenamaz.com</v>
      </c>
      <c r="N4095" s="5"/>
      <c r="O4095" s="5"/>
      <c r="P4095" s="5"/>
      <c r="Q4095" s="5"/>
      <c r="R4095" s="5"/>
      <c r="S4095" s="5"/>
    </row>
    <row r="4096">
      <c r="A4096" s="5"/>
      <c r="B4096" s="5" t="str">
        <f>IFERROR(__xludf.DUMMYFUNCTION("""COMPUTED_VALUE"""),"هیأت")</f>
        <v>هیأت</v>
      </c>
      <c r="C4096" s="5" t="str">
        <f>IFERROR(__xludf.DUMMYFUNCTION("""COMPUTED_VALUE"""),"بیت الرقیه (س) اعظم")</f>
        <v>بیت الرقیه (س) اعظم</v>
      </c>
      <c r="D4096" s="5" t="str">
        <f>IFERROR(__xludf.DUMMYFUNCTION("""COMPUTED_VALUE"""),"قزوین")</f>
        <v>قزوین</v>
      </c>
      <c r="E4096" s="5" t="str">
        <f>IFERROR(__xludf.DUMMYFUNCTION("""COMPUTED_VALUE"""),"قزوین")</f>
        <v>قزوین</v>
      </c>
      <c r="F4096" s="5"/>
      <c r="G4096" s="5"/>
      <c r="H4096" s="6" t="str">
        <f>IFERROR(__xludf.DUMMYFUNCTION("""COMPUTED_VALUE"""),"https://www.instagram.com/beytorroqayyeh/")</f>
        <v>https://www.instagram.com/beytorroqayyeh/</v>
      </c>
      <c r="I4096" s="6" t="str">
        <f>IFERROR(__xludf.DUMMYFUNCTION("""COMPUTED_VALUE"""),"t.me/beytorroqayyeh")</f>
        <v>t.me/beytorroqayyeh</v>
      </c>
      <c r="J4096" s="5"/>
      <c r="K4096" s="5"/>
      <c r="L4096" s="5"/>
      <c r="M4096" s="5"/>
      <c r="N4096" s="5"/>
      <c r="O4096" s="5"/>
      <c r="P4096" s="5"/>
      <c r="Q4096" s="5"/>
      <c r="R4096" s="5"/>
      <c r="S4096" s="5"/>
    </row>
    <row r="4097">
      <c r="A4097" s="5"/>
      <c r="B4097" s="5" t="str">
        <f>IFERROR(__xludf.DUMMYFUNCTION("""COMPUTED_VALUE"""),"هیأت")</f>
        <v>هیأت</v>
      </c>
      <c r="C4097" s="5" t="str">
        <f>IFERROR(__xludf.DUMMYFUNCTION("""COMPUTED_VALUE"""),"حسین جان")</f>
        <v>حسین جان</v>
      </c>
      <c r="D4097" s="5" t="str">
        <f>IFERROR(__xludf.DUMMYFUNCTION("""COMPUTED_VALUE"""),"قزوین")</f>
        <v>قزوین</v>
      </c>
      <c r="E4097" s="5" t="str">
        <f>IFERROR(__xludf.DUMMYFUNCTION("""COMPUTED_VALUE"""),"قزوین")</f>
        <v>قزوین</v>
      </c>
      <c r="F4097" s="5"/>
      <c r="G4097" s="5"/>
      <c r="H4097" s="6" t="str">
        <f>IFERROR(__xludf.DUMMYFUNCTION("""COMPUTED_VALUE"""),"https://www.instagram.com/hosseinjan_qazvin/")</f>
        <v>https://www.instagram.com/hosseinjan_qazvin/</v>
      </c>
      <c r="I4097" s="6" t="str">
        <f>IFERROR(__xludf.DUMMYFUNCTION("""COMPUTED_VALUE"""),"https://telegram.me/hosseinjan_qazvin")</f>
        <v>https://telegram.me/hosseinjan_qazvin</v>
      </c>
      <c r="J4097" s="6" t="str">
        <f>IFERROR(__xludf.DUMMYFUNCTION("""COMPUTED_VALUE"""),"https://eitaa.com/hosseinjan_qazvin")</f>
        <v>https://eitaa.com/hosseinjan_qazvin</v>
      </c>
      <c r="K4097" s="5"/>
      <c r="L4097" s="5"/>
      <c r="M4097" s="5"/>
      <c r="N4097" s="5"/>
      <c r="O4097" s="5"/>
      <c r="P4097" s="5"/>
      <c r="Q4097" s="5"/>
      <c r="R4097" s="5"/>
      <c r="S4097" s="5"/>
    </row>
    <row r="4098">
      <c r="A4098" s="5"/>
      <c r="B4098" s="5" t="str">
        <f>IFERROR(__xludf.DUMMYFUNCTION("""COMPUTED_VALUE"""),"هیأت")</f>
        <v>هیأت</v>
      </c>
      <c r="C4098" s="5" t="str">
        <f>IFERROR(__xludf.DUMMYFUNCTION("""COMPUTED_VALUE"""),"رقیه جان (س)")</f>
        <v>رقیه جان (س)</v>
      </c>
      <c r="D4098" s="5" t="str">
        <f>IFERROR(__xludf.DUMMYFUNCTION("""COMPUTED_VALUE"""),"قزوین")</f>
        <v>قزوین</v>
      </c>
      <c r="E4098" s="5" t="str">
        <f>IFERROR(__xludf.DUMMYFUNCTION("""COMPUTED_VALUE"""),"قزوین")</f>
        <v>قزوین</v>
      </c>
      <c r="F4098" s="5"/>
      <c r="G4098" s="5"/>
      <c r="H4098" s="6" t="str">
        <f>IFERROR(__xludf.DUMMYFUNCTION("""COMPUTED_VALUE"""),"https://www.instagram.com/roghaye_jaan315/")</f>
        <v>https://www.instagram.com/roghaye_jaan315/</v>
      </c>
      <c r="I4098" s="6" t="str">
        <f>IFERROR(__xludf.DUMMYFUNCTION("""COMPUTED_VALUE"""),"t.me/Roghaye_jaan315")</f>
        <v>t.me/Roghaye_jaan315</v>
      </c>
      <c r="J4098" s="5"/>
      <c r="K4098" s="5"/>
      <c r="L4098" s="5"/>
      <c r="M4098" s="5"/>
      <c r="N4098" s="5"/>
      <c r="O4098" s="5"/>
      <c r="P4098" s="5"/>
      <c r="Q4098" s="5"/>
      <c r="R4098" s="5"/>
      <c r="S4098" s="5"/>
    </row>
    <row r="4099">
      <c r="A4099" s="5"/>
      <c r="B4099" s="5" t="str">
        <f>IFERROR(__xludf.DUMMYFUNCTION("""COMPUTED_VALUE"""),"هیأت")</f>
        <v>هیأت</v>
      </c>
      <c r="C4099" s="5" t="str">
        <f>IFERROR(__xludf.DUMMYFUNCTION("""COMPUTED_VALUE"""),"رقیه خاتون (س)")</f>
        <v>رقیه خاتون (س)</v>
      </c>
      <c r="D4099" s="5" t="str">
        <f>IFERROR(__xludf.DUMMYFUNCTION("""COMPUTED_VALUE"""),"قزوین")</f>
        <v>قزوین</v>
      </c>
      <c r="E4099" s="5" t="str">
        <f>IFERROR(__xludf.DUMMYFUNCTION("""COMPUTED_VALUE"""),"قزوین")</f>
        <v>قزوین</v>
      </c>
      <c r="F4099" s="5"/>
      <c r="G4099" s="5"/>
      <c r="H4099" s="6" t="str">
        <f>IFERROR(__xludf.DUMMYFUNCTION("""COMPUTED_VALUE"""),"https://www.instagram.com/roghayeh_khatun_qazvin/")</f>
        <v>https://www.instagram.com/roghayeh_khatun_qazvin/</v>
      </c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</row>
    <row r="4100">
      <c r="A4100" s="5"/>
      <c r="B4100" s="5" t="str">
        <f>IFERROR(__xludf.DUMMYFUNCTION("""COMPUTED_VALUE"""),"هیأت")</f>
        <v>هیأت</v>
      </c>
      <c r="C4100" s="5" t="str">
        <f>IFERROR(__xludf.DUMMYFUNCTION("""COMPUTED_VALUE"""),"روضه خانگی")</f>
        <v>روضه خانگی</v>
      </c>
      <c r="D4100" s="5" t="str">
        <f>IFERROR(__xludf.DUMMYFUNCTION("""COMPUTED_VALUE"""),"قزوین")</f>
        <v>قزوین</v>
      </c>
      <c r="E4100" s="5" t="str">
        <f>IFERROR(__xludf.DUMMYFUNCTION("""COMPUTED_VALUE"""),"قزوین")</f>
        <v>قزوین</v>
      </c>
      <c r="F4100" s="5"/>
      <c r="G4100" s="5"/>
      <c r="H4100" s="6" t="str">
        <f>IFERROR(__xludf.DUMMYFUNCTION("""COMPUTED_VALUE"""),"https://www.instagram.com/sedreh_qazvin/")</f>
        <v>https://www.instagram.com/sedreh_qazvin/</v>
      </c>
      <c r="I4100" s="6" t="str">
        <f>IFERROR(__xludf.DUMMYFUNCTION("""COMPUTED_VALUE"""),"t.me/Sedreh_Qazvin")</f>
        <v>t.me/Sedreh_Qazvin</v>
      </c>
      <c r="J4100" s="5"/>
      <c r="K4100" s="5"/>
      <c r="L4100" s="5"/>
      <c r="M4100" s="5"/>
      <c r="N4100" s="5"/>
      <c r="O4100" s="5"/>
      <c r="P4100" s="5"/>
      <c r="Q4100" s="5"/>
      <c r="R4100" s="5"/>
      <c r="S4100" s="5"/>
    </row>
    <row r="4101">
      <c r="A4101" s="5"/>
      <c r="B4101" s="5" t="str">
        <f>IFERROR(__xludf.DUMMYFUNCTION("""COMPUTED_VALUE"""),"هیأت")</f>
        <v>هیأت</v>
      </c>
      <c r="C4101" s="5" t="str">
        <f>IFERROR(__xludf.DUMMYFUNCTION("""COMPUTED_VALUE"""),"عاشورائیان")</f>
        <v>عاشورائیان</v>
      </c>
      <c r="D4101" s="5" t="str">
        <f>IFERROR(__xludf.DUMMYFUNCTION("""COMPUTED_VALUE"""),"قزوین")</f>
        <v>قزوین</v>
      </c>
      <c r="E4101" s="5" t="str">
        <f>IFERROR(__xludf.DUMMYFUNCTION("""COMPUTED_VALUE"""),"قزوین")</f>
        <v>قزوین</v>
      </c>
      <c r="F4101" s="5"/>
      <c r="G4101" s="5"/>
      <c r="H4101" s="6" t="str">
        <f>IFERROR(__xludf.DUMMYFUNCTION("""COMPUTED_VALUE"""),"https://www.instagram.com/ashouraian_ir/")</f>
        <v>https://www.instagram.com/ashouraian_ir/</v>
      </c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</row>
    <row r="4102">
      <c r="A4102" s="5"/>
      <c r="B4102" s="5" t="str">
        <f>IFERROR(__xludf.DUMMYFUNCTION("""COMPUTED_VALUE"""),"هیأت")</f>
        <v>هیأت</v>
      </c>
      <c r="C4102" s="5" t="str">
        <f>IFERROR(__xludf.DUMMYFUNCTION("""COMPUTED_VALUE"""),"عشاق المهدی (عج)")</f>
        <v>عشاق المهدی (عج)</v>
      </c>
      <c r="D4102" s="5" t="str">
        <f>IFERROR(__xludf.DUMMYFUNCTION("""COMPUTED_VALUE"""),"قزوین")</f>
        <v>قزوین</v>
      </c>
      <c r="E4102" s="5" t="str">
        <f>IFERROR(__xludf.DUMMYFUNCTION("""COMPUTED_VALUE"""),"قزوین")</f>
        <v>قزوین</v>
      </c>
      <c r="F4102" s="5"/>
      <c r="G4102" s="5"/>
      <c r="H4102" s="5" t="str">
        <f>IFERROR(__xludf.DUMMYFUNCTION("""COMPUTED_VALUE"""),"دسترسی صفحه قفل بود")</f>
        <v>دسترسی صفحه قفل بود</v>
      </c>
      <c r="I4102" s="5"/>
      <c r="J4102" s="6" t="str">
        <f>IFERROR(__xludf.DUMMYFUNCTION("""COMPUTED_VALUE"""),"https://eitaa.com/oshaqh_almahdi")</f>
        <v>https://eitaa.com/oshaqh_almahdi</v>
      </c>
      <c r="K4102" s="5"/>
      <c r="L4102" s="5"/>
      <c r="M4102" s="5"/>
      <c r="N4102" s="5"/>
      <c r="O4102" s="5"/>
      <c r="P4102" s="5"/>
      <c r="Q4102" s="5"/>
      <c r="R4102" s="5"/>
      <c r="S4102" s="5"/>
    </row>
    <row r="4103">
      <c r="A4103" s="5"/>
      <c r="B4103" s="5" t="str">
        <f>IFERROR(__xludf.DUMMYFUNCTION("""COMPUTED_VALUE"""),"هیأت")</f>
        <v>هیأت</v>
      </c>
      <c r="C4103" s="5" t="str">
        <f>IFERROR(__xludf.DUMMYFUNCTION("""COMPUTED_VALUE"""),"عاشورائیان")</f>
        <v>عاشورائیان</v>
      </c>
      <c r="D4103" s="5" t="str">
        <f>IFERROR(__xludf.DUMMYFUNCTION("""COMPUTED_VALUE"""),"قزوین")</f>
        <v>قزوین</v>
      </c>
      <c r="E4103" s="5" t="str">
        <f>IFERROR(__xludf.DUMMYFUNCTION("""COMPUTED_VALUE"""),"قزوین")</f>
        <v>قزوین</v>
      </c>
      <c r="F4103" s="5"/>
      <c r="G4103" s="5"/>
      <c r="H4103" s="6" t="str">
        <f>IFERROR(__xludf.DUMMYFUNCTION("""COMPUTED_VALUE"""),"https://www.instagram.com/imamhosseinmosque/")</f>
        <v>https://www.instagram.com/imamhosseinmosque/</v>
      </c>
      <c r="I4103" s="6" t="str">
        <f>IFERROR(__xludf.DUMMYFUNCTION("""COMPUTED_VALUE"""),"t.me/Atresib_ir")</f>
        <v>t.me/Atresib_ir</v>
      </c>
      <c r="J4103" s="5"/>
      <c r="K4103" s="5"/>
      <c r="L4103" s="5"/>
      <c r="M4103" s="5"/>
      <c r="N4103" s="5"/>
      <c r="O4103" s="5"/>
      <c r="P4103" s="5"/>
      <c r="Q4103" s="5"/>
      <c r="R4103" s="5"/>
      <c r="S4103" s="5"/>
    </row>
    <row r="4104">
      <c r="A4104" s="5"/>
      <c r="B4104" s="5" t="str">
        <f>IFERROR(__xludf.DUMMYFUNCTION("""COMPUTED_VALUE"""),"هیأت")</f>
        <v>هیأت</v>
      </c>
      <c r="C4104" s="5" t="str">
        <f>IFERROR(__xludf.DUMMYFUNCTION("""COMPUTED_VALUE"""),"کانون فرهنگی هنری توحید")</f>
        <v>کانون فرهنگی هنری توحید</v>
      </c>
      <c r="D4104" s="5" t="str">
        <f>IFERROR(__xludf.DUMMYFUNCTION("""COMPUTED_VALUE"""),"قزوین")</f>
        <v>قزوین</v>
      </c>
      <c r="E4104" s="5" t="str">
        <f>IFERROR(__xludf.DUMMYFUNCTION("""COMPUTED_VALUE"""),"قزوین")</f>
        <v>قزوین</v>
      </c>
      <c r="F4104" s="5"/>
      <c r="G4104" s="5"/>
      <c r="H4104" s="5"/>
      <c r="I4104" s="5"/>
      <c r="J4104" s="6" t="str">
        <f>IFERROR(__xludf.DUMMYFUNCTION("""COMPUTED_VALUE"""),"https://eitaa.com/kanoonetowhid")</f>
        <v>https://eitaa.com/kanoonetowhid</v>
      </c>
      <c r="K4104" s="5"/>
      <c r="L4104" s="5"/>
      <c r="M4104" s="5"/>
      <c r="N4104" s="5"/>
      <c r="O4104" s="5"/>
      <c r="P4104" s="5"/>
      <c r="Q4104" s="5"/>
      <c r="R4104" s="5"/>
      <c r="S4104" s="5"/>
    </row>
    <row r="4105">
      <c r="A4105" s="5"/>
      <c r="B4105" s="5" t="str">
        <f>IFERROR(__xludf.DUMMYFUNCTION("""COMPUTED_VALUE"""),"هیأت")</f>
        <v>هیأت</v>
      </c>
      <c r="C4105" s="5" t="str">
        <f>IFERROR(__xludf.DUMMYFUNCTION("""COMPUTED_VALUE"""),"عاشقان اهل بیت (ع)")</f>
        <v>عاشقان اهل بیت (ع)</v>
      </c>
      <c r="D4105" s="5" t="str">
        <f>IFERROR(__xludf.DUMMYFUNCTION("""COMPUTED_VALUE"""),"قزوین")</f>
        <v>قزوین</v>
      </c>
      <c r="E4105" s="5" t="str">
        <f>IFERROR(__xludf.DUMMYFUNCTION("""COMPUTED_VALUE"""),"قزوین")</f>
        <v>قزوین</v>
      </c>
      <c r="F4105" s="5"/>
      <c r="G4105" s="5"/>
      <c r="H4105" s="6" t="str">
        <f>IFERROR(__xludf.DUMMYFUNCTION("""COMPUTED_VALUE"""),"https://www.instagram.com/heyat_asheghan_ahle_beyt/")</f>
        <v>https://www.instagram.com/heyat_asheghan_ahle_beyt/</v>
      </c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</row>
    <row r="4106">
      <c r="A4106" s="5"/>
      <c r="B4106" s="5" t="str">
        <f>IFERROR(__xludf.DUMMYFUNCTION("""COMPUTED_VALUE"""),"هیأت")</f>
        <v>هیأت</v>
      </c>
      <c r="C4106" s="5" t="str">
        <f>IFERROR(__xludf.DUMMYFUNCTION("""COMPUTED_VALUE"""),"مجمع الذاکرین")</f>
        <v>مجمع الذاکرین</v>
      </c>
      <c r="D4106" s="5" t="str">
        <f>IFERROR(__xludf.DUMMYFUNCTION("""COMPUTED_VALUE"""),"قزوین")</f>
        <v>قزوین</v>
      </c>
      <c r="E4106" s="5" t="str">
        <f>IFERROR(__xludf.DUMMYFUNCTION("""COMPUTED_VALUE"""),"قزوین")</f>
        <v>قزوین</v>
      </c>
      <c r="F4106" s="5"/>
      <c r="G4106" s="5"/>
      <c r="H4106" s="6" t="str">
        <f>IFERROR(__xludf.DUMMYFUNCTION("""COMPUTED_VALUE"""),"https://www.instagram.com/majmaa110/")</f>
        <v>https://www.instagram.com/majmaa110/</v>
      </c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</row>
    <row r="4107">
      <c r="A4107" s="5"/>
      <c r="B4107" s="5" t="str">
        <f>IFERROR(__xludf.DUMMYFUNCTION("""COMPUTED_VALUE"""),"هیأت")</f>
        <v>هیأت</v>
      </c>
      <c r="C4107" s="5" t="str">
        <f>IFERROR(__xludf.DUMMYFUNCTION("""COMPUTED_VALUE"""),"محبین حضرت محسن(ع)")</f>
        <v>محبین حضرت محسن(ع)</v>
      </c>
      <c r="D4107" s="5" t="str">
        <f>IFERROR(__xludf.DUMMYFUNCTION("""COMPUTED_VALUE"""),"قزوین")</f>
        <v>قزوین</v>
      </c>
      <c r="E4107" s="5" t="str">
        <f>IFERROR(__xludf.DUMMYFUNCTION("""COMPUTED_VALUE"""),"قزوین")</f>
        <v>قزوین</v>
      </c>
      <c r="F4107" s="5"/>
      <c r="G4107" s="5"/>
      <c r="H4107" s="6" t="str">
        <f>IFERROR(__xludf.DUMMYFUNCTION("""COMPUTED_VALUE"""),"https://www.instagram.com/heyate.mohebin.hazrate.mohsen/")</f>
        <v>https://www.instagram.com/heyate.mohebin.hazrate.mohsen/</v>
      </c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</row>
    <row r="4108">
      <c r="A4108" s="5"/>
      <c r="B4108" s="5" t="str">
        <f>IFERROR(__xludf.DUMMYFUNCTION("""COMPUTED_VALUE"""),"هیأت")</f>
        <v>هیأت</v>
      </c>
      <c r="C4108" s="5" t="str">
        <f>IFERROR(__xludf.DUMMYFUNCTION("""COMPUTED_VALUE"""),"مسجد امام خمینی (ره)")</f>
        <v>مسجد امام خمینی (ره)</v>
      </c>
      <c r="D4108" s="5" t="str">
        <f>IFERROR(__xludf.DUMMYFUNCTION("""COMPUTED_VALUE"""),"قزوین")</f>
        <v>قزوین</v>
      </c>
      <c r="E4108" s="5" t="str">
        <f>IFERROR(__xludf.DUMMYFUNCTION("""COMPUTED_VALUE"""),"قزوین")</f>
        <v>قزوین</v>
      </c>
      <c r="F4108" s="5"/>
      <c r="G4108" s="5"/>
      <c r="H4108" s="6" t="str">
        <f>IFERROR(__xludf.DUMMYFUNCTION("""COMPUTED_VALUE"""),"https://www.instagram.com/pirejamaran_com/")</f>
        <v>https://www.instagram.com/pirejamaran_com/</v>
      </c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</row>
    <row r="4109">
      <c r="A4109" s="5"/>
      <c r="B4109" s="5" t="str">
        <f>IFERROR(__xludf.DUMMYFUNCTION("""COMPUTED_VALUE"""),"هیأت")</f>
        <v>هیأت</v>
      </c>
      <c r="C4109" s="5" t="str">
        <f>IFERROR(__xludf.DUMMYFUNCTION("""COMPUTED_VALUE"""),"مهدیون")</f>
        <v>مهدیون</v>
      </c>
      <c r="D4109" s="5" t="str">
        <f>IFERROR(__xludf.DUMMYFUNCTION("""COMPUTED_VALUE"""),"قزوین")</f>
        <v>قزوین</v>
      </c>
      <c r="E4109" s="5" t="str">
        <f>IFERROR(__xludf.DUMMYFUNCTION("""COMPUTED_VALUE"""),"قزوین")</f>
        <v>قزوین</v>
      </c>
      <c r="F4109" s="5"/>
      <c r="G4109" s="5"/>
      <c r="H4109" s="6" t="str">
        <f>IFERROR(__xludf.DUMMYFUNCTION("""COMPUTED_VALUE"""),"https://www.instagram.com/mahdion_qazvin/")</f>
        <v>https://www.instagram.com/mahdion_qazvin/</v>
      </c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</row>
    <row r="4110">
      <c r="A4110" s="5"/>
      <c r="B4110" s="5" t="str">
        <f>IFERROR(__xludf.DUMMYFUNCTION("""COMPUTED_VALUE"""),"هیأت")</f>
        <v>هیأت</v>
      </c>
      <c r="C4110" s="5" t="str">
        <f>IFERROR(__xludf.DUMMYFUNCTION("""COMPUTED_VALUE"""),"نسیم معرفت")</f>
        <v>نسیم معرفت</v>
      </c>
      <c r="D4110" s="5" t="str">
        <f>IFERROR(__xludf.DUMMYFUNCTION("""COMPUTED_VALUE"""),"قزوین")</f>
        <v>قزوین</v>
      </c>
      <c r="E4110" s="5" t="str">
        <f>IFERROR(__xludf.DUMMYFUNCTION("""COMPUTED_VALUE"""),"قزوین")</f>
        <v>قزوین</v>
      </c>
      <c r="F4110" s="5"/>
      <c r="G4110" s="5"/>
      <c r="H4110" s="5"/>
      <c r="I4110" s="5"/>
      <c r="J4110" s="6" t="str">
        <f>IFERROR(__xludf.DUMMYFUNCTION("""COMPUTED_VALUE"""),"https://eitaa.com/nasimmarefat13")</f>
        <v>https://eitaa.com/nasimmarefat13</v>
      </c>
      <c r="K4110" s="5"/>
      <c r="L4110" s="5"/>
      <c r="M4110" s="5"/>
      <c r="N4110" s="5"/>
      <c r="O4110" s="5"/>
      <c r="P4110" s="5"/>
      <c r="Q4110" s="5"/>
      <c r="R4110" s="5"/>
      <c r="S4110" s="5"/>
    </row>
    <row r="4111">
      <c r="A4111" s="5"/>
      <c r="B4111" s="5" t="str">
        <f>IFERROR(__xludf.DUMMYFUNCTION("""COMPUTED_VALUE"""),"هیأت")</f>
        <v>هیأت</v>
      </c>
      <c r="C4111" s="5" t="str">
        <f>IFERROR(__xludf.DUMMYFUNCTION("""COMPUTED_VALUE"""),"نورالهدی")</f>
        <v>نورالهدی</v>
      </c>
      <c r="D4111" s="5" t="str">
        <f>IFERROR(__xludf.DUMMYFUNCTION("""COMPUTED_VALUE"""),"قزوین")</f>
        <v>قزوین</v>
      </c>
      <c r="E4111" s="5" t="str">
        <f>IFERROR(__xludf.DUMMYFUNCTION("""COMPUTED_VALUE"""),"قزوین")</f>
        <v>قزوین</v>
      </c>
      <c r="F4111" s="5"/>
      <c r="G4111" s="5"/>
      <c r="H4111" s="6" t="str">
        <f>IFERROR(__xludf.DUMMYFUNCTION("""COMPUTED_VALUE"""),"https://www.instagram.com/norolhoda_daneshgah/")</f>
        <v>https://www.instagram.com/norolhoda_daneshgah/</v>
      </c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</row>
    <row r="4112">
      <c r="A4112" s="5"/>
      <c r="B4112" s="5" t="str">
        <f>IFERROR(__xludf.DUMMYFUNCTION("""COMPUTED_VALUE"""),"موکب")</f>
        <v>موکب</v>
      </c>
      <c r="C4112" s="5" t="str">
        <f>IFERROR(__xludf.DUMMYFUNCTION("""COMPUTED_VALUE"""),"تنهاترین سردار")</f>
        <v>تنهاترین سردار</v>
      </c>
      <c r="D4112" s="5" t="str">
        <f>IFERROR(__xludf.DUMMYFUNCTION("""COMPUTED_VALUE"""),"قزوین")</f>
        <v>قزوین</v>
      </c>
      <c r="E4112" s="5" t="str">
        <f>IFERROR(__xludf.DUMMYFUNCTION("""COMPUTED_VALUE"""),"قزوین")</f>
        <v>قزوین</v>
      </c>
      <c r="F4112" s="5"/>
      <c r="G4112" s="5"/>
      <c r="H4112" s="6" t="str">
        <f>IFERROR(__xludf.DUMMYFUNCTION("""COMPUTED_VALUE"""),"https://www.instagram.com/tanhatarin.sardar.qazvn/")</f>
        <v>https://www.instagram.com/tanhatarin.sardar.qazvn/</v>
      </c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</row>
    <row r="4113">
      <c r="A4113" s="5"/>
      <c r="B4113" s="5" t="str">
        <f>IFERROR(__xludf.DUMMYFUNCTION("""COMPUTED_VALUE"""),"هیأت")</f>
        <v>هیأت</v>
      </c>
      <c r="C4113" s="5" t="str">
        <f>IFERROR(__xludf.DUMMYFUNCTION("""COMPUTED_VALUE"""),"انصارالمهدی (عج)")</f>
        <v>انصارالمهدی (عج)</v>
      </c>
      <c r="D4113" s="5" t="str">
        <f>IFERROR(__xludf.DUMMYFUNCTION("""COMPUTED_VALUE"""),"قزوین")</f>
        <v>قزوین</v>
      </c>
      <c r="E4113" s="5" t="str">
        <f>IFERROR(__xludf.DUMMYFUNCTION("""COMPUTED_VALUE"""),"قزوین")</f>
        <v>قزوین</v>
      </c>
      <c r="F4113" s="5"/>
      <c r="G4113" s="5"/>
      <c r="H4113" s="6" t="str">
        <f>IFERROR(__xludf.DUMMYFUNCTION("""COMPUTED_VALUE"""),"https://www.instagram.com/h_ansaralmahdi/")</f>
        <v>https://www.instagram.com/h_ansaralmahdi/</v>
      </c>
      <c r="I4113" s="6" t="str">
        <f>IFERROR(__xludf.DUMMYFUNCTION("""COMPUTED_VALUE"""),"https://t.me/h_ansaralmahdi")</f>
        <v>https://t.me/h_ansaralmahdi</v>
      </c>
      <c r="J4113" s="6" t="str">
        <f>IFERROR(__xludf.DUMMYFUNCTION("""COMPUTED_VALUE"""),"https://eitaa.com/h_ansaralmahdi")</f>
        <v>https://eitaa.com/h_ansaralmahdi</v>
      </c>
      <c r="K4113" s="5"/>
      <c r="L4113" s="5"/>
      <c r="M4113" s="5"/>
      <c r="N4113" s="5"/>
      <c r="O4113" s="5"/>
      <c r="P4113" s="5"/>
      <c r="Q4113" s="5"/>
      <c r="R4113" s="5"/>
      <c r="S4113" s="5"/>
    </row>
    <row r="4114">
      <c r="A4114" s="5">
        <f>IFERROR(__xludf.DUMMYFUNCTION("""COMPUTED_VALUE"""),21895.0)</f>
        <v>21895</v>
      </c>
      <c r="B4114" s="5" t="str">
        <f>IFERROR(__xludf.DUMMYFUNCTION("""COMPUTED_VALUE"""),"هیأت")</f>
        <v>هیأت</v>
      </c>
      <c r="C4114" s="5" t="str">
        <f>IFERROR(__xludf.DUMMYFUNCTION("""COMPUTED_VALUE"""),"انصار المهدی")</f>
        <v>انصار المهدی</v>
      </c>
      <c r="D4114" s="5" t="str">
        <f>IFERROR(__xludf.DUMMYFUNCTION("""COMPUTED_VALUE"""),"قزوین")</f>
        <v>قزوین</v>
      </c>
      <c r="E4114" s="5" t="str">
        <f>IFERROR(__xludf.DUMMYFUNCTION("""COMPUTED_VALUE"""),"قزوین")</f>
        <v>قزوین</v>
      </c>
      <c r="F4114" s="5"/>
      <c r="G4114" s="5"/>
      <c r="H4114" s="5"/>
      <c r="I4114" s="5"/>
      <c r="J4114" s="6" t="str">
        <f>IFERROR(__xludf.DUMMYFUNCTION("""COMPUTED_VALUE"""),"https://eitaa.com/ansaralmahdy1197")</f>
        <v>https://eitaa.com/ansaralmahdy1197</v>
      </c>
      <c r="K4114" s="5"/>
      <c r="L4114" s="5"/>
      <c r="M4114" s="5"/>
      <c r="N4114" s="5"/>
      <c r="O4114" s="5"/>
      <c r="P4114" s="5"/>
      <c r="Q4114" s="5"/>
      <c r="R4114" s="5"/>
      <c r="S4114" s="5"/>
    </row>
    <row r="4115">
      <c r="A4115" s="5"/>
      <c r="B4115" s="5" t="str">
        <f>IFERROR(__xludf.DUMMYFUNCTION("""COMPUTED_VALUE"""),"هیأت")</f>
        <v>هیأت</v>
      </c>
      <c r="C4115" s="5" t="str">
        <f>IFERROR(__xludf.DUMMYFUNCTION("""COMPUTED_VALUE"""),"شهدای گمنام")</f>
        <v>شهدای گمنام</v>
      </c>
      <c r="D4115" s="5" t="str">
        <f>IFERROR(__xludf.DUMMYFUNCTION("""COMPUTED_VALUE"""),"قزوین")</f>
        <v>قزوین</v>
      </c>
      <c r="E4115" s="5" t="str">
        <f>IFERROR(__xludf.DUMMYFUNCTION("""COMPUTED_VALUE"""),"قزوین")</f>
        <v>قزوین</v>
      </c>
      <c r="F4115" s="5"/>
      <c r="G4115" s="5"/>
      <c r="H4115" s="6" t="str">
        <f>IFERROR(__xludf.DUMMYFUNCTION("""COMPUTED_VALUE"""),"https://www.instagram.com/heyat.1342.ir/")</f>
        <v>https://www.instagram.com/heyat.1342.ir/</v>
      </c>
      <c r="I4115" s="6" t="str">
        <f>IFERROR(__xludf.DUMMYFUNCTION("""COMPUTED_VALUE"""),"https://t.me/heyat1342")</f>
        <v>https://t.me/heyat1342</v>
      </c>
      <c r="J4115" s="6" t="str">
        <f>IFERROR(__xludf.DUMMYFUNCTION("""COMPUTED_VALUE"""),"https://eitaa.com/heyat1342")</f>
        <v>https://eitaa.com/heyat1342</v>
      </c>
      <c r="K4115" s="5"/>
      <c r="L4115" s="5"/>
      <c r="M4115" s="5"/>
      <c r="N4115" s="5"/>
      <c r="O4115" s="5"/>
      <c r="P4115" s="5"/>
      <c r="Q4115" s="5"/>
      <c r="R4115" s="5"/>
      <c r="S4115" s="5"/>
    </row>
    <row r="4116">
      <c r="A4116" s="5"/>
      <c r="B4116" s="5" t="str">
        <f>IFERROR(__xludf.DUMMYFUNCTION("""COMPUTED_VALUE"""),"هیأت")</f>
        <v>هیأت</v>
      </c>
      <c r="C4116" s="5" t="str">
        <f>IFERROR(__xludf.DUMMYFUNCTION("""COMPUTED_VALUE"""),"عاشقان اهل بیت (ع)")</f>
        <v>عاشقان اهل بیت (ع)</v>
      </c>
      <c r="D4116" s="5" t="str">
        <f>IFERROR(__xludf.DUMMYFUNCTION("""COMPUTED_VALUE"""),"قزوین")</f>
        <v>قزوین</v>
      </c>
      <c r="E4116" s="5" t="str">
        <f>IFERROR(__xludf.DUMMYFUNCTION("""COMPUTED_VALUE"""),"قزوین")</f>
        <v>قزوین</v>
      </c>
      <c r="F4116" s="5"/>
      <c r="G4116" s="5"/>
      <c r="H4116" s="5"/>
      <c r="I4116" s="5"/>
      <c r="J4116" s="6" t="str">
        <f>IFERROR(__xludf.DUMMYFUNCTION("""COMPUTED_VALUE"""),"https://eitaa.com/heyatasheghaneqazvin")</f>
        <v>https://eitaa.com/heyatasheghaneqazvin</v>
      </c>
      <c r="K4116" s="5"/>
      <c r="L4116" s="5"/>
      <c r="M4116" s="5"/>
      <c r="N4116" s="5"/>
      <c r="O4116" s="5"/>
      <c r="P4116" s="5"/>
      <c r="Q4116" s="5"/>
      <c r="R4116" s="5"/>
      <c r="S4116" s="5"/>
    </row>
    <row r="4117">
      <c r="A4117" s="5"/>
      <c r="B4117" s="5" t="str">
        <f>IFERROR(__xludf.DUMMYFUNCTION("""COMPUTED_VALUE"""),"هیأت")</f>
        <v>هیأت</v>
      </c>
      <c r="C4117" s="5" t="str">
        <f>IFERROR(__xludf.DUMMYFUNCTION("""COMPUTED_VALUE"""),"الهادی")</f>
        <v>الهادی</v>
      </c>
      <c r="D4117" s="5" t="str">
        <f>IFERROR(__xludf.DUMMYFUNCTION("""COMPUTED_VALUE"""),"قزوین")</f>
        <v>قزوین</v>
      </c>
      <c r="E4117" s="5" t="str">
        <f>IFERROR(__xludf.DUMMYFUNCTION("""COMPUTED_VALUE"""),"قزوین")</f>
        <v>قزوین</v>
      </c>
      <c r="F4117" s="5"/>
      <c r="G4117" s="5"/>
      <c r="H4117" s="6" t="str">
        <f>IFERROR(__xludf.DUMMYFUNCTION("""COMPUTED_VALUE"""),"https://www.instagram.com/heiatolhadiqazvin/")</f>
        <v>https://www.instagram.com/heiatolhadiqazvin/</v>
      </c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</row>
    <row r="4118">
      <c r="A4118" s="5"/>
      <c r="B4118" s="5" t="str">
        <f>IFERROR(__xludf.DUMMYFUNCTION("""COMPUTED_VALUE"""),"هیأت")</f>
        <v>هیأت</v>
      </c>
      <c r="C4118" s="5" t="str">
        <f>IFERROR(__xludf.DUMMYFUNCTION("""COMPUTED_VALUE"""),"خدام الحسین")</f>
        <v>خدام الحسین</v>
      </c>
      <c r="D4118" s="5" t="str">
        <f>IFERROR(__xludf.DUMMYFUNCTION("""COMPUTED_VALUE"""),"قزوین")</f>
        <v>قزوین</v>
      </c>
      <c r="E4118" s="5" t="str">
        <f>IFERROR(__xludf.DUMMYFUNCTION("""COMPUTED_VALUE"""),"قزوین")</f>
        <v>قزوین</v>
      </c>
      <c r="F4118" s="5"/>
      <c r="G4118" s="5"/>
      <c r="H4118" s="6" t="str">
        <f>IFERROR(__xludf.DUMMYFUNCTION("""COMPUTED_VALUE"""),"https://www.instagram.com/khoddamalhusein/")</f>
        <v>https://www.instagram.com/khoddamalhusein/</v>
      </c>
      <c r="I4118" s="6" t="str">
        <f>IFERROR(__xludf.DUMMYFUNCTION("""COMPUTED_VALUE"""),"https://t.me/khoddamalhusein")</f>
        <v>https://t.me/khoddamalhusein</v>
      </c>
      <c r="J4118" s="5"/>
      <c r="K4118" s="5"/>
      <c r="L4118" s="5"/>
      <c r="M4118" s="5"/>
      <c r="N4118" s="5"/>
      <c r="O4118" s="5"/>
      <c r="P4118" s="5"/>
      <c r="Q4118" s="5"/>
      <c r="R4118" s="5"/>
      <c r="S4118" s="5"/>
    </row>
    <row r="4119">
      <c r="A4119" s="5"/>
      <c r="B4119" s="5" t="str">
        <f>IFERROR(__xludf.DUMMYFUNCTION("""COMPUTED_VALUE"""),"هیأت")</f>
        <v>هیأت</v>
      </c>
      <c r="C4119" s="5" t="str">
        <f>IFERROR(__xludf.DUMMYFUNCTION("""COMPUTED_VALUE"""),"جوانان باغ دبیر")</f>
        <v>جوانان باغ دبیر</v>
      </c>
      <c r="D4119" s="5" t="str">
        <f>IFERROR(__xludf.DUMMYFUNCTION("""COMPUTED_VALUE"""),"قزوین")</f>
        <v>قزوین</v>
      </c>
      <c r="E4119" s="5" t="str">
        <f>IFERROR(__xludf.DUMMYFUNCTION("""COMPUTED_VALUE"""),"قزوین")</f>
        <v>قزوین</v>
      </c>
      <c r="F4119" s="5"/>
      <c r="G4119" s="5"/>
      <c r="H4119" s="6" t="str">
        <f>IFERROR(__xludf.DUMMYFUNCTION("""COMPUTED_VALUE"""),"https://www.instagram.com/javanan_baghedabir")</f>
        <v>https://www.instagram.com/javanan_baghedabir</v>
      </c>
      <c r="I4119" s="6" t="str">
        <f>IFERROR(__xludf.DUMMYFUNCTION("""COMPUTED_VALUE"""),"https://t.me/javanan_baghedabir")</f>
        <v>https://t.me/javanan_baghedabir</v>
      </c>
      <c r="J4119" s="5"/>
      <c r="K4119" s="5"/>
      <c r="L4119" s="5"/>
      <c r="M4119" s="5"/>
      <c r="N4119" s="5"/>
      <c r="O4119" s="5"/>
      <c r="P4119" s="5"/>
      <c r="Q4119" s="5"/>
      <c r="R4119" s="5"/>
      <c r="S4119" s="5"/>
    </row>
    <row r="4120">
      <c r="A4120" s="5"/>
      <c r="B4120" s="5" t="str">
        <f>IFERROR(__xludf.DUMMYFUNCTION("""COMPUTED_VALUE"""),"هیأت")</f>
        <v>هیأت</v>
      </c>
      <c r="C4120" s="5" t="str">
        <f>IFERROR(__xludf.DUMMYFUNCTION("""COMPUTED_VALUE"""),"جوانان ولیـعصر ﴿عج﴾")</f>
        <v>جوانان ولیـعصر ﴿عج﴾</v>
      </c>
      <c r="D4120" s="5" t="str">
        <f>IFERROR(__xludf.DUMMYFUNCTION("""COMPUTED_VALUE"""),"قزوین")</f>
        <v>قزوین</v>
      </c>
      <c r="E4120" s="5" t="str">
        <f>IFERROR(__xludf.DUMMYFUNCTION("""COMPUTED_VALUE"""),"قزوین")</f>
        <v>قزوین</v>
      </c>
      <c r="F4120" s="5"/>
      <c r="G4120" s="5"/>
      <c r="H4120" s="6" t="str">
        <f>IFERROR(__xludf.DUMMYFUNCTION("""COMPUTED_VALUE"""),"https://www.instagram.com/javanan_valiasr.qazvin/")</f>
        <v>https://www.instagram.com/javanan_valiasr.qazvin/</v>
      </c>
      <c r="I4120" s="6" t="str">
        <f>IFERROR(__xludf.DUMMYFUNCTION("""COMPUTED_VALUE"""),"https://t.me/javanan_valiasr_qaz")</f>
        <v>https://t.me/javanan_valiasr_qaz</v>
      </c>
      <c r="J4120" s="5"/>
      <c r="K4120" s="5"/>
      <c r="L4120" s="5"/>
      <c r="M4120" s="5"/>
      <c r="N4120" s="5"/>
      <c r="O4120" s="5"/>
      <c r="P4120" s="5"/>
      <c r="Q4120" s="5"/>
      <c r="R4120" s="5"/>
      <c r="S4120" s="5"/>
    </row>
    <row r="4121">
      <c r="A4121" s="5"/>
      <c r="B4121" s="5" t="str">
        <f>IFERROR(__xludf.DUMMYFUNCTION("""COMPUTED_VALUE"""),"حسینیه")</f>
        <v>حسینیه</v>
      </c>
      <c r="C4121" s="5" t="str">
        <f>IFERROR(__xludf.DUMMYFUNCTION("""COMPUTED_VALUE"""),"سیدالشهداء علیه السلام")</f>
        <v>سیدالشهداء علیه السلام</v>
      </c>
      <c r="D4121" s="5" t="str">
        <f>IFERROR(__xludf.DUMMYFUNCTION("""COMPUTED_VALUE"""),"قزوین")</f>
        <v>قزوین</v>
      </c>
      <c r="E4121" s="5" t="str">
        <f>IFERROR(__xludf.DUMMYFUNCTION("""COMPUTED_VALUE"""),"قزوین")</f>
        <v>قزوین</v>
      </c>
      <c r="F4121" s="5"/>
      <c r="G4121" s="5"/>
      <c r="H4121" s="6" t="str">
        <f>IFERROR(__xludf.DUMMYFUNCTION("""COMPUTED_VALUE"""),"https://www.instagram.com/karbalaeihayqazvin/")</f>
        <v>https://www.instagram.com/karbalaeihayqazvin/</v>
      </c>
      <c r="I4121" s="6" t="str">
        <f>IFERROR(__xludf.DUMMYFUNCTION("""COMPUTED_VALUE"""),"https://t.me/karbalaeihayqazvin")</f>
        <v>https://t.me/karbalaeihayqazvin</v>
      </c>
      <c r="J4121" s="5"/>
      <c r="K4121" s="5"/>
      <c r="L4121" s="5"/>
      <c r="M4121" s="5"/>
      <c r="N4121" s="5"/>
      <c r="O4121" s="5"/>
      <c r="P4121" s="5"/>
      <c r="Q4121" s="5"/>
      <c r="R4121" s="5"/>
      <c r="S4121" s="5"/>
    </row>
    <row r="4122">
      <c r="A4122" s="5"/>
      <c r="B4122" s="5" t="str">
        <f>IFERROR(__xludf.DUMMYFUNCTION("""COMPUTED_VALUE"""),"هیأت")</f>
        <v>هیأت</v>
      </c>
      <c r="C4122" s="5" t="str">
        <f>IFERROR(__xludf.DUMMYFUNCTION("""COMPUTED_VALUE""")," آل یاسین(ع)")</f>
        <v> آل یاسین(ع)</v>
      </c>
      <c r="D4122" s="5" t="str">
        <f>IFERROR(__xludf.DUMMYFUNCTION("""COMPUTED_VALUE"""),"قزوین")</f>
        <v>قزوین</v>
      </c>
      <c r="E4122" s="5" t="str">
        <f>IFERROR(__xludf.DUMMYFUNCTION("""COMPUTED_VALUE"""),"قزوین")</f>
        <v>قزوین</v>
      </c>
      <c r="F4122" s="5"/>
      <c r="G4122" s="5"/>
      <c r="H4122" s="6" t="str">
        <f>IFERROR(__xludf.DUMMYFUNCTION("""COMPUTED_VALUE"""),"https://www.instagram.com/aleyasin_qazvin/")</f>
        <v>https://www.instagram.com/aleyasin_qazvin/</v>
      </c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</row>
    <row r="4123">
      <c r="A4123" s="5"/>
      <c r="B4123" s="5" t="str">
        <f>IFERROR(__xludf.DUMMYFUNCTION("""COMPUTED_VALUE"""),"هیأت")</f>
        <v>هیأت</v>
      </c>
      <c r="C4123" s="5" t="str">
        <f>IFERROR(__xludf.DUMMYFUNCTION("""COMPUTED_VALUE"""),"محبان امام زمان(عج)")</f>
        <v>محبان امام زمان(عج)</v>
      </c>
      <c r="D4123" s="5" t="str">
        <f>IFERROR(__xludf.DUMMYFUNCTION("""COMPUTED_VALUE"""),"قزوین")</f>
        <v>قزوین</v>
      </c>
      <c r="E4123" s="5" t="str">
        <f>IFERROR(__xludf.DUMMYFUNCTION("""COMPUTED_VALUE"""),"قزوین")</f>
        <v>قزوین</v>
      </c>
      <c r="F4123" s="5"/>
      <c r="G4123" s="5"/>
      <c r="H4123" s="6" t="str">
        <f>IFERROR(__xludf.DUMMYFUNCTION("""COMPUTED_VALUE"""),"https://www.instagram.com/mohebbanemamzaman")</f>
        <v>https://www.instagram.com/mohebbanemamzaman</v>
      </c>
      <c r="I4123" s="6" t="str">
        <f>IFERROR(__xludf.DUMMYFUNCTION("""COMPUTED_VALUE"""),"https://t.me/mohebban_emamzaman")</f>
        <v>https://t.me/mohebban_emamzaman</v>
      </c>
      <c r="J4123" s="5"/>
      <c r="K4123" s="5"/>
      <c r="L4123" s="5"/>
      <c r="M4123" s="5"/>
      <c r="N4123" s="5"/>
      <c r="O4123" s="5"/>
      <c r="P4123" s="5"/>
      <c r="Q4123" s="5"/>
      <c r="R4123" s="5"/>
      <c r="S4123" s="5"/>
    </row>
    <row r="4124">
      <c r="A4124" s="5"/>
      <c r="B4124" s="5" t="str">
        <f>IFERROR(__xludf.DUMMYFUNCTION("""COMPUTED_VALUE"""),"هیأت")</f>
        <v>هیأت</v>
      </c>
      <c r="C4124" s="5" t="str">
        <f>IFERROR(__xludf.DUMMYFUNCTION("""COMPUTED_VALUE"""),"لواءالحیدر(ع)")</f>
        <v>لواءالحیدر(ع)</v>
      </c>
      <c r="D4124" s="5" t="str">
        <f>IFERROR(__xludf.DUMMYFUNCTION("""COMPUTED_VALUE"""),"قزوین")</f>
        <v>قزوین</v>
      </c>
      <c r="E4124" s="5" t="str">
        <f>IFERROR(__xludf.DUMMYFUNCTION("""COMPUTED_VALUE"""),"قزوین")</f>
        <v>قزوین</v>
      </c>
      <c r="F4124" s="5"/>
      <c r="G4124" s="5"/>
      <c r="H4124" s="6" t="str">
        <f>IFERROR(__xludf.DUMMYFUNCTION("""COMPUTED_VALUE"""),"https://www.instagram.com/leva_al_heydar/")</f>
        <v>https://www.instagram.com/leva_al_heydar/</v>
      </c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</row>
    <row r="4125">
      <c r="A4125" s="5"/>
      <c r="B4125" s="5" t="str">
        <f>IFERROR(__xludf.DUMMYFUNCTION("""COMPUTED_VALUE"""),"هیأت")</f>
        <v>هیأت</v>
      </c>
      <c r="C4125" s="5" t="str">
        <f>IFERROR(__xludf.DUMMYFUNCTION("""COMPUTED_VALUE"""),"جوانان کوروش")</f>
        <v>جوانان کوروش</v>
      </c>
      <c r="D4125" s="5" t="str">
        <f>IFERROR(__xludf.DUMMYFUNCTION("""COMPUTED_VALUE"""),"قزوین")</f>
        <v>قزوین</v>
      </c>
      <c r="E4125" s="5" t="str">
        <f>IFERROR(__xludf.DUMMYFUNCTION("""COMPUTED_VALUE"""),"قزوین")</f>
        <v>قزوین</v>
      </c>
      <c r="F4125" s="5"/>
      <c r="G4125" s="5"/>
      <c r="H4125" s="6" t="str">
        <f>IFERROR(__xludf.DUMMYFUNCTION("""COMPUTED_VALUE"""),"https://www.instagram.com/javanan_korosh_qazvin/")</f>
        <v>https://www.instagram.com/javanan_korosh_qazvin/</v>
      </c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</row>
    <row r="4126">
      <c r="A4126" s="5"/>
      <c r="B4126" s="5" t="str">
        <f>IFERROR(__xludf.DUMMYFUNCTION("""COMPUTED_VALUE"""),"هیأت")</f>
        <v>هیأت</v>
      </c>
      <c r="C4126" s="5" t="str">
        <f>IFERROR(__xludf.DUMMYFUNCTION("""COMPUTED_VALUE"""),"توحید")</f>
        <v>توحید</v>
      </c>
      <c r="D4126" s="5" t="str">
        <f>IFERROR(__xludf.DUMMYFUNCTION("""COMPUTED_VALUE"""),"قزوین")</f>
        <v>قزوین</v>
      </c>
      <c r="E4126" s="5" t="str">
        <f>IFERROR(__xludf.DUMMYFUNCTION("""COMPUTED_VALUE"""),"قزوین")</f>
        <v>قزوین</v>
      </c>
      <c r="F4126" s="5"/>
      <c r="G4126" s="5"/>
      <c r="H4126" s="6" t="str">
        <f>IFERROR(__xludf.DUMMYFUNCTION("""COMPUTED_VALUE"""),"https://www.instagram.com/masjed_tohid_qazvin/")</f>
        <v>https://www.instagram.com/masjed_tohid_qazvin/</v>
      </c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</row>
    <row r="4127">
      <c r="A4127" s="5"/>
      <c r="B4127" s="5" t="str">
        <f>IFERROR(__xludf.DUMMYFUNCTION("""COMPUTED_VALUE"""),"هیأت")</f>
        <v>هیأت</v>
      </c>
      <c r="C4127" s="5" t="str">
        <f>IFERROR(__xludf.DUMMYFUNCTION("""COMPUTED_VALUE"""),"حضرت علی اکبر")</f>
        <v>حضرت علی اکبر</v>
      </c>
      <c r="D4127" s="5" t="str">
        <f>IFERROR(__xludf.DUMMYFUNCTION("""COMPUTED_VALUE"""),"قزوین")</f>
        <v>قزوین</v>
      </c>
      <c r="E4127" s="5" t="str">
        <f>IFERROR(__xludf.DUMMYFUNCTION("""COMPUTED_VALUE"""),"قزوین")</f>
        <v>قزوین</v>
      </c>
      <c r="F4127" s="5"/>
      <c r="G4127" s="5"/>
      <c r="H4127" s="6" t="str">
        <f>IFERROR(__xludf.DUMMYFUNCTION("""COMPUTED_VALUE"""),"https://www.instagram.com/heyataliakbarzibashahr/")</f>
        <v>https://www.instagram.com/heyataliakbarzibashahr/</v>
      </c>
      <c r="I4127" s="6" t="str">
        <f>IFERROR(__xludf.DUMMYFUNCTION("""COMPUTED_VALUE"""),"https://t.me/heyataliakbarzibashahr")</f>
        <v>https://t.me/heyataliakbarzibashahr</v>
      </c>
      <c r="J4127" s="5"/>
      <c r="K4127" s="5"/>
      <c r="L4127" s="5"/>
      <c r="M4127" s="5"/>
      <c r="N4127" s="5"/>
      <c r="O4127" s="5"/>
      <c r="P4127" s="5"/>
      <c r="Q4127" s="5"/>
      <c r="R4127" s="5"/>
      <c r="S4127" s="5"/>
    </row>
    <row r="4128">
      <c r="A4128" s="5"/>
      <c r="B4128" s="5" t="str">
        <f>IFERROR(__xludf.DUMMYFUNCTION("""COMPUTED_VALUE"""),"هیأت")</f>
        <v>هیأت</v>
      </c>
      <c r="C4128" s="5" t="str">
        <f>IFERROR(__xludf.DUMMYFUNCTION("""COMPUTED_VALUE"""),"ره یافتگان اَباعَبدِالله الحُسَین(ع)")</f>
        <v>ره یافتگان اَباعَبدِالله الحُسَین(ع)</v>
      </c>
      <c r="D4128" s="5" t="str">
        <f>IFERROR(__xludf.DUMMYFUNCTION("""COMPUTED_VALUE"""),"قزوین")</f>
        <v>قزوین</v>
      </c>
      <c r="E4128" s="5" t="str">
        <f>IFERROR(__xludf.DUMMYFUNCTION("""COMPUTED_VALUE"""),"قزوین")</f>
        <v>قزوین</v>
      </c>
      <c r="F4128" s="5"/>
      <c r="G4128" s="5"/>
      <c r="H4128" s="6" t="str">
        <f>IFERROR(__xludf.DUMMYFUNCTION("""COMPUTED_VALUE"""),"https://www.instagram.com/rahyafteganqazvin/")</f>
        <v>https://www.instagram.com/rahyafteganqazvin/</v>
      </c>
      <c r="I4128" s="5" t="str">
        <f>IFERROR(__xludf.DUMMYFUNCTION("""COMPUTED_VALUE"""),"*")</f>
        <v>*</v>
      </c>
      <c r="J4128" s="5" t="str">
        <f>IFERROR(__xludf.DUMMYFUNCTION("""COMPUTED_VALUE"""),"*")</f>
        <v>*</v>
      </c>
      <c r="K4128" s="5"/>
      <c r="L4128" s="5"/>
      <c r="M4128" s="5"/>
      <c r="N4128" s="5"/>
      <c r="O4128" s="5"/>
      <c r="P4128" s="5"/>
      <c r="Q4128" s="5"/>
      <c r="R4128" s="5"/>
      <c r="S4128" s="5"/>
    </row>
    <row r="4129">
      <c r="A4129" s="5"/>
      <c r="B4129" s="5" t="str">
        <f>IFERROR(__xludf.DUMMYFUNCTION("""COMPUTED_VALUE"""),"هیأت")</f>
        <v>هیأت</v>
      </c>
      <c r="C4129" s="5" t="str">
        <f>IFERROR(__xludf.DUMMYFUNCTION("""COMPUTED_VALUE"""),"علی اکبری")</f>
        <v>علی اکبری</v>
      </c>
      <c r="D4129" s="5" t="str">
        <f>IFERROR(__xludf.DUMMYFUNCTION("""COMPUTED_VALUE"""),"قزوین")</f>
        <v>قزوین</v>
      </c>
      <c r="E4129" s="5" t="str">
        <f>IFERROR(__xludf.DUMMYFUNCTION("""COMPUTED_VALUE"""),"قزوین")</f>
        <v>قزوین</v>
      </c>
      <c r="F4129" s="5"/>
      <c r="G4129" s="5"/>
      <c r="H4129" s="6" t="str">
        <f>IFERROR(__xludf.DUMMYFUNCTION("""COMPUTED_VALUE"""),"https://www.instagram.com/hyeataliakbari/")</f>
        <v>https://www.instagram.com/hyeataliakbari/</v>
      </c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</row>
    <row r="4130">
      <c r="A4130" s="5"/>
      <c r="B4130" s="5" t="str">
        <f>IFERROR(__xludf.DUMMYFUNCTION("""COMPUTED_VALUE"""),"هیأت")</f>
        <v>هیأت</v>
      </c>
      <c r="C4130" s="5" t="str">
        <f>IFERROR(__xludf.DUMMYFUNCTION("""COMPUTED_VALUE"""),"جوانان کوثر")</f>
        <v>جوانان کوثر</v>
      </c>
      <c r="D4130" s="5" t="str">
        <f>IFERROR(__xludf.DUMMYFUNCTION("""COMPUTED_VALUE"""),"قزوین")</f>
        <v>قزوین</v>
      </c>
      <c r="E4130" s="5" t="str">
        <f>IFERROR(__xludf.DUMMYFUNCTION("""COMPUTED_VALUE"""),"قزوین")</f>
        <v>قزوین</v>
      </c>
      <c r="F4130" s="5"/>
      <c r="G4130" s="5"/>
      <c r="H4130" s="6" t="str">
        <f>IFERROR(__xludf.DUMMYFUNCTION("""COMPUTED_VALUE"""),"https://www.instagram.com/javanankosarqazvin")</f>
        <v>https://www.instagram.com/javanankosarqazvin</v>
      </c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</row>
    <row r="4131">
      <c r="A4131" s="5"/>
      <c r="B4131" s="5" t="str">
        <f>IFERROR(__xludf.DUMMYFUNCTION("""COMPUTED_VALUE"""),"هیأت")</f>
        <v>هیأت</v>
      </c>
      <c r="C4131" s="5" t="str">
        <f>IFERROR(__xludf.DUMMYFUNCTION("""COMPUTED_VALUE"""),"عشاق العباس")</f>
        <v>عشاق العباس</v>
      </c>
      <c r="D4131" s="5" t="str">
        <f>IFERROR(__xludf.DUMMYFUNCTION("""COMPUTED_VALUE"""),"قزوین")</f>
        <v>قزوین</v>
      </c>
      <c r="E4131" s="5" t="str">
        <f>IFERROR(__xludf.DUMMYFUNCTION("""COMPUTED_VALUE"""),"قزوین")</f>
        <v>قزوین</v>
      </c>
      <c r="F4131" s="5"/>
      <c r="G4131" s="5"/>
      <c r="H4131" s="6" t="str">
        <f>IFERROR(__xludf.DUMMYFUNCTION("""COMPUTED_VALUE"""),"https://www.instagram.com/oshagh_alabbas_qaz/")</f>
        <v>https://www.instagram.com/oshagh_alabbas_qaz/</v>
      </c>
      <c r="I4131" s="6" t="str">
        <f>IFERROR(__xludf.DUMMYFUNCTION("""COMPUTED_VALUE"""),"https://t.me/oshagh_alabbas_gh")</f>
        <v>https://t.me/oshagh_alabbas_gh</v>
      </c>
      <c r="J4131" s="5"/>
      <c r="K4131" s="5"/>
      <c r="L4131" s="5"/>
      <c r="M4131" s="5"/>
      <c r="N4131" s="5"/>
      <c r="O4131" s="5"/>
      <c r="P4131" s="5"/>
      <c r="Q4131" s="5"/>
      <c r="R4131" s="5"/>
      <c r="S4131" s="5"/>
    </row>
    <row r="4132">
      <c r="A4132" s="5"/>
      <c r="B4132" s="5" t="str">
        <f>IFERROR(__xludf.DUMMYFUNCTION("""COMPUTED_VALUE"""),"هیأت")</f>
        <v>هیأت</v>
      </c>
      <c r="C4132" s="5" t="str">
        <f>IFERROR(__xludf.DUMMYFUNCTION("""COMPUTED_VALUE"""),"جوانان فردوسی")</f>
        <v>جوانان فردوسی</v>
      </c>
      <c r="D4132" s="5" t="str">
        <f>IFERROR(__xludf.DUMMYFUNCTION("""COMPUTED_VALUE"""),"قزوین")</f>
        <v>قزوین</v>
      </c>
      <c r="E4132" s="5" t="str">
        <f>IFERROR(__xludf.DUMMYFUNCTION("""COMPUTED_VALUE"""),"قزوین")</f>
        <v>قزوین</v>
      </c>
      <c r="F4132" s="5"/>
      <c r="G4132" s="5"/>
      <c r="H4132" s="6" t="str">
        <f>IFERROR(__xludf.DUMMYFUNCTION("""COMPUTED_VALUE"""),"https://www.instagram.com/javananferdosiqazvin")</f>
        <v>https://www.instagram.com/javananferdosiqazvin</v>
      </c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</row>
    <row r="4133">
      <c r="A4133" s="5"/>
      <c r="B4133" s="5" t="str">
        <f>IFERROR(__xludf.DUMMYFUNCTION("""COMPUTED_VALUE"""),"حسینیه")</f>
        <v>حسینیه</v>
      </c>
      <c r="C4133" s="5" t="str">
        <f>IFERROR(__xludf.DUMMYFUNCTION("""COMPUTED_VALUE"""),"زوار الحسین")</f>
        <v>زوار الحسین</v>
      </c>
      <c r="D4133" s="5" t="str">
        <f>IFERROR(__xludf.DUMMYFUNCTION("""COMPUTED_VALUE"""),"قزوین")</f>
        <v>قزوین</v>
      </c>
      <c r="E4133" s="5" t="str">
        <f>IFERROR(__xludf.DUMMYFUNCTION("""COMPUTED_VALUE"""),"قزوین")</f>
        <v>قزوین</v>
      </c>
      <c r="F4133" s="5"/>
      <c r="G4133" s="5"/>
      <c r="H4133" s="6" t="str">
        <f>IFERROR(__xludf.DUMMYFUNCTION("""COMPUTED_VALUE"""),"https://www.instagram.com/zovarolhossein_qazvin/")</f>
        <v>https://www.instagram.com/zovarolhossein_qazvin/</v>
      </c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</row>
    <row r="4134">
      <c r="A4134" s="5"/>
      <c r="B4134" s="5" t="str">
        <f>IFERROR(__xludf.DUMMYFUNCTION("""COMPUTED_VALUE"""),"هیأت")</f>
        <v>هیأت</v>
      </c>
      <c r="C4134" s="5" t="str">
        <f>IFERROR(__xludf.DUMMYFUNCTION("""COMPUTED_VALUE"""),"جوانان توحید")</f>
        <v>جوانان توحید</v>
      </c>
      <c r="D4134" s="5" t="str">
        <f>IFERROR(__xludf.DUMMYFUNCTION("""COMPUTED_VALUE"""),"قزوین")</f>
        <v>قزوین</v>
      </c>
      <c r="E4134" s="5" t="str">
        <f>IFERROR(__xludf.DUMMYFUNCTION("""COMPUTED_VALUE"""),"قزوین")</f>
        <v>قزوین</v>
      </c>
      <c r="F4134" s="5"/>
      <c r="G4134" s="5"/>
      <c r="H4134" s="6" t="str">
        <f>IFERROR(__xludf.DUMMYFUNCTION("""COMPUTED_VALUE"""),"https://www.instagram.com/javanane_tohid/")</f>
        <v>https://www.instagram.com/javanane_tohid/</v>
      </c>
      <c r="I4134" s="6" t="str">
        <f>IFERROR(__xludf.DUMMYFUNCTION("""COMPUTED_VALUE"""),"https://t.me/javanane_tohid")</f>
        <v>https://t.me/javanane_tohid</v>
      </c>
      <c r="J4134" s="5"/>
      <c r="K4134" s="5"/>
      <c r="L4134" s="5"/>
      <c r="M4134" s="5"/>
      <c r="N4134" s="5"/>
      <c r="O4134" s="5"/>
      <c r="P4134" s="5"/>
      <c r="Q4134" s="5"/>
      <c r="R4134" s="5"/>
      <c r="S4134" s="5"/>
    </row>
    <row r="4135">
      <c r="A4135" s="5"/>
      <c r="B4135" s="5" t="str">
        <f>IFERROR(__xludf.DUMMYFUNCTION("""COMPUTED_VALUE"""),"هیأت")</f>
        <v>هیأت</v>
      </c>
      <c r="C4135" s="5" t="str">
        <f>IFERROR(__xludf.DUMMYFUNCTION("""COMPUTED_VALUE"""),"روضة الحسین (ع)")</f>
        <v>روضة الحسین (ع)</v>
      </c>
      <c r="D4135" s="5" t="str">
        <f>IFERROR(__xludf.DUMMYFUNCTION("""COMPUTED_VALUE"""),"قزوین")</f>
        <v>قزوین</v>
      </c>
      <c r="E4135" s="5" t="str">
        <f>IFERROR(__xludf.DUMMYFUNCTION("""COMPUTED_VALUE"""),"قزوین")</f>
        <v>قزوین</v>
      </c>
      <c r="F4135" s="5"/>
      <c r="G4135" s="5"/>
      <c r="H4135" s="6" t="str">
        <f>IFERROR(__xludf.DUMMYFUNCTION("""COMPUTED_VALUE"""),"https://www.instagram.com/rozatolhossein.ir/")</f>
        <v>https://www.instagram.com/rozatolhossein.ir/</v>
      </c>
      <c r="I4135" s="6" t="str">
        <f>IFERROR(__xludf.DUMMYFUNCTION("""COMPUTED_VALUE"""),"https://t.me/rozatolhosain_ir")</f>
        <v>https://t.me/rozatolhosain_ir</v>
      </c>
      <c r="J4135" s="5"/>
      <c r="K4135" s="5"/>
      <c r="L4135" s="5"/>
      <c r="M4135" s="5"/>
      <c r="N4135" s="5"/>
      <c r="O4135" s="5"/>
      <c r="P4135" s="5"/>
      <c r="Q4135" s="5"/>
      <c r="R4135" s="5"/>
      <c r="S4135" s="5"/>
    </row>
    <row r="4136">
      <c r="A4136" s="5"/>
      <c r="B4136" s="5" t="str">
        <f>IFERROR(__xludf.DUMMYFUNCTION("""COMPUTED_VALUE"""),"حسینیه")</f>
        <v>حسینیه</v>
      </c>
      <c r="C4136" s="5" t="str">
        <f>IFERROR(__xludf.DUMMYFUNCTION("""COMPUTED_VALUE"""),"ابوترابی")</f>
        <v>ابوترابی</v>
      </c>
      <c r="D4136" s="5" t="str">
        <f>IFERROR(__xludf.DUMMYFUNCTION("""COMPUTED_VALUE"""),"قزوین")</f>
        <v>قزوین</v>
      </c>
      <c r="E4136" s="5" t="str">
        <f>IFERROR(__xludf.DUMMYFUNCTION("""COMPUTED_VALUE"""),"قزوین")</f>
        <v>قزوین</v>
      </c>
      <c r="F4136" s="5"/>
      <c r="G4136" s="5"/>
      <c r="H4136" s="6" t="str">
        <f>IFERROR(__xludf.DUMMYFUNCTION("""COMPUTED_VALUE"""),"https://www.instagram.com/aboutorabi_hosseiniyeh/")</f>
        <v>https://www.instagram.com/aboutorabi_hosseiniyeh/</v>
      </c>
      <c r="I4136" s="6" t="str">
        <f>IFERROR(__xludf.DUMMYFUNCTION("""COMPUTED_VALUE"""),"https://t.me/aboutorabi_hosseiniyeh")</f>
        <v>https://t.me/aboutorabi_hosseiniyeh</v>
      </c>
      <c r="J4136" s="6" t="str">
        <f>IFERROR(__xludf.DUMMYFUNCTION("""COMPUTED_VALUE"""),"https://eitaa.com/aboutorabi_hosseiniyeh")</f>
        <v>https://eitaa.com/aboutorabi_hosseiniyeh</v>
      </c>
      <c r="K4136" s="5"/>
      <c r="L4136" s="5"/>
      <c r="M4136" s="5"/>
      <c r="N4136" s="5"/>
      <c r="O4136" s="5"/>
      <c r="P4136" s="5"/>
      <c r="Q4136" s="5"/>
      <c r="R4136" s="5"/>
      <c r="S4136" s="5"/>
    </row>
    <row r="4137">
      <c r="A4137" s="5"/>
      <c r="B4137" s="5" t="str">
        <f>IFERROR(__xludf.DUMMYFUNCTION("""COMPUTED_VALUE"""),"حسینیه")</f>
        <v>حسینیه</v>
      </c>
      <c r="C4137" s="5" t="str">
        <f>IFERROR(__xludf.DUMMYFUNCTION("""COMPUTED_VALUE"""),"مرحوم محمدی نسب")</f>
        <v>مرحوم محمدی نسب</v>
      </c>
      <c r="D4137" s="5" t="str">
        <f>IFERROR(__xludf.DUMMYFUNCTION("""COMPUTED_VALUE"""),"قزوین")</f>
        <v>قزوین</v>
      </c>
      <c r="E4137" s="5" t="str">
        <f>IFERROR(__xludf.DUMMYFUNCTION("""COMPUTED_VALUE"""),"قزوین")</f>
        <v>قزوین</v>
      </c>
      <c r="F4137" s="5"/>
      <c r="G4137" s="5"/>
      <c r="H4137" s="6" t="str">
        <f>IFERROR(__xludf.DUMMYFUNCTION("""COMPUTED_VALUE"""),"https://www.instagram.com/ayatolvelayat/")</f>
        <v>https://www.instagram.com/ayatolvelayat/</v>
      </c>
      <c r="I4137" s="6" t="str">
        <f>IFERROR(__xludf.DUMMYFUNCTION("""COMPUTED_VALUE"""),"https://t.me/ayatolvelayat")</f>
        <v>https://t.me/ayatolvelayat</v>
      </c>
      <c r="J4137" s="5"/>
      <c r="K4137" s="5"/>
      <c r="L4137" s="5"/>
      <c r="M4137" s="5"/>
      <c r="N4137" s="5"/>
      <c r="O4137" s="5"/>
      <c r="P4137" s="5"/>
      <c r="Q4137" s="5"/>
      <c r="R4137" s="5"/>
      <c r="S4137" s="5"/>
    </row>
    <row r="4138">
      <c r="A4138" s="5"/>
      <c r="B4138" s="5" t="str">
        <f>IFERROR(__xludf.DUMMYFUNCTION("""COMPUTED_VALUE"""),"هیأت")</f>
        <v>هیأت</v>
      </c>
      <c r="C4138" s="5" t="str">
        <f>IFERROR(__xludf.DUMMYFUNCTION("""COMPUTED_VALUE"""),"روضة العباس")</f>
        <v>روضة العباس</v>
      </c>
      <c r="D4138" s="5" t="str">
        <f>IFERROR(__xludf.DUMMYFUNCTION("""COMPUTED_VALUE"""),"قزوین")</f>
        <v>قزوین</v>
      </c>
      <c r="E4138" s="5" t="str">
        <f>IFERROR(__xludf.DUMMYFUNCTION("""COMPUTED_VALUE"""),"قزوین")</f>
        <v>قزوین</v>
      </c>
      <c r="F4138" s="5"/>
      <c r="G4138" s="5"/>
      <c r="H4138" s="6" t="str">
        <f>IFERROR(__xludf.DUMMYFUNCTION("""COMPUTED_VALUE"""),"https://www.instagram.com/saghaa_ir/")</f>
        <v>https://www.instagram.com/saghaa_ir/</v>
      </c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</row>
    <row r="4139">
      <c r="A4139" s="5"/>
      <c r="B4139" s="5" t="str">
        <f>IFERROR(__xludf.DUMMYFUNCTION("""COMPUTED_VALUE"""),"هیأت")</f>
        <v>هیأت</v>
      </c>
      <c r="C4139" s="5" t="str">
        <f>IFERROR(__xludf.DUMMYFUNCTION("""COMPUTED_VALUE"""),"شهدا")</f>
        <v>شهدا</v>
      </c>
      <c r="D4139" s="5" t="str">
        <f>IFERROR(__xludf.DUMMYFUNCTION("""COMPUTED_VALUE"""),"قزوین")</f>
        <v>قزوین</v>
      </c>
      <c r="E4139" s="5" t="str">
        <f>IFERROR(__xludf.DUMMYFUNCTION("""COMPUTED_VALUE"""),"قزوین")</f>
        <v>قزوین</v>
      </c>
      <c r="F4139" s="5"/>
      <c r="G4139" s="5"/>
      <c r="H4139" s="6" t="str">
        <f>IFERROR(__xludf.DUMMYFUNCTION("""COMPUTED_VALUE"""),"https://www.instagram.com/heiatshohada.q/")</f>
        <v>https://www.instagram.com/heiatshohada.q/</v>
      </c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</row>
    <row r="4140">
      <c r="A4140" s="5"/>
      <c r="B4140" s="5" t="str">
        <f>IFERROR(__xludf.DUMMYFUNCTION("""COMPUTED_VALUE"""),"هیأت")</f>
        <v>هیأت</v>
      </c>
      <c r="C4140" s="5" t="str">
        <f>IFERROR(__xludf.DUMMYFUNCTION("""COMPUTED_VALUE"""),"حضرت علی اکبر")</f>
        <v>حضرت علی اکبر</v>
      </c>
      <c r="D4140" s="5" t="str">
        <f>IFERROR(__xludf.DUMMYFUNCTION("""COMPUTED_VALUE"""),"قزوین")</f>
        <v>قزوین</v>
      </c>
      <c r="E4140" s="5" t="str">
        <f>IFERROR(__xludf.DUMMYFUNCTION("""COMPUTED_VALUE"""),"قزوین")</f>
        <v>قزوین</v>
      </c>
      <c r="F4140" s="5"/>
      <c r="G4140" s="5"/>
      <c r="H4140" s="6" t="str">
        <f>IFERROR(__xludf.DUMMYFUNCTION("""COMPUTED_VALUE"""),"https://www.instagram.com/heyaat_aliakbar_qazvin/")</f>
        <v>https://www.instagram.com/heyaat_aliakbar_qazvin/</v>
      </c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</row>
    <row r="4141">
      <c r="A4141" s="5"/>
      <c r="B4141" s="5" t="str">
        <f>IFERROR(__xludf.DUMMYFUNCTION("""COMPUTED_VALUE"""),"هیأت")</f>
        <v>هیأت</v>
      </c>
      <c r="C4141" s="5" t="str">
        <f>IFERROR(__xludf.DUMMYFUNCTION("""COMPUTED_VALUE"""),"بچه های پیامبر")</f>
        <v>بچه های پیامبر</v>
      </c>
      <c r="D4141" s="5" t="str">
        <f>IFERROR(__xludf.DUMMYFUNCTION("""COMPUTED_VALUE"""),"قزوین")</f>
        <v>قزوین</v>
      </c>
      <c r="E4141" s="5" t="str">
        <f>IFERROR(__xludf.DUMMYFUNCTION("""COMPUTED_VALUE"""),"قزوین")</f>
        <v>قزوین</v>
      </c>
      <c r="F4141" s="5"/>
      <c r="G4141" s="5"/>
      <c r="H4141" s="6" t="str">
        <f>IFERROR(__xludf.DUMMYFUNCTION("""COMPUTED_VALUE"""),"https://www.instagram.com/bachehayepayambar/")</f>
        <v>https://www.instagram.com/bachehayepayambar/</v>
      </c>
      <c r="I4141" s="6" t="str">
        <f>IFERROR(__xludf.DUMMYFUNCTION("""COMPUTED_VALUE"""),"https://t.me/Mohammadeamin_info")</f>
        <v>https://t.me/Mohammadeamin_info</v>
      </c>
      <c r="J4141" s="5"/>
      <c r="K4141" s="5"/>
      <c r="L4141" s="5"/>
      <c r="M4141" s="5"/>
      <c r="N4141" s="5"/>
      <c r="O4141" s="5"/>
      <c r="P4141" s="5"/>
      <c r="Q4141" s="5"/>
      <c r="R4141" s="5"/>
      <c r="S4141" s="5"/>
    </row>
    <row r="4142">
      <c r="A4142" s="5"/>
      <c r="B4142" s="5" t="str">
        <f>IFERROR(__xludf.DUMMYFUNCTION("""COMPUTED_VALUE"""),"هیأت")</f>
        <v>هیأت</v>
      </c>
      <c r="C4142" s="5" t="str">
        <f>IFERROR(__xludf.DUMMYFUNCTION("""COMPUTED_VALUE"""),"عاشورائیان")</f>
        <v>عاشورائیان</v>
      </c>
      <c r="D4142" s="5" t="str">
        <f>IFERROR(__xludf.DUMMYFUNCTION("""COMPUTED_VALUE"""),"قزوین")</f>
        <v>قزوین</v>
      </c>
      <c r="E4142" s="5" t="str">
        <f>IFERROR(__xludf.DUMMYFUNCTION("""COMPUTED_VALUE"""),"قزوین")</f>
        <v>قزوین</v>
      </c>
      <c r="F4142" s="5"/>
      <c r="G4142" s="5"/>
      <c r="H4142" s="6" t="str">
        <f>IFERROR(__xludf.DUMMYFUNCTION("""COMPUTED_VALUE"""),"https://www.instagram.com/atresib_ir/")</f>
        <v>https://www.instagram.com/atresib_ir/</v>
      </c>
      <c r="I4142" s="6" t="str">
        <f>IFERROR(__xludf.DUMMYFUNCTION("""COMPUTED_VALUE"""),"https://t.me/Atresib_ir")</f>
        <v>https://t.me/Atresib_ir</v>
      </c>
      <c r="J4142" s="5"/>
      <c r="K4142" s="5"/>
      <c r="L4142" s="5"/>
      <c r="M4142" s="5"/>
      <c r="N4142" s="5"/>
      <c r="O4142" s="5"/>
      <c r="P4142" s="5"/>
      <c r="Q4142" s="5"/>
      <c r="R4142" s="5"/>
      <c r="S4142" s="5"/>
    </row>
    <row r="4143">
      <c r="A4143" s="5"/>
      <c r="B4143" s="5" t="str">
        <f>IFERROR(__xludf.DUMMYFUNCTION("""COMPUTED_VALUE"""),"حسینیه")</f>
        <v>حسینیه</v>
      </c>
      <c r="C4143" s="5" t="str">
        <f>IFERROR(__xludf.DUMMYFUNCTION("""COMPUTED_VALUE"""),"بیت السادات")</f>
        <v>بیت السادات</v>
      </c>
      <c r="D4143" s="5" t="str">
        <f>IFERROR(__xludf.DUMMYFUNCTION("""COMPUTED_VALUE"""),"قزوین")</f>
        <v>قزوین</v>
      </c>
      <c r="E4143" s="5" t="str">
        <f>IFERROR(__xludf.DUMMYFUNCTION("""COMPUTED_VALUE"""),"قزوین")</f>
        <v>قزوین</v>
      </c>
      <c r="F4143" s="5"/>
      <c r="G4143" s="5"/>
      <c r="H4143" s="6" t="str">
        <f>IFERROR(__xludf.DUMMYFUNCTION("""COMPUTED_VALUE"""),"https://www.instagram.com/beyt_sadat/")</f>
        <v>https://www.instagram.com/beyt_sadat/</v>
      </c>
      <c r="I4143" s="6" t="str">
        <f>IFERROR(__xludf.DUMMYFUNCTION("""COMPUTED_VALUE"""),"https://t.me/beyt_sadat")</f>
        <v>https://t.me/beyt_sadat</v>
      </c>
      <c r="J4143" s="6" t="str">
        <f>IFERROR(__xludf.DUMMYFUNCTION("""COMPUTED_VALUE"""),"https://eitaa.com/beyt_sadat")</f>
        <v>https://eitaa.com/beyt_sadat</v>
      </c>
      <c r="K4143" s="5"/>
      <c r="L4143" s="5"/>
      <c r="M4143" s="5"/>
      <c r="N4143" s="5"/>
      <c r="O4143" s="5"/>
      <c r="P4143" s="5"/>
      <c r="Q4143" s="5"/>
      <c r="R4143" s="5"/>
      <c r="S4143" s="5"/>
    </row>
    <row r="4144">
      <c r="A4144" s="5"/>
      <c r="B4144" s="5" t="str">
        <f>IFERROR(__xludf.DUMMYFUNCTION("""COMPUTED_VALUE"""),"حسینیه")</f>
        <v>حسینیه</v>
      </c>
      <c r="C4144" s="5" t="str">
        <f>IFERROR(__xludf.DUMMYFUNCTION("""COMPUTED_VALUE"""),"امامزاده حسین")</f>
        <v>امامزاده حسین</v>
      </c>
      <c r="D4144" s="5" t="str">
        <f>IFERROR(__xludf.DUMMYFUNCTION("""COMPUTED_VALUE"""),"قزوین")</f>
        <v>قزوین</v>
      </c>
      <c r="E4144" s="5" t="str">
        <f>IFERROR(__xludf.DUMMYFUNCTION("""COMPUTED_VALUE"""),"قزوین")</f>
        <v>قزوین</v>
      </c>
      <c r="F4144" s="5"/>
      <c r="G4144" s="5"/>
      <c r="H4144" s="6" t="str">
        <f>IFERROR(__xludf.DUMMYFUNCTION("""COMPUTED_VALUE"""),"https://www.instagram.com/hoseynieh_qazvin/")</f>
        <v>https://www.instagram.com/hoseynieh_qazvin/</v>
      </c>
      <c r="I4144" s="5"/>
      <c r="J4144" s="6" t="str">
        <f>IFERROR(__xludf.DUMMYFUNCTION("""COMPUTED_VALUE"""),"https://eitaa.com/ebn_reza_qazvin")</f>
        <v>https://eitaa.com/ebn_reza_qazvin</v>
      </c>
      <c r="K4144" s="5"/>
      <c r="L4144" s="5"/>
      <c r="M4144" s="5"/>
      <c r="N4144" s="5"/>
      <c r="O4144" s="5"/>
      <c r="P4144" s="5"/>
      <c r="Q4144" s="5"/>
      <c r="R4144" s="5"/>
      <c r="S4144" s="5"/>
    </row>
    <row r="4145">
      <c r="A4145" s="5"/>
      <c r="B4145" s="5" t="str">
        <f>IFERROR(__xludf.DUMMYFUNCTION("""COMPUTED_VALUE"""),"رسانه")</f>
        <v>رسانه</v>
      </c>
      <c r="C4145" s="5" t="str">
        <f>IFERROR(__xludf.DUMMYFUNCTION("""COMPUTED_VALUE"""),"نوای جنون")</f>
        <v>نوای جنون</v>
      </c>
      <c r="D4145" s="5" t="str">
        <f>IFERROR(__xludf.DUMMYFUNCTION("""COMPUTED_VALUE"""),"قزوین")</f>
        <v>قزوین</v>
      </c>
      <c r="E4145" s="5" t="str">
        <f>IFERROR(__xludf.DUMMYFUNCTION("""COMPUTED_VALUE"""),"قزوین")</f>
        <v>قزوین</v>
      </c>
      <c r="F4145" s="5"/>
      <c r="G4145" s="5"/>
      <c r="H4145" s="5"/>
      <c r="I4145" s="6" t="str">
        <f>IFERROR(__xludf.DUMMYFUNCTION("""COMPUTED_VALUE"""),"https://t.me/njonon")</f>
        <v>https://t.me/njonon</v>
      </c>
      <c r="J4145" s="5"/>
      <c r="K4145" s="5"/>
      <c r="L4145" s="5"/>
      <c r="M4145" s="5"/>
      <c r="N4145" s="5"/>
      <c r="O4145" s="5"/>
      <c r="P4145" s="5"/>
      <c r="Q4145" s="5"/>
      <c r="R4145" s="5"/>
      <c r="S4145" s="5"/>
    </row>
    <row r="4146">
      <c r="A4146" s="5"/>
      <c r="B4146" s="5" t="str">
        <f>IFERROR(__xludf.DUMMYFUNCTION("""COMPUTED_VALUE"""),"هیأت")</f>
        <v>هیأت</v>
      </c>
      <c r="C4146" s="5" t="str">
        <f>IFERROR(__xludf.DUMMYFUNCTION("""COMPUTED_VALUE"""),"خیمه هنر")</f>
        <v>خیمه هنر</v>
      </c>
      <c r="D4146" s="5" t="str">
        <f>IFERROR(__xludf.DUMMYFUNCTION("""COMPUTED_VALUE"""),"قزوین")</f>
        <v>قزوین</v>
      </c>
      <c r="E4146" s="5" t="str">
        <f>IFERROR(__xludf.DUMMYFUNCTION("""COMPUTED_VALUE"""),"قزوین")</f>
        <v>قزوین</v>
      </c>
      <c r="F4146" s="5"/>
      <c r="G4146" s="5"/>
      <c r="H4146" s="6" t="str">
        <f>IFERROR(__xludf.DUMMYFUNCTION("""COMPUTED_VALUE"""),"https://www.instagram.com/kheymehonar/")</f>
        <v>https://www.instagram.com/kheymehonar/</v>
      </c>
      <c r="I4146" s="6" t="str">
        <f>IFERROR(__xludf.DUMMYFUNCTION("""COMPUTED_VALUE"""),"https://t.me/kheymehonar")</f>
        <v>https://t.me/kheymehonar</v>
      </c>
      <c r="J4146" s="5"/>
      <c r="K4146" s="5"/>
      <c r="L4146" s="5"/>
      <c r="M4146" s="5"/>
      <c r="N4146" s="5"/>
      <c r="O4146" s="5"/>
      <c r="P4146" s="5"/>
      <c r="Q4146" s="5"/>
      <c r="R4146" s="5"/>
      <c r="S4146" s="5"/>
    </row>
    <row r="4147">
      <c r="A4147" s="5"/>
      <c r="B4147" s="5" t="str">
        <f>IFERROR(__xludf.DUMMYFUNCTION("""COMPUTED_VALUE"""),"هیأت دخترانه")</f>
        <v>هیأت دخترانه</v>
      </c>
      <c r="C4147" s="5" t="str">
        <f>IFERROR(__xludf.DUMMYFUNCTION("""COMPUTED_VALUE"""),"تشکل دخترانه نورا")</f>
        <v>تشکل دخترانه نورا</v>
      </c>
      <c r="D4147" s="5" t="str">
        <f>IFERROR(__xludf.DUMMYFUNCTION("""COMPUTED_VALUE"""),"قزوین")</f>
        <v>قزوین</v>
      </c>
      <c r="E4147" s="5" t="str">
        <f>IFERROR(__xludf.DUMMYFUNCTION("""COMPUTED_VALUE"""),"قزوین")</f>
        <v>قزوین</v>
      </c>
      <c r="F4147" s="5"/>
      <c r="G4147" s="5"/>
      <c r="H4147" s="6" t="str">
        <f>IFERROR(__xludf.DUMMYFUNCTION("""COMPUTED_VALUE"""),"https://www.instagram.com/dokhtarannoora/")</f>
        <v>https://www.instagram.com/dokhtarannoora/</v>
      </c>
      <c r="I4147" s="5"/>
      <c r="J4147" s="6" t="str">
        <f>IFERROR(__xludf.DUMMYFUNCTION("""COMPUTED_VALUE"""),"https://eitaa.com/dokhtaran_noora")</f>
        <v>https://eitaa.com/dokhtaran_noora</v>
      </c>
      <c r="K4147" s="5"/>
      <c r="L4147" s="5"/>
      <c r="M4147" s="5"/>
      <c r="N4147" s="5"/>
      <c r="O4147" s="5"/>
      <c r="P4147" s="5"/>
      <c r="Q4147" s="5"/>
      <c r="R4147" s="5"/>
      <c r="S4147" s="5"/>
    </row>
    <row r="4148">
      <c r="A4148" s="5"/>
      <c r="B4148" s="5" t="str">
        <f>IFERROR(__xludf.DUMMYFUNCTION("""COMPUTED_VALUE"""),"هیأت")</f>
        <v>هیأت</v>
      </c>
      <c r="C4148" s="5" t="str">
        <f>IFERROR(__xludf.DUMMYFUNCTION("""COMPUTED_VALUE"""),"پیروان امین")</f>
        <v>پیروان امین</v>
      </c>
      <c r="D4148" s="5" t="str">
        <f>IFERROR(__xludf.DUMMYFUNCTION("""COMPUTED_VALUE"""),"قزوین")</f>
        <v>قزوین</v>
      </c>
      <c r="E4148" s="5" t="str">
        <f>IFERROR(__xludf.DUMMYFUNCTION("""COMPUTED_VALUE"""),"قزوین")</f>
        <v>قزوین</v>
      </c>
      <c r="F4148" s="5"/>
      <c r="G4148" s="5"/>
      <c r="H4148" s="6" t="str">
        <f>IFERROR(__xludf.DUMMYFUNCTION("""COMPUTED_VALUE"""),"https://www.instagram.com/peyrovan_amin/")</f>
        <v>https://www.instagram.com/peyrovan_amin/</v>
      </c>
      <c r="I4148" s="5"/>
      <c r="J4148" s="6" t="str">
        <f>IFERROR(__xludf.DUMMYFUNCTION("""COMPUTED_VALUE"""),"https://eitaa.com/Peyrovan_amin")</f>
        <v>https://eitaa.com/Peyrovan_amin</v>
      </c>
      <c r="K4148" s="5"/>
      <c r="L4148" s="5"/>
      <c r="M4148" s="5"/>
      <c r="N4148" s="5"/>
      <c r="O4148" s="5"/>
      <c r="P4148" s="5"/>
      <c r="Q4148" s="5"/>
      <c r="R4148" s="5"/>
      <c r="S4148" s="5"/>
    </row>
    <row r="4149">
      <c r="A4149" s="5"/>
      <c r="B4149" s="5" t="str">
        <f>IFERROR(__xludf.DUMMYFUNCTION("""COMPUTED_VALUE"""),"هیأت")</f>
        <v>هیأت</v>
      </c>
      <c r="C4149" s="5" t="str">
        <f>IFERROR(__xludf.DUMMYFUNCTION("""COMPUTED_VALUE""")," اباصالح المهدی")</f>
        <v> اباصالح المهدی</v>
      </c>
      <c r="D4149" s="5" t="str">
        <f>IFERROR(__xludf.DUMMYFUNCTION("""COMPUTED_VALUE"""),"قزوین")</f>
        <v>قزوین</v>
      </c>
      <c r="E4149" s="5" t="str">
        <f>IFERROR(__xludf.DUMMYFUNCTION("""COMPUTED_VALUE"""),"قزوین")</f>
        <v>قزوین</v>
      </c>
      <c r="F4149" s="5"/>
      <c r="G4149" s="5"/>
      <c r="H4149" s="6" t="str">
        <f>IFERROR(__xludf.DUMMYFUNCTION("""COMPUTED_VALUE"""),"https://www.instagram.com/abasaleh_inf/")</f>
        <v>https://www.instagram.com/abasaleh_inf/</v>
      </c>
      <c r="I4149" s="6" t="str">
        <f>IFERROR(__xludf.DUMMYFUNCTION("""COMPUTED_VALUE"""),"https://t.me/abasaleh_inf")</f>
        <v>https://t.me/abasaleh_inf</v>
      </c>
      <c r="J4149" s="5"/>
      <c r="K4149" s="5"/>
      <c r="L4149" s="5"/>
      <c r="M4149" s="5"/>
      <c r="N4149" s="5"/>
      <c r="O4149" s="5"/>
      <c r="P4149" s="5"/>
      <c r="Q4149" s="5"/>
      <c r="R4149" s="5"/>
      <c r="S4149" s="5"/>
    </row>
    <row r="4150">
      <c r="A4150" s="5"/>
      <c r="B4150" s="5" t="str">
        <f>IFERROR(__xludf.DUMMYFUNCTION("""COMPUTED_VALUE"""),"هیأت")</f>
        <v>هیأت</v>
      </c>
      <c r="C4150" s="5" t="str">
        <f>IFERROR(__xludf.DUMMYFUNCTION("""COMPUTED_VALUE"""),"شهدای حسینی (ع)")</f>
        <v>شهدای حسینی (ع)</v>
      </c>
      <c r="D4150" s="5" t="str">
        <f>IFERROR(__xludf.DUMMYFUNCTION("""COMPUTED_VALUE"""),"قزوین")</f>
        <v>قزوین</v>
      </c>
      <c r="E4150" s="5" t="str">
        <f>IFERROR(__xludf.DUMMYFUNCTION("""COMPUTED_VALUE"""),"قزوین")</f>
        <v>قزوین</v>
      </c>
      <c r="F4150" s="5"/>
      <c r="G4150" s="5"/>
      <c r="H4150" s="6" t="str">
        <f>IFERROR(__xludf.DUMMYFUNCTION("""COMPUTED_VALUE"""),"https://www.instagram.com/shohadayehosseini/")</f>
        <v>https://www.instagram.com/shohadayehosseini/</v>
      </c>
      <c r="I4150" s="5"/>
      <c r="J4150" s="5" t="str">
        <f>IFERROR(__xludf.DUMMYFUNCTION("""COMPUTED_VALUE"""),"*")</f>
        <v>*</v>
      </c>
      <c r="K4150" s="5"/>
      <c r="L4150" s="5"/>
      <c r="M4150" s="5"/>
      <c r="N4150" s="5"/>
      <c r="O4150" s="5"/>
      <c r="P4150" s="5"/>
      <c r="Q4150" s="5"/>
      <c r="R4150" s="5"/>
      <c r="S4150" s="5"/>
    </row>
    <row r="4151">
      <c r="A4151" s="5"/>
      <c r="B4151" s="5" t="str">
        <f>IFERROR(__xludf.DUMMYFUNCTION("""COMPUTED_VALUE"""),"هیأت")</f>
        <v>هیأت</v>
      </c>
      <c r="C4151" s="5" t="str">
        <f>IFERROR(__xludf.DUMMYFUNCTION("""COMPUTED_VALUE"""),"روضة الشهداء")</f>
        <v>روضة الشهداء</v>
      </c>
      <c r="D4151" s="5" t="str">
        <f>IFERROR(__xludf.DUMMYFUNCTION("""COMPUTED_VALUE"""),"قزوین")</f>
        <v>قزوین</v>
      </c>
      <c r="E4151" s="5" t="str">
        <f>IFERROR(__xludf.DUMMYFUNCTION("""COMPUTED_VALUE"""),"قزوین")</f>
        <v>قزوین</v>
      </c>
      <c r="F4151" s="5"/>
      <c r="G4151" s="5"/>
      <c r="H4151" s="6" t="str">
        <f>IFERROR(__xludf.DUMMYFUNCTION("""COMPUTED_VALUE"""),"https://www.instagram.com/r.shohada/")</f>
        <v>https://www.instagram.com/r.shohada/</v>
      </c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</row>
    <row r="4152">
      <c r="A4152" s="5"/>
      <c r="B4152" s="5" t="str">
        <f>IFERROR(__xludf.DUMMYFUNCTION("""COMPUTED_VALUE"""),"حسینیه")</f>
        <v>حسینیه</v>
      </c>
      <c r="C4152" s="5" t="str">
        <f>IFERROR(__xludf.DUMMYFUNCTION("""COMPUTED_VALUE"""),"بیت الرقیه")</f>
        <v>بیت الرقیه</v>
      </c>
      <c r="D4152" s="5" t="str">
        <f>IFERROR(__xludf.DUMMYFUNCTION("""COMPUTED_VALUE"""),"قزوین")</f>
        <v>قزوین</v>
      </c>
      <c r="E4152" s="5" t="str">
        <f>IFERROR(__xludf.DUMMYFUNCTION("""COMPUTED_VALUE"""),"قزوین")</f>
        <v>قزوین</v>
      </c>
      <c r="F4152" s="5"/>
      <c r="G4152" s="5"/>
      <c r="H4152" s="6" t="str">
        <f>IFERROR(__xludf.DUMMYFUNCTION("""COMPUTED_VALUE"""),"https://www.instagram.com/beyt_roghayeh_ir/")</f>
        <v>https://www.instagram.com/beyt_roghayeh_ir/</v>
      </c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</row>
    <row r="4153">
      <c r="A4153" s="5"/>
      <c r="B4153" s="5" t="str">
        <f>IFERROR(__xludf.DUMMYFUNCTION("""COMPUTED_VALUE"""),"مسجد")</f>
        <v>مسجد</v>
      </c>
      <c r="C4153" s="5" t="str">
        <f>IFERROR(__xludf.DUMMYFUNCTION("""COMPUTED_VALUE"""),"جوادالائمه (ع)")</f>
        <v>جوادالائمه (ع)</v>
      </c>
      <c r="D4153" s="5" t="str">
        <f>IFERROR(__xludf.DUMMYFUNCTION("""COMPUTED_VALUE"""),"قزوین")</f>
        <v>قزوین</v>
      </c>
      <c r="E4153" s="5" t="str">
        <f>IFERROR(__xludf.DUMMYFUNCTION("""COMPUTED_VALUE"""),"قزوین")</f>
        <v>قزوین</v>
      </c>
      <c r="F4153" s="5"/>
      <c r="G4153" s="5"/>
      <c r="H4153" s="6" t="str">
        <f>IFERROR(__xludf.DUMMYFUNCTION("""COMPUTED_VALUE"""),"https://www.instagram.com/farhangi_javadolaeme/")</f>
        <v>https://www.instagram.com/farhangi_javadolaeme/</v>
      </c>
      <c r="I4153" s="6" t="str">
        <f>IFERROR(__xludf.DUMMYFUNCTION("""COMPUTED_VALUE"""),"https://t.me/masged_javadol_aemeh")</f>
        <v>https://t.me/masged_javadol_aemeh</v>
      </c>
      <c r="J4153" s="5"/>
      <c r="K4153" s="5"/>
      <c r="L4153" s="5"/>
      <c r="M4153" s="5"/>
      <c r="N4153" s="5"/>
      <c r="O4153" s="5"/>
      <c r="P4153" s="5"/>
      <c r="Q4153" s="5"/>
      <c r="R4153" s="5"/>
      <c r="S4153" s="5"/>
    </row>
    <row r="4154">
      <c r="A4154" s="5"/>
      <c r="B4154" s="5" t="str">
        <f>IFERROR(__xludf.DUMMYFUNCTION("""COMPUTED_VALUE"""),"هیأت")</f>
        <v>هیأت</v>
      </c>
      <c r="C4154" s="5" t="str">
        <f>IFERROR(__xludf.DUMMYFUNCTION("""COMPUTED_VALUE"""),"محسن الزهرا")</f>
        <v>محسن الزهرا</v>
      </c>
      <c r="D4154" s="5" t="str">
        <f>IFERROR(__xludf.DUMMYFUNCTION("""COMPUTED_VALUE"""),"قزوین")</f>
        <v>قزوین</v>
      </c>
      <c r="E4154" s="5" t="str">
        <f>IFERROR(__xludf.DUMMYFUNCTION("""COMPUTED_VALUE"""),"قزوین")</f>
        <v>قزوین</v>
      </c>
      <c r="F4154" s="5"/>
      <c r="G4154" s="5"/>
      <c r="H4154" s="6" t="str">
        <f>IFERROR(__xludf.DUMMYFUNCTION("""COMPUTED_VALUE"""),"https://www.instagram.com/mohsenzahra.qazvin/")</f>
        <v>https://www.instagram.com/mohsenzahra.qazvin/</v>
      </c>
      <c r="I4154" s="6" t="str">
        <f>IFERROR(__xludf.DUMMYFUNCTION("""COMPUTED_VALUE"""),"https://t.me/mohsenzahra")</f>
        <v>https://t.me/mohsenzahra</v>
      </c>
      <c r="J4154" s="5"/>
      <c r="K4154" s="5"/>
      <c r="L4154" s="5"/>
      <c r="M4154" s="5"/>
      <c r="N4154" s="5"/>
      <c r="O4154" s="5"/>
      <c r="P4154" s="5"/>
      <c r="Q4154" s="5"/>
      <c r="R4154" s="5"/>
      <c r="S4154" s="5"/>
    </row>
    <row r="4155">
      <c r="A4155" s="5"/>
      <c r="B4155" s="5" t="str">
        <f>IFERROR(__xludf.DUMMYFUNCTION("""COMPUTED_VALUE"""),"حسینیه")</f>
        <v>حسینیه</v>
      </c>
      <c r="C4155" s="5" t="str">
        <f>IFERROR(__xludf.DUMMYFUNCTION("""COMPUTED_VALUE"""),"معراج الشهدا")</f>
        <v>معراج الشهدا</v>
      </c>
      <c r="D4155" s="5" t="str">
        <f>IFERROR(__xludf.DUMMYFUNCTION("""COMPUTED_VALUE"""),"قزوین")</f>
        <v>قزوین</v>
      </c>
      <c r="E4155" s="5" t="str">
        <f>IFERROR(__xludf.DUMMYFUNCTION("""COMPUTED_VALUE"""),"قزوین")</f>
        <v>قزوین</v>
      </c>
      <c r="F4155" s="5"/>
      <c r="G4155" s="5"/>
      <c r="H4155" s="6" t="str">
        <f>IFERROR(__xludf.DUMMYFUNCTION("""COMPUTED_VALUE"""),"https://www.instagram.com/alamdar_shohada/")</f>
        <v>https://www.instagram.com/alamdar_shohada/</v>
      </c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</row>
    <row r="4156">
      <c r="A4156" s="5"/>
      <c r="B4156" s="5" t="str">
        <f>IFERROR(__xludf.DUMMYFUNCTION("""COMPUTED_VALUE"""),"هیأت")</f>
        <v>هیأت</v>
      </c>
      <c r="C4156" s="5" t="str">
        <f>IFERROR(__xludf.DUMMYFUNCTION("""COMPUTED_VALUE"""),"شهدای مدافع حرم")</f>
        <v>شهدای مدافع حرم</v>
      </c>
      <c r="D4156" s="5" t="str">
        <f>IFERROR(__xludf.DUMMYFUNCTION("""COMPUTED_VALUE"""),"قزوین")</f>
        <v>قزوین</v>
      </c>
      <c r="E4156" s="5" t="str">
        <f>IFERROR(__xludf.DUMMYFUNCTION("""COMPUTED_VALUE"""),"قزوین")</f>
        <v>قزوین</v>
      </c>
      <c r="F4156" s="5"/>
      <c r="G4156" s="5"/>
      <c r="H4156" s="6" t="str">
        <f>IFERROR(__xludf.DUMMYFUNCTION("""COMPUTED_VALUE"""),"https://www.instagram.com/shohada_media.ir/")</f>
        <v>https://www.instagram.com/shohada_media.ir/</v>
      </c>
      <c r="I4156" s="5"/>
      <c r="J4156" s="6" t="str">
        <f>IFERROR(__xludf.DUMMYFUNCTION("""COMPUTED_VALUE"""),"https://eitaa.com/shohada_media_ir")</f>
        <v>https://eitaa.com/shohada_media_ir</v>
      </c>
      <c r="K4156" s="5"/>
      <c r="L4156" s="5"/>
      <c r="M4156" s="5"/>
      <c r="N4156" s="5"/>
      <c r="O4156" s="5"/>
      <c r="P4156" s="5"/>
      <c r="Q4156" s="5"/>
      <c r="R4156" s="5"/>
      <c r="S4156" s="5"/>
    </row>
    <row r="4157">
      <c r="A4157" s="5"/>
      <c r="B4157" s="5" t="str">
        <f>IFERROR(__xludf.DUMMYFUNCTION("""COMPUTED_VALUE"""),"هیأت")</f>
        <v>هیأت</v>
      </c>
      <c r="C4157" s="5" t="str">
        <f>IFERROR(__xludf.DUMMYFUNCTION("""COMPUTED_VALUE"""),"حضرت جوادالائمه علیه السلام")</f>
        <v>حضرت جوادالائمه علیه السلام</v>
      </c>
      <c r="D4157" s="5" t="str">
        <f>IFERROR(__xludf.DUMMYFUNCTION("""COMPUTED_VALUE"""),"قزوین")</f>
        <v>قزوین</v>
      </c>
      <c r="E4157" s="5" t="str">
        <f>IFERROR(__xludf.DUMMYFUNCTION("""COMPUTED_VALUE"""),"قزوین")</f>
        <v>قزوین</v>
      </c>
      <c r="F4157" s="5"/>
      <c r="G4157" s="5"/>
      <c r="H4157" s="6" t="str">
        <f>IFERROR(__xludf.DUMMYFUNCTION("""COMPUTED_VALUE"""),"https://www.instagram.com/heyat_hazrat_javadolaemeh/")</f>
        <v>https://www.instagram.com/heyat_hazrat_javadolaemeh/</v>
      </c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</row>
    <row r="4158">
      <c r="A4158" s="5"/>
      <c r="B4158" s="5" t="str">
        <f>IFERROR(__xludf.DUMMYFUNCTION("""COMPUTED_VALUE"""),"حسینیه")</f>
        <v>حسینیه</v>
      </c>
      <c r="C4158" s="5" t="str">
        <f>IFERROR(__xludf.DUMMYFUNCTION("""COMPUTED_VALUE"""),"مرحوم حجت الاسلام والمسلمین محمدی نسب(ره)")</f>
        <v>مرحوم حجت الاسلام والمسلمین محمدی نسب(ره)</v>
      </c>
      <c r="D4158" s="5" t="str">
        <f>IFERROR(__xludf.DUMMYFUNCTION("""COMPUTED_VALUE"""),"قزوین")</f>
        <v>قزوین</v>
      </c>
      <c r="E4158" s="5" t="str">
        <f>IFERROR(__xludf.DUMMYFUNCTION("""COMPUTED_VALUE"""),"قزوین")</f>
        <v>قزوین</v>
      </c>
      <c r="F4158" s="5"/>
      <c r="G4158" s="5"/>
      <c r="H4158" s="6" t="str">
        <f>IFERROR(__xludf.DUMMYFUNCTION("""COMPUTED_VALUE"""),"https://www.instagram.com/ayat_velayat/")</f>
        <v>https://www.instagram.com/ayat_velayat/</v>
      </c>
      <c r="I4158" s="6" t="str">
        <f>IFERROR(__xludf.DUMMYFUNCTION("""COMPUTED_VALUE"""),"https://t.me/ayatolvelayat")</f>
        <v>https://t.me/ayatolvelayat</v>
      </c>
      <c r="J4158" s="5"/>
      <c r="K4158" s="5"/>
      <c r="L4158" s="5"/>
      <c r="M4158" s="5"/>
      <c r="N4158" s="5"/>
      <c r="O4158" s="5"/>
      <c r="P4158" s="5"/>
      <c r="Q4158" s="5"/>
      <c r="R4158" s="5"/>
      <c r="S4158" s="5"/>
    </row>
    <row r="4159">
      <c r="A4159" s="5"/>
      <c r="B4159" s="5" t="str">
        <f>IFERROR(__xludf.DUMMYFUNCTION("""COMPUTED_VALUE"""),"هیأت")</f>
        <v>هیأت</v>
      </c>
      <c r="C4159" s="5" t="str">
        <f>IFERROR(__xludf.DUMMYFUNCTION("""COMPUTED_VALUE"""),"روضة الزهرا")</f>
        <v>روضة الزهرا</v>
      </c>
      <c r="D4159" s="5" t="str">
        <f>IFERROR(__xludf.DUMMYFUNCTION("""COMPUTED_VALUE"""),"قزوین")</f>
        <v>قزوین</v>
      </c>
      <c r="E4159" s="5" t="str">
        <f>IFERROR(__xludf.DUMMYFUNCTION("""COMPUTED_VALUE"""),"قزوین")</f>
        <v>قزوین</v>
      </c>
      <c r="F4159" s="5"/>
      <c r="G4159" s="5"/>
      <c r="H4159" s="6" t="str">
        <f>IFERROR(__xludf.DUMMYFUNCTION("""COMPUTED_VALUE"""),"https://www.instagram.com/rozatoalzahra.qaz/")</f>
        <v>https://www.instagram.com/rozatoalzahra.qaz/</v>
      </c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</row>
    <row r="4160">
      <c r="A4160" s="5"/>
      <c r="B4160" s="5" t="str">
        <f>IFERROR(__xludf.DUMMYFUNCTION("""COMPUTED_VALUE"""),"هیأت")</f>
        <v>هیأت</v>
      </c>
      <c r="C4160" s="5" t="str">
        <f>IFERROR(__xludf.DUMMYFUNCTION("""COMPUTED_VALUE"""),"عشاق المهدی")</f>
        <v>عشاق المهدی</v>
      </c>
      <c r="D4160" s="5" t="str">
        <f>IFERROR(__xludf.DUMMYFUNCTION("""COMPUTED_VALUE"""),"قزوین")</f>
        <v>قزوین</v>
      </c>
      <c r="E4160" s="5" t="str">
        <f>IFERROR(__xludf.DUMMYFUNCTION("""COMPUTED_VALUE"""),"قزوین")</f>
        <v>قزوین</v>
      </c>
      <c r="F4160" s="5"/>
      <c r="G4160" s="5"/>
      <c r="H4160" s="6" t="str">
        <f>IFERROR(__xludf.DUMMYFUNCTION("""COMPUTED_VALUE"""),"https://www.instagram.com/h.oshagalmahdi/")</f>
        <v>https://www.instagram.com/h.oshagalmahdi/</v>
      </c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</row>
    <row r="4161">
      <c r="A4161" s="5"/>
      <c r="B4161" s="5" t="str">
        <f>IFERROR(__xludf.DUMMYFUNCTION("""COMPUTED_VALUE"""),"هیأت")</f>
        <v>هیأت</v>
      </c>
      <c r="C4161" s="5" t="str">
        <f>IFERROR(__xludf.DUMMYFUNCTION("""COMPUTED_VALUE"""),"بیرق معظم مکتب الهادی(علیـہ السلام)")</f>
        <v>بیرق معظم مکتب الهادی(علیـہ السلام)</v>
      </c>
      <c r="D4161" s="5" t="str">
        <f>IFERROR(__xludf.DUMMYFUNCTION("""COMPUTED_VALUE"""),"قزوین")</f>
        <v>قزوین</v>
      </c>
      <c r="E4161" s="5" t="str">
        <f>IFERROR(__xludf.DUMMYFUNCTION("""COMPUTED_VALUE"""),"قزوین")</f>
        <v>قزوین</v>
      </c>
      <c r="F4161" s="5"/>
      <c r="G4161" s="5"/>
      <c r="H4161" s="6" t="str">
        <f>IFERROR(__xludf.DUMMYFUNCTION("""COMPUTED_VALUE"""),"https://www.instagram.com/maktabolhadi_qazvin/")</f>
        <v>https://www.instagram.com/maktabolhadi_qazvin/</v>
      </c>
      <c r="I4161" s="6" t="str">
        <f>IFERROR(__xludf.DUMMYFUNCTION("""COMPUTED_VALUE"""),"https://t.me/maktabolhadi_qazvin")</f>
        <v>https://t.me/maktabolhadi_qazvin</v>
      </c>
      <c r="J4161" s="6" t="str">
        <f>IFERROR(__xludf.DUMMYFUNCTION("""COMPUTED_VALUE"""),"https://eitaa.com/h_maktabolhadi_qazvin")</f>
        <v>https://eitaa.com/h_maktabolhadi_qazvin</v>
      </c>
      <c r="K4161" s="5"/>
      <c r="L4161" s="5"/>
      <c r="M4161" s="5"/>
      <c r="N4161" s="5"/>
      <c r="O4161" s="5"/>
      <c r="P4161" s="5"/>
      <c r="Q4161" s="5"/>
      <c r="R4161" s="5"/>
      <c r="S4161" s="5"/>
    </row>
    <row r="4162">
      <c r="A4162" s="5"/>
      <c r="B4162" s="5" t="str">
        <f>IFERROR(__xludf.DUMMYFUNCTION("""COMPUTED_VALUE"""),"هیأت")</f>
        <v>هیأت</v>
      </c>
      <c r="C4162" s="5" t="str">
        <f>IFERROR(__xludf.DUMMYFUNCTION("""COMPUTED_VALUE"""),"رقیه خاتون (س)")</f>
        <v>رقیه خاتون (س)</v>
      </c>
      <c r="D4162" s="5" t="str">
        <f>IFERROR(__xludf.DUMMYFUNCTION("""COMPUTED_VALUE"""),"قزوین")</f>
        <v>قزوین</v>
      </c>
      <c r="E4162" s="5" t="str">
        <f>IFERROR(__xludf.DUMMYFUNCTION("""COMPUTED_VALUE"""),"قزوین")</f>
        <v>قزوین</v>
      </c>
      <c r="F4162" s="5"/>
      <c r="G4162" s="5"/>
      <c r="H4162" s="6" t="str">
        <f>IFERROR(__xludf.DUMMYFUNCTION("""COMPUTED_VALUE"""),"https://www.instagram.com/roghayeh.khatun.qazvin/")</f>
        <v>https://www.instagram.com/roghayeh.khatun.qazvin/</v>
      </c>
      <c r="I4162" s="6" t="str">
        <f>IFERROR(__xludf.DUMMYFUNCTION("""COMPUTED_VALUE"""),"https://t.me/Roghayeh_Khatun_Qazvin")</f>
        <v>https://t.me/Roghayeh_Khatun_Qazvin</v>
      </c>
      <c r="J4162" s="6" t="str">
        <f>IFERROR(__xludf.DUMMYFUNCTION("""COMPUTED_VALUE"""),"https://eitaa.com/Roghayeh_Khatun_Qazvin")</f>
        <v>https://eitaa.com/Roghayeh_Khatun_Qazvin</v>
      </c>
      <c r="K4162" s="5"/>
      <c r="L4162" s="5"/>
      <c r="M4162" s="5"/>
      <c r="N4162" s="5"/>
      <c r="O4162" s="5"/>
      <c r="P4162" s="5"/>
      <c r="Q4162" s="5"/>
      <c r="R4162" s="5"/>
      <c r="S4162" s="5"/>
    </row>
    <row r="4163">
      <c r="A4163" s="5"/>
      <c r="B4163" s="5" t="str">
        <f>IFERROR(__xludf.DUMMYFUNCTION("""COMPUTED_VALUE"""),"هیأت")</f>
        <v>هیأت</v>
      </c>
      <c r="C4163" s="5" t="str">
        <f>IFERROR(__xludf.DUMMYFUNCTION("""COMPUTED_VALUE"""),"قاسم ابن الحسن (ع)")</f>
        <v>قاسم ابن الحسن (ع)</v>
      </c>
      <c r="D4163" s="5" t="str">
        <f>IFERROR(__xludf.DUMMYFUNCTION("""COMPUTED_VALUE"""),"قزوین")</f>
        <v>قزوین</v>
      </c>
      <c r="E4163" s="5" t="str">
        <f>IFERROR(__xludf.DUMMYFUNCTION("""COMPUTED_VALUE"""),"قزوین")</f>
        <v>قزوین</v>
      </c>
      <c r="F4163" s="5"/>
      <c r="G4163" s="5"/>
      <c r="H4163" s="6" t="str">
        <f>IFERROR(__xludf.DUMMYFUNCTION("""COMPUTED_VALUE"""),"https://www.instagram.com/kheymegah_201/")</f>
        <v>https://www.instagram.com/kheymegah_201/</v>
      </c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</row>
    <row r="4164">
      <c r="A4164" s="5">
        <f>IFERROR(__xludf.DUMMYFUNCTION("""COMPUTED_VALUE"""),6890.0)</f>
        <v>6890</v>
      </c>
      <c r="B4164" s="5" t="str">
        <f>IFERROR(__xludf.DUMMYFUNCTION("""COMPUTED_VALUE"""),"هیأت")</f>
        <v>هیأت</v>
      </c>
      <c r="C4164" s="5" t="str">
        <f>IFERROR(__xludf.DUMMYFUNCTION("""COMPUTED_VALUE"""),"قمربنی هاشم (ع)")</f>
        <v>قمربنی هاشم (ع)</v>
      </c>
      <c r="D4164" s="5" t="str">
        <f>IFERROR(__xludf.DUMMYFUNCTION("""COMPUTED_VALUE"""),"خراسان شمالی")</f>
        <v>خراسان شمالی</v>
      </c>
      <c r="E4164" s="5" t="str">
        <f>IFERROR(__xludf.DUMMYFUNCTION("""COMPUTED_VALUE"""),"آشخانه")</f>
        <v>آشخانه</v>
      </c>
      <c r="F4164" s="5"/>
      <c r="G4164" s="5"/>
      <c r="H4164" s="6" t="str">
        <f>IFERROR(__xludf.DUMMYFUNCTION("""COMPUTED_VALUE"""),"https://www.instagram.com/heyat_qamarbanihashem_ash.ir")</f>
        <v>https://www.instagram.com/heyat_qamarbanihashem_ash.ir</v>
      </c>
      <c r="I4164" s="6" t="str">
        <f>IFERROR(__xludf.DUMMYFUNCTION("""COMPUTED_VALUE"""),"https://t.me/ASHKHANEH133")</f>
        <v>https://t.me/ASHKHANEH133</v>
      </c>
      <c r="J4164" s="5"/>
      <c r="K4164" s="5"/>
      <c r="L4164" s="5"/>
      <c r="M4164" s="5"/>
      <c r="N4164" s="5"/>
      <c r="O4164" s="5"/>
      <c r="P4164" s="5"/>
      <c r="Q4164" s="5"/>
      <c r="R4164" s="5"/>
      <c r="S4164" s="5"/>
    </row>
    <row r="4165">
      <c r="A4165" s="5"/>
      <c r="B4165" s="5" t="str">
        <f>IFERROR(__xludf.DUMMYFUNCTION("""COMPUTED_VALUE"""),"هیأت")</f>
        <v>هیأت</v>
      </c>
      <c r="C4165" s="5" t="str">
        <f>IFERROR(__xludf.DUMMYFUNCTION("""COMPUTED_VALUE"""),"علمدار")</f>
        <v>علمدار</v>
      </c>
      <c r="D4165" s="5" t="str">
        <f>IFERROR(__xludf.DUMMYFUNCTION("""COMPUTED_VALUE"""),"خراسان شمالی")</f>
        <v>خراسان شمالی</v>
      </c>
      <c r="E4165" s="5" t="str">
        <f>IFERROR(__xludf.DUMMYFUNCTION("""COMPUTED_VALUE"""),"اسفراین")</f>
        <v>اسفراین</v>
      </c>
      <c r="F4165" s="5"/>
      <c r="G4165" s="5"/>
      <c r="H4165" s="6" t="str">
        <f>IFERROR(__xludf.DUMMYFUNCTION("""COMPUTED_VALUE"""),"https://www.instagram.com/alamdar_esf133/")</f>
        <v>https://www.instagram.com/alamdar_esf133/</v>
      </c>
      <c r="I4165" s="5"/>
      <c r="J4165" s="6" t="str">
        <f>IFERROR(__xludf.DUMMYFUNCTION("""COMPUTED_VALUE"""),"https://eitaa.com/alamdar_esf133")</f>
        <v>https://eitaa.com/alamdar_esf133</v>
      </c>
      <c r="K4165" s="5"/>
      <c r="L4165" s="5"/>
      <c r="M4165" s="5"/>
      <c r="N4165" s="5"/>
      <c r="O4165" s="5"/>
      <c r="P4165" s="5"/>
      <c r="Q4165" s="5"/>
      <c r="R4165" s="5"/>
      <c r="S4165" s="5"/>
    </row>
    <row r="4166">
      <c r="A4166" s="5"/>
      <c r="B4166" s="5" t="str">
        <f>IFERROR(__xludf.DUMMYFUNCTION("""COMPUTED_VALUE"""),"هیأت")</f>
        <v>هیأت</v>
      </c>
      <c r="C4166" s="5" t="str">
        <f>IFERROR(__xludf.DUMMYFUNCTION("""COMPUTED_VALUE"""),"رایة العباس")</f>
        <v>رایة العباس</v>
      </c>
      <c r="D4166" s="5" t="str">
        <f>IFERROR(__xludf.DUMMYFUNCTION("""COMPUTED_VALUE"""),"خراسان شمالی")</f>
        <v>خراسان شمالی</v>
      </c>
      <c r="E4166" s="5" t="str">
        <f>IFERROR(__xludf.DUMMYFUNCTION("""COMPUTED_VALUE"""),"اسفراین")</f>
        <v>اسفراین</v>
      </c>
      <c r="F4166" s="5"/>
      <c r="G4166" s="5"/>
      <c r="H4166" s="6" t="str">
        <f>IFERROR(__xludf.DUMMYFUNCTION("""COMPUTED_VALUE"""),"https://www.instagram.com/rayat_esf/")</f>
        <v>https://www.instagram.com/rayat_esf/</v>
      </c>
      <c r="I4166" s="5"/>
      <c r="J4166" s="6" t="str">
        <f>IFERROR(__xludf.DUMMYFUNCTION("""COMPUTED_VALUE"""),"https://eitaa.com/rayat_esf")</f>
        <v>https://eitaa.com/rayat_esf</v>
      </c>
      <c r="K4166" s="5"/>
      <c r="L4166" s="5"/>
      <c r="M4166" s="5"/>
      <c r="N4166" s="5"/>
      <c r="O4166" s="5"/>
      <c r="P4166" s="5"/>
      <c r="Q4166" s="5"/>
      <c r="R4166" s="5"/>
      <c r="S4166" s="5"/>
    </row>
    <row r="4167">
      <c r="A4167" s="5"/>
      <c r="B4167" s="5" t="str">
        <f>IFERROR(__xludf.DUMMYFUNCTION("""COMPUTED_VALUE"""),"هیأت")</f>
        <v>هیأت</v>
      </c>
      <c r="C4167" s="5" t="str">
        <f>IFERROR(__xludf.DUMMYFUNCTION("""COMPUTED_VALUE"""),"زوار الزهرا (س)")</f>
        <v>زوار الزهرا (س)</v>
      </c>
      <c r="D4167" s="5" t="str">
        <f>IFERROR(__xludf.DUMMYFUNCTION("""COMPUTED_VALUE"""),"خراسان شمالی")</f>
        <v>خراسان شمالی</v>
      </c>
      <c r="E4167" s="5" t="str">
        <f>IFERROR(__xludf.DUMMYFUNCTION("""COMPUTED_VALUE"""),"اسفراین")</f>
        <v>اسفراین</v>
      </c>
      <c r="F4167" s="5"/>
      <c r="G4167" s="5"/>
      <c r="H4167" s="6" t="str">
        <f>IFERROR(__xludf.DUMMYFUNCTION("""COMPUTED_VALUE"""),"https://www.instagram.com/zovarozahra_esf/")</f>
        <v>https://www.instagram.com/zovarozahra_esf/</v>
      </c>
      <c r="I4167" s="6" t="str">
        <f>IFERROR(__xludf.DUMMYFUNCTION("""COMPUTED_VALUE"""),"https://t.me/zovarozahra_esf")</f>
        <v>https://t.me/zovarozahra_esf</v>
      </c>
      <c r="J4167" s="6" t="str">
        <f>IFERROR(__xludf.DUMMYFUNCTION("""COMPUTED_VALUE"""),"https://eitaa.com/zovarzahra_esf")</f>
        <v>https://eitaa.com/zovarzahra_esf</v>
      </c>
      <c r="K4167" s="5"/>
      <c r="L4167" s="5"/>
      <c r="M4167" s="5"/>
      <c r="N4167" s="5"/>
      <c r="O4167" s="5"/>
      <c r="P4167" s="5"/>
      <c r="Q4167" s="5"/>
      <c r="R4167" s="5"/>
      <c r="S4167" s="5"/>
    </row>
    <row r="4168">
      <c r="A4168" s="5"/>
      <c r="B4168" s="5" t="str">
        <f>IFERROR(__xludf.DUMMYFUNCTION("""COMPUTED_VALUE"""),"هیأت")</f>
        <v>هیأت</v>
      </c>
      <c r="C4168" s="5" t="str">
        <f>IFERROR(__xludf.DUMMYFUNCTION("""COMPUTED_VALUE"""),"امام حسن عسکری")</f>
        <v>امام حسن عسکری</v>
      </c>
      <c r="D4168" s="5" t="str">
        <f>IFERROR(__xludf.DUMMYFUNCTION("""COMPUTED_VALUE"""),"خراسان شمالی")</f>
        <v>خراسان شمالی</v>
      </c>
      <c r="E4168" s="5" t="str">
        <f>IFERROR(__xludf.DUMMYFUNCTION("""COMPUTED_VALUE"""),"اسفراین")</f>
        <v>اسفراین</v>
      </c>
      <c r="F4168" s="5"/>
      <c r="G4168" s="5"/>
      <c r="H4168" s="6" t="str">
        <f>IFERROR(__xludf.DUMMYFUNCTION("""COMPUTED_VALUE"""),"https://www.instagram.com/emamhasanaskari_esf99/")</f>
        <v>https://www.instagram.com/emamhasanaskari_esf99/</v>
      </c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</row>
    <row r="4169">
      <c r="A4169" s="5"/>
      <c r="B4169" s="5" t="str">
        <f>IFERROR(__xludf.DUMMYFUNCTION("""COMPUTED_VALUE"""),"هیأت")</f>
        <v>هیأت</v>
      </c>
      <c r="C4169" s="5" t="str">
        <f>IFERROR(__xludf.DUMMYFUNCTION("""COMPUTED_VALUE"""),"مکتب الشهداء")</f>
        <v>مکتب الشهداء</v>
      </c>
      <c r="D4169" s="5" t="str">
        <f>IFERROR(__xludf.DUMMYFUNCTION("""COMPUTED_VALUE"""),"خراسان شمالی")</f>
        <v>خراسان شمالی</v>
      </c>
      <c r="E4169" s="5" t="str">
        <f>IFERROR(__xludf.DUMMYFUNCTION("""COMPUTED_VALUE"""),"اسفراین")</f>
        <v>اسفراین</v>
      </c>
      <c r="F4169" s="5"/>
      <c r="G4169" s="5"/>
      <c r="H4169" s="6" t="str">
        <f>IFERROR(__xludf.DUMMYFUNCTION("""COMPUTED_VALUE"""),"https://www.instagram.com/mshohada_ir/")</f>
        <v>https://www.instagram.com/mshohada_ir/</v>
      </c>
      <c r="I4169" s="5" t="str">
        <f>IFERROR(__xludf.DUMMYFUNCTION("""COMPUTED_VALUE"""),"mshohada_ir")</f>
        <v>mshohada_ir</v>
      </c>
      <c r="J4169" s="5" t="str">
        <f>IFERROR(__xludf.DUMMYFUNCTION("""COMPUTED_VALUE"""),"mshohada_ir")</f>
        <v>mshohada_ir</v>
      </c>
      <c r="K4169" s="5"/>
      <c r="L4169" s="5"/>
      <c r="M4169" s="5"/>
      <c r="N4169" s="5"/>
      <c r="O4169" s="5"/>
      <c r="P4169" s="5"/>
      <c r="Q4169" s="5"/>
      <c r="R4169" s="5"/>
      <c r="S4169" s="5"/>
    </row>
    <row r="4170">
      <c r="A4170" s="5"/>
      <c r="B4170" s="5" t="str">
        <f>IFERROR(__xludf.DUMMYFUNCTION("""COMPUTED_VALUE"""),"هیأت")</f>
        <v>هیأت</v>
      </c>
      <c r="C4170" s="5" t="str">
        <f>IFERROR(__xludf.DUMMYFUNCTION("""COMPUTED_VALUE"""),"شهید توفیقیان")</f>
        <v>شهید توفیقیان</v>
      </c>
      <c r="D4170" s="5" t="str">
        <f>IFERROR(__xludf.DUMMYFUNCTION("""COMPUTED_VALUE"""),"خراسان شمالی")</f>
        <v>خراسان شمالی</v>
      </c>
      <c r="E4170" s="5" t="str">
        <f>IFERROR(__xludf.DUMMYFUNCTION("""COMPUTED_VALUE"""),"اسفراین")</f>
        <v>اسفراین</v>
      </c>
      <c r="F4170" s="5"/>
      <c r="G4170" s="5"/>
      <c r="H4170" s="6" t="str">
        <f>IFERROR(__xludf.DUMMYFUNCTION("""COMPUTED_VALUE"""),"https://www.instagram.com/tofighian_133/")</f>
        <v>https://www.instagram.com/tofighian_133/</v>
      </c>
      <c r="I4170" s="6" t="str">
        <f>IFERROR(__xludf.DUMMYFUNCTION("""COMPUTED_VALUE"""),"https://t.me/tofighian_133")</f>
        <v>https://t.me/tofighian_133</v>
      </c>
      <c r="J4170" s="5"/>
      <c r="K4170" s="5"/>
      <c r="L4170" s="5"/>
      <c r="M4170" s="5"/>
      <c r="N4170" s="5"/>
      <c r="O4170" s="5"/>
      <c r="P4170" s="5"/>
      <c r="Q4170" s="5"/>
      <c r="R4170" s="5"/>
      <c r="S4170" s="5"/>
    </row>
    <row r="4171">
      <c r="A4171" s="5"/>
      <c r="B4171" s="5" t="str">
        <f>IFERROR(__xludf.DUMMYFUNCTION("""COMPUTED_VALUE"""),"هیأت")</f>
        <v>هیأت</v>
      </c>
      <c r="C4171" s="5" t="str">
        <f>IFERROR(__xludf.DUMMYFUNCTION("""COMPUTED_VALUE"""),"امام حسن عسکری")</f>
        <v>امام حسن عسکری</v>
      </c>
      <c r="D4171" s="5" t="str">
        <f>IFERROR(__xludf.DUMMYFUNCTION("""COMPUTED_VALUE"""),"خراسان شمالی")</f>
        <v>خراسان شمالی</v>
      </c>
      <c r="E4171" s="5" t="str">
        <f>IFERROR(__xludf.DUMMYFUNCTION("""COMPUTED_VALUE"""),"اسفراین")</f>
        <v>اسفراین</v>
      </c>
      <c r="F4171" s="5"/>
      <c r="G4171" s="5"/>
      <c r="H4171" s="6" t="str">
        <f>IFERROR(__xludf.DUMMYFUNCTION("""COMPUTED_VALUE"""),"https://www.instagram.com/emamhasanaskari_esf/")</f>
        <v>https://www.instagram.com/emamhasanaskari_esf/</v>
      </c>
      <c r="I4171" s="6" t="str">
        <f>IFERROR(__xludf.DUMMYFUNCTION("""COMPUTED_VALUE"""),"https://t.me/emamhasanaskari_esf")</f>
        <v>https://t.me/emamhasanaskari_esf</v>
      </c>
      <c r="J4171" s="5"/>
      <c r="K4171" s="5"/>
      <c r="L4171" s="5"/>
      <c r="M4171" s="5"/>
      <c r="N4171" s="5"/>
      <c r="O4171" s="5"/>
      <c r="P4171" s="5"/>
      <c r="Q4171" s="5"/>
      <c r="R4171" s="5"/>
      <c r="S4171" s="5"/>
    </row>
    <row r="4172">
      <c r="A4172" s="5">
        <f>IFERROR(__xludf.DUMMYFUNCTION("""COMPUTED_VALUE"""),6928.0)</f>
        <v>6928</v>
      </c>
      <c r="B4172" s="5" t="str">
        <f>IFERROR(__xludf.DUMMYFUNCTION("""COMPUTED_VALUE"""),"هیأت")</f>
        <v>هیأت</v>
      </c>
      <c r="C4172" s="5" t="str">
        <f>IFERROR(__xludf.DUMMYFUNCTION("""COMPUTED_VALUE"""),"مهدیه صاحب الزمان(عج)")</f>
        <v>مهدیه صاحب الزمان(عج)</v>
      </c>
      <c r="D4172" s="5" t="str">
        <f>IFERROR(__xludf.DUMMYFUNCTION("""COMPUTED_VALUE"""),"خراسان شمالی")</f>
        <v>خراسان شمالی</v>
      </c>
      <c r="E4172" s="5" t="str">
        <f>IFERROR(__xludf.DUMMYFUNCTION("""COMPUTED_VALUE"""),"اسفراین")</f>
        <v>اسفراین</v>
      </c>
      <c r="F4172" s="5"/>
      <c r="G4172" s="5"/>
      <c r="H4172" s="6" t="str">
        <f>IFERROR(__xludf.DUMMYFUNCTION("""COMPUTED_VALUE"""),"https://www.instagram.com/hoseinjan_bojnord")</f>
        <v>https://www.instagram.com/hoseinjan_bojnord</v>
      </c>
      <c r="I4172" s="5"/>
      <c r="J4172" s="6" t="str">
        <f>IFERROR(__xludf.DUMMYFUNCTION("""COMPUTED_VALUE"""),"https://eitaa.com/mahdiye_heyat")</f>
        <v>https://eitaa.com/mahdiye_heyat</v>
      </c>
      <c r="K4172" s="5"/>
      <c r="L4172" s="5"/>
      <c r="M4172" s="5"/>
      <c r="N4172" s="5"/>
      <c r="O4172" s="5"/>
      <c r="P4172" s="5"/>
      <c r="Q4172" s="5"/>
      <c r="R4172" s="5"/>
      <c r="S4172" s="5"/>
    </row>
    <row r="4173">
      <c r="A4173" s="5">
        <f>IFERROR(__xludf.DUMMYFUNCTION("""COMPUTED_VALUE"""),7022.0)</f>
        <v>7022</v>
      </c>
      <c r="B4173" s="5" t="str">
        <f>IFERROR(__xludf.DUMMYFUNCTION("""COMPUTED_VALUE"""),"هیأت")</f>
        <v>هیأت</v>
      </c>
      <c r="C4173" s="5" t="str">
        <f>IFERROR(__xludf.DUMMYFUNCTION("""COMPUTED_VALUE"""),"رزمندگان اسلام")</f>
        <v>رزمندگان اسلام</v>
      </c>
      <c r="D4173" s="5" t="str">
        <f>IFERROR(__xludf.DUMMYFUNCTION("""COMPUTED_VALUE"""),"خراسان شمالی")</f>
        <v>خراسان شمالی</v>
      </c>
      <c r="E4173" s="5" t="str">
        <f>IFERROR(__xludf.DUMMYFUNCTION("""COMPUTED_VALUE"""),"اسفراین")</f>
        <v>اسفراین</v>
      </c>
      <c r="F4173" s="5"/>
      <c r="G4173" s="5"/>
      <c r="H4173" s="5"/>
      <c r="I4173" s="5"/>
      <c r="J4173" s="6" t="str">
        <f>IFERROR(__xludf.DUMMYFUNCTION("""COMPUTED_VALUE"""),"https://eitaa.com/razmande")</f>
        <v>https://eitaa.com/razmande</v>
      </c>
      <c r="K4173" s="5"/>
      <c r="L4173" s="5"/>
      <c r="M4173" s="5"/>
      <c r="N4173" s="5"/>
      <c r="O4173" s="5"/>
      <c r="P4173" s="5"/>
      <c r="Q4173" s="5"/>
      <c r="R4173" s="5"/>
      <c r="S4173" s="5"/>
    </row>
    <row r="4174">
      <c r="A4174" s="5">
        <f>IFERROR(__xludf.DUMMYFUNCTION("""COMPUTED_VALUE"""),7394.0)</f>
        <v>7394</v>
      </c>
      <c r="B4174" s="5" t="str">
        <f>IFERROR(__xludf.DUMMYFUNCTION("""COMPUTED_VALUE"""),"هیأت")</f>
        <v>هیأت</v>
      </c>
      <c r="C4174" s="5" t="str">
        <f>IFERROR(__xludf.DUMMYFUNCTION("""COMPUTED_VALUE"""),"ثارالله")</f>
        <v>ثارالله</v>
      </c>
      <c r="D4174" s="5" t="str">
        <f>IFERROR(__xludf.DUMMYFUNCTION("""COMPUTED_VALUE"""),"خراسان شمالی")</f>
        <v>خراسان شمالی</v>
      </c>
      <c r="E4174" s="5" t="str">
        <f>IFERROR(__xludf.DUMMYFUNCTION("""COMPUTED_VALUE"""),"اسفراین")</f>
        <v>اسفراین</v>
      </c>
      <c r="F4174" s="5"/>
      <c r="G4174" s="5"/>
      <c r="H4174" s="6" t="str">
        <f>IFERROR(__xludf.DUMMYFUNCTION("""COMPUTED_VALUE"""),"https://www.instagram.com/sarallah.esf/")</f>
        <v>https://www.instagram.com/sarallah.esf/</v>
      </c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</row>
    <row r="4175">
      <c r="A4175" s="5">
        <f>IFERROR(__xludf.DUMMYFUNCTION("""COMPUTED_VALUE"""),7412.0)</f>
        <v>7412</v>
      </c>
      <c r="B4175" s="5" t="str">
        <f>IFERROR(__xludf.DUMMYFUNCTION("""COMPUTED_VALUE"""),"هیأت")</f>
        <v>هیأت</v>
      </c>
      <c r="C4175" s="5" t="str">
        <f>IFERROR(__xludf.DUMMYFUNCTION("""COMPUTED_VALUE"""),"حضرت علی اصغر (ع)")</f>
        <v>حضرت علی اصغر (ع)</v>
      </c>
      <c r="D4175" s="5" t="str">
        <f>IFERROR(__xludf.DUMMYFUNCTION("""COMPUTED_VALUE"""),"خراسان شمالی")</f>
        <v>خراسان شمالی</v>
      </c>
      <c r="E4175" s="5" t="str">
        <f>IFERROR(__xludf.DUMMYFUNCTION("""COMPUTED_VALUE"""),"اسفراین")</f>
        <v>اسفراین</v>
      </c>
      <c r="F4175" s="5"/>
      <c r="G4175" s="5"/>
      <c r="H4175" s="6" t="str">
        <f>IFERROR(__xludf.DUMMYFUNCTION("""COMPUTED_VALUE"""),"https://www.instagram.com/aliasgharjavan_esf")</f>
        <v>https://www.instagram.com/aliasgharjavan_esf</v>
      </c>
      <c r="I4175" s="6" t="str">
        <f>IFERROR(__xludf.DUMMYFUNCTION("""COMPUTED_VALUE"""),"https://t.me/aliasgharjavan")</f>
        <v>https://t.me/aliasgharjavan</v>
      </c>
      <c r="J4175" s="5"/>
      <c r="K4175" s="5"/>
      <c r="L4175" s="5"/>
      <c r="M4175" s="5"/>
      <c r="N4175" s="5"/>
      <c r="O4175" s="5"/>
      <c r="P4175" s="5"/>
      <c r="Q4175" s="5"/>
      <c r="R4175" s="5"/>
      <c r="S4175" s="5"/>
    </row>
    <row r="4176">
      <c r="A4176" s="5"/>
      <c r="B4176" s="5" t="str">
        <f>IFERROR(__xludf.DUMMYFUNCTION("""COMPUTED_VALUE"""),"هیأت")</f>
        <v>هیأت</v>
      </c>
      <c r="C4176" s="5" t="str">
        <f>IFERROR(__xludf.DUMMYFUNCTION("""COMPUTED_VALUE"""),"حضرت عبدالله بن الحسن (ع)")</f>
        <v>حضرت عبدالله بن الحسن (ع)</v>
      </c>
      <c r="D4176" s="5" t="str">
        <f>IFERROR(__xludf.DUMMYFUNCTION("""COMPUTED_VALUE"""),"خراسان شمالی")</f>
        <v>خراسان شمالی</v>
      </c>
      <c r="E4176" s="5" t="str">
        <f>IFERROR(__xludf.DUMMYFUNCTION("""COMPUTED_VALUE"""),"بام و صفی آباد")</f>
        <v>بام و صفی آباد</v>
      </c>
      <c r="F4176" s="5" t="str">
        <f>IFERROR(__xludf.DUMMYFUNCTION("""COMPUTED_VALUE"""),"صفی آباد")</f>
        <v>صفی آباد</v>
      </c>
      <c r="G4176" s="5"/>
      <c r="H4176" s="6" t="str">
        <f>IFERROR(__xludf.DUMMYFUNCTION("""COMPUTED_VALUE"""),"https://www.instagram.com/norolmahdi313/")</f>
        <v>https://www.instagram.com/norolmahdi313/</v>
      </c>
      <c r="I4176" s="6" t="str">
        <f>IFERROR(__xludf.DUMMYFUNCTION("""COMPUTED_VALUE"""),"https://t.me/norolmahdi313")</f>
        <v>https://t.me/norolmahdi313</v>
      </c>
      <c r="J4176" s="5"/>
      <c r="K4176" s="5"/>
      <c r="L4176" s="5"/>
      <c r="M4176" s="5"/>
      <c r="N4176" s="5"/>
      <c r="O4176" s="5"/>
      <c r="P4176" s="5"/>
      <c r="Q4176" s="5"/>
      <c r="R4176" s="5"/>
      <c r="S4176" s="5"/>
    </row>
    <row r="4177">
      <c r="A4177" s="5"/>
      <c r="B4177" s="5" t="str">
        <f>IFERROR(__xludf.DUMMYFUNCTION("""COMPUTED_VALUE"""),"رسانه")</f>
        <v>رسانه</v>
      </c>
      <c r="C4177" s="5" t="str">
        <f>IFERROR(__xludf.DUMMYFUNCTION("""COMPUTED_VALUE"""),"خانه هنر نجم")</f>
        <v>خانه هنر نجم</v>
      </c>
      <c r="D4177" s="5" t="str">
        <f>IFERROR(__xludf.DUMMYFUNCTION("""COMPUTED_VALUE"""),"خراسان شمالی")</f>
        <v>خراسان شمالی</v>
      </c>
      <c r="E4177" s="5" t="str">
        <f>IFERROR(__xludf.DUMMYFUNCTION("""COMPUTED_VALUE"""),"بجنورد")</f>
        <v>بجنورد</v>
      </c>
      <c r="F4177" s="5"/>
      <c r="G4177" s="5"/>
      <c r="H4177" s="6" t="str">
        <f>IFERROR(__xludf.DUMMYFUNCTION("""COMPUTED_VALUE"""),"https://www.instagram.com/najm_oficial/")</f>
        <v>https://www.instagram.com/najm_oficial/</v>
      </c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</row>
    <row r="4178">
      <c r="A4178" s="5"/>
      <c r="B4178" s="5" t="str">
        <f>IFERROR(__xludf.DUMMYFUNCTION("""COMPUTED_VALUE"""),"مسجد")</f>
        <v>مسجد</v>
      </c>
      <c r="C4178" s="5" t="str">
        <f>IFERROR(__xludf.DUMMYFUNCTION("""COMPUTED_VALUE"""),"بقیة الله")</f>
        <v>بقیة الله</v>
      </c>
      <c r="D4178" s="5" t="str">
        <f>IFERROR(__xludf.DUMMYFUNCTION("""COMPUTED_VALUE"""),"خراسان شمالی")</f>
        <v>خراسان شمالی</v>
      </c>
      <c r="E4178" s="5" t="str">
        <f>IFERROR(__xludf.DUMMYFUNCTION("""COMPUTED_VALUE"""),"بجنورد")</f>
        <v>بجنورد</v>
      </c>
      <c r="F4178" s="5"/>
      <c r="G4178" s="5"/>
      <c r="H4178" s="6" t="str">
        <f>IFERROR(__xludf.DUMMYFUNCTION("""COMPUTED_VALUE"""),"https://www.instagram.com/masjedbaghyatallah/")</f>
        <v>https://www.instagram.com/masjedbaghyatallah/</v>
      </c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</row>
    <row r="4179">
      <c r="A4179" s="5"/>
      <c r="B4179" s="5" t="str">
        <f>IFERROR(__xludf.DUMMYFUNCTION("""COMPUTED_VALUE"""),"مهدیه")</f>
        <v>مهدیه</v>
      </c>
      <c r="C4179" s="5" t="str">
        <f>IFERROR(__xludf.DUMMYFUNCTION("""COMPUTED_VALUE"""),"امام حسن مجتبی")</f>
        <v>امام حسن مجتبی</v>
      </c>
      <c r="D4179" s="5" t="str">
        <f>IFERROR(__xludf.DUMMYFUNCTION("""COMPUTED_VALUE"""),"خراسان شمالی")</f>
        <v>خراسان شمالی</v>
      </c>
      <c r="E4179" s="5" t="str">
        <f>IFERROR(__xludf.DUMMYFUNCTION("""COMPUTED_VALUE"""),"بجنورد")</f>
        <v>بجنورد</v>
      </c>
      <c r="F4179" s="5"/>
      <c r="G4179" s="5"/>
      <c r="H4179" s="6" t="str">
        <f>IFERROR(__xludf.DUMMYFUNCTION("""COMPUTED_VALUE"""),"https://www.instagram.com/mahdie_emam_hasan_mojtaba/")</f>
        <v>https://www.instagram.com/mahdie_emam_hasan_mojtaba/</v>
      </c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</row>
    <row r="4180">
      <c r="A4180" s="5"/>
      <c r="B4180" s="5" t="str">
        <f>IFERROR(__xludf.DUMMYFUNCTION("""COMPUTED_VALUE"""),"هیأت")</f>
        <v>هیأت</v>
      </c>
      <c r="C4180" s="5" t="str">
        <f>IFERROR(__xludf.DUMMYFUNCTION("""COMPUTED_VALUE"""),"رزمندگان اسلام")</f>
        <v>رزمندگان اسلام</v>
      </c>
      <c r="D4180" s="5" t="str">
        <f>IFERROR(__xludf.DUMMYFUNCTION("""COMPUTED_VALUE"""),"خراسان شمالی")</f>
        <v>خراسان شمالی</v>
      </c>
      <c r="E4180" s="5" t="str">
        <f>IFERROR(__xludf.DUMMYFUNCTION("""COMPUTED_VALUE"""),"بجنورد")</f>
        <v>بجنورد</v>
      </c>
      <c r="F4180" s="5"/>
      <c r="G4180" s="5"/>
      <c r="H4180" s="6" t="str">
        <f>IFERROR(__xludf.DUMMYFUNCTION("""COMPUTED_VALUE"""),"https://www.instagram.com/razmandeganbojnurd/")</f>
        <v>https://www.instagram.com/razmandeganbojnurd/</v>
      </c>
      <c r="I4180" s="6" t="str">
        <f>IFERROR(__xludf.DUMMYFUNCTION("""COMPUTED_VALUE"""),"https://t.me/razmandeganbojnurd")</f>
        <v>https://t.me/razmandeganbojnurd</v>
      </c>
      <c r="J4180" s="6" t="str">
        <f>IFERROR(__xludf.DUMMYFUNCTION("""COMPUTED_VALUE"""),"https://eitaa.com/razmndgan_jame")</f>
        <v>https://eitaa.com/razmndgan_jame</v>
      </c>
      <c r="K4180" s="5"/>
      <c r="L4180" s="5"/>
      <c r="M4180" s="5"/>
      <c r="N4180" s="5"/>
      <c r="O4180" s="5"/>
      <c r="P4180" s="5"/>
      <c r="Q4180" s="5"/>
      <c r="R4180" s="5"/>
      <c r="S4180" s="5"/>
    </row>
    <row r="4181">
      <c r="A4181" s="5"/>
      <c r="B4181" s="5" t="str">
        <f>IFERROR(__xludf.DUMMYFUNCTION("""COMPUTED_VALUE"""),"هیأت")</f>
        <v>هیأت</v>
      </c>
      <c r="C4181" s="5" t="str">
        <f>IFERROR(__xludf.DUMMYFUNCTION("""COMPUTED_VALUE"""),"حسین جان")</f>
        <v>حسین جان</v>
      </c>
      <c r="D4181" s="5" t="str">
        <f>IFERROR(__xludf.DUMMYFUNCTION("""COMPUTED_VALUE"""),"خراسان شمالی")</f>
        <v>خراسان شمالی</v>
      </c>
      <c r="E4181" s="5" t="str">
        <f>IFERROR(__xludf.DUMMYFUNCTION("""COMPUTED_VALUE"""),"بجنورد")</f>
        <v>بجنورد</v>
      </c>
      <c r="F4181" s="5"/>
      <c r="G4181" s="5"/>
      <c r="H4181" s="6" t="str">
        <f>IFERROR(__xludf.DUMMYFUNCTION("""COMPUTED_VALUE"""),"https://www.instagram.com/hoseinjan_bojnord")</f>
        <v>https://www.instagram.com/hoseinjan_bojnord</v>
      </c>
      <c r="I4181" s="5"/>
      <c r="J4181" s="6" t="str">
        <f>IFERROR(__xludf.DUMMYFUNCTION("""COMPUTED_VALUE"""),"https://eitaa.com/hoseinjan_bojnord")</f>
        <v>https://eitaa.com/hoseinjan_bojnord</v>
      </c>
      <c r="K4181" s="5"/>
      <c r="L4181" s="5"/>
      <c r="M4181" s="5"/>
      <c r="N4181" s="5"/>
      <c r="O4181" s="5"/>
      <c r="P4181" s="5"/>
      <c r="Q4181" s="5"/>
      <c r="R4181" s="5"/>
      <c r="S4181" s="5"/>
    </row>
    <row r="4182">
      <c r="A4182" s="5"/>
      <c r="B4182" s="5" t="str">
        <f>IFERROR(__xludf.DUMMYFUNCTION("""COMPUTED_VALUE"""),"هیأت")</f>
        <v>هیأت</v>
      </c>
      <c r="C4182" s="5" t="str">
        <f>IFERROR(__xludf.DUMMYFUNCTION("""COMPUTED_VALUE"""),"محبان اهل بیت")</f>
        <v>محبان اهل بیت</v>
      </c>
      <c r="D4182" s="5" t="str">
        <f>IFERROR(__xludf.DUMMYFUNCTION("""COMPUTED_VALUE"""),"خراسان شمالی")</f>
        <v>خراسان شمالی</v>
      </c>
      <c r="E4182" s="5" t="str">
        <f>IFERROR(__xludf.DUMMYFUNCTION("""COMPUTED_VALUE"""),"بجنورد")</f>
        <v>بجنورد</v>
      </c>
      <c r="F4182" s="5"/>
      <c r="G4182" s="5"/>
      <c r="H4182" s="6" t="str">
        <f>IFERROR(__xludf.DUMMYFUNCTION("""COMPUTED_VALUE"""),"https://www.instagram.com/mohebbane_ahlebeyt_boj/")</f>
        <v>https://www.instagram.com/mohebbane_ahlebeyt_boj/</v>
      </c>
      <c r="I4182" s="6" t="str">
        <f>IFERROR(__xludf.DUMMYFUNCTION("""COMPUTED_VALUE"""),"https://tel.me/mohebbane_ahlebeyt_boj")</f>
        <v>https://tel.me/mohebbane_ahlebeyt_boj</v>
      </c>
      <c r="J4182" s="5"/>
      <c r="K4182" s="5"/>
      <c r="L4182" s="5"/>
      <c r="M4182" s="5"/>
      <c r="N4182" s="5"/>
      <c r="O4182" s="5"/>
      <c r="P4182" s="5"/>
      <c r="Q4182" s="5"/>
      <c r="R4182" s="5"/>
      <c r="S4182" s="5"/>
    </row>
    <row r="4183">
      <c r="A4183" s="5"/>
      <c r="B4183" s="5" t="str">
        <f>IFERROR(__xludf.DUMMYFUNCTION("""COMPUTED_VALUE"""),"هیأت")</f>
        <v>هیأت</v>
      </c>
      <c r="C4183" s="5" t="str">
        <f>IFERROR(__xludf.DUMMYFUNCTION("""COMPUTED_VALUE"""),"متوسلین جوادالائمه")</f>
        <v>متوسلین جوادالائمه</v>
      </c>
      <c r="D4183" s="5" t="str">
        <f>IFERROR(__xludf.DUMMYFUNCTION("""COMPUTED_VALUE"""),"خراسان شمالی")</f>
        <v>خراسان شمالی</v>
      </c>
      <c r="E4183" s="5" t="str">
        <f>IFERROR(__xludf.DUMMYFUNCTION("""COMPUTED_VALUE"""),"بجنورد")</f>
        <v>بجنورد</v>
      </c>
      <c r="F4183" s="5"/>
      <c r="G4183" s="5"/>
      <c r="H4183" s="6" t="str">
        <f>IFERROR(__xludf.DUMMYFUNCTION("""COMPUTED_VALUE"""),"https://www.instagram.com/heyat.javadolaemh/")</f>
        <v>https://www.instagram.com/heyat.javadolaemh/</v>
      </c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</row>
    <row r="4184">
      <c r="A4184" s="5"/>
      <c r="B4184" s="5" t="str">
        <f>IFERROR(__xludf.DUMMYFUNCTION("""COMPUTED_VALUE"""),"هیأت")</f>
        <v>هیأت</v>
      </c>
      <c r="C4184" s="5" t="str">
        <f>IFERROR(__xludf.DUMMYFUNCTION("""COMPUTED_VALUE"""),"یازینب")</f>
        <v>یازینب</v>
      </c>
      <c r="D4184" s="5" t="str">
        <f>IFERROR(__xludf.DUMMYFUNCTION("""COMPUTED_VALUE"""),"خراسان شمالی")</f>
        <v>خراسان شمالی</v>
      </c>
      <c r="E4184" s="5" t="str">
        <f>IFERROR(__xludf.DUMMYFUNCTION("""COMPUTED_VALUE"""),"بجنورد")</f>
        <v>بجنورد</v>
      </c>
      <c r="F4184" s="5"/>
      <c r="G4184" s="5">
        <f>IFERROR(__xludf.DUMMYFUNCTION("""COMPUTED_VALUE"""),1.0)</f>
        <v>1</v>
      </c>
      <c r="H4184" s="6" t="str">
        <f>IFERROR(__xludf.DUMMYFUNCTION("""COMPUTED_VALUE"""),"https://www.instagram.com/yazeinab.bojnord/")</f>
        <v>https://www.instagram.com/yazeinab.bojnord/</v>
      </c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</row>
    <row r="4185">
      <c r="A4185" s="5"/>
      <c r="B4185" s="5" t="str">
        <f>IFERROR(__xludf.DUMMYFUNCTION("""COMPUTED_VALUE"""),"هیأت")</f>
        <v>هیأت</v>
      </c>
      <c r="C4185" s="5" t="str">
        <f>IFERROR(__xludf.DUMMYFUNCTION("""COMPUTED_VALUE"""),"رقیه جان")</f>
        <v>رقیه جان</v>
      </c>
      <c r="D4185" s="5" t="str">
        <f>IFERROR(__xludf.DUMMYFUNCTION("""COMPUTED_VALUE"""),"خراسان شمالی")</f>
        <v>خراسان شمالی</v>
      </c>
      <c r="E4185" s="5" t="str">
        <f>IFERROR(__xludf.DUMMYFUNCTION("""COMPUTED_VALUE"""),"بجنورد")</f>
        <v>بجنورد</v>
      </c>
      <c r="F4185" s="5"/>
      <c r="G4185" s="5"/>
      <c r="H4185" s="6" t="str">
        <f>IFERROR(__xludf.DUMMYFUNCTION("""COMPUTED_VALUE"""),"https://www.instagram.com/heiatroghayejan/")</f>
        <v>https://www.instagram.com/heiatroghayejan/</v>
      </c>
      <c r="I4185" s="6" t="str">
        <f>IFERROR(__xludf.DUMMYFUNCTION("""COMPUTED_VALUE"""),"https://t.me/heiatroghayejan")</f>
        <v>https://t.me/heiatroghayejan</v>
      </c>
      <c r="J4185" s="5"/>
      <c r="K4185" s="5"/>
      <c r="L4185" s="5"/>
      <c r="M4185" s="5"/>
      <c r="N4185" s="5"/>
      <c r="O4185" s="5"/>
      <c r="P4185" s="5"/>
      <c r="Q4185" s="5"/>
      <c r="R4185" s="5"/>
      <c r="S4185" s="5"/>
    </row>
    <row r="4186">
      <c r="A4186" s="5"/>
      <c r="B4186" s="5" t="str">
        <f>IFERROR(__xludf.DUMMYFUNCTION("""COMPUTED_VALUE"""),"هیأت")</f>
        <v>هیأت</v>
      </c>
      <c r="C4186" s="5" t="str">
        <f>IFERROR(__xludf.DUMMYFUNCTION("""COMPUTED_VALUE"""),"یافاطمه الزهراسلام الله علیها")</f>
        <v>یافاطمه الزهراسلام الله علیها</v>
      </c>
      <c r="D4186" s="5" t="str">
        <f>IFERROR(__xludf.DUMMYFUNCTION("""COMPUTED_VALUE"""),"خراسان شمالی")</f>
        <v>خراسان شمالی</v>
      </c>
      <c r="E4186" s="5" t="str">
        <f>IFERROR(__xludf.DUMMYFUNCTION("""COMPUTED_VALUE"""),"بجنورد")</f>
        <v>بجنورد</v>
      </c>
      <c r="F4186" s="5"/>
      <c r="G4186" s="5"/>
      <c r="H4186" s="6" t="str">
        <f>IFERROR(__xludf.DUMMYFUNCTION("""COMPUTED_VALUE"""),"https://www.instagram.com/ya.fatematazahra135")</f>
        <v>https://www.instagram.com/ya.fatematazahra135</v>
      </c>
      <c r="I4186" s="5"/>
      <c r="J4186" s="6" t="str">
        <f>IFERROR(__xludf.DUMMYFUNCTION("""COMPUTED_VALUE"""),"https://eitaa.com/yafatematazahrainfo")</f>
        <v>https://eitaa.com/yafatematazahrainfo</v>
      </c>
      <c r="K4186" s="5"/>
      <c r="L4186" s="5"/>
      <c r="M4186" s="5"/>
      <c r="N4186" s="5"/>
      <c r="O4186" s="5"/>
      <c r="P4186" s="5"/>
      <c r="Q4186" s="5"/>
      <c r="R4186" s="5"/>
      <c r="S4186" s="5"/>
    </row>
    <row r="4187">
      <c r="A4187" s="5"/>
      <c r="B4187" s="5" t="str">
        <f>IFERROR(__xludf.DUMMYFUNCTION("""COMPUTED_VALUE"""),"هیأت")</f>
        <v>هیأت</v>
      </c>
      <c r="C4187" s="5" t="str">
        <f>IFERROR(__xludf.DUMMYFUNCTION("""COMPUTED_VALUE"""),"شهدای مدافع حرم")</f>
        <v>شهدای مدافع حرم</v>
      </c>
      <c r="D4187" s="5" t="str">
        <f>IFERROR(__xludf.DUMMYFUNCTION("""COMPUTED_VALUE"""),"خراسان شمالی")</f>
        <v>خراسان شمالی</v>
      </c>
      <c r="E4187" s="5" t="str">
        <f>IFERROR(__xludf.DUMMYFUNCTION("""COMPUTED_VALUE"""),"بجنورد")</f>
        <v>بجنورد</v>
      </c>
      <c r="F4187" s="5"/>
      <c r="G4187" s="5"/>
      <c r="H4187" s="6" t="str">
        <f>IFERROR(__xludf.DUMMYFUNCTION("""COMPUTED_VALUE"""),"https://www.instagram.com/heyatmodafeanbojnord")</f>
        <v>https://www.instagram.com/heyatmodafeanbojnord</v>
      </c>
      <c r="I4187" s="6" t="str">
        <f>IFERROR(__xludf.DUMMYFUNCTION("""COMPUTED_VALUE"""),"https://t.me/modafeanharambojnord")</f>
        <v>https://t.me/modafeanharambojnord</v>
      </c>
      <c r="J4187" s="5"/>
      <c r="K4187" s="5"/>
      <c r="L4187" s="5"/>
      <c r="M4187" s="5"/>
      <c r="N4187" s="5"/>
      <c r="O4187" s="5"/>
      <c r="P4187" s="5"/>
      <c r="Q4187" s="5"/>
      <c r="R4187" s="5"/>
      <c r="S4187" s="5"/>
    </row>
    <row r="4188">
      <c r="A4188" s="5"/>
      <c r="B4188" s="5" t="str">
        <f>IFERROR(__xludf.DUMMYFUNCTION("""COMPUTED_VALUE"""),"هیأت")</f>
        <v>هیأت</v>
      </c>
      <c r="C4188" s="5" t="str">
        <f>IFERROR(__xludf.DUMMYFUNCTION("""COMPUTED_VALUE"""),"جوانان شاهزاده علی اصغر (ع)")</f>
        <v>جوانان شاهزاده علی اصغر (ع)</v>
      </c>
      <c r="D4188" s="5" t="str">
        <f>IFERROR(__xludf.DUMMYFUNCTION("""COMPUTED_VALUE"""),"خراسان شمالی")</f>
        <v>خراسان شمالی</v>
      </c>
      <c r="E4188" s="5" t="str">
        <f>IFERROR(__xludf.DUMMYFUNCTION("""COMPUTED_VALUE"""),"بجنورد")</f>
        <v>بجنورد</v>
      </c>
      <c r="F4188" s="5"/>
      <c r="G4188" s="5"/>
      <c r="H4188" s="6" t="str">
        <f>IFERROR(__xludf.DUMMYFUNCTION("""COMPUTED_VALUE"""),"https://www.instagram.com/shahzadealiasghar_bojnord/")</f>
        <v>https://www.instagram.com/shahzadealiasghar_bojnord/</v>
      </c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</row>
    <row r="4189">
      <c r="A4189" s="5"/>
      <c r="B4189" s="5" t="str">
        <f>IFERROR(__xludf.DUMMYFUNCTION("""COMPUTED_VALUE"""),"هیأت")</f>
        <v>هیأت</v>
      </c>
      <c r="C4189" s="5" t="str">
        <f>IFERROR(__xludf.DUMMYFUNCTION("""COMPUTED_VALUE"""),"متوسلین‌جوادالائمه")</f>
        <v>متوسلین‌جوادالائمه</v>
      </c>
      <c r="D4189" s="5" t="str">
        <f>IFERROR(__xludf.DUMMYFUNCTION("""COMPUTED_VALUE"""),"خراسان شمالی")</f>
        <v>خراسان شمالی</v>
      </c>
      <c r="E4189" s="5" t="str">
        <f>IFERROR(__xludf.DUMMYFUNCTION("""COMPUTED_VALUE"""),"بجنورد")</f>
        <v>بجنورد</v>
      </c>
      <c r="F4189" s="5"/>
      <c r="G4189" s="5"/>
      <c r="H4189" s="6" t="str">
        <f>IFERROR(__xludf.DUMMYFUNCTION("""COMPUTED_VALUE"""),"https://www.instagram.com/javadolaemh/")</f>
        <v>https://www.instagram.com/javadolaemh/</v>
      </c>
      <c r="I4189" s="5"/>
      <c r="J4189" s="6" t="str">
        <f>IFERROR(__xludf.DUMMYFUNCTION("""COMPUTED_VALUE"""),"https://eitaa.com/javadolaemhe")</f>
        <v>https://eitaa.com/javadolaemhe</v>
      </c>
      <c r="K4189" s="5"/>
      <c r="L4189" s="5"/>
      <c r="M4189" s="5"/>
      <c r="N4189" s="5"/>
      <c r="O4189" s="5"/>
      <c r="P4189" s="5"/>
      <c r="Q4189" s="5"/>
      <c r="R4189" s="5"/>
      <c r="S4189" s="5"/>
    </row>
    <row r="4190">
      <c r="A4190" s="5"/>
      <c r="B4190" s="5" t="str">
        <f>IFERROR(__xludf.DUMMYFUNCTION("""COMPUTED_VALUE"""),"هیأت")</f>
        <v>هیأت</v>
      </c>
      <c r="C4190" s="5" t="str">
        <f>IFERROR(__xludf.DUMMYFUNCTION("""COMPUTED_VALUE"""),"زوارالزهرا(س)")</f>
        <v>زوارالزهرا(س)</v>
      </c>
      <c r="D4190" s="5" t="str">
        <f>IFERROR(__xludf.DUMMYFUNCTION("""COMPUTED_VALUE"""),"خراسان شمالی")</f>
        <v>خراسان شمالی</v>
      </c>
      <c r="E4190" s="5" t="str">
        <f>IFERROR(__xludf.DUMMYFUNCTION("""COMPUTED_VALUE"""),"بجنورد")</f>
        <v>بجنورد</v>
      </c>
      <c r="F4190" s="5"/>
      <c r="G4190" s="5"/>
      <c r="H4190" s="6" t="str">
        <f>IFERROR(__xludf.DUMMYFUNCTION("""COMPUTED_VALUE"""),"https://www.instagram.com/zavarolzahra/")</f>
        <v>https://www.instagram.com/zavarolzahra/</v>
      </c>
      <c r="I4190" s="6" t="str">
        <f>IFERROR(__xludf.DUMMYFUNCTION("""COMPUTED_VALUE"""),"https://t.me/zavarolzahra")</f>
        <v>https://t.me/zavarolzahra</v>
      </c>
      <c r="J4190" s="5"/>
      <c r="K4190" s="5"/>
      <c r="L4190" s="5"/>
      <c r="M4190" s="5"/>
      <c r="N4190" s="5"/>
      <c r="O4190" s="5"/>
      <c r="P4190" s="5"/>
      <c r="Q4190" s="5"/>
      <c r="R4190" s="5"/>
      <c r="S4190" s="5"/>
    </row>
    <row r="4191">
      <c r="A4191" s="5"/>
      <c r="B4191" s="5" t="str">
        <f>IFERROR(__xludf.DUMMYFUNCTION("""COMPUTED_VALUE"""),"هیأت")</f>
        <v>هیأت</v>
      </c>
      <c r="C4191" s="5" t="str">
        <f>IFERROR(__xludf.DUMMYFUNCTION("""COMPUTED_VALUE"""),"جوانان حضرت علی اکبر (ع)")</f>
        <v>جوانان حضرت علی اکبر (ع)</v>
      </c>
      <c r="D4191" s="5" t="str">
        <f>IFERROR(__xludf.DUMMYFUNCTION("""COMPUTED_VALUE"""),"خراسان شمالی")</f>
        <v>خراسان شمالی</v>
      </c>
      <c r="E4191" s="5" t="str">
        <f>IFERROR(__xludf.DUMMYFUNCTION("""COMPUTED_VALUE"""),"بجنورد")</f>
        <v>بجنورد</v>
      </c>
      <c r="F4191" s="5"/>
      <c r="G4191" s="5"/>
      <c r="H4191" s="6" t="str">
        <f>IFERROR(__xludf.DUMMYFUNCTION("""COMPUTED_VALUE"""),"https://www.instagram.com/aliakbar_bojnord/")</f>
        <v>https://www.instagram.com/aliakbar_bojnord/</v>
      </c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</row>
    <row r="4192">
      <c r="A4192" s="5"/>
      <c r="B4192" s="5" t="str">
        <f>IFERROR(__xludf.DUMMYFUNCTION("""COMPUTED_VALUE"""),"هیأت")</f>
        <v>هیأت</v>
      </c>
      <c r="C4192" s="5" t="str">
        <f>IFERROR(__xludf.DUMMYFUNCTION("""COMPUTED_VALUE"""),"بیت الرضا (ع)")</f>
        <v>بیت الرضا (ع)</v>
      </c>
      <c r="D4192" s="5" t="str">
        <f>IFERROR(__xludf.DUMMYFUNCTION("""COMPUTED_VALUE"""),"خراسان شمالی")</f>
        <v>خراسان شمالی</v>
      </c>
      <c r="E4192" s="5" t="str">
        <f>IFERROR(__xludf.DUMMYFUNCTION("""COMPUTED_VALUE"""),"بجنورد")</f>
        <v>بجنورد</v>
      </c>
      <c r="F4192" s="5"/>
      <c r="G4192" s="5"/>
      <c r="H4192" s="6" t="str">
        <f>IFERROR(__xludf.DUMMYFUNCTION("""COMPUTED_VALUE"""),"https://www.instagram.com/h_beytoolreza/")</f>
        <v>https://www.instagram.com/h_beytoolreza/</v>
      </c>
      <c r="I4192" s="5"/>
      <c r="J4192" s="6" t="str">
        <f>IFERROR(__xludf.DUMMYFUNCTION("""COMPUTED_VALUE"""),"https://eitaa.com/H_beytolreza")</f>
        <v>https://eitaa.com/H_beytolreza</v>
      </c>
      <c r="K4192" s="5"/>
      <c r="L4192" s="5"/>
      <c r="M4192" s="5"/>
      <c r="N4192" s="5"/>
      <c r="O4192" s="5"/>
      <c r="P4192" s="5"/>
      <c r="Q4192" s="5"/>
      <c r="R4192" s="5"/>
      <c r="S4192" s="5"/>
    </row>
    <row r="4193">
      <c r="A4193" s="5"/>
      <c r="B4193" s="5" t="str">
        <f>IFERROR(__xludf.DUMMYFUNCTION("""COMPUTED_VALUE"""),"هیأت")</f>
        <v>هیأت</v>
      </c>
      <c r="C4193" s="5" t="str">
        <f>IFERROR(__xludf.DUMMYFUNCTION("""COMPUTED_VALUE"""),"چهارده معصوم ")</f>
        <v>چهارده معصوم </v>
      </c>
      <c r="D4193" s="5" t="str">
        <f>IFERROR(__xludf.DUMMYFUNCTION("""COMPUTED_VALUE"""),"خراسان شمالی")</f>
        <v>خراسان شمالی</v>
      </c>
      <c r="E4193" s="5" t="str">
        <f>IFERROR(__xludf.DUMMYFUNCTION("""COMPUTED_VALUE"""),"بجنورد")</f>
        <v>بجنورد</v>
      </c>
      <c r="F4193" s="5"/>
      <c r="G4193" s="5"/>
      <c r="H4193" s="6" t="str">
        <f>IFERROR(__xludf.DUMMYFUNCTION("""COMPUTED_VALUE"""),"https://www.instagram.com/azamchhardhemasom")</f>
        <v>https://www.instagram.com/azamchhardhemasom</v>
      </c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</row>
    <row r="4194">
      <c r="A4194" s="5"/>
      <c r="B4194" s="5" t="str">
        <f>IFERROR(__xludf.DUMMYFUNCTION("""COMPUTED_VALUE"""),"هیأت")</f>
        <v>هیأت</v>
      </c>
      <c r="C4194" s="5" t="str">
        <f>IFERROR(__xludf.DUMMYFUNCTION("""COMPUTED_VALUE"""),"صاحب الزمان(عج)")</f>
        <v>صاحب الزمان(عج)</v>
      </c>
      <c r="D4194" s="5" t="str">
        <f>IFERROR(__xludf.DUMMYFUNCTION("""COMPUTED_VALUE"""),"خراسان شمالی")</f>
        <v>خراسان شمالی</v>
      </c>
      <c r="E4194" s="5" t="str">
        <f>IFERROR(__xludf.DUMMYFUNCTION("""COMPUTED_VALUE"""),"بجنورد")</f>
        <v>بجنورد</v>
      </c>
      <c r="F4194" s="5"/>
      <c r="G4194" s="5"/>
      <c r="H4194" s="6" t="str">
        <f>IFERROR(__xludf.DUMMYFUNCTION("""COMPUTED_VALUE"""),"https://www.instagram.com/heyat_saheb_azaman/")</f>
        <v>https://www.instagram.com/heyat_saheb_azaman/</v>
      </c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</row>
    <row r="4195">
      <c r="A4195" s="5"/>
      <c r="B4195" s="5" t="str">
        <f>IFERROR(__xludf.DUMMYFUNCTION("""COMPUTED_VALUE"""),"هیأت")</f>
        <v>هیأت</v>
      </c>
      <c r="C4195" s="5" t="str">
        <f>IFERROR(__xludf.DUMMYFUNCTION("""COMPUTED_VALUE""")," الهادی(علیه‌السلام)")</f>
        <v> الهادی(علیه‌السلام)</v>
      </c>
      <c r="D4195" s="5" t="str">
        <f>IFERROR(__xludf.DUMMYFUNCTION("""COMPUTED_VALUE"""),"خراسان شمالی")</f>
        <v>خراسان شمالی</v>
      </c>
      <c r="E4195" s="5" t="str">
        <f>IFERROR(__xludf.DUMMYFUNCTION("""COMPUTED_VALUE"""),"بجنورد")</f>
        <v>بجنورد</v>
      </c>
      <c r="F4195" s="5"/>
      <c r="G4195" s="5"/>
      <c r="H4195" s="6" t="str">
        <f>IFERROR(__xludf.DUMMYFUNCTION("""COMPUTED_VALUE"""),"https://www.instagram.com/heyat_alhadi")</f>
        <v>https://www.instagram.com/heyat_alhadi</v>
      </c>
      <c r="I4195" s="5"/>
      <c r="J4195" s="6" t="str">
        <f>IFERROR(__xludf.DUMMYFUNCTION("""COMPUTED_VALUE"""),"https://eitaa.com/HEYAT_ALHADI")</f>
        <v>https://eitaa.com/HEYAT_ALHADI</v>
      </c>
      <c r="K4195" s="5"/>
      <c r="L4195" s="5"/>
      <c r="M4195" s="5"/>
      <c r="N4195" s="5"/>
      <c r="O4195" s="5"/>
      <c r="P4195" s="5"/>
      <c r="Q4195" s="5"/>
      <c r="R4195" s="5"/>
      <c r="S4195" s="5"/>
    </row>
    <row r="4196">
      <c r="A4196" s="5"/>
      <c r="B4196" s="5" t="str">
        <f>IFERROR(__xludf.DUMMYFUNCTION("""COMPUTED_VALUE"""),"هیأت")</f>
        <v>هیأت</v>
      </c>
      <c r="C4196" s="5" t="str">
        <f>IFERROR(__xludf.DUMMYFUNCTION("""COMPUTED_VALUE"""),"عشاق سیدالشهداء")</f>
        <v>عشاق سیدالشهداء</v>
      </c>
      <c r="D4196" s="5" t="str">
        <f>IFERROR(__xludf.DUMMYFUNCTION("""COMPUTED_VALUE"""),"خراسان شمالی")</f>
        <v>خراسان شمالی</v>
      </c>
      <c r="E4196" s="5" t="str">
        <f>IFERROR(__xludf.DUMMYFUNCTION("""COMPUTED_VALUE"""),"بجنورد")</f>
        <v>بجنورد</v>
      </c>
      <c r="F4196" s="5"/>
      <c r="G4196" s="5"/>
      <c r="H4196" s="6" t="str">
        <f>IFERROR(__xludf.DUMMYFUNCTION("""COMPUTED_VALUE"""),"https://www.instagram.com/seyedushohada1/")</f>
        <v>https://www.instagram.com/seyedushohada1/</v>
      </c>
      <c r="I4196" s="6" t="str">
        <f>IFERROR(__xludf.DUMMYFUNCTION("""COMPUTED_VALUE"""),"https://t.me/Seyedushohada1")</f>
        <v>https://t.me/Seyedushohada1</v>
      </c>
      <c r="J4196" s="6" t="str">
        <f>IFERROR(__xludf.DUMMYFUNCTION("""COMPUTED_VALUE"""),"https://eitaa.com/seyedushohada1")</f>
        <v>https://eitaa.com/seyedushohada1</v>
      </c>
      <c r="K4196" s="5"/>
      <c r="L4196" s="5"/>
      <c r="M4196" s="5"/>
      <c r="N4196" s="5"/>
      <c r="O4196" s="5"/>
      <c r="P4196" s="5"/>
      <c r="Q4196" s="5"/>
      <c r="R4196" s="5"/>
      <c r="S4196" s="5"/>
    </row>
    <row r="4197">
      <c r="A4197" s="5"/>
      <c r="B4197" s="5" t="str">
        <f>IFERROR(__xludf.DUMMYFUNCTION("""COMPUTED_VALUE"""),"هیأت")</f>
        <v>هیأت</v>
      </c>
      <c r="C4197" s="5" t="str">
        <f>IFERROR(__xludf.DUMMYFUNCTION("""COMPUTED_VALUE"""),"علمدار کربلا")</f>
        <v>علمدار کربلا</v>
      </c>
      <c r="D4197" s="5" t="str">
        <f>IFERROR(__xludf.DUMMYFUNCTION("""COMPUTED_VALUE"""),"خراسان شمالی")</f>
        <v>خراسان شمالی</v>
      </c>
      <c r="E4197" s="5" t="str">
        <f>IFERROR(__xludf.DUMMYFUNCTION("""COMPUTED_VALUE"""),"بجنورد")</f>
        <v>بجنورد</v>
      </c>
      <c r="F4197" s="5"/>
      <c r="G4197" s="5"/>
      <c r="H4197" s="6" t="str">
        <f>IFERROR(__xludf.DUMMYFUNCTION("""COMPUTED_VALUE"""),"https://www.instagram.com/nkums_heiat/")</f>
        <v>https://www.instagram.com/nkums_heiat/</v>
      </c>
      <c r="I4197" s="6" t="str">
        <f>IFERROR(__xludf.DUMMYFUNCTION("""COMPUTED_VALUE"""),"https://t.me/nkums_heiat")</f>
        <v>https://t.me/nkums_heiat</v>
      </c>
      <c r="J4197" s="5"/>
      <c r="K4197" s="5"/>
      <c r="L4197" s="5"/>
      <c r="M4197" s="5"/>
      <c r="N4197" s="5"/>
      <c r="O4197" s="5"/>
      <c r="P4197" s="5"/>
      <c r="Q4197" s="5"/>
      <c r="R4197" s="5"/>
      <c r="S4197" s="5"/>
    </row>
    <row r="4198">
      <c r="A4198" s="5"/>
      <c r="B4198" s="5" t="str">
        <f>IFERROR(__xludf.DUMMYFUNCTION("""COMPUTED_VALUE"""),"هیأت")</f>
        <v>هیأت</v>
      </c>
      <c r="C4198" s="5" t="str">
        <f>IFERROR(__xludf.DUMMYFUNCTION("""COMPUTED_VALUE"""),"عاشقان بین الحرمین")</f>
        <v>عاشقان بین الحرمین</v>
      </c>
      <c r="D4198" s="5" t="str">
        <f>IFERROR(__xludf.DUMMYFUNCTION("""COMPUTED_VALUE"""),"خراسان شمالی")</f>
        <v>خراسان شمالی</v>
      </c>
      <c r="E4198" s="5" t="str">
        <f>IFERROR(__xludf.DUMMYFUNCTION("""COMPUTED_VALUE"""),"بجنورد")</f>
        <v>بجنورد</v>
      </c>
      <c r="F4198" s="5"/>
      <c r="G4198" s="5">
        <f>IFERROR(__xludf.DUMMYFUNCTION("""COMPUTED_VALUE"""),1.0)</f>
        <v>1</v>
      </c>
      <c r="H4198" s="6" t="str">
        <f>IFERROR(__xludf.DUMMYFUNCTION("""COMPUTED_VALUE"""),"https://www.instagram.com/heyat_asheghan_binolharamein/")</f>
        <v>https://www.instagram.com/heyat_asheghan_binolharamein/</v>
      </c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</row>
    <row r="4199">
      <c r="A4199" s="5"/>
      <c r="B4199" s="5" t="str">
        <f>IFERROR(__xludf.DUMMYFUNCTION("""COMPUTED_VALUE"""),"هیأت")</f>
        <v>هیأت</v>
      </c>
      <c r="C4199" s="5" t="str">
        <f>IFERROR(__xludf.DUMMYFUNCTION("""COMPUTED_VALUE"""),"دو طفلان")</f>
        <v>دو طفلان</v>
      </c>
      <c r="D4199" s="5" t="str">
        <f>IFERROR(__xludf.DUMMYFUNCTION("""COMPUTED_VALUE"""),"خراسان شمالی")</f>
        <v>خراسان شمالی</v>
      </c>
      <c r="E4199" s="5" t="str">
        <f>IFERROR(__xludf.DUMMYFUNCTION("""COMPUTED_VALUE"""),"بجنورد")</f>
        <v>بجنورد</v>
      </c>
      <c r="F4199" s="5"/>
      <c r="G4199" s="5"/>
      <c r="H4199" s="6" t="str">
        <f>IFERROR(__xludf.DUMMYFUNCTION("""COMPUTED_VALUE"""),"https://www.instagram.com/doteflanmoslem_bojnourd/")</f>
        <v>https://www.instagram.com/doteflanmoslem_bojnourd/</v>
      </c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</row>
    <row r="4200">
      <c r="A4200" s="5"/>
      <c r="B4200" s="5" t="str">
        <f>IFERROR(__xludf.DUMMYFUNCTION("""COMPUTED_VALUE"""),"هیأت")</f>
        <v>هیأت</v>
      </c>
      <c r="C4200" s="5" t="str">
        <f>IFERROR(__xludf.DUMMYFUNCTION("""COMPUTED_VALUE"""),"یا فاطمة الزهرا  (واحد بانوان)")</f>
        <v>یا فاطمة الزهرا  (واحد بانوان)</v>
      </c>
      <c r="D4200" s="5" t="str">
        <f>IFERROR(__xludf.DUMMYFUNCTION("""COMPUTED_VALUE"""),"خراسان شمالی")</f>
        <v>خراسان شمالی</v>
      </c>
      <c r="E4200" s="5" t="str">
        <f>IFERROR(__xludf.DUMMYFUNCTION("""COMPUTED_VALUE"""),"بجنورد")</f>
        <v>بجنورد</v>
      </c>
      <c r="F4200" s="5"/>
      <c r="G4200" s="5"/>
      <c r="H4200" s="6" t="str">
        <f>IFERROR(__xludf.DUMMYFUNCTION("""COMPUTED_VALUE"""),"https://www.instagram.com/ya.fatemezahra.banovan/")</f>
        <v>https://www.instagram.com/ya.fatemezahra.banovan/</v>
      </c>
      <c r="I4200" s="6" t="str">
        <f>IFERROR(__xludf.DUMMYFUNCTION("""COMPUTED_VALUE"""),"https://eitaa.com/banovanyafatemezahr")</f>
        <v>https://eitaa.com/banovanyafatemezahr</v>
      </c>
      <c r="J4200" s="5"/>
      <c r="K4200" s="5"/>
      <c r="L4200" s="5"/>
      <c r="M4200" s="5"/>
      <c r="N4200" s="5"/>
      <c r="O4200" s="5"/>
      <c r="P4200" s="5"/>
      <c r="Q4200" s="5"/>
      <c r="R4200" s="5"/>
      <c r="S4200" s="5"/>
    </row>
    <row r="4201">
      <c r="A4201" s="5"/>
      <c r="B4201" s="5" t="str">
        <f>IFERROR(__xludf.DUMMYFUNCTION("""COMPUTED_VALUE"""),"هیأت")</f>
        <v>هیأت</v>
      </c>
      <c r="C4201" s="5" t="str">
        <f>IFERROR(__xludf.DUMMYFUNCTION("""COMPUTED_VALUE"""),"بقیة الله")</f>
        <v>بقیة الله</v>
      </c>
      <c r="D4201" s="5" t="str">
        <f>IFERROR(__xludf.DUMMYFUNCTION("""COMPUTED_VALUE"""),"خراسان شمالی")</f>
        <v>خراسان شمالی</v>
      </c>
      <c r="E4201" s="5" t="str">
        <f>IFERROR(__xludf.DUMMYFUNCTION("""COMPUTED_VALUE"""),"بجنورد")</f>
        <v>بجنورد</v>
      </c>
      <c r="F4201" s="5"/>
      <c r="G4201" s="5"/>
      <c r="H4201" s="6" t="str">
        <f>IFERROR(__xludf.DUMMYFUNCTION("""COMPUTED_VALUE"""),"https://www.instagram.com/heyatbaghyatallah/")</f>
        <v>https://www.instagram.com/heyatbaghyatallah/</v>
      </c>
      <c r="I4201" s="6" t="str">
        <f>IFERROR(__xludf.DUMMYFUNCTION("""COMPUTED_VALUE"""),"https://t.me/heyatbaghyatallah")</f>
        <v>https://t.me/heyatbaghyatallah</v>
      </c>
      <c r="J4201" s="5"/>
      <c r="K4201" s="5"/>
      <c r="L4201" s="5"/>
      <c r="M4201" s="5"/>
      <c r="N4201" s="5"/>
      <c r="O4201" s="5"/>
      <c r="P4201" s="5"/>
      <c r="Q4201" s="5"/>
      <c r="R4201" s="5"/>
      <c r="S4201" s="5"/>
    </row>
    <row r="4202">
      <c r="A4202" s="5"/>
      <c r="B4202" s="5" t="str">
        <f>IFERROR(__xludf.DUMMYFUNCTION("""COMPUTED_VALUE"""),"هیأت")</f>
        <v>هیأت</v>
      </c>
      <c r="C4202" s="5" t="str">
        <f>IFERROR(__xludf.DUMMYFUNCTION("""COMPUTED_VALUE"""),"عشاق المهدي(عج)")</f>
        <v>عشاق المهدي(عج)</v>
      </c>
      <c r="D4202" s="5" t="str">
        <f>IFERROR(__xludf.DUMMYFUNCTION("""COMPUTED_VALUE"""),"خراسان شمالی")</f>
        <v>خراسان شمالی</v>
      </c>
      <c r="E4202" s="5" t="str">
        <f>IFERROR(__xludf.DUMMYFUNCTION("""COMPUTED_VALUE"""),"بجنورد")</f>
        <v>بجنورد</v>
      </c>
      <c r="F4202" s="5"/>
      <c r="G4202" s="5"/>
      <c r="H4202" s="6" t="str">
        <f>IFERROR(__xludf.DUMMYFUNCTION("""COMPUTED_VALUE"""),"https://www.instagram.com/oshaghalmahdi313/")</f>
        <v>https://www.instagram.com/oshaghalmahdi313/</v>
      </c>
      <c r="I4202" s="6" t="str">
        <f>IFERROR(__xludf.DUMMYFUNCTION("""COMPUTED_VALUE"""),"https://t.me/h_oshaghalmahdi")</f>
        <v>https://t.me/h_oshaghalmahdi</v>
      </c>
      <c r="J4202" s="5"/>
      <c r="K4202" s="5"/>
      <c r="L4202" s="5"/>
      <c r="M4202" s="5"/>
      <c r="N4202" s="5"/>
      <c r="O4202" s="5"/>
      <c r="P4202" s="5"/>
      <c r="Q4202" s="5"/>
      <c r="R4202" s="5"/>
      <c r="S4202" s="5"/>
    </row>
    <row r="4203">
      <c r="A4203" s="5"/>
      <c r="B4203" s="5" t="str">
        <f>IFERROR(__xludf.DUMMYFUNCTION("""COMPUTED_VALUE"""),"هیأت")</f>
        <v>هیأت</v>
      </c>
      <c r="C4203" s="5" t="str">
        <f>IFERROR(__xludf.DUMMYFUNCTION("""COMPUTED_VALUE"""),"حب الحسین")</f>
        <v>حب الحسین</v>
      </c>
      <c r="D4203" s="5" t="str">
        <f>IFERROR(__xludf.DUMMYFUNCTION("""COMPUTED_VALUE"""),"خراسان شمالی")</f>
        <v>خراسان شمالی</v>
      </c>
      <c r="E4203" s="5" t="str">
        <f>IFERROR(__xludf.DUMMYFUNCTION("""COMPUTED_VALUE"""),"بجنورد")</f>
        <v>بجنورد</v>
      </c>
      <c r="F4203" s="5"/>
      <c r="G4203" s="5"/>
      <c r="H4203" s="6" t="str">
        <f>IFERROR(__xludf.DUMMYFUNCTION("""COMPUTED_VALUE"""),"https://www.instagram.com/heiathobbolhosin_313/")</f>
        <v>https://www.instagram.com/heiathobbolhosin_313/</v>
      </c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</row>
    <row r="4204">
      <c r="A4204" s="5"/>
      <c r="B4204" s="5" t="str">
        <f>IFERROR(__xludf.DUMMYFUNCTION("""COMPUTED_VALUE"""),"هیأت")</f>
        <v>هیأت</v>
      </c>
      <c r="C4204" s="5" t="str">
        <f>IFERROR(__xludf.DUMMYFUNCTION("""COMPUTED_VALUE"""),"محفل بیت الحسن مجتبی علیه السلام")</f>
        <v>محفل بیت الحسن مجتبی علیه السلام</v>
      </c>
      <c r="D4204" s="5" t="str">
        <f>IFERROR(__xludf.DUMMYFUNCTION("""COMPUTED_VALUE"""),"خراسان شمالی")</f>
        <v>خراسان شمالی</v>
      </c>
      <c r="E4204" s="5" t="str">
        <f>IFERROR(__xludf.DUMMYFUNCTION("""COMPUTED_VALUE"""),"بجنورد")</f>
        <v>بجنورد</v>
      </c>
      <c r="F4204" s="5"/>
      <c r="G4204" s="5"/>
      <c r="H4204" s="6" t="str">
        <f>IFERROR(__xludf.DUMMYFUNCTION("""COMPUTED_VALUE"""),"https://www.instagram.com/baitul_hassan_mojtaba/")</f>
        <v>https://www.instagram.com/baitul_hassan_mojtaba/</v>
      </c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</row>
    <row r="4205">
      <c r="A4205" s="5"/>
      <c r="B4205" s="5" t="str">
        <f>IFERROR(__xludf.DUMMYFUNCTION("""COMPUTED_VALUE"""),"هیأت")</f>
        <v>هیأت</v>
      </c>
      <c r="C4205" s="5" t="str">
        <f>IFERROR(__xludf.DUMMYFUNCTION("""COMPUTED_VALUE"""),"جوانان صاحب الزمان سادات حسینی")</f>
        <v>جوانان صاحب الزمان سادات حسینی</v>
      </c>
      <c r="D4205" s="5" t="str">
        <f>IFERROR(__xludf.DUMMYFUNCTION("""COMPUTED_VALUE"""),"خراسان شمالی")</f>
        <v>خراسان شمالی</v>
      </c>
      <c r="E4205" s="5" t="str">
        <f>IFERROR(__xludf.DUMMYFUNCTION("""COMPUTED_VALUE"""),"بجنورد")</f>
        <v>بجنورد</v>
      </c>
      <c r="F4205" s="5"/>
      <c r="G4205" s="5"/>
      <c r="H4205" s="6" t="str">
        <f>IFERROR(__xludf.DUMMYFUNCTION("""COMPUTED_VALUE"""),"https://www.instagram.com/hyatjavanansahebalzman/")</f>
        <v>https://www.instagram.com/hyatjavanansahebalzman/</v>
      </c>
      <c r="I4205" s="6" t="str">
        <f>IFERROR(__xludf.DUMMYFUNCTION("""COMPUTED_VALUE"""),"https://t.me/heatjavanansahebalzman")</f>
        <v>https://t.me/heatjavanansahebalzman</v>
      </c>
      <c r="J4205" s="5"/>
      <c r="K4205" s="5"/>
      <c r="L4205" s="5"/>
      <c r="M4205" s="5"/>
      <c r="N4205" s="5"/>
      <c r="O4205" s="5"/>
      <c r="P4205" s="5"/>
      <c r="Q4205" s="5"/>
      <c r="R4205" s="5"/>
      <c r="S4205" s="5"/>
    </row>
    <row r="4206">
      <c r="A4206" s="5"/>
      <c r="B4206" s="5" t="str">
        <f>IFERROR(__xludf.DUMMYFUNCTION("""COMPUTED_VALUE"""),"هیأت")</f>
        <v>هیأت</v>
      </c>
      <c r="C4206" s="5" t="str">
        <f>IFERROR(__xludf.DUMMYFUNCTION("""COMPUTED_VALUE"""),"جوانان صاحب الزمان (ع)")</f>
        <v>جوانان صاحب الزمان (ع)</v>
      </c>
      <c r="D4206" s="5" t="str">
        <f>IFERROR(__xludf.DUMMYFUNCTION("""COMPUTED_VALUE"""),"خراسان شمالی")</f>
        <v>خراسان شمالی</v>
      </c>
      <c r="E4206" s="5" t="str">
        <f>IFERROR(__xludf.DUMMYFUNCTION("""COMPUTED_VALUE"""),"بجنورد")</f>
        <v>بجنورد</v>
      </c>
      <c r="F4206" s="5"/>
      <c r="G4206" s="5">
        <f>IFERROR(__xludf.DUMMYFUNCTION("""COMPUTED_VALUE"""),1.0)</f>
        <v>1</v>
      </c>
      <c r="H4206" s="6" t="str">
        <f>IFERROR(__xludf.DUMMYFUNCTION("""COMPUTED_VALUE"""),"https://www.instagram.com/hyatjavanansahebalzaman1401/")</f>
        <v>https://www.instagram.com/hyatjavanansahebalzaman1401/</v>
      </c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</row>
    <row r="4207">
      <c r="A4207" s="5"/>
      <c r="B4207" s="5" t="str">
        <f>IFERROR(__xludf.DUMMYFUNCTION("""COMPUTED_VALUE"""),"هیأت")</f>
        <v>هیأت</v>
      </c>
      <c r="C4207" s="5" t="str">
        <f>IFERROR(__xludf.DUMMYFUNCTION("""COMPUTED_VALUE"""),"ابولفضلی‌ها")</f>
        <v>ابولفضلی‌ها</v>
      </c>
      <c r="D4207" s="5" t="str">
        <f>IFERROR(__xludf.DUMMYFUNCTION("""COMPUTED_VALUE"""),"خراسان شمالی")</f>
        <v>خراسان شمالی</v>
      </c>
      <c r="E4207" s="5" t="str">
        <f>IFERROR(__xludf.DUMMYFUNCTION("""COMPUTED_VALUE"""),"بجنورد")</f>
        <v>بجنورد</v>
      </c>
      <c r="F4207" s="5"/>
      <c r="G4207" s="5"/>
      <c r="H4207" s="6" t="str">
        <f>IFERROR(__xludf.DUMMYFUNCTION("""COMPUTED_VALUE"""),"https://www.instagram.com/heyat.abolfazlihaa/")</f>
        <v>https://www.instagram.com/heyat.abolfazlihaa/</v>
      </c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</row>
    <row r="4208">
      <c r="A4208" s="5"/>
      <c r="B4208" s="5" t="str">
        <f>IFERROR(__xludf.DUMMYFUNCTION("""COMPUTED_VALUE"""),"هیأت")</f>
        <v>هیأت</v>
      </c>
      <c r="C4208" s="5" t="str">
        <f>IFERROR(__xludf.DUMMYFUNCTION("""COMPUTED_VALUE"""),"فدوائیان شهزاده علی اکبر (ع)")</f>
        <v>فدوائیان شهزاده علی اکبر (ع)</v>
      </c>
      <c r="D4208" s="5" t="str">
        <f>IFERROR(__xludf.DUMMYFUNCTION("""COMPUTED_VALUE"""),"خراسان شمالی")</f>
        <v>خراسان شمالی</v>
      </c>
      <c r="E4208" s="5" t="str">
        <f>IFERROR(__xludf.DUMMYFUNCTION("""COMPUTED_VALUE"""),"بجنورد")</f>
        <v>بجنورد</v>
      </c>
      <c r="F4208" s="5"/>
      <c r="G4208" s="5"/>
      <c r="H4208" s="6" t="str">
        <f>IFERROR(__xludf.DUMMYFUNCTION("""COMPUTED_VALUE"""),"https://www.instagram.com/shahzade_alieakbar/")</f>
        <v>https://www.instagram.com/shahzade_alieakbar/</v>
      </c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</row>
    <row r="4209">
      <c r="A4209" s="5"/>
      <c r="B4209" s="5" t="str">
        <f>IFERROR(__xludf.DUMMYFUNCTION("""COMPUTED_VALUE"""),"هیأت")</f>
        <v>هیأت</v>
      </c>
      <c r="C4209" s="5" t="str">
        <f>IFERROR(__xludf.DUMMYFUNCTION("""COMPUTED_VALUE"""),"ابولفضلی رضوی")</f>
        <v>ابولفضلی رضوی</v>
      </c>
      <c r="D4209" s="5" t="str">
        <f>IFERROR(__xludf.DUMMYFUNCTION("""COMPUTED_VALUE"""),"خراسان شمالی")</f>
        <v>خراسان شمالی</v>
      </c>
      <c r="E4209" s="5" t="str">
        <f>IFERROR(__xludf.DUMMYFUNCTION("""COMPUTED_VALUE"""),"بجنورد")</f>
        <v>بجنورد</v>
      </c>
      <c r="F4209" s="5"/>
      <c r="G4209" s="5"/>
      <c r="H4209" s="6" t="str">
        <f>IFERROR(__xludf.DUMMYFUNCTION("""COMPUTED_VALUE"""),"https://www.instagram.com/abolfazlirazavi_bojnourd/")</f>
        <v>https://www.instagram.com/abolfazlirazavi_bojnourd/</v>
      </c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</row>
    <row r="4210">
      <c r="A4210" s="5"/>
      <c r="B4210" s="5" t="str">
        <f>IFERROR(__xludf.DUMMYFUNCTION("""COMPUTED_VALUE"""),"هیأت")</f>
        <v>هیأت</v>
      </c>
      <c r="C4210" s="5" t="str">
        <f>IFERROR(__xludf.DUMMYFUNCTION("""COMPUTED_VALUE"""),"اصحاب الحسین(ع)")</f>
        <v>اصحاب الحسین(ع)</v>
      </c>
      <c r="D4210" s="5" t="str">
        <f>IFERROR(__xludf.DUMMYFUNCTION("""COMPUTED_VALUE"""),"خراسان شمالی")</f>
        <v>خراسان شمالی</v>
      </c>
      <c r="E4210" s="5" t="str">
        <f>IFERROR(__xludf.DUMMYFUNCTION("""COMPUTED_VALUE"""),"بجنورد")</f>
        <v>بجنورد</v>
      </c>
      <c r="F4210" s="5"/>
      <c r="G4210" s="5"/>
      <c r="H4210" s="6" t="str">
        <f>IFERROR(__xludf.DUMMYFUNCTION("""COMPUTED_VALUE"""),"https://www.instagram.com/ashab.alhosein/")</f>
        <v>https://www.instagram.com/ashab.alhosein/</v>
      </c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</row>
    <row r="4211">
      <c r="A4211" s="5"/>
      <c r="B4211" s="5" t="str">
        <f>IFERROR(__xludf.DUMMYFUNCTION("""COMPUTED_VALUE"""),"هیأت")</f>
        <v>هیأت</v>
      </c>
      <c r="C4211" s="5" t="str">
        <f>IFERROR(__xludf.DUMMYFUNCTION("""COMPUTED_VALUE"""),"روضة الحسین")</f>
        <v>روضة الحسین</v>
      </c>
      <c r="D4211" s="5" t="str">
        <f>IFERROR(__xludf.DUMMYFUNCTION("""COMPUTED_VALUE"""),"خراسان شمالی")</f>
        <v>خراسان شمالی</v>
      </c>
      <c r="E4211" s="5" t="str">
        <f>IFERROR(__xludf.DUMMYFUNCTION("""COMPUTED_VALUE"""),"بجنورد")</f>
        <v>بجنورد</v>
      </c>
      <c r="F4211" s="5"/>
      <c r="G4211" s="5"/>
      <c r="H4211" s="6" t="str">
        <f>IFERROR(__xludf.DUMMYFUNCTION("""COMPUTED_VALUE"""),"https://www.instagram.com/rozatolhossein.boj/")</f>
        <v>https://www.instagram.com/rozatolhossein.boj/</v>
      </c>
      <c r="I4211" s="6" t="str">
        <f>IFERROR(__xludf.DUMMYFUNCTION("""COMPUTED_VALUE"""),"https://t.me/RozatolHossein128")</f>
        <v>https://t.me/RozatolHossein128</v>
      </c>
      <c r="J4211" s="5"/>
      <c r="K4211" s="5"/>
      <c r="L4211" s="5"/>
      <c r="M4211" s="5"/>
      <c r="N4211" s="5"/>
      <c r="O4211" s="5"/>
      <c r="P4211" s="5"/>
      <c r="Q4211" s="5"/>
      <c r="R4211" s="5"/>
      <c r="S4211" s="5"/>
    </row>
    <row r="4212">
      <c r="A4212" s="5"/>
      <c r="B4212" s="5" t="str">
        <f>IFERROR(__xludf.DUMMYFUNCTION("""COMPUTED_VALUE"""),"هیأت")</f>
        <v>هیأت</v>
      </c>
      <c r="C4212" s="5" t="str">
        <f>IFERROR(__xludf.DUMMYFUNCTION("""COMPUTED_VALUE"""),"جوانان بقیه الله")</f>
        <v>جوانان بقیه الله</v>
      </c>
      <c r="D4212" s="5" t="str">
        <f>IFERROR(__xludf.DUMMYFUNCTION("""COMPUTED_VALUE"""),"خراسان شمالی")</f>
        <v>خراسان شمالی</v>
      </c>
      <c r="E4212" s="5" t="str">
        <f>IFERROR(__xludf.DUMMYFUNCTION("""COMPUTED_VALUE"""),"بجنورد")</f>
        <v>بجنورد</v>
      </c>
      <c r="F4212" s="5"/>
      <c r="G4212" s="5">
        <f>IFERROR(__xludf.DUMMYFUNCTION("""COMPUTED_VALUE"""),1.0)</f>
        <v>1</v>
      </c>
      <c r="H4212" s="6" t="str">
        <f>IFERROR(__xludf.DUMMYFUNCTION("""COMPUTED_VALUE"""),"https://www.instagram.com/hy_javanan.baghyatallah/")</f>
        <v>https://www.instagram.com/hy_javanan.baghyatallah/</v>
      </c>
      <c r="I4212" s="6" t="str">
        <f>IFERROR(__xludf.DUMMYFUNCTION("""COMPUTED_VALUE"""),"https://t.me/javananbaqiatolah")</f>
        <v>https://t.me/javananbaqiatolah</v>
      </c>
      <c r="J4212" s="5"/>
      <c r="K4212" s="5"/>
      <c r="L4212" s="5"/>
      <c r="M4212" s="5"/>
      <c r="N4212" s="5"/>
      <c r="O4212" s="5"/>
      <c r="P4212" s="5"/>
      <c r="Q4212" s="5"/>
      <c r="R4212" s="5"/>
      <c r="S4212" s="5"/>
    </row>
    <row r="4213">
      <c r="A4213" s="5"/>
      <c r="B4213" s="5" t="str">
        <f>IFERROR(__xludf.DUMMYFUNCTION("""COMPUTED_VALUE"""),"هیأت")</f>
        <v>هیأت</v>
      </c>
      <c r="C4213" s="5" t="str">
        <f>IFERROR(__xludf.DUMMYFUNCTION("""COMPUTED_VALUE"""),"دیوانگان حسینی")</f>
        <v>دیوانگان حسینی</v>
      </c>
      <c r="D4213" s="5" t="str">
        <f>IFERROR(__xludf.DUMMYFUNCTION("""COMPUTED_VALUE"""),"خراسان شمالی")</f>
        <v>خراسان شمالی</v>
      </c>
      <c r="E4213" s="5" t="str">
        <f>IFERROR(__xludf.DUMMYFUNCTION("""COMPUTED_VALUE"""),"بجنورد")</f>
        <v>بجنورد</v>
      </c>
      <c r="F4213" s="5"/>
      <c r="G4213" s="5"/>
      <c r="H4213" s="6" t="str">
        <f>IFERROR(__xludf.DUMMYFUNCTION("""COMPUTED_VALUE"""),"https://www.instagram.com/heyat_divaneganhoseini/")</f>
        <v>https://www.instagram.com/heyat_divaneganhoseini/</v>
      </c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</row>
    <row r="4214">
      <c r="A4214" s="5"/>
      <c r="B4214" s="5" t="str">
        <f>IFERROR(__xludf.DUMMYFUNCTION("""COMPUTED_VALUE"""),"هیأت")</f>
        <v>هیأت</v>
      </c>
      <c r="C4214" s="5" t="str">
        <f>IFERROR(__xludf.DUMMYFUNCTION("""COMPUTED_VALUE"""),"حضرت‌قاسم‌بن‌الحسن(ع)")</f>
        <v>حضرت‌قاسم‌بن‌الحسن(ع)</v>
      </c>
      <c r="D4214" s="5" t="str">
        <f>IFERROR(__xludf.DUMMYFUNCTION("""COMPUTED_VALUE"""),"خراسان شمالی")</f>
        <v>خراسان شمالی</v>
      </c>
      <c r="E4214" s="5" t="str">
        <f>IFERROR(__xludf.DUMMYFUNCTION("""COMPUTED_VALUE"""),"بجنورد")</f>
        <v>بجنورد</v>
      </c>
      <c r="F4214" s="5"/>
      <c r="G4214" s="5"/>
      <c r="H4214" s="6" t="str">
        <f>IFERROR(__xludf.DUMMYFUNCTION("""COMPUTED_VALUE"""),"https://www.instagram.com/heyat_hazratghasem_boj/")</f>
        <v>https://www.instagram.com/heyat_hazratghasem_boj/</v>
      </c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</row>
    <row r="4215">
      <c r="A4215" s="5"/>
      <c r="B4215" s="5" t="str">
        <f>IFERROR(__xludf.DUMMYFUNCTION("""COMPUTED_VALUE"""),"هیأت")</f>
        <v>هیأت</v>
      </c>
      <c r="C4215" s="5" t="str">
        <f>IFERROR(__xludf.DUMMYFUNCTION("""COMPUTED_VALUE"""),"مصباح الهدی بجنورد")</f>
        <v>مصباح الهدی بجنورد</v>
      </c>
      <c r="D4215" s="5" t="str">
        <f>IFERROR(__xludf.DUMMYFUNCTION("""COMPUTED_VALUE"""),"خراسان شمالی")</f>
        <v>خراسان شمالی</v>
      </c>
      <c r="E4215" s="5" t="str">
        <f>IFERROR(__xludf.DUMMYFUNCTION("""COMPUTED_VALUE"""),"بجنورد")</f>
        <v>بجنورد</v>
      </c>
      <c r="F4215" s="5"/>
      <c r="G4215" s="5"/>
      <c r="H4215" s="6" t="str">
        <f>IFERROR(__xludf.DUMMYFUNCTION("""COMPUTED_VALUE"""),"https://www.instagram.com/mesbaholhoda_bojnourd/")</f>
        <v>https://www.instagram.com/mesbaholhoda_bojnourd/</v>
      </c>
      <c r="I4215" s="6" t="str">
        <f>IFERROR(__xludf.DUMMYFUNCTION("""COMPUTED_VALUE"""),"https://t.me/mesbaholhoda_bojnourd")</f>
        <v>https://t.me/mesbaholhoda_bojnourd</v>
      </c>
      <c r="J4215" s="6" t="str">
        <f>IFERROR(__xludf.DUMMYFUNCTION("""COMPUTED_VALUE"""),"https://eitaa.com/mesbaholhoda_bojnourd")</f>
        <v>https://eitaa.com/mesbaholhoda_bojnourd</v>
      </c>
      <c r="K4215" s="5"/>
      <c r="L4215" s="5"/>
      <c r="M4215" s="5"/>
      <c r="N4215" s="5"/>
      <c r="O4215" s="5"/>
      <c r="P4215" s="5"/>
      <c r="Q4215" s="5"/>
      <c r="R4215" s="5"/>
      <c r="S4215" s="5"/>
    </row>
    <row r="4216">
      <c r="A4216" s="5"/>
      <c r="B4216" s="5" t="str">
        <f>IFERROR(__xludf.DUMMYFUNCTION("""COMPUTED_VALUE"""),"هیأت")</f>
        <v>هیأت</v>
      </c>
      <c r="C4216" s="5" t="str">
        <f>IFERROR(__xludf.DUMMYFUNCTION("""COMPUTED_VALUE"""),"عاشقان بین الحرمین")</f>
        <v>عاشقان بین الحرمین</v>
      </c>
      <c r="D4216" s="5" t="str">
        <f>IFERROR(__xludf.DUMMYFUNCTION("""COMPUTED_VALUE"""),"خراسان شمالی")</f>
        <v>خراسان شمالی</v>
      </c>
      <c r="E4216" s="5" t="str">
        <f>IFERROR(__xludf.DUMMYFUNCTION("""COMPUTED_VALUE"""),"بجنورد")</f>
        <v>بجنورد</v>
      </c>
      <c r="F4216" s="5"/>
      <c r="G4216" s="5"/>
      <c r="H4216" s="6" t="str">
        <f>IFERROR(__xludf.DUMMYFUNCTION("""COMPUTED_VALUE"""),"https://www.instagram.com/asheghan.haramein/")</f>
        <v>https://www.instagram.com/asheghan.haramein/</v>
      </c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</row>
    <row r="4217">
      <c r="A4217" s="5"/>
      <c r="B4217" s="5" t="str">
        <f>IFERROR(__xludf.DUMMYFUNCTION("""COMPUTED_VALUE"""),"هیأت")</f>
        <v>هیأت</v>
      </c>
      <c r="C4217" s="5" t="str">
        <f>IFERROR(__xludf.DUMMYFUNCTION("""COMPUTED_VALUE"""),"روضة الشهداء")</f>
        <v>روضة الشهداء</v>
      </c>
      <c r="D4217" s="5" t="str">
        <f>IFERROR(__xludf.DUMMYFUNCTION("""COMPUTED_VALUE"""),"خراسان شمالی")</f>
        <v>خراسان شمالی</v>
      </c>
      <c r="E4217" s="5" t="str">
        <f>IFERROR(__xludf.DUMMYFUNCTION("""COMPUTED_VALUE"""),"بجنورد")</f>
        <v>بجنورد</v>
      </c>
      <c r="F4217" s="5"/>
      <c r="G4217" s="5"/>
      <c r="H4217" s="6" t="str">
        <f>IFERROR(__xludf.DUMMYFUNCTION("""COMPUTED_VALUE"""),"https://www.instagram.com/rozatolshohada_boj/")</f>
        <v>https://www.instagram.com/rozatolshohada_boj/</v>
      </c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</row>
    <row r="4218">
      <c r="A4218" s="5"/>
      <c r="B4218" s="5" t="str">
        <f>IFERROR(__xludf.DUMMYFUNCTION("""COMPUTED_VALUE"""),"هیأت")</f>
        <v>هیأت</v>
      </c>
      <c r="C4218" s="5" t="str">
        <f>IFERROR(__xludf.DUMMYFUNCTION("""COMPUTED_VALUE"""),"جوانان مسجد انقلاب")</f>
        <v>جوانان مسجد انقلاب</v>
      </c>
      <c r="D4218" s="5" t="str">
        <f>IFERROR(__xludf.DUMMYFUNCTION("""COMPUTED_VALUE"""),"خراسان شمالی")</f>
        <v>خراسان شمالی</v>
      </c>
      <c r="E4218" s="5" t="str">
        <f>IFERROR(__xludf.DUMMYFUNCTION("""COMPUTED_VALUE"""),"بجنورد")</f>
        <v>بجنورد</v>
      </c>
      <c r="F4218" s="5"/>
      <c r="G4218" s="5"/>
      <c r="H4218" s="6" t="str">
        <f>IFERROR(__xludf.DUMMYFUNCTION("""COMPUTED_VALUE"""),"https://www.instagram.com/masjedenqelab/")</f>
        <v>https://www.instagram.com/masjedenqelab/</v>
      </c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</row>
    <row r="4219">
      <c r="A4219" s="5"/>
      <c r="B4219" s="5" t="str">
        <f>IFERROR(__xludf.DUMMYFUNCTION("""COMPUTED_VALUE"""),"هیأت")</f>
        <v>هیأت</v>
      </c>
      <c r="C4219" s="5" t="str">
        <f>IFERROR(__xludf.DUMMYFUNCTION("""COMPUTED_VALUE"""),"مهدویون")</f>
        <v>مهدویون</v>
      </c>
      <c r="D4219" s="5" t="str">
        <f>IFERROR(__xludf.DUMMYFUNCTION("""COMPUTED_VALUE"""),"خراسان شمالی")</f>
        <v>خراسان شمالی</v>
      </c>
      <c r="E4219" s="5" t="str">
        <f>IFERROR(__xludf.DUMMYFUNCTION("""COMPUTED_VALUE"""),"بجنورد")</f>
        <v>بجنورد</v>
      </c>
      <c r="F4219" s="5"/>
      <c r="G4219" s="5"/>
      <c r="H4219" s="6" t="str">
        <f>IFERROR(__xludf.DUMMYFUNCTION("""COMPUTED_VALUE"""),"https://www.instagram.com/mahdaviyoon_bojnurd/")</f>
        <v>https://www.instagram.com/mahdaviyoon_bojnurd/</v>
      </c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</row>
    <row r="4220">
      <c r="A4220" s="5"/>
      <c r="B4220" s="5" t="str">
        <f>IFERROR(__xludf.DUMMYFUNCTION("""COMPUTED_VALUE"""),"هیأت")</f>
        <v>هیأت</v>
      </c>
      <c r="C4220" s="5" t="str">
        <f>IFERROR(__xludf.DUMMYFUNCTION("""COMPUTED_VALUE"""),"منتظران مهدی")</f>
        <v>منتظران مهدی</v>
      </c>
      <c r="D4220" s="5" t="str">
        <f>IFERROR(__xludf.DUMMYFUNCTION("""COMPUTED_VALUE"""),"خراسان شمالی")</f>
        <v>خراسان شمالی</v>
      </c>
      <c r="E4220" s="5" t="str">
        <f>IFERROR(__xludf.DUMMYFUNCTION("""COMPUTED_VALUE"""),"بجنورد")</f>
        <v>بجنورد</v>
      </c>
      <c r="F4220" s="5"/>
      <c r="G4220" s="5"/>
      <c r="H4220" s="6" t="str">
        <f>IFERROR(__xludf.DUMMYFUNCTION("""COMPUTED_VALUE"""),"https://www.instagram.com/heyatmontazeranmahdibojnurd/")</f>
        <v>https://www.instagram.com/heyatmontazeranmahdibojnurd/</v>
      </c>
      <c r="I4220" s="6" t="str">
        <f>IFERROR(__xludf.DUMMYFUNCTION("""COMPUTED_VALUE"""),"https://t.me/montazeranmahdibojnurd")</f>
        <v>https://t.me/montazeranmahdibojnurd</v>
      </c>
      <c r="J4220" s="5"/>
      <c r="K4220" s="5"/>
      <c r="L4220" s="5"/>
      <c r="M4220" s="5"/>
      <c r="N4220" s="5"/>
      <c r="O4220" s="5"/>
      <c r="P4220" s="5"/>
      <c r="Q4220" s="5"/>
      <c r="R4220" s="5"/>
      <c r="S4220" s="5"/>
    </row>
    <row r="4221">
      <c r="A4221" s="5"/>
      <c r="B4221" s="5" t="str">
        <f>IFERROR(__xludf.DUMMYFUNCTION("""COMPUTED_VALUE"""),"هیأت")</f>
        <v>هیأت</v>
      </c>
      <c r="C4221" s="5" t="str">
        <f>IFERROR(__xludf.DUMMYFUNCTION("""COMPUTED_VALUE"""),"سجادیه")</f>
        <v>سجادیه</v>
      </c>
      <c r="D4221" s="5" t="str">
        <f>IFERROR(__xludf.DUMMYFUNCTION("""COMPUTED_VALUE"""),"خراسان شمالی")</f>
        <v>خراسان شمالی</v>
      </c>
      <c r="E4221" s="5" t="str">
        <f>IFERROR(__xludf.DUMMYFUNCTION("""COMPUTED_VALUE"""),"بجنورد")</f>
        <v>بجنورد</v>
      </c>
      <c r="F4221" s="5"/>
      <c r="G4221" s="5"/>
      <c r="H4221" s="6" t="str">
        <f>IFERROR(__xludf.DUMMYFUNCTION("""COMPUTED_VALUE"""),"https://www.instagram.com/heyat_sajadieh_bojnurd/")</f>
        <v>https://www.instagram.com/heyat_sajadieh_bojnurd/</v>
      </c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</row>
    <row r="4222">
      <c r="A4222" s="5"/>
      <c r="B4222" s="5" t="str">
        <f>IFERROR(__xludf.DUMMYFUNCTION("""COMPUTED_VALUE"""),"هیأت")</f>
        <v>هیأت</v>
      </c>
      <c r="C4222" s="5" t="str">
        <f>IFERROR(__xludf.DUMMYFUNCTION("""COMPUTED_VALUE"""),"آل یاسین")</f>
        <v>آل یاسین</v>
      </c>
      <c r="D4222" s="5" t="str">
        <f>IFERROR(__xludf.DUMMYFUNCTION("""COMPUTED_VALUE"""),"خراسان شمالی")</f>
        <v>خراسان شمالی</v>
      </c>
      <c r="E4222" s="5" t="str">
        <f>IFERROR(__xludf.DUMMYFUNCTION("""COMPUTED_VALUE"""),"بجنورد")</f>
        <v>بجنورد</v>
      </c>
      <c r="F4222" s="5"/>
      <c r="G4222" s="5"/>
      <c r="H4222" s="6" t="str">
        <f>IFERROR(__xludf.DUMMYFUNCTION("""COMPUTED_VALUE"""),"https://www.instagram.com/maktabolhosain/")</f>
        <v>https://www.instagram.com/maktabolhosain/</v>
      </c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</row>
    <row r="4223">
      <c r="A4223" s="5"/>
      <c r="B4223" s="5" t="str">
        <f>IFERROR(__xludf.DUMMYFUNCTION("""COMPUTED_VALUE"""),"هیأت دانش آموزی")</f>
        <v>هیأت دانش آموزی</v>
      </c>
      <c r="C4223" s="5" t="str">
        <f>IFERROR(__xludf.DUMMYFUNCTION("""COMPUTED_VALUE"""),"انصارالمهدی (عج)")</f>
        <v>انصارالمهدی (عج)</v>
      </c>
      <c r="D4223" s="5" t="str">
        <f>IFERROR(__xludf.DUMMYFUNCTION("""COMPUTED_VALUE"""),"خراسان شمالی")</f>
        <v>خراسان شمالی</v>
      </c>
      <c r="E4223" s="5" t="str">
        <f>IFERROR(__xludf.DUMMYFUNCTION("""COMPUTED_VALUE"""),"بجنورد")</f>
        <v>بجنورد</v>
      </c>
      <c r="F4223" s="5"/>
      <c r="G4223" s="5"/>
      <c r="H4223" s="6" t="str">
        <f>IFERROR(__xludf.DUMMYFUNCTION("""COMPUTED_VALUE"""),"https://www.instagram.com/ansaralmahdi_bojnord/")</f>
        <v>https://www.instagram.com/ansaralmahdi_bojnord/</v>
      </c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</row>
    <row r="4224">
      <c r="A4224" s="5"/>
      <c r="B4224" s="5" t="str">
        <f>IFERROR(__xludf.DUMMYFUNCTION("""COMPUTED_VALUE"""),"هیأت دانشجویی")</f>
        <v>هیأت دانشجویی</v>
      </c>
      <c r="C4224" s="5" t="str">
        <f>IFERROR(__xludf.DUMMYFUNCTION("""COMPUTED_VALUE"""),"المهدی")</f>
        <v>المهدی</v>
      </c>
      <c r="D4224" s="5" t="str">
        <f>IFERROR(__xludf.DUMMYFUNCTION("""COMPUTED_VALUE"""),"خراسان شمالی")</f>
        <v>خراسان شمالی</v>
      </c>
      <c r="E4224" s="5" t="str">
        <f>IFERROR(__xludf.DUMMYFUNCTION("""COMPUTED_VALUE"""),"بجنورد")</f>
        <v>بجنورد</v>
      </c>
      <c r="F4224" s="5"/>
      <c r="G4224" s="5"/>
      <c r="H4224" s="6" t="str">
        <f>IFERROR(__xludf.DUMMYFUNCTION("""COMPUTED_VALUE"""),"https://www.instagram.com/heyat.almahdi_ub/")</f>
        <v>https://www.instagram.com/heyat.almahdi_ub/</v>
      </c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</row>
    <row r="4225">
      <c r="A4225" s="5"/>
      <c r="B4225" s="5" t="str">
        <f>IFERROR(__xludf.DUMMYFUNCTION("""COMPUTED_VALUE"""),"هیأت دانشجویی")</f>
        <v>هیأت دانشجویی</v>
      </c>
      <c r="C4225" s="5" t="str">
        <f>IFERROR(__xludf.DUMMYFUNCTION("""COMPUTED_VALUE"""),"سیدالشهداء")</f>
        <v>سیدالشهداء</v>
      </c>
      <c r="D4225" s="5" t="str">
        <f>IFERROR(__xludf.DUMMYFUNCTION("""COMPUTED_VALUE"""),"خراسان شمالی")</f>
        <v>خراسان شمالی</v>
      </c>
      <c r="E4225" s="5" t="str">
        <f>IFERROR(__xludf.DUMMYFUNCTION("""COMPUTED_VALUE"""),"بجنورد")</f>
        <v>بجنورد</v>
      </c>
      <c r="F4225" s="5" t="str">
        <f>IFERROR(__xludf.DUMMYFUNCTION("""COMPUTED_VALUE"""),"دانشگاه آزاد اسلامی")</f>
        <v>دانشگاه آزاد اسلامی</v>
      </c>
      <c r="G4225" s="5"/>
      <c r="H4225" s="6" t="str">
        <f>IFERROR(__xludf.DUMMYFUNCTION("""COMPUTED_VALUE"""),"https://www.instagram.com/seyyedoshohada_boj/")</f>
        <v>https://www.instagram.com/seyyedoshohada_boj/</v>
      </c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</row>
    <row r="4226">
      <c r="A4226" s="5">
        <f>IFERROR(__xludf.DUMMYFUNCTION("""COMPUTED_VALUE"""),6886.0)</f>
        <v>6886</v>
      </c>
      <c r="B4226" s="5" t="str">
        <f>IFERROR(__xludf.DUMMYFUNCTION("""COMPUTED_VALUE"""),"هیأت")</f>
        <v>هیأت</v>
      </c>
      <c r="C4226" s="5" t="str">
        <f>IFERROR(__xludf.DUMMYFUNCTION("""COMPUTED_VALUE"""),"محب الرضا(ع)")</f>
        <v>محب الرضا(ع)</v>
      </c>
      <c r="D4226" s="5" t="str">
        <f>IFERROR(__xludf.DUMMYFUNCTION("""COMPUTED_VALUE"""),"خراسان شمالی")</f>
        <v>خراسان شمالی</v>
      </c>
      <c r="E4226" s="5" t="str">
        <f>IFERROR(__xludf.DUMMYFUNCTION("""COMPUTED_VALUE"""),"بجنورد")</f>
        <v>بجنورد</v>
      </c>
      <c r="F4226" s="5"/>
      <c r="G4226" s="5"/>
      <c r="H4226" s="6" t="str">
        <f>IFERROR(__xludf.DUMMYFUNCTION("""COMPUTED_VALUE"""),"https://www.instagram.com/mohebbanolreza")</f>
        <v>https://www.instagram.com/mohebbanolreza</v>
      </c>
      <c r="I4226" s="6" t="str">
        <f>IFERROR(__xludf.DUMMYFUNCTION("""COMPUTED_VALUE"""),"https://t.me/mohebbanolreza")</f>
        <v>https://t.me/mohebbanolreza</v>
      </c>
      <c r="J4226" s="5"/>
      <c r="K4226" s="5"/>
      <c r="L4226" s="5"/>
      <c r="M4226" s="5"/>
      <c r="N4226" s="5"/>
      <c r="O4226" s="5"/>
      <c r="P4226" s="5"/>
      <c r="Q4226" s="5"/>
      <c r="R4226" s="5"/>
      <c r="S4226" s="5"/>
    </row>
    <row r="4227">
      <c r="A4227" s="5">
        <f>IFERROR(__xludf.DUMMYFUNCTION("""COMPUTED_VALUE"""),6893.0)</f>
        <v>6893</v>
      </c>
      <c r="B4227" s="5" t="str">
        <f>IFERROR(__xludf.DUMMYFUNCTION("""COMPUTED_VALUE"""),"هیأت")</f>
        <v>هیأت</v>
      </c>
      <c r="C4227" s="5" t="str">
        <f>IFERROR(__xludf.DUMMYFUNCTION("""COMPUTED_VALUE"""),"شاهزاده علی اصغر(ع)")</f>
        <v>شاهزاده علی اصغر(ع)</v>
      </c>
      <c r="D4227" s="5" t="str">
        <f>IFERROR(__xludf.DUMMYFUNCTION("""COMPUTED_VALUE"""),"خراسان شمالی")</f>
        <v>خراسان شمالی</v>
      </c>
      <c r="E4227" s="5" t="str">
        <f>IFERROR(__xludf.DUMMYFUNCTION("""COMPUTED_VALUE"""),"بجنورد")</f>
        <v>بجنورد</v>
      </c>
      <c r="F4227" s="5"/>
      <c r="G4227" s="5"/>
      <c r="H4227" s="6" t="str">
        <f>IFERROR(__xludf.DUMMYFUNCTION("""COMPUTED_VALUE"""),"https://www.instagram.com/shahzadealiasghar_bojnord")</f>
        <v>https://www.instagram.com/shahzadealiasghar_bojnord</v>
      </c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</row>
    <row r="4228">
      <c r="A4228" s="5">
        <f>IFERROR(__xludf.DUMMYFUNCTION("""COMPUTED_VALUE"""),6898.0)</f>
        <v>6898</v>
      </c>
      <c r="B4228" s="5" t="str">
        <f>IFERROR(__xludf.DUMMYFUNCTION("""COMPUTED_VALUE"""),"هیأت")</f>
        <v>هیأت</v>
      </c>
      <c r="C4228" s="5" t="str">
        <f>IFERROR(__xludf.DUMMYFUNCTION("""COMPUTED_VALUE"""),"عشاق المهدی(عج)")</f>
        <v>عشاق المهدی(عج)</v>
      </c>
      <c r="D4228" s="5" t="str">
        <f>IFERROR(__xludf.DUMMYFUNCTION("""COMPUTED_VALUE"""),"خراسان شمالی")</f>
        <v>خراسان شمالی</v>
      </c>
      <c r="E4228" s="5" t="str">
        <f>IFERROR(__xludf.DUMMYFUNCTION("""COMPUTED_VALUE"""),"بجنورد")</f>
        <v>بجنورد</v>
      </c>
      <c r="F4228" s="5"/>
      <c r="G4228" s="5"/>
      <c r="H4228" s="6" t="str">
        <f>IFERROR(__xludf.DUMMYFUNCTION("""COMPUTED_VALUE"""),"https://www.instagram.com/oshaghalmahdi313/")</f>
        <v>https://www.instagram.com/oshaghalmahdi313/</v>
      </c>
      <c r="I4228" s="6" t="str">
        <f>IFERROR(__xludf.DUMMYFUNCTION("""COMPUTED_VALUE"""),"https://t.me/h_oshaghalmahdi")</f>
        <v>https://t.me/h_oshaghalmahdi</v>
      </c>
      <c r="J4228" s="5"/>
      <c r="K4228" s="5"/>
      <c r="L4228" s="5"/>
      <c r="M4228" s="5"/>
      <c r="N4228" s="5"/>
      <c r="O4228" s="5"/>
      <c r="P4228" s="5"/>
      <c r="Q4228" s="5"/>
      <c r="R4228" s="5"/>
      <c r="S4228" s="5"/>
    </row>
    <row r="4229">
      <c r="A4229" s="5">
        <f>IFERROR(__xludf.DUMMYFUNCTION("""COMPUTED_VALUE"""),6915.0)</f>
        <v>6915</v>
      </c>
      <c r="B4229" s="5" t="str">
        <f>IFERROR(__xludf.DUMMYFUNCTION("""COMPUTED_VALUE"""),"هیأت")</f>
        <v>هیأت</v>
      </c>
      <c r="C4229" s="5" t="str">
        <f>IFERROR(__xludf.DUMMYFUNCTION("""COMPUTED_VALUE"""),"روستای شیخ تیمور")</f>
        <v>روستای شیخ تیمور</v>
      </c>
      <c r="D4229" s="5" t="str">
        <f>IFERROR(__xludf.DUMMYFUNCTION("""COMPUTED_VALUE"""),"خراسان شمالی")</f>
        <v>خراسان شمالی</v>
      </c>
      <c r="E4229" s="5" t="str">
        <f>IFERROR(__xludf.DUMMYFUNCTION("""COMPUTED_VALUE"""),"بجنورد")</f>
        <v>بجنورد</v>
      </c>
      <c r="F4229" s="5"/>
      <c r="G4229" s="5"/>
      <c r="H4229" s="6" t="str">
        <f>IFERROR(__xludf.DUMMYFUNCTION("""COMPUTED_VALUE"""),"https://www.instagram.com/shaykh_teiymoor/")</f>
        <v>https://www.instagram.com/shaykh_teiymoor/</v>
      </c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</row>
    <row r="4230">
      <c r="A4230" s="5">
        <f>IFERROR(__xludf.DUMMYFUNCTION("""COMPUTED_VALUE"""),6935.0)</f>
        <v>6935</v>
      </c>
      <c r="B4230" s="5" t="str">
        <f>IFERROR(__xludf.DUMMYFUNCTION("""COMPUTED_VALUE"""),"هیأت")</f>
        <v>هیأت</v>
      </c>
      <c r="C4230" s="5" t="str">
        <f>IFERROR(__xludf.DUMMYFUNCTION("""COMPUTED_VALUE"""),"حسین جان (ع)")</f>
        <v>حسین جان (ع)</v>
      </c>
      <c r="D4230" s="5" t="str">
        <f>IFERROR(__xludf.DUMMYFUNCTION("""COMPUTED_VALUE"""),"خراسان شمالی")</f>
        <v>خراسان شمالی</v>
      </c>
      <c r="E4230" s="5" t="str">
        <f>IFERROR(__xludf.DUMMYFUNCTION("""COMPUTED_VALUE"""),"بجنورد")</f>
        <v>بجنورد</v>
      </c>
      <c r="F4230" s="5"/>
      <c r="G4230" s="5"/>
      <c r="H4230" s="6" t="str">
        <f>IFERROR(__xludf.DUMMYFUNCTION("""COMPUTED_VALUE"""),"https://www.instagram.com/hoseinjan_bojnord")</f>
        <v>https://www.instagram.com/hoseinjan_bojnord</v>
      </c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</row>
    <row r="4231">
      <c r="A4231" s="5">
        <f>IFERROR(__xludf.DUMMYFUNCTION("""COMPUTED_VALUE"""),6936.0)</f>
        <v>6936</v>
      </c>
      <c r="B4231" s="5" t="str">
        <f>IFERROR(__xludf.DUMMYFUNCTION("""COMPUTED_VALUE"""),"هیأت")</f>
        <v>هیأت</v>
      </c>
      <c r="C4231" s="5" t="str">
        <f>IFERROR(__xludf.DUMMYFUNCTION("""COMPUTED_VALUE"""),"ابوالفضلی رضوی")</f>
        <v>ابوالفضلی رضوی</v>
      </c>
      <c r="D4231" s="5" t="str">
        <f>IFERROR(__xludf.DUMMYFUNCTION("""COMPUTED_VALUE"""),"خراسان شمالی")</f>
        <v>خراسان شمالی</v>
      </c>
      <c r="E4231" s="5" t="str">
        <f>IFERROR(__xludf.DUMMYFUNCTION("""COMPUTED_VALUE"""),"بجنورد")</f>
        <v>بجنورد</v>
      </c>
      <c r="F4231" s="5"/>
      <c r="G4231" s="5"/>
      <c r="H4231" s="6" t="str">
        <f>IFERROR(__xludf.DUMMYFUNCTION("""COMPUTED_VALUE"""),"https://www.instagram.com/abolfazlirazavi_bojnourd/")</f>
        <v>https://www.instagram.com/abolfazlirazavi_bojnourd/</v>
      </c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</row>
    <row r="4232">
      <c r="A4232" s="5">
        <f>IFERROR(__xludf.DUMMYFUNCTION("""COMPUTED_VALUE"""),6938.0)</f>
        <v>6938</v>
      </c>
      <c r="B4232" s="5" t="str">
        <f>IFERROR(__xludf.DUMMYFUNCTION("""COMPUTED_VALUE"""),"هیأت")</f>
        <v>هیأت</v>
      </c>
      <c r="C4232" s="5" t="str">
        <f>IFERROR(__xludf.DUMMYFUNCTION("""COMPUTED_VALUE"""),"عزاداران چهارده معصوم(ع)")</f>
        <v>عزاداران چهارده معصوم(ع)</v>
      </c>
      <c r="D4232" s="5" t="str">
        <f>IFERROR(__xludf.DUMMYFUNCTION("""COMPUTED_VALUE"""),"خراسان شمالی")</f>
        <v>خراسان شمالی</v>
      </c>
      <c r="E4232" s="5" t="str">
        <f>IFERROR(__xludf.DUMMYFUNCTION("""COMPUTED_VALUE"""),"بجنورد")</f>
        <v>بجنورد</v>
      </c>
      <c r="F4232" s="5"/>
      <c r="G4232" s="5"/>
      <c r="H4232" s="6" t="str">
        <f>IFERROR(__xludf.DUMMYFUNCTION("""COMPUTED_VALUE"""),"https://www.instagram.com/azamchhardhemasom/")</f>
        <v>https://www.instagram.com/azamchhardhemasom/</v>
      </c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</row>
    <row r="4233">
      <c r="A4233" s="5">
        <f>IFERROR(__xludf.DUMMYFUNCTION("""COMPUTED_VALUE"""),6943.0)</f>
        <v>6943</v>
      </c>
      <c r="B4233" s="5" t="str">
        <f>IFERROR(__xludf.DUMMYFUNCTION("""COMPUTED_VALUE"""),"هیأت")</f>
        <v>هیأت</v>
      </c>
      <c r="C4233" s="5" t="str">
        <f>IFERROR(__xludf.DUMMYFUNCTION("""COMPUTED_VALUE"""),"بیت الاحزان حضرت زهرا(س)")</f>
        <v>بیت الاحزان حضرت زهرا(س)</v>
      </c>
      <c r="D4233" s="5" t="str">
        <f>IFERROR(__xludf.DUMMYFUNCTION("""COMPUTED_VALUE"""),"خراسان شمالی")</f>
        <v>خراسان شمالی</v>
      </c>
      <c r="E4233" s="5" t="str">
        <f>IFERROR(__xludf.DUMMYFUNCTION("""COMPUTED_VALUE"""),"بجنورد")</f>
        <v>بجنورد</v>
      </c>
      <c r="F4233" s="5"/>
      <c r="G4233" s="5"/>
      <c r="H4233" s="6" t="str">
        <f>IFERROR(__xludf.DUMMYFUNCTION("""COMPUTED_VALUE"""),"https://www.instagram.com/beytolahzan__hazratzahra/")</f>
        <v>https://www.instagram.com/beytolahzan__hazratzahra/</v>
      </c>
      <c r="I4233" s="6" t="str">
        <f>IFERROR(__xludf.DUMMYFUNCTION("""COMPUTED_VALUE"""),"https://t.me/BeytolAhzan_HazratZahra")</f>
        <v>https://t.me/BeytolAhzan_HazratZahra</v>
      </c>
      <c r="J4233" s="5"/>
      <c r="K4233" s="5"/>
      <c r="L4233" s="5"/>
      <c r="M4233" s="5"/>
      <c r="N4233" s="5"/>
      <c r="O4233" s="5"/>
      <c r="P4233" s="5"/>
      <c r="Q4233" s="5"/>
      <c r="R4233" s="5"/>
      <c r="S4233" s="5"/>
    </row>
    <row r="4234">
      <c r="A4234" s="5">
        <f>IFERROR(__xludf.DUMMYFUNCTION("""COMPUTED_VALUE"""),6949.0)</f>
        <v>6949</v>
      </c>
      <c r="B4234" s="5" t="str">
        <f>IFERROR(__xludf.DUMMYFUNCTION("""COMPUTED_VALUE"""),"هیأت")</f>
        <v>هیأت</v>
      </c>
      <c r="C4234" s="5" t="str">
        <f>IFERROR(__xludf.DUMMYFUNCTION("""COMPUTED_VALUE"""),"مدرسه علمیه امام صادق(ع)")</f>
        <v>مدرسه علمیه امام صادق(ع)</v>
      </c>
      <c r="D4234" s="5" t="str">
        <f>IFERROR(__xludf.DUMMYFUNCTION("""COMPUTED_VALUE"""),"خراسان شمالی")</f>
        <v>خراسان شمالی</v>
      </c>
      <c r="E4234" s="5" t="str">
        <f>IFERROR(__xludf.DUMMYFUNCTION("""COMPUTED_VALUE"""),"بجنورد")</f>
        <v>بجنورد</v>
      </c>
      <c r="F4234" s="5"/>
      <c r="G4234" s="5"/>
      <c r="H4234" s="5"/>
      <c r="I4234" s="5"/>
      <c r="J4234" s="6" t="str">
        <f>IFERROR(__xludf.DUMMYFUNCTION("""COMPUTED_VALUE"""),"https://eitaa.com/emam_sadegh_bojnord")</f>
        <v>https://eitaa.com/emam_sadegh_bojnord</v>
      </c>
      <c r="K4234" s="5"/>
      <c r="L4234" s="5"/>
      <c r="M4234" s="5"/>
      <c r="N4234" s="5"/>
      <c r="O4234" s="5"/>
      <c r="P4234" s="5"/>
      <c r="Q4234" s="5"/>
      <c r="R4234" s="5"/>
      <c r="S4234" s="5"/>
    </row>
    <row r="4235">
      <c r="A4235" s="5">
        <f>IFERROR(__xludf.DUMMYFUNCTION("""COMPUTED_VALUE"""),6957.0)</f>
        <v>6957</v>
      </c>
      <c r="B4235" s="5" t="str">
        <f>IFERROR(__xludf.DUMMYFUNCTION("""COMPUTED_VALUE"""),"هیأت")</f>
        <v>هیأت</v>
      </c>
      <c r="C4235" s="5" t="str">
        <f>IFERROR(__xludf.DUMMYFUNCTION("""COMPUTED_VALUE"""),"متوسلین جوادالائمه(ع)")</f>
        <v>متوسلین جوادالائمه(ع)</v>
      </c>
      <c r="D4235" s="5" t="str">
        <f>IFERROR(__xludf.DUMMYFUNCTION("""COMPUTED_VALUE"""),"خراسان شمالی")</f>
        <v>خراسان شمالی</v>
      </c>
      <c r="E4235" s="5" t="str">
        <f>IFERROR(__xludf.DUMMYFUNCTION("""COMPUTED_VALUE"""),"بجنورد")</f>
        <v>بجنورد</v>
      </c>
      <c r="F4235" s="5"/>
      <c r="G4235" s="5"/>
      <c r="H4235" s="6" t="str">
        <f>IFERROR(__xludf.DUMMYFUNCTION("""COMPUTED_VALUE"""),"https://www.instagram.com/javadolaemh/")</f>
        <v>https://www.instagram.com/javadolaemh/</v>
      </c>
      <c r="I4235" s="5"/>
      <c r="J4235" s="6" t="str">
        <f>IFERROR(__xludf.DUMMYFUNCTION("""COMPUTED_VALUE"""),"https://eitaa.com/javadolaemhe")</f>
        <v>https://eitaa.com/javadolaemhe</v>
      </c>
      <c r="K4235" s="5"/>
      <c r="L4235" s="5"/>
      <c r="M4235" s="5"/>
      <c r="N4235" s="5"/>
      <c r="O4235" s="5"/>
      <c r="P4235" s="5"/>
      <c r="Q4235" s="5"/>
      <c r="R4235" s="5"/>
      <c r="S4235" s="5"/>
    </row>
    <row r="4236">
      <c r="A4236" s="5">
        <f>IFERROR(__xludf.DUMMYFUNCTION("""COMPUTED_VALUE"""),6970.0)</f>
        <v>6970</v>
      </c>
      <c r="B4236" s="5" t="str">
        <f>IFERROR(__xludf.DUMMYFUNCTION("""COMPUTED_VALUE"""),"هیأت")</f>
        <v>هیأت</v>
      </c>
      <c r="C4236" s="5" t="str">
        <f>IFERROR(__xludf.DUMMYFUNCTION("""COMPUTED_VALUE"""),"منتظران")</f>
        <v>منتظران</v>
      </c>
      <c r="D4236" s="5" t="str">
        <f>IFERROR(__xludf.DUMMYFUNCTION("""COMPUTED_VALUE"""),"خراسان شمالی")</f>
        <v>خراسان شمالی</v>
      </c>
      <c r="E4236" s="5" t="str">
        <f>IFERROR(__xludf.DUMMYFUNCTION("""COMPUTED_VALUE"""),"بجنورد")</f>
        <v>بجنورد</v>
      </c>
      <c r="F4236" s="5"/>
      <c r="G4236" s="5"/>
      <c r="H4236" s="6" t="str">
        <f>IFERROR(__xludf.DUMMYFUNCTION("""COMPUTED_VALUE"""),"https://www.instagram.com/heyatmontazeranmahdibojnurd/")</f>
        <v>https://www.instagram.com/heyatmontazeranmahdibojnurd/</v>
      </c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</row>
    <row r="4237">
      <c r="A4237" s="5">
        <f>IFERROR(__xludf.DUMMYFUNCTION("""COMPUTED_VALUE"""),6982.0)</f>
        <v>6982</v>
      </c>
      <c r="B4237" s="5" t="str">
        <f>IFERROR(__xludf.DUMMYFUNCTION("""COMPUTED_VALUE"""),"هیأت")</f>
        <v>هیأت</v>
      </c>
      <c r="C4237" s="5" t="str">
        <f>IFERROR(__xludf.DUMMYFUNCTION("""COMPUTED_VALUE"""),"حضرت فاطمه الزهرا (س)")</f>
        <v>حضرت فاطمه الزهرا (س)</v>
      </c>
      <c r="D4237" s="5" t="str">
        <f>IFERROR(__xludf.DUMMYFUNCTION("""COMPUTED_VALUE"""),"خراسان شمالی")</f>
        <v>خراسان شمالی</v>
      </c>
      <c r="E4237" s="5" t="str">
        <f>IFERROR(__xludf.DUMMYFUNCTION("""COMPUTED_VALUE"""),"بجنورد")</f>
        <v>بجنورد</v>
      </c>
      <c r="F4237" s="5"/>
      <c r="G4237" s="5"/>
      <c r="H4237" s="6" t="str">
        <f>IFERROR(__xludf.DUMMYFUNCTION("""COMPUTED_VALUE"""),"https://www.instagram.com/ya.fatematazahra135")</f>
        <v>https://www.instagram.com/ya.fatematazahra135</v>
      </c>
      <c r="I4237" s="5"/>
      <c r="J4237" s="6" t="str">
        <f>IFERROR(__xludf.DUMMYFUNCTION("""COMPUTED_VALUE"""),"https://eitaa.com/joinchat/1696465154C418c2e0693")</f>
        <v>https://eitaa.com/joinchat/1696465154C418c2e0693</v>
      </c>
      <c r="K4237" s="5"/>
      <c r="L4237" s="5"/>
      <c r="M4237" s="5"/>
      <c r="N4237" s="5"/>
      <c r="O4237" s="5"/>
      <c r="P4237" s="5"/>
      <c r="Q4237" s="5"/>
      <c r="R4237" s="5"/>
      <c r="S4237" s="5"/>
    </row>
    <row r="4238">
      <c r="A4238" s="5">
        <f>IFERROR(__xludf.DUMMYFUNCTION("""COMPUTED_VALUE"""),7039.0)</f>
        <v>7039</v>
      </c>
      <c r="B4238" s="5" t="str">
        <f>IFERROR(__xludf.DUMMYFUNCTION("""COMPUTED_VALUE"""),"هیأت")</f>
        <v>هیأت</v>
      </c>
      <c r="C4238" s="5" t="str">
        <f>IFERROR(__xludf.DUMMYFUNCTION("""COMPUTED_VALUE"""),"مسجد امام رضا(ع)")</f>
        <v>مسجد امام رضا(ع)</v>
      </c>
      <c r="D4238" s="5" t="str">
        <f>IFERROR(__xludf.DUMMYFUNCTION("""COMPUTED_VALUE"""),"خراسان شمالی")</f>
        <v>خراسان شمالی</v>
      </c>
      <c r="E4238" s="5" t="str">
        <f>IFERROR(__xludf.DUMMYFUNCTION("""COMPUTED_VALUE"""),"بجنورد")</f>
        <v>بجنورد</v>
      </c>
      <c r="F4238" s="5"/>
      <c r="G4238" s="5"/>
      <c r="H4238" s="6" t="str">
        <f>IFERROR(__xludf.DUMMYFUNCTION("""COMPUTED_VALUE"""),"https://www.instagram.com/masjedemamreza_bojnourd/")</f>
        <v>https://www.instagram.com/masjedemamreza_bojnourd/</v>
      </c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</row>
    <row r="4239">
      <c r="A4239" s="5">
        <f>IFERROR(__xludf.DUMMYFUNCTION("""COMPUTED_VALUE"""),7044.0)</f>
        <v>7044</v>
      </c>
      <c r="B4239" s="5" t="str">
        <f>IFERROR(__xludf.DUMMYFUNCTION("""COMPUTED_VALUE"""),"هیأت")</f>
        <v>هیأت</v>
      </c>
      <c r="C4239" s="5" t="str">
        <f>IFERROR(__xludf.DUMMYFUNCTION("""COMPUTED_VALUE"""),"محبان اهل بیت(ع)")</f>
        <v>محبان اهل بیت(ع)</v>
      </c>
      <c r="D4239" s="5" t="str">
        <f>IFERROR(__xludf.DUMMYFUNCTION("""COMPUTED_VALUE"""),"خراسان شمالی")</f>
        <v>خراسان شمالی</v>
      </c>
      <c r="E4239" s="5" t="str">
        <f>IFERROR(__xludf.DUMMYFUNCTION("""COMPUTED_VALUE"""),"بجنورد")</f>
        <v>بجنورد</v>
      </c>
      <c r="F4239" s="5"/>
      <c r="G4239" s="5"/>
      <c r="H4239" s="6" t="str">
        <f>IFERROR(__xludf.DUMMYFUNCTION("""COMPUTED_VALUE"""),"https://www.instagram.com/mohebbane_ahlebeyt_boj/")</f>
        <v>https://www.instagram.com/mohebbane_ahlebeyt_boj/</v>
      </c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</row>
    <row r="4240">
      <c r="A4240" s="5">
        <f>IFERROR(__xludf.DUMMYFUNCTION("""COMPUTED_VALUE"""),7048.0)</f>
        <v>7048</v>
      </c>
      <c r="B4240" s="5" t="str">
        <f>IFERROR(__xludf.DUMMYFUNCTION("""COMPUTED_VALUE"""),"هیأت")</f>
        <v>هیأت</v>
      </c>
      <c r="C4240" s="5" t="str">
        <f>IFERROR(__xludf.DUMMYFUNCTION("""COMPUTED_VALUE"""),"مجمع الذاکرین / مصباح الهدی(عج)")</f>
        <v>مجمع الذاکرین / مصباح الهدی(عج)</v>
      </c>
      <c r="D4240" s="5" t="str">
        <f>IFERROR(__xludf.DUMMYFUNCTION("""COMPUTED_VALUE"""),"خراسان شمالی")</f>
        <v>خراسان شمالی</v>
      </c>
      <c r="E4240" s="5" t="str">
        <f>IFERROR(__xludf.DUMMYFUNCTION("""COMPUTED_VALUE"""),"بجنورد")</f>
        <v>بجنورد</v>
      </c>
      <c r="F4240" s="5"/>
      <c r="G4240" s="5"/>
      <c r="H4240" s="6" t="str">
        <f>IFERROR(__xludf.DUMMYFUNCTION("""COMPUTED_VALUE"""),"https://www.instagram.com/mesbaholhoda_bojnourd/")</f>
        <v>https://www.instagram.com/mesbaholhoda_bojnourd/</v>
      </c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</row>
    <row r="4241">
      <c r="A4241" s="5">
        <f>IFERROR(__xludf.DUMMYFUNCTION("""COMPUTED_VALUE"""),7130.0)</f>
        <v>7130</v>
      </c>
      <c r="B4241" s="5" t="str">
        <f>IFERROR(__xludf.DUMMYFUNCTION("""COMPUTED_VALUE"""),"هیأت")</f>
        <v>هیأت</v>
      </c>
      <c r="C4241" s="5" t="str">
        <f>IFERROR(__xludf.DUMMYFUNCTION("""COMPUTED_VALUE"""),"قمربنی هاشم(ع) (جانبازان)")</f>
        <v>قمربنی هاشم(ع) (جانبازان)</v>
      </c>
      <c r="D4241" s="5" t="str">
        <f>IFERROR(__xludf.DUMMYFUNCTION("""COMPUTED_VALUE"""),"خراسان شمالی")</f>
        <v>خراسان شمالی</v>
      </c>
      <c r="E4241" s="5" t="str">
        <f>IFERROR(__xludf.DUMMYFUNCTION("""COMPUTED_VALUE"""),"بجنورد")</f>
        <v>بجنورد</v>
      </c>
      <c r="F4241" s="5"/>
      <c r="G4241" s="5"/>
      <c r="H4241" s="6" t="str">
        <f>IFERROR(__xludf.DUMMYFUNCTION("""COMPUTED_VALUE"""),"https://www.instagram.com/janbazan_boj/")</f>
        <v>https://www.instagram.com/janbazan_boj/</v>
      </c>
      <c r="I4241" s="6" t="str">
        <f>IFERROR(__xludf.DUMMYFUNCTION("""COMPUTED_VALUE"""),"https://t.me/janbazan_boj")</f>
        <v>https://t.me/janbazan_boj</v>
      </c>
      <c r="J4241" s="5"/>
      <c r="K4241" s="5"/>
      <c r="L4241" s="5"/>
      <c r="M4241" s="5"/>
      <c r="N4241" s="5"/>
      <c r="O4241" s="5"/>
      <c r="P4241" s="5"/>
      <c r="Q4241" s="5"/>
      <c r="R4241" s="5"/>
      <c r="S4241" s="5"/>
    </row>
    <row r="4242">
      <c r="A4242" s="5">
        <f>IFERROR(__xludf.DUMMYFUNCTION("""COMPUTED_VALUE"""),7140.0)</f>
        <v>7140</v>
      </c>
      <c r="B4242" s="5" t="str">
        <f>IFERROR(__xludf.DUMMYFUNCTION("""COMPUTED_VALUE"""),"هیأت")</f>
        <v>هیأت</v>
      </c>
      <c r="C4242" s="5" t="str">
        <f>IFERROR(__xludf.DUMMYFUNCTION("""COMPUTED_VALUE"""),"سیدالشهدا (ع)")</f>
        <v>سیدالشهدا (ع)</v>
      </c>
      <c r="D4242" s="5" t="str">
        <f>IFERROR(__xludf.DUMMYFUNCTION("""COMPUTED_VALUE"""),"خراسان شمالی")</f>
        <v>خراسان شمالی</v>
      </c>
      <c r="E4242" s="5" t="str">
        <f>IFERROR(__xludf.DUMMYFUNCTION("""COMPUTED_VALUE"""),"بجنورد")</f>
        <v>بجنورد</v>
      </c>
      <c r="F4242" s="5"/>
      <c r="G4242" s="5"/>
      <c r="H4242" s="6" t="str">
        <f>IFERROR(__xludf.DUMMYFUNCTION("""COMPUTED_VALUE"""),"https://www.instagram.com/seyyedoshohada_boj/")</f>
        <v>https://www.instagram.com/seyyedoshohada_boj/</v>
      </c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</row>
    <row r="4243">
      <c r="A4243" s="5">
        <f>IFERROR(__xludf.DUMMYFUNCTION("""COMPUTED_VALUE"""),7141.0)</f>
        <v>7141</v>
      </c>
      <c r="B4243" s="5" t="str">
        <f>IFERROR(__xludf.DUMMYFUNCTION("""COMPUTED_VALUE"""),"هیأت")</f>
        <v>هیأت</v>
      </c>
      <c r="C4243" s="5" t="str">
        <f>IFERROR(__xludf.DUMMYFUNCTION("""COMPUTED_VALUE"""),"پنج تن آل عبا (ع)")</f>
        <v>پنج تن آل عبا (ع)</v>
      </c>
      <c r="D4243" s="5" t="str">
        <f>IFERROR(__xludf.DUMMYFUNCTION("""COMPUTED_VALUE"""),"خراسان شمالی")</f>
        <v>خراسان شمالی</v>
      </c>
      <c r="E4243" s="5" t="str">
        <f>IFERROR(__xludf.DUMMYFUNCTION("""COMPUTED_VALUE"""),"بجنورد")</f>
        <v>بجنورد</v>
      </c>
      <c r="F4243" s="5"/>
      <c r="G4243" s="5"/>
      <c r="H4243" s="6" t="str">
        <f>IFERROR(__xludf.DUMMYFUNCTION("""COMPUTED_VALUE"""),"https://www.instagram.com/heiate5tanealeaba/")</f>
        <v>https://www.instagram.com/heiate5tanealeaba/</v>
      </c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</row>
    <row r="4244">
      <c r="A4244" s="5">
        <f>IFERROR(__xludf.DUMMYFUNCTION("""COMPUTED_VALUE"""),7210.0)</f>
        <v>7210</v>
      </c>
      <c r="B4244" s="5" t="str">
        <f>IFERROR(__xludf.DUMMYFUNCTION("""COMPUTED_VALUE"""),"هیأت")</f>
        <v>هیأت</v>
      </c>
      <c r="C4244" s="5" t="str">
        <f>IFERROR(__xludf.DUMMYFUNCTION("""COMPUTED_VALUE"""),"سجادیه")</f>
        <v>سجادیه</v>
      </c>
      <c r="D4244" s="5" t="str">
        <f>IFERROR(__xludf.DUMMYFUNCTION("""COMPUTED_VALUE"""),"خراسان شمالی")</f>
        <v>خراسان شمالی</v>
      </c>
      <c r="E4244" s="5" t="str">
        <f>IFERROR(__xludf.DUMMYFUNCTION("""COMPUTED_VALUE"""),"بجنورد")</f>
        <v>بجنورد</v>
      </c>
      <c r="F4244" s="5"/>
      <c r="G4244" s="5"/>
      <c r="H4244" s="6" t="str">
        <f>IFERROR(__xludf.DUMMYFUNCTION("""COMPUTED_VALUE"""),"https://www.instagram.com/heyat_sajadieh_bojnurd")</f>
        <v>https://www.instagram.com/heyat_sajadieh_bojnurd</v>
      </c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</row>
    <row r="4245">
      <c r="A4245" s="5">
        <f>IFERROR(__xludf.DUMMYFUNCTION("""COMPUTED_VALUE"""),33291.0)</f>
        <v>33291</v>
      </c>
      <c r="B4245" s="5" t="str">
        <f>IFERROR(__xludf.DUMMYFUNCTION("""COMPUTED_VALUE"""),"هیأت")</f>
        <v>هیأت</v>
      </c>
      <c r="C4245" s="5" t="str">
        <f>IFERROR(__xludf.DUMMYFUNCTION("""COMPUTED_VALUE"""),"حسین جان (ع)")</f>
        <v>حسین جان (ع)</v>
      </c>
      <c r="D4245" s="5" t="str">
        <f>IFERROR(__xludf.DUMMYFUNCTION("""COMPUTED_VALUE"""),"خراسان شمالی")</f>
        <v>خراسان شمالی</v>
      </c>
      <c r="E4245" s="5" t="str">
        <f>IFERROR(__xludf.DUMMYFUNCTION("""COMPUTED_VALUE"""),"بجنورد")</f>
        <v>بجنورد</v>
      </c>
      <c r="F4245" s="5"/>
      <c r="G4245" s="5"/>
      <c r="H4245" s="6" t="str">
        <f>IFERROR(__xludf.DUMMYFUNCTION("""COMPUTED_VALUE"""),"https://www.instagram.com/hoseinjan_bojnord")</f>
        <v>https://www.instagram.com/hoseinjan_bojnord</v>
      </c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</row>
    <row r="4246">
      <c r="A4246" s="5">
        <f>IFERROR(__xludf.DUMMYFUNCTION("""COMPUTED_VALUE"""),32161.0)</f>
        <v>32161</v>
      </c>
      <c r="B4246" s="5" t="str">
        <f>IFERROR(__xludf.DUMMYFUNCTION("""COMPUTED_VALUE"""),"هیأت")</f>
        <v>هیأت</v>
      </c>
      <c r="C4246" s="5" t="str">
        <f>IFERROR(__xludf.DUMMYFUNCTION("""COMPUTED_VALUE"""),"بیت الرضا")</f>
        <v>بیت الرضا</v>
      </c>
      <c r="D4246" s="5" t="str">
        <f>IFERROR(__xludf.DUMMYFUNCTION("""COMPUTED_VALUE"""),"خراسان شمالی")</f>
        <v>خراسان شمالی</v>
      </c>
      <c r="E4246" s="5" t="str">
        <f>IFERROR(__xludf.DUMMYFUNCTION("""COMPUTED_VALUE"""),"بجنورد")</f>
        <v>بجنورد</v>
      </c>
      <c r="F4246" s="5" t="str">
        <f>IFERROR(__xludf.DUMMYFUNCTION("""COMPUTED_VALUE"""),"بجنورد ،میدان آزادگان،خیابان بهزیستی")</f>
        <v>بجنورد ،میدان آزادگان،خیابان بهزیستی</v>
      </c>
      <c r="G4246" s="5"/>
      <c r="H4246" s="6" t="str">
        <f>IFERROR(__xludf.DUMMYFUNCTION("""COMPUTED_VALUE"""),"https://www.instagram.com/h_beytoolreza")</f>
        <v>https://www.instagram.com/h_beytoolreza</v>
      </c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</row>
    <row r="4247">
      <c r="A4247" s="5">
        <f>IFERROR(__xludf.DUMMYFUNCTION("""COMPUTED_VALUE"""),30188.0)</f>
        <v>30188</v>
      </c>
      <c r="B4247" s="5" t="str">
        <f>IFERROR(__xludf.DUMMYFUNCTION("""COMPUTED_VALUE"""),"هیأت")</f>
        <v>هیأت</v>
      </c>
      <c r="C4247" s="5" t="str">
        <f>IFERROR(__xludf.DUMMYFUNCTION("""COMPUTED_VALUE"""),"هیأت یافاطمه الزهراسلام الله علیها بجنورد")</f>
        <v>هیأت یافاطمه الزهراسلام الله علیها بجنورد</v>
      </c>
      <c r="D4247" s="5" t="str">
        <f>IFERROR(__xludf.DUMMYFUNCTION("""COMPUTED_VALUE"""),"خراسان شمالی")</f>
        <v>خراسان شمالی</v>
      </c>
      <c r="E4247" s="5" t="str">
        <f>IFERROR(__xludf.DUMMYFUNCTION("""COMPUTED_VALUE"""),"بجنورد")</f>
        <v>بجنورد</v>
      </c>
      <c r="F4247" s="5"/>
      <c r="G4247" s="5"/>
      <c r="H4247" s="6" t="str">
        <f>IFERROR(__xludf.DUMMYFUNCTION("""COMPUTED_VALUE"""),"https://www.instagram.com/ya.fatematazahra135")</f>
        <v>https://www.instagram.com/ya.fatematazahra135</v>
      </c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</row>
    <row r="4248">
      <c r="A4248" s="5">
        <f>IFERROR(__xludf.DUMMYFUNCTION("""COMPUTED_VALUE"""),30834.0)</f>
        <v>30834</v>
      </c>
      <c r="B4248" s="5" t="str">
        <f>IFERROR(__xludf.DUMMYFUNCTION("""COMPUTED_VALUE"""),"هیأت")</f>
        <v>هیأت</v>
      </c>
      <c r="C4248" s="5" t="str">
        <f>IFERROR(__xludf.DUMMYFUNCTION("""COMPUTED_VALUE"""),"سیدالشهدا (ع)")</f>
        <v>سیدالشهدا (ع)</v>
      </c>
      <c r="D4248" s="5" t="str">
        <f>IFERROR(__xludf.DUMMYFUNCTION("""COMPUTED_VALUE"""),"خراسان شمالی")</f>
        <v>خراسان شمالی</v>
      </c>
      <c r="E4248" s="5" t="str">
        <f>IFERROR(__xludf.DUMMYFUNCTION("""COMPUTED_VALUE"""),"بجنورد")</f>
        <v>بجنورد</v>
      </c>
      <c r="F4248" s="5"/>
      <c r="G4248" s="5"/>
      <c r="H4248" s="6" t="str">
        <f>IFERROR(__xludf.DUMMYFUNCTION("""COMPUTED_VALUE"""),"https://www.instagram.com/seyyedoshohada_boj")</f>
        <v>https://www.instagram.com/seyyedoshohada_boj</v>
      </c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</row>
    <row r="4249">
      <c r="A4249" s="5">
        <f>IFERROR(__xludf.DUMMYFUNCTION("""COMPUTED_VALUE"""),7234.0)</f>
        <v>7234</v>
      </c>
      <c r="B4249" s="5" t="str">
        <f>IFERROR(__xludf.DUMMYFUNCTION("""COMPUTED_VALUE"""),"هیأت")</f>
        <v>هیأت</v>
      </c>
      <c r="C4249" s="5" t="str">
        <f>IFERROR(__xludf.DUMMYFUNCTION("""COMPUTED_VALUE"""),"عاشقان بین الحرمین")</f>
        <v>عاشقان بین الحرمین</v>
      </c>
      <c r="D4249" s="5" t="str">
        <f>IFERROR(__xludf.DUMMYFUNCTION("""COMPUTED_VALUE"""),"خراسان شمالی")</f>
        <v>خراسان شمالی</v>
      </c>
      <c r="E4249" s="5" t="str">
        <f>IFERROR(__xludf.DUMMYFUNCTION("""COMPUTED_VALUE"""),"بجنورد")</f>
        <v>بجنورد</v>
      </c>
      <c r="F4249" s="5"/>
      <c r="G4249" s="5"/>
      <c r="H4249" s="6" t="str">
        <f>IFERROR(__xludf.DUMMYFUNCTION("""COMPUTED_VALUE"""),"https://www.instagram.com/heyat_asheghan_binolharamein/")</f>
        <v>https://www.instagram.com/heyat_asheghan_binolharamein/</v>
      </c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</row>
    <row r="4250">
      <c r="A4250" s="5">
        <f>IFERROR(__xludf.DUMMYFUNCTION("""COMPUTED_VALUE"""),7237.0)</f>
        <v>7237</v>
      </c>
      <c r="B4250" s="5" t="str">
        <f>IFERROR(__xludf.DUMMYFUNCTION("""COMPUTED_VALUE"""),"هیأت")</f>
        <v>هیأت</v>
      </c>
      <c r="C4250" s="5" t="str">
        <f>IFERROR(__xludf.DUMMYFUNCTION("""COMPUTED_VALUE"""),"صاحب الزمان(عج) ( باغ منتظری)")</f>
        <v>صاحب الزمان(عج) ( باغ منتظری)</v>
      </c>
      <c r="D4250" s="5" t="str">
        <f>IFERROR(__xludf.DUMMYFUNCTION("""COMPUTED_VALUE"""),"خراسان شمالی")</f>
        <v>خراسان شمالی</v>
      </c>
      <c r="E4250" s="5" t="str">
        <f>IFERROR(__xludf.DUMMYFUNCTION("""COMPUTED_VALUE"""),"بجنورد")</f>
        <v>بجنورد</v>
      </c>
      <c r="F4250" s="5"/>
      <c r="G4250" s="5"/>
      <c r="H4250" s="6" t="str">
        <f>IFERROR(__xludf.DUMMYFUNCTION("""COMPUTED_VALUE"""),"https://www.instagram.com/heyat_saheb_azaman/")</f>
        <v>https://www.instagram.com/heyat_saheb_azaman/</v>
      </c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</row>
    <row r="4251">
      <c r="A4251" s="5">
        <f>IFERROR(__xludf.DUMMYFUNCTION("""COMPUTED_VALUE"""),7238.0)</f>
        <v>7238</v>
      </c>
      <c r="B4251" s="5" t="str">
        <f>IFERROR(__xludf.DUMMYFUNCTION("""COMPUTED_VALUE"""),"هیأت")</f>
        <v>هیأت</v>
      </c>
      <c r="C4251" s="5" t="str">
        <f>IFERROR(__xludf.DUMMYFUNCTION("""COMPUTED_VALUE"""),"محفل زوارالزهرا (س)")</f>
        <v>محفل زوارالزهرا (س)</v>
      </c>
      <c r="D4251" s="5" t="str">
        <f>IFERROR(__xludf.DUMMYFUNCTION("""COMPUTED_VALUE"""),"خراسان شمالی")</f>
        <v>خراسان شمالی</v>
      </c>
      <c r="E4251" s="5" t="str">
        <f>IFERROR(__xludf.DUMMYFUNCTION("""COMPUTED_VALUE"""),"بجنورد")</f>
        <v>بجنورد</v>
      </c>
      <c r="F4251" s="5"/>
      <c r="G4251" s="5"/>
      <c r="H4251" s="6" t="str">
        <f>IFERROR(__xludf.DUMMYFUNCTION("""COMPUTED_VALUE"""),"https://www.instagram.com/zavarolzahra/")</f>
        <v>https://www.instagram.com/zavarolzahra/</v>
      </c>
      <c r="I4251" s="6" t="str">
        <f>IFERROR(__xludf.DUMMYFUNCTION("""COMPUTED_VALUE"""),"https://t.me/zavarolzahra")</f>
        <v>https://t.me/zavarolzahra</v>
      </c>
      <c r="J4251" s="5"/>
      <c r="K4251" s="5"/>
      <c r="L4251" s="5"/>
      <c r="M4251" s="5"/>
      <c r="N4251" s="5"/>
      <c r="O4251" s="5"/>
      <c r="P4251" s="5"/>
      <c r="Q4251" s="5"/>
      <c r="R4251" s="5"/>
      <c r="S4251" s="5"/>
    </row>
    <row r="4252">
      <c r="A4252" s="5">
        <f>IFERROR(__xludf.DUMMYFUNCTION("""COMPUTED_VALUE"""),30539.0)</f>
        <v>30539</v>
      </c>
      <c r="B4252" s="5" t="str">
        <f>IFERROR(__xludf.DUMMYFUNCTION("""COMPUTED_VALUE"""),"هیأت")</f>
        <v>هیأت</v>
      </c>
      <c r="C4252" s="5" t="str">
        <f>IFERROR(__xludf.DUMMYFUNCTION("""COMPUTED_VALUE"""),"فاطمه الزهرا (س) حسینیه مصباح الهدی")</f>
        <v>فاطمه الزهرا (س) حسینیه مصباح الهدی</v>
      </c>
      <c r="D4252" s="5" t="str">
        <f>IFERROR(__xludf.DUMMYFUNCTION("""COMPUTED_VALUE"""),"خراسان شمالی")</f>
        <v>خراسان شمالی</v>
      </c>
      <c r="E4252" s="5" t="str">
        <f>IFERROR(__xludf.DUMMYFUNCTION("""COMPUTED_VALUE"""),"بجنورد")</f>
        <v>بجنورد</v>
      </c>
      <c r="F4252" s="5"/>
      <c r="G4252" s="5"/>
      <c r="H4252" s="6" t="str">
        <f>IFERROR(__xludf.DUMMYFUNCTION("""COMPUTED_VALUE"""),"https://www.instagram.com/mesbaholhoda_bojnourd")</f>
        <v>https://www.instagram.com/mesbaholhoda_bojnourd</v>
      </c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</row>
    <row r="4253">
      <c r="A4253" s="5">
        <f>IFERROR(__xludf.DUMMYFUNCTION("""COMPUTED_VALUE"""),7248.0)</f>
        <v>7248</v>
      </c>
      <c r="B4253" s="5" t="str">
        <f>IFERROR(__xludf.DUMMYFUNCTION("""COMPUTED_VALUE"""),"هیأت")</f>
        <v>هیأت</v>
      </c>
      <c r="C4253" s="5" t="str">
        <f>IFERROR(__xludf.DUMMYFUNCTION("""COMPUTED_VALUE"""),"علمدار")</f>
        <v>علمدار</v>
      </c>
      <c r="D4253" s="5" t="str">
        <f>IFERROR(__xludf.DUMMYFUNCTION("""COMPUTED_VALUE"""),"خراسان شمالی")</f>
        <v>خراسان شمالی</v>
      </c>
      <c r="E4253" s="5" t="str">
        <f>IFERROR(__xludf.DUMMYFUNCTION("""COMPUTED_VALUE"""),"بجنورد")</f>
        <v>بجنورد</v>
      </c>
      <c r="F4253" s="5"/>
      <c r="G4253" s="5"/>
      <c r="H4253" s="6" t="str">
        <f>IFERROR(__xludf.DUMMYFUNCTION("""COMPUTED_VALUE"""),"https://www.instagram.com/nkums_heiat")</f>
        <v>https://www.instagram.com/nkums_heiat</v>
      </c>
      <c r="I4253" s="6" t="str">
        <f>IFERROR(__xludf.DUMMYFUNCTION("""COMPUTED_VALUE"""),"https://t.me/nkums_heiat")</f>
        <v>https://t.me/nkums_heiat</v>
      </c>
      <c r="J4253" s="5"/>
      <c r="K4253" s="5"/>
      <c r="L4253" s="5"/>
      <c r="M4253" s="5"/>
      <c r="N4253" s="5"/>
      <c r="O4253" s="5"/>
      <c r="P4253" s="5"/>
      <c r="Q4253" s="5"/>
      <c r="R4253" s="5"/>
      <c r="S4253" s="5"/>
    </row>
    <row r="4254">
      <c r="A4254" s="5">
        <f>IFERROR(__xludf.DUMMYFUNCTION("""COMPUTED_VALUE"""),29300.0)</f>
        <v>29300</v>
      </c>
      <c r="B4254" s="5" t="str">
        <f>IFERROR(__xludf.DUMMYFUNCTION("""COMPUTED_VALUE"""),"هیأت")</f>
        <v>هیأت</v>
      </c>
      <c r="C4254" s="5" t="str">
        <f>IFERROR(__xludf.DUMMYFUNCTION("""COMPUTED_VALUE"""),"عشاق سیدالشهدا (ع) محله جوادیه")</f>
        <v>عشاق سیدالشهدا (ع) محله جوادیه</v>
      </c>
      <c r="D4254" s="5" t="str">
        <f>IFERROR(__xludf.DUMMYFUNCTION("""COMPUTED_VALUE"""),"خراسان شمالی")</f>
        <v>خراسان شمالی</v>
      </c>
      <c r="E4254" s="5" t="str">
        <f>IFERROR(__xludf.DUMMYFUNCTION("""COMPUTED_VALUE"""),"بجنورد")</f>
        <v>بجنورد</v>
      </c>
      <c r="F4254" s="5"/>
      <c r="G4254" s="5"/>
      <c r="H4254" s="6" t="str">
        <f>IFERROR(__xludf.DUMMYFUNCTION("""COMPUTED_VALUE"""),"https://www.instagram.com/seyedushohada1")</f>
        <v>https://www.instagram.com/seyedushohada1</v>
      </c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</row>
    <row r="4255">
      <c r="A4255" s="5">
        <f>IFERROR(__xludf.DUMMYFUNCTION("""COMPUTED_VALUE"""),25479.0)</f>
        <v>25479</v>
      </c>
      <c r="B4255" s="5" t="str">
        <f>IFERROR(__xludf.DUMMYFUNCTION("""COMPUTED_VALUE"""),"هیأت")</f>
        <v>هیأت</v>
      </c>
      <c r="C4255" s="5" t="str">
        <f>IFERROR(__xludf.DUMMYFUNCTION("""COMPUTED_VALUE"""),"هیئت دانش آموزی انصارالمهدی (عج)بجنورد")</f>
        <v>هیئت دانش آموزی انصارالمهدی (عج)بجنورد</v>
      </c>
      <c r="D4255" s="5" t="str">
        <f>IFERROR(__xludf.DUMMYFUNCTION("""COMPUTED_VALUE"""),"خراسان شمالی")</f>
        <v>خراسان شمالی</v>
      </c>
      <c r="E4255" s="5" t="str">
        <f>IFERROR(__xludf.DUMMYFUNCTION("""COMPUTED_VALUE"""),"بجنورد")</f>
        <v>بجنورد</v>
      </c>
      <c r="F4255" s="5"/>
      <c r="G4255" s="5"/>
      <c r="H4255" s="6" t="str">
        <f>IFERROR(__xludf.DUMMYFUNCTION("""COMPUTED_VALUE"""),"https://www.instagram.com/ansaralmahdi_bojnord")</f>
        <v>https://www.instagram.com/ansaralmahdi_bojnord</v>
      </c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</row>
    <row r="4256">
      <c r="A4256" s="5">
        <f>IFERROR(__xludf.DUMMYFUNCTION("""COMPUTED_VALUE"""),29298.0)</f>
        <v>29298</v>
      </c>
      <c r="B4256" s="5" t="str">
        <f>IFERROR(__xludf.DUMMYFUNCTION("""COMPUTED_VALUE"""),"هیأت")</f>
        <v>هیأت</v>
      </c>
      <c r="C4256" s="5" t="str">
        <f>IFERROR(__xludf.DUMMYFUNCTION("""COMPUTED_VALUE"""),"قمربنی هاشم (ع) جانبازان بجنورد")</f>
        <v>قمربنی هاشم (ع) جانبازان بجنورد</v>
      </c>
      <c r="D4256" s="5" t="str">
        <f>IFERROR(__xludf.DUMMYFUNCTION("""COMPUTED_VALUE"""),"خراسان شمالی")</f>
        <v>خراسان شمالی</v>
      </c>
      <c r="E4256" s="5" t="str">
        <f>IFERROR(__xludf.DUMMYFUNCTION("""COMPUTED_VALUE"""),"بجنورد")</f>
        <v>بجنورد</v>
      </c>
      <c r="F4256" s="5"/>
      <c r="G4256" s="5"/>
      <c r="H4256" s="6" t="str">
        <f>IFERROR(__xludf.DUMMYFUNCTION("""COMPUTED_VALUE"""),"https://www.instagram.com/janbazan_boj")</f>
        <v>https://www.instagram.com/janbazan_boj</v>
      </c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</row>
    <row r="4257">
      <c r="A4257" s="5">
        <f>IFERROR(__xludf.DUMMYFUNCTION("""COMPUTED_VALUE"""),7268.0)</f>
        <v>7268</v>
      </c>
      <c r="B4257" s="5" t="str">
        <f>IFERROR(__xludf.DUMMYFUNCTION("""COMPUTED_VALUE"""),"هیأت")</f>
        <v>هیأت</v>
      </c>
      <c r="C4257" s="5" t="str">
        <f>IFERROR(__xludf.DUMMYFUNCTION("""COMPUTED_VALUE"""),"هیات مسجد بقیه الله (عج)")</f>
        <v>هیات مسجد بقیه الله (عج)</v>
      </c>
      <c r="D4257" s="5" t="str">
        <f>IFERROR(__xludf.DUMMYFUNCTION("""COMPUTED_VALUE"""),"خراسان شمالی")</f>
        <v>خراسان شمالی</v>
      </c>
      <c r="E4257" s="5" t="str">
        <f>IFERROR(__xludf.DUMMYFUNCTION("""COMPUTED_VALUE"""),"بجنورد")</f>
        <v>بجنورد</v>
      </c>
      <c r="F4257" s="5"/>
      <c r="G4257" s="5"/>
      <c r="H4257" s="6" t="str">
        <f>IFERROR(__xludf.DUMMYFUNCTION("""COMPUTED_VALUE"""),"https://www.instagram.com/heyatbaghyatallah/")</f>
        <v>https://www.instagram.com/heyatbaghyatallah/</v>
      </c>
      <c r="I4257" s="5"/>
      <c r="J4257" s="6" t="str">
        <f>IFERROR(__xludf.DUMMYFUNCTION("""COMPUTED_VALUE"""),"https://eitaa.com/masjedbaghyatallah")</f>
        <v>https://eitaa.com/masjedbaghyatallah</v>
      </c>
      <c r="K4257" s="5"/>
      <c r="L4257" s="5"/>
      <c r="M4257" s="5"/>
      <c r="N4257" s="5"/>
      <c r="O4257" s="5"/>
      <c r="P4257" s="5"/>
      <c r="Q4257" s="5"/>
      <c r="R4257" s="5"/>
      <c r="S4257" s="5"/>
    </row>
    <row r="4258">
      <c r="A4258" s="5">
        <f>IFERROR(__xludf.DUMMYFUNCTION("""COMPUTED_VALUE"""),7279.0)</f>
        <v>7279</v>
      </c>
      <c r="B4258" s="5" t="str">
        <f>IFERROR(__xludf.DUMMYFUNCTION("""COMPUTED_VALUE"""),"هیأت")</f>
        <v>هیأت</v>
      </c>
      <c r="C4258" s="5" t="str">
        <f>IFERROR(__xludf.DUMMYFUNCTION("""COMPUTED_VALUE"""),"جوانان حضرت علی اکبر (ع)")</f>
        <v>جوانان حضرت علی اکبر (ع)</v>
      </c>
      <c r="D4258" s="5" t="str">
        <f>IFERROR(__xludf.DUMMYFUNCTION("""COMPUTED_VALUE"""),"خراسان شمالی")</f>
        <v>خراسان شمالی</v>
      </c>
      <c r="E4258" s="5" t="str">
        <f>IFERROR(__xludf.DUMMYFUNCTION("""COMPUTED_VALUE"""),"بجنورد")</f>
        <v>بجنورد</v>
      </c>
      <c r="F4258" s="5"/>
      <c r="G4258" s="5"/>
      <c r="H4258" s="6" t="str">
        <f>IFERROR(__xludf.DUMMYFUNCTION("""COMPUTED_VALUE"""),"https://www.instagram.com/aliakbar_bojnord/")</f>
        <v>https://www.instagram.com/aliakbar_bojnord/</v>
      </c>
      <c r="I4258" s="5"/>
      <c r="J4258" s="6" t="str">
        <f>IFERROR(__xludf.DUMMYFUNCTION("""COMPUTED_VALUE"""),"https://eitaa.com/aliakbar_bojnord")</f>
        <v>https://eitaa.com/aliakbar_bojnord</v>
      </c>
      <c r="K4258" s="5"/>
      <c r="L4258" s="5"/>
      <c r="M4258" s="5"/>
      <c r="N4258" s="5"/>
      <c r="O4258" s="5"/>
      <c r="P4258" s="5"/>
      <c r="Q4258" s="5"/>
      <c r="R4258" s="5"/>
      <c r="S4258" s="5"/>
    </row>
    <row r="4259">
      <c r="A4259" s="5"/>
      <c r="B4259" s="5" t="str">
        <f>IFERROR(__xludf.DUMMYFUNCTION("""COMPUTED_VALUE"""),"هیأت")</f>
        <v>هیأت</v>
      </c>
      <c r="C4259" s="5" t="str">
        <f>IFERROR(__xludf.DUMMYFUNCTION("""COMPUTED_VALUE"""),"هیئت جوانان شاهزاده علی اصغر ")</f>
        <v>هیئت جوانان شاهزاده علی اصغر </v>
      </c>
      <c r="D4259" s="5" t="str">
        <f>IFERROR(__xludf.DUMMYFUNCTION("""COMPUTED_VALUE"""),"خراسان شمالی")</f>
        <v>خراسان شمالی</v>
      </c>
      <c r="E4259" s="5" t="str">
        <f>IFERROR(__xludf.DUMMYFUNCTION("""COMPUTED_VALUE"""),"بجنورد")</f>
        <v>بجنورد</v>
      </c>
      <c r="F4259" s="5"/>
      <c r="G4259" s="5"/>
      <c r="H4259" s="6" t="str">
        <f>IFERROR(__xludf.DUMMYFUNCTION("""COMPUTED_VALUE"""),"https://www.instagram.com/shahzadealiasghar_bojnord")</f>
        <v>https://www.instagram.com/shahzadealiasghar_bojnord</v>
      </c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</row>
    <row r="4260">
      <c r="A4260" s="5">
        <f>IFERROR(__xludf.DUMMYFUNCTION("""COMPUTED_VALUE"""),26476.0)</f>
        <v>26476</v>
      </c>
      <c r="B4260" s="5" t="str">
        <f>IFERROR(__xludf.DUMMYFUNCTION("""COMPUTED_VALUE"""),"هیأت")</f>
        <v>هیأت</v>
      </c>
      <c r="C4260" s="5" t="str">
        <f>IFERROR(__xludf.DUMMYFUNCTION("""COMPUTED_VALUE"""),"صاحب الزمان (عج)")</f>
        <v>صاحب الزمان (عج)</v>
      </c>
      <c r="D4260" s="5" t="str">
        <f>IFERROR(__xludf.DUMMYFUNCTION("""COMPUTED_VALUE"""),"خراسان شمالی")</f>
        <v>خراسان شمالی</v>
      </c>
      <c r="E4260" s="5" t="str">
        <f>IFERROR(__xludf.DUMMYFUNCTION("""COMPUTED_VALUE"""),"بجنورد")</f>
        <v>بجنورد</v>
      </c>
      <c r="F4260" s="5"/>
      <c r="G4260" s="5"/>
      <c r="H4260" s="6" t="str">
        <f>IFERROR(__xludf.DUMMYFUNCTION("""COMPUTED_VALUE"""),"https://www.instagram.com/heyat_saheb_azaman")</f>
        <v>https://www.instagram.com/heyat_saheb_azaman</v>
      </c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</row>
    <row r="4261">
      <c r="A4261" s="5">
        <f>IFERROR(__xludf.DUMMYFUNCTION("""COMPUTED_VALUE"""),7316.0)</f>
        <v>7316</v>
      </c>
      <c r="B4261" s="5" t="str">
        <f>IFERROR(__xludf.DUMMYFUNCTION("""COMPUTED_VALUE"""),"هیأت")</f>
        <v>هیأت</v>
      </c>
      <c r="C4261" s="5" t="str">
        <f>IFERROR(__xludf.DUMMYFUNCTION("""COMPUTED_VALUE"""),"تکیه سجادیه")</f>
        <v>تکیه سجادیه</v>
      </c>
      <c r="D4261" s="5" t="str">
        <f>IFERROR(__xludf.DUMMYFUNCTION("""COMPUTED_VALUE"""),"خراسان شمالی")</f>
        <v>خراسان شمالی</v>
      </c>
      <c r="E4261" s="5" t="str">
        <f>IFERROR(__xludf.DUMMYFUNCTION("""COMPUTED_VALUE"""),"بجنورد")</f>
        <v>بجنورد</v>
      </c>
      <c r="F4261" s="5"/>
      <c r="G4261" s="5"/>
      <c r="H4261" s="6" t="str">
        <f>IFERROR(__xludf.DUMMYFUNCTION("""COMPUTED_VALUE"""),"https://www.instagram.com/tekieeh.sajadieh_bojnord")</f>
        <v>https://www.instagram.com/tekieeh.sajadieh_bojnord</v>
      </c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</row>
    <row r="4262">
      <c r="A4262" s="5">
        <f>IFERROR(__xludf.DUMMYFUNCTION("""COMPUTED_VALUE"""),7375.0)</f>
        <v>7375</v>
      </c>
      <c r="B4262" s="5" t="str">
        <f>IFERROR(__xludf.DUMMYFUNCTION("""COMPUTED_VALUE"""),"هیأت")</f>
        <v>هیأت</v>
      </c>
      <c r="C4262" s="5" t="str">
        <f>IFERROR(__xludf.DUMMYFUNCTION("""COMPUTED_VALUE"""),"سفینه النجاه")</f>
        <v>سفینه النجاه</v>
      </c>
      <c r="D4262" s="5" t="str">
        <f>IFERROR(__xludf.DUMMYFUNCTION("""COMPUTED_VALUE"""),"خراسان شمالی")</f>
        <v>خراسان شمالی</v>
      </c>
      <c r="E4262" s="5" t="str">
        <f>IFERROR(__xludf.DUMMYFUNCTION("""COMPUTED_VALUE"""),"بجنورد")</f>
        <v>بجنورد</v>
      </c>
      <c r="F4262" s="5"/>
      <c r="G4262" s="5"/>
      <c r="H4262" s="6" t="str">
        <f>IFERROR(__xludf.DUMMYFUNCTION("""COMPUTED_VALUE"""),"https://www.instagram.com/heyat_safine_nejat/")</f>
        <v>https://www.instagram.com/heyat_safine_nejat/</v>
      </c>
      <c r="I4262" s="6" t="str">
        <f>IFERROR(__xludf.DUMMYFUNCTION("""COMPUTED_VALUE"""),"https://t.me/heyat_safine_nejat")</f>
        <v>https://t.me/heyat_safine_nejat</v>
      </c>
      <c r="J4262" s="5"/>
      <c r="K4262" s="5"/>
      <c r="L4262" s="5"/>
      <c r="M4262" s="5"/>
      <c r="N4262" s="5"/>
      <c r="O4262" s="5"/>
      <c r="P4262" s="5"/>
      <c r="Q4262" s="5"/>
      <c r="R4262" s="5"/>
      <c r="S4262" s="5"/>
    </row>
    <row r="4263">
      <c r="A4263" s="5">
        <f>IFERROR(__xludf.DUMMYFUNCTION("""COMPUTED_VALUE"""),24183.0)</f>
        <v>24183</v>
      </c>
      <c r="B4263" s="5" t="str">
        <f>IFERROR(__xludf.DUMMYFUNCTION("""COMPUTED_VALUE"""),"هیأت")</f>
        <v>هیأت</v>
      </c>
      <c r="C4263" s="5" t="str">
        <f>IFERROR(__xludf.DUMMYFUNCTION("""COMPUTED_VALUE"""),"مسجد حضرت جوادالائمه(ع)")</f>
        <v>مسجد حضرت جوادالائمه(ع)</v>
      </c>
      <c r="D4263" s="5" t="str">
        <f>IFERROR(__xludf.DUMMYFUNCTION("""COMPUTED_VALUE"""),"خراسان شمالی")</f>
        <v>خراسان شمالی</v>
      </c>
      <c r="E4263" s="5" t="str">
        <f>IFERROR(__xludf.DUMMYFUNCTION("""COMPUTED_VALUE"""),"بجنورد")</f>
        <v>بجنورد</v>
      </c>
      <c r="F4263" s="5"/>
      <c r="G4263" s="5"/>
      <c r="H4263" s="6" t="str">
        <f>IFERROR(__xludf.DUMMYFUNCTION("""COMPUTED_VALUE"""),"https://www.instagram.com/javadolaemh")</f>
        <v>https://www.instagram.com/javadolaemh</v>
      </c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</row>
    <row r="4264">
      <c r="A4264" s="5">
        <f>IFERROR(__xludf.DUMMYFUNCTION("""COMPUTED_VALUE"""),23763.0)</f>
        <v>23763</v>
      </c>
      <c r="B4264" s="5" t="str">
        <f>IFERROR(__xludf.DUMMYFUNCTION("""COMPUTED_VALUE"""),"هیأت")</f>
        <v>هیأت</v>
      </c>
      <c r="C4264" s="5" t="str">
        <f>IFERROR(__xludf.DUMMYFUNCTION("""COMPUTED_VALUE"""),"چهارده معصوم (ع)")</f>
        <v>چهارده معصوم (ع)</v>
      </c>
      <c r="D4264" s="5" t="str">
        <f>IFERROR(__xludf.DUMMYFUNCTION("""COMPUTED_VALUE"""),"خراسان شمالی")</f>
        <v>خراسان شمالی</v>
      </c>
      <c r="E4264" s="5" t="str">
        <f>IFERROR(__xludf.DUMMYFUNCTION("""COMPUTED_VALUE"""),"بجنورد")</f>
        <v>بجنورد</v>
      </c>
      <c r="F4264" s="5"/>
      <c r="G4264" s="5"/>
      <c r="H4264" s="6" t="str">
        <f>IFERROR(__xludf.DUMMYFUNCTION("""COMPUTED_VALUE"""),"https://www.instagram.com/azamchhardhemasom")</f>
        <v>https://www.instagram.com/azamchhardhemasom</v>
      </c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</row>
    <row r="4265">
      <c r="A4265" s="5">
        <f>IFERROR(__xludf.DUMMYFUNCTION("""COMPUTED_VALUE"""),22930.0)</f>
        <v>22930</v>
      </c>
      <c r="B4265" s="5" t="str">
        <f>IFERROR(__xludf.DUMMYFUNCTION("""COMPUTED_VALUE"""),"هیأت")</f>
        <v>هیأت</v>
      </c>
      <c r="C4265" s="5" t="str">
        <f>IFERROR(__xludf.DUMMYFUNCTION("""COMPUTED_VALUE"""),"هیئت شهدای مدافع حرم- بجنورد
")</f>
        <v>هیئت شهدای مدافع حرم- بجنورد
</v>
      </c>
      <c r="D4265" s="5" t="str">
        <f>IFERROR(__xludf.DUMMYFUNCTION("""COMPUTED_VALUE"""),"خراسان شمالی")</f>
        <v>خراسان شمالی</v>
      </c>
      <c r="E4265" s="5" t="str">
        <f>IFERROR(__xludf.DUMMYFUNCTION("""COMPUTED_VALUE"""),"بجنورد")</f>
        <v>بجنورد</v>
      </c>
      <c r="F4265" s="5"/>
      <c r="G4265" s="5"/>
      <c r="H4265" s="6" t="str">
        <f>IFERROR(__xludf.DUMMYFUNCTION("""COMPUTED_VALUE"""),"https://www.instagram.com/heyatmodafeanbojnord/")</f>
        <v>https://www.instagram.com/heyatmodafeanbojnord/</v>
      </c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</row>
    <row r="4266">
      <c r="A4266" s="5"/>
      <c r="B4266" s="5" t="str">
        <f>IFERROR(__xludf.DUMMYFUNCTION("""COMPUTED_VALUE"""),"هیأت")</f>
        <v>هیأت</v>
      </c>
      <c r="C4266" s="5" t="str">
        <f>IFERROR(__xludf.DUMMYFUNCTION("""COMPUTED_VALUE"""),"هیأت الهادی(علیه‌السلام) بجنورد")</f>
        <v>هیأت الهادی(علیه‌السلام) بجنورد</v>
      </c>
      <c r="D4266" s="5" t="str">
        <f>IFERROR(__xludf.DUMMYFUNCTION("""COMPUTED_VALUE"""),"خراسان شمالی")</f>
        <v>خراسان شمالی</v>
      </c>
      <c r="E4266" s="5" t="str">
        <f>IFERROR(__xludf.DUMMYFUNCTION("""COMPUTED_VALUE"""),"بجنورد")</f>
        <v>بجنورد</v>
      </c>
      <c r="F4266" s="5"/>
      <c r="G4266" s="5"/>
      <c r="H4266" s="6" t="str">
        <f>IFERROR(__xludf.DUMMYFUNCTION("""COMPUTED_VALUE"""),"https://www.instagram.com/heyat_alhadi")</f>
        <v>https://www.instagram.com/heyat_alhadi</v>
      </c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</row>
    <row r="4267">
      <c r="A4267" s="5"/>
      <c r="B4267" s="5" t="str">
        <f>IFERROR(__xludf.DUMMYFUNCTION("""COMPUTED_VALUE"""),"هیأت")</f>
        <v>هیأت</v>
      </c>
      <c r="C4267" s="5" t="str">
        <f>IFERROR(__xludf.DUMMYFUNCTION("""COMPUTED_VALUE"""),"هیئت محبان اهل بیت علیهم السلام بجنورد")</f>
        <v>هیئت محبان اهل بیت علیهم السلام بجنورد</v>
      </c>
      <c r="D4267" s="5" t="str">
        <f>IFERROR(__xludf.DUMMYFUNCTION("""COMPUTED_VALUE"""),"خراسان شمالی")</f>
        <v>خراسان شمالی</v>
      </c>
      <c r="E4267" s="5" t="str">
        <f>IFERROR(__xludf.DUMMYFUNCTION("""COMPUTED_VALUE"""),"بجنورد")</f>
        <v>بجنورد</v>
      </c>
      <c r="F4267" s="5"/>
      <c r="G4267" s="5"/>
      <c r="H4267" s="6" t="str">
        <f>IFERROR(__xludf.DUMMYFUNCTION("""COMPUTED_VALUE"""),"https://www.instagram.com/mohebbane_ahlebeyt_boj")</f>
        <v>https://www.instagram.com/mohebbane_ahlebeyt_boj</v>
      </c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</row>
    <row r="4268">
      <c r="A4268" s="5">
        <f>IFERROR(__xludf.DUMMYFUNCTION("""COMPUTED_VALUE"""),20687.0)</f>
        <v>20687</v>
      </c>
      <c r="B4268" s="5" t="str">
        <f>IFERROR(__xludf.DUMMYFUNCTION("""COMPUTED_VALUE"""),"هیأت")</f>
        <v>هیأت</v>
      </c>
      <c r="C4268" s="5" t="str">
        <f>IFERROR(__xludf.DUMMYFUNCTION("""COMPUTED_VALUE"""),"المهدی(دانشگاه)")</f>
        <v>المهدی(دانشگاه)</v>
      </c>
      <c r="D4268" s="5" t="str">
        <f>IFERROR(__xludf.DUMMYFUNCTION("""COMPUTED_VALUE"""),"خراسان شمالی")</f>
        <v>خراسان شمالی</v>
      </c>
      <c r="E4268" s="5" t="str">
        <f>IFERROR(__xludf.DUMMYFUNCTION("""COMPUTED_VALUE"""),"بجنورد")</f>
        <v>بجنورد</v>
      </c>
      <c r="F4268" s="5"/>
      <c r="G4268" s="5"/>
      <c r="H4268" s="6" t="str">
        <f>IFERROR(__xludf.DUMMYFUNCTION("""COMPUTED_VALUE"""),"https://www.instagram.com/heyat.almahdi_ub")</f>
        <v>https://www.instagram.com/heyat.almahdi_ub</v>
      </c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</row>
    <row r="4269">
      <c r="A4269" s="5"/>
      <c r="B4269" s="5" t="str">
        <f>IFERROR(__xludf.DUMMYFUNCTION("""COMPUTED_VALUE"""),"هیأت")</f>
        <v>هیأت</v>
      </c>
      <c r="C4269" s="5" t="str">
        <f>IFERROR(__xludf.DUMMYFUNCTION("""COMPUTED_VALUE"""),"هیئت سجادیه(علیه السلام) بجنورد")</f>
        <v>هیئت سجادیه(علیه السلام) بجنورد</v>
      </c>
      <c r="D4269" s="5" t="str">
        <f>IFERROR(__xludf.DUMMYFUNCTION("""COMPUTED_VALUE"""),"خراسان شمالی")</f>
        <v>خراسان شمالی</v>
      </c>
      <c r="E4269" s="5" t="str">
        <f>IFERROR(__xludf.DUMMYFUNCTION("""COMPUTED_VALUE"""),"بجنورد")</f>
        <v>بجنورد</v>
      </c>
      <c r="F4269" s="5"/>
      <c r="G4269" s="5"/>
      <c r="H4269" s="6" t="str">
        <f>IFERROR(__xludf.DUMMYFUNCTION("""COMPUTED_VALUE"""),"https://www.instagram.com/heyat_sajadieh_bojnurd/")</f>
        <v>https://www.instagram.com/heyat_sajadieh_bojnurd/</v>
      </c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</row>
    <row r="4270">
      <c r="A4270" s="5">
        <f>IFERROR(__xludf.DUMMYFUNCTION("""COMPUTED_VALUE"""),19213.0)</f>
        <v>19213</v>
      </c>
      <c r="B4270" s="5" t="str">
        <f>IFERROR(__xludf.DUMMYFUNCTION("""COMPUTED_VALUE"""),"هیأت")</f>
        <v>هیأت</v>
      </c>
      <c r="C4270" s="5" t="str">
        <f>IFERROR(__xludf.DUMMYFUNCTION("""COMPUTED_VALUE"""),"مکتب الشهدا / کهف الشهدا")</f>
        <v>مکتب الشهدا / کهف الشهدا</v>
      </c>
      <c r="D4270" s="5" t="str">
        <f>IFERROR(__xludf.DUMMYFUNCTION("""COMPUTED_VALUE"""),"خراسان شمالی")</f>
        <v>خراسان شمالی</v>
      </c>
      <c r="E4270" s="5" t="str">
        <f>IFERROR(__xludf.DUMMYFUNCTION("""COMPUTED_VALUE"""),"بجنورد")</f>
        <v>بجنورد</v>
      </c>
      <c r="F4270" s="5"/>
      <c r="G4270" s="5"/>
      <c r="H4270" s="6" t="str">
        <f>IFERROR(__xludf.DUMMYFUNCTION("""COMPUTED_VALUE"""),"https://www.instagram.com/kahfe_shohada")</f>
        <v>https://www.instagram.com/kahfe_shohada</v>
      </c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</row>
    <row r="4271">
      <c r="A4271" s="5">
        <f>IFERROR(__xludf.DUMMYFUNCTION("""COMPUTED_VALUE"""),18099.0)</f>
        <v>18099</v>
      </c>
      <c r="B4271" s="5" t="str">
        <f>IFERROR(__xludf.DUMMYFUNCTION("""COMPUTED_VALUE"""),"هیأت")</f>
        <v>هیأت</v>
      </c>
      <c r="C4271" s="5" t="str">
        <f>IFERROR(__xludf.DUMMYFUNCTION("""COMPUTED_VALUE"""),"هیئت رقیه جان«س» بجنورد")</f>
        <v>هیئت رقیه جان«س» بجنورد</v>
      </c>
      <c r="D4271" s="5" t="str">
        <f>IFERROR(__xludf.DUMMYFUNCTION("""COMPUTED_VALUE"""),"خراسان شمالی")</f>
        <v>خراسان شمالی</v>
      </c>
      <c r="E4271" s="5" t="str">
        <f>IFERROR(__xludf.DUMMYFUNCTION("""COMPUTED_VALUE"""),"بجنورد")</f>
        <v>بجنورد</v>
      </c>
      <c r="F4271" s="5"/>
      <c r="G4271" s="5"/>
      <c r="H4271" s="6" t="str">
        <f>IFERROR(__xludf.DUMMYFUNCTION("""COMPUTED_VALUE"""),"https://www.instagram.com/heiatroghayejan")</f>
        <v>https://www.instagram.com/heiatroghayejan</v>
      </c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</row>
    <row r="4272">
      <c r="A4272" s="5">
        <f>IFERROR(__xludf.DUMMYFUNCTION("""COMPUTED_VALUE"""),18096.0)</f>
        <v>18096</v>
      </c>
      <c r="B4272" s="5" t="str">
        <f>IFERROR(__xludf.DUMMYFUNCTION("""COMPUTED_VALUE"""),"هیأت")</f>
        <v>هیأت</v>
      </c>
      <c r="C4272" s="5" t="str">
        <f>IFERROR(__xludf.DUMMYFUNCTION("""COMPUTED_VALUE"""),"علمدار کربلا(ع) دانشگاه علوم پزشکی")</f>
        <v>علمدار کربلا(ع) دانشگاه علوم پزشکی</v>
      </c>
      <c r="D4272" s="5" t="str">
        <f>IFERROR(__xludf.DUMMYFUNCTION("""COMPUTED_VALUE"""),"خراسان شمالی")</f>
        <v>خراسان شمالی</v>
      </c>
      <c r="E4272" s="5" t="str">
        <f>IFERROR(__xludf.DUMMYFUNCTION("""COMPUTED_VALUE"""),"بجنورد")</f>
        <v>بجنورد</v>
      </c>
      <c r="F4272" s="5"/>
      <c r="G4272" s="5"/>
      <c r="H4272" s="6" t="str">
        <f>IFERROR(__xludf.DUMMYFUNCTION("""COMPUTED_VALUE"""),"https://www.instagram.com/nkums_heiat")</f>
        <v>https://www.instagram.com/nkums_heiat</v>
      </c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</row>
    <row r="4273">
      <c r="A4273" s="5"/>
      <c r="B4273" s="5" t="str">
        <f>IFERROR(__xludf.DUMMYFUNCTION("""COMPUTED_VALUE"""),"هیأت")</f>
        <v>هیأت</v>
      </c>
      <c r="C4273" s="5" t="str">
        <f>IFERROR(__xludf.DUMMYFUNCTION("""COMPUTED_VALUE"""),"هيئت عشاق المهدي(عج) بجنورد‌")</f>
        <v>هيئت عشاق المهدي(عج) بجنورد‌</v>
      </c>
      <c r="D4273" s="5" t="str">
        <f>IFERROR(__xludf.DUMMYFUNCTION("""COMPUTED_VALUE"""),"خراسان شمالی")</f>
        <v>خراسان شمالی</v>
      </c>
      <c r="E4273" s="5" t="str">
        <f>IFERROR(__xludf.DUMMYFUNCTION("""COMPUTED_VALUE"""),"بجنورد")</f>
        <v>بجنورد</v>
      </c>
      <c r="F4273" s="5"/>
      <c r="G4273" s="5"/>
      <c r="H4273" s="6" t="str">
        <f>IFERROR(__xludf.DUMMYFUNCTION("""COMPUTED_VALUE"""),"https://www.instagram.com/oshaghalmahdi313")</f>
        <v>https://www.instagram.com/oshaghalmahdi313</v>
      </c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</row>
    <row r="4274">
      <c r="A4274" s="5">
        <f>IFERROR(__xludf.DUMMYFUNCTION("""COMPUTED_VALUE"""),7465.0)</f>
        <v>7465</v>
      </c>
      <c r="B4274" s="5" t="str">
        <f>IFERROR(__xludf.DUMMYFUNCTION("""COMPUTED_VALUE"""),"هیأت")</f>
        <v>هیأت</v>
      </c>
      <c r="C4274" s="5" t="str">
        <f>IFERROR(__xludf.DUMMYFUNCTION("""COMPUTED_VALUE"""),"بقیه الله (عج)")</f>
        <v>بقیه الله (عج)</v>
      </c>
      <c r="D4274" s="5" t="str">
        <f>IFERROR(__xludf.DUMMYFUNCTION("""COMPUTED_VALUE"""),"خراسان شمالی")</f>
        <v>خراسان شمالی</v>
      </c>
      <c r="E4274" s="5" t="str">
        <f>IFERROR(__xludf.DUMMYFUNCTION("""COMPUTED_VALUE"""),"بجنورد")</f>
        <v>بجنورد</v>
      </c>
      <c r="F4274" s="5"/>
      <c r="G4274" s="5"/>
      <c r="H4274" s="6" t="str">
        <f>IFERROR(__xludf.DUMMYFUNCTION("""COMPUTED_VALUE"""),"https://www.instagram.com/heyatbaghyatallah")</f>
        <v>https://www.instagram.com/heyatbaghyatallah</v>
      </c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</row>
    <row r="4275">
      <c r="A4275" s="5"/>
      <c r="B4275" s="5" t="str">
        <f>IFERROR(__xludf.DUMMYFUNCTION("""COMPUTED_VALUE"""),"هیأت")</f>
        <v>هیأت</v>
      </c>
      <c r="C4275" s="5" t="str">
        <f>IFERROR(__xludf.DUMMYFUNCTION("""COMPUTED_VALUE"""),"محبان الزهرا(س) ")</f>
        <v>محبان الزهرا(س) </v>
      </c>
      <c r="D4275" s="5" t="str">
        <f>IFERROR(__xludf.DUMMYFUNCTION("""COMPUTED_VALUE"""),"خراسان شمالی")</f>
        <v>خراسان شمالی</v>
      </c>
      <c r="E4275" s="5" t="str">
        <f>IFERROR(__xludf.DUMMYFUNCTION("""COMPUTED_VALUE"""),"جاجرم")</f>
        <v>جاجرم</v>
      </c>
      <c r="F4275" s="5"/>
      <c r="G4275" s="5"/>
      <c r="H4275" s="6" t="str">
        <f>IFERROR(__xludf.DUMMYFUNCTION("""COMPUTED_VALUE"""),"https://www.instagram.com/mohebban_jajarm/")</f>
        <v>https://www.instagram.com/mohebban_jajarm/</v>
      </c>
      <c r="I4275" s="6" t="str">
        <f>IFERROR(__xludf.DUMMYFUNCTION("""COMPUTED_VALUE"""),"https://t.me/mohebban_jajarm")</f>
        <v>https://t.me/mohebban_jajarm</v>
      </c>
      <c r="J4275" s="5"/>
      <c r="K4275" s="5"/>
      <c r="L4275" s="5"/>
      <c r="M4275" s="5"/>
      <c r="N4275" s="5"/>
      <c r="O4275" s="5"/>
      <c r="P4275" s="5"/>
      <c r="Q4275" s="5"/>
      <c r="R4275" s="5"/>
      <c r="S4275" s="5"/>
    </row>
    <row r="4276">
      <c r="A4276" s="5"/>
      <c r="B4276" s="5" t="str">
        <f>IFERROR(__xludf.DUMMYFUNCTION("""COMPUTED_VALUE"""),"هیأت")</f>
        <v>هیأت</v>
      </c>
      <c r="C4276" s="5" t="str">
        <f>IFERROR(__xludf.DUMMYFUNCTION("""COMPUTED_VALUE"""),"جوانان بنی هاشم")</f>
        <v>جوانان بنی هاشم</v>
      </c>
      <c r="D4276" s="5" t="str">
        <f>IFERROR(__xludf.DUMMYFUNCTION("""COMPUTED_VALUE"""),"خراسان شمالی")</f>
        <v>خراسان شمالی</v>
      </c>
      <c r="E4276" s="5" t="str">
        <f>IFERROR(__xludf.DUMMYFUNCTION("""COMPUTED_VALUE"""),"جاجرم")</f>
        <v>جاجرم</v>
      </c>
      <c r="F4276" s="5"/>
      <c r="G4276" s="5"/>
      <c r="H4276" s="6" t="str">
        <f>IFERROR(__xludf.DUMMYFUNCTION("""COMPUTED_VALUE"""),"https://www.instagram.com/javanan_bani_hashem_jajarm/")</f>
        <v>https://www.instagram.com/javanan_bani_hashem_jajarm/</v>
      </c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</row>
    <row r="4277">
      <c r="A4277" s="5"/>
      <c r="B4277" s="5" t="str">
        <f>IFERROR(__xludf.DUMMYFUNCTION("""COMPUTED_VALUE"""),"هیأت")</f>
        <v>هیأت</v>
      </c>
      <c r="C4277" s="5" t="str">
        <f>IFERROR(__xludf.DUMMYFUNCTION("""COMPUTED_VALUE"""),"صاحب الزمان عج ")</f>
        <v>صاحب الزمان عج </v>
      </c>
      <c r="D4277" s="5" t="str">
        <f>IFERROR(__xludf.DUMMYFUNCTION("""COMPUTED_VALUE"""),"خراسان شمالی")</f>
        <v>خراسان شمالی</v>
      </c>
      <c r="E4277" s="5" t="str">
        <f>IFERROR(__xludf.DUMMYFUNCTION("""COMPUTED_VALUE"""),"جاجرم")</f>
        <v>جاجرم</v>
      </c>
      <c r="F4277" s="5" t="str">
        <f>IFERROR(__xludf.DUMMYFUNCTION("""COMPUTED_VALUE"""),"شوقان")</f>
        <v>شوقان</v>
      </c>
      <c r="G4277" s="5"/>
      <c r="H4277" s="6" t="str">
        <f>IFERROR(__xludf.DUMMYFUNCTION("""COMPUTED_VALUE"""),"https://www.instagram.com/saheb_alzaman7/")</f>
        <v>https://www.instagram.com/saheb_alzaman7/</v>
      </c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</row>
    <row r="4278">
      <c r="A4278" s="5">
        <f>IFERROR(__xludf.DUMMYFUNCTION("""COMPUTED_VALUE"""),7067.0)</f>
        <v>7067</v>
      </c>
      <c r="B4278" s="5" t="str">
        <f>IFERROR(__xludf.DUMMYFUNCTION("""COMPUTED_VALUE"""),"هیأت")</f>
        <v>هیأت</v>
      </c>
      <c r="C4278" s="5" t="str">
        <f>IFERROR(__xludf.DUMMYFUNCTION("""COMPUTED_VALUE"""),"رزمندگان اسلام")</f>
        <v>رزمندگان اسلام</v>
      </c>
      <c r="D4278" s="5" t="str">
        <f>IFERROR(__xludf.DUMMYFUNCTION("""COMPUTED_VALUE"""),"خراسان شمالی")</f>
        <v>خراسان شمالی</v>
      </c>
      <c r="E4278" s="5" t="str">
        <f>IFERROR(__xludf.DUMMYFUNCTION("""COMPUTED_VALUE"""),"جاجرم")</f>
        <v>جاجرم</v>
      </c>
      <c r="F4278" s="5"/>
      <c r="G4278" s="5"/>
      <c r="H4278" s="6" t="str">
        <f>IFERROR(__xludf.DUMMYFUNCTION("""COMPUTED_VALUE"""),"https://www.instagram.com/razmandegan_jajarm/")</f>
        <v>https://www.instagram.com/razmandegan_jajarm/</v>
      </c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</row>
    <row r="4279">
      <c r="A4279" s="5">
        <f>IFERROR(__xludf.DUMMYFUNCTION("""COMPUTED_VALUE"""),7073.0)</f>
        <v>7073</v>
      </c>
      <c r="B4279" s="5" t="str">
        <f>IFERROR(__xludf.DUMMYFUNCTION("""COMPUTED_VALUE"""),"هیأت")</f>
        <v>هیأت</v>
      </c>
      <c r="C4279" s="5" t="str">
        <f>IFERROR(__xludf.DUMMYFUNCTION("""COMPUTED_VALUE"""),"محبان الزهرا (س)")</f>
        <v>محبان الزهرا (س)</v>
      </c>
      <c r="D4279" s="5" t="str">
        <f>IFERROR(__xludf.DUMMYFUNCTION("""COMPUTED_VALUE"""),"خراسان شمالی")</f>
        <v>خراسان شمالی</v>
      </c>
      <c r="E4279" s="5" t="str">
        <f>IFERROR(__xludf.DUMMYFUNCTION("""COMPUTED_VALUE"""),"جاجرم")</f>
        <v>جاجرم</v>
      </c>
      <c r="F4279" s="5"/>
      <c r="G4279" s="5"/>
      <c r="H4279" s="6" t="str">
        <f>IFERROR(__xludf.DUMMYFUNCTION("""COMPUTED_VALUE"""),"https://www.instagram.com/mohebban_jajarm")</f>
        <v>https://www.instagram.com/mohebban_jajarm</v>
      </c>
      <c r="I4279" s="6" t="str">
        <f>IFERROR(__xludf.DUMMYFUNCTION("""COMPUTED_VALUE"""),"https://t.me/mohebban_jajarm")</f>
        <v>https://t.me/mohebban_jajarm</v>
      </c>
      <c r="J4279" s="5"/>
      <c r="K4279" s="5"/>
      <c r="L4279" s="5"/>
      <c r="M4279" s="5"/>
      <c r="N4279" s="5"/>
      <c r="O4279" s="5"/>
      <c r="P4279" s="5"/>
      <c r="Q4279" s="5"/>
      <c r="R4279" s="5"/>
      <c r="S4279" s="5"/>
    </row>
    <row r="4280">
      <c r="A4280" s="5">
        <f>IFERROR(__xludf.DUMMYFUNCTION("""COMPUTED_VALUE"""),7272.0)</f>
        <v>7272</v>
      </c>
      <c r="B4280" s="5" t="str">
        <f>IFERROR(__xludf.DUMMYFUNCTION("""COMPUTED_VALUE"""),"هیأت")</f>
        <v>هیأت</v>
      </c>
      <c r="C4280" s="5" t="str">
        <f>IFERROR(__xludf.DUMMYFUNCTION("""COMPUTED_VALUE"""),"انصارالحسین (ع)")</f>
        <v>انصارالحسین (ع)</v>
      </c>
      <c r="D4280" s="5" t="str">
        <f>IFERROR(__xludf.DUMMYFUNCTION("""COMPUTED_VALUE"""),"خراسان شمالی")</f>
        <v>خراسان شمالی</v>
      </c>
      <c r="E4280" s="5" t="str">
        <f>IFERROR(__xludf.DUMMYFUNCTION("""COMPUTED_VALUE"""),"جاجرم")</f>
        <v>جاجرم</v>
      </c>
      <c r="F4280" s="5"/>
      <c r="G4280" s="5"/>
      <c r="H4280" s="6" t="str">
        <f>IFERROR(__xludf.DUMMYFUNCTION("""COMPUTED_VALUE"""),"https://www.instagram.com/ansar.jajarm/")</f>
        <v>https://www.instagram.com/ansar.jajarm/</v>
      </c>
      <c r="I4280" s="5"/>
      <c r="J4280" s="6" t="str">
        <f>IFERROR(__xludf.DUMMYFUNCTION("""COMPUTED_VALUE"""),"https://eitaa.com/ansarjajarm")</f>
        <v>https://eitaa.com/ansarjajarm</v>
      </c>
      <c r="K4280" s="5"/>
      <c r="L4280" s="5"/>
      <c r="M4280" s="5"/>
      <c r="N4280" s="5"/>
      <c r="O4280" s="5"/>
      <c r="P4280" s="5"/>
      <c r="Q4280" s="5"/>
      <c r="R4280" s="5"/>
      <c r="S4280" s="5"/>
    </row>
    <row r="4281">
      <c r="A4281" s="5">
        <f>IFERROR(__xludf.DUMMYFUNCTION("""COMPUTED_VALUE"""),7382.0)</f>
        <v>7382</v>
      </c>
      <c r="B4281" s="5" t="str">
        <f>IFERROR(__xludf.DUMMYFUNCTION("""COMPUTED_VALUE"""),"هیأت")</f>
        <v>هیأت</v>
      </c>
      <c r="C4281" s="5" t="str">
        <f>IFERROR(__xludf.DUMMYFUNCTION("""COMPUTED_VALUE"""),"محبان الحسین (ع)")</f>
        <v>محبان الحسین (ع)</v>
      </c>
      <c r="D4281" s="5" t="str">
        <f>IFERROR(__xludf.DUMMYFUNCTION("""COMPUTED_VALUE"""),"خراسان شمالی")</f>
        <v>خراسان شمالی</v>
      </c>
      <c r="E4281" s="5" t="str">
        <f>IFERROR(__xludf.DUMMYFUNCTION("""COMPUTED_VALUE"""),"جاجرم")</f>
        <v>جاجرم</v>
      </c>
      <c r="F4281" s="5"/>
      <c r="G4281" s="5"/>
      <c r="H4281" s="6" t="str">
        <f>IFERROR(__xludf.DUMMYFUNCTION("""COMPUTED_VALUE"""),"https://www.instagram.com/mohebbanalhosein_jajarm/")</f>
        <v>https://www.instagram.com/mohebbanalhosein_jajarm/</v>
      </c>
      <c r="I4281" s="6" t="str">
        <f>IFERROR(__xludf.DUMMYFUNCTION("""COMPUTED_VALUE"""),"https://t.me/mohebbanalhossein_jajarm")</f>
        <v>https://t.me/mohebbanalhossein_jajarm</v>
      </c>
      <c r="J4281" s="5"/>
      <c r="K4281" s="5"/>
      <c r="L4281" s="5"/>
      <c r="M4281" s="5"/>
      <c r="N4281" s="5"/>
      <c r="O4281" s="5"/>
      <c r="P4281" s="5"/>
      <c r="Q4281" s="5"/>
      <c r="R4281" s="5"/>
      <c r="S4281" s="5"/>
    </row>
    <row r="4282">
      <c r="A4282" s="5"/>
      <c r="B4282" s="5" t="str">
        <f>IFERROR(__xludf.DUMMYFUNCTION("""COMPUTED_VALUE"""),"هیأت")</f>
        <v>هیأت</v>
      </c>
      <c r="C4282" s="5" t="str">
        <f>IFERROR(__xludf.DUMMYFUNCTION("""COMPUTED_VALUE"""),"هیات یازینب (س)بجنورد")</f>
        <v>هیات یازینب (س)بجنورد</v>
      </c>
      <c r="D4282" s="5" t="str">
        <f>IFERROR(__xludf.DUMMYFUNCTION("""COMPUTED_VALUE"""),"خراسان شمالی")</f>
        <v>خراسان شمالی</v>
      </c>
      <c r="E4282" s="5" t="str">
        <f>IFERROR(__xludf.DUMMYFUNCTION("""COMPUTED_VALUE"""),"جاجرم")</f>
        <v>جاجرم</v>
      </c>
      <c r="F4282" s="5"/>
      <c r="G4282" s="5"/>
      <c r="H4282" s="6" t="str">
        <f>IFERROR(__xludf.DUMMYFUNCTION("""COMPUTED_VALUE"""),"https://www.instagram.com/yazeinab.bojnord")</f>
        <v>https://www.instagram.com/yazeinab.bojnord</v>
      </c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</row>
    <row r="4283">
      <c r="A4283" s="5">
        <f>IFERROR(__xludf.DUMMYFUNCTION("""COMPUTED_VALUE"""),7060.0)</f>
        <v>7060</v>
      </c>
      <c r="B4283" s="5" t="str">
        <f>IFERROR(__xludf.DUMMYFUNCTION("""COMPUTED_VALUE"""),"هیأت")</f>
        <v>هیأت</v>
      </c>
      <c r="C4283" s="5" t="str">
        <f>IFERROR(__xludf.DUMMYFUNCTION("""COMPUTED_VALUE"""),"طریق الشهدا")</f>
        <v>طریق الشهدا</v>
      </c>
      <c r="D4283" s="5" t="str">
        <f>IFERROR(__xludf.DUMMYFUNCTION("""COMPUTED_VALUE"""),"خراسان شمالی")</f>
        <v>خراسان شمالی</v>
      </c>
      <c r="E4283" s="5" t="str">
        <f>IFERROR(__xludf.DUMMYFUNCTION("""COMPUTED_VALUE"""),"درق")</f>
        <v>درق</v>
      </c>
      <c r="F4283" s="5"/>
      <c r="G4283" s="5"/>
      <c r="H4283" s="6" t="str">
        <f>IFERROR(__xludf.DUMMYFUNCTION("""COMPUTED_VALUE"""),"https://www.instagram.com/tarigh_shohada57")</f>
        <v>https://www.instagram.com/tarigh_shohada57</v>
      </c>
      <c r="I4283" s="6" t="str">
        <f>IFERROR(__xludf.DUMMYFUNCTION("""COMPUTED_VALUE"""),"https://t.me/tarigh_Shohada57")</f>
        <v>https://t.me/tarigh_Shohada57</v>
      </c>
      <c r="J4283" s="5"/>
      <c r="K4283" s="5"/>
      <c r="L4283" s="5"/>
      <c r="M4283" s="5"/>
      <c r="N4283" s="5"/>
      <c r="O4283" s="5"/>
      <c r="P4283" s="5"/>
      <c r="Q4283" s="5"/>
      <c r="R4283" s="5"/>
      <c r="S4283" s="5"/>
    </row>
    <row r="4284">
      <c r="A4284" s="5">
        <f>IFERROR(__xludf.DUMMYFUNCTION("""COMPUTED_VALUE"""),7166.0)</f>
        <v>7166</v>
      </c>
      <c r="B4284" s="5" t="str">
        <f>IFERROR(__xludf.DUMMYFUNCTION("""COMPUTED_VALUE"""),"هیأت")</f>
        <v>هیأت</v>
      </c>
      <c r="C4284" s="5" t="str">
        <f>IFERROR(__xludf.DUMMYFUNCTION("""COMPUTED_VALUE"""),"حضرت امیرالمومنین(ع)")</f>
        <v>حضرت امیرالمومنین(ع)</v>
      </c>
      <c r="D4284" s="5" t="str">
        <f>IFERROR(__xludf.DUMMYFUNCTION("""COMPUTED_VALUE"""),"خراسان شمالی")</f>
        <v>خراسان شمالی</v>
      </c>
      <c r="E4284" s="5" t="str">
        <f>IFERROR(__xludf.DUMMYFUNCTION("""COMPUTED_VALUE"""),"درق")</f>
        <v>درق</v>
      </c>
      <c r="F4284" s="5"/>
      <c r="G4284" s="5"/>
      <c r="H4284" s="5"/>
      <c r="I4284" s="5"/>
      <c r="J4284" s="6" t="str">
        <f>IFERROR(__xludf.DUMMYFUNCTION("""COMPUTED_VALUE"""),"https://eitaa.com/MAFMA_DARGH")</f>
        <v>https://eitaa.com/MAFMA_DARGH</v>
      </c>
      <c r="K4284" s="5"/>
      <c r="L4284" s="5"/>
      <c r="M4284" s="5"/>
      <c r="N4284" s="5"/>
      <c r="O4284" s="5"/>
      <c r="P4284" s="5"/>
      <c r="Q4284" s="5"/>
      <c r="R4284" s="5"/>
      <c r="S4284" s="5"/>
    </row>
    <row r="4285">
      <c r="A4285" s="5"/>
      <c r="B4285" s="5" t="str">
        <f>IFERROR(__xludf.DUMMYFUNCTION("""COMPUTED_VALUE"""),"هیأت")</f>
        <v>هیأت</v>
      </c>
      <c r="C4285" s="5" t="str">
        <f>IFERROR(__xludf.DUMMYFUNCTION("""COMPUTED_VALUE"""),"الرضا")</f>
        <v>الرضا</v>
      </c>
      <c r="D4285" s="5" t="str">
        <f>IFERROR(__xludf.DUMMYFUNCTION("""COMPUTED_VALUE"""),"خراسان شمالی")</f>
        <v>خراسان شمالی</v>
      </c>
      <c r="E4285" s="5" t="str">
        <f>IFERROR(__xludf.DUMMYFUNCTION("""COMPUTED_VALUE"""),"راز و جرگلان")</f>
        <v>راز و جرگلان</v>
      </c>
      <c r="F4285" s="5" t="str">
        <f>IFERROR(__xludf.DUMMYFUNCTION("""COMPUTED_VALUE"""),"راز")</f>
        <v>راز</v>
      </c>
      <c r="G4285" s="5"/>
      <c r="H4285" s="6" t="str">
        <f>IFERROR(__xludf.DUMMYFUNCTION("""COMPUTED_VALUE"""),"https://www.instagram.com/heyatreza.raz/")</f>
        <v>https://www.instagram.com/heyatreza.raz/</v>
      </c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</row>
    <row r="4286">
      <c r="A4286" s="5">
        <f>IFERROR(__xludf.DUMMYFUNCTION("""COMPUTED_VALUE"""),21515.0)</f>
        <v>21515</v>
      </c>
      <c r="B4286" s="5" t="str">
        <f>IFERROR(__xludf.DUMMYFUNCTION("""COMPUTED_VALUE"""),"هیأت")</f>
        <v>هیأت</v>
      </c>
      <c r="C4286" s="5" t="str">
        <f>IFERROR(__xludf.DUMMYFUNCTION("""COMPUTED_VALUE"""),"صاحب الزمان(عج)")</f>
        <v>صاحب الزمان(عج)</v>
      </c>
      <c r="D4286" s="5" t="str">
        <f>IFERROR(__xludf.DUMMYFUNCTION("""COMPUTED_VALUE"""),"خراسان شمالی")</f>
        <v>خراسان شمالی</v>
      </c>
      <c r="E4286" s="5" t="str">
        <f>IFERROR(__xludf.DUMMYFUNCTION("""COMPUTED_VALUE"""),"شوقان ")</f>
        <v>شوقان </v>
      </c>
      <c r="F4286" s="5"/>
      <c r="G4286" s="5"/>
      <c r="H4286" s="6" t="str">
        <f>IFERROR(__xludf.DUMMYFUNCTION("""COMPUTED_VALUE"""),"https://www.instagram.com/saheb_alzaman7")</f>
        <v>https://www.instagram.com/saheb_alzaman7</v>
      </c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</row>
    <row r="4287">
      <c r="A4287" s="5"/>
      <c r="B4287" s="5" t="str">
        <f>IFERROR(__xludf.DUMMYFUNCTION("""COMPUTED_VALUE"""),"مسجد")</f>
        <v>مسجد</v>
      </c>
      <c r="C4287" s="5" t="str">
        <f>IFERROR(__xludf.DUMMYFUNCTION("""COMPUTED_VALUE"""),"آذربایجانیها")</f>
        <v>آذربایجانیها</v>
      </c>
      <c r="D4287" s="5" t="str">
        <f>IFERROR(__xludf.DUMMYFUNCTION("""COMPUTED_VALUE"""),"خراسان شمالی")</f>
        <v>خراسان شمالی</v>
      </c>
      <c r="E4287" s="5" t="str">
        <f>IFERROR(__xludf.DUMMYFUNCTION("""COMPUTED_VALUE"""),"شیروان")</f>
        <v>شیروان</v>
      </c>
      <c r="F4287" s="5"/>
      <c r="G4287" s="5"/>
      <c r="H4287" s="6" t="str">
        <f>IFERROR(__xludf.DUMMYFUNCTION("""COMPUTED_VALUE"""),"https://www.instagram.com/masjed_tork/")</f>
        <v>https://www.instagram.com/masjed_tork/</v>
      </c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</row>
    <row r="4288">
      <c r="A4288" s="5"/>
      <c r="B4288" s="5" t="str">
        <f>IFERROR(__xludf.DUMMYFUNCTION("""COMPUTED_VALUE"""),"هیأت")</f>
        <v>هیأت</v>
      </c>
      <c r="C4288" s="5" t="str">
        <f>IFERROR(__xludf.DUMMYFUNCTION("""COMPUTED_VALUE"""),"عزاداران")</f>
        <v>عزاداران</v>
      </c>
      <c r="D4288" s="5" t="str">
        <f>IFERROR(__xludf.DUMMYFUNCTION("""COMPUTED_VALUE"""),"خراسان شمالی")</f>
        <v>خراسان شمالی</v>
      </c>
      <c r="E4288" s="5" t="str">
        <f>IFERROR(__xludf.DUMMYFUNCTION("""COMPUTED_VALUE"""),"شیروان")</f>
        <v>شیروان</v>
      </c>
      <c r="F4288" s="5"/>
      <c r="G4288" s="5"/>
      <c r="H4288" s="6" t="str">
        <f>IFERROR(__xludf.DUMMYFUNCTION("""COMPUTED_VALUE"""),"https://www.instagram.com/azadaran_sh/")</f>
        <v>https://www.instagram.com/azadaran_sh/</v>
      </c>
      <c r="I4288" s="6" t="str">
        <f>IFERROR(__xludf.DUMMYFUNCTION("""COMPUTED_VALUE"""),"https://t.me/azadaran_sh")</f>
        <v>https://t.me/azadaran_sh</v>
      </c>
      <c r="J4288" s="6" t="str">
        <f>IFERROR(__xludf.DUMMYFUNCTION("""COMPUTED_VALUE"""),"https://eitaa.com/azadaran_sh")</f>
        <v>https://eitaa.com/azadaran_sh</v>
      </c>
      <c r="K4288" s="5"/>
      <c r="L4288" s="5"/>
      <c r="M4288" s="5"/>
      <c r="N4288" s="5"/>
      <c r="O4288" s="5"/>
      <c r="P4288" s="5"/>
      <c r="Q4288" s="5"/>
      <c r="R4288" s="5"/>
      <c r="S4288" s="5"/>
    </row>
    <row r="4289">
      <c r="A4289" s="5"/>
      <c r="B4289" s="5" t="str">
        <f>IFERROR(__xludf.DUMMYFUNCTION("""COMPUTED_VALUE"""),"هیأت")</f>
        <v>هیأت</v>
      </c>
      <c r="C4289" s="5" t="str">
        <f>IFERROR(__xludf.DUMMYFUNCTION("""COMPUTED_VALUE"""),"حسن جان")</f>
        <v>حسن جان</v>
      </c>
      <c r="D4289" s="5" t="str">
        <f>IFERROR(__xludf.DUMMYFUNCTION("""COMPUTED_VALUE"""),"خراسان شمالی")</f>
        <v>خراسان شمالی</v>
      </c>
      <c r="E4289" s="5" t="str">
        <f>IFERROR(__xludf.DUMMYFUNCTION("""COMPUTED_VALUE"""),"شیروان")</f>
        <v>شیروان</v>
      </c>
      <c r="F4289" s="5"/>
      <c r="G4289" s="5"/>
      <c r="H4289" s="6" t="str">
        <f>IFERROR(__xludf.DUMMYFUNCTION("""COMPUTED_VALUE"""),"https://www.instagram.com/hasan_jan_118_shirvan/")</f>
        <v>https://www.instagram.com/hasan_jan_118_shirvan/</v>
      </c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</row>
    <row r="4290">
      <c r="A4290" s="5"/>
      <c r="B4290" s="5" t="str">
        <f>IFERROR(__xludf.DUMMYFUNCTION("""COMPUTED_VALUE"""),"هیأت")</f>
        <v>هیأت</v>
      </c>
      <c r="C4290" s="5" t="str">
        <f>IFERROR(__xludf.DUMMYFUNCTION("""COMPUTED_VALUE"""),"انصارالمهدی (عج)")</f>
        <v>انصارالمهدی (عج)</v>
      </c>
      <c r="D4290" s="5" t="str">
        <f>IFERROR(__xludf.DUMMYFUNCTION("""COMPUTED_VALUE"""),"خراسان شمالی")</f>
        <v>خراسان شمالی</v>
      </c>
      <c r="E4290" s="5" t="str">
        <f>IFERROR(__xludf.DUMMYFUNCTION("""COMPUTED_VALUE"""),"شیروان")</f>
        <v>شیروان</v>
      </c>
      <c r="F4290" s="5"/>
      <c r="G4290" s="5"/>
      <c r="H4290" s="6" t="str">
        <f>IFERROR(__xludf.DUMMYFUNCTION("""COMPUTED_VALUE"""),"https://www.instagram.com/ansarolmahdi_sh/")</f>
        <v>https://www.instagram.com/ansarolmahdi_sh/</v>
      </c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</row>
    <row r="4291">
      <c r="A4291" s="5"/>
      <c r="B4291" s="5" t="str">
        <f>IFERROR(__xludf.DUMMYFUNCTION("""COMPUTED_VALUE"""),"هیأت")</f>
        <v>هیأت</v>
      </c>
      <c r="C4291" s="5" t="str">
        <f>IFERROR(__xludf.DUMMYFUNCTION("""COMPUTED_VALUE"""),"جوانان بنی هاشم")</f>
        <v>جوانان بنی هاشم</v>
      </c>
      <c r="D4291" s="5" t="str">
        <f>IFERROR(__xludf.DUMMYFUNCTION("""COMPUTED_VALUE"""),"خراسان شمالی")</f>
        <v>خراسان شمالی</v>
      </c>
      <c r="E4291" s="5" t="str">
        <f>IFERROR(__xludf.DUMMYFUNCTION("""COMPUTED_VALUE"""),"شیروان")</f>
        <v>شیروان</v>
      </c>
      <c r="F4291" s="5"/>
      <c r="G4291" s="5"/>
      <c r="H4291" s="6" t="str">
        <f>IFERROR(__xludf.DUMMYFUNCTION("""COMPUTED_VALUE"""),"https://www.instagram.com/javanan_banihashem_shirvan/")</f>
        <v>https://www.instagram.com/javanan_banihashem_shirvan/</v>
      </c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</row>
    <row r="4292">
      <c r="A4292" s="5"/>
      <c r="B4292" s="5" t="str">
        <f>IFERROR(__xludf.DUMMYFUNCTION("""COMPUTED_VALUE"""),"هیأت")</f>
        <v>هیأت</v>
      </c>
      <c r="C4292" s="5" t="str">
        <f>IFERROR(__xludf.DUMMYFUNCTION("""COMPUTED_VALUE"""),"باب الحوائج")</f>
        <v>باب الحوائج</v>
      </c>
      <c r="D4292" s="5" t="str">
        <f>IFERROR(__xludf.DUMMYFUNCTION("""COMPUTED_VALUE"""),"خراسان شمالی")</f>
        <v>خراسان شمالی</v>
      </c>
      <c r="E4292" s="5" t="str">
        <f>IFERROR(__xludf.DUMMYFUNCTION("""COMPUTED_VALUE"""),"شیروان")</f>
        <v>شیروان</v>
      </c>
      <c r="F4292" s="5"/>
      <c r="G4292" s="5"/>
      <c r="H4292" s="6" t="str">
        <f>IFERROR(__xludf.DUMMYFUNCTION("""COMPUTED_VALUE"""),"https://www.instagram.com/babolhavaej.shirvan/")</f>
        <v>https://www.instagram.com/babolhavaej.shirvan/</v>
      </c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</row>
    <row r="4293">
      <c r="A4293" s="5"/>
      <c r="B4293" s="5" t="str">
        <f>IFERROR(__xludf.DUMMYFUNCTION("""COMPUTED_VALUE"""),"هیأت")</f>
        <v>هیأت</v>
      </c>
      <c r="C4293" s="5" t="str">
        <f>IFERROR(__xludf.DUMMYFUNCTION("""COMPUTED_VALUE"""),"جوانان بنی هاشم")</f>
        <v>جوانان بنی هاشم</v>
      </c>
      <c r="D4293" s="5" t="str">
        <f>IFERROR(__xludf.DUMMYFUNCTION("""COMPUTED_VALUE"""),"خراسان شمالی")</f>
        <v>خراسان شمالی</v>
      </c>
      <c r="E4293" s="5" t="str">
        <f>IFERROR(__xludf.DUMMYFUNCTION("""COMPUTED_VALUE"""),"شیروان")</f>
        <v>شیروان</v>
      </c>
      <c r="F4293" s="5"/>
      <c r="G4293" s="5"/>
      <c r="H4293" s="6" t="str">
        <f>IFERROR(__xludf.DUMMYFUNCTION("""COMPUTED_VALUE"""),"https://www.instagram.com/hiatejavanan_banihashem_/")</f>
        <v>https://www.instagram.com/hiatejavanan_banihashem_/</v>
      </c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</row>
    <row r="4294">
      <c r="A4294" s="5"/>
      <c r="B4294" s="5" t="str">
        <f>IFERROR(__xludf.DUMMYFUNCTION("""COMPUTED_VALUE"""),"هیأت")</f>
        <v>هیأت</v>
      </c>
      <c r="C4294" s="5" t="str">
        <f>IFERROR(__xludf.DUMMYFUNCTION("""COMPUTED_VALUE"""),"بقیة الله")</f>
        <v>بقیة الله</v>
      </c>
      <c r="D4294" s="5" t="str">
        <f>IFERROR(__xludf.DUMMYFUNCTION("""COMPUTED_VALUE"""),"خراسان شمالی")</f>
        <v>خراسان شمالی</v>
      </c>
      <c r="E4294" s="5" t="str">
        <f>IFERROR(__xludf.DUMMYFUNCTION("""COMPUTED_VALUE"""),"شیروان")</f>
        <v>شیروان</v>
      </c>
      <c r="F4294" s="5"/>
      <c r="G4294" s="5">
        <f>IFERROR(__xludf.DUMMYFUNCTION("""COMPUTED_VALUE"""),1.0)</f>
        <v>1</v>
      </c>
      <c r="H4294" s="6" t="str">
        <f>IFERROR(__xludf.DUMMYFUNCTION("""COMPUTED_VALUE"""),"https://www.instagram.com/heyate.baghiatallah/")</f>
        <v>https://www.instagram.com/heyate.baghiatallah/</v>
      </c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</row>
    <row r="4295">
      <c r="A4295" s="5"/>
      <c r="B4295" s="5" t="str">
        <f>IFERROR(__xludf.DUMMYFUNCTION("""COMPUTED_VALUE"""),"هیأت")</f>
        <v>هیأت</v>
      </c>
      <c r="C4295" s="5" t="str">
        <f>IFERROR(__xludf.DUMMYFUNCTION("""COMPUTED_VALUE"""),"علویون")</f>
        <v>علویون</v>
      </c>
      <c r="D4295" s="5" t="str">
        <f>IFERROR(__xludf.DUMMYFUNCTION("""COMPUTED_VALUE"""),"خراسان شمالی")</f>
        <v>خراسان شمالی</v>
      </c>
      <c r="E4295" s="5" t="str">
        <f>IFERROR(__xludf.DUMMYFUNCTION("""COMPUTED_VALUE"""),"شیروان")</f>
        <v>شیروان</v>
      </c>
      <c r="F4295" s="5"/>
      <c r="G4295" s="5"/>
      <c r="H4295" s="6" t="str">
        <f>IFERROR(__xludf.DUMMYFUNCTION("""COMPUTED_VALUE"""),"https://www.instagram.com/alaviyoon.shirvan/")</f>
        <v>https://www.instagram.com/alaviyoon.shirvan/</v>
      </c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</row>
    <row r="4296">
      <c r="A4296" s="5"/>
      <c r="B4296" s="5" t="str">
        <f>IFERROR(__xludf.DUMMYFUNCTION("""COMPUTED_VALUE"""),"هیأت دانش آموزی")</f>
        <v>هیأت دانش آموزی</v>
      </c>
      <c r="C4296" s="5" t="str">
        <f>IFERROR(__xludf.DUMMYFUNCTION("""COMPUTED_VALUE"""),"انصارالمهدی (عج)")</f>
        <v>انصارالمهدی (عج)</v>
      </c>
      <c r="D4296" s="5" t="str">
        <f>IFERROR(__xludf.DUMMYFUNCTION("""COMPUTED_VALUE"""),"خراسان شمالی")</f>
        <v>خراسان شمالی</v>
      </c>
      <c r="E4296" s="5" t="str">
        <f>IFERROR(__xludf.DUMMYFUNCTION("""COMPUTED_VALUE"""),"شیروان")</f>
        <v>شیروان</v>
      </c>
      <c r="F4296" s="5"/>
      <c r="G4296" s="5"/>
      <c r="H4296" s="6" t="str">
        <f>IFERROR(__xludf.DUMMYFUNCTION("""COMPUTED_VALUE"""),"https://www.instagram.com/ansariha.shirvan/")</f>
        <v>https://www.instagram.com/ansariha.shirvan/</v>
      </c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</row>
    <row r="4297">
      <c r="A4297" s="5">
        <f>IFERROR(__xludf.DUMMYFUNCTION("""COMPUTED_VALUE"""),6892.0)</f>
        <v>6892</v>
      </c>
      <c r="B4297" s="5" t="str">
        <f>IFERROR(__xludf.DUMMYFUNCTION("""COMPUTED_VALUE"""),"هیأت")</f>
        <v>هیأت</v>
      </c>
      <c r="C4297" s="5" t="str">
        <f>IFERROR(__xludf.DUMMYFUNCTION("""COMPUTED_VALUE"""),"بنی هاشم(ع)")</f>
        <v>بنی هاشم(ع)</v>
      </c>
      <c r="D4297" s="5" t="str">
        <f>IFERROR(__xludf.DUMMYFUNCTION("""COMPUTED_VALUE"""),"خراسان شمالی")</f>
        <v>خراسان شمالی</v>
      </c>
      <c r="E4297" s="5" t="str">
        <f>IFERROR(__xludf.DUMMYFUNCTION("""COMPUTED_VALUE"""),"شیروان")</f>
        <v>شیروان</v>
      </c>
      <c r="F4297" s="5"/>
      <c r="G4297" s="5"/>
      <c r="H4297" s="6" t="str">
        <f>IFERROR(__xludf.DUMMYFUNCTION("""COMPUTED_VALUE"""),"https://www.instagram.com/javanan_banihashem_shirvan/")</f>
        <v>https://www.instagram.com/javanan_banihashem_shirvan/</v>
      </c>
      <c r="I4297" s="5"/>
      <c r="J4297" s="6" t="str">
        <f>IFERROR(__xludf.DUMMYFUNCTION("""COMPUTED_VALUE"""),"https://eitaa.com/javanan_banihashem_Shirvan?")</f>
        <v>https://eitaa.com/javanan_banihashem_Shirvan?</v>
      </c>
      <c r="K4297" s="5"/>
      <c r="L4297" s="5"/>
      <c r="M4297" s="5"/>
      <c r="N4297" s="5"/>
      <c r="O4297" s="5"/>
      <c r="P4297" s="5"/>
      <c r="Q4297" s="5"/>
      <c r="R4297" s="5"/>
      <c r="S4297" s="5"/>
    </row>
    <row r="4298">
      <c r="A4298" s="5">
        <f>IFERROR(__xludf.DUMMYFUNCTION("""COMPUTED_VALUE"""),6989.0)</f>
        <v>6989</v>
      </c>
      <c r="B4298" s="5" t="str">
        <f>IFERROR(__xludf.DUMMYFUNCTION("""COMPUTED_VALUE"""),"هیأت")</f>
        <v>هیأت</v>
      </c>
      <c r="C4298" s="5" t="str">
        <f>IFERROR(__xludf.DUMMYFUNCTION("""COMPUTED_VALUE"""),"انصارالحسین(ع) (دانشجویی)")</f>
        <v>انصارالحسین(ع) (دانشجویی)</v>
      </c>
      <c r="D4298" s="5" t="str">
        <f>IFERROR(__xludf.DUMMYFUNCTION("""COMPUTED_VALUE"""),"خراسان شمالی")</f>
        <v>خراسان شمالی</v>
      </c>
      <c r="E4298" s="5" t="str">
        <f>IFERROR(__xludf.DUMMYFUNCTION("""COMPUTED_VALUE"""),"شیروان")</f>
        <v>شیروان</v>
      </c>
      <c r="F4298" s="5"/>
      <c r="G4298" s="5"/>
      <c r="H4298" s="6" t="str">
        <f>IFERROR(__xludf.DUMMYFUNCTION("""COMPUTED_VALUE"""),"https://www.instagram.com/ansarolhossein_com/")</f>
        <v>https://www.instagram.com/ansarolhossein_com/</v>
      </c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</row>
    <row r="4299">
      <c r="A4299" s="5">
        <f>IFERROR(__xludf.DUMMYFUNCTION("""COMPUTED_VALUE"""),7090.0)</f>
        <v>7090</v>
      </c>
      <c r="B4299" s="5" t="str">
        <f>IFERROR(__xludf.DUMMYFUNCTION("""COMPUTED_VALUE"""),"هیأت")</f>
        <v>هیأت</v>
      </c>
      <c r="C4299" s="5" t="str">
        <f>IFERROR(__xludf.DUMMYFUNCTION("""COMPUTED_VALUE"""),"شرح و تفسیر نهج البلاغه علویون")</f>
        <v>شرح و تفسیر نهج البلاغه علویون</v>
      </c>
      <c r="D4299" s="5" t="str">
        <f>IFERROR(__xludf.DUMMYFUNCTION("""COMPUTED_VALUE"""),"خراسان شمالی")</f>
        <v>خراسان شمالی</v>
      </c>
      <c r="E4299" s="5" t="str">
        <f>IFERROR(__xludf.DUMMYFUNCTION("""COMPUTED_VALUE"""),"شیروان")</f>
        <v>شیروان</v>
      </c>
      <c r="F4299" s="5"/>
      <c r="G4299" s="5"/>
      <c r="H4299" s="5"/>
      <c r="I4299" s="6" t="str">
        <f>IFERROR(__xludf.DUMMYFUNCTION("""COMPUTED_VALUE"""),"https://t.me/s/alaviyoon_shirvan")</f>
        <v>https://t.me/s/alaviyoon_shirvan</v>
      </c>
      <c r="J4299" s="5"/>
      <c r="K4299" s="5"/>
      <c r="L4299" s="5"/>
      <c r="M4299" s="5"/>
      <c r="N4299" s="5"/>
      <c r="O4299" s="5"/>
      <c r="P4299" s="5"/>
      <c r="Q4299" s="5"/>
      <c r="R4299" s="5"/>
      <c r="S4299" s="5"/>
    </row>
    <row r="4300">
      <c r="A4300" s="5">
        <f>IFERROR(__xludf.DUMMYFUNCTION("""COMPUTED_VALUE"""),30518.0)</f>
        <v>30518</v>
      </c>
      <c r="B4300" s="5" t="str">
        <f>IFERROR(__xludf.DUMMYFUNCTION("""COMPUTED_VALUE"""),"هیأت")</f>
        <v>هیأت</v>
      </c>
      <c r="C4300" s="5" t="str">
        <f>IFERROR(__xludf.DUMMYFUNCTION("""COMPUTED_VALUE"""),"انصارالمهدی (عج)")</f>
        <v>انصارالمهدی (عج)</v>
      </c>
      <c r="D4300" s="5" t="str">
        <f>IFERROR(__xludf.DUMMYFUNCTION("""COMPUTED_VALUE"""),"خراسان شمالی")</f>
        <v>خراسان شمالی</v>
      </c>
      <c r="E4300" s="5" t="str">
        <f>IFERROR(__xludf.DUMMYFUNCTION("""COMPUTED_VALUE"""),"شیروان")</f>
        <v>شیروان</v>
      </c>
      <c r="F4300" s="5"/>
      <c r="G4300" s="5"/>
      <c r="H4300" s="6" t="str">
        <f>IFERROR(__xludf.DUMMYFUNCTION("""COMPUTED_VALUE"""),"https://www.instagram.com/ansarolmahdi_sh")</f>
        <v>https://www.instagram.com/ansarolmahdi_sh</v>
      </c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</row>
    <row r="4301">
      <c r="A4301" s="5"/>
      <c r="B4301" s="5" t="str">
        <f>IFERROR(__xludf.DUMMYFUNCTION("""COMPUTED_VALUE"""),"هیأت")</f>
        <v>هیأت</v>
      </c>
      <c r="C4301" s="5" t="str">
        <f>IFERROR(__xludf.DUMMYFUNCTION("""COMPUTED_VALUE"""),"حسینیه اعظم شیروان")</f>
        <v>حسینیه اعظم شیروان</v>
      </c>
      <c r="D4301" s="5" t="str">
        <f>IFERROR(__xludf.DUMMYFUNCTION("""COMPUTED_VALUE"""),"خراسان شمالی")</f>
        <v>خراسان شمالی</v>
      </c>
      <c r="E4301" s="5" t="str">
        <f>IFERROR(__xludf.DUMMYFUNCTION("""COMPUTED_VALUE"""),"شیروان")</f>
        <v>شیروان</v>
      </c>
      <c r="F4301" s="5"/>
      <c r="G4301" s="5"/>
      <c r="H4301" s="6" t="str">
        <f>IFERROR(__xludf.DUMMYFUNCTION("""COMPUTED_VALUE"""),"https://www.instagram.com/hoseiniehazam.shirvan")</f>
        <v>https://www.instagram.com/hoseiniehazam.shirvan</v>
      </c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</row>
    <row r="4302">
      <c r="A4302" s="5">
        <f>IFERROR(__xludf.DUMMYFUNCTION("""COMPUTED_VALUE"""),7221.0)</f>
        <v>7221</v>
      </c>
      <c r="B4302" s="5" t="str">
        <f>IFERROR(__xludf.DUMMYFUNCTION("""COMPUTED_VALUE"""),"هیأت")</f>
        <v>هیأت</v>
      </c>
      <c r="C4302" s="5" t="str">
        <f>IFERROR(__xludf.DUMMYFUNCTION("""COMPUTED_VALUE"""),"باب الحوائج(ع)")</f>
        <v>باب الحوائج(ع)</v>
      </c>
      <c r="D4302" s="5" t="str">
        <f>IFERROR(__xludf.DUMMYFUNCTION("""COMPUTED_VALUE"""),"خراسان شمالی")</f>
        <v>خراسان شمالی</v>
      </c>
      <c r="E4302" s="5" t="str">
        <f>IFERROR(__xludf.DUMMYFUNCTION("""COMPUTED_VALUE"""),"شیروان")</f>
        <v>شیروان</v>
      </c>
      <c r="F4302" s="5"/>
      <c r="G4302" s="5"/>
      <c r="H4302" s="6" t="str">
        <f>IFERROR(__xludf.DUMMYFUNCTION("""COMPUTED_VALUE"""),"https://www.instagram.com/montazeran_sq/")</f>
        <v>https://www.instagram.com/montazeran_sq/</v>
      </c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</row>
    <row r="4303">
      <c r="A4303" s="5">
        <f>IFERROR(__xludf.DUMMYFUNCTION("""COMPUTED_VALUE"""),7247.0)</f>
        <v>7247</v>
      </c>
      <c r="B4303" s="5" t="str">
        <f>IFERROR(__xludf.DUMMYFUNCTION("""COMPUTED_VALUE"""),"هیأت")</f>
        <v>هیأت</v>
      </c>
      <c r="C4303" s="5" t="str">
        <f>IFERROR(__xludf.DUMMYFUNCTION("""COMPUTED_VALUE"""),"منتظران ولی عصر (عج)")</f>
        <v>منتظران ولی عصر (عج)</v>
      </c>
      <c r="D4303" s="5" t="str">
        <f>IFERROR(__xludf.DUMMYFUNCTION("""COMPUTED_VALUE"""),"خراسان شمالی")</f>
        <v>خراسان شمالی</v>
      </c>
      <c r="E4303" s="5" t="str">
        <f>IFERROR(__xludf.DUMMYFUNCTION("""COMPUTED_VALUE"""),"شیروان")</f>
        <v>شیروان</v>
      </c>
      <c r="F4303" s="5"/>
      <c r="G4303" s="5"/>
      <c r="H4303" s="6" t="str">
        <f>IFERROR(__xludf.DUMMYFUNCTION("""COMPUTED_VALUE"""),"https://www.instagram.com/heatmontazeranvaliasershirvan/")</f>
        <v>https://www.instagram.com/heatmontazeranvaliasershirvan/</v>
      </c>
      <c r="I4303" s="5"/>
      <c r="J4303" s="6" t="str">
        <f>IFERROR(__xludf.DUMMYFUNCTION("""COMPUTED_VALUE"""),"https://eitaa.com/heyatmontazeranevalyaser_shirvan")</f>
        <v>https://eitaa.com/heyatmontazeranevalyaser_shirvan</v>
      </c>
      <c r="K4303" s="5"/>
      <c r="L4303" s="5"/>
      <c r="M4303" s="5"/>
      <c r="N4303" s="5"/>
      <c r="O4303" s="5"/>
      <c r="P4303" s="5"/>
      <c r="Q4303" s="5"/>
      <c r="R4303" s="5"/>
      <c r="S4303" s="5"/>
    </row>
    <row r="4304">
      <c r="A4304" s="5">
        <f>IFERROR(__xludf.DUMMYFUNCTION("""COMPUTED_VALUE"""),7296.0)</f>
        <v>7296</v>
      </c>
      <c r="B4304" s="5" t="str">
        <f>IFERROR(__xludf.DUMMYFUNCTION("""COMPUTED_VALUE"""),"هیأت")</f>
        <v>هیأت</v>
      </c>
      <c r="C4304" s="5" t="str">
        <f>IFERROR(__xludf.DUMMYFUNCTION("""COMPUTED_VALUE"""),"انصارالمهدی(عج)")</f>
        <v>انصارالمهدی(عج)</v>
      </c>
      <c r="D4304" s="5" t="str">
        <f>IFERROR(__xludf.DUMMYFUNCTION("""COMPUTED_VALUE"""),"خراسان شمالی")</f>
        <v>خراسان شمالی</v>
      </c>
      <c r="E4304" s="5" t="str">
        <f>IFERROR(__xludf.DUMMYFUNCTION("""COMPUTED_VALUE"""),"شیروان")</f>
        <v>شیروان</v>
      </c>
      <c r="F4304" s="5"/>
      <c r="G4304" s="5"/>
      <c r="H4304" s="6" t="str">
        <f>IFERROR(__xludf.DUMMYFUNCTION("""COMPUTED_VALUE"""),"https://www.instagram.com/ansarolmahdi_sh")</f>
        <v>https://www.instagram.com/ansarolmahdi_sh</v>
      </c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</row>
    <row r="4305">
      <c r="A4305" s="5">
        <f>IFERROR(__xludf.DUMMYFUNCTION("""COMPUTED_VALUE"""),20616.0)</f>
        <v>20616</v>
      </c>
      <c r="B4305" s="5" t="str">
        <f>IFERROR(__xludf.DUMMYFUNCTION("""COMPUTED_VALUE"""),"هیأت")</f>
        <v>هیأت</v>
      </c>
      <c r="C4305" s="5" t="str">
        <f>IFERROR(__xludf.DUMMYFUNCTION("""COMPUTED_VALUE"""),"جوانان بنی هاشم")</f>
        <v>جوانان بنی هاشم</v>
      </c>
      <c r="D4305" s="5" t="str">
        <f>IFERROR(__xludf.DUMMYFUNCTION("""COMPUTED_VALUE"""),"خراسان شمالی")</f>
        <v>خراسان شمالی</v>
      </c>
      <c r="E4305" s="5" t="str">
        <f>IFERROR(__xludf.DUMMYFUNCTION("""COMPUTED_VALUE"""),"شیروان")</f>
        <v>شیروان</v>
      </c>
      <c r="F4305" s="5"/>
      <c r="G4305" s="5"/>
      <c r="H4305" s="6" t="str">
        <f>IFERROR(__xludf.DUMMYFUNCTION("""COMPUTED_VALUE"""),"https://www.instagram.com/javanan_banihashem_shirvan")</f>
        <v>https://www.instagram.com/javanan_banihashem_shirvan</v>
      </c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</row>
    <row r="4306">
      <c r="A4306" s="5">
        <f>IFERROR(__xludf.DUMMYFUNCTION("""COMPUTED_VALUE"""),20061.0)</f>
        <v>20061</v>
      </c>
      <c r="B4306" s="5" t="str">
        <f>IFERROR(__xludf.DUMMYFUNCTION("""COMPUTED_VALUE"""),"هیأت")</f>
        <v>هیأت</v>
      </c>
      <c r="C4306" s="5" t="str">
        <f>IFERROR(__xludf.DUMMYFUNCTION("""COMPUTED_VALUE"""),"جوانان بنی هاشم(ع)")</f>
        <v>جوانان بنی هاشم(ع)</v>
      </c>
      <c r="D4306" s="5" t="str">
        <f>IFERROR(__xludf.DUMMYFUNCTION("""COMPUTED_VALUE"""),"خراسان شمالی")</f>
        <v>خراسان شمالی</v>
      </c>
      <c r="E4306" s="5" t="str">
        <f>IFERROR(__xludf.DUMMYFUNCTION("""COMPUTED_VALUE"""),"شیروان")</f>
        <v>شیروان</v>
      </c>
      <c r="F4306" s="5"/>
      <c r="G4306" s="5"/>
      <c r="H4306" s="6" t="str">
        <f>IFERROR(__xludf.DUMMYFUNCTION("""COMPUTED_VALUE"""),"https://www.instagram.com/hiatejavanan_banihashem_")</f>
        <v>https://www.instagram.com/hiatejavanan_banihashem_</v>
      </c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</row>
    <row r="4307">
      <c r="A4307" s="5">
        <f>IFERROR(__xludf.DUMMYFUNCTION("""COMPUTED_VALUE"""),21519.0)</f>
        <v>21519</v>
      </c>
      <c r="B4307" s="5" t="str">
        <f>IFERROR(__xludf.DUMMYFUNCTION("""COMPUTED_VALUE"""),"هیأت")</f>
        <v>هیأت</v>
      </c>
      <c r="C4307" s="5" t="str">
        <f>IFERROR(__xludf.DUMMYFUNCTION("""COMPUTED_VALUE"""),"عبدالله بن الحسن (ع)")</f>
        <v>عبدالله بن الحسن (ع)</v>
      </c>
      <c r="D4307" s="5" t="str">
        <f>IFERROR(__xludf.DUMMYFUNCTION("""COMPUTED_VALUE"""),"خراسان شمالی")</f>
        <v>خراسان شمالی</v>
      </c>
      <c r="E4307" s="5" t="str">
        <f>IFERROR(__xludf.DUMMYFUNCTION("""COMPUTED_VALUE"""),"صفی اباد ")</f>
        <v>صفی اباد </v>
      </c>
      <c r="F4307" s="5"/>
      <c r="G4307" s="5"/>
      <c r="H4307" s="6" t="str">
        <f>IFERROR(__xludf.DUMMYFUNCTION("""COMPUTED_VALUE"""),"https://www.instagram.com/norolmahdi313")</f>
        <v>https://www.instagram.com/norolmahdi313</v>
      </c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</row>
    <row r="4308">
      <c r="A4308" s="5"/>
      <c r="B4308" s="5" t="str">
        <f>IFERROR(__xludf.DUMMYFUNCTION("""COMPUTED_VALUE"""),"هیأت")</f>
        <v>هیأت</v>
      </c>
      <c r="C4308" s="5" t="str">
        <f>IFERROR(__xludf.DUMMYFUNCTION("""COMPUTED_VALUE"""),"هیئت منتظران امام زمان غلامان")</f>
        <v>هیئت منتظران امام زمان غلامان</v>
      </c>
      <c r="D4308" s="5" t="str">
        <f>IFERROR(__xludf.DUMMYFUNCTION("""COMPUTED_VALUE"""),"خراسان شمالی")</f>
        <v>خراسان شمالی</v>
      </c>
      <c r="E4308" s="5" t="str">
        <f>IFERROR(__xludf.DUMMYFUNCTION("""COMPUTED_VALUE"""),"غلامان ")</f>
        <v>غلامان </v>
      </c>
      <c r="F4308" s="5"/>
      <c r="G4308" s="5"/>
      <c r="H4308" s="6" t="str">
        <f>IFERROR(__xludf.DUMMYFUNCTION("""COMPUTED_VALUE"""),"https://www.instagram.com/montazeranheyat")</f>
        <v>https://www.instagram.com/montazeranheyat</v>
      </c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</row>
    <row r="4309">
      <c r="A4309" s="5">
        <f>IFERROR(__xludf.DUMMYFUNCTION("""COMPUTED_VALUE"""),7105.0)</f>
        <v>7105</v>
      </c>
      <c r="B4309" s="5" t="str">
        <f>IFERROR(__xludf.DUMMYFUNCTION("""COMPUTED_VALUE"""),"هیأت")</f>
        <v>هیأت</v>
      </c>
      <c r="C4309" s="5" t="str">
        <f>IFERROR(__xludf.DUMMYFUNCTION("""COMPUTED_VALUE"""),"متوسلین به قمربنی هاشم(ع)")</f>
        <v>متوسلین به قمربنی هاشم(ع)</v>
      </c>
      <c r="D4309" s="5" t="str">
        <f>IFERROR(__xludf.DUMMYFUNCTION("""COMPUTED_VALUE"""),"خراسان شمالی")</f>
        <v>خراسان شمالی</v>
      </c>
      <c r="E4309" s="5" t="str">
        <f>IFERROR(__xludf.DUMMYFUNCTION("""COMPUTED_VALUE"""),"فاروج")</f>
        <v>فاروج</v>
      </c>
      <c r="F4309" s="5"/>
      <c r="G4309" s="5"/>
      <c r="H4309" s="6" t="str">
        <f>IFERROR(__xludf.DUMMYFUNCTION("""COMPUTED_VALUE"""),"https://www.instagram.com/heiat_motevaseliiin")</f>
        <v>https://www.instagram.com/heiat_motevaseliiin</v>
      </c>
      <c r="I4309" s="6" t="str">
        <f>IFERROR(__xludf.DUMMYFUNCTION("""COMPUTED_VALUE"""),"https://t.me/heiat_motevaseliiin")</f>
        <v>https://t.me/heiat_motevaseliiin</v>
      </c>
      <c r="J4309" s="5"/>
      <c r="K4309" s="5"/>
      <c r="L4309" s="5"/>
      <c r="M4309" s="5"/>
      <c r="N4309" s="5"/>
      <c r="O4309" s="5"/>
      <c r="P4309" s="5"/>
      <c r="Q4309" s="5"/>
      <c r="R4309" s="5"/>
      <c r="S4309" s="5"/>
    </row>
    <row r="4310">
      <c r="A4310" s="5"/>
      <c r="B4310" s="5" t="str">
        <f>IFERROR(__xludf.DUMMYFUNCTION("""COMPUTED_VALUE"""),"رسانه")</f>
        <v>رسانه</v>
      </c>
      <c r="C4310" s="5" t="str">
        <f>IFERROR(__xludf.DUMMYFUNCTION("""COMPUTED_VALUE"""),"حلما")</f>
        <v>حلما</v>
      </c>
      <c r="D4310" s="5" t="str">
        <f>IFERROR(__xludf.DUMMYFUNCTION("""COMPUTED_VALUE"""),"خراسان شمالی")</f>
        <v>خراسان شمالی</v>
      </c>
      <c r="E4310" s="5" t="str">
        <f>IFERROR(__xludf.DUMMYFUNCTION("""COMPUTED_VALUE"""),"گرمه")</f>
        <v>گرمه</v>
      </c>
      <c r="F4310" s="5"/>
      <c r="G4310" s="5"/>
      <c r="H4310" s="6" t="str">
        <f>IFERROR(__xludf.DUMMYFUNCTION("""COMPUTED_VALUE"""),"https://www.instagram.com/helma.art.media/")</f>
        <v>https://www.instagram.com/helma.art.media/</v>
      </c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</row>
    <row r="4311">
      <c r="A4311" s="5"/>
      <c r="B4311" s="5" t="str">
        <f>IFERROR(__xludf.DUMMYFUNCTION("""COMPUTED_VALUE"""),"هیأت")</f>
        <v>هیأت</v>
      </c>
      <c r="C4311" s="5" t="str">
        <f>IFERROR(__xludf.DUMMYFUNCTION("""COMPUTED_VALUE"""),"عزاداران شاهزاده علی اصغر")</f>
        <v>عزاداران شاهزاده علی اصغر</v>
      </c>
      <c r="D4311" s="5" t="str">
        <f>IFERROR(__xludf.DUMMYFUNCTION("""COMPUTED_VALUE"""),"خراسان شمالی")</f>
        <v>خراسان شمالی</v>
      </c>
      <c r="E4311" s="5" t="str">
        <f>IFERROR(__xludf.DUMMYFUNCTION("""COMPUTED_VALUE"""),"گرمه")</f>
        <v>گرمه</v>
      </c>
      <c r="F4311" s="5"/>
      <c r="G4311" s="5"/>
      <c r="H4311" s="6" t="str">
        <f>IFERROR(__xludf.DUMMYFUNCTION("""COMPUTED_VALUE"""),"https://www.instagram.com/teflorrazie110/")</f>
        <v>https://www.instagram.com/teflorrazie110/</v>
      </c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</row>
    <row r="4312">
      <c r="A4312" s="5"/>
      <c r="B4312" s="5" t="str">
        <f>IFERROR(__xludf.DUMMYFUNCTION("""COMPUTED_VALUE"""),"هیأت")</f>
        <v>هیأت</v>
      </c>
      <c r="C4312" s="5" t="str">
        <f>IFERROR(__xludf.DUMMYFUNCTION("""COMPUTED_VALUE"""),"فاطمیون")</f>
        <v>فاطمیون</v>
      </c>
      <c r="D4312" s="5" t="str">
        <f>IFERROR(__xludf.DUMMYFUNCTION("""COMPUTED_VALUE"""),"خراسان شمالی")</f>
        <v>خراسان شمالی</v>
      </c>
      <c r="E4312" s="5" t="str">
        <f>IFERROR(__xludf.DUMMYFUNCTION("""COMPUTED_VALUE"""),"گرمه")</f>
        <v>گرمه</v>
      </c>
      <c r="F4312" s="5" t="str">
        <f>IFERROR(__xludf.DUMMYFUNCTION("""COMPUTED_VALUE"""),"درق")</f>
        <v>درق</v>
      </c>
      <c r="G4312" s="5"/>
      <c r="H4312" s="6" t="str">
        <f>IFERROR(__xludf.DUMMYFUNCTION("""COMPUTED_VALUE"""),"https://www.instagram.com/h_fatemiyon_daragh/")</f>
        <v>https://www.instagram.com/h_fatemiyon_daragh/</v>
      </c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</row>
    <row r="4313">
      <c r="A4313" s="5"/>
      <c r="B4313" s="5" t="str">
        <f>IFERROR(__xludf.DUMMYFUNCTION("""COMPUTED_VALUE"""),"هیأت")</f>
        <v>هیأت</v>
      </c>
      <c r="C4313" s="5" t="str">
        <f>IFERROR(__xludf.DUMMYFUNCTION("""COMPUTED_VALUE"""),"الرضا")</f>
        <v>الرضا</v>
      </c>
      <c r="D4313" s="5" t="str">
        <f>IFERROR(__xludf.DUMMYFUNCTION("""COMPUTED_VALUE"""),"خراسان شمالی")</f>
        <v>خراسان شمالی</v>
      </c>
      <c r="E4313" s="5" t="str">
        <f>IFERROR(__xludf.DUMMYFUNCTION("""COMPUTED_VALUE"""),"گرمه")</f>
        <v>گرمه</v>
      </c>
      <c r="F4313" s="5"/>
      <c r="G4313" s="5"/>
      <c r="H4313" s="6" t="str">
        <f>IFERROR(__xludf.DUMMYFUNCTION("""COMPUTED_VALUE"""),"https://www.instagram.com/heyatolreza1001/")</f>
        <v>https://www.instagram.com/heyatolreza1001/</v>
      </c>
      <c r="I4313" s="6" t="str">
        <f>IFERROR(__xludf.DUMMYFUNCTION("""COMPUTED_VALUE"""),"https://t.me/heyatolreza1001")</f>
        <v>https://t.me/heyatolreza1001</v>
      </c>
      <c r="J4313" s="5"/>
      <c r="K4313" s="5"/>
      <c r="L4313" s="5"/>
      <c r="M4313" s="5"/>
      <c r="N4313" s="5"/>
      <c r="O4313" s="5"/>
      <c r="P4313" s="5"/>
      <c r="Q4313" s="5"/>
      <c r="R4313" s="5"/>
      <c r="S4313" s="5"/>
    </row>
    <row r="4314">
      <c r="A4314" s="5"/>
      <c r="B4314" s="5" t="str">
        <f>IFERROR(__xludf.DUMMYFUNCTION("""COMPUTED_VALUE"""),"هیأت")</f>
        <v>هیأت</v>
      </c>
      <c r="C4314" s="5" t="str">
        <f>IFERROR(__xludf.DUMMYFUNCTION("""COMPUTED_VALUE"""),"طریق الشهداء")</f>
        <v>طریق الشهداء</v>
      </c>
      <c r="D4314" s="5" t="str">
        <f>IFERROR(__xludf.DUMMYFUNCTION("""COMPUTED_VALUE"""),"خراسان شمالی")</f>
        <v>خراسان شمالی</v>
      </c>
      <c r="E4314" s="5" t="str">
        <f>IFERROR(__xludf.DUMMYFUNCTION("""COMPUTED_VALUE"""),"گرمه")</f>
        <v>گرمه</v>
      </c>
      <c r="F4314" s="5" t="str">
        <f>IFERROR(__xludf.DUMMYFUNCTION("""COMPUTED_VALUE"""),"درق")</f>
        <v>درق</v>
      </c>
      <c r="G4314" s="5"/>
      <c r="H4314" s="6" t="str">
        <f>IFERROR(__xludf.DUMMYFUNCTION("""COMPUTED_VALUE"""),"https://www.instagram.com/tarigh_shohada57/")</f>
        <v>https://www.instagram.com/tarigh_shohada57/</v>
      </c>
      <c r="I4314" s="6" t="str">
        <f>IFERROR(__xludf.DUMMYFUNCTION("""COMPUTED_VALUE"""),"https://t.me/tarigh_Shohada57")</f>
        <v>https://t.me/tarigh_Shohada57</v>
      </c>
      <c r="J4314" s="5"/>
      <c r="K4314" s="5"/>
      <c r="L4314" s="5"/>
      <c r="M4314" s="5"/>
      <c r="N4314" s="5"/>
      <c r="O4314" s="5"/>
      <c r="P4314" s="5"/>
      <c r="Q4314" s="5"/>
      <c r="R4314" s="5"/>
      <c r="S4314" s="5"/>
    </row>
    <row r="4315">
      <c r="A4315" s="5"/>
      <c r="B4315" s="5" t="str">
        <f>IFERROR(__xludf.DUMMYFUNCTION("""COMPUTED_VALUE"""),"هیأت")</f>
        <v>هیأت</v>
      </c>
      <c r="C4315" s="5" t="str">
        <f>IFERROR(__xludf.DUMMYFUNCTION("""COMPUTED_VALUE"""),"حسن جان")</f>
        <v>حسن جان</v>
      </c>
      <c r="D4315" s="5" t="str">
        <f>IFERROR(__xludf.DUMMYFUNCTION("""COMPUTED_VALUE"""),"خراسان شمالی")</f>
        <v>خراسان شمالی</v>
      </c>
      <c r="E4315" s="5" t="str">
        <f>IFERROR(__xludf.DUMMYFUNCTION("""COMPUTED_VALUE"""),"گرمه")</f>
        <v>گرمه</v>
      </c>
      <c r="F4315" s="5"/>
      <c r="G4315" s="5"/>
      <c r="H4315" s="6" t="str">
        <f>IFERROR(__xludf.DUMMYFUNCTION("""COMPUTED_VALUE"""),"https://www.instagram.com/hasan.jaan118/")</f>
        <v>https://www.instagram.com/hasan.jaan118/</v>
      </c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</row>
    <row r="4316">
      <c r="A4316" s="5"/>
      <c r="B4316" s="5" t="str">
        <f>IFERROR(__xludf.DUMMYFUNCTION("""COMPUTED_VALUE"""),"هیأت")</f>
        <v>هیأت</v>
      </c>
      <c r="C4316" s="5" t="str">
        <f>IFERROR(__xludf.DUMMYFUNCTION("""COMPUTED_VALUE"""),"خادمین الزهرا")</f>
        <v>خادمین الزهرا</v>
      </c>
      <c r="D4316" s="5" t="str">
        <f>IFERROR(__xludf.DUMMYFUNCTION("""COMPUTED_VALUE"""),"خراسان شمالی")</f>
        <v>خراسان شمالی</v>
      </c>
      <c r="E4316" s="5" t="str">
        <f>IFERROR(__xludf.DUMMYFUNCTION("""COMPUTED_VALUE"""),"گرمه")</f>
        <v>گرمه</v>
      </c>
      <c r="F4316" s="5"/>
      <c r="G4316" s="5"/>
      <c r="H4316" s="6" t="str">
        <f>IFERROR(__xludf.DUMMYFUNCTION("""COMPUTED_VALUE"""),"https://www.instagram.com/khademin__213/")</f>
        <v>https://www.instagram.com/khademin__213/</v>
      </c>
      <c r="I4316" s="6" t="str">
        <f>IFERROR(__xludf.DUMMYFUNCTION("""COMPUTED_VALUE"""),"https://t.me/Khademinn_213")</f>
        <v>https://t.me/Khademinn_213</v>
      </c>
      <c r="J4316" s="5"/>
      <c r="K4316" s="5"/>
      <c r="L4316" s="5"/>
      <c r="M4316" s="5"/>
      <c r="N4316" s="5"/>
      <c r="O4316" s="5"/>
      <c r="P4316" s="5"/>
      <c r="Q4316" s="5"/>
      <c r="R4316" s="5"/>
      <c r="S4316" s="5"/>
    </row>
    <row r="4317">
      <c r="A4317" s="5">
        <f>IFERROR(__xludf.DUMMYFUNCTION("""COMPUTED_VALUE"""),6941.0)</f>
        <v>6941</v>
      </c>
      <c r="B4317" s="5" t="str">
        <f>IFERROR(__xludf.DUMMYFUNCTION("""COMPUTED_VALUE"""),"هیأت")</f>
        <v>هیأت</v>
      </c>
      <c r="C4317" s="5" t="str">
        <f>IFERROR(__xludf.DUMMYFUNCTION("""COMPUTED_VALUE"""),"هیات الرضا (ع)")</f>
        <v>هیات الرضا (ع)</v>
      </c>
      <c r="D4317" s="5" t="str">
        <f>IFERROR(__xludf.DUMMYFUNCTION("""COMPUTED_VALUE"""),"خراسان شمالی")</f>
        <v>خراسان شمالی</v>
      </c>
      <c r="E4317" s="5" t="str">
        <f>IFERROR(__xludf.DUMMYFUNCTION("""COMPUTED_VALUE"""),"گرمه")</f>
        <v>گرمه</v>
      </c>
      <c r="F4317" s="5"/>
      <c r="G4317" s="5"/>
      <c r="H4317" s="6" t="str">
        <f>IFERROR(__xludf.DUMMYFUNCTION("""COMPUTED_VALUE"""),"https://www.instagram.com/heyatolreza1001/")</f>
        <v>https://www.instagram.com/heyatolreza1001/</v>
      </c>
      <c r="I4317" s="6" t="str">
        <f>IFERROR(__xludf.DUMMYFUNCTION("""COMPUTED_VALUE"""),"https://t.me/heyatolreza1001")</f>
        <v>https://t.me/heyatolreza1001</v>
      </c>
      <c r="J4317" s="5"/>
      <c r="K4317" s="5"/>
      <c r="L4317" s="5"/>
      <c r="M4317" s="5"/>
      <c r="N4317" s="5"/>
      <c r="O4317" s="5"/>
      <c r="P4317" s="5"/>
      <c r="Q4317" s="5"/>
      <c r="R4317" s="5"/>
      <c r="S4317" s="5"/>
    </row>
    <row r="4318">
      <c r="A4318" s="5">
        <f>IFERROR(__xludf.DUMMYFUNCTION("""COMPUTED_VALUE"""),7064.0)</f>
        <v>7064</v>
      </c>
      <c r="B4318" s="5" t="str">
        <f>IFERROR(__xludf.DUMMYFUNCTION("""COMPUTED_VALUE"""),"هیأت")</f>
        <v>هیأت</v>
      </c>
      <c r="C4318" s="5" t="str">
        <f>IFERROR(__xludf.DUMMYFUNCTION("""COMPUTED_VALUE"""),"جوانان مکتب العباس (ع)")</f>
        <v>جوانان مکتب العباس (ع)</v>
      </c>
      <c r="D4318" s="5" t="str">
        <f>IFERROR(__xludf.DUMMYFUNCTION("""COMPUTED_VALUE"""),"خراسان شمالی")</f>
        <v>خراسان شمالی</v>
      </c>
      <c r="E4318" s="5" t="str">
        <f>IFERROR(__xludf.DUMMYFUNCTION("""COMPUTED_VALUE"""),"گرمه")</f>
        <v>گرمه</v>
      </c>
      <c r="F4318" s="5"/>
      <c r="G4318" s="5"/>
      <c r="H4318" s="6" t="str">
        <f>IFERROR(__xludf.DUMMYFUNCTION("""COMPUTED_VALUE"""),"https://www.instagram.com/maktab_abbas_garmeh")</f>
        <v>https://www.instagram.com/maktab_abbas_garmeh</v>
      </c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</row>
    <row r="4319">
      <c r="A4319" s="5"/>
      <c r="B4319" s="5" t="str">
        <f>IFERROR(__xludf.DUMMYFUNCTION("""COMPUTED_VALUE"""),"رسانه")</f>
        <v>رسانه</v>
      </c>
      <c r="C4319" s="5" t="str">
        <f>IFERROR(__xludf.DUMMYFUNCTION("""COMPUTED_VALUE"""),"خانه هنر مصباح")</f>
        <v>خانه هنر مصباح</v>
      </c>
      <c r="D4319" s="5" t="str">
        <f>IFERROR(__xludf.DUMMYFUNCTION("""COMPUTED_VALUE"""),"خراسان شمالی")</f>
        <v>خراسان شمالی</v>
      </c>
      <c r="E4319" s="5"/>
      <c r="F4319" s="5"/>
      <c r="G4319" s="5"/>
      <c r="H4319" s="6" t="str">
        <f>IFERROR(__xludf.DUMMYFUNCTION("""COMPUTED_VALUE"""),"https://www.instagram.com/mesbaah_art/")</f>
        <v>https://www.instagram.com/mesbaah_art/</v>
      </c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</row>
    <row r="4320">
      <c r="A4320" s="5"/>
      <c r="B4320" s="5" t="str">
        <f>IFERROR(__xludf.DUMMYFUNCTION("""COMPUTED_VALUE"""),"هیأت دانش آموزی")</f>
        <v>هیأت دانش آموزی</v>
      </c>
      <c r="C4320" s="5" t="str">
        <f>IFERROR(__xludf.DUMMYFUNCTION("""COMPUTED_VALUE"""),"انصار المهدی")</f>
        <v>انصار المهدی</v>
      </c>
      <c r="D4320" s="5" t="str">
        <f>IFERROR(__xludf.DUMMYFUNCTION("""COMPUTED_VALUE"""),"خراسان شمالی")</f>
        <v>خراسان شمالی</v>
      </c>
      <c r="E4320" s="5" t="str">
        <f>IFERROR(__xludf.DUMMYFUNCTION("""COMPUTED_VALUE"""),"بجنورد")</f>
        <v>بجنورد</v>
      </c>
      <c r="F4320" s="5"/>
      <c r="G4320" s="5"/>
      <c r="H4320" s="5"/>
      <c r="I4320" s="5"/>
      <c r="J4320" s="6" t="str">
        <f>IFERROR(__xludf.DUMMYFUNCTION("""COMPUTED_VALUE"""),"https://eitaa.com/ansaralmahdi_bojnord")</f>
        <v>https://eitaa.com/ansaralmahdi_bojnord</v>
      </c>
      <c r="K4320" s="5"/>
      <c r="L4320" s="5"/>
      <c r="M4320" s="5"/>
      <c r="N4320" s="5"/>
      <c r="O4320" s="5"/>
      <c r="P4320" s="5"/>
      <c r="Q4320" s="5"/>
      <c r="R4320" s="5"/>
      <c r="S4320" s="5"/>
    </row>
    <row r="4321">
      <c r="A4321" s="5"/>
      <c r="B4321" s="5" t="str">
        <f>IFERROR(__xludf.DUMMYFUNCTION("""COMPUTED_VALUE"""),"حسینیه")</f>
        <v>حسینیه</v>
      </c>
      <c r="C4321" s="5" t="str">
        <f>IFERROR(__xludf.DUMMYFUNCTION("""COMPUTED_VALUE"""),"خالدآباد")</f>
        <v>خالدآباد</v>
      </c>
      <c r="D4321" s="5" t="str">
        <f>IFERROR(__xludf.DUMMYFUNCTION("""COMPUTED_VALUE"""),"خراسان شمالی")</f>
        <v>خراسان شمالی</v>
      </c>
      <c r="E4321" s="5" t="str">
        <f>IFERROR(__xludf.DUMMYFUNCTION("""COMPUTED_VALUE"""),"بجنورد")</f>
        <v>بجنورد</v>
      </c>
      <c r="F4321" s="5"/>
      <c r="G4321" s="5"/>
      <c r="H4321" s="5"/>
      <c r="I4321" s="5"/>
      <c r="J4321" s="6" t="str">
        <f>IFERROR(__xludf.DUMMYFUNCTION("""COMPUTED_VALUE"""),"https://eitaa.com/hosseineyehkhaledabad")</f>
        <v>https://eitaa.com/hosseineyehkhaledabad</v>
      </c>
      <c r="K4321" s="5"/>
      <c r="L4321" s="5"/>
      <c r="M4321" s="5"/>
      <c r="N4321" s="5"/>
      <c r="O4321" s="5"/>
      <c r="P4321" s="5"/>
      <c r="Q4321" s="5"/>
      <c r="R4321" s="5"/>
      <c r="S4321" s="5"/>
    </row>
    <row r="4322">
      <c r="A4322" s="5"/>
      <c r="B4322" s="5" t="str">
        <f>IFERROR(__xludf.DUMMYFUNCTION("""COMPUTED_VALUE"""),"هیأت")</f>
        <v>هیأت</v>
      </c>
      <c r="C4322" s="5" t="str">
        <f>IFERROR(__xludf.DUMMYFUNCTION("""COMPUTED_VALUE"""),"یا فاطمه الزهرا سلام الله علیها")</f>
        <v>یا فاطمه الزهرا سلام الله علیها</v>
      </c>
      <c r="D4322" s="5" t="str">
        <f>IFERROR(__xludf.DUMMYFUNCTION("""COMPUTED_VALUE"""),"خراسان شمالی")</f>
        <v>خراسان شمالی</v>
      </c>
      <c r="E4322" s="5" t="str">
        <f>IFERROR(__xludf.DUMMYFUNCTION("""COMPUTED_VALUE"""),"بجنورد")</f>
        <v>بجنورد</v>
      </c>
      <c r="F4322" s="5"/>
      <c r="G4322" s="5"/>
      <c r="H4322" s="5"/>
      <c r="I4322" s="5"/>
      <c r="J4322" s="6" t="str">
        <f>IFERROR(__xludf.DUMMYFUNCTION("""COMPUTED_VALUE"""),"https://eitaa.com/yafatematazahrainfo")</f>
        <v>https://eitaa.com/yafatematazahrainfo</v>
      </c>
      <c r="K4322" s="5"/>
      <c r="L4322" s="5"/>
      <c r="M4322" s="5"/>
      <c r="N4322" s="5"/>
      <c r="O4322" s="5"/>
      <c r="P4322" s="5"/>
      <c r="Q4322" s="5"/>
      <c r="R4322" s="5"/>
      <c r="S4322" s="5"/>
    </row>
    <row r="4323">
      <c r="A4323" s="5"/>
      <c r="B4323" s="5" t="str">
        <f>IFERROR(__xludf.DUMMYFUNCTION("""COMPUTED_VALUE"""),"هیأت دانشجویی")</f>
        <v>هیأت دانشجویی</v>
      </c>
      <c r="C4323" s="5" t="str">
        <f>IFERROR(__xludf.DUMMYFUNCTION("""COMPUTED_VALUE"""),"ابناء الحسین (ع)")</f>
        <v>ابناء الحسین (ع)</v>
      </c>
      <c r="D4323" s="5" t="str">
        <f>IFERROR(__xludf.DUMMYFUNCTION("""COMPUTED_VALUE"""),"سمنان")</f>
        <v>سمنان</v>
      </c>
      <c r="E4323" s="5" t="str">
        <f>IFERROR(__xludf.DUMMYFUNCTION("""COMPUTED_VALUE"""),"سمنان")</f>
        <v>سمنان</v>
      </c>
      <c r="F4323" s="5" t="str">
        <f>IFERROR(__xludf.DUMMYFUNCTION("""COMPUTED_VALUE"""),"دانشگاه سمنان")</f>
        <v>دانشگاه سمنان</v>
      </c>
      <c r="G4323" s="5"/>
      <c r="H4323" s="6" t="str">
        <f>IFERROR(__xludf.DUMMYFUNCTION("""COMPUTED_VALUE"""),"https://www.instagram.com/abna_heyat/")</f>
        <v>https://www.instagram.com/abna_heyat/</v>
      </c>
      <c r="I4323" s="5"/>
      <c r="J4323" s="6" t="str">
        <f>IFERROR(__xludf.DUMMYFUNCTION("""COMPUTED_VALUE"""),"https://eitaa.com/abna_heyat")</f>
        <v>https://eitaa.com/abna_heyat</v>
      </c>
      <c r="K4323" s="5"/>
      <c r="L4323" s="5"/>
      <c r="M4323" s="5"/>
      <c r="N4323" s="5"/>
      <c r="O4323" s="5"/>
      <c r="P4323" s="5"/>
      <c r="Q4323" s="5"/>
      <c r="R4323" s="5"/>
      <c r="S4323" s="5"/>
    </row>
    <row r="4324">
      <c r="A4324" s="5">
        <f>IFERROR(__xludf.DUMMYFUNCTION("""COMPUTED_VALUE"""),32234.0)</f>
        <v>32234</v>
      </c>
      <c r="B4324" s="5" t="str">
        <f>IFERROR(__xludf.DUMMYFUNCTION("""COMPUTED_VALUE"""),"هیأت")</f>
        <v>هیأت</v>
      </c>
      <c r="C4324" s="5" t="str">
        <f>IFERROR(__xludf.DUMMYFUNCTION("""COMPUTED_VALUE"""),"ابناالحسین")</f>
        <v>ابناالحسین</v>
      </c>
      <c r="D4324" s="5" t="str">
        <f>IFERROR(__xludf.DUMMYFUNCTION("""COMPUTED_VALUE"""),"سمنان")</f>
        <v>سمنان</v>
      </c>
      <c r="E4324" s="5" t="str">
        <f>IFERROR(__xludf.DUMMYFUNCTION("""COMPUTED_VALUE"""),"سمنان")</f>
        <v>سمنان</v>
      </c>
      <c r="F4324" s="5"/>
      <c r="G4324" s="5"/>
      <c r="H4324" s="5"/>
      <c r="I4324" s="5"/>
      <c r="J4324" s="6" t="str">
        <f>IFERROR(__xludf.DUMMYFUNCTION("""COMPUTED_VALUE"""),"https://eitaa.com/abna_heyat")</f>
        <v>https://eitaa.com/abna_heyat</v>
      </c>
      <c r="K4324" s="5"/>
      <c r="L4324" s="5"/>
      <c r="M4324" s="5"/>
      <c r="N4324" s="5"/>
      <c r="O4324" s="5"/>
      <c r="P4324" s="5"/>
      <c r="Q4324" s="5"/>
      <c r="R4324" s="5"/>
      <c r="S4324" s="5"/>
    </row>
    <row r="4325">
      <c r="A4325" s="5"/>
      <c r="B4325" s="5"/>
      <c r="C4325" s="5" t="str">
        <f>IFERROR(__xludf.DUMMYFUNCTION("""COMPUTED_VALUE"""),"احرار الحسن(ع)")</f>
        <v>احرار الحسن(ع)</v>
      </c>
      <c r="D4325" s="5" t="str">
        <f>IFERROR(__xludf.DUMMYFUNCTION("""COMPUTED_VALUE"""),"سمنان")</f>
        <v>سمنان</v>
      </c>
      <c r="E4325" s="5" t="str">
        <f>IFERROR(__xludf.DUMMYFUNCTION("""COMPUTED_VALUE"""),"مهدیشهر")</f>
        <v>مهدیشهر</v>
      </c>
      <c r="F4325" s="5"/>
      <c r="G4325" s="5"/>
      <c r="H4325" s="6" t="str">
        <f>IFERROR(__xludf.DUMMYFUNCTION("""COMPUTED_VALUE"""),"https://www.instagram.com/ahrarolhoseinn/")</f>
        <v>https://www.instagram.com/ahrarolhoseinn/</v>
      </c>
      <c r="I4325" s="6" t="str">
        <f>IFERROR(__xludf.DUMMYFUNCTION("""COMPUTED_VALUE"""),"https://t.me/ahrarolhosseinn/")</f>
        <v>https://t.me/ahrarolhosseinn/</v>
      </c>
      <c r="J4325" s="6" t="str">
        <f>IFERROR(__xludf.DUMMYFUNCTION("""COMPUTED_VALUE"""),"https://eitaa.com/ahrarolhosseinn")</f>
        <v>https://eitaa.com/ahrarolhosseinn</v>
      </c>
      <c r="K4325" s="5"/>
      <c r="L4325" s="5"/>
      <c r="M4325" s="5"/>
      <c r="N4325" s="5"/>
      <c r="O4325" s="5"/>
      <c r="P4325" s="5"/>
      <c r="Q4325" s="5"/>
      <c r="R4325" s="5"/>
      <c r="S4325" s="5"/>
    </row>
    <row r="4326">
      <c r="A4326" s="5">
        <f>IFERROR(__xludf.DUMMYFUNCTION("""COMPUTED_VALUE"""),21461.0)</f>
        <v>21461</v>
      </c>
      <c r="B4326" s="5"/>
      <c r="C4326" s="5" t="str">
        <f>IFERROR(__xludf.DUMMYFUNCTION("""COMPUTED_VALUE"""),"الزهرا (س)")</f>
        <v>الزهرا (س)</v>
      </c>
      <c r="D4326" s="5" t="str">
        <f>IFERROR(__xludf.DUMMYFUNCTION("""COMPUTED_VALUE"""),"سمنان")</f>
        <v>سمنان</v>
      </c>
      <c r="E4326" s="5" t="str">
        <f>IFERROR(__xludf.DUMMYFUNCTION("""COMPUTED_VALUE"""),"شاهرود")</f>
        <v>شاهرود</v>
      </c>
      <c r="F4326" s="5"/>
      <c r="G4326" s="5"/>
      <c r="H4326" s="5"/>
      <c r="I4326" s="5"/>
      <c r="J4326" s="6" t="str">
        <f>IFERROR(__xludf.DUMMYFUNCTION("""COMPUTED_VALUE"""),"https://eitaa.com/alzahrashahrood")</f>
        <v>https://eitaa.com/alzahrashahrood</v>
      </c>
      <c r="K4326" s="5"/>
      <c r="L4326" s="5"/>
      <c r="M4326" s="5"/>
      <c r="N4326" s="5"/>
      <c r="O4326" s="5"/>
      <c r="P4326" s="5"/>
      <c r="Q4326" s="5"/>
      <c r="R4326" s="5"/>
      <c r="S4326" s="5"/>
    </row>
    <row r="4327">
      <c r="A4327" s="5"/>
      <c r="B4327" s="5"/>
      <c r="C4327" s="5" t="str">
        <f>IFERROR(__xludf.DUMMYFUNCTION("""COMPUTED_VALUE"""),"عاشقان مهدی")</f>
        <v>عاشقان مهدی</v>
      </c>
      <c r="D4327" s="5" t="str">
        <f>IFERROR(__xludf.DUMMYFUNCTION("""COMPUTED_VALUE"""),"سمنان")</f>
        <v>سمنان</v>
      </c>
      <c r="E4327" s="5" t="str">
        <f>IFERROR(__xludf.DUMMYFUNCTION("""COMPUTED_VALUE"""),"شاهرود")</f>
        <v>شاهرود</v>
      </c>
      <c r="F4327" s="5"/>
      <c r="G4327" s="5"/>
      <c r="H4327" s="6" t="str">
        <f>IFERROR(__xludf.DUMMYFUNCTION("""COMPUTED_VALUE"""),"https://www.instagram.com/asheghanmahdi_ir/")</f>
        <v>https://www.instagram.com/asheghanmahdi_ir/</v>
      </c>
      <c r="I4327" s="5"/>
      <c r="J4327" s="6" t="str">
        <f>IFERROR(__xludf.DUMMYFUNCTION("""COMPUTED_VALUE"""),"https://eitaa.com/asheghanmahdi_ir")</f>
        <v>https://eitaa.com/asheghanmahdi_ir</v>
      </c>
      <c r="K4327" s="5"/>
      <c r="L4327" s="5"/>
      <c r="M4327" s="5"/>
      <c r="N4327" s="5"/>
      <c r="O4327" s="5"/>
      <c r="P4327" s="5"/>
      <c r="Q4327" s="5"/>
      <c r="R4327" s="5"/>
      <c r="S4327" s="5"/>
    </row>
    <row r="4328">
      <c r="A4328" s="5">
        <f>IFERROR(__xludf.DUMMYFUNCTION("""COMPUTED_VALUE"""),30415.0)</f>
        <v>30415</v>
      </c>
      <c r="B4328" s="5"/>
      <c r="C4328" s="5" t="str">
        <f>IFERROR(__xludf.DUMMYFUNCTION("""COMPUTED_VALUE"""),"عاشقان ثارالله (ع)")</f>
        <v>عاشقان ثارالله (ع)</v>
      </c>
      <c r="D4328" s="5" t="str">
        <f>IFERROR(__xludf.DUMMYFUNCTION("""COMPUTED_VALUE"""),"سمنان")</f>
        <v>سمنان</v>
      </c>
      <c r="E4328" s="5" t="str">
        <f>IFERROR(__xludf.DUMMYFUNCTION("""COMPUTED_VALUE"""),"سمنان")</f>
        <v>سمنان</v>
      </c>
      <c r="F4328" s="5"/>
      <c r="G4328" s="5"/>
      <c r="H4328" s="5"/>
      <c r="I4328" s="5"/>
      <c r="J4328" s="6" t="str">
        <f>IFERROR(__xludf.DUMMYFUNCTION("""COMPUTED_VALUE"""),"https://eitaa.com/asheghansarallah1")</f>
        <v>https://eitaa.com/asheghansarallah1</v>
      </c>
      <c r="K4328" s="5"/>
      <c r="L4328" s="5"/>
      <c r="M4328" s="5"/>
      <c r="N4328" s="5"/>
      <c r="O4328" s="5"/>
      <c r="P4328" s="5"/>
      <c r="Q4328" s="5"/>
      <c r="R4328" s="5"/>
      <c r="S4328" s="5"/>
    </row>
    <row r="4329">
      <c r="A4329" s="5">
        <f>IFERROR(__xludf.DUMMYFUNCTION("""COMPUTED_VALUE"""),18145.0)</f>
        <v>18145</v>
      </c>
      <c r="B4329" s="5"/>
      <c r="C4329" s="5" t="str">
        <f>IFERROR(__xludf.DUMMYFUNCTION("""COMPUTED_VALUE"""),"بیت الزهرا (س)")</f>
        <v>بیت الزهرا (س)</v>
      </c>
      <c r="D4329" s="5" t="str">
        <f>IFERROR(__xludf.DUMMYFUNCTION("""COMPUTED_VALUE"""),"سمنان")</f>
        <v>سمنان</v>
      </c>
      <c r="E4329" s="5" t="str">
        <f>IFERROR(__xludf.DUMMYFUNCTION("""COMPUTED_VALUE"""),"کهن اباد")</f>
        <v>کهن اباد</v>
      </c>
      <c r="F4329" s="5"/>
      <c r="G4329" s="5"/>
      <c r="H4329" s="5"/>
      <c r="I4329" s="5"/>
      <c r="J4329" s="6" t="str">
        <f>IFERROR(__xludf.DUMMYFUNCTION("""COMPUTED_VALUE"""),"https://eitaa.com/beitolzahra_kohanabad")</f>
        <v>https://eitaa.com/beitolzahra_kohanabad</v>
      </c>
      <c r="K4329" s="5"/>
      <c r="L4329" s="5"/>
      <c r="M4329" s="5"/>
      <c r="N4329" s="5"/>
      <c r="O4329" s="5"/>
      <c r="P4329" s="5"/>
      <c r="Q4329" s="5"/>
      <c r="R4329" s="5"/>
      <c r="S4329" s="5"/>
    </row>
    <row r="4330">
      <c r="A4330" s="5">
        <f>IFERROR(__xludf.DUMMYFUNCTION("""COMPUTED_VALUE"""),18135.0)</f>
        <v>18135</v>
      </c>
      <c r="B4330" s="5"/>
      <c r="C4330" s="5" t="str">
        <f>IFERROR(__xludf.DUMMYFUNCTION("""COMPUTED_VALUE"""),"محبان اهل بیت - ساختمان بیت الزهرا (س)")</f>
        <v>محبان اهل بیت - ساختمان بیت الزهرا (س)</v>
      </c>
      <c r="D4330" s="5" t="str">
        <f>IFERROR(__xludf.DUMMYFUNCTION("""COMPUTED_VALUE"""),"سمنان")</f>
        <v>سمنان</v>
      </c>
      <c r="E4330" s="5" t="str">
        <f>IFERROR(__xludf.DUMMYFUNCTION("""COMPUTED_VALUE"""),"مهدی شهر")</f>
        <v>مهدی شهر</v>
      </c>
      <c r="F4330" s="5"/>
      <c r="G4330" s="5"/>
      <c r="H4330" s="5"/>
      <c r="I4330" s="5"/>
      <c r="J4330" s="6" t="str">
        <f>IFERROR(__xludf.DUMMYFUNCTION("""COMPUTED_VALUE"""),"https://eitaa.com/beytozzahra_mahdishahr")</f>
        <v>https://eitaa.com/beytozzahra_mahdishahr</v>
      </c>
      <c r="K4330" s="5"/>
      <c r="L4330" s="5"/>
      <c r="M4330" s="5"/>
      <c r="N4330" s="5"/>
      <c r="O4330" s="5"/>
      <c r="P4330" s="5"/>
      <c r="Q4330" s="5"/>
      <c r="R4330" s="5"/>
      <c r="S4330" s="5"/>
    </row>
    <row r="4331">
      <c r="A4331" s="5">
        <f>IFERROR(__xludf.DUMMYFUNCTION("""COMPUTED_VALUE"""),32852.0)</f>
        <v>32852</v>
      </c>
      <c r="B4331" s="5" t="str">
        <f>IFERROR(__xludf.DUMMYFUNCTION("""COMPUTED_VALUE"""),"هیأت")</f>
        <v>هیأت</v>
      </c>
      <c r="C4331" s="5" t="str">
        <f>IFERROR(__xludf.DUMMYFUNCTION("""COMPUTED_VALUE"""),"امام حسن مجتبی (ع)")</f>
        <v>امام حسن مجتبی (ع)</v>
      </c>
      <c r="D4331" s="5" t="str">
        <f>IFERROR(__xludf.DUMMYFUNCTION("""COMPUTED_VALUE"""),"سمنان")</f>
        <v>سمنان</v>
      </c>
      <c r="E4331" s="5" t="str">
        <f>IFERROR(__xludf.DUMMYFUNCTION("""COMPUTED_VALUE"""),"سرخه")</f>
        <v>سرخه</v>
      </c>
      <c r="F4331" s="5"/>
      <c r="G4331" s="5"/>
      <c r="H4331" s="5"/>
      <c r="I4331" s="5"/>
      <c r="J4331" s="6" t="str">
        <f>IFERROR(__xludf.DUMMYFUNCTION("""COMPUTED_VALUE"""),"https://eitaa.com/Ehasanir")</f>
        <v>https://eitaa.com/Ehasanir</v>
      </c>
      <c r="K4331" s="5"/>
      <c r="L4331" s="5"/>
      <c r="M4331" s="5"/>
      <c r="N4331" s="5"/>
      <c r="O4331" s="5"/>
      <c r="P4331" s="5"/>
      <c r="Q4331" s="5"/>
      <c r="R4331" s="5"/>
      <c r="S4331" s="5"/>
    </row>
    <row r="4332">
      <c r="A4332" s="5"/>
      <c r="B4332" s="5"/>
      <c r="C4332" s="5" t="str">
        <f>IFERROR(__xludf.DUMMYFUNCTION("""COMPUTED_VALUE"""),"فدائیان شهید علقمه")</f>
        <v>فدائیان شهید علقمه</v>
      </c>
      <c r="D4332" s="5" t="str">
        <f>IFERROR(__xludf.DUMMYFUNCTION("""COMPUTED_VALUE"""),"سمنان")</f>
        <v>سمنان</v>
      </c>
      <c r="E4332" s="5" t="str">
        <f>IFERROR(__xludf.DUMMYFUNCTION("""COMPUTED_VALUE"""),"سمنان")</f>
        <v>سمنان</v>
      </c>
      <c r="F4332" s="5"/>
      <c r="G4332" s="5"/>
      <c r="H4332" s="6" t="str">
        <f>IFERROR(__xludf.DUMMYFUNCTION("""COMPUTED_VALUE"""),"https://www.instagram.com/fadaeian_shahid_alghame/")</f>
        <v>https://www.instagram.com/fadaeian_shahid_alghame/</v>
      </c>
      <c r="I4332" s="5"/>
      <c r="J4332" s="6" t="str">
        <f>IFERROR(__xludf.DUMMYFUNCTION("""COMPUTED_VALUE"""),"https://eitaa.com/fadaeian_shahid_alghame")</f>
        <v>https://eitaa.com/fadaeian_shahid_alghame</v>
      </c>
      <c r="K4332" s="5"/>
      <c r="L4332" s="5"/>
      <c r="M4332" s="5"/>
      <c r="N4332" s="5"/>
      <c r="O4332" s="5"/>
      <c r="P4332" s="5"/>
      <c r="Q4332" s="5"/>
      <c r="R4332" s="5"/>
      <c r="S4332" s="5"/>
    </row>
    <row r="4333">
      <c r="A4333" s="5">
        <f>IFERROR(__xludf.DUMMYFUNCTION("""COMPUTED_VALUE"""),19892.0)</f>
        <v>19892</v>
      </c>
      <c r="B4333" s="5"/>
      <c r="C4333" s="5" t="str">
        <f>IFERROR(__xludf.DUMMYFUNCTION("""COMPUTED_VALUE"""),"فاطمیون")</f>
        <v>فاطمیون</v>
      </c>
      <c r="D4333" s="5" t="str">
        <f>IFERROR(__xludf.DUMMYFUNCTION("""COMPUTED_VALUE"""),"سمنان")</f>
        <v>سمنان</v>
      </c>
      <c r="E4333" s="5" t="str">
        <f>IFERROR(__xludf.DUMMYFUNCTION("""COMPUTED_VALUE"""),"سمنان")</f>
        <v>سمنان</v>
      </c>
      <c r="F4333" s="5"/>
      <c r="G4333" s="5"/>
      <c r="H4333" s="5"/>
      <c r="I4333" s="5"/>
      <c r="J4333" s="6" t="str">
        <f>IFERROR(__xludf.DUMMYFUNCTION("""COMPUTED_VALUE"""),"https://eitaa.com/fatemiunsemnan")</f>
        <v>https://eitaa.com/fatemiunsemnan</v>
      </c>
      <c r="K4333" s="5"/>
      <c r="L4333" s="5"/>
      <c r="M4333" s="5"/>
      <c r="N4333" s="5"/>
      <c r="O4333" s="5"/>
      <c r="P4333" s="5"/>
      <c r="Q4333" s="5"/>
      <c r="R4333" s="5"/>
      <c r="S4333" s="5"/>
    </row>
    <row r="4334">
      <c r="A4334" s="5">
        <f>IFERROR(__xludf.DUMMYFUNCTION("""COMPUTED_VALUE"""),31628.0)</f>
        <v>31628</v>
      </c>
      <c r="B4334" s="5" t="str">
        <f>IFERROR(__xludf.DUMMYFUNCTION("""COMPUTED_VALUE"""),"هیأت")</f>
        <v>هیأت</v>
      </c>
      <c r="C4334" s="5" t="str">
        <f>IFERROR(__xludf.DUMMYFUNCTION("""COMPUTED_VALUE"""),"فاطمیون دیزج")</f>
        <v>فاطمیون دیزج</v>
      </c>
      <c r="D4334" s="5" t="str">
        <f>IFERROR(__xludf.DUMMYFUNCTION("""COMPUTED_VALUE"""),"سمنان")</f>
        <v>سمنان</v>
      </c>
      <c r="E4334" s="5" t="str">
        <f>IFERROR(__xludf.DUMMYFUNCTION("""COMPUTED_VALUE"""),"شاهرود")</f>
        <v>شاهرود</v>
      </c>
      <c r="F4334" s="5"/>
      <c r="G4334" s="5"/>
      <c r="H4334" s="6" t="str">
        <f>IFERROR(__xludf.DUMMYFUNCTION("""COMPUTED_VALUE"""),"https://www.instagram.com/fatemiyondizej")</f>
        <v>https://www.instagram.com/fatemiyondizej</v>
      </c>
      <c r="I4334" s="5"/>
      <c r="J4334" s="6" t="str">
        <f>IFERROR(__xludf.DUMMYFUNCTION("""COMPUTED_VALUE"""),"https://eitaa.com/fatemiyondizej")</f>
        <v>https://eitaa.com/fatemiyondizej</v>
      </c>
      <c r="K4334" s="5"/>
      <c r="L4334" s="5"/>
      <c r="M4334" s="5"/>
      <c r="N4334" s="5"/>
      <c r="O4334" s="5"/>
      <c r="P4334" s="5"/>
      <c r="Q4334" s="5"/>
      <c r="R4334" s="5"/>
      <c r="S4334" s="5"/>
    </row>
    <row r="4335">
      <c r="A4335" s="5"/>
      <c r="B4335" s="5"/>
      <c r="C4335" s="5" t="str">
        <f>IFERROR(__xludf.DUMMYFUNCTION("""COMPUTED_VALUE"""),"الرضا")</f>
        <v>الرضا</v>
      </c>
      <c r="D4335" s="5" t="str">
        <f>IFERROR(__xludf.DUMMYFUNCTION("""COMPUTED_VALUE"""),"سمنان")</f>
        <v>سمنان</v>
      </c>
      <c r="E4335" s="5" t="str">
        <f>IFERROR(__xludf.DUMMYFUNCTION("""COMPUTED_VALUE"""),"سمنان")</f>
        <v>سمنان</v>
      </c>
      <c r="F4335" s="5"/>
      <c r="G4335" s="5">
        <f>IFERROR(__xludf.DUMMYFUNCTION("""COMPUTED_VALUE"""),1.0)</f>
        <v>1</v>
      </c>
      <c r="H4335" s="6" t="str">
        <f>IFERROR(__xludf.DUMMYFUNCTION("""COMPUTED_VALUE"""),"https://www.instagram.com/heiatorreza_sem/")</f>
        <v>https://www.instagram.com/heiatorreza_sem/</v>
      </c>
      <c r="I4335" s="5"/>
      <c r="J4335" s="6" t="str">
        <f>IFERROR(__xludf.DUMMYFUNCTION("""COMPUTED_VALUE"""),"https://eitaa.com/heiatorreza_sem")</f>
        <v>https://eitaa.com/heiatorreza_sem</v>
      </c>
      <c r="K4335" s="5"/>
      <c r="L4335" s="5"/>
      <c r="M4335" s="5"/>
      <c r="N4335" s="5"/>
      <c r="O4335" s="5"/>
      <c r="P4335" s="5"/>
      <c r="Q4335" s="5"/>
      <c r="R4335" s="5"/>
      <c r="S4335" s="5"/>
    </row>
    <row r="4336">
      <c r="A4336" s="5"/>
      <c r="B4336" s="5"/>
      <c r="C4336" s="5" t="str">
        <f>IFERROR(__xludf.DUMMYFUNCTION("""COMPUTED_VALUE"""),"علی اکبر")</f>
        <v>علی اکبر</v>
      </c>
      <c r="D4336" s="5" t="str">
        <f>IFERROR(__xludf.DUMMYFUNCTION("""COMPUTED_VALUE"""),"سمنان")</f>
        <v>سمنان</v>
      </c>
      <c r="E4336" s="5" t="str">
        <f>IFERROR(__xludf.DUMMYFUNCTION("""COMPUTED_VALUE"""),"سمنان")</f>
        <v>سمنان</v>
      </c>
      <c r="F4336" s="5"/>
      <c r="G4336" s="5"/>
      <c r="H4336" s="6" t="str">
        <f>IFERROR(__xludf.DUMMYFUNCTION("""COMPUTED_VALUE"""),"https://www.instagram.com/heyat.hazrat_aliakbar/")</f>
        <v>https://www.instagram.com/heyat.hazrat_aliakbar/</v>
      </c>
      <c r="I4336" s="5"/>
      <c r="J4336" s="6" t="str">
        <f>IFERROR(__xludf.DUMMYFUNCTION("""COMPUTED_VALUE"""),"https://eitaa.com/heyataliakbarsemnan")</f>
        <v>https://eitaa.com/heyataliakbarsemnan</v>
      </c>
      <c r="K4336" s="5"/>
      <c r="L4336" s="5"/>
      <c r="M4336" s="5"/>
      <c r="N4336" s="5"/>
      <c r="O4336" s="5"/>
      <c r="P4336" s="5"/>
      <c r="Q4336" s="5"/>
      <c r="R4336" s="5"/>
      <c r="S4336" s="5"/>
    </row>
    <row r="4337">
      <c r="A4337" s="5">
        <f>IFERROR(__xludf.DUMMYFUNCTION("""COMPUTED_VALUE"""),32657.0)</f>
        <v>32657</v>
      </c>
      <c r="B4337" s="5" t="str">
        <f>IFERROR(__xludf.DUMMYFUNCTION("""COMPUTED_VALUE"""),"هیأت")</f>
        <v>هیأت</v>
      </c>
      <c r="C4337" s="5" t="str">
        <f>IFERROR(__xludf.DUMMYFUNCTION("""COMPUTED_VALUE"""),"حسینیه کودک هیات الشهدا")</f>
        <v>حسینیه کودک هیات الشهدا</v>
      </c>
      <c r="D4337" s="5" t="str">
        <f>IFERROR(__xludf.DUMMYFUNCTION("""COMPUTED_VALUE"""),"سمنان")</f>
        <v>سمنان</v>
      </c>
      <c r="E4337" s="5" t="str">
        <f>IFERROR(__xludf.DUMMYFUNCTION("""COMPUTED_VALUE"""),"شاهرود")</f>
        <v>شاهرود</v>
      </c>
      <c r="F4337" s="5"/>
      <c r="G4337" s="5"/>
      <c r="H4337" s="5"/>
      <c r="I4337" s="5"/>
      <c r="J4337" s="6" t="str">
        <f>IFERROR(__xludf.DUMMYFUNCTION("""COMPUTED_VALUE"""),"https://eitaa.com/heyatshohadashahrood")</f>
        <v>https://eitaa.com/heyatshohadashahrood</v>
      </c>
      <c r="K4337" s="5"/>
      <c r="L4337" s="5"/>
      <c r="M4337" s="5"/>
      <c r="N4337" s="5"/>
      <c r="O4337" s="5"/>
      <c r="P4337" s="5"/>
      <c r="Q4337" s="5"/>
      <c r="R4337" s="5"/>
      <c r="S4337" s="5"/>
    </row>
    <row r="4338">
      <c r="A4338" s="5">
        <f>IFERROR(__xludf.DUMMYFUNCTION("""COMPUTED_VALUE"""),21459.0)</f>
        <v>21459</v>
      </c>
      <c r="B4338" s="5"/>
      <c r="C4338" s="5" t="str">
        <f>IFERROR(__xludf.DUMMYFUNCTION("""COMPUTED_VALUE"""),"فاطمیه")</f>
        <v>فاطمیه</v>
      </c>
      <c r="D4338" s="5" t="str">
        <f>IFERROR(__xludf.DUMMYFUNCTION("""COMPUTED_VALUE"""),"سمنان")</f>
        <v>سمنان</v>
      </c>
      <c r="E4338" s="5" t="str">
        <f>IFERROR(__xludf.DUMMYFUNCTION("""COMPUTED_VALUE"""),"ایوانکی")</f>
        <v>ایوانکی</v>
      </c>
      <c r="F4338" s="5"/>
      <c r="G4338" s="5"/>
      <c r="H4338" s="5"/>
      <c r="I4338" s="5"/>
      <c r="J4338" s="6" t="str">
        <f>IFERROR(__xludf.DUMMYFUNCTION("""COMPUTED_VALUE"""),"https://eitaa.com/hfatemieh_eyvaneky")</f>
        <v>https://eitaa.com/hfatemieh_eyvaneky</v>
      </c>
      <c r="K4338" s="5"/>
      <c r="L4338" s="5"/>
      <c r="M4338" s="5"/>
      <c r="N4338" s="5"/>
      <c r="O4338" s="5"/>
      <c r="P4338" s="5"/>
      <c r="Q4338" s="5"/>
      <c r="R4338" s="5"/>
      <c r="S4338" s="5"/>
    </row>
    <row r="4339">
      <c r="A4339" s="5"/>
      <c r="B4339" s="5"/>
      <c r="C4339" s="5" t="str">
        <f>IFERROR(__xludf.DUMMYFUNCTION("""COMPUTED_VALUE"""),"جنت الرقیه")</f>
        <v>جنت الرقیه</v>
      </c>
      <c r="D4339" s="5" t="str">
        <f>IFERROR(__xludf.DUMMYFUNCTION("""COMPUTED_VALUE"""),"سمنان")</f>
        <v>سمنان</v>
      </c>
      <c r="E4339" s="5" t="str">
        <f>IFERROR(__xludf.DUMMYFUNCTION("""COMPUTED_VALUE"""),"سمنان")</f>
        <v>سمنان</v>
      </c>
      <c r="F4339" s="5"/>
      <c r="G4339" s="5"/>
      <c r="H4339" s="6" t="str">
        <f>IFERROR(__xludf.DUMMYFUNCTION("""COMPUTED_VALUE"""),"https://www.instagram.com/janatolroghayeh_semnan/")</f>
        <v>https://www.instagram.com/janatolroghayeh_semnan/</v>
      </c>
      <c r="I4339" s="5"/>
      <c r="J4339" s="6" t="str">
        <f>IFERROR(__xludf.DUMMYFUNCTION("""COMPUTED_VALUE"""),"https://eitaa.com/janatolroghaye")</f>
        <v>https://eitaa.com/janatolroghaye</v>
      </c>
      <c r="K4339" s="5"/>
      <c r="L4339" s="5"/>
      <c r="M4339" s="5"/>
      <c r="N4339" s="5"/>
      <c r="O4339" s="5"/>
      <c r="P4339" s="5"/>
      <c r="Q4339" s="5"/>
      <c r="R4339" s="5"/>
      <c r="S4339" s="5"/>
    </row>
    <row r="4340">
      <c r="A4340" s="5"/>
      <c r="B4340" s="5"/>
      <c r="C4340" s="5" t="str">
        <f>IFERROR(__xludf.DUMMYFUNCTION("""COMPUTED_VALUE"""),"خادم العباس")</f>
        <v>خادم العباس</v>
      </c>
      <c r="D4340" s="5" t="str">
        <f>IFERROR(__xludf.DUMMYFUNCTION("""COMPUTED_VALUE"""),"سمنان")</f>
        <v>سمنان</v>
      </c>
      <c r="E4340" s="5" t="str">
        <f>IFERROR(__xludf.DUMMYFUNCTION("""COMPUTED_VALUE"""),"مهدیشهر")</f>
        <v>مهدیشهر</v>
      </c>
      <c r="F4340" s="5"/>
      <c r="G4340" s="5"/>
      <c r="H4340" s="6" t="str">
        <f>IFERROR(__xludf.DUMMYFUNCTION("""COMPUTED_VALUE"""),"https://www.instagram.com/h_khademolabbas/")</f>
        <v>https://www.instagram.com/h_khademolabbas/</v>
      </c>
      <c r="I4340" s="6" t="str">
        <f>IFERROR(__xludf.DUMMYFUNCTION("""COMPUTED_VALUE"""),"https://t.me/com_khademinabbas")</f>
        <v>https://t.me/com_khademinabbas</v>
      </c>
      <c r="J4340" s="6" t="str">
        <f>IFERROR(__xludf.DUMMYFUNCTION("""COMPUTED_VALUE"""),"https://eitaa.com/khademinabbas")</f>
        <v>https://eitaa.com/khademinabbas</v>
      </c>
      <c r="K4340" s="5"/>
      <c r="L4340" s="5"/>
      <c r="M4340" s="5"/>
      <c r="N4340" s="5"/>
      <c r="O4340" s="5"/>
      <c r="P4340" s="5"/>
      <c r="Q4340" s="5"/>
      <c r="R4340" s="5"/>
      <c r="S4340" s="5"/>
    </row>
    <row r="4341">
      <c r="A4341" s="5">
        <f>IFERROR(__xludf.DUMMYFUNCTION("""COMPUTED_VALUE"""),33180.0)</f>
        <v>33180</v>
      </c>
      <c r="B4341" s="5" t="str">
        <f>IFERROR(__xludf.DUMMYFUNCTION("""COMPUTED_VALUE"""),"هیأت")</f>
        <v>هیأت</v>
      </c>
      <c r="C4341" s="5" t="str">
        <f>IFERROR(__xludf.DUMMYFUNCTION("""COMPUTED_VALUE"""),"لواء الزینب (س)")</f>
        <v>لواء الزینب (س)</v>
      </c>
      <c r="D4341" s="5" t="str">
        <f>IFERROR(__xludf.DUMMYFUNCTION("""COMPUTED_VALUE"""),"سمنان")</f>
        <v>سمنان</v>
      </c>
      <c r="E4341" s="5" t="str">
        <f>IFERROR(__xludf.DUMMYFUNCTION("""COMPUTED_VALUE"""),"سمنان")</f>
        <v>سمنان</v>
      </c>
      <c r="F4341" s="5"/>
      <c r="G4341" s="5"/>
      <c r="H4341" s="6" t="str">
        <f>IFERROR(__xludf.DUMMYFUNCTION("""COMPUTED_VALUE"""),"https://www.instagram.com/levaozeynab_semnan")</f>
        <v>https://www.instagram.com/levaozeynab_semnan</v>
      </c>
      <c r="I4341" s="6" t="str">
        <f>IFERROR(__xludf.DUMMYFUNCTION("""COMPUTED_VALUE"""),"https://t.me/levaozeynab_semnan1387")</f>
        <v>https://t.me/levaozeynab_semnan1387</v>
      </c>
      <c r="J4341" s="6" t="str">
        <f>IFERROR(__xludf.DUMMYFUNCTION("""COMPUTED_VALUE"""),"https://eitaa.com/levaozeynab_semnan1387")</f>
        <v>https://eitaa.com/levaozeynab_semnan1387</v>
      </c>
      <c r="K4341" s="5"/>
      <c r="L4341" s="5"/>
      <c r="M4341" s="5"/>
      <c r="N4341" s="5"/>
      <c r="O4341" s="5"/>
      <c r="P4341" s="5"/>
      <c r="Q4341" s="5"/>
      <c r="R4341" s="5"/>
      <c r="S4341" s="5"/>
    </row>
    <row r="4342">
      <c r="A4342" s="5"/>
      <c r="B4342" s="5"/>
      <c r="C4342" s="5" t="str">
        <f>IFERROR(__xludf.DUMMYFUNCTION("""COMPUTED_VALUE"""),"محبان الحسین")</f>
        <v>محبان الحسین</v>
      </c>
      <c r="D4342" s="5" t="str">
        <f>IFERROR(__xludf.DUMMYFUNCTION("""COMPUTED_VALUE"""),"سمنان")</f>
        <v>سمنان</v>
      </c>
      <c r="E4342" s="5" t="str">
        <f>IFERROR(__xludf.DUMMYFUNCTION("""COMPUTED_VALUE"""),"شاهرود")</f>
        <v>شاهرود</v>
      </c>
      <c r="F4342" s="5"/>
      <c r="G4342" s="5"/>
      <c r="H4342" s="6" t="str">
        <f>IFERROR(__xludf.DUMMYFUNCTION("""COMPUTED_VALUE"""),"https://www.instagram.com/mahfel.moheban.hosein/")</f>
        <v>https://www.instagram.com/mahfel.moheban.hosein/</v>
      </c>
      <c r="I4342" s="6" t="str">
        <f>IFERROR(__xludf.DUMMYFUNCTION("""COMPUTED_VALUE"""),"https://t.me/mahfelmohebanhosein")</f>
        <v>https://t.me/mahfelmohebanhosein</v>
      </c>
      <c r="J4342" s="6" t="str">
        <f>IFERROR(__xludf.DUMMYFUNCTION("""COMPUTED_VALUE"""),"https://eitaa.com/mahfel_moheban_hosein")</f>
        <v>https://eitaa.com/mahfel_moheban_hosein</v>
      </c>
      <c r="K4342" s="5"/>
      <c r="L4342" s="5"/>
      <c r="M4342" s="5"/>
      <c r="N4342" s="5"/>
      <c r="O4342" s="5"/>
      <c r="P4342" s="5"/>
      <c r="Q4342" s="5"/>
      <c r="R4342" s="5"/>
      <c r="S4342" s="5"/>
    </row>
    <row r="4343">
      <c r="A4343" s="5">
        <f>IFERROR(__xludf.DUMMYFUNCTION("""COMPUTED_VALUE"""),23272.0)</f>
        <v>23272</v>
      </c>
      <c r="B4343" s="5"/>
      <c r="C4343" s="5" t="str">
        <f>IFERROR(__xludf.DUMMYFUNCTION("""COMPUTED_VALUE"""),"حضرت ابوالفضل(ع)")</f>
        <v>حضرت ابوالفضل(ع)</v>
      </c>
      <c r="D4343" s="5" t="str">
        <f>IFERROR(__xludf.DUMMYFUNCTION("""COMPUTED_VALUE"""),"سمنان")</f>
        <v>سمنان</v>
      </c>
      <c r="E4343" s="5" t="str">
        <f>IFERROR(__xludf.DUMMYFUNCTION("""COMPUTED_VALUE"""),"سرخه")</f>
        <v>سرخه</v>
      </c>
      <c r="F4343" s="5"/>
      <c r="G4343" s="5"/>
      <c r="H4343" s="6" t="str">
        <f>IFERROR(__xludf.DUMMYFUNCTION("""COMPUTED_VALUE"""),"https://www.instagram.com/majma_abolfazl_sorkheh")</f>
        <v>https://www.instagram.com/majma_abolfazl_sorkheh</v>
      </c>
      <c r="I4343" s="6" t="str">
        <f>IFERROR(__xludf.DUMMYFUNCTION("""COMPUTED_VALUE"""),"t.me/majma_abolfazl_sorkheh")</f>
        <v>t.me/majma_abolfazl_sorkheh</v>
      </c>
      <c r="J4343" s="6" t="str">
        <f>IFERROR(__xludf.DUMMYFUNCTION("""COMPUTED_VALUE"""),"https://eitaa.com/majma_abolfazl_sorkheh")</f>
        <v>https://eitaa.com/majma_abolfazl_sorkheh</v>
      </c>
      <c r="K4343" s="5"/>
      <c r="L4343" s="5"/>
      <c r="M4343" s="5"/>
      <c r="N4343" s="5"/>
      <c r="O4343" s="5"/>
      <c r="P4343" s="5"/>
      <c r="Q4343" s="5"/>
      <c r="R4343" s="5"/>
      <c r="S4343" s="5"/>
    </row>
    <row r="4344">
      <c r="A4344" s="5"/>
      <c r="B4344" s="5"/>
      <c r="C4344" s="5" t="str">
        <f>IFERROR(__xludf.DUMMYFUNCTION("""COMPUTED_VALUE"""),"مکتب الشهداء")</f>
        <v>مکتب الشهداء</v>
      </c>
      <c r="D4344" s="5" t="str">
        <f>IFERROR(__xludf.DUMMYFUNCTION("""COMPUTED_VALUE"""),"سمنان")</f>
        <v>سمنان</v>
      </c>
      <c r="E4344" s="5" t="str">
        <f>IFERROR(__xludf.DUMMYFUNCTION("""COMPUTED_VALUE"""),"سمنان")</f>
        <v>سمنان</v>
      </c>
      <c r="F4344" s="5"/>
      <c r="G4344" s="5"/>
      <c r="H4344" s="6" t="str">
        <f>IFERROR(__xludf.DUMMYFUNCTION("""COMPUTED_VALUE"""),"https://www.instagram.com/maktab.semnan/")</f>
        <v>https://www.instagram.com/maktab.semnan/</v>
      </c>
      <c r="I4344" s="5"/>
      <c r="J4344" s="6" t="str">
        <f>IFERROR(__xludf.DUMMYFUNCTION("""COMPUTED_VALUE"""),"https://eitaa.com/maktab_semnan")</f>
        <v>https://eitaa.com/maktab_semnan</v>
      </c>
      <c r="K4344" s="5"/>
      <c r="L4344" s="5"/>
      <c r="M4344" s="5"/>
      <c r="N4344" s="5"/>
      <c r="O4344" s="5"/>
      <c r="P4344" s="5"/>
      <c r="Q4344" s="5"/>
      <c r="R4344" s="5"/>
      <c r="S4344" s="5"/>
    </row>
    <row r="4345">
      <c r="A4345" s="5">
        <f>IFERROR(__xludf.DUMMYFUNCTION("""COMPUTED_VALUE"""),18134.0)</f>
        <v>18134</v>
      </c>
      <c r="B4345" s="5"/>
      <c r="C4345" s="5" t="str">
        <f>IFERROR(__xludf.DUMMYFUNCTION("""COMPUTED_VALUE"""),"مصباح الهدی مدینه الشهدا")</f>
        <v>مصباح الهدی مدینه الشهدا</v>
      </c>
      <c r="D4345" s="5" t="str">
        <f>IFERROR(__xludf.DUMMYFUNCTION("""COMPUTED_VALUE"""),"سمنان")</f>
        <v>سمنان</v>
      </c>
      <c r="E4345" s="5" t="str">
        <f>IFERROR(__xludf.DUMMYFUNCTION("""COMPUTED_VALUE"""),"دامغان")</f>
        <v>دامغان</v>
      </c>
      <c r="F4345" s="5"/>
      <c r="G4345" s="5"/>
      <c r="H4345" s="5"/>
      <c r="I4345" s="5"/>
      <c r="J4345" s="6" t="str">
        <f>IFERROR(__xludf.DUMMYFUNCTION("""COMPUTED_VALUE"""),"https://eitaa.com/media_mesbah_damghan")</f>
        <v>https://eitaa.com/media_mesbah_damghan</v>
      </c>
      <c r="K4345" s="5"/>
      <c r="L4345" s="5"/>
      <c r="M4345" s="5"/>
      <c r="N4345" s="5"/>
      <c r="O4345" s="5"/>
      <c r="P4345" s="5"/>
      <c r="Q4345" s="5"/>
      <c r="R4345" s="5"/>
      <c r="S4345" s="5"/>
    </row>
    <row r="4346">
      <c r="A4346" s="5">
        <f>IFERROR(__xludf.DUMMYFUNCTION("""COMPUTED_VALUE"""),21469.0)</f>
        <v>21469</v>
      </c>
      <c r="B4346" s="5"/>
      <c r="C4346" s="5" t="str">
        <f>IFERROR(__xludf.DUMMYFUNCTION("""COMPUTED_VALUE"""),"میانداران خدمت")</f>
        <v>میانداران خدمت</v>
      </c>
      <c r="D4346" s="5" t="str">
        <f>IFERROR(__xludf.DUMMYFUNCTION("""COMPUTED_VALUE"""),"سمنان")</f>
        <v>سمنان</v>
      </c>
      <c r="E4346" s="5" t="str">
        <f>IFERROR(__xludf.DUMMYFUNCTION("""COMPUTED_VALUE"""),"شاهرود")</f>
        <v>شاهرود</v>
      </c>
      <c r="F4346" s="5"/>
      <c r="G4346" s="5"/>
      <c r="H4346" s="5"/>
      <c r="I4346" s="5"/>
      <c r="J4346" s="6" t="str">
        <f>IFERROR(__xludf.DUMMYFUNCTION("""COMPUTED_VALUE"""),"https://eitaa.com/miandaranekhedmat")</f>
        <v>https://eitaa.com/miandaranekhedmat</v>
      </c>
      <c r="K4346" s="5"/>
      <c r="L4346" s="5"/>
      <c r="M4346" s="5"/>
      <c r="N4346" s="5"/>
      <c r="O4346" s="5"/>
      <c r="P4346" s="5"/>
      <c r="Q4346" s="5"/>
      <c r="R4346" s="5"/>
      <c r="S4346" s="5"/>
    </row>
    <row r="4347">
      <c r="A4347" s="5"/>
      <c r="B4347" s="5" t="str">
        <f>IFERROR(__xludf.DUMMYFUNCTION("""COMPUTED_VALUE"""),"هیأت")</f>
        <v>هیأت</v>
      </c>
      <c r="C4347" s="5" t="str">
        <f>IFERROR(__xludf.DUMMYFUNCTION("""COMPUTED_VALUE"""),"محبین فاطمه الزهرا")</f>
        <v>محبین فاطمه الزهرا</v>
      </c>
      <c r="D4347" s="5" t="str">
        <f>IFERROR(__xludf.DUMMYFUNCTION("""COMPUTED_VALUE"""),"سمنان")</f>
        <v>سمنان</v>
      </c>
      <c r="E4347" s="5" t="str">
        <f>IFERROR(__xludf.DUMMYFUNCTION("""COMPUTED_VALUE"""),"سمنان")</f>
        <v>سمنان</v>
      </c>
      <c r="F4347" s="5"/>
      <c r="G4347" s="5"/>
      <c r="H4347" s="6" t="str">
        <f>IFERROR(__xludf.DUMMYFUNCTION("""COMPUTED_VALUE"""),"https://www.instagram.com/mohebin135/")</f>
        <v>https://www.instagram.com/mohebin135/</v>
      </c>
      <c r="I4347" s="6" t="str">
        <f>IFERROR(__xludf.DUMMYFUNCTION("""COMPUTED_VALUE"""),"https://t.me/mohebiin")</f>
        <v>https://t.me/mohebiin</v>
      </c>
      <c r="J4347" s="6" t="str">
        <f>IFERROR(__xludf.DUMMYFUNCTION("""COMPUTED_VALUE"""),"https://eitaa.com/mohebiin135")</f>
        <v>https://eitaa.com/mohebiin135</v>
      </c>
      <c r="K4347" s="5"/>
      <c r="L4347" s="5"/>
      <c r="M4347" s="5"/>
      <c r="N4347" s="5" t="str">
        <f>IFERROR(__xludf.DUMMYFUNCTION("""COMPUTED_VALUE"""),"چهارشنبه ها")</f>
        <v>چهارشنبه ها</v>
      </c>
      <c r="O4347" s="5"/>
      <c r="P4347" s="5"/>
      <c r="Q4347" s="5"/>
      <c r="R4347" s="5"/>
      <c r="S4347" s="5"/>
    </row>
    <row r="4348">
      <c r="A4348" s="5">
        <f>IFERROR(__xludf.DUMMYFUNCTION("""COMPUTED_VALUE"""),30830.0)</f>
        <v>30830</v>
      </c>
      <c r="B4348" s="5" t="str">
        <f>IFERROR(__xludf.DUMMYFUNCTION("""COMPUTED_VALUE"""),"موکب")</f>
        <v>موکب</v>
      </c>
      <c r="C4348" s="5" t="str">
        <f>IFERROR(__xludf.DUMMYFUNCTION("""COMPUTED_VALUE"""),"علی بن موسی الرضا (ع)")</f>
        <v>علی بن موسی الرضا (ع)</v>
      </c>
      <c r="D4348" s="5" t="str">
        <f>IFERROR(__xludf.DUMMYFUNCTION("""COMPUTED_VALUE"""),"سمنان")</f>
        <v>سمنان</v>
      </c>
      <c r="E4348" s="5" t="str">
        <f>IFERROR(__xludf.DUMMYFUNCTION("""COMPUTED_VALUE"""),"دامغان")</f>
        <v>دامغان</v>
      </c>
      <c r="F4348" s="5"/>
      <c r="G4348" s="5"/>
      <c r="H4348" s="6" t="str">
        <f>IFERROR(__xludf.DUMMYFUNCTION("""COMPUTED_VALUE"""),"https://www.instagram.com/mokeb_damghan")</f>
        <v>https://www.instagram.com/mokeb_damghan</v>
      </c>
      <c r="I4348" s="6" t="str">
        <f>IFERROR(__xludf.DUMMYFUNCTION("""COMPUTED_VALUE"""),"https://t.me/mokeb_damghan")</f>
        <v>https://t.me/mokeb_damghan</v>
      </c>
      <c r="J4348" s="6" t="str">
        <f>IFERROR(__xludf.DUMMYFUNCTION("""COMPUTED_VALUE"""),"https://eitaa.com/mokeb_damghan")</f>
        <v>https://eitaa.com/mokeb_damghan</v>
      </c>
      <c r="K4348" s="5"/>
      <c r="L4348" s="5"/>
      <c r="M4348" s="5"/>
      <c r="N4348" s="5"/>
      <c r="O4348" s="5"/>
      <c r="P4348" s="5"/>
      <c r="Q4348" s="5"/>
      <c r="R4348" s="5"/>
      <c r="S4348" s="5"/>
    </row>
    <row r="4349">
      <c r="A4349" s="5"/>
      <c r="B4349" s="5"/>
      <c r="C4349" s="5" t="str">
        <f>IFERROR(__xludf.DUMMYFUNCTION("""COMPUTED_VALUE"""),"متوسلین موسی بن جعفر")</f>
        <v>متوسلین موسی بن جعفر</v>
      </c>
      <c r="D4349" s="5" t="str">
        <f>IFERROR(__xludf.DUMMYFUNCTION("""COMPUTED_VALUE"""),"سمنان")</f>
        <v>سمنان</v>
      </c>
      <c r="E4349" s="5" t="str">
        <f>IFERROR(__xludf.DUMMYFUNCTION("""COMPUTED_VALUE"""),"سمنان")</f>
        <v>سمنان</v>
      </c>
      <c r="F4349" s="5"/>
      <c r="G4349" s="5"/>
      <c r="H4349" s="6" t="str">
        <f>IFERROR(__xludf.DUMMYFUNCTION("""COMPUTED_VALUE"""),"https://www.instagram.com/motavaselin.mosabnejafar/")</f>
        <v>https://www.instagram.com/motavaselin.mosabnejafar/</v>
      </c>
      <c r="I4349" s="5"/>
      <c r="J4349" s="6" t="str">
        <f>IFERROR(__xludf.DUMMYFUNCTION("""COMPUTED_VALUE"""),"https://eitaa.com/motavaselinmosabengafarsemnan")</f>
        <v>https://eitaa.com/motavaselinmosabengafarsemnan</v>
      </c>
      <c r="K4349" s="5"/>
      <c r="L4349" s="5"/>
      <c r="M4349" s="5"/>
      <c r="N4349" s="5"/>
      <c r="O4349" s="5"/>
      <c r="P4349" s="5"/>
      <c r="Q4349" s="5"/>
      <c r="R4349" s="5"/>
      <c r="S4349" s="5"/>
    </row>
    <row r="4350">
      <c r="A4350" s="5">
        <f>IFERROR(__xludf.DUMMYFUNCTION("""COMPUTED_VALUE"""),30271.0)</f>
        <v>30271</v>
      </c>
      <c r="B4350" s="5" t="str">
        <f>IFERROR(__xludf.DUMMYFUNCTION("""COMPUTED_VALUE"""),"هیأت")</f>
        <v>هیأت</v>
      </c>
      <c r="C4350" s="5" t="str">
        <f>IFERROR(__xludf.DUMMYFUNCTION("""COMPUTED_VALUE"""),"کانون فرهنگی موسسه فرهنگی تربیتی نورا")</f>
        <v>کانون فرهنگی موسسه فرهنگی تربیتی نورا</v>
      </c>
      <c r="D4350" s="5" t="str">
        <f>IFERROR(__xludf.DUMMYFUNCTION("""COMPUTED_VALUE"""),"سمنان")</f>
        <v>سمنان</v>
      </c>
      <c r="E4350" s="5" t="str">
        <f>IFERROR(__xludf.DUMMYFUNCTION("""COMPUTED_VALUE"""),"شاهرود")</f>
        <v>شاهرود</v>
      </c>
      <c r="F4350" s="5"/>
      <c r="G4350" s="5"/>
      <c r="H4350" s="5"/>
      <c r="I4350" s="5"/>
      <c r="J4350" s="6" t="str">
        <f>IFERROR(__xludf.DUMMYFUNCTION("""COMPUTED_VALUE"""),"https://eitaa.com/noora_ir1")</f>
        <v>https://eitaa.com/noora_ir1</v>
      </c>
      <c r="K4350" s="5"/>
      <c r="L4350" s="5"/>
      <c r="M4350" s="5"/>
      <c r="N4350" s="5"/>
      <c r="O4350" s="5"/>
      <c r="P4350" s="5"/>
      <c r="Q4350" s="5"/>
      <c r="R4350" s="5"/>
      <c r="S4350" s="5"/>
    </row>
    <row r="4351">
      <c r="A4351" s="5"/>
      <c r="B4351" s="5"/>
      <c r="C4351" s="5" t="str">
        <f>IFERROR(__xludf.DUMMYFUNCTION("""COMPUTED_VALUE"""),"عشاق الحسین (ع)")</f>
        <v>عشاق الحسین (ع)</v>
      </c>
      <c r="D4351" s="5" t="str">
        <f>IFERROR(__xludf.DUMMYFUNCTION("""COMPUTED_VALUE"""),"سمنان")</f>
        <v>سمنان</v>
      </c>
      <c r="E4351" s="5" t="str">
        <f>IFERROR(__xludf.DUMMYFUNCTION("""COMPUTED_VALUE"""),"مهدی شهر")</f>
        <v>مهدی شهر</v>
      </c>
      <c r="F4351" s="5"/>
      <c r="G4351" s="5"/>
      <c r="H4351" s="5"/>
      <c r="I4351" s="5"/>
      <c r="J4351" s="6" t="str">
        <f>IFERROR(__xludf.DUMMYFUNCTION("""COMPUTED_VALUE"""),"https://eitaa.com/oshagh92")</f>
        <v>https://eitaa.com/oshagh92</v>
      </c>
      <c r="K4351" s="5"/>
      <c r="L4351" s="5"/>
      <c r="M4351" s="5"/>
      <c r="N4351" s="5"/>
      <c r="O4351" s="5"/>
      <c r="P4351" s="5"/>
      <c r="Q4351" s="5"/>
      <c r="R4351" s="5"/>
      <c r="S4351" s="5"/>
    </row>
    <row r="4352">
      <c r="A4352" s="5">
        <f>IFERROR(__xludf.DUMMYFUNCTION("""COMPUTED_VALUE"""),32221.0)</f>
        <v>32221</v>
      </c>
      <c r="B4352" s="5" t="str">
        <f>IFERROR(__xludf.DUMMYFUNCTION("""COMPUTED_VALUE"""),"هیأت")</f>
        <v>هیأت</v>
      </c>
      <c r="C4352" s="5" t="str">
        <f>IFERROR(__xludf.DUMMYFUNCTION("""COMPUTED_VALUE"""),"عشاق الحسین")</f>
        <v>عشاق الحسین</v>
      </c>
      <c r="D4352" s="5" t="str">
        <f>IFERROR(__xludf.DUMMYFUNCTION("""COMPUTED_VALUE"""),"سمنان")</f>
        <v>سمنان</v>
      </c>
      <c r="E4352" s="5" t="str">
        <f>IFERROR(__xludf.DUMMYFUNCTION("""COMPUTED_VALUE"""),"شاهرود")</f>
        <v>شاهرود</v>
      </c>
      <c r="F4352" s="5"/>
      <c r="G4352" s="5"/>
      <c r="H4352" s="5"/>
      <c r="I4352" s="5"/>
      <c r="J4352" s="6" t="str">
        <f>IFERROR(__xludf.DUMMYFUNCTION("""COMPUTED_VALUE"""),"https://eitaa.com/oshagholhosaingarman")</f>
        <v>https://eitaa.com/oshagholhosaingarman</v>
      </c>
      <c r="K4352" s="5"/>
      <c r="L4352" s="5"/>
      <c r="M4352" s="5"/>
      <c r="N4352" s="5"/>
      <c r="O4352" s="5"/>
      <c r="P4352" s="5"/>
      <c r="Q4352" s="5"/>
      <c r="R4352" s="5"/>
      <c r="S4352" s="5"/>
    </row>
    <row r="4353">
      <c r="A4353" s="5"/>
      <c r="B4353" s="5"/>
      <c r="C4353" s="5" t="str">
        <f>IFERROR(__xludf.DUMMYFUNCTION("""COMPUTED_VALUE"""),"رایةالعباس")</f>
        <v>رایةالعباس</v>
      </c>
      <c r="D4353" s="5" t="str">
        <f>IFERROR(__xludf.DUMMYFUNCTION("""COMPUTED_VALUE"""),"سمنان")</f>
        <v>سمنان</v>
      </c>
      <c r="E4353" s="5" t="str">
        <f>IFERROR(__xludf.DUMMYFUNCTION("""COMPUTED_VALUE"""),"سمنان")</f>
        <v>سمنان</v>
      </c>
      <c r="F4353" s="5"/>
      <c r="G4353" s="5"/>
      <c r="H4353" s="6" t="str">
        <f>IFERROR(__xludf.DUMMYFUNCTION("""COMPUTED_VALUE"""),"https://www.instagram.com/alkafiiil/")</f>
        <v>https://www.instagram.com/alkafiiil/</v>
      </c>
      <c r="I4353" s="6" t="str">
        <f>IFERROR(__xludf.DUMMYFUNCTION("""COMPUTED_VALUE"""),"https://t.me/rayatoolabas")</f>
        <v>https://t.me/rayatoolabas</v>
      </c>
      <c r="J4353" s="6" t="str">
        <f>IFERROR(__xludf.DUMMYFUNCTION("""COMPUTED_VALUE"""),"https://eitaa.com/rayatoolabas")</f>
        <v>https://eitaa.com/rayatoolabas</v>
      </c>
      <c r="K4353" s="5"/>
      <c r="L4353" s="5"/>
      <c r="M4353" s="5"/>
      <c r="N4353" s="5"/>
      <c r="O4353" s="5"/>
      <c r="P4353" s="5"/>
      <c r="Q4353" s="5"/>
      <c r="R4353" s="5"/>
      <c r="S4353" s="5"/>
    </row>
    <row r="4354">
      <c r="A4354" s="5">
        <f>IFERROR(__xludf.DUMMYFUNCTION("""COMPUTED_VALUE"""),29919.0)</f>
        <v>29919</v>
      </c>
      <c r="B4354" s="5"/>
      <c r="C4354" s="5" t="str">
        <f>IFERROR(__xludf.DUMMYFUNCTION("""COMPUTED_VALUE"""),"ریحانه الحسین(ع)")</f>
        <v>ریحانه الحسین(ع)</v>
      </c>
      <c r="D4354" s="5" t="str">
        <f>IFERROR(__xludf.DUMMYFUNCTION("""COMPUTED_VALUE"""),"سمنان")</f>
        <v>سمنان</v>
      </c>
      <c r="E4354" s="5" t="str">
        <f>IFERROR(__xludf.DUMMYFUNCTION("""COMPUTED_VALUE"""),"آرادان")</f>
        <v>آرادان</v>
      </c>
      <c r="F4354" s="5"/>
      <c r="G4354" s="5"/>
      <c r="H4354" s="6" t="str">
        <f>IFERROR(__xludf.DUMMYFUNCTION("""COMPUTED_VALUE"""),"https://www.instagram.com/reyhanatolhossein315")</f>
        <v>https://www.instagram.com/reyhanatolhossein315</v>
      </c>
      <c r="I4354" s="6" t="str">
        <f>IFERROR(__xludf.DUMMYFUNCTION("""COMPUTED_VALUE"""),"t.me/Reyhana_hosein")</f>
        <v>t.me/Reyhana_hosein</v>
      </c>
      <c r="J4354" s="6" t="str">
        <f>IFERROR(__xludf.DUMMYFUNCTION("""COMPUTED_VALUE"""),"https://eitaa.com/reyhanatolhoseinaradan")</f>
        <v>https://eitaa.com/reyhanatolhoseinaradan</v>
      </c>
      <c r="K4354" s="5"/>
      <c r="L4354" s="5"/>
      <c r="M4354" s="5"/>
      <c r="N4354" s="5"/>
      <c r="O4354" s="5"/>
      <c r="P4354" s="5"/>
      <c r="Q4354" s="5"/>
      <c r="R4354" s="5"/>
      <c r="S4354" s="5"/>
    </row>
    <row r="4355">
      <c r="A4355" s="5"/>
      <c r="B4355" s="5" t="str">
        <f>IFERROR(__xludf.DUMMYFUNCTION("""COMPUTED_VALUE"""),"هیأت")</f>
        <v>هیأت</v>
      </c>
      <c r="C4355" s="5" t="str">
        <f>IFERROR(__xludf.DUMMYFUNCTION("""COMPUTED_VALUE"""),"امامین جوادین")</f>
        <v>امامین جوادین</v>
      </c>
      <c r="D4355" s="5" t="str">
        <f>IFERROR(__xludf.DUMMYFUNCTION("""COMPUTED_VALUE"""),"سمنان")</f>
        <v>سمنان</v>
      </c>
      <c r="E4355" s="5" t="str">
        <f>IFERROR(__xludf.DUMMYFUNCTION("""COMPUTED_VALUE"""),"دامغان")</f>
        <v>دامغان</v>
      </c>
      <c r="F4355" s="5"/>
      <c r="G4355" s="5"/>
      <c r="H4355" s="6" t="str">
        <f>IFERROR(__xludf.DUMMYFUNCTION("""COMPUTED_VALUE"""),"https://www.instagram.com/javadein14/")</f>
        <v>https://www.instagram.com/javadein14/</v>
      </c>
      <c r="I4355" s="6" t="str">
        <f>IFERROR(__xludf.DUMMYFUNCTION("""COMPUTED_VALUE"""),"https://t.me/javadein14")</f>
        <v>https://t.me/javadein14</v>
      </c>
      <c r="J4355" s="6" t="str">
        <f>IFERROR(__xludf.DUMMYFUNCTION("""COMPUTED_VALUE"""),"https://eitaa.com/s/Javadein14")</f>
        <v>https://eitaa.com/s/Javadein14</v>
      </c>
      <c r="K4355" s="5"/>
      <c r="L4355" s="5"/>
      <c r="M4355" s="5"/>
      <c r="N4355" s="5"/>
      <c r="O4355" s="5"/>
      <c r="P4355" s="5"/>
      <c r="Q4355" s="5"/>
      <c r="R4355" s="5"/>
      <c r="S4355" s="5"/>
    </row>
    <row r="4356">
      <c r="A4356" s="5">
        <f>IFERROR(__xludf.DUMMYFUNCTION("""COMPUTED_VALUE"""),21471.0)</f>
        <v>21471</v>
      </c>
      <c r="B4356" s="5"/>
      <c r="C4356" s="5" t="str">
        <f>IFERROR(__xludf.DUMMYFUNCTION("""COMPUTED_VALUE"""),"رهروان شهدای گمنام")</f>
        <v>رهروان شهدای گمنام</v>
      </c>
      <c r="D4356" s="5" t="str">
        <f>IFERROR(__xludf.DUMMYFUNCTION("""COMPUTED_VALUE"""),"سمنان")</f>
        <v>سمنان</v>
      </c>
      <c r="E4356" s="5" t="str">
        <f>IFERROR(__xludf.DUMMYFUNCTION("""COMPUTED_VALUE"""),"شاهرود")</f>
        <v>شاهرود</v>
      </c>
      <c r="F4356" s="5"/>
      <c r="G4356" s="5"/>
      <c r="H4356" s="5"/>
      <c r="I4356" s="5"/>
      <c r="J4356" s="6" t="str">
        <f>IFERROR(__xludf.DUMMYFUNCTION("""COMPUTED_VALUE"""),"https://eitaa.com/shohadayegomnaam")</f>
        <v>https://eitaa.com/shohadayegomnaam</v>
      </c>
      <c r="K4356" s="5"/>
      <c r="L4356" s="5"/>
      <c r="M4356" s="5"/>
      <c r="N4356" s="5"/>
      <c r="O4356" s="5"/>
      <c r="P4356" s="5"/>
      <c r="Q4356" s="5"/>
      <c r="R4356" s="5"/>
      <c r="S4356" s="5"/>
    </row>
    <row r="4357">
      <c r="A4357" s="5">
        <f>IFERROR(__xludf.DUMMYFUNCTION("""COMPUTED_VALUE"""),214666.0)</f>
        <v>214666</v>
      </c>
      <c r="B4357" s="5"/>
      <c r="C4357" s="5" t="str">
        <f>IFERROR(__xludf.DUMMYFUNCTION("""COMPUTED_VALUE"""),"یازهرا (س)")</f>
        <v>یازهرا (س)</v>
      </c>
      <c r="D4357" s="5" t="str">
        <f>IFERROR(__xludf.DUMMYFUNCTION("""COMPUTED_VALUE"""),"سمنان")</f>
        <v>سمنان</v>
      </c>
      <c r="E4357" s="5" t="str">
        <f>IFERROR(__xludf.DUMMYFUNCTION("""COMPUTED_VALUE"""),"سمنان")</f>
        <v>سمنان</v>
      </c>
      <c r="F4357" s="5"/>
      <c r="G4357" s="5"/>
      <c r="H4357" s="5"/>
      <c r="I4357" s="5"/>
      <c r="J4357" s="6" t="str">
        <f>IFERROR(__xludf.DUMMYFUNCTION("""COMPUTED_VALUE"""),"https://eitaa.com/yazahra_semnan")</f>
        <v>https://eitaa.com/yazahra_semnan</v>
      </c>
      <c r="K4357" s="5"/>
      <c r="L4357" s="5"/>
      <c r="M4357" s="5"/>
      <c r="N4357" s="5"/>
      <c r="O4357" s="5"/>
      <c r="P4357" s="5"/>
      <c r="Q4357" s="5"/>
      <c r="R4357" s="5"/>
      <c r="S4357" s="5"/>
    </row>
    <row r="4358">
      <c r="A4358" s="5">
        <f>IFERROR(__xludf.DUMMYFUNCTION("""COMPUTED_VALUE"""),29046.0)</f>
        <v>29046</v>
      </c>
      <c r="B4358" s="5"/>
      <c r="C4358" s="5" t="str">
        <f>IFERROR(__xludf.DUMMYFUNCTION("""COMPUTED_VALUE"""),"انصار الحسین (ع)")</f>
        <v>انصار الحسین (ع)</v>
      </c>
      <c r="D4358" s="5" t="str">
        <f>IFERROR(__xludf.DUMMYFUNCTION("""COMPUTED_VALUE"""),"سمنان")</f>
        <v>سمنان</v>
      </c>
      <c r="E4358" s="5" t="str">
        <f>IFERROR(__xludf.DUMMYFUNCTION("""COMPUTED_VALUE"""),"سرخه")</f>
        <v>سرخه</v>
      </c>
      <c r="F4358" s="5"/>
      <c r="G4358" s="5"/>
      <c r="H4358" s="5"/>
      <c r="I4358" s="5"/>
      <c r="J4358" s="6" t="str">
        <f>IFERROR(__xludf.DUMMYFUNCTION("""COMPUTED_VALUE"""),"https://t.me/ansaralhossinsorkheh")</f>
        <v>https://t.me/ansaralhossinsorkheh</v>
      </c>
      <c r="K4358" s="5"/>
      <c r="L4358" s="5"/>
      <c r="M4358" s="5"/>
      <c r="N4358" s="5"/>
      <c r="O4358" s="5"/>
      <c r="P4358" s="5"/>
      <c r="Q4358" s="5"/>
      <c r="R4358" s="5"/>
      <c r="S4358" s="5"/>
    </row>
    <row r="4359">
      <c r="A4359" s="5">
        <f>IFERROR(__xludf.DUMMYFUNCTION("""COMPUTED_VALUE"""),30415.0)</f>
        <v>30415</v>
      </c>
      <c r="B4359" s="5" t="str">
        <f>IFERROR(__xludf.DUMMYFUNCTION("""COMPUTED_VALUE"""),"هیأت")</f>
        <v>هیأت</v>
      </c>
      <c r="C4359" s="5" t="str">
        <f>IFERROR(__xludf.DUMMYFUNCTION("""COMPUTED_VALUE"""),"عاشقان ثارالله (ع)")</f>
        <v>عاشقان ثارالله (ع)</v>
      </c>
      <c r="D4359" s="5" t="str">
        <f>IFERROR(__xludf.DUMMYFUNCTION("""COMPUTED_VALUE"""),"سمنان")</f>
        <v>سمنان</v>
      </c>
      <c r="E4359" s="5" t="str">
        <f>IFERROR(__xludf.DUMMYFUNCTION("""COMPUTED_VALUE"""),"سمنان")</f>
        <v>سمنان</v>
      </c>
      <c r="F4359" s="5"/>
      <c r="G4359" s="5"/>
      <c r="H4359" s="6" t="str">
        <f>IFERROR(__xludf.DUMMYFUNCTION("""COMPUTED_VALUE"""),"https://www.instagram.com/asheghansarallah/")</f>
        <v>https://www.instagram.com/asheghansarallah/</v>
      </c>
      <c r="I4359" s="5"/>
      <c r="J4359" s="6" t="str">
        <f>IFERROR(__xludf.DUMMYFUNCTION("""COMPUTED_VALUE"""),"https://www.eitaa.com/asheghansarallah1")</f>
        <v>https://www.eitaa.com/asheghansarallah1</v>
      </c>
      <c r="K4359" s="5"/>
      <c r="L4359" s="5"/>
      <c r="M4359" s="5"/>
      <c r="N4359" s="5"/>
      <c r="O4359" s="5"/>
      <c r="P4359" s="5"/>
      <c r="Q4359" s="5"/>
      <c r="R4359" s="5"/>
      <c r="S4359" s="5"/>
    </row>
    <row r="4360">
      <c r="A4360" s="5"/>
      <c r="B4360" s="5"/>
      <c r="C4360" s="5" t="str">
        <f>IFERROR(__xludf.DUMMYFUNCTION("""COMPUTED_VALUE"""),"حسینیه اعظم سمنان")</f>
        <v>حسینیه اعظم سمنان</v>
      </c>
      <c r="D4360" s="5" t="str">
        <f>IFERROR(__xludf.DUMMYFUNCTION("""COMPUTED_VALUE"""),"سمنان")</f>
        <v>سمنان</v>
      </c>
      <c r="E4360" s="5" t="str">
        <f>IFERROR(__xludf.DUMMYFUNCTION("""COMPUTED_VALUE"""),"سمنان")</f>
        <v>سمنان</v>
      </c>
      <c r="F4360" s="5"/>
      <c r="G4360" s="5"/>
      <c r="H4360" s="6" t="str">
        <f>IFERROR(__xludf.DUMMYFUNCTION("""COMPUTED_VALUE"""),"https://www.instagram.com/hoseinie_azam_semnan/")</f>
        <v>https://www.instagram.com/hoseinie_azam_semnan/</v>
      </c>
      <c r="I4360" s="6" t="str">
        <f>IFERROR(__xludf.DUMMYFUNCTION("""COMPUTED_VALUE"""),"https://t.me/Hoseyniyeh_Azam_Semnan")</f>
        <v>https://t.me/Hoseyniyeh_Azam_Semnan</v>
      </c>
      <c r="J4360" s="6" t="str">
        <f>IFERROR(__xludf.DUMMYFUNCTION("""COMPUTED_VALUE"""),"https://www.eitaa.com/hoseyniyeh_azam_semnan")</f>
        <v>https://www.eitaa.com/hoseyniyeh_azam_semnan</v>
      </c>
      <c r="K4360" s="5"/>
      <c r="L4360" s="5"/>
      <c r="M4360" s="5"/>
      <c r="N4360" s="5"/>
      <c r="O4360" s="5"/>
      <c r="P4360" s="5"/>
      <c r="Q4360" s="5"/>
      <c r="R4360" s="5"/>
      <c r="S4360" s="5"/>
    </row>
    <row r="4361">
      <c r="A4361" s="5"/>
      <c r="B4361" s="5"/>
      <c r="C4361" s="5" t="str">
        <f>IFERROR(__xludf.DUMMYFUNCTION("""COMPUTED_VALUE"""),"بیت العباس")</f>
        <v>بیت العباس</v>
      </c>
      <c r="D4361" s="5" t="str">
        <f>IFERROR(__xludf.DUMMYFUNCTION("""COMPUTED_VALUE"""),"سمنان")</f>
        <v>سمنان</v>
      </c>
      <c r="E4361" s="5" t="str">
        <f>IFERROR(__xludf.DUMMYFUNCTION("""COMPUTED_VALUE"""),"مهدیشهر")</f>
        <v>مهدیشهر</v>
      </c>
      <c r="F4361" s="5"/>
      <c r="G4361" s="5"/>
      <c r="H4361" s="6" t="str">
        <f>IFERROR(__xludf.DUMMYFUNCTION("""COMPUTED_VALUE"""),"https://www.instagram.com/_beytol_abbas_/")</f>
        <v>https://www.instagram.com/_beytol_abbas_/</v>
      </c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</row>
    <row r="4362">
      <c r="A4362" s="5"/>
      <c r="B4362" s="5"/>
      <c r="C4362" s="5" t="str">
        <f>IFERROR(__xludf.DUMMYFUNCTION("""COMPUTED_VALUE"""),"محبین اهل بیت")</f>
        <v>محبین اهل بیت</v>
      </c>
      <c r="D4362" s="5" t="str">
        <f>IFERROR(__xludf.DUMMYFUNCTION("""COMPUTED_VALUE"""),"سمنان")</f>
        <v>سمنان</v>
      </c>
      <c r="E4362" s="5" t="str">
        <f>IFERROR(__xludf.DUMMYFUNCTION("""COMPUTED_VALUE"""),"شاهرود")</f>
        <v>شاهرود</v>
      </c>
      <c r="F4362" s="5"/>
      <c r="G4362" s="5"/>
      <c r="H4362" s="6" t="str">
        <f>IFERROR(__xludf.DUMMYFUNCTION("""COMPUTED_VALUE"""),"https://www.instagram.com/ahlbayt_ir/")</f>
        <v>https://www.instagram.com/ahlbayt_ir/</v>
      </c>
      <c r="I4362" s="6" t="str">
        <f>IFERROR(__xludf.DUMMYFUNCTION("""COMPUTED_VALUE"""),"https://t.me/ahlbayt_ir")</f>
        <v>https://t.me/ahlbayt_ir</v>
      </c>
      <c r="J4362" s="5"/>
      <c r="K4362" s="5"/>
      <c r="L4362" s="5"/>
      <c r="M4362" s="5"/>
      <c r="N4362" s="5"/>
      <c r="O4362" s="5"/>
      <c r="P4362" s="5"/>
      <c r="Q4362" s="5"/>
      <c r="R4362" s="5"/>
      <c r="S4362" s="5"/>
    </row>
    <row r="4363">
      <c r="A4363" s="5">
        <f>IFERROR(__xludf.DUMMYFUNCTION("""COMPUTED_VALUE"""),23274.0)</f>
        <v>23274</v>
      </c>
      <c r="B4363" s="5"/>
      <c r="C4363" s="5" t="str">
        <f>IFERROR(__xludf.DUMMYFUNCTION("""COMPUTED_VALUE"""),"احرار الحسن(ع)")</f>
        <v>احرار الحسن(ع)</v>
      </c>
      <c r="D4363" s="5" t="str">
        <f>IFERROR(__xludf.DUMMYFUNCTION("""COMPUTED_VALUE"""),"سمنان")</f>
        <v>سمنان</v>
      </c>
      <c r="E4363" s="5" t="str">
        <f>IFERROR(__xludf.DUMMYFUNCTION("""COMPUTED_VALUE"""),"گرمسار")</f>
        <v>گرمسار</v>
      </c>
      <c r="F4363" s="5"/>
      <c r="G4363" s="5"/>
      <c r="H4363" s="6" t="str">
        <f>IFERROR(__xludf.DUMMYFUNCTION("""COMPUTED_VALUE"""),"https://www.instagram.com/ahrar_alhasan118/")</f>
        <v>https://www.instagram.com/ahrar_alhasan118/</v>
      </c>
      <c r="I4363" s="6" t="str">
        <f>IFERROR(__xludf.DUMMYFUNCTION("""COMPUTED_VALUE"""),"t.me/zarih.net")</f>
        <v>t.me/zarih.net</v>
      </c>
      <c r="J4363" s="5"/>
      <c r="K4363" s="5"/>
      <c r="L4363" s="5"/>
      <c r="M4363" s="5"/>
      <c r="N4363" s="5"/>
      <c r="O4363" s="5"/>
      <c r="P4363" s="5"/>
      <c r="Q4363" s="5"/>
      <c r="R4363" s="5"/>
      <c r="S4363" s="5"/>
    </row>
    <row r="4364">
      <c r="A4364" s="5"/>
      <c r="B4364" s="5"/>
      <c r="C4364" s="5" t="str">
        <f>IFERROR(__xludf.DUMMYFUNCTION("""COMPUTED_VALUE"""),"احرار الحسن(ع)")</f>
        <v>احرار الحسن(ع)</v>
      </c>
      <c r="D4364" s="5" t="str">
        <f>IFERROR(__xludf.DUMMYFUNCTION("""COMPUTED_VALUE"""),"سمنان")</f>
        <v>سمنان</v>
      </c>
      <c r="E4364" s="5" t="str">
        <f>IFERROR(__xludf.DUMMYFUNCTION("""COMPUTED_VALUE"""),"دامغان")</f>
        <v>دامغان</v>
      </c>
      <c r="F4364" s="5"/>
      <c r="G4364" s="5"/>
      <c r="H4364" s="6" t="str">
        <f>IFERROR(__xludf.DUMMYFUNCTION("""COMPUTED_VALUE"""),"https://www.instagram.com/ahrarhoseyndamghan/")</f>
        <v>https://www.instagram.com/ahrarhoseyndamghan/</v>
      </c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</row>
    <row r="4365">
      <c r="A4365" s="5">
        <f>IFERROR(__xludf.DUMMYFUNCTION("""COMPUTED_VALUE"""),32599.0)</f>
        <v>32599</v>
      </c>
      <c r="B4365" s="5"/>
      <c r="C4365" s="5" t="str">
        <f>IFERROR(__xludf.DUMMYFUNCTION("""COMPUTED_VALUE"""),"علمدار")</f>
        <v>علمدار</v>
      </c>
      <c r="D4365" s="5" t="str">
        <f>IFERROR(__xludf.DUMMYFUNCTION("""COMPUTED_VALUE"""),"سمنان")</f>
        <v>سمنان</v>
      </c>
      <c r="E4365" s="5" t="str">
        <f>IFERROR(__xludf.DUMMYFUNCTION("""COMPUTED_VALUE"""),"دامغان")</f>
        <v>دامغان</v>
      </c>
      <c r="F4365" s="5"/>
      <c r="G4365" s="5"/>
      <c r="H4365" s="6" t="str">
        <f>IFERROR(__xludf.DUMMYFUNCTION("""COMPUTED_VALUE"""),"https://www.instagram.com/alamdar_damghan/")</f>
        <v>https://www.instagram.com/alamdar_damghan/</v>
      </c>
      <c r="I4365" s="6" t="str">
        <f>IFERROR(__xludf.DUMMYFUNCTION("""COMPUTED_VALUE"""),"tlgrm.me/mahfeleashck133")</f>
        <v>tlgrm.me/mahfeleashck133</v>
      </c>
      <c r="J4365" s="5"/>
      <c r="K4365" s="5"/>
      <c r="L4365" s="5"/>
      <c r="M4365" s="5"/>
      <c r="N4365" s="5"/>
      <c r="O4365" s="5"/>
      <c r="P4365" s="5"/>
      <c r="Q4365" s="5"/>
      <c r="R4365" s="5"/>
      <c r="S4365" s="5"/>
    </row>
    <row r="4366">
      <c r="A4366" s="5"/>
      <c r="B4366" s="5"/>
      <c r="C4366" s="5" t="str">
        <f>IFERROR(__xludf.DUMMYFUNCTION("""COMPUTED_VALUE"""),"علمدار")</f>
        <v>علمدار</v>
      </c>
      <c r="D4366" s="5" t="str">
        <f>IFERROR(__xludf.DUMMYFUNCTION("""COMPUTED_VALUE"""),"سمنان")</f>
        <v>سمنان</v>
      </c>
      <c r="E4366" s="5" t="str">
        <f>IFERROR(__xludf.DUMMYFUNCTION("""COMPUTED_VALUE"""),"شاهرود")</f>
        <v>شاهرود</v>
      </c>
      <c r="F4366" s="5"/>
      <c r="G4366" s="5"/>
      <c r="H4366" s="6" t="str">
        <f>IFERROR(__xludf.DUMMYFUNCTION("""COMPUTED_VALUE"""),"https://www.instagram.com/alamdar_shahrood/")</f>
        <v>https://www.instagram.com/alamdar_shahrood/</v>
      </c>
      <c r="I4366" s="6" t="str">
        <f>IFERROR(__xludf.DUMMYFUNCTION("""COMPUTED_VALUE"""),"https://t.me/alamdar_shahrood")</f>
        <v>https://t.me/alamdar_shahrood</v>
      </c>
      <c r="J4366" s="5"/>
      <c r="K4366" s="5"/>
      <c r="L4366" s="5"/>
      <c r="M4366" s="5"/>
      <c r="N4366" s="5"/>
      <c r="O4366" s="5"/>
      <c r="P4366" s="5"/>
      <c r="Q4366" s="5"/>
      <c r="R4366" s="5"/>
      <c r="S4366" s="5"/>
    </row>
    <row r="4367">
      <c r="A4367" s="5"/>
      <c r="B4367" s="5"/>
      <c r="C4367" s="5" t="str">
        <f>IFERROR(__xludf.DUMMYFUNCTION("""COMPUTED_VALUE"""),"علی اصغر")</f>
        <v>علی اصغر</v>
      </c>
      <c r="D4367" s="5" t="str">
        <f>IFERROR(__xludf.DUMMYFUNCTION("""COMPUTED_VALUE"""),"سمنان")</f>
        <v>سمنان</v>
      </c>
      <c r="E4367" s="5" t="str">
        <f>IFERROR(__xludf.DUMMYFUNCTION("""COMPUTED_VALUE"""),"مهدیشهر")</f>
        <v>مهدیشهر</v>
      </c>
      <c r="F4367" s="5"/>
      <c r="G4367" s="5"/>
      <c r="H4367" s="6" t="str">
        <f>IFERROR(__xludf.DUMMYFUNCTION("""COMPUTED_VALUE"""),"https://www.instagram.com/aliasghar.1380.ir/")</f>
        <v>https://www.instagram.com/aliasghar.1380.ir/</v>
      </c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</row>
    <row r="4368">
      <c r="A4368" s="5">
        <f>IFERROR(__xludf.DUMMYFUNCTION("""COMPUTED_VALUE"""),23271.0)</f>
        <v>23271</v>
      </c>
      <c r="B4368" s="5"/>
      <c r="C4368" s="5" t="str">
        <f>IFERROR(__xludf.DUMMYFUNCTION("""COMPUTED_VALUE"""),"عمه سادات")</f>
        <v>عمه سادات</v>
      </c>
      <c r="D4368" s="5" t="str">
        <f>IFERROR(__xludf.DUMMYFUNCTION("""COMPUTED_VALUE"""),"سمنان")</f>
        <v>سمنان</v>
      </c>
      <c r="E4368" s="5" t="str">
        <f>IFERROR(__xludf.DUMMYFUNCTION("""COMPUTED_VALUE"""),"دامغان")</f>
        <v>دامغان</v>
      </c>
      <c r="F4368" s="5"/>
      <c r="G4368" s="5"/>
      <c r="H4368" s="6" t="str">
        <f>IFERROR(__xludf.DUMMYFUNCTION("""COMPUTED_VALUE"""),"https://www.instagram.com/ammeyesadatdamghan/")</f>
        <v>https://www.instagram.com/ammeyesadatdamghan/</v>
      </c>
      <c r="I4368" s="6" t="str">
        <f>IFERROR(__xludf.DUMMYFUNCTION("""COMPUTED_VALUE"""),"t.me/ammehsadat69")</f>
        <v>t.me/ammehsadat69</v>
      </c>
      <c r="J4368" s="5"/>
      <c r="K4368" s="5"/>
      <c r="L4368" s="5"/>
      <c r="M4368" s="5"/>
      <c r="N4368" s="5"/>
      <c r="O4368" s="5"/>
      <c r="P4368" s="5"/>
      <c r="Q4368" s="5"/>
      <c r="R4368" s="5"/>
      <c r="S4368" s="5"/>
    </row>
    <row r="4369">
      <c r="A4369" s="5"/>
      <c r="B4369" s="5"/>
      <c r="C4369" s="5" t="str">
        <f>IFERROR(__xludf.DUMMYFUNCTION("""COMPUTED_VALUE"""),"انصار الرضا")</f>
        <v>انصار الرضا</v>
      </c>
      <c r="D4369" s="5" t="str">
        <f>IFERROR(__xludf.DUMMYFUNCTION("""COMPUTED_VALUE"""),"سمنان")</f>
        <v>سمنان</v>
      </c>
      <c r="E4369" s="5" t="str">
        <f>IFERROR(__xludf.DUMMYFUNCTION("""COMPUTED_VALUE"""),"سمنان")</f>
        <v>سمنان</v>
      </c>
      <c r="F4369" s="5"/>
      <c r="G4369" s="5"/>
      <c r="H4369" s="6" t="str">
        <f>IFERROR(__xludf.DUMMYFUNCTION("""COMPUTED_VALUE"""),"https://www.instagram.com/ansarolreza_semnan/")</f>
        <v>https://www.instagram.com/ansarolreza_semnan/</v>
      </c>
      <c r="I4369" s="6" t="str">
        <f>IFERROR(__xludf.DUMMYFUNCTION("""COMPUTED_VALUE"""),"https://t.me/a_ro_reza")</f>
        <v>https://t.me/a_ro_reza</v>
      </c>
      <c r="J4369" s="5"/>
      <c r="K4369" s="5"/>
      <c r="L4369" s="5"/>
      <c r="M4369" s="5"/>
      <c r="N4369" s="5"/>
      <c r="O4369" s="5"/>
      <c r="P4369" s="5"/>
      <c r="Q4369" s="5"/>
      <c r="R4369" s="5"/>
      <c r="S4369" s="5"/>
    </row>
    <row r="4370">
      <c r="A4370" s="5">
        <f>IFERROR(__xludf.DUMMYFUNCTION("""COMPUTED_VALUE"""),24995.0)</f>
        <v>24995</v>
      </c>
      <c r="B4370" s="5"/>
      <c r="C4370" s="5" t="str">
        <f>IFERROR(__xludf.DUMMYFUNCTION("""COMPUTED_VALUE"""),"انصارالرضا (ع)")</f>
        <v>انصارالرضا (ع)</v>
      </c>
      <c r="D4370" s="5" t="str">
        <f>IFERROR(__xludf.DUMMYFUNCTION("""COMPUTED_VALUE"""),"سمنان")</f>
        <v>سمنان</v>
      </c>
      <c r="E4370" s="5" t="str">
        <f>IFERROR(__xludf.DUMMYFUNCTION("""COMPUTED_VALUE"""),"دامغان")</f>
        <v>دامغان</v>
      </c>
      <c r="F4370" s="5"/>
      <c r="G4370" s="5"/>
      <c r="H4370" s="6" t="str">
        <f>IFERROR(__xludf.DUMMYFUNCTION("""COMPUTED_VALUE"""),"https://www.instagram.com/ansaroreza_damghan/")</f>
        <v>https://www.instagram.com/ansaroreza_damghan/</v>
      </c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</row>
    <row r="4371">
      <c r="A4371" s="5">
        <f>IFERROR(__xludf.DUMMYFUNCTION("""COMPUTED_VALUE"""),18132.0)</f>
        <v>18132</v>
      </c>
      <c r="B4371" s="5"/>
      <c r="C4371" s="5" t="str">
        <f>IFERROR(__xludf.DUMMYFUNCTION("""COMPUTED_VALUE"""),"عاشقان حضرت ابوالفضل(ع)")</f>
        <v>عاشقان حضرت ابوالفضل(ع)</v>
      </c>
      <c r="D4371" s="5" t="str">
        <f>IFERROR(__xludf.DUMMYFUNCTION("""COMPUTED_VALUE"""),"سمنان")</f>
        <v>سمنان</v>
      </c>
      <c r="E4371" s="5" t="str">
        <f>IFERROR(__xludf.DUMMYFUNCTION("""COMPUTED_VALUE"""),"دامغان")</f>
        <v>دامغان</v>
      </c>
      <c r="F4371" s="5"/>
      <c r="G4371" s="5"/>
      <c r="H4371" s="6" t="str">
        <f>IFERROR(__xludf.DUMMYFUNCTION("""COMPUTED_VALUE"""),"https://www.instagram.com/asheghan_abolfazl_1396/")</f>
        <v>https://www.instagram.com/asheghan_abolfazl_1396/</v>
      </c>
      <c r="I4371" s="6" t="str">
        <f>IFERROR(__xludf.DUMMYFUNCTION("""COMPUTED_VALUE"""),"t.me/asheghan_abolfazl_1396")</f>
        <v>t.me/asheghan_abolfazl_1396</v>
      </c>
      <c r="J4371" s="5"/>
      <c r="K4371" s="5"/>
      <c r="L4371" s="5"/>
      <c r="M4371" s="5"/>
      <c r="N4371" s="5"/>
      <c r="O4371" s="5"/>
      <c r="P4371" s="5"/>
      <c r="Q4371" s="5"/>
      <c r="R4371" s="5"/>
      <c r="S4371" s="5"/>
    </row>
    <row r="4372">
      <c r="A4372" s="5"/>
      <c r="B4372" s="5"/>
      <c r="C4372" s="5" t="str">
        <f>IFERROR(__xludf.DUMMYFUNCTION("""COMPUTED_VALUE"""),"جوانان عاشورایی")</f>
        <v>جوانان عاشورایی</v>
      </c>
      <c r="D4372" s="5" t="str">
        <f>IFERROR(__xludf.DUMMYFUNCTION("""COMPUTED_VALUE"""),"سمنان")</f>
        <v>سمنان</v>
      </c>
      <c r="E4372" s="5" t="str">
        <f>IFERROR(__xludf.DUMMYFUNCTION("""COMPUTED_VALUE"""),"شهمیرزاد")</f>
        <v>شهمیرزاد</v>
      </c>
      <c r="F4372" s="5"/>
      <c r="G4372" s="5"/>
      <c r="H4372" s="6" t="str">
        <f>IFERROR(__xludf.DUMMYFUNCTION("""COMPUTED_VALUE"""),"https://www.instagram.com/ashooraeishahmirzad/")</f>
        <v>https://www.instagram.com/ashooraeishahmirzad/</v>
      </c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</row>
    <row r="4373">
      <c r="A4373" s="5"/>
      <c r="B4373" s="5"/>
      <c r="C4373" s="5" t="str">
        <f>IFERROR(__xludf.DUMMYFUNCTION("""COMPUTED_VALUE"""),"بانوی مدینه")</f>
        <v>بانوی مدینه</v>
      </c>
      <c r="D4373" s="5" t="str">
        <f>IFERROR(__xludf.DUMMYFUNCTION("""COMPUTED_VALUE"""),"سمنان")</f>
        <v>سمنان</v>
      </c>
      <c r="E4373" s="5" t="str">
        <f>IFERROR(__xludf.DUMMYFUNCTION("""COMPUTED_VALUE"""),"درجزین")</f>
        <v>درجزین</v>
      </c>
      <c r="F4373" s="5"/>
      <c r="G4373" s="5"/>
      <c r="H4373" s="6" t="str">
        <f>IFERROR(__xludf.DUMMYFUNCTION("""COMPUTED_VALUE"""),"https://www.instagram.com/bano_madene/")</f>
        <v>https://www.instagram.com/bano_madene/</v>
      </c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</row>
    <row r="4374">
      <c r="A4374" s="5"/>
      <c r="B4374" s="5"/>
      <c r="C4374" s="5" t="str">
        <f>IFERROR(__xludf.DUMMYFUNCTION("""COMPUTED_VALUE"""),"بیت العباس")</f>
        <v>بیت العباس</v>
      </c>
      <c r="D4374" s="5" t="str">
        <f>IFERROR(__xludf.DUMMYFUNCTION("""COMPUTED_VALUE"""),"سمنان")</f>
        <v>سمنان</v>
      </c>
      <c r="E4374" s="5" t="str">
        <f>IFERROR(__xludf.DUMMYFUNCTION("""COMPUTED_VALUE"""),"سمنان")</f>
        <v>سمنان</v>
      </c>
      <c r="F4374" s="5"/>
      <c r="G4374" s="5"/>
      <c r="H4374" s="6" t="str">
        <f>IFERROR(__xludf.DUMMYFUNCTION("""COMPUTED_VALUE"""),"https://www.instagram.com/beytolabbas_semnan/")</f>
        <v>https://www.instagram.com/beytolabbas_semnan/</v>
      </c>
      <c r="I4374" s="6" t="str">
        <f>IFERROR(__xludf.DUMMYFUNCTION("""COMPUTED_VALUE"""),"https://t.me/beyt133")</f>
        <v>https://t.me/beyt133</v>
      </c>
      <c r="J4374" s="5"/>
      <c r="K4374" s="5"/>
      <c r="L4374" s="5"/>
      <c r="M4374" s="5"/>
      <c r="N4374" s="5"/>
      <c r="O4374" s="5"/>
      <c r="P4374" s="5"/>
      <c r="Q4374" s="5"/>
      <c r="R4374" s="5"/>
      <c r="S4374" s="5"/>
    </row>
    <row r="4375">
      <c r="A4375" s="5">
        <f>IFERROR(__xludf.DUMMYFUNCTION("""COMPUTED_VALUE"""),23374.0)</f>
        <v>23374</v>
      </c>
      <c r="B4375" s="5"/>
      <c r="C4375" s="5" t="str">
        <f>IFERROR(__xludf.DUMMYFUNCTION("""COMPUTED_VALUE"""),"بیت الزهرا(س)")</f>
        <v>بیت الزهرا(س)</v>
      </c>
      <c r="D4375" s="5" t="str">
        <f>IFERROR(__xludf.DUMMYFUNCTION("""COMPUTED_VALUE"""),"سمنان")</f>
        <v>سمنان</v>
      </c>
      <c r="E4375" s="5" t="str">
        <f>IFERROR(__xludf.DUMMYFUNCTION("""COMPUTED_VALUE"""),"سمنان")</f>
        <v>سمنان</v>
      </c>
      <c r="F4375" s="5"/>
      <c r="G4375" s="5"/>
      <c r="H4375" s="6" t="str">
        <f>IFERROR(__xludf.DUMMYFUNCTION("""COMPUTED_VALUE"""),"https://www.instagram.com/beytozahra_semnan/")</f>
        <v>https://www.instagram.com/beytozahra_semnan/</v>
      </c>
      <c r="I4375" s="6" t="str">
        <f>IFERROR(__xludf.DUMMYFUNCTION("""COMPUTED_VALUE"""),"t.me/beytozahrasemnan")</f>
        <v>t.me/beytozahrasemnan</v>
      </c>
      <c r="J4375" s="5"/>
      <c r="K4375" s="5"/>
      <c r="L4375" s="5"/>
      <c r="M4375" s="5"/>
      <c r="N4375" s="5"/>
      <c r="O4375" s="5"/>
      <c r="P4375" s="5"/>
      <c r="Q4375" s="5"/>
      <c r="R4375" s="5"/>
      <c r="S4375" s="5"/>
    </row>
    <row r="4376">
      <c r="A4376" s="5"/>
      <c r="B4376" s="5"/>
      <c r="C4376" s="5" t="str">
        <f>IFERROR(__xludf.DUMMYFUNCTION("""COMPUTED_VALUE"""),"محبین حسن ابن علی")</f>
        <v>محبین حسن ابن علی</v>
      </c>
      <c r="D4376" s="5" t="str">
        <f>IFERROR(__xludf.DUMMYFUNCTION("""COMPUTED_VALUE"""),"سمنان")</f>
        <v>سمنان</v>
      </c>
      <c r="E4376" s="5" t="str">
        <f>IFERROR(__xludf.DUMMYFUNCTION("""COMPUTED_VALUE"""),"شاهرود")</f>
        <v>شاهرود</v>
      </c>
      <c r="F4376" s="5"/>
      <c r="G4376" s="5"/>
      <c r="H4376" s="6" t="str">
        <f>IFERROR(__xludf.DUMMYFUNCTION("""COMPUTED_VALUE"""),"https://www.instagram.com/bi_haram118/")</f>
        <v>https://www.instagram.com/bi_haram118/</v>
      </c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</row>
    <row r="4377">
      <c r="A4377" s="5">
        <f>IFERROR(__xludf.DUMMYFUNCTION("""COMPUTED_VALUE"""),33171.0)</f>
        <v>33171</v>
      </c>
      <c r="B4377" s="5" t="str">
        <f>IFERROR(__xludf.DUMMYFUNCTION("""COMPUTED_VALUE"""),"حسینیه")</f>
        <v>حسینیه</v>
      </c>
      <c r="C4377" s="5" t="str">
        <f>IFERROR(__xludf.DUMMYFUNCTION("""COMPUTED_VALUE"""),"سیدالشهدا (ع)")</f>
        <v>سیدالشهدا (ع)</v>
      </c>
      <c r="D4377" s="5" t="str">
        <f>IFERROR(__xludf.DUMMYFUNCTION("""COMPUTED_VALUE"""),"سمنان")</f>
        <v>سمنان</v>
      </c>
      <c r="E4377" s="5" t="str">
        <f>IFERROR(__xludf.DUMMYFUNCTION("""COMPUTED_VALUE"""),"دامغان")</f>
        <v>دامغان</v>
      </c>
      <c r="F4377" s="5"/>
      <c r="G4377" s="5"/>
      <c r="H4377" s="6" t="str">
        <f>IFERROR(__xludf.DUMMYFUNCTION("""COMPUTED_VALUE"""),"https://www.instagram.com/dabaghan_dm")</f>
        <v>https://www.instagram.com/dabaghan_dm</v>
      </c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</row>
    <row r="4378">
      <c r="A4378" s="5"/>
      <c r="B4378" s="5"/>
      <c r="C4378" s="5" t="str">
        <f>IFERROR(__xludf.DUMMYFUNCTION("""COMPUTED_VALUE"""),"دارالبکاء")</f>
        <v>دارالبکاء</v>
      </c>
      <c r="D4378" s="5" t="str">
        <f>IFERROR(__xludf.DUMMYFUNCTION("""COMPUTED_VALUE"""),"سمنان")</f>
        <v>سمنان</v>
      </c>
      <c r="E4378" s="5" t="str">
        <f>IFERROR(__xludf.DUMMYFUNCTION("""COMPUTED_VALUE"""),"سمنان")</f>
        <v>سمنان</v>
      </c>
      <c r="F4378" s="5"/>
      <c r="G4378" s="5"/>
      <c r="H4378" s="6" t="str">
        <f>IFERROR(__xludf.DUMMYFUNCTION("""COMPUTED_VALUE"""),"https://www.instagram.com/darolboka_128/")</f>
        <v>https://www.instagram.com/darolboka_128/</v>
      </c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</row>
    <row r="4379">
      <c r="A4379" s="5">
        <f>IFERROR(__xludf.DUMMYFUNCTION("""COMPUTED_VALUE"""),29843.0)</f>
        <v>29843</v>
      </c>
      <c r="B4379" s="5"/>
      <c r="C4379" s="5" t="str">
        <f>IFERROR(__xludf.DUMMYFUNCTION("""COMPUTED_VALUE"""),"امام حسین (ع)")</f>
        <v>امام حسین (ع)</v>
      </c>
      <c r="D4379" s="5" t="str">
        <f>IFERROR(__xludf.DUMMYFUNCTION("""COMPUTED_VALUE"""),"سمنان")</f>
        <v>سمنان</v>
      </c>
      <c r="E4379" s="5" t="str">
        <f>IFERROR(__xludf.DUMMYFUNCTION("""COMPUTED_VALUE"""),"سمنان")</f>
        <v>سمنان</v>
      </c>
      <c r="F4379" s="5"/>
      <c r="G4379" s="5"/>
      <c r="H4379" s="6" t="str">
        <f>IFERROR(__xludf.DUMMYFUNCTION("""COMPUTED_VALUE"""),"https://www.instagram.com/emam.hossein.semnan/")</f>
        <v>https://www.instagram.com/emam.hossein.semnan/</v>
      </c>
      <c r="I4379" s="6" t="str">
        <f>IFERROR(__xludf.DUMMYFUNCTION("""COMPUTED_VALUE"""),"t.me/heyat_emamhossein_semnan")</f>
        <v>t.me/heyat_emamhossein_semnan</v>
      </c>
      <c r="J4379" s="5"/>
      <c r="K4379" s="5"/>
      <c r="L4379" s="5"/>
      <c r="M4379" s="5"/>
      <c r="N4379" s="5"/>
      <c r="O4379" s="5"/>
      <c r="P4379" s="5"/>
      <c r="Q4379" s="5"/>
      <c r="R4379" s="5"/>
      <c r="S4379" s="5"/>
    </row>
    <row r="4380">
      <c r="A4380" s="5"/>
      <c r="B4380" s="5"/>
      <c r="C4380" s="5" t="str">
        <f>IFERROR(__xludf.DUMMYFUNCTION("""COMPUTED_VALUE"""),"فاطمیون")</f>
        <v>فاطمیون</v>
      </c>
      <c r="D4380" s="5" t="str">
        <f>IFERROR(__xludf.DUMMYFUNCTION("""COMPUTED_VALUE"""),"سمنان")</f>
        <v>سمنان</v>
      </c>
      <c r="E4380" s="5" t="str">
        <f>IFERROR(__xludf.DUMMYFUNCTION("""COMPUTED_VALUE"""),"سمنان")</f>
        <v>سمنان</v>
      </c>
      <c r="F4380" s="5"/>
      <c r="G4380" s="5"/>
      <c r="H4380" s="6" t="str">
        <f>IFERROR(__xludf.DUMMYFUNCTION("""COMPUTED_VALUE"""),"https://www.instagram.com/fatemiunsemnan/")</f>
        <v>https://www.instagram.com/fatemiunsemnan/</v>
      </c>
      <c r="I4380" s="6" t="str">
        <f>IFERROR(__xludf.DUMMYFUNCTION("""COMPUTED_VALUE"""),"https://t.me/fatemiunsemnan")</f>
        <v>https://t.me/fatemiunsemnan</v>
      </c>
      <c r="J4380" s="5"/>
      <c r="K4380" s="5"/>
      <c r="L4380" s="5"/>
      <c r="M4380" s="5"/>
      <c r="N4380" s="5"/>
      <c r="O4380" s="5"/>
      <c r="P4380" s="5"/>
      <c r="Q4380" s="5"/>
      <c r="R4380" s="5"/>
      <c r="S4380" s="5"/>
    </row>
    <row r="4381">
      <c r="A4381" s="5"/>
      <c r="B4381" s="5"/>
      <c r="C4381" s="5" t="str">
        <f>IFERROR(__xludf.DUMMYFUNCTION("""COMPUTED_VALUE"""),"قتلگاه")</f>
        <v>قتلگاه</v>
      </c>
      <c r="D4381" s="5" t="str">
        <f>IFERROR(__xludf.DUMMYFUNCTION("""COMPUTED_VALUE"""),"سمنان")</f>
        <v>سمنان</v>
      </c>
      <c r="E4381" s="5" t="str">
        <f>IFERROR(__xludf.DUMMYFUNCTION("""COMPUTED_VALUE"""),"سمنان")</f>
        <v>سمنان</v>
      </c>
      <c r="F4381" s="5"/>
      <c r="G4381" s="5"/>
      <c r="H4381" s="6" t="str">
        <f>IFERROR(__xludf.DUMMYFUNCTION("""COMPUTED_VALUE"""),"https://www.instagram.com/ghatlegah_semnan/")</f>
        <v>https://www.instagram.com/ghatlegah_semnan/</v>
      </c>
      <c r="I4381" s="6" t="str">
        <f>IFERROR(__xludf.DUMMYFUNCTION("""COMPUTED_VALUE"""),"https://t.me/ghatlegah_semnan")</f>
        <v>https://t.me/ghatlegah_semnan</v>
      </c>
      <c r="J4381" s="5"/>
      <c r="K4381" s="5"/>
      <c r="L4381" s="5"/>
      <c r="M4381" s="5"/>
      <c r="N4381" s="5"/>
      <c r="O4381" s="5"/>
      <c r="P4381" s="5"/>
      <c r="Q4381" s="5"/>
      <c r="R4381" s="5"/>
      <c r="S4381" s="5"/>
    </row>
    <row r="4382">
      <c r="A4382" s="5">
        <f>IFERROR(__xludf.DUMMYFUNCTION("""COMPUTED_VALUE"""),29975.0)</f>
        <v>29975</v>
      </c>
      <c r="B4382" s="5"/>
      <c r="C4382" s="5" t="str">
        <f>IFERROR(__xludf.DUMMYFUNCTION("""COMPUTED_VALUE"""),"رزمندگان اسلام _ عاشقان ثارالله (ع)")</f>
        <v>رزمندگان اسلام _ عاشقان ثارالله (ع)</v>
      </c>
      <c r="D4382" s="5" t="str">
        <f>IFERROR(__xludf.DUMMYFUNCTION("""COMPUTED_VALUE"""),"سمنان")</f>
        <v>سمنان</v>
      </c>
      <c r="E4382" s="5" t="str">
        <f>IFERROR(__xludf.DUMMYFUNCTION("""COMPUTED_VALUE"""),"سمنان")</f>
        <v>سمنان</v>
      </c>
      <c r="F4382" s="5"/>
      <c r="G4382" s="5"/>
      <c r="H4382" s="6" t="str">
        <f>IFERROR(__xludf.DUMMYFUNCTION("""COMPUTED_VALUE"""),"https://www.instagram.com/h_razmandegan_semnan/")</f>
        <v>https://www.instagram.com/h_razmandegan_semnan/</v>
      </c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</row>
    <row r="4383">
      <c r="A4383" s="5"/>
      <c r="B4383" s="5"/>
      <c r="C4383" s="5" t="str">
        <f>IFERROR(__xludf.DUMMYFUNCTION("""COMPUTED_VALUE"""),"حضرت قاسم")</f>
        <v>حضرت قاسم</v>
      </c>
      <c r="D4383" s="5" t="str">
        <f>IFERROR(__xludf.DUMMYFUNCTION("""COMPUTED_VALUE"""),"سمنان")</f>
        <v>سمنان</v>
      </c>
      <c r="E4383" s="5" t="str">
        <f>IFERROR(__xludf.DUMMYFUNCTION("""COMPUTED_VALUE"""),"بسطام")</f>
        <v>بسطام</v>
      </c>
      <c r="F4383" s="5"/>
      <c r="G4383" s="5"/>
      <c r="H4383" s="6" t="str">
        <f>IFERROR(__xludf.DUMMYFUNCTION("""COMPUTED_VALUE"""),"https://www.instagram.com/hazratghasem_/")</f>
        <v>https://www.instagram.com/hazratghasem_/</v>
      </c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</row>
    <row r="4384">
      <c r="A4384" s="5">
        <f>IFERROR(__xludf.DUMMYFUNCTION("""COMPUTED_VALUE"""),18125.0)</f>
        <v>18125</v>
      </c>
      <c r="B4384" s="5"/>
      <c r="C4384" s="5" t="str">
        <f>IFERROR(__xludf.DUMMYFUNCTION("""COMPUTED_VALUE"""),"الزهرا (س)")</f>
        <v>الزهرا (س)</v>
      </c>
      <c r="D4384" s="5" t="str">
        <f>IFERROR(__xludf.DUMMYFUNCTION("""COMPUTED_VALUE"""),"سمنان")</f>
        <v>سمنان</v>
      </c>
      <c r="E4384" s="5" t="str">
        <f>IFERROR(__xludf.DUMMYFUNCTION("""COMPUTED_VALUE"""),"گرمسار")</f>
        <v>گرمسار</v>
      </c>
      <c r="F4384" s="5"/>
      <c r="G4384" s="5"/>
      <c r="H4384" s="6" t="str">
        <f>IFERROR(__xludf.DUMMYFUNCTION("""COMPUTED_VALUE"""),"https://www.instagram.com/heiatozahra.ir/")</f>
        <v>https://www.instagram.com/heiatozahra.ir/</v>
      </c>
      <c r="I4384" s="6" t="str">
        <f>IFERROR(__xludf.DUMMYFUNCTION("""COMPUTED_VALUE"""),"t.me/heiatolzahra_ir")</f>
        <v>t.me/heiatolzahra_ir</v>
      </c>
      <c r="J4384" s="5"/>
      <c r="K4384" s="5"/>
      <c r="L4384" s="5"/>
      <c r="M4384" s="5"/>
      <c r="N4384" s="5"/>
      <c r="O4384" s="5"/>
      <c r="P4384" s="5"/>
      <c r="Q4384" s="5"/>
      <c r="R4384" s="5"/>
      <c r="S4384" s="5"/>
    </row>
    <row r="4385">
      <c r="A4385" s="5"/>
      <c r="B4385" s="5"/>
      <c r="C4385" s="5" t="str">
        <f>IFERROR(__xludf.DUMMYFUNCTION("""COMPUTED_VALUE"""),"جوانان حضرت علی اکبر")</f>
        <v>جوانان حضرت علی اکبر</v>
      </c>
      <c r="D4385" s="5" t="str">
        <f>IFERROR(__xludf.DUMMYFUNCTION("""COMPUTED_VALUE"""),"سمنان")</f>
        <v>سمنان</v>
      </c>
      <c r="E4385" s="5" t="str">
        <f>IFERROR(__xludf.DUMMYFUNCTION("""COMPUTED_VALUE"""),"گرمسار")</f>
        <v>گرمسار</v>
      </c>
      <c r="F4385" s="5"/>
      <c r="G4385" s="5"/>
      <c r="H4385" s="6" t="str">
        <f>IFERROR(__xludf.DUMMYFUNCTION("""COMPUTED_VALUE"""),"https://www.instagram.com/heyat_aliakbar_garmsar/")</f>
        <v>https://www.instagram.com/heyat_aliakbar_garmsar/</v>
      </c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</row>
    <row r="4386">
      <c r="A4386" s="5">
        <f>IFERROR(__xludf.DUMMYFUNCTION("""COMPUTED_VALUE"""),29820.0)</f>
        <v>29820</v>
      </c>
      <c r="B4386" s="5"/>
      <c r="C4386" s="5" t="str">
        <f>IFERROR(__xludf.DUMMYFUNCTION("""COMPUTED_VALUE"""),"انصارالشهدا")</f>
        <v>انصارالشهدا</v>
      </c>
      <c r="D4386" s="5" t="str">
        <f>IFERROR(__xludf.DUMMYFUNCTION("""COMPUTED_VALUE"""),"سمنان")</f>
        <v>سمنان</v>
      </c>
      <c r="E4386" s="5" t="str">
        <f>IFERROR(__xludf.DUMMYFUNCTION("""COMPUTED_VALUE"""),"دامغان")</f>
        <v>دامغان</v>
      </c>
      <c r="F4386" s="5"/>
      <c r="G4386" s="5"/>
      <c r="H4386" s="6" t="str">
        <f>IFERROR(__xludf.DUMMYFUNCTION("""COMPUTED_VALUE"""),"https://www.instagram.com/heyat_ansarshohada/")</f>
        <v>https://www.instagram.com/heyat_ansarshohada/</v>
      </c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</row>
    <row r="4387">
      <c r="A4387" s="5"/>
      <c r="B4387" s="5"/>
      <c r="C4387" s="5" t="str">
        <f>IFERROR(__xludf.DUMMYFUNCTION("""COMPUTED_VALUE"""),"عاشقان صاحب الزمان")</f>
        <v>عاشقان صاحب الزمان</v>
      </c>
      <c r="D4387" s="5" t="str">
        <f>IFERROR(__xludf.DUMMYFUNCTION("""COMPUTED_VALUE"""),"سمنان")</f>
        <v>سمنان</v>
      </c>
      <c r="E4387" s="5" t="str">
        <f>IFERROR(__xludf.DUMMYFUNCTION("""COMPUTED_VALUE"""),"سمنان")</f>
        <v>سمنان</v>
      </c>
      <c r="F4387" s="5"/>
      <c r="G4387" s="5"/>
      <c r="H4387" s="6" t="str">
        <f>IFERROR(__xludf.DUMMYFUNCTION("""COMPUTED_VALUE"""),"https://www.instagram.com/heyat_asheghan_saheb_alzaman/")</f>
        <v>https://www.instagram.com/heyat_asheghan_saheb_alzaman/</v>
      </c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</row>
    <row r="4388">
      <c r="A4388" s="5"/>
      <c r="B4388" s="5"/>
      <c r="C4388" s="5" t="str">
        <f>IFERROR(__xludf.DUMMYFUNCTION("""COMPUTED_VALUE"""),"عزاداران حسینی جهادیه")</f>
        <v>عزاداران حسینی جهادیه</v>
      </c>
      <c r="D4388" s="5" t="str">
        <f>IFERROR(__xludf.DUMMYFUNCTION("""COMPUTED_VALUE"""),"سمنان")</f>
        <v>سمنان</v>
      </c>
      <c r="E4388" s="5" t="str">
        <f>IFERROR(__xludf.DUMMYFUNCTION("""COMPUTED_VALUE"""),"سمنان")</f>
        <v>سمنان</v>
      </c>
      <c r="F4388" s="5"/>
      <c r="G4388" s="5"/>
      <c r="H4388" s="6" t="str">
        <f>IFERROR(__xludf.DUMMYFUNCTION("""COMPUTED_VALUE"""),"https://www.instagram.com/heyat_jahadie/")</f>
        <v>https://www.instagram.com/heyat_jahadie/</v>
      </c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</row>
    <row r="4389">
      <c r="A4389" s="5"/>
      <c r="B4389" s="5"/>
      <c r="C4389" s="5" t="str">
        <f>IFERROR(__xludf.DUMMYFUNCTION("""COMPUTED_VALUE"""),"محبین قمر بنی هاشم")</f>
        <v>محبین قمر بنی هاشم</v>
      </c>
      <c r="D4389" s="5" t="str">
        <f>IFERROR(__xludf.DUMMYFUNCTION("""COMPUTED_VALUE"""),"سمنان")</f>
        <v>سمنان</v>
      </c>
      <c r="E4389" s="5" t="str">
        <f>IFERROR(__xludf.DUMMYFUNCTION("""COMPUTED_VALUE"""),"گرمسار")</f>
        <v>گرمسار</v>
      </c>
      <c r="F4389" s="5"/>
      <c r="G4389" s="5"/>
      <c r="H4389" s="6" t="str">
        <f>IFERROR(__xludf.DUMMYFUNCTION("""COMPUTED_VALUE"""),"https://www.instagram.com/heyat_qamar/")</f>
        <v>https://www.instagram.com/heyat_qamar/</v>
      </c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</row>
    <row r="4390">
      <c r="A4390" s="5"/>
      <c r="B4390" s="5"/>
      <c r="C4390" s="5" t="str">
        <f>IFERROR(__xludf.DUMMYFUNCTION("""COMPUTED_VALUE"""),"یاس کبود")</f>
        <v>یاس کبود</v>
      </c>
      <c r="D4390" s="5" t="str">
        <f>IFERROR(__xludf.DUMMYFUNCTION("""COMPUTED_VALUE"""),"سمنان")</f>
        <v>سمنان</v>
      </c>
      <c r="E4390" s="5" t="str">
        <f>IFERROR(__xludf.DUMMYFUNCTION("""COMPUTED_VALUE"""),"مهدی شهر")</f>
        <v>مهدی شهر</v>
      </c>
      <c r="F4390" s="5"/>
      <c r="G4390" s="5"/>
      <c r="H4390" s="6" t="str">
        <f>IFERROR(__xludf.DUMMYFUNCTION("""COMPUTED_VALUE"""),"https://www.instagram.com/heyat_yasekabood/")</f>
        <v>https://www.instagram.com/heyat_yasekabood/</v>
      </c>
      <c r="I4390" s="6" t="str">
        <f>IFERROR(__xludf.DUMMYFUNCTION("""COMPUTED_VALUE"""),"t.me/heyat_yasekabood")</f>
        <v>t.me/heyat_yasekabood</v>
      </c>
      <c r="J4390" s="5"/>
      <c r="K4390" s="5"/>
      <c r="L4390" s="5"/>
      <c r="M4390" s="5"/>
      <c r="N4390" s="5"/>
      <c r="O4390" s="5"/>
      <c r="P4390" s="5"/>
      <c r="Q4390" s="5"/>
      <c r="R4390" s="5"/>
      <c r="S4390" s="5"/>
    </row>
    <row r="4391">
      <c r="A4391" s="5"/>
      <c r="B4391" s="5"/>
      <c r="C4391" s="5" t="str">
        <f>IFERROR(__xludf.DUMMYFUNCTION("""COMPUTED_VALUE"""),"زینبیون")</f>
        <v>زینبیون</v>
      </c>
      <c r="D4391" s="5" t="str">
        <f>IFERROR(__xludf.DUMMYFUNCTION("""COMPUTED_VALUE"""),"سمنان")</f>
        <v>سمنان</v>
      </c>
      <c r="E4391" s="5" t="str">
        <f>IFERROR(__xludf.DUMMYFUNCTION("""COMPUTED_VALUE"""),"سمنان")</f>
        <v>سمنان</v>
      </c>
      <c r="F4391" s="5"/>
      <c r="G4391" s="5"/>
      <c r="H4391" s="6" t="str">
        <f>IFERROR(__xludf.DUMMYFUNCTION("""COMPUTED_VALUE"""),"https://www.instagram.com/heyat_zeynabiyoon_semnan/")</f>
        <v>https://www.instagram.com/heyat_zeynabiyoon_semnan/</v>
      </c>
      <c r="I4391" s="6" t="str">
        <f>IFERROR(__xludf.DUMMYFUNCTION("""COMPUTED_VALUE"""),"https://t.me/zeynabiyoon69semnan")</f>
        <v>https://t.me/zeynabiyoon69semnan</v>
      </c>
      <c r="J4391" s="5"/>
      <c r="K4391" s="5"/>
      <c r="L4391" s="5"/>
      <c r="M4391" s="5"/>
      <c r="N4391" s="5"/>
      <c r="O4391" s="5"/>
      <c r="P4391" s="5"/>
      <c r="Q4391" s="5"/>
      <c r="R4391" s="5"/>
      <c r="S4391" s="5"/>
    </row>
    <row r="4392">
      <c r="A4392" s="5"/>
      <c r="B4392" s="5"/>
      <c r="C4392" s="5" t="str">
        <f>IFERROR(__xludf.DUMMYFUNCTION("""COMPUTED_VALUE"""),"بیت الاحزان حضرت زهرا")</f>
        <v>بیت الاحزان حضرت زهرا</v>
      </c>
      <c r="D4392" s="5" t="str">
        <f>IFERROR(__xludf.DUMMYFUNCTION("""COMPUTED_VALUE"""),"سمنان")</f>
        <v>سمنان</v>
      </c>
      <c r="E4392" s="5" t="str">
        <f>IFERROR(__xludf.DUMMYFUNCTION("""COMPUTED_VALUE"""),"سمنان")</f>
        <v>سمنان</v>
      </c>
      <c r="F4392" s="5"/>
      <c r="G4392" s="5">
        <f>IFERROR(__xludf.DUMMYFUNCTION("""COMPUTED_VALUE"""),1.0)</f>
        <v>1</v>
      </c>
      <c r="H4392" s="6" t="str">
        <f>IFERROR(__xludf.DUMMYFUNCTION("""COMPUTED_VALUE"""),"https://www.instagram.com/heyat.beytolahzan/")</f>
        <v>https://www.instagram.com/heyat.beytolahzan/</v>
      </c>
      <c r="I4392" s="6" t="str">
        <f>IFERROR(__xludf.DUMMYFUNCTION("""COMPUTED_VALUE"""),"https://t.me/beytoalahzan110")</f>
        <v>https://t.me/beytoalahzan110</v>
      </c>
      <c r="J4392" s="5"/>
      <c r="K4392" s="5"/>
      <c r="L4392" s="5"/>
      <c r="M4392" s="5"/>
      <c r="N4392" s="5"/>
      <c r="O4392" s="5"/>
      <c r="P4392" s="5"/>
      <c r="Q4392" s="5"/>
      <c r="R4392" s="5"/>
      <c r="S4392" s="5"/>
    </row>
    <row r="4393">
      <c r="A4393" s="5">
        <f>IFERROR(__xludf.DUMMYFUNCTION("""COMPUTED_VALUE"""),32015.0)</f>
        <v>32015</v>
      </c>
      <c r="B4393" s="5" t="str">
        <f>IFERROR(__xludf.DUMMYFUNCTION("""COMPUTED_VALUE"""),"هیأت")</f>
        <v>هیأت</v>
      </c>
      <c r="C4393" s="5" t="str">
        <f>IFERROR(__xludf.DUMMYFUNCTION("""COMPUTED_VALUE"""),"جوادلائمه (ع)")</f>
        <v>جوادلائمه (ع)</v>
      </c>
      <c r="D4393" s="5" t="str">
        <f>IFERROR(__xludf.DUMMYFUNCTION("""COMPUTED_VALUE"""),"سمنان")</f>
        <v>سمنان</v>
      </c>
      <c r="E4393" s="5" t="str">
        <f>IFERROR(__xludf.DUMMYFUNCTION("""COMPUTED_VALUE"""),"گرمسار")</f>
        <v>گرمسار</v>
      </c>
      <c r="F4393" s="5"/>
      <c r="G4393" s="5"/>
      <c r="H4393" s="6" t="str">
        <f>IFERROR(__xludf.DUMMYFUNCTION("""COMPUTED_VALUE"""),"https://www.instagram.com/heyat.javadolaeme")</f>
        <v>https://www.instagram.com/heyat.javadolaeme</v>
      </c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</row>
    <row r="4394">
      <c r="A4394" s="5"/>
      <c r="B4394" s="5"/>
      <c r="C4394" s="5" t="str">
        <f>IFERROR(__xludf.DUMMYFUNCTION("""COMPUTED_VALUE"""),"علمداران باب الحوائج")</f>
        <v>علمداران باب الحوائج</v>
      </c>
      <c r="D4394" s="5" t="str">
        <f>IFERROR(__xludf.DUMMYFUNCTION("""COMPUTED_VALUE"""),"سمنان")</f>
        <v>سمنان</v>
      </c>
      <c r="E4394" s="5" t="str">
        <f>IFERROR(__xludf.DUMMYFUNCTION("""COMPUTED_VALUE"""),"مهدیشهر")</f>
        <v>مهدیشهر</v>
      </c>
      <c r="F4394" s="5"/>
      <c r="G4394" s="5"/>
      <c r="H4394" s="6" t="str">
        <f>IFERROR(__xludf.DUMMYFUNCTION("""COMPUTED_VALUE"""),"https://www.instagram.com/heyatalamdaran_sangesar/")</f>
        <v>https://www.instagram.com/heyatalamdaran_sangesar/</v>
      </c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</row>
    <row r="4395">
      <c r="A4395" s="5"/>
      <c r="B4395" s="5"/>
      <c r="C4395" s="5" t="str">
        <f>IFERROR(__xludf.DUMMYFUNCTION("""COMPUTED_VALUE"""),"عاشقان ثارالله (ع) / عاشقان ولایت")</f>
        <v>عاشقان ثارالله (ع) / عاشقان ولایت</v>
      </c>
      <c r="D4395" s="5" t="str">
        <f>IFERROR(__xludf.DUMMYFUNCTION("""COMPUTED_VALUE"""),"سمنان")</f>
        <v>سمنان</v>
      </c>
      <c r="E4395" s="5" t="str">
        <f>IFERROR(__xludf.DUMMYFUNCTION("""COMPUTED_VALUE"""),"درجزین")</f>
        <v>درجزین</v>
      </c>
      <c r="F4395" s="5"/>
      <c r="G4395" s="5"/>
      <c r="H4395" s="6" t="str">
        <f>IFERROR(__xludf.DUMMYFUNCTION("""COMPUTED_VALUE"""),"https://www.instagram.com/heyatasheghansarallahdarjezin/")</f>
        <v>https://www.instagram.com/heyatasheghansarallahdarjezin/</v>
      </c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</row>
    <row r="4396">
      <c r="A4396" s="5"/>
      <c r="B4396" s="5"/>
      <c r="C4396" s="5" t="str">
        <f>IFERROR(__xludf.DUMMYFUNCTION("""COMPUTED_VALUE"""),"عاشقان ولایت")</f>
        <v>عاشقان ولایت</v>
      </c>
      <c r="D4396" s="5" t="str">
        <f>IFERROR(__xludf.DUMMYFUNCTION("""COMPUTED_VALUE"""),"سمنان")</f>
        <v>سمنان</v>
      </c>
      <c r="E4396" s="5" t="str">
        <f>IFERROR(__xludf.DUMMYFUNCTION("""COMPUTED_VALUE"""),"سمنان")</f>
        <v>سمنان</v>
      </c>
      <c r="F4396" s="5"/>
      <c r="G4396" s="5"/>
      <c r="H4396" s="6" t="str">
        <f>IFERROR(__xludf.DUMMYFUNCTION("""COMPUTED_VALUE"""),"https://www.instagram.com/heyatasheghanvelayat_semnan/")</f>
        <v>https://www.instagram.com/heyatasheghanvelayat_semnan/</v>
      </c>
      <c r="I4396" s="6" t="str">
        <f>IFERROR(__xludf.DUMMYFUNCTION("""COMPUTED_VALUE"""),"https://t.me/asheghanvelayat_sem")</f>
        <v>https://t.me/asheghanvelayat_sem</v>
      </c>
      <c r="J4396" s="5"/>
      <c r="K4396" s="5"/>
      <c r="L4396" s="5"/>
      <c r="M4396" s="5"/>
      <c r="N4396" s="5"/>
      <c r="O4396" s="5"/>
      <c r="P4396" s="5"/>
      <c r="Q4396" s="5"/>
      <c r="R4396" s="5"/>
      <c r="S4396" s="5"/>
    </row>
    <row r="4397">
      <c r="A4397" s="5">
        <f>IFERROR(__xludf.DUMMYFUNCTION("""COMPUTED_VALUE"""),18435.0)</f>
        <v>18435</v>
      </c>
      <c r="B4397" s="5"/>
      <c r="C4397" s="5" t="str">
        <f>IFERROR(__xludf.DUMMYFUNCTION("""COMPUTED_VALUE"""),"عاشقان ولایت")</f>
        <v>عاشقان ولایت</v>
      </c>
      <c r="D4397" s="5" t="str">
        <f>IFERROR(__xludf.DUMMYFUNCTION("""COMPUTED_VALUE"""),"سمنان")</f>
        <v>سمنان</v>
      </c>
      <c r="E4397" s="5" t="str">
        <f>IFERROR(__xludf.DUMMYFUNCTION("""COMPUTED_VALUE"""),"سمنان")</f>
        <v>سمنان</v>
      </c>
      <c r="F4397" s="5"/>
      <c r="G4397" s="5"/>
      <c r="H4397" s="6" t="str">
        <f>IFERROR(__xludf.DUMMYFUNCTION("""COMPUTED_VALUE"""),"https://www.instagram.com/heyatasheghanvelayat.semnan/")</f>
        <v>https://www.instagram.com/heyatasheghanvelayat.semnan/</v>
      </c>
      <c r="I4397" s="6" t="str">
        <f>IFERROR(__xludf.DUMMYFUNCTION("""COMPUTED_VALUE"""),"https://t.me/asheghanvelayat_sem")</f>
        <v>https://t.me/asheghanvelayat_sem</v>
      </c>
      <c r="J4397" s="5"/>
      <c r="K4397" s="5"/>
      <c r="L4397" s="5"/>
      <c r="M4397" s="5"/>
      <c r="N4397" s="5"/>
      <c r="O4397" s="5"/>
      <c r="P4397" s="5"/>
      <c r="Q4397" s="5"/>
      <c r="R4397" s="5"/>
      <c r="S4397" s="5"/>
    </row>
    <row r="4398">
      <c r="A4398" s="5"/>
      <c r="B4398" s="5"/>
      <c r="C4398" s="5" t="str">
        <f>IFERROR(__xludf.DUMMYFUNCTION("""COMPUTED_VALUE"""),"امام جعفر صادق")</f>
        <v>امام جعفر صادق</v>
      </c>
      <c r="D4398" s="5" t="str">
        <f>IFERROR(__xludf.DUMMYFUNCTION("""COMPUTED_VALUE"""),"سمنان")</f>
        <v>سمنان</v>
      </c>
      <c r="E4398" s="5" t="str">
        <f>IFERROR(__xludf.DUMMYFUNCTION("""COMPUTED_VALUE"""),"سمنان")</f>
        <v>سمنان</v>
      </c>
      <c r="F4398" s="5"/>
      <c r="G4398" s="5"/>
      <c r="H4398" s="6" t="str">
        <f>IFERROR(__xludf.DUMMYFUNCTION("""COMPUTED_VALUE"""),"https://www.instagram.com/heyate_emam_jafare_sadegh/")</f>
        <v>https://www.instagram.com/heyate_emam_jafare_sadegh/</v>
      </c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</row>
    <row r="4399">
      <c r="A4399" s="5"/>
      <c r="B4399" s="5"/>
      <c r="C4399" s="5" t="str">
        <f>IFERROR(__xludf.DUMMYFUNCTION("""COMPUTED_VALUE"""),"هنر")</f>
        <v>هنر</v>
      </c>
      <c r="D4399" s="5" t="str">
        <f>IFERROR(__xludf.DUMMYFUNCTION("""COMPUTED_VALUE"""),"سمنان")</f>
        <v>سمنان</v>
      </c>
      <c r="E4399" s="5" t="str">
        <f>IFERROR(__xludf.DUMMYFUNCTION("""COMPUTED_VALUE"""),"سمنان")</f>
        <v>سمنان</v>
      </c>
      <c r="F4399" s="5"/>
      <c r="G4399" s="5"/>
      <c r="H4399" s="6" t="str">
        <f>IFERROR(__xludf.DUMMYFUNCTION("""COMPUTED_VALUE"""),"https://www.instagram.com/heyathonar_semnan/")</f>
        <v>https://www.instagram.com/heyathonar_semnan/</v>
      </c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</row>
    <row r="4400">
      <c r="A4400" s="5"/>
      <c r="B4400" s="5"/>
      <c r="C4400" s="5" t="str">
        <f>IFERROR(__xludf.DUMMYFUNCTION("""COMPUTED_VALUE"""),"الشهدای")</f>
        <v>الشهدای</v>
      </c>
      <c r="D4400" s="5" t="str">
        <f>IFERROR(__xludf.DUMMYFUNCTION("""COMPUTED_VALUE"""),"سمنان")</f>
        <v>سمنان</v>
      </c>
      <c r="E4400" s="5" t="str">
        <f>IFERROR(__xludf.DUMMYFUNCTION("""COMPUTED_VALUE"""),"سمنان")</f>
        <v>سمنان</v>
      </c>
      <c r="F4400" s="5"/>
      <c r="G4400" s="5"/>
      <c r="H4400" s="6" t="str">
        <f>IFERROR(__xludf.DUMMYFUNCTION("""COMPUTED_VALUE"""),"https://www.instagram.com/heyatshohadashahrood/")</f>
        <v>https://www.instagram.com/heyatshohadashahrood/</v>
      </c>
      <c r="I4400" s="5" t="str">
        <f>IFERROR(__xludf.DUMMYFUNCTION("""COMPUTED_VALUE"""),"t.me/heyatshohadashahrood‌")</f>
        <v>t.me/heyatshohadashahrood‌</v>
      </c>
      <c r="J4400" s="5"/>
      <c r="K4400" s="5"/>
      <c r="L4400" s="5"/>
      <c r="M4400" s="5"/>
      <c r="N4400" s="5"/>
      <c r="O4400" s="5"/>
      <c r="P4400" s="5"/>
      <c r="Q4400" s="5"/>
      <c r="R4400" s="5"/>
      <c r="S4400" s="5"/>
    </row>
    <row r="4401">
      <c r="A4401" s="5"/>
      <c r="B4401" s="5"/>
      <c r="C4401" s="5" t="str">
        <f>IFERROR(__xludf.DUMMYFUNCTION("""COMPUTED_VALUE"""),"محبین ولایت")</f>
        <v>محبین ولایت</v>
      </c>
      <c r="D4401" s="5" t="str">
        <f>IFERROR(__xludf.DUMMYFUNCTION("""COMPUTED_VALUE"""),"سمنان")</f>
        <v>سمنان</v>
      </c>
      <c r="E4401" s="5" t="str">
        <f>IFERROR(__xludf.DUMMYFUNCTION("""COMPUTED_VALUE"""),"دامغان")</f>
        <v>دامغان</v>
      </c>
      <c r="F4401" s="5"/>
      <c r="G4401" s="5"/>
      <c r="H4401" s="6" t="str">
        <f>IFERROR(__xludf.DUMMYFUNCTION("""COMPUTED_VALUE"""),"https://www.instagram.com/hmvd1378/")</f>
        <v>https://www.instagram.com/hmvd1378/</v>
      </c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</row>
    <row r="4402">
      <c r="A4402" s="5"/>
      <c r="B4402" s="5" t="str">
        <f>IFERROR(__xludf.DUMMYFUNCTION("""COMPUTED_VALUE"""),"حسینیه")</f>
        <v>حسینیه</v>
      </c>
      <c r="C4402" s="5" t="str">
        <f>IFERROR(__xludf.DUMMYFUNCTION("""COMPUTED_VALUE"""),"اعظم")</f>
        <v>اعظم</v>
      </c>
      <c r="D4402" s="5" t="str">
        <f>IFERROR(__xludf.DUMMYFUNCTION("""COMPUTED_VALUE"""),"سمنان")</f>
        <v>سمنان</v>
      </c>
      <c r="E4402" s="5" t="str">
        <f>IFERROR(__xludf.DUMMYFUNCTION("""COMPUTED_VALUE"""),"سمنان")</f>
        <v>سمنان</v>
      </c>
      <c r="F4402" s="5"/>
      <c r="G4402" s="5"/>
      <c r="H4402" s="6" t="str">
        <f>IFERROR(__xludf.DUMMYFUNCTION("""COMPUTED_VALUE"""),"https://www.instagram.com/hoseyniyeh_azam.semnan/")</f>
        <v>https://www.instagram.com/hoseyniyeh_azam.semnan/</v>
      </c>
      <c r="I4402" s="6" t="str">
        <f>IFERROR(__xludf.DUMMYFUNCTION("""COMPUTED_VALUE"""),"https://t.me/Hoseyniyeh_Azam_Semnan")</f>
        <v>https://t.me/Hoseyniyeh_Azam_Semnan</v>
      </c>
      <c r="J4402" s="5"/>
      <c r="K4402" s="5"/>
      <c r="L4402" s="5"/>
      <c r="M4402" s="5"/>
      <c r="N4402" s="5"/>
      <c r="O4402" s="5"/>
      <c r="P4402" s="5"/>
      <c r="Q4402" s="5"/>
      <c r="R4402" s="5"/>
      <c r="S4402" s="5"/>
    </row>
    <row r="4403">
      <c r="A4403" s="5"/>
      <c r="B4403" s="5"/>
      <c r="C4403" s="5" t="str">
        <f>IFERROR(__xludf.DUMMYFUNCTION("""COMPUTED_VALUE"""),"جنت الحسین")</f>
        <v>جنت الحسین</v>
      </c>
      <c r="D4403" s="5" t="str">
        <f>IFERROR(__xludf.DUMMYFUNCTION("""COMPUTED_VALUE"""),"سمنان")</f>
        <v>سمنان</v>
      </c>
      <c r="E4403" s="5" t="str">
        <f>IFERROR(__xludf.DUMMYFUNCTION("""COMPUTED_VALUE"""),"سمنان")</f>
        <v>سمنان</v>
      </c>
      <c r="F4403" s="5"/>
      <c r="G4403" s="5"/>
      <c r="H4403" s="6" t="str">
        <f>IFERROR(__xludf.DUMMYFUNCTION("""COMPUTED_VALUE"""),"https://www.instagram.com/jannatolhossein_semnan/")</f>
        <v>https://www.instagram.com/jannatolhossein_semnan/</v>
      </c>
      <c r="I4403" s="6" t="str">
        <f>IFERROR(__xludf.DUMMYFUNCTION("""COMPUTED_VALUE"""),"https://eitaa.com/jannatolhossein_semnan")</f>
        <v>https://eitaa.com/jannatolhossein_semnan</v>
      </c>
      <c r="J4403" s="5"/>
      <c r="K4403" s="5"/>
      <c r="L4403" s="5"/>
      <c r="M4403" s="5"/>
      <c r="N4403" s="5"/>
      <c r="O4403" s="5"/>
      <c r="P4403" s="5"/>
      <c r="Q4403" s="5"/>
      <c r="R4403" s="5"/>
      <c r="S4403" s="5"/>
    </row>
    <row r="4404">
      <c r="A4404" s="5"/>
      <c r="B4404" s="5"/>
      <c r="C4404" s="5" t="str">
        <f>IFERROR(__xludf.DUMMYFUNCTION("""COMPUTED_VALUE"""),"کهف العباس")</f>
        <v>کهف العباس</v>
      </c>
      <c r="D4404" s="5" t="str">
        <f>IFERROR(__xludf.DUMMYFUNCTION("""COMPUTED_VALUE"""),"سمنان")</f>
        <v>سمنان</v>
      </c>
      <c r="E4404" s="5" t="str">
        <f>IFERROR(__xludf.DUMMYFUNCTION("""COMPUTED_VALUE"""),"مهدیشهر")</f>
        <v>مهدیشهر</v>
      </c>
      <c r="F4404" s="5"/>
      <c r="G4404" s="5"/>
      <c r="H4404" s="6" t="str">
        <f>IFERROR(__xludf.DUMMYFUNCTION("""COMPUTED_VALUE"""),"https://www.instagram.com/kahfol_abbas_133/")</f>
        <v>https://www.instagram.com/kahfol_abbas_133/</v>
      </c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</row>
    <row r="4405">
      <c r="A4405" s="5"/>
      <c r="B4405" s="5"/>
      <c r="C4405" s="5" t="str">
        <f>IFERROR(__xludf.DUMMYFUNCTION("""COMPUTED_VALUE"""),"خیمةالحسین")</f>
        <v>خیمةالحسین</v>
      </c>
      <c r="D4405" s="5" t="str">
        <f>IFERROR(__xludf.DUMMYFUNCTION("""COMPUTED_VALUE"""),"سمنان")</f>
        <v>سمنان</v>
      </c>
      <c r="E4405" s="5" t="str">
        <f>IFERROR(__xludf.DUMMYFUNCTION("""COMPUTED_VALUE"""),"سمنان")</f>
        <v>سمنان</v>
      </c>
      <c r="F4405" s="5"/>
      <c r="G4405" s="5"/>
      <c r="H4405" s="6" t="str">
        <f>IFERROR(__xludf.DUMMYFUNCTION("""COMPUTED_VALUE"""),"https://www.instagram.com/kheymatolhosein128/")</f>
        <v>https://www.instagram.com/kheymatolhosein128/</v>
      </c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</row>
    <row r="4406">
      <c r="A4406" s="5"/>
      <c r="B4406" s="5"/>
      <c r="C4406" s="5" t="str">
        <f>IFERROR(__xludf.DUMMYFUNCTION("""COMPUTED_VALUE"""),"لواءالزینب")</f>
        <v>لواءالزینب</v>
      </c>
      <c r="D4406" s="5" t="str">
        <f>IFERROR(__xludf.DUMMYFUNCTION("""COMPUTED_VALUE"""),"سمنان")</f>
        <v>سمنان</v>
      </c>
      <c r="E4406" s="5" t="str">
        <f>IFERROR(__xludf.DUMMYFUNCTION("""COMPUTED_VALUE"""),"سمنان")</f>
        <v>سمنان</v>
      </c>
      <c r="F4406" s="5"/>
      <c r="G4406" s="5"/>
      <c r="H4406" s="6" t="str">
        <f>IFERROR(__xludf.DUMMYFUNCTION("""COMPUTED_VALUE"""),"https://www.instagram.com/levaozeynab_semnan/")</f>
        <v>https://www.instagram.com/levaozeynab_semnan/</v>
      </c>
      <c r="I4406" s="6" t="str">
        <f>IFERROR(__xludf.DUMMYFUNCTION("""COMPUTED_VALUE"""),"https://t.me/levaozeynab_semnan1387")</f>
        <v>https://t.me/levaozeynab_semnan1387</v>
      </c>
      <c r="J4406" s="5"/>
      <c r="K4406" s="5"/>
      <c r="L4406" s="5"/>
      <c r="M4406" s="5"/>
      <c r="N4406" s="5"/>
      <c r="O4406" s="5"/>
      <c r="P4406" s="5"/>
      <c r="Q4406" s="5"/>
      <c r="R4406" s="5"/>
      <c r="S4406" s="5"/>
    </row>
    <row r="4407">
      <c r="A4407" s="5"/>
      <c r="B4407" s="5" t="str">
        <f>IFERROR(__xludf.DUMMYFUNCTION("""COMPUTED_VALUE"""),"مهدیه")</f>
        <v>مهدیه</v>
      </c>
      <c r="C4407" s="5" t="str">
        <f>IFERROR(__xludf.DUMMYFUNCTION("""COMPUTED_VALUE"""),"اعظم")</f>
        <v>اعظم</v>
      </c>
      <c r="D4407" s="5" t="str">
        <f>IFERROR(__xludf.DUMMYFUNCTION("""COMPUTED_VALUE"""),"سمنان")</f>
        <v>سمنان</v>
      </c>
      <c r="E4407" s="5" t="str">
        <f>IFERROR(__xludf.DUMMYFUNCTION("""COMPUTED_VALUE"""),"سمنان")</f>
        <v>سمنان</v>
      </c>
      <c r="F4407" s="5"/>
      <c r="G4407" s="5"/>
      <c r="H4407" s="6" t="str">
        <f>IFERROR(__xludf.DUMMYFUNCTION("""COMPUTED_VALUE"""),"https://www.instagram.com/mahdiehsemnan/")</f>
        <v>https://www.instagram.com/mahdiehsemnan/</v>
      </c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</row>
    <row r="4408">
      <c r="A4408" s="5">
        <f>IFERROR(__xludf.DUMMYFUNCTION("""COMPUTED_VALUE"""),29841.0)</f>
        <v>29841</v>
      </c>
      <c r="B4408" s="5"/>
      <c r="C4408" s="5" t="str">
        <f>IFERROR(__xludf.DUMMYFUNCTION("""COMPUTED_VALUE"""),"محفل اشک زینب (س)")</f>
        <v>محفل اشک زینب (س)</v>
      </c>
      <c r="D4408" s="5" t="str">
        <f>IFERROR(__xludf.DUMMYFUNCTION("""COMPUTED_VALUE"""),"سمنان")</f>
        <v>سمنان</v>
      </c>
      <c r="E4408" s="5" t="str">
        <f>IFERROR(__xludf.DUMMYFUNCTION("""COMPUTED_VALUE"""),"دامغان")</f>
        <v>دامغان</v>
      </c>
      <c r="F4408" s="5"/>
      <c r="G4408" s="5"/>
      <c r="H4408" s="6" t="str">
        <f>IFERROR(__xludf.DUMMYFUNCTION("""COMPUTED_VALUE"""),"https://www.instagram.com/mahfelashk69/")</f>
        <v>https://www.instagram.com/mahfelashk69/</v>
      </c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</row>
    <row r="4409">
      <c r="A4409" s="5"/>
      <c r="B4409" s="5"/>
      <c r="C4409" s="5" t="str">
        <f>IFERROR(__xludf.DUMMYFUNCTION("""COMPUTED_VALUE"""),"روضة الحسین")</f>
        <v>روضة الحسین</v>
      </c>
      <c r="D4409" s="5" t="str">
        <f>IFERROR(__xludf.DUMMYFUNCTION("""COMPUTED_VALUE"""),"سمنان")</f>
        <v>سمنان</v>
      </c>
      <c r="E4409" s="5" t="str">
        <f>IFERROR(__xludf.DUMMYFUNCTION("""COMPUTED_VALUE"""),"سمنان")</f>
        <v>سمنان</v>
      </c>
      <c r="F4409" s="5"/>
      <c r="G4409" s="5"/>
      <c r="H4409" s="6" t="str">
        <f>IFERROR(__xludf.DUMMYFUNCTION("""COMPUTED_VALUE"""),"https://www.instagram.com/mahfelrozatolhosain/")</f>
        <v>https://www.instagram.com/mahfelrozatolhosain/</v>
      </c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</row>
    <row r="4410">
      <c r="A4410" s="5"/>
      <c r="B4410" s="5"/>
      <c r="C4410" s="5" t="str">
        <f>IFERROR(__xludf.DUMMYFUNCTION("""COMPUTED_VALUE"""),"مکتب الشهدا")</f>
        <v>مکتب الشهدا</v>
      </c>
      <c r="D4410" s="5" t="str">
        <f>IFERROR(__xludf.DUMMYFUNCTION("""COMPUTED_VALUE"""),"سمنان")</f>
        <v>سمنان</v>
      </c>
      <c r="E4410" s="5" t="str">
        <f>IFERROR(__xludf.DUMMYFUNCTION("""COMPUTED_VALUE"""),"سمنان")</f>
        <v>سمنان</v>
      </c>
      <c r="F4410" s="5"/>
      <c r="G4410" s="5"/>
      <c r="H4410" s="6" t="str">
        <f>IFERROR(__xludf.DUMMYFUNCTION("""COMPUTED_VALUE"""),"https://www.instagram.com/maktab_sem/")</f>
        <v>https://www.instagram.com/maktab_sem/</v>
      </c>
      <c r="I4410" s="6" t="str">
        <f>IFERROR(__xludf.DUMMYFUNCTION("""COMPUTED_VALUE"""),"https://t.me/maktab_sem")</f>
        <v>https://t.me/maktab_sem</v>
      </c>
      <c r="J4410" s="5"/>
      <c r="K4410" s="5"/>
      <c r="L4410" s="5"/>
      <c r="M4410" s="5"/>
      <c r="N4410" s="5"/>
      <c r="O4410" s="5"/>
      <c r="P4410" s="5"/>
      <c r="Q4410" s="5"/>
      <c r="R4410" s="5"/>
      <c r="S4410" s="5"/>
    </row>
    <row r="4411">
      <c r="A4411" s="5">
        <f>IFERROR(__xludf.DUMMYFUNCTION("""COMPUTED_VALUE"""),21463.0)</f>
        <v>21463</v>
      </c>
      <c r="B4411" s="5"/>
      <c r="C4411" s="5" t="str">
        <f>IFERROR(__xludf.DUMMYFUNCTION("""COMPUTED_VALUE"""),"مکتب الزهرا (س)")</f>
        <v>مکتب الزهرا (س)</v>
      </c>
      <c r="D4411" s="5" t="str">
        <f>IFERROR(__xludf.DUMMYFUNCTION("""COMPUTED_VALUE"""),"سمنان")</f>
        <v>سمنان</v>
      </c>
      <c r="E4411" s="5" t="str">
        <f>IFERROR(__xludf.DUMMYFUNCTION("""COMPUTED_VALUE"""),"مهدی شهر")</f>
        <v>مهدی شهر</v>
      </c>
      <c r="F4411" s="5"/>
      <c r="G4411" s="5"/>
      <c r="H4411" s="6" t="str">
        <f>IFERROR(__xludf.DUMMYFUNCTION("""COMPUTED_VALUE"""),"https://www.instagram.com/maktabazzahra_ir/")</f>
        <v>https://www.instagram.com/maktabazzahra_ir/</v>
      </c>
      <c r="I4411" s="6" t="str">
        <f>IFERROR(__xludf.DUMMYFUNCTION("""COMPUTED_VALUE"""),"t.me/maktabazzahra_ir")</f>
        <v>t.me/maktabazzahra_ir</v>
      </c>
      <c r="J4411" s="5"/>
      <c r="K4411" s="5"/>
      <c r="L4411" s="5"/>
      <c r="M4411" s="5"/>
      <c r="N4411" s="5"/>
      <c r="O4411" s="5"/>
      <c r="P4411" s="5"/>
      <c r="Q4411" s="5"/>
      <c r="R4411" s="5"/>
      <c r="S4411" s="5"/>
    </row>
    <row r="4412">
      <c r="A4412" s="5"/>
      <c r="B4412" s="5"/>
      <c r="C4412" s="5" t="str">
        <f>IFERROR(__xludf.DUMMYFUNCTION("""COMPUTED_VALUE"""),"مکتب العباس")</f>
        <v>مکتب العباس</v>
      </c>
      <c r="D4412" s="5" t="str">
        <f>IFERROR(__xludf.DUMMYFUNCTION("""COMPUTED_VALUE"""),"سمنان")</f>
        <v>سمنان</v>
      </c>
      <c r="E4412" s="5" t="str">
        <f>IFERROR(__xludf.DUMMYFUNCTION("""COMPUTED_VALUE"""),"سمنان")</f>
        <v>سمنان</v>
      </c>
      <c r="F4412" s="5"/>
      <c r="G4412" s="5"/>
      <c r="H4412" s="6" t="str">
        <f>IFERROR(__xludf.DUMMYFUNCTION("""COMPUTED_VALUE"""),"https://www.instagram.com/maktabolabas.semnan/")</f>
        <v>https://www.instagram.com/maktabolabas.semnan/</v>
      </c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</row>
    <row r="4413">
      <c r="A4413" s="5"/>
      <c r="B4413" s="5"/>
      <c r="C4413" s="5" t="str">
        <f>IFERROR(__xludf.DUMMYFUNCTION("""COMPUTED_VALUE"""),"محبان الحسین")</f>
        <v>محبان الحسین</v>
      </c>
      <c r="D4413" s="5" t="str">
        <f>IFERROR(__xludf.DUMMYFUNCTION("""COMPUTED_VALUE"""),"سمنان")</f>
        <v>سمنان</v>
      </c>
      <c r="E4413" s="5" t="str">
        <f>IFERROR(__xludf.DUMMYFUNCTION("""COMPUTED_VALUE"""),"شاهرود")</f>
        <v>شاهرود</v>
      </c>
      <c r="F4413" s="5"/>
      <c r="G4413" s="5"/>
      <c r="H4413" s="6" t="str">
        <f>IFERROR(__xludf.DUMMYFUNCTION("""COMPUTED_VALUE"""),"https://www.instagram.com/moheban_hossein7/")</f>
        <v>https://www.instagram.com/moheban_hossein7/</v>
      </c>
      <c r="I4413" s="6" t="str">
        <f>IFERROR(__xludf.DUMMYFUNCTION("""COMPUTED_VALUE"""),"https://t.me/Moheban_Hossein7")</f>
        <v>https://t.me/Moheban_Hossein7</v>
      </c>
      <c r="J4413" s="5"/>
      <c r="K4413" s="5"/>
      <c r="L4413" s="5"/>
      <c r="M4413" s="5"/>
      <c r="N4413" s="5"/>
      <c r="O4413" s="5"/>
      <c r="P4413" s="5"/>
      <c r="Q4413" s="5"/>
      <c r="R4413" s="5"/>
      <c r="S4413" s="5"/>
    </row>
    <row r="4414">
      <c r="A4414" s="5"/>
      <c r="B4414" s="5" t="str">
        <f>IFERROR(__xludf.DUMMYFUNCTION("""COMPUTED_VALUE"""),"هیأت دانشجویی")</f>
        <v>هیأت دانشجویی</v>
      </c>
      <c r="C4414" s="5" t="str">
        <f>IFERROR(__xludf.DUMMYFUNCTION("""COMPUTED_VALUE"""),"محبان روح الله")</f>
        <v>محبان روح الله</v>
      </c>
      <c r="D4414" s="5" t="str">
        <f>IFERROR(__xludf.DUMMYFUNCTION("""COMPUTED_VALUE"""),"سمنان")</f>
        <v>سمنان</v>
      </c>
      <c r="E4414" s="5" t="str">
        <f>IFERROR(__xludf.DUMMYFUNCTION("""COMPUTED_VALUE"""),"سمنان")</f>
        <v>سمنان</v>
      </c>
      <c r="F4414" s="5" t="str">
        <f>IFERROR(__xludf.DUMMYFUNCTION("""COMPUTED_VALUE"""),"دانشگاه سمنان")</f>
        <v>دانشگاه سمنان</v>
      </c>
      <c r="G4414" s="5"/>
      <c r="H4414" s="6" t="str">
        <f>IFERROR(__xludf.DUMMYFUNCTION("""COMPUTED_VALUE"""),"https://www.instagram.com/mohebane_rouhollah/")</f>
        <v>https://www.instagram.com/mohebane_rouhollah/</v>
      </c>
      <c r="I4414" s="5" t="str">
        <f>IFERROR(__xludf.DUMMYFUNCTION("""COMPUTED_VALUE"""),"https://t.me/mohebane_rouhollah‌")</f>
        <v>https://t.me/mohebane_rouhollah‌</v>
      </c>
      <c r="J4414" s="5"/>
      <c r="K4414" s="5"/>
      <c r="L4414" s="5"/>
      <c r="M4414" s="5"/>
      <c r="N4414" s="5"/>
      <c r="O4414" s="5"/>
      <c r="P4414" s="5"/>
      <c r="Q4414" s="5"/>
      <c r="R4414" s="5"/>
      <c r="S4414" s="5"/>
    </row>
    <row r="4415">
      <c r="A4415" s="5"/>
      <c r="B4415" s="5"/>
      <c r="C4415" s="5" t="str">
        <f>IFERROR(__xludf.DUMMYFUNCTION("""COMPUTED_VALUE"""),"محبین الائمه")</f>
        <v>محبین الائمه</v>
      </c>
      <c r="D4415" s="5" t="str">
        <f>IFERROR(__xludf.DUMMYFUNCTION("""COMPUTED_VALUE"""),"سمنان")</f>
        <v>سمنان</v>
      </c>
      <c r="E4415" s="5" t="str">
        <f>IFERROR(__xludf.DUMMYFUNCTION("""COMPUTED_VALUE"""),"شاهرود")</f>
        <v>شاهرود</v>
      </c>
      <c r="F4415" s="5"/>
      <c r="G4415" s="5"/>
      <c r="H4415" s="6" t="str">
        <f>IFERROR(__xludf.DUMMYFUNCTION("""COMPUTED_VALUE"""),"https://www.instagram.com/mohebbin_/")</f>
        <v>https://www.instagram.com/mohebbin_/</v>
      </c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</row>
    <row r="4416">
      <c r="A4416" s="5"/>
      <c r="B4416" s="5"/>
      <c r="C4416" s="5" t="str">
        <f>IFERROR(__xludf.DUMMYFUNCTION("""COMPUTED_VALUE"""),"محبین آل رسول الله")</f>
        <v>محبین آل رسول الله</v>
      </c>
      <c r="D4416" s="5" t="str">
        <f>IFERROR(__xludf.DUMMYFUNCTION("""COMPUTED_VALUE"""),"سمنان")</f>
        <v>سمنان</v>
      </c>
      <c r="E4416" s="5" t="str">
        <f>IFERROR(__xludf.DUMMYFUNCTION("""COMPUTED_VALUE"""),"دامغان")</f>
        <v>دامغان</v>
      </c>
      <c r="F4416" s="5"/>
      <c r="G4416" s="5"/>
      <c r="H4416" s="6" t="str">
        <f>IFERROR(__xludf.DUMMYFUNCTION("""COMPUTED_VALUE"""),"https://www.instagram.com/mohebinalrasolall/")</f>
        <v>https://www.instagram.com/mohebinalrasolall/</v>
      </c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</row>
    <row r="4417">
      <c r="A4417" s="5"/>
      <c r="B4417" s="5"/>
      <c r="C4417" s="5" t="str">
        <f>IFERROR(__xludf.DUMMYFUNCTION("""COMPUTED_VALUE"""),"محبین الزهرا پنج تن آل عبا")</f>
        <v>محبین الزهرا پنج تن آل عبا</v>
      </c>
      <c r="D4417" s="5" t="str">
        <f>IFERROR(__xludf.DUMMYFUNCTION("""COMPUTED_VALUE"""),"سمنان")</f>
        <v>سمنان</v>
      </c>
      <c r="E4417" s="5" t="str">
        <f>IFERROR(__xludf.DUMMYFUNCTION("""COMPUTED_VALUE"""),"سمنان")</f>
        <v>سمنان</v>
      </c>
      <c r="F4417" s="5" t="str">
        <f>IFERROR(__xludf.DUMMYFUNCTION("""COMPUTED_VALUE"""),"شهرک گلستان")</f>
        <v>شهرک گلستان</v>
      </c>
      <c r="G4417" s="5"/>
      <c r="H4417" s="6" t="str">
        <f>IFERROR(__xludf.DUMMYFUNCTION("""COMPUTED_VALUE"""),"https://www.instagram.com/mohebinoozahra/")</f>
        <v>https://www.instagram.com/mohebinoozahra/</v>
      </c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</row>
    <row r="4418">
      <c r="A4418" s="5"/>
      <c r="B4418" s="5"/>
      <c r="C4418" s="5" t="str">
        <f>IFERROR(__xludf.DUMMYFUNCTION("""COMPUTED_VALUE"""),"عشاق العباس")</f>
        <v>عشاق العباس</v>
      </c>
      <c r="D4418" s="5" t="str">
        <f>IFERROR(__xludf.DUMMYFUNCTION("""COMPUTED_VALUE"""),"سمنان")</f>
        <v>سمنان</v>
      </c>
      <c r="E4418" s="5" t="str">
        <f>IFERROR(__xludf.DUMMYFUNCTION("""COMPUTED_VALUE"""),"سمنان")</f>
        <v>سمنان</v>
      </c>
      <c r="F4418" s="5"/>
      <c r="G4418" s="5"/>
      <c r="H4418" s="6" t="str">
        <f>IFERROR(__xludf.DUMMYFUNCTION("""COMPUTED_VALUE"""),"https://www.instagram.com/mokeb_oshagh_abas_semnan/")</f>
        <v>https://www.instagram.com/mokeb_oshagh_abas_semnan/</v>
      </c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</row>
    <row r="4419">
      <c r="A4419" s="5">
        <f>IFERROR(__xludf.DUMMYFUNCTION("""COMPUTED_VALUE"""),23942.0)</f>
        <v>23942</v>
      </c>
      <c r="B4419" s="5"/>
      <c r="C4419" s="5" t="str">
        <f>IFERROR(__xludf.DUMMYFUNCTION("""COMPUTED_VALUE"""),"انصار المهدی(عج)")</f>
        <v>انصار المهدی(عج)</v>
      </c>
      <c r="D4419" s="5" t="str">
        <f>IFERROR(__xludf.DUMMYFUNCTION("""COMPUTED_VALUE"""),"سمنان")</f>
        <v>سمنان</v>
      </c>
      <c r="E4419" s="5" t="str">
        <f>IFERROR(__xludf.DUMMYFUNCTION("""COMPUTED_VALUE"""),"دامغان")</f>
        <v>دامغان</v>
      </c>
      <c r="F4419" s="5"/>
      <c r="G4419" s="5"/>
      <c r="H4419" s="6" t="str">
        <f>IFERROR(__xludf.DUMMYFUNCTION("""COMPUTED_VALUE"""),"https://www.instagram.com/nojaba_net/")</f>
        <v>https://www.instagram.com/nojaba_net/</v>
      </c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</row>
    <row r="4420">
      <c r="A4420" s="5"/>
      <c r="B4420" s="5"/>
      <c r="C4420" s="5" t="str">
        <f>IFERROR(__xludf.DUMMYFUNCTION("""COMPUTED_VALUE"""),"نورالزهرا")</f>
        <v>نورالزهرا</v>
      </c>
      <c r="D4420" s="5" t="str">
        <f>IFERROR(__xludf.DUMMYFUNCTION("""COMPUTED_VALUE"""),"سمنان")</f>
        <v>سمنان</v>
      </c>
      <c r="E4420" s="5" t="str">
        <f>IFERROR(__xludf.DUMMYFUNCTION("""COMPUTED_VALUE"""),"سمنان")</f>
        <v>سمنان</v>
      </c>
      <c r="F4420" s="5"/>
      <c r="G4420" s="5"/>
      <c r="H4420" s="6" t="str">
        <f>IFERROR(__xludf.DUMMYFUNCTION("""COMPUTED_VALUE"""),"https://www.instagram.com/noralzahra135/")</f>
        <v>https://www.instagram.com/noralzahra135/</v>
      </c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</row>
    <row r="4421">
      <c r="A4421" s="5"/>
      <c r="B4421" s="5"/>
      <c r="C4421" s="5" t="str">
        <f>IFERROR(__xludf.DUMMYFUNCTION("""COMPUTED_VALUE"""),"ام المصائب")</f>
        <v>ام المصائب</v>
      </c>
      <c r="D4421" s="5" t="str">
        <f>IFERROR(__xludf.DUMMYFUNCTION("""COMPUTED_VALUE"""),"سمنان")</f>
        <v>سمنان</v>
      </c>
      <c r="E4421" s="5" t="str">
        <f>IFERROR(__xludf.DUMMYFUNCTION("""COMPUTED_VALUE"""),"مهدیشهر")</f>
        <v>مهدیشهر</v>
      </c>
      <c r="F4421" s="5"/>
      <c r="G4421" s="5"/>
      <c r="H4421" s="6" t="str">
        <f>IFERROR(__xludf.DUMMYFUNCTION("""COMPUTED_VALUE"""),"https://www.instagram.com/om_almasaeb_/")</f>
        <v>https://www.instagram.com/om_almasaeb_/</v>
      </c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</row>
    <row r="4422">
      <c r="A4422" s="5"/>
      <c r="B4422" s="5"/>
      <c r="C4422" s="5" t="str">
        <f>IFERROR(__xludf.DUMMYFUNCTION("""COMPUTED_VALUE"""),"عشاق الرقیه")</f>
        <v>عشاق الرقیه</v>
      </c>
      <c r="D4422" s="5" t="str">
        <f>IFERROR(__xludf.DUMMYFUNCTION("""COMPUTED_VALUE"""),"سمنان")</f>
        <v>سمنان</v>
      </c>
      <c r="E4422" s="5" t="str">
        <f>IFERROR(__xludf.DUMMYFUNCTION("""COMPUTED_VALUE"""),"سمنان")</f>
        <v>سمنان</v>
      </c>
      <c r="F4422" s="5"/>
      <c r="G4422" s="5"/>
      <c r="H4422" s="6" t="str">
        <f>IFERROR(__xludf.DUMMYFUNCTION("""COMPUTED_VALUE"""),"https://www.instagram.com/oshagh_alroghayeh_semnan/")</f>
        <v>https://www.instagram.com/oshagh_alroghayeh_semnan/</v>
      </c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</row>
    <row r="4423">
      <c r="A4423" s="5">
        <f>IFERROR(__xludf.DUMMYFUNCTION("""COMPUTED_VALUE"""),21464.0)</f>
        <v>21464</v>
      </c>
      <c r="B4423" s="5"/>
      <c r="C4423" s="5" t="str">
        <f>IFERROR(__xludf.DUMMYFUNCTION("""COMPUTED_VALUE"""),"بین الحرمین")</f>
        <v>بین الحرمین</v>
      </c>
      <c r="D4423" s="5" t="str">
        <f>IFERROR(__xludf.DUMMYFUNCTION("""COMPUTED_VALUE"""),"سمنان")</f>
        <v>سمنان</v>
      </c>
      <c r="E4423" s="5" t="str">
        <f>IFERROR(__xludf.DUMMYFUNCTION("""COMPUTED_VALUE"""),"سمنان")</f>
        <v>سمنان</v>
      </c>
      <c r="F4423" s="5"/>
      <c r="G4423" s="5"/>
      <c r="H4423" s="6" t="str">
        <f>IFERROR(__xludf.DUMMYFUNCTION("""COMPUTED_VALUE"""),"https://www.instagram.com/oshagh.almahdi.semnan/")</f>
        <v>https://www.instagram.com/oshagh.almahdi.semnan/</v>
      </c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</row>
    <row r="4424">
      <c r="A4424" s="5"/>
      <c r="B4424" s="5"/>
      <c r="C4424" s="5" t="str">
        <f>IFERROR(__xludf.DUMMYFUNCTION("""COMPUTED_VALUE"""),"عشاق الحسین (ع)")</f>
        <v>عشاق الحسین (ع)</v>
      </c>
      <c r="D4424" s="5" t="str">
        <f>IFERROR(__xludf.DUMMYFUNCTION("""COMPUTED_VALUE"""),"سمنان")</f>
        <v>سمنان</v>
      </c>
      <c r="E4424" s="5" t="str">
        <f>IFERROR(__xludf.DUMMYFUNCTION("""COMPUTED_VALUE"""),"شاهرود")</f>
        <v>شاهرود</v>
      </c>
      <c r="F4424" s="5" t="str">
        <f>IFERROR(__xludf.DUMMYFUNCTION("""COMPUTED_VALUE"""),"روستای گرمن")</f>
        <v>روستای گرمن</v>
      </c>
      <c r="G4424" s="5"/>
      <c r="H4424" s="6" t="str">
        <f>IFERROR(__xludf.DUMMYFUNCTION("""COMPUTED_VALUE"""),"https://www.instagram.com/oshagholhosaingarman/")</f>
        <v>https://www.instagram.com/oshagholhosaingarman/</v>
      </c>
      <c r="I4424" s="6" t="str">
        <f>IFERROR(__xludf.DUMMYFUNCTION("""COMPUTED_VALUE"""),"https://www.instagram.com/gharargahe_mersad")</f>
        <v>https://www.instagram.com/gharargahe_mersad</v>
      </c>
      <c r="J4424" s="5"/>
      <c r="K4424" s="5"/>
      <c r="L4424" s="5"/>
      <c r="M4424" s="5"/>
      <c r="N4424" s="5"/>
      <c r="O4424" s="5"/>
      <c r="P4424" s="5"/>
      <c r="Q4424" s="5"/>
      <c r="R4424" s="5"/>
      <c r="S4424" s="5"/>
    </row>
    <row r="4425">
      <c r="A4425" s="5">
        <f>IFERROR(__xludf.DUMMYFUNCTION("""COMPUTED_VALUE"""),33300.0)</f>
        <v>33300</v>
      </c>
      <c r="B4425" s="5" t="str">
        <f>IFERROR(__xludf.DUMMYFUNCTION("""COMPUTED_VALUE"""),"حسینیه")</f>
        <v>حسینیه</v>
      </c>
      <c r="C4425" s="5" t="str">
        <f>IFERROR(__xludf.DUMMYFUNCTION("""COMPUTED_VALUE"""),"حضرت رقیه (س)")</f>
        <v>حضرت رقیه (س)</v>
      </c>
      <c r="D4425" s="5" t="str">
        <f>IFERROR(__xludf.DUMMYFUNCTION("""COMPUTED_VALUE"""),"سمنان")</f>
        <v>سمنان</v>
      </c>
      <c r="E4425" s="5" t="str">
        <f>IFERROR(__xludf.DUMMYFUNCTION("""COMPUTED_VALUE"""),"شاهرود")</f>
        <v>شاهرود</v>
      </c>
      <c r="F4425" s="5"/>
      <c r="G4425" s="5"/>
      <c r="H4425" s="6" t="str">
        <f>IFERROR(__xludf.DUMMYFUNCTION("""COMPUTED_VALUE"""),"https://www.instagram.com/resaneh_kosar315")</f>
        <v>https://www.instagram.com/resaneh_kosar315</v>
      </c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</row>
    <row r="4426">
      <c r="A4426" s="5"/>
      <c r="B4426" s="5"/>
      <c r="C4426" s="5" t="str">
        <f>IFERROR(__xludf.DUMMYFUNCTION("""COMPUTED_VALUE"""),"ریحانه الحسین(ع)")</f>
        <v>ریحانه الحسین(ع)</v>
      </c>
      <c r="D4426" s="5" t="str">
        <f>IFERROR(__xludf.DUMMYFUNCTION("""COMPUTED_VALUE"""),"سمنان")</f>
        <v>سمنان</v>
      </c>
      <c r="E4426" s="5" t="str">
        <f>IFERROR(__xludf.DUMMYFUNCTION("""COMPUTED_VALUE"""),"سمنان")</f>
        <v>سمنان</v>
      </c>
      <c r="F4426" s="5"/>
      <c r="G4426" s="5"/>
      <c r="H4426" s="6" t="str">
        <f>IFERROR(__xludf.DUMMYFUNCTION("""COMPUTED_VALUE"""),"https://www.instagram.com/reyhaneh_al.hossein.board/")</f>
        <v>https://www.instagram.com/reyhaneh_al.hossein.board/</v>
      </c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</row>
    <row r="4427">
      <c r="A4427" s="5"/>
      <c r="B4427" s="5"/>
      <c r="C4427" s="5" t="str">
        <f>IFERROR(__xludf.DUMMYFUNCTION("""COMPUTED_VALUE"""),"روضةالمخدرات")</f>
        <v>روضةالمخدرات</v>
      </c>
      <c r="D4427" s="5" t="str">
        <f>IFERROR(__xludf.DUMMYFUNCTION("""COMPUTED_VALUE"""),"سمنان")</f>
        <v>سمنان</v>
      </c>
      <c r="E4427" s="5" t="str">
        <f>IFERROR(__xludf.DUMMYFUNCTION("""COMPUTED_VALUE"""),"سمنان")</f>
        <v>سمنان</v>
      </c>
      <c r="F4427" s="5"/>
      <c r="G4427" s="5"/>
      <c r="H4427" s="6" t="str">
        <f>IFERROR(__xludf.DUMMYFUNCTION("""COMPUTED_VALUE"""),"https://www.instagram.com/rozatolmokhadarat/")</f>
        <v>https://www.instagram.com/rozatolmokhadarat/</v>
      </c>
      <c r="I4427" s="6" t="str">
        <f>IFERROR(__xludf.DUMMYFUNCTION("""COMPUTED_VALUE"""),"https://t.me/rozatolmokhadarat")</f>
        <v>https://t.me/rozatolmokhadarat</v>
      </c>
      <c r="J4427" s="5"/>
      <c r="K4427" s="5"/>
      <c r="L4427" s="5"/>
      <c r="M4427" s="5"/>
      <c r="N4427" s="5"/>
      <c r="O4427" s="5"/>
      <c r="P4427" s="5"/>
      <c r="Q4427" s="5"/>
      <c r="R4427" s="5"/>
      <c r="S4427" s="5"/>
    </row>
    <row r="4428">
      <c r="A4428" s="5"/>
      <c r="B4428" s="5"/>
      <c r="C4428" s="5" t="str">
        <f>IFERROR(__xludf.DUMMYFUNCTION("""COMPUTED_VALUE"""),"روضة الشهداء")</f>
        <v>روضة الشهداء</v>
      </c>
      <c r="D4428" s="5" t="str">
        <f>IFERROR(__xludf.DUMMYFUNCTION("""COMPUTED_VALUE"""),"سمنان")</f>
        <v>سمنان</v>
      </c>
      <c r="E4428" s="5" t="str">
        <f>IFERROR(__xludf.DUMMYFUNCTION("""COMPUTED_VALUE"""),"گرمسار")</f>
        <v>گرمسار</v>
      </c>
      <c r="F4428" s="5"/>
      <c r="G4428" s="5">
        <f>IFERROR(__xludf.DUMMYFUNCTION("""COMPUTED_VALUE"""),1.0)</f>
        <v>1</v>
      </c>
      <c r="H4428" s="6" t="str">
        <f>IFERROR(__xludf.DUMMYFUNCTION("""COMPUTED_VALUE"""),"https://www.instagram.com/rozatoshohada_garmsar/")</f>
        <v>https://www.instagram.com/rozatoshohada_garmsar/</v>
      </c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</row>
    <row r="4429">
      <c r="A4429" s="5"/>
      <c r="B4429" s="5"/>
      <c r="C4429" s="5" t="str">
        <f>IFERROR(__xludf.DUMMYFUNCTION("""COMPUTED_VALUE"""),"ثامن الائمه")</f>
        <v>ثامن الائمه</v>
      </c>
      <c r="D4429" s="5" t="str">
        <f>IFERROR(__xludf.DUMMYFUNCTION("""COMPUTED_VALUE"""),"سمنان")</f>
        <v>سمنان</v>
      </c>
      <c r="E4429" s="5" t="str">
        <f>IFERROR(__xludf.DUMMYFUNCTION("""COMPUTED_VALUE"""),"سمنان")</f>
        <v>سمنان</v>
      </c>
      <c r="F4429" s="5"/>
      <c r="G4429" s="5"/>
      <c r="H4429" s="6" t="str">
        <f>IFERROR(__xludf.DUMMYFUNCTION("""COMPUTED_VALUE"""),"https://www.instagram.com/samen_heiat/")</f>
        <v>https://www.instagram.com/samen_heiat/</v>
      </c>
      <c r="I4429" s="6" t="str">
        <f>IFERROR(__xludf.DUMMYFUNCTION("""COMPUTED_VALUE"""),"https://t.me/samen_heiat")</f>
        <v>https://t.me/samen_heiat</v>
      </c>
      <c r="J4429" s="5"/>
      <c r="K4429" s="5"/>
      <c r="L4429" s="5"/>
      <c r="M4429" s="5"/>
      <c r="N4429" s="5"/>
      <c r="O4429" s="5"/>
      <c r="P4429" s="5"/>
      <c r="Q4429" s="5"/>
      <c r="R4429" s="5"/>
      <c r="S4429" s="5"/>
    </row>
    <row r="4430">
      <c r="A4430" s="5">
        <f>IFERROR(__xludf.DUMMYFUNCTION("""COMPUTED_VALUE"""),32304.0)</f>
        <v>32304</v>
      </c>
      <c r="B4430" s="5" t="str">
        <f>IFERROR(__xludf.DUMMYFUNCTION("""COMPUTED_VALUE"""),"هیأت")</f>
        <v>هیأت</v>
      </c>
      <c r="C4430" s="5" t="str">
        <f>IFERROR(__xludf.DUMMYFUNCTION("""COMPUTED_VALUE"""),"رزمندگان اسلام - عاشقان ثارالله")</f>
        <v>رزمندگان اسلام - عاشقان ثارالله</v>
      </c>
      <c r="D4430" s="5" t="str">
        <f>IFERROR(__xludf.DUMMYFUNCTION("""COMPUTED_VALUE"""),"سمنان")</f>
        <v>سمنان</v>
      </c>
      <c r="E4430" s="5" t="str">
        <f>IFERROR(__xludf.DUMMYFUNCTION("""COMPUTED_VALUE"""),"گرمسار")</f>
        <v>گرمسار</v>
      </c>
      <c r="F4430" s="5"/>
      <c r="G4430" s="5"/>
      <c r="H4430" s="6" t="str">
        <f>IFERROR(__xludf.DUMMYFUNCTION("""COMPUTED_VALUE"""),"https://www.instagram.com/sarallah__garmsar/")</f>
        <v>https://www.instagram.com/sarallah__garmsar/</v>
      </c>
      <c r="I4430" s="6" t="str">
        <f>IFERROR(__xludf.DUMMYFUNCTION("""COMPUTED_VALUE"""),"https://t.me/sarallah_garmsar")</f>
        <v>https://t.me/sarallah_garmsar</v>
      </c>
      <c r="J4430" s="5"/>
      <c r="K4430" s="5"/>
      <c r="L4430" s="5"/>
      <c r="M4430" s="5"/>
      <c r="N4430" s="5"/>
      <c r="O4430" s="5"/>
      <c r="P4430" s="5"/>
      <c r="Q4430" s="5"/>
      <c r="R4430" s="5"/>
      <c r="S4430" s="5"/>
    </row>
    <row r="4431">
      <c r="A4431" s="5"/>
      <c r="B4431" s="5"/>
      <c r="C4431" s="5" t="str">
        <f>IFERROR(__xludf.DUMMYFUNCTION("""COMPUTED_VALUE"""),"موسسه سید الشهدا")</f>
        <v>موسسه سید الشهدا</v>
      </c>
      <c r="D4431" s="5" t="str">
        <f>IFERROR(__xludf.DUMMYFUNCTION("""COMPUTED_VALUE"""),"سمنان")</f>
        <v>سمنان</v>
      </c>
      <c r="E4431" s="5" t="str">
        <f>IFERROR(__xludf.DUMMYFUNCTION("""COMPUTED_VALUE"""),"شاهرود")</f>
        <v>شاهرود</v>
      </c>
      <c r="F4431" s="5"/>
      <c r="G4431" s="5"/>
      <c r="H4431" s="6" t="str">
        <f>IFERROR(__xludf.DUMMYFUNCTION("""COMPUTED_VALUE"""),"https://www.instagram.com/sayyed_ashohada/")</f>
        <v>https://www.instagram.com/sayyed_ashohada/</v>
      </c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</row>
    <row r="4432">
      <c r="A4432" s="5">
        <f>IFERROR(__xludf.DUMMYFUNCTION("""COMPUTED_VALUE"""),29842.0)</f>
        <v>29842</v>
      </c>
      <c r="B4432" s="5"/>
      <c r="C4432" s="5" t="str">
        <f>IFERROR(__xludf.DUMMYFUNCTION("""COMPUTED_VALUE"""),"محبان فاطمه (س)")</f>
        <v>محبان فاطمه (س)</v>
      </c>
      <c r="D4432" s="5" t="str">
        <f>IFERROR(__xludf.DUMMYFUNCTION("""COMPUTED_VALUE"""),"سمنان")</f>
        <v>سمنان</v>
      </c>
      <c r="E4432" s="5" t="str">
        <f>IFERROR(__xludf.DUMMYFUNCTION("""COMPUTED_VALUE"""),"سمنان")</f>
        <v>سمنان</v>
      </c>
      <c r="F4432" s="5"/>
      <c r="G4432" s="5"/>
      <c r="H4432" s="6" t="str">
        <f>IFERROR(__xludf.DUMMYFUNCTION("""COMPUTED_VALUE"""),"https://www.instagram.com/semnan.mohebban/")</f>
        <v>https://www.instagram.com/semnan.mohebban/</v>
      </c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</row>
    <row r="4433">
      <c r="A4433" s="5"/>
      <c r="B4433" s="5"/>
      <c r="C4433" s="5" t="str">
        <f>IFERROR(__xludf.DUMMYFUNCTION("""COMPUTED_VALUE"""),"سیدالشهداء")</f>
        <v>سیدالشهداء</v>
      </c>
      <c r="D4433" s="5" t="str">
        <f>IFERROR(__xludf.DUMMYFUNCTION("""COMPUTED_VALUE"""),"سمنان")</f>
        <v>سمنان</v>
      </c>
      <c r="E4433" s="5" t="str">
        <f>IFERROR(__xludf.DUMMYFUNCTION("""COMPUTED_VALUE"""),"سمنان")</f>
        <v>سمنان</v>
      </c>
      <c r="F4433" s="5"/>
      <c r="G4433" s="5"/>
      <c r="H4433" s="6" t="str">
        <f>IFERROR(__xludf.DUMMYFUNCTION("""COMPUTED_VALUE"""),"https://www.instagram.com/seyedoshohada_semnan/")</f>
        <v>https://www.instagram.com/seyedoshohada_semnan/</v>
      </c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</row>
    <row r="4434">
      <c r="A4434" s="5"/>
      <c r="B4434" s="5"/>
      <c r="C4434" s="5" t="str">
        <f>IFERROR(__xludf.DUMMYFUNCTION("""COMPUTED_VALUE"""),"اباعبدالله الحسین")</f>
        <v>اباعبدالله الحسین</v>
      </c>
      <c r="D4434" s="5" t="str">
        <f>IFERROR(__xludf.DUMMYFUNCTION("""COMPUTED_VALUE"""),"سمنان")</f>
        <v>سمنان</v>
      </c>
      <c r="E4434" s="5" t="str">
        <f>IFERROR(__xludf.DUMMYFUNCTION("""COMPUTED_VALUE"""),"سرخه")</f>
        <v>سرخه</v>
      </c>
      <c r="F4434" s="5"/>
      <c r="G4434" s="5"/>
      <c r="H4434" s="6" t="str">
        <f>IFERROR(__xludf.DUMMYFUNCTION("""COMPUTED_VALUE"""),"https://www.instagram.com/tekyeh_posht_khandagh_sorkheh/")</f>
        <v>https://www.instagram.com/tekyeh_posht_khandagh_sorkheh/</v>
      </c>
      <c r="I4434" s="6" t="str">
        <f>IFERROR(__xludf.DUMMYFUNCTION("""COMPUTED_VALUE"""),"https://t.me/tkyeh_posht_khandagh")</f>
        <v>https://t.me/tkyeh_posht_khandagh</v>
      </c>
      <c r="J4434" s="5"/>
      <c r="K4434" s="5"/>
      <c r="L4434" s="5"/>
      <c r="M4434" s="5"/>
      <c r="N4434" s="5"/>
      <c r="O4434" s="5"/>
      <c r="P4434" s="5"/>
      <c r="Q4434" s="5"/>
      <c r="R4434" s="5"/>
      <c r="S4434" s="5"/>
    </row>
    <row r="4435">
      <c r="A4435" s="5">
        <f>IFERROR(__xludf.DUMMYFUNCTION("""COMPUTED_VALUE"""),29840.0)</f>
        <v>29840</v>
      </c>
      <c r="B4435" s="5"/>
      <c r="C4435" s="5" t="str">
        <f>IFERROR(__xludf.DUMMYFUNCTION("""COMPUTED_VALUE"""),"زوارالحسین (ع)")</f>
        <v>زوارالحسین (ع)</v>
      </c>
      <c r="D4435" s="5" t="str">
        <f>IFERROR(__xludf.DUMMYFUNCTION("""COMPUTED_VALUE"""),"سمنان")</f>
        <v>سمنان</v>
      </c>
      <c r="E4435" s="5" t="str">
        <f>IFERROR(__xludf.DUMMYFUNCTION("""COMPUTED_VALUE"""),"سمنان")</f>
        <v>سمنان</v>
      </c>
      <c r="F4435" s="5"/>
      <c r="G4435" s="5"/>
      <c r="H4435" s="6" t="str">
        <f>IFERROR(__xludf.DUMMYFUNCTION("""COMPUTED_VALUE"""),"https://www.instagram.com/zavar_al_hosein_semnan/")</f>
        <v>https://www.instagram.com/zavar_al_hosein_semnan/</v>
      </c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</row>
    <row r="4436">
      <c r="A4436" s="5"/>
      <c r="B4436" s="5"/>
      <c r="C4436" s="5" t="str">
        <f>IFERROR(__xludf.DUMMYFUNCTION("""COMPUTED_VALUE"""),"زوارالزهرا")</f>
        <v>زوارالزهرا</v>
      </c>
      <c r="D4436" s="5" t="str">
        <f>IFERROR(__xludf.DUMMYFUNCTION("""COMPUTED_VALUE"""),"سمنان")</f>
        <v>سمنان</v>
      </c>
      <c r="E4436" s="5" t="str">
        <f>IFERROR(__xludf.DUMMYFUNCTION("""COMPUTED_VALUE"""),"شهمیرزاد")</f>
        <v>شهمیرزاد</v>
      </c>
      <c r="F4436" s="5"/>
      <c r="G4436" s="5"/>
      <c r="H4436" s="6" t="str">
        <f>IFERROR(__xludf.DUMMYFUNCTION("""COMPUTED_VALUE"""),"https://www.instagram.com/zovaarolzahra.ir/")</f>
        <v>https://www.instagram.com/zovaarolzahra.ir/</v>
      </c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</row>
    <row r="4437">
      <c r="A4437" s="5">
        <f>IFERROR(__xludf.DUMMYFUNCTION("""COMPUTED_VALUE"""),19891.0)</f>
        <v>19891</v>
      </c>
      <c r="B4437" s="5"/>
      <c r="C4437" s="5" t="str">
        <f>IFERROR(__xludf.DUMMYFUNCTION("""COMPUTED_VALUE"""),"شهدای گمنام")</f>
        <v>شهدای گمنام</v>
      </c>
      <c r="D4437" s="5" t="str">
        <f>IFERROR(__xludf.DUMMYFUNCTION("""COMPUTED_VALUE"""),"سمنان")</f>
        <v>سمنان</v>
      </c>
      <c r="E4437" s="5" t="str">
        <f>IFERROR(__xludf.DUMMYFUNCTION("""COMPUTED_VALUE"""),"دامغان")</f>
        <v>دامغان</v>
      </c>
      <c r="F4437" s="5"/>
      <c r="G4437" s="5"/>
      <c r="H4437" s="5"/>
      <c r="I4437" s="6" t="str">
        <f>IFERROR(__xludf.DUMMYFUNCTION("""COMPUTED_VALUE"""),"https://t.me/shahidegomnam133")</f>
        <v>https://t.me/shahidegomnam133</v>
      </c>
      <c r="J4437" s="5"/>
      <c r="K4437" s="5"/>
      <c r="L4437" s="5"/>
      <c r="M4437" s="5"/>
      <c r="N4437" s="5"/>
      <c r="O4437" s="5"/>
      <c r="P4437" s="5"/>
      <c r="Q4437" s="5"/>
      <c r="R4437" s="5"/>
      <c r="S4437" s="5"/>
    </row>
    <row r="4438">
      <c r="A4438" s="5">
        <f>IFERROR(__xludf.DUMMYFUNCTION("""COMPUTED_VALUE"""),18143.0)</f>
        <v>18143</v>
      </c>
      <c r="B4438" s="5" t="str">
        <f>IFERROR(__xludf.DUMMYFUNCTION("""COMPUTED_VALUE"""),"هیأت")</f>
        <v>هیأت</v>
      </c>
      <c r="C4438" s="5" t="str">
        <f>IFERROR(__xludf.DUMMYFUNCTION("""COMPUTED_VALUE"""),"امام رضا(ع)")</f>
        <v>امام رضا(ع)</v>
      </c>
      <c r="D4438" s="5" t="str">
        <f>IFERROR(__xludf.DUMMYFUNCTION("""COMPUTED_VALUE"""),"سمنان")</f>
        <v>سمنان</v>
      </c>
      <c r="E4438" s="5" t="str">
        <f>IFERROR(__xludf.DUMMYFUNCTION("""COMPUTED_VALUE"""),"آرادان")</f>
        <v>آرادان</v>
      </c>
      <c r="F4438" s="5"/>
      <c r="G4438" s="5"/>
      <c r="H4438" s="6" t="str">
        <f>IFERROR(__xludf.DUMMYFUNCTION("""COMPUTED_VALUE"""),"https://www.instagram.com/heyat_imam.reza1365")</f>
        <v>https://www.instagram.com/heyat_imam.reza1365</v>
      </c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</row>
    <row r="4439">
      <c r="A4439" s="5">
        <f>IFERROR(__xludf.DUMMYFUNCTION("""COMPUTED_VALUE"""),9082.0)</f>
        <v>9082</v>
      </c>
      <c r="B4439" s="5" t="str">
        <f>IFERROR(__xludf.DUMMYFUNCTION("""COMPUTED_VALUE"""),"هیأت")</f>
        <v>هیأت</v>
      </c>
      <c r="C4439" s="5" t="str">
        <f>IFERROR(__xludf.DUMMYFUNCTION("""COMPUTED_VALUE"""),"یاس کبود")</f>
        <v>یاس کبود</v>
      </c>
      <c r="D4439" s="5" t="str">
        <f>IFERROR(__xludf.DUMMYFUNCTION("""COMPUTED_VALUE"""),"سمنان")</f>
        <v>سمنان</v>
      </c>
      <c r="E4439" s="5" t="str">
        <f>IFERROR(__xludf.DUMMYFUNCTION("""COMPUTED_VALUE"""),"بدون شهرستان")</f>
        <v>بدون شهرستان</v>
      </c>
      <c r="F4439" s="5"/>
      <c r="G4439" s="5"/>
      <c r="H4439" s="5"/>
      <c r="I4439" s="5"/>
      <c r="J4439" s="6" t="str">
        <f>IFERROR(__xludf.DUMMYFUNCTION("""COMPUTED_VALUE"""),"https://eitaa.com/heyat_yasekabood")</f>
        <v>https://eitaa.com/heyat_yasekabood</v>
      </c>
      <c r="K4439" s="5"/>
      <c r="L4439" s="5"/>
      <c r="M4439" s="5"/>
      <c r="N4439" s="5"/>
      <c r="O4439" s="5"/>
      <c r="P4439" s="5"/>
      <c r="Q4439" s="5"/>
      <c r="R4439" s="5"/>
      <c r="S4439" s="5"/>
    </row>
    <row r="4440">
      <c r="A4440" s="5">
        <f>IFERROR(__xludf.DUMMYFUNCTION("""COMPUTED_VALUE"""),9075.0)</f>
        <v>9075</v>
      </c>
      <c r="B4440" s="5" t="str">
        <f>IFERROR(__xludf.DUMMYFUNCTION("""COMPUTED_VALUE"""),"هیأت")</f>
        <v>هیأت</v>
      </c>
      <c r="C4440" s="5" t="str">
        <f>IFERROR(__xludf.DUMMYFUNCTION("""COMPUTED_VALUE"""),"دفتر امام جمعه")</f>
        <v>دفتر امام جمعه</v>
      </c>
      <c r="D4440" s="5" t="str">
        <f>IFERROR(__xludf.DUMMYFUNCTION("""COMPUTED_VALUE"""),"سمنان")</f>
        <v>سمنان</v>
      </c>
      <c r="E4440" s="5" t="str">
        <f>IFERROR(__xludf.DUMMYFUNCTION("""COMPUTED_VALUE"""),"بدون شهرستان")</f>
        <v>بدون شهرستان</v>
      </c>
      <c r="F4440" s="5"/>
      <c r="G4440" s="5"/>
      <c r="H4440" s="5"/>
      <c r="I4440" s="5"/>
      <c r="J4440" s="6" t="str">
        <f>IFERROR(__xludf.DUMMYFUNCTION("""COMPUTED_VALUE"""),"https://eitaa.com/namazjome_semnan")</f>
        <v>https://eitaa.com/namazjome_semnan</v>
      </c>
      <c r="K4440" s="5"/>
      <c r="L4440" s="5"/>
      <c r="M4440" s="5"/>
      <c r="N4440" s="5"/>
      <c r="O4440" s="5"/>
      <c r="P4440" s="5"/>
      <c r="Q4440" s="5"/>
      <c r="R4440" s="5"/>
      <c r="S4440" s="5"/>
    </row>
    <row r="4441">
      <c r="A4441" s="5">
        <f>IFERROR(__xludf.DUMMYFUNCTION("""COMPUTED_VALUE"""),9071.0)</f>
        <v>9071</v>
      </c>
      <c r="B4441" s="5" t="str">
        <f>IFERROR(__xludf.DUMMYFUNCTION("""COMPUTED_VALUE"""),"هیأت")</f>
        <v>هیأت</v>
      </c>
      <c r="C4441" s="5" t="str">
        <f>IFERROR(__xludf.DUMMYFUNCTION("""COMPUTED_VALUE"""),"حوزه علمیه برادران")</f>
        <v>حوزه علمیه برادران</v>
      </c>
      <c r="D4441" s="5" t="str">
        <f>IFERROR(__xludf.DUMMYFUNCTION("""COMPUTED_VALUE"""),"سمنان")</f>
        <v>سمنان</v>
      </c>
      <c r="E4441" s="5" t="str">
        <f>IFERROR(__xludf.DUMMYFUNCTION("""COMPUTED_VALUE"""),"بدون شهرستان")</f>
        <v>بدون شهرستان</v>
      </c>
      <c r="F4441" s="5"/>
      <c r="G4441" s="5"/>
      <c r="H4441" s="6" t="str">
        <f>IFERROR(__xludf.DUMMYFUNCTION("""COMPUTED_VALUE"""),"https://www.instagram.com/sadeghie_hozeh")</f>
        <v>https://www.instagram.com/sadeghie_hozeh</v>
      </c>
      <c r="I4441" s="5"/>
      <c r="J4441" s="6" t="str">
        <f>IFERROR(__xludf.DUMMYFUNCTION("""COMPUTED_VALUE"""),"https://eitaa.com/m_haw_baradar_semnan")</f>
        <v>https://eitaa.com/m_haw_baradar_semnan</v>
      </c>
      <c r="K4441" s="5"/>
      <c r="L4441" s="5"/>
      <c r="M4441" s="5"/>
      <c r="N4441" s="5"/>
      <c r="O4441" s="5"/>
      <c r="P4441" s="5"/>
      <c r="Q4441" s="5"/>
      <c r="R4441" s="5"/>
      <c r="S4441" s="5"/>
    </row>
    <row r="4442">
      <c r="A4442" s="5">
        <f>IFERROR(__xludf.DUMMYFUNCTION("""COMPUTED_VALUE"""),8920.0)</f>
        <v>8920</v>
      </c>
      <c r="B4442" s="5" t="str">
        <f>IFERROR(__xludf.DUMMYFUNCTION("""COMPUTED_VALUE"""),"هیأت")</f>
        <v>هیأت</v>
      </c>
      <c r="C4442" s="5" t="str">
        <f>IFERROR(__xludf.DUMMYFUNCTION("""COMPUTED_VALUE"""),"مسجد الزهرا(س)")</f>
        <v>مسجد الزهرا(س)</v>
      </c>
      <c r="D4442" s="5" t="str">
        <f>IFERROR(__xludf.DUMMYFUNCTION("""COMPUTED_VALUE"""),"سمنان")</f>
        <v>سمنان</v>
      </c>
      <c r="E4442" s="5" t="str">
        <f>IFERROR(__xludf.DUMMYFUNCTION("""COMPUTED_VALUE"""),"بدون شهرستان")</f>
        <v>بدون شهرستان</v>
      </c>
      <c r="F4442" s="5"/>
      <c r="G4442" s="5"/>
      <c r="H4442" s="6" t="str">
        <f>IFERROR(__xludf.DUMMYFUNCTION("""COMPUTED_VALUE"""),"https://www.instagram.com/alzahrasem")</f>
        <v>https://www.instagram.com/alzahrasem</v>
      </c>
      <c r="I4442" s="5"/>
      <c r="J4442" s="6" t="str">
        <f>IFERROR(__xludf.DUMMYFUNCTION("""COMPUTED_VALUE"""),"https://eitaa.com/alzahrasem")</f>
        <v>https://eitaa.com/alzahrasem</v>
      </c>
      <c r="K4442" s="5"/>
      <c r="L4442" s="5"/>
      <c r="M4442" s="5"/>
      <c r="N4442" s="5"/>
      <c r="O4442" s="5"/>
      <c r="P4442" s="5"/>
      <c r="Q4442" s="5"/>
      <c r="R4442" s="5"/>
      <c r="S4442" s="5"/>
    </row>
    <row r="4443">
      <c r="A4443" s="5">
        <f>IFERROR(__xludf.DUMMYFUNCTION("""COMPUTED_VALUE"""),8909.0)</f>
        <v>8909</v>
      </c>
      <c r="B4443" s="5" t="str">
        <f>IFERROR(__xludf.DUMMYFUNCTION("""COMPUTED_VALUE"""),"هیأت")</f>
        <v>هیأت</v>
      </c>
      <c r="C4443" s="5" t="str">
        <f>IFERROR(__xludf.DUMMYFUNCTION("""COMPUTED_VALUE"""),"انصارالمهدی(عج)")</f>
        <v>انصارالمهدی(عج)</v>
      </c>
      <c r="D4443" s="5" t="str">
        <f>IFERROR(__xludf.DUMMYFUNCTION("""COMPUTED_VALUE"""),"سمنان")</f>
        <v>سمنان</v>
      </c>
      <c r="E4443" s="5" t="str">
        <f>IFERROR(__xludf.DUMMYFUNCTION("""COMPUTED_VALUE"""),"بدون شهرستان")</f>
        <v>بدون شهرستان</v>
      </c>
      <c r="F4443" s="5"/>
      <c r="G4443" s="5"/>
      <c r="H4443" s="6" t="str">
        <f>IFERROR(__xludf.DUMMYFUNCTION("""COMPUTED_VALUE"""),"https://www.instagram.com/ansaralmahdi_semnan")</f>
        <v>https://www.instagram.com/ansaralmahdi_semnan</v>
      </c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</row>
    <row r="4444">
      <c r="A4444" s="5">
        <f>IFERROR(__xludf.DUMMYFUNCTION("""COMPUTED_VALUE"""),8905.0)</f>
        <v>8905</v>
      </c>
      <c r="B4444" s="5" t="str">
        <f>IFERROR(__xludf.DUMMYFUNCTION("""COMPUTED_VALUE"""),"هیأت")</f>
        <v>هیأت</v>
      </c>
      <c r="C4444" s="5" t="str">
        <f>IFERROR(__xludf.DUMMYFUNCTION("""COMPUTED_VALUE"""),"حضرت علی اکبر(ع)")</f>
        <v>حضرت علی اکبر(ع)</v>
      </c>
      <c r="D4444" s="5" t="str">
        <f>IFERROR(__xludf.DUMMYFUNCTION("""COMPUTED_VALUE"""),"سمنان")</f>
        <v>سمنان</v>
      </c>
      <c r="E4444" s="5" t="str">
        <f>IFERROR(__xludf.DUMMYFUNCTION("""COMPUTED_VALUE"""),"بدون شهرستان")</f>
        <v>بدون شهرستان</v>
      </c>
      <c r="F4444" s="5"/>
      <c r="G4444" s="5"/>
      <c r="H4444" s="6" t="str">
        <f>IFERROR(__xludf.DUMMYFUNCTION("""COMPUTED_VALUE"""),"https://www.instagram.com/heyat.hazrat_aliakbar")</f>
        <v>https://www.instagram.com/heyat.hazrat_aliakbar</v>
      </c>
      <c r="I4444" s="5"/>
      <c r="J4444" s="6" t="str">
        <f>IFERROR(__xludf.DUMMYFUNCTION("""COMPUTED_VALUE"""),"https://eitaa.com/heyataliakbarsemnan")</f>
        <v>https://eitaa.com/heyataliakbarsemnan</v>
      </c>
      <c r="K4444" s="5"/>
      <c r="L4444" s="5"/>
      <c r="M4444" s="5"/>
      <c r="N4444" s="5"/>
      <c r="O4444" s="5"/>
      <c r="P4444" s="5"/>
      <c r="Q4444" s="5"/>
      <c r="R4444" s="5"/>
      <c r="S4444" s="5"/>
    </row>
    <row r="4445">
      <c r="A4445" s="5">
        <f>IFERROR(__xludf.DUMMYFUNCTION("""COMPUTED_VALUE"""),26121.0)</f>
        <v>26121</v>
      </c>
      <c r="B4445" s="5" t="str">
        <f>IFERROR(__xludf.DUMMYFUNCTION("""COMPUTED_VALUE"""),"هیأت دانشجویی")</f>
        <v>هیأت دانشجویی</v>
      </c>
      <c r="C4445" s="5" t="str">
        <f>IFERROR(__xludf.DUMMYFUNCTION("""COMPUTED_VALUE"""),"مکتب العباس (ع)")</f>
        <v>مکتب العباس (ع)</v>
      </c>
      <c r="D4445" s="5" t="str">
        <f>IFERROR(__xludf.DUMMYFUNCTION("""COMPUTED_VALUE"""),"سمنان")</f>
        <v>سمنان</v>
      </c>
      <c r="E4445" s="5" t="str">
        <f>IFERROR(__xludf.DUMMYFUNCTION("""COMPUTED_VALUE"""),"دامغان")</f>
        <v>دامغان</v>
      </c>
      <c r="F4445" s="5"/>
      <c r="G4445" s="5"/>
      <c r="H4445" s="6" t="str">
        <f>IFERROR(__xludf.DUMMYFUNCTION("""COMPUTED_VALUE"""),"https://www.instagram.com/maktab_du")</f>
        <v>https://www.instagram.com/maktab_du</v>
      </c>
      <c r="I4445" s="5"/>
      <c r="J4445" s="6" t="str">
        <f>IFERROR(__xludf.DUMMYFUNCTION("""COMPUTED_VALUE"""),"https://eitaa.com/maktab_du")</f>
        <v>https://eitaa.com/maktab_du</v>
      </c>
      <c r="K4445" s="5"/>
      <c r="L4445" s="5"/>
      <c r="M4445" s="5"/>
      <c r="N4445" s="5"/>
      <c r="O4445" s="5"/>
      <c r="P4445" s="5"/>
      <c r="Q4445" s="5"/>
      <c r="R4445" s="5"/>
      <c r="S4445" s="5"/>
    </row>
    <row r="4446">
      <c r="A4446" s="5">
        <f>IFERROR(__xludf.DUMMYFUNCTION("""COMPUTED_VALUE"""),18134.0)</f>
        <v>18134</v>
      </c>
      <c r="B4446" s="5" t="str">
        <f>IFERROR(__xludf.DUMMYFUNCTION("""COMPUTED_VALUE"""),"هیأت")</f>
        <v>هیأت</v>
      </c>
      <c r="C4446" s="5" t="str">
        <f>IFERROR(__xludf.DUMMYFUNCTION("""COMPUTED_VALUE"""),"مصباح الهدی مدینه الشهدا")</f>
        <v>مصباح الهدی مدینه الشهدا</v>
      </c>
      <c r="D4446" s="5" t="str">
        <f>IFERROR(__xludf.DUMMYFUNCTION("""COMPUTED_VALUE"""),"سمنان")</f>
        <v>سمنان</v>
      </c>
      <c r="E4446" s="5" t="str">
        <f>IFERROR(__xludf.DUMMYFUNCTION("""COMPUTED_VALUE"""),"دامغان")</f>
        <v>دامغان</v>
      </c>
      <c r="F4446" s="5"/>
      <c r="G4446" s="5"/>
      <c r="H4446" s="5"/>
      <c r="I4446" s="5"/>
      <c r="J4446" s="6" t="str">
        <f>IFERROR(__xludf.DUMMYFUNCTION("""COMPUTED_VALUE"""),"https://eitaa.com/media_mesbah_damghan")</f>
        <v>https://eitaa.com/media_mesbah_damghan</v>
      </c>
      <c r="K4446" s="5"/>
      <c r="L4446" s="5"/>
      <c r="M4446" s="5"/>
      <c r="N4446" s="5"/>
      <c r="O4446" s="5"/>
      <c r="P4446" s="5"/>
      <c r="Q4446" s="5"/>
      <c r="R4446" s="5"/>
      <c r="S4446" s="5"/>
    </row>
    <row r="4447">
      <c r="A4447" s="5">
        <f>IFERROR(__xludf.DUMMYFUNCTION("""COMPUTED_VALUE"""),18132.0)</f>
        <v>18132</v>
      </c>
      <c r="B4447" s="5" t="str">
        <f>IFERROR(__xludf.DUMMYFUNCTION("""COMPUTED_VALUE"""),"هیأت")</f>
        <v>هیأت</v>
      </c>
      <c r="C4447" s="5" t="str">
        <f>IFERROR(__xludf.DUMMYFUNCTION("""COMPUTED_VALUE"""),"عاشقان حضرت ابوالفضل (ع)")</f>
        <v>عاشقان حضرت ابوالفضل (ع)</v>
      </c>
      <c r="D4447" s="5" t="str">
        <f>IFERROR(__xludf.DUMMYFUNCTION("""COMPUTED_VALUE"""),"سمنان")</f>
        <v>سمنان</v>
      </c>
      <c r="E4447" s="5" t="str">
        <f>IFERROR(__xludf.DUMMYFUNCTION("""COMPUTED_VALUE"""),"دامغان")</f>
        <v>دامغان</v>
      </c>
      <c r="F4447" s="5"/>
      <c r="G4447" s="5"/>
      <c r="H4447" s="6" t="str">
        <f>IFERROR(__xludf.DUMMYFUNCTION("""COMPUTED_VALUE"""),"https://www.instagram.com/asheghan_abolfazl_1396")</f>
        <v>https://www.instagram.com/asheghan_abolfazl_1396</v>
      </c>
      <c r="I4447" s="5"/>
      <c r="J4447" s="6" t="str">
        <f>IFERROR(__xludf.DUMMYFUNCTION("""COMPUTED_VALUE"""),"https://eitaa.com/asheghan_abolfazl_1396")</f>
        <v>https://eitaa.com/asheghan_abolfazl_1396</v>
      </c>
      <c r="K4447" s="5"/>
      <c r="L4447" s="5"/>
      <c r="M4447" s="5"/>
      <c r="N4447" s="5"/>
      <c r="O4447" s="5"/>
      <c r="P4447" s="5"/>
      <c r="Q4447" s="5"/>
      <c r="R4447" s="5"/>
      <c r="S4447" s="5"/>
    </row>
    <row r="4448">
      <c r="A4448" s="5">
        <f>IFERROR(__xludf.DUMMYFUNCTION("""COMPUTED_VALUE"""),18130.0)</f>
        <v>18130</v>
      </c>
      <c r="B4448" s="5" t="str">
        <f>IFERROR(__xludf.DUMMYFUNCTION("""COMPUTED_VALUE"""),"هیأت")</f>
        <v>هیأت</v>
      </c>
      <c r="C4448" s="5" t="str">
        <f>IFERROR(__xludf.DUMMYFUNCTION("""COMPUTED_VALUE"""),"محبان الائمه (ع)")</f>
        <v>محبان الائمه (ع)</v>
      </c>
      <c r="D4448" s="5" t="str">
        <f>IFERROR(__xludf.DUMMYFUNCTION("""COMPUTED_VALUE"""),"سمنان")</f>
        <v>سمنان</v>
      </c>
      <c r="E4448" s="5" t="str">
        <f>IFERROR(__xludf.DUMMYFUNCTION("""COMPUTED_VALUE"""),"دامغان")</f>
        <v>دامغان</v>
      </c>
      <c r="F4448" s="5"/>
      <c r="G4448" s="5"/>
      <c r="H4448" s="6" t="str">
        <f>IFERROR(__xludf.DUMMYFUNCTION("""COMPUTED_VALUE"""),"https://www.instagram.com/moheban.damghan")</f>
        <v>https://www.instagram.com/moheban.damghan</v>
      </c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</row>
    <row r="4449">
      <c r="A4449" s="5">
        <f>IFERROR(__xludf.DUMMYFUNCTION("""COMPUTED_VALUE"""),17864.0)</f>
        <v>17864</v>
      </c>
      <c r="B4449" s="5" t="str">
        <f>IFERROR(__xludf.DUMMYFUNCTION("""COMPUTED_VALUE"""),"حسینیه")</f>
        <v>حسینیه</v>
      </c>
      <c r="C4449" s="5" t="str">
        <f>IFERROR(__xludf.DUMMYFUNCTION("""COMPUTED_VALUE"""),"امام سجاد(ع)")</f>
        <v>امام سجاد(ع)</v>
      </c>
      <c r="D4449" s="5" t="str">
        <f>IFERROR(__xludf.DUMMYFUNCTION("""COMPUTED_VALUE"""),"سمنان")</f>
        <v>سمنان</v>
      </c>
      <c r="E4449" s="5" t="str">
        <f>IFERROR(__xludf.DUMMYFUNCTION("""COMPUTED_VALUE"""),"دامغان")</f>
        <v>دامغان</v>
      </c>
      <c r="F4449" s="5"/>
      <c r="G4449" s="5"/>
      <c r="H4449" s="5"/>
      <c r="I4449" s="5"/>
      <c r="J4449" s="6" t="str">
        <f>IFERROR(__xludf.DUMMYFUNCTION("""COMPUTED_VALUE"""),"https://eitaa.com/hosseiniesajjad")</f>
        <v>https://eitaa.com/hosseiniesajjad</v>
      </c>
      <c r="K4449" s="5"/>
      <c r="L4449" s="5"/>
      <c r="M4449" s="5"/>
      <c r="N4449" s="5"/>
      <c r="O4449" s="5"/>
      <c r="P4449" s="5"/>
      <c r="Q4449" s="5"/>
      <c r="R4449" s="5"/>
      <c r="S4449" s="5"/>
    </row>
    <row r="4450">
      <c r="A4450" s="5">
        <f>IFERROR(__xludf.DUMMYFUNCTION("""COMPUTED_VALUE"""),9198.0)</f>
        <v>9198</v>
      </c>
      <c r="B4450" s="5" t="str">
        <f>IFERROR(__xludf.DUMMYFUNCTION("""COMPUTED_VALUE"""),"هیأت")</f>
        <v>هیأت</v>
      </c>
      <c r="C4450" s="5" t="str">
        <f>IFERROR(__xludf.DUMMYFUNCTION("""COMPUTED_VALUE"""),"تکیه ابوالفضل(ع)")</f>
        <v>تکیه ابوالفضل(ع)</v>
      </c>
      <c r="D4450" s="5" t="str">
        <f>IFERROR(__xludf.DUMMYFUNCTION("""COMPUTED_VALUE"""),"سمنان")</f>
        <v>سمنان</v>
      </c>
      <c r="E4450" s="5" t="str">
        <f>IFERROR(__xludf.DUMMYFUNCTION("""COMPUTED_VALUE"""),"دامغان")</f>
        <v>دامغان</v>
      </c>
      <c r="F4450" s="5"/>
      <c r="G4450" s="5"/>
      <c r="H4450" s="6" t="str">
        <f>IFERROR(__xludf.DUMMYFUNCTION("""COMPUTED_VALUE"""),"https://www.instagram.com/tekiye133")</f>
        <v>https://www.instagram.com/tekiye133</v>
      </c>
      <c r="I4450" s="5"/>
      <c r="J4450" s="6" t="str">
        <f>IFERROR(__xludf.DUMMYFUNCTION("""COMPUTED_VALUE"""),"https://eitaa.com/tekiye_133")</f>
        <v>https://eitaa.com/tekiye_133</v>
      </c>
      <c r="K4450" s="5"/>
      <c r="L4450" s="5"/>
      <c r="M4450" s="5"/>
      <c r="N4450" s="5"/>
      <c r="O4450" s="5"/>
      <c r="P4450" s="5"/>
      <c r="Q4450" s="5"/>
      <c r="R4450" s="5"/>
      <c r="S4450" s="5"/>
    </row>
    <row r="4451">
      <c r="A4451" s="5">
        <f>IFERROR(__xludf.DUMMYFUNCTION("""COMPUTED_VALUE"""),9123.0)</f>
        <v>9123</v>
      </c>
      <c r="B4451" s="5" t="str">
        <f>IFERROR(__xludf.DUMMYFUNCTION("""COMPUTED_VALUE"""),"هیأت")</f>
        <v>هیأت</v>
      </c>
      <c r="C4451" s="5" t="str">
        <f>IFERROR(__xludf.DUMMYFUNCTION("""COMPUTED_VALUE"""),"بنی فاطمه (س)")</f>
        <v>بنی فاطمه (س)</v>
      </c>
      <c r="D4451" s="5" t="str">
        <f>IFERROR(__xludf.DUMMYFUNCTION("""COMPUTED_VALUE"""),"سمنان")</f>
        <v>سمنان</v>
      </c>
      <c r="E4451" s="5" t="str">
        <f>IFERROR(__xludf.DUMMYFUNCTION("""COMPUTED_VALUE"""),"دامغان")</f>
        <v>دامغان</v>
      </c>
      <c r="F4451" s="5"/>
      <c r="G4451" s="5"/>
      <c r="H4451" s="6" t="str">
        <f>IFERROR(__xludf.DUMMYFUNCTION("""COMPUTED_VALUE"""),"https://www.instagram.com/banifatemehdamghan")</f>
        <v>https://www.instagram.com/banifatemehdamghan</v>
      </c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</row>
    <row r="4452">
      <c r="A4452" s="5">
        <f>IFERROR(__xludf.DUMMYFUNCTION("""COMPUTED_VALUE"""),9117.0)</f>
        <v>9117</v>
      </c>
      <c r="B4452" s="5" t="str">
        <f>IFERROR(__xludf.DUMMYFUNCTION("""COMPUTED_VALUE"""),"هیأت")</f>
        <v>هیأت</v>
      </c>
      <c r="C4452" s="5" t="str">
        <f>IFERROR(__xludf.DUMMYFUNCTION("""COMPUTED_VALUE"""),"متوسلین به چهارده معصوم (ع)")</f>
        <v>متوسلین به چهارده معصوم (ع)</v>
      </c>
      <c r="D4452" s="5" t="str">
        <f>IFERROR(__xludf.DUMMYFUNCTION("""COMPUTED_VALUE"""),"سمنان")</f>
        <v>سمنان</v>
      </c>
      <c r="E4452" s="5" t="str">
        <f>IFERROR(__xludf.DUMMYFUNCTION("""COMPUTED_VALUE"""),"دامغان")</f>
        <v>دامغان</v>
      </c>
      <c r="F4452" s="5"/>
      <c r="G4452" s="5"/>
      <c r="H4452" s="6" t="str">
        <f>IFERROR(__xludf.DUMMYFUNCTION("""COMPUTED_VALUE"""),"https://www.instagram.com/mukeb14")</f>
        <v>https://www.instagram.com/mukeb14</v>
      </c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</row>
    <row r="4453">
      <c r="A4453" s="5">
        <f>IFERROR(__xludf.DUMMYFUNCTION("""COMPUTED_VALUE"""),9113.0)</f>
        <v>9113</v>
      </c>
      <c r="B4453" s="5" t="str">
        <f>IFERROR(__xludf.DUMMYFUNCTION("""COMPUTED_VALUE"""),"هیأت")</f>
        <v>هیأت</v>
      </c>
      <c r="C4453" s="5" t="str">
        <f>IFERROR(__xludf.DUMMYFUNCTION("""COMPUTED_VALUE"""),"عاشقان حسینی")</f>
        <v>عاشقان حسینی</v>
      </c>
      <c r="D4453" s="5" t="str">
        <f>IFERROR(__xludf.DUMMYFUNCTION("""COMPUTED_VALUE"""),"سمنان")</f>
        <v>سمنان</v>
      </c>
      <c r="E4453" s="5" t="str">
        <f>IFERROR(__xludf.DUMMYFUNCTION("""COMPUTED_VALUE"""),"دامغان")</f>
        <v>دامغان</v>
      </c>
      <c r="F4453" s="5"/>
      <c r="G4453" s="5"/>
      <c r="H4453" s="5"/>
      <c r="I4453" s="6" t="str">
        <f>IFERROR(__xludf.DUMMYFUNCTION("""COMPUTED_VALUE"""),"https://t.me/asheghanhosyini")</f>
        <v>https://t.me/asheghanhosyini</v>
      </c>
      <c r="J4453" s="5"/>
      <c r="K4453" s="5"/>
      <c r="L4453" s="5"/>
      <c r="M4453" s="5"/>
      <c r="N4453" s="5"/>
      <c r="O4453" s="5"/>
      <c r="P4453" s="5"/>
      <c r="Q4453" s="5"/>
      <c r="R4453" s="5"/>
      <c r="S4453" s="5"/>
    </row>
    <row r="4454">
      <c r="A4454" s="5">
        <f>IFERROR(__xludf.DUMMYFUNCTION("""COMPUTED_VALUE"""),8940.0)</f>
        <v>8940</v>
      </c>
      <c r="B4454" s="5" t="str">
        <f>IFERROR(__xludf.DUMMYFUNCTION("""COMPUTED_VALUE"""),"مسجد")</f>
        <v>مسجد</v>
      </c>
      <c r="C4454" s="5" t="str">
        <f>IFERROR(__xludf.DUMMYFUNCTION("""COMPUTED_VALUE"""),"امام موسی بن جعفر(ع)")</f>
        <v>امام موسی بن جعفر(ع)</v>
      </c>
      <c r="D4454" s="5" t="str">
        <f>IFERROR(__xludf.DUMMYFUNCTION("""COMPUTED_VALUE"""),"سمنان")</f>
        <v>سمنان</v>
      </c>
      <c r="E4454" s="5" t="str">
        <f>IFERROR(__xludf.DUMMYFUNCTION("""COMPUTED_VALUE"""),"دامغان")</f>
        <v>دامغان</v>
      </c>
      <c r="F4454" s="5"/>
      <c r="G4454" s="5"/>
      <c r="H4454" s="5"/>
      <c r="I4454" s="5"/>
      <c r="J4454" s="6" t="str">
        <f>IFERROR(__xludf.DUMMYFUNCTION("""COMPUTED_VALUE"""),"https://eitaa.com/masjed_313")</f>
        <v>https://eitaa.com/masjed_313</v>
      </c>
      <c r="K4454" s="5"/>
      <c r="L4454" s="5"/>
      <c r="M4454" s="5"/>
      <c r="N4454" s="5"/>
      <c r="O4454" s="5"/>
      <c r="P4454" s="5"/>
      <c r="Q4454" s="5"/>
      <c r="R4454" s="5"/>
      <c r="S4454" s="5"/>
    </row>
    <row r="4455">
      <c r="A4455" s="5">
        <f>IFERROR(__xludf.DUMMYFUNCTION("""COMPUTED_VALUE"""),8934.0)</f>
        <v>8934</v>
      </c>
      <c r="B4455" s="5" t="str">
        <f>IFERROR(__xludf.DUMMYFUNCTION("""COMPUTED_VALUE"""),"هیأت")</f>
        <v>هیأت</v>
      </c>
      <c r="C4455" s="5" t="str">
        <f>IFERROR(__xludf.DUMMYFUNCTION("""COMPUTED_VALUE"""),"بین الحرمین")</f>
        <v>بین الحرمین</v>
      </c>
      <c r="D4455" s="5" t="str">
        <f>IFERROR(__xludf.DUMMYFUNCTION("""COMPUTED_VALUE"""),"سمنان")</f>
        <v>سمنان</v>
      </c>
      <c r="E4455" s="5" t="str">
        <f>IFERROR(__xludf.DUMMYFUNCTION("""COMPUTED_VALUE"""),"دامغان")</f>
        <v>دامغان</v>
      </c>
      <c r="F4455" s="5"/>
      <c r="G4455" s="5"/>
      <c r="H4455" s="6" t="str">
        <f>IFERROR(__xludf.DUMMYFUNCTION("""COMPUTED_VALUE"""),"https://www.instagram.com/heyate_beynolharamein")</f>
        <v>https://www.instagram.com/heyate_beynolharamein</v>
      </c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</row>
    <row r="4456">
      <c r="A4456" s="5"/>
      <c r="B4456" s="5" t="str">
        <f>IFERROR(__xludf.DUMMYFUNCTION("""COMPUTED_VALUE"""),"هیأت")</f>
        <v>هیأت</v>
      </c>
      <c r="C4456" s="5" t="str">
        <f>IFERROR(__xludf.DUMMYFUNCTION("""COMPUTED_VALUE"""),"بین الحرمین")</f>
        <v>بین الحرمین</v>
      </c>
      <c r="D4456" s="5" t="str">
        <f>IFERROR(__xludf.DUMMYFUNCTION("""COMPUTED_VALUE"""),"سمنان")</f>
        <v>سمنان</v>
      </c>
      <c r="E4456" s="5" t="str">
        <f>IFERROR(__xludf.DUMMYFUNCTION("""COMPUTED_VALUE"""),"دامغان")</f>
        <v>دامغان</v>
      </c>
      <c r="F4456" s="5"/>
      <c r="G4456" s="5"/>
      <c r="H4456" s="6" t="str">
        <f>IFERROR(__xludf.DUMMYFUNCTION("""COMPUTED_VALUE"""),"https://www.instagram.com/2rahi.eshgh")</f>
        <v>https://www.instagram.com/2rahi.eshgh</v>
      </c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</row>
    <row r="4457">
      <c r="A4457" s="5">
        <f>IFERROR(__xludf.DUMMYFUNCTION("""COMPUTED_VALUE"""),8928.0)</f>
        <v>8928</v>
      </c>
      <c r="B4457" s="5" t="str">
        <f>IFERROR(__xludf.DUMMYFUNCTION("""COMPUTED_VALUE"""),"تکیه")</f>
        <v>تکیه</v>
      </c>
      <c r="C4457" s="5" t="str">
        <f>IFERROR(__xludf.DUMMYFUNCTION("""COMPUTED_VALUE"""),"حضرت ابوالفضل(ع)")</f>
        <v>حضرت ابوالفضل(ع)</v>
      </c>
      <c r="D4457" s="5" t="str">
        <f>IFERROR(__xludf.DUMMYFUNCTION("""COMPUTED_VALUE"""),"سمنان")</f>
        <v>سمنان</v>
      </c>
      <c r="E4457" s="5" t="str">
        <f>IFERROR(__xludf.DUMMYFUNCTION("""COMPUTED_VALUE"""),"دامغان")</f>
        <v>دامغان</v>
      </c>
      <c r="F4457" s="5"/>
      <c r="G4457" s="5"/>
      <c r="H4457" s="6" t="str">
        <f>IFERROR(__xludf.DUMMYFUNCTION("""COMPUTED_VALUE"""),"https://www.instagram.com/tekiye133")</f>
        <v>https://www.instagram.com/tekiye133</v>
      </c>
      <c r="I4457" s="5"/>
      <c r="J4457" s="6" t="str">
        <f>IFERROR(__xludf.DUMMYFUNCTION("""COMPUTED_VALUE"""),"https://eitaa.com/tekiye_133")</f>
        <v>https://eitaa.com/tekiye_133</v>
      </c>
      <c r="K4457" s="5"/>
      <c r="L4457" s="5"/>
      <c r="M4457" s="5"/>
      <c r="N4457" s="5"/>
      <c r="O4457" s="5"/>
      <c r="P4457" s="5"/>
      <c r="Q4457" s="5"/>
      <c r="R4457" s="5"/>
      <c r="S4457" s="5"/>
    </row>
    <row r="4458">
      <c r="A4458" s="5">
        <f>IFERROR(__xludf.DUMMYFUNCTION("""COMPUTED_VALUE"""),8859.0)</f>
        <v>8859</v>
      </c>
      <c r="B4458" s="5" t="str">
        <f>IFERROR(__xludf.DUMMYFUNCTION("""COMPUTED_VALUE"""),"هیأت")</f>
        <v>هیأت</v>
      </c>
      <c r="C4458" s="5" t="str">
        <f>IFERROR(__xludf.DUMMYFUNCTION("""COMPUTED_VALUE"""),"علمداران دوکوهه")</f>
        <v>علمداران دوکوهه</v>
      </c>
      <c r="D4458" s="5" t="str">
        <f>IFERROR(__xludf.DUMMYFUNCTION("""COMPUTED_VALUE"""),"سمنان")</f>
        <v>سمنان</v>
      </c>
      <c r="E4458" s="5" t="str">
        <f>IFERROR(__xludf.DUMMYFUNCTION("""COMPUTED_VALUE"""),"دامغان")</f>
        <v>دامغان</v>
      </c>
      <c r="F4458" s="5"/>
      <c r="G4458" s="5"/>
      <c r="H4458" s="5"/>
      <c r="I4458" s="6" t="str">
        <f>IFERROR(__xludf.DUMMYFUNCTION("""COMPUTED_VALUE"""),"https://t.me/dokohe313")</f>
        <v>https://t.me/dokohe313</v>
      </c>
      <c r="J4458" s="6" t="str">
        <f>IFERROR(__xludf.DUMMYFUNCTION("""COMPUTED_VALUE"""),"https://eitaa.com/dokohe313")</f>
        <v>https://eitaa.com/dokohe313</v>
      </c>
      <c r="K4458" s="5"/>
      <c r="L4458" s="5"/>
      <c r="M4458" s="5"/>
      <c r="N4458" s="5"/>
      <c r="O4458" s="5"/>
      <c r="P4458" s="5"/>
      <c r="Q4458" s="5"/>
      <c r="R4458" s="5"/>
      <c r="S4458" s="5"/>
    </row>
    <row r="4459">
      <c r="A4459" s="5">
        <f>IFERROR(__xludf.DUMMYFUNCTION("""COMPUTED_VALUE"""),8847.0)</f>
        <v>8847</v>
      </c>
      <c r="B4459" s="5" t="str">
        <f>IFERROR(__xludf.DUMMYFUNCTION("""COMPUTED_VALUE"""),"هیأت")</f>
        <v>هیأت</v>
      </c>
      <c r="C4459" s="5" t="str">
        <f>IFERROR(__xludf.DUMMYFUNCTION("""COMPUTED_VALUE"""),"رزمندگان اسلام")</f>
        <v>رزمندگان اسلام</v>
      </c>
      <c r="D4459" s="5" t="str">
        <f>IFERROR(__xludf.DUMMYFUNCTION("""COMPUTED_VALUE"""),"سمنان")</f>
        <v>سمنان</v>
      </c>
      <c r="E4459" s="5" t="str">
        <f>IFERROR(__xludf.DUMMYFUNCTION("""COMPUTED_VALUE"""),"دامغان")</f>
        <v>دامغان</v>
      </c>
      <c r="F4459" s="5"/>
      <c r="G4459" s="5"/>
      <c r="H4459" s="5"/>
      <c r="I4459" s="5"/>
      <c r="J4459" s="6" t="str">
        <f>IFERROR(__xludf.DUMMYFUNCTION("""COMPUTED_VALUE"""),"https://eitaa.com/razmandganz")</f>
        <v>https://eitaa.com/razmandganz</v>
      </c>
      <c r="K4459" s="5"/>
      <c r="L4459" s="5"/>
      <c r="M4459" s="5"/>
      <c r="N4459" s="5"/>
      <c r="O4459" s="5"/>
      <c r="P4459" s="5"/>
      <c r="Q4459" s="5"/>
      <c r="R4459" s="5"/>
      <c r="S4459" s="5"/>
    </row>
    <row r="4460">
      <c r="A4460" s="5">
        <f>IFERROR(__xludf.DUMMYFUNCTION("""COMPUTED_VALUE"""),8844.0)</f>
        <v>8844</v>
      </c>
      <c r="B4460" s="5" t="str">
        <f>IFERROR(__xludf.DUMMYFUNCTION("""COMPUTED_VALUE"""),"هیأت")</f>
        <v>هیأت</v>
      </c>
      <c r="C4460" s="5" t="str">
        <f>IFERROR(__xludf.DUMMYFUNCTION("""COMPUTED_VALUE"""),"قاسم بن الحسن(ع)")</f>
        <v>قاسم بن الحسن(ع)</v>
      </c>
      <c r="D4460" s="5" t="str">
        <f>IFERROR(__xludf.DUMMYFUNCTION("""COMPUTED_VALUE"""),"سمنان")</f>
        <v>سمنان</v>
      </c>
      <c r="E4460" s="5" t="str">
        <f>IFERROR(__xludf.DUMMYFUNCTION("""COMPUTED_VALUE"""),"دامغان")</f>
        <v>دامغان</v>
      </c>
      <c r="F4460" s="5"/>
      <c r="G4460" s="5"/>
      <c r="H4460" s="6" t="str">
        <f>IFERROR(__xludf.DUMMYFUNCTION("""COMPUTED_VALUE"""),"https://www.instagram.com/ghasemebnelhasan88")</f>
        <v>https://www.instagram.com/ghasemebnelhasan88</v>
      </c>
      <c r="I4460" s="6" t="str">
        <f>IFERROR(__xludf.DUMMYFUNCTION("""COMPUTED_VALUE"""),"https://t.me/ghasemabnelhasan88")</f>
        <v>https://t.me/ghasemabnelhasan88</v>
      </c>
      <c r="J4460" s="5"/>
      <c r="K4460" s="5"/>
      <c r="L4460" s="5"/>
      <c r="M4460" s="5"/>
      <c r="N4460" s="5"/>
      <c r="O4460" s="5"/>
      <c r="P4460" s="5"/>
      <c r="Q4460" s="5"/>
      <c r="R4460" s="5"/>
      <c r="S4460" s="5"/>
    </row>
    <row r="4461">
      <c r="A4461" s="5">
        <f>IFERROR(__xludf.DUMMYFUNCTION("""COMPUTED_VALUE"""),8824.0)</f>
        <v>8824</v>
      </c>
      <c r="B4461" s="5" t="str">
        <f>IFERROR(__xludf.DUMMYFUNCTION("""COMPUTED_VALUE"""),"هیأت")</f>
        <v>هیأت</v>
      </c>
      <c r="C4461" s="5" t="str">
        <f>IFERROR(__xludf.DUMMYFUNCTION("""COMPUTED_VALUE"""),"انصارالمهدی (عج)")</f>
        <v>انصارالمهدی (عج)</v>
      </c>
      <c r="D4461" s="5" t="str">
        <f>IFERROR(__xludf.DUMMYFUNCTION("""COMPUTED_VALUE"""),"سمنان")</f>
        <v>سمنان</v>
      </c>
      <c r="E4461" s="5" t="str">
        <f>IFERROR(__xludf.DUMMYFUNCTION("""COMPUTED_VALUE"""),"دامغان")</f>
        <v>دامغان</v>
      </c>
      <c r="F4461" s="5"/>
      <c r="G4461" s="5"/>
      <c r="H4461" s="6" t="str">
        <f>IFERROR(__xludf.DUMMYFUNCTION("""COMPUTED_VALUE"""),"https://www.instagram.com/nojaba_net")</f>
        <v>https://www.instagram.com/nojaba_net</v>
      </c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</row>
    <row r="4462">
      <c r="A4462" s="5">
        <f>IFERROR(__xludf.DUMMYFUNCTION("""COMPUTED_VALUE"""),17849.0)</f>
        <v>17849</v>
      </c>
      <c r="B4462" s="5" t="str">
        <f>IFERROR(__xludf.DUMMYFUNCTION("""COMPUTED_VALUE"""),"هیأت")</f>
        <v>هیأت</v>
      </c>
      <c r="C4462" s="5" t="str">
        <f>IFERROR(__xludf.DUMMYFUNCTION("""COMPUTED_VALUE"""),"مهدیه / سخن سرای امام زمان(عج)")</f>
        <v>مهدیه / سخن سرای امام زمان(عج)</v>
      </c>
      <c r="D4462" s="5" t="str">
        <f>IFERROR(__xludf.DUMMYFUNCTION("""COMPUTED_VALUE"""),"سمنان")</f>
        <v>سمنان</v>
      </c>
      <c r="E4462" s="5" t="str">
        <f>IFERROR(__xludf.DUMMYFUNCTION("""COMPUTED_VALUE"""),"سرخه")</f>
        <v>سرخه</v>
      </c>
      <c r="F4462" s="5"/>
      <c r="G4462" s="5"/>
      <c r="H4462" s="6" t="str">
        <f>IFERROR(__xludf.DUMMYFUNCTION("""COMPUTED_VALUE"""),"https://www.instagram.com/mahdeieh.sorkhe")</f>
        <v>https://www.instagram.com/mahdeieh.sorkhe</v>
      </c>
      <c r="I4462" s="5"/>
      <c r="J4462" s="6" t="str">
        <f>IFERROR(__xludf.DUMMYFUNCTION("""COMPUTED_VALUE"""),"https://eitaa.com/mahdiyesorkheh")</f>
        <v>https://eitaa.com/mahdiyesorkheh</v>
      </c>
      <c r="K4462" s="5"/>
      <c r="L4462" s="5"/>
      <c r="M4462" s="5"/>
      <c r="N4462" s="5"/>
      <c r="O4462" s="5"/>
      <c r="P4462" s="5"/>
      <c r="Q4462" s="5"/>
      <c r="R4462" s="5"/>
      <c r="S4462" s="5"/>
    </row>
    <row r="4463">
      <c r="A4463" s="5">
        <f>IFERROR(__xludf.DUMMYFUNCTION("""COMPUTED_VALUE"""),8957.0)</f>
        <v>8957</v>
      </c>
      <c r="B4463" s="5" t="str">
        <f>IFERROR(__xludf.DUMMYFUNCTION("""COMPUTED_VALUE"""),"مسجد")</f>
        <v>مسجد</v>
      </c>
      <c r="C4463" s="5" t="str">
        <f>IFERROR(__xludf.DUMMYFUNCTION("""COMPUTED_VALUE"""),"مسجد ولی عصر(عج)")</f>
        <v>مسجد ولی عصر(عج)</v>
      </c>
      <c r="D4463" s="5" t="str">
        <f>IFERROR(__xludf.DUMMYFUNCTION("""COMPUTED_VALUE"""),"سمنان")</f>
        <v>سمنان</v>
      </c>
      <c r="E4463" s="5" t="str">
        <f>IFERROR(__xludf.DUMMYFUNCTION("""COMPUTED_VALUE"""),"سرخه")</f>
        <v>سرخه</v>
      </c>
      <c r="F4463" s="5"/>
      <c r="G4463" s="5"/>
      <c r="H4463" s="6" t="str">
        <f>IFERROR(__xludf.DUMMYFUNCTION("""COMPUTED_VALUE"""),"https://www.instagram.com/masjed_valiasr_sorkheh")</f>
        <v>https://www.instagram.com/masjed_valiasr_sorkheh</v>
      </c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</row>
    <row r="4464">
      <c r="A4464" s="5">
        <f>IFERROR(__xludf.DUMMYFUNCTION("""COMPUTED_VALUE"""),8956.0)</f>
        <v>8956</v>
      </c>
      <c r="B4464" s="5" t="str">
        <f>IFERROR(__xludf.DUMMYFUNCTION("""COMPUTED_VALUE"""),"هیأت")</f>
        <v>هیأت</v>
      </c>
      <c r="C4464" s="5" t="str">
        <f>IFERROR(__xludf.DUMMYFUNCTION("""COMPUTED_VALUE"""),"انصارالحسین(ع)")</f>
        <v>انصارالحسین(ع)</v>
      </c>
      <c r="D4464" s="5" t="str">
        <f>IFERROR(__xludf.DUMMYFUNCTION("""COMPUTED_VALUE"""),"سمنان")</f>
        <v>سمنان</v>
      </c>
      <c r="E4464" s="5" t="str">
        <f>IFERROR(__xludf.DUMMYFUNCTION("""COMPUTED_VALUE"""),"سرخه")</f>
        <v>سرخه</v>
      </c>
      <c r="F4464" s="5"/>
      <c r="G4464" s="5"/>
      <c r="H4464" s="5"/>
      <c r="I4464" s="6" t="str">
        <f>IFERROR(__xludf.DUMMYFUNCTION("""COMPUTED_VALUE"""),"https://t.me/ansaralhossinsorkheh")</f>
        <v>https://t.me/ansaralhossinsorkheh</v>
      </c>
      <c r="J4464" s="5"/>
      <c r="K4464" s="5"/>
      <c r="L4464" s="5"/>
      <c r="M4464" s="5"/>
      <c r="N4464" s="5"/>
      <c r="O4464" s="5"/>
      <c r="P4464" s="5"/>
      <c r="Q4464" s="5"/>
      <c r="R4464" s="5"/>
      <c r="S4464" s="5"/>
    </row>
    <row r="4465">
      <c r="A4465" s="5">
        <f>IFERROR(__xludf.DUMMYFUNCTION("""COMPUTED_VALUE"""),8955.0)</f>
        <v>8955</v>
      </c>
      <c r="B4465" s="5" t="str">
        <f>IFERROR(__xludf.DUMMYFUNCTION("""COMPUTED_VALUE"""),"هیأت")</f>
        <v>هیأت</v>
      </c>
      <c r="C4465" s="5" t="str">
        <f>IFERROR(__xludf.DUMMYFUNCTION("""COMPUTED_VALUE"""),"عشاق الحسین (ع)")</f>
        <v>عشاق الحسین (ع)</v>
      </c>
      <c r="D4465" s="5" t="str">
        <f>IFERROR(__xludf.DUMMYFUNCTION("""COMPUTED_VALUE"""),"سمنان")</f>
        <v>سمنان</v>
      </c>
      <c r="E4465" s="5" t="str">
        <f>IFERROR(__xludf.DUMMYFUNCTION("""COMPUTED_VALUE"""),"سرخه")</f>
        <v>سرخه</v>
      </c>
      <c r="F4465" s="5"/>
      <c r="G4465" s="5"/>
      <c r="H4465" s="6" t="str">
        <f>IFERROR(__xludf.DUMMYFUNCTION("""COMPUTED_VALUE"""),"https://www.instagram.com/oshshagholhosein")</f>
        <v>https://www.instagram.com/oshshagholhosein</v>
      </c>
      <c r="I4465" s="6" t="str">
        <f>IFERROR(__xludf.DUMMYFUNCTION("""COMPUTED_VALUE"""),"https://t.me/oshshagholhosein")</f>
        <v>https://t.me/oshshagholhosein</v>
      </c>
      <c r="J4465" s="6" t="str">
        <f>IFERROR(__xludf.DUMMYFUNCTION("""COMPUTED_VALUE"""),"https://eitaa.com/oshshagholhosein")</f>
        <v>https://eitaa.com/oshshagholhosein</v>
      </c>
      <c r="K4465" s="5"/>
      <c r="L4465" s="5"/>
      <c r="M4465" s="5"/>
      <c r="N4465" s="5"/>
      <c r="O4465" s="5"/>
      <c r="P4465" s="5"/>
      <c r="Q4465" s="5"/>
      <c r="R4465" s="5"/>
      <c r="S4465" s="5"/>
    </row>
    <row r="4466">
      <c r="A4466" s="5">
        <f>IFERROR(__xludf.DUMMYFUNCTION("""COMPUTED_VALUE"""),8954.0)</f>
        <v>8954</v>
      </c>
      <c r="B4466" s="5" t="str">
        <f>IFERROR(__xludf.DUMMYFUNCTION("""COMPUTED_VALUE"""),"هیأت")</f>
        <v>هیأت</v>
      </c>
      <c r="C4466" s="5" t="str">
        <f>IFERROR(__xludf.DUMMYFUNCTION("""COMPUTED_VALUE"""),"رزمندگان سیدالشهدا (ع)")</f>
        <v>رزمندگان سیدالشهدا (ع)</v>
      </c>
      <c r="D4466" s="5" t="str">
        <f>IFERROR(__xludf.DUMMYFUNCTION("""COMPUTED_VALUE"""),"سمنان")</f>
        <v>سمنان</v>
      </c>
      <c r="E4466" s="5" t="str">
        <f>IFERROR(__xludf.DUMMYFUNCTION("""COMPUTED_VALUE"""),"سرخه")</f>
        <v>سرخه</v>
      </c>
      <c r="F4466" s="5"/>
      <c r="G4466" s="5"/>
      <c r="H4466" s="6" t="str">
        <f>IFERROR(__xludf.DUMMYFUNCTION("""COMPUTED_VALUE"""),"https://www.instagram.com/seyyedalshohadasorkheh")</f>
        <v>https://www.instagram.com/seyyedalshohadasorkheh</v>
      </c>
      <c r="I4466" s="6" t="str">
        <f>IFERROR(__xludf.DUMMYFUNCTION("""COMPUTED_VALUE"""),"https://t.me/seyyedalshohadasorkheh")</f>
        <v>https://t.me/seyyedalshohadasorkheh</v>
      </c>
      <c r="J4466" s="6" t="str">
        <f>IFERROR(__xludf.DUMMYFUNCTION("""COMPUTED_VALUE"""),"https://www.eitaa.com/seyyedalshohadasorkheh")</f>
        <v>https://www.eitaa.com/seyyedalshohadasorkheh</v>
      </c>
      <c r="K4466" s="5"/>
      <c r="L4466" s="5"/>
      <c r="M4466" s="5"/>
      <c r="N4466" s="5"/>
      <c r="O4466" s="5"/>
      <c r="P4466" s="5"/>
      <c r="Q4466" s="5"/>
      <c r="R4466" s="5"/>
      <c r="S4466" s="5"/>
    </row>
    <row r="4467">
      <c r="A4467" s="5">
        <f>IFERROR(__xludf.DUMMYFUNCTION("""COMPUTED_VALUE"""),29843.0)</f>
        <v>29843</v>
      </c>
      <c r="B4467" s="5" t="str">
        <f>IFERROR(__xludf.DUMMYFUNCTION("""COMPUTED_VALUE"""),"هیأت")</f>
        <v>هیأت</v>
      </c>
      <c r="C4467" s="5" t="str">
        <f>IFERROR(__xludf.DUMMYFUNCTION("""COMPUTED_VALUE"""),"امام حسین (ع)")</f>
        <v>امام حسین (ع)</v>
      </c>
      <c r="D4467" s="5" t="str">
        <f>IFERROR(__xludf.DUMMYFUNCTION("""COMPUTED_VALUE"""),"سمنان")</f>
        <v>سمنان</v>
      </c>
      <c r="E4467" s="5" t="str">
        <f>IFERROR(__xludf.DUMMYFUNCTION("""COMPUTED_VALUE"""),"سمنان")</f>
        <v>سمنان</v>
      </c>
      <c r="F4467" s="5"/>
      <c r="G4467" s="5"/>
      <c r="H4467" s="6" t="str">
        <f>IFERROR(__xludf.DUMMYFUNCTION("""COMPUTED_VALUE"""),"https://www.instagram.com/emam.hossein.semnan")</f>
        <v>https://www.instagram.com/emam.hossein.semnan</v>
      </c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</row>
    <row r="4468">
      <c r="A4468" s="5">
        <f>IFERROR(__xludf.DUMMYFUNCTION("""COMPUTED_VALUE"""),29840.0)</f>
        <v>29840</v>
      </c>
      <c r="B4468" s="5" t="str">
        <f>IFERROR(__xludf.DUMMYFUNCTION("""COMPUTED_VALUE"""),"هیأت")</f>
        <v>هیأت</v>
      </c>
      <c r="C4468" s="5" t="str">
        <f>IFERROR(__xludf.DUMMYFUNCTION("""COMPUTED_VALUE"""),"زوارالحسین (ع)")</f>
        <v>زوارالحسین (ع)</v>
      </c>
      <c r="D4468" s="5" t="str">
        <f>IFERROR(__xludf.DUMMYFUNCTION("""COMPUTED_VALUE"""),"سمنان")</f>
        <v>سمنان</v>
      </c>
      <c r="E4468" s="5" t="str">
        <f>IFERROR(__xludf.DUMMYFUNCTION("""COMPUTED_VALUE"""),"سمنان")</f>
        <v>سمنان</v>
      </c>
      <c r="F4468" s="5"/>
      <c r="G4468" s="5"/>
      <c r="H4468" s="6" t="str">
        <f>IFERROR(__xludf.DUMMYFUNCTION("""COMPUTED_VALUE"""),"https://www.instagram.com/zavar_al_hosein_semnan")</f>
        <v>https://www.instagram.com/zavar_al_hosein_semnan</v>
      </c>
      <c r="I4468" s="5"/>
      <c r="J4468" s="6" t="str">
        <f>IFERROR(__xludf.DUMMYFUNCTION("""COMPUTED_VALUE"""),"https://eitaa.com/zovaralhoseinsemnan")</f>
        <v>https://eitaa.com/zovaralhoseinsemnan</v>
      </c>
      <c r="K4468" s="5"/>
      <c r="L4468" s="5"/>
      <c r="M4468" s="5"/>
      <c r="N4468" s="5"/>
      <c r="O4468" s="5"/>
      <c r="P4468" s="5"/>
      <c r="Q4468" s="5"/>
      <c r="R4468" s="5"/>
      <c r="S4468" s="5"/>
    </row>
    <row r="4469">
      <c r="A4469" s="5">
        <f>IFERROR(__xludf.DUMMYFUNCTION("""COMPUTED_VALUE"""),29521.0)</f>
        <v>29521</v>
      </c>
      <c r="B4469" s="5" t="str">
        <f>IFERROR(__xludf.DUMMYFUNCTION("""COMPUTED_VALUE"""),"هیأت دانش آموزی")</f>
        <v>هیأت دانش آموزی</v>
      </c>
      <c r="C4469" s="5" t="str">
        <f>IFERROR(__xludf.DUMMYFUNCTION("""COMPUTED_VALUE"""),"دانش آموزی انصارالمهدی (عج)")</f>
        <v>دانش آموزی انصارالمهدی (عج)</v>
      </c>
      <c r="D4469" s="5" t="str">
        <f>IFERROR(__xludf.DUMMYFUNCTION("""COMPUTED_VALUE"""),"سمنان")</f>
        <v>سمنان</v>
      </c>
      <c r="E4469" s="5" t="str">
        <f>IFERROR(__xludf.DUMMYFUNCTION("""COMPUTED_VALUE"""),"سمنان")</f>
        <v>سمنان</v>
      </c>
      <c r="F4469" s="5"/>
      <c r="G4469" s="5"/>
      <c r="H4469" s="5"/>
      <c r="I4469" s="6" t="str">
        <f>IFERROR(__xludf.DUMMYFUNCTION("""COMPUTED_VALUE"""),"https://t.me/Ansarol_mahdi_semnan")</f>
        <v>https://t.me/Ansarol_mahdi_semnan</v>
      </c>
      <c r="J4469" s="6" t="str">
        <f>IFERROR(__xludf.DUMMYFUNCTION("""COMPUTED_VALUE"""),"https://eitaa.com/ansarihair")</f>
        <v>https://eitaa.com/ansarihair</v>
      </c>
      <c r="K4469" s="5"/>
      <c r="L4469" s="5"/>
      <c r="M4469" s="5"/>
      <c r="N4469" s="5"/>
      <c r="O4469" s="5"/>
      <c r="P4469" s="5"/>
      <c r="Q4469" s="5"/>
      <c r="R4469" s="5"/>
      <c r="S4469" s="5"/>
    </row>
    <row r="4470">
      <c r="A4470" s="5">
        <f>IFERROR(__xludf.DUMMYFUNCTION("""COMPUTED_VALUE"""),26404.0)</f>
        <v>26404</v>
      </c>
      <c r="B4470" s="5" t="str">
        <f>IFERROR(__xludf.DUMMYFUNCTION("""COMPUTED_VALUE"""),"هیأت")</f>
        <v>هیأت</v>
      </c>
      <c r="C4470" s="5" t="str">
        <f>IFERROR(__xludf.DUMMYFUNCTION("""COMPUTED_VALUE"""),"مجموعه فرهنگی تربیتی محیا")</f>
        <v>مجموعه فرهنگی تربیتی محیا</v>
      </c>
      <c r="D4470" s="5" t="str">
        <f>IFERROR(__xludf.DUMMYFUNCTION("""COMPUTED_VALUE"""),"سمنان")</f>
        <v>سمنان</v>
      </c>
      <c r="E4470" s="5" t="str">
        <f>IFERROR(__xludf.DUMMYFUNCTION("""COMPUTED_VALUE"""),"سمنان")</f>
        <v>سمنان</v>
      </c>
      <c r="F4470" s="5"/>
      <c r="G4470" s="5"/>
      <c r="H4470" s="6" t="str">
        <f>IFERROR(__xludf.DUMMYFUNCTION("""COMPUTED_VALUE"""),"https://www.instagram.com/mft.mahya")</f>
        <v>https://www.instagram.com/mft.mahya</v>
      </c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</row>
    <row r="4471">
      <c r="A4471" s="5">
        <f>IFERROR(__xludf.DUMMYFUNCTION("""COMPUTED_VALUE"""),24849.0)</f>
        <v>24849</v>
      </c>
      <c r="B4471" s="5" t="str">
        <f>IFERROR(__xludf.DUMMYFUNCTION("""COMPUTED_VALUE"""),"موکب")</f>
        <v>موکب</v>
      </c>
      <c r="C4471" s="5" t="str">
        <f>IFERROR(__xludf.DUMMYFUNCTION("""COMPUTED_VALUE"""),"خدام المهدی (عج)")</f>
        <v>خدام المهدی (عج)</v>
      </c>
      <c r="D4471" s="5" t="str">
        <f>IFERROR(__xludf.DUMMYFUNCTION("""COMPUTED_VALUE"""),"سمنان")</f>
        <v>سمنان</v>
      </c>
      <c r="E4471" s="5" t="str">
        <f>IFERROR(__xludf.DUMMYFUNCTION("""COMPUTED_VALUE"""),"سمنان")</f>
        <v>سمنان</v>
      </c>
      <c r="F4471" s="5"/>
      <c r="G4471" s="5"/>
      <c r="H4471" s="5"/>
      <c r="I4471" s="6" t="str">
        <f>IFERROR(__xludf.DUMMYFUNCTION("""COMPUTED_VALUE"""),"https://t.me/khadememahdi1")</f>
        <v>https://t.me/khadememahdi1</v>
      </c>
      <c r="J4471" s="5"/>
      <c r="K4471" s="5"/>
      <c r="L4471" s="5"/>
      <c r="M4471" s="5"/>
      <c r="N4471" s="5"/>
      <c r="O4471" s="5"/>
      <c r="P4471" s="5"/>
      <c r="Q4471" s="5"/>
      <c r="R4471" s="5"/>
      <c r="S4471" s="5"/>
    </row>
    <row r="4472">
      <c r="A4472" s="5">
        <f>IFERROR(__xludf.DUMMYFUNCTION("""COMPUTED_VALUE"""),24324.0)</f>
        <v>24324</v>
      </c>
      <c r="B4472" s="5" t="str">
        <f>IFERROR(__xludf.DUMMYFUNCTION("""COMPUTED_VALUE"""),"پایگاه")</f>
        <v>پایگاه</v>
      </c>
      <c r="C4472" s="5" t="str">
        <f>IFERROR(__xludf.DUMMYFUNCTION("""COMPUTED_VALUE"""),"جواد الائمه (ع)")</f>
        <v>جواد الائمه (ع)</v>
      </c>
      <c r="D4472" s="5" t="str">
        <f>IFERROR(__xludf.DUMMYFUNCTION("""COMPUTED_VALUE"""),"سمنان")</f>
        <v>سمنان</v>
      </c>
      <c r="E4472" s="5" t="str">
        <f>IFERROR(__xludf.DUMMYFUNCTION("""COMPUTED_VALUE"""),"سمنان")</f>
        <v>سمنان</v>
      </c>
      <c r="F4472" s="5"/>
      <c r="G4472" s="5"/>
      <c r="H4472" s="5"/>
      <c r="I4472" s="5"/>
      <c r="J4472" s="6" t="str">
        <f>IFERROR(__xludf.DUMMYFUNCTION("""COMPUTED_VALUE"""),"https://eitaa.com/paygah_javad_al_aemme_semnan")</f>
        <v>https://eitaa.com/paygah_javad_al_aemme_semnan</v>
      </c>
      <c r="K4472" s="5"/>
      <c r="L4472" s="5"/>
      <c r="M4472" s="5"/>
      <c r="N4472" s="5"/>
      <c r="O4472" s="5"/>
      <c r="P4472" s="5"/>
      <c r="Q4472" s="5"/>
      <c r="R4472" s="5"/>
      <c r="S4472" s="5"/>
    </row>
    <row r="4473">
      <c r="A4473" s="5">
        <f>IFERROR(__xludf.DUMMYFUNCTION("""COMPUTED_VALUE"""),22861.0)</f>
        <v>22861</v>
      </c>
      <c r="B4473" s="5" t="str">
        <f>IFERROR(__xludf.DUMMYFUNCTION("""COMPUTED_VALUE"""),"حسینیه")</f>
        <v>حسینیه</v>
      </c>
      <c r="C4473" s="5" t="str">
        <f>IFERROR(__xludf.DUMMYFUNCTION("""COMPUTED_VALUE"""),"شهدای مدافع حرم")</f>
        <v>شهدای مدافع حرم</v>
      </c>
      <c r="D4473" s="5" t="str">
        <f>IFERROR(__xludf.DUMMYFUNCTION("""COMPUTED_VALUE"""),"سمنان")</f>
        <v>سمنان</v>
      </c>
      <c r="E4473" s="5" t="str">
        <f>IFERROR(__xludf.DUMMYFUNCTION("""COMPUTED_VALUE"""),"سمنان")</f>
        <v>سمنان</v>
      </c>
      <c r="F4473" s="5"/>
      <c r="G4473" s="5"/>
      <c r="H4473" s="6" t="str">
        <f>IFERROR(__xludf.DUMMYFUNCTION("""COMPUTED_VALUE"""),"https://www.instagram.com/semnan__hamdeli")</f>
        <v>https://www.instagram.com/semnan__hamdeli</v>
      </c>
      <c r="I4473" s="5"/>
      <c r="J4473" s="6" t="str">
        <f>IFERROR(__xludf.DUMMYFUNCTION("""COMPUTED_VALUE"""),"https://eitaa.com/semnan_hamdeli")</f>
        <v>https://eitaa.com/semnan_hamdeli</v>
      </c>
      <c r="K4473" s="5"/>
      <c r="L4473" s="5"/>
      <c r="M4473" s="5"/>
      <c r="N4473" s="5"/>
      <c r="O4473" s="5"/>
      <c r="P4473" s="5"/>
      <c r="Q4473" s="5"/>
      <c r="R4473" s="5"/>
      <c r="S4473" s="5"/>
    </row>
    <row r="4474">
      <c r="A4474" s="5">
        <f>IFERROR(__xludf.DUMMYFUNCTION("""COMPUTED_VALUE"""),22860.0)</f>
        <v>22860</v>
      </c>
      <c r="B4474" s="5" t="str">
        <f>IFERROR(__xludf.DUMMYFUNCTION("""COMPUTED_VALUE"""),"هیأت")</f>
        <v>هیأت</v>
      </c>
      <c r="C4474" s="5" t="str">
        <f>IFERROR(__xludf.DUMMYFUNCTION("""COMPUTED_VALUE"""),"رزمندگان اسلام عاشقان ولایت")</f>
        <v>رزمندگان اسلام عاشقان ولایت</v>
      </c>
      <c r="D4474" s="5" t="str">
        <f>IFERROR(__xludf.DUMMYFUNCTION("""COMPUTED_VALUE"""),"سمنان")</f>
        <v>سمنان</v>
      </c>
      <c r="E4474" s="5" t="str">
        <f>IFERROR(__xludf.DUMMYFUNCTION("""COMPUTED_VALUE"""),"سمنان")</f>
        <v>سمنان</v>
      </c>
      <c r="F4474" s="5"/>
      <c r="G4474" s="5"/>
      <c r="H4474" s="6" t="str">
        <f>IFERROR(__xludf.DUMMYFUNCTION("""COMPUTED_VALUE"""),"https://www.instagram.com/heyatasheghanvelayat_live")</f>
        <v>https://www.instagram.com/heyatasheghanvelayat_live</v>
      </c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</row>
    <row r="4475">
      <c r="A4475" s="5">
        <f>IFERROR(__xludf.DUMMYFUNCTION("""COMPUTED_VALUE"""),22121.0)</f>
        <v>22121</v>
      </c>
      <c r="B4475" s="5" t="str">
        <f>IFERROR(__xludf.DUMMYFUNCTION("""COMPUTED_VALUE"""),"هیأت")</f>
        <v>هیأت</v>
      </c>
      <c r="C4475" s="5" t="str">
        <f>IFERROR(__xludf.DUMMYFUNCTION("""COMPUTED_VALUE"""),"روضه الزهرا (س)")</f>
        <v>روضه الزهرا (س)</v>
      </c>
      <c r="D4475" s="5" t="str">
        <f>IFERROR(__xludf.DUMMYFUNCTION("""COMPUTED_VALUE"""),"سمنان")</f>
        <v>سمنان</v>
      </c>
      <c r="E4475" s="5" t="str">
        <f>IFERROR(__xludf.DUMMYFUNCTION("""COMPUTED_VALUE"""),"سمنان")</f>
        <v>سمنان</v>
      </c>
      <c r="F4475" s="5"/>
      <c r="G4475" s="5"/>
      <c r="H4475" s="6" t="str">
        <f>IFERROR(__xludf.DUMMYFUNCTION("""COMPUTED_VALUE"""),"https://www.instagram.com/roze213_")</f>
        <v>https://www.instagram.com/roze213_</v>
      </c>
      <c r="I4475" s="5"/>
      <c r="J4475" s="6" t="str">
        <f>IFERROR(__xludf.DUMMYFUNCTION("""COMPUTED_VALUE"""),"https://eitaa.com/alzahrasem")</f>
        <v>https://eitaa.com/alzahrasem</v>
      </c>
      <c r="K4475" s="5"/>
      <c r="L4475" s="5"/>
      <c r="M4475" s="5"/>
      <c r="N4475" s="5"/>
      <c r="O4475" s="5"/>
      <c r="P4475" s="5"/>
      <c r="Q4475" s="5"/>
      <c r="R4475" s="5"/>
      <c r="S4475" s="5"/>
    </row>
    <row r="4476">
      <c r="A4476" s="5">
        <f>IFERROR(__xludf.DUMMYFUNCTION("""COMPUTED_VALUE"""),22114.0)</f>
        <v>22114</v>
      </c>
      <c r="B4476" s="5" t="str">
        <f>IFERROR(__xludf.DUMMYFUNCTION("""COMPUTED_VALUE"""),"هیأت")</f>
        <v>هیأت</v>
      </c>
      <c r="C4476" s="5" t="str">
        <f>IFERROR(__xludf.DUMMYFUNCTION("""COMPUTED_VALUE"""),"ام المومنین حضرت خدیجه کبری (س)")</f>
        <v>ام المومنین حضرت خدیجه کبری (س)</v>
      </c>
      <c r="D4476" s="5" t="str">
        <f>IFERROR(__xludf.DUMMYFUNCTION("""COMPUTED_VALUE"""),"سمنان")</f>
        <v>سمنان</v>
      </c>
      <c r="E4476" s="5" t="str">
        <f>IFERROR(__xludf.DUMMYFUNCTION("""COMPUTED_VALUE"""),"سمنان")</f>
        <v>سمنان</v>
      </c>
      <c r="F4476" s="5"/>
      <c r="G4476" s="5"/>
      <c r="H4476" s="5"/>
      <c r="I4476" s="5"/>
      <c r="J4476" s="6" t="str">
        <f>IFERROR(__xludf.DUMMYFUNCTION("""COMPUTED_VALUE"""),"https://eitaa.com/ya_khadije_kobra")</f>
        <v>https://eitaa.com/ya_khadije_kobra</v>
      </c>
      <c r="K4476" s="5"/>
      <c r="L4476" s="5"/>
      <c r="M4476" s="5"/>
      <c r="N4476" s="5"/>
      <c r="O4476" s="5"/>
      <c r="P4476" s="5"/>
      <c r="Q4476" s="5"/>
      <c r="R4476" s="5"/>
      <c r="S4476" s="5"/>
    </row>
    <row r="4477">
      <c r="A4477" s="5">
        <f>IFERROR(__xludf.DUMMYFUNCTION("""COMPUTED_VALUE"""),18123.0)</f>
        <v>18123</v>
      </c>
      <c r="B4477" s="5" t="str">
        <f>IFERROR(__xludf.DUMMYFUNCTION("""COMPUTED_VALUE"""),"هیأت")</f>
        <v>هیأت</v>
      </c>
      <c r="C4477" s="5" t="str">
        <f>IFERROR(__xludf.DUMMYFUNCTION("""COMPUTED_VALUE"""),"رایه العباس (ع)")</f>
        <v>رایه العباس (ع)</v>
      </c>
      <c r="D4477" s="5" t="str">
        <f>IFERROR(__xludf.DUMMYFUNCTION("""COMPUTED_VALUE"""),"سمنان")</f>
        <v>سمنان</v>
      </c>
      <c r="E4477" s="5" t="str">
        <f>IFERROR(__xludf.DUMMYFUNCTION("""COMPUTED_VALUE"""),"سمنان")</f>
        <v>سمنان</v>
      </c>
      <c r="F4477" s="5"/>
      <c r="G4477" s="5"/>
      <c r="H4477" s="6" t="str">
        <f>IFERROR(__xludf.DUMMYFUNCTION("""COMPUTED_VALUE"""),"https://www.instagram.com/alkafiiil")</f>
        <v>https://www.instagram.com/alkafiiil</v>
      </c>
      <c r="I4477" s="6" t="str">
        <f>IFERROR(__xludf.DUMMYFUNCTION("""COMPUTED_VALUE"""),"https://t.me/rayatoolabas")</f>
        <v>https://t.me/rayatoolabas</v>
      </c>
      <c r="J4477" s="6" t="str">
        <f>IFERROR(__xludf.DUMMYFUNCTION("""COMPUTED_VALUE"""),"https://eitaa.com/rayatoolabas")</f>
        <v>https://eitaa.com/rayatoolabas</v>
      </c>
      <c r="K4477" s="5"/>
      <c r="L4477" s="5"/>
      <c r="M4477" s="5"/>
      <c r="N4477" s="5"/>
      <c r="O4477" s="5"/>
      <c r="P4477" s="5"/>
      <c r="Q4477" s="5"/>
      <c r="R4477" s="5"/>
      <c r="S4477" s="5"/>
    </row>
    <row r="4478">
      <c r="A4478" s="5">
        <f>IFERROR(__xludf.DUMMYFUNCTION("""COMPUTED_VALUE"""),18122.0)</f>
        <v>18122</v>
      </c>
      <c r="B4478" s="5" t="str">
        <f>IFERROR(__xludf.DUMMYFUNCTION("""COMPUTED_VALUE"""),"هیأت")</f>
        <v>هیأت</v>
      </c>
      <c r="C4478" s="5" t="str">
        <f>IFERROR(__xludf.DUMMYFUNCTION("""COMPUTED_VALUE"""),"رهروان بقیه الله (عج)")</f>
        <v>رهروان بقیه الله (عج)</v>
      </c>
      <c r="D4478" s="5" t="str">
        <f>IFERROR(__xludf.DUMMYFUNCTION("""COMPUTED_VALUE"""),"سمنان")</f>
        <v>سمنان</v>
      </c>
      <c r="E4478" s="5" t="str">
        <f>IFERROR(__xludf.DUMMYFUNCTION("""COMPUTED_VALUE"""),"سمنان")</f>
        <v>سمنان</v>
      </c>
      <c r="F4478" s="5"/>
      <c r="G4478" s="5"/>
      <c r="H4478" s="5"/>
      <c r="I4478" s="6" t="str">
        <f>IFERROR(__xludf.DUMMYFUNCTION("""COMPUTED_VALUE"""),"https://t.me/rahrovan_semnan")</f>
        <v>https://t.me/rahrovan_semnan</v>
      </c>
      <c r="J4478" s="6" t="str">
        <f>IFERROR(__xludf.DUMMYFUNCTION("""COMPUTED_VALUE"""),"https://eitaa.com/rahrovan_semnan")</f>
        <v>https://eitaa.com/rahrovan_semnan</v>
      </c>
      <c r="K4478" s="5"/>
      <c r="L4478" s="5"/>
      <c r="M4478" s="5"/>
      <c r="N4478" s="5"/>
      <c r="O4478" s="5"/>
      <c r="P4478" s="5"/>
      <c r="Q4478" s="5"/>
      <c r="R4478" s="5"/>
      <c r="S4478" s="5"/>
    </row>
    <row r="4479">
      <c r="A4479" s="5">
        <f>IFERROR(__xludf.DUMMYFUNCTION("""COMPUTED_VALUE"""),9121.0)</f>
        <v>9121</v>
      </c>
      <c r="B4479" s="5" t="str">
        <f>IFERROR(__xludf.DUMMYFUNCTION("""COMPUTED_VALUE"""),"هیأت")</f>
        <v>هیأت</v>
      </c>
      <c r="C4479" s="5" t="str">
        <f>IFERROR(__xludf.DUMMYFUNCTION("""COMPUTED_VALUE"""),"منتظران حضرت مهدی(عج)")</f>
        <v>منتظران حضرت مهدی(عج)</v>
      </c>
      <c r="D4479" s="5" t="str">
        <f>IFERROR(__xludf.DUMMYFUNCTION("""COMPUTED_VALUE"""),"سمنان")</f>
        <v>سمنان</v>
      </c>
      <c r="E4479" s="5" t="str">
        <f>IFERROR(__xludf.DUMMYFUNCTION("""COMPUTED_VALUE"""),"سمنان")</f>
        <v>سمنان</v>
      </c>
      <c r="F4479" s="5"/>
      <c r="G4479" s="5"/>
      <c r="H4479" s="6" t="str">
        <f>IFERROR(__xludf.DUMMYFUNCTION("""COMPUTED_VALUE"""),"https://www.instagram.com/_montazeran.mhdi_")</f>
        <v>https://www.instagram.com/_montazeran.mhdi_</v>
      </c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</row>
    <row r="4480">
      <c r="A4480" s="5">
        <f>IFERROR(__xludf.DUMMYFUNCTION("""COMPUTED_VALUE"""),8969.0)</f>
        <v>8969</v>
      </c>
      <c r="B4480" s="5" t="str">
        <f>IFERROR(__xludf.DUMMYFUNCTION("""COMPUTED_VALUE"""),"هیأت")</f>
        <v>هیأت</v>
      </c>
      <c r="C4480" s="5" t="str">
        <f>IFERROR(__xludf.DUMMYFUNCTION("""COMPUTED_VALUE"""),"هیات الشهدا")</f>
        <v>هیات الشهدا</v>
      </c>
      <c r="D4480" s="5" t="str">
        <f>IFERROR(__xludf.DUMMYFUNCTION("""COMPUTED_VALUE"""),"سمنان")</f>
        <v>سمنان</v>
      </c>
      <c r="E4480" s="5" t="str">
        <f>IFERROR(__xludf.DUMMYFUNCTION("""COMPUTED_VALUE"""),"سمنان")</f>
        <v>سمنان</v>
      </c>
      <c r="F4480" s="5"/>
      <c r="G4480" s="5"/>
      <c r="H4480" s="6" t="str">
        <f>IFERROR(__xludf.DUMMYFUNCTION("""COMPUTED_VALUE"""),"https://www.instagram.com/heyatoshohada_semnan")</f>
        <v>https://www.instagram.com/heyatoshohada_semnan</v>
      </c>
      <c r="I4480" s="6" t="str">
        <f>IFERROR(__xludf.DUMMYFUNCTION("""COMPUTED_VALUE"""),"https://t.me/heyatalshohada")</f>
        <v>https://t.me/heyatalshohada</v>
      </c>
      <c r="J4480" s="5"/>
      <c r="K4480" s="5"/>
      <c r="L4480" s="5"/>
      <c r="M4480" s="5"/>
      <c r="N4480" s="5"/>
      <c r="O4480" s="5"/>
      <c r="P4480" s="5"/>
      <c r="Q4480" s="5"/>
      <c r="R4480" s="5"/>
      <c r="S4480" s="5"/>
    </row>
    <row r="4481">
      <c r="A4481" s="5">
        <f>IFERROR(__xludf.DUMMYFUNCTION("""COMPUTED_VALUE"""),8965.0)</f>
        <v>8965</v>
      </c>
      <c r="B4481" s="5" t="str">
        <f>IFERROR(__xludf.DUMMYFUNCTION("""COMPUTED_VALUE"""),"هیأت")</f>
        <v>هیأت</v>
      </c>
      <c r="C4481" s="5" t="str">
        <f>IFERROR(__xludf.DUMMYFUNCTION("""COMPUTED_VALUE"""),"موسسه فرهنگی اندیشه نو")</f>
        <v>موسسه فرهنگی اندیشه نو</v>
      </c>
      <c r="D4481" s="5" t="str">
        <f>IFERROR(__xludf.DUMMYFUNCTION("""COMPUTED_VALUE"""),"سمنان")</f>
        <v>سمنان</v>
      </c>
      <c r="E4481" s="5" t="str">
        <f>IFERROR(__xludf.DUMMYFUNCTION("""COMPUTED_VALUE"""),"سمنان")</f>
        <v>سمنان</v>
      </c>
      <c r="F4481" s="5"/>
      <c r="G4481" s="5"/>
      <c r="H4481" s="6" t="str">
        <f>IFERROR(__xludf.DUMMYFUNCTION("""COMPUTED_VALUE"""),"https://www.instagram.com/andishe_noe")</f>
        <v>https://www.instagram.com/andishe_noe</v>
      </c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</row>
    <row r="4482">
      <c r="A4482" s="5">
        <f>IFERROR(__xludf.DUMMYFUNCTION("""COMPUTED_VALUE"""),8902.0)</f>
        <v>8902</v>
      </c>
      <c r="B4482" s="5" t="str">
        <f>IFERROR(__xludf.DUMMYFUNCTION("""COMPUTED_VALUE"""),"هیأت")</f>
        <v>هیأت</v>
      </c>
      <c r="C4482" s="5" t="str">
        <f>IFERROR(__xludf.DUMMYFUNCTION("""COMPUTED_VALUE"""),"بنیاد دعبل خزاعی")</f>
        <v>بنیاد دعبل خزاعی</v>
      </c>
      <c r="D4482" s="5" t="str">
        <f>IFERROR(__xludf.DUMMYFUNCTION("""COMPUTED_VALUE"""),"سمنان")</f>
        <v>سمنان</v>
      </c>
      <c r="E4482" s="5" t="str">
        <f>IFERROR(__xludf.DUMMYFUNCTION("""COMPUTED_VALUE"""),"سمنان")</f>
        <v>سمنان</v>
      </c>
      <c r="F4482" s="5"/>
      <c r="G4482" s="5"/>
      <c r="H4482" s="5"/>
      <c r="I4482" s="6" t="str">
        <f>IFERROR(__xludf.DUMMYFUNCTION("""COMPUTED_VALUE"""),"https://t.me/deabel_ir")</f>
        <v>https://t.me/deabel_ir</v>
      </c>
      <c r="J4482" s="6" t="str">
        <f>IFERROR(__xludf.DUMMYFUNCTION("""COMPUTED_VALUE"""),"https://eitaa.com/deabel_ir")</f>
        <v>https://eitaa.com/deabel_ir</v>
      </c>
      <c r="K4482" s="5"/>
      <c r="L4482" s="5"/>
      <c r="M4482" s="5"/>
      <c r="N4482" s="5"/>
      <c r="O4482" s="5"/>
      <c r="P4482" s="5"/>
      <c r="Q4482" s="5"/>
      <c r="R4482" s="5"/>
      <c r="S4482" s="5"/>
    </row>
    <row r="4483">
      <c r="A4483" s="5">
        <f>IFERROR(__xludf.DUMMYFUNCTION("""COMPUTED_VALUE"""),8858.0)</f>
        <v>8858</v>
      </c>
      <c r="B4483" s="5" t="str">
        <f>IFERROR(__xludf.DUMMYFUNCTION("""COMPUTED_VALUE"""),"هیأت")</f>
        <v>هیأت</v>
      </c>
      <c r="C4483" s="5" t="str">
        <f>IFERROR(__xludf.DUMMYFUNCTION("""COMPUTED_VALUE"""),"متوسلین به موسی بن جعفر (ع)")</f>
        <v>متوسلین به موسی بن جعفر (ع)</v>
      </c>
      <c r="D4483" s="5" t="str">
        <f>IFERROR(__xludf.DUMMYFUNCTION("""COMPUTED_VALUE"""),"سمنان")</f>
        <v>سمنان</v>
      </c>
      <c r="E4483" s="5" t="str">
        <f>IFERROR(__xludf.DUMMYFUNCTION("""COMPUTED_VALUE"""),"سمنان")</f>
        <v>سمنان</v>
      </c>
      <c r="F4483" s="5"/>
      <c r="G4483" s="5"/>
      <c r="H4483" s="5"/>
      <c r="I4483" s="6" t="str">
        <f>IFERROR(__xludf.DUMMYFUNCTION("""COMPUTED_VALUE"""),"https://t.me/mtvslynmusabnjafar")</f>
        <v>https://t.me/mtvslynmusabnjafar</v>
      </c>
      <c r="J4483" s="5"/>
      <c r="K4483" s="5"/>
      <c r="L4483" s="5"/>
      <c r="M4483" s="5"/>
      <c r="N4483" s="5"/>
      <c r="O4483" s="5"/>
      <c r="P4483" s="5"/>
      <c r="Q4483" s="5"/>
      <c r="R4483" s="5"/>
      <c r="S4483" s="5"/>
    </row>
    <row r="4484">
      <c r="A4484" s="5">
        <f>IFERROR(__xludf.DUMMYFUNCTION("""COMPUTED_VALUE"""),8788.0)</f>
        <v>8788</v>
      </c>
      <c r="B4484" s="5" t="str">
        <f>IFERROR(__xludf.DUMMYFUNCTION("""COMPUTED_VALUE"""),"تکیه")</f>
        <v>تکیه</v>
      </c>
      <c r="C4484" s="5" t="str">
        <f>IFERROR(__xludf.DUMMYFUNCTION("""COMPUTED_VALUE"""),"تکیه عباسیه")</f>
        <v>تکیه عباسیه</v>
      </c>
      <c r="D4484" s="5" t="str">
        <f>IFERROR(__xludf.DUMMYFUNCTION("""COMPUTED_VALUE"""),"سمنان")</f>
        <v>سمنان</v>
      </c>
      <c r="E4484" s="5" t="str">
        <f>IFERROR(__xludf.DUMMYFUNCTION("""COMPUTED_VALUE"""),"سمنان")</f>
        <v>سمنان</v>
      </c>
      <c r="F4484" s="5"/>
      <c r="G4484" s="5"/>
      <c r="H4484" s="6" t="str">
        <f>IFERROR(__xludf.DUMMYFUNCTION("""COMPUTED_VALUE"""),"https://www.instagram.com/tekiye.abbasiyeh")</f>
        <v>https://www.instagram.com/tekiye.abbasiyeh</v>
      </c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</row>
    <row r="4485">
      <c r="A4485" s="5">
        <f>IFERROR(__xludf.DUMMYFUNCTION("""COMPUTED_VALUE"""),29730.0)</f>
        <v>29730</v>
      </c>
      <c r="B4485" s="5" t="str">
        <f>IFERROR(__xludf.DUMMYFUNCTION("""COMPUTED_VALUE"""),"هیأت")</f>
        <v>هیأت</v>
      </c>
      <c r="C4485" s="5" t="str">
        <f>IFERROR(__xludf.DUMMYFUNCTION("""COMPUTED_VALUE"""),"ریحانه النبی (س)")</f>
        <v>ریحانه النبی (س)</v>
      </c>
      <c r="D4485" s="5" t="str">
        <f>IFERROR(__xludf.DUMMYFUNCTION("""COMPUTED_VALUE"""),"سمنان")</f>
        <v>سمنان</v>
      </c>
      <c r="E4485" s="5" t="str">
        <f>IFERROR(__xludf.DUMMYFUNCTION("""COMPUTED_VALUE"""),"شاهرود")</f>
        <v>شاهرود</v>
      </c>
      <c r="F4485" s="5"/>
      <c r="G4485" s="5"/>
      <c r="H4485" s="6" t="str">
        <f>IFERROR(__xludf.DUMMYFUNCTION("""COMPUTED_VALUE"""),"https://www.instagram.com/reyhanatonnabyy1437")</f>
        <v>https://www.instagram.com/reyhanatonnabyy1437</v>
      </c>
      <c r="I4485" s="5"/>
      <c r="J4485" s="6" t="str">
        <f>IFERROR(__xludf.DUMMYFUNCTION("""COMPUTED_VALUE"""),"https://eitaa.com/REYHANATONNABYY1437")</f>
        <v>https://eitaa.com/REYHANATONNABYY1437</v>
      </c>
      <c r="K4485" s="5"/>
      <c r="L4485" s="5"/>
      <c r="M4485" s="5"/>
      <c r="N4485" s="5"/>
      <c r="O4485" s="5"/>
      <c r="P4485" s="5"/>
      <c r="Q4485" s="5"/>
      <c r="R4485" s="5"/>
      <c r="S4485" s="5"/>
    </row>
    <row r="4486">
      <c r="A4486" s="5">
        <f>IFERROR(__xludf.DUMMYFUNCTION("""COMPUTED_VALUE"""),29442.0)</f>
        <v>29442</v>
      </c>
      <c r="B4486" s="5" t="str">
        <f>IFERROR(__xludf.DUMMYFUNCTION("""COMPUTED_VALUE"""),"هیأت")</f>
        <v>هیأت</v>
      </c>
      <c r="C4486" s="5" t="str">
        <f>IFERROR(__xludf.DUMMYFUNCTION("""COMPUTED_VALUE"""),"شبیه خوانی نوای کربلا")</f>
        <v>شبیه خوانی نوای کربلا</v>
      </c>
      <c r="D4486" s="5" t="str">
        <f>IFERROR(__xludf.DUMMYFUNCTION("""COMPUTED_VALUE"""),"سمنان")</f>
        <v>سمنان</v>
      </c>
      <c r="E4486" s="5" t="str">
        <f>IFERROR(__xludf.DUMMYFUNCTION("""COMPUTED_VALUE"""),"شاهرود")</f>
        <v>شاهرود</v>
      </c>
      <c r="F4486" s="5"/>
      <c r="G4486" s="5"/>
      <c r="H4486" s="6" t="str">
        <f>IFERROR(__xludf.DUMMYFUNCTION("""COMPUTED_VALUE"""),"https://www.instagram.com/navayekarbala__shahrood")</f>
        <v>https://www.instagram.com/navayekarbala__shahrood</v>
      </c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</row>
    <row r="4487">
      <c r="A4487" s="5">
        <f>IFERROR(__xludf.DUMMYFUNCTION("""COMPUTED_VALUE"""),29329.0)</f>
        <v>29329</v>
      </c>
      <c r="B4487" s="5" t="str">
        <f>IFERROR(__xludf.DUMMYFUNCTION("""COMPUTED_VALUE"""),"هیأت")</f>
        <v>هیأت</v>
      </c>
      <c r="C4487" s="5" t="str">
        <f>IFERROR(__xludf.DUMMYFUNCTION("""COMPUTED_VALUE"""),"زنجیرزنی موسی بن جعفر (ع)بسطام")</f>
        <v>زنجیرزنی موسی بن جعفر (ع)بسطام</v>
      </c>
      <c r="D4487" s="5" t="str">
        <f>IFERROR(__xludf.DUMMYFUNCTION("""COMPUTED_VALUE"""),"سمنان")</f>
        <v>سمنان</v>
      </c>
      <c r="E4487" s="5" t="str">
        <f>IFERROR(__xludf.DUMMYFUNCTION("""COMPUTED_VALUE"""),"شاهرود")</f>
        <v>شاهرود</v>
      </c>
      <c r="F4487" s="5"/>
      <c r="G4487" s="5"/>
      <c r="H4487" s="6" t="str">
        <f>IFERROR(__xludf.DUMMYFUNCTION("""COMPUTED_VALUE"""),"https://www.instagram.com/masjed_musabnjafar_bastam4373/")</f>
        <v>https://www.instagram.com/masjed_musabnjafar_bastam4373/</v>
      </c>
      <c r="I4487" s="6" t="str">
        <f>IFERROR(__xludf.DUMMYFUNCTION("""COMPUTED_VALUE"""),"https://t.me/muosabne_jafar")</f>
        <v>https://t.me/muosabne_jafar</v>
      </c>
      <c r="J4487" s="5"/>
      <c r="K4487" s="5"/>
      <c r="L4487" s="5"/>
      <c r="M4487" s="5"/>
      <c r="N4487" s="5"/>
      <c r="O4487" s="5"/>
      <c r="P4487" s="5"/>
      <c r="Q4487" s="5"/>
      <c r="R4487" s="5"/>
      <c r="S4487" s="5"/>
    </row>
    <row r="4488">
      <c r="A4488" s="5">
        <f>IFERROR(__xludf.DUMMYFUNCTION("""COMPUTED_VALUE"""),28094.0)</f>
        <v>28094</v>
      </c>
      <c r="B4488" s="5" t="str">
        <f>IFERROR(__xludf.DUMMYFUNCTION("""COMPUTED_VALUE"""),"هیأت")</f>
        <v>هیأت</v>
      </c>
      <c r="C4488" s="5" t="str">
        <f>IFERROR(__xludf.DUMMYFUNCTION("""COMPUTED_VALUE"""),"هیأت الرضا (ع) شاهرود")</f>
        <v>هیأت الرضا (ع) شاهرود</v>
      </c>
      <c r="D4488" s="5" t="str">
        <f>IFERROR(__xludf.DUMMYFUNCTION("""COMPUTED_VALUE"""),"سمنان")</f>
        <v>سمنان</v>
      </c>
      <c r="E4488" s="5" t="str">
        <f>IFERROR(__xludf.DUMMYFUNCTION("""COMPUTED_VALUE"""),"شاهرود")</f>
        <v>شاهرود</v>
      </c>
      <c r="F4488" s="5"/>
      <c r="G4488" s="5"/>
      <c r="H4488" s="6" t="str">
        <f>IFERROR(__xludf.DUMMYFUNCTION("""COMPUTED_VALUE"""),"https://www.instagram.com/hyat_oreza_shahrood_")</f>
        <v>https://www.instagram.com/hyat_oreza_shahrood_</v>
      </c>
      <c r="I4488" s="6" t="str">
        <f>IFERROR(__xludf.DUMMYFUNCTION("""COMPUTED_VALUE"""),"https://t.me/hyattoreza")</f>
        <v>https://t.me/hyattoreza</v>
      </c>
      <c r="J4488" s="5"/>
      <c r="K4488" s="5"/>
      <c r="L4488" s="5"/>
      <c r="M4488" s="5"/>
      <c r="N4488" s="5"/>
      <c r="O4488" s="5"/>
      <c r="P4488" s="5"/>
      <c r="Q4488" s="5"/>
      <c r="R4488" s="5"/>
      <c r="S4488" s="5"/>
    </row>
    <row r="4489">
      <c r="A4489" s="5">
        <f>IFERROR(__xludf.DUMMYFUNCTION("""COMPUTED_VALUE"""),27412.0)</f>
        <v>27412</v>
      </c>
      <c r="B4489" s="5" t="str">
        <f>IFERROR(__xludf.DUMMYFUNCTION("""COMPUTED_VALUE"""),"هیأت")</f>
        <v>هیأت</v>
      </c>
      <c r="C4489" s="5" t="str">
        <f>IFERROR(__xludf.DUMMYFUNCTION("""COMPUTED_VALUE"""),"هیات الزهرا (س)")</f>
        <v>هیات الزهرا (س)</v>
      </c>
      <c r="D4489" s="5" t="str">
        <f>IFERROR(__xludf.DUMMYFUNCTION("""COMPUTED_VALUE"""),"سمنان")</f>
        <v>سمنان</v>
      </c>
      <c r="E4489" s="5" t="str">
        <f>IFERROR(__xludf.DUMMYFUNCTION("""COMPUTED_VALUE"""),"شاهرود")</f>
        <v>شاهرود</v>
      </c>
      <c r="F4489" s="5"/>
      <c r="G4489" s="5"/>
      <c r="H4489" s="5"/>
      <c r="I4489" s="5"/>
      <c r="J4489" s="6" t="str">
        <f>IFERROR(__xludf.DUMMYFUNCTION("""COMPUTED_VALUE"""),"https://eitaa.com/alzahrashahrood")</f>
        <v>https://eitaa.com/alzahrashahrood</v>
      </c>
      <c r="K4489" s="5"/>
      <c r="L4489" s="5"/>
      <c r="M4489" s="5"/>
      <c r="N4489" s="5"/>
      <c r="O4489" s="5"/>
      <c r="P4489" s="5"/>
      <c r="Q4489" s="5"/>
      <c r="R4489" s="5"/>
      <c r="S4489" s="5"/>
    </row>
    <row r="4490">
      <c r="A4490" s="5">
        <f>IFERROR(__xludf.DUMMYFUNCTION("""COMPUTED_VALUE"""),27411.0)</f>
        <v>27411</v>
      </c>
      <c r="B4490" s="5" t="str">
        <f>IFERROR(__xludf.DUMMYFUNCTION("""COMPUTED_VALUE"""),"هیأت")</f>
        <v>هیأت</v>
      </c>
      <c r="C4490" s="5" t="str">
        <f>IFERROR(__xludf.DUMMYFUNCTION("""COMPUTED_VALUE"""),"اندیشه ی کوثر")</f>
        <v>اندیشه ی کوثر</v>
      </c>
      <c r="D4490" s="5" t="str">
        <f>IFERROR(__xludf.DUMMYFUNCTION("""COMPUTED_VALUE"""),"سمنان")</f>
        <v>سمنان</v>
      </c>
      <c r="E4490" s="5" t="str">
        <f>IFERROR(__xludf.DUMMYFUNCTION("""COMPUTED_VALUE"""),"شاهرود")</f>
        <v>شاهرود</v>
      </c>
      <c r="F4490" s="5"/>
      <c r="G4490" s="5"/>
      <c r="H4490" s="5"/>
      <c r="I4490" s="5"/>
      <c r="J4490" s="6" t="str">
        <f>IFERROR(__xludf.DUMMYFUNCTION("""COMPUTED_VALUE"""),"https://eitaa.com/resaneh_kosar")</f>
        <v>https://eitaa.com/resaneh_kosar</v>
      </c>
      <c r="K4490" s="5"/>
      <c r="L4490" s="5"/>
      <c r="M4490" s="5"/>
      <c r="N4490" s="5"/>
      <c r="O4490" s="5"/>
      <c r="P4490" s="5"/>
      <c r="Q4490" s="5"/>
      <c r="R4490" s="5"/>
      <c r="S4490" s="5"/>
    </row>
    <row r="4491">
      <c r="A4491" s="5">
        <f>IFERROR(__xludf.DUMMYFUNCTION("""COMPUTED_VALUE"""),26728.0)</f>
        <v>26728</v>
      </c>
      <c r="B4491" s="5" t="str">
        <f>IFERROR(__xludf.DUMMYFUNCTION("""COMPUTED_VALUE"""),"هیأت")</f>
        <v>هیأت</v>
      </c>
      <c r="C4491" s="5" t="str">
        <f>IFERROR(__xludf.DUMMYFUNCTION("""COMPUTED_VALUE"""),"عاشقان ولایت")</f>
        <v>عاشقان ولایت</v>
      </c>
      <c r="D4491" s="5" t="str">
        <f>IFERROR(__xludf.DUMMYFUNCTION("""COMPUTED_VALUE"""),"سمنان")</f>
        <v>سمنان</v>
      </c>
      <c r="E4491" s="5" t="str">
        <f>IFERROR(__xludf.DUMMYFUNCTION("""COMPUTED_VALUE"""),"شاهرود")</f>
        <v>شاهرود</v>
      </c>
      <c r="F4491" s="5"/>
      <c r="G4491" s="5"/>
      <c r="H4491" s="6" t="str">
        <f>IFERROR(__xludf.DUMMYFUNCTION("""COMPUTED_VALUE"""),"https://www.instagram.com/heyatasheghanvelayat")</f>
        <v>https://www.instagram.com/heyatasheghanvelayat</v>
      </c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</row>
    <row r="4492">
      <c r="A4492" s="5">
        <f>IFERROR(__xludf.DUMMYFUNCTION("""COMPUTED_VALUE"""),26369.0)</f>
        <v>26369</v>
      </c>
      <c r="B4492" s="5" t="str">
        <f>IFERROR(__xludf.DUMMYFUNCTION("""COMPUTED_VALUE"""),"هیأت")</f>
        <v>هیأت</v>
      </c>
      <c r="C4492" s="5" t="str">
        <f>IFERROR(__xludf.DUMMYFUNCTION("""COMPUTED_VALUE"""),"یا مهدی (عج)")</f>
        <v>یا مهدی (عج)</v>
      </c>
      <c r="D4492" s="5" t="str">
        <f>IFERROR(__xludf.DUMMYFUNCTION("""COMPUTED_VALUE"""),"سمنان")</f>
        <v>سمنان</v>
      </c>
      <c r="E4492" s="5" t="str">
        <f>IFERROR(__xludf.DUMMYFUNCTION("""COMPUTED_VALUE"""),"شاهرود")</f>
        <v>شاهرود</v>
      </c>
      <c r="F4492" s="5"/>
      <c r="G4492" s="5"/>
      <c r="H4492" s="6" t="str">
        <f>IFERROR(__xludf.DUMMYFUNCTION("""COMPUTED_VALUE"""),"https://www.instagram.com/yamahdi_shahrood")</f>
        <v>https://www.instagram.com/yamahdi_shahrood</v>
      </c>
      <c r="I4492" s="5"/>
      <c r="J4492" s="6" t="str">
        <f>IFERROR(__xludf.DUMMYFUNCTION("""COMPUTED_VALUE"""),"https://eitaa.com/yamahdi_shahrood")</f>
        <v>https://eitaa.com/yamahdi_shahrood</v>
      </c>
      <c r="K4492" s="5"/>
      <c r="L4492" s="5"/>
      <c r="M4492" s="5"/>
      <c r="N4492" s="5"/>
      <c r="O4492" s="5"/>
      <c r="P4492" s="5"/>
      <c r="Q4492" s="5"/>
      <c r="R4492" s="5"/>
      <c r="S4492" s="5"/>
    </row>
    <row r="4493">
      <c r="A4493" s="5">
        <f>IFERROR(__xludf.DUMMYFUNCTION("""COMPUTED_VALUE"""),26129.0)</f>
        <v>26129</v>
      </c>
      <c r="B4493" s="5" t="str">
        <f>IFERROR(__xludf.DUMMYFUNCTION("""COMPUTED_VALUE"""),"هیأت")</f>
        <v>هیأت</v>
      </c>
      <c r="C4493" s="5" t="str">
        <f>IFERROR(__xludf.DUMMYFUNCTION("""COMPUTED_VALUE"""),"متوسلین به حضرت علی اصغر (ع) دیزج")</f>
        <v>متوسلین به حضرت علی اصغر (ع) دیزج</v>
      </c>
      <c r="D4493" s="5" t="str">
        <f>IFERROR(__xludf.DUMMYFUNCTION("""COMPUTED_VALUE"""),"سمنان")</f>
        <v>سمنان</v>
      </c>
      <c r="E4493" s="5" t="str">
        <f>IFERROR(__xludf.DUMMYFUNCTION("""COMPUTED_VALUE"""),"شاهرود")</f>
        <v>شاهرود</v>
      </c>
      <c r="F4493" s="5"/>
      <c r="G4493" s="5"/>
      <c r="H4493" s="6" t="str">
        <f>IFERROR(__xludf.DUMMYFUNCTION("""COMPUTED_VALUE"""),"https://www.instagram.com/heyat_hazrat_aliasghar1375")</f>
        <v>https://www.instagram.com/heyat_hazrat_aliasghar1375</v>
      </c>
      <c r="I4493" s="5"/>
      <c r="J4493" s="6" t="str">
        <f>IFERROR(__xludf.DUMMYFUNCTION("""COMPUTED_VALUE"""),"https://eitaa.com/HeyatAli_asghar")</f>
        <v>https://eitaa.com/HeyatAli_asghar</v>
      </c>
      <c r="K4493" s="5"/>
      <c r="L4493" s="5"/>
      <c r="M4493" s="5"/>
      <c r="N4493" s="5"/>
      <c r="O4493" s="5"/>
      <c r="P4493" s="5"/>
      <c r="Q4493" s="5"/>
      <c r="R4493" s="5"/>
      <c r="S4493" s="5"/>
    </row>
    <row r="4494">
      <c r="A4494" s="5">
        <f>IFERROR(__xludf.DUMMYFUNCTION("""COMPUTED_VALUE"""),24323.0)</f>
        <v>24323</v>
      </c>
      <c r="B4494" s="5" t="str">
        <f>IFERROR(__xludf.DUMMYFUNCTION("""COMPUTED_VALUE"""),"هیأت")</f>
        <v>هیأت</v>
      </c>
      <c r="C4494" s="5" t="str">
        <f>IFERROR(__xludf.DUMMYFUNCTION("""COMPUTED_VALUE"""),"ام ابیها")</f>
        <v>ام ابیها</v>
      </c>
      <c r="D4494" s="5" t="str">
        <f>IFERROR(__xludf.DUMMYFUNCTION("""COMPUTED_VALUE"""),"سمنان")</f>
        <v>سمنان</v>
      </c>
      <c r="E4494" s="5" t="str">
        <f>IFERROR(__xludf.DUMMYFUNCTION("""COMPUTED_VALUE"""),"شاهرود")</f>
        <v>شاهرود</v>
      </c>
      <c r="F4494" s="5"/>
      <c r="G4494" s="5"/>
      <c r="H4494" s="6" t="str">
        <f>IFERROR(__xludf.DUMMYFUNCTION("""COMPUTED_VALUE"""),"https://www.instagram.com/omeabiha.59")</f>
        <v>https://www.instagram.com/omeabiha.59</v>
      </c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</row>
    <row r="4495">
      <c r="A4495" s="5">
        <f>IFERROR(__xludf.DUMMYFUNCTION("""COMPUTED_VALUE"""),24321.0)</f>
        <v>24321</v>
      </c>
      <c r="B4495" s="5" t="str">
        <f>IFERROR(__xludf.DUMMYFUNCTION("""COMPUTED_VALUE"""),"مسجد")</f>
        <v>مسجد</v>
      </c>
      <c r="C4495" s="5" t="str">
        <f>IFERROR(__xludf.DUMMYFUNCTION("""COMPUTED_VALUE"""),"مسجد امام رضا")</f>
        <v>مسجد امام رضا</v>
      </c>
      <c r="D4495" s="5" t="str">
        <f>IFERROR(__xludf.DUMMYFUNCTION("""COMPUTED_VALUE"""),"سمنان")</f>
        <v>سمنان</v>
      </c>
      <c r="E4495" s="5" t="str">
        <f>IFERROR(__xludf.DUMMYFUNCTION("""COMPUTED_VALUE"""),"شاهرود")</f>
        <v>شاهرود</v>
      </c>
      <c r="F4495" s="5"/>
      <c r="G4495" s="5"/>
      <c r="H4495" s="6" t="str">
        <f>IFERROR(__xludf.DUMMYFUNCTION("""COMPUTED_VALUE"""),"https://www.instagram.com/masjed_imamreza_")</f>
        <v>https://www.instagram.com/masjed_imamreza_</v>
      </c>
      <c r="I4495" s="5"/>
      <c r="J4495" s="6" t="str">
        <f>IFERROR(__xludf.DUMMYFUNCTION("""COMPUTED_VALUE"""),"https://eitaa.com/masjed_imamreza")</f>
        <v>https://eitaa.com/masjed_imamreza</v>
      </c>
      <c r="K4495" s="5"/>
      <c r="L4495" s="5"/>
      <c r="M4495" s="5"/>
      <c r="N4495" s="5"/>
      <c r="O4495" s="5"/>
      <c r="P4495" s="5"/>
      <c r="Q4495" s="5"/>
      <c r="R4495" s="5"/>
      <c r="S4495" s="5"/>
    </row>
    <row r="4496">
      <c r="A4496" s="5">
        <f>IFERROR(__xludf.DUMMYFUNCTION("""COMPUTED_VALUE"""),24319.0)</f>
        <v>24319</v>
      </c>
      <c r="B4496" s="5" t="str">
        <f>IFERROR(__xludf.DUMMYFUNCTION("""COMPUTED_VALUE"""),"هیأت نوجوانان")</f>
        <v>هیأت نوجوانان</v>
      </c>
      <c r="C4496" s="5" t="str">
        <f>IFERROR(__xludf.DUMMYFUNCTION("""COMPUTED_VALUE"""),"قاسم بن الحسن (ع)")</f>
        <v>قاسم بن الحسن (ع)</v>
      </c>
      <c r="D4496" s="5" t="str">
        <f>IFERROR(__xludf.DUMMYFUNCTION("""COMPUTED_VALUE"""),"سمنان")</f>
        <v>سمنان</v>
      </c>
      <c r="E4496" s="5" t="str">
        <f>IFERROR(__xludf.DUMMYFUNCTION("""COMPUTED_VALUE"""),"شاهرود")</f>
        <v>شاهرود</v>
      </c>
      <c r="F4496" s="5"/>
      <c r="G4496" s="5"/>
      <c r="H4496" s="5"/>
      <c r="I4496" s="5"/>
      <c r="J4496" s="6" t="str">
        <f>IFERROR(__xludf.DUMMYFUNCTION("""COMPUTED_VALUE"""),"https://eitaa.com/Ghasemebenalhasan1440")</f>
        <v>https://eitaa.com/Ghasemebenalhasan1440</v>
      </c>
      <c r="K4496" s="5"/>
      <c r="L4496" s="5"/>
      <c r="M4496" s="5"/>
      <c r="N4496" s="5"/>
      <c r="O4496" s="5"/>
      <c r="P4496" s="5"/>
      <c r="Q4496" s="5"/>
      <c r="R4496" s="5"/>
      <c r="S4496" s="5"/>
    </row>
    <row r="4497">
      <c r="A4497" s="5">
        <f>IFERROR(__xludf.DUMMYFUNCTION("""COMPUTED_VALUE"""),23943.0)</f>
        <v>23943</v>
      </c>
      <c r="B4497" s="5" t="str">
        <f>IFERROR(__xludf.DUMMYFUNCTION("""COMPUTED_VALUE"""),"هیأت")</f>
        <v>هیأت</v>
      </c>
      <c r="C4497" s="5" t="str">
        <f>IFERROR(__xludf.DUMMYFUNCTION("""COMPUTED_VALUE"""),"جان نثاران اباعبدلله الحسین(ع)")</f>
        <v>جان نثاران اباعبدلله الحسین(ع)</v>
      </c>
      <c r="D4497" s="5" t="str">
        <f>IFERROR(__xludf.DUMMYFUNCTION("""COMPUTED_VALUE"""),"سمنان")</f>
        <v>سمنان</v>
      </c>
      <c r="E4497" s="5" t="str">
        <f>IFERROR(__xludf.DUMMYFUNCTION("""COMPUTED_VALUE"""),"شاهرود")</f>
        <v>شاهرود</v>
      </c>
      <c r="F4497" s="5"/>
      <c r="G4497" s="5"/>
      <c r="H4497" s="6" t="str">
        <f>IFERROR(__xludf.DUMMYFUNCTION("""COMPUTED_VALUE"""),"https://www.instagram.com/masjed_ghoraba")</f>
        <v>https://www.instagram.com/masjed_ghoraba</v>
      </c>
      <c r="I4497" s="5"/>
      <c r="J4497" s="6" t="str">
        <f>IFERROR(__xludf.DUMMYFUNCTION("""COMPUTED_VALUE"""),"https://www.eitaa.com/masjed_ghoraba")</f>
        <v>https://www.eitaa.com/masjed_ghoraba</v>
      </c>
      <c r="K4497" s="5"/>
      <c r="L4497" s="5"/>
      <c r="M4497" s="5"/>
      <c r="N4497" s="5"/>
      <c r="O4497" s="5"/>
      <c r="P4497" s="5"/>
      <c r="Q4497" s="5"/>
      <c r="R4497" s="5"/>
      <c r="S4497" s="5"/>
    </row>
    <row r="4498">
      <c r="A4498" s="5">
        <f>IFERROR(__xludf.DUMMYFUNCTION("""COMPUTED_VALUE"""),23268.0)</f>
        <v>23268</v>
      </c>
      <c r="B4498" s="5" t="str">
        <f>IFERROR(__xludf.DUMMYFUNCTION("""COMPUTED_VALUE"""),"هیأت")</f>
        <v>هیأت</v>
      </c>
      <c r="C4498" s="5" t="str">
        <f>IFERROR(__xludf.DUMMYFUNCTION("""COMPUTED_VALUE"""),"سیدالشهدا (ع)")</f>
        <v>سیدالشهدا (ع)</v>
      </c>
      <c r="D4498" s="5" t="str">
        <f>IFERROR(__xludf.DUMMYFUNCTION("""COMPUTED_VALUE"""),"سمنان")</f>
        <v>سمنان</v>
      </c>
      <c r="E4498" s="5" t="str">
        <f>IFERROR(__xludf.DUMMYFUNCTION("""COMPUTED_VALUE"""),"شاهرود")</f>
        <v>شاهرود</v>
      </c>
      <c r="F4498" s="5"/>
      <c r="G4498" s="5"/>
      <c r="H4498" s="6" t="str">
        <f>IFERROR(__xludf.DUMMYFUNCTION("""COMPUTED_VALUE"""),"https://www.instagram.com/sayyed_ashohada")</f>
        <v>https://www.instagram.com/sayyed_ashohada</v>
      </c>
      <c r="I4498" s="5"/>
      <c r="J4498" s="6" t="str">
        <f>IFERROR(__xludf.DUMMYFUNCTION("""COMPUTED_VALUE"""),"https://eitaa.com/sayyed_ashohada")</f>
        <v>https://eitaa.com/sayyed_ashohada</v>
      </c>
      <c r="K4498" s="5"/>
      <c r="L4498" s="5"/>
      <c r="M4498" s="5"/>
      <c r="N4498" s="5"/>
      <c r="O4498" s="5"/>
      <c r="P4498" s="5"/>
      <c r="Q4498" s="5"/>
      <c r="R4498" s="5"/>
      <c r="S4498" s="5"/>
    </row>
    <row r="4499">
      <c r="A4499" s="5">
        <f>IFERROR(__xludf.DUMMYFUNCTION("""COMPUTED_VALUE"""),23190.0)</f>
        <v>23190</v>
      </c>
      <c r="B4499" s="5" t="str">
        <f>IFERROR(__xludf.DUMMYFUNCTION("""COMPUTED_VALUE"""),"هیأت")</f>
        <v>هیأت</v>
      </c>
      <c r="C4499" s="5" t="str">
        <f>IFERROR(__xludf.DUMMYFUNCTION("""COMPUTED_VALUE"""),"بنت الحسین (س)")</f>
        <v>بنت الحسین (س)</v>
      </c>
      <c r="D4499" s="5" t="str">
        <f>IFERROR(__xludf.DUMMYFUNCTION("""COMPUTED_VALUE"""),"سمنان")</f>
        <v>سمنان</v>
      </c>
      <c r="E4499" s="5" t="str">
        <f>IFERROR(__xludf.DUMMYFUNCTION("""COMPUTED_VALUE"""),"شاهرود")</f>
        <v>شاهرود</v>
      </c>
      <c r="F4499" s="5"/>
      <c r="G4499" s="5"/>
      <c r="H4499" s="6" t="str">
        <f>IFERROR(__xludf.DUMMYFUNCTION("""COMPUTED_VALUE"""),"https://www.instagram.com/heyatbentolhoseyn_sardrod")</f>
        <v>https://www.instagram.com/heyatbentolhoseyn_sardrod</v>
      </c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</row>
    <row r="4500">
      <c r="A4500" s="5">
        <f>IFERROR(__xludf.DUMMYFUNCTION("""COMPUTED_VALUE"""),22878.0)</f>
        <v>22878</v>
      </c>
      <c r="B4500" s="5" t="str">
        <f>IFERROR(__xludf.DUMMYFUNCTION("""COMPUTED_VALUE"""),"هیأت")</f>
        <v>هیأت</v>
      </c>
      <c r="C4500" s="5" t="str">
        <f>IFERROR(__xludf.DUMMYFUNCTION("""COMPUTED_VALUE"""),"محبان اهل بیت (ع)")</f>
        <v>محبان اهل بیت (ع)</v>
      </c>
      <c r="D4500" s="5" t="str">
        <f>IFERROR(__xludf.DUMMYFUNCTION("""COMPUTED_VALUE"""),"سمنان")</f>
        <v>سمنان</v>
      </c>
      <c r="E4500" s="5" t="str">
        <f>IFERROR(__xludf.DUMMYFUNCTION("""COMPUTED_VALUE"""),"شاهرود")</f>
        <v>شاهرود</v>
      </c>
      <c r="F4500" s="5"/>
      <c r="G4500" s="5"/>
      <c r="H4500" s="6" t="str">
        <f>IFERROR(__xludf.DUMMYFUNCTION("""COMPUTED_VALUE"""),"https://www.instagram.com/heyat_moheban_ahlebeyt")</f>
        <v>https://www.instagram.com/heyat_moheban_ahlebeyt</v>
      </c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</row>
    <row r="4501">
      <c r="A4501" s="5">
        <f>IFERROR(__xludf.DUMMYFUNCTION("""COMPUTED_VALUE"""),22875.0)</f>
        <v>22875</v>
      </c>
      <c r="B4501" s="5" t="str">
        <f>IFERROR(__xludf.DUMMYFUNCTION("""COMPUTED_VALUE"""),"هیأت")</f>
        <v>هیأت</v>
      </c>
      <c r="C4501" s="5" t="str">
        <f>IFERROR(__xludf.DUMMYFUNCTION("""COMPUTED_VALUE"""),"جان نثاران اباعبدالله(ع)")</f>
        <v>جان نثاران اباعبدالله(ع)</v>
      </c>
      <c r="D4501" s="5" t="str">
        <f>IFERROR(__xludf.DUMMYFUNCTION("""COMPUTED_VALUE"""),"سمنان")</f>
        <v>سمنان</v>
      </c>
      <c r="E4501" s="5" t="str">
        <f>IFERROR(__xludf.DUMMYFUNCTION("""COMPUTED_VALUE"""),"شاهرود")</f>
        <v>شاهرود</v>
      </c>
      <c r="F4501" s="5"/>
      <c r="G4501" s="5"/>
      <c r="H4501" s="5"/>
      <c r="I4501" s="5"/>
      <c r="J4501" s="6" t="str">
        <f>IFERROR(__xludf.DUMMYFUNCTION("""COMPUTED_VALUE"""),"https://www.eitaa.com/masjed_ghoraba")</f>
        <v>https://www.eitaa.com/masjed_ghoraba</v>
      </c>
      <c r="K4501" s="5"/>
      <c r="L4501" s="5"/>
      <c r="M4501" s="5"/>
      <c r="N4501" s="5"/>
      <c r="O4501" s="5"/>
      <c r="P4501" s="5"/>
      <c r="Q4501" s="5"/>
      <c r="R4501" s="5"/>
      <c r="S4501" s="5"/>
    </row>
    <row r="4502">
      <c r="A4502" s="5">
        <f>IFERROR(__xludf.DUMMYFUNCTION("""COMPUTED_VALUE"""),22873.0)</f>
        <v>22873</v>
      </c>
      <c r="B4502" s="5" t="str">
        <f>IFERROR(__xludf.DUMMYFUNCTION("""COMPUTED_VALUE"""),"هیأت")</f>
        <v>هیأت</v>
      </c>
      <c r="C4502" s="5" t="str">
        <f>IFERROR(__xludf.DUMMYFUNCTION("""COMPUTED_VALUE"""),"ریحانه الحسین (ع)")</f>
        <v>ریحانه الحسین (ع)</v>
      </c>
      <c r="D4502" s="5" t="str">
        <f>IFERROR(__xludf.DUMMYFUNCTION("""COMPUTED_VALUE"""),"سمنان")</f>
        <v>سمنان</v>
      </c>
      <c r="E4502" s="5" t="str">
        <f>IFERROR(__xludf.DUMMYFUNCTION("""COMPUTED_VALUE"""),"شاهرود")</f>
        <v>شاهرود</v>
      </c>
      <c r="F4502" s="5"/>
      <c r="G4502" s="5"/>
      <c r="H4502" s="6" t="str">
        <f>IFERROR(__xludf.DUMMYFUNCTION("""COMPUTED_VALUE"""),"https://www.instagram.com/reihanatolhossein_shahroud")</f>
        <v>https://www.instagram.com/reihanatolhossein_shahroud</v>
      </c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</row>
    <row r="4503">
      <c r="A4503" s="5">
        <f>IFERROR(__xludf.DUMMYFUNCTION("""COMPUTED_VALUE"""),22870.0)</f>
        <v>22870</v>
      </c>
      <c r="B4503" s="5" t="str">
        <f>IFERROR(__xludf.DUMMYFUNCTION("""COMPUTED_VALUE"""),"هیأت")</f>
        <v>هیأت</v>
      </c>
      <c r="C4503" s="5" t="str">
        <f>IFERROR(__xludf.DUMMYFUNCTION("""COMPUTED_VALUE"""),"شهدای شاهرود")</f>
        <v>شهدای شاهرود</v>
      </c>
      <c r="D4503" s="5" t="str">
        <f>IFERROR(__xludf.DUMMYFUNCTION("""COMPUTED_VALUE"""),"سمنان")</f>
        <v>سمنان</v>
      </c>
      <c r="E4503" s="5" t="str">
        <f>IFERROR(__xludf.DUMMYFUNCTION("""COMPUTED_VALUE"""),"شاهرود")</f>
        <v>شاهرود</v>
      </c>
      <c r="F4503" s="5"/>
      <c r="G4503" s="5"/>
      <c r="H4503" s="6" t="str">
        <f>IFERROR(__xludf.DUMMYFUNCTION("""COMPUTED_VALUE"""),"https://www.instagram.com/heyatshohadashahrood")</f>
        <v>https://www.instagram.com/heyatshohadashahrood</v>
      </c>
      <c r="I4503" s="5"/>
      <c r="J4503" s="6" t="str">
        <f>IFERROR(__xludf.DUMMYFUNCTION("""COMPUTED_VALUE"""),"https://eitaa.com/heyatshohadashahrood")</f>
        <v>https://eitaa.com/heyatshohadashahrood</v>
      </c>
      <c r="K4503" s="5"/>
      <c r="L4503" s="5"/>
      <c r="M4503" s="5"/>
      <c r="N4503" s="5"/>
      <c r="O4503" s="5"/>
      <c r="P4503" s="5"/>
      <c r="Q4503" s="5"/>
      <c r="R4503" s="5"/>
      <c r="S4503" s="5"/>
    </row>
    <row r="4504">
      <c r="A4504" s="5">
        <f>IFERROR(__xludf.DUMMYFUNCTION("""COMPUTED_VALUE"""),22120.0)</f>
        <v>22120</v>
      </c>
      <c r="B4504" s="5" t="str">
        <f>IFERROR(__xludf.DUMMYFUNCTION("""COMPUTED_VALUE"""),"هیأت")</f>
        <v>هیأت</v>
      </c>
      <c r="C4504" s="5" t="str">
        <f>IFERROR(__xludf.DUMMYFUNCTION("""COMPUTED_VALUE"""),"جامعه مداحان شهرستان شاهرود")</f>
        <v>جامعه مداحان شهرستان شاهرود</v>
      </c>
      <c r="D4504" s="5" t="str">
        <f>IFERROR(__xludf.DUMMYFUNCTION("""COMPUTED_VALUE"""),"سمنان")</f>
        <v>سمنان</v>
      </c>
      <c r="E4504" s="5" t="str">
        <f>IFERROR(__xludf.DUMMYFUNCTION("""COMPUTED_VALUE"""),"شاهرود")</f>
        <v>شاهرود</v>
      </c>
      <c r="F4504" s="5"/>
      <c r="G4504" s="5"/>
      <c r="H4504" s="5"/>
      <c r="I4504" s="5"/>
      <c r="J4504" s="6" t="str">
        <f>IFERROR(__xludf.DUMMYFUNCTION("""COMPUTED_VALUE"""),"https://eitaa.com/maddahanshahrood")</f>
        <v>https://eitaa.com/maddahanshahrood</v>
      </c>
      <c r="K4504" s="5"/>
      <c r="L4504" s="5"/>
      <c r="M4504" s="5"/>
      <c r="N4504" s="5"/>
      <c r="O4504" s="5"/>
      <c r="P4504" s="5"/>
      <c r="Q4504" s="5"/>
      <c r="R4504" s="5"/>
      <c r="S4504" s="5"/>
    </row>
    <row r="4505">
      <c r="A4505" s="5">
        <f>IFERROR(__xludf.DUMMYFUNCTION("""COMPUTED_VALUE"""),21881.0)</f>
        <v>21881</v>
      </c>
      <c r="B4505" s="5" t="str">
        <f>IFERROR(__xludf.DUMMYFUNCTION("""COMPUTED_VALUE"""),"هیأت دانشجویی")</f>
        <v>هیأت دانشجویی</v>
      </c>
      <c r="C4505" s="5" t="str">
        <f>IFERROR(__xludf.DUMMYFUNCTION("""COMPUTED_VALUE"""),"فاطمیون دانشگاه صنعتی شاهرود")</f>
        <v>فاطمیون دانشگاه صنعتی شاهرود</v>
      </c>
      <c r="D4505" s="5" t="str">
        <f>IFERROR(__xludf.DUMMYFUNCTION("""COMPUTED_VALUE"""),"سمنان")</f>
        <v>سمنان</v>
      </c>
      <c r="E4505" s="5" t="str">
        <f>IFERROR(__xludf.DUMMYFUNCTION("""COMPUTED_VALUE"""),"شاهرود")</f>
        <v>شاهرود</v>
      </c>
      <c r="F4505" s="5"/>
      <c r="G4505" s="5"/>
      <c r="H4505" s="6" t="str">
        <f>IFERROR(__xludf.DUMMYFUNCTION("""COMPUTED_VALUE"""),"https://www.instagram.com/hfatemiyoun_sut")</f>
        <v>https://www.instagram.com/hfatemiyoun_sut</v>
      </c>
      <c r="I4505" s="6" t="str">
        <f>IFERROR(__xludf.DUMMYFUNCTION("""COMPUTED_VALUE"""),"https://t.me/hfatemiyoun_sut")</f>
        <v>https://t.me/hfatemiyoun_sut</v>
      </c>
      <c r="J4505" s="6" t="str">
        <f>IFERROR(__xludf.DUMMYFUNCTION("""COMPUTED_VALUE"""),"https://eitaa.com/hfatemiyoun_sut")</f>
        <v>https://eitaa.com/hfatemiyoun_sut</v>
      </c>
      <c r="K4505" s="5"/>
      <c r="L4505" s="5"/>
      <c r="M4505" s="5"/>
      <c r="N4505" s="5"/>
      <c r="O4505" s="5"/>
      <c r="P4505" s="5"/>
      <c r="Q4505" s="5"/>
      <c r="R4505" s="5"/>
      <c r="S4505" s="5"/>
    </row>
    <row r="4506">
      <c r="A4506" s="5">
        <f>IFERROR(__xludf.DUMMYFUNCTION("""COMPUTED_VALUE"""),21852.0)</f>
        <v>21852</v>
      </c>
      <c r="B4506" s="5" t="str">
        <f>IFERROR(__xludf.DUMMYFUNCTION("""COMPUTED_VALUE"""),"هیأت")</f>
        <v>هیأت</v>
      </c>
      <c r="C4506" s="5" t="str">
        <f>IFERROR(__xludf.DUMMYFUNCTION("""COMPUTED_VALUE"""),"شهدای گمنام")</f>
        <v>شهدای گمنام</v>
      </c>
      <c r="D4506" s="5" t="str">
        <f>IFERROR(__xludf.DUMMYFUNCTION("""COMPUTED_VALUE"""),"سمنان")</f>
        <v>سمنان</v>
      </c>
      <c r="E4506" s="5" t="str">
        <f>IFERROR(__xludf.DUMMYFUNCTION("""COMPUTED_VALUE"""),"شاهرود")</f>
        <v>شاهرود</v>
      </c>
      <c r="F4506" s="5"/>
      <c r="G4506" s="5"/>
      <c r="H4506" s="6" t="str">
        <f>IFERROR(__xludf.DUMMYFUNCTION("""COMPUTED_VALUE"""),"https://www.instagram.com/gomnamshahroud")</f>
        <v>https://www.instagram.com/gomnamshahroud</v>
      </c>
      <c r="I4506" s="5"/>
      <c r="J4506" s="6" t="str">
        <f>IFERROR(__xludf.DUMMYFUNCTION("""COMPUTED_VALUE"""),"https://eitaa.com/gomnamshahrood")</f>
        <v>https://eitaa.com/gomnamshahrood</v>
      </c>
      <c r="K4506" s="5"/>
      <c r="L4506" s="5"/>
      <c r="M4506" s="5"/>
      <c r="N4506" s="5"/>
      <c r="O4506" s="5"/>
      <c r="P4506" s="5"/>
      <c r="Q4506" s="5"/>
      <c r="R4506" s="5"/>
      <c r="S4506" s="5"/>
    </row>
    <row r="4507">
      <c r="A4507" s="5">
        <f>IFERROR(__xludf.DUMMYFUNCTION("""COMPUTED_VALUE"""),21462.0)</f>
        <v>21462</v>
      </c>
      <c r="B4507" s="5" t="str">
        <f>IFERROR(__xludf.DUMMYFUNCTION("""COMPUTED_VALUE"""),"مسجد")</f>
        <v>مسجد</v>
      </c>
      <c r="C4507" s="5" t="str">
        <f>IFERROR(__xludf.DUMMYFUNCTION("""COMPUTED_VALUE"""),"علی بن موسی الرضا (ع)")</f>
        <v>علی بن موسی الرضا (ع)</v>
      </c>
      <c r="D4507" s="5" t="str">
        <f>IFERROR(__xludf.DUMMYFUNCTION("""COMPUTED_VALUE"""),"سمنان")</f>
        <v>سمنان</v>
      </c>
      <c r="E4507" s="5" t="str">
        <f>IFERROR(__xludf.DUMMYFUNCTION("""COMPUTED_VALUE"""),"شاهرود")</f>
        <v>شاهرود</v>
      </c>
      <c r="F4507" s="5"/>
      <c r="G4507" s="5"/>
      <c r="H4507" s="6" t="str">
        <f>IFERROR(__xludf.DUMMYFUNCTION("""COMPUTED_VALUE"""),"https://www.instagram.com/masjed_media")</f>
        <v>https://www.instagram.com/masjed_media</v>
      </c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</row>
    <row r="4508">
      <c r="A4508" s="5">
        <f>IFERROR(__xludf.DUMMYFUNCTION("""COMPUTED_VALUE"""),21461.0)</f>
        <v>21461</v>
      </c>
      <c r="B4508" s="5" t="str">
        <f>IFERROR(__xludf.DUMMYFUNCTION("""COMPUTED_VALUE"""),"هیأت")</f>
        <v>هیأت</v>
      </c>
      <c r="C4508" s="5" t="str">
        <f>IFERROR(__xludf.DUMMYFUNCTION("""COMPUTED_VALUE"""),"یازهرا (س)")</f>
        <v>یازهرا (س)</v>
      </c>
      <c r="D4508" s="5" t="str">
        <f>IFERROR(__xludf.DUMMYFUNCTION("""COMPUTED_VALUE"""),"سمنان")</f>
        <v>سمنان</v>
      </c>
      <c r="E4508" s="5" t="str">
        <f>IFERROR(__xludf.DUMMYFUNCTION("""COMPUTED_VALUE"""),"شاهرود")</f>
        <v>شاهرود</v>
      </c>
      <c r="F4508" s="5"/>
      <c r="G4508" s="5"/>
      <c r="H4508" s="6" t="str">
        <f>IFERROR(__xludf.DUMMYFUNCTION("""COMPUTED_VALUE"""),"https://www.instagram.com/ya_zahra_11_213")</f>
        <v>https://www.instagram.com/ya_zahra_11_213</v>
      </c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</row>
    <row r="4509">
      <c r="A4509" s="5">
        <f>IFERROR(__xludf.DUMMYFUNCTION("""COMPUTED_VALUE"""),20420.0)</f>
        <v>20420</v>
      </c>
      <c r="B4509" s="5" t="str">
        <f>IFERROR(__xludf.DUMMYFUNCTION("""COMPUTED_VALUE"""),"هیأت دانشجویی")</f>
        <v>هیأت دانشجویی</v>
      </c>
      <c r="C4509" s="5" t="str">
        <f>IFERROR(__xludf.DUMMYFUNCTION("""COMPUTED_VALUE"""),"فاطمیون (دانشجویی)")</f>
        <v>فاطمیون (دانشجویی)</v>
      </c>
      <c r="D4509" s="5" t="str">
        <f>IFERROR(__xludf.DUMMYFUNCTION("""COMPUTED_VALUE"""),"سمنان")</f>
        <v>سمنان</v>
      </c>
      <c r="E4509" s="5" t="str">
        <f>IFERROR(__xludf.DUMMYFUNCTION("""COMPUTED_VALUE"""),"شاهرود")</f>
        <v>شاهرود</v>
      </c>
      <c r="F4509" s="5"/>
      <c r="G4509" s="5"/>
      <c r="H4509" s="6" t="str">
        <f>IFERROR(__xludf.DUMMYFUNCTION("""COMPUTED_VALUE"""),"https://www.instagram.com/h_fatemion")</f>
        <v>https://www.instagram.com/h_fatemion</v>
      </c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</row>
    <row r="4510">
      <c r="A4510" s="5">
        <f>IFERROR(__xludf.DUMMYFUNCTION("""COMPUTED_VALUE"""),18998.0)</f>
        <v>18998</v>
      </c>
      <c r="B4510" s="5" t="str">
        <f>IFERROR(__xludf.DUMMYFUNCTION("""COMPUTED_VALUE"""),"هیأت")</f>
        <v>هیأت</v>
      </c>
      <c r="C4510" s="5" t="str">
        <f>IFERROR(__xludf.DUMMYFUNCTION("""COMPUTED_VALUE"""),"مهدیه")</f>
        <v>مهدیه</v>
      </c>
      <c r="D4510" s="5" t="str">
        <f>IFERROR(__xludf.DUMMYFUNCTION("""COMPUTED_VALUE"""),"سمنان")</f>
        <v>سمنان</v>
      </c>
      <c r="E4510" s="5" t="str">
        <f>IFERROR(__xludf.DUMMYFUNCTION("""COMPUTED_VALUE"""),"شاهرود")</f>
        <v>شاهرود</v>
      </c>
      <c r="F4510" s="5"/>
      <c r="G4510" s="5"/>
      <c r="H4510" s="6" t="str">
        <f>IFERROR(__xludf.DUMMYFUNCTION("""COMPUTED_VALUE"""),"https://www.instagram.com/mahdeyeh.shahrood")</f>
        <v>https://www.instagram.com/mahdeyeh.shahrood</v>
      </c>
      <c r="I4510" s="6" t="str">
        <f>IFERROR(__xludf.DUMMYFUNCTION("""COMPUTED_VALUE"""),"https://t.me/mahdeyehshahrood")</f>
        <v>https://t.me/mahdeyehshahrood</v>
      </c>
      <c r="J4510" s="5"/>
      <c r="K4510" s="5"/>
      <c r="L4510" s="5"/>
      <c r="M4510" s="5"/>
      <c r="N4510" s="5"/>
      <c r="O4510" s="5"/>
      <c r="P4510" s="5"/>
      <c r="Q4510" s="5"/>
      <c r="R4510" s="5"/>
      <c r="S4510" s="5"/>
    </row>
    <row r="4511">
      <c r="A4511" s="5">
        <f>IFERROR(__xludf.DUMMYFUNCTION("""COMPUTED_VALUE"""),9177.0)</f>
        <v>9177</v>
      </c>
      <c r="B4511" s="5" t="str">
        <f>IFERROR(__xludf.DUMMYFUNCTION("""COMPUTED_VALUE"""),"هیأت")</f>
        <v>هیأت</v>
      </c>
      <c r="C4511" s="5" t="str">
        <f>IFERROR(__xludf.DUMMYFUNCTION("""COMPUTED_VALUE"""),"عاشورائیان")</f>
        <v>عاشورائیان</v>
      </c>
      <c r="D4511" s="5" t="str">
        <f>IFERROR(__xludf.DUMMYFUNCTION("""COMPUTED_VALUE"""),"سمنان")</f>
        <v>سمنان</v>
      </c>
      <c r="E4511" s="5" t="str">
        <f>IFERROR(__xludf.DUMMYFUNCTION("""COMPUTED_VALUE"""),"شاهرود")</f>
        <v>شاهرود</v>
      </c>
      <c r="F4511" s="5"/>
      <c r="G4511" s="5"/>
      <c r="H4511" s="6" t="str">
        <f>IFERROR(__xludf.DUMMYFUNCTION("""COMPUTED_VALUE"""),"https://www.instagram.com/ashoorayanshahrood")</f>
        <v>https://www.instagram.com/ashoorayanshahrood</v>
      </c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</row>
    <row r="4512">
      <c r="A4512" s="5">
        <f>IFERROR(__xludf.DUMMYFUNCTION("""COMPUTED_VALUE"""),9160.0)</f>
        <v>9160</v>
      </c>
      <c r="B4512" s="5" t="str">
        <f>IFERROR(__xludf.DUMMYFUNCTION("""COMPUTED_VALUE"""),"هیأت")</f>
        <v>هیأت</v>
      </c>
      <c r="C4512" s="5" t="str">
        <f>IFERROR(__xludf.DUMMYFUNCTION("""COMPUTED_VALUE"""),"منتظران ظهور")</f>
        <v>منتظران ظهور</v>
      </c>
      <c r="D4512" s="5" t="str">
        <f>IFERROR(__xludf.DUMMYFUNCTION("""COMPUTED_VALUE"""),"سمنان")</f>
        <v>سمنان</v>
      </c>
      <c r="E4512" s="5" t="str">
        <f>IFERROR(__xludf.DUMMYFUNCTION("""COMPUTED_VALUE"""),"شاهرود")</f>
        <v>شاهرود</v>
      </c>
      <c r="F4512" s="5"/>
      <c r="G4512" s="5"/>
      <c r="H4512" s="6" t="str">
        <f>IFERROR(__xludf.DUMMYFUNCTION("""COMPUTED_VALUE"""),"https://www.instagram.com/heatmontazeranezohr")</f>
        <v>https://www.instagram.com/heatmontazeranezohr</v>
      </c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</row>
    <row r="4513">
      <c r="A4513" s="5">
        <f>IFERROR(__xludf.DUMMYFUNCTION("""COMPUTED_VALUE"""),9158.0)</f>
        <v>9158</v>
      </c>
      <c r="B4513" s="5" t="str">
        <f>IFERROR(__xludf.DUMMYFUNCTION("""COMPUTED_VALUE"""),"هیأت")</f>
        <v>هیأت</v>
      </c>
      <c r="C4513" s="5" t="str">
        <f>IFERROR(__xludf.DUMMYFUNCTION("""COMPUTED_VALUE"""),"رزمندگان اسلام")</f>
        <v>رزمندگان اسلام</v>
      </c>
      <c r="D4513" s="5" t="str">
        <f>IFERROR(__xludf.DUMMYFUNCTION("""COMPUTED_VALUE"""),"سمنان")</f>
        <v>سمنان</v>
      </c>
      <c r="E4513" s="5" t="str">
        <f>IFERROR(__xludf.DUMMYFUNCTION("""COMPUTED_VALUE"""),"شاهرود")</f>
        <v>شاهرود</v>
      </c>
      <c r="F4513" s="5"/>
      <c r="G4513" s="5"/>
      <c r="H4513" s="5"/>
      <c r="I4513" s="5"/>
      <c r="J4513" s="6" t="str">
        <f>IFERROR(__xludf.DUMMYFUNCTION("""COMPUTED_VALUE"""),"https://eitaa.com/heyatrazmandeganshahrud")</f>
        <v>https://eitaa.com/heyatrazmandeganshahrud</v>
      </c>
      <c r="K4513" s="5"/>
      <c r="L4513" s="5"/>
      <c r="M4513" s="5"/>
      <c r="N4513" s="5"/>
      <c r="O4513" s="5"/>
      <c r="P4513" s="5"/>
      <c r="Q4513" s="5"/>
      <c r="R4513" s="5"/>
      <c r="S4513" s="5"/>
    </row>
    <row r="4514">
      <c r="A4514" s="5">
        <f>IFERROR(__xludf.DUMMYFUNCTION("""COMPUTED_VALUE"""),9157.0)</f>
        <v>9157</v>
      </c>
      <c r="B4514" s="5" t="str">
        <f>IFERROR(__xludf.DUMMYFUNCTION("""COMPUTED_VALUE"""),"هیأت")</f>
        <v>هیأت</v>
      </c>
      <c r="C4514" s="5" t="str">
        <f>IFERROR(__xludf.DUMMYFUNCTION("""COMPUTED_VALUE"""),"شباب هاشمی")</f>
        <v>شباب هاشمی</v>
      </c>
      <c r="D4514" s="5" t="str">
        <f>IFERROR(__xludf.DUMMYFUNCTION("""COMPUTED_VALUE"""),"سمنان")</f>
        <v>سمنان</v>
      </c>
      <c r="E4514" s="5" t="str">
        <f>IFERROR(__xludf.DUMMYFUNCTION("""COMPUTED_VALUE"""),"شاهرود")</f>
        <v>شاهرود</v>
      </c>
      <c r="F4514" s="5"/>
      <c r="G4514" s="5"/>
      <c r="H4514" s="6" t="str">
        <f>IFERROR(__xludf.DUMMYFUNCTION("""COMPUTED_VALUE"""),"https://www.instagram.com/khozestanihaye_moghim_shahrood")</f>
        <v>https://www.instagram.com/khozestanihaye_moghim_shahrood</v>
      </c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</row>
    <row r="4515">
      <c r="A4515" s="5">
        <f>IFERROR(__xludf.DUMMYFUNCTION("""COMPUTED_VALUE"""),9156.0)</f>
        <v>9156</v>
      </c>
      <c r="B4515" s="5" t="str">
        <f>IFERROR(__xludf.DUMMYFUNCTION("""COMPUTED_VALUE"""),"هیأت")</f>
        <v>هیأت</v>
      </c>
      <c r="C4515" s="5" t="str">
        <f>IFERROR(__xludf.DUMMYFUNCTION("""COMPUTED_VALUE"""),"باب الحوائج(ع)")</f>
        <v>باب الحوائج(ع)</v>
      </c>
      <c r="D4515" s="5" t="str">
        <f>IFERROR(__xludf.DUMMYFUNCTION("""COMPUTED_VALUE"""),"سمنان")</f>
        <v>سمنان</v>
      </c>
      <c r="E4515" s="5" t="str">
        <f>IFERROR(__xludf.DUMMYFUNCTION("""COMPUTED_VALUE"""),"شاهرود")</f>
        <v>شاهرود</v>
      </c>
      <c r="F4515" s="5"/>
      <c r="G4515" s="5"/>
      <c r="H4515" s="6" t="str">
        <f>IFERROR(__xludf.DUMMYFUNCTION("""COMPUTED_VALUE"""),"https://www.instagram.com/h_babalhavaej")</f>
        <v>https://www.instagram.com/h_babalhavaej</v>
      </c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</row>
    <row r="4516">
      <c r="A4516" s="5">
        <f>IFERROR(__xludf.DUMMYFUNCTION("""COMPUTED_VALUE"""),9114.0)</f>
        <v>9114</v>
      </c>
      <c r="B4516" s="5" t="str">
        <f>IFERROR(__xludf.DUMMYFUNCTION("""COMPUTED_VALUE"""),"هیأت")</f>
        <v>هیأت</v>
      </c>
      <c r="C4516" s="5" t="str">
        <f>IFERROR(__xludf.DUMMYFUNCTION("""COMPUTED_VALUE"""),"عقیله العرب (س)")</f>
        <v>عقیله العرب (س)</v>
      </c>
      <c r="D4516" s="5" t="str">
        <f>IFERROR(__xludf.DUMMYFUNCTION("""COMPUTED_VALUE"""),"سمنان")</f>
        <v>سمنان</v>
      </c>
      <c r="E4516" s="5" t="str">
        <f>IFERROR(__xludf.DUMMYFUNCTION("""COMPUTED_VALUE"""),"شاهرود")</f>
        <v>شاهرود</v>
      </c>
      <c r="F4516" s="5"/>
      <c r="G4516" s="5"/>
      <c r="H4516" s="6" t="str">
        <f>IFERROR(__xludf.DUMMYFUNCTION("""COMPUTED_VALUE"""),"https://www.instagram.com/aghilatolarab.shahroud")</f>
        <v>https://www.instagram.com/aghilatolarab.shahroud</v>
      </c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</row>
    <row r="4517">
      <c r="A4517" s="5">
        <f>IFERROR(__xludf.DUMMYFUNCTION("""COMPUTED_VALUE"""),9036.0)</f>
        <v>9036</v>
      </c>
      <c r="B4517" s="5" t="str">
        <f>IFERROR(__xludf.DUMMYFUNCTION("""COMPUTED_VALUE"""),"هیأت")</f>
        <v>هیأت</v>
      </c>
      <c r="C4517" s="5" t="str">
        <f>IFERROR(__xludf.DUMMYFUNCTION("""COMPUTED_VALUE"""),"کانون فرهنگی رسول اکرم(ص)")</f>
        <v>کانون فرهنگی رسول اکرم(ص)</v>
      </c>
      <c r="D4517" s="5" t="str">
        <f>IFERROR(__xludf.DUMMYFUNCTION("""COMPUTED_VALUE"""),"سمنان")</f>
        <v>سمنان</v>
      </c>
      <c r="E4517" s="5" t="str">
        <f>IFERROR(__xludf.DUMMYFUNCTION("""COMPUTED_VALUE"""),"شاهرود")</f>
        <v>شاهرود</v>
      </c>
      <c r="F4517" s="5"/>
      <c r="G4517" s="5"/>
      <c r="H4517" s="5"/>
      <c r="I4517" s="5"/>
      <c r="J4517" s="6" t="str">
        <f>IFERROR(__xludf.DUMMYFUNCTION("""COMPUTED_VALUE"""),"https://eitaa.com/kanoonrasool")</f>
        <v>https://eitaa.com/kanoonrasool</v>
      </c>
      <c r="K4517" s="5"/>
      <c r="L4517" s="5"/>
      <c r="M4517" s="5"/>
      <c r="N4517" s="5"/>
      <c r="O4517" s="5"/>
      <c r="P4517" s="5"/>
      <c r="Q4517" s="5"/>
      <c r="R4517" s="5"/>
      <c r="S4517" s="5"/>
    </row>
    <row r="4518">
      <c r="A4518" s="5">
        <f>IFERROR(__xludf.DUMMYFUNCTION("""COMPUTED_VALUE"""),9021.0)</f>
        <v>9021</v>
      </c>
      <c r="B4518" s="5" t="str">
        <f>IFERROR(__xludf.DUMMYFUNCTION("""COMPUTED_VALUE"""),"هیأت")</f>
        <v>هیأت</v>
      </c>
      <c r="C4518" s="5" t="str">
        <f>IFERROR(__xludf.DUMMYFUNCTION("""COMPUTED_VALUE"""),"رهروان ولایت")</f>
        <v>رهروان ولایت</v>
      </c>
      <c r="D4518" s="5" t="str">
        <f>IFERROR(__xludf.DUMMYFUNCTION("""COMPUTED_VALUE"""),"سمنان")</f>
        <v>سمنان</v>
      </c>
      <c r="E4518" s="5" t="str">
        <f>IFERROR(__xludf.DUMMYFUNCTION("""COMPUTED_VALUE"""),"شاهرود")</f>
        <v>شاهرود</v>
      </c>
      <c r="F4518" s="5"/>
      <c r="G4518" s="5"/>
      <c r="H4518" s="6" t="str">
        <f>IFERROR(__xludf.DUMMYFUNCTION("""COMPUTED_VALUE"""),"https://www.instagram.com/rahrovane_velayate_shahrood")</f>
        <v>https://www.instagram.com/rahrovane_velayate_shahrood</v>
      </c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</row>
    <row r="4519">
      <c r="A4519" s="5">
        <f>IFERROR(__xludf.DUMMYFUNCTION("""COMPUTED_VALUE"""),8995.0)</f>
        <v>8995</v>
      </c>
      <c r="B4519" s="5" t="str">
        <f>IFERROR(__xludf.DUMMYFUNCTION("""COMPUTED_VALUE"""),"هیأت")</f>
        <v>هیأت</v>
      </c>
      <c r="C4519" s="5" t="str">
        <f>IFERROR(__xludf.DUMMYFUNCTION("""COMPUTED_VALUE"""),"مسجد زینبیه")</f>
        <v>مسجد زینبیه</v>
      </c>
      <c r="D4519" s="5" t="str">
        <f>IFERROR(__xludf.DUMMYFUNCTION("""COMPUTED_VALUE"""),"سمنان")</f>
        <v>سمنان</v>
      </c>
      <c r="E4519" s="5" t="str">
        <f>IFERROR(__xludf.DUMMYFUNCTION("""COMPUTED_VALUE"""),"شاهرود")</f>
        <v>شاهرود</v>
      </c>
      <c r="F4519" s="5"/>
      <c r="G4519" s="5"/>
      <c r="H4519" s="5"/>
      <c r="I4519" s="5"/>
      <c r="J4519" s="6" t="str">
        <f>IFERROR(__xludf.DUMMYFUNCTION("""COMPUTED_VALUE"""),"https://eitaa.com/zeinabiehshahrood")</f>
        <v>https://eitaa.com/zeinabiehshahrood</v>
      </c>
      <c r="K4519" s="5"/>
      <c r="L4519" s="5"/>
      <c r="M4519" s="5"/>
      <c r="N4519" s="5"/>
      <c r="O4519" s="5"/>
      <c r="P4519" s="5"/>
      <c r="Q4519" s="5"/>
      <c r="R4519" s="5"/>
      <c r="S4519" s="5"/>
    </row>
    <row r="4520">
      <c r="A4520" s="5">
        <f>IFERROR(__xludf.DUMMYFUNCTION("""COMPUTED_VALUE"""),8989.0)</f>
        <v>8989</v>
      </c>
      <c r="B4520" s="5" t="str">
        <f>IFERROR(__xludf.DUMMYFUNCTION("""COMPUTED_VALUE"""),"هیأت")</f>
        <v>هیأت</v>
      </c>
      <c r="C4520" s="5" t="str">
        <f>IFERROR(__xludf.DUMMYFUNCTION("""COMPUTED_VALUE"""),"عماریون (محفل عمارهای انقلاب)")</f>
        <v>عماریون (محفل عمارهای انقلاب)</v>
      </c>
      <c r="D4520" s="5" t="str">
        <f>IFERROR(__xludf.DUMMYFUNCTION("""COMPUTED_VALUE"""),"سمنان")</f>
        <v>سمنان</v>
      </c>
      <c r="E4520" s="5" t="str">
        <f>IFERROR(__xludf.DUMMYFUNCTION("""COMPUTED_VALUE"""),"شاهرود")</f>
        <v>شاهرود</v>
      </c>
      <c r="F4520" s="5"/>
      <c r="G4520" s="5"/>
      <c r="H4520" s="6" t="str">
        <f>IFERROR(__xludf.DUMMYFUNCTION("""COMPUTED_VALUE"""),"https://www.instagram.com/heyate_ammaryioun")</f>
        <v>https://www.instagram.com/heyate_ammaryioun</v>
      </c>
      <c r="I4520" s="5"/>
      <c r="J4520" s="6" t="str">
        <f>IFERROR(__xludf.DUMMYFUNCTION("""COMPUTED_VALUE"""),"https://eitaa.com/heyate_ammariyon")</f>
        <v>https://eitaa.com/heyate_ammariyon</v>
      </c>
      <c r="K4520" s="5"/>
      <c r="L4520" s="5"/>
      <c r="M4520" s="5"/>
      <c r="N4520" s="5"/>
      <c r="O4520" s="5"/>
      <c r="P4520" s="5"/>
      <c r="Q4520" s="5"/>
      <c r="R4520" s="5"/>
      <c r="S4520" s="5"/>
    </row>
    <row r="4521">
      <c r="A4521" s="5">
        <f>IFERROR(__xludf.DUMMYFUNCTION("""COMPUTED_VALUE"""),8987.0)</f>
        <v>8987</v>
      </c>
      <c r="B4521" s="5" t="str">
        <f>IFERROR(__xludf.DUMMYFUNCTION("""COMPUTED_VALUE"""),"مسجد")</f>
        <v>مسجد</v>
      </c>
      <c r="C4521" s="5" t="str">
        <f>IFERROR(__xludf.DUMMYFUNCTION("""COMPUTED_VALUE"""),"مسجد امیرالمومنین(ع)")</f>
        <v>مسجد امیرالمومنین(ع)</v>
      </c>
      <c r="D4521" s="5" t="str">
        <f>IFERROR(__xludf.DUMMYFUNCTION("""COMPUTED_VALUE"""),"سمنان")</f>
        <v>سمنان</v>
      </c>
      <c r="E4521" s="5" t="str">
        <f>IFERROR(__xludf.DUMMYFUNCTION("""COMPUTED_VALUE"""),"شاهرود")</f>
        <v>شاهرود</v>
      </c>
      <c r="F4521" s="5"/>
      <c r="G4521" s="5"/>
      <c r="H4521" s="5"/>
      <c r="I4521" s="5"/>
      <c r="J4521" s="6" t="str">
        <f>IFERROR(__xludf.DUMMYFUNCTION("""COMPUTED_VALUE"""),"https://eitaa.com/Inavab")</f>
        <v>https://eitaa.com/Inavab</v>
      </c>
      <c r="K4521" s="5"/>
      <c r="L4521" s="5"/>
      <c r="M4521" s="5"/>
      <c r="N4521" s="5"/>
      <c r="O4521" s="5"/>
      <c r="P4521" s="5"/>
      <c r="Q4521" s="5"/>
      <c r="R4521" s="5"/>
      <c r="S4521" s="5"/>
    </row>
    <row r="4522">
      <c r="A4522" s="5">
        <f>IFERROR(__xludf.DUMMYFUNCTION("""COMPUTED_VALUE"""),8871.0)</f>
        <v>8871</v>
      </c>
      <c r="B4522" s="5" t="str">
        <f>IFERROR(__xludf.DUMMYFUNCTION("""COMPUTED_VALUE"""),"هیأت")</f>
        <v>هیأت</v>
      </c>
      <c r="C4522" s="5" t="str">
        <f>IFERROR(__xludf.DUMMYFUNCTION("""COMPUTED_VALUE"""),"جنت الرضا (ع)")</f>
        <v>جنت الرضا (ع)</v>
      </c>
      <c r="D4522" s="5" t="str">
        <f>IFERROR(__xludf.DUMMYFUNCTION("""COMPUTED_VALUE"""),"سمنان")</f>
        <v>سمنان</v>
      </c>
      <c r="E4522" s="5" t="str">
        <f>IFERROR(__xludf.DUMMYFUNCTION("""COMPUTED_VALUE"""),"شاهرود")</f>
        <v>شاهرود</v>
      </c>
      <c r="F4522" s="5"/>
      <c r="G4522" s="5"/>
      <c r="H4522" s="6" t="str">
        <f>IFERROR(__xludf.DUMMYFUNCTION("""COMPUTED_VALUE"""),"https://www.instagram.com/sout_janat")</f>
        <v>https://www.instagram.com/sout_janat</v>
      </c>
      <c r="I4522" s="5"/>
      <c r="J4522" s="6" t="str">
        <f>IFERROR(__xludf.DUMMYFUNCTION("""COMPUTED_VALUE"""),"https://eitaa.com/sout_janat")</f>
        <v>https://eitaa.com/sout_janat</v>
      </c>
      <c r="K4522" s="5"/>
      <c r="L4522" s="5"/>
      <c r="M4522" s="5"/>
      <c r="N4522" s="5"/>
      <c r="O4522" s="5"/>
      <c r="P4522" s="5"/>
      <c r="Q4522" s="5"/>
      <c r="R4522" s="5"/>
      <c r="S4522" s="5"/>
    </row>
    <row r="4523">
      <c r="A4523" s="5">
        <f>IFERROR(__xludf.DUMMYFUNCTION("""COMPUTED_VALUE"""),8870.0)</f>
        <v>8870</v>
      </c>
      <c r="B4523" s="5" t="str">
        <f>IFERROR(__xludf.DUMMYFUNCTION("""COMPUTED_VALUE"""),"هیأت")</f>
        <v>هیأت</v>
      </c>
      <c r="C4523" s="5" t="str">
        <f>IFERROR(__xludf.DUMMYFUNCTION("""COMPUTED_VALUE"""),"محبین حسن بن علی (ع)")</f>
        <v>محبین حسن بن علی (ع)</v>
      </c>
      <c r="D4523" s="5" t="str">
        <f>IFERROR(__xludf.DUMMYFUNCTION("""COMPUTED_VALUE"""),"سمنان")</f>
        <v>سمنان</v>
      </c>
      <c r="E4523" s="5" t="str">
        <f>IFERROR(__xludf.DUMMYFUNCTION("""COMPUTED_VALUE"""),"شاهرود")</f>
        <v>شاهرود</v>
      </c>
      <c r="F4523" s="5"/>
      <c r="G4523" s="5"/>
      <c r="H4523" s="6" t="str">
        <f>IFERROR(__xludf.DUMMYFUNCTION("""COMPUTED_VALUE"""),"https://www.instagram.com/bi_haram118")</f>
        <v>https://www.instagram.com/bi_haram118</v>
      </c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</row>
    <row r="4524">
      <c r="A4524" s="5">
        <f>IFERROR(__xludf.DUMMYFUNCTION("""COMPUTED_VALUE"""),8866.0)</f>
        <v>8866</v>
      </c>
      <c r="B4524" s="5" t="str">
        <f>IFERROR(__xludf.DUMMYFUNCTION("""COMPUTED_VALUE"""),"هیأت")</f>
        <v>هیأت</v>
      </c>
      <c r="C4524" s="5" t="str">
        <f>IFERROR(__xludf.DUMMYFUNCTION("""COMPUTED_VALUE"""),"جان نثاران حضرت ابوالفضل(ع)")</f>
        <v>جان نثاران حضرت ابوالفضل(ع)</v>
      </c>
      <c r="D4524" s="5" t="str">
        <f>IFERROR(__xludf.DUMMYFUNCTION("""COMPUTED_VALUE"""),"سمنان")</f>
        <v>سمنان</v>
      </c>
      <c r="E4524" s="5" t="str">
        <f>IFERROR(__xludf.DUMMYFUNCTION("""COMPUTED_VALUE"""),"شاهرود")</f>
        <v>شاهرود</v>
      </c>
      <c r="F4524" s="5"/>
      <c r="G4524" s="5"/>
      <c r="H4524" s="6" t="str">
        <f>IFERROR(__xludf.DUMMYFUNCTION("""COMPUTED_VALUE"""),"https://www.instagram.com/jannesarane_abalfazl")</f>
        <v>https://www.instagram.com/jannesarane_abalfazl</v>
      </c>
      <c r="I4524" s="6" t="str">
        <f>IFERROR(__xludf.DUMMYFUNCTION("""COMPUTED_VALUE"""),"https://t.me/jannesarane_abalfazl")</f>
        <v>https://t.me/jannesarane_abalfazl</v>
      </c>
      <c r="J4524" s="6" t="str">
        <f>IFERROR(__xludf.DUMMYFUNCTION("""COMPUTED_VALUE"""),"https://eitaa.com/jannesarane_abalfazl")</f>
        <v>https://eitaa.com/jannesarane_abalfazl</v>
      </c>
      <c r="K4524" s="5"/>
      <c r="L4524" s="5"/>
      <c r="M4524" s="5"/>
      <c r="N4524" s="5"/>
      <c r="O4524" s="5"/>
      <c r="P4524" s="5"/>
      <c r="Q4524" s="5"/>
      <c r="R4524" s="5"/>
      <c r="S4524" s="5"/>
    </row>
    <row r="4525">
      <c r="A4525" s="5">
        <f>IFERROR(__xludf.DUMMYFUNCTION("""COMPUTED_VALUE"""),8865.0)</f>
        <v>8865</v>
      </c>
      <c r="B4525" s="5" t="str">
        <f>IFERROR(__xludf.DUMMYFUNCTION("""COMPUTED_VALUE"""),"هیأت")</f>
        <v>هیأت</v>
      </c>
      <c r="C4525" s="5" t="str">
        <f>IFERROR(__xludf.DUMMYFUNCTION("""COMPUTED_VALUE"""),"آستان مقدس امامزاده احمد دیزج")</f>
        <v>آستان مقدس امامزاده احمد دیزج</v>
      </c>
      <c r="D4525" s="5" t="str">
        <f>IFERROR(__xludf.DUMMYFUNCTION("""COMPUTED_VALUE"""),"سمنان")</f>
        <v>سمنان</v>
      </c>
      <c r="E4525" s="5" t="str">
        <f>IFERROR(__xludf.DUMMYFUNCTION("""COMPUTED_VALUE"""),"شاهرود")</f>
        <v>شاهرود</v>
      </c>
      <c r="F4525" s="5"/>
      <c r="G4525" s="5"/>
      <c r="H4525" s="5"/>
      <c r="I4525" s="6" t="str">
        <f>IFERROR(__xludf.DUMMYFUNCTION("""COMPUTED_VALUE"""),"https://t.me/emamzadedizej")</f>
        <v>https://t.me/emamzadedizej</v>
      </c>
      <c r="J4525" s="6" t="str">
        <f>IFERROR(__xludf.DUMMYFUNCTION("""COMPUTED_VALUE"""),"https://eitaa.com/emamzademohamddizj")</f>
        <v>https://eitaa.com/emamzademohamddizj</v>
      </c>
      <c r="K4525" s="5"/>
      <c r="L4525" s="5"/>
      <c r="M4525" s="5"/>
      <c r="N4525" s="5"/>
      <c r="O4525" s="5"/>
      <c r="P4525" s="5"/>
      <c r="Q4525" s="5"/>
      <c r="R4525" s="5"/>
      <c r="S4525" s="5"/>
    </row>
    <row r="4526">
      <c r="A4526" s="5">
        <f>IFERROR(__xludf.DUMMYFUNCTION("""COMPUTED_VALUE"""),8862.0)</f>
        <v>8862</v>
      </c>
      <c r="B4526" s="5" t="str">
        <f>IFERROR(__xludf.DUMMYFUNCTION("""COMPUTED_VALUE"""),"هیأت")</f>
        <v>هیأت</v>
      </c>
      <c r="C4526" s="5" t="str">
        <f>IFERROR(__xludf.DUMMYFUNCTION("""COMPUTED_VALUE"""),"جوانان حضرت علی اکبر (ع)")</f>
        <v>جوانان حضرت علی اکبر (ع)</v>
      </c>
      <c r="D4526" s="5" t="str">
        <f>IFERROR(__xludf.DUMMYFUNCTION("""COMPUTED_VALUE"""),"سمنان")</f>
        <v>سمنان</v>
      </c>
      <c r="E4526" s="5" t="str">
        <f>IFERROR(__xludf.DUMMYFUNCTION("""COMPUTED_VALUE"""),"شاهرود")</f>
        <v>شاهرود</v>
      </c>
      <c r="F4526" s="5"/>
      <c r="G4526" s="5"/>
      <c r="H4526" s="5"/>
      <c r="I4526" s="5"/>
      <c r="J4526" s="6" t="str">
        <f>IFERROR(__xludf.DUMMYFUNCTION("""COMPUTED_VALUE"""),"https://eitaa.com/javananaliakbar")</f>
        <v>https://eitaa.com/javananaliakbar</v>
      </c>
      <c r="K4526" s="5"/>
      <c r="L4526" s="5"/>
      <c r="M4526" s="5"/>
      <c r="N4526" s="5"/>
      <c r="O4526" s="5"/>
      <c r="P4526" s="5"/>
      <c r="Q4526" s="5"/>
      <c r="R4526" s="5"/>
      <c r="S4526" s="5"/>
    </row>
    <row r="4527">
      <c r="A4527" s="5">
        <f>IFERROR(__xludf.DUMMYFUNCTION("""COMPUTED_VALUE"""),8791.0)</f>
        <v>8791</v>
      </c>
      <c r="B4527" s="5" t="str">
        <f>IFERROR(__xludf.DUMMYFUNCTION("""COMPUTED_VALUE"""),"هیأت")</f>
        <v>هیأت</v>
      </c>
      <c r="C4527" s="5" t="str">
        <f>IFERROR(__xludf.DUMMYFUNCTION("""COMPUTED_VALUE"""),"حضرت علی اصغر(ع)")</f>
        <v>حضرت علی اصغر(ع)</v>
      </c>
      <c r="D4527" s="5" t="str">
        <f>IFERROR(__xludf.DUMMYFUNCTION("""COMPUTED_VALUE"""),"سمنان")</f>
        <v>سمنان</v>
      </c>
      <c r="E4527" s="5" t="str">
        <f>IFERROR(__xludf.DUMMYFUNCTION("""COMPUTED_VALUE"""),"شاهرود")</f>
        <v>شاهرود</v>
      </c>
      <c r="F4527" s="5"/>
      <c r="G4527" s="5"/>
      <c r="H4527" s="6" t="str">
        <f>IFERROR(__xludf.DUMMYFUNCTION("""COMPUTED_VALUE"""),"https://www.instagram.com/heyat_hazrat_aliasghar1375")</f>
        <v>https://www.instagram.com/heyat_hazrat_aliasghar1375</v>
      </c>
      <c r="I4527" s="5"/>
      <c r="J4527" s="6" t="str">
        <f>IFERROR(__xludf.DUMMYFUNCTION("""COMPUTED_VALUE"""),"https://eitaa.com/HeyatAli_asghar")</f>
        <v>https://eitaa.com/HeyatAli_asghar</v>
      </c>
      <c r="K4527" s="5"/>
      <c r="L4527" s="5"/>
      <c r="M4527" s="5"/>
      <c r="N4527" s="5"/>
      <c r="O4527" s="5"/>
      <c r="P4527" s="5"/>
      <c r="Q4527" s="5"/>
      <c r="R4527" s="5"/>
      <c r="S4527" s="5"/>
    </row>
    <row r="4528">
      <c r="A4528" s="5">
        <f>IFERROR(__xludf.DUMMYFUNCTION("""COMPUTED_VALUE"""),18125.0)</f>
        <v>18125</v>
      </c>
      <c r="B4528" s="5" t="str">
        <f>IFERROR(__xludf.DUMMYFUNCTION("""COMPUTED_VALUE"""),"هیأت")</f>
        <v>هیأت</v>
      </c>
      <c r="C4528" s="5" t="str">
        <f>IFERROR(__xludf.DUMMYFUNCTION("""COMPUTED_VALUE"""),"هیات الزهرا (س)")</f>
        <v>هیات الزهرا (س)</v>
      </c>
      <c r="D4528" s="5" t="str">
        <f>IFERROR(__xludf.DUMMYFUNCTION("""COMPUTED_VALUE"""),"سمنان")</f>
        <v>سمنان</v>
      </c>
      <c r="E4528" s="5" t="str">
        <f>IFERROR(__xludf.DUMMYFUNCTION("""COMPUTED_VALUE"""),"گرمسار")</f>
        <v>گرمسار</v>
      </c>
      <c r="F4528" s="5"/>
      <c r="G4528" s="5"/>
      <c r="H4528" s="6" t="str">
        <f>IFERROR(__xludf.DUMMYFUNCTION("""COMPUTED_VALUE"""),"https://www.instagram.com/heiatozahra2.ir")</f>
        <v>https://www.instagram.com/heiatozahra2.ir</v>
      </c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</row>
    <row r="4529">
      <c r="A4529" s="5">
        <f>IFERROR(__xludf.DUMMYFUNCTION("""COMPUTED_VALUE"""),9065.0)</f>
        <v>9065</v>
      </c>
      <c r="B4529" s="5" t="str">
        <f>IFERROR(__xludf.DUMMYFUNCTION("""COMPUTED_VALUE"""),"هیأت")</f>
        <v>هیأت</v>
      </c>
      <c r="C4529" s="5" t="str">
        <f>IFERROR(__xludf.DUMMYFUNCTION("""COMPUTED_VALUE"""),"صاحب الزمان(عج)")</f>
        <v>صاحب الزمان(عج)</v>
      </c>
      <c r="D4529" s="5" t="str">
        <f>IFERROR(__xludf.DUMMYFUNCTION("""COMPUTED_VALUE"""),"سمنان")</f>
        <v>سمنان</v>
      </c>
      <c r="E4529" s="5" t="str">
        <f>IFERROR(__xludf.DUMMYFUNCTION("""COMPUTED_VALUE"""),"گرمسار")</f>
        <v>گرمسار</v>
      </c>
      <c r="F4529" s="5"/>
      <c r="G4529" s="5"/>
      <c r="H4529" s="6" t="str">
        <f>IFERROR(__xludf.DUMMYFUNCTION("""COMPUTED_VALUE"""),"https://www.instagram.com/heyat_saheb_al_zaman_garmsar")</f>
        <v>https://www.instagram.com/heyat_saheb_al_zaman_garmsar</v>
      </c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</row>
    <row r="4530">
      <c r="A4530" s="5">
        <f>IFERROR(__xludf.DUMMYFUNCTION("""COMPUTED_VALUE"""),9057.0)</f>
        <v>9057</v>
      </c>
      <c r="B4530" s="5" t="str">
        <f>IFERROR(__xludf.DUMMYFUNCTION("""COMPUTED_VALUE"""),"هیأت")</f>
        <v>هیأت</v>
      </c>
      <c r="C4530" s="5" t="str">
        <f>IFERROR(__xludf.DUMMYFUNCTION("""COMPUTED_VALUE"""),"عزاداران امام حسین(ع)")</f>
        <v>عزاداران امام حسین(ع)</v>
      </c>
      <c r="D4530" s="5" t="str">
        <f>IFERROR(__xludf.DUMMYFUNCTION("""COMPUTED_VALUE"""),"سمنان")</f>
        <v>سمنان</v>
      </c>
      <c r="E4530" s="5" t="str">
        <f>IFERROR(__xludf.DUMMYFUNCTION("""COMPUTED_VALUE"""),"گرمسار")</f>
        <v>گرمسار</v>
      </c>
      <c r="F4530" s="5"/>
      <c r="G4530" s="5"/>
      <c r="H4530" s="6" t="str">
        <f>IFERROR(__xludf.DUMMYFUNCTION("""COMPUTED_VALUE"""),"https://www.instagram.com/heiat.azadaran.e.hosein")</f>
        <v>https://www.instagram.com/heiat.azadaran.e.hosein</v>
      </c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</row>
    <row r="4531">
      <c r="A4531" s="5">
        <f>IFERROR(__xludf.DUMMYFUNCTION("""COMPUTED_VALUE"""),9052.0)</f>
        <v>9052</v>
      </c>
      <c r="B4531" s="5" t="str">
        <f>IFERROR(__xludf.DUMMYFUNCTION("""COMPUTED_VALUE"""),"حسینیه")</f>
        <v>حسینیه</v>
      </c>
      <c r="C4531" s="5" t="str">
        <f>IFERROR(__xludf.DUMMYFUNCTION("""COMPUTED_VALUE"""),"عاشقان ثارالله (ع)")</f>
        <v>عاشقان ثارالله (ع)</v>
      </c>
      <c r="D4531" s="5" t="str">
        <f>IFERROR(__xludf.DUMMYFUNCTION("""COMPUTED_VALUE"""),"سمنان")</f>
        <v>سمنان</v>
      </c>
      <c r="E4531" s="5" t="str">
        <f>IFERROR(__xludf.DUMMYFUNCTION("""COMPUTED_VALUE"""),"گرمسار")</f>
        <v>گرمسار</v>
      </c>
      <c r="F4531" s="5"/>
      <c r="G4531" s="5"/>
      <c r="H4531" s="6" t="str">
        <f>IFERROR(__xludf.DUMMYFUNCTION("""COMPUTED_VALUE"""),"https://www.instagram.com/sarallah.garmsar")</f>
        <v>https://www.instagram.com/sarallah.garmsar</v>
      </c>
      <c r="I4531" s="5"/>
      <c r="J4531" s="6" t="str">
        <f>IFERROR(__xludf.DUMMYFUNCTION("""COMPUTED_VALUE"""),"https://eitaa.com/sarallah_garmsar")</f>
        <v>https://eitaa.com/sarallah_garmsar</v>
      </c>
      <c r="K4531" s="5"/>
      <c r="L4531" s="5"/>
      <c r="M4531" s="5"/>
      <c r="N4531" s="5"/>
      <c r="O4531" s="5"/>
      <c r="P4531" s="5"/>
      <c r="Q4531" s="5"/>
      <c r="R4531" s="5"/>
      <c r="S4531" s="5"/>
    </row>
    <row r="4532">
      <c r="A4532" s="5">
        <f>IFERROR(__xludf.DUMMYFUNCTION("""COMPUTED_VALUE"""),9051.0)</f>
        <v>9051</v>
      </c>
      <c r="B4532" s="5" t="str">
        <f>IFERROR(__xludf.DUMMYFUNCTION("""COMPUTED_VALUE"""),"هیأت")</f>
        <v>هیأت</v>
      </c>
      <c r="C4532" s="5" t="str">
        <f>IFERROR(__xludf.DUMMYFUNCTION("""COMPUTED_VALUE"""),"قاسم بن الحسن(ع)")</f>
        <v>قاسم بن الحسن(ع)</v>
      </c>
      <c r="D4532" s="5" t="str">
        <f>IFERROR(__xludf.DUMMYFUNCTION("""COMPUTED_VALUE"""),"سمنان")</f>
        <v>سمنان</v>
      </c>
      <c r="E4532" s="5" t="str">
        <f>IFERROR(__xludf.DUMMYFUNCTION("""COMPUTED_VALUE"""),"گرمسار")</f>
        <v>گرمسار</v>
      </c>
      <c r="F4532" s="5"/>
      <c r="G4532" s="5"/>
      <c r="H4532" s="6" t="str">
        <f>IFERROR(__xludf.DUMMYFUNCTION("""COMPUTED_VALUE"""),"https://www.instagram.com/heyate_qasem_fanpage/")</f>
        <v>https://www.instagram.com/heyate_qasem_fanpage/</v>
      </c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</row>
    <row r="4533">
      <c r="A4533" s="5">
        <f>IFERROR(__xludf.DUMMYFUNCTION("""COMPUTED_VALUE"""),8863.0)</f>
        <v>8863</v>
      </c>
      <c r="B4533" s="5" t="str">
        <f>IFERROR(__xludf.DUMMYFUNCTION("""COMPUTED_VALUE"""),"هیأت")</f>
        <v>هیأت</v>
      </c>
      <c r="C4533" s="5" t="str">
        <f>IFERROR(__xludf.DUMMYFUNCTION("""COMPUTED_VALUE"""),"جنت الحسین (ع) / بچه های حرم")</f>
        <v>جنت الحسین (ع) / بچه های حرم</v>
      </c>
      <c r="D4533" s="5" t="str">
        <f>IFERROR(__xludf.DUMMYFUNCTION("""COMPUTED_VALUE"""),"سمنان")</f>
        <v>سمنان</v>
      </c>
      <c r="E4533" s="5" t="str">
        <f>IFERROR(__xludf.DUMMYFUNCTION("""COMPUTED_VALUE"""),"گرمسار")</f>
        <v>گرمسار</v>
      </c>
      <c r="F4533" s="5"/>
      <c r="G4533" s="5"/>
      <c r="H4533" s="6" t="str">
        <f>IFERROR(__xludf.DUMMYFUNCTION("""COMPUTED_VALUE"""),"https://www.instagram.com/janatolhosein_garmsar")</f>
        <v>https://www.instagram.com/janatolhosein_garmsar</v>
      </c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</row>
    <row r="4534">
      <c r="A4534" s="5">
        <f>IFERROR(__xludf.DUMMYFUNCTION("""COMPUTED_VALUE"""),8861.0)</f>
        <v>8861</v>
      </c>
      <c r="B4534" s="5" t="str">
        <f>IFERROR(__xludf.DUMMYFUNCTION("""COMPUTED_VALUE"""),"هیأت")</f>
        <v>هیأت</v>
      </c>
      <c r="C4534" s="5" t="str">
        <f>IFERROR(__xludf.DUMMYFUNCTION("""COMPUTED_VALUE"""),"حضرت جوادالائمه (ع)")</f>
        <v>حضرت جوادالائمه (ع)</v>
      </c>
      <c r="D4534" s="5" t="str">
        <f>IFERROR(__xludf.DUMMYFUNCTION("""COMPUTED_VALUE"""),"سمنان")</f>
        <v>سمنان</v>
      </c>
      <c r="E4534" s="5" t="str">
        <f>IFERROR(__xludf.DUMMYFUNCTION("""COMPUTED_VALUE"""),"گرمسار")</f>
        <v>گرمسار</v>
      </c>
      <c r="F4534" s="5"/>
      <c r="G4534" s="5"/>
      <c r="H4534" s="6" t="str">
        <f>IFERROR(__xludf.DUMMYFUNCTION("""COMPUTED_VALUE"""),"https://www.instagram.com/heyat.javadolaeme")</f>
        <v>https://www.instagram.com/heyat.javadolaeme</v>
      </c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</row>
    <row r="4535">
      <c r="A4535" s="5">
        <f>IFERROR(__xludf.DUMMYFUNCTION("""COMPUTED_VALUE"""),8854.0)</f>
        <v>8854</v>
      </c>
      <c r="B4535" s="5" t="str">
        <f>IFERROR(__xludf.DUMMYFUNCTION("""COMPUTED_VALUE"""),"هیأت")</f>
        <v>هیأت</v>
      </c>
      <c r="C4535" s="5" t="str">
        <f>IFERROR(__xludf.DUMMYFUNCTION("""COMPUTED_VALUE"""),"اباعبدالحسین(ع)")</f>
        <v>اباعبدالحسین(ع)</v>
      </c>
      <c r="D4535" s="5" t="str">
        <f>IFERROR(__xludf.DUMMYFUNCTION("""COMPUTED_VALUE"""),"سمنان")</f>
        <v>سمنان</v>
      </c>
      <c r="E4535" s="5" t="str">
        <f>IFERROR(__xludf.DUMMYFUNCTION("""COMPUTED_VALUE"""),"گرمسار")</f>
        <v>گرمسار</v>
      </c>
      <c r="F4535" s="5"/>
      <c r="G4535" s="5"/>
      <c r="H4535" s="6" t="str">
        <f>IFERROR(__xludf.DUMMYFUNCTION("""COMPUTED_VALUE"""),"https://www.instagram.com/heyate_abaabdellahalhosein")</f>
        <v>https://www.instagram.com/heyate_abaabdellahalhosein</v>
      </c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</row>
    <row r="4536">
      <c r="A4536" s="5">
        <f>IFERROR(__xludf.DUMMYFUNCTION("""COMPUTED_VALUE"""),8833.0)</f>
        <v>8833</v>
      </c>
      <c r="B4536" s="5" t="str">
        <f>IFERROR(__xludf.DUMMYFUNCTION("""COMPUTED_VALUE"""),"هیأت")</f>
        <v>هیأت</v>
      </c>
      <c r="C4536" s="5" t="str">
        <f>IFERROR(__xludf.DUMMYFUNCTION("""COMPUTED_VALUE"""),"جان نثاران امام حسین(ع)")</f>
        <v>جان نثاران امام حسین(ع)</v>
      </c>
      <c r="D4536" s="5" t="str">
        <f>IFERROR(__xludf.DUMMYFUNCTION("""COMPUTED_VALUE"""),"سمنان")</f>
        <v>سمنان</v>
      </c>
      <c r="E4536" s="5" t="str">
        <f>IFERROR(__xludf.DUMMYFUNCTION("""COMPUTED_VALUE"""),"گرمسار")</f>
        <v>گرمسار</v>
      </c>
      <c r="F4536" s="5"/>
      <c r="G4536" s="5"/>
      <c r="H4536" s="6" t="str">
        <f>IFERROR(__xludf.DUMMYFUNCTION("""COMPUTED_VALUE"""),"https://www.instagram.com/heyat.jannesaran.ghiyasabad/")</f>
        <v>https://www.instagram.com/heyat.jannesaran.ghiyasabad/</v>
      </c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</row>
    <row r="4537">
      <c r="A4537" s="5">
        <f>IFERROR(__xludf.DUMMYFUNCTION("""COMPUTED_VALUE"""),8829.0)</f>
        <v>8829</v>
      </c>
      <c r="B4537" s="5" t="str">
        <f>IFERROR(__xludf.DUMMYFUNCTION("""COMPUTED_VALUE"""),"هیأت")</f>
        <v>هیأت</v>
      </c>
      <c r="C4537" s="5" t="str">
        <f>IFERROR(__xludf.DUMMYFUNCTION("""COMPUTED_VALUE"""),"مسجد صاحب الزمان(عج) ساروزن")</f>
        <v>مسجد صاحب الزمان(عج) ساروزن</v>
      </c>
      <c r="D4537" s="5" t="str">
        <f>IFERROR(__xludf.DUMMYFUNCTION("""COMPUTED_VALUE"""),"سمنان")</f>
        <v>سمنان</v>
      </c>
      <c r="E4537" s="5" t="str">
        <f>IFERROR(__xludf.DUMMYFUNCTION("""COMPUTED_VALUE"""),"گرمسار")</f>
        <v>گرمسار</v>
      </c>
      <c r="F4537" s="5"/>
      <c r="G4537" s="5"/>
      <c r="H4537" s="6" t="str">
        <f>IFERROR(__xludf.DUMMYFUNCTION("""COMPUTED_VALUE"""),"https://www.instagram.com/heyat_saheb_al_zaman_garmsar")</f>
        <v>https://www.instagram.com/heyat_saheb_al_zaman_garmsar</v>
      </c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</row>
    <row r="4538">
      <c r="A4538" s="5">
        <f>IFERROR(__xludf.DUMMYFUNCTION("""COMPUTED_VALUE"""),8826.0)</f>
        <v>8826</v>
      </c>
      <c r="B4538" s="5" t="str">
        <f>IFERROR(__xludf.DUMMYFUNCTION("""COMPUTED_VALUE"""),"هیأت")</f>
        <v>هیأت</v>
      </c>
      <c r="C4538" s="5" t="str">
        <f>IFERROR(__xludf.DUMMYFUNCTION("""COMPUTED_VALUE"""),"روضه الشهدا")</f>
        <v>روضه الشهدا</v>
      </c>
      <c r="D4538" s="5" t="str">
        <f>IFERROR(__xludf.DUMMYFUNCTION("""COMPUTED_VALUE"""),"سمنان")</f>
        <v>سمنان</v>
      </c>
      <c r="E4538" s="5" t="str">
        <f>IFERROR(__xludf.DUMMYFUNCTION("""COMPUTED_VALUE"""),"گرمسار")</f>
        <v>گرمسار</v>
      </c>
      <c r="F4538" s="5"/>
      <c r="G4538" s="5"/>
      <c r="H4538" s="6" t="str">
        <f>IFERROR(__xludf.DUMMYFUNCTION("""COMPUTED_VALUE"""),"https://www.instagram.com/rozatoshohada_garmsar/")</f>
        <v>https://www.instagram.com/rozatoshohada_garmsar/</v>
      </c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</row>
    <row r="4539">
      <c r="A4539" s="5">
        <f>IFERROR(__xludf.DUMMYFUNCTION("""COMPUTED_VALUE"""),8816.0)</f>
        <v>8816</v>
      </c>
      <c r="B4539" s="5" t="str">
        <f>IFERROR(__xludf.DUMMYFUNCTION("""COMPUTED_VALUE"""),"هیأت")</f>
        <v>هیأت</v>
      </c>
      <c r="C4539" s="5" t="str">
        <f>IFERROR(__xludf.DUMMYFUNCTION("""COMPUTED_VALUE"""),"قلعه نو")</f>
        <v>قلعه نو</v>
      </c>
      <c r="D4539" s="5" t="str">
        <f>IFERROR(__xludf.DUMMYFUNCTION("""COMPUTED_VALUE"""),"سمنان")</f>
        <v>سمنان</v>
      </c>
      <c r="E4539" s="5" t="str">
        <f>IFERROR(__xludf.DUMMYFUNCTION("""COMPUTED_VALUE"""),"گرمسار")</f>
        <v>گرمسار</v>
      </c>
      <c r="F4539" s="5"/>
      <c r="G4539" s="5"/>
      <c r="H4539" s="6" t="str">
        <f>IFERROR(__xludf.DUMMYFUNCTION("""COMPUTED_VALUE"""),"https://www.instagram.com/heyatghaleno")</f>
        <v>https://www.instagram.com/heyatghaleno</v>
      </c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</row>
    <row r="4540">
      <c r="A4540" s="5">
        <f>IFERROR(__xludf.DUMMYFUNCTION("""COMPUTED_VALUE"""),8800.0)</f>
        <v>8800</v>
      </c>
      <c r="B4540" s="5" t="str">
        <f>IFERROR(__xludf.DUMMYFUNCTION("""COMPUTED_VALUE"""),"هیأت")</f>
        <v>هیأت</v>
      </c>
      <c r="C4540" s="5" t="str">
        <f>IFERROR(__xludf.DUMMYFUNCTION("""COMPUTED_VALUE"""),"حضرت ابوالفضل(ع)")</f>
        <v>حضرت ابوالفضل(ع)</v>
      </c>
      <c r="D4540" s="5" t="str">
        <f>IFERROR(__xludf.DUMMYFUNCTION("""COMPUTED_VALUE"""),"سمنان")</f>
        <v>سمنان</v>
      </c>
      <c r="E4540" s="5" t="str">
        <f>IFERROR(__xludf.DUMMYFUNCTION("""COMPUTED_VALUE"""),"گرمسار")</f>
        <v>گرمسار</v>
      </c>
      <c r="F4540" s="5"/>
      <c r="G4540" s="5"/>
      <c r="H4540" s="6" t="str">
        <f>IFERROR(__xludf.DUMMYFUNCTION("""COMPUTED_VALUE"""),"https://www.instagram.com/heyat_ablfazle_garmsar")</f>
        <v>https://www.instagram.com/heyat_ablfazle_garmsar</v>
      </c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</row>
    <row r="4541">
      <c r="A4541" s="5">
        <f>IFERROR(__xludf.DUMMYFUNCTION("""COMPUTED_VALUE"""),22886.0)</f>
        <v>22886</v>
      </c>
      <c r="B4541" s="5" t="str">
        <f>IFERROR(__xludf.DUMMYFUNCTION("""COMPUTED_VALUE"""),"هیأت")</f>
        <v>هیأت</v>
      </c>
      <c r="C4541" s="5" t="str">
        <f>IFERROR(__xludf.DUMMYFUNCTION("""COMPUTED_VALUE"""),"شهدای گمنام")</f>
        <v>شهدای گمنام</v>
      </c>
      <c r="D4541" s="5" t="str">
        <f>IFERROR(__xludf.DUMMYFUNCTION("""COMPUTED_VALUE"""),"سمنان")</f>
        <v>سمنان</v>
      </c>
      <c r="E4541" s="5" t="str">
        <f>IFERROR(__xludf.DUMMYFUNCTION("""COMPUTED_VALUE"""),"مهدی شهر")</f>
        <v>مهدی شهر</v>
      </c>
      <c r="F4541" s="5"/>
      <c r="G4541" s="5"/>
      <c r="H4541" s="5"/>
      <c r="I4541" s="5"/>
      <c r="J4541" s="6" t="str">
        <f>IFERROR(__xludf.DUMMYFUNCTION("""COMPUTED_VALUE"""),"https://eitaa.com/imamalimosque313")</f>
        <v>https://eitaa.com/imamalimosque313</v>
      </c>
      <c r="K4541" s="5"/>
      <c r="L4541" s="5"/>
      <c r="M4541" s="5"/>
      <c r="N4541" s="5"/>
      <c r="O4541" s="5"/>
      <c r="P4541" s="5"/>
      <c r="Q4541" s="5"/>
      <c r="R4541" s="5"/>
      <c r="S4541" s="5"/>
    </row>
    <row r="4542">
      <c r="A4542" s="5">
        <f>IFERROR(__xludf.DUMMYFUNCTION("""COMPUTED_VALUE"""),18135.0)</f>
        <v>18135</v>
      </c>
      <c r="B4542" s="5" t="str">
        <f>IFERROR(__xludf.DUMMYFUNCTION("""COMPUTED_VALUE"""),"هیأت")</f>
        <v>هیأت</v>
      </c>
      <c r="C4542" s="5" t="str">
        <f>IFERROR(__xludf.DUMMYFUNCTION("""COMPUTED_VALUE"""),"محبان اهل بیت - ساختمان بیت الزهرا (س)")</f>
        <v>محبان اهل بیت - ساختمان بیت الزهرا (س)</v>
      </c>
      <c r="D4542" s="5" t="str">
        <f>IFERROR(__xludf.DUMMYFUNCTION("""COMPUTED_VALUE"""),"سمنان")</f>
        <v>سمنان</v>
      </c>
      <c r="E4542" s="5" t="str">
        <f>IFERROR(__xludf.DUMMYFUNCTION("""COMPUTED_VALUE"""),"مهدی شهر")</f>
        <v>مهدی شهر</v>
      </c>
      <c r="F4542" s="5"/>
      <c r="G4542" s="5"/>
      <c r="H4542" s="5"/>
      <c r="I4542" s="5"/>
      <c r="J4542" s="6" t="str">
        <f>IFERROR(__xludf.DUMMYFUNCTION("""COMPUTED_VALUE"""),"https://eitaa.com/beytozzahra_mahdishahr")</f>
        <v>https://eitaa.com/beytozzahra_mahdishahr</v>
      </c>
      <c r="K4542" s="5"/>
      <c r="L4542" s="5"/>
      <c r="M4542" s="5"/>
      <c r="N4542" s="5"/>
      <c r="O4542" s="5"/>
      <c r="P4542" s="5"/>
      <c r="Q4542" s="5"/>
      <c r="R4542" s="5"/>
      <c r="S4542" s="5"/>
    </row>
    <row r="4543">
      <c r="A4543" s="5">
        <f>IFERROR(__xludf.DUMMYFUNCTION("""COMPUTED_VALUE"""),9196.0)</f>
        <v>9196</v>
      </c>
      <c r="B4543" s="5" t="str">
        <f>IFERROR(__xludf.DUMMYFUNCTION("""COMPUTED_VALUE"""),"هیأت")</f>
        <v>هیأت</v>
      </c>
      <c r="C4543" s="5" t="str">
        <f>IFERROR(__xludf.DUMMYFUNCTION("""COMPUTED_VALUE"""),"عشاق الحسین (ع)")</f>
        <v>عشاق الحسین (ع)</v>
      </c>
      <c r="D4543" s="5" t="str">
        <f>IFERROR(__xludf.DUMMYFUNCTION("""COMPUTED_VALUE"""),"سمنان")</f>
        <v>سمنان</v>
      </c>
      <c r="E4543" s="5" t="str">
        <f>IFERROR(__xludf.DUMMYFUNCTION("""COMPUTED_VALUE"""),"مهدی شهر")</f>
        <v>مهدی شهر</v>
      </c>
      <c r="F4543" s="5"/>
      <c r="G4543" s="5"/>
      <c r="H4543" s="5"/>
      <c r="I4543" s="5"/>
      <c r="J4543" s="6" t="str">
        <f>IFERROR(__xludf.DUMMYFUNCTION("""COMPUTED_VALUE"""),"https://eitaa.com/oshagh92")</f>
        <v>https://eitaa.com/oshagh92</v>
      </c>
      <c r="K4543" s="5"/>
      <c r="L4543" s="5"/>
      <c r="M4543" s="5"/>
      <c r="N4543" s="5"/>
      <c r="O4543" s="5"/>
      <c r="P4543" s="5"/>
      <c r="Q4543" s="5"/>
      <c r="R4543" s="5"/>
      <c r="S4543" s="5"/>
    </row>
    <row r="4544">
      <c r="A4544" s="5">
        <f>IFERROR(__xludf.DUMMYFUNCTION("""COMPUTED_VALUE"""),9129.0)</f>
        <v>9129</v>
      </c>
      <c r="B4544" s="5" t="str">
        <f>IFERROR(__xludf.DUMMYFUNCTION("""COMPUTED_VALUE"""),"هیأت")</f>
        <v>هیأت</v>
      </c>
      <c r="C4544" s="5" t="str">
        <f>IFERROR(__xludf.DUMMYFUNCTION("""COMPUTED_VALUE"""),"خادم العباس (ع) (هیات مسجد حضرت ابوالفضل (ع)")</f>
        <v>خادم العباس (ع) (هیات مسجد حضرت ابوالفضل (ع)</v>
      </c>
      <c r="D4544" s="5" t="str">
        <f>IFERROR(__xludf.DUMMYFUNCTION("""COMPUTED_VALUE"""),"سمنان")</f>
        <v>سمنان</v>
      </c>
      <c r="E4544" s="5" t="str">
        <f>IFERROR(__xludf.DUMMYFUNCTION("""COMPUTED_VALUE"""),"مهدی شهر")</f>
        <v>مهدی شهر</v>
      </c>
      <c r="F4544" s="5"/>
      <c r="G4544" s="5"/>
      <c r="H4544" s="6" t="str">
        <f>IFERROR(__xludf.DUMMYFUNCTION("""COMPUTED_VALUE"""),"https://www.instagram.com/h_khademolabbas")</f>
        <v>https://www.instagram.com/h_khademolabbas</v>
      </c>
      <c r="I4544" s="5"/>
      <c r="J4544" s="6" t="str">
        <f>IFERROR(__xludf.DUMMYFUNCTION("""COMPUTED_VALUE"""),"https://eitaa.com/khademinabbas")</f>
        <v>https://eitaa.com/khademinabbas</v>
      </c>
      <c r="K4544" s="5"/>
      <c r="L4544" s="5"/>
      <c r="M4544" s="5"/>
      <c r="N4544" s="5"/>
      <c r="O4544" s="5"/>
      <c r="P4544" s="5"/>
      <c r="Q4544" s="5"/>
      <c r="R4544" s="5"/>
      <c r="S4544" s="5"/>
    </row>
    <row r="4545">
      <c r="A4545" s="5">
        <f>IFERROR(__xludf.DUMMYFUNCTION("""COMPUTED_VALUE"""),8903.0)</f>
        <v>8903</v>
      </c>
      <c r="B4545" s="5" t="str">
        <f>IFERROR(__xludf.DUMMYFUNCTION("""COMPUTED_VALUE"""),"هیأت")</f>
        <v>هیأت</v>
      </c>
      <c r="C4545" s="5" t="str">
        <f>IFERROR(__xludf.DUMMYFUNCTION("""COMPUTED_VALUE"""),"امام جمعه مهدی شهر")</f>
        <v>امام جمعه مهدی شهر</v>
      </c>
      <c r="D4545" s="5" t="str">
        <f>IFERROR(__xludf.DUMMYFUNCTION("""COMPUTED_VALUE"""),"سمنان")</f>
        <v>سمنان</v>
      </c>
      <c r="E4545" s="5" t="str">
        <f>IFERROR(__xludf.DUMMYFUNCTION("""COMPUTED_VALUE"""),"مهدی شهر")</f>
        <v>مهدی شهر</v>
      </c>
      <c r="F4545" s="5"/>
      <c r="G4545" s="5"/>
      <c r="H4545" s="5"/>
      <c r="I4545" s="5"/>
      <c r="J4545" s="6" t="str">
        <f>IFERROR(__xludf.DUMMYFUNCTION("""COMPUTED_VALUE"""),"https://eitaa.com/setadnamazjomemahdishahr")</f>
        <v>https://eitaa.com/setadnamazjomemahdishahr</v>
      </c>
      <c r="K4545" s="5"/>
      <c r="L4545" s="5"/>
      <c r="M4545" s="5"/>
      <c r="N4545" s="5"/>
      <c r="O4545" s="5"/>
      <c r="P4545" s="5"/>
      <c r="Q4545" s="5"/>
      <c r="R4545" s="5"/>
      <c r="S4545" s="5"/>
    </row>
    <row r="4546">
      <c r="A4546" s="5">
        <f>IFERROR(__xludf.DUMMYFUNCTION("""COMPUTED_VALUE"""),12972.0)</f>
        <v>12972</v>
      </c>
      <c r="B4546" s="5" t="str">
        <f>IFERROR(__xludf.DUMMYFUNCTION("""COMPUTED_VALUE"""),"هیأت")</f>
        <v>هیأت</v>
      </c>
      <c r="C4546" s="5" t="str">
        <f>IFERROR(__xludf.DUMMYFUNCTION("""COMPUTED_VALUE"""),"حضرت ابوالفضل العباس (ع) روستای حسین آبادکالپوش")</f>
        <v>حضرت ابوالفضل العباس (ع) روستای حسین آبادکالپوش</v>
      </c>
      <c r="D4546" s="5" t="str">
        <f>IFERROR(__xludf.DUMMYFUNCTION("""COMPUTED_VALUE"""),"سمنان")</f>
        <v>سمنان</v>
      </c>
      <c r="E4546" s="5" t="str">
        <f>IFERROR(__xludf.DUMMYFUNCTION("""COMPUTED_VALUE"""),"میامی")</f>
        <v>میامی</v>
      </c>
      <c r="F4546" s="5"/>
      <c r="G4546" s="5"/>
      <c r="H4546" s="6" t="str">
        <f>IFERROR(__xludf.DUMMYFUNCTION("""COMPUTED_VALUE"""),"https://www.instagram.com/heyat___abalfazl")</f>
        <v>https://www.instagram.com/heyat___abalfazl</v>
      </c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</row>
    <row r="4547">
      <c r="A4547" s="5">
        <f>IFERROR(__xludf.DUMMYFUNCTION("""COMPUTED_VALUE"""),9091.0)</f>
        <v>9091</v>
      </c>
      <c r="B4547" s="5" t="str">
        <f>IFERROR(__xludf.DUMMYFUNCTION("""COMPUTED_VALUE"""),"هیأت")</f>
        <v>هیأت</v>
      </c>
      <c r="C4547" s="5" t="str">
        <f>IFERROR(__xludf.DUMMYFUNCTION("""COMPUTED_VALUE"""),"جوانان متوسلین به نبی اکرم (ص)")</f>
        <v>جوانان متوسلین به نبی اکرم (ص)</v>
      </c>
      <c r="D4547" s="5" t="str">
        <f>IFERROR(__xludf.DUMMYFUNCTION("""COMPUTED_VALUE"""),"سمنان")</f>
        <v>سمنان</v>
      </c>
      <c r="E4547" s="5" t="str">
        <f>IFERROR(__xludf.DUMMYFUNCTION("""COMPUTED_VALUE"""),"میامی")</f>
        <v>میامی</v>
      </c>
      <c r="F4547" s="5"/>
      <c r="G4547" s="5"/>
      <c r="H4547" s="5"/>
      <c r="I4547" s="5"/>
      <c r="J4547" s="6" t="str">
        <f>IFERROR(__xludf.DUMMYFUNCTION("""COMPUTED_VALUE"""),"https://eitaa.com/heyatjavananmayamey")</f>
        <v>https://eitaa.com/heyatjavananmayamey</v>
      </c>
      <c r="K4547" s="5"/>
      <c r="L4547" s="5"/>
      <c r="M4547" s="5"/>
      <c r="N4547" s="5"/>
      <c r="O4547" s="5"/>
      <c r="P4547" s="5"/>
      <c r="Q4547" s="5"/>
      <c r="R4547" s="5"/>
      <c r="S4547" s="5"/>
    </row>
    <row r="4548">
      <c r="A4548" s="5"/>
      <c r="B4548" s="5" t="str">
        <f>IFERROR(__xludf.DUMMYFUNCTION("""COMPUTED_VALUE"""),"هیأت")</f>
        <v>هیأت</v>
      </c>
      <c r="C4548" s="5" t="str">
        <f>IFERROR(__xludf.DUMMYFUNCTION("""COMPUTED_VALUE"""),"بی بی رقیه خاتون")</f>
        <v>بی بی رقیه خاتون</v>
      </c>
      <c r="D4548" s="5" t="str">
        <f>IFERROR(__xludf.DUMMYFUNCTION("""COMPUTED_VALUE"""),"سمنان")</f>
        <v>سمنان</v>
      </c>
      <c r="E4548" s="5" t="str">
        <f>IFERROR(__xludf.DUMMYFUNCTION("""COMPUTED_VALUE"""),"شاهرود")</f>
        <v>شاهرود</v>
      </c>
      <c r="F4548" s="5"/>
      <c r="G4548" s="5"/>
      <c r="H4548" s="5"/>
      <c r="I4548" s="5"/>
      <c r="J4548" s="6" t="str">
        <f>IFERROR(__xludf.DUMMYFUNCTION("""COMPUTED_VALUE"""),"https://eitaa.com/konje_haram313")</f>
        <v>https://eitaa.com/konje_haram313</v>
      </c>
      <c r="K4548" s="5"/>
      <c r="L4548" s="5"/>
      <c r="M4548" s="5"/>
      <c r="N4548" s="5"/>
      <c r="O4548" s="5"/>
      <c r="P4548" s="5"/>
      <c r="Q4548" s="5"/>
      <c r="R4548" s="5"/>
      <c r="S4548" s="5"/>
    </row>
    <row r="4549">
      <c r="A4549" s="5"/>
      <c r="B4549" s="5" t="str">
        <f>IFERROR(__xludf.DUMMYFUNCTION("""COMPUTED_VALUE"""),"هیأت")</f>
        <v>هیأت</v>
      </c>
      <c r="C4549" s="5" t="str">
        <f>IFERROR(__xludf.DUMMYFUNCTION("""COMPUTED_VALUE"""),"الزهرا")</f>
        <v>الزهرا</v>
      </c>
      <c r="D4549" s="5" t="str">
        <f>IFERROR(__xludf.DUMMYFUNCTION("""COMPUTED_VALUE"""),"آمریکا")</f>
        <v>آمریکا</v>
      </c>
      <c r="E4549" s="5" t="str">
        <f>IFERROR(__xludf.DUMMYFUNCTION("""COMPUTED_VALUE"""),"میشیگان")</f>
        <v>میشیگان</v>
      </c>
      <c r="F4549" s="5"/>
      <c r="G4549" s="5"/>
      <c r="H4549" s="6" t="str">
        <f>IFERROR(__xludf.DUMMYFUNCTION("""COMPUTED_VALUE"""),"https://www.instagram.com/heyatulzahra/")</f>
        <v>https://www.instagram.com/heyatulzahra/</v>
      </c>
      <c r="I4549" s="6" t="str">
        <f>IFERROR(__xludf.DUMMYFUNCTION("""COMPUTED_VALUE"""),"https://t.me/heyatulzahra")</f>
        <v>https://t.me/heyatulzahra</v>
      </c>
      <c r="J4549" s="5"/>
      <c r="K4549" s="5"/>
      <c r="L4549" s="5"/>
      <c r="M4549" s="5"/>
      <c r="N4549" s="5"/>
      <c r="O4549" s="5"/>
      <c r="P4549" s="5"/>
      <c r="Q4549" s="5"/>
      <c r="R4549" s="5"/>
      <c r="S4549" s="5"/>
    </row>
    <row r="4550">
      <c r="A4550" s="5"/>
      <c r="B4550" s="5" t="str">
        <f>IFERROR(__xludf.DUMMYFUNCTION("""COMPUTED_VALUE"""),"هیأت")</f>
        <v>هیأت</v>
      </c>
      <c r="C4550" s="5" t="str">
        <f>IFERROR(__xludf.DUMMYFUNCTION("""COMPUTED_VALUE"""),"کربلا")</f>
        <v>کربلا</v>
      </c>
      <c r="D4550" s="5" t="str">
        <f>IFERROR(__xludf.DUMMYFUNCTION("""COMPUTED_VALUE"""),"آمریکا")</f>
        <v>آمریکا</v>
      </c>
      <c r="E4550" s="5" t="str">
        <f>IFERROR(__xludf.DUMMYFUNCTION("""COMPUTED_VALUE"""),"تورنتو")</f>
        <v>تورنتو</v>
      </c>
      <c r="F4550" s="5"/>
      <c r="G4550" s="5"/>
      <c r="H4550" s="6" t="str">
        <f>IFERROR(__xludf.DUMMYFUNCTION("""COMPUTED_VALUE"""),"https://www.instagram.com/karbala.ca/")</f>
        <v>https://www.instagram.com/karbala.ca/</v>
      </c>
      <c r="I4550" s="6" t="str">
        <f>IFERROR(__xludf.DUMMYFUNCTION("""COMPUTED_VALUE"""),"https://t.me/karbalaca")</f>
        <v>https://t.me/karbalaca</v>
      </c>
      <c r="J4550" s="5"/>
      <c r="K4550" s="5"/>
      <c r="L4550" s="6" t="str">
        <f>IFERROR(__xludf.DUMMYFUNCTION("""COMPUTED_VALUE"""),"https://karbalacenter.ca/")</f>
        <v>https://karbalacenter.ca/</v>
      </c>
      <c r="M4550" s="5"/>
      <c r="N4550" s="5" t="str">
        <f>IFERROR(__xludf.DUMMYFUNCTION("""COMPUTED_VALUE"""),"شنبه ها")</f>
        <v>شنبه ها</v>
      </c>
      <c r="O4550" s="5"/>
      <c r="P4550" s="5"/>
      <c r="Q4550" s="5"/>
      <c r="R4550" s="5"/>
      <c r="S4550" s="5"/>
    </row>
    <row r="4551">
      <c r="A4551" s="5"/>
      <c r="B4551" s="5" t="str">
        <f>IFERROR(__xludf.DUMMYFUNCTION("""COMPUTED_VALUE"""),"هیأت")</f>
        <v>هیأت</v>
      </c>
      <c r="C4551" s="5" t="str">
        <f>IFERROR(__xludf.DUMMYFUNCTION("""COMPUTED_VALUE"""),"راية العبّاس")</f>
        <v>راية العبّاس</v>
      </c>
      <c r="D4551" s="5" t="str">
        <f>IFERROR(__xludf.DUMMYFUNCTION("""COMPUTED_VALUE"""),"لبنان")</f>
        <v>لبنان</v>
      </c>
      <c r="E4551" s="5"/>
      <c r="F4551" s="5"/>
      <c r="G4551" s="5"/>
      <c r="H4551" s="6" t="str">
        <f>IFERROR(__xludf.DUMMYFUNCTION("""COMPUTED_VALUE"""),"https://www.instagram.com/hayaatrayat.alabbas/")</f>
        <v>https://www.instagram.com/hayaatrayat.alabbas/</v>
      </c>
      <c r="I4551" s="6" t="str">
        <f>IFERROR(__xludf.DUMMYFUNCTION("""COMPUTED_VALUE"""),"https://t.me/Hayaat_Rayat_Al_Abbas")</f>
        <v>https://t.me/Hayaat_Rayat_Al_Abbas</v>
      </c>
      <c r="J4551" s="5"/>
      <c r="K4551" s="5"/>
      <c r="L4551" s="5"/>
      <c r="M4551" s="5"/>
      <c r="N4551" s="5"/>
      <c r="O4551" s="5"/>
      <c r="P4551" s="5"/>
      <c r="Q4551" s="5"/>
      <c r="R4551" s="5"/>
      <c r="S4551" s="5"/>
    </row>
    <row r="4552">
      <c r="A4552" s="5"/>
      <c r="B4552" s="5" t="str">
        <f>IFERROR(__xludf.DUMMYFUNCTION("""COMPUTED_VALUE"""),"هیأت")</f>
        <v>هیأت</v>
      </c>
      <c r="C4552" s="5" t="str">
        <f>IFERROR(__xludf.DUMMYFUNCTION("""COMPUTED_VALUE"""),"ام البنین")</f>
        <v>ام البنین</v>
      </c>
      <c r="D4552" s="5" t="str">
        <f>IFERROR(__xludf.DUMMYFUNCTION("""COMPUTED_VALUE"""),"عراق")</f>
        <v>عراق</v>
      </c>
      <c r="E4552" s="5" t="str">
        <f>IFERROR(__xludf.DUMMYFUNCTION("""COMPUTED_VALUE"""),"بغداد")</f>
        <v>بغداد</v>
      </c>
      <c r="F4552" s="5"/>
      <c r="G4552" s="5"/>
      <c r="H4552" s="6" t="str">
        <f>IFERROR(__xludf.DUMMYFUNCTION("""COMPUTED_VALUE"""),"https://www.instagram.com/am_albninhia")</f>
        <v>https://www.instagram.com/am_albninhia</v>
      </c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</row>
    <row r="4553">
      <c r="A4553" s="5"/>
      <c r="B4553" s="5" t="str">
        <f>IFERROR(__xludf.DUMMYFUNCTION("""COMPUTED_VALUE"""),"هیأت")</f>
        <v>هیأت</v>
      </c>
      <c r="C4553" s="5" t="str">
        <f>IFERROR(__xludf.DUMMYFUNCTION("""COMPUTED_VALUE"""),"انصارالزهرا")</f>
        <v>انصارالزهرا</v>
      </c>
      <c r="D4553" s="5" t="str">
        <f>IFERROR(__xludf.DUMMYFUNCTION("""COMPUTED_VALUE"""),"عراق")</f>
        <v>عراق</v>
      </c>
      <c r="E4553" s="5" t="str">
        <f>IFERROR(__xludf.DUMMYFUNCTION("""COMPUTED_VALUE"""),"بغداد")</f>
        <v>بغداد</v>
      </c>
      <c r="F4553" s="5"/>
      <c r="G4553" s="5"/>
      <c r="H4553" s="6" t="str">
        <f>IFERROR(__xludf.DUMMYFUNCTION("""COMPUTED_VALUE"""),"https://www.instagram.com/ansaralzahraa")</f>
        <v>https://www.instagram.com/ansaralzahraa</v>
      </c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</row>
    <row r="4554">
      <c r="A4554" s="5"/>
      <c r="B4554" s="5" t="str">
        <f>IFERROR(__xludf.DUMMYFUNCTION("""COMPUTED_VALUE"""),"هیأت")</f>
        <v>هیأت</v>
      </c>
      <c r="C4554" s="5" t="str">
        <f>IFERROR(__xludf.DUMMYFUNCTION("""COMPUTED_VALUE"""),"علی اصغر")</f>
        <v>علی اصغر</v>
      </c>
      <c r="D4554" s="5" t="str">
        <f>IFERROR(__xludf.DUMMYFUNCTION("""COMPUTED_VALUE"""),"عراق")</f>
        <v>عراق</v>
      </c>
      <c r="E4554" s="5" t="str">
        <f>IFERROR(__xludf.DUMMYFUNCTION("""COMPUTED_VALUE"""),"کربلا")</f>
        <v>کربلا</v>
      </c>
      <c r="F4554" s="5"/>
      <c r="G4554" s="5"/>
      <c r="H4554" s="6" t="str">
        <f>IFERROR(__xludf.DUMMYFUNCTION("""COMPUTED_VALUE"""),"https://www.instagram.com/ali_alasghar")</f>
        <v>https://www.instagram.com/ali_alasghar</v>
      </c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</row>
    <row r="4555">
      <c r="A4555" s="5"/>
      <c r="B4555" s="5" t="str">
        <f>IFERROR(__xludf.DUMMYFUNCTION("""COMPUTED_VALUE"""),"مأتم")</f>
        <v>مأتم</v>
      </c>
      <c r="C4555" s="5" t="str">
        <f>IFERROR(__xludf.DUMMYFUNCTION("""COMPUTED_VALUE"""),"العباس (ع)")</f>
        <v>العباس (ع)</v>
      </c>
      <c r="D4555" s="5" t="str">
        <f>IFERROR(__xludf.DUMMYFUNCTION("""COMPUTED_VALUE"""),"عمان")</f>
        <v>عمان</v>
      </c>
      <c r="E4555" s="5" t="str">
        <f>IFERROR(__xludf.DUMMYFUNCTION("""COMPUTED_VALUE"""),"صحار")</f>
        <v>صحار</v>
      </c>
      <c r="F4555" s="5"/>
      <c r="G4555" s="5"/>
      <c r="H4555" s="6" t="str">
        <f>IFERROR(__xludf.DUMMYFUNCTION("""COMPUTED_VALUE"""),"https://www.instagram.com/matam_alabass_sohar/")</f>
        <v>https://www.instagram.com/matam_alabass_sohar/</v>
      </c>
      <c r="I4555" s="5"/>
      <c r="J4555" s="5"/>
      <c r="K4555" s="6" t="str">
        <f>IFERROR(__xludf.DUMMYFUNCTION("""COMPUTED_VALUE"""),"https://www.youtube.com/@matam-alabass-sohar")</f>
        <v>https://www.youtube.com/@matam-alabass-sohar</v>
      </c>
      <c r="L4555" s="5"/>
      <c r="M4555" s="5"/>
      <c r="N4555" s="5"/>
      <c r="O4555" s="5"/>
      <c r="P4555" s="5"/>
      <c r="Q4555" s="5"/>
      <c r="R4555" s="5"/>
      <c r="S4555" s="5"/>
    </row>
    <row r="4556">
      <c r="A4556" s="5"/>
      <c r="B4556" s="5" t="str">
        <f>IFERROR(__xludf.DUMMYFUNCTION("""COMPUTED_VALUE"""),"هیأت")</f>
        <v>هیأت</v>
      </c>
      <c r="C4556" s="5" t="str">
        <f>IFERROR(__xludf.DUMMYFUNCTION("""COMPUTED_VALUE"""),"دار الزهراء سلام الله عليها محفل ابناءالحیدر")</f>
        <v>دار الزهراء سلام الله عليها محفل ابناءالحیدر</v>
      </c>
      <c r="D4556" s="5" t="str">
        <f>IFERROR(__xludf.DUMMYFUNCTION("""COMPUTED_VALUE"""),"لبنان")</f>
        <v>لبنان</v>
      </c>
      <c r="E4556" s="5" t="str">
        <f>IFERROR(__xludf.DUMMYFUNCTION("""COMPUTED_VALUE"""),"بیروت")</f>
        <v>بیروت</v>
      </c>
      <c r="F4556" s="5"/>
      <c r="G4556" s="5"/>
      <c r="H4556" s="6" t="str">
        <f>IFERROR(__xludf.DUMMYFUNCTION("""COMPUTED_VALUE"""),"https://www.instagram.com/dar_alzahraa1444/")</f>
        <v>https://www.instagram.com/dar_alzahraa1444/</v>
      </c>
      <c r="I4556" s="6" t="str">
        <f>IFERROR(__xludf.DUMMYFUNCTION("""COMPUTED_VALUE"""),"https://t.me/daralzahraalb")</f>
        <v>https://t.me/daralzahraalb</v>
      </c>
      <c r="J4556" s="5"/>
      <c r="K4556" s="6" t="str">
        <f>IFERROR(__xludf.DUMMYFUNCTION("""COMPUTED_VALUE"""),"https://www.youtube.com/@dar.al.zahraa")</f>
        <v>https://www.youtube.com/@dar.al.zahraa</v>
      </c>
      <c r="L4556" s="5"/>
      <c r="M4556" s="5"/>
      <c r="N4556" s="5"/>
      <c r="O4556" s="5"/>
      <c r="P4556" s="5"/>
      <c r="Q4556" s="5"/>
      <c r="R4556" s="5"/>
      <c r="S4556" s="5"/>
    </row>
    <row r="4557">
      <c r="A4557" s="5"/>
      <c r="B4557" s="5" t="str">
        <f>IFERROR(__xludf.DUMMYFUNCTION("""COMPUTED_VALUE"""),"موکب")</f>
        <v>موکب</v>
      </c>
      <c r="C4557" s="5" t="str">
        <f>IFERROR(__xludf.DUMMYFUNCTION("""COMPUTED_VALUE"""),"موکب سيدة نساء العالمين (كربلاء المقدسة)")</f>
        <v>موکب سيدة نساء العالمين (كربلاء المقدسة)</v>
      </c>
      <c r="D4557" s="5" t="str">
        <f>IFERROR(__xludf.DUMMYFUNCTION("""COMPUTED_VALUE"""),"عراق")</f>
        <v>عراق</v>
      </c>
      <c r="E4557" s="5" t="str">
        <f>IFERROR(__xludf.DUMMYFUNCTION("""COMPUTED_VALUE"""),"کربلا.")</f>
        <v>کربلا.</v>
      </c>
      <c r="F4557" s="5"/>
      <c r="G4557" s="5"/>
      <c r="H4557" s="6" t="str">
        <f>IFERROR(__xludf.DUMMYFUNCTION("""COMPUTED_VALUE"""),"https://www.instagram.com/seyedatonnesa")</f>
        <v>https://www.instagram.com/seyedatonnesa</v>
      </c>
      <c r="I4557" s="5"/>
      <c r="J4557" s="6" t="str">
        <f>IFERROR(__xludf.DUMMYFUNCTION("""COMPUTED_VALUE"""),"https://eitaa.com/seyedatonnesaa")</f>
        <v>https://eitaa.com/seyedatonnesaa</v>
      </c>
      <c r="K4557" s="5"/>
      <c r="L4557" s="5"/>
      <c r="M4557" s="5"/>
      <c r="N4557" s="5"/>
      <c r="O4557" s="5"/>
      <c r="P4557" s="5"/>
      <c r="Q4557" s="5"/>
      <c r="R4557" s="5"/>
      <c r="S4557" s="5"/>
    </row>
    <row r="4558">
      <c r="A4558" s="5"/>
      <c r="B4558" s="5" t="str">
        <f>IFERROR(__xludf.DUMMYFUNCTION("""COMPUTED_VALUE"""),"هیأت")</f>
        <v>هیأت</v>
      </c>
      <c r="C4558" s="5" t="str">
        <f>IFERROR(__xludf.DUMMYFUNCTION("""COMPUTED_VALUE"""),"روضة الحسین")</f>
        <v>روضة الحسین</v>
      </c>
      <c r="D4558" s="5" t="str">
        <f>IFERROR(__xludf.DUMMYFUNCTION("""COMPUTED_VALUE"""),"سیستان و بلوچستان")</f>
        <v>سیستان و بلوچستان</v>
      </c>
      <c r="E4558" s="5"/>
      <c r="F4558" s="5"/>
      <c r="G4558" s="5"/>
      <c r="H4558" s="6" t="str">
        <f>IFERROR(__xludf.DUMMYFUNCTION("""COMPUTED_VALUE"""),"https://www.instagram.com/rozatol_hoseyn_313/")</f>
        <v>https://www.instagram.com/rozatol_hoseyn_313/</v>
      </c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</row>
    <row r="4559">
      <c r="A4559" s="5">
        <f>IFERROR(__xludf.DUMMYFUNCTION("""COMPUTED_VALUE"""),32527.0)</f>
        <v>32527</v>
      </c>
      <c r="B4559" s="5" t="str">
        <f>IFERROR(__xludf.DUMMYFUNCTION("""COMPUTED_VALUE"""),"هیأت")</f>
        <v>هیأت</v>
      </c>
      <c r="C4559" s="5" t="str">
        <f>IFERROR(__xludf.DUMMYFUNCTION("""COMPUTED_VALUE"""),"علمدار")</f>
        <v>علمدار</v>
      </c>
      <c r="D4559" s="5" t="str">
        <f>IFERROR(__xludf.DUMMYFUNCTION("""COMPUTED_VALUE"""),"سیستان و بلوچستان")</f>
        <v>سیستان و بلوچستان</v>
      </c>
      <c r="E4559" s="5"/>
      <c r="F4559" s="5"/>
      <c r="G4559" s="5"/>
      <c r="H4559" s="6" t="str">
        <f>IFERROR(__xludf.DUMMYFUNCTION("""COMPUTED_VALUE"""),"https://www.instagram.com/alamdar.sistan/")</f>
        <v>https://www.instagram.com/alamdar.sistan/</v>
      </c>
      <c r="I4559" s="6" t="str">
        <f>IFERROR(__xludf.DUMMYFUNCTION("""COMPUTED_VALUE"""),"t.me/alamdarsistan")</f>
        <v>t.me/alamdarsistan</v>
      </c>
      <c r="J4559" s="5"/>
      <c r="K4559" s="5"/>
      <c r="L4559" s="5"/>
      <c r="M4559" s="5"/>
      <c r="N4559" s="5"/>
      <c r="O4559" s="5"/>
      <c r="P4559" s="5"/>
      <c r="Q4559" s="5"/>
      <c r="R4559" s="5"/>
      <c r="S4559" s="5"/>
    </row>
    <row r="4560">
      <c r="A4560" s="5">
        <f>IFERROR(__xludf.DUMMYFUNCTION("""COMPUTED_VALUE"""),32523.0)</f>
        <v>32523</v>
      </c>
      <c r="B4560" s="5" t="str">
        <f>IFERROR(__xludf.DUMMYFUNCTION("""COMPUTED_VALUE"""),"هیأت")</f>
        <v>هیأت</v>
      </c>
      <c r="C4560" s="5" t="str">
        <f>IFERROR(__xludf.DUMMYFUNCTION("""COMPUTED_VALUE"""),"آل یاسین")</f>
        <v>آل یاسین</v>
      </c>
      <c r="D4560" s="5" t="str">
        <f>IFERROR(__xludf.DUMMYFUNCTION("""COMPUTED_VALUE"""),"سیستان و بلوچستان")</f>
        <v>سیستان و بلوچستان</v>
      </c>
      <c r="E4560" s="5"/>
      <c r="F4560" s="5"/>
      <c r="G4560" s="5"/>
      <c r="H4560" s="6" t="str">
        <f>IFERROR(__xludf.DUMMYFUNCTION("""COMPUTED_VALUE"""),"https://www.instagram.com/aleyaseen.ir/")</f>
        <v>https://www.instagram.com/aleyaseen.ir/</v>
      </c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</row>
    <row r="4561">
      <c r="A4561" s="5">
        <f>IFERROR(__xludf.DUMMYFUNCTION("""COMPUTED_VALUE"""),32522.0)</f>
        <v>32522</v>
      </c>
      <c r="B4561" s="5" t="str">
        <f>IFERROR(__xludf.DUMMYFUNCTION("""COMPUTED_VALUE"""),"هیأت")</f>
        <v>هیأت</v>
      </c>
      <c r="C4561" s="5" t="str">
        <f>IFERROR(__xludf.DUMMYFUNCTION("""COMPUTED_VALUE"""),"باب الحوائچ")</f>
        <v>باب الحوائچ</v>
      </c>
      <c r="D4561" s="5" t="str">
        <f>IFERROR(__xludf.DUMMYFUNCTION("""COMPUTED_VALUE"""),"سیستان و بلوچستان")</f>
        <v>سیستان و بلوچستان</v>
      </c>
      <c r="E4561" s="5"/>
      <c r="F4561" s="5"/>
      <c r="G4561" s="5"/>
      <c r="H4561" s="6" t="str">
        <f>IFERROR(__xludf.DUMMYFUNCTION("""COMPUTED_VALUE"""),"https://www.instagram.com/hoseinieh.babol.havayej/")</f>
        <v>https://www.instagram.com/hoseinieh.babol.havayej/</v>
      </c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</row>
    <row r="4562">
      <c r="A4562" s="5">
        <f>IFERROR(__xludf.DUMMYFUNCTION("""COMPUTED_VALUE"""),32521.0)</f>
        <v>32521</v>
      </c>
      <c r="B4562" s="5" t="str">
        <f>IFERROR(__xludf.DUMMYFUNCTION("""COMPUTED_VALUE"""),"هیأت")</f>
        <v>هیأت</v>
      </c>
      <c r="C4562" s="5" t="str">
        <f>IFERROR(__xludf.DUMMYFUNCTION("""COMPUTED_VALUE"""),"ابوالفضل علیه السلام")</f>
        <v>ابوالفضل علیه السلام</v>
      </c>
      <c r="D4562" s="5" t="str">
        <f>IFERROR(__xludf.DUMMYFUNCTION("""COMPUTED_VALUE"""),"سیستان و بلوچستان")</f>
        <v>سیستان و بلوچستان</v>
      </c>
      <c r="E4562" s="5"/>
      <c r="F4562" s="5"/>
      <c r="G4562" s="5"/>
      <c r="H4562" s="6" t="str">
        <f>IFERROR(__xludf.DUMMYFUNCTION("""COMPUTED_VALUE"""),"https://www.instagram.com/m_asheghaneabalfazl/")</f>
        <v>https://www.instagram.com/m_asheghaneabalfazl/</v>
      </c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</row>
    <row r="4563">
      <c r="A4563" s="5">
        <f>IFERROR(__xludf.DUMMYFUNCTION("""COMPUTED_VALUE"""),32520.0)</f>
        <v>32520</v>
      </c>
      <c r="B4563" s="5" t="str">
        <f>IFERROR(__xludf.DUMMYFUNCTION("""COMPUTED_VALUE"""),"هیأت")</f>
        <v>هیأت</v>
      </c>
      <c r="C4563" s="5" t="str">
        <f>IFERROR(__xludf.DUMMYFUNCTION("""COMPUTED_VALUE"""),"قمر بنی هاشم")</f>
        <v>قمر بنی هاشم</v>
      </c>
      <c r="D4563" s="5" t="str">
        <f>IFERROR(__xludf.DUMMYFUNCTION("""COMPUTED_VALUE"""),"سیستان و بلوچستان")</f>
        <v>سیستان و بلوچستان</v>
      </c>
      <c r="E4563" s="5" t="str">
        <f>IFERROR(__xludf.DUMMYFUNCTION("""COMPUTED_VALUE"""),"زابل")</f>
        <v>زابل</v>
      </c>
      <c r="F4563" s="5"/>
      <c r="G4563" s="5"/>
      <c r="H4563" s="6" t="str">
        <f>IFERROR(__xludf.DUMMYFUNCTION("""COMPUTED_VALUE"""),"https://www.instagram.com/q_banihashem_sistan/")</f>
        <v>https://www.instagram.com/q_banihashem_sistan/</v>
      </c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</row>
    <row r="4564">
      <c r="A4564" s="5"/>
      <c r="B4564" s="5" t="str">
        <f>IFERROR(__xludf.DUMMYFUNCTION("""COMPUTED_VALUE"""),"هیأت")</f>
        <v>هیأت</v>
      </c>
      <c r="C4564" s="5" t="str">
        <f>IFERROR(__xludf.DUMMYFUNCTION("""COMPUTED_VALUE"""),"محبان حضرت زهرا سلام الله علیها")</f>
        <v>محبان حضرت زهرا سلام الله علیها</v>
      </c>
      <c r="D4564" s="5" t="str">
        <f>IFERROR(__xludf.DUMMYFUNCTION("""COMPUTED_VALUE"""),"سیستان و بلوچستان")</f>
        <v>سیستان و بلوچستان</v>
      </c>
      <c r="E4564" s="5" t="str">
        <f>IFERROR(__xludf.DUMMYFUNCTION("""COMPUTED_VALUE"""),"زاهدان")</f>
        <v>زاهدان</v>
      </c>
      <c r="F4564" s="5"/>
      <c r="G4564" s="5"/>
      <c r="H4564" s="6" t="str">
        <f>IFERROR(__xludf.DUMMYFUNCTION("""COMPUTED_VALUE"""),"https://www.instagram.com/bakin_ir/")</f>
        <v>https://www.instagram.com/bakin_ir/</v>
      </c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</row>
    <row r="4565">
      <c r="A4565" s="5">
        <f>IFERROR(__xludf.DUMMYFUNCTION("""COMPUTED_VALUE"""),32518.0)</f>
        <v>32518</v>
      </c>
      <c r="B4565" s="5" t="str">
        <f>IFERROR(__xludf.DUMMYFUNCTION("""COMPUTED_VALUE"""),"هیأت")</f>
        <v>هیأت</v>
      </c>
      <c r="C4565" s="5" t="str">
        <f>IFERROR(__xludf.DUMMYFUNCTION("""COMPUTED_VALUE"""),"عشاق الرضا علیه السلام")</f>
        <v>عشاق الرضا علیه السلام</v>
      </c>
      <c r="D4565" s="5" t="str">
        <f>IFERROR(__xludf.DUMMYFUNCTION("""COMPUTED_VALUE"""),"سیستان و بلوچستان")</f>
        <v>سیستان و بلوچستان</v>
      </c>
      <c r="E4565" s="5" t="str">
        <f>IFERROR(__xludf.DUMMYFUNCTION("""COMPUTED_VALUE"""),"زاهدان")</f>
        <v>زاهدان</v>
      </c>
      <c r="F4565" s="5"/>
      <c r="G4565" s="5"/>
      <c r="H4565" s="6" t="str">
        <f>IFERROR(__xludf.DUMMYFUNCTION("""COMPUTED_VALUE"""),"https://www.instagram.com/osh.aghreza/")</f>
        <v>https://www.instagram.com/osh.aghreza/</v>
      </c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</row>
    <row r="4566">
      <c r="A4566" s="5">
        <f>IFERROR(__xludf.DUMMYFUNCTION("""COMPUTED_VALUE"""),32517.0)</f>
        <v>32517</v>
      </c>
      <c r="B4566" s="5" t="str">
        <f>IFERROR(__xludf.DUMMYFUNCTION("""COMPUTED_VALUE"""),"هیأت")</f>
        <v>هیأت</v>
      </c>
      <c r="C4566" s="5" t="str">
        <f>IFERROR(__xludf.DUMMYFUNCTION("""COMPUTED_VALUE"""),"کوچه به کوچه با سیدالشهدا علیه السلام")</f>
        <v>کوچه به کوچه با سیدالشهدا علیه السلام</v>
      </c>
      <c r="D4566" s="5" t="str">
        <f>IFERROR(__xludf.DUMMYFUNCTION("""COMPUTED_VALUE"""),"سیستان و بلوچستان")</f>
        <v>سیستان و بلوچستان</v>
      </c>
      <c r="E4566" s="5" t="str">
        <f>IFERROR(__xludf.DUMMYFUNCTION("""COMPUTED_VALUE"""),"زاهدان")</f>
        <v>زاهدان</v>
      </c>
      <c r="F4566" s="5"/>
      <c r="G4566" s="5"/>
      <c r="H4566" s="6" t="str">
        <f>IFERROR(__xludf.DUMMYFUNCTION("""COMPUTED_VALUE"""),"https://www.instagram.com/seyedoshohada_sb/")</f>
        <v>https://www.instagram.com/seyedoshohada_sb/</v>
      </c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</row>
    <row r="4567">
      <c r="A4567" s="5">
        <f>IFERROR(__xludf.DUMMYFUNCTION("""COMPUTED_VALUE"""),32504.0)</f>
        <v>32504</v>
      </c>
      <c r="B4567" s="5" t="str">
        <f>IFERROR(__xludf.DUMMYFUNCTION("""COMPUTED_VALUE"""),"هیأت")</f>
        <v>هیأت</v>
      </c>
      <c r="C4567" s="5" t="str">
        <f>IFERROR(__xludf.DUMMYFUNCTION("""COMPUTED_VALUE"""),"حسینیه حضرت علی و فاطمه علیهم السلام زاهدان")</f>
        <v>حسینیه حضرت علی و فاطمه علیهم السلام زاهدان</v>
      </c>
      <c r="D4567" s="5" t="str">
        <f>IFERROR(__xludf.DUMMYFUNCTION("""COMPUTED_VALUE"""),"سیستان و بلوچستان")</f>
        <v>سیستان و بلوچستان</v>
      </c>
      <c r="E4567" s="5" t="str">
        <f>IFERROR(__xludf.DUMMYFUNCTION("""COMPUTED_VALUE"""),"زاهدان")</f>
        <v>زاهدان</v>
      </c>
      <c r="F4567" s="5"/>
      <c r="G4567" s="5"/>
      <c r="H4567" s="6" t="str">
        <f>IFERROR(__xludf.DUMMYFUNCTION("""COMPUTED_VALUE"""),"https://www.instagram.com/khane_ali.fatemeh_zahedan/")</f>
        <v>https://www.instagram.com/khane_ali.fatemeh_zahedan/</v>
      </c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</row>
    <row r="4568">
      <c r="A4568" s="5">
        <f>IFERROR(__xludf.DUMMYFUNCTION("""COMPUTED_VALUE"""),20845.0)</f>
        <v>20845</v>
      </c>
      <c r="B4568" s="5" t="str">
        <f>IFERROR(__xludf.DUMMYFUNCTION("""COMPUTED_VALUE"""),"هیأت")</f>
        <v>هیأت</v>
      </c>
      <c r="C4568" s="5" t="str">
        <f>IFERROR(__xludf.DUMMYFUNCTION("""COMPUTED_VALUE"""),"لواء الزینب (س)")</f>
        <v>لواء الزینب (س)</v>
      </c>
      <c r="D4568" s="5" t="str">
        <f>IFERROR(__xludf.DUMMYFUNCTION("""COMPUTED_VALUE"""),"سیستان و بلوچستان")</f>
        <v>سیستان و بلوچستان</v>
      </c>
      <c r="E4568" s="5" t="str">
        <f>IFERROR(__xludf.DUMMYFUNCTION("""COMPUTED_VALUE"""),"زاهدان")</f>
        <v>زاهدان</v>
      </c>
      <c r="F4568" s="5"/>
      <c r="G4568" s="5"/>
      <c r="H4568" s="6" t="str">
        <f>IFERROR(__xludf.DUMMYFUNCTION("""COMPUTED_VALUE"""),"https://www.instagram.com/levau.zeynab.zahedan/")</f>
        <v>https://www.instagram.com/levau.zeynab.zahedan/</v>
      </c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</row>
    <row r="4569">
      <c r="A4569" s="5">
        <f>IFERROR(__xludf.DUMMYFUNCTION("""COMPUTED_VALUE"""),20842.0)</f>
        <v>20842</v>
      </c>
      <c r="B4569" s="5" t="str">
        <f>IFERROR(__xludf.DUMMYFUNCTION("""COMPUTED_VALUE"""),"هیأت")</f>
        <v>هیأت</v>
      </c>
      <c r="C4569" s="5" t="str">
        <f>IFERROR(__xludf.DUMMYFUNCTION("""COMPUTED_VALUE"""),"حضرت علی اصغر (ع)")</f>
        <v>حضرت علی اصغر (ع)</v>
      </c>
      <c r="D4569" s="5" t="str">
        <f>IFERROR(__xludf.DUMMYFUNCTION("""COMPUTED_VALUE"""),"سیستان و بلوچستان")</f>
        <v>سیستان و بلوچستان</v>
      </c>
      <c r="E4569" s="5" t="str">
        <f>IFERROR(__xludf.DUMMYFUNCTION("""COMPUTED_VALUE"""),"زاهدان")</f>
        <v>زاهدان</v>
      </c>
      <c r="F4569" s="5"/>
      <c r="G4569" s="5"/>
      <c r="H4569" s="5"/>
      <c r="I4569" s="5"/>
      <c r="J4569" s="6" t="str">
        <f>IFERROR(__xludf.DUMMYFUNCTION("""COMPUTED_VALUE"""),"https://eitaa.com/hoseiniealiasgharzahedan")</f>
        <v>https://eitaa.com/hoseiniealiasgharzahedan</v>
      </c>
      <c r="K4569" s="5"/>
      <c r="L4569" s="5"/>
      <c r="M4569" s="5"/>
      <c r="N4569" s="5"/>
      <c r="O4569" s="5"/>
      <c r="P4569" s="5"/>
      <c r="Q4569" s="5"/>
      <c r="R4569" s="5"/>
      <c r="S4569" s="5"/>
    </row>
    <row r="4570">
      <c r="A4570" s="5">
        <f>IFERROR(__xludf.DUMMYFUNCTION("""COMPUTED_VALUE"""),20840.0)</f>
        <v>20840</v>
      </c>
      <c r="B4570" s="5" t="str">
        <f>IFERROR(__xludf.DUMMYFUNCTION("""COMPUTED_VALUE"""),"هیأت")</f>
        <v>هیأت</v>
      </c>
      <c r="C4570" s="5" t="str">
        <f>IFERROR(__xludf.DUMMYFUNCTION("""COMPUTED_VALUE"""),"خادمین حضرت رقیه(س)")</f>
        <v>خادمین حضرت رقیه(س)</v>
      </c>
      <c r="D4570" s="5" t="str">
        <f>IFERROR(__xludf.DUMMYFUNCTION("""COMPUTED_VALUE"""),"سیستان و بلوچستان")</f>
        <v>سیستان و بلوچستان</v>
      </c>
      <c r="E4570" s="5" t="str">
        <f>IFERROR(__xludf.DUMMYFUNCTION("""COMPUTED_VALUE"""),"زاهدان")</f>
        <v>زاهدان</v>
      </c>
      <c r="F4570" s="5"/>
      <c r="G4570" s="5"/>
      <c r="H4570" s="6" t="str">
        <f>IFERROR(__xludf.DUMMYFUNCTION("""COMPUTED_VALUE"""),"https://www.instagram.com/khadem_alroqayeh/")</f>
        <v>https://www.instagram.com/khadem_alroqayeh/</v>
      </c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</row>
    <row r="4571">
      <c r="A4571" s="5">
        <f>IFERROR(__xludf.DUMMYFUNCTION("""COMPUTED_VALUE"""),20839.0)</f>
        <v>20839</v>
      </c>
      <c r="B4571" s="5" t="str">
        <f>IFERROR(__xludf.DUMMYFUNCTION("""COMPUTED_VALUE"""),"هیأت")</f>
        <v>هیأت</v>
      </c>
      <c r="C4571" s="5" t="str">
        <f>IFERROR(__xludf.DUMMYFUNCTION("""COMPUTED_VALUE"""),"میثاق با شهدا")</f>
        <v>میثاق با شهدا</v>
      </c>
      <c r="D4571" s="5" t="str">
        <f>IFERROR(__xludf.DUMMYFUNCTION("""COMPUTED_VALUE"""),"سیستان و بلوچستان")</f>
        <v>سیستان و بلوچستان</v>
      </c>
      <c r="E4571" s="5" t="str">
        <f>IFERROR(__xludf.DUMMYFUNCTION("""COMPUTED_VALUE"""),"زاهدان")</f>
        <v>زاهدان</v>
      </c>
      <c r="F4571" s="5"/>
      <c r="G4571" s="5"/>
      <c r="H4571" s="5"/>
      <c r="I4571" s="5"/>
      <c r="J4571" s="6" t="str">
        <f>IFERROR(__xludf.DUMMYFUNCTION("""COMPUTED_VALUE"""),"https://eitaa.com/misaq_ba_shohada")</f>
        <v>https://eitaa.com/misaq_ba_shohada</v>
      </c>
      <c r="K4571" s="5"/>
      <c r="L4571" s="5"/>
      <c r="M4571" s="5"/>
      <c r="N4571" s="5"/>
      <c r="O4571" s="5"/>
      <c r="P4571" s="5"/>
      <c r="Q4571" s="5"/>
      <c r="R4571" s="5"/>
      <c r="S4571" s="5"/>
    </row>
    <row r="4572">
      <c r="A4572" s="5">
        <f>IFERROR(__xludf.DUMMYFUNCTION("""COMPUTED_VALUE"""),20838.0)</f>
        <v>20838</v>
      </c>
      <c r="B4572" s="5" t="str">
        <f>IFERROR(__xludf.DUMMYFUNCTION("""COMPUTED_VALUE"""),"هیأت")</f>
        <v>هیأت</v>
      </c>
      <c r="C4572" s="5" t="str">
        <f>IFERROR(__xludf.DUMMYFUNCTION("""COMPUTED_VALUE"""),"ریحانه الحسین (ع)")</f>
        <v>ریحانه الحسین (ع)</v>
      </c>
      <c r="D4572" s="5" t="str">
        <f>IFERROR(__xludf.DUMMYFUNCTION("""COMPUTED_VALUE"""),"سیستان و بلوچستان")</f>
        <v>سیستان و بلوچستان</v>
      </c>
      <c r="E4572" s="5" t="str">
        <f>IFERROR(__xludf.DUMMYFUNCTION("""COMPUTED_VALUE"""),"زاهدان")</f>
        <v>زاهدان</v>
      </c>
      <c r="F4572" s="5"/>
      <c r="G4572" s="5"/>
      <c r="H4572" s="6" t="str">
        <f>IFERROR(__xludf.DUMMYFUNCTION("""COMPUTED_VALUE"""),"https://www.instagram.com/reyhaneh_al_hossein_315/")</f>
        <v>https://www.instagram.com/reyhaneh_al_hossein_315/</v>
      </c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</row>
    <row r="4573">
      <c r="A4573" s="5">
        <f>IFERROR(__xludf.DUMMYFUNCTION("""COMPUTED_VALUE"""),20837.0)</f>
        <v>20837</v>
      </c>
      <c r="B4573" s="5" t="str">
        <f>IFERROR(__xludf.DUMMYFUNCTION("""COMPUTED_VALUE"""),"هیأت")</f>
        <v>هیأت</v>
      </c>
      <c r="C4573" s="5" t="str">
        <f>IFERROR(__xludf.DUMMYFUNCTION("""COMPUTED_VALUE"""),"محبان حضرت زهرا(س)")</f>
        <v>محبان حضرت زهرا(س)</v>
      </c>
      <c r="D4573" s="5" t="str">
        <f>IFERROR(__xludf.DUMMYFUNCTION("""COMPUTED_VALUE"""),"سیستان و بلوچستان")</f>
        <v>سیستان و بلوچستان</v>
      </c>
      <c r="E4573" s="5" t="str">
        <f>IFERROR(__xludf.DUMMYFUNCTION("""COMPUTED_VALUE"""),"زاهدان")</f>
        <v>زاهدان</v>
      </c>
      <c r="F4573" s="5"/>
      <c r="G4573" s="5"/>
      <c r="H4573" s="6" t="str">
        <f>IFERROR(__xludf.DUMMYFUNCTION("""COMPUTED_VALUE"""),"https://www.instagram.com/bakin_ir/")</f>
        <v>https://www.instagram.com/bakin_ir/</v>
      </c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</row>
    <row r="4574">
      <c r="A4574" s="5">
        <f>IFERROR(__xludf.DUMMYFUNCTION("""COMPUTED_VALUE"""),19139.0)</f>
        <v>19139</v>
      </c>
      <c r="B4574" s="5" t="str">
        <f>IFERROR(__xludf.DUMMYFUNCTION("""COMPUTED_VALUE"""),"هیأت")</f>
        <v>هیأت</v>
      </c>
      <c r="C4574" s="5" t="str">
        <f>IFERROR(__xludf.DUMMYFUNCTION("""COMPUTED_VALUE"""),"انصارالمهدی (عج) مسجد حضرت علی(ع)")</f>
        <v>انصارالمهدی (عج) مسجد حضرت علی(ع)</v>
      </c>
      <c r="D4574" s="5" t="str">
        <f>IFERROR(__xludf.DUMMYFUNCTION("""COMPUTED_VALUE"""),"سیستان و بلوچستان")</f>
        <v>سیستان و بلوچستان</v>
      </c>
      <c r="E4574" s="5" t="str">
        <f>IFERROR(__xludf.DUMMYFUNCTION("""COMPUTED_VALUE"""),"زاهدان")</f>
        <v>زاهدان</v>
      </c>
      <c r="F4574" s="5"/>
      <c r="G4574" s="5"/>
      <c r="H4574" s="6" t="str">
        <f>IFERROR(__xludf.DUMMYFUNCTION("""COMPUTED_VALUE"""),"https://www.instagram.com/h_ansar_zahedan/")</f>
        <v>https://www.instagram.com/h_ansar_zahedan/</v>
      </c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</row>
    <row r="4575">
      <c r="A4575" s="5">
        <f>IFERROR(__xludf.DUMMYFUNCTION("""COMPUTED_VALUE"""),9382.0)</f>
        <v>9382</v>
      </c>
      <c r="B4575" s="5" t="str">
        <f>IFERROR(__xludf.DUMMYFUNCTION("""COMPUTED_VALUE"""),"هیأت")</f>
        <v>هیأت</v>
      </c>
      <c r="C4575" s="5" t="str">
        <f>IFERROR(__xludf.DUMMYFUNCTION("""COMPUTED_VALUE"""),"بیت الرقیه (س)")</f>
        <v>بیت الرقیه (س)</v>
      </c>
      <c r="D4575" s="5" t="str">
        <f>IFERROR(__xludf.DUMMYFUNCTION("""COMPUTED_VALUE"""),"سیستان و بلوچستان")</f>
        <v>سیستان و بلوچستان</v>
      </c>
      <c r="E4575" s="5" t="str">
        <f>IFERROR(__xludf.DUMMYFUNCTION("""COMPUTED_VALUE"""),"زاهدان")</f>
        <v>زاهدان</v>
      </c>
      <c r="F4575" s="5"/>
      <c r="G4575" s="5"/>
      <c r="H4575" s="6" t="str">
        <f>IFERROR(__xludf.DUMMYFUNCTION("""COMPUTED_VALUE"""),"https://www.instagram.com/beytolroghaye.zahedan/")</f>
        <v>https://www.instagram.com/beytolroghaye.zahedan/</v>
      </c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</row>
    <row r="4576">
      <c r="A4576" s="5">
        <f>IFERROR(__xludf.DUMMYFUNCTION("""COMPUTED_VALUE"""),9373.0)</f>
        <v>9373</v>
      </c>
      <c r="B4576" s="5" t="str">
        <f>IFERROR(__xludf.DUMMYFUNCTION("""COMPUTED_VALUE"""),"هیأت")</f>
        <v>هیأت</v>
      </c>
      <c r="C4576" s="5" t="str">
        <f>IFERROR(__xludf.DUMMYFUNCTION("""COMPUTED_VALUE"""),"انصارالرضا (ع)")</f>
        <v>انصارالرضا (ع)</v>
      </c>
      <c r="D4576" s="5" t="str">
        <f>IFERROR(__xludf.DUMMYFUNCTION("""COMPUTED_VALUE"""),"سیستان و بلوچستان")</f>
        <v>سیستان و بلوچستان</v>
      </c>
      <c r="E4576" s="5" t="str">
        <f>IFERROR(__xludf.DUMMYFUNCTION("""COMPUTED_VALUE"""),"زاهدان")</f>
        <v>زاهدان</v>
      </c>
      <c r="F4576" s="5"/>
      <c r="G4576" s="5"/>
      <c r="H4576" s="5"/>
      <c r="I4576" s="5"/>
      <c r="J4576" s="6" t="str">
        <f>IFERROR(__xludf.DUMMYFUNCTION("""COMPUTED_VALUE"""),"https://eitaa.com/ansarreza_zahedan")</f>
        <v>https://eitaa.com/ansarreza_zahedan</v>
      </c>
      <c r="K4576" s="5"/>
      <c r="L4576" s="5"/>
      <c r="M4576" s="5"/>
      <c r="N4576" s="5"/>
      <c r="O4576" s="5"/>
      <c r="P4576" s="5"/>
      <c r="Q4576" s="5"/>
      <c r="R4576" s="5"/>
      <c r="S4576" s="5"/>
    </row>
    <row r="4577">
      <c r="A4577" s="5">
        <f>IFERROR(__xludf.DUMMYFUNCTION("""COMPUTED_VALUE"""),9356.0)</f>
        <v>9356</v>
      </c>
      <c r="B4577" s="5" t="str">
        <f>IFERROR(__xludf.DUMMYFUNCTION("""COMPUTED_VALUE"""),"هیأت")</f>
        <v>هیأت</v>
      </c>
      <c r="C4577" s="5" t="str">
        <f>IFERROR(__xludf.DUMMYFUNCTION("""COMPUTED_VALUE"""),"بیت العباس (ع)")</f>
        <v>بیت العباس (ع)</v>
      </c>
      <c r="D4577" s="5" t="str">
        <f>IFERROR(__xludf.DUMMYFUNCTION("""COMPUTED_VALUE"""),"سیستان و بلوچستان")</f>
        <v>سیستان و بلوچستان</v>
      </c>
      <c r="E4577" s="5" t="str">
        <f>IFERROR(__xludf.DUMMYFUNCTION("""COMPUTED_VALUE"""),"زاهدان")</f>
        <v>زاهدان</v>
      </c>
      <c r="F4577" s="5"/>
      <c r="G4577" s="5"/>
      <c r="H4577" s="6" t="str">
        <f>IFERROR(__xludf.DUMMYFUNCTION("""COMPUTED_VALUE"""),"https://www.instagram.com/beytolabbas_zahedan/")</f>
        <v>https://www.instagram.com/beytolabbas_zahedan/</v>
      </c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</row>
    <row r="4578">
      <c r="A4578" s="5">
        <f>IFERROR(__xludf.DUMMYFUNCTION("""COMPUTED_VALUE"""),9325.0)</f>
        <v>9325</v>
      </c>
      <c r="B4578" s="5" t="str">
        <f>IFERROR(__xludf.DUMMYFUNCTION("""COMPUTED_VALUE"""),"هیأت")</f>
        <v>هیأت</v>
      </c>
      <c r="C4578" s="5" t="str">
        <f>IFERROR(__xludf.DUMMYFUNCTION("""COMPUTED_VALUE"""),"بیت الحیدر (ع)")</f>
        <v>بیت الحیدر (ع)</v>
      </c>
      <c r="D4578" s="5" t="str">
        <f>IFERROR(__xludf.DUMMYFUNCTION("""COMPUTED_VALUE"""),"سیستان و بلوچستان")</f>
        <v>سیستان و بلوچستان</v>
      </c>
      <c r="E4578" s="5" t="str">
        <f>IFERROR(__xludf.DUMMYFUNCTION("""COMPUTED_VALUE"""),"زاهدان")</f>
        <v>زاهدان</v>
      </c>
      <c r="F4578" s="5"/>
      <c r="G4578" s="5"/>
      <c r="H4578" s="6" t="str">
        <f>IFERROR(__xludf.DUMMYFUNCTION("""COMPUTED_VALUE"""),"https://www.instagram.com/beytolheydar_zahedan")</f>
        <v>https://www.instagram.com/beytolheydar_zahedan</v>
      </c>
      <c r="I4578" s="5"/>
      <c r="J4578" s="6" t="str">
        <f>IFERROR(__xludf.DUMMYFUNCTION("""COMPUTED_VALUE"""),"https://eitaa.com/beytolheydar_zahedan")</f>
        <v>https://eitaa.com/beytolheydar_zahedan</v>
      </c>
      <c r="K4578" s="5"/>
      <c r="L4578" s="5"/>
      <c r="M4578" s="5"/>
      <c r="N4578" s="5"/>
      <c r="O4578" s="5"/>
      <c r="P4578" s="5"/>
      <c r="Q4578" s="5"/>
      <c r="R4578" s="5"/>
      <c r="S4578" s="5"/>
    </row>
    <row r="4579">
      <c r="A4579" s="5">
        <f>IFERROR(__xludf.DUMMYFUNCTION("""COMPUTED_VALUE"""),9316.0)</f>
        <v>9316</v>
      </c>
      <c r="B4579" s="5" t="str">
        <f>IFERROR(__xludf.DUMMYFUNCTION("""COMPUTED_VALUE"""),"هیأت")</f>
        <v>هیأت</v>
      </c>
      <c r="C4579" s="5" t="str">
        <f>IFERROR(__xludf.DUMMYFUNCTION("""COMPUTED_VALUE"""),"اصحاب الشهدا")</f>
        <v>اصحاب الشهدا</v>
      </c>
      <c r="D4579" s="5" t="str">
        <f>IFERROR(__xludf.DUMMYFUNCTION("""COMPUTED_VALUE"""),"سیستان و بلوچستان")</f>
        <v>سیستان و بلوچستان</v>
      </c>
      <c r="E4579" s="5" t="str">
        <f>IFERROR(__xludf.DUMMYFUNCTION("""COMPUTED_VALUE"""),"زاهدان")</f>
        <v>زاهدان</v>
      </c>
      <c r="F4579" s="5"/>
      <c r="G4579" s="5"/>
      <c r="H4579" s="5"/>
      <c r="I4579" s="5"/>
      <c r="J4579" s="6" t="str">
        <f>IFERROR(__xludf.DUMMYFUNCTION("""COMPUTED_VALUE"""),"https://eitaa.com/ashaboshohada_sb")</f>
        <v>https://eitaa.com/ashaboshohada_sb</v>
      </c>
      <c r="K4579" s="5"/>
      <c r="L4579" s="5"/>
      <c r="M4579" s="5"/>
      <c r="N4579" s="5"/>
      <c r="O4579" s="5"/>
      <c r="P4579" s="5"/>
      <c r="Q4579" s="5"/>
      <c r="R4579" s="5"/>
      <c r="S4579" s="5"/>
    </row>
    <row r="4580">
      <c r="A4580" s="5">
        <f>IFERROR(__xludf.DUMMYFUNCTION("""COMPUTED_VALUE"""),9230.0)</f>
        <v>9230</v>
      </c>
      <c r="B4580" s="5" t="str">
        <f>IFERROR(__xludf.DUMMYFUNCTION("""COMPUTED_VALUE"""),"هیأت")</f>
        <v>هیأت</v>
      </c>
      <c r="C4580" s="5" t="str">
        <f>IFERROR(__xludf.DUMMYFUNCTION("""COMPUTED_VALUE"""),"انصارالمهدی(عج) / انصار الحسین(ع)")</f>
        <v>انصارالمهدی(عج) / انصار الحسین(ع)</v>
      </c>
      <c r="D4580" s="5" t="str">
        <f>IFERROR(__xludf.DUMMYFUNCTION("""COMPUTED_VALUE"""),"سیستان و بلوچستان")</f>
        <v>سیستان و بلوچستان</v>
      </c>
      <c r="E4580" s="5" t="str">
        <f>IFERROR(__xludf.DUMMYFUNCTION("""COMPUTED_VALUE"""),"زهک")</f>
        <v>زهک</v>
      </c>
      <c r="F4580" s="5"/>
      <c r="G4580" s="5"/>
      <c r="H4580" s="5"/>
      <c r="I4580" s="5"/>
      <c r="J4580" s="6" t="str">
        <f>IFERROR(__xludf.DUMMYFUNCTION("""COMPUTED_VALUE"""),"https://splus.ir/heyat_zahak")</f>
        <v>https://splus.ir/heyat_zahak</v>
      </c>
      <c r="K4580" s="5"/>
      <c r="L4580" s="5"/>
      <c r="M4580" s="5"/>
      <c r="N4580" s="5"/>
      <c r="O4580" s="5"/>
      <c r="P4580" s="5"/>
      <c r="Q4580" s="5"/>
      <c r="R4580" s="5"/>
      <c r="S4580" s="5"/>
    </row>
    <row r="4581">
      <c r="A4581" s="5"/>
      <c r="B4581" s="5" t="str">
        <f>IFERROR(__xludf.DUMMYFUNCTION("""COMPUTED_VALUE"""),"هیأت")</f>
        <v>هیأت</v>
      </c>
      <c r="C4581" s="5" t="str">
        <f>IFERROR(__xludf.DUMMYFUNCTION("""COMPUTED_VALUE"""),"امیرالمومنین حیدر")</f>
        <v>امیرالمومنین حیدر</v>
      </c>
      <c r="D4581" s="5" t="str">
        <f>IFERROR(__xludf.DUMMYFUNCTION("""COMPUTED_VALUE"""),"سیستان و بلوچستان")</f>
        <v>سیستان و بلوچستان</v>
      </c>
      <c r="E4581" s="5" t="str">
        <f>IFERROR(__xludf.DUMMYFUNCTION("""COMPUTED_VALUE"""),"زاهدان")</f>
        <v>زاهدان</v>
      </c>
      <c r="F4581" s="5"/>
      <c r="G4581" s="5"/>
      <c r="H4581" s="6" t="str">
        <f>IFERROR(__xludf.DUMMYFUNCTION("""COMPUTED_VALUE"""),"https://www.instagram.com/hheydarkarar/")</f>
        <v>https://www.instagram.com/hheydarkarar/</v>
      </c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</row>
    <row r="4582">
      <c r="A4582" s="5"/>
      <c r="B4582" s="5" t="str">
        <f>IFERROR(__xludf.DUMMYFUNCTION("""COMPUTED_VALUE"""),"هیأت")</f>
        <v>هیأت</v>
      </c>
      <c r="C4582" s="5" t="str">
        <f>IFERROR(__xludf.DUMMYFUNCTION("""COMPUTED_VALUE"""),"محبین اهل بیت")</f>
        <v>محبین اهل بیت</v>
      </c>
      <c r="D4582" s="5" t="str">
        <f>IFERROR(__xludf.DUMMYFUNCTION("""COMPUTED_VALUE"""),"سیستان و بلوچستان")</f>
        <v>سیستان و بلوچستان</v>
      </c>
      <c r="E4582" s="5" t="str">
        <f>IFERROR(__xludf.DUMMYFUNCTION("""COMPUTED_VALUE"""),"زاهدان")</f>
        <v>زاهدان</v>
      </c>
      <c r="F4582" s="5"/>
      <c r="G4582" s="5"/>
      <c r="H4582" s="6" t="str">
        <f>IFERROR(__xludf.DUMMYFUNCTION("""COMPUTED_VALUE"""),"https://www.instagram.com/h_mohbin_ahle_beyt/")</f>
        <v>https://www.instagram.com/h_mohbin_ahle_beyt/</v>
      </c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</row>
    <row r="4583">
      <c r="A4583" s="5"/>
      <c r="B4583" s="5" t="str">
        <f>IFERROR(__xludf.DUMMYFUNCTION("""COMPUTED_VALUE"""),"هیأت")</f>
        <v>هیأت</v>
      </c>
      <c r="C4583" s="5" t="str">
        <f>IFERROR(__xludf.DUMMYFUNCTION("""COMPUTED_VALUE"""),"بیت المهدی")</f>
        <v>بیت المهدی</v>
      </c>
      <c r="D4583" s="5" t="str">
        <f>IFERROR(__xludf.DUMMYFUNCTION("""COMPUTED_VALUE"""),"سیستان و بلوچستان")</f>
        <v>سیستان و بلوچستان</v>
      </c>
      <c r="E4583" s="5" t="str">
        <f>IFERROR(__xludf.DUMMYFUNCTION("""COMPUTED_VALUE"""),"زاهدان")</f>
        <v>زاهدان</v>
      </c>
      <c r="F4583" s="5"/>
      <c r="G4583" s="5"/>
      <c r="H4583" s="6" t="str">
        <f>IFERROR(__xludf.DUMMYFUNCTION("""COMPUTED_VALUE"""),"https://www.instagram.com/bytolmahdi/")</f>
        <v>https://www.instagram.com/bytolmahdi/</v>
      </c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</row>
    <row r="4584">
      <c r="A4584" s="5"/>
      <c r="B4584" s="5" t="str">
        <f>IFERROR(__xludf.DUMMYFUNCTION("""COMPUTED_VALUE"""),"هیأت")</f>
        <v>هیأت</v>
      </c>
      <c r="C4584" s="5" t="str">
        <f>IFERROR(__xludf.DUMMYFUNCTION("""COMPUTED_VALUE"""),"طفلان مسلم")</f>
        <v>طفلان مسلم</v>
      </c>
      <c r="D4584" s="5" t="str">
        <f>IFERROR(__xludf.DUMMYFUNCTION("""COMPUTED_VALUE"""),"سیستان و بلوچستان")</f>
        <v>سیستان و بلوچستان</v>
      </c>
      <c r="E4584" s="5" t="str">
        <f>IFERROR(__xludf.DUMMYFUNCTION("""COMPUTED_VALUE"""),"زاهدان")</f>
        <v>زاهدان</v>
      </c>
      <c r="F4584" s="5"/>
      <c r="G4584" s="5"/>
      <c r="H4584" s="6" t="str">
        <f>IFERROR(__xludf.DUMMYFUNCTION("""COMPUTED_VALUE"""),"https://www.instagram.com/heiat_moslem_zahedan/")</f>
        <v>https://www.instagram.com/heiat_moslem_zahedan/</v>
      </c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</row>
    <row r="4585">
      <c r="A4585" s="5"/>
      <c r="B4585" s="5" t="str">
        <f>IFERROR(__xludf.DUMMYFUNCTION("""COMPUTED_VALUE"""),"هیأت")</f>
        <v>هیأت</v>
      </c>
      <c r="C4585" s="5" t="str">
        <f>IFERROR(__xludf.DUMMYFUNCTION("""COMPUTED_VALUE"""),"عزاداران پنج تن آل عبا")</f>
        <v>عزاداران پنج تن آل عبا</v>
      </c>
      <c r="D4585" s="5" t="str">
        <f>IFERROR(__xludf.DUMMYFUNCTION("""COMPUTED_VALUE"""),"سیستان و بلوچستان")</f>
        <v>سیستان و بلوچستان</v>
      </c>
      <c r="E4585" s="5" t="str">
        <f>IFERROR(__xludf.DUMMYFUNCTION("""COMPUTED_VALUE"""),"زاهدان")</f>
        <v>زاهدان</v>
      </c>
      <c r="F4585" s="5"/>
      <c r="G4585" s="5"/>
      <c r="H4585" s="6" t="str">
        <f>IFERROR(__xludf.DUMMYFUNCTION("""COMPUTED_VALUE"""),"https://www.instagram.com/moheban_panjtan/")</f>
        <v>https://www.instagram.com/moheban_panjtan/</v>
      </c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</row>
    <row r="4586">
      <c r="A4586" s="5"/>
      <c r="B4586" s="5" t="str">
        <f>IFERROR(__xludf.DUMMYFUNCTION("""COMPUTED_VALUE"""),"هیأت")</f>
        <v>هیأت</v>
      </c>
      <c r="C4586" s="5" t="str">
        <f>IFERROR(__xludf.DUMMYFUNCTION("""COMPUTED_VALUE"""),"چهارده معصوم")</f>
        <v>چهارده معصوم</v>
      </c>
      <c r="D4586" s="5" t="str">
        <f>IFERROR(__xludf.DUMMYFUNCTION("""COMPUTED_VALUE"""),"سیستان و بلوچستان")</f>
        <v>سیستان و بلوچستان</v>
      </c>
      <c r="E4586" s="5" t="str">
        <f>IFERROR(__xludf.DUMMYFUNCTION("""COMPUTED_VALUE"""),"زابل")</f>
        <v>زابل</v>
      </c>
      <c r="F4586" s="5"/>
      <c r="G4586" s="5"/>
      <c r="H4586" s="6" t="str">
        <f>IFERROR(__xludf.DUMMYFUNCTION("""COMPUTED_VALUE"""),"https://www.instagram.com/heyaat.14masoum/")</f>
        <v>https://www.instagram.com/heyaat.14masoum/</v>
      </c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</row>
    <row r="4587">
      <c r="A4587" s="5"/>
      <c r="B4587" s="5" t="str">
        <f>IFERROR(__xludf.DUMMYFUNCTION("""COMPUTED_VALUE"""),"هیأت")</f>
        <v>هیأت</v>
      </c>
      <c r="C4587" s="5" t="str">
        <f>IFERROR(__xludf.DUMMYFUNCTION("""COMPUTED_VALUE"""),"اصحاب الشهدا")</f>
        <v>اصحاب الشهدا</v>
      </c>
      <c r="D4587" s="5" t="str">
        <f>IFERROR(__xludf.DUMMYFUNCTION("""COMPUTED_VALUE"""),"سیستان و بلوچستان")</f>
        <v>سیستان و بلوچستان</v>
      </c>
      <c r="E4587" s="5" t="str">
        <f>IFERROR(__xludf.DUMMYFUNCTION("""COMPUTED_VALUE"""),"زاهدان")</f>
        <v>زاهدان</v>
      </c>
      <c r="F4587" s="5"/>
      <c r="G4587" s="5"/>
      <c r="H4587" s="6" t="str">
        <f>IFERROR(__xludf.DUMMYFUNCTION("""COMPUTED_VALUE"""),"https://www.instagram.com/ashaboshohada_sb")</f>
        <v>https://www.instagram.com/ashaboshohada_sb</v>
      </c>
      <c r="I4587" s="6" t="str">
        <f>IFERROR(__xludf.DUMMYFUNCTION("""COMPUTED_VALUE"""),"t.me/ashaboshohada_sb")</f>
        <v>t.me/ashaboshohada_sb</v>
      </c>
      <c r="J4587" s="6" t="str">
        <f>IFERROR(__xludf.DUMMYFUNCTION("""COMPUTED_VALUE"""),"https://eitaa.com/ashaboshohada_sb")</f>
        <v>https://eitaa.com/ashaboshohada_sb</v>
      </c>
      <c r="K4587" s="5"/>
      <c r="L4587" s="5"/>
      <c r="M4587" s="5"/>
      <c r="N4587" s="5"/>
      <c r="O4587" s="5"/>
      <c r="P4587" s="5"/>
      <c r="Q4587" s="5"/>
      <c r="R4587" s="5"/>
      <c r="S4587" s="5"/>
    </row>
    <row r="4588">
      <c r="A4588" s="5"/>
      <c r="B4588" s="5" t="str">
        <f>IFERROR(__xludf.DUMMYFUNCTION("""COMPUTED_VALUE"""),"مسجد")</f>
        <v>مسجد</v>
      </c>
      <c r="C4588" s="5" t="str">
        <f>IFERROR(__xludf.DUMMYFUNCTION("""COMPUTED_VALUE"""),"امام حسین (ع)")</f>
        <v>امام حسین (ع)</v>
      </c>
      <c r="D4588" s="5" t="str">
        <f>IFERROR(__xludf.DUMMYFUNCTION("""COMPUTED_VALUE"""),"سیستان و بلوچستان")</f>
        <v>سیستان و بلوچستان</v>
      </c>
      <c r="E4588" s="5" t="str">
        <f>IFERROR(__xludf.DUMMYFUNCTION("""COMPUTED_VALUE"""),"زاهدان")</f>
        <v>زاهدان</v>
      </c>
      <c r="F4588" s="5"/>
      <c r="G4588" s="5"/>
      <c r="H4588" s="6" t="str">
        <f>IFERROR(__xludf.DUMMYFUNCTION("""COMPUTED_VALUE"""),"https://www.instagram.com/masjed_emamhosein_zahedan/")</f>
        <v>https://www.instagram.com/masjed_emamhosein_zahedan/</v>
      </c>
      <c r="I4588" s="5"/>
      <c r="J4588" s="6" t="str">
        <f>IFERROR(__xludf.DUMMYFUNCTION("""COMPUTED_VALUE"""),"eitaa.com/masjed_emamhosein_zahedan")</f>
        <v>eitaa.com/masjed_emamhosein_zahedan</v>
      </c>
      <c r="K4588" s="5"/>
      <c r="L4588" s="5"/>
      <c r="M4588" s="5"/>
      <c r="N4588" s="5"/>
      <c r="O4588" s="5"/>
      <c r="P4588" s="5"/>
      <c r="Q4588" s="5"/>
      <c r="R4588" s="5"/>
      <c r="S4588" s="5"/>
    </row>
    <row r="4589">
      <c r="A4589" s="5"/>
      <c r="B4589" s="5" t="str">
        <f>IFERROR(__xludf.DUMMYFUNCTION("""COMPUTED_VALUE"""),"هیأت")</f>
        <v>هیأت</v>
      </c>
      <c r="C4589" s="5" t="str">
        <f>IFERROR(__xludf.DUMMYFUNCTION("""COMPUTED_VALUE"""),"بیت الزینب ")</f>
        <v>بیت الزینب </v>
      </c>
      <c r="D4589" s="5" t="str">
        <f>IFERROR(__xludf.DUMMYFUNCTION("""COMPUTED_VALUE"""),"سیستان و بلوچستان")</f>
        <v>سیستان و بلوچستان</v>
      </c>
      <c r="E4589" s="5" t="str">
        <f>IFERROR(__xludf.DUMMYFUNCTION("""COMPUTED_VALUE"""),"زاهدان")</f>
        <v>زاهدان</v>
      </c>
      <c r="F4589" s="5"/>
      <c r="G4589" s="5"/>
      <c r="H4589" s="6" t="str">
        <f>IFERROR(__xludf.DUMMYFUNCTION("""COMPUTED_VALUE"""),"https://www.instagram.com/beit_zeinab_zahedan/")</f>
        <v>https://www.instagram.com/beit_zeinab_zahedan/</v>
      </c>
      <c r="I4589" s="6" t="str">
        <f>IFERROR(__xludf.DUMMYFUNCTION("""COMPUTED_VALUE"""),"t.me/Beit_Zeinab_Zahedan")</f>
        <v>t.me/Beit_Zeinab_Zahedan</v>
      </c>
      <c r="J4589" s="5"/>
      <c r="K4589" s="5"/>
      <c r="L4589" s="5"/>
      <c r="M4589" s="5"/>
      <c r="N4589" s="5"/>
      <c r="O4589" s="5"/>
      <c r="P4589" s="5"/>
      <c r="Q4589" s="5"/>
      <c r="R4589" s="5"/>
      <c r="S4589" s="5"/>
    </row>
    <row r="4590">
      <c r="A4590" s="5"/>
      <c r="B4590" s="5" t="str">
        <f>IFERROR(__xludf.DUMMYFUNCTION("""COMPUTED_VALUE"""),"هیأت")</f>
        <v>هیأت</v>
      </c>
      <c r="C4590" s="5" t="str">
        <f>IFERROR(__xludf.DUMMYFUNCTION("""COMPUTED_VALUE"""),"یازهرا")</f>
        <v>یازهرا</v>
      </c>
      <c r="D4590" s="5" t="str">
        <f>IFERROR(__xludf.DUMMYFUNCTION("""COMPUTED_VALUE"""),"سیستان و بلوچستان")</f>
        <v>سیستان و بلوچستان</v>
      </c>
      <c r="E4590" s="5" t="str">
        <f>IFERROR(__xludf.DUMMYFUNCTION("""COMPUTED_VALUE"""),"زاهدان")</f>
        <v>زاهدان</v>
      </c>
      <c r="F4590" s="5"/>
      <c r="G4590" s="5"/>
      <c r="H4590" s="6" t="str">
        <f>IFERROR(__xludf.DUMMYFUNCTION("""COMPUTED_VALUE"""),"https://www.instagram.com/heiat_yazahra_zahedan/")</f>
        <v>https://www.instagram.com/heiat_yazahra_zahedan/</v>
      </c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</row>
    <row r="4591">
      <c r="A4591" s="5"/>
      <c r="B4591" s="5" t="str">
        <f>IFERROR(__xludf.DUMMYFUNCTION("""COMPUTED_VALUE"""),"هیأت")</f>
        <v>هیأت</v>
      </c>
      <c r="C4591" s="5" t="str">
        <f>IFERROR(__xludf.DUMMYFUNCTION("""COMPUTED_VALUE"""),"رزمندگان اسلام")</f>
        <v>رزمندگان اسلام</v>
      </c>
      <c r="D4591" s="5" t="str">
        <f>IFERROR(__xludf.DUMMYFUNCTION("""COMPUTED_VALUE"""),"سیستان و بلوچستان")</f>
        <v>سیستان و بلوچستان</v>
      </c>
      <c r="E4591" s="5" t="str">
        <f>IFERROR(__xludf.DUMMYFUNCTION("""COMPUTED_VALUE"""),"زابل")</f>
        <v>زابل</v>
      </c>
      <c r="F4591" s="5"/>
      <c r="G4591" s="5"/>
      <c r="H4591" s="6" t="str">
        <f>IFERROR(__xludf.DUMMYFUNCTION("""COMPUTED_VALUE"""),"https://www.instagram.com/boghe_seyedbagher/")</f>
        <v>https://www.instagram.com/boghe_seyedbagher/</v>
      </c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</row>
    <row r="4592">
      <c r="A4592" s="5"/>
      <c r="B4592" s="5" t="str">
        <f>IFERROR(__xludf.DUMMYFUNCTION("""COMPUTED_VALUE"""),"هیأت")</f>
        <v>هیأت</v>
      </c>
      <c r="C4592" s="5" t="str">
        <f>IFERROR(__xludf.DUMMYFUNCTION("""COMPUTED_VALUE"""),"هیات و گروه جهادی یاوران منجی موعود (عج)")</f>
        <v>هیات و گروه جهادی یاوران منجی موعود (عج)</v>
      </c>
      <c r="D4592" s="5" t="str">
        <f>IFERROR(__xludf.DUMMYFUNCTION("""COMPUTED_VALUE"""),"سیستان و بلوچستان")</f>
        <v>سیستان و بلوچستان</v>
      </c>
      <c r="E4592" s="5" t="str">
        <f>IFERROR(__xludf.DUMMYFUNCTION("""COMPUTED_VALUE"""),"زاهدان")</f>
        <v>زاهدان</v>
      </c>
      <c r="F4592" s="5"/>
      <c r="G4592" s="5"/>
      <c r="H4592" s="6" t="str">
        <f>IFERROR(__xludf.DUMMYFUNCTION("""COMPUTED_VALUE"""),"https://www.instagram.com/yava.ranmonjmoud313/")</f>
        <v>https://www.instagram.com/yava.ranmonjmoud313/</v>
      </c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</row>
    <row r="4593">
      <c r="A4593" s="5"/>
      <c r="B4593" s="5" t="str">
        <f>IFERROR(__xludf.DUMMYFUNCTION("""COMPUTED_VALUE"""),"هیأت")</f>
        <v>هیأت</v>
      </c>
      <c r="C4593" s="5" t="str">
        <f>IFERROR(__xludf.DUMMYFUNCTION("""COMPUTED_VALUE"""),"عاشورائیان")</f>
        <v>عاشورائیان</v>
      </c>
      <c r="D4593" s="5" t="str">
        <f>IFERROR(__xludf.DUMMYFUNCTION("""COMPUTED_VALUE"""),"سیستان و بلوچستان")</f>
        <v>سیستان و بلوچستان</v>
      </c>
      <c r="E4593" s="5" t="str">
        <f>IFERROR(__xludf.DUMMYFUNCTION("""COMPUTED_VALUE"""),"سیستان")</f>
        <v>سیستان</v>
      </c>
      <c r="F4593" s="5"/>
      <c r="G4593" s="5"/>
      <c r="H4593" s="6" t="str">
        <f>IFERROR(__xludf.DUMMYFUNCTION("""COMPUTED_VALUE"""),"https://www.instagram.com/ashooraeyan_sistan/")</f>
        <v>https://www.instagram.com/ashooraeyan_sistan/</v>
      </c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</row>
    <row r="4594">
      <c r="A4594" s="5"/>
      <c r="B4594" s="5" t="str">
        <f>IFERROR(__xludf.DUMMYFUNCTION("""COMPUTED_VALUE"""),"هیأت")</f>
        <v>هیأت</v>
      </c>
      <c r="C4594" s="5" t="str">
        <f>IFERROR(__xludf.DUMMYFUNCTION("""COMPUTED_VALUE"""),"عقیله العرب (س)")</f>
        <v>عقیله العرب (س)</v>
      </c>
      <c r="D4594" s="5" t="str">
        <f>IFERROR(__xludf.DUMMYFUNCTION("""COMPUTED_VALUE"""),"سیستان و بلوچستان")</f>
        <v>سیستان و بلوچستان</v>
      </c>
      <c r="E4594" s="5" t="str">
        <f>IFERROR(__xludf.DUMMYFUNCTION("""COMPUTED_VALUE"""),"زاهدان")</f>
        <v>زاهدان</v>
      </c>
      <c r="F4594" s="5"/>
      <c r="G4594" s="5"/>
      <c r="H4594" s="6" t="str">
        <f>IFERROR(__xludf.DUMMYFUNCTION("""COMPUTED_VALUE"""),"https://www.instagram.com/aqilatol_arab/")</f>
        <v>https://www.instagram.com/aqilatol_arab/</v>
      </c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</row>
    <row r="4595">
      <c r="A4595" s="5"/>
      <c r="B4595" s="5" t="str">
        <f>IFERROR(__xludf.DUMMYFUNCTION("""COMPUTED_VALUE"""),"هیأت")</f>
        <v>هیأت</v>
      </c>
      <c r="C4595" s="5" t="str">
        <f>IFERROR(__xludf.DUMMYFUNCTION("""COMPUTED_VALUE"""),"شیفتگان کوثر")</f>
        <v>شیفتگان کوثر</v>
      </c>
      <c r="D4595" s="5" t="str">
        <f>IFERROR(__xludf.DUMMYFUNCTION("""COMPUTED_VALUE"""),"سیستان و بلوچستان")</f>
        <v>سیستان و بلوچستان</v>
      </c>
      <c r="E4595" s="5" t="str">
        <f>IFERROR(__xludf.DUMMYFUNCTION("""COMPUTED_VALUE"""),"سیستان")</f>
        <v>سیستان</v>
      </c>
      <c r="F4595" s="5"/>
      <c r="G4595" s="5"/>
      <c r="H4595" s="6" t="str">
        <f>IFERROR(__xludf.DUMMYFUNCTION("""COMPUTED_VALUE"""),"https://www.instagram.com/shifteganekosarsistan/")</f>
        <v>https://www.instagram.com/shifteganekosarsistan/</v>
      </c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</row>
    <row r="4596">
      <c r="A4596" s="5"/>
      <c r="B4596" s="5" t="str">
        <f>IFERROR(__xludf.DUMMYFUNCTION("""COMPUTED_VALUE"""),"هیأت")</f>
        <v>هیأت</v>
      </c>
      <c r="C4596" s="5" t="str">
        <f>IFERROR(__xludf.DUMMYFUNCTION("""COMPUTED_VALUE"""),"عزاداران بیت الحسین (ع)")</f>
        <v>عزاداران بیت الحسین (ع)</v>
      </c>
      <c r="D4596" s="5" t="str">
        <f>IFERROR(__xludf.DUMMYFUNCTION("""COMPUTED_VALUE"""),"سیستان و بلوچستان")</f>
        <v>سیستان و بلوچستان</v>
      </c>
      <c r="E4596" s="5" t="str">
        <f>IFERROR(__xludf.DUMMYFUNCTION("""COMPUTED_VALUE"""),"زاهدان")</f>
        <v>زاهدان</v>
      </c>
      <c r="F4596" s="5"/>
      <c r="G4596" s="5"/>
      <c r="H4596" s="6" t="str">
        <f>IFERROR(__xludf.DUMMYFUNCTION("""COMPUTED_VALUE"""),"https://www.instagram.com/beitolhossein_sb/")</f>
        <v>https://www.instagram.com/beitolhossein_sb/</v>
      </c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</row>
    <row r="4597">
      <c r="A4597" s="5"/>
      <c r="B4597" s="5" t="str">
        <f>IFERROR(__xludf.DUMMYFUNCTION("""COMPUTED_VALUE"""),"مسجد")</f>
        <v>مسجد</v>
      </c>
      <c r="C4597" s="5" t="str">
        <f>IFERROR(__xludf.DUMMYFUNCTION("""COMPUTED_VALUE"""),"امام حسن مجتبی (ع)")</f>
        <v>امام حسن مجتبی (ع)</v>
      </c>
      <c r="D4597" s="5" t="str">
        <f>IFERROR(__xludf.DUMMYFUNCTION("""COMPUTED_VALUE"""),"سیستان و بلوچستان")</f>
        <v>سیستان و بلوچستان</v>
      </c>
      <c r="E4597" s="5" t="str">
        <f>IFERROR(__xludf.DUMMYFUNCTION("""COMPUTED_VALUE"""),"زاهدان")</f>
        <v>زاهدان</v>
      </c>
      <c r="F4597" s="5"/>
      <c r="G4597" s="5"/>
      <c r="H4597" s="6" t="str">
        <f>IFERROR(__xludf.DUMMYFUNCTION("""COMPUTED_VALUE"""),"https://www.instagram.com/masjedemamhasanmojtabazahedan/")</f>
        <v>https://www.instagram.com/masjedemamhasanmojtabazahedan/</v>
      </c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</row>
    <row r="4598">
      <c r="A4598" s="5"/>
      <c r="B4598" s="5" t="str">
        <f>IFERROR(__xludf.DUMMYFUNCTION("""COMPUTED_VALUE"""),"مسجد")</f>
        <v>مسجد</v>
      </c>
      <c r="C4598" s="5" t="str">
        <f>IFERROR(__xludf.DUMMYFUNCTION("""COMPUTED_VALUE"""),"اباذر")</f>
        <v>اباذر</v>
      </c>
      <c r="D4598" s="5" t="str">
        <f>IFERROR(__xludf.DUMMYFUNCTION("""COMPUTED_VALUE"""),"سیستان و بلوچستان")</f>
        <v>سیستان و بلوچستان</v>
      </c>
      <c r="E4598" s="5" t="str">
        <f>IFERROR(__xludf.DUMMYFUNCTION("""COMPUTED_VALUE"""),"مهرشهر")</f>
        <v>مهرشهر</v>
      </c>
      <c r="F4598" s="5"/>
      <c r="G4598" s="5"/>
      <c r="H4598" s="6" t="str">
        <f>IFERROR(__xludf.DUMMYFUNCTION("""COMPUTED_VALUE"""),"https://www.instagram.com/masjad_abozar/")</f>
        <v>https://www.instagram.com/masjad_abozar/</v>
      </c>
      <c r="I4598" s="6" t="str">
        <f>IFERROR(__xludf.DUMMYFUNCTION("""COMPUTED_VALUE"""),"t.me/masjad_abozar")</f>
        <v>t.me/masjad_abozar</v>
      </c>
      <c r="J4598" s="5"/>
      <c r="K4598" s="5"/>
      <c r="L4598" s="5"/>
      <c r="M4598" s="5"/>
      <c r="N4598" s="5"/>
      <c r="O4598" s="5"/>
      <c r="P4598" s="5"/>
      <c r="Q4598" s="5"/>
      <c r="R4598" s="5"/>
      <c r="S4598" s="5"/>
    </row>
    <row r="4599">
      <c r="A4599" s="5"/>
      <c r="B4599" s="5" t="str">
        <f>IFERROR(__xludf.DUMMYFUNCTION("""COMPUTED_VALUE"""),"هیأت")</f>
        <v>هیأت</v>
      </c>
      <c r="C4599" s="5" t="str">
        <f>IFERROR(__xludf.DUMMYFUNCTION("""COMPUTED_VALUE"""),"شیفتگان اهل بیت (ع)")</f>
        <v>شیفتگان اهل بیت (ع)</v>
      </c>
      <c r="D4599" s="5" t="str">
        <f>IFERROR(__xludf.DUMMYFUNCTION("""COMPUTED_VALUE"""),"سیستان و بلوچستان")</f>
        <v>سیستان و بلوچستان</v>
      </c>
      <c r="E4599" s="5" t="str">
        <f>IFERROR(__xludf.DUMMYFUNCTION("""COMPUTED_VALUE"""),"زاهدان")</f>
        <v>زاهدان</v>
      </c>
      <c r="F4599" s="5"/>
      <c r="G4599" s="5"/>
      <c r="H4599" s="6" t="str">
        <f>IFERROR(__xludf.DUMMYFUNCTION("""COMPUTED_VALUE"""),"https://www.instagram.com/shiftegan_ahlebeit_zahedan72/")</f>
        <v>https://www.instagram.com/shiftegan_ahlebeit_zahedan72/</v>
      </c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</row>
    <row r="4600">
      <c r="A4600" s="5"/>
      <c r="B4600" s="5" t="str">
        <f>IFERROR(__xludf.DUMMYFUNCTION("""COMPUTED_VALUE"""),"هیأت")</f>
        <v>هیأت</v>
      </c>
      <c r="C4600" s="5" t="str">
        <f>IFERROR(__xludf.DUMMYFUNCTION("""COMPUTED_VALUE"""),"انصار العباس ")</f>
        <v>انصار العباس </v>
      </c>
      <c r="D4600" s="5" t="str">
        <f>IFERROR(__xludf.DUMMYFUNCTION("""COMPUTED_VALUE"""),"سیستان و بلوچستان")</f>
        <v>سیستان و بلوچستان</v>
      </c>
      <c r="E4600" s="5" t="str">
        <f>IFERROR(__xludf.DUMMYFUNCTION("""COMPUTED_VALUE"""),"زاهدان")</f>
        <v>زاهدان</v>
      </c>
      <c r="F4600" s="5"/>
      <c r="G4600" s="5"/>
      <c r="H4600" s="6" t="str">
        <f>IFERROR(__xludf.DUMMYFUNCTION("""COMPUTED_VALUE"""),"https://www.instagram.com/ansarolabbas_zahedan/")</f>
        <v>https://www.instagram.com/ansarolabbas_zahedan/</v>
      </c>
      <c r="I4600" s="6" t="str">
        <f>IFERROR(__xludf.DUMMYFUNCTION("""COMPUTED_VALUE"""),"t.me/ansarolabbas_zahedan")</f>
        <v>t.me/ansarolabbas_zahedan</v>
      </c>
      <c r="J4600" s="5"/>
      <c r="K4600" s="5"/>
      <c r="L4600" s="5"/>
      <c r="M4600" s="5"/>
      <c r="N4600" s="5"/>
      <c r="O4600" s="5"/>
      <c r="P4600" s="5"/>
      <c r="Q4600" s="5"/>
      <c r="R4600" s="5"/>
      <c r="S4600" s="5"/>
    </row>
    <row r="4601">
      <c r="A4601" s="5"/>
      <c r="B4601" s="5" t="str">
        <f>IFERROR(__xludf.DUMMYFUNCTION("""COMPUTED_VALUE"""),"هیأت")</f>
        <v>هیأت</v>
      </c>
      <c r="C4601" s="5" t="str">
        <f>IFERROR(__xludf.DUMMYFUNCTION("""COMPUTED_VALUE"""),"حضرت رقیه خاتون")</f>
        <v>حضرت رقیه خاتون</v>
      </c>
      <c r="D4601" s="5" t="str">
        <f>IFERROR(__xludf.DUMMYFUNCTION("""COMPUTED_VALUE"""),"سیستان و بلوچستان")</f>
        <v>سیستان و بلوچستان</v>
      </c>
      <c r="E4601" s="5" t="str">
        <f>IFERROR(__xludf.DUMMYFUNCTION("""COMPUTED_VALUE"""),"زاهدان")</f>
        <v>زاهدان</v>
      </c>
      <c r="F4601" s="5"/>
      <c r="G4601" s="5"/>
      <c r="H4601" s="6" t="str">
        <f>IFERROR(__xludf.DUMMYFUNCTION("""COMPUTED_VALUE"""),"https://www.instagram.com/roghayekhaton.0313/")</f>
        <v>https://www.instagram.com/roghayekhaton.0313/</v>
      </c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</row>
    <row r="4602">
      <c r="A4602" s="5"/>
      <c r="B4602" s="5" t="str">
        <f>IFERROR(__xludf.DUMMYFUNCTION("""COMPUTED_VALUE"""),"هیأت")</f>
        <v>هیأت</v>
      </c>
      <c r="C4602" s="5" t="str">
        <f>IFERROR(__xludf.DUMMYFUNCTION("""COMPUTED_VALUE"""),"محبان حضرت علی(ع)")</f>
        <v>محبان حضرت علی(ع)</v>
      </c>
      <c r="D4602" s="5" t="str">
        <f>IFERROR(__xludf.DUMMYFUNCTION("""COMPUTED_VALUE"""),"سیستان و بلوچستان")</f>
        <v>سیستان و بلوچستان</v>
      </c>
      <c r="E4602" s="5" t="str">
        <f>IFERROR(__xludf.DUMMYFUNCTION("""COMPUTED_VALUE"""),"زاهدان")</f>
        <v>زاهدان</v>
      </c>
      <c r="F4602" s="5"/>
      <c r="G4602" s="5"/>
      <c r="H4602" s="6" t="str">
        <f>IFERROR(__xludf.DUMMYFUNCTION("""COMPUTED_VALUE"""),"https://www.instagram.com/heyatmohebbanali/")</f>
        <v>https://www.instagram.com/heyatmohebbanali/</v>
      </c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</row>
    <row r="4603">
      <c r="A4603" s="5"/>
      <c r="B4603" s="5" t="str">
        <f>IFERROR(__xludf.DUMMYFUNCTION("""COMPUTED_VALUE"""),"مسجد")</f>
        <v>مسجد</v>
      </c>
      <c r="C4603" s="5" t="str">
        <f>IFERROR(__xludf.DUMMYFUNCTION("""COMPUTED_VALUE"""),"بعثت")</f>
        <v>بعثت</v>
      </c>
      <c r="D4603" s="5" t="str">
        <f>IFERROR(__xludf.DUMMYFUNCTION("""COMPUTED_VALUE"""),"سیستان و بلوچستان")</f>
        <v>سیستان و بلوچستان</v>
      </c>
      <c r="E4603" s="5" t="str">
        <f>IFERROR(__xludf.DUMMYFUNCTION("""COMPUTED_VALUE"""),"زاهدان")</f>
        <v>زاهدان</v>
      </c>
      <c r="F4603" s="5"/>
      <c r="G4603" s="5"/>
      <c r="H4603" s="6" t="str">
        <f>IFERROR(__xludf.DUMMYFUNCTION("""COMPUTED_VALUE"""),"https://www.instagram.com/masjed_besat_zahedan/")</f>
        <v>https://www.instagram.com/masjed_besat_zahedan/</v>
      </c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</row>
    <row r="4604">
      <c r="A4604" s="5"/>
      <c r="B4604" s="5" t="str">
        <f>IFERROR(__xludf.DUMMYFUNCTION("""COMPUTED_VALUE"""),"مسجد")</f>
        <v>مسجد</v>
      </c>
      <c r="C4604" s="5" t="str">
        <f>IFERROR(__xludf.DUMMYFUNCTION("""COMPUTED_VALUE"""),"محمدیه")</f>
        <v>محمدیه</v>
      </c>
      <c r="D4604" s="5" t="str">
        <f>IFERROR(__xludf.DUMMYFUNCTION("""COMPUTED_VALUE"""),"سیستان و بلوچستان")</f>
        <v>سیستان و بلوچستان</v>
      </c>
      <c r="E4604" s="5" t="str">
        <f>IFERROR(__xludf.DUMMYFUNCTION("""COMPUTED_VALUE"""),"زاهدان")</f>
        <v>زاهدان</v>
      </c>
      <c r="F4604" s="5"/>
      <c r="G4604" s="5"/>
      <c r="H4604" s="6" t="str">
        <f>IFERROR(__xludf.DUMMYFUNCTION("""COMPUTED_VALUE"""),"https://www.instagram.com/masjed_mohammadie1360/")</f>
        <v>https://www.instagram.com/masjed_mohammadie1360/</v>
      </c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</row>
    <row r="4605">
      <c r="A4605" s="5">
        <f>IFERROR(__xludf.DUMMYFUNCTION("""COMPUTED_VALUE"""),2337.0)</f>
        <v>2337</v>
      </c>
      <c r="B4605" s="5" t="str">
        <f>IFERROR(__xludf.DUMMYFUNCTION("""COMPUTED_VALUE"""),"هیئت")</f>
        <v>هیئت</v>
      </c>
      <c r="C4605" s="5" t="str">
        <f>IFERROR(__xludf.DUMMYFUNCTION("""COMPUTED_VALUE"""),"رایه الهدی (عج)")</f>
        <v>رایه الهدی (عج)</v>
      </c>
      <c r="D4605" s="5" t="str">
        <f>IFERROR(__xludf.DUMMYFUNCTION("""COMPUTED_VALUE"""),"البرز")</f>
        <v>البرز</v>
      </c>
      <c r="E4605" s="5" t="str">
        <f>IFERROR(__xludf.DUMMYFUNCTION("""COMPUTED_VALUE"""),"کرج")</f>
        <v>کرج</v>
      </c>
      <c r="F4605" s="5" t="str">
        <f>IFERROR(__xludf.DUMMYFUNCTION("""COMPUTED_VALUE"""),"کمال شهر")</f>
        <v>کمال شهر</v>
      </c>
      <c r="G4605" s="5"/>
      <c r="H4605" s="6" t="str">
        <f>IFERROR(__xludf.DUMMYFUNCTION("""COMPUTED_VALUE"""),"https://www.instagram.com/raayat_alhoda.ir")</f>
        <v>https://www.instagram.com/raayat_alhoda.ir</v>
      </c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</row>
    <row r="4606">
      <c r="A4606" s="5">
        <f>IFERROR(__xludf.DUMMYFUNCTION("""COMPUTED_VALUE"""),31599.0)</f>
        <v>31599</v>
      </c>
      <c r="B4606" s="5" t="str">
        <f>IFERROR(__xludf.DUMMYFUNCTION("""COMPUTED_VALUE"""),"هیئت جوانان")</f>
        <v>هیئت جوانان</v>
      </c>
      <c r="C4606" s="5" t="str">
        <f>IFERROR(__xludf.DUMMYFUNCTION("""COMPUTED_VALUE"""),"سیدالشهدا(ع)")</f>
        <v>سیدالشهدا(ع)</v>
      </c>
      <c r="D4606" s="5" t="str">
        <f>IFERROR(__xludf.DUMMYFUNCTION("""COMPUTED_VALUE"""),"البرز")</f>
        <v>البرز</v>
      </c>
      <c r="E4606" s="5" t="str">
        <f>IFERROR(__xludf.DUMMYFUNCTION("""COMPUTED_VALUE"""),"کرج")</f>
        <v>کرج</v>
      </c>
      <c r="F4606" s="5"/>
      <c r="G4606" s="5"/>
      <c r="H4606" s="6" t="str">
        <f>IFERROR(__xludf.DUMMYFUNCTION("""COMPUTED_VALUE"""),"https://www.instagram.com/1382seyedolshohada/")</f>
        <v>https://www.instagram.com/1382seyedolshohada/</v>
      </c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</row>
    <row r="4607">
      <c r="A4607" s="5">
        <f>IFERROR(__xludf.DUMMYFUNCTION("""COMPUTED_VALUE"""),28087.0)</f>
        <v>28087</v>
      </c>
      <c r="B4607" s="5" t="str">
        <f>IFERROR(__xludf.DUMMYFUNCTION("""COMPUTED_VALUE"""),"هیئت جوانانِ")</f>
        <v>هیئت جوانانِ</v>
      </c>
      <c r="C4607" s="5" t="str">
        <f>IFERROR(__xludf.DUMMYFUNCTION("""COMPUTED_VALUE"""),"عباسِ ابن علی(ع")</f>
        <v>عباسِ ابن علی(ع</v>
      </c>
      <c r="D4607" s="5" t="str">
        <f>IFERROR(__xludf.DUMMYFUNCTION("""COMPUTED_VALUE"""),"البرز")</f>
        <v>البرز</v>
      </c>
      <c r="E4607" s="5" t="str">
        <f>IFERROR(__xludf.DUMMYFUNCTION("""COMPUTED_VALUE"""),"کرج")</f>
        <v>کرج</v>
      </c>
      <c r="F4607" s="5" t="str">
        <f>IFERROR(__xludf.DUMMYFUNCTION("""COMPUTED_VALUE"""),"شهرک نو ")</f>
        <v>شهرک نو </v>
      </c>
      <c r="G4607" s="5"/>
      <c r="H4607" s="6" t="str">
        <f>IFERROR(__xludf.DUMMYFUNCTION("""COMPUTED_VALUE"""),"https://www.instagram.com/abasebneali_karaj/")</f>
        <v>https://www.instagram.com/abasebneali_karaj/</v>
      </c>
      <c r="I4607" s="6" t="str">
        <f>IFERROR(__xludf.DUMMYFUNCTION("""COMPUTED_VALUE"""),"https://t.me/abasebneali_karaj")</f>
        <v>https://t.me/abasebneali_karaj</v>
      </c>
      <c r="J4607" s="5"/>
      <c r="K4607" s="5"/>
      <c r="L4607" s="5"/>
      <c r="M4607" s="5"/>
      <c r="N4607" s="5"/>
      <c r="O4607" s="5"/>
      <c r="P4607" s="5"/>
      <c r="Q4607" s="5"/>
      <c r="R4607" s="5"/>
      <c r="S4607" s="5"/>
    </row>
    <row r="4608">
      <c r="A4608" s="5">
        <f>IFERROR(__xludf.DUMMYFUNCTION("""COMPUTED_VALUE"""),30905.0)</f>
        <v>30905</v>
      </c>
      <c r="B4608" s="5" t="str">
        <f>IFERROR(__xludf.DUMMYFUNCTION("""COMPUTED_VALUE"""),"هیئت")</f>
        <v>هیئت</v>
      </c>
      <c r="C4608" s="5" t="str">
        <f>IFERROR(__xludf.DUMMYFUNCTION("""COMPUTED_VALUE"""),"أبناء الرضا")</f>
        <v>أبناء الرضا</v>
      </c>
      <c r="D4608" s="5" t="str">
        <f>IFERROR(__xludf.DUMMYFUNCTION("""COMPUTED_VALUE"""),"البرز")</f>
        <v>البرز</v>
      </c>
      <c r="E4608" s="5" t="str">
        <f>IFERROR(__xludf.DUMMYFUNCTION("""COMPUTED_VALUE"""),"کرج")</f>
        <v>کرج</v>
      </c>
      <c r="F4608" s="5"/>
      <c r="G4608" s="5"/>
      <c r="H4608" s="6" t="str">
        <f>IFERROR(__xludf.DUMMYFUNCTION("""COMPUTED_VALUE"""),"https://www.instagram.com/abnaalreza/")</f>
        <v>https://www.instagram.com/abnaalreza/</v>
      </c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</row>
    <row r="4609">
      <c r="A4609" s="5">
        <f>IFERROR(__xludf.DUMMYFUNCTION("""COMPUTED_VALUE"""),28116.0)</f>
        <v>28116</v>
      </c>
      <c r="B4609" s="5" t="str">
        <f>IFERROR(__xludf.DUMMYFUNCTION("""COMPUTED_VALUE"""),"هیئت")</f>
        <v>هیئت</v>
      </c>
      <c r="C4609" s="5" t="str">
        <f>IFERROR(__xludf.DUMMYFUNCTION("""COMPUTED_VALUE"""),"علمدار")</f>
        <v>علمدار</v>
      </c>
      <c r="D4609" s="5" t="str">
        <f>IFERROR(__xludf.DUMMYFUNCTION("""COMPUTED_VALUE"""),"البرز")</f>
        <v>البرز</v>
      </c>
      <c r="E4609" s="5" t="str">
        <f>IFERROR(__xludf.DUMMYFUNCTION("""COMPUTED_VALUE"""),"کرج")</f>
        <v>کرج</v>
      </c>
      <c r="F4609" s="5"/>
      <c r="G4609" s="5"/>
      <c r="H4609" s="6" t="str">
        <f>IFERROR(__xludf.DUMMYFUNCTION("""COMPUTED_VALUE"""),"https://www.instagram.com/alamdar_karaj/")</f>
        <v>https://www.instagram.com/alamdar_karaj/</v>
      </c>
      <c r="I4609" s="5"/>
      <c r="J4609" s="6" t="str">
        <f>IFERROR(__xludf.DUMMYFUNCTION("""COMPUTED_VALUE"""),"https://eitaa.com/Heyate_Alamdar")</f>
        <v>https://eitaa.com/Heyate_Alamdar</v>
      </c>
      <c r="K4609" s="5"/>
      <c r="L4609" s="5"/>
      <c r="M4609" s="5"/>
      <c r="N4609" s="5"/>
      <c r="O4609" s="5"/>
      <c r="P4609" s="5"/>
      <c r="Q4609" s="5"/>
      <c r="R4609" s="5"/>
      <c r="S4609" s="5"/>
    </row>
    <row r="4610">
      <c r="A4610" s="5">
        <f>IFERROR(__xludf.DUMMYFUNCTION("""COMPUTED_VALUE"""),25136.0)</f>
        <v>25136</v>
      </c>
      <c r="B4610" s="5" t="str">
        <f>IFERROR(__xludf.DUMMYFUNCTION("""COMPUTED_VALUE"""),"هیئت")</f>
        <v>هیئت</v>
      </c>
      <c r="C4610" s="5" t="str">
        <f>IFERROR(__xludf.DUMMYFUNCTION("""COMPUTED_VALUE"""),"علمدار")</f>
        <v>علمدار</v>
      </c>
      <c r="D4610" s="5" t="str">
        <f>IFERROR(__xludf.DUMMYFUNCTION("""COMPUTED_VALUE"""),"البرز")</f>
        <v>البرز</v>
      </c>
      <c r="E4610" s="5" t="str">
        <f>IFERROR(__xludf.DUMMYFUNCTION("""COMPUTED_VALUE"""),"فردیس")</f>
        <v>فردیس</v>
      </c>
      <c r="F4610" s="5"/>
      <c r="G4610" s="5"/>
      <c r="H4610" s="6" t="str">
        <f>IFERROR(__xludf.DUMMYFUNCTION("""COMPUTED_VALUE"""),"https://www.instagram.com/alamdaranefardis/")</f>
        <v>https://www.instagram.com/alamdaranefardis/</v>
      </c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</row>
    <row r="4611">
      <c r="A4611" s="5">
        <f>IFERROR(__xludf.DUMMYFUNCTION("""COMPUTED_VALUE"""),18040.0)</f>
        <v>18040</v>
      </c>
      <c r="B4611" s="5" t="str">
        <f>IFERROR(__xludf.DUMMYFUNCTION("""COMPUTED_VALUE"""),"هیئت")</f>
        <v>هیئت</v>
      </c>
      <c r="C4611" s="5" t="str">
        <f>IFERROR(__xludf.DUMMYFUNCTION("""COMPUTED_VALUE"""),"علمدار بصیرت")</f>
        <v>علمدار بصیرت</v>
      </c>
      <c r="D4611" s="5" t="str">
        <f>IFERROR(__xludf.DUMMYFUNCTION("""COMPUTED_VALUE"""),"البرز")</f>
        <v>البرز</v>
      </c>
      <c r="E4611" s="5" t="str">
        <f>IFERROR(__xludf.DUMMYFUNCTION("""COMPUTED_VALUE"""),"کرج")</f>
        <v>کرج</v>
      </c>
      <c r="F4611" s="5"/>
      <c r="G4611" s="5"/>
      <c r="H4611" s="6" t="str">
        <f>IFERROR(__xludf.DUMMYFUNCTION("""COMPUTED_VALUE"""),"https://www.instagram.com/alamdare_basirat/")</f>
        <v>https://www.instagram.com/alamdare_basirat/</v>
      </c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</row>
    <row r="4612">
      <c r="A4612" s="5">
        <f>IFERROR(__xludf.DUMMYFUNCTION("""COMPUTED_VALUE"""),2413.0)</f>
        <v>2413</v>
      </c>
      <c r="B4612" s="5" t="str">
        <f>IFERROR(__xludf.DUMMYFUNCTION("""COMPUTED_VALUE"""),"هیئت")</f>
        <v>هیئت</v>
      </c>
      <c r="C4612" s="5" t="str">
        <f>IFERROR(__xludf.DUMMYFUNCTION("""COMPUTED_VALUE"""),"بیرق معظم علقمه")</f>
        <v>بیرق معظم علقمه</v>
      </c>
      <c r="D4612" s="5" t="str">
        <f>IFERROR(__xludf.DUMMYFUNCTION("""COMPUTED_VALUE"""),"البرز")</f>
        <v>البرز</v>
      </c>
      <c r="E4612" s="5" t="str">
        <f>IFERROR(__xludf.DUMMYFUNCTION("""COMPUTED_VALUE"""),"فردیس")</f>
        <v>فردیس</v>
      </c>
      <c r="F4612" s="5" t="str">
        <f>IFERROR(__xludf.DUMMYFUNCTION("""COMPUTED_VALUE"""),"مشکین دشت ")</f>
        <v>مشکین دشت </v>
      </c>
      <c r="G4612" s="5"/>
      <c r="H4612" s="6" t="str">
        <f>IFERROR(__xludf.DUMMYFUNCTION("""COMPUTED_VALUE"""),"https://www.instagram.com/alghame_karaj")</f>
        <v>https://www.instagram.com/alghame_karaj</v>
      </c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</row>
    <row r="4613">
      <c r="A4613" s="5">
        <f>IFERROR(__xludf.DUMMYFUNCTION("""COMPUTED_VALUE"""),2482.0)</f>
        <v>2482</v>
      </c>
      <c r="B4613" s="5" t="str">
        <f>IFERROR(__xludf.DUMMYFUNCTION("""COMPUTED_VALUE"""),"هیئت")</f>
        <v>هیئت</v>
      </c>
      <c r="C4613" s="5" t="str">
        <f>IFERROR(__xludf.DUMMYFUNCTION("""COMPUTED_VALUE"""),"جوانان حضرت علی اکبر(ع)")</f>
        <v>جوانان حضرت علی اکبر(ع)</v>
      </c>
      <c r="D4613" s="5" t="str">
        <f>IFERROR(__xludf.DUMMYFUNCTION("""COMPUTED_VALUE"""),"البرز")</f>
        <v>البرز</v>
      </c>
      <c r="E4613" s="5" t="str">
        <f>IFERROR(__xludf.DUMMYFUNCTION("""COMPUTED_VALUE"""),"کرج")</f>
        <v>کرج</v>
      </c>
      <c r="F4613" s="5"/>
      <c r="G4613" s="5"/>
      <c r="H4613" s="6" t="str">
        <f>IFERROR(__xludf.DUMMYFUNCTION("""COMPUTED_VALUE"""),"https://www.instagram.com/ali_akbar_javanan")</f>
        <v>https://www.instagram.com/ali_akbar_javanan</v>
      </c>
      <c r="I4613" s="5"/>
      <c r="J4613" s="6" t="str">
        <f>IFERROR(__xludf.DUMMYFUNCTION("""COMPUTED_VALUE"""),"https://eitaa.com/ali_akbar_javanan")</f>
        <v>https://eitaa.com/ali_akbar_javanan</v>
      </c>
      <c r="K4613" s="5"/>
      <c r="L4613" s="5"/>
      <c r="M4613" s="5"/>
      <c r="N4613" s="5"/>
      <c r="O4613" s="5"/>
      <c r="P4613" s="5"/>
      <c r="Q4613" s="5"/>
      <c r="R4613" s="5"/>
      <c r="S4613" s="5"/>
    </row>
    <row r="4614">
      <c r="A4614" s="5">
        <f>IFERROR(__xludf.DUMMYFUNCTION("""COMPUTED_VALUE"""),20479.0)</f>
        <v>20479</v>
      </c>
      <c r="B4614" s="5" t="str">
        <f>IFERROR(__xludf.DUMMYFUNCTION("""COMPUTED_VALUE"""),"هیئت")</f>
        <v>هیئت</v>
      </c>
      <c r="C4614" s="5" t="str">
        <f>IFERROR(__xludf.DUMMYFUNCTION("""COMPUTED_VALUE"""),"علی اصغر")</f>
        <v>علی اصغر</v>
      </c>
      <c r="D4614" s="5" t="str">
        <f>IFERROR(__xludf.DUMMYFUNCTION("""COMPUTED_VALUE"""),"البرز")</f>
        <v>البرز</v>
      </c>
      <c r="E4614" s="5" t="str">
        <f>IFERROR(__xludf.DUMMYFUNCTION("""COMPUTED_VALUE"""),"کرج")</f>
        <v>کرج</v>
      </c>
      <c r="F4614" s="5"/>
      <c r="G4614" s="5">
        <f>IFERROR(__xludf.DUMMYFUNCTION("""COMPUTED_VALUE"""),1.0)</f>
        <v>1</v>
      </c>
      <c r="H4614" s="6" t="str">
        <f>IFERROR(__xludf.DUMMYFUNCTION("""COMPUTED_VALUE"""),"https://www.instagram.com/aliasqar_313")</f>
        <v>https://www.instagram.com/aliasqar_313</v>
      </c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</row>
    <row r="4615">
      <c r="A4615" s="5">
        <f>IFERROR(__xludf.DUMMYFUNCTION("""COMPUTED_VALUE"""),30250.0)</f>
        <v>30250</v>
      </c>
      <c r="B4615" s="5" t="str">
        <f>IFERROR(__xludf.DUMMYFUNCTION("""COMPUTED_VALUE"""),"هیئت")</f>
        <v>هیئت</v>
      </c>
      <c r="C4615" s="5" t="str">
        <f>IFERROR(__xludf.DUMMYFUNCTION("""COMPUTED_VALUE"""),"انصارالحسین")</f>
        <v>انصارالحسین</v>
      </c>
      <c r="D4615" s="5" t="str">
        <f>IFERROR(__xludf.DUMMYFUNCTION("""COMPUTED_VALUE"""),"البرز")</f>
        <v>البرز</v>
      </c>
      <c r="E4615" s="5" t="str">
        <f>IFERROR(__xludf.DUMMYFUNCTION("""COMPUTED_VALUE"""),"کرج ")</f>
        <v>کرج </v>
      </c>
      <c r="F4615" s="5" t="str">
        <f>IFERROR(__xludf.DUMMYFUNCTION("""COMPUTED_VALUE"""),"محمد شهر ")</f>
        <v>محمد شهر </v>
      </c>
      <c r="G4615" s="5"/>
      <c r="H4615" s="6" t="str">
        <f>IFERROR(__xludf.DUMMYFUNCTION("""COMPUTED_VALUE"""),"https://www.instagram.com/ansa.rolhosein/")</f>
        <v>https://www.instagram.com/ansa.rolhosein/</v>
      </c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</row>
    <row r="4616">
      <c r="A4616" s="5">
        <f>IFERROR(__xludf.DUMMYFUNCTION("""COMPUTED_VALUE"""),18352.0)</f>
        <v>18352</v>
      </c>
      <c r="B4616" s="5" t="str">
        <f>IFERROR(__xludf.DUMMYFUNCTION("""COMPUTED_VALUE"""),"هیئت")</f>
        <v>هیئت</v>
      </c>
      <c r="C4616" s="5" t="str">
        <f>IFERROR(__xludf.DUMMYFUNCTION("""COMPUTED_VALUE"""),"انصارالمهدی (عج)")</f>
        <v>انصارالمهدی (عج)</v>
      </c>
      <c r="D4616" s="5" t="str">
        <f>IFERROR(__xludf.DUMMYFUNCTION("""COMPUTED_VALUE"""),"البرز")</f>
        <v>البرز</v>
      </c>
      <c r="E4616" s="5" t="str">
        <f>IFERROR(__xludf.DUMMYFUNCTION("""COMPUTED_VALUE"""),"هشتگرد")</f>
        <v>هشتگرد</v>
      </c>
      <c r="F4616" s="5"/>
      <c r="G4616" s="5"/>
      <c r="H4616" s="6" t="str">
        <f>IFERROR(__xludf.DUMMYFUNCTION("""COMPUTED_VALUE"""),"https://www.instagram.com/ansaar_ir")</f>
        <v>https://www.instagram.com/ansaar_ir</v>
      </c>
      <c r="I4616" s="5"/>
      <c r="J4616" s="6" t="str">
        <f>IFERROR(__xludf.DUMMYFUNCTION("""COMPUTED_VALUE"""),"https://eitaa.com/ansaar_ir")</f>
        <v>https://eitaa.com/ansaar_ir</v>
      </c>
      <c r="K4616" s="5"/>
      <c r="L4616" s="5"/>
      <c r="M4616" s="5"/>
      <c r="N4616" s="5"/>
      <c r="O4616" s="5"/>
      <c r="P4616" s="5"/>
      <c r="Q4616" s="5"/>
      <c r="R4616" s="5"/>
      <c r="S4616" s="5"/>
    </row>
    <row r="4617">
      <c r="A4617" s="5">
        <f>IFERROR(__xludf.DUMMYFUNCTION("""COMPUTED_VALUE"""),2192.0)</f>
        <v>2192</v>
      </c>
      <c r="B4617" s="5" t="str">
        <f>IFERROR(__xludf.DUMMYFUNCTION("""COMPUTED_VALUE"""),"هیئت")</f>
        <v>هیئت</v>
      </c>
      <c r="C4617" s="5" t="str">
        <f>IFERROR(__xludf.DUMMYFUNCTION("""COMPUTED_VALUE"""),"انصارالعباس")</f>
        <v>انصارالعباس</v>
      </c>
      <c r="D4617" s="5" t="str">
        <f>IFERROR(__xludf.DUMMYFUNCTION("""COMPUTED_VALUE"""),"البرز")</f>
        <v>البرز</v>
      </c>
      <c r="E4617" s="5" t="str">
        <f>IFERROR(__xludf.DUMMYFUNCTION("""COMPUTED_VALUE"""),"کرج")</f>
        <v>کرج</v>
      </c>
      <c r="F4617" s="5"/>
      <c r="G4617" s="5"/>
      <c r="H4617" s="6" t="str">
        <f>IFERROR(__xludf.DUMMYFUNCTION("""COMPUTED_VALUE"""),"https://www.instagram.com/ansar_alabas/")</f>
        <v>https://www.instagram.com/ansar_alabas/</v>
      </c>
      <c r="I4617" s="6" t="str">
        <f>IFERROR(__xludf.DUMMYFUNCTION("""COMPUTED_VALUE"""),"t.me/ansarabass")</f>
        <v>t.me/ansarabass</v>
      </c>
      <c r="J4617" s="5"/>
      <c r="K4617" s="5"/>
      <c r="L4617" s="5"/>
      <c r="M4617" s="5"/>
      <c r="N4617" s="5"/>
      <c r="O4617" s="5"/>
      <c r="P4617" s="5"/>
      <c r="Q4617" s="5"/>
      <c r="R4617" s="5"/>
      <c r="S4617" s="5"/>
    </row>
    <row r="4618">
      <c r="A4618" s="5">
        <f>IFERROR(__xludf.DUMMYFUNCTION("""COMPUTED_VALUE"""),2520.0)</f>
        <v>2520</v>
      </c>
      <c r="B4618" s="5" t="str">
        <f>IFERROR(__xludf.DUMMYFUNCTION("""COMPUTED_VALUE"""),"هیئت")</f>
        <v>هیئت</v>
      </c>
      <c r="C4618" s="5" t="str">
        <f>IFERROR(__xludf.DUMMYFUNCTION("""COMPUTED_VALUE"""),"انصارالرضا(ع) / رهروان شهدا")</f>
        <v>انصارالرضا(ع) / رهروان شهدا</v>
      </c>
      <c r="D4618" s="5" t="str">
        <f>IFERROR(__xludf.DUMMYFUNCTION("""COMPUTED_VALUE"""),"البرز")</f>
        <v>البرز</v>
      </c>
      <c r="E4618" s="5" t="str">
        <f>IFERROR(__xludf.DUMMYFUNCTION("""COMPUTED_VALUE"""),"کرج")</f>
        <v>کرج</v>
      </c>
      <c r="F4618" s="5"/>
      <c r="G4618" s="5">
        <f>IFERROR(__xludf.DUMMYFUNCTION("""COMPUTED_VALUE"""),1.0)</f>
        <v>1</v>
      </c>
      <c r="H4618" s="6" t="str">
        <f>IFERROR(__xludf.DUMMYFUNCTION("""COMPUTED_VALUE"""),"https://www.instagram.com/ansar_alreza1380")</f>
        <v>https://www.instagram.com/ansar_alreza1380</v>
      </c>
      <c r="I4618" s="6" t="str">
        <f>IFERROR(__xludf.DUMMYFUNCTION("""COMPUTED_VALUE"""),"https://t.me/Sajjadieh_1380")</f>
        <v>https://t.me/Sajjadieh_1380</v>
      </c>
      <c r="J4618" s="5"/>
      <c r="K4618" s="5"/>
      <c r="L4618" s="5"/>
      <c r="M4618" s="5"/>
      <c r="N4618" s="5"/>
      <c r="O4618" s="5"/>
      <c r="P4618" s="5"/>
      <c r="Q4618" s="5"/>
      <c r="R4618" s="5"/>
      <c r="S4618" s="5"/>
    </row>
    <row r="4619">
      <c r="A4619" s="5">
        <f>IFERROR(__xludf.DUMMYFUNCTION("""COMPUTED_VALUE"""),20272.0)</f>
        <v>20272</v>
      </c>
      <c r="B4619" s="5" t="str">
        <f>IFERROR(__xludf.DUMMYFUNCTION("""COMPUTED_VALUE"""),"هیئت")</f>
        <v>هیئت</v>
      </c>
      <c r="C4619" s="5" t="str">
        <f>IFERROR(__xludf.DUMMYFUNCTION("""COMPUTED_VALUE"""),"انصارالمهدی (عج)")</f>
        <v>انصارالمهدی (عج)</v>
      </c>
      <c r="D4619" s="5" t="str">
        <f>IFERROR(__xludf.DUMMYFUNCTION("""COMPUTED_VALUE"""),"البرز")</f>
        <v>البرز</v>
      </c>
      <c r="E4619" s="5" t="str">
        <f>IFERROR(__xludf.DUMMYFUNCTION("""COMPUTED_VALUE"""),"کرج")</f>
        <v>کرج</v>
      </c>
      <c r="F4619" s="5"/>
      <c r="G4619" s="5"/>
      <c r="H4619" s="6" t="str">
        <f>IFERROR(__xludf.DUMMYFUNCTION("""COMPUTED_VALUE"""),"https://www.instagram.com/ansar_jahadi")</f>
        <v>https://www.instagram.com/ansar_jahadi</v>
      </c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</row>
    <row r="4620">
      <c r="A4620" s="5">
        <f>IFERROR(__xludf.DUMMYFUNCTION("""COMPUTED_VALUE"""),2153.0)</f>
        <v>2153</v>
      </c>
      <c r="B4620" s="5" t="str">
        <f>IFERROR(__xludf.DUMMYFUNCTION("""COMPUTED_VALUE"""),"هیئت")</f>
        <v>هیئت</v>
      </c>
      <c r="C4620" s="5" t="str">
        <f>IFERROR(__xludf.DUMMYFUNCTION("""COMPUTED_VALUE"""),"انصارالامام (رزمندگان اسلام)")</f>
        <v>انصارالامام (رزمندگان اسلام)</v>
      </c>
      <c r="D4620" s="5" t="str">
        <f>IFERROR(__xludf.DUMMYFUNCTION("""COMPUTED_VALUE"""),"البرز")</f>
        <v>البرز</v>
      </c>
      <c r="E4620" s="5" t="str">
        <f>IFERROR(__xludf.DUMMYFUNCTION("""COMPUTED_VALUE"""),"کرج")</f>
        <v>کرج</v>
      </c>
      <c r="F4620" s="5"/>
      <c r="G4620" s="5"/>
      <c r="H4620" s="6" t="str">
        <f>IFERROR(__xludf.DUMMYFUNCTION("""COMPUTED_VALUE"""),"https://www.instagram.com/ansaremam.ir/")</f>
        <v>https://www.instagram.com/ansaremam.ir/</v>
      </c>
      <c r="I4620" s="6" t="str">
        <f>IFERROR(__xludf.DUMMYFUNCTION("""COMPUTED_VALUE"""),"https://t.me/ansaremam_ir")</f>
        <v>https://t.me/ansaremam_ir</v>
      </c>
      <c r="J4620" s="6" t="str">
        <f>IFERROR(__xludf.DUMMYFUNCTION("""COMPUTED_VALUE"""),"https://eitaa.com/ansaremamir")</f>
        <v>https://eitaa.com/ansaremamir</v>
      </c>
      <c r="K4620" s="5"/>
      <c r="L4620" s="5"/>
      <c r="M4620" s="5"/>
      <c r="N4620" s="5"/>
      <c r="O4620" s="5"/>
      <c r="P4620" s="5"/>
      <c r="Q4620" s="5"/>
      <c r="R4620" s="5"/>
      <c r="S4620" s="5"/>
    </row>
    <row r="4621">
      <c r="A4621" s="5">
        <f>IFERROR(__xludf.DUMMYFUNCTION("""COMPUTED_VALUE"""),2516.0)</f>
        <v>2516</v>
      </c>
      <c r="B4621" s="5" t="str">
        <f>IFERROR(__xludf.DUMMYFUNCTION("""COMPUTED_VALUE"""),"هیئت")</f>
        <v>هیئت</v>
      </c>
      <c r="C4621" s="5" t="str">
        <f>IFERROR(__xludf.DUMMYFUNCTION("""COMPUTED_VALUE"""),"انصار")</f>
        <v>انصار</v>
      </c>
      <c r="D4621" s="5" t="str">
        <f>IFERROR(__xludf.DUMMYFUNCTION("""COMPUTED_VALUE"""),"البرز")</f>
        <v>البرز</v>
      </c>
      <c r="E4621" s="5" t="str">
        <f>IFERROR(__xludf.DUMMYFUNCTION("""COMPUTED_VALUE"""),"کرج")</f>
        <v>کرج</v>
      </c>
      <c r="F4621" s="5"/>
      <c r="G4621" s="5"/>
      <c r="H4621" s="6" t="str">
        <f>IFERROR(__xludf.DUMMYFUNCTION("""COMPUTED_VALUE"""),"https://www.instagram.com/ansaremam/")</f>
        <v>https://www.instagram.com/ansaremam/</v>
      </c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</row>
    <row r="4622">
      <c r="A4622" s="5">
        <f>IFERROR(__xludf.DUMMYFUNCTION("""COMPUTED_VALUE"""),2465.0)</f>
        <v>2465</v>
      </c>
      <c r="B4622" s="5" t="str">
        <f>IFERROR(__xludf.DUMMYFUNCTION("""COMPUTED_VALUE"""),"هیئت")</f>
        <v>هیئت</v>
      </c>
      <c r="C4622" s="5" t="str">
        <f>IFERROR(__xludf.DUMMYFUNCTION("""COMPUTED_VALUE"""),"انصارالمهدی (عج)")</f>
        <v>انصارالمهدی (عج)</v>
      </c>
      <c r="D4622" s="5" t="str">
        <f>IFERROR(__xludf.DUMMYFUNCTION("""COMPUTED_VALUE"""),"البرز")</f>
        <v>البرز</v>
      </c>
      <c r="E4622" s="5" t="str">
        <f>IFERROR(__xludf.DUMMYFUNCTION("""COMPUTED_VALUE"""),"کرج")</f>
        <v>کرج</v>
      </c>
      <c r="F4622" s="5"/>
      <c r="G4622" s="5"/>
      <c r="H4622" s="6" t="str">
        <f>IFERROR(__xludf.DUMMYFUNCTION("""COMPUTED_VALUE"""),"https://www.instagram.com/ansarolmahdi_karaj")</f>
        <v>https://www.instagram.com/ansarolmahdi_karaj</v>
      </c>
      <c r="I4622" s="6" t="str">
        <f>IFERROR(__xludf.DUMMYFUNCTION("""COMPUTED_VALUE"""),"https://t.me/Ansarolmahdi_Karaj")</f>
        <v>https://t.me/Ansarolmahdi_Karaj</v>
      </c>
      <c r="J4622" s="6" t="str">
        <f>IFERROR(__xludf.DUMMYFUNCTION("""COMPUTED_VALUE"""),"https://l.instagram.com/?u=https%3A%2F%2Feitaa.com%2Fjoinchat%2F3946578260C24fe94a0ac%3Futm_source%3Dig%26utm_medium%3Dsocial%26utm_content%3Dlink_in_bio%26fbclid%3DPAZXh0bgNhZW0CMTEAc3J0YwZhcHBfaWQMMjU2MjgxMDQwNTU4AAGnC9BNTRe2XXheGHJQVe7Ol8GQB1NE3IlU7pyF"&amp;"na2MEA4VAotCoRgmS7p19zI_aem_sMqTBjJEpi1ePtdmY8J9KQ&amp;e=AT11gQIUK1vDnrmbGWx7bHmzl9Aqj53CtE6wfdHjU5akSM1Yucv5Wbayvm5TNHs1dvS3bItYogUeoelu9swN3G-7dg55Jdorrza7kCWr0Q")</f>
        <v>https://l.instagram.com/?u=https%3A%2F%2Feitaa.com%2Fjoinchat%2F3946578260C24fe94a0ac%3Futm_source%3Dig%26utm_medium%3Dsocial%26utm_content%3Dlink_in_bio%26fbclid%3DPAZXh0bgNhZW0CMTEAc3J0YwZhcHBfaWQMMjU2MjgxMDQwNTU4AAGnC9BNTRe2XXheGHJQVe7Ol8GQB1NE3IlU7pyFna2MEA4VAotCoRgmS7p19zI_aem_sMqTBjJEpi1ePtdmY8J9KQ&amp;e=AT11gQIUK1vDnrmbGWx7bHmzl9Aqj53CtE6wfdHjU5akSM1Yucv5Wbayvm5TNHs1dvS3bItYogUeoelu9swN3G-7dg55Jdorrza7kCWr0Q</v>
      </c>
      <c r="K4622" s="5"/>
      <c r="L4622" s="5"/>
      <c r="M4622" s="5"/>
      <c r="N4622" s="5"/>
      <c r="O4622" s="5"/>
      <c r="P4622" s="5"/>
      <c r="Q4622" s="5"/>
      <c r="R4622" s="5"/>
      <c r="S4622" s="5"/>
    </row>
    <row r="4623">
      <c r="A4623" s="5">
        <f>IFERROR(__xludf.DUMMYFUNCTION("""COMPUTED_VALUE"""),2358.0)</f>
        <v>2358</v>
      </c>
      <c r="B4623" s="5" t="str">
        <f>IFERROR(__xludf.DUMMYFUNCTION("""COMPUTED_VALUE"""),"هیئت")</f>
        <v>هیئت</v>
      </c>
      <c r="C4623" s="5" t="str">
        <f>IFERROR(__xludf.DUMMYFUNCTION("""COMPUTED_VALUE"""),"انصارالمهدی (عج)")</f>
        <v>انصارالمهدی (عج)</v>
      </c>
      <c r="D4623" s="5" t="str">
        <f>IFERROR(__xludf.DUMMYFUNCTION("""COMPUTED_VALUE"""),"البرز")</f>
        <v>البرز</v>
      </c>
      <c r="E4623" s="5" t="str">
        <f>IFERROR(__xludf.DUMMYFUNCTION("""COMPUTED_VALUE"""),"کرج")</f>
        <v>کرج</v>
      </c>
      <c r="F4623" s="5" t="str">
        <f>IFERROR(__xludf.DUMMYFUNCTION("""COMPUTED_VALUE"""),"نظرآباد")</f>
        <v>نظرآباد</v>
      </c>
      <c r="G4623" s="5"/>
      <c r="H4623" s="6" t="str">
        <f>IFERROR(__xludf.DUMMYFUNCTION("""COMPUTED_VALUE"""),"https://www.instagram.com/ansarolmahdi.nazarabad/")</f>
        <v>https://www.instagram.com/ansarolmahdi.nazarabad/</v>
      </c>
      <c r="I4623" s="6" t="str">
        <f>IFERROR(__xludf.DUMMYFUNCTION("""COMPUTED_VALUE"""),"t.me/@ansarolmahdinazarabad")</f>
        <v>t.me/@ansarolmahdinazarabad</v>
      </c>
      <c r="J4623" s="5"/>
      <c r="K4623" s="5"/>
      <c r="L4623" s="5"/>
      <c r="M4623" s="5"/>
      <c r="N4623" s="5"/>
      <c r="O4623" s="5"/>
      <c r="P4623" s="5"/>
      <c r="Q4623" s="5"/>
      <c r="R4623" s="5"/>
      <c r="S4623" s="5"/>
    </row>
    <row r="4624">
      <c r="A4624" s="5">
        <f>IFERROR(__xludf.DUMMYFUNCTION("""COMPUTED_VALUE"""),20276.0)</f>
        <v>20276</v>
      </c>
      <c r="B4624" s="5" t="str">
        <f>IFERROR(__xludf.DUMMYFUNCTION("""COMPUTED_VALUE"""),"هیئت")</f>
        <v>هیئت</v>
      </c>
      <c r="C4624" s="5" t="str">
        <f>IFERROR(__xludf.DUMMYFUNCTION("""COMPUTED_VALUE"""),"انصارالمهدی (عج)")</f>
        <v>انصارالمهدی (عج)</v>
      </c>
      <c r="D4624" s="5" t="str">
        <f>IFERROR(__xludf.DUMMYFUNCTION("""COMPUTED_VALUE"""),"البرز")</f>
        <v>البرز</v>
      </c>
      <c r="E4624" s="5" t="str">
        <f>IFERROR(__xludf.DUMMYFUNCTION("""COMPUTED_VALUE"""),"کرج")</f>
        <v>کرج</v>
      </c>
      <c r="F4624" s="5"/>
      <c r="G4624" s="5">
        <f>IFERROR(__xludf.DUMMYFUNCTION("""COMPUTED_VALUE"""),1.0)</f>
        <v>1</v>
      </c>
      <c r="H4624" s="6" t="str">
        <f>IFERROR(__xludf.DUMMYFUNCTION("""COMPUTED_VALUE"""),"https://www.instagram.com/ansarolmahdi.pnu.ir")</f>
        <v>https://www.instagram.com/ansarolmahdi.pnu.ir</v>
      </c>
      <c r="I4624" s="6" t="str">
        <f>IFERROR(__xludf.DUMMYFUNCTION("""COMPUTED_VALUE"""),"https://t.me/ansarolmahdipnuir")</f>
        <v>https://t.me/ansarolmahdipnuir</v>
      </c>
      <c r="J4624" s="5"/>
      <c r="K4624" s="5"/>
      <c r="L4624" s="5"/>
      <c r="M4624" s="5"/>
      <c r="N4624" s="5"/>
      <c r="O4624" s="5"/>
      <c r="P4624" s="5"/>
      <c r="Q4624" s="5"/>
      <c r="R4624" s="5"/>
      <c r="S4624" s="5"/>
    </row>
    <row r="4625">
      <c r="A4625" s="5">
        <f>IFERROR(__xludf.DUMMYFUNCTION("""COMPUTED_VALUE"""),20235.0)</f>
        <v>20235</v>
      </c>
      <c r="B4625" s="5" t="str">
        <f>IFERROR(__xludf.DUMMYFUNCTION("""COMPUTED_VALUE"""),"هیئت")</f>
        <v>هیئت</v>
      </c>
      <c r="C4625" s="5" t="str">
        <f>IFERROR(__xludf.DUMMYFUNCTION("""COMPUTED_VALUE"""),"انصارالزهرا (س)")</f>
        <v>انصارالزهرا (س)</v>
      </c>
      <c r="D4625" s="5" t="str">
        <f>IFERROR(__xludf.DUMMYFUNCTION("""COMPUTED_VALUE"""),"البرز")</f>
        <v>البرز</v>
      </c>
      <c r="E4625" s="5" t="str">
        <f>IFERROR(__xludf.DUMMYFUNCTION("""COMPUTED_VALUE"""),"کرج")</f>
        <v>کرج</v>
      </c>
      <c r="F4625" s="5"/>
      <c r="G4625" s="5"/>
      <c r="H4625" s="6" t="str">
        <f>IFERROR(__xludf.DUMMYFUNCTION("""COMPUTED_VALUE"""),"https://www.instagram.com/ansarozahra_rozeh/")</f>
        <v>https://www.instagram.com/ansarozahra_rozeh/</v>
      </c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</row>
    <row r="4626">
      <c r="A4626" s="5">
        <f>IFERROR(__xludf.DUMMYFUNCTION("""COMPUTED_VALUE"""),24801.0)</f>
        <v>24801</v>
      </c>
      <c r="B4626" s="5" t="str">
        <f>IFERROR(__xludf.DUMMYFUNCTION("""COMPUTED_VALUE"""),"هیئت")</f>
        <v>هیئت</v>
      </c>
      <c r="C4626" s="5" t="str">
        <f>IFERROR(__xludf.DUMMYFUNCTION("""COMPUTED_VALUE"""),"اصحاب المهدی (عج)")</f>
        <v>اصحاب المهدی (عج)</v>
      </c>
      <c r="D4626" s="5" t="str">
        <f>IFERROR(__xludf.DUMMYFUNCTION("""COMPUTED_VALUE"""),"البرز")</f>
        <v>البرز</v>
      </c>
      <c r="E4626" s="5" t="str">
        <f>IFERROR(__xludf.DUMMYFUNCTION("""COMPUTED_VALUE"""),"کرج")</f>
        <v>کرج</v>
      </c>
      <c r="F4626" s="5"/>
      <c r="G4626" s="5"/>
      <c r="H4626" s="6" t="str">
        <f>IFERROR(__xludf.DUMMYFUNCTION("""COMPUTED_VALUE"""),"https://www.instagram.com/ashaab_almahdi")</f>
        <v>https://www.instagram.com/ashaab_almahdi</v>
      </c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</row>
    <row r="4627">
      <c r="A4627" s="5">
        <f>IFERROR(__xludf.DUMMYFUNCTION("""COMPUTED_VALUE"""),2229.0)</f>
        <v>2229</v>
      </c>
      <c r="B4627" s="5" t="str">
        <f>IFERROR(__xludf.DUMMYFUNCTION("""COMPUTED_VALUE"""),"هیئت")</f>
        <v>هیئت</v>
      </c>
      <c r="C4627" s="5" t="str">
        <f>IFERROR(__xludf.DUMMYFUNCTION("""COMPUTED_VALUE"""),"کانون عاشقان شهادت")</f>
        <v>کانون عاشقان شهادت</v>
      </c>
      <c r="D4627" s="5" t="str">
        <f>IFERROR(__xludf.DUMMYFUNCTION("""COMPUTED_VALUE"""),"البرز")</f>
        <v>البرز</v>
      </c>
      <c r="E4627" s="5" t="str">
        <f>IFERROR(__xludf.DUMMYFUNCTION("""COMPUTED_VALUE"""),"کرج")</f>
        <v>کرج</v>
      </c>
      <c r="F4627" s="5"/>
      <c r="G4627" s="5"/>
      <c r="H4627" s="6" t="str">
        <f>IFERROR(__xludf.DUMMYFUNCTION("""COMPUTED_VALUE"""),"https://www.instagram.com/asheghane_shahadat110")</f>
        <v>https://www.instagram.com/asheghane_shahadat110</v>
      </c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</row>
    <row r="4628">
      <c r="A4628" s="5">
        <f>IFERROR(__xludf.DUMMYFUNCTION("""COMPUTED_VALUE"""),32492.0)</f>
        <v>32492</v>
      </c>
      <c r="B4628" s="5" t="str">
        <f>IFERROR(__xludf.DUMMYFUNCTION("""COMPUTED_VALUE"""),"هیئت")</f>
        <v>هیئت</v>
      </c>
      <c r="C4628" s="5" t="str">
        <f>IFERROR(__xludf.DUMMYFUNCTION("""COMPUTED_VALUE"""),"اول مظلوم/امیرالمومنین (ع)")</f>
        <v>اول مظلوم/امیرالمومنین (ع)</v>
      </c>
      <c r="D4628" s="5" t="str">
        <f>IFERROR(__xludf.DUMMYFUNCTION("""COMPUTED_VALUE"""),"البرز")</f>
        <v>البرز</v>
      </c>
      <c r="E4628" s="5" t="str">
        <f>IFERROR(__xludf.DUMMYFUNCTION("""COMPUTED_VALUE"""),"کرج")</f>
        <v>کرج</v>
      </c>
      <c r="F4628" s="5"/>
      <c r="G4628" s="5"/>
      <c r="H4628" s="6" t="str">
        <f>IFERROR(__xludf.DUMMYFUNCTION("""COMPUTED_VALUE"""),"https://www.instagram.com/avval_mazlom/")</f>
        <v>https://www.instagram.com/avval_mazlom/</v>
      </c>
      <c r="I4628" s="6" t="str">
        <f>IFERROR(__xludf.DUMMYFUNCTION("""COMPUTED_VALUE"""),"https://l.instagram.com/?u=https%3A%2F%2Ft.me%2Favval_mazlom%3Futm_source%3Dig%26utm_medium%3Dsocial%26utm_content%3Dlink_in_bio%26fbclid%3DPAZXh0bgNhZW0CMTEAc3J0YwZhcHBfaWQMMjU2MjgxMDQwNTU4AAGnNBsINHoJwpn-BVKRbsuYyn8gq1bOSR4xJ0Tax6H1OTiIV8OI7Y3vQ8zmViA_a"&amp;"em_zWdQGRLmGvVtTpCqTikMrw&amp;e=AT2mgfSG0o6MD0KIkBG-MTzcrvNSALR6ivfPQrFsaw6JEFrZ9chiJJXQQO46ZppG61f5wmh0WcfG8bFGVCB6ODqtizDZQHaVJVMfip8PcQ")</f>
        <v>https://l.instagram.com/?u=https%3A%2F%2Ft.me%2Favval_mazlom%3Futm_source%3Dig%26utm_medium%3Dsocial%26utm_content%3Dlink_in_bio%26fbclid%3DPAZXh0bgNhZW0CMTEAc3J0YwZhcHBfaWQMMjU2MjgxMDQwNTU4AAGnNBsINHoJwpn-BVKRbsuYyn8gq1bOSR4xJ0Tax6H1OTiIV8OI7Y3vQ8zmViA_aem_zWdQGRLmGvVtTpCqTikMrw&amp;e=AT2mgfSG0o6MD0KIkBG-MTzcrvNSALR6ivfPQrFsaw6JEFrZ9chiJJXQQO46ZppG61f5wmh0WcfG8bFGVCB6ODqtizDZQHaVJVMfip8PcQ</v>
      </c>
      <c r="J4628" s="5"/>
      <c r="K4628" s="5"/>
      <c r="L4628" s="5"/>
      <c r="M4628" s="5"/>
      <c r="N4628" s="5"/>
      <c r="O4628" s="5"/>
      <c r="P4628" s="5"/>
      <c r="Q4628" s="5"/>
      <c r="R4628" s="5"/>
      <c r="S4628" s="5"/>
    </row>
    <row r="4629">
      <c r="A4629" s="5">
        <f>IFERROR(__xludf.DUMMYFUNCTION("""COMPUTED_VALUE"""),25453.0)</f>
        <v>25453</v>
      </c>
      <c r="B4629" s="5" t="str">
        <f>IFERROR(__xludf.DUMMYFUNCTION("""COMPUTED_VALUE"""),"هیئت دخترانه ")</f>
        <v>هیئت دخترانه </v>
      </c>
      <c r="C4629" s="5" t="str">
        <f>IFERROR(__xludf.DUMMYFUNCTION("""COMPUTED_VALUE"""),"بنات الحیدر")</f>
        <v>بنات الحیدر</v>
      </c>
      <c r="D4629" s="5" t="str">
        <f>IFERROR(__xludf.DUMMYFUNCTION("""COMPUTED_VALUE"""),"البرز")</f>
        <v>البرز</v>
      </c>
      <c r="E4629" s="5" t="str">
        <f>IFERROR(__xludf.DUMMYFUNCTION("""COMPUTED_VALUE"""),"کرج")</f>
        <v>کرج</v>
      </c>
      <c r="F4629" s="5"/>
      <c r="G4629" s="5"/>
      <c r="H4629" s="6" t="str">
        <f>IFERROR(__xludf.DUMMYFUNCTION("""COMPUTED_VALUE"""),"https://www.instagram.com/banatolheydar")</f>
        <v>https://www.instagram.com/banatolheydar</v>
      </c>
      <c r="I4629" s="5"/>
      <c r="J4629" s="6" t="str">
        <f>IFERROR(__xludf.DUMMYFUNCTION("""COMPUTED_VALUE"""),"https://eitaa.com/banatolheydar")</f>
        <v>https://eitaa.com/banatolheydar</v>
      </c>
      <c r="K4629" s="5"/>
      <c r="L4629" s="5"/>
      <c r="M4629" s="5"/>
      <c r="N4629" s="5"/>
      <c r="O4629" s="5"/>
      <c r="P4629" s="5"/>
      <c r="Q4629" s="5"/>
      <c r="R4629" s="5"/>
      <c r="S4629" s="5"/>
    </row>
    <row r="4630">
      <c r="A4630" s="5">
        <f>IFERROR(__xludf.DUMMYFUNCTION("""COMPUTED_VALUE"""),19968.0)</f>
        <v>19968</v>
      </c>
      <c r="B4630" s="5" t="str">
        <f>IFERROR(__xludf.DUMMYFUNCTION("""COMPUTED_VALUE"""),"هیئت")</f>
        <v>هیئت</v>
      </c>
      <c r="C4630" s="5" t="str">
        <f>IFERROR(__xludf.DUMMYFUNCTION("""COMPUTED_VALUE"""),"بیت المهدی(عج)")</f>
        <v>بیت المهدی(عج)</v>
      </c>
      <c r="D4630" s="5" t="str">
        <f>IFERROR(__xludf.DUMMYFUNCTION("""COMPUTED_VALUE"""),"البرز")</f>
        <v>البرز</v>
      </c>
      <c r="E4630" s="5" t="str">
        <f>IFERROR(__xludf.DUMMYFUNCTION("""COMPUTED_VALUE"""),"کرج")</f>
        <v>کرج</v>
      </c>
      <c r="F4630" s="5"/>
      <c r="G4630" s="5"/>
      <c r="H4630" s="6" t="str">
        <f>IFERROR(__xludf.DUMMYFUNCTION("""COMPUTED_VALUE"""),"https://www.instagram.com/bargah.ir")</f>
        <v>https://www.instagram.com/bargah.ir</v>
      </c>
      <c r="I4630" s="6" t="str">
        <f>IFERROR(__xludf.DUMMYFUNCTION("""COMPUTED_VALUE"""),"https://t.me/rahmannavazani")</f>
        <v>https://t.me/rahmannavazani</v>
      </c>
      <c r="J4630" s="6" t="str">
        <f>IFERROR(__xludf.DUMMYFUNCTION("""COMPUTED_VALUE"""),"https://eitaa.com/baregah")</f>
        <v>https://eitaa.com/baregah</v>
      </c>
      <c r="K4630" s="5"/>
      <c r="L4630" s="5"/>
      <c r="M4630" s="5"/>
      <c r="N4630" s="5"/>
      <c r="O4630" s="5"/>
      <c r="P4630" s="5"/>
      <c r="Q4630" s="5"/>
      <c r="R4630" s="5"/>
      <c r="S4630" s="5"/>
    </row>
    <row r="4631">
      <c r="A4631" s="5">
        <f>IFERROR(__xludf.DUMMYFUNCTION("""COMPUTED_VALUE"""),29211.0)</f>
        <v>29211</v>
      </c>
      <c r="B4631" s="5" t="str">
        <f>IFERROR(__xludf.DUMMYFUNCTION("""COMPUTED_VALUE"""),"هیئت")</f>
        <v>هیئت</v>
      </c>
      <c r="C4631" s="5" t="str">
        <f>IFERROR(__xludf.DUMMYFUNCTION("""COMPUTED_VALUE"""),"بچه‌های بهشت")</f>
        <v>بچه‌های بهشت</v>
      </c>
      <c r="D4631" s="5" t="str">
        <f>IFERROR(__xludf.DUMMYFUNCTION("""COMPUTED_VALUE"""),"البرز")</f>
        <v>البرز</v>
      </c>
      <c r="E4631" s="5" t="str">
        <f>IFERROR(__xludf.DUMMYFUNCTION("""COMPUTED_VALUE"""),"کرج ")</f>
        <v>کرج </v>
      </c>
      <c r="F4631" s="5"/>
      <c r="G4631" s="5"/>
      <c r="H4631" s="6" t="str">
        <f>IFERROR(__xludf.DUMMYFUNCTION("""COMPUTED_VALUE"""),"https://www.instagram.com/beheshttv")</f>
        <v>https://www.instagram.com/beheshttv</v>
      </c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</row>
    <row r="4632">
      <c r="A4632" s="5">
        <f>IFERROR(__xludf.DUMMYFUNCTION("""COMPUTED_VALUE"""),18556.0)</f>
        <v>18556</v>
      </c>
      <c r="B4632" s="5" t="str">
        <f>IFERROR(__xludf.DUMMYFUNCTION("""COMPUTED_VALUE"""),"هیئت")</f>
        <v>هیئت</v>
      </c>
      <c r="C4632" s="5" t="str">
        <f>IFERROR(__xludf.DUMMYFUNCTION("""COMPUTED_VALUE"""),"بنت النور")</f>
        <v>بنت النور</v>
      </c>
      <c r="D4632" s="5" t="str">
        <f>IFERROR(__xludf.DUMMYFUNCTION("""COMPUTED_VALUE"""),"البرز")</f>
        <v>البرز</v>
      </c>
      <c r="E4632" s="5" t="str">
        <f>IFERROR(__xludf.DUMMYFUNCTION("""COMPUTED_VALUE"""),"کرج")</f>
        <v>کرج</v>
      </c>
      <c r="F4632" s="5"/>
      <c r="G4632" s="5">
        <f>IFERROR(__xludf.DUMMYFUNCTION("""COMPUTED_VALUE"""),1.0)</f>
        <v>1</v>
      </c>
      <c r="H4632" s="6" t="str">
        <f>IFERROR(__xludf.DUMMYFUNCTION("""COMPUTED_VALUE"""),"https://www.instagram.com/beitonoor.alborz")</f>
        <v>https://www.instagram.com/beitonoor.alborz</v>
      </c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</row>
    <row r="4633">
      <c r="A4633" s="5">
        <f>IFERROR(__xludf.DUMMYFUNCTION("""COMPUTED_VALUE"""),18350.0)</f>
        <v>18350</v>
      </c>
      <c r="B4633" s="5" t="str">
        <f>IFERROR(__xludf.DUMMYFUNCTION("""COMPUTED_VALUE"""),"هیئت")</f>
        <v>هیئت</v>
      </c>
      <c r="C4633" s="5" t="str">
        <f>IFERROR(__xludf.DUMMYFUNCTION("""COMPUTED_VALUE"""),"کربلای بیت المهدی (عج)")</f>
        <v>کربلای بیت المهدی (عج)</v>
      </c>
      <c r="D4633" s="5" t="str">
        <f>IFERROR(__xludf.DUMMYFUNCTION("""COMPUTED_VALUE"""),"البرز")</f>
        <v>البرز</v>
      </c>
      <c r="E4633" s="5" t="str">
        <f>IFERROR(__xludf.DUMMYFUNCTION("""COMPUTED_VALUE"""),"محمدشهر")</f>
        <v>محمدشهر</v>
      </c>
      <c r="F4633" s="5"/>
      <c r="G4633" s="5"/>
      <c r="H4633" s="6" t="str">
        <f>IFERROR(__xludf.DUMMYFUNCTION("""COMPUTED_VALUE"""),"https://www.instagram.com/beitoolmahdi/")</f>
        <v>https://www.instagram.com/beitoolmahdi/</v>
      </c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</row>
    <row r="4634">
      <c r="A4634" s="5">
        <f>IFERROR(__xludf.DUMMYFUNCTION("""COMPUTED_VALUE"""),2493.0)</f>
        <v>2493</v>
      </c>
      <c r="B4634" s="5" t="str">
        <f>IFERROR(__xludf.DUMMYFUNCTION("""COMPUTED_VALUE"""),"هیئت")</f>
        <v>هیئت</v>
      </c>
      <c r="C4634" s="5" t="str">
        <f>IFERROR(__xludf.DUMMYFUNCTION("""COMPUTED_VALUE"""),"بیت الرضا(ع)")</f>
        <v>بیت الرضا(ع)</v>
      </c>
      <c r="D4634" s="5" t="str">
        <f>IFERROR(__xludf.DUMMYFUNCTION("""COMPUTED_VALUE"""),"البرز")</f>
        <v>البرز</v>
      </c>
      <c r="E4634" s="5" t="str">
        <f>IFERROR(__xludf.DUMMYFUNCTION("""COMPUTED_VALUE"""),"کرج")</f>
        <v>کرج</v>
      </c>
      <c r="F4634" s="5"/>
      <c r="G4634" s="5"/>
      <c r="H4634" s="6" t="str">
        <f>IFERROR(__xludf.DUMMYFUNCTION("""COMPUTED_VALUE"""),"https://www.instagram.com/beitoreza_ir")</f>
        <v>https://www.instagram.com/beitoreza_ir</v>
      </c>
      <c r="I4634" s="5"/>
      <c r="J4634" s="6" t="str">
        <f>IFERROR(__xludf.DUMMYFUNCTION("""COMPUTED_VALUE"""),"https://eitaa.com/beitoreza_ir")</f>
        <v>https://eitaa.com/beitoreza_ir</v>
      </c>
      <c r="K4634" s="5"/>
      <c r="L4634" s="5"/>
      <c r="M4634" s="5"/>
      <c r="N4634" s="5"/>
      <c r="O4634" s="5"/>
      <c r="P4634" s="5"/>
      <c r="Q4634" s="5"/>
      <c r="R4634" s="5"/>
      <c r="S4634" s="5"/>
    </row>
    <row r="4635">
      <c r="A4635" s="5">
        <f>IFERROR(__xludf.DUMMYFUNCTION("""COMPUTED_VALUE"""),18552.0)</f>
        <v>18552</v>
      </c>
      <c r="B4635" s="5" t="str">
        <f>IFERROR(__xludf.DUMMYFUNCTION("""COMPUTED_VALUE"""),"هیئت")</f>
        <v>هیئت</v>
      </c>
      <c r="C4635" s="5" t="str">
        <f>IFERROR(__xludf.DUMMYFUNCTION("""COMPUTED_VALUE"""),"بنت الهدی(س)")</f>
        <v>بنت الهدی(س)</v>
      </c>
      <c r="D4635" s="5" t="str">
        <f>IFERROR(__xludf.DUMMYFUNCTION("""COMPUTED_VALUE"""),"البرز")</f>
        <v>البرز</v>
      </c>
      <c r="E4635" s="5" t="str">
        <f>IFERROR(__xludf.DUMMYFUNCTION("""COMPUTED_VALUE"""),"فردیس")</f>
        <v>فردیس</v>
      </c>
      <c r="F4635" s="5"/>
      <c r="G4635" s="5"/>
      <c r="H4635" s="6" t="str">
        <f>IFERROR(__xludf.DUMMYFUNCTION("""COMPUTED_VALUE"""),"https://www.instagram.com/bentolhoda81")</f>
        <v>https://www.instagram.com/bentolhoda81</v>
      </c>
      <c r="I4635" s="5"/>
      <c r="J4635" s="6" t="str">
        <f>IFERROR(__xludf.DUMMYFUNCTION("""COMPUTED_VALUE"""),"https://eitaa.com/bentolhoda_81")</f>
        <v>https://eitaa.com/bentolhoda_81</v>
      </c>
      <c r="K4635" s="5"/>
      <c r="L4635" s="5"/>
      <c r="M4635" s="5"/>
      <c r="N4635" s="5"/>
      <c r="O4635" s="5"/>
      <c r="P4635" s="5"/>
      <c r="Q4635" s="5"/>
      <c r="R4635" s="5"/>
      <c r="S4635" s="5"/>
    </row>
    <row r="4636">
      <c r="A4636" s="5">
        <f>IFERROR(__xludf.DUMMYFUNCTION("""COMPUTED_VALUE"""),2479.0)</f>
        <v>2479</v>
      </c>
      <c r="B4636" s="5" t="str">
        <f>IFERROR(__xludf.DUMMYFUNCTION("""COMPUTED_VALUE"""),"هیئت")</f>
        <v>هیئت</v>
      </c>
      <c r="C4636" s="5" t="str">
        <f>IFERROR(__xludf.DUMMYFUNCTION("""COMPUTED_VALUE"""),"بین الحرمین")</f>
        <v>بین الحرمین</v>
      </c>
      <c r="D4636" s="5" t="str">
        <f>IFERROR(__xludf.DUMMYFUNCTION("""COMPUTED_VALUE"""),"البرز")</f>
        <v>البرز</v>
      </c>
      <c r="E4636" s="5" t="str">
        <f>IFERROR(__xludf.DUMMYFUNCTION("""COMPUTED_VALUE"""),"کرج")</f>
        <v>کرج</v>
      </c>
      <c r="F4636" s="5"/>
      <c r="G4636" s="5"/>
      <c r="H4636" s="6" t="str">
        <f>IFERROR(__xludf.DUMMYFUNCTION("""COMPUTED_VALUE"""),"https://www.instagram.com/beynollharamein8/")</f>
        <v>https://www.instagram.com/beynollharamein8/</v>
      </c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</row>
    <row r="4637">
      <c r="A4637" s="5">
        <f>IFERROR(__xludf.DUMMYFUNCTION("""COMPUTED_VALUE"""),19885.0)</f>
        <v>19885</v>
      </c>
      <c r="B4637" s="5" t="str">
        <f>IFERROR(__xludf.DUMMYFUNCTION("""COMPUTED_VALUE"""),"هیئت")</f>
        <v>هیئت</v>
      </c>
      <c r="C4637" s="5" t="str">
        <f>IFERROR(__xludf.DUMMYFUNCTION("""COMPUTED_VALUE"""),"ریحانه الحسین (س)")</f>
        <v>ریحانه الحسین (س)</v>
      </c>
      <c r="D4637" s="5" t="str">
        <f>IFERROR(__xludf.DUMMYFUNCTION("""COMPUTED_VALUE"""),"البرز")</f>
        <v>البرز</v>
      </c>
      <c r="E4637" s="5" t="str">
        <f>IFERROR(__xludf.DUMMYFUNCTION("""COMPUTED_VALUE"""),"کرج")</f>
        <v>کرج</v>
      </c>
      <c r="F4637" s="5"/>
      <c r="G4637" s="5"/>
      <c r="H4637" s="6" t="str">
        <f>IFERROR(__xludf.DUMMYFUNCTION("""COMPUTED_VALUE"""),"https://www.instagram.com/beyragh.info/")</f>
        <v>https://www.instagram.com/beyragh.info/</v>
      </c>
      <c r="I4637" s="6" t="str">
        <f>IFERROR(__xludf.DUMMYFUNCTION("""COMPUTED_VALUE"""),"t.me/Beyraghinfo")</f>
        <v>t.me/Beyraghinfo</v>
      </c>
      <c r="J4637" s="5"/>
      <c r="K4637" s="5"/>
      <c r="L4637" s="5"/>
      <c r="M4637" s="5"/>
      <c r="N4637" s="5"/>
      <c r="O4637" s="5"/>
      <c r="P4637" s="5"/>
      <c r="Q4637" s="5"/>
      <c r="R4637" s="5"/>
      <c r="S4637" s="5"/>
    </row>
    <row r="4638">
      <c r="A4638" s="5">
        <f>IFERROR(__xludf.DUMMYFUNCTION("""COMPUTED_VALUE"""),2318.0)</f>
        <v>2318</v>
      </c>
      <c r="B4638" s="5" t="str">
        <f>IFERROR(__xludf.DUMMYFUNCTION("""COMPUTED_VALUE"""),"هیئت")</f>
        <v>هیئت</v>
      </c>
      <c r="C4638" s="5" t="str">
        <f>IFERROR(__xludf.DUMMYFUNCTION("""COMPUTED_VALUE"""),"بیت الاحزان حضرت رقیه(س)")</f>
        <v>بیت الاحزان حضرت رقیه(س)</v>
      </c>
      <c r="D4638" s="5" t="str">
        <f>IFERROR(__xludf.DUMMYFUNCTION("""COMPUTED_VALUE"""),"البرز")</f>
        <v>البرز</v>
      </c>
      <c r="E4638" s="5" t="str">
        <f>IFERROR(__xludf.DUMMYFUNCTION("""COMPUTED_VALUE"""),"فردیس")</f>
        <v>فردیس</v>
      </c>
      <c r="F4638" s="5" t="str">
        <f>IFERROR(__xludf.DUMMYFUNCTION("""COMPUTED_VALUE"""),"مشکین دشت")</f>
        <v>مشکین دشت</v>
      </c>
      <c r="G4638" s="5"/>
      <c r="H4638" s="6" t="str">
        <f>IFERROR(__xludf.DUMMYFUNCTION("""COMPUTED_VALUE"""),"https://www.instagram.com/beytalhzanhzratroghe")</f>
        <v>https://www.instagram.com/beytalhzanhzratroghe</v>
      </c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</row>
    <row r="4639">
      <c r="A4639" s="5">
        <f>IFERROR(__xludf.DUMMYFUNCTION("""COMPUTED_VALUE"""),18566.0)</f>
        <v>18566</v>
      </c>
      <c r="B4639" s="5" t="str">
        <f>IFERROR(__xludf.DUMMYFUNCTION("""COMPUTED_VALUE"""),"هیئت")</f>
        <v>هیئت</v>
      </c>
      <c r="C4639" s="5" t="str">
        <f>IFERROR(__xludf.DUMMYFUNCTION("""COMPUTED_VALUE"""),"بیت العباس(ع)")</f>
        <v>بیت العباس(ع)</v>
      </c>
      <c r="D4639" s="5" t="str">
        <f>IFERROR(__xludf.DUMMYFUNCTION("""COMPUTED_VALUE"""),"البرز")</f>
        <v>البرز</v>
      </c>
      <c r="E4639" s="5" t="str">
        <f>IFERROR(__xludf.DUMMYFUNCTION("""COMPUTED_VALUE"""),"کرج")</f>
        <v>کرج</v>
      </c>
      <c r="F4639" s="5"/>
      <c r="G4639" s="5"/>
      <c r="H4639" s="6" t="str">
        <f>IFERROR(__xludf.DUMMYFUNCTION("""COMPUTED_VALUE"""),"https://www.instagram.com/beytolabbas_133")</f>
        <v>https://www.instagram.com/beytolabbas_133</v>
      </c>
      <c r="I4639" s="6" t="str">
        <f>IFERROR(__xludf.DUMMYFUNCTION("""COMPUTED_VALUE"""),"https://t.me/beytol_abbas_133")</f>
        <v>https://t.me/beytol_abbas_133</v>
      </c>
      <c r="J4639" s="5"/>
      <c r="K4639" s="5"/>
      <c r="L4639" s="5"/>
      <c r="M4639" s="5"/>
      <c r="N4639" s="5"/>
      <c r="O4639" s="5"/>
      <c r="P4639" s="5"/>
      <c r="Q4639" s="5"/>
      <c r="R4639" s="5"/>
      <c r="S4639" s="5"/>
    </row>
    <row r="4640">
      <c r="A4640" s="5">
        <f>IFERROR(__xludf.DUMMYFUNCTION("""COMPUTED_VALUE"""),2332.0)</f>
        <v>2332</v>
      </c>
      <c r="B4640" s="5" t="str">
        <f>IFERROR(__xludf.DUMMYFUNCTION("""COMPUTED_VALUE"""),"هیئت")</f>
        <v>هیئت</v>
      </c>
      <c r="C4640" s="5" t="str">
        <f>IFERROR(__xludf.DUMMYFUNCTION("""COMPUTED_VALUE"""),"رزمندگان اسلام شمال")</f>
        <v>رزمندگان اسلام شمال</v>
      </c>
      <c r="D4640" s="5" t="str">
        <f>IFERROR(__xludf.DUMMYFUNCTION("""COMPUTED_VALUE"""),"البرز")</f>
        <v>البرز</v>
      </c>
      <c r="E4640" s="5" t="str">
        <f>IFERROR(__xludf.DUMMYFUNCTION("""COMPUTED_VALUE"""),"کرج")</f>
        <v>کرج</v>
      </c>
      <c r="F4640" s="5"/>
      <c r="G4640" s="5"/>
      <c r="H4640" s="6" t="str">
        <f>IFERROR(__xludf.DUMMYFUNCTION("""COMPUTED_VALUE"""),"https://www.instagram.com/beytolahzan_karaj")</f>
        <v>https://www.instagram.com/beytolahzan_karaj</v>
      </c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</row>
    <row r="4641">
      <c r="A4641" s="5">
        <f>IFERROR(__xludf.DUMMYFUNCTION("""COMPUTED_VALUE"""),2393.0)</f>
        <v>2393</v>
      </c>
      <c r="B4641" s="5" t="str">
        <f>IFERROR(__xludf.DUMMYFUNCTION("""COMPUTED_VALUE"""),"هیئت")</f>
        <v>هیئت</v>
      </c>
      <c r="C4641" s="5" t="str">
        <f>IFERROR(__xludf.DUMMYFUNCTION("""COMPUTED_VALUE"""),"بیت الحسین(ع)")</f>
        <v>بیت الحسین(ع)</v>
      </c>
      <c r="D4641" s="5" t="str">
        <f>IFERROR(__xludf.DUMMYFUNCTION("""COMPUTED_VALUE"""),"البرز")</f>
        <v>البرز</v>
      </c>
      <c r="E4641" s="5" t="str">
        <f>IFERROR(__xludf.DUMMYFUNCTION("""COMPUTED_VALUE"""),"کرج")</f>
        <v>کرج</v>
      </c>
      <c r="F4641" s="5"/>
      <c r="G4641" s="5"/>
      <c r="H4641" s="6" t="str">
        <f>IFERROR(__xludf.DUMMYFUNCTION("""COMPUTED_VALUE"""),"https://www.instagram.com/beytolhosseinkarajj/")</f>
        <v>https://www.instagram.com/beytolhosseinkarajj/</v>
      </c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</row>
    <row r="4642">
      <c r="A4642" s="5">
        <f>IFERROR(__xludf.DUMMYFUNCTION("""COMPUTED_VALUE"""),26824.0)</f>
        <v>26824</v>
      </c>
      <c r="B4642" s="5" t="str">
        <f>IFERROR(__xludf.DUMMYFUNCTION("""COMPUTED_VALUE"""),"هیئت")</f>
        <v>هیئت</v>
      </c>
      <c r="C4642" s="5" t="str">
        <f>IFERROR(__xludf.DUMMYFUNCTION("""COMPUTED_VALUE"""),"محبان فاطمة الزهرا(س)")</f>
        <v>محبان فاطمة الزهرا(س)</v>
      </c>
      <c r="D4642" s="5" t="str">
        <f>IFERROR(__xludf.DUMMYFUNCTION("""COMPUTED_VALUE"""),"البرز")</f>
        <v>البرز</v>
      </c>
      <c r="E4642" s="5" t="str">
        <f>IFERROR(__xludf.DUMMYFUNCTION("""COMPUTED_VALUE"""),"کرج")</f>
        <v>کرج</v>
      </c>
      <c r="F4642" s="5"/>
      <c r="G4642" s="5"/>
      <c r="H4642" s="6" t="str">
        <f>IFERROR(__xludf.DUMMYFUNCTION("""COMPUTED_VALUE"""),"https://www.instagram.com/bokae_ir")</f>
        <v>https://www.instagram.com/bokae_ir</v>
      </c>
      <c r="I4642" s="6" t="str">
        <f>IFERROR(__xludf.DUMMYFUNCTION("""COMPUTED_VALUE"""),"https://t.me/moheban_azahra_karaj")</f>
        <v>https://t.me/moheban_azahra_karaj</v>
      </c>
      <c r="J4642" s="5"/>
      <c r="K4642" s="5"/>
      <c r="L4642" s="5"/>
      <c r="M4642" s="5"/>
      <c r="N4642" s="5"/>
      <c r="O4642" s="5"/>
      <c r="P4642" s="5"/>
      <c r="Q4642" s="5"/>
      <c r="R4642" s="5"/>
      <c r="S4642" s="5"/>
    </row>
    <row r="4643">
      <c r="A4643" s="5">
        <f>IFERROR(__xludf.DUMMYFUNCTION("""COMPUTED_VALUE"""),30084.0)</f>
        <v>30084</v>
      </c>
      <c r="B4643" s="5" t="str">
        <f>IFERROR(__xludf.DUMMYFUNCTION("""COMPUTED_VALUE"""),"هیئت")</f>
        <v>هیئت</v>
      </c>
      <c r="C4643" s="5" t="str">
        <f>IFERROR(__xludf.DUMMYFUNCTION("""COMPUTED_VALUE"""),"امامزاده محمد")</f>
        <v>امامزاده محمد</v>
      </c>
      <c r="D4643" s="5" t="str">
        <f>IFERROR(__xludf.DUMMYFUNCTION("""COMPUTED_VALUE"""),"البرز")</f>
        <v>البرز</v>
      </c>
      <c r="E4643" s="5" t="str">
        <f>IFERROR(__xludf.DUMMYFUNCTION("""COMPUTED_VALUE"""),"کرج ")</f>
        <v>کرج </v>
      </c>
      <c r="F4643" s="5"/>
      <c r="G4643" s="5"/>
      <c r="H4643" s="6" t="str">
        <f>IFERROR(__xludf.DUMMYFUNCTION("""COMPUTED_VALUE"""),"https://www.instagram.com/boqe_ir")</f>
        <v>https://www.instagram.com/boqe_ir</v>
      </c>
      <c r="I4643" s="6" t="str">
        <f>IFERROR(__xludf.DUMMYFUNCTION("""COMPUTED_VALUE"""),"https://t.me/boqe_ir")</f>
        <v>https://t.me/boqe_ir</v>
      </c>
      <c r="J4643" s="6" t="str">
        <f>IFERROR(__xludf.DUMMYFUNCTION("""COMPUTED_VALUE"""),"https://eitaa.com/boqe_ir")</f>
        <v>https://eitaa.com/boqe_ir</v>
      </c>
      <c r="K4643" s="5"/>
      <c r="L4643" s="5"/>
      <c r="M4643" s="5"/>
      <c r="N4643" s="5"/>
      <c r="O4643" s="5"/>
      <c r="P4643" s="5"/>
      <c r="Q4643" s="5"/>
      <c r="R4643" s="5"/>
      <c r="S4643" s="5"/>
    </row>
    <row r="4644">
      <c r="A4644" s="5">
        <f>IFERROR(__xludf.DUMMYFUNCTION("""COMPUTED_VALUE"""),24306.0)</f>
        <v>24306</v>
      </c>
      <c r="B4644" s="5" t="str">
        <f>IFERROR(__xludf.DUMMYFUNCTION("""COMPUTED_VALUE"""),"هیئت")</f>
        <v>هیئت</v>
      </c>
      <c r="C4644" s="5" t="str">
        <f>IFERROR(__xludf.DUMMYFUNCTION("""COMPUTED_VALUE"""),"عاشقان ثارالله (ع)")</f>
        <v>عاشقان ثارالله (ع)</v>
      </c>
      <c r="D4644" s="5" t="str">
        <f>IFERROR(__xludf.DUMMYFUNCTION("""COMPUTED_VALUE"""),"البرز")</f>
        <v>البرز</v>
      </c>
      <c r="E4644" s="5" t="str">
        <f>IFERROR(__xludf.DUMMYFUNCTION("""COMPUTED_VALUE"""),"کرج")</f>
        <v>کرج</v>
      </c>
      <c r="F4644" s="5"/>
      <c r="G4644" s="5"/>
      <c r="H4644" s="6" t="str">
        <f>IFERROR(__xludf.DUMMYFUNCTION("""COMPUTED_VALUE"""),"https://www.instagram.com/bouriya_video/")</f>
        <v>https://www.instagram.com/bouriya_video/</v>
      </c>
      <c r="I4644" s="5"/>
      <c r="J4644" s="6" t="str">
        <f>IFERROR(__xludf.DUMMYFUNCTION("""COMPUTED_VALUE"""),"https://eitaa.com/asheghansarallah_karaj")</f>
        <v>https://eitaa.com/asheghansarallah_karaj</v>
      </c>
      <c r="K4644" s="5"/>
      <c r="L4644" s="5"/>
      <c r="M4644" s="5"/>
      <c r="N4644" s="5"/>
      <c r="O4644" s="5"/>
      <c r="P4644" s="5"/>
      <c r="Q4644" s="5"/>
      <c r="R4644" s="5"/>
      <c r="S4644" s="5"/>
    </row>
    <row r="4645">
      <c r="A4645" s="5">
        <f>IFERROR(__xludf.DUMMYFUNCTION("""COMPUTED_VALUE"""),2316.0)</f>
        <v>2316</v>
      </c>
      <c r="B4645" s="5" t="str">
        <f>IFERROR(__xludf.DUMMYFUNCTION("""COMPUTED_VALUE"""),"هیئت")</f>
        <v>هیئت</v>
      </c>
      <c r="C4645" s="5" t="str">
        <f>IFERROR(__xludf.DUMMYFUNCTION("""COMPUTED_VALUE"""),"محفل دلسوختگان حضرت رقیه(س)")</f>
        <v>محفل دلسوختگان حضرت رقیه(س)</v>
      </c>
      <c r="D4645" s="5" t="str">
        <f>IFERROR(__xludf.DUMMYFUNCTION("""COMPUTED_VALUE"""),"البرز")</f>
        <v>البرز</v>
      </c>
      <c r="E4645" s="5" t="str">
        <f>IFERROR(__xludf.DUMMYFUNCTION("""COMPUTED_VALUE"""),"کرج")</f>
        <v>کرج</v>
      </c>
      <c r="F4645" s="5" t="str">
        <f>IFERROR(__xludf.DUMMYFUNCTION("""COMPUTED_VALUE"""),"گرمدره")</f>
        <v>گرمدره</v>
      </c>
      <c r="G4645" s="5"/>
      <c r="H4645" s="6" t="str">
        <f>IFERROR(__xludf.DUMMYFUNCTION("""COMPUTED_VALUE"""),"https://www.instagram.com/delsookhteganhazratroghaie/")</f>
        <v>https://www.instagram.com/delsookhteganhazratroghaie/</v>
      </c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</row>
    <row r="4646">
      <c r="A4646" s="5">
        <f>IFERROR(__xludf.DUMMYFUNCTION("""COMPUTED_VALUE"""),18046.0)</f>
        <v>18046</v>
      </c>
      <c r="B4646" s="5" t="str">
        <f>IFERROR(__xludf.DUMMYFUNCTION("""COMPUTED_VALUE"""),"هیئت")</f>
        <v>هیئت</v>
      </c>
      <c r="C4646" s="5" t="str">
        <f>IFERROR(__xludf.DUMMYFUNCTION("""COMPUTED_VALUE"""),"امامزاده حیدر")</f>
        <v>امامزاده حیدر</v>
      </c>
      <c r="D4646" s="5" t="str">
        <f>IFERROR(__xludf.DUMMYFUNCTION("""COMPUTED_VALUE"""),"البرز")</f>
        <v>البرز</v>
      </c>
      <c r="E4646" s="5" t="str">
        <f>IFERROR(__xludf.DUMMYFUNCTION("""COMPUTED_VALUE"""),"کرج")</f>
        <v>کرج</v>
      </c>
      <c r="F4646" s="5"/>
      <c r="G4646" s="5"/>
      <c r="H4646" s="6" t="str">
        <f>IFERROR(__xludf.DUMMYFUNCTION("""COMPUTED_VALUE"""),"https://www.instagram.com/emamzadeh_heidar_karaj")</f>
        <v>https://www.instagram.com/emamzadeh_heidar_karaj</v>
      </c>
      <c r="I4646" s="6" t="str">
        <f>IFERROR(__xludf.DUMMYFUNCTION("""COMPUTED_VALUE"""),"https://t.me/emamzadehheidarkaraj")</f>
        <v>https://t.me/emamzadehheidarkaraj</v>
      </c>
      <c r="J4646" s="6" t="str">
        <f>IFERROR(__xludf.DUMMYFUNCTION("""COMPUTED_VALUE"""),"https://eitaa.com/em_heidar")</f>
        <v>https://eitaa.com/em_heidar</v>
      </c>
      <c r="K4646" s="5"/>
      <c r="L4646" s="5"/>
      <c r="M4646" s="5"/>
      <c r="N4646" s="5"/>
      <c r="O4646" s="5"/>
      <c r="P4646" s="5"/>
      <c r="Q4646" s="5"/>
      <c r="R4646" s="5"/>
      <c r="S4646" s="5"/>
    </row>
    <row r="4647">
      <c r="A4647" s="5">
        <f>IFERROR(__xludf.DUMMYFUNCTION("""COMPUTED_VALUE"""),2246.0)</f>
        <v>2246</v>
      </c>
      <c r="B4647" s="5" t="str">
        <f>IFERROR(__xludf.DUMMYFUNCTION("""COMPUTED_VALUE"""),"هیئت")</f>
        <v>هیئت</v>
      </c>
      <c r="C4647" s="5" t="str">
        <f>IFERROR(__xludf.DUMMYFUNCTION("""COMPUTED_VALUE"""),"اتحادیه انجمن اسلامی")</f>
        <v>اتحادیه انجمن اسلامی</v>
      </c>
      <c r="D4647" s="5" t="str">
        <f>IFERROR(__xludf.DUMMYFUNCTION("""COMPUTED_VALUE"""),"البرز")</f>
        <v>البرز</v>
      </c>
      <c r="E4647" s="5" t="str">
        <f>IFERROR(__xludf.DUMMYFUNCTION("""COMPUTED_VALUE"""),"کرج")</f>
        <v>کرج</v>
      </c>
      <c r="F4647" s="5"/>
      <c r="G4647" s="5"/>
      <c r="H4647" s="6" t="str">
        <f>IFERROR(__xludf.DUMMYFUNCTION("""COMPUTED_VALUE"""),"https://www.instagram.com/etehadye_alborz/")</f>
        <v>https://www.instagram.com/etehadye_alborz/</v>
      </c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</row>
    <row r="4648">
      <c r="A4648" s="5">
        <f>IFERROR(__xludf.DUMMYFUNCTION("""COMPUTED_VALUE"""),18558.0)</f>
        <v>18558</v>
      </c>
      <c r="B4648" s="5" t="str">
        <f>IFERROR(__xludf.DUMMYFUNCTION("""COMPUTED_VALUE"""),"هیئت")</f>
        <v>هیئت</v>
      </c>
      <c r="C4648" s="5" t="str">
        <f>IFERROR(__xludf.DUMMYFUNCTION("""COMPUTED_VALUE"""),"حسینیه فدائیان حضرت مهدی (عج)")</f>
        <v>حسینیه فدائیان حضرت مهدی (عج)</v>
      </c>
      <c r="D4648" s="5" t="str">
        <f>IFERROR(__xludf.DUMMYFUNCTION("""COMPUTED_VALUE"""),"البرز")</f>
        <v>البرز</v>
      </c>
      <c r="E4648" s="5" t="str">
        <f>IFERROR(__xludf.DUMMYFUNCTION("""COMPUTED_VALUE"""),"فردیس")</f>
        <v>فردیس</v>
      </c>
      <c r="F4648" s="5"/>
      <c r="G4648" s="5"/>
      <c r="H4648" s="6" t="str">
        <f>IFERROR(__xludf.DUMMYFUNCTION("""COMPUTED_VALUE"""),"https://www.instagram.com/fadaeian_mahdi.ir")</f>
        <v>https://www.instagram.com/fadaeian_mahdi.ir</v>
      </c>
      <c r="I4648" s="5"/>
      <c r="J4648" s="6" t="str">
        <f>IFERROR(__xludf.DUMMYFUNCTION("""COMPUTED_VALUE"""),"https://eitaa.com/Ahbabolemam_fardis")</f>
        <v>https://eitaa.com/Ahbabolemam_fardis</v>
      </c>
      <c r="K4648" s="5"/>
      <c r="L4648" s="5"/>
      <c r="M4648" s="5"/>
      <c r="N4648" s="5"/>
      <c r="O4648" s="5"/>
      <c r="P4648" s="5"/>
      <c r="Q4648" s="5"/>
      <c r="R4648" s="5"/>
      <c r="S4648" s="5"/>
    </row>
    <row r="4649">
      <c r="A4649" s="5">
        <f>IFERROR(__xludf.DUMMYFUNCTION("""COMPUTED_VALUE"""),19142.0)</f>
        <v>19142</v>
      </c>
      <c r="B4649" s="5" t="str">
        <f>IFERROR(__xludf.DUMMYFUNCTION("""COMPUTED_VALUE"""),"هیئت")</f>
        <v>هیئت</v>
      </c>
      <c r="C4649" s="5" t="str">
        <f>IFERROR(__xludf.DUMMYFUNCTION("""COMPUTED_VALUE"""),"فاطمیون (امام زاده سلیمان)")</f>
        <v>فاطمیون (امام زاده سلیمان)</v>
      </c>
      <c r="D4649" s="5" t="str">
        <f>IFERROR(__xludf.DUMMYFUNCTION("""COMPUTED_VALUE"""),"البرز")</f>
        <v>البرز</v>
      </c>
      <c r="E4649" s="5" t="str">
        <f>IFERROR(__xludf.DUMMYFUNCTION("""COMPUTED_VALUE"""),"هشتگرد")</f>
        <v>هشتگرد</v>
      </c>
      <c r="F4649" s="5"/>
      <c r="G4649" s="5"/>
      <c r="H4649" s="6" t="str">
        <f>IFERROR(__xludf.DUMMYFUNCTION("""COMPUTED_VALUE"""),"https://www.instagram.com/fatemion_hashtgerd/")</f>
        <v>https://www.instagram.com/fatemion_hashtgerd/</v>
      </c>
      <c r="I4649" s="6" t="str">
        <f>IFERROR(__xludf.DUMMYFUNCTION("""COMPUTED_VALUE"""),"https://t.me/fatemion_hashtgerd")</f>
        <v>https://t.me/fatemion_hashtgerd</v>
      </c>
      <c r="J4649" s="5"/>
      <c r="K4649" s="5"/>
      <c r="L4649" s="5"/>
      <c r="M4649" s="5"/>
      <c r="N4649" s="5"/>
      <c r="O4649" s="5"/>
      <c r="P4649" s="5"/>
      <c r="Q4649" s="5"/>
      <c r="R4649" s="5"/>
      <c r="S4649" s="5"/>
    </row>
    <row r="4650">
      <c r="A4650" s="5">
        <f>IFERROR(__xludf.DUMMYFUNCTION("""COMPUTED_VALUE"""),31027.0)</f>
        <v>31027</v>
      </c>
      <c r="B4650" s="5" t="str">
        <f>IFERROR(__xludf.DUMMYFUNCTION("""COMPUTED_VALUE"""),"هیئت")</f>
        <v>هیئت</v>
      </c>
      <c r="C4650" s="5" t="str">
        <f>IFERROR(__xludf.DUMMYFUNCTION("""COMPUTED_VALUE"""),"قمربنی هاشم (ع)")</f>
        <v>قمربنی هاشم (ع)</v>
      </c>
      <c r="D4650" s="5" t="str">
        <f>IFERROR(__xludf.DUMMYFUNCTION("""COMPUTED_VALUE"""),"البرز")</f>
        <v>البرز</v>
      </c>
      <c r="E4650" s="5" t="str">
        <f>IFERROR(__xludf.DUMMYFUNCTION("""COMPUTED_VALUE"""),"کرج")</f>
        <v>کرج</v>
      </c>
      <c r="F4650" s="5"/>
      <c r="G4650" s="5"/>
      <c r="H4650" s="6" t="str">
        <f>IFERROR(__xludf.DUMMYFUNCTION("""COMPUTED_VALUE"""),"https://www.instagram.com/ghamar_bani.hashem/")</f>
        <v>https://www.instagram.com/ghamar_bani.hashem/</v>
      </c>
      <c r="I4650" s="6" t="str">
        <f>IFERROR(__xludf.DUMMYFUNCTION("""COMPUTED_VALUE"""),"https://l.instagram.com/?u=https%3A%2F%2Ft.me%2Fjoinchat%2FBLe4mkLCUpJ_NrDpkXq4JQ%3Futm_source%3Dig%26utm_medium%3Dsocial%26utm_content%3Dlink_in_bio%26fbclid%3DPAZXh0bgNhZW0CMTEAc3J0YwZhcHBfaWQMMjU2MjgxMDQwNTU4AAGnRDoGeAlx3BfuqJIcdTjddyG62umqlFU7UZRsEvQM"&amp;"mAc39wXuX2AyD7FI4I4_aem_AyD9Unx8xJntxug39DQKGQ&amp;e=AT2Dh8V58yPK0TgRPwsyM6ILVyMK5_0Cw28u-VD9tsqhy2cJDsSDNFQDGNFQyZZBOP6Mxzi_G6AZXqEiIHwiYQjnl3haewBfjDJry_zQgg")</f>
        <v>https://l.instagram.com/?u=https%3A%2F%2Ft.me%2Fjoinchat%2FBLe4mkLCUpJ_NrDpkXq4JQ%3Futm_source%3Dig%26utm_medium%3Dsocial%26utm_content%3Dlink_in_bio%26fbclid%3DPAZXh0bgNhZW0CMTEAc3J0YwZhcHBfaWQMMjU2MjgxMDQwNTU4AAGnRDoGeAlx3BfuqJIcdTjddyG62umqlFU7UZRsEvQMmAc39wXuX2AyD7FI4I4_aem_AyD9Unx8xJntxug39DQKGQ&amp;e=AT2Dh8V58yPK0TgRPwsyM6ILVyMK5_0Cw28u-VD9tsqhy2cJDsSDNFQDGNFQyZZBOP6Mxzi_G6AZXqEiIHwiYQjnl3haewBfjDJry_zQgg</v>
      </c>
      <c r="J4650" s="5"/>
      <c r="K4650" s="5"/>
      <c r="L4650" s="5"/>
      <c r="M4650" s="5"/>
      <c r="N4650" s="5"/>
      <c r="O4650" s="5"/>
      <c r="P4650" s="5"/>
      <c r="Q4650" s="5"/>
      <c r="R4650" s="5"/>
      <c r="S4650" s="5"/>
    </row>
    <row r="4651">
      <c r="A4651" s="5">
        <f>IFERROR(__xludf.DUMMYFUNCTION("""COMPUTED_VALUE"""),2278.0)</f>
        <v>2278</v>
      </c>
      <c r="B4651" s="5" t="str">
        <f>IFERROR(__xludf.DUMMYFUNCTION("""COMPUTED_VALUE"""),"هیئت")</f>
        <v>هیئت</v>
      </c>
      <c r="C4651" s="5" t="str">
        <f>IFERROR(__xludf.DUMMYFUNCTION("""COMPUTED_VALUE"""),"حضرت قاسم بن الحسن (ع)")</f>
        <v>حضرت قاسم بن الحسن (ع)</v>
      </c>
      <c r="D4651" s="5" t="str">
        <f>IFERROR(__xludf.DUMMYFUNCTION("""COMPUTED_VALUE"""),"البرز")</f>
        <v>البرز</v>
      </c>
      <c r="E4651" s="5" t="str">
        <f>IFERROR(__xludf.DUMMYFUNCTION("""COMPUTED_VALUE"""),"کرج")</f>
        <v>کرج</v>
      </c>
      <c r="F4651" s="5"/>
      <c r="G4651" s="5"/>
      <c r="H4651" s="6" t="str">
        <f>IFERROR(__xludf.DUMMYFUNCTION("""COMPUTED_VALUE"""),"https://www.instagram.com/ghasemiyounn")</f>
        <v>https://www.instagram.com/ghasemiyounn</v>
      </c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</row>
    <row r="4652">
      <c r="A4652" s="5">
        <f>IFERROR(__xludf.DUMMYFUNCTION("""COMPUTED_VALUE"""),19492.0)</f>
        <v>19492</v>
      </c>
      <c r="B4652" s="5" t="str">
        <f>IFERROR(__xludf.DUMMYFUNCTION("""COMPUTED_VALUE"""),"هیئت")</f>
        <v>هیئت</v>
      </c>
      <c r="C4652" s="5" t="str">
        <f>IFERROR(__xludf.DUMMYFUNCTION("""COMPUTED_VALUE"""),"بیت الزهرا(س)")</f>
        <v>بیت الزهرا(س)</v>
      </c>
      <c r="D4652" s="5" t="str">
        <f>IFERROR(__xludf.DUMMYFUNCTION("""COMPUTED_VALUE"""),"البرز")</f>
        <v>البرز</v>
      </c>
      <c r="E4652" s="5" t="str">
        <f>IFERROR(__xludf.DUMMYFUNCTION("""COMPUTED_VALUE"""),"کرج")</f>
        <v>کرج</v>
      </c>
      <c r="F4652" s="5"/>
      <c r="G4652" s="5">
        <f>IFERROR(__xludf.DUMMYFUNCTION("""COMPUTED_VALUE"""),1.0)</f>
        <v>1</v>
      </c>
      <c r="H4652" s="6" t="str">
        <f>IFERROR(__xludf.DUMMYFUNCTION("""COMPUTED_VALUE"""),"https://www.instagram.com/h_beytozahraa")</f>
        <v>https://www.instagram.com/h_beytozahraa</v>
      </c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</row>
    <row r="4653">
      <c r="A4653" s="5">
        <f>IFERROR(__xludf.DUMMYFUNCTION("""COMPUTED_VALUE"""),31776.0)</f>
        <v>31776</v>
      </c>
      <c r="B4653" s="5" t="str">
        <f>IFERROR(__xludf.DUMMYFUNCTION("""COMPUTED_VALUE"""),"هیئت")</f>
        <v>هیئت</v>
      </c>
      <c r="C4653" s="5" t="str">
        <f>IFERROR(__xludf.DUMMYFUNCTION("""COMPUTED_VALUE"""),"حضرت رقیه (س)")</f>
        <v>حضرت رقیه (س)</v>
      </c>
      <c r="D4653" s="5" t="str">
        <f>IFERROR(__xludf.DUMMYFUNCTION("""COMPUTED_VALUE"""),"البرز")</f>
        <v>البرز</v>
      </c>
      <c r="E4653" s="5" t="str">
        <f>IFERROR(__xludf.DUMMYFUNCTION("""COMPUTED_VALUE"""),"کرج")</f>
        <v>کرج</v>
      </c>
      <c r="F4653" s="5"/>
      <c r="G4653" s="5"/>
      <c r="H4653" s="6" t="str">
        <f>IFERROR(__xludf.DUMMYFUNCTION("""COMPUTED_VALUE"""),"https://www.instagram.com/h_h_roghaye_karaj/")</f>
        <v>https://www.instagram.com/h_h_roghaye_karaj/</v>
      </c>
      <c r="I4653" s="6" t="str">
        <f>IFERROR(__xludf.DUMMYFUNCTION("""COMPUTED_VALUE"""),"https://l.instagram.com/?u=https%3A%2F%2Ftlgrm.me%2Fjoinchat%2FBlHfjjye2vsP7j9qx4mAaQ%3Futm_source%3Dig%26utm_medium%3Dsocial%26utm_content%3Dlink_in_bio%26fbclid%3DPAZXh0bgNhZW0CMTEAc3J0YwZhcHBfaWQMMjU2MjgxMDQwNTU4AAGnK6RTfdnR37k4_W9Ti5pgqcgKVPrmlY1shzdf"&amp;"8oZjhhJ0ni8LhCW9JvAAgq8_aem_x4RXqcSmK3AQ5XBVRYkt3A&amp;e=AT2mltbJvO9PJJRrN42KryVgq79pRLHngr99FZplUfJe-eHuzCetYNKseuY3rQJ_U_Fx5-qxUlPJZ5YVvo3FjIxvFOC11ordAX0_hN9qYw")</f>
        <v>https://l.instagram.com/?u=https%3A%2F%2Ftlgrm.me%2Fjoinchat%2FBlHfjjye2vsP7j9qx4mAaQ%3Futm_source%3Dig%26utm_medium%3Dsocial%26utm_content%3Dlink_in_bio%26fbclid%3DPAZXh0bgNhZW0CMTEAc3J0YwZhcHBfaWQMMjU2MjgxMDQwNTU4AAGnK6RTfdnR37k4_W9Ti5pgqcgKVPrmlY1shzdf8oZjhhJ0ni8LhCW9JvAAgq8_aem_x4RXqcSmK3AQ5XBVRYkt3A&amp;e=AT2mltbJvO9PJJRrN42KryVgq79pRLHngr99FZplUfJe-eHuzCetYNKseuY3rQJ_U_Fx5-qxUlPJZ5YVvo3FjIxvFOC11ordAX0_hN9qYw</v>
      </c>
      <c r="J4653" s="5"/>
      <c r="K4653" s="5"/>
      <c r="L4653" s="5"/>
      <c r="M4653" s="5"/>
      <c r="N4653" s="5"/>
      <c r="O4653" s="5"/>
      <c r="P4653" s="5"/>
      <c r="Q4653" s="5"/>
      <c r="R4653" s="5"/>
      <c r="S4653" s="5"/>
    </row>
    <row r="4654">
      <c r="A4654" s="5">
        <f>IFERROR(__xludf.DUMMYFUNCTION("""COMPUTED_VALUE"""),19881.0)</f>
        <v>19881</v>
      </c>
      <c r="B4654" s="5" t="str">
        <f>IFERROR(__xludf.DUMMYFUNCTION("""COMPUTED_VALUE"""),"هیئت")</f>
        <v>هیئت</v>
      </c>
      <c r="C4654" s="5" t="str">
        <f>IFERROR(__xludf.DUMMYFUNCTION("""COMPUTED_VALUE"""),"محبان الرضا(ع) (رزمندگان کرج امام زاده حسن)")</f>
        <v>محبان الرضا(ع) (رزمندگان کرج امام زاده حسن)</v>
      </c>
      <c r="D4654" s="5" t="str">
        <f>IFERROR(__xludf.DUMMYFUNCTION("""COMPUTED_VALUE"""),"البرز")</f>
        <v>البرز</v>
      </c>
      <c r="E4654" s="5" t="str">
        <f>IFERROR(__xludf.DUMMYFUNCTION("""COMPUTED_VALUE"""),"کرج")</f>
        <v>کرج</v>
      </c>
      <c r="F4654" s="5"/>
      <c r="G4654" s="5"/>
      <c r="H4654" s="6" t="str">
        <f>IFERROR(__xludf.DUMMYFUNCTION("""COMPUTED_VALUE"""),"https://www.instagram.com/h_mohebanolreza")</f>
        <v>https://www.instagram.com/h_mohebanolreza</v>
      </c>
      <c r="I4654" s="6" t="str">
        <f>IFERROR(__xludf.DUMMYFUNCTION("""COMPUTED_VALUE"""),"https://t.me/h_m_Reza")</f>
        <v>https://t.me/h_m_Reza</v>
      </c>
      <c r="J4654" s="6" t="str">
        <f>IFERROR(__xludf.DUMMYFUNCTION("""COMPUTED_VALUE"""),"https://eitaa.com/h_m_reza11")</f>
        <v>https://eitaa.com/h_m_reza11</v>
      </c>
      <c r="K4654" s="5"/>
      <c r="L4654" s="5"/>
      <c r="M4654" s="5"/>
      <c r="N4654" s="5"/>
      <c r="O4654" s="5"/>
      <c r="P4654" s="5"/>
      <c r="Q4654" s="5"/>
      <c r="R4654" s="5"/>
      <c r="S4654" s="5"/>
    </row>
    <row r="4655">
      <c r="A4655" s="5">
        <f>IFERROR(__xludf.DUMMYFUNCTION("""COMPUTED_VALUE"""),2478.0)</f>
        <v>2478</v>
      </c>
      <c r="B4655" s="5" t="str">
        <f>IFERROR(__xludf.DUMMYFUNCTION("""COMPUTED_VALUE"""),"هیئت")</f>
        <v>هیئت</v>
      </c>
      <c r="C4655" s="5" t="str">
        <f>IFERROR(__xludf.DUMMYFUNCTION("""COMPUTED_VALUE"""),"یازهرا (س)")</f>
        <v>یازهرا (س)</v>
      </c>
      <c r="D4655" s="5" t="str">
        <f>IFERROR(__xludf.DUMMYFUNCTION("""COMPUTED_VALUE"""),"البرز")</f>
        <v>البرز</v>
      </c>
      <c r="E4655" s="5" t="str">
        <f>IFERROR(__xludf.DUMMYFUNCTION("""COMPUTED_VALUE"""),"فردیس")</f>
        <v>فردیس</v>
      </c>
      <c r="F4655" s="5" t="str">
        <f>IFERROR(__xludf.DUMMYFUNCTION("""COMPUTED_VALUE"""),"فردیس")</f>
        <v>فردیس</v>
      </c>
      <c r="G4655" s="5"/>
      <c r="H4655" s="6" t="str">
        <f>IFERROR(__xludf.DUMMYFUNCTION("""COMPUTED_VALUE"""),"https://www.instagram.com/h_yazahra_fardis/")</f>
        <v>https://www.instagram.com/h_yazahra_fardis/</v>
      </c>
      <c r="I4655" s="6" t="str">
        <f>IFERROR(__xludf.DUMMYFUNCTION("""COMPUTED_VALUE"""),"t.me/h_yazahra_fardis")</f>
        <v>t.me/h_yazahra_fardis</v>
      </c>
      <c r="J4655" s="5"/>
      <c r="K4655" s="5"/>
      <c r="L4655" s="5"/>
      <c r="M4655" s="5"/>
      <c r="N4655" s="5"/>
      <c r="O4655" s="5"/>
      <c r="P4655" s="5"/>
      <c r="Q4655" s="5"/>
      <c r="R4655" s="5"/>
      <c r="S4655" s="5"/>
    </row>
    <row r="4656">
      <c r="A4656" s="5">
        <f>IFERROR(__xludf.DUMMYFUNCTION("""COMPUTED_VALUE"""),2357.0)</f>
        <v>2357</v>
      </c>
      <c r="B4656" s="5" t="str">
        <f>IFERROR(__xludf.DUMMYFUNCTION("""COMPUTED_VALUE"""),"هیئت")</f>
        <v>هیئت</v>
      </c>
      <c r="C4656" s="5" t="str">
        <f>IFERROR(__xludf.DUMMYFUNCTION("""COMPUTED_VALUE"""),"عشاق المهدی(عج)")</f>
        <v>عشاق المهدی(عج)</v>
      </c>
      <c r="D4656" s="5" t="str">
        <f>IFERROR(__xludf.DUMMYFUNCTION("""COMPUTED_VALUE"""),"البرز")</f>
        <v>البرز</v>
      </c>
      <c r="E4656" s="5" t="str">
        <f>IFERROR(__xludf.DUMMYFUNCTION("""COMPUTED_VALUE"""),"کرج")</f>
        <v>کرج</v>
      </c>
      <c r="F4656" s="5" t="str">
        <f>IFERROR(__xludf.DUMMYFUNCTION("""COMPUTED_VALUE"""),"نظرآباد")</f>
        <v>نظرآباد</v>
      </c>
      <c r="G4656" s="5"/>
      <c r="H4656" s="6" t="str">
        <f>IFERROR(__xludf.DUMMYFUNCTION("""COMPUTED_VALUE"""),"https://www.instagram.com/hasanieh_oshagholmahdi/")</f>
        <v>https://www.instagram.com/hasanieh_oshagholmahdi/</v>
      </c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</row>
    <row r="4657">
      <c r="A4657" s="5">
        <f>IFERROR(__xludf.DUMMYFUNCTION("""COMPUTED_VALUE"""),26819.0)</f>
        <v>26819</v>
      </c>
      <c r="B4657" s="5" t="str">
        <f>IFERROR(__xludf.DUMMYFUNCTION("""COMPUTED_VALUE"""),"هیئت بانوان ")</f>
        <v>هیئت بانوان </v>
      </c>
      <c r="C4657" s="5" t="str">
        <f>IFERROR(__xludf.DUMMYFUNCTION("""COMPUTED_VALUE"""),"دیوانگان حسین (ع)")</f>
        <v>دیوانگان حسین (ع)</v>
      </c>
      <c r="D4657" s="5" t="str">
        <f>IFERROR(__xludf.DUMMYFUNCTION("""COMPUTED_VALUE"""),"البرز")</f>
        <v>البرز</v>
      </c>
      <c r="E4657" s="5" t="str">
        <f>IFERROR(__xludf.DUMMYFUNCTION("""COMPUTED_VALUE"""),"کرج")</f>
        <v>کرج</v>
      </c>
      <c r="F4657" s="5"/>
      <c r="G4657" s="5"/>
      <c r="H4657" s="6" t="str">
        <f>IFERROR(__xludf.DUMMYFUNCTION("""COMPUTED_VALUE"""),"https://www.instagram.com/hayat.divanegane_hossain/")</f>
        <v>https://www.instagram.com/hayat.divanegane_hossain/</v>
      </c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</row>
    <row r="4658">
      <c r="A4658" s="5">
        <f>IFERROR(__xludf.DUMMYFUNCTION("""COMPUTED_VALUE"""),2388.0)</f>
        <v>2388</v>
      </c>
      <c r="B4658" s="5" t="str">
        <f>IFERROR(__xludf.DUMMYFUNCTION("""COMPUTED_VALUE"""),"هیئت")</f>
        <v>هیئت</v>
      </c>
      <c r="C4658" s="5" t="str">
        <f>IFERROR(__xludf.DUMMYFUNCTION("""COMPUTED_VALUE"""),"یازهرا(س)")</f>
        <v>یازهرا(س)</v>
      </c>
      <c r="D4658" s="5" t="str">
        <f>IFERROR(__xludf.DUMMYFUNCTION("""COMPUTED_VALUE"""),"البرز")</f>
        <v>البرز</v>
      </c>
      <c r="E4658" s="5" t="str">
        <f>IFERROR(__xludf.DUMMYFUNCTION("""COMPUTED_VALUE"""),"کرج")</f>
        <v>کرج</v>
      </c>
      <c r="F4658" s="5"/>
      <c r="G4658" s="5"/>
      <c r="H4658" s="6" t="str">
        <f>IFERROR(__xludf.DUMMYFUNCTION("""COMPUTED_VALUE"""),"https://www.instagram.com/hazrat_zahrayiha/")</f>
        <v>https://www.instagram.com/hazrat_zahrayiha/</v>
      </c>
      <c r="I4658" s="6" t="str">
        <f>IFERROR(__xludf.DUMMYFUNCTION("""COMPUTED_VALUE"""),"https://t.me/hazratzahrayihaa")</f>
        <v>https://t.me/hazratzahrayihaa</v>
      </c>
      <c r="J4658" s="5"/>
      <c r="K4658" s="5"/>
      <c r="L4658" s="5"/>
      <c r="M4658" s="5"/>
      <c r="N4658" s="5"/>
      <c r="O4658" s="5"/>
      <c r="P4658" s="5"/>
      <c r="Q4658" s="5"/>
      <c r="R4658" s="5"/>
      <c r="S4658" s="5"/>
    </row>
    <row r="4659">
      <c r="A4659" s="5">
        <f>IFERROR(__xludf.DUMMYFUNCTION("""COMPUTED_VALUE"""),2319.0)</f>
        <v>2319</v>
      </c>
      <c r="B4659" s="5" t="str">
        <f>IFERROR(__xludf.DUMMYFUNCTION("""COMPUTED_VALUE"""),"هیئت")</f>
        <v>هیئت</v>
      </c>
      <c r="C4659" s="5" t="str">
        <f>IFERROR(__xludf.DUMMYFUNCTION("""COMPUTED_VALUE"""),"حضرت رقیه(س)")</f>
        <v>حضرت رقیه(س)</v>
      </c>
      <c r="D4659" s="5" t="str">
        <f>IFERROR(__xludf.DUMMYFUNCTION("""COMPUTED_VALUE"""),"البرز")</f>
        <v>البرز</v>
      </c>
      <c r="E4659" s="5" t="str">
        <f>IFERROR(__xludf.DUMMYFUNCTION("""COMPUTED_VALUE"""),"فردیس")</f>
        <v>فردیس</v>
      </c>
      <c r="F4659" s="5" t="str">
        <f>IFERROR(__xludf.DUMMYFUNCTION("""COMPUTED_VALUE"""),"مشکین دشت")</f>
        <v>مشکین دشت</v>
      </c>
      <c r="G4659" s="5"/>
      <c r="H4659" s="6" t="str">
        <f>IFERROR(__xludf.DUMMYFUNCTION("""COMPUTED_VALUE"""),"https://www.instagram.com/heat_asheghan_roghaye/")</f>
        <v>https://www.instagram.com/heat_asheghan_roghaye/</v>
      </c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</row>
    <row r="4660">
      <c r="A4660" s="5">
        <f>IFERROR(__xludf.DUMMYFUNCTION("""COMPUTED_VALUE"""),2473.0)</f>
        <v>2473</v>
      </c>
      <c r="B4660" s="5" t="str">
        <f>IFERROR(__xludf.DUMMYFUNCTION("""COMPUTED_VALUE"""),"هیئت")</f>
        <v>هیئت</v>
      </c>
      <c r="C4660" s="5" t="str">
        <f>IFERROR(__xludf.DUMMYFUNCTION("""COMPUTED_VALUE"""),"انصارالمهدی (عج)")</f>
        <v>انصارالمهدی (عج)</v>
      </c>
      <c r="D4660" s="5" t="str">
        <f>IFERROR(__xludf.DUMMYFUNCTION("""COMPUTED_VALUE"""),"البرز")</f>
        <v>البرز</v>
      </c>
      <c r="E4660" s="5" t="str">
        <f>IFERROR(__xludf.DUMMYFUNCTION("""COMPUTED_VALUE"""),"طالقان ")</f>
        <v>طالقان </v>
      </c>
      <c r="F4660" s="5"/>
      <c r="G4660" s="5"/>
      <c r="H4660" s="6" t="str">
        <f>IFERROR(__xludf.DUMMYFUNCTION("""COMPUTED_VALUE"""),"https://www.instagram.com/heiat_ansaralmahdi/")</f>
        <v>https://www.instagram.com/heiat_ansaralmahdi/</v>
      </c>
      <c r="I4660" s="6" t="str">
        <f>IFERROR(__xludf.DUMMYFUNCTION("""COMPUTED_VALUE"""),"https://l.instagram.com/?u=http%3A%2F%2Fte.me%2Fheiatansaralmahdi313%3Futm_source%3Dig%26utm_medium%3Dsocial%26utm_content%3Dlink_in_bio%26fbclid%3DPAZXh0bgNhZW0CMTEAc3J0YwZhcHBfaWQMMjU2MjgxMDQwNTU4AAGnuSOmnL0b9aRtK6S8DdbpMrZkMVcD_SPeqr6IdfUVpMztm7Ink2POb"&amp;"4lz9SM_aem_TDHKIEm-lPFR-gR0gyifsg&amp;e=AT19VihR2bHQuSdGIpFmYYwpaZbhtq-0yasgu8hW-_0UR_KHO39VX8N4dgDULY2dvgHF0rv1VAD4Z2XItt1WsZajaE93nGehynYSZMeiWg")</f>
        <v>https://l.instagram.com/?u=http%3A%2F%2Fte.me%2Fheiatansaralmahdi313%3Futm_source%3Dig%26utm_medium%3Dsocial%26utm_content%3Dlink_in_bio%26fbclid%3DPAZXh0bgNhZW0CMTEAc3J0YwZhcHBfaWQMMjU2MjgxMDQwNTU4AAGnuSOmnL0b9aRtK6S8DdbpMrZkMVcD_SPeqr6IdfUVpMztm7Ink2POb4lz9SM_aem_TDHKIEm-lPFR-gR0gyifsg&amp;e=AT19VihR2bHQuSdGIpFmYYwpaZbhtq-0yasgu8hW-_0UR_KHO39VX8N4dgDULY2dvgHF0rv1VAD4Z2XItt1WsZajaE93nGehynYSZMeiWg</v>
      </c>
      <c r="J4660" s="5"/>
      <c r="K4660" s="5"/>
      <c r="L4660" s="5"/>
      <c r="M4660" s="5"/>
      <c r="N4660" s="5"/>
      <c r="O4660" s="5"/>
      <c r="P4660" s="5"/>
      <c r="Q4660" s="5"/>
      <c r="R4660" s="5"/>
      <c r="S4660" s="5"/>
    </row>
    <row r="4661">
      <c r="A4661" s="5">
        <f>IFERROR(__xludf.DUMMYFUNCTION("""COMPUTED_VALUE"""),18370.0)</f>
        <v>18370</v>
      </c>
      <c r="B4661" s="5" t="str">
        <f>IFERROR(__xludf.DUMMYFUNCTION("""COMPUTED_VALUE"""),"هیئت")</f>
        <v>هیئت</v>
      </c>
      <c r="C4661" s="5" t="str">
        <f>IFERROR(__xludf.DUMMYFUNCTION("""COMPUTED_VALUE"""),"شیفتگان حضرت رقیه(س)")</f>
        <v>شیفتگان حضرت رقیه(س)</v>
      </c>
      <c r="D4661" s="5" t="str">
        <f>IFERROR(__xludf.DUMMYFUNCTION("""COMPUTED_VALUE"""),"البرز")</f>
        <v>البرز</v>
      </c>
      <c r="E4661" s="5" t="str">
        <f>IFERROR(__xludf.DUMMYFUNCTION("""COMPUTED_VALUE"""),"نظرآباد")</f>
        <v>نظرآباد</v>
      </c>
      <c r="F4661" s="5"/>
      <c r="G4661" s="5">
        <f>IFERROR(__xludf.DUMMYFUNCTION("""COMPUTED_VALUE"""),1.0)</f>
        <v>1</v>
      </c>
      <c r="H4661" s="6" t="str">
        <f>IFERROR(__xludf.DUMMYFUNCTION("""COMPUTED_VALUE"""),"https://www.instagram.com/heiat_hazrat_roghaye_")</f>
        <v>https://www.instagram.com/heiat_hazrat_roghaye_</v>
      </c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</row>
    <row r="4662">
      <c r="A4662" s="5">
        <f>IFERROR(__xludf.DUMMYFUNCTION("""COMPUTED_VALUE"""),22365.0)</f>
        <v>22365</v>
      </c>
      <c r="B4662" s="5" t="str">
        <f>IFERROR(__xludf.DUMMYFUNCTION("""COMPUTED_VALUE"""),"هیئت")</f>
        <v>هیئت</v>
      </c>
      <c r="C4662" s="5" t="str">
        <f>IFERROR(__xludf.DUMMYFUNCTION("""COMPUTED_VALUE"""),"حضرت علی اصغر")</f>
        <v>حضرت علی اصغر</v>
      </c>
      <c r="D4662" s="5" t="str">
        <f>IFERROR(__xludf.DUMMYFUNCTION("""COMPUTED_VALUE"""),"البرز")</f>
        <v>البرز</v>
      </c>
      <c r="E4662" s="5" t="str">
        <f>IFERROR(__xludf.DUMMYFUNCTION("""COMPUTED_VALUE"""),"کرج")</f>
        <v>کرج</v>
      </c>
      <c r="F4662" s="5"/>
      <c r="G4662" s="5"/>
      <c r="H4662" s="6" t="str">
        <f>IFERROR(__xludf.DUMMYFUNCTION("""COMPUTED_VALUE"""),"https://www.instagram.com/heiat_jvanan_aliasghar")</f>
        <v>https://www.instagram.com/heiat_jvanan_aliasghar</v>
      </c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</row>
    <row r="4663">
      <c r="A4663" s="5">
        <f>IFERROR(__xludf.DUMMYFUNCTION("""COMPUTED_VALUE"""),2336.0)</f>
        <v>2336</v>
      </c>
      <c r="B4663" s="5" t="str">
        <f>IFERROR(__xludf.DUMMYFUNCTION("""COMPUTED_VALUE"""),"هیئت")</f>
        <v>هیئت</v>
      </c>
      <c r="C4663" s="5" t="str">
        <f>IFERROR(__xludf.DUMMYFUNCTION("""COMPUTED_VALUE"""),"منتظران حضرت مهدی (عج)")</f>
        <v>منتظران حضرت مهدی (عج)</v>
      </c>
      <c r="D4663" s="5" t="str">
        <f>IFERROR(__xludf.DUMMYFUNCTION("""COMPUTED_VALUE"""),"البرز")</f>
        <v>البرز</v>
      </c>
      <c r="E4663" s="5" t="str">
        <f>IFERROR(__xludf.DUMMYFUNCTION("""COMPUTED_VALUE"""),"کرج")</f>
        <v>کرج</v>
      </c>
      <c r="F4663" s="5"/>
      <c r="G4663" s="5"/>
      <c r="H4663" s="6" t="str">
        <f>IFERROR(__xludf.DUMMYFUNCTION("""COMPUTED_VALUE"""),"https://www.instagram.com/heiat_montazerane_mahdi/")</f>
        <v>https://www.instagram.com/heiat_montazerane_mahdi/</v>
      </c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</row>
    <row r="4664">
      <c r="A4664" s="5">
        <f>IFERROR(__xludf.DUMMYFUNCTION("""COMPUTED_VALUE"""),20226.0)</f>
        <v>20226</v>
      </c>
      <c r="B4664" s="5" t="str">
        <f>IFERROR(__xludf.DUMMYFUNCTION("""COMPUTED_VALUE"""),"هیئت")</f>
        <v>هیئت</v>
      </c>
      <c r="C4664" s="5" t="str">
        <f>IFERROR(__xludf.DUMMYFUNCTION("""COMPUTED_VALUE"""),"منتظران مهدی (ع)")</f>
        <v>منتظران مهدی (ع)</v>
      </c>
      <c r="D4664" s="5" t="str">
        <f>IFERROR(__xludf.DUMMYFUNCTION("""COMPUTED_VALUE"""),"البرز")</f>
        <v>البرز</v>
      </c>
      <c r="E4664" s="5" t="str">
        <f>IFERROR(__xludf.DUMMYFUNCTION("""COMPUTED_VALUE"""),"کرج")</f>
        <v>کرج</v>
      </c>
      <c r="F4664" s="5"/>
      <c r="G4664" s="5"/>
      <c r="H4664" s="6" t="str">
        <f>IFERROR(__xludf.DUMMYFUNCTION("""COMPUTED_VALUE"""),"https://www.instagram.com/heiat_montazerane_mahdi/")</f>
        <v>https://www.instagram.com/heiat_montazerane_mahdi/</v>
      </c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</row>
    <row r="4665">
      <c r="A4665" s="5">
        <f>IFERROR(__xludf.DUMMYFUNCTION("""COMPUTED_VALUE"""),29209.0)</f>
        <v>29209</v>
      </c>
      <c r="B4665" s="5" t="str">
        <f>IFERROR(__xludf.DUMMYFUNCTION("""COMPUTED_VALUE"""),"هیئت")</f>
        <v>هیئت</v>
      </c>
      <c r="C4665" s="5" t="str">
        <f>IFERROR(__xludf.DUMMYFUNCTION("""COMPUTED_VALUE"""),"بنی فاطمه (س)")</f>
        <v>بنی فاطمه (س)</v>
      </c>
      <c r="D4665" s="5" t="str">
        <f>IFERROR(__xludf.DUMMYFUNCTION("""COMPUTED_VALUE"""),"البرز")</f>
        <v>البرز</v>
      </c>
      <c r="E4665" s="5" t="str">
        <f>IFERROR(__xludf.DUMMYFUNCTION("""COMPUTED_VALUE"""),"کرج ")</f>
        <v>کرج </v>
      </c>
      <c r="F4665" s="5"/>
      <c r="G4665" s="5"/>
      <c r="H4665" s="6" t="str">
        <f>IFERROR(__xludf.DUMMYFUNCTION("""COMPUTED_VALUE"""),"https://www.instagram.com/heiate_banifatemeh/")</f>
        <v>https://www.instagram.com/heiate_banifatemeh/</v>
      </c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</row>
    <row r="4666">
      <c r="A4666" s="5">
        <f>IFERROR(__xludf.DUMMYFUNCTION("""COMPUTED_VALUE"""),19886.0)</f>
        <v>19886</v>
      </c>
      <c r="B4666" s="5" t="str">
        <f>IFERROR(__xludf.DUMMYFUNCTION("""COMPUTED_VALUE"""),"هیئت")</f>
        <v>هیئت</v>
      </c>
      <c r="C4666" s="5" t="str">
        <f>IFERROR(__xludf.DUMMYFUNCTION("""COMPUTED_VALUE"""),"آل یس")</f>
        <v>آل یس</v>
      </c>
      <c r="D4666" s="5" t="str">
        <f>IFERROR(__xludf.DUMMYFUNCTION("""COMPUTED_VALUE"""),"البرز")</f>
        <v>البرز</v>
      </c>
      <c r="E4666" s="5" t="str">
        <f>IFERROR(__xludf.DUMMYFUNCTION("""COMPUTED_VALUE"""),"کرج")</f>
        <v>کرج</v>
      </c>
      <c r="F4666" s="5"/>
      <c r="G4666" s="5"/>
      <c r="H4666" s="6" t="str">
        <f>IFERROR(__xludf.DUMMYFUNCTION("""COMPUTED_VALUE"""),"https://www.instagram.com/heiatealeyasiin")</f>
        <v>https://www.instagram.com/heiatealeyasiin</v>
      </c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</row>
    <row r="4667">
      <c r="A4667" s="5">
        <f>IFERROR(__xludf.DUMMYFUNCTION("""COMPUTED_VALUE"""),18557.0)</f>
        <v>18557</v>
      </c>
      <c r="B4667" s="5" t="str">
        <f>IFERROR(__xludf.DUMMYFUNCTION("""COMPUTED_VALUE"""),"هیئت")</f>
        <v>هیئت</v>
      </c>
      <c r="C4667" s="5" t="str">
        <f>IFERROR(__xludf.DUMMYFUNCTION("""COMPUTED_VALUE"""),"مسجد امام حسن(ع)")</f>
        <v>مسجد امام حسن(ع)</v>
      </c>
      <c r="D4667" s="5" t="str">
        <f>IFERROR(__xludf.DUMMYFUNCTION("""COMPUTED_VALUE"""),"البرز")</f>
        <v>البرز</v>
      </c>
      <c r="E4667" s="5" t="str">
        <f>IFERROR(__xludf.DUMMYFUNCTION("""COMPUTED_VALUE"""),"فردیس")</f>
        <v>فردیس</v>
      </c>
      <c r="F4667" s="5"/>
      <c r="G4667" s="5"/>
      <c r="H4667" s="6" t="str">
        <f>IFERROR(__xludf.DUMMYFUNCTION("""COMPUTED_VALUE"""),"https://www.instagram.com/heiatemamhasanmojtaba6")</f>
        <v>https://www.instagram.com/heiatemamhasanmojtaba6</v>
      </c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</row>
    <row r="4668">
      <c r="A4668" s="5">
        <f>IFERROR(__xludf.DUMMYFUNCTION("""COMPUTED_VALUE"""),33005.0)</f>
        <v>33005</v>
      </c>
      <c r="B4668" s="5" t="str">
        <f>IFERROR(__xludf.DUMMYFUNCTION("""COMPUTED_VALUE"""),"هیئت")</f>
        <v>هیئت</v>
      </c>
      <c r="C4668" s="5" t="str">
        <f>IFERROR(__xludf.DUMMYFUNCTION("""COMPUTED_VALUE"""),"شباب امام خمینی (ره)")</f>
        <v>شباب امام خمینی (ره)</v>
      </c>
      <c r="D4668" s="5" t="str">
        <f>IFERROR(__xludf.DUMMYFUNCTION("""COMPUTED_VALUE"""),"البرز")</f>
        <v>البرز</v>
      </c>
      <c r="E4668" s="5" t="str">
        <f>IFERROR(__xludf.DUMMYFUNCTION("""COMPUTED_VALUE"""),"کرج")</f>
        <v>کرج</v>
      </c>
      <c r="F4668" s="5"/>
      <c r="G4668" s="5"/>
      <c r="H4668" s="6" t="str">
        <f>IFERROR(__xludf.DUMMYFUNCTION("""COMPUTED_VALUE"""),"https://www.instagram.com/heiateshabab/")</f>
        <v>https://www.instagram.com/heiateshabab/</v>
      </c>
      <c r="I4668" s="5"/>
      <c r="J4668" s="6" t="str">
        <f>IFERROR(__xludf.DUMMYFUNCTION("""COMPUTED_VALUE"""),"https://eitaa.com/heiateshabab")</f>
        <v>https://eitaa.com/heiateshabab</v>
      </c>
      <c r="K4668" s="5"/>
      <c r="L4668" s="5"/>
      <c r="M4668" s="5"/>
      <c r="N4668" s="5"/>
      <c r="O4668" s="5"/>
      <c r="P4668" s="5"/>
      <c r="Q4668" s="5"/>
      <c r="R4668" s="5"/>
      <c r="S4668" s="5"/>
    </row>
    <row r="4669">
      <c r="A4669" s="5">
        <f>IFERROR(__xludf.DUMMYFUNCTION("""COMPUTED_VALUE"""),20279.0)</f>
        <v>20279</v>
      </c>
      <c r="B4669" s="5" t="str">
        <f>IFERROR(__xludf.DUMMYFUNCTION("""COMPUTED_VALUE"""),"هیئت")</f>
        <v>هیئت</v>
      </c>
      <c r="C4669" s="5" t="str">
        <f>IFERROR(__xludf.DUMMYFUNCTION("""COMPUTED_VALUE"""),"سائلین ثامن الحجج (ع)")</f>
        <v>سائلین ثامن الحجج (ع)</v>
      </c>
      <c r="D4669" s="5" t="str">
        <f>IFERROR(__xludf.DUMMYFUNCTION("""COMPUTED_VALUE"""),"البرز")</f>
        <v>البرز</v>
      </c>
      <c r="E4669" s="5" t="str">
        <f>IFERROR(__xludf.DUMMYFUNCTION("""COMPUTED_VALUE"""),"کرج")</f>
        <v>کرج</v>
      </c>
      <c r="F4669" s="5"/>
      <c r="G4669" s="5"/>
      <c r="H4669" s="6" t="str">
        <f>IFERROR(__xludf.DUMMYFUNCTION("""COMPUTED_VALUE"""),"https://www.instagram.com/heiatsamen.info")</f>
        <v>https://www.instagram.com/heiatsamen.info</v>
      </c>
      <c r="I4669" s="6" t="str">
        <f>IFERROR(__xludf.DUMMYFUNCTION("""COMPUTED_VALUE"""),"https://t.me/samen_channel")</f>
        <v>https://t.me/samen_channel</v>
      </c>
      <c r="J4669" s="5"/>
      <c r="K4669" s="5"/>
      <c r="L4669" s="5"/>
      <c r="M4669" s="5"/>
      <c r="N4669" s="5"/>
      <c r="O4669" s="5"/>
      <c r="P4669" s="5"/>
      <c r="Q4669" s="5"/>
      <c r="R4669" s="5"/>
      <c r="S4669" s="5"/>
    </row>
    <row r="4670">
      <c r="A4670" s="5">
        <f>IFERROR(__xludf.DUMMYFUNCTION("""COMPUTED_VALUE"""),26821.0)</f>
        <v>26821</v>
      </c>
      <c r="B4670" s="5" t="str">
        <f>IFERROR(__xludf.DUMMYFUNCTION("""COMPUTED_VALUE"""),"هیئت")</f>
        <v>هیئت</v>
      </c>
      <c r="C4670" s="5" t="str">
        <f>IFERROR(__xludf.DUMMYFUNCTION("""COMPUTED_VALUE"""),"هنرمندان استان البرز")</f>
        <v>هنرمندان استان البرز</v>
      </c>
      <c r="D4670" s="5" t="str">
        <f>IFERROR(__xludf.DUMMYFUNCTION("""COMPUTED_VALUE"""),"البرز")</f>
        <v>البرز</v>
      </c>
      <c r="E4670" s="5" t="str">
        <f>IFERROR(__xludf.DUMMYFUNCTION("""COMPUTED_VALUE"""),"کرج")</f>
        <v>کرج</v>
      </c>
      <c r="F4670" s="5"/>
      <c r="G4670" s="5">
        <f>IFERROR(__xludf.DUMMYFUNCTION("""COMPUTED_VALUE"""),1.0)</f>
        <v>1</v>
      </c>
      <c r="H4670" s="6" t="str">
        <f>IFERROR(__xludf.DUMMYFUNCTION("""COMPUTED_VALUE"""),"https://www.instagram.com/hey_at_honarmandan_alborz/")</f>
        <v>https://www.instagram.com/hey_at_honarmandan_alborz/</v>
      </c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</row>
    <row r="4671">
      <c r="A4671" s="5">
        <f>IFERROR(__xludf.DUMMYFUNCTION("""COMPUTED_VALUE"""),20267.0)</f>
        <v>20267</v>
      </c>
      <c r="B4671" s="5" t="str">
        <f>IFERROR(__xludf.DUMMYFUNCTION("""COMPUTED_VALUE"""),"هیئت")</f>
        <v>هیئت</v>
      </c>
      <c r="C4671" s="5" t="str">
        <f>IFERROR(__xludf.DUMMYFUNCTION("""COMPUTED_VALUE"""),"کریم اهل بیت")</f>
        <v>کریم اهل بیت</v>
      </c>
      <c r="D4671" s="5" t="str">
        <f>IFERROR(__xludf.DUMMYFUNCTION("""COMPUTED_VALUE"""),"البرز")</f>
        <v>البرز</v>
      </c>
      <c r="E4671" s="5" t="str">
        <f>IFERROR(__xludf.DUMMYFUNCTION("""COMPUTED_VALUE"""),"کرج")</f>
        <v>کرج</v>
      </c>
      <c r="F4671" s="5"/>
      <c r="G4671" s="5">
        <f>IFERROR(__xludf.DUMMYFUNCTION("""COMPUTED_VALUE"""),1.0)</f>
        <v>1</v>
      </c>
      <c r="H4671" s="6" t="str">
        <f>IFERROR(__xludf.DUMMYFUNCTION("""COMPUTED_VALUE"""),"https://www.instagram.com/heyaat_karim_ahlebeyt")</f>
        <v>https://www.instagram.com/heyaat_karim_ahlebeyt</v>
      </c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</row>
    <row r="4672">
      <c r="A4672" s="5">
        <f>IFERROR(__xludf.DUMMYFUNCTION("""COMPUTED_VALUE"""),24847.0)</f>
        <v>24847</v>
      </c>
      <c r="B4672" s="5" t="str">
        <f>IFERROR(__xludf.DUMMYFUNCTION("""COMPUTED_VALUE"""),"هیئت")</f>
        <v>هیئت</v>
      </c>
      <c r="C4672" s="5" t="str">
        <f>IFERROR(__xludf.DUMMYFUNCTION("""COMPUTED_VALUE"""),"حضرت اباالفضل العباس(ع)")</f>
        <v>حضرت اباالفضل العباس(ع)</v>
      </c>
      <c r="D4672" s="5" t="str">
        <f>IFERROR(__xludf.DUMMYFUNCTION("""COMPUTED_VALUE"""),"البرز")</f>
        <v>البرز</v>
      </c>
      <c r="E4672" s="5" t="str">
        <f>IFERROR(__xludf.DUMMYFUNCTION("""COMPUTED_VALUE"""),"فردیس")</f>
        <v>فردیس</v>
      </c>
      <c r="F4672" s="5"/>
      <c r="G4672" s="5"/>
      <c r="H4672" s="6" t="str">
        <f>IFERROR(__xludf.DUMMYFUNCTION("""COMPUTED_VALUE"""),"https://www.instagram.com/heyat_abalfazllabas133/")</f>
        <v>https://www.instagram.com/heyat_abalfazllabas133/</v>
      </c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</row>
    <row r="4673">
      <c r="A4673" s="5">
        <f>IFERROR(__xludf.DUMMYFUNCTION("""COMPUTED_VALUE"""),26818.0)</f>
        <v>26818</v>
      </c>
      <c r="B4673" s="5" t="str">
        <f>IFERROR(__xludf.DUMMYFUNCTION("""COMPUTED_VALUE"""),"هیئت")</f>
        <v>هیئت</v>
      </c>
      <c r="C4673" s="5" t="str">
        <f>IFERROR(__xludf.DUMMYFUNCTION("""COMPUTED_VALUE"""),"عاشقان حضرت عباس (ع)")</f>
        <v>عاشقان حضرت عباس (ع)</v>
      </c>
      <c r="D4673" s="5" t="str">
        <f>IFERROR(__xludf.DUMMYFUNCTION("""COMPUTED_VALUE"""),"البرز")</f>
        <v>البرز</v>
      </c>
      <c r="E4673" s="5" t="str">
        <f>IFERROR(__xludf.DUMMYFUNCTION("""COMPUTED_VALUE"""),"کرج")</f>
        <v>کرج</v>
      </c>
      <c r="F4673" s="5"/>
      <c r="G4673" s="5"/>
      <c r="H4673" s="6" t="str">
        <f>IFERROR(__xludf.DUMMYFUNCTION("""COMPUTED_VALUE"""),"https://www.instagram.com/heyat_asheghan_hazrat_abulfazl/")</f>
        <v>https://www.instagram.com/heyat_asheghan_hazrat_abulfazl/</v>
      </c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</row>
    <row r="4674">
      <c r="A4674" s="5">
        <f>IFERROR(__xludf.DUMMYFUNCTION("""COMPUTED_VALUE"""),2144.0)</f>
        <v>2144</v>
      </c>
      <c r="B4674" s="5" t="str">
        <f>IFERROR(__xludf.DUMMYFUNCTION("""COMPUTED_VALUE"""),"هیئت")</f>
        <v>هیئت</v>
      </c>
      <c r="C4674" s="5" t="str">
        <f>IFERROR(__xludf.DUMMYFUNCTION("""COMPUTED_VALUE"""),"بنت الحسین(س)")</f>
        <v>بنت الحسین(س)</v>
      </c>
      <c r="D4674" s="5" t="str">
        <f>IFERROR(__xludf.DUMMYFUNCTION("""COMPUTED_VALUE"""),"البرز")</f>
        <v>البرز</v>
      </c>
      <c r="E4674" s="5" t="str">
        <f>IFERROR(__xludf.DUMMYFUNCTION("""COMPUTED_VALUE"""),"کرج")</f>
        <v>کرج</v>
      </c>
      <c r="F4674" s="5"/>
      <c r="G4674" s="5"/>
      <c r="H4674" s="6" t="str">
        <f>IFERROR(__xludf.DUMMYFUNCTION("""COMPUTED_VALUE"""),"https://www.instagram.com/heyat_bentolhossein/")</f>
        <v>https://www.instagram.com/heyat_bentolhossein/</v>
      </c>
      <c r="I4674" s="6" t="str">
        <f>IFERROR(__xludf.DUMMYFUNCTION("""COMPUTED_VALUE"""),"t.me/bentolhossein_heyat")</f>
        <v>t.me/bentolhossein_heyat</v>
      </c>
      <c r="J4674" s="5"/>
      <c r="K4674" s="5"/>
      <c r="L4674" s="5"/>
      <c r="M4674" s="5"/>
      <c r="N4674" s="5"/>
      <c r="O4674" s="5"/>
      <c r="P4674" s="5"/>
      <c r="Q4674" s="5"/>
      <c r="R4674" s="5"/>
      <c r="S4674" s="5"/>
    </row>
    <row r="4675">
      <c r="A4675" s="5">
        <f>IFERROR(__xludf.DUMMYFUNCTION("""COMPUTED_VALUE"""),31824.0)</f>
        <v>31824</v>
      </c>
      <c r="B4675" s="5" t="str">
        <f>IFERROR(__xludf.DUMMYFUNCTION("""COMPUTED_VALUE"""),"هیئت")</f>
        <v>هیئت</v>
      </c>
      <c r="C4675" s="5" t="str">
        <f>IFERROR(__xludf.DUMMYFUNCTION("""COMPUTED_VALUE"""),"امام حسن مجتبی (ع)")</f>
        <v>امام حسن مجتبی (ع)</v>
      </c>
      <c r="D4675" s="5" t="str">
        <f>IFERROR(__xludf.DUMMYFUNCTION("""COMPUTED_VALUE"""),"البرز")</f>
        <v>البرز</v>
      </c>
      <c r="E4675" s="5" t="str">
        <f>IFERROR(__xludf.DUMMYFUNCTION("""COMPUTED_VALUE"""),"کرج")</f>
        <v>کرج</v>
      </c>
      <c r="F4675" s="5"/>
      <c r="G4675" s="5"/>
      <c r="H4675" s="6" t="str">
        <f>IFERROR(__xludf.DUMMYFUNCTION("""COMPUTED_VALUE"""),"https://www.instagram.com/heyat_emamhassan/")</f>
        <v>https://www.instagram.com/heyat_emamhassan/</v>
      </c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</row>
    <row r="4676">
      <c r="A4676" s="5">
        <f>IFERROR(__xludf.DUMMYFUNCTION("""COMPUTED_VALUE"""),25456.0)</f>
        <v>25456</v>
      </c>
      <c r="B4676" s="5" t="str">
        <f>IFERROR(__xludf.DUMMYFUNCTION("""COMPUTED_VALUE"""),"هیئت")</f>
        <v>هیئت</v>
      </c>
      <c r="C4676" s="5" t="str">
        <f>IFERROR(__xludf.DUMMYFUNCTION("""COMPUTED_VALUE"""),"قمربنی هاشم علیه السلام")</f>
        <v>قمربنی هاشم علیه السلام</v>
      </c>
      <c r="D4676" s="5" t="str">
        <f>IFERROR(__xludf.DUMMYFUNCTION("""COMPUTED_VALUE"""),"البرز")</f>
        <v>البرز</v>
      </c>
      <c r="E4676" s="5" t="str">
        <f>IFERROR(__xludf.DUMMYFUNCTION("""COMPUTED_VALUE"""),"کرج")</f>
        <v>کرج</v>
      </c>
      <c r="F4676" s="5"/>
      <c r="G4676" s="5"/>
      <c r="H4676" s="6" t="str">
        <f>IFERROR(__xludf.DUMMYFUNCTION("""COMPUTED_VALUE"""),"https://www.instagram.com/heyat_ghamarebanihashem_1374")</f>
        <v>https://www.instagram.com/heyat_ghamarebanihashem_1374</v>
      </c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</row>
    <row r="4677">
      <c r="A4677" s="5">
        <f>IFERROR(__xludf.DUMMYFUNCTION("""COMPUTED_VALUE"""),2456.0)</f>
        <v>2456</v>
      </c>
      <c r="B4677" s="5" t="str">
        <f>IFERROR(__xludf.DUMMYFUNCTION("""COMPUTED_VALUE"""),"هیئت")</f>
        <v>هیئت</v>
      </c>
      <c r="C4677" s="5" t="str">
        <f>IFERROR(__xludf.DUMMYFUNCTION("""COMPUTED_VALUE"""),"حضرت ولی عصر(عج)")</f>
        <v>حضرت ولی عصر(عج)</v>
      </c>
      <c r="D4677" s="5" t="str">
        <f>IFERROR(__xludf.DUMMYFUNCTION("""COMPUTED_VALUE"""),"البرز")</f>
        <v>البرز</v>
      </c>
      <c r="E4677" s="5" t="str">
        <f>IFERROR(__xludf.DUMMYFUNCTION("""COMPUTED_VALUE"""),"کرج")</f>
        <v>کرج</v>
      </c>
      <c r="F4677" s="5"/>
      <c r="G4677" s="5"/>
      <c r="H4677" s="6" t="str">
        <f>IFERROR(__xludf.DUMMYFUNCTION("""COMPUTED_VALUE"""),"https://www.instagram.com/heyat_hazrat_valiasr/")</f>
        <v>https://www.instagram.com/heyat_hazrat_valiasr/</v>
      </c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</row>
    <row r="4678">
      <c r="A4678" s="5">
        <f>IFERROR(__xludf.DUMMYFUNCTION("""COMPUTED_VALUE"""),19331.0)</f>
        <v>19331</v>
      </c>
      <c r="B4678" s="5" t="str">
        <f>IFERROR(__xludf.DUMMYFUNCTION("""COMPUTED_VALUE"""),"هیئت")</f>
        <v>هیئت</v>
      </c>
      <c r="C4678" s="5" t="str">
        <f>IFERROR(__xludf.DUMMYFUNCTION("""COMPUTED_VALUE"""),"حضرت ابوالفضل(ع)")</f>
        <v>حضرت ابوالفضل(ع)</v>
      </c>
      <c r="D4678" s="5" t="str">
        <f>IFERROR(__xludf.DUMMYFUNCTION("""COMPUTED_VALUE"""),"البرز")</f>
        <v>البرز</v>
      </c>
      <c r="E4678" s="5" t="str">
        <f>IFERROR(__xludf.DUMMYFUNCTION("""COMPUTED_VALUE"""),"کرج")</f>
        <v>کرج</v>
      </c>
      <c r="F4678" s="5"/>
      <c r="G4678" s="5">
        <f>IFERROR(__xludf.DUMMYFUNCTION("""COMPUTED_VALUE"""),1.0)</f>
        <v>1</v>
      </c>
      <c r="H4678" s="6" t="str">
        <f>IFERROR(__xludf.DUMMYFUNCTION("""COMPUTED_VALUE"""),"https://www.instagram.com/heyat_hazratabalfazll68")</f>
        <v>https://www.instagram.com/heyat_hazratabalfazll68</v>
      </c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</row>
    <row r="4679">
      <c r="A4679" s="5">
        <f>IFERROR(__xludf.DUMMYFUNCTION("""COMPUTED_VALUE"""),2280.0)</f>
        <v>2280</v>
      </c>
      <c r="B4679" s="5" t="str">
        <f>IFERROR(__xludf.DUMMYFUNCTION("""COMPUTED_VALUE"""),"هیئت")</f>
        <v>هیئت</v>
      </c>
      <c r="C4679" s="5" t="str">
        <f>IFERROR(__xludf.DUMMYFUNCTION("""COMPUTED_VALUE"""),"جنت الحسن (ع)")</f>
        <v>جنت الحسن (ع)</v>
      </c>
      <c r="D4679" s="5" t="str">
        <f>IFERROR(__xludf.DUMMYFUNCTION("""COMPUTED_VALUE"""),"البرز")</f>
        <v>البرز</v>
      </c>
      <c r="E4679" s="5" t="str">
        <f>IFERROR(__xludf.DUMMYFUNCTION("""COMPUTED_VALUE"""),"کرج")</f>
        <v>کرج</v>
      </c>
      <c r="F4679" s="5"/>
      <c r="G4679" s="5"/>
      <c r="H4679" s="6" t="str">
        <f>IFERROR(__xludf.DUMMYFUNCTION("""COMPUTED_VALUE"""),"https://www.instagram.com/heyat_janatolhassan_karj")</f>
        <v>https://www.instagram.com/heyat_janatolhassan_karj</v>
      </c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</row>
    <row r="4680">
      <c r="A4680" s="5">
        <f>IFERROR(__xludf.DUMMYFUNCTION("""COMPUTED_VALUE"""),2461.0)</f>
        <v>2461</v>
      </c>
      <c r="B4680" s="5" t="str">
        <f>IFERROR(__xludf.DUMMYFUNCTION("""COMPUTED_VALUE"""),"هیئت جوانان")</f>
        <v>هیئت جوانان</v>
      </c>
      <c r="C4680" s="5" t="str">
        <f>IFERROR(__xludf.DUMMYFUNCTION("""COMPUTED_VALUE"""),"انصار المهدی (عج)")</f>
        <v>انصار المهدی (عج)</v>
      </c>
      <c r="D4680" s="5" t="str">
        <f>IFERROR(__xludf.DUMMYFUNCTION("""COMPUTED_VALUE"""),"البرز")</f>
        <v>البرز</v>
      </c>
      <c r="E4680" s="5" t="str">
        <f>IFERROR(__xludf.DUMMYFUNCTION("""COMPUTED_VALUE"""),"کرج")</f>
        <v>کرج</v>
      </c>
      <c r="F4680" s="5" t="str">
        <f>IFERROR(__xludf.DUMMYFUNCTION("""COMPUTED_VALUE"""),"کمالشهر ")</f>
        <v>کمالشهر </v>
      </c>
      <c r="G4680" s="5"/>
      <c r="H4680" s="6" t="str">
        <f>IFERROR(__xludf.DUMMYFUNCTION("""COMPUTED_VALUE"""),"https://www.instagram.com/heyat_javanan_ansaralmahdi")</f>
        <v>https://www.instagram.com/heyat_javanan_ansaralmahdi</v>
      </c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</row>
    <row r="4681">
      <c r="A4681" s="5">
        <f>IFERROR(__xludf.DUMMYFUNCTION("""COMPUTED_VALUE"""),30588.0)</f>
        <v>30588</v>
      </c>
      <c r="B4681" s="5" t="str">
        <f>IFERROR(__xludf.DUMMYFUNCTION("""COMPUTED_VALUE"""),"هیئت")</f>
        <v>هیئت</v>
      </c>
      <c r="C4681" s="5" t="str">
        <f>IFERROR(__xludf.DUMMYFUNCTION("""COMPUTED_VALUE"""),"مهدیون(عج)")</f>
        <v>مهدیون(عج)</v>
      </c>
      <c r="D4681" s="5" t="str">
        <f>IFERROR(__xludf.DUMMYFUNCTION("""COMPUTED_VALUE"""),"البرز")</f>
        <v>البرز</v>
      </c>
      <c r="E4681" s="5" t="str">
        <f>IFERROR(__xludf.DUMMYFUNCTION("""COMPUTED_VALUE"""),"کرج")</f>
        <v>کرج</v>
      </c>
      <c r="F4681" s="5"/>
      <c r="G4681" s="5"/>
      <c r="H4681" s="6" t="str">
        <f>IFERROR(__xludf.DUMMYFUNCTION("""COMPUTED_VALUE"""),"https://www.instagram.com/heyat_mahdion")</f>
        <v>https://www.instagram.com/heyat_mahdion</v>
      </c>
      <c r="I4681" s="6" t="str">
        <f>IFERROR(__xludf.DUMMYFUNCTION("""COMPUTED_VALUE"""),"https://t.me/Mahdioun")</f>
        <v>https://t.me/Mahdioun</v>
      </c>
      <c r="J4681" s="5"/>
      <c r="K4681" s="5"/>
      <c r="L4681" s="5"/>
      <c r="M4681" s="5"/>
      <c r="N4681" s="5"/>
      <c r="O4681" s="5"/>
      <c r="P4681" s="5"/>
      <c r="Q4681" s="5"/>
      <c r="R4681" s="5"/>
      <c r="S4681" s="5"/>
    </row>
    <row r="4682">
      <c r="A4682" s="5">
        <f>IFERROR(__xludf.DUMMYFUNCTION("""COMPUTED_VALUE"""),18353.0)</f>
        <v>18353</v>
      </c>
      <c r="B4682" s="5" t="str">
        <f>IFERROR(__xludf.DUMMYFUNCTION("""COMPUTED_VALUE"""),"هیئت")</f>
        <v>هیئت</v>
      </c>
      <c r="C4682" s="5" t="str">
        <f>IFERROR(__xludf.DUMMYFUNCTION("""COMPUTED_VALUE"""),"مکتب العباس(ع)")</f>
        <v>مکتب العباس(ع)</v>
      </c>
      <c r="D4682" s="5" t="str">
        <f>IFERROR(__xludf.DUMMYFUNCTION("""COMPUTED_VALUE"""),"البرز")</f>
        <v>البرز</v>
      </c>
      <c r="E4682" s="5" t="str">
        <f>IFERROR(__xludf.DUMMYFUNCTION("""COMPUTED_VALUE"""),"چهارباغ")</f>
        <v>چهارباغ</v>
      </c>
      <c r="F4682" s="5"/>
      <c r="G4682" s="5">
        <f>IFERROR(__xludf.DUMMYFUNCTION("""COMPUTED_VALUE"""),1.0)</f>
        <v>1</v>
      </c>
      <c r="H4682" s="6" t="str">
        <f>IFERROR(__xludf.DUMMYFUNCTION("""COMPUTED_VALUE"""),"https://www.instagram.com/heyat_maktabol_abas")</f>
        <v>https://www.instagram.com/heyat_maktabol_abas</v>
      </c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</row>
    <row r="4683">
      <c r="A4683" s="5">
        <f>IFERROR(__xludf.DUMMYFUNCTION("""COMPUTED_VALUE"""),25930.0)</f>
        <v>25930</v>
      </c>
      <c r="B4683" s="5" t="str">
        <f>IFERROR(__xludf.DUMMYFUNCTION("""COMPUTED_VALUE"""),"هیئت")</f>
        <v>هیئت</v>
      </c>
      <c r="C4683" s="5" t="str">
        <f>IFERROR(__xludf.DUMMYFUNCTION("""COMPUTED_VALUE"""),"محبان العباس ")</f>
        <v>محبان العباس </v>
      </c>
      <c r="D4683" s="5" t="str">
        <f>IFERROR(__xludf.DUMMYFUNCTION("""COMPUTED_VALUE"""),"البرز")</f>
        <v>البرز</v>
      </c>
      <c r="E4683" s="5" t="str">
        <f>IFERROR(__xludf.DUMMYFUNCTION("""COMPUTED_VALUE"""),"کرج")</f>
        <v>کرج</v>
      </c>
      <c r="F4683" s="5" t="str">
        <f>IFERROR(__xludf.DUMMYFUNCTION("""COMPUTED_VALUE"""),"محمدشهر ")</f>
        <v>محمدشهر </v>
      </c>
      <c r="G4683" s="5"/>
      <c r="H4683" s="6" t="str">
        <f>IFERROR(__xludf.DUMMYFUNCTION("""COMPUTED_VALUE"""),"https://www.instagram.com/heyat_mohebban_alabbas/")</f>
        <v>https://www.instagram.com/heyat_mohebban_alabbas/</v>
      </c>
      <c r="I4683" s="6" t="str">
        <f>IFERROR(__xludf.DUMMYFUNCTION("""COMPUTED_VALUE"""),"https://t.me/mohebban_alabbas133")</f>
        <v>https://t.me/mohebban_alabbas133</v>
      </c>
      <c r="J4683" s="5"/>
      <c r="K4683" s="5"/>
      <c r="L4683" s="5"/>
      <c r="M4683" s="5"/>
      <c r="N4683" s="5"/>
      <c r="O4683" s="5"/>
      <c r="P4683" s="5"/>
      <c r="Q4683" s="5"/>
      <c r="R4683" s="5"/>
      <c r="S4683" s="5"/>
    </row>
    <row r="4684">
      <c r="A4684" s="5">
        <f>IFERROR(__xludf.DUMMYFUNCTION("""COMPUTED_VALUE"""),2398.0)</f>
        <v>2398</v>
      </c>
      <c r="B4684" s="5" t="str">
        <f>IFERROR(__xludf.DUMMYFUNCTION("""COMPUTED_VALUE"""),"هیئت")</f>
        <v>هیئت</v>
      </c>
      <c r="C4684" s="5" t="str">
        <f>IFERROR(__xludf.DUMMYFUNCTION("""COMPUTED_VALUE"""),"رایـت‌العبـاس علیه السلام")</f>
        <v>رایـت‌العبـاس علیه السلام</v>
      </c>
      <c r="D4684" s="5" t="str">
        <f>IFERROR(__xludf.DUMMYFUNCTION("""COMPUTED_VALUE"""),"البرز")</f>
        <v>البرز</v>
      </c>
      <c r="E4684" s="5" t="str">
        <f>IFERROR(__xludf.DUMMYFUNCTION("""COMPUTED_VALUE"""),"نظرآباد")</f>
        <v>نظرآباد</v>
      </c>
      <c r="F4684" s="5"/>
      <c r="G4684" s="5"/>
      <c r="H4684" s="6" t="str">
        <f>IFERROR(__xludf.DUMMYFUNCTION("""COMPUTED_VALUE"""),"https://www.instagram.com/heyat_raayatolabbass/")</f>
        <v>https://www.instagram.com/heyat_raayatolabbass/</v>
      </c>
      <c r="I4684" s="6" t="str">
        <f>IFERROR(__xludf.DUMMYFUNCTION("""COMPUTED_VALUE"""),"https://t.me/Heyat_RaayatolAbbas")</f>
        <v>https://t.me/Heyat_RaayatolAbbas</v>
      </c>
      <c r="J4684" s="5"/>
      <c r="K4684" s="5"/>
      <c r="L4684" s="5"/>
      <c r="M4684" s="5"/>
      <c r="N4684" s="5"/>
      <c r="O4684" s="5"/>
      <c r="P4684" s="5"/>
      <c r="Q4684" s="5"/>
      <c r="R4684" s="5"/>
      <c r="S4684" s="5"/>
    </row>
    <row r="4685">
      <c r="A4685" s="5">
        <f>IFERROR(__xludf.DUMMYFUNCTION("""COMPUTED_VALUE"""),2504.0)</f>
        <v>2504</v>
      </c>
      <c r="B4685" s="5" t="str">
        <f>IFERROR(__xludf.DUMMYFUNCTION("""COMPUTED_VALUE"""),"هیئت")</f>
        <v>هیئت</v>
      </c>
      <c r="C4685" s="5" t="str">
        <f>IFERROR(__xludf.DUMMYFUNCTION("""COMPUTED_VALUE"""),"بسیج رزمندگان اسلام (خواهران)")</f>
        <v>بسیج رزمندگان اسلام (خواهران)</v>
      </c>
      <c r="D4685" s="5" t="str">
        <f>IFERROR(__xludf.DUMMYFUNCTION("""COMPUTED_VALUE"""),"البرز")</f>
        <v>البرز</v>
      </c>
      <c r="E4685" s="5" t="str">
        <f>IFERROR(__xludf.DUMMYFUNCTION("""COMPUTED_VALUE"""),"کرج")</f>
        <v>کرج</v>
      </c>
      <c r="F4685" s="5"/>
      <c r="G4685" s="5">
        <f>IFERROR(__xludf.DUMMYFUNCTION("""COMPUTED_VALUE"""),1.0)</f>
        <v>1</v>
      </c>
      <c r="H4685" s="6" t="str">
        <f>IFERROR(__xludf.DUMMYFUNCTION("""COMPUTED_VALUE"""),"https://www.instagram.com/heyat_razmandegan_ostan_alborz")</f>
        <v>https://www.instagram.com/heyat_razmandegan_ostan_alborz</v>
      </c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</row>
    <row r="4686">
      <c r="A4686" s="5">
        <f>IFERROR(__xludf.DUMMYFUNCTION("""COMPUTED_VALUE"""),2483.0)</f>
        <v>2483</v>
      </c>
      <c r="B4686" s="5" t="str">
        <f>IFERROR(__xludf.DUMMYFUNCTION("""COMPUTED_VALUE"""),"هیئت")</f>
        <v>هیئت</v>
      </c>
      <c r="C4686" s="5" t="str">
        <f>IFERROR(__xludf.DUMMYFUNCTION("""COMPUTED_VALUE"""),"صاحب الزمان(عج)")</f>
        <v>صاحب الزمان(عج)</v>
      </c>
      <c r="D4686" s="5" t="str">
        <f>IFERROR(__xludf.DUMMYFUNCTION("""COMPUTED_VALUE"""),"البرز")</f>
        <v>البرز</v>
      </c>
      <c r="E4686" s="5" t="str">
        <f>IFERROR(__xludf.DUMMYFUNCTION("""COMPUTED_VALUE"""),"کرج")</f>
        <v>کرج</v>
      </c>
      <c r="F4686" s="5"/>
      <c r="G4686" s="5"/>
      <c r="H4686" s="6" t="str">
        <f>IFERROR(__xludf.DUMMYFUNCTION("""COMPUTED_VALUE"""),"https://www.instagram.com/heyat_sahebazzaman")</f>
        <v>https://www.instagram.com/heyat_sahebazzaman</v>
      </c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</row>
    <row r="4687">
      <c r="A4687" s="5">
        <f>IFERROR(__xludf.DUMMYFUNCTION("""COMPUTED_VALUE"""),2365.0)</f>
        <v>2365</v>
      </c>
      <c r="B4687" s="5" t="str">
        <f>IFERROR(__xludf.DUMMYFUNCTION("""COMPUTED_VALUE"""),"هیئت")</f>
        <v>هیئت</v>
      </c>
      <c r="C4687" s="5" t="str">
        <f>IFERROR(__xludf.DUMMYFUNCTION("""COMPUTED_VALUE"""),"ثــارالله")</f>
        <v>ثــارالله</v>
      </c>
      <c r="D4687" s="5" t="str">
        <f>IFERROR(__xludf.DUMMYFUNCTION("""COMPUTED_VALUE"""),"البرز")</f>
        <v>البرز</v>
      </c>
      <c r="E4687" s="5" t="str">
        <f>IFERROR(__xludf.DUMMYFUNCTION("""COMPUTED_VALUE"""),"کرج")</f>
        <v>کرج</v>
      </c>
      <c r="F4687" s="5" t="str">
        <f>IFERROR(__xludf.DUMMYFUNCTION("""COMPUTED_VALUE"""),"نظرآباد")</f>
        <v>نظرآباد</v>
      </c>
      <c r="G4687" s="5"/>
      <c r="H4687" s="6" t="str">
        <f>IFERROR(__xludf.DUMMYFUNCTION("""COMPUTED_VALUE"""),"https://www.instagram.com/heyat._sarallah/")</f>
        <v>https://www.instagram.com/heyat._sarallah/</v>
      </c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</row>
    <row r="4688">
      <c r="A4688" s="5">
        <f>IFERROR(__xludf.DUMMYFUNCTION("""COMPUTED_VALUE"""),31765.0)</f>
        <v>31765</v>
      </c>
      <c r="B4688" s="5" t="str">
        <f>IFERROR(__xludf.DUMMYFUNCTION("""COMPUTED_VALUE"""),"هیئت")</f>
        <v>هیئت</v>
      </c>
      <c r="C4688" s="5" t="str">
        <f>IFERROR(__xludf.DUMMYFUNCTION("""COMPUTED_VALUE"""),"حضرت ابوالفضل")</f>
        <v>حضرت ابوالفضل</v>
      </c>
      <c r="D4688" s="5" t="str">
        <f>IFERROR(__xludf.DUMMYFUNCTION("""COMPUTED_VALUE"""),"البرز")</f>
        <v>البرز</v>
      </c>
      <c r="E4688" s="5" t="str">
        <f>IFERROR(__xludf.DUMMYFUNCTION("""COMPUTED_VALUE"""),"کرج")</f>
        <v>کرج</v>
      </c>
      <c r="F4688" s="5"/>
      <c r="G4688" s="5"/>
      <c r="H4688" s="6" t="str">
        <f>IFERROR(__xludf.DUMMYFUNCTION("""COMPUTED_VALUE"""),"https://www.instagram.com/heyat.abalfazll/")</f>
        <v>https://www.instagram.com/heyat.abalfazll/</v>
      </c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</row>
    <row r="4689">
      <c r="A4689" s="5">
        <f>IFERROR(__xludf.DUMMYFUNCTION("""COMPUTED_VALUE"""),22439.0)</f>
        <v>22439</v>
      </c>
      <c r="B4689" s="5" t="str">
        <f>IFERROR(__xludf.DUMMYFUNCTION("""COMPUTED_VALUE"""),"هیئت")</f>
        <v>هیئت</v>
      </c>
      <c r="C4689" s="5" t="str">
        <f>IFERROR(__xludf.DUMMYFUNCTION("""COMPUTED_VALUE"""),"حسن جان (ع)")</f>
        <v>حسن جان (ع)</v>
      </c>
      <c r="D4689" s="5" t="str">
        <f>IFERROR(__xludf.DUMMYFUNCTION("""COMPUTED_VALUE"""),"البرز")</f>
        <v>البرز</v>
      </c>
      <c r="E4689" s="5" t="str">
        <f>IFERROR(__xludf.DUMMYFUNCTION("""COMPUTED_VALUE"""),"کرج")</f>
        <v>کرج</v>
      </c>
      <c r="F4689" s="5"/>
      <c r="G4689" s="5"/>
      <c r="H4689" s="6" t="str">
        <f>IFERROR(__xludf.DUMMYFUNCTION("""COMPUTED_VALUE"""),"https://www.instagram.com/heyat.hasanjan")</f>
        <v>https://www.instagram.com/heyat.hasanjan</v>
      </c>
      <c r="I4689" s="6" t="str">
        <f>IFERROR(__xludf.DUMMYFUNCTION("""COMPUTED_VALUE"""),"https://t.me/heyat_hasan_jan")</f>
        <v>https://t.me/heyat_hasan_jan</v>
      </c>
      <c r="J4689" s="5"/>
      <c r="K4689" s="5"/>
      <c r="L4689" s="5"/>
      <c r="M4689" s="5"/>
      <c r="N4689" s="5"/>
      <c r="O4689" s="5"/>
      <c r="P4689" s="5"/>
      <c r="Q4689" s="5"/>
      <c r="R4689" s="5"/>
      <c r="S4689" s="5"/>
    </row>
    <row r="4690">
      <c r="A4690" s="5">
        <f>IFERROR(__xludf.DUMMYFUNCTION("""COMPUTED_VALUE"""),20227.0)</f>
        <v>20227</v>
      </c>
      <c r="B4690" s="5" t="str">
        <f>IFERROR(__xludf.DUMMYFUNCTION("""COMPUTED_VALUE"""),"هیئت")</f>
        <v>هیئت</v>
      </c>
      <c r="C4690" s="5" t="str">
        <f>IFERROR(__xludf.DUMMYFUNCTION("""COMPUTED_VALUE"""),"حیدریون")</f>
        <v>حیدریون</v>
      </c>
      <c r="D4690" s="5" t="str">
        <f>IFERROR(__xludf.DUMMYFUNCTION("""COMPUTED_VALUE"""),"البرز")</f>
        <v>البرز</v>
      </c>
      <c r="E4690" s="5" t="str">
        <f>IFERROR(__xludf.DUMMYFUNCTION("""COMPUTED_VALUE"""),"کرج")</f>
        <v>کرج</v>
      </c>
      <c r="F4690" s="5"/>
      <c r="G4690" s="5"/>
      <c r="H4690" s="6" t="str">
        <f>IFERROR(__xludf.DUMMYFUNCTION("""COMPUTED_VALUE"""),"https://www.instagram.com/heyat.heydarion.karaj/?hl=fa")</f>
        <v>https://www.instagram.com/heyat.heydarion.karaj/?hl=fa</v>
      </c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</row>
    <row r="4691">
      <c r="A4691" s="5">
        <f>IFERROR(__xludf.DUMMYFUNCTION("""COMPUTED_VALUE"""),2164.0)</f>
        <v>2164</v>
      </c>
      <c r="B4691" s="5" t="str">
        <f>IFERROR(__xludf.DUMMYFUNCTION("""COMPUTED_VALUE"""),"هیئت")</f>
        <v>هیئت</v>
      </c>
      <c r="C4691" s="5" t="str">
        <f>IFERROR(__xludf.DUMMYFUNCTION("""COMPUTED_VALUE"""),"نوجوانان امام حسن مجتبی (ع)")</f>
        <v>نوجوانان امام حسن مجتبی (ع)</v>
      </c>
      <c r="D4691" s="5" t="str">
        <f>IFERROR(__xludf.DUMMYFUNCTION("""COMPUTED_VALUE"""),"البرز")</f>
        <v>البرز</v>
      </c>
      <c r="E4691" s="5" t="str">
        <f>IFERROR(__xludf.DUMMYFUNCTION("""COMPUTED_VALUE"""),"کرج")</f>
        <v>کرج</v>
      </c>
      <c r="F4691" s="5"/>
      <c r="G4691" s="5"/>
      <c r="H4691" s="6" t="str">
        <f>IFERROR(__xludf.DUMMYFUNCTION("""COMPUTED_VALUE"""),"https://www.instagram.com/heyatamamhasan.1389/")</f>
        <v>https://www.instagram.com/heyatamamhasan.1389/</v>
      </c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</row>
    <row r="4692">
      <c r="A4692" s="5">
        <f>IFERROR(__xludf.DUMMYFUNCTION("""COMPUTED_VALUE"""),18043.0)</f>
        <v>18043</v>
      </c>
      <c r="B4692" s="5" t="str">
        <f>IFERROR(__xludf.DUMMYFUNCTION("""COMPUTED_VALUE"""),"هیئت")</f>
        <v>هیئت</v>
      </c>
      <c r="C4692" s="5" t="str">
        <f>IFERROR(__xludf.DUMMYFUNCTION("""COMPUTED_VALUE"""),"عاشقان حسین(ع)")</f>
        <v>عاشقان حسین(ع)</v>
      </c>
      <c r="D4692" s="5" t="str">
        <f>IFERROR(__xludf.DUMMYFUNCTION("""COMPUTED_VALUE"""),"البرز")</f>
        <v>البرز</v>
      </c>
      <c r="E4692" s="5" t="str">
        <f>IFERROR(__xludf.DUMMYFUNCTION("""COMPUTED_VALUE"""),"کرج")</f>
        <v>کرج</v>
      </c>
      <c r="F4692" s="5"/>
      <c r="G4692" s="5">
        <f>IFERROR(__xludf.DUMMYFUNCTION("""COMPUTED_VALUE"""),1.0)</f>
        <v>1</v>
      </c>
      <c r="H4692" s="6" t="str">
        <f>IFERROR(__xludf.DUMMYFUNCTION("""COMPUTED_VALUE"""),"https://www.instagram.com/heyate_asheghane_hossein")</f>
        <v>https://www.instagram.com/heyate_asheghane_hossein</v>
      </c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</row>
    <row r="4693">
      <c r="A4693" s="5">
        <f>IFERROR(__xludf.DUMMYFUNCTION("""COMPUTED_VALUE"""),2317.0)</f>
        <v>2317</v>
      </c>
      <c r="B4693" s="5" t="str">
        <f>IFERROR(__xludf.DUMMYFUNCTION("""COMPUTED_VALUE"""),"هیئت جوانان")</f>
        <v>هیئت جوانان</v>
      </c>
      <c r="C4693" s="5" t="str">
        <f>IFERROR(__xludf.DUMMYFUNCTION("""COMPUTED_VALUE"""),"حضرت ابوالفضل")</f>
        <v>حضرت ابوالفضل</v>
      </c>
      <c r="D4693" s="5" t="str">
        <f>IFERROR(__xludf.DUMMYFUNCTION("""COMPUTED_VALUE"""),"البرز")</f>
        <v>البرز</v>
      </c>
      <c r="E4693" s="5" t="str">
        <f>IFERROR(__xludf.DUMMYFUNCTION("""COMPUTED_VALUE"""),"کرج")</f>
        <v>کرج</v>
      </c>
      <c r="F4693" s="5"/>
      <c r="G4693" s="5"/>
      <c r="H4693" s="6" t="str">
        <f>IFERROR(__xludf.DUMMYFUNCTION("""COMPUTED_VALUE"""),"https://www.instagram.com/heyate_hazratabolfazl/")</f>
        <v>https://www.instagram.com/heyate_hazratabolfazl/</v>
      </c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</row>
    <row r="4694">
      <c r="A4694" s="5">
        <f>IFERROR(__xludf.DUMMYFUNCTION("""COMPUTED_VALUE"""),20236.0)</f>
        <v>20236</v>
      </c>
      <c r="B4694" s="5" t="str">
        <f>IFERROR(__xludf.DUMMYFUNCTION("""COMPUTED_VALUE"""),"هیئت")</f>
        <v>هیئت</v>
      </c>
      <c r="C4694" s="5" t="str">
        <f>IFERROR(__xludf.DUMMYFUNCTION("""COMPUTED_VALUE"""),"خادمین ولایت")</f>
        <v>خادمین ولایت</v>
      </c>
      <c r="D4694" s="5" t="str">
        <f>IFERROR(__xludf.DUMMYFUNCTION("""COMPUTED_VALUE"""),"البرز")</f>
        <v>البرز</v>
      </c>
      <c r="E4694" s="5" t="str">
        <f>IFERROR(__xludf.DUMMYFUNCTION("""COMPUTED_VALUE"""),"کرج")</f>
        <v>کرج</v>
      </c>
      <c r="F4694" s="5"/>
      <c r="G4694" s="5"/>
      <c r="H4694" s="6" t="str">
        <f>IFERROR(__xludf.DUMMYFUNCTION("""COMPUTED_VALUE"""),"https://www.instagram.com/heyate_khademine_hosein_karaj/")</f>
        <v>https://www.instagram.com/heyate_khademine_hosein_karaj/</v>
      </c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</row>
    <row r="4695">
      <c r="A4695" s="5">
        <f>IFERROR(__xludf.DUMMYFUNCTION("""COMPUTED_VALUE"""),2383.0)</f>
        <v>2383</v>
      </c>
      <c r="B4695" s="5" t="str">
        <f>IFERROR(__xludf.DUMMYFUNCTION("""COMPUTED_VALUE"""),"هیئت")</f>
        <v>هیئت</v>
      </c>
      <c r="C4695" s="5" t="str">
        <f>IFERROR(__xludf.DUMMYFUNCTION("""COMPUTED_VALUE"""),"محبین موسی بن جعفر علیه السلام""")</f>
        <v>محبین موسی بن جعفر علیه السلام"</v>
      </c>
      <c r="D4695" s="5" t="str">
        <f>IFERROR(__xludf.DUMMYFUNCTION("""COMPUTED_VALUE"""),"البرز")</f>
        <v>البرز</v>
      </c>
      <c r="E4695" s="5" t="str">
        <f>IFERROR(__xludf.DUMMYFUNCTION("""COMPUTED_VALUE"""),"کرج")</f>
        <v>کرج</v>
      </c>
      <c r="F4695" s="5"/>
      <c r="G4695" s="5"/>
      <c r="H4695" s="6" t="str">
        <f>IFERROR(__xludf.DUMMYFUNCTION("""COMPUTED_VALUE"""),"https://www.instagram.com/heyate_mohebeen/")</f>
        <v>https://www.instagram.com/heyate_mohebeen/</v>
      </c>
      <c r="I4695" s="6" t="str">
        <f>IFERROR(__xludf.DUMMYFUNCTION("""COMPUTED_VALUE"""),"https://l.instagram.com/?u=https%3A%2F%2Ft.me%2Fheyatemohebeen%3Futm_source%3Dig%26utm_medium%3Dsocial%26utm_content%3Dlink_in_bio%26fbclid%3DPAZXh0bgNhZW0CMTEAc3J0YwZhcHBfaWQMMjU2MjgxMDQwNTU4AAGn9-9n5ZA7Q9QLMhFDBW8IAi2S0V3CEAk8JXBrQQPNxDGwkBpG2nmoHAttwNw"&amp;"_aem_as4lNfHRa27fIgO8ceirKA&amp;e=AT0NddbP_br_nTI9fNxK98KKsNjTkh0dCaQ2LtYf_uodPmHoQwDjWMGA21NAjqd2bT3WfrMxEv9VjvQw-lKkVd7U_RXZiLgQd5lDPL3y9g")</f>
        <v>https://l.instagram.com/?u=https%3A%2F%2Ft.me%2Fheyatemohebeen%3Futm_source%3Dig%26utm_medium%3Dsocial%26utm_content%3Dlink_in_bio%26fbclid%3DPAZXh0bgNhZW0CMTEAc3J0YwZhcHBfaWQMMjU2MjgxMDQwNTU4AAGn9-9n5ZA7Q9QLMhFDBW8IAi2S0V3CEAk8JXBrQQPNxDGwkBpG2nmoHAttwNw_aem_as4lNfHRa27fIgO8ceirKA&amp;e=AT0NddbP_br_nTI9fNxK98KKsNjTkh0dCaQ2LtYf_uodPmHoQwDjWMGA21NAjqd2bT3WfrMxEv9VjvQw-lKkVd7U_RXZiLgQd5lDPL3y9g</v>
      </c>
      <c r="J4695" s="6" t="str">
        <f>IFERROR(__xludf.DUMMYFUNCTION("""COMPUTED_VALUE"""),"https://l.instagram.com/?u=https%3A%2F%2Feitaa.com%2Fheyatemohebeen%3Futm_source%3Dig%26utm_medium%3Dsocial%26utm_content%3Dlink_in_bio%26fbclid%3DPAZXh0bgNhZW0CMTEAc3J0YwZhcHBfaWQMMjU2MjgxMDQwNTU4AAGnJmp72f-3BEJp_TfKCjC-tV0pQjHo1CdedvWcZT5_YGY1hcY2qG7G0o"&amp;"vTfYk_aem_ykwDuxRoFvmMbShdgu9HYw&amp;e=AT27f-anThbwXK9MSTlYp6GDT5rtIHOSiWUTjfDUE4KrLPeXRiN9lTunGzhu9glU4KXkNTZ-XG84JbKn2muSq_19ReMyayxZu2v5OFozzg")</f>
        <v>https://l.instagram.com/?u=https%3A%2F%2Feitaa.com%2Fheyatemohebeen%3Futm_source%3Dig%26utm_medium%3Dsocial%26utm_content%3Dlink_in_bio%26fbclid%3DPAZXh0bgNhZW0CMTEAc3J0YwZhcHBfaWQMMjU2MjgxMDQwNTU4AAGnJmp72f-3BEJp_TfKCjC-tV0pQjHo1CdedvWcZT5_YGY1hcY2qG7G0ovTfYk_aem_ykwDuxRoFvmMbShdgu9HYw&amp;e=AT27f-anThbwXK9MSTlYp6GDT5rtIHOSiWUTjfDUE4KrLPeXRiN9lTunGzhu9glU4KXkNTZ-XG84JbKn2muSq_19ReMyayxZu2v5OFozzg</v>
      </c>
      <c r="K4695" s="5"/>
      <c r="L4695" s="5"/>
      <c r="M4695" s="5"/>
      <c r="N4695" s="5"/>
      <c r="O4695" s="5"/>
      <c r="P4695" s="5"/>
      <c r="Q4695" s="5"/>
      <c r="R4695" s="5"/>
      <c r="S4695" s="5"/>
    </row>
    <row r="4696">
      <c r="A4696" s="5">
        <f>IFERROR(__xludf.DUMMYFUNCTION("""COMPUTED_VALUE"""),21804.0)</f>
        <v>21804</v>
      </c>
      <c r="B4696" s="5" t="str">
        <f>IFERROR(__xludf.DUMMYFUNCTION("""COMPUTED_VALUE"""),"هیئت")</f>
        <v>هیئت</v>
      </c>
      <c r="C4696" s="5" t="str">
        <f>IFERROR(__xludf.DUMMYFUNCTION("""COMPUTED_VALUE"""),"شاهزاده علی اکبر (ع) (هیات مسجد ولیعصر (عج))")</f>
        <v>شاهزاده علی اکبر (ع) (هیات مسجد ولیعصر (عج))</v>
      </c>
      <c r="D4696" s="5" t="str">
        <f>IFERROR(__xludf.DUMMYFUNCTION("""COMPUTED_VALUE"""),"البرز")</f>
        <v>البرز</v>
      </c>
      <c r="E4696" s="5" t="str">
        <f>IFERROR(__xludf.DUMMYFUNCTION("""COMPUTED_VALUE"""),"کرج")</f>
        <v>کرج</v>
      </c>
      <c r="F4696" s="5"/>
      <c r="G4696" s="5"/>
      <c r="H4696" s="6" t="str">
        <f>IFERROR(__xludf.DUMMYFUNCTION("""COMPUTED_VALUE"""),"https://www.instagram.com/heyate_shahzade_ali_akbar")</f>
        <v>https://www.instagram.com/heyate_shahzade_ali_akbar</v>
      </c>
      <c r="I4696" s="6" t="str">
        <f>IFERROR(__xludf.DUMMYFUNCTION("""COMPUTED_VALUE"""),"https://t.me/heyateshahzadehaliakbar")</f>
        <v>https://t.me/heyateshahzadehaliakbar</v>
      </c>
      <c r="J4696" s="5"/>
      <c r="K4696" s="5"/>
      <c r="L4696" s="5"/>
      <c r="M4696" s="5"/>
      <c r="N4696" s="5"/>
      <c r="O4696" s="5"/>
      <c r="P4696" s="5"/>
      <c r="Q4696" s="5"/>
      <c r="R4696" s="5"/>
      <c r="S4696" s="5"/>
    </row>
    <row r="4697">
      <c r="A4697" s="5">
        <f>IFERROR(__xludf.DUMMYFUNCTION("""COMPUTED_VALUE"""),25458.0)</f>
        <v>25458</v>
      </c>
      <c r="B4697" s="5" t="str">
        <f>IFERROR(__xludf.DUMMYFUNCTION("""COMPUTED_VALUE"""),"هیئت")</f>
        <v>هیئت</v>
      </c>
      <c r="C4697" s="5" t="str">
        <f>IFERROR(__xludf.DUMMYFUNCTION("""COMPUTED_VALUE"""),"زیـنــبــیـون")</f>
        <v>زیـنــبــیـون</v>
      </c>
      <c r="D4697" s="5" t="str">
        <f>IFERROR(__xludf.DUMMYFUNCTION("""COMPUTED_VALUE"""),"البرز")</f>
        <v>البرز</v>
      </c>
      <c r="E4697" s="5" t="str">
        <f>IFERROR(__xludf.DUMMYFUNCTION("""COMPUTED_VALUE"""),"کرج")</f>
        <v>کرج</v>
      </c>
      <c r="F4697" s="5"/>
      <c r="G4697" s="5"/>
      <c r="H4697" s="6" t="str">
        <f>IFERROR(__xludf.DUMMYFUNCTION("""COMPUTED_VALUE"""),"https://www.instagram.com/heyate_zeynabiyoun/")</f>
        <v>https://www.instagram.com/heyate_zeynabiyoun/</v>
      </c>
      <c r="I4697" s="6" t="str">
        <f>IFERROR(__xludf.DUMMYFUNCTION("""COMPUTED_VALUE"""),"https://l.instagram.com/?u=http%3A%2F%2Ft.me%2Fheyate_zeynabiyoun%3Futm_source%3Dig%26utm_medium%3Dsocial%26utm_content%3Dlink_in_bio%26fbclid%3DPAZXh0bgNhZW0CMTEAc3J0YwZhcHBfaWQMMjU2MjgxMDQwNTU4AAGnW4VKtwMI0nnGJlb7P2nfQHJB1CcASrqy4pCUIr11PrtjZhNf6TQqMgCe"&amp;"kGU_aem_D6cQUEDlGN1G-ntr3USEcA&amp;e=AT07Q277d5HO4n_c6rZzTbX9g9PjXst5rMpl42WK50n53SGvSzl7W2z0J-Rdzxw9AJRDO0dqk-9VeFwcyaqvIH4AruYxfHLwlZMXquU53A")</f>
        <v>https://l.instagram.com/?u=http%3A%2F%2Ft.me%2Fheyate_zeynabiyoun%3Futm_source%3Dig%26utm_medium%3Dsocial%26utm_content%3Dlink_in_bio%26fbclid%3DPAZXh0bgNhZW0CMTEAc3J0YwZhcHBfaWQMMjU2MjgxMDQwNTU4AAGnW4VKtwMI0nnGJlb7P2nfQHJB1CcASrqy4pCUIr11PrtjZhNf6TQqMgCekGU_aem_D6cQUEDlGN1G-ntr3USEcA&amp;e=AT07Q277d5HO4n_c6rZzTbX9g9PjXst5rMpl42WK50n53SGvSzl7W2z0J-Rdzxw9AJRDO0dqk-9VeFwcyaqvIH4AruYxfHLwlZMXquU53A</v>
      </c>
      <c r="J4697" s="5"/>
      <c r="K4697" s="5"/>
      <c r="L4697" s="5"/>
      <c r="M4697" s="5"/>
      <c r="N4697" s="5"/>
      <c r="O4697" s="5"/>
      <c r="P4697" s="5"/>
      <c r="Q4697" s="5"/>
      <c r="R4697" s="5"/>
      <c r="S4697" s="5"/>
    </row>
    <row r="4698">
      <c r="A4698" s="5">
        <f>IFERROR(__xludf.DUMMYFUNCTION("""COMPUTED_VALUE"""),31858.0)</f>
        <v>31858</v>
      </c>
      <c r="B4698" s="5" t="str">
        <f>IFERROR(__xludf.DUMMYFUNCTION("""COMPUTED_VALUE"""),"هیئت")</f>
        <v>هیئت</v>
      </c>
      <c r="C4698" s="5" t="str">
        <f>IFERROR(__xludf.DUMMYFUNCTION("""COMPUTED_VALUE"""),"ائمه بقیع")</f>
        <v>ائمه بقیع</v>
      </c>
      <c r="D4698" s="5" t="str">
        <f>IFERROR(__xludf.DUMMYFUNCTION("""COMPUTED_VALUE"""),"البرز")</f>
        <v>البرز</v>
      </c>
      <c r="E4698" s="5" t="str">
        <f>IFERROR(__xludf.DUMMYFUNCTION("""COMPUTED_VALUE"""),"کرج")</f>
        <v>کرج</v>
      </c>
      <c r="F4698" s="5"/>
      <c r="G4698" s="5"/>
      <c r="H4698" s="6" t="str">
        <f>IFERROR(__xludf.DUMMYFUNCTION("""COMPUTED_VALUE"""),"https://www.instagram.com/heyate.aemebaghi.karj")</f>
        <v>https://www.instagram.com/heyate.aemebaghi.karj</v>
      </c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</row>
    <row r="4699">
      <c r="A4699" s="5">
        <f>IFERROR(__xludf.DUMMYFUNCTION("""COMPUTED_VALUE"""),2252.0)</f>
        <v>2252</v>
      </c>
      <c r="B4699" s="5" t="str">
        <f>IFERROR(__xludf.DUMMYFUNCTION("""COMPUTED_VALUE"""),"هیئت")</f>
        <v>هیئت</v>
      </c>
      <c r="C4699" s="5" t="str">
        <f>IFERROR(__xludf.DUMMYFUNCTION("""COMPUTED_VALUE"""),"محبّـان‌ثارالله‌")</f>
        <v>محبّـان‌ثارالله‌</v>
      </c>
      <c r="D4699" s="5" t="str">
        <f>IFERROR(__xludf.DUMMYFUNCTION("""COMPUTED_VALUE"""),"البرز")</f>
        <v>البرز</v>
      </c>
      <c r="E4699" s="5" t="str">
        <f>IFERROR(__xludf.DUMMYFUNCTION("""COMPUTED_VALUE"""),"کرج")</f>
        <v>کرج</v>
      </c>
      <c r="F4699" s="5"/>
      <c r="G4699" s="5"/>
      <c r="H4699" s="6" t="str">
        <f>IFERROR(__xludf.DUMMYFUNCTION("""COMPUTED_VALUE"""),"https://www.instagram.com/heyatemohebbanesarallah/")</f>
        <v>https://www.instagram.com/heyatemohebbanesarallah/</v>
      </c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</row>
    <row r="4700">
      <c r="A4700" s="5">
        <f>IFERROR(__xludf.DUMMYFUNCTION("""COMPUTED_VALUE"""),23495.0)</f>
        <v>23495</v>
      </c>
      <c r="B4700" s="5" t="str">
        <f>IFERROR(__xludf.DUMMYFUNCTION("""COMPUTED_VALUE"""),"هیئت")</f>
        <v>هیئت</v>
      </c>
      <c r="C4700" s="5" t="str">
        <f>IFERROR(__xludf.DUMMYFUNCTION("""COMPUTED_VALUE"""),"نورالهدی")</f>
        <v>نورالهدی</v>
      </c>
      <c r="D4700" s="5" t="str">
        <f>IFERROR(__xludf.DUMMYFUNCTION("""COMPUTED_VALUE"""),"البرز")</f>
        <v>البرز</v>
      </c>
      <c r="E4700" s="5" t="str">
        <f>IFERROR(__xludf.DUMMYFUNCTION("""COMPUTED_VALUE"""),"کرج")</f>
        <v>کرج</v>
      </c>
      <c r="F4700" s="5"/>
      <c r="G4700" s="5"/>
      <c r="H4700" s="6" t="str">
        <f>IFERROR(__xludf.DUMMYFUNCTION("""COMPUTED_VALUE"""),"https://www.instagram.com/heyatenorolhoda/")</f>
        <v>https://www.instagram.com/heyatenorolhoda/</v>
      </c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</row>
    <row r="4701">
      <c r="A4701" s="5">
        <f>IFERROR(__xludf.DUMMYFUNCTION("""COMPUTED_VALUE"""),2274.0)</f>
        <v>2274</v>
      </c>
      <c r="B4701" s="5" t="str">
        <f>IFERROR(__xludf.DUMMYFUNCTION("""COMPUTED_VALUE"""),"هیئت")</f>
        <v>هیئت</v>
      </c>
      <c r="C4701" s="5" t="str">
        <f>IFERROR(__xludf.DUMMYFUNCTION("""COMPUTED_VALUE"""),"جوانان حسینی")</f>
        <v>جوانان حسینی</v>
      </c>
      <c r="D4701" s="5" t="str">
        <f>IFERROR(__xludf.DUMMYFUNCTION("""COMPUTED_VALUE"""),"البرز")</f>
        <v>البرز</v>
      </c>
      <c r="E4701" s="5" t="str">
        <f>IFERROR(__xludf.DUMMYFUNCTION("""COMPUTED_VALUE"""),"کرج")</f>
        <v>کرج</v>
      </c>
      <c r="F4701" s="5"/>
      <c r="G4701" s="5"/>
      <c r="H4701" s="6" t="str">
        <f>IFERROR(__xludf.DUMMYFUNCTION("""COMPUTED_VALUE"""),"https://www.instagram.com/heyatjavananhoseini")</f>
        <v>https://www.instagram.com/heyatjavananhoseini</v>
      </c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</row>
    <row r="4702">
      <c r="A4702" s="5">
        <f>IFERROR(__xludf.DUMMYFUNCTION("""COMPUTED_VALUE"""),23490.0)</f>
        <v>23490</v>
      </c>
      <c r="B4702" s="5" t="str">
        <f>IFERROR(__xludf.DUMMYFUNCTION("""COMPUTED_VALUE"""),"هیئت دانشجویی")</f>
        <v>هیئت دانشجویی</v>
      </c>
      <c r="C4702" s="5" t="str">
        <f>IFERROR(__xludf.DUMMYFUNCTION("""COMPUTED_VALUE"""),"محبان اهل بیت (ع)")</f>
        <v>محبان اهل بیت (ع)</v>
      </c>
      <c r="D4702" s="5" t="str">
        <f>IFERROR(__xludf.DUMMYFUNCTION("""COMPUTED_VALUE"""),"البرز")</f>
        <v>البرز</v>
      </c>
      <c r="E4702" s="5" t="str">
        <f>IFERROR(__xludf.DUMMYFUNCTION("""COMPUTED_VALUE"""),"کرج")</f>
        <v>کرج</v>
      </c>
      <c r="F4702" s="5"/>
      <c r="G4702" s="5"/>
      <c r="H4702" s="6" t="str">
        <f>IFERROR(__xludf.DUMMYFUNCTION("""COMPUTED_VALUE"""),"https://www.instagram.com/heyatkhu/")</f>
        <v>https://www.instagram.com/heyatkhu/</v>
      </c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</row>
    <row r="4703">
      <c r="A4703" s="5">
        <f>IFERROR(__xludf.DUMMYFUNCTION("""COMPUTED_VALUE"""),2439.0)</f>
        <v>2439</v>
      </c>
      <c r="B4703" s="5" t="str">
        <f>IFERROR(__xludf.DUMMYFUNCTION("""COMPUTED_VALUE"""),"هیئت")</f>
        <v>هیئت</v>
      </c>
      <c r="C4703" s="5" t="str">
        <f>IFERROR(__xludf.DUMMYFUNCTION("""COMPUTED_VALUE"""),"امام الرئوف(ع) (مهدیون حصارک)")</f>
        <v>امام الرئوف(ع) (مهدیون حصارک)</v>
      </c>
      <c r="D4703" s="5" t="str">
        <f>IFERROR(__xludf.DUMMYFUNCTION("""COMPUTED_VALUE"""),"البرز")</f>
        <v>البرز</v>
      </c>
      <c r="E4703" s="5" t="str">
        <f>IFERROR(__xludf.DUMMYFUNCTION("""COMPUTED_VALUE"""),"کرج")</f>
        <v>کرج</v>
      </c>
      <c r="F4703" s="5"/>
      <c r="G4703" s="5"/>
      <c r="H4703" s="6" t="str">
        <f>IFERROR(__xludf.DUMMYFUNCTION("""COMPUTED_VALUE"""),"https://www.instagram.com/heyatmahdioun/")</f>
        <v>https://www.instagram.com/heyatmahdioun/</v>
      </c>
      <c r="I4703" s="6" t="str">
        <f>IFERROR(__xludf.DUMMYFUNCTION("""COMPUTED_VALUE"""),"https://t.me/Mahdioun")</f>
        <v>https://t.me/Mahdioun</v>
      </c>
      <c r="J4703" s="5"/>
      <c r="K4703" s="5"/>
      <c r="L4703" s="5"/>
      <c r="M4703" s="5"/>
      <c r="N4703" s="5"/>
      <c r="O4703" s="5"/>
      <c r="P4703" s="5"/>
      <c r="Q4703" s="5"/>
      <c r="R4703" s="5"/>
      <c r="S4703" s="5"/>
    </row>
    <row r="4704">
      <c r="A4704" s="5">
        <f>IFERROR(__xludf.DUMMYFUNCTION("""COMPUTED_VALUE"""),31841.0)</f>
        <v>31841</v>
      </c>
      <c r="B4704" s="5" t="str">
        <f>IFERROR(__xludf.DUMMYFUNCTION("""COMPUTED_VALUE"""),"هیئت")</f>
        <v>هیئت</v>
      </c>
      <c r="C4704" s="5" t="str">
        <f>IFERROR(__xludf.DUMMYFUNCTION("""COMPUTED_VALUE"""),"الرقیه")</f>
        <v>الرقیه</v>
      </c>
      <c r="D4704" s="5" t="str">
        <f>IFERROR(__xludf.DUMMYFUNCTION("""COMPUTED_VALUE"""),"البرز")</f>
        <v>البرز</v>
      </c>
      <c r="E4704" s="5" t="str">
        <f>IFERROR(__xludf.DUMMYFUNCTION("""COMPUTED_VALUE"""),"فردیس ")</f>
        <v>فردیس </v>
      </c>
      <c r="F4704" s="5"/>
      <c r="G4704" s="5"/>
      <c r="H4704" s="6" t="str">
        <f>IFERROR(__xludf.DUMMYFUNCTION("""COMPUTED_VALUE"""),"https://www.instagram.com/heyatolroghaye_fardis/")</f>
        <v>https://www.instagram.com/heyatolroghaye_fardis/</v>
      </c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</row>
    <row r="4705">
      <c r="A4705" s="5">
        <f>IFERROR(__xludf.DUMMYFUNCTION("""COMPUTED_VALUE"""),33112.0)</f>
        <v>33112</v>
      </c>
      <c r="B4705" s="5" t="str">
        <f>IFERROR(__xludf.DUMMYFUNCTION("""COMPUTED_VALUE"""),"هیئت")</f>
        <v>هیئت</v>
      </c>
      <c r="C4705" s="5" t="str">
        <f>IFERROR(__xludf.DUMMYFUNCTION("""COMPUTED_VALUE"""),"الشهدا")</f>
        <v>الشهدا</v>
      </c>
      <c r="D4705" s="5" t="str">
        <f>IFERROR(__xludf.DUMMYFUNCTION("""COMPUTED_VALUE"""),"البرز")</f>
        <v>البرز</v>
      </c>
      <c r="E4705" s="5" t="str">
        <f>IFERROR(__xludf.DUMMYFUNCTION("""COMPUTED_VALUE"""),"کرج")</f>
        <v>کرج</v>
      </c>
      <c r="F4705" s="5"/>
      <c r="G4705" s="5"/>
      <c r="H4705" s="6" t="str">
        <f>IFERROR(__xludf.DUMMYFUNCTION("""COMPUTED_VALUE"""),"https://www.instagram.com/heyatoshohada_karaj313/")</f>
        <v>https://www.instagram.com/heyatoshohada_karaj313/</v>
      </c>
      <c r="I4705" s="6" t="str">
        <f>IFERROR(__xludf.DUMMYFUNCTION("""COMPUTED_VALUE"""),"https://l.instagram.com/?u=http%3A%2F%2Ft.me%2Fheyatoshohada_karaj313%3Futm_source%3Dig%26utm_medium%3Dsocial%26utm_content%3Dlink_in_bio%26fbclid%3DPAZXh0bgNhZW0CMTEAc3J0YwZhcHBfaWQMMjU2MjgxMDQwNTU4AAGnEoJpCNvTfGGH7P6Po_TPwtDSyJt3_fajxY4rzssnkcWLy8h9-dAh"&amp;"IOvp3e0_aem_f8MKMRukXtqcitnUJn7NdA&amp;e=AT1JtLVk2iWmQjW0zkb4Cx-MHMNF5i62EZjEnowHiuWHZ093F_TbWYLaVO5rC-JxFmija1FOsoYztvpwzfysSOC0IWnznLbKLU9RJwh5LQ")</f>
        <v>https://l.instagram.com/?u=http%3A%2F%2Ft.me%2Fheyatoshohada_karaj313%3Futm_source%3Dig%26utm_medium%3Dsocial%26utm_content%3Dlink_in_bio%26fbclid%3DPAZXh0bgNhZW0CMTEAc3J0YwZhcHBfaWQMMjU2MjgxMDQwNTU4AAGnEoJpCNvTfGGH7P6Po_TPwtDSyJt3_fajxY4rzssnkcWLy8h9-dAhIOvp3e0_aem_f8MKMRukXtqcitnUJn7NdA&amp;e=AT1JtLVk2iWmQjW0zkb4Cx-MHMNF5i62EZjEnowHiuWHZ093F_TbWYLaVO5rC-JxFmija1FOsoYztvpwzfysSOC0IWnznLbKLU9RJwh5LQ</v>
      </c>
      <c r="J4705" s="5"/>
      <c r="K4705" s="5"/>
      <c r="L4705" s="5"/>
      <c r="M4705" s="5"/>
      <c r="N4705" s="5"/>
      <c r="O4705" s="5"/>
      <c r="P4705" s="5"/>
      <c r="Q4705" s="5"/>
      <c r="R4705" s="5"/>
      <c r="S4705" s="5"/>
    </row>
    <row r="4706">
      <c r="A4706" s="5">
        <f>IFERROR(__xludf.DUMMYFUNCTION("""COMPUTED_VALUE"""),2455.0)</f>
        <v>2455</v>
      </c>
      <c r="B4706" s="5" t="str">
        <f>IFERROR(__xludf.DUMMYFUNCTION("""COMPUTED_VALUE"""),"هیئت")</f>
        <v>هیئت</v>
      </c>
      <c r="C4706" s="5" t="str">
        <f>IFERROR(__xludf.DUMMYFUNCTION("""COMPUTED_VALUE"""),"الزهرا (س)")</f>
        <v>الزهرا (س)</v>
      </c>
      <c r="D4706" s="5" t="str">
        <f>IFERROR(__xludf.DUMMYFUNCTION("""COMPUTED_VALUE"""),"البرز")</f>
        <v>البرز</v>
      </c>
      <c r="E4706" s="5" t="str">
        <f>IFERROR(__xludf.DUMMYFUNCTION("""COMPUTED_VALUE"""),"کرج")</f>
        <v>کرج</v>
      </c>
      <c r="F4706" s="5"/>
      <c r="G4706" s="5"/>
      <c r="H4706" s="6" t="str">
        <f>IFERROR(__xludf.DUMMYFUNCTION("""COMPUTED_VALUE"""),"https://www.instagram.com/heyatozahra.ir")</f>
        <v>https://www.instagram.com/heyatozahra.ir</v>
      </c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</row>
    <row r="4707">
      <c r="A4707" s="5">
        <f>IFERROR(__xludf.DUMMYFUNCTION("""COMPUTED_VALUE"""),32914.0)</f>
        <v>32914</v>
      </c>
      <c r="B4707" s="5" t="str">
        <f>IFERROR(__xludf.DUMMYFUNCTION("""COMPUTED_VALUE"""),"هیئت")</f>
        <v>هیئت</v>
      </c>
      <c r="C4707" s="5" t="str">
        <f>IFERROR(__xludf.DUMMYFUNCTION("""COMPUTED_VALUE"""),"محبان امام حسین (ع)")</f>
        <v>محبان امام حسین (ع)</v>
      </c>
      <c r="D4707" s="5" t="str">
        <f>IFERROR(__xludf.DUMMYFUNCTION("""COMPUTED_VALUE"""),"البرز")</f>
        <v>البرز</v>
      </c>
      <c r="E4707" s="5" t="str">
        <f>IFERROR(__xludf.DUMMYFUNCTION("""COMPUTED_VALUE"""),"کرج")</f>
        <v>کرج</v>
      </c>
      <c r="F4707" s="5"/>
      <c r="G4707" s="5"/>
      <c r="H4707" s="6" t="str">
        <f>IFERROR(__xludf.DUMMYFUNCTION("""COMPUTED_VALUE"""),"https://www.instagram.com/heyethussein2025/")</f>
        <v>https://www.instagram.com/heyethussein2025/</v>
      </c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</row>
    <row r="4708">
      <c r="A4708" s="5">
        <f>IFERROR(__xludf.DUMMYFUNCTION("""COMPUTED_VALUE"""),21818.0)</f>
        <v>21818</v>
      </c>
      <c r="B4708" s="5" t="str">
        <f>IFERROR(__xludf.DUMMYFUNCTION("""COMPUTED_VALUE"""),"هیئت")</f>
        <v>هیئت</v>
      </c>
      <c r="C4708" s="5" t="str">
        <f>IFERROR(__xludf.DUMMYFUNCTION("""COMPUTED_VALUE"""),"مدافعان حرم")</f>
        <v>مدافعان حرم</v>
      </c>
      <c r="D4708" s="5" t="str">
        <f>IFERROR(__xludf.DUMMYFUNCTION("""COMPUTED_VALUE"""),"البرز")</f>
        <v>البرز</v>
      </c>
      <c r="E4708" s="5" t="str">
        <f>IFERROR(__xludf.DUMMYFUNCTION("""COMPUTED_VALUE"""),"کمال شهر")</f>
        <v>کمال شهر</v>
      </c>
      <c r="F4708" s="5"/>
      <c r="G4708" s="5"/>
      <c r="H4708" s="6" t="str">
        <f>IFERROR(__xludf.DUMMYFUNCTION("""COMPUTED_VALUE"""),"https://www.instagram.com/hmodafean.haram")</f>
        <v>https://www.instagram.com/hmodafean.haram</v>
      </c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</row>
    <row r="4709">
      <c r="A4709" s="5">
        <f>IFERROR(__xludf.DUMMYFUNCTION("""COMPUTED_VALUE"""),20275.0)</f>
        <v>20275</v>
      </c>
      <c r="B4709" s="5" t="str">
        <f>IFERROR(__xludf.DUMMYFUNCTION("""COMPUTED_VALUE"""),"هیئت")</f>
        <v>هیئت</v>
      </c>
      <c r="C4709" s="5" t="str">
        <f>IFERROR(__xludf.DUMMYFUNCTION("""COMPUTED_VALUE"""),"الزهرا(س)")</f>
        <v>الزهرا(س)</v>
      </c>
      <c r="D4709" s="5" t="str">
        <f>IFERROR(__xludf.DUMMYFUNCTION("""COMPUTED_VALUE"""),"البرز")</f>
        <v>البرز</v>
      </c>
      <c r="E4709" s="5" t="str">
        <f>IFERROR(__xludf.DUMMYFUNCTION("""COMPUTED_VALUE"""),"کرج")</f>
        <v>کرج</v>
      </c>
      <c r="F4709" s="5"/>
      <c r="G4709" s="5"/>
      <c r="H4709" s="6" t="str">
        <f>IFERROR(__xludf.DUMMYFUNCTION("""COMPUTED_VALUE"""),"https://www.instagram.com/hoseinie.azahra")</f>
        <v>https://www.instagram.com/hoseinie.azahra</v>
      </c>
      <c r="I4709" s="6" t="str">
        <f>IFERROR(__xludf.DUMMYFUNCTION("""COMPUTED_VALUE"""),"https://t.me/hoseinieazahra")</f>
        <v>https://t.me/hoseinieazahra</v>
      </c>
      <c r="J4709" s="5"/>
      <c r="K4709" s="5"/>
      <c r="L4709" s="5"/>
      <c r="M4709" s="5"/>
      <c r="N4709" s="5"/>
      <c r="O4709" s="5"/>
      <c r="P4709" s="5"/>
      <c r="Q4709" s="5"/>
      <c r="R4709" s="5"/>
      <c r="S4709" s="5"/>
    </row>
    <row r="4710">
      <c r="A4710" s="5">
        <f>IFERROR(__xludf.DUMMYFUNCTION("""COMPUTED_VALUE"""),2488.0)</f>
        <v>2488</v>
      </c>
      <c r="B4710" s="5" t="str">
        <f>IFERROR(__xludf.DUMMYFUNCTION("""COMPUTED_VALUE"""),"هیئت")</f>
        <v>هیئت</v>
      </c>
      <c r="C4710" s="5" t="str">
        <f>IFERROR(__xludf.DUMMYFUNCTION("""COMPUTED_VALUE"""),"حسینیه ی حضرت اباالفضل (ع) (هشترودی های مقیم کرج)")</f>
        <v>حسینیه ی حضرت اباالفضل (ع) (هشترودی های مقیم کرج)</v>
      </c>
      <c r="D4710" s="5" t="str">
        <f>IFERROR(__xludf.DUMMYFUNCTION("""COMPUTED_VALUE"""),"البرز")</f>
        <v>البرز</v>
      </c>
      <c r="E4710" s="5" t="str">
        <f>IFERROR(__xludf.DUMMYFUNCTION("""COMPUTED_VALUE"""),"کرج")</f>
        <v>کرج</v>
      </c>
      <c r="F4710" s="5"/>
      <c r="G4710" s="5"/>
      <c r="H4710" s="6" t="str">
        <f>IFERROR(__xludf.DUMMYFUNCTION("""COMPUTED_VALUE"""),"https://www.instagram.com/hoseinieabolfazl")</f>
        <v>https://www.instagram.com/hoseinieabolfazl</v>
      </c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</row>
    <row r="4711">
      <c r="A4711" s="5">
        <f>IFERROR(__xludf.DUMMYFUNCTION("""COMPUTED_VALUE"""),2464.0)</f>
        <v>2464</v>
      </c>
      <c r="B4711" s="5" t="str">
        <f>IFERROR(__xludf.DUMMYFUNCTION("""COMPUTED_VALUE"""),"هیئت")</f>
        <v>هیئت</v>
      </c>
      <c r="C4711" s="5" t="str">
        <f>IFERROR(__xludf.DUMMYFUNCTION("""COMPUTED_VALUE"""),"چهارده معصوم (ع)")</f>
        <v>چهارده معصوم (ع)</v>
      </c>
      <c r="D4711" s="5" t="str">
        <f>IFERROR(__xludf.DUMMYFUNCTION("""COMPUTED_VALUE"""),"البرز")</f>
        <v>البرز</v>
      </c>
      <c r="E4711" s="5" t="str">
        <f>IFERROR(__xludf.DUMMYFUNCTION("""COMPUTED_VALUE"""),"کرج")</f>
        <v>کرج</v>
      </c>
      <c r="F4711" s="5"/>
      <c r="G4711" s="5"/>
      <c r="H4711" s="6" t="str">
        <f>IFERROR(__xludf.DUMMYFUNCTION("""COMPUTED_VALUE"""),"https://www.instagram.com/hoseinieh_14maesum/")</f>
        <v>https://www.instagram.com/hoseinieh_14maesum/</v>
      </c>
      <c r="I4711" s="6" t="str">
        <f>IFERROR(__xludf.DUMMYFUNCTION("""COMPUTED_VALUE"""),"https://t.me/hoseinieh_14maesum")</f>
        <v>https://t.me/hoseinieh_14maesum</v>
      </c>
      <c r="J4711" s="5"/>
      <c r="K4711" s="5"/>
      <c r="L4711" s="5"/>
      <c r="M4711" s="5"/>
      <c r="N4711" s="5"/>
      <c r="O4711" s="5"/>
      <c r="P4711" s="5"/>
      <c r="Q4711" s="5"/>
      <c r="R4711" s="5"/>
      <c r="S4711" s="5"/>
    </row>
    <row r="4712">
      <c r="A4712" s="5">
        <f>IFERROR(__xludf.DUMMYFUNCTION("""COMPUTED_VALUE"""),2148.0)</f>
        <v>2148</v>
      </c>
      <c r="B4712" s="5" t="str">
        <f>IFERROR(__xludf.DUMMYFUNCTION("""COMPUTED_VALUE"""),"هیئت")</f>
        <v>هیئت</v>
      </c>
      <c r="C4712" s="5" t="str">
        <f>IFERROR(__xludf.DUMMYFUNCTION("""COMPUTED_VALUE"""),"حسین جان")</f>
        <v>حسین جان</v>
      </c>
      <c r="D4712" s="5" t="str">
        <f>IFERROR(__xludf.DUMMYFUNCTION("""COMPUTED_VALUE"""),"البرز")</f>
        <v>البرز</v>
      </c>
      <c r="E4712" s="5" t="str">
        <f>IFERROR(__xludf.DUMMYFUNCTION("""COMPUTED_VALUE"""),"کرج")</f>
        <v>کرج</v>
      </c>
      <c r="F4712" s="5"/>
      <c r="G4712" s="5"/>
      <c r="H4712" s="6" t="str">
        <f>IFERROR(__xludf.DUMMYFUNCTION("""COMPUTED_VALUE"""),"https://www.instagram.com/hoseinjan.krj/")</f>
        <v>https://www.instagram.com/hoseinjan.krj/</v>
      </c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</row>
    <row r="4713">
      <c r="A4713" s="5">
        <f>IFERROR(__xludf.DUMMYFUNCTION("""COMPUTED_VALUE"""),2235.0)</f>
        <v>2235</v>
      </c>
      <c r="B4713" s="5" t="str">
        <f>IFERROR(__xludf.DUMMYFUNCTION("""COMPUTED_VALUE"""),"هیئت")</f>
        <v>هیئت</v>
      </c>
      <c r="C4713" s="5" t="str">
        <f>IFERROR(__xludf.DUMMYFUNCTION("""COMPUTED_VALUE"""),"حسینیه حضرت جوادالائمه علیه‌السلام")</f>
        <v>حسینیه حضرت جوادالائمه علیه‌السلام</v>
      </c>
      <c r="D4713" s="5" t="str">
        <f>IFERROR(__xludf.DUMMYFUNCTION("""COMPUTED_VALUE"""),"البرز")</f>
        <v>البرز</v>
      </c>
      <c r="E4713" s="5" t="str">
        <f>IFERROR(__xludf.DUMMYFUNCTION("""COMPUTED_VALUE"""),"کرج")</f>
        <v>کرج</v>
      </c>
      <c r="F4713" s="5"/>
      <c r="G4713" s="5"/>
      <c r="H4713" s="6" t="str">
        <f>IFERROR(__xludf.DUMMYFUNCTION("""COMPUTED_VALUE"""),"https://www.instagram.com/hoseyniyeh_javadolaeme/")</f>
        <v>https://www.instagram.com/hoseyniyeh_javadolaeme/</v>
      </c>
      <c r="I4713" s="5"/>
      <c r="J4713" s="6" t="str">
        <f>IFERROR(__xludf.DUMMYFUNCTION("""COMPUTED_VALUE"""),"https://l.instagram.com/?u=https%3A%2F%2Feitaa.com%2FjavadolAeme_heyAt%3Futm_source%3Dig%26utm_medium%3Dsocial%26utm_content%3Dlink_in_bio%26fbclid%3DPAZXh0bgNhZW0CMTEAc3J0YwZhcHBfaWQMMjU2MjgxMDQwNTU4AAGnsNkVQaYxOLOk9ZvV7h8rpE_2vThzvCQI5d9sP8sd_Nae_G1AOsn"&amp;"XGDecwCs_aem_SM9Ov7JKytctYgeRSWD1qQ&amp;e=AT0DF8lnsXcnSoxGdMxlsSKcxxyPR54Bca79ZJeFmI78K_v7BwWotJm6yX_hI3L6UQTfnP8h1mEiuBPgFRa2nhNjJPLFxHp7H2LEkf66QA")</f>
        <v>https://l.instagram.com/?u=https%3A%2F%2Feitaa.com%2FjavadolAeme_heyAt%3Futm_source%3Dig%26utm_medium%3Dsocial%26utm_content%3Dlink_in_bio%26fbclid%3DPAZXh0bgNhZW0CMTEAc3J0YwZhcHBfaWQMMjU2MjgxMDQwNTU4AAGnsNkVQaYxOLOk9ZvV7h8rpE_2vThzvCQI5d9sP8sd_Nae_G1AOsnXGDecwCs_aem_SM9Ov7JKytctYgeRSWD1qQ&amp;e=AT0DF8lnsXcnSoxGdMxlsSKcxxyPR54Bca79ZJeFmI78K_v7BwWotJm6yX_hI3L6UQTfnP8h1mEiuBPgFRa2nhNjJPLFxHp7H2LEkf66QA</v>
      </c>
      <c r="K4713" s="5"/>
      <c r="L4713" s="5"/>
      <c r="M4713" s="5"/>
      <c r="N4713" s="5"/>
      <c r="O4713" s="5"/>
      <c r="P4713" s="5"/>
      <c r="Q4713" s="5"/>
      <c r="R4713" s="5"/>
      <c r="S4713" s="5"/>
    </row>
    <row r="4714">
      <c r="A4714" s="5">
        <f>IFERROR(__xludf.DUMMYFUNCTION("""COMPUTED_VALUE"""),29034.0)</f>
        <v>29034</v>
      </c>
      <c r="B4714" s="5" t="str">
        <f>IFERROR(__xludf.DUMMYFUNCTION("""COMPUTED_VALUE"""),"هیئت")</f>
        <v>هیئت</v>
      </c>
      <c r="C4714" s="5" t="str">
        <f>IFERROR(__xludf.DUMMYFUNCTION("""COMPUTED_VALUE"""),"حسینیون")</f>
        <v>حسینیون</v>
      </c>
      <c r="D4714" s="5" t="str">
        <f>IFERROR(__xludf.DUMMYFUNCTION("""COMPUTED_VALUE"""),"البرز")</f>
        <v>البرز</v>
      </c>
      <c r="E4714" s="5" t="str">
        <f>IFERROR(__xludf.DUMMYFUNCTION("""COMPUTED_VALUE"""),"کرج")</f>
        <v>کرج</v>
      </c>
      <c r="F4714" s="5"/>
      <c r="G4714" s="5"/>
      <c r="H4714" s="6" t="str">
        <f>IFERROR(__xludf.DUMMYFUNCTION("""COMPUTED_VALUE"""),"https://www.instagram.com/hoseyniyonkaraj/")</f>
        <v>https://www.instagram.com/hoseyniyonkaraj/</v>
      </c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</row>
    <row r="4715">
      <c r="A4715" s="5">
        <f>IFERROR(__xludf.DUMMYFUNCTION("""COMPUTED_VALUE"""),2261.0)</f>
        <v>2261</v>
      </c>
      <c r="B4715" s="5" t="str">
        <f>IFERROR(__xludf.DUMMYFUNCTION("""COMPUTED_VALUE"""),"هیئت")</f>
        <v>هیئت</v>
      </c>
      <c r="C4715" s="5" t="str">
        <f>IFERROR(__xludf.DUMMYFUNCTION("""COMPUTED_VALUE"""),"جوادالائمه (ع)")</f>
        <v>جوادالائمه (ع)</v>
      </c>
      <c r="D4715" s="5" t="str">
        <f>IFERROR(__xludf.DUMMYFUNCTION("""COMPUTED_VALUE"""),"البرز")</f>
        <v>البرز</v>
      </c>
      <c r="E4715" s="5" t="str">
        <f>IFERROR(__xludf.DUMMYFUNCTION("""COMPUTED_VALUE"""),"کرج")</f>
        <v>کرج</v>
      </c>
      <c r="F4715" s="5"/>
      <c r="G4715" s="5"/>
      <c r="H4715" s="6" t="str">
        <f>IFERROR(__xludf.DUMMYFUNCTION("""COMPUTED_VALUE"""),"https://www.instagram.com/hyat_javadalaemeh/")</f>
        <v>https://www.instagram.com/hyat_javadalaemeh/</v>
      </c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</row>
    <row r="4716">
      <c r="A4716" s="5">
        <f>IFERROR(__xludf.DUMMYFUNCTION("""COMPUTED_VALUE"""),20484.0)</f>
        <v>20484</v>
      </c>
      <c r="B4716" s="5" t="str">
        <f>IFERROR(__xludf.DUMMYFUNCTION("""COMPUTED_VALUE"""),"هیئت")</f>
        <v>هیئت</v>
      </c>
      <c r="C4716" s="5" t="str">
        <f>IFERROR(__xludf.DUMMYFUNCTION("""COMPUTED_VALUE"""),"جوادالائمه(ع)")</f>
        <v>جوادالائمه(ع)</v>
      </c>
      <c r="D4716" s="5" t="str">
        <f>IFERROR(__xludf.DUMMYFUNCTION("""COMPUTED_VALUE"""),"البرز")</f>
        <v>البرز</v>
      </c>
      <c r="E4716" s="5" t="str">
        <f>IFERROR(__xludf.DUMMYFUNCTION("""COMPUTED_VALUE"""),"کرج")</f>
        <v>کرج</v>
      </c>
      <c r="F4716" s="5"/>
      <c r="G4716" s="5"/>
      <c r="H4716" s="6" t="str">
        <f>IFERROR(__xludf.DUMMYFUNCTION("""COMPUTED_VALUE"""),"https://www.instagram.com/javad_ol_aemea")</f>
        <v>https://www.instagram.com/javad_ol_aemea</v>
      </c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</row>
    <row r="4717">
      <c r="A4717" s="5">
        <f>IFERROR(__xludf.DUMMYFUNCTION("""COMPUTED_VALUE"""),2449.0)</f>
        <v>2449</v>
      </c>
      <c r="B4717" s="5" t="str">
        <f>IFERROR(__xludf.DUMMYFUNCTION("""COMPUTED_VALUE"""),"هیئت")</f>
        <v>هیئت</v>
      </c>
      <c r="C4717" s="5" t="str">
        <f>IFERROR(__xludf.DUMMYFUNCTION("""COMPUTED_VALUE"""),"حضرت جوادالائمه (ع)")</f>
        <v>حضرت جوادالائمه (ع)</v>
      </c>
      <c r="D4717" s="5" t="str">
        <f>IFERROR(__xludf.DUMMYFUNCTION("""COMPUTED_VALUE"""),"البرز")</f>
        <v>البرز</v>
      </c>
      <c r="E4717" s="5" t="str">
        <f>IFERROR(__xludf.DUMMYFUNCTION("""COMPUTED_VALUE"""),"کرج")</f>
        <v>کرج</v>
      </c>
      <c r="F4717" s="5"/>
      <c r="G4717" s="5"/>
      <c r="H4717" s="6" t="str">
        <f>IFERROR(__xludf.DUMMYFUNCTION("""COMPUTED_VALUE"""),"https://www.instagram.com/javadolaemeh_info")</f>
        <v>https://www.instagram.com/javadolaemeh_info</v>
      </c>
      <c r="I4717" s="6" t="str">
        <f>IFERROR(__xludf.DUMMYFUNCTION("""COMPUTED_VALUE"""),"https://l.instagram.com/?u=http%3A%2F%2Ft.me%2Fjavadolaemehh_karaj%3Futm_source%3Dig%26utm_medium%3Dsocial%26utm_content%3Dlink_in_bio%26fbclid%3DPAZXh0bgNhZW0CMTEAc3J0YwZhcHBfaWQMMjU2MjgxMDQwNTU4AAGnB1up1CAUrlV9zD_wLnx2ruieCUPW6K_P-l2dX3itQmzIqyY0aPSogSG"&amp;"0ZGM_aem_eJVi1LakPUUb1qyR5er8RA&amp;e=AT2a78FcAuI22BQDaRD4VPaCtzZ8LaxKXe4K-MxTfY68onX5dFGYpQZ_U_2uY3IzBztq-gWvAMIRM61yDrWhcHx6QdRGjioXQl_hzD3LPA")</f>
        <v>https://l.instagram.com/?u=http%3A%2F%2Ft.me%2Fjavadolaemehh_karaj%3Futm_source%3Dig%26utm_medium%3Dsocial%26utm_content%3Dlink_in_bio%26fbclid%3DPAZXh0bgNhZW0CMTEAc3J0YwZhcHBfaWQMMjU2MjgxMDQwNTU4AAGnB1up1CAUrlV9zD_wLnx2ruieCUPW6K_P-l2dX3itQmzIqyY0aPSogSG0ZGM_aem_eJVi1LakPUUb1qyR5er8RA&amp;e=AT2a78FcAuI22BQDaRD4VPaCtzZ8LaxKXe4K-MxTfY68onX5dFGYpQZ_U_2uY3IzBztq-gWvAMIRM61yDrWhcHx6QdRGjioXQl_hzD3LPA</v>
      </c>
      <c r="J4717" s="5"/>
      <c r="K4717" s="5"/>
      <c r="L4717" s="5"/>
      <c r="M4717" s="5"/>
      <c r="N4717" s="5"/>
      <c r="O4717" s="5"/>
      <c r="P4717" s="5"/>
      <c r="Q4717" s="5"/>
      <c r="R4717" s="5"/>
      <c r="S4717" s="5"/>
    </row>
    <row r="4718">
      <c r="A4718" s="5">
        <f>IFERROR(__xludf.DUMMYFUNCTION("""COMPUTED_VALUE"""),23984.0)</f>
        <v>23984</v>
      </c>
      <c r="B4718" s="5" t="str">
        <f>IFERROR(__xludf.DUMMYFUNCTION("""COMPUTED_VALUE"""),"هیئت")</f>
        <v>هیئت</v>
      </c>
      <c r="C4718" s="5" t="str">
        <f>IFERROR(__xludf.DUMMYFUNCTION("""COMPUTED_VALUE"""),"جوادالائمه (ع)")</f>
        <v>جوادالائمه (ع)</v>
      </c>
      <c r="D4718" s="5" t="str">
        <f>IFERROR(__xludf.DUMMYFUNCTION("""COMPUTED_VALUE"""),"البرز")</f>
        <v>البرز</v>
      </c>
      <c r="E4718" s="5" t="str">
        <f>IFERROR(__xludf.DUMMYFUNCTION("""COMPUTED_VALUE"""),"ساوجبلاغ")</f>
        <v>ساوجبلاغ</v>
      </c>
      <c r="F4718" s="5"/>
      <c r="G4718" s="5"/>
      <c r="H4718" s="6" t="str">
        <f>IFERROR(__xludf.DUMMYFUNCTION("""COMPUTED_VALUE"""),"https://www.instagram.com/javadolaemeh313.ir/")</f>
        <v>https://www.instagram.com/javadolaemeh313.ir/</v>
      </c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</row>
    <row r="4719">
      <c r="A4719" s="5">
        <f>IFERROR(__xludf.DUMMYFUNCTION("""COMPUTED_VALUE"""),31779.0)</f>
        <v>31779</v>
      </c>
      <c r="B4719" s="5" t="str">
        <f>IFERROR(__xludf.DUMMYFUNCTION("""COMPUTED_VALUE"""),"هیئت")</f>
        <v>هیئت</v>
      </c>
      <c r="C4719" s="5" t="str">
        <f>IFERROR(__xludf.DUMMYFUNCTION("""COMPUTED_VALUE"""),"قمربنی هاشم (ع)")</f>
        <v>قمربنی هاشم (ع)</v>
      </c>
      <c r="D4719" s="5" t="str">
        <f>IFERROR(__xludf.DUMMYFUNCTION("""COMPUTED_VALUE"""),"البرز")</f>
        <v>البرز</v>
      </c>
      <c r="E4719" s="5" t="str">
        <f>IFERROR(__xludf.DUMMYFUNCTION("""COMPUTED_VALUE"""),"اشتهارد ")</f>
        <v>اشتهارد </v>
      </c>
      <c r="F4719" s="5" t="str">
        <f>IFERROR(__xludf.DUMMYFUNCTION("""COMPUTED_VALUE"""),"اشتهارد ")</f>
        <v>اشتهارد </v>
      </c>
      <c r="G4719" s="5"/>
      <c r="H4719" s="6" t="str">
        <f>IFERROR(__xludf.DUMMYFUNCTION("""COMPUTED_VALUE"""),"https://www.instagram.com/jghamarbanihashem/")</f>
        <v>https://www.instagram.com/jghamarbanihashem/</v>
      </c>
      <c r="I4719" s="6" t="str">
        <f>IFERROR(__xludf.DUMMYFUNCTION("""COMPUTED_VALUE"""),"https://l.instagram.com/?u=http%3A%2F%2Ft.me%2Fjgamarbanihashem%3Futm_source%3Dig%26utm_medium%3Dsocial%26utm_content%3Dlink_in_bio%26fbclid%3DPAZXh0bgNhZW0CMTEAc3J0YwZhcHBfaWQMMjU2MjgxMDQwNTU4AAGnFm8tXNfynTz-CFWHt_SG7K3LNtuylSnLPnnTQJ5gKV6UfwhkrHio3eG-vh"&amp;"A_aem_P7IkIndMEN5PevC-ZP-FhA&amp;e=AT2Yi9ExyYH4pjwUuuPsxfIDld9lASABLRUac4U2gQEa-ote-A8crsSc34pR4708ydF7laJ3VWnto6nuRHBNKoM3cEDsQUOynNW0m2CMuw")</f>
        <v>https://l.instagram.com/?u=http%3A%2F%2Ft.me%2Fjgamarbanihashem%3Futm_source%3Dig%26utm_medium%3Dsocial%26utm_content%3Dlink_in_bio%26fbclid%3DPAZXh0bgNhZW0CMTEAc3J0YwZhcHBfaWQMMjU2MjgxMDQwNTU4AAGnFm8tXNfynTz-CFWHt_SG7K3LNtuylSnLPnnTQJ5gKV6UfwhkrHio3eG-vhA_aem_P7IkIndMEN5PevC-ZP-FhA&amp;e=AT2Yi9ExyYH4pjwUuuPsxfIDld9lASABLRUac4U2gQEa-ote-A8crsSc34pR4708ydF7laJ3VWnto6nuRHBNKoM3cEDsQUOynNW0m2CMuw</v>
      </c>
      <c r="J4719" s="5"/>
      <c r="K4719" s="5"/>
      <c r="L4719" s="5"/>
      <c r="M4719" s="5"/>
      <c r="N4719" s="5"/>
      <c r="O4719" s="5"/>
      <c r="P4719" s="5"/>
      <c r="Q4719" s="5"/>
      <c r="R4719" s="5"/>
      <c r="S4719" s="5"/>
    </row>
    <row r="4720">
      <c r="A4720" s="5">
        <f>IFERROR(__xludf.DUMMYFUNCTION("""COMPUTED_VALUE"""),19973.0)</f>
        <v>19973</v>
      </c>
      <c r="B4720" s="5" t="str">
        <f>IFERROR(__xludf.DUMMYFUNCTION("""COMPUTED_VALUE"""),"هیئت")</f>
        <v>هیئت</v>
      </c>
      <c r="C4720" s="5" t="str">
        <f>IFERROR(__xludf.DUMMYFUNCTION("""COMPUTED_VALUE"""),"کانــون فرهنگـــی غـــدیر")</f>
        <v>کانــون فرهنگـــی غـــدیر</v>
      </c>
      <c r="D4720" s="5" t="str">
        <f>IFERROR(__xludf.DUMMYFUNCTION("""COMPUTED_VALUE"""),"البرز")</f>
        <v>البرز</v>
      </c>
      <c r="E4720" s="5" t="str">
        <f>IFERROR(__xludf.DUMMYFUNCTION("""COMPUTED_VALUE"""),"کرج")</f>
        <v>کرج</v>
      </c>
      <c r="F4720" s="5"/>
      <c r="G4720" s="5"/>
      <c r="H4720" s="6" t="str">
        <f>IFERROR(__xludf.DUMMYFUNCTION("""COMPUTED_VALUE"""),"https://www.instagram.com/kanonghadir/")</f>
        <v>https://www.instagram.com/kanonghadir/</v>
      </c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</row>
    <row r="4721">
      <c r="A4721" s="5">
        <f>IFERROR(__xludf.DUMMYFUNCTION("""COMPUTED_VALUE"""),23489.0)</f>
        <v>23489</v>
      </c>
      <c r="B4721" s="5" t="str">
        <f>IFERROR(__xludf.DUMMYFUNCTION("""COMPUTED_VALUE"""),"هیئت")</f>
        <v>هیئت</v>
      </c>
      <c r="C4721" s="5" t="str">
        <f>IFERROR(__xludf.DUMMYFUNCTION("""COMPUTED_VALUE"""),"گوهرشاد")</f>
        <v>گوهرشاد</v>
      </c>
      <c r="D4721" s="5" t="str">
        <f>IFERROR(__xludf.DUMMYFUNCTION("""COMPUTED_VALUE"""),"البرز")</f>
        <v>البرز</v>
      </c>
      <c r="E4721" s="5" t="str">
        <f>IFERROR(__xludf.DUMMYFUNCTION("""COMPUTED_VALUE"""),"کرج")</f>
        <v>کرج</v>
      </c>
      <c r="F4721" s="5"/>
      <c r="G4721" s="5"/>
      <c r="H4721" s="6" t="str">
        <f>IFERROR(__xludf.DUMMYFUNCTION("""COMPUTED_VALUE"""),"https://www.instagram.com/kanoon.goharshad/")</f>
        <v>https://www.instagram.com/kanoon.goharshad/</v>
      </c>
      <c r="I4721" s="6" t="str">
        <f>IFERROR(__xludf.DUMMYFUNCTION("""COMPUTED_VALUE"""),"https://t.me/kanoongoharshad")</f>
        <v>https://t.me/kanoongoharshad</v>
      </c>
      <c r="J4721" s="5"/>
      <c r="K4721" s="5"/>
      <c r="L4721" s="5"/>
      <c r="M4721" s="5"/>
      <c r="N4721" s="5"/>
      <c r="O4721" s="5"/>
      <c r="P4721" s="5"/>
      <c r="Q4721" s="5"/>
      <c r="R4721" s="5"/>
      <c r="S4721" s="5"/>
    </row>
    <row r="4722">
      <c r="A4722" s="5">
        <f>IFERROR(__xludf.DUMMYFUNCTION("""COMPUTED_VALUE"""),19968.0)</f>
        <v>19968</v>
      </c>
      <c r="B4722" s="5" t="str">
        <f>IFERROR(__xludf.DUMMYFUNCTION("""COMPUTED_VALUE"""),"هیئت")</f>
        <v>هیئت</v>
      </c>
      <c r="C4722" s="5" t="str">
        <f>IFERROR(__xludf.DUMMYFUNCTION("""COMPUTED_VALUE"""),"بیت المهدی(عج)")</f>
        <v>بیت المهدی(عج)</v>
      </c>
      <c r="D4722" s="5" t="str">
        <f>IFERROR(__xludf.DUMMYFUNCTION("""COMPUTED_VALUE"""),"البرز")</f>
        <v>البرز</v>
      </c>
      <c r="E4722" s="5" t="str">
        <f>IFERROR(__xludf.DUMMYFUNCTION("""COMPUTED_VALUE"""),"کرج")</f>
        <v>کرج</v>
      </c>
      <c r="F4722" s="5"/>
      <c r="G4722" s="5"/>
      <c r="H4722" s="6" t="str">
        <f>IFERROR(__xludf.DUMMYFUNCTION("""COMPUTED_VALUE"""),"https://www.instagram.com/karbala8.ir/")</f>
        <v>https://www.instagram.com/karbala8.ir/</v>
      </c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</row>
    <row r="4723">
      <c r="A4723" s="5">
        <f>IFERROR(__xludf.DUMMYFUNCTION("""COMPUTED_VALUE"""),2380.0)</f>
        <v>2380</v>
      </c>
      <c r="B4723" s="5" t="str">
        <f>IFERROR(__xludf.DUMMYFUNCTION("""COMPUTED_VALUE"""),"هیئت")</f>
        <v>هیئت</v>
      </c>
      <c r="C4723" s="5" t="str">
        <f>IFERROR(__xludf.DUMMYFUNCTION("""COMPUTED_VALUE"""),"امام حسن مجتبی (ع)")</f>
        <v>امام حسن مجتبی (ع)</v>
      </c>
      <c r="D4723" s="5" t="str">
        <f>IFERROR(__xludf.DUMMYFUNCTION("""COMPUTED_VALUE"""),"البرز")</f>
        <v>البرز</v>
      </c>
      <c r="E4723" s="5" t="str">
        <f>IFERROR(__xludf.DUMMYFUNCTION("""COMPUTED_VALUE"""),"کرج")</f>
        <v>کرج</v>
      </c>
      <c r="F4723" s="5"/>
      <c r="G4723" s="5"/>
      <c r="H4723" s="6" t="str">
        <f>IFERROR(__xludf.DUMMYFUNCTION("""COMPUTED_VALUE"""),"https://www.instagram.com/karimeahlebeyt128/")</f>
        <v>https://www.instagram.com/karimeahlebeyt128/</v>
      </c>
      <c r="I4723" s="6" t="str">
        <f>IFERROR(__xludf.DUMMYFUNCTION("""COMPUTED_VALUE"""),"https://l.instagram.com/?u=http%3A%2F%2Ft.me%2Fkhoddamekarimeahlebeyt%3Futm_source%3Dig%26utm_medium%3Dsocial%26utm_content%3Dlink_in_bio%26fbclid%3DPAZXh0bgNhZW0CMTEAc3J0YwZhcHBfaWQMMjU2MjgxMDQwNTU4AAGnSDlpkZWQlXkPX_fufx84cFcpj7ZLvcBKlrd-CjzLfxgioXpFD93B"&amp;"5LyBX9U_aem_gAv0VCFckxmdgYiwHPQkQQ&amp;e=AT12rdI51bwBrLbThg1qbY25Uqaz3l74fJrJHVHta9Xnxum6HzpFFT-4ta65K_U9AHBVxufRYq__U3as6F2LoyEuvhEQK0LAhHlntle_Sw")</f>
        <v>https://l.instagram.com/?u=http%3A%2F%2Ft.me%2Fkhoddamekarimeahlebeyt%3Futm_source%3Dig%26utm_medium%3Dsocial%26utm_content%3Dlink_in_bio%26fbclid%3DPAZXh0bgNhZW0CMTEAc3J0YwZhcHBfaWQMMjU2MjgxMDQwNTU4AAGnSDlpkZWQlXkPX_fufx84cFcpj7ZLvcBKlrd-CjzLfxgioXpFD93B5LyBX9U_aem_gAv0VCFckxmdgYiwHPQkQQ&amp;e=AT12rdI51bwBrLbThg1qbY25Uqaz3l74fJrJHVHta9Xnxum6HzpFFT-4ta65K_U9AHBVxufRYq__U3as6F2LoyEuvhEQK0LAhHlntle_Sw</v>
      </c>
      <c r="J4723" s="5"/>
      <c r="K4723" s="5"/>
      <c r="L4723" s="5"/>
      <c r="M4723" s="5"/>
      <c r="N4723" s="5"/>
      <c r="O4723" s="5"/>
      <c r="P4723" s="5"/>
      <c r="Q4723" s="5"/>
      <c r="R4723" s="5"/>
      <c r="S4723" s="5"/>
    </row>
    <row r="4724">
      <c r="A4724" s="5">
        <f>IFERROR(__xludf.DUMMYFUNCTION("""COMPUTED_VALUE"""),2250.0)</f>
        <v>2250</v>
      </c>
      <c r="B4724" s="5" t="str">
        <f>IFERROR(__xludf.DUMMYFUNCTION("""COMPUTED_VALUE"""),"هیئت")</f>
        <v>هیئت</v>
      </c>
      <c r="C4724" s="5" t="str">
        <f>IFERROR(__xludf.DUMMYFUNCTION("""COMPUTED_VALUE"""),"بیت الزهرا(س)")</f>
        <v>بیت الزهرا(س)</v>
      </c>
      <c r="D4724" s="5" t="str">
        <f>IFERROR(__xludf.DUMMYFUNCTION("""COMPUTED_VALUE"""),"البرز")</f>
        <v>البرز</v>
      </c>
      <c r="E4724" s="5" t="str">
        <f>IFERROR(__xludf.DUMMYFUNCTION("""COMPUTED_VALUE"""),"کرج")</f>
        <v>کرج</v>
      </c>
      <c r="F4724" s="5"/>
      <c r="G4724" s="5"/>
      <c r="H4724" s="6" t="str">
        <f>IFERROR(__xludf.DUMMYFUNCTION("""COMPUTED_VALUE"""),"https://www.instagram.com/kh_beytozahraa/")</f>
        <v>https://www.instagram.com/kh_beytozahraa/</v>
      </c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</row>
    <row r="4725">
      <c r="A4725" s="5">
        <f>IFERROR(__xludf.DUMMYFUNCTION("""COMPUTED_VALUE"""),2321.0)</f>
        <v>2321</v>
      </c>
      <c r="B4725" s="5" t="str">
        <f>IFERROR(__xludf.DUMMYFUNCTION("""COMPUTED_VALUE"""),"هیئت")</f>
        <v>هیئت</v>
      </c>
      <c r="C4725" s="5" t="str">
        <f>IFERROR(__xludf.DUMMYFUNCTION("""COMPUTED_VALUE"""),"کانون نخبه پروری صراط")</f>
        <v>کانون نخبه پروری صراط</v>
      </c>
      <c r="D4725" s="5" t="str">
        <f>IFERROR(__xludf.DUMMYFUNCTION("""COMPUTED_VALUE"""),"البرز")</f>
        <v>البرز</v>
      </c>
      <c r="E4725" s="5" t="str">
        <f>IFERROR(__xludf.DUMMYFUNCTION("""COMPUTED_VALUE"""),"کرج")</f>
        <v>کرج</v>
      </c>
      <c r="F4725" s="5"/>
      <c r="G4725" s="5"/>
      <c r="H4725" s="6" t="str">
        <f>IFERROR(__xludf.DUMMYFUNCTION("""COMPUTED_VALUE"""),"https://www.instagram.com/kn_serat")</f>
        <v>https://www.instagram.com/kn_serat</v>
      </c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</row>
    <row r="4726">
      <c r="A4726" s="5">
        <f>IFERROR(__xludf.DUMMYFUNCTION("""COMPUTED_VALUE"""),26820.0)</f>
        <v>26820</v>
      </c>
      <c r="B4726" s="5" t="str">
        <f>IFERROR(__xludf.DUMMYFUNCTION("""COMPUTED_VALUE"""),"هیئت")</f>
        <v>هیئت</v>
      </c>
      <c r="C4726" s="5" t="str">
        <f>IFERROR(__xludf.DUMMYFUNCTION("""COMPUTED_VALUE"""),"سید امیر حسینی")</f>
        <v>سید امیر حسینی</v>
      </c>
      <c r="D4726" s="5" t="str">
        <f>IFERROR(__xludf.DUMMYFUNCTION("""COMPUTED_VALUE"""),"البرز")</f>
        <v>البرز</v>
      </c>
      <c r="E4726" s="5" t="str">
        <f>IFERROR(__xludf.DUMMYFUNCTION("""COMPUTED_VALUE"""),"کرج")</f>
        <v>کرج</v>
      </c>
      <c r="F4726" s="5"/>
      <c r="G4726" s="5"/>
      <c r="H4726" s="6" t="str">
        <f>IFERROR(__xludf.DUMMYFUNCTION("""COMPUTED_VALUE"""),"https://www.instagram.com/leva_heidar_karar")</f>
        <v>https://www.instagram.com/leva_heidar_karar</v>
      </c>
      <c r="I4726" s="6" t="str">
        <f>IFERROR(__xludf.DUMMYFUNCTION("""COMPUTED_VALUE"""),"https://l.instagram.com/?u=https%3A%2F%2Ft.me%2Fleva_heidar_karar%3Futm_source%3Dig%26utm_medium%3Dsocial%26utm_content%3Dlink_in_bio%26fbclid%3DPAZXh0bgNhZW0CMTEAc3J0YwZhcHBfaWQMMjU2MjgxMDQwNTU4AAGnLuZ9knG_xFnyMgBMmMqZ7FBYbRgeyaPnZAH0ZTjWyJhmULnFenIHEtUP"&amp;"OmU_aem_NFSaqOkT4ss5d-3i4bbYIA&amp;e=AT0NXn3zkjLZMU6z3Hlsjc3kMt6eAZDCXaWcxiKytnfVKOqu2wtQS3bhJIrOzMPppl67KQ6e5_Un8F8uHgCiSgz3gR8oxrC4baD2Od4zIA")</f>
        <v>https://l.instagram.com/?u=https%3A%2F%2Ft.me%2Fleva_heidar_karar%3Futm_source%3Dig%26utm_medium%3Dsocial%26utm_content%3Dlink_in_bio%26fbclid%3DPAZXh0bgNhZW0CMTEAc3J0YwZhcHBfaWQMMjU2MjgxMDQwNTU4AAGnLuZ9knG_xFnyMgBMmMqZ7FBYbRgeyaPnZAH0ZTjWyJhmULnFenIHEtUPOmU_aem_NFSaqOkT4ss5d-3i4bbYIA&amp;e=AT0NXn3zkjLZMU6z3Hlsjc3kMt6eAZDCXaWcxiKytnfVKOqu2wtQS3bhJIrOzMPppl67KQ6e5_Un8F8uHgCiSgz3gR8oxrC4baD2Od4zIA</v>
      </c>
      <c r="J4726" s="5"/>
      <c r="K4726" s="5"/>
      <c r="L4726" s="5"/>
      <c r="M4726" s="5"/>
      <c r="N4726" s="5"/>
      <c r="O4726" s="5"/>
      <c r="P4726" s="5"/>
      <c r="Q4726" s="5"/>
      <c r="R4726" s="5"/>
      <c r="S4726" s="5"/>
    </row>
    <row r="4727">
      <c r="A4727" s="5">
        <f>IFERROR(__xludf.DUMMYFUNCTION("""COMPUTED_VALUE"""),31308.0)</f>
        <v>31308</v>
      </c>
      <c r="B4727" s="5" t="str">
        <f>IFERROR(__xludf.DUMMYFUNCTION("""COMPUTED_VALUE"""),"هیئت")</f>
        <v>هیئت</v>
      </c>
      <c r="C4727" s="5" t="str">
        <f>IFERROR(__xludf.DUMMYFUNCTION("""COMPUTED_VALUE"""),"لواءالزهــراء سلام‌الله‌علیها")</f>
        <v>لواءالزهــراء سلام‌الله‌علیها</v>
      </c>
      <c r="D4727" s="5" t="str">
        <f>IFERROR(__xludf.DUMMYFUNCTION("""COMPUTED_VALUE"""),"البرز")</f>
        <v>البرز</v>
      </c>
      <c r="E4727" s="5" t="str">
        <f>IFERROR(__xludf.DUMMYFUNCTION("""COMPUTED_VALUE"""),"کرج")</f>
        <v>کرج</v>
      </c>
      <c r="F4727" s="5"/>
      <c r="G4727" s="5"/>
      <c r="H4727" s="6" t="str">
        <f>IFERROR(__xludf.DUMMYFUNCTION("""COMPUTED_VALUE"""),"https://www.instagram.com/levazahra_karaj/")</f>
        <v>https://www.instagram.com/levazahra_karaj/</v>
      </c>
      <c r="I4727" s="6" t="str">
        <f>IFERROR(__xludf.DUMMYFUNCTION("""COMPUTED_VALUE"""),"https://l.instagram.com/?u=http%3A%2F%2Ft.me%2Fleva_media_karaj%3Futm_source%3Dig%26utm_medium%3Dsocial%26utm_content%3Dlink_in_bio%26fbclid%3DPAZXh0bgNhZW0CMTEAc3J0YwZhcHBfaWQMMjU2MjgxMDQwNTU4AAGni9ivmU2E3JqtoCcLexXcdqTyercGkNtfkDYFL7ntkhQic7tTVjeNwcxoAC"&amp;"g_aem_KO45FUFw-rHh08qoYMUPnw&amp;e=AT3xBZRAzk6IKYl26VH0K3dEtsrq3BazvEV3cA18I1Q1Tj-ja8FJCGAJ7CvyK8o0YnMmIohetkf6AB0aY-qlyF4VMUQfI7Uguy9F-ax9YQ")</f>
        <v>https://l.instagram.com/?u=http%3A%2F%2Ft.me%2Fleva_media_karaj%3Futm_source%3Dig%26utm_medium%3Dsocial%26utm_content%3Dlink_in_bio%26fbclid%3DPAZXh0bgNhZW0CMTEAc3J0YwZhcHBfaWQMMjU2MjgxMDQwNTU4AAGni9ivmU2E3JqtoCcLexXcdqTyercGkNtfkDYFL7ntkhQic7tTVjeNwcxoACg_aem_KO45FUFw-rHh08qoYMUPnw&amp;e=AT3xBZRAzk6IKYl26VH0K3dEtsrq3BazvEV3cA18I1Q1Tj-ja8FJCGAJ7CvyK8o0YnMmIohetkf6AB0aY-qlyF4VMUQfI7Uguy9F-ax9YQ</v>
      </c>
      <c r="J4727" s="5"/>
      <c r="K4727" s="5"/>
      <c r="L4727" s="5"/>
      <c r="M4727" s="5"/>
      <c r="N4727" s="5"/>
      <c r="O4727" s="5"/>
      <c r="P4727" s="5"/>
      <c r="Q4727" s="5"/>
      <c r="R4727" s="5"/>
      <c r="S4727" s="5"/>
    </row>
    <row r="4728">
      <c r="A4728" s="5">
        <f>IFERROR(__xludf.DUMMYFUNCTION("""COMPUTED_VALUE"""),2272.0)</f>
        <v>2272</v>
      </c>
      <c r="B4728" s="5" t="str">
        <f>IFERROR(__xludf.DUMMYFUNCTION("""COMPUTED_VALUE"""),"هیئت")</f>
        <v>هیئت</v>
      </c>
      <c r="C4728" s="5" t="str">
        <f>IFERROR(__xludf.DUMMYFUNCTION("""COMPUTED_VALUE"""),"ثامن الائمه(ع) (کانون بهشت)")</f>
        <v>ثامن الائمه(ع) (کانون بهشت)</v>
      </c>
      <c r="D4728" s="5" t="str">
        <f>IFERROR(__xludf.DUMMYFUNCTION("""COMPUTED_VALUE"""),"البرز")</f>
        <v>البرز</v>
      </c>
      <c r="E4728" s="5" t="str">
        <f>IFERROR(__xludf.DUMMYFUNCTION("""COMPUTED_VALUE"""),"کرج")</f>
        <v>کرج</v>
      </c>
      <c r="F4728" s="5"/>
      <c r="G4728" s="5"/>
      <c r="H4728" s="6" t="str">
        <f>IFERROR(__xludf.DUMMYFUNCTION("""COMPUTED_VALUE"""),"https://www.instagram.com/m.beheshtesamen")</f>
        <v>https://www.instagram.com/m.beheshtesamen</v>
      </c>
      <c r="I4728" s="5"/>
      <c r="J4728" s="6" t="str">
        <f>IFERROR(__xludf.DUMMYFUNCTION("""COMPUTED_VALUE"""),"https://eitaa.com/beheshtesamen")</f>
        <v>https://eitaa.com/beheshtesamen</v>
      </c>
      <c r="K4728" s="5"/>
      <c r="L4728" s="5"/>
      <c r="M4728" s="5"/>
      <c r="N4728" s="5"/>
      <c r="O4728" s="5"/>
      <c r="P4728" s="5"/>
      <c r="Q4728" s="5"/>
      <c r="R4728" s="5"/>
      <c r="S4728" s="5"/>
    </row>
    <row r="4729">
      <c r="A4729" s="5">
        <f>IFERROR(__xludf.DUMMYFUNCTION("""COMPUTED_VALUE"""),18035.0)</f>
        <v>18035</v>
      </c>
      <c r="B4729" s="5" t="str">
        <f>IFERROR(__xludf.DUMMYFUNCTION("""COMPUTED_VALUE"""),"هیئت")</f>
        <v>هیئت</v>
      </c>
      <c r="C4729" s="5" t="str">
        <f>IFERROR(__xludf.DUMMYFUNCTION("""COMPUTED_VALUE"""),"مهدیه")</f>
        <v>مهدیه</v>
      </c>
      <c r="D4729" s="5" t="str">
        <f>IFERROR(__xludf.DUMMYFUNCTION("""COMPUTED_VALUE"""),"البرز")</f>
        <v>البرز</v>
      </c>
      <c r="E4729" s="5" t="str">
        <f>IFERROR(__xludf.DUMMYFUNCTION("""COMPUTED_VALUE"""),"کرج")</f>
        <v>کرج</v>
      </c>
      <c r="F4729" s="5"/>
      <c r="G4729" s="5"/>
      <c r="H4729" s="6" t="str">
        <f>IFERROR(__xludf.DUMMYFUNCTION("""COMPUTED_VALUE"""),"https://www.instagram.com/mahdiekaraj.ir/")</f>
        <v>https://www.instagram.com/mahdiekaraj.ir/</v>
      </c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</row>
    <row r="4730">
      <c r="A4730" s="5">
        <f>IFERROR(__xludf.DUMMYFUNCTION("""COMPUTED_VALUE"""),23118.0)</f>
        <v>23118</v>
      </c>
      <c r="B4730" s="5" t="str">
        <f>IFERROR(__xludf.DUMMYFUNCTION("""COMPUTED_VALUE"""),"هیئت")</f>
        <v>هیئت</v>
      </c>
      <c r="C4730" s="5" t="str">
        <f>IFERROR(__xludf.DUMMYFUNCTION("""COMPUTED_VALUE"""),"رزمندگان")</f>
        <v>رزمندگان</v>
      </c>
      <c r="D4730" s="5" t="str">
        <f>IFERROR(__xludf.DUMMYFUNCTION("""COMPUTED_VALUE"""),"البرز")</f>
        <v>البرز</v>
      </c>
      <c r="E4730" s="5" t="str">
        <f>IFERROR(__xludf.DUMMYFUNCTION("""COMPUTED_VALUE"""),"کرج")</f>
        <v>کرج</v>
      </c>
      <c r="F4730" s="5" t="str">
        <f>IFERROR(__xludf.DUMMYFUNCTION("""COMPUTED_VALUE"""),"محمد شهر")</f>
        <v>محمد شهر</v>
      </c>
      <c r="G4730" s="5"/>
      <c r="H4730" s="6" t="str">
        <f>IFERROR(__xludf.DUMMYFUNCTION("""COMPUTED_VALUE"""),"https://www.instagram.com/mahdiiieh313/")</f>
        <v>https://www.instagram.com/mahdiiieh313/</v>
      </c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</row>
    <row r="4731">
      <c r="A4731" s="5">
        <f>IFERROR(__xludf.DUMMYFUNCTION("""COMPUTED_VALUE"""),2361.0)</f>
        <v>2361</v>
      </c>
      <c r="B4731" s="5" t="str">
        <f>IFERROR(__xludf.DUMMYFUNCTION("""COMPUTED_VALUE"""),"هیئت")</f>
        <v>هیئت</v>
      </c>
      <c r="C4731" s="5" t="str">
        <f>IFERROR(__xludf.DUMMYFUNCTION("""COMPUTED_VALUE"""),"مهدی دلان")</f>
        <v>مهدی دلان</v>
      </c>
      <c r="D4731" s="5" t="str">
        <f>IFERROR(__xludf.DUMMYFUNCTION("""COMPUTED_VALUE"""),"البرز")</f>
        <v>البرز</v>
      </c>
      <c r="E4731" s="5" t="str">
        <f>IFERROR(__xludf.DUMMYFUNCTION("""COMPUTED_VALUE"""),"کرج")</f>
        <v>کرج</v>
      </c>
      <c r="F4731" s="5" t="str">
        <f>IFERROR(__xludf.DUMMYFUNCTION("""COMPUTED_VALUE"""),"نظرآباد")</f>
        <v>نظرآباد</v>
      </c>
      <c r="G4731" s="5"/>
      <c r="H4731" s="6" t="str">
        <f>IFERROR(__xludf.DUMMYFUNCTION("""COMPUTED_VALUE"""),"https://www.instagram.com/mahdiyeinfo/")</f>
        <v>https://www.instagram.com/mahdiyeinfo/</v>
      </c>
      <c r="I4731" s="5"/>
      <c r="J4731" s="6" t="str">
        <f>IFERROR(__xludf.DUMMYFUNCTION("""COMPUTED_VALUE"""),"https://eitaa.com/mahdiyeinfo")</f>
        <v>https://eitaa.com/mahdiyeinfo</v>
      </c>
      <c r="K4731" s="5"/>
      <c r="L4731" s="5"/>
      <c r="M4731" s="5"/>
      <c r="N4731" s="5"/>
      <c r="O4731" s="5"/>
      <c r="P4731" s="5"/>
      <c r="Q4731" s="5"/>
      <c r="R4731" s="5"/>
      <c r="S4731" s="5"/>
    </row>
    <row r="4732">
      <c r="A4732" s="5">
        <f>IFERROR(__xludf.DUMMYFUNCTION("""COMPUTED_VALUE"""),2467.0)</f>
        <v>2467</v>
      </c>
      <c r="B4732" s="5" t="str">
        <f>IFERROR(__xludf.DUMMYFUNCTION("""COMPUTED_VALUE"""),"هیئت")</f>
        <v>هیئت</v>
      </c>
      <c r="C4732" s="5" t="str">
        <f>IFERROR(__xludf.DUMMYFUNCTION("""COMPUTED_VALUE"""),"محفل شاه کاظمین")</f>
        <v>محفل شاه کاظمین</v>
      </c>
      <c r="D4732" s="5" t="str">
        <f>IFERROR(__xludf.DUMMYFUNCTION("""COMPUTED_VALUE"""),"البرز")</f>
        <v>البرز</v>
      </c>
      <c r="E4732" s="5" t="str">
        <f>IFERROR(__xludf.DUMMYFUNCTION("""COMPUTED_VALUE"""),"کرج")</f>
        <v>کرج</v>
      </c>
      <c r="F4732" s="5"/>
      <c r="G4732" s="5"/>
      <c r="H4732" s="6" t="str">
        <f>IFERROR(__xludf.DUMMYFUNCTION("""COMPUTED_VALUE"""),"https://www.instagram.com/mahfel7/")</f>
        <v>https://www.instagram.com/mahfel7/</v>
      </c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</row>
    <row r="4733">
      <c r="A4733" s="5">
        <f>IFERROR(__xludf.DUMMYFUNCTION("""COMPUTED_VALUE"""),2161.0)</f>
        <v>2161</v>
      </c>
      <c r="B4733" s="5" t="str">
        <f>IFERROR(__xludf.DUMMYFUNCTION("""COMPUTED_VALUE"""),"هیئت")</f>
        <v>هیئت</v>
      </c>
      <c r="C4733" s="5" t="str">
        <f>IFERROR(__xludf.DUMMYFUNCTION("""COMPUTED_VALUE"""),"فاطمیون")</f>
        <v>فاطمیون</v>
      </c>
      <c r="D4733" s="5" t="str">
        <f>IFERROR(__xludf.DUMMYFUNCTION("""COMPUTED_VALUE"""),"البرز")</f>
        <v>البرز</v>
      </c>
      <c r="E4733" s="5" t="str">
        <f>IFERROR(__xludf.DUMMYFUNCTION("""COMPUTED_VALUE"""),"کرج")</f>
        <v>کرج</v>
      </c>
      <c r="F4733" s="5"/>
      <c r="G4733" s="5"/>
      <c r="H4733" s="6" t="str">
        <f>IFERROR(__xludf.DUMMYFUNCTION("""COMPUTED_VALUE"""),"https://www.instagram.com/majma.fatemiyoun/")</f>
        <v>https://www.instagram.com/majma.fatemiyoun/</v>
      </c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</row>
    <row r="4734">
      <c r="A4734" s="5">
        <f>IFERROR(__xludf.DUMMYFUNCTION("""COMPUTED_VALUE"""),31943.0)</f>
        <v>31943</v>
      </c>
      <c r="B4734" s="5" t="str">
        <f>IFERROR(__xludf.DUMMYFUNCTION("""COMPUTED_VALUE"""),"هیئت")</f>
        <v>هیئت</v>
      </c>
      <c r="C4734" s="5" t="str">
        <f>IFERROR(__xludf.DUMMYFUNCTION("""COMPUTED_VALUE"""),"منتظران ظهور")</f>
        <v>منتظران ظهور</v>
      </c>
      <c r="D4734" s="5" t="str">
        <f>IFERROR(__xludf.DUMMYFUNCTION("""COMPUTED_VALUE"""),"البرز")</f>
        <v>البرز</v>
      </c>
      <c r="E4734" s="5" t="str">
        <f>IFERROR(__xludf.DUMMYFUNCTION("""COMPUTED_VALUE"""),"کرج")</f>
        <v>کرج</v>
      </c>
      <c r="F4734" s="5"/>
      <c r="G4734" s="5"/>
      <c r="H4734" s="6" t="str">
        <f>IFERROR(__xludf.DUMMYFUNCTION("""COMPUTED_VALUE"""),"https://www.instagram.com/majmae_montazeran313/")</f>
        <v>https://www.instagram.com/majmae_montazeran313/</v>
      </c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</row>
    <row r="4735">
      <c r="A4735" s="5">
        <f>IFERROR(__xludf.DUMMYFUNCTION("""COMPUTED_VALUE"""),2510.0)</f>
        <v>2510</v>
      </c>
      <c r="B4735" s="5" t="str">
        <f>IFERROR(__xludf.DUMMYFUNCTION("""COMPUTED_VALUE"""),"هیئت")</f>
        <v>هیئت</v>
      </c>
      <c r="C4735" s="5" t="str">
        <f>IFERROR(__xludf.DUMMYFUNCTION("""COMPUTED_VALUE"""),"مکتب الزهرا (س)")</f>
        <v>مکتب الزهرا (س)</v>
      </c>
      <c r="D4735" s="5" t="str">
        <f>IFERROR(__xludf.DUMMYFUNCTION("""COMPUTED_VALUE"""),"البرز")</f>
        <v>البرز</v>
      </c>
      <c r="E4735" s="5" t="str">
        <f>IFERROR(__xludf.DUMMYFUNCTION("""COMPUTED_VALUE"""),"فردیس")</f>
        <v>فردیس</v>
      </c>
      <c r="F4735" s="5" t="str">
        <f>IFERROR(__xludf.DUMMYFUNCTION("""COMPUTED_VALUE"""),"فردیس")</f>
        <v>فردیس</v>
      </c>
      <c r="G4735" s="5"/>
      <c r="H4735" s="6" t="str">
        <f>IFERROR(__xludf.DUMMYFUNCTION("""COMPUTED_VALUE"""),"https://www.instagram.com/maktab.zahra.fardis.fan/")</f>
        <v>https://www.instagram.com/maktab.zahra.fardis.fan/</v>
      </c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</row>
    <row r="4736">
      <c r="A4736" s="5">
        <f>IFERROR(__xludf.DUMMYFUNCTION("""COMPUTED_VALUE"""),32098.0)</f>
        <v>32098</v>
      </c>
      <c r="B4736" s="5" t="str">
        <f>IFERROR(__xludf.DUMMYFUNCTION("""COMPUTED_VALUE"""),"هیئت")</f>
        <v>هیئت</v>
      </c>
      <c r="C4736" s="5" t="str">
        <f>IFERROR(__xludf.DUMMYFUNCTION("""COMPUTED_VALUE"""),"مکتب الزهرا")</f>
        <v>مکتب الزهرا</v>
      </c>
      <c r="D4736" s="5" t="str">
        <f>IFERROR(__xludf.DUMMYFUNCTION("""COMPUTED_VALUE"""),"البرز")</f>
        <v>البرز</v>
      </c>
      <c r="E4736" s="5" t="str">
        <f>IFERROR(__xludf.DUMMYFUNCTION("""COMPUTED_VALUE"""),"کرج")</f>
        <v>کرج</v>
      </c>
      <c r="F4736" s="5" t="str">
        <f>IFERROR(__xludf.DUMMYFUNCTION("""COMPUTED_VALUE"""),"ماهدشت ")</f>
        <v>ماهدشت </v>
      </c>
      <c r="G4736" s="5"/>
      <c r="H4736" s="6" t="str">
        <f>IFERROR(__xludf.DUMMYFUNCTION("""COMPUTED_VALUE"""),"https://www.instagram.com/maktabol_zahra_karaj/")</f>
        <v>https://www.instagram.com/maktabol_zahra_karaj/</v>
      </c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</row>
    <row r="4737">
      <c r="A4737" s="5">
        <f>IFERROR(__xludf.DUMMYFUNCTION("""COMPUTED_VALUE"""),2475.0)</f>
        <v>2475</v>
      </c>
      <c r="B4737" s="5" t="str">
        <f>IFERROR(__xludf.DUMMYFUNCTION("""COMPUTED_VALUE"""),"هیئت")</f>
        <v>هیئت</v>
      </c>
      <c r="C4737" s="5" t="str">
        <f>IFERROR(__xludf.DUMMYFUNCTION("""COMPUTED_VALUE"""),"مکتب الصادق(ع)")</f>
        <v>مکتب الصادق(ع)</v>
      </c>
      <c r="D4737" s="5" t="str">
        <f>IFERROR(__xludf.DUMMYFUNCTION("""COMPUTED_VALUE"""),"البرز")</f>
        <v>البرز</v>
      </c>
      <c r="E4737" s="5" t="str">
        <f>IFERROR(__xludf.DUMMYFUNCTION("""COMPUTED_VALUE"""),"کرج")</f>
        <v>کرج</v>
      </c>
      <c r="F4737" s="5"/>
      <c r="G4737" s="5"/>
      <c r="H4737" s="6" t="str">
        <f>IFERROR(__xludf.DUMMYFUNCTION("""COMPUTED_VALUE"""),"https://www.instagram.com/maktabsadegh_karaj/")</f>
        <v>https://www.instagram.com/maktabsadegh_karaj/</v>
      </c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</row>
    <row r="4738">
      <c r="A4738" s="5">
        <f>IFERROR(__xludf.DUMMYFUNCTION("""COMPUTED_VALUE"""),2485.0)</f>
        <v>2485</v>
      </c>
      <c r="B4738" s="5" t="str">
        <f>IFERROR(__xludf.DUMMYFUNCTION("""COMPUTED_VALUE"""),"هیئت")</f>
        <v>هیئت</v>
      </c>
      <c r="C4738" s="5" t="str">
        <f>IFERROR(__xludf.DUMMYFUNCTION("""COMPUTED_VALUE"""),"مسجد علی بن ابیطالب(ع)")</f>
        <v>مسجد علی بن ابیطالب(ع)</v>
      </c>
      <c r="D4738" s="5" t="str">
        <f>IFERROR(__xludf.DUMMYFUNCTION("""COMPUTED_VALUE"""),"البرز")</f>
        <v>البرز</v>
      </c>
      <c r="E4738" s="5" t="str">
        <f>IFERROR(__xludf.DUMMYFUNCTION("""COMPUTED_VALUE"""),"مهستان (شهرجدیدهشتگرد)")</f>
        <v>مهستان (شهرجدیدهشتگرد)</v>
      </c>
      <c r="F4738" s="5"/>
      <c r="G4738" s="5"/>
      <c r="H4738" s="6" t="str">
        <f>IFERROR(__xludf.DUMMYFUNCTION("""COMPUTED_VALUE"""),"https://www.instagram.com/masjed__aliebnabitaleb")</f>
        <v>https://www.instagram.com/masjed__aliebnabitaleb</v>
      </c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</row>
    <row r="4739">
      <c r="A4739" s="5">
        <f>IFERROR(__xludf.DUMMYFUNCTION("""COMPUTED_VALUE"""),2208.0)</f>
        <v>2208</v>
      </c>
      <c r="B4739" s="5" t="str">
        <f>IFERROR(__xludf.DUMMYFUNCTION("""COMPUTED_VALUE"""),"هیئت")</f>
        <v>هیئت</v>
      </c>
      <c r="C4739" s="5" t="str">
        <f>IFERROR(__xludf.DUMMYFUNCTION("""COMPUTED_VALUE"""),"مسجد امام جعفرصادق(ع)")</f>
        <v>مسجد امام جعفرصادق(ع)</v>
      </c>
      <c r="D4739" s="5" t="str">
        <f>IFERROR(__xludf.DUMMYFUNCTION("""COMPUTED_VALUE"""),"البرز")</f>
        <v>البرز</v>
      </c>
      <c r="E4739" s="5" t="str">
        <f>IFERROR(__xludf.DUMMYFUNCTION("""COMPUTED_VALUE"""),"کرج")</f>
        <v>کرج</v>
      </c>
      <c r="F4739" s="5"/>
      <c r="G4739" s="5"/>
      <c r="H4739" s="6" t="str">
        <f>IFERROR(__xludf.DUMMYFUNCTION("""COMPUTED_VALUE"""),"https://www.instagram.com/masjed_imamjafarsadegh/")</f>
        <v>https://www.instagram.com/masjed_imamjafarsadegh/</v>
      </c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</row>
    <row r="4740">
      <c r="A4740" s="5">
        <f>IFERROR(__xludf.DUMMYFUNCTION("""COMPUTED_VALUE"""),31752.0)</f>
        <v>31752</v>
      </c>
      <c r="B4740" s="5" t="str">
        <f>IFERROR(__xludf.DUMMYFUNCTION("""COMPUTED_VALUE"""),"هیئت")</f>
        <v>هیئت</v>
      </c>
      <c r="C4740" s="5" t="str">
        <f>IFERROR(__xludf.DUMMYFUNCTION("""COMPUTED_VALUE"""),"مسجد جامع رجایی شهر")</f>
        <v>مسجد جامع رجایی شهر</v>
      </c>
      <c r="D4740" s="5" t="str">
        <f>IFERROR(__xludf.DUMMYFUNCTION("""COMPUTED_VALUE"""),"البرز")</f>
        <v>البرز</v>
      </c>
      <c r="E4740" s="5" t="str">
        <f>IFERROR(__xludf.DUMMYFUNCTION("""COMPUTED_VALUE"""),"کرج")</f>
        <v>کرج</v>
      </c>
      <c r="F4740" s="5" t="str">
        <f>IFERROR(__xludf.DUMMYFUNCTION("""COMPUTED_VALUE"""),"رجایی شهر")</f>
        <v>رجایی شهر</v>
      </c>
      <c r="G4740" s="5"/>
      <c r="H4740" s="6" t="str">
        <f>IFERROR(__xludf.DUMMYFUNCTION("""COMPUTED_VALUE"""),"https://www.instagram.com/masjed_jameraja")</f>
        <v>https://www.instagram.com/masjed_jameraja</v>
      </c>
      <c r="I4740" s="5"/>
      <c r="J4740" s="6" t="str">
        <f>IFERROR(__xludf.DUMMYFUNCTION("""COMPUTED_VALUE"""),"https://eitaa.com/masjed_jameraja")</f>
        <v>https://eitaa.com/masjed_jameraja</v>
      </c>
      <c r="K4740" s="5"/>
      <c r="L4740" s="5"/>
      <c r="M4740" s="5"/>
      <c r="N4740" s="5"/>
      <c r="O4740" s="5"/>
      <c r="P4740" s="5"/>
      <c r="Q4740" s="5"/>
      <c r="R4740" s="5"/>
      <c r="S4740" s="5"/>
    </row>
    <row r="4741">
      <c r="A4741" s="5">
        <f>IFERROR(__xludf.DUMMYFUNCTION("""COMPUTED_VALUE"""),18567.0)</f>
        <v>18567</v>
      </c>
      <c r="B4741" s="5" t="str">
        <f>IFERROR(__xludf.DUMMYFUNCTION("""COMPUTED_VALUE"""),"هیئت")</f>
        <v>هیئت</v>
      </c>
      <c r="C4741" s="5" t="str">
        <f>IFERROR(__xludf.DUMMYFUNCTION("""COMPUTED_VALUE"""),"مسجد موسی بن جعفر(ع)")</f>
        <v>مسجد موسی بن جعفر(ع)</v>
      </c>
      <c r="D4741" s="5" t="str">
        <f>IFERROR(__xludf.DUMMYFUNCTION("""COMPUTED_VALUE"""),"البرز")</f>
        <v>البرز</v>
      </c>
      <c r="E4741" s="5" t="str">
        <f>IFERROR(__xludf.DUMMYFUNCTION("""COMPUTED_VALUE"""),"کرج")</f>
        <v>کرج</v>
      </c>
      <c r="F4741" s="5"/>
      <c r="G4741" s="5"/>
      <c r="H4741" s="6" t="str">
        <f>IFERROR(__xludf.DUMMYFUNCTION("""COMPUTED_VALUE"""),"https://www.instagram.com/masjed_mousabne_jafar")</f>
        <v>https://www.instagram.com/masjed_mousabne_jafar</v>
      </c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</row>
    <row r="4742">
      <c r="A4742" s="5">
        <f>IFERROR(__xludf.DUMMYFUNCTION("""COMPUTED_VALUE"""),2345.0)</f>
        <v>2345</v>
      </c>
      <c r="B4742" s="5" t="str">
        <f>IFERROR(__xludf.DUMMYFUNCTION("""COMPUTED_VALUE"""),"هیئت")</f>
        <v>هیئت</v>
      </c>
      <c r="C4742" s="5" t="str">
        <f>IFERROR(__xludf.DUMMYFUNCTION("""COMPUTED_VALUE"""),"مسجد حضرت ابوالفضل(ع)")</f>
        <v>مسجد حضرت ابوالفضل(ع)</v>
      </c>
      <c r="D4742" s="5" t="str">
        <f>IFERROR(__xludf.DUMMYFUNCTION("""COMPUTED_VALUE"""),"البرز")</f>
        <v>البرز</v>
      </c>
      <c r="E4742" s="5" t="str">
        <f>IFERROR(__xludf.DUMMYFUNCTION("""COMPUTED_VALUE"""),"کرج")</f>
        <v>کرج</v>
      </c>
      <c r="F4742" s="5" t="str">
        <f>IFERROR(__xludf.DUMMYFUNCTION("""COMPUTED_VALUE"""),"محمدشهر")</f>
        <v>محمدشهر</v>
      </c>
      <c r="G4742" s="5"/>
      <c r="H4742" s="6" t="str">
        <f>IFERROR(__xludf.DUMMYFUNCTION("""COMPUTED_VALUE"""),"https://www.instagram.com/masjed.abolfazl.karaj/")</f>
        <v>https://www.instagram.com/masjed.abolfazl.karaj/</v>
      </c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</row>
    <row r="4743">
      <c r="A4743" s="5">
        <f>IFERROR(__xludf.DUMMYFUNCTION("""COMPUTED_VALUE"""),2487.0)</f>
        <v>2487</v>
      </c>
      <c r="B4743" s="5" t="str">
        <f>IFERROR(__xludf.DUMMYFUNCTION("""COMPUTED_VALUE"""),"مسجد")</f>
        <v>مسجد</v>
      </c>
      <c r="C4743" s="5" t="str">
        <f>IFERROR(__xludf.DUMMYFUNCTION("""COMPUTED_VALUE"""),"مسجد جامع پیامبراعظم (ص)")</f>
        <v>مسجد جامع پیامبراعظم (ص)</v>
      </c>
      <c r="D4743" s="5" t="str">
        <f>IFERROR(__xludf.DUMMYFUNCTION("""COMPUTED_VALUE"""),"البرز")</f>
        <v>البرز</v>
      </c>
      <c r="E4743" s="5" t="str">
        <f>IFERROR(__xludf.DUMMYFUNCTION("""COMPUTED_VALUE"""),"کرج")</f>
        <v>کرج</v>
      </c>
      <c r="F4743" s="5"/>
      <c r="G4743" s="5">
        <f>IFERROR(__xludf.DUMMYFUNCTION("""COMPUTED_VALUE"""),1.0)</f>
        <v>1</v>
      </c>
      <c r="H4743" s="6" t="str">
        <f>IFERROR(__xludf.DUMMYFUNCTION("""COMPUTED_VALUE"""),"https://www.instagram.com/masjedepayambar")</f>
        <v>https://www.instagram.com/masjedepayambar</v>
      </c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</row>
    <row r="4744">
      <c r="A4744" s="5">
        <f>IFERROR(__xludf.DUMMYFUNCTION("""COMPUTED_VALUE"""),2355.0)</f>
        <v>2355</v>
      </c>
      <c r="B4744" s="5" t="str">
        <f>IFERROR(__xludf.DUMMYFUNCTION("""COMPUTED_VALUE"""),"هیئت")</f>
        <v>هیئت</v>
      </c>
      <c r="C4744" s="5" t="str">
        <f>IFERROR(__xludf.DUMMYFUNCTION("""COMPUTED_VALUE"""),"جوانان زینبیه")</f>
        <v>جوانان زینبیه</v>
      </c>
      <c r="D4744" s="5" t="str">
        <f>IFERROR(__xludf.DUMMYFUNCTION("""COMPUTED_VALUE"""),"البرز")</f>
        <v>البرز</v>
      </c>
      <c r="E4744" s="5" t="str">
        <f>IFERROR(__xludf.DUMMYFUNCTION("""COMPUTED_VALUE"""),"کرج")</f>
        <v>کرج</v>
      </c>
      <c r="F4744" s="5" t="str">
        <f>IFERROR(__xludf.DUMMYFUNCTION("""COMPUTED_VALUE"""),"نظرآباد")</f>
        <v>نظرآباد</v>
      </c>
      <c r="G4744" s="5"/>
      <c r="H4744" s="6" t="str">
        <f>IFERROR(__xludf.DUMMYFUNCTION("""COMPUTED_VALUE"""),"https://www.instagram.com/masjedezeynabiyeh")</f>
        <v>https://www.instagram.com/masjedezeynabiyeh</v>
      </c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</row>
    <row r="4745">
      <c r="A4745" s="5">
        <f>IFERROR(__xludf.DUMMYFUNCTION("""COMPUTED_VALUE"""),19884.0)</f>
        <v>19884</v>
      </c>
      <c r="B4745" s="5" t="str">
        <f>IFERROR(__xludf.DUMMYFUNCTION("""COMPUTED_VALUE"""),"هیئت")</f>
        <v>هیئت</v>
      </c>
      <c r="C4745" s="5" t="str">
        <f>IFERROR(__xludf.DUMMYFUNCTION("""COMPUTED_VALUE"""),"منهاج المهدی (عج)")</f>
        <v>منهاج المهدی (عج)</v>
      </c>
      <c r="D4745" s="5" t="str">
        <f>IFERROR(__xludf.DUMMYFUNCTION("""COMPUTED_VALUE"""),"البرز")</f>
        <v>البرز</v>
      </c>
      <c r="E4745" s="5" t="str">
        <f>IFERROR(__xludf.DUMMYFUNCTION("""COMPUTED_VALUE"""),"کرج")</f>
        <v>کرج</v>
      </c>
      <c r="F4745" s="5"/>
      <c r="G4745" s="5"/>
      <c r="H4745" s="6" t="str">
        <f>IFERROR(__xludf.DUMMYFUNCTION("""COMPUTED_VALUE"""),"https://www.instagram.com/menhajalmahdi/")</f>
        <v>https://www.instagram.com/menhajalmahdi/</v>
      </c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</row>
    <row r="4746">
      <c r="A4746" s="5">
        <f>IFERROR(__xludf.DUMMYFUNCTION("""COMPUTED_VALUE"""),2444.0)</f>
        <v>2444</v>
      </c>
      <c r="B4746" s="5" t="str">
        <f>IFERROR(__xludf.DUMMYFUNCTION("""COMPUTED_VALUE"""),"هیئت")</f>
        <v>هیئت</v>
      </c>
      <c r="C4746" s="5" t="str">
        <f>IFERROR(__xludf.DUMMYFUNCTION("""COMPUTED_VALUE"""),"انصارالرضا (ع)")</f>
        <v>انصارالرضا (ع)</v>
      </c>
      <c r="D4746" s="5" t="str">
        <f>IFERROR(__xludf.DUMMYFUNCTION("""COMPUTED_VALUE"""),"البرز")</f>
        <v>البرز</v>
      </c>
      <c r="E4746" s="5" t="str">
        <f>IFERROR(__xludf.DUMMYFUNCTION("""COMPUTED_VALUE"""),"کرج")</f>
        <v>کرج</v>
      </c>
      <c r="F4746" s="5"/>
      <c r="G4746" s="5"/>
      <c r="H4746" s="6" t="str">
        <f>IFERROR(__xludf.DUMMYFUNCTION("""COMPUTED_VALUE"""),"https://www.instagram.com/mohammad_mahdi_malakzadeh/")</f>
        <v>https://www.instagram.com/mohammad_mahdi_malakzadeh/</v>
      </c>
      <c r="I4746" s="6" t="str">
        <f>IFERROR(__xludf.DUMMYFUNCTION("""COMPUTED_VALUE"""),"t.me/sajjadieh_1380")</f>
        <v>t.me/sajjadieh_1380</v>
      </c>
      <c r="J4746" s="5"/>
      <c r="K4746" s="5"/>
      <c r="L4746" s="5"/>
      <c r="M4746" s="5"/>
      <c r="N4746" s="5"/>
      <c r="O4746" s="5"/>
      <c r="P4746" s="5"/>
      <c r="Q4746" s="5"/>
      <c r="R4746" s="5"/>
      <c r="S4746" s="5"/>
    </row>
    <row r="4747">
      <c r="A4747" s="5">
        <f>IFERROR(__xludf.DUMMYFUNCTION("""COMPUTED_VALUE"""),2476.0)</f>
        <v>2476</v>
      </c>
      <c r="B4747" s="5" t="str">
        <f>IFERROR(__xludf.DUMMYFUNCTION("""COMPUTED_VALUE"""),"هیئت")</f>
        <v>هیئت</v>
      </c>
      <c r="C4747" s="5" t="str">
        <f>IFERROR(__xludf.DUMMYFUNCTION("""COMPUTED_VALUE"""),"محبان حضرت جوادالائمه(ع)")</f>
        <v>محبان حضرت جوادالائمه(ع)</v>
      </c>
      <c r="D4747" s="5" t="str">
        <f>IFERROR(__xludf.DUMMYFUNCTION("""COMPUTED_VALUE"""),"البرز")</f>
        <v>البرز</v>
      </c>
      <c r="E4747" s="5" t="str">
        <f>IFERROR(__xludf.DUMMYFUNCTION("""COMPUTED_VALUE"""),"کرج")</f>
        <v>کرج</v>
      </c>
      <c r="F4747" s="5" t="str">
        <f>IFERROR(__xludf.DUMMYFUNCTION("""COMPUTED_VALUE"""),"مسجد جامع کرج ")</f>
        <v>مسجد جامع کرج </v>
      </c>
      <c r="G4747" s="5"/>
      <c r="H4747" s="6" t="str">
        <f>IFERROR(__xludf.DUMMYFUNCTION("""COMPUTED_VALUE"""),"https://www.instagram.com/moheban_javadolaeme/")</f>
        <v>https://www.instagram.com/moheban_javadolaeme/</v>
      </c>
      <c r="I4747" s="5"/>
      <c r="J4747" s="6" t="str">
        <f>IFERROR(__xludf.DUMMYFUNCTION("""COMPUTED_VALUE"""),"https://www.instagram.com/moheban_javadolaeme/")</f>
        <v>https://www.instagram.com/moheban_javadolaeme/</v>
      </c>
      <c r="K4747" s="5"/>
      <c r="L4747" s="5"/>
      <c r="M4747" s="5"/>
      <c r="N4747" s="5"/>
      <c r="O4747" s="5"/>
      <c r="P4747" s="5"/>
      <c r="Q4747" s="5"/>
      <c r="R4747" s="5"/>
      <c r="S4747" s="5"/>
    </row>
    <row r="4748">
      <c r="A4748" s="5">
        <f>IFERROR(__xludf.DUMMYFUNCTION("""COMPUTED_VALUE"""),21071.0)</f>
        <v>21071</v>
      </c>
      <c r="B4748" s="5" t="str">
        <f>IFERROR(__xludf.DUMMYFUNCTION("""COMPUTED_VALUE"""),"هیئت")</f>
        <v>هیئت</v>
      </c>
      <c r="C4748" s="5" t="str">
        <f>IFERROR(__xludf.DUMMYFUNCTION("""COMPUTED_VALUE"""),"محبان الشهدا")</f>
        <v>محبان الشهدا</v>
      </c>
      <c r="D4748" s="5" t="str">
        <f>IFERROR(__xludf.DUMMYFUNCTION("""COMPUTED_VALUE"""),"البرز")</f>
        <v>البرز</v>
      </c>
      <c r="E4748" s="5" t="str">
        <f>IFERROR(__xludf.DUMMYFUNCTION("""COMPUTED_VALUE"""),"کرج")</f>
        <v>کرج</v>
      </c>
      <c r="F4748" s="5"/>
      <c r="G4748" s="5"/>
      <c r="H4748" s="6" t="str">
        <f>IFERROR(__xludf.DUMMYFUNCTION("""COMPUTED_VALUE"""),"https://www.instagram.com/moheban_shohada2")</f>
        <v>https://www.instagram.com/moheban_shohada2</v>
      </c>
      <c r="I4748" s="6" t="str">
        <f>IFERROR(__xludf.DUMMYFUNCTION("""COMPUTED_VALUE"""),"https://t.me/moheban_shohada2")</f>
        <v>https://t.me/moheban_shohada2</v>
      </c>
      <c r="J4748" s="5"/>
      <c r="K4748" s="5"/>
      <c r="L4748" s="5"/>
      <c r="M4748" s="5"/>
      <c r="N4748" s="5"/>
      <c r="O4748" s="5"/>
      <c r="P4748" s="5"/>
      <c r="Q4748" s="5"/>
      <c r="R4748" s="5"/>
      <c r="S4748" s="5"/>
    </row>
    <row r="4749">
      <c r="A4749" s="5">
        <f>IFERROR(__xludf.DUMMYFUNCTION("""COMPUTED_VALUE"""),17890.0)</f>
        <v>17890</v>
      </c>
      <c r="B4749" s="5" t="str">
        <f>IFERROR(__xludf.DUMMYFUNCTION("""COMPUTED_VALUE"""),"هیئت")</f>
        <v>هیئت</v>
      </c>
      <c r="C4749" s="5" t="str">
        <f>IFERROR(__xludf.DUMMYFUNCTION("""COMPUTED_VALUE"""),"محبان المهدی(عج)")</f>
        <v>محبان المهدی(عج)</v>
      </c>
      <c r="D4749" s="5" t="str">
        <f>IFERROR(__xludf.DUMMYFUNCTION("""COMPUTED_VALUE"""),"البرز")</f>
        <v>البرز</v>
      </c>
      <c r="E4749" s="5" t="str">
        <f>IFERROR(__xludf.DUMMYFUNCTION("""COMPUTED_VALUE"""),"کوهسار")</f>
        <v>کوهسار</v>
      </c>
      <c r="F4749" s="5"/>
      <c r="G4749" s="5"/>
      <c r="H4749" s="6" t="str">
        <f>IFERROR(__xludf.DUMMYFUNCTION("""COMPUTED_VALUE"""),"https://www.instagram.com/moheban.mahdi.heyat")</f>
        <v>https://www.instagram.com/moheban.mahdi.heyat</v>
      </c>
      <c r="I4749" s="5"/>
      <c r="J4749" s="6" t="str">
        <f>IFERROR(__xludf.DUMMYFUNCTION("""COMPUTED_VALUE"""),"https://eitaa.com/heyat_moheban_mahdi")</f>
        <v>https://eitaa.com/heyat_moheban_mahdi</v>
      </c>
      <c r="K4749" s="5"/>
      <c r="L4749" s="5"/>
      <c r="M4749" s="5"/>
      <c r="N4749" s="5"/>
      <c r="O4749" s="5"/>
      <c r="P4749" s="5"/>
      <c r="Q4749" s="5"/>
      <c r="R4749" s="5"/>
      <c r="S4749" s="5"/>
    </row>
    <row r="4750">
      <c r="A4750" s="5">
        <f>IFERROR(__xludf.DUMMYFUNCTION("""COMPUTED_VALUE"""),21801.0)</f>
        <v>21801</v>
      </c>
      <c r="B4750" s="5" t="str">
        <f>IFERROR(__xludf.DUMMYFUNCTION("""COMPUTED_VALUE"""),"هیئت")</f>
        <v>هیئت</v>
      </c>
      <c r="C4750" s="5" t="str">
        <f>IFERROR(__xludf.DUMMYFUNCTION("""COMPUTED_VALUE"""),"محبان حضرت اباالفضل (ع)")</f>
        <v>محبان حضرت اباالفضل (ع)</v>
      </c>
      <c r="D4750" s="5" t="str">
        <f>IFERROR(__xludf.DUMMYFUNCTION("""COMPUTED_VALUE"""),"البرز")</f>
        <v>البرز</v>
      </c>
      <c r="E4750" s="5" t="str">
        <f>IFERROR(__xludf.DUMMYFUNCTION("""COMPUTED_VALUE"""),"کرج")</f>
        <v>کرج</v>
      </c>
      <c r="F4750" s="5"/>
      <c r="G4750" s="5"/>
      <c r="H4750" s="6" t="str">
        <f>IFERROR(__xludf.DUMMYFUNCTION("""COMPUTED_VALUE"""),"https://www.instagram.com/mohebanabalfazl_video")</f>
        <v>https://www.instagram.com/mohebanabalfazl_video</v>
      </c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</row>
    <row r="4751">
      <c r="A4751" s="5">
        <f>IFERROR(__xludf.DUMMYFUNCTION("""COMPUTED_VALUE"""),2422.0)</f>
        <v>2422</v>
      </c>
      <c r="B4751" s="5" t="str">
        <f>IFERROR(__xludf.DUMMYFUNCTION("""COMPUTED_VALUE"""),"هیئت")</f>
        <v>هیئت</v>
      </c>
      <c r="C4751" s="5" t="str">
        <f>IFERROR(__xludf.DUMMYFUNCTION("""COMPUTED_VALUE"""),"محبان اباالفضل (ع)‌")</f>
        <v>محبان اباالفضل (ع)‌</v>
      </c>
      <c r="D4751" s="5" t="str">
        <f>IFERROR(__xludf.DUMMYFUNCTION("""COMPUTED_VALUE"""),"البرز")</f>
        <v>البرز</v>
      </c>
      <c r="E4751" s="5" t="str">
        <f>IFERROR(__xludf.DUMMYFUNCTION("""COMPUTED_VALUE"""),"کرج")</f>
        <v>کرج</v>
      </c>
      <c r="F4751" s="5"/>
      <c r="G4751" s="5"/>
      <c r="H4751" s="6" t="str">
        <f>IFERROR(__xludf.DUMMYFUNCTION("""COMPUTED_VALUE"""),"https://www.instagram.com/mohebanabalfazl/")</f>
        <v>https://www.instagram.com/mohebanabalfazl/</v>
      </c>
      <c r="I4751" s="6" t="str">
        <f>IFERROR(__xludf.DUMMYFUNCTION("""COMPUTED_VALUE"""),"https://t.me/Mohebaneabalfazl133")</f>
        <v>https://t.me/Mohebaneabalfazl133</v>
      </c>
      <c r="J4751" s="5"/>
      <c r="K4751" s="5"/>
      <c r="L4751" s="5"/>
      <c r="M4751" s="5"/>
      <c r="N4751" s="5"/>
      <c r="O4751" s="5"/>
      <c r="P4751" s="5"/>
      <c r="Q4751" s="5"/>
      <c r="R4751" s="5"/>
      <c r="S4751" s="5"/>
    </row>
    <row r="4752">
      <c r="A4752" s="5">
        <f>IFERROR(__xludf.DUMMYFUNCTION("""COMPUTED_VALUE"""),211816.0)</f>
        <v>211816</v>
      </c>
      <c r="B4752" s="5" t="str">
        <f>IFERROR(__xludf.DUMMYFUNCTION("""COMPUTED_VALUE"""),"هیئت")</f>
        <v>هیئت</v>
      </c>
      <c r="C4752" s="5" t="str">
        <f>IFERROR(__xludf.DUMMYFUNCTION("""COMPUTED_VALUE"""),"محبان المهدی (عج)")</f>
        <v>محبان المهدی (عج)</v>
      </c>
      <c r="D4752" s="5" t="str">
        <f>IFERROR(__xludf.DUMMYFUNCTION("""COMPUTED_VALUE"""),"البرز")</f>
        <v>البرز</v>
      </c>
      <c r="E4752" s="5" t="str">
        <f>IFERROR(__xludf.DUMMYFUNCTION("""COMPUTED_VALUE"""),"کرج")</f>
        <v>کرج</v>
      </c>
      <c r="F4752" s="5"/>
      <c r="G4752" s="5"/>
      <c r="H4752" s="6" t="str">
        <f>IFERROR(__xludf.DUMMYFUNCTION("""COMPUTED_VALUE"""),"https://www.instagram.com/mohebanalmahdii")</f>
        <v>https://www.instagram.com/mohebanalmahdii</v>
      </c>
      <c r="I4752" s="6" t="str">
        <f>IFERROR(__xludf.DUMMYFUNCTION("""COMPUTED_VALUE"""),"http://t.me/mohbanalmahdi")</f>
        <v>http://t.me/mohbanalmahdi</v>
      </c>
      <c r="J4752" s="6" t="str">
        <f>IFERROR(__xludf.DUMMYFUNCTION("""COMPUTED_VALUE"""),"https://eitaa.com/mohbanalmahdii")</f>
        <v>https://eitaa.com/mohbanalmahdii</v>
      </c>
      <c r="K4752" s="5"/>
      <c r="L4752" s="5"/>
      <c r="M4752" s="5"/>
      <c r="N4752" s="5"/>
      <c r="O4752" s="5"/>
      <c r="P4752" s="5"/>
      <c r="Q4752" s="5"/>
      <c r="R4752" s="5"/>
      <c r="S4752" s="5"/>
    </row>
    <row r="4753">
      <c r="A4753" s="5">
        <f>IFERROR(__xludf.DUMMYFUNCTION("""COMPUTED_VALUE"""),20268.0)</f>
        <v>20268</v>
      </c>
      <c r="B4753" s="5" t="str">
        <f>IFERROR(__xludf.DUMMYFUNCTION("""COMPUTED_VALUE"""),"هیئت")</f>
        <v>هیئت</v>
      </c>
      <c r="C4753" s="5" t="str">
        <f>IFERROR(__xludf.DUMMYFUNCTION("""COMPUTED_VALUE"""),"محبان الحسین (ع)")</f>
        <v>محبان الحسین (ع)</v>
      </c>
      <c r="D4753" s="5" t="str">
        <f>IFERROR(__xludf.DUMMYFUNCTION("""COMPUTED_VALUE"""),"البرز")</f>
        <v>البرز</v>
      </c>
      <c r="E4753" s="5" t="str">
        <f>IFERROR(__xludf.DUMMYFUNCTION("""COMPUTED_VALUE"""),"کرج")</f>
        <v>کرج</v>
      </c>
      <c r="F4753" s="5"/>
      <c r="G4753" s="5">
        <f>IFERROR(__xludf.DUMMYFUNCTION("""COMPUTED_VALUE"""),1.0)</f>
        <v>1</v>
      </c>
      <c r="H4753" s="6" t="str">
        <f>IFERROR(__xludf.DUMMYFUNCTION("""COMPUTED_VALUE"""),"https://www.instagram.com/mohebanolhossein.ir")</f>
        <v>https://www.instagram.com/mohebanolhossein.ir</v>
      </c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</row>
    <row r="4754">
      <c r="A4754" s="5">
        <f>IFERROR(__xludf.DUMMYFUNCTION("""COMPUTED_VALUE"""),20228.0)</f>
        <v>20228</v>
      </c>
      <c r="B4754" s="5" t="str">
        <f>IFERROR(__xludf.DUMMYFUNCTION("""COMPUTED_VALUE"""),"هیئت")</f>
        <v>هیئت</v>
      </c>
      <c r="C4754" s="5" t="str">
        <f>IFERROR(__xludf.DUMMYFUNCTION("""COMPUTED_VALUE"""),"محبان الائمه(ع)")</f>
        <v>محبان الائمه(ع)</v>
      </c>
      <c r="D4754" s="5" t="str">
        <f>IFERROR(__xludf.DUMMYFUNCTION("""COMPUTED_VALUE"""),"البرز")</f>
        <v>البرز</v>
      </c>
      <c r="E4754" s="5" t="str">
        <f>IFERROR(__xludf.DUMMYFUNCTION("""COMPUTED_VALUE"""),"کرج")</f>
        <v>کرج</v>
      </c>
      <c r="F4754" s="5"/>
      <c r="G4754" s="5"/>
      <c r="H4754" s="6" t="str">
        <f>IFERROR(__xludf.DUMMYFUNCTION("""COMPUTED_VALUE"""),"https://www.instagram.com/mohebbanolaemmeh_313")</f>
        <v>https://www.instagram.com/mohebbanolaemmeh_313</v>
      </c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</row>
    <row r="4755">
      <c r="A4755" s="5">
        <f>IFERROR(__xludf.DUMMYFUNCTION("""COMPUTED_VALUE"""),2508.0)</f>
        <v>2508</v>
      </c>
      <c r="B4755" s="5" t="str">
        <f>IFERROR(__xludf.DUMMYFUNCTION("""COMPUTED_VALUE"""),"هیئت")</f>
        <v>هیئت</v>
      </c>
      <c r="C4755" s="5" t="str">
        <f>IFERROR(__xludf.DUMMYFUNCTION("""COMPUTED_VALUE"""),"محبین اهل بیت(ع)")</f>
        <v>محبین اهل بیت(ع)</v>
      </c>
      <c r="D4755" s="5" t="str">
        <f>IFERROR(__xludf.DUMMYFUNCTION("""COMPUTED_VALUE"""),"البرز")</f>
        <v>البرز</v>
      </c>
      <c r="E4755" s="5" t="str">
        <f>IFERROR(__xludf.DUMMYFUNCTION("""COMPUTED_VALUE"""),"کرج")</f>
        <v>کرج</v>
      </c>
      <c r="F4755" s="5"/>
      <c r="G4755" s="5">
        <f>IFERROR(__xludf.DUMMYFUNCTION("""COMPUTED_VALUE"""),1.0)</f>
        <v>1</v>
      </c>
      <c r="H4755" s="6" t="str">
        <f>IFERROR(__xludf.DUMMYFUNCTION("""COMPUTED_VALUE"""),"https://www.instagram.com/mohebin_ahle_beyt_")</f>
        <v>https://www.instagram.com/mohebin_ahle_beyt_</v>
      </c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</row>
    <row r="4756">
      <c r="A4756" s="5">
        <f>IFERROR(__xludf.DUMMYFUNCTION("""COMPUTED_VALUE"""),2142.0)</f>
        <v>2142</v>
      </c>
      <c r="B4756" s="5" t="str">
        <f>IFERROR(__xludf.DUMMYFUNCTION("""COMPUTED_VALUE"""),"هیئت")</f>
        <v>هیئت</v>
      </c>
      <c r="C4756" s="5" t="str">
        <f>IFERROR(__xludf.DUMMYFUNCTION("""COMPUTED_VALUE"""),"محبین الحسنین(ع) / امام الرئوف(ع)")</f>
        <v>محبین الحسنین(ع) / امام الرئوف(ع)</v>
      </c>
      <c r="D4756" s="5" t="str">
        <f>IFERROR(__xludf.DUMMYFUNCTION("""COMPUTED_VALUE"""),"البرز")</f>
        <v>البرز</v>
      </c>
      <c r="E4756" s="5" t="str">
        <f>IFERROR(__xludf.DUMMYFUNCTION("""COMPUTED_VALUE"""),"کرج")</f>
        <v>کرج</v>
      </c>
      <c r="F4756" s="5"/>
      <c r="G4756" s="5"/>
      <c r="H4756" s="6" t="str">
        <f>IFERROR(__xludf.DUMMYFUNCTION("""COMPUTED_VALUE"""),"https://www.instagram.com/mohebinolhasanein_karaj/")</f>
        <v>https://www.instagram.com/mohebinolhasanein_karaj/</v>
      </c>
      <c r="I4756" s="6" t="str">
        <f>IFERROR(__xludf.DUMMYFUNCTION("""COMPUTED_VALUE"""),"t.me/heiatmohebinolhasanein201")</f>
        <v>t.me/heiatmohebinolhasanein201</v>
      </c>
      <c r="J4756" s="5"/>
      <c r="K4756" s="5"/>
      <c r="L4756" s="5"/>
      <c r="M4756" s="5"/>
      <c r="N4756" s="5"/>
      <c r="O4756" s="5"/>
      <c r="P4756" s="5"/>
      <c r="Q4756" s="5"/>
      <c r="R4756" s="5"/>
      <c r="S4756" s="5"/>
    </row>
    <row r="4757">
      <c r="A4757" s="5">
        <f>IFERROR(__xludf.DUMMYFUNCTION("""COMPUTED_VALUE"""),18041.0)</f>
        <v>18041</v>
      </c>
      <c r="B4757" s="5" t="str">
        <f>IFERROR(__xludf.DUMMYFUNCTION("""COMPUTED_VALUE"""),"هیئت")</f>
        <v>هیئت</v>
      </c>
      <c r="C4757" s="5" t="str">
        <f>IFERROR(__xludf.DUMMYFUNCTION("""COMPUTED_VALUE"""),"محسنیه")</f>
        <v>محسنیه</v>
      </c>
      <c r="D4757" s="5" t="str">
        <f>IFERROR(__xludf.DUMMYFUNCTION("""COMPUTED_VALUE"""),"البرز")</f>
        <v>البرز</v>
      </c>
      <c r="E4757" s="5" t="str">
        <f>IFERROR(__xludf.DUMMYFUNCTION("""COMPUTED_VALUE"""),"کرج")</f>
        <v>کرج</v>
      </c>
      <c r="F4757" s="5"/>
      <c r="G4757" s="5"/>
      <c r="H4757" s="6" t="str">
        <f>IFERROR(__xludf.DUMMYFUNCTION("""COMPUTED_VALUE"""),"https://www.instagram.com/mohseniekaraj/")</f>
        <v>https://www.instagram.com/mohseniekaraj/</v>
      </c>
      <c r="I4757" s="6" t="str">
        <f>IFERROR(__xludf.DUMMYFUNCTION("""COMPUTED_VALUE"""),"t.me/MohsenieKaraj")</f>
        <v>t.me/MohsenieKaraj</v>
      </c>
      <c r="J4757" s="5"/>
      <c r="K4757" s="5"/>
      <c r="L4757" s="5"/>
      <c r="M4757" s="5"/>
      <c r="N4757" s="5"/>
      <c r="O4757" s="5"/>
      <c r="P4757" s="5"/>
      <c r="Q4757" s="5"/>
      <c r="R4757" s="5"/>
      <c r="S4757" s="5"/>
    </row>
    <row r="4758">
      <c r="A4758" s="5">
        <f>IFERROR(__xludf.DUMMYFUNCTION("""COMPUTED_VALUE"""),2445.0)</f>
        <v>2445</v>
      </c>
      <c r="B4758" s="5" t="str">
        <f>IFERROR(__xludf.DUMMYFUNCTION("""COMPUTED_VALUE"""),"هیئت")</f>
        <v>هیئت</v>
      </c>
      <c r="C4758" s="5" t="str">
        <f>IFERROR(__xludf.DUMMYFUNCTION("""COMPUTED_VALUE"""),"منتقم الزهرا(عج)")</f>
        <v>منتقم الزهرا(عج)</v>
      </c>
      <c r="D4758" s="5" t="str">
        <f>IFERROR(__xludf.DUMMYFUNCTION("""COMPUTED_VALUE"""),"البرز")</f>
        <v>البرز</v>
      </c>
      <c r="E4758" s="5" t="str">
        <f>IFERROR(__xludf.DUMMYFUNCTION("""COMPUTED_VALUE"""),"کرج")</f>
        <v>کرج</v>
      </c>
      <c r="F4758" s="5"/>
      <c r="G4758" s="5"/>
      <c r="H4758" s="6" t="str">
        <f>IFERROR(__xludf.DUMMYFUNCTION("""COMPUTED_VALUE"""),"https://www.instagram.com/montaghemozahra313/")</f>
        <v>https://www.instagram.com/montaghemozahra313/</v>
      </c>
      <c r="I4758" s="6" t="str">
        <f>IFERROR(__xludf.DUMMYFUNCTION("""COMPUTED_VALUE"""),"https://t.me/Montaghem135")</f>
        <v>https://t.me/Montaghem135</v>
      </c>
      <c r="J4758" s="5"/>
      <c r="K4758" s="5"/>
      <c r="L4758" s="5"/>
      <c r="M4758" s="5"/>
      <c r="N4758" s="5"/>
      <c r="O4758" s="5"/>
      <c r="P4758" s="5"/>
      <c r="Q4758" s="5"/>
      <c r="R4758" s="5"/>
      <c r="S4758" s="5"/>
    </row>
    <row r="4759">
      <c r="A4759" s="5">
        <f>IFERROR(__xludf.DUMMYFUNCTION("""COMPUTED_VALUE"""),2242.0)</f>
        <v>2242</v>
      </c>
      <c r="B4759" s="5" t="str">
        <f>IFERROR(__xludf.DUMMYFUNCTION("""COMPUTED_VALUE"""),"هیئت")</f>
        <v>هیئت</v>
      </c>
      <c r="C4759" s="5" t="str">
        <f>IFERROR(__xludf.DUMMYFUNCTION("""COMPUTED_VALUE"""),"منتظران فرج")</f>
        <v>منتظران فرج</v>
      </c>
      <c r="D4759" s="5" t="str">
        <f>IFERROR(__xludf.DUMMYFUNCTION("""COMPUTED_VALUE"""),"البرز")</f>
        <v>البرز</v>
      </c>
      <c r="E4759" s="5" t="str">
        <f>IFERROR(__xludf.DUMMYFUNCTION("""COMPUTED_VALUE"""),"کرج")</f>
        <v>کرج</v>
      </c>
      <c r="F4759" s="5"/>
      <c r="G4759" s="5"/>
      <c r="H4759" s="6" t="str">
        <f>IFERROR(__xludf.DUMMYFUNCTION("""COMPUTED_VALUE"""),"https://www.instagram.com/montazeran_faraj110/")</f>
        <v>https://www.instagram.com/montazeran_faraj110/</v>
      </c>
      <c r="I4759" s="6" t="str">
        <f>IFERROR(__xludf.DUMMYFUNCTION("""COMPUTED_VALUE"""),"https://l.instagram.com/?u=http%3A%2F%2Ft.me%2Fmontazeranfaraj110%3Futm_source%3Dig%26utm_medium%3Dsocial%26utm_content%3Dlink_in_bio%26fbclid%3DPAZXh0bgNhZW0CMTEAc3J0YwZhcHBfaWQMMjU2MjgxMDQwNTU4AAGnaCcsfAo5lrg23xomRjkL1AeOSxq-R7uPqQ4Bzm1XItTsfnqbbCYzFMyv"&amp;"ii0_aem_KjU4MszVSb12TJF9jHqnOA&amp;e=AT20lYT6TxiyFZeAMej8Cfa7M6eb8YeavZ8ROovjQKCR9Sh2pbG3Pc_rEPOlSSJulAoFM7xNkxYAZ5ll3xKnaEX5HGmEGjq5rXeaAQHYpg")</f>
        <v>https://l.instagram.com/?u=http%3A%2F%2Ft.me%2Fmontazeranfaraj110%3Futm_source%3Dig%26utm_medium%3Dsocial%26utm_content%3Dlink_in_bio%26fbclid%3DPAZXh0bgNhZW0CMTEAc3J0YwZhcHBfaWQMMjU2MjgxMDQwNTU4AAGnaCcsfAo5lrg23xomRjkL1AeOSxq-R7uPqQ4Bzm1XItTsfnqbbCYzFMyvii0_aem_KjU4MszVSb12TJF9jHqnOA&amp;e=AT20lYT6TxiyFZeAMej8Cfa7M6eb8YeavZ8ROovjQKCR9Sh2pbG3Pc_rEPOlSSJulAoFM7xNkxYAZ5ll3xKnaEX5HGmEGjq5rXeaAQHYpg</v>
      </c>
      <c r="J4759" s="5"/>
      <c r="K4759" s="5"/>
      <c r="L4759" s="5"/>
      <c r="M4759" s="5"/>
      <c r="N4759" s="5"/>
      <c r="O4759" s="5"/>
      <c r="P4759" s="5"/>
      <c r="Q4759" s="5"/>
      <c r="R4759" s="5"/>
      <c r="S4759" s="5"/>
    </row>
    <row r="4760">
      <c r="A4760" s="5">
        <f>IFERROR(__xludf.DUMMYFUNCTION("""COMPUTED_VALUE"""),20226.0)</f>
        <v>20226</v>
      </c>
      <c r="B4760" s="5" t="str">
        <f>IFERROR(__xludf.DUMMYFUNCTION("""COMPUTED_VALUE"""),"هیئت")</f>
        <v>هیئت</v>
      </c>
      <c r="C4760" s="5" t="str">
        <f>IFERROR(__xludf.DUMMYFUNCTION("""COMPUTED_VALUE"""),"منتظران مهدی (ع)")</f>
        <v>منتظران مهدی (ع)</v>
      </c>
      <c r="D4760" s="5" t="str">
        <f>IFERROR(__xludf.DUMMYFUNCTION("""COMPUTED_VALUE"""),"البرز")</f>
        <v>البرز</v>
      </c>
      <c r="E4760" s="5" t="str">
        <f>IFERROR(__xludf.DUMMYFUNCTION("""COMPUTED_VALUE"""),"کرج")</f>
        <v>کرج</v>
      </c>
      <c r="F4760" s="5"/>
      <c r="G4760" s="5">
        <f>IFERROR(__xludf.DUMMYFUNCTION("""COMPUTED_VALUE"""),1.0)</f>
        <v>1</v>
      </c>
      <c r="H4760" s="6" t="str">
        <f>IFERROR(__xludf.DUMMYFUNCTION("""COMPUTED_VALUE"""),"https://www.instagram.com/montazeran_maahdi313")</f>
        <v>https://www.instagram.com/montazeran_maahdi313</v>
      </c>
      <c r="I4760" s="6" t="str">
        <f>IFERROR(__xludf.DUMMYFUNCTION("""COMPUTED_VALUE"""),"https://t.me/montazeranmaahdii313")</f>
        <v>https://t.me/montazeranmaahdii313</v>
      </c>
      <c r="J4760" s="5"/>
      <c r="K4760" s="5"/>
      <c r="L4760" s="5"/>
      <c r="M4760" s="5"/>
      <c r="N4760" s="5"/>
      <c r="O4760" s="5"/>
      <c r="P4760" s="5"/>
      <c r="Q4760" s="5"/>
      <c r="R4760" s="5"/>
      <c r="S4760" s="5"/>
    </row>
    <row r="4761">
      <c r="A4761" s="5">
        <f>IFERROR(__xludf.DUMMYFUNCTION("""COMPUTED_VALUE"""),2277.0)</f>
        <v>2277</v>
      </c>
      <c r="B4761" s="5" t="str">
        <f>IFERROR(__xludf.DUMMYFUNCTION("""COMPUTED_VALUE"""),"هیئت")</f>
        <v>هیئت</v>
      </c>
      <c r="C4761" s="5" t="str">
        <f>IFERROR(__xludf.DUMMYFUNCTION("""COMPUTED_VALUE"""),"منتظران مهدی موعود(عج)")</f>
        <v>منتظران مهدی موعود(عج)</v>
      </c>
      <c r="D4761" s="5" t="str">
        <f>IFERROR(__xludf.DUMMYFUNCTION("""COMPUTED_VALUE"""),"البرز")</f>
        <v>البرز</v>
      </c>
      <c r="E4761" s="5" t="str">
        <f>IFERROR(__xludf.DUMMYFUNCTION("""COMPUTED_VALUE"""),"کرج")</f>
        <v>کرج</v>
      </c>
      <c r="F4761" s="5"/>
      <c r="G4761" s="5"/>
      <c r="H4761" s="6" t="str">
        <f>IFERROR(__xludf.DUMMYFUNCTION("""COMPUTED_VALUE"""),"https://www.instagram.com/montazeran.87/")</f>
        <v>https://www.instagram.com/montazeran.87/</v>
      </c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</row>
    <row r="4762">
      <c r="A4762" s="5">
        <f>IFERROR(__xludf.DUMMYFUNCTION("""COMPUTED_VALUE"""),19023.0)</f>
        <v>19023</v>
      </c>
      <c r="B4762" s="5" t="str">
        <f>IFERROR(__xludf.DUMMYFUNCTION("""COMPUTED_VALUE"""),"هیئت")</f>
        <v>هیئت</v>
      </c>
      <c r="C4762" s="5" t="str">
        <f>IFERROR(__xludf.DUMMYFUNCTION("""COMPUTED_VALUE"""),"منتظران مهدی(عج) (رزمندگان اسلام)")</f>
        <v>منتظران مهدی(عج) (رزمندگان اسلام)</v>
      </c>
      <c r="D4762" s="5" t="str">
        <f>IFERROR(__xludf.DUMMYFUNCTION("""COMPUTED_VALUE"""),"البرز")</f>
        <v>البرز</v>
      </c>
      <c r="E4762" s="5" t="str">
        <f>IFERROR(__xludf.DUMMYFUNCTION("""COMPUTED_VALUE"""),"مشکین دشت")</f>
        <v>مشکین دشت</v>
      </c>
      <c r="F4762" s="5"/>
      <c r="G4762" s="5"/>
      <c r="H4762" s="6" t="str">
        <f>IFERROR(__xludf.DUMMYFUNCTION("""COMPUTED_VALUE"""),"https://www.instagram.com/Montazerane_karaj")</f>
        <v>https://www.instagram.com/Montazerane_karaj</v>
      </c>
      <c r="I4762" s="6" t="str">
        <f>IFERROR(__xludf.DUMMYFUNCTION("""COMPUTED_VALUE"""),"t.me/montazerane_karaj")</f>
        <v>t.me/montazerane_karaj</v>
      </c>
      <c r="J4762" s="6" t="str">
        <f>IFERROR(__xludf.DUMMYFUNCTION("""COMPUTED_VALUE"""),"https://eitaa.com/montazerane_karaj")</f>
        <v>https://eitaa.com/montazerane_karaj</v>
      </c>
      <c r="K4762" s="5"/>
      <c r="L4762" s="5"/>
      <c r="M4762" s="5"/>
      <c r="N4762" s="5"/>
      <c r="O4762" s="5"/>
      <c r="P4762" s="5"/>
      <c r="Q4762" s="5"/>
      <c r="R4762" s="5"/>
      <c r="S4762" s="5"/>
    </row>
    <row r="4763">
      <c r="A4763" s="5">
        <f>IFERROR(__xludf.DUMMYFUNCTION("""COMPUTED_VALUE"""),2224.0)</f>
        <v>2224</v>
      </c>
      <c r="B4763" s="5" t="str">
        <f>IFERROR(__xludf.DUMMYFUNCTION("""COMPUTED_VALUE"""),"هیئت")</f>
        <v>هیئت</v>
      </c>
      <c r="C4763" s="5" t="str">
        <f>IFERROR(__xludf.DUMMYFUNCTION("""COMPUTED_VALUE"""),"منتظران موعود(عج)")</f>
        <v>منتظران موعود(عج)</v>
      </c>
      <c r="D4763" s="5" t="str">
        <f>IFERROR(__xludf.DUMMYFUNCTION("""COMPUTED_VALUE"""),"البرز")</f>
        <v>البرز</v>
      </c>
      <c r="E4763" s="5" t="str">
        <f>IFERROR(__xludf.DUMMYFUNCTION("""COMPUTED_VALUE"""),"کرج")</f>
        <v>کرج</v>
      </c>
      <c r="F4763" s="5"/>
      <c r="G4763" s="5"/>
      <c r="H4763" s="6" t="str">
        <f>IFERROR(__xludf.DUMMYFUNCTION("""COMPUTED_VALUE"""),"https://www.instagram.com/montazeranmouod128/")</f>
        <v>https://www.instagram.com/montazeranmouod128/</v>
      </c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</row>
    <row r="4764">
      <c r="A4764" s="5">
        <f>IFERROR(__xludf.DUMMYFUNCTION("""COMPUTED_VALUE"""),2212.0)</f>
        <v>2212</v>
      </c>
      <c r="B4764" s="5" t="str">
        <f>IFERROR(__xludf.DUMMYFUNCTION("""COMPUTED_VALUE"""),"هیئت")</f>
        <v>هیئت</v>
      </c>
      <c r="C4764" s="5" t="str">
        <f>IFERROR(__xludf.DUMMYFUNCTION("""COMPUTED_VALUE"""),"باب الحوائج(ع)")</f>
        <v>باب الحوائج(ع)</v>
      </c>
      <c r="D4764" s="5" t="str">
        <f>IFERROR(__xludf.DUMMYFUNCTION("""COMPUTED_VALUE"""),"البرز")</f>
        <v>البرز</v>
      </c>
      <c r="E4764" s="5" t="str">
        <f>IFERROR(__xludf.DUMMYFUNCTION("""COMPUTED_VALUE"""),"کرج")</f>
        <v>کرج</v>
      </c>
      <c r="F4764" s="5"/>
      <c r="G4764" s="5"/>
      <c r="H4764" s="6" t="str">
        <f>IFERROR(__xludf.DUMMYFUNCTION("""COMPUTED_VALUE"""),"https://www.instagram.com/moraghebine2/")</f>
        <v>https://www.instagram.com/moraghebine2/</v>
      </c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</row>
    <row r="4765">
      <c r="A4765" s="5">
        <f>IFERROR(__xludf.DUMMYFUNCTION("""COMPUTED_VALUE"""),2240.0)</f>
        <v>2240</v>
      </c>
      <c r="B4765" s="5" t="str">
        <f>IFERROR(__xludf.DUMMYFUNCTION("""COMPUTED_VALUE"""),"هیئت")</f>
        <v>هیئت</v>
      </c>
      <c r="C4765" s="5" t="str">
        <f>IFERROR(__xludf.DUMMYFUNCTION("""COMPUTED_VALUE"""),"مصلی")</f>
        <v>مصلی</v>
      </c>
      <c r="D4765" s="5" t="str">
        <f>IFERROR(__xludf.DUMMYFUNCTION("""COMPUTED_VALUE"""),"البرز")</f>
        <v>البرز</v>
      </c>
      <c r="E4765" s="5" t="str">
        <f>IFERROR(__xludf.DUMMYFUNCTION("""COMPUTED_VALUE"""),"کرج")</f>
        <v>کرج</v>
      </c>
      <c r="F4765" s="5"/>
      <c r="G4765" s="5"/>
      <c r="H4765" s="6" t="str">
        <f>IFERROR(__xludf.DUMMYFUNCTION("""COMPUTED_VALUE"""),"https://www.instagram.com/mosalla.karaj/")</f>
        <v>https://www.instagram.com/mosalla.karaj/</v>
      </c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</row>
    <row r="4766">
      <c r="A4766" s="5">
        <f>IFERROR(__xludf.DUMMYFUNCTION("""COMPUTED_VALUE"""),2222.0)</f>
        <v>2222</v>
      </c>
      <c r="B4766" s="5" t="str">
        <f>IFERROR(__xludf.DUMMYFUNCTION("""COMPUTED_VALUE"""),"هیئت")</f>
        <v>هیئت</v>
      </c>
      <c r="C4766" s="5" t="str">
        <f>IFERROR(__xludf.DUMMYFUNCTION("""COMPUTED_VALUE"""),"گروه فرهنگی هنری مسجد امام حسین(ع)")</f>
        <v>گروه فرهنگی هنری مسجد امام حسین(ع)</v>
      </c>
      <c r="D4766" s="5" t="str">
        <f>IFERROR(__xludf.DUMMYFUNCTION("""COMPUTED_VALUE"""),"البرز")</f>
        <v>البرز</v>
      </c>
      <c r="E4766" s="5" t="str">
        <f>IFERROR(__xludf.DUMMYFUNCTION("""COMPUTED_VALUE"""),"کرج")</f>
        <v>کرج</v>
      </c>
      <c r="F4766" s="5"/>
      <c r="G4766" s="5"/>
      <c r="H4766" s="6" t="str">
        <f>IFERROR(__xludf.DUMMYFUNCTION("""COMPUTED_VALUE"""),"https://www.instagram.com/mosque_imam_hossein/")</f>
        <v>https://www.instagram.com/mosque_imam_hossein/</v>
      </c>
      <c r="I4766" s="6" t="str">
        <f>IFERROR(__xludf.DUMMYFUNCTION("""COMPUTED_VALUE"""),"https://t.me/mosque_imam_hossein")</f>
        <v>https://t.me/mosque_imam_hossein</v>
      </c>
      <c r="J4766" s="5"/>
      <c r="K4766" s="5"/>
      <c r="L4766" s="5"/>
      <c r="M4766" s="5"/>
      <c r="N4766" s="5"/>
      <c r="O4766" s="5"/>
      <c r="P4766" s="5"/>
      <c r="Q4766" s="5"/>
      <c r="R4766" s="5"/>
      <c r="S4766" s="5"/>
    </row>
    <row r="4767">
      <c r="A4767" s="5">
        <f>IFERROR(__xludf.DUMMYFUNCTION("""COMPUTED_VALUE"""),24806.0)</f>
        <v>24806</v>
      </c>
      <c r="B4767" s="5" t="str">
        <f>IFERROR(__xludf.DUMMYFUNCTION("""COMPUTED_VALUE"""),"هیئت")</f>
        <v>هیئت</v>
      </c>
      <c r="C4767" s="5" t="str">
        <f>IFERROR(__xludf.DUMMYFUNCTION("""COMPUTED_VALUE"""),"متوسلین به حضرت زهرا(س)")</f>
        <v>متوسلین به حضرت زهرا(س)</v>
      </c>
      <c r="D4767" s="5" t="str">
        <f>IFERROR(__xludf.DUMMYFUNCTION("""COMPUTED_VALUE"""),"البرز")</f>
        <v>البرز</v>
      </c>
      <c r="E4767" s="5" t="str">
        <f>IFERROR(__xludf.DUMMYFUNCTION("""COMPUTED_VALUE"""),"کرج")</f>
        <v>کرج</v>
      </c>
      <c r="F4767" s="5"/>
      <c r="G4767" s="5"/>
      <c r="H4767" s="6" t="str">
        <f>IFERROR(__xludf.DUMMYFUNCTION("""COMPUTED_VALUE"""),"https://www.instagram.com/motevaselin213/")</f>
        <v>https://www.instagram.com/motevaselin213/</v>
      </c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</row>
    <row r="4768">
      <c r="A4768" s="5">
        <f>IFERROR(__xludf.DUMMYFUNCTION("""COMPUTED_VALUE"""),21798.0)</f>
        <v>21798</v>
      </c>
      <c r="B4768" s="5" t="str">
        <f>IFERROR(__xludf.DUMMYFUNCTION("""COMPUTED_VALUE"""),"گروه موزیک")</f>
        <v>گروه موزیک</v>
      </c>
      <c r="C4768" s="5" t="str">
        <f>IFERROR(__xludf.DUMMYFUNCTION("""COMPUTED_VALUE"""),"شاهزاده علی اصغر(ع)")</f>
        <v>شاهزاده علی اصغر(ع)</v>
      </c>
      <c r="D4768" s="5" t="str">
        <f>IFERROR(__xludf.DUMMYFUNCTION("""COMPUTED_VALUE"""),"البرز")</f>
        <v>البرز</v>
      </c>
      <c r="E4768" s="5" t="str">
        <f>IFERROR(__xludf.DUMMYFUNCTION("""COMPUTED_VALUE"""),"کرج")</f>
        <v>کرج</v>
      </c>
      <c r="F4768" s="5"/>
      <c r="G4768" s="5"/>
      <c r="H4768" s="6" t="str">
        <f>IFERROR(__xludf.DUMMYFUNCTION("""COMPUTED_VALUE"""),"https://www.instagram.com/music_shahzade_aliasqar/")</f>
        <v>https://www.instagram.com/music_shahzade_aliasqar/</v>
      </c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</row>
    <row r="4769">
      <c r="A4769" s="5">
        <f>IFERROR(__xludf.DUMMYFUNCTION("""COMPUTED_VALUE"""),2500.0)</f>
        <v>2500</v>
      </c>
      <c r="B4769" s="5" t="str">
        <f>IFERROR(__xludf.DUMMYFUNCTION("""COMPUTED_VALUE"""),"هیئت")</f>
        <v>هیئت</v>
      </c>
      <c r="C4769" s="5" t="str">
        <f>IFERROR(__xludf.DUMMYFUNCTION("""COMPUTED_VALUE"""),"کبوتران حرم رضوی")</f>
        <v>کبوتران حرم رضوی</v>
      </c>
      <c r="D4769" s="5" t="str">
        <f>IFERROR(__xludf.DUMMYFUNCTION("""COMPUTED_VALUE"""),"البرز")</f>
        <v>البرز</v>
      </c>
      <c r="E4769" s="5" t="str">
        <f>IFERROR(__xludf.DUMMYFUNCTION("""COMPUTED_VALUE"""),"کرج")</f>
        <v>کرج</v>
      </c>
      <c r="F4769" s="5"/>
      <c r="G4769" s="5"/>
      <c r="H4769" s="6" t="str">
        <f>IFERROR(__xludf.DUMMYFUNCTION("""COMPUTED_VALUE"""),"https://www.instagram.com/navayekabootar/")</f>
        <v>https://www.instagram.com/navayekabootar/</v>
      </c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</row>
    <row r="4770">
      <c r="A4770" s="5">
        <f>IFERROR(__xludf.DUMMYFUNCTION("""COMPUTED_VALUE"""),24809.0)</f>
        <v>24809</v>
      </c>
      <c r="B4770" s="5" t="str">
        <f>IFERROR(__xludf.DUMMYFUNCTION("""COMPUTED_VALUE"""),"هیئت")</f>
        <v>هیئت</v>
      </c>
      <c r="C4770" s="5" t="str">
        <f>IFERROR(__xludf.DUMMYFUNCTION("""COMPUTED_VALUE"""),"کانون فرهنگی تبلیغی نورالهدی")</f>
        <v>کانون فرهنگی تبلیغی نورالهدی</v>
      </c>
      <c r="D4770" s="5" t="str">
        <f>IFERROR(__xludf.DUMMYFUNCTION("""COMPUTED_VALUE"""),"البرز")</f>
        <v>البرز</v>
      </c>
      <c r="E4770" s="5" t="str">
        <f>IFERROR(__xludf.DUMMYFUNCTION("""COMPUTED_VALUE"""),"کرج")</f>
        <v>کرج</v>
      </c>
      <c r="F4770" s="5"/>
      <c r="G4770" s="5"/>
      <c r="H4770" s="6" t="str">
        <f>IFERROR(__xludf.DUMMYFUNCTION("""COMPUTED_VALUE"""),"https://www.instagram.com/nooralhoda_8/")</f>
        <v>https://www.instagram.com/nooralhoda_8/</v>
      </c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</row>
    <row r="4771">
      <c r="A4771" s="5">
        <f>IFERROR(__xludf.DUMMYFUNCTION("""COMPUTED_VALUE"""),2154.0)</f>
        <v>2154</v>
      </c>
      <c r="B4771" s="5" t="str">
        <f>IFERROR(__xludf.DUMMYFUNCTION("""COMPUTED_VALUE"""),"هیئت")</f>
        <v>هیئت</v>
      </c>
      <c r="C4771" s="5" t="str">
        <f>IFERROR(__xludf.DUMMYFUNCTION("""COMPUTED_VALUE"""),"موسسه نور و معرفت")</f>
        <v>موسسه نور و معرفت</v>
      </c>
      <c r="D4771" s="5" t="str">
        <f>IFERROR(__xludf.DUMMYFUNCTION("""COMPUTED_VALUE"""),"البرز")</f>
        <v>البرز</v>
      </c>
      <c r="E4771" s="5" t="str">
        <f>IFERROR(__xludf.DUMMYFUNCTION("""COMPUTED_VALUE"""),"کرج")</f>
        <v>کرج</v>
      </c>
      <c r="F4771" s="5"/>
      <c r="G4771" s="5"/>
      <c r="H4771" s="6" t="str">
        <f>IFERROR(__xludf.DUMMYFUNCTION("""COMPUTED_VALUE"""),"https://www.instagram.com/noorvamarefat/")</f>
        <v>https://www.instagram.com/noorvamarefat/</v>
      </c>
      <c r="I4771" s="6" t="str">
        <f>IFERROR(__xludf.DUMMYFUNCTION("""COMPUTED_VALUE"""),"t.me/noorvamarefat")</f>
        <v>t.me/noorvamarefat</v>
      </c>
      <c r="J4771" s="5"/>
      <c r="K4771" s="5"/>
      <c r="L4771" s="5"/>
      <c r="M4771" s="5"/>
      <c r="N4771" s="5"/>
      <c r="O4771" s="5"/>
      <c r="P4771" s="5"/>
      <c r="Q4771" s="5"/>
      <c r="R4771" s="5"/>
      <c r="S4771" s="5"/>
    </row>
    <row r="4772">
      <c r="A4772" s="5">
        <f>IFERROR(__xludf.DUMMYFUNCTION("""COMPUTED_VALUE"""),20264.0)</f>
        <v>20264</v>
      </c>
      <c r="B4772" s="5" t="str">
        <f>IFERROR(__xludf.DUMMYFUNCTION("""COMPUTED_VALUE"""),"هیئت")</f>
        <v>هیئت</v>
      </c>
      <c r="C4772" s="5" t="str">
        <f>IFERROR(__xludf.DUMMYFUNCTION("""COMPUTED_VALUE"""),"رزمندگان")</f>
        <v>رزمندگان</v>
      </c>
      <c r="D4772" s="5" t="str">
        <f>IFERROR(__xludf.DUMMYFUNCTION("""COMPUTED_VALUE"""),"البرز")</f>
        <v>البرز</v>
      </c>
      <c r="E4772" s="5" t="str">
        <f>IFERROR(__xludf.DUMMYFUNCTION("""COMPUTED_VALUE"""),"کرج")</f>
        <v>کرج</v>
      </c>
      <c r="F4772" s="5"/>
      <c r="G4772" s="5"/>
      <c r="H4772" s="6" t="str">
        <f>IFERROR(__xludf.DUMMYFUNCTION("""COMPUTED_VALUE"""),"https://www.instagram.com/noroshohada")</f>
        <v>https://www.instagram.com/noroshohada</v>
      </c>
      <c r="I4772" s="5"/>
      <c r="J4772" s="6" t="str">
        <f>IFERROR(__xludf.DUMMYFUNCTION("""COMPUTED_VALUE"""),"https://eitaa.com/nouroshohada")</f>
        <v>https://eitaa.com/nouroshohada</v>
      </c>
      <c r="K4772" s="5"/>
      <c r="L4772" s="5"/>
      <c r="M4772" s="5"/>
      <c r="N4772" s="5"/>
      <c r="O4772" s="5"/>
      <c r="P4772" s="5"/>
      <c r="Q4772" s="5"/>
      <c r="R4772" s="5"/>
      <c r="S4772" s="5"/>
    </row>
    <row r="4773">
      <c r="A4773" s="5">
        <f>IFERROR(__xludf.DUMMYFUNCTION("""COMPUTED_VALUE"""),2275.0)</f>
        <v>2275</v>
      </c>
      <c r="B4773" s="5" t="str">
        <f>IFERROR(__xludf.DUMMYFUNCTION("""COMPUTED_VALUE"""),"هیئت")</f>
        <v>هیئت</v>
      </c>
      <c r="C4773" s="5" t="str">
        <f>IFERROR(__xludf.DUMMYFUNCTION("""COMPUTED_VALUE"""),"عشاق الرضا(ع)")</f>
        <v>عشاق الرضا(ع)</v>
      </c>
      <c r="D4773" s="5" t="str">
        <f>IFERROR(__xludf.DUMMYFUNCTION("""COMPUTED_VALUE"""),"البرز")</f>
        <v>البرز</v>
      </c>
      <c r="E4773" s="5" t="str">
        <f>IFERROR(__xludf.DUMMYFUNCTION("""COMPUTED_VALUE"""),"کرج")</f>
        <v>کرج</v>
      </c>
      <c r="F4773" s="5"/>
      <c r="G4773" s="5"/>
      <c r="H4773" s="6" t="str">
        <f>IFERROR(__xludf.DUMMYFUNCTION("""COMPUTED_VALUE"""),"https://www.instagram.com/oshagh.reza88/")</f>
        <v>https://www.instagram.com/oshagh.reza88/</v>
      </c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</row>
    <row r="4774">
      <c r="A4774" s="5">
        <f>IFERROR(__xludf.DUMMYFUNCTION("""COMPUTED_VALUE"""),23694.0)</f>
        <v>23694</v>
      </c>
      <c r="B4774" s="5" t="str">
        <f>IFERROR(__xludf.DUMMYFUNCTION("""COMPUTED_VALUE"""),"هیئت")</f>
        <v>هیئت</v>
      </c>
      <c r="C4774" s="5" t="str">
        <f>IFERROR(__xludf.DUMMYFUNCTION("""COMPUTED_VALUE"""),"عشاق الحسین(ع)")</f>
        <v>عشاق الحسین(ع)</v>
      </c>
      <c r="D4774" s="5" t="str">
        <f>IFERROR(__xludf.DUMMYFUNCTION("""COMPUTED_VALUE"""),"البرز")</f>
        <v>البرز</v>
      </c>
      <c r="E4774" s="5" t="str">
        <f>IFERROR(__xludf.DUMMYFUNCTION("""COMPUTED_VALUE"""),"کرج")</f>
        <v>کرج</v>
      </c>
      <c r="F4774" s="5"/>
      <c r="G4774" s="5"/>
      <c r="H4774" s="6" t="str">
        <f>IFERROR(__xludf.DUMMYFUNCTION("""COMPUTED_VALUE"""),"https://www.instagram.com/oshagholhosayn/")</f>
        <v>https://www.instagram.com/oshagholhosayn/</v>
      </c>
      <c r="I4774" s="6" t="str">
        <f>IFERROR(__xludf.DUMMYFUNCTION("""COMPUTED_VALUE"""),"https://t.me/heyat_oshagh")</f>
        <v>https://t.me/heyat_oshagh</v>
      </c>
      <c r="J4774" s="5"/>
      <c r="K4774" s="5"/>
      <c r="L4774" s="5"/>
      <c r="M4774" s="5"/>
      <c r="N4774" s="5"/>
      <c r="O4774" s="5"/>
      <c r="P4774" s="5"/>
      <c r="Q4774" s="5"/>
      <c r="R4774" s="5"/>
      <c r="S4774" s="5"/>
    </row>
    <row r="4775">
      <c r="A4775" s="5">
        <f>IFERROR(__xludf.DUMMYFUNCTION("""COMPUTED_VALUE"""),2220.0)</f>
        <v>2220</v>
      </c>
      <c r="B4775" s="5" t="str">
        <f>IFERROR(__xludf.DUMMYFUNCTION("""COMPUTED_VALUE"""),"هیئت")</f>
        <v>هیئت</v>
      </c>
      <c r="C4775" s="5" t="str">
        <f>IFERROR(__xludf.DUMMYFUNCTION("""COMPUTED_VALUE"""),"رهروان شهداء")</f>
        <v>رهروان شهداء</v>
      </c>
      <c r="D4775" s="5" t="str">
        <f>IFERROR(__xludf.DUMMYFUNCTION("""COMPUTED_VALUE"""),"البرز")</f>
        <v>البرز</v>
      </c>
      <c r="E4775" s="5" t="str">
        <f>IFERROR(__xludf.DUMMYFUNCTION("""COMPUTED_VALUE"""),"کرج")</f>
        <v>کرج</v>
      </c>
      <c r="F4775" s="5"/>
      <c r="G4775" s="5"/>
      <c r="H4775" s="6" t="str">
        <f>IFERROR(__xludf.DUMMYFUNCTION("""COMPUTED_VALUE"""),"https://www.instagram.com/rahrovaneshohada_karaj/")</f>
        <v>https://www.instagram.com/rahrovaneshohada_karaj/</v>
      </c>
      <c r="I4775" s="5"/>
      <c r="J4775" s="6" t="str">
        <f>IFERROR(__xludf.DUMMYFUNCTION("""COMPUTED_VALUE"""),"https://eitaa.com/Rahrovaneshohada_karaj")</f>
        <v>https://eitaa.com/Rahrovaneshohada_karaj</v>
      </c>
      <c r="K4775" s="5"/>
      <c r="L4775" s="5"/>
      <c r="M4775" s="5"/>
      <c r="N4775" s="5"/>
      <c r="O4775" s="5"/>
      <c r="P4775" s="5"/>
      <c r="Q4775" s="5"/>
      <c r="R4775" s="5"/>
      <c r="S4775" s="5"/>
    </row>
    <row r="4776">
      <c r="A4776" s="5">
        <f>IFERROR(__xludf.DUMMYFUNCTION("""COMPUTED_VALUE"""),17939.0)</f>
        <v>17939</v>
      </c>
      <c r="B4776" s="5" t="str">
        <f>IFERROR(__xludf.DUMMYFUNCTION("""COMPUTED_VALUE"""),"هیئت")</f>
        <v>هیئت</v>
      </c>
      <c r="C4776" s="5" t="str">
        <f>IFERROR(__xludf.DUMMYFUNCTION("""COMPUTED_VALUE"""),"رزمندگان اسلام")</f>
        <v>رزمندگان اسلام</v>
      </c>
      <c r="D4776" s="5" t="str">
        <f>IFERROR(__xludf.DUMMYFUNCTION("""COMPUTED_VALUE"""),"البرز")</f>
        <v>البرز</v>
      </c>
      <c r="E4776" s="5" t="str">
        <f>IFERROR(__xludf.DUMMYFUNCTION("""COMPUTED_VALUE"""),"فردیس")</f>
        <v>فردیس</v>
      </c>
      <c r="F4776" s="5"/>
      <c r="G4776" s="5"/>
      <c r="H4776" s="6" t="str">
        <f>IFERROR(__xludf.DUMMYFUNCTION("""COMPUTED_VALUE"""),"https://www.instagram.com/razmandeganefardis/")</f>
        <v>https://www.instagram.com/razmandeganefardis/</v>
      </c>
      <c r="I4776" s="6" t="str">
        <f>IFERROR(__xludf.DUMMYFUNCTION("""COMPUTED_VALUE"""),"t.me/RazmandeganFardis")</f>
        <v>t.me/RazmandeganFardis</v>
      </c>
      <c r="J4776" s="5"/>
      <c r="K4776" s="5"/>
      <c r="L4776" s="5"/>
      <c r="M4776" s="5"/>
      <c r="N4776" s="5"/>
      <c r="O4776" s="5"/>
      <c r="P4776" s="5"/>
      <c r="Q4776" s="5"/>
      <c r="R4776" s="5"/>
      <c r="S4776" s="5"/>
    </row>
    <row r="4777">
      <c r="A4777" s="5">
        <f>IFERROR(__xludf.DUMMYFUNCTION("""COMPUTED_VALUE"""),24618.0)</f>
        <v>24618</v>
      </c>
      <c r="B4777" s="5" t="str">
        <f>IFERROR(__xludf.DUMMYFUNCTION("""COMPUTED_VALUE"""),"هیئت")</f>
        <v>هیئت</v>
      </c>
      <c r="C4777" s="5" t="str">
        <f>IFERROR(__xludf.DUMMYFUNCTION("""COMPUTED_VALUE"""),"موسسه فرهنگی هنري کاربردي خیبر")</f>
        <v>موسسه فرهنگی هنري کاربردي خیبر</v>
      </c>
      <c r="D4777" s="5" t="str">
        <f>IFERROR(__xludf.DUMMYFUNCTION("""COMPUTED_VALUE"""),"البرز")</f>
        <v>البرز</v>
      </c>
      <c r="E4777" s="5" t="str">
        <f>IFERROR(__xludf.DUMMYFUNCTION("""COMPUTED_VALUE"""),"کرج")</f>
        <v>کرج</v>
      </c>
      <c r="F4777" s="5"/>
      <c r="G4777" s="5"/>
      <c r="H4777" s="6" t="str">
        <f>IFERROR(__xludf.DUMMYFUNCTION("""COMPUTED_VALUE"""),"https://www.instagram.com/reihane_kheybar/")</f>
        <v>https://www.instagram.com/reihane_kheybar/</v>
      </c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</row>
    <row r="4778">
      <c r="A4778" s="5">
        <f>IFERROR(__xludf.DUMMYFUNCTION("""COMPUTED_VALUE"""),24596.0)</f>
        <v>24596</v>
      </c>
      <c r="B4778" s="5" t="str">
        <f>IFERROR(__xludf.DUMMYFUNCTION("""COMPUTED_VALUE"""),"هیئت")</f>
        <v>هیئت</v>
      </c>
      <c r="C4778" s="5" t="str">
        <f>IFERROR(__xludf.DUMMYFUNCTION("""COMPUTED_VALUE"""),"ریحانه الحسین(س)")</f>
        <v>ریحانه الحسین(س)</v>
      </c>
      <c r="D4778" s="5" t="str">
        <f>IFERROR(__xludf.DUMMYFUNCTION("""COMPUTED_VALUE"""),"البرز")</f>
        <v>البرز</v>
      </c>
      <c r="E4778" s="5" t="str">
        <f>IFERROR(__xludf.DUMMYFUNCTION("""COMPUTED_VALUE"""),"اشتهارد ")</f>
        <v>اشتهارد </v>
      </c>
      <c r="F4778" s="5"/>
      <c r="G4778" s="5"/>
      <c r="H4778" s="6" t="str">
        <f>IFERROR(__xludf.DUMMYFUNCTION("""COMPUTED_VALUE"""),"https://www.instagram.com/reyhanatolhossein_es")</f>
        <v>https://www.instagram.com/reyhanatolhossein_es</v>
      </c>
      <c r="I4778" s="6" t="str">
        <f>IFERROR(__xludf.DUMMYFUNCTION("""COMPUTED_VALUE"""),"https://t.me/reyhanatolhossein_esh")</f>
        <v>https://t.me/reyhanatolhossein_esh</v>
      </c>
      <c r="J4778" s="5"/>
      <c r="K4778" s="5"/>
      <c r="L4778" s="5"/>
      <c r="M4778" s="5"/>
      <c r="N4778" s="5"/>
      <c r="O4778" s="5"/>
      <c r="P4778" s="5"/>
      <c r="Q4778" s="5"/>
      <c r="R4778" s="5"/>
      <c r="S4778" s="5"/>
    </row>
    <row r="4779">
      <c r="A4779" s="5">
        <f>IFERROR(__xludf.DUMMYFUNCTION("""COMPUTED_VALUE"""),29708.0)</f>
        <v>29708</v>
      </c>
      <c r="B4779" s="5" t="str">
        <f>IFERROR(__xludf.DUMMYFUNCTION("""COMPUTED_VALUE"""),"هیئت")</f>
        <v>هیئت</v>
      </c>
      <c r="C4779" s="5" t="str">
        <f>IFERROR(__xludf.DUMMYFUNCTION("""COMPUTED_VALUE"""),"ريحانة النبي(سلام الله علیها)")</f>
        <v>ريحانة النبي(سلام الله علیها)</v>
      </c>
      <c r="D4779" s="5" t="str">
        <f>IFERROR(__xludf.DUMMYFUNCTION("""COMPUTED_VALUE"""),"البرز")</f>
        <v>البرز</v>
      </c>
      <c r="E4779" s="5" t="str">
        <f>IFERROR(__xludf.DUMMYFUNCTION("""COMPUTED_VALUE"""),"کرج ")</f>
        <v>کرج </v>
      </c>
      <c r="F4779" s="5"/>
      <c r="G4779" s="5"/>
      <c r="H4779" s="6" t="str">
        <f>IFERROR(__xludf.DUMMYFUNCTION("""COMPUTED_VALUE"""),"https://www.instagram.com/reyhanehat_alnabi_karaj/")</f>
        <v>https://www.instagram.com/reyhanehat_alnabi_karaj/</v>
      </c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</row>
    <row r="4780">
      <c r="A4780" s="5">
        <f>IFERROR(__xludf.DUMMYFUNCTION("""COMPUTED_VALUE"""),28084.0)</f>
        <v>28084</v>
      </c>
      <c r="B4780" s="5" t="str">
        <f>IFERROR(__xludf.DUMMYFUNCTION("""COMPUTED_VALUE"""),"هیئت")</f>
        <v>هیئت</v>
      </c>
      <c r="C4780" s="5" t="str">
        <f>IFERROR(__xludf.DUMMYFUNCTION("""COMPUTED_VALUE"""),"ریحانه النبی")</f>
        <v>ریحانه النبی</v>
      </c>
      <c r="D4780" s="5" t="str">
        <f>IFERROR(__xludf.DUMMYFUNCTION("""COMPUTED_VALUE"""),"البرز")</f>
        <v>البرز</v>
      </c>
      <c r="E4780" s="5" t="str">
        <f>IFERROR(__xludf.DUMMYFUNCTION("""COMPUTED_VALUE"""),"چهارباغ")</f>
        <v>چهارباغ</v>
      </c>
      <c r="F4780" s="5"/>
      <c r="G4780" s="5"/>
      <c r="H4780" s="6" t="str">
        <f>IFERROR(__xludf.DUMMYFUNCTION("""COMPUTED_VALUE"""),"https://www.instagram.com/reyhanenabi.ir1")</f>
        <v>https://www.instagram.com/reyhanenabi.ir1</v>
      </c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</row>
    <row r="4781">
      <c r="A4781" s="5">
        <f>IFERROR(__xludf.DUMMYFUNCTION("""COMPUTED_VALUE"""),21800.0)</f>
        <v>21800</v>
      </c>
      <c r="B4781" s="5" t="str">
        <f>IFERROR(__xludf.DUMMYFUNCTION("""COMPUTED_VALUE"""),"هیئت")</f>
        <v>هیئت</v>
      </c>
      <c r="C4781" s="5" t="str">
        <f>IFERROR(__xludf.DUMMYFUNCTION("""COMPUTED_VALUE"""),"روضه الارباب")</f>
        <v>روضه الارباب</v>
      </c>
      <c r="D4781" s="5" t="str">
        <f>IFERROR(__xludf.DUMMYFUNCTION("""COMPUTED_VALUE"""),"البرز")</f>
        <v>البرز</v>
      </c>
      <c r="E4781" s="5" t="str">
        <f>IFERROR(__xludf.DUMMYFUNCTION("""COMPUTED_VALUE"""),"کرج")</f>
        <v>کرج</v>
      </c>
      <c r="F4781" s="5"/>
      <c r="G4781" s="5"/>
      <c r="H4781" s="6" t="str">
        <f>IFERROR(__xludf.DUMMYFUNCTION("""COMPUTED_VALUE"""),"https://www.instagram.com/rozatolarbab110/")</f>
        <v>https://www.instagram.com/rozatolarbab110/</v>
      </c>
      <c r="I4781" s="6" t="str">
        <f>IFERROR(__xludf.DUMMYFUNCTION("""COMPUTED_VALUE"""),"https://t.me/rozatolarbab_karaj")</f>
        <v>https://t.me/rozatolarbab_karaj</v>
      </c>
      <c r="J4781" s="5"/>
      <c r="K4781" s="5"/>
      <c r="L4781" s="5"/>
      <c r="M4781" s="5"/>
      <c r="N4781" s="5"/>
      <c r="O4781" s="5"/>
      <c r="P4781" s="5"/>
      <c r="Q4781" s="5"/>
      <c r="R4781" s="5"/>
      <c r="S4781" s="5"/>
    </row>
    <row r="4782">
      <c r="A4782" s="5">
        <f>IFERROR(__xludf.DUMMYFUNCTION("""COMPUTED_VALUE"""),32347.0)</f>
        <v>32347</v>
      </c>
      <c r="B4782" s="5" t="str">
        <f>IFERROR(__xludf.DUMMYFUNCTION("""COMPUTED_VALUE"""),"هیئت")</f>
        <v>هیئت</v>
      </c>
      <c r="C4782" s="5" t="str">
        <f>IFERROR(__xludf.DUMMYFUNCTION("""COMPUTED_VALUE"""),"روضه الحسین (ع)")</f>
        <v>روضه الحسین (ع)</v>
      </c>
      <c r="D4782" s="5" t="str">
        <f>IFERROR(__xludf.DUMMYFUNCTION("""COMPUTED_VALUE"""),"البرز")</f>
        <v>البرز</v>
      </c>
      <c r="E4782" s="5" t="str">
        <f>IFERROR(__xludf.DUMMYFUNCTION("""COMPUTED_VALUE"""),"کرج")</f>
        <v>کرج</v>
      </c>
      <c r="F4782" s="5"/>
      <c r="G4782" s="5"/>
      <c r="H4782" s="6" t="str">
        <f>IFERROR(__xludf.DUMMYFUNCTION("""COMPUTED_VALUE"""),"https://www.instagram.com/rozatolhosein_karaj")</f>
        <v>https://www.instagram.com/rozatolhosein_karaj</v>
      </c>
      <c r="I4782" s="6" t="str">
        <f>IFERROR(__xludf.DUMMYFUNCTION("""COMPUTED_VALUE"""),"https://l.instagram.com/?u=https%3A%2F%2Ft.me%2Frozatolhosein_krj%3Futm_source%3Dig%26utm_medium%3Dsocial%26utm_content%3Dlink_in_bio%26fbclid%3DPAZXh0bgNhZW0CMTEAc3J0YwZhcHBfaWQMMjU2MjgxMDQwNTU4AAGnfleIUdbEqsMuuyv03BS-SqPZrPs-wzPQ8EYtlGQEmj5EZEp7eZRcZkxg"&amp;"hu0_aem_k67u_KZ-WzGv8-ZoTXWqUA&amp;e=AT0jKTT_oH90Off0bMa-VwG_P9DHB13xHvqCjCHKeHUIoclMEaDSoQ9seLwN5mxq1vYIhiaA-eVx4HxockHW_4bS2teCP8r9_JYBhVb8uQ")</f>
        <v>https://l.instagram.com/?u=https%3A%2F%2Ft.me%2Frozatolhosein_krj%3Futm_source%3Dig%26utm_medium%3Dsocial%26utm_content%3Dlink_in_bio%26fbclid%3DPAZXh0bgNhZW0CMTEAc3J0YwZhcHBfaWQMMjU2MjgxMDQwNTU4AAGnfleIUdbEqsMuuyv03BS-SqPZrPs-wzPQ8EYtlGQEmj5EZEp7eZRcZkxghu0_aem_k67u_KZ-WzGv8-ZoTXWqUA&amp;e=AT0jKTT_oH90Off0bMa-VwG_P9DHB13xHvqCjCHKeHUIoclMEaDSoQ9seLwN5mxq1vYIhiaA-eVx4HxockHW_4bS2teCP8r9_JYBhVb8uQ</v>
      </c>
      <c r="J4782" s="5"/>
      <c r="K4782" s="5"/>
      <c r="L4782" s="5"/>
      <c r="M4782" s="5"/>
      <c r="N4782" s="5"/>
      <c r="O4782" s="5"/>
      <c r="P4782" s="5"/>
      <c r="Q4782" s="5"/>
      <c r="R4782" s="5"/>
      <c r="S4782" s="5"/>
    </row>
    <row r="4783">
      <c r="A4783" s="5">
        <f>IFERROR(__xludf.DUMMYFUNCTION("""COMPUTED_VALUE"""),18847.0)</f>
        <v>18847</v>
      </c>
      <c r="B4783" s="5" t="str">
        <f>IFERROR(__xludf.DUMMYFUNCTION("""COMPUTED_VALUE"""),"مسجد")</f>
        <v>مسجد</v>
      </c>
      <c r="C4783" s="5" t="str">
        <f>IFERROR(__xludf.DUMMYFUNCTION("""COMPUTED_VALUE"""),"صاحب الزمان(عج)")</f>
        <v>صاحب الزمان(عج)</v>
      </c>
      <c r="D4783" s="5" t="str">
        <f>IFERROR(__xludf.DUMMYFUNCTION("""COMPUTED_VALUE"""),"البرز")</f>
        <v>البرز</v>
      </c>
      <c r="E4783" s="5" t="str">
        <f>IFERROR(__xludf.DUMMYFUNCTION("""COMPUTED_VALUE"""),"کرج")</f>
        <v>کرج</v>
      </c>
      <c r="F4783" s="5"/>
      <c r="G4783" s="5">
        <f>IFERROR(__xludf.DUMMYFUNCTION("""COMPUTED_VALUE"""),1.0)</f>
        <v>1</v>
      </c>
      <c r="H4783" s="6" t="str">
        <f>IFERROR(__xludf.DUMMYFUNCTION("""COMPUTED_VALUE"""),"https://www.instagram.com/sahebzaman_karaj")</f>
        <v>https://www.instagram.com/sahebzaman_karaj</v>
      </c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</row>
    <row r="4784">
      <c r="A4784" s="5">
        <f>IFERROR(__xludf.DUMMYFUNCTION("""COMPUTED_VALUE"""),2437.0)</f>
        <v>2437</v>
      </c>
      <c r="B4784" s="5" t="str">
        <f>IFERROR(__xludf.DUMMYFUNCTION("""COMPUTED_VALUE"""),"هیئت")</f>
        <v>هیئت</v>
      </c>
      <c r="C4784" s="5" t="str">
        <f>IFERROR(__xludf.DUMMYFUNCTION("""COMPUTED_VALUE"""),"موسسه قرآنی تسنیم")</f>
        <v>موسسه قرآنی تسنیم</v>
      </c>
      <c r="D4784" s="5" t="str">
        <f>IFERROR(__xludf.DUMMYFUNCTION("""COMPUTED_VALUE"""),"البرز")</f>
        <v>البرز</v>
      </c>
      <c r="E4784" s="5" t="str">
        <f>IFERROR(__xludf.DUMMYFUNCTION("""COMPUTED_VALUE"""),"کرج")</f>
        <v>کرج</v>
      </c>
      <c r="F4784" s="5"/>
      <c r="G4784" s="5"/>
      <c r="H4784" s="6" t="str">
        <f>IFERROR(__xludf.DUMMYFUNCTION("""COMPUTED_VALUE"""),"https://www.instagram.com/tasnimqoran")</f>
        <v>https://www.instagram.com/tasnimqoran</v>
      </c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</row>
    <row r="4785">
      <c r="A4785" s="5">
        <f>IFERROR(__xludf.DUMMYFUNCTION("""COMPUTED_VALUE"""),19282.0)</f>
        <v>19282</v>
      </c>
      <c r="B4785" s="5" t="str">
        <f>IFERROR(__xludf.DUMMYFUNCTION("""COMPUTED_VALUE"""),"هیئت")</f>
        <v>هیئت</v>
      </c>
      <c r="C4785" s="5" t="str">
        <f>IFERROR(__xludf.DUMMYFUNCTION("""COMPUTED_VALUE"""),"یازینب(س)")</f>
        <v>یازینب(س)</v>
      </c>
      <c r="D4785" s="5" t="str">
        <f>IFERROR(__xludf.DUMMYFUNCTION("""COMPUTED_VALUE"""),"البرز")</f>
        <v>البرز</v>
      </c>
      <c r="E4785" s="5" t="str">
        <f>IFERROR(__xludf.DUMMYFUNCTION("""COMPUTED_VALUE"""),"کرج")</f>
        <v>کرج</v>
      </c>
      <c r="F4785" s="5"/>
      <c r="G4785" s="5"/>
      <c r="H4785" s="6" t="str">
        <f>IFERROR(__xludf.DUMMYFUNCTION("""COMPUTED_VALUE"""),"https://www.instagram.com/ya.zeynab.karaj/")</f>
        <v>https://www.instagram.com/ya.zeynab.karaj/</v>
      </c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</row>
    <row r="4786">
      <c r="A4786" s="5">
        <f>IFERROR(__xludf.DUMMYFUNCTION("""COMPUTED_VALUE"""),18562.0)</f>
        <v>18562</v>
      </c>
      <c r="B4786" s="5" t="str">
        <f>IFERROR(__xludf.DUMMYFUNCTION("""COMPUTED_VALUE"""),"هیئت")</f>
        <v>هیئت</v>
      </c>
      <c r="C4786" s="5" t="str">
        <f>IFERROR(__xludf.DUMMYFUNCTION("""COMPUTED_VALUE"""),"زینبیون")</f>
        <v>زینبیون</v>
      </c>
      <c r="D4786" s="5" t="str">
        <f>IFERROR(__xludf.DUMMYFUNCTION("""COMPUTED_VALUE"""),"البرز")</f>
        <v>البرز</v>
      </c>
      <c r="E4786" s="5" t="str">
        <f>IFERROR(__xludf.DUMMYFUNCTION("""COMPUTED_VALUE"""),"کرج")</f>
        <v>کرج</v>
      </c>
      <c r="F4786" s="5"/>
      <c r="G4786" s="5"/>
      <c r="H4786" s="6" t="str">
        <f>IFERROR(__xludf.DUMMYFUNCTION("""COMPUTED_VALUE"""),"https://www.instagram.com/zeinabiyon_alborz")</f>
        <v>https://www.instagram.com/zeinabiyon_alborz</v>
      </c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</row>
    <row r="4787">
      <c r="A4787" s="5">
        <f>IFERROR(__xludf.DUMMYFUNCTION("""COMPUTED_VALUE"""),18563.0)</f>
        <v>18563</v>
      </c>
      <c r="B4787" s="5" t="str">
        <f>IFERROR(__xludf.DUMMYFUNCTION("""COMPUTED_VALUE"""),"هیئت")</f>
        <v>هیئت</v>
      </c>
      <c r="C4787" s="5" t="str">
        <f>IFERROR(__xludf.DUMMYFUNCTION("""COMPUTED_VALUE"""),"زینبیه حصارک")</f>
        <v>زینبیه حصارک</v>
      </c>
      <c r="D4787" s="5" t="str">
        <f>IFERROR(__xludf.DUMMYFUNCTION("""COMPUTED_VALUE"""),"البرز")</f>
        <v>البرز</v>
      </c>
      <c r="E4787" s="5" t="str">
        <f>IFERROR(__xludf.DUMMYFUNCTION("""COMPUTED_VALUE"""),"کرج")</f>
        <v>کرج</v>
      </c>
      <c r="F4787" s="5"/>
      <c r="G4787" s="5">
        <f>IFERROR(__xludf.DUMMYFUNCTION("""COMPUTED_VALUE"""),1.0)</f>
        <v>1</v>
      </c>
      <c r="H4787" s="6" t="str">
        <f>IFERROR(__xludf.DUMMYFUNCTION("""COMPUTED_VALUE"""),"https://www.instagram.com/zeynabieh_karaj")</f>
        <v>https://www.instagram.com/zeynabieh_karaj</v>
      </c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</row>
    <row r="4788">
      <c r="A4788" s="5">
        <f>IFERROR(__xludf.DUMMYFUNCTION("""COMPUTED_VALUE"""),30133.0)</f>
        <v>30133</v>
      </c>
      <c r="B4788" s="5" t="str">
        <f>IFERROR(__xludf.DUMMYFUNCTION("""COMPUTED_VALUE"""),"هیئت")</f>
        <v>هیئت</v>
      </c>
      <c r="C4788" s="5" t="str">
        <f>IFERROR(__xludf.DUMMYFUNCTION("""COMPUTED_VALUE"""),"مجتمع فرهنگی مذهبی زینبیه")</f>
        <v>مجتمع فرهنگی مذهبی زینبیه</v>
      </c>
      <c r="D4788" s="5" t="str">
        <f>IFERROR(__xludf.DUMMYFUNCTION("""COMPUTED_VALUE"""),"البرز")</f>
        <v>البرز</v>
      </c>
      <c r="E4788" s="5" t="str">
        <f>IFERROR(__xludf.DUMMYFUNCTION("""COMPUTED_VALUE"""),"کرج ")</f>
        <v>کرج </v>
      </c>
      <c r="F4788" s="5" t="str">
        <f>IFERROR(__xludf.DUMMYFUNCTION("""COMPUTED_VALUE"""),"گلشهر")</f>
        <v>گلشهر</v>
      </c>
      <c r="G4788" s="5"/>
      <c r="H4788" s="6" t="str">
        <f>IFERROR(__xludf.DUMMYFUNCTION("""COMPUTED_VALUE"""),"https://www.instagram.com/zeynabiyeh_golshahr_karaj")</f>
        <v>https://www.instagram.com/zeynabiyeh_golshahr_karaj</v>
      </c>
      <c r="I4788" s="5"/>
      <c r="J4788" s="6" t="str">
        <f>IFERROR(__xludf.DUMMYFUNCTION("""COMPUTED_VALUE"""),"https://eitaa.com/ZeynabiyehGolshahrKaraj")</f>
        <v>https://eitaa.com/ZeynabiyehGolshahrKaraj</v>
      </c>
      <c r="K4788" s="5"/>
      <c r="L4788" s="5"/>
      <c r="M4788" s="5"/>
      <c r="N4788" s="5"/>
      <c r="O4788" s="5"/>
      <c r="P4788" s="5"/>
      <c r="Q4788" s="5"/>
      <c r="R4788" s="5"/>
      <c r="S4788" s="5"/>
    </row>
    <row r="4789">
      <c r="A4789" s="5">
        <f>IFERROR(__xludf.DUMMYFUNCTION("""COMPUTED_VALUE"""),26829.0)</f>
        <v>26829</v>
      </c>
      <c r="B4789" s="5" t="str">
        <f>IFERROR(__xludf.DUMMYFUNCTION("""COMPUTED_VALUE"""),"هیئت")</f>
        <v>هیئت</v>
      </c>
      <c r="C4789" s="5" t="str">
        <f>IFERROR(__xludf.DUMMYFUNCTION("""COMPUTED_VALUE"""),"زوارالرضا (ع)")</f>
        <v>زوارالرضا (ع)</v>
      </c>
      <c r="D4789" s="5" t="str">
        <f>IFERROR(__xludf.DUMMYFUNCTION("""COMPUTED_VALUE"""),"البرز")</f>
        <v>البرز</v>
      </c>
      <c r="E4789" s="5" t="str">
        <f>IFERROR(__xludf.DUMMYFUNCTION("""COMPUTED_VALUE"""),"کرج")</f>
        <v>کرج</v>
      </c>
      <c r="F4789" s="5"/>
      <c r="G4789" s="5"/>
      <c r="H4789" s="6" t="str">
        <f>IFERROR(__xludf.DUMMYFUNCTION("""COMPUTED_VALUE"""),"https://www.instagram.com/zovaralreza_8/")</f>
        <v>https://www.instagram.com/zovaralreza_8/</v>
      </c>
      <c r="I4789" s="5"/>
      <c r="J4789" s="6" t="str">
        <f>IFERROR(__xludf.DUMMYFUNCTION("""COMPUTED_VALUE"""),"https://eitaa.com/zovaralreza8")</f>
        <v>https://eitaa.com/zovaralreza8</v>
      </c>
      <c r="K4789" s="5"/>
      <c r="L4789" s="5"/>
      <c r="M4789" s="5"/>
      <c r="N4789" s="5"/>
      <c r="O4789" s="5"/>
      <c r="P4789" s="5"/>
      <c r="Q4789" s="5"/>
      <c r="R4789" s="5"/>
      <c r="S4789" s="5"/>
    </row>
    <row r="4790">
      <c r="A4790" s="5">
        <f>IFERROR(__xludf.DUMMYFUNCTION("""COMPUTED_VALUE"""),26831.0)</f>
        <v>26831</v>
      </c>
      <c r="B4790" s="5" t="str">
        <f>IFERROR(__xludf.DUMMYFUNCTION("""COMPUTED_VALUE"""),"هیئت")</f>
        <v>هیئت</v>
      </c>
      <c r="C4790" s="5" t="str">
        <f>IFERROR(__xludf.DUMMYFUNCTION("""COMPUTED_VALUE"""),"ائمه اطهار (ع)")</f>
        <v>ائمه اطهار (ع)</v>
      </c>
      <c r="D4790" s="5" t="str">
        <f>IFERROR(__xludf.DUMMYFUNCTION("""COMPUTED_VALUE"""),"البرز")</f>
        <v>البرز</v>
      </c>
      <c r="E4790" s="5" t="str">
        <f>IFERROR(__xludf.DUMMYFUNCTION("""COMPUTED_VALUE"""),"چهارباغ")</f>
        <v>چهارباغ</v>
      </c>
      <c r="F4790" s="5"/>
      <c r="G4790" s="5"/>
      <c r="H4790" s="5"/>
      <c r="I4790" s="5"/>
      <c r="J4790" s="6" t="str">
        <f>IFERROR(__xludf.DUMMYFUNCTION("""COMPUTED_VALUE"""),"https://eitaa.com/aemeatthar")</f>
        <v>https://eitaa.com/aemeatthar</v>
      </c>
      <c r="K4790" s="5"/>
      <c r="L4790" s="5"/>
      <c r="M4790" s="5"/>
      <c r="N4790" s="5"/>
      <c r="O4790" s="5"/>
      <c r="P4790" s="5"/>
      <c r="Q4790" s="5"/>
      <c r="R4790" s="5"/>
      <c r="S4790" s="5"/>
    </row>
    <row r="4791">
      <c r="A4791" s="5">
        <f>IFERROR(__xludf.DUMMYFUNCTION("""COMPUTED_VALUE"""),2311.0)</f>
        <v>2311</v>
      </c>
      <c r="B4791" s="5" t="str">
        <f>IFERROR(__xludf.DUMMYFUNCTION("""COMPUTED_VALUE"""),"هیئت")</f>
        <v>هیئت</v>
      </c>
      <c r="C4791" s="5" t="str">
        <f>IFERROR(__xludf.DUMMYFUNCTION("""COMPUTED_VALUE"""),"ابناء الزهرا")</f>
        <v>ابناء الزهرا</v>
      </c>
      <c r="D4791" s="5" t="str">
        <f>IFERROR(__xludf.DUMMYFUNCTION("""COMPUTED_VALUE"""),"البرز")</f>
        <v>البرز</v>
      </c>
      <c r="E4791" s="5" t="str">
        <f>IFERROR(__xludf.DUMMYFUNCTION("""COMPUTED_VALUE"""),"کرج")</f>
        <v>کرج</v>
      </c>
      <c r="F4791" s="5" t="str">
        <f>IFERROR(__xludf.DUMMYFUNCTION("""COMPUTED_VALUE"""),"محمدشهر")</f>
        <v>محمدشهر</v>
      </c>
      <c r="G4791" s="5"/>
      <c r="H4791" s="5"/>
      <c r="I4791" s="5"/>
      <c r="J4791" s="6" t="str">
        <f>IFERROR(__xludf.DUMMYFUNCTION("""COMPUTED_VALUE"""),"https://eitaa.com/abna_lzahra")</f>
        <v>https://eitaa.com/abna_lzahra</v>
      </c>
      <c r="K4791" s="5"/>
      <c r="L4791" s="5"/>
      <c r="M4791" s="5"/>
      <c r="N4791" s="5"/>
      <c r="O4791" s="5"/>
      <c r="P4791" s="5"/>
      <c r="Q4791" s="5"/>
      <c r="R4791" s="5"/>
      <c r="S4791" s="5"/>
    </row>
    <row r="4792">
      <c r="A4792" s="5">
        <f>IFERROR(__xludf.DUMMYFUNCTION("""COMPUTED_VALUE"""),18049.0)</f>
        <v>18049</v>
      </c>
      <c r="B4792" s="5" t="str">
        <f>IFERROR(__xludf.DUMMYFUNCTION("""COMPUTED_VALUE"""),"هیئت")</f>
        <v>هیئت</v>
      </c>
      <c r="C4792" s="5" t="str">
        <f>IFERROR(__xludf.DUMMYFUNCTION("""COMPUTED_VALUE"""),"اصحاب الحسین (ع)")</f>
        <v>اصحاب الحسین (ع)</v>
      </c>
      <c r="D4792" s="5" t="str">
        <f>IFERROR(__xludf.DUMMYFUNCTION("""COMPUTED_VALUE"""),"البرز")</f>
        <v>البرز</v>
      </c>
      <c r="E4792" s="5" t="str">
        <f>IFERROR(__xludf.DUMMYFUNCTION("""COMPUTED_VALUE"""),"کرج")</f>
        <v>کرج</v>
      </c>
      <c r="F4792" s="5"/>
      <c r="G4792" s="5"/>
      <c r="H4792" s="5"/>
      <c r="I4792" s="5"/>
      <c r="J4792" s="6" t="str">
        <f>IFERROR(__xludf.DUMMYFUNCTION("""COMPUTED_VALUE"""),"https://eitaa.com/ashabolhousein")</f>
        <v>https://eitaa.com/ashabolhousein</v>
      </c>
      <c r="K4792" s="5"/>
      <c r="L4792" s="5"/>
      <c r="M4792" s="5"/>
      <c r="N4792" s="5"/>
      <c r="O4792" s="5"/>
      <c r="P4792" s="5"/>
      <c r="Q4792" s="5"/>
      <c r="R4792" s="5"/>
      <c r="S4792" s="5"/>
    </row>
    <row r="4793">
      <c r="A4793" s="5"/>
      <c r="B4793" s="5" t="str">
        <f>IFERROR(__xludf.DUMMYFUNCTION("""COMPUTED_VALUE"""),"حسینیه")</f>
        <v>حسینیه</v>
      </c>
      <c r="C4793" s="5" t="str">
        <f>IFERROR(__xludf.DUMMYFUNCTION("""COMPUTED_VALUE"""),"البرز")</f>
        <v>البرز</v>
      </c>
      <c r="D4793" s="5" t="str">
        <f>IFERROR(__xludf.DUMMYFUNCTION("""COMPUTED_VALUE"""),"البرز")</f>
        <v>البرز</v>
      </c>
      <c r="E4793" s="5" t="str">
        <f>IFERROR(__xludf.DUMMYFUNCTION("""COMPUTED_VALUE"""),"کرج")</f>
        <v>کرج</v>
      </c>
      <c r="F4793" s="5"/>
      <c r="G4793" s="5"/>
      <c r="H4793" s="5"/>
      <c r="I4793" s="5"/>
      <c r="J4793" s="6" t="str">
        <f>IFERROR(__xludf.DUMMYFUNCTION("""COMPUTED_VALUE"""),"https://eitaa.com/AlborzHussainiyah")</f>
        <v>https://eitaa.com/AlborzHussainiyah</v>
      </c>
      <c r="K4793" s="5"/>
      <c r="L4793" s="5"/>
      <c r="M4793" s="5"/>
      <c r="N4793" s="5"/>
      <c r="O4793" s="5"/>
      <c r="P4793" s="5"/>
      <c r="Q4793" s="5"/>
      <c r="R4793" s="5"/>
      <c r="S4793" s="5"/>
    </row>
    <row r="4794">
      <c r="A4794" s="5">
        <f>IFERROR(__xludf.DUMMYFUNCTION("""COMPUTED_VALUE"""),2389.0)</f>
        <v>2389</v>
      </c>
      <c r="B4794" s="5" t="str">
        <f>IFERROR(__xludf.DUMMYFUNCTION("""COMPUTED_VALUE"""),"هیئت")</f>
        <v>هیئت</v>
      </c>
      <c r="C4794" s="5" t="str">
        <f>IFERROR(__xludf.DUMMYFUNCTION("""COMPUTED_VALUE"""),"الشهدا پیشاهنگی")</f>
        <v>الشهدا پیشاهنگی</v>
      </c>
      <c r="D4794" s="5" t="str">
        <f>IFERROR(__xludf.DUMMYFUNCTION("""COMPUTED_VALUE"""),"البرز")</f>
        <v>البرز</v>
      </c>
      <c r="E4794" s="5" t="str">
        <f>IFERROR(__xludf.DUMMYFUNCTION("""COMPUTED_VALUE"""),"کرج")</f>
        <v>کرج</v>
      </c>
      <c r="F4794" s="5" t="str">
        <f>IFERROR(__xludf.DUMMYFUNCTION("""COMPUTED_VALUE"""),"کمال شهر")</f>
        <v>کمال شهر</v>
      </c>
      <c r="G4794" s="5"/>
      <c r="H4794" s="5"/>
      <c r="I4794" s="5"/>
      <c r="J4794" s="6" t="str">
        <f>IFERROR(__xludf.DUMMYFUNCTION("""COMPUTED_VALUE"""),"https://eitaa.com/heyatshohadapishahangi")</f>
        <v>https://eitaa.com/heyatshohadapishahangi</v>
      </c>
      <c r="K4794" s="5"/>
      <c r="L4794" s="5"/>
      <c r="M4794" s="5"/>
      <c r="N4794" s="5"/>
      <c r="O4794" s="5"/>
      <c r="P4794" s="5"/>
      <c r="Q4794" s="5"/>
      <c r="R4794" s="5"/>
      <c r="S4794" s="5"/>
    </row>
    <row r="4795">
      <c r="A4795" s="5">
        <f>IFERROR(__xludf.DUMMYFUNCTION("""COMPUTED_VALUE"""),2414.0)</f>
        <v>2414</v>
      </c>
      <c r="B4795" s="5" t="str">
        <f>IFERROR(__xludf.DUMMYFUNCTION("""COMPUTED_VALUE"""),"هیئت")</f>
        <v>هیئت</v>
      </c>
      <c r="C4795" s="5" t="str">
        <f>IFERROR(__xludf.DUMMYFUNCTION("""COMPUTED_VALUE"""),"انصار ولایت")</f>
        <v>انصار ولایت</v>
      </c>
      <c r="D4795" s="5" t="str">
        <f>IFERROR(__xludf.DUMMYFUNCTION("""COMPUTED_VALUE"""),"البرز")</f>
        <v>البرز</v>
      </c>
      <c r="E4795" s="5" t="str">
        <f>IFERROR(__xludf.DUMMYFUNCTION("""COMPUTED_VALUE"""),"کرج")</f>
        <v>کرج</v>
      </c>
      <c r="F4795" s="5" t="str">
        <f>IFERROR(__xludf.DUMMYFUNCTION("""COMPUTED_VALUE"""),"کمالشهر")</f>
        <v>کمالشهر</v>
      </c>
      <c r="G4795" s="5"/>
      <c r="H4795" s="5"/>
      <c r="I4795" s="5"/>
      <c r="J4795" s="6" t="str">
        <f>IFERROR(__xludf.DUMMYFUNCTION("""COMPUTED_VALUE"""),"https://eitaa.com/ansaaar")</f>
        <v>https://eitaa.com/ansaaar</v>
      </c>
      <c r="K4795" s="5"/>
      <c r="L4795" s="5"/>
      <c r="M4795" s="5"/>
      <c r="N4795" s="5"/>
      <c r="O4795" s="5"/>
      <c r="P4795" s="5"/>
      <c r="Q4795" s="5"/>
      <c r="R4795" s="5"/>
      <c r="S4795" s="5"/>
    </row>
    <row r="4796">
      <c r="A4796" s="5">
        <f>IFERROR(__xludf.DUMMYFUNCTION("""COMPUTED_VALUE"""),33131.0)</f>
        <v>33131</v>
      </c>
      <c r="B4796" s="5" t="str">
        <f>IFERROR(__xludf.DUMMYFUNCTION("""COMPUTED_VALUE"""),"هیئت")</f>
        <v>هیئت</v>
      </c>
      <c r="C4796" s="5" t="str">
        <f>IFERROR(__xludf.DUMMYFUNCTION("""COMPUTED_VALUE"""),"انصارالزهرا (س)")</f>
        <v>انصارالزهرا (س)</v>
      </c>
      <c r="D4796" s="5" t="str">
        <f>IFERROR(__xludf.DUMMYFUNCTION("""COMPUTED_VALUE"""),"البرز")</f>
        <v>البرز</v>
      </c>
      <c r="E4796" s="5" t="str">
        <f>IFERROR(__xludf.DUMMYFUNCTION("""COMPUTED_VALUE"""),"ساوجبلاغ")</f>
        <v>ساوجبلاغ</v>
      </c>
      <c r="F4796" s="5" t="str">
        <f>IFERROR(__xludf.DUMMYFUNCTION("""COMPUTED_VALUE"""),"مهستان (شهرجدیدهشتگرد)")</f>
        <v>مهستان (شهرجدیدهشتگرد)</v>
      </c>
      <c r="G4796" s="5"/>
      <c r="H4796" s="5"/>
      <c r="I4796" s="5"/>
      <c r="J4796" s="6" t="str">
        <f>IFERROR(__xludf.DUMMYFUNCTION("""COMPUTED_VALUE"""),"https://eitaa.com/ansarozzahra_mehestan1")</f>
        <v>https://eitaa.com/ansarozzahra_mehestan1</v>
      </c>
      <c r="K4796" s="5"/>
      <c r="L4796" s="5"/>
      <c r="M4796" s="5"/>
      <c r="N4796" s="5"/>
      <c r="O4796" s="5"/>
      <c r="P4796" s="5"/>
      <c r="Q4796" s="5"/>
      <c r="R4796" s="5"/>
      <c r="S4796" s="5"/>
    </row>
    <row r="4797">
      <c r="A4797" s="5">
        <f>IFERROR(__xludf.DUMMYFUNCTION("""COMPUTED_VALUE"""),19890.0)</f>
        <v>19890</v>
      </c>
      <c r="B4797" s="5" t="str">
        <f>IFERROR(__xludf.DUMMYFUNCTION("""COMPUTED_VALUE"""),"هیأت مناسبتی")</f>
        <v>هیأت مناسبتی</v>
      </c>
      <c r="C4797" s="5" t="str">
        <f>IFERROR(__xludf.DUMMYFUNCTION("""COMPUTED_VALUE"""),"انصارالمهدی (عج)")</f>
        <v>انصارالمهدی (عج)</v>
      </c>
      <c r="D4797" s="5" t="str">
        <f>IFERROR(__xludf.DUMMYFUNCTION("""COMPUTED_VALUE"""),"البرز")</f>
        <v>البرز</v>
      </c>
      <c r="E4797" s="5" t="str">
        <f>IFERROR(__xludf.DUMMYFUNCTION("""COMPUTED_VALUE"""),"کرج")</f>
        <v>کرج</v>
      </c>
      <c r="F4797" s="5"/>
      <c r="G4797" s="5"/>
      <c r="H4797" s="5"/>
      <c r="I4797" s="5"/>
      <c r="J4797" s="6" t="str">
        <f>IFERROR(__xludf.DUMMYFUNCTION("""COMPUTED_VALUE"""),"https://eitaa.com/heyyat_ansaralmhd")</f>
        <v>https://eitaa.com/heyyat_ansaralmhd</v>
      </c>
      <c r="K4797" s="5"/>
      <c r="L4797" s="5"/>
      <c r="M4797" s="5"/>
      <c r="N4797" s="5"/>
      <c r="O4797" s="5"/>
      <c r="P4797" s="5"/>
      <c r="Q4797" s="5"/>
      <c r="R4797" s="5"/>
      <c r="S4797" s="5"/>
    </row>
    <row r="4798">
      <c r="A4798" s="5">
        <f>IFERROR(__xludf.DUMMYFUNCTION("""COMPUTED_VALUE"""),20274.0)</f>
        <v>20274</v>
      </c>
      <c r="B4798" s="5" t="str">
        <f>IFERROR(__xludf.DUMMYFUNCTION("""COMPUTED_VALUE"""),"هیئت")</f>
        <v>هیئت</v>
      </c>
      <c r="C4798" s="5" t="str">
        <f>IFERROR(__xludf.DUMMYFUNCTION("""COMPUTED_VALUE"""),"انصارالمهدی (عج)")</f>
        <v>انصارالمهدی (عج)</v>
      </c>
      <c r="D4798" s="5" t="str">
        <f>IFERROR(__xludf.DUMMYFUNCTION("""COMPUTED_VALUE"""),"البرز")</f>
        <v>البرز</v>
      </c>
      <c r="E4798" s="5" t="str">
        <f>IFERROR(__xludf.DUMMYFUNCTION("""COMPUTED_VALUE"""),"کرج")</f>
        <v>کرج</v>
      </c>
      <c r="F4798" s="5"/>
      <c r="G4798" s="5"/>
      <c r="H4798" s="5"/>
      <c r="I4798" s="5"/>
      <c r="J4798" s="6" t="str">
        <f>IFERROR(__xludf.DUMMYFUNCTION("""COMPUTED_VALUE"""),"https://eitaa.com/heyyat_ansaralmhd")</f>
        <v>https://eitaa.com/heyyat_ansaralmhd</v>
      </c>
      <c r="K4798" s="5"/>
      <c r="L4798" s="5"/>
      <c r="M4798" s="5"/>
      <c r="N4798" s="5"/>
      <c r="O4798" s="5"/>
      <c r="P4798" s="5"/>
      <c r="Q4798" s="5"/>
      <c r="R4798" s="5"/>
      <c r="S4798" s="5"/>
    </row>
    <row r="4799">
      <c r="A4799" s="5">
        <f>IFERROR(__xludf.DUMMYFUNCTION("""COMPUTED_VALUE"""),20270.0)</f>
        <v>20270</v>
      </c>
      <c r="B4799" s="5" t="str">
        <f>IFERROR(__xludf.DUMMYFUNCTION("""COMPUTED_VALUE"""),"هیئت")</f>
        <v>هیئت</v>
      </c>
      <c r="C4799" s="5" t="str">
        <f>IFERROR(__xludf.DUMMYFUNCTION("""COMPUTED_VALUE"""),"انصارالمهدی (عج)")</f>
        <v>انصارالمهدی (عج)</v>
      </c>
      <c r="D4799" s="5" t="str">
        <f>IFERROR(__xludf.DUMMYFUNCTION("""COMPUTED_VALUE"""),"البرز")</f>
        <v>البرز</v>
      </c>
      <c r="E4799" s="5" t="str">
        <f>IFERROR(__xludf.DUMMYFUNCTION("""COMPUTED_VALUE"""),"کرج")</f>
        <v>کرج</v>
      </c>
      <c r="F4799" s="5"/>
      <c r="G4799" s="5">
        <f>IFERROR(__xludf.DUMMYFUNCTION("""COMPUTED_VALUE"""),1.0)</f>
        <v>1</v>
      </c>
      <c r="H4799" s="5"/>
      <c r="I4799" s="5"/>
      <c r="J4799" s="6" t="str">
        <f>IFERROR(__xludf.DUMMYFUNCTION("""COMPUTED_VALUE"""),"https://eitaa.com/ansaralmahdi_krj")</f>
        <v>https://eitaa.com/ansaralmahdi_krj</v>
      </c>
      <c r="K4799" s="5"/>
      <c r="L4799" s="5"/>
      <c r="M4799" s="5"/>
      <c r="N4799" s="5"/>
      <c r="O4799" s="5"/>
      <c r="P4799" s="5"/>
      <c r="Q4799" s="5"/>
      <c r="R4799" s="5"/>
      <c r="S4799" s="5"/>
    </row>
    <row r="4800">
      <c r="A4800" s="5">
        <f>IFERROR(__xludf.DUMMYFUNCTION("""COMPUTED_VALUE"""),2420.0)</f>
        <v>2420</v>
      </c>
      <c r="B4800" s="5" t="str">
        <f>IFERROR(__xludf.DUMMYFUNCTION("""COMPUTED_VALUE"""),"هیئت")</f>
        <v>هیئت</v>
      </c>
      <c r="C4800" s="5" t="str">
        <f>IFERROR(__xludf.DUMMYFUNCTION("""COMPUTED_VALUE"""),"انصارالمهدی (عج)")</f>
        <v>انصارالمهدی (عج)</v>
      </c>
      <c r="D4800" s="5" t="str">
        <f>IFERROR(__xludf.DUMMYFUNCTION("""COMPUTED_VALUE"""),"البرز")</f>
        <v>البرز</v>
      </c>
      <c r="E4800" s="5" t="str">
        <f>IFERROR(__xludf.DUMMYFUNCTION("""COMPUTED_VALUE"""),"کرج")</f>
        <v>کرج</v>
      </c>
      <c r="F4800" s="5"/>
      <c r="G4800" s="5"/>
      <c r="H4800" s="5"/>
      <c r="I4800" s="5"/>
      <c r="J4800" s="6" t="str">
        <f>IFERROR(__xludf.DUMMYFUNCTION("""COMPUTED_VALUE"""),"https://eitaa.com/heyyat_ansaralmhd")</f>
        <v>https://eitaa.com/heyyat_ansaralmhd</v>
      </c>
      <c r="K4800" s="5"/>
      <c r="L4800" s="5"/>
      <c r="M4800" s="5"/>
      <c r="N4800" s="5"/>
      <c r="O4800" s="5"/>
      <c r="P4800" s="5"/>
      <c r="Q4800" s="5"/>
      <c r="R4800" s="5"/>
      <c r="S4800" s="5"/>
    </row>
    <row r="4801">
      <c r="A4801" s="5">
        <f>IFERROR(__xludf.DUMMYFUNCTION("""COMPUTED_VALUE"""),2427.0)</f>
        <v>2427</v>
      </c>
      <c r="B4801" s="5" t="str">
        <f>IFERROR(__xludf.DUMMYFUNCTION("""COMPUTED_VALUE"""),"هیئت")</f>
        <v>هیئت</v>
      </c>
      <c r="C4801" s="5" t="str">
        <f>IFERROR(__xludf.DUMMYFUNCTION("""COMPUTED_VALUE"""),"انصارالمهدی(عج)")</f>
        <v>انصارالمهدی(عج)</v>
      </c>
      <c r="D4801" s="5" t="str">
        <f>IFERROR(__xludf.DUMMYFUNCTION("""COMPUTED_VALUE"""),"البرز")</f>
        <v>البرز</v>
      </c>
      <c r="E4801" s="5" t="str">
        <f>IFERROR(__xludf.DUMMYFUNCTION("""COMPUTED_VALUE"""),"کرج")</f>
        <v>کرج</v>
      </c>
      <c r="F4801" s="5"/>
      <c r="G4801" s="5"/>
      <c r="H4801" s="5"/>
      <c r="I4801" s="5"/>
      <c r="J4801" s="6" t="str">
        <f>IFERROR(__xludf.DUMMYFUNCTION("""COMPUTED_VALUE"""),"https://eitaa.com/heyyat_ansaralmhd")</f>
        <v>https://eitaa.com/heyyat_ansaralmhd</v>
      </c>
      <c r="K4801" s="5"/>
      <c r="L4801" s="5"/>
      <c r="M4801" s="5"/>
      <c r="N4801" s="5"/>
      <c r="O4801" s="5"/>
      <c r="P4801" s="5"/>
      <c r="Q4801" s="5"/>
      <c r="R4801" s="5"/>
      <c r="S4801" s="5"/>
    </row>
    <row r="4802">
      <c r="A4802" s="5">
        <f>IFERROR(__xludf.DUMMYFUNCTION("""COMPUTED_VALUE"""),26827.0)</f>
        <v>26827</v>
      </c>
      <c r="B4802" s="5" t="str">
        <f>IFERROR(__xludf.DUMMYFUNCTION("""COMPUTED_VALUE"""),"هیئت")</f>
        <v>هیئت</v>
      </c>
      <c r="C4802" s="5" t="str">
        <f>IFERROR(__xludf.DUMMYFUNCTION("""COMPUTED_VALUE"""),"بانوان مهدوی")</f>
        <v>بانوان مهدوی</v>
      </c>
      <c r="D4802" s="5" t="str">
        <f>IFERROR(__xludf.DUMMYFUNCTION("""COMPUTED_VALUE"""),"البرز")</f>
        <v>البرز</v>
      </c>
      <c r="E4802" s="5" t="str">
        <f>IFERROR(__xludf.DUMMYFUNCTION("""COMPUTED_VALUE"""),"کرج")</f>
        <v>کرج</v>
      </c>
      <c r="F4802" s="5"/>
      <c r="G4802" s="5"/>
      <c r="H4802" s="5"/>
      <c r="I4802" s="5"/>
      <c r="J4802" s="6" t="str">
        <f>IFERROR(__xludf.DUMMYFUNCTION("""COMPUTED_VALUE"""),"https://eitaa.com/Salam_bar_mahdi_fatemehh")</f>
        <v>https://eitaa.com/Salam_bar_mahdi_fatemehh</v>
      </c>
      <c r="K4802" s="5"/>
      <c r="L4802" s="5"/>
      <c r="M4802" s="5"/>
      <c r="N4802" s="5"/>
      <c r="O4802" s="5"/>
      <c r="P4802" s="5"/>
      <c r="Q4802" s="5"/>
      <c r="R4802" s="5"/>
      <c r="S4802" s="5"/>
    </row>
    <row r="4803">
      <c r="A4803" s="5">
        <f>IFERROR(__xludf.DUMMYFUNCTION("""COMPUTED_VALUE"""),30590.0)</f>
        <v>30590</v>
      </c>
      <c r="B4803" s="5" t="str">
        <f>IFERROR(__xludf.DUMMYFUNCTION("""COMPUTED_VALUE"""),"هیئت")</f>
        <v>هیئت</v>
      </c>
      <c r="C4803" s="5" t="str">
        <f>IFERROR(__xludf.DUMMYFUNCTION("""COMPUTED_VALUE"""),"بنات الزهرا ")</f>
        <v>بنات الزهرا </v>
      </c>
      <c r="D4803" s="5" t="str">
        <f>IFERROR(__xludf.DUMMYFUNCTION("""COMPUTED_VALUE"""),"البرز")</f>
        <v>البرز</v>
      </c>
      <c r="E4803" s="5" t="str">
        <f>IFERROR(__xludf.DUMMYFUNCTION("""COMPUTED_VALUE"""),"کرج")</f>
        <v>کرج</v>
      </c>
      <c r="F4803" s="5"/>
      <c r="G4803" s="5"/>
      <c r="H4803" s="5"/>
      <c r="I4803" s="6" t="str">
        <f>IFERROR(__xludf.DUMMYFUNCTION("""COMPUTED_VALUE"""),"https://eitaa.com/H_banatozahra")</f>
        <v>https://eitaa.com/H_banatozahra</v>
      </c>
      <c r="J4803" s="5"/>
      <c r="K4803" s="5"/>
      <c r="L4803" s="5"/>
      <c r="M4803" s="5"/>
      <c r="N4803" s="5"/>
      <c r="O4803" s="5"/>
      <c r="P4803" s="5"/>
      <c r="Q4803" s="5"/>
      <c r="R4803" s="5"/>
      <c r="S4803" s="5"/>
    </row>
    <row r="4804">
      <c r="A4804" s="5">
        <f>IFERROR(__xludf.DUMMYFUNCTION("""COMPUTED_VALUE"""),19982.0)</f>
        <v>19982</v>
      </c>
      <c r="B4804" s="5" t="str">
        <f>IFERROR(__xludf.DUMMYFUNCTION("""COMPUTED_VALUE"""),"هیئت")</f>
        <v>هیئت</v>
      </c>
      <c r="C4804" s="5" t="str">
        <f>IFERROR(__xludf.DUMMYFUNCTION("""COMPUTED_VALUE"""),"پایگاه  بسیج ترکیان")</f>
        <v>پایگاه  بسیج ترکیان</v>
      </c>
      <c r="D4804" s="5" t="str">
        <f>IFERROR(__xludf.DUMMYFUNCTION("""COMPUTED_VALUE"""),"البرز")</f>
        <v>البرز</v>
      </c>
      <c r="E4804" s="5" t="str">
        <f>IFERROR(__xludf.DUMMYFUNCTION("""COMPUTED_VALUE"""),"کرج")</f>
        <v>کرج</v>
      </c>
      <c r="F4804" s="5"/>
      <c r="G4804" s="5"/>
      <c r="H4804" s="5"/>
      <c r="I4804" s="6" t="str">
        <f>IFERROR(__xludf.DUMMYFUNCTION("""COMPUTED_VALUE"""),"https://t.me/shahidan_torkian")</f>
        <v>https://t.me/shahidan_torkian</v>
      </c>
      <c r="J4804" s="6" t="str">
        <f>IFERROR(__xludf.DUMMYFUNCTION("""COMPUTED_VALUE"""),"https://eitaa.com/shahidan_torkian")</f>
        <v>https://eitaa.com/shahidan_torkian</v>
      </c>
      <c r="K4804" s="5"/>
      <c r="L4804" s="5"/>
      <c r="M4804" s="5"/>
      <c r="N4804" s="5"/>
      <c r="O4804" s="5"/>
      <c r="P4804" s="5"/>
      <c r="Q4804" s="5"/>
      <c r="R4804" s="5"/>
      <c r="S4804" s="5"/>
    </row>
    <row r="4805">
      <c r="A4805" s="5">
        <f>IFERROR(__xludf.DUMMYFUNCTION("""COMPUTED_VALUE"""),19982.0)</f>
        <v>19982</v>
      </c>
      <c r="B4805" s="5" t="str">
        <f>IFERROR(__xludf.DUMMYFUNCTION("""COMPUTED_VALUE"""),"هیئت")</f>
        <v>هیئت</v>
      </c>
      <c r="C4805" s="5" t="str">
        <f>IFERROR(__xludf.DUMMYFUNCTION("""COMPUTED_VALUE"""),"پایگاه بسیج ترکیان")</f>
        <v>پایگاه بسیج ترکیان</v>
      </c>
      <c r="D4805" s="5" t="str">
        <f>IFERROR(__xludf.DUMMYFUNCTION("""COMPUTED_VALUE"""),"البرز")</f>
        <v>البرز</v>
      </c>
      <c r="E4805" s="5" t="str">
        <f>IFERROR(__xludf.DUMMYFUNCTION("""COMPUTED_VALUE"""),"کرج")</f>
        <v>کرج</v>
      </c>
      <c r="F4805" s="5"/>
      <c r="G4805" s="5"/>
      <c r="H4805" s="5"/>
      <c r="I4805" s="6" t="str">
        <f>IFERROR(__xludf.DUMMYFUNCTION("""COMPUTED_VALUE"""),"https://t.me/shahidan_torkian")</f>
        <v>https://t.me/shahidan_torkian</v>
      </c>
      <c r="J4805" s="6" t="str">
        <f>IFERROR(__xludf.DUMMYFUNCTION("""COMPUTED_VALUE"""),"https://eitaa.com/shahidan_torkian")</f>
        <v>https://eitaa.com/shahidan_torkian</v>
      </c>
      <c r="K4805" s="5"/>
      <c r="L4805" s="5"/>
      <c r="M4805" s="5"/>
      <c r="N4805" s="5"/>
      <c r="O4805" s="5"/>
      <c r="P4805" s="5"/>
      <c r="Q4805" s="5"/>
      <c r="R4805" s="5"/>
      <c r="S4805" s="5"/>
    </row>
    <row r="4806">
      <c r="A4806" s="5">
        <f>IFERROR(__xludf.DUMMYFUNCTION("""COMPUTED_VALUE"""),2489.0)</f>
        <v>2489</v>
      </c>
      <c r="B4806" s="5" t="str">
        <f>IFERROR(__xludf.DUMMYFUNCTION("""COMPUTED_VALUE"""),"هیئت")</f>
        <v>هیئت</v>
      </c>
      <c r="C4806" s="5" t="str">
        <f>IFERROR(__xludf.DUMMYFUNCTION("""COMPUTED_VALUE"""),"ثارالله (ع)")</f>
        <v>ثارالله (ع)</v>
      </c>
      <c r="D4806" s="5" t="str">
        <f>IFERROR(__xludf.DUMMYFUNCTION("""COMPUTED_VALUE"""),"البرز")</f>
        <v>البرز</v>
      </c>
      <c r="E4806" s="5" t="str">
        <f>IFERROR(__xludf.DUMMYFUNCTION("""COMPUTED_VALUE"""),"کرج")</f>
        <v>کرج</v>
      </c>
      <c r="F4806" s="5"/>
      <c r="G4806" s="5"/>
      <c r="H4806" s="5"/>
      <c r="I4806" s="5"/>
      <c r="J4806" s="6" t="str">
        <f>IFERROR(__xludf.DUMMYFUNCTION("""COMPUTED_VALUE"""),"https://eitaa.com/SarallahKaraj")</f>
        <v>https://eitaa.com/SarallahKaraj</v>
      </c>
      <c r="K4806" s="5"/>
      <c r="L4806" s="5"/>
      <c r="M4806" s="5"/>
      <c r="N4806" s="5"/>
      <c r="O4806" s="5"/>
      <c r="P4806" s="5"/>
      <c r="Q4806" s="5"/>
      <c r="R4806" s="5"/>
      <c r="S4806" s="5"/>
    </row>
    <row r="4807">
      <c r="A4807" s="5">
        <f>IFERROR(__xludf.DUMMYFUNCTION("""COMPUTED_VALUE"""),23695.0)</f>
        <v>23695</v>
      </c>
      <c r="B4807" s="5" t="str">
        <f>IFERROR(__xludf.DUMMYFUNCTION("""COMPUTED_VALUE"""),"هیئت")</f>
        <v>هیئت</v>
      </c>
      <c r="C4807" s="5" t="str">
        <f>IFERROR(__xludf.DUMMYFUNCTION("""COMPUTED_VALUE"""),"جوانان عاشورایی علقمه")</f>
        <v>جوانان عاشورایی علقمه</v>
      </c>
      <c r="D4807" s="5" t="str">
        <f>IFERROR(__xludf.DUMMYFUNCTION("""COMPUTED_VALUE"""),"البرز")</f>
        <v>البرز</v>
      </c>
      <c r="E4807" s="5" t="str">
        <f>IFERROR(__xludf.DUMMYFUNCTION("""COMPUTED_VALUE"""),"کرج")</f>
        <v>کرج</v>
      </c>
      <c r="F4807" s="5"/>
      <c r="G4807" s="5"/>
      <c r="H4807" s="5"/>
      <c r="I4807" s="6" t="str">
        <f>IFERROR(__xludf.DUMMYFUNCTION("""COMPUTED_VALUE"""),"https://t.me/Alghame133")</f>
        <v>https://t.me/Alghame133</v>
      </c>
      <c r="J4807" s="6" t="str">
        <f>IFERROR(__xludf.DUMMYFUNCTION("""COMPUTED_VALUE"""),"https://eitaa.com/alghame133")</f>
        <v>https://eitaa.com/alghame133</v>
      </c>
      <c r="K4807" s="5"/>
      <c r="L4807" s="5"/>
      <c r="M4807" s="5"/>
      <c r="N4807" s="5"/>
      <c r="O4807" s="5"/>
      <c r="P4807" s="5"/>
      <c r="Q4807" s="5"/>
      <c r="R4807" s="5"/>
      <c r="S4807" s="5"/>
    </row>
    <row r="4808">
      <c r="A4808" s="5">
        <f>IFERROR(__xludf.DUMMYFUNCTION("""COMPUTED_VALUE"""),18036.0)</f>
        <v>18036</v>
      </c>
      <c r="B4808" s="5" t="str">
        <f>IFERROR(__xludf.DUMMYFUNCTION("""COMPUTED_VALUE"""),"هیئت")</f>
        <v>هیئت</v>
      </c>
      <c r="C4808" s="5" t="str">
        <f>IFERROR(__xludf.DUMMYFUNCTION("""COMPUTED_VALUE"""),"حسینیه صنف لباس فروشان")</f>
        <v>حسینیه صنف لباس فروشان</v>
      </c>
      <c r="D4808" s="5" t="str">
        <f>IFERROR(__xludf.DUMMYFUNCTION("""COMPUTED_VALUE"""),"البرز")</f>
        <v>البرز</v>
      </c>
      <c r="E4808" s="5" t="str">
        <f>IFERROR(__xludf.DUMMYFUNCTION("""COMPUTED_VALUE"""),"کرج")</f>
        <v>کرج</v>
      </c>
      <c r="F4808" s="5"/>
      <c r="G4808" s="5"/>
      <c r="H4808" s="5"/>
      <c r="I4808" s="6" t="str">
        <f>IFERROR(__xludf.DUMMYFUNCTION("""COMPUTED_VALUE"""),"https://t.me/senflebasforoshan")</f>
        <v>https://t.me/senflebasforoshan</v>
      </c>
      <c r="J4808" s="5"/>
      <c r="K4808" s="5"/>
      <c r="L4808" s="5"/>
      <c r="M4808" s="5"/>
      <c r="N4808" s="5"/>
      <c r="O4808" s="5"/>
      <c r="P4808" s="5"/>
      <c r="Q4808" s="5"/>
      <c r="R4808" s="5"/>
      <c r="S4808" s="5"/>
    </row>
    <row r="4809">
      <c r="A4809" s="5">
        <f>IFERROR(__xludf.DUMMYFUNCTION("""COMPUTED_VALUE"""),29157.0)</f>
        <v>29157</v>
      </c>
      <c r="B4809" s="5" t="str">
        <f>IFERROR(__xludf.DUMMYFUNCTION("""COMPUTED_VALUE"""),"هیئت")</f>
        <v>هیئت</v>
      </c>
      <c r="C4809" s="5" t="str">
        <f>IFERROR(__xludf.DUMMYFUNCTION("""COMPUTED_VALUE"""),"حضرت رقیه")</f>
        <v>حضرت رقیه</v>
      </c>
      <c r="D4809" s="5" t="str">
        <f>IFERROR(__xludf.DUMMYFUNCTION("""COMPUTED_VALUE"""),"البرز")</f>
        <v>البرز</v>
      </c>
      <c r="E4809" s="5" t="str">
        <f>IFERROR(__xludf.DUMMYFUNCTION("""COMPUTED_VALUE"""),"نظر آباد ")</f>
        <v>نظر آباد </v>
      </c>
      <c r="F4809" s="5"/>
      <c r="G4809" s="5"/>
      <c r="H4809" s="5"/>
      <c r="I4809" s="6" t="str">
        <f>IFERROR(__xludf.DUMMYFUNCTION("""COMPUTED_VALUE"""),"https://t.me/hazratrogayye")</f>
        <v>https://t.me/hazratrogayye</v>
      </c>
      <c r="J4809" s="5"/>
      <c r="K4809" s="5"/>
      <c r="L4809" s="5"/>
      <c r="M4809" s="5"/>
      <c r="N4809" s="5"/>
      <c r="O4809" s="5"/>
      <c r="P4809" s="5"/>
      <c r="Q4809" s="5"/>
      <c r="R4809" s="5"/>
      <c r="S4809" s="5"/>
    </row>
    <row r="4810">
      <c r="A4810" s="5">
        <f>IFERROR(__xludf.DUMMYFUNCTION("""COMPUTED_VALUE"""),26816.0)</f>
        <v>26816</v>
      </c>
      <c r="B4810" s="5" t="str">
        <f>IFERROR(__xludf.DUMMYFUNCTION("""COMPUTED_VALUE"""),"هیئت")</f>
        <v>هیئت</v>
      </c>
      <c r="C4810" s="5" t="str">
        <f>IFERROR(__xludf.DUMMYFUNCTION("""COMPUTED_VALUE"""),"حضرت رقیه (س)")</f>
        <v>حضرت رقیه (س)</v>
      </c>
      <c r="D4810" s="5" t="str">
        <f>IFERROR(__xludf.DUMMYFUNCTION("""COMPUTED_VALUE"""),"البرز")</f>
        <v>البرز</v>
      </c>
      <c r="E4810" s="5" t="str">
        <f>IFERROR(__xludf.DUMMYFUNCTION("""COMPUTED_VALUE"""),"نظرآباد ")</f>
        <v>نظرآباد </v>
      </c>
      <c r="F4810" s="5" t="str">
        <f>IFERROR(__xludf.DUMMYFUNCTION("""COMPUTED_VALUE"""),"محله رسالت ")</f>
        <v>محله رسالت </v>
      </c>
      <c r="G4810" s="5"/>
      <c r="H4810" s="5"/>
      <c r="I4810" s="6" t="str">
        <f>IFERROR(__xludf.DUMMYFUNCTION("""COMPUTED_VALUE"""),"https://t.me/hazratrogayye")</f>
        <v>https://t.me/hazratrogayye</v>
      </c>
      <c r="J4810" s="5"/>
      <c r="K4810" s="5"/>
      <c r="L4810" s="5"/>
      <c r="M4810" s="5"/>
      <c r="N4810" s="5"/>
      <c r="O4810" s="5"/>
      <c r="P4810" s="5"/>
      <c r="Q4810" s="5"/>
      <c r="R4810" s="5"/>
      <c r="S4810" s="5"/>
    </row>
    <row r="4811">
      <c r="A4811" s="5">
        <f>IFERROR(__xludf.DUMMYFUNCTION("""COMPUTED_VALUE"""),26616.0)</f>
        <v>26616</v>
      </c>
      <c r="B4811" s="5" t="str">
        <f>IFERROR(__xludf.DUMMYFUNCTION("""COMPUTED_VALUE"""),"هیأت هفتگی")</f>
        <v>هیأت هفتگی</v>
      </c>
      <c r="C4811" s="5" t="str">
        <f>IFERROR(__xludf.DUMMYFUNCTION("""COMPUTED_VALUE"""),"حضرت علی اکبر (ع)")</f>
        <v>حضرت علی اکبر (ع)</v>
      </c>
      <c r="D4811" s="5" t="str">
        <f>IFERROR(__xludf.DUMMYFUNCTION("""COMPUTED_VALUE"""),"البرز")</f>
        <v>البرز</v>
      </c>
      <c r="E4811" s="5" t="str">
        <f>IFERROR(__xludf.DUMMYFUNCTION("""COMPUTED_VALUE"""),"مشکین دشت")</f>
        <v>مشکین دشت</v>
      </c>
      <c r="F4811" s="5"/>
      <c r="G4811" s="5"/>
      <c r="H4811" s="5"/>
      <c r="I4811" s="5"/>
      <c r="J4811" s="6" t="str">
        <f>IFERROR(__xludf.DUMMYFUNCTION("""COMPUTED_VALUE"""),"https://eitaa.com/aliakbarkaraj")</f>
        <v>https://eitaa.com/aliakbarkaraj</v>
      </c>
      <c r="K4811" s="5"/>
      <c r="L4811" s="5"/>
      <c r="M4811" s="5"/>
      <c r="N4811" s="5"/>
      <c r="O4811" s="5"/>
      <c r="P4811" s="5"/>
      <c r="Q4811" s="5"/>
      <c r="R4811" s="5"/>
      <c r="S4811" s="5"/>
    </row>
    <row r="4812">
      <c r="A4812" s="5">
        <f>IFERROR(__xludf.DUMMYFUNCTION("""COMPUTED_VALUE"""),2397.0)</f>
        <v>2397</v>
      </c>
      <c r="B4812" s="5" t="str">
        <f>IFERROR(__xludf.DUMMYFUNCTION("""COMPUTED_VALUE"""),"هیئت")</f>
        <v>هیئت</v>
      </c>
      <c r="C4812" s="5" t="str">
        <f>IFERROR(__xludf.DUMMYFUNCTION("""COMPUTED_VALUE"""),"دارالشهدا")</f>
        <v>دارالشهدا</v>
      </c>
      <c r="D4812" s="5" t="str">
        <f>IFERROR(__xludf.DUMMYFUNCTION("""COMPUTED_VALUE"""),"البرز")</f>
        <v>البرز</v>
      </c>
      <c r="E4812" s="5" t="str">
        <f>IFERROR(__xludf.DUMMYFUNCTION("""COMPUTED_VALUE"""),"کرج")</f>
        <v>کرج</v>
      </c>
      <c r="F4812" s="5"/>
      <c r="G4812" s="5"/>
      <c r="H4812" s="5"/>
      <c r="I4812" s="5"/>
      <c r="J4812" s="6" t="str">
        <f>IFERROR(__xludf.DUMMYFUNCTION("""COMPUTED_VALUE"""),"https://eitaa.com/daroshohada")</f>
        <v>https://eitaa.com/daroshohada</v>
      </c>
      <c r="K4812" s="5"/>
      <c r="L4812" s="5"/>
      <c r="M4812" s="5"/>
      <c r="N4812" s="5"/>
      <c r="O4812" s="5"/>
      <c r="P4812" s="5"/>
      <c r="Q4812" s="5"/>
      <c r="R4812" s="5"/>
      <c r="S4812" s="5"/>
    </row>
    <row r="4813">
      <c r="A4813" s="5">
        <f>IFERROR(__xludf.DUMMYFUNCTION("""COMPUTED_VALUE"""),2470.0)</f>
        <v>2470</v>
      </c>
      <c r="B4813" s="5" t="str">
        <f>IFERROR(__xludf.DUMMYFUNCTION("""COMPUTED_VALUE"""),"هیئت")</f>
        <v>هیئت</v>
      </c>
      <c r="C4813" s="5" t="str">
        <f>IFERROR(__xludf.DUMMYFUNCTION("""COMPUTED_VALUE"""),"رزمندگان اسلام")</f>
        <v>رزمندگان اسلام</v>
      </c>
      <c r="D4813" s="5" t="str">
        <f>IFERROR(__xludf.DUMMYFUNCTION("""COMPUTED_VALUE"""),"البرز")</f>
        <v>البرز</v>
      </c>
      <c r="E4813" s="5" t="str">
        <f>IFERROR(__xludf.DUMMYFUNCTION("""COMPUTED_VALUE"""),"استهارد ")</f>
        <v>استهارد </v>
      </c>
      <c r="F4813" s="5" t="str">
        <f>IFERROR(__xludf.DUMMYFUNCTION("""COMPUTED_VALUE"""),"مهر شهر ")</f>
        <v>مهر شهر </v>
      </c>
      <c r="G4813" s="5"/>
      <c r="H4813" s="5"/>
      <c r="I4813" s="5"/>
      <c r="J4813" s="6" t="str">
        <f>IFERROR(__xludf.DUMMYFUNCTION("""COMPUTED_VALUE"""),"https://eitaa.com/razmandeganeshtehard")</f>
        <v>https://eitaa.com/razmandeganeshtehard</v>
      </c>
      <c r="K4813" s="5"/>
      <c r="L4813" s="5"/>
      <c r="M4813" s="5"/>
      <c r="N4813" s="5"/>
      <c r="O4813" s="5"/>
      <c r="P4813" s="5"/>
      <c r="Q4813" s="5"/>
      <c r="R4813" s="5"/>
      <c r="S4813" s="5"/>
    </row>
    <row r="4814">
      <c r="A4814" s="5">
        <f>IFERROR(__xludf.DUMMYFUNCTION("""COMPUTED_VALUE"""),2155.0)</f>
        <v>2155</v>
      </c>
      <c r="B4814" s="5" t="str">
        <f>IFERROR(__xludf.DUMMYFUNCTION("""COMPUTED_VALUE"""),"هیئت")</f>
        <v>هیئت</v>
      </c>
      <c r="C4814" s="5" t="str">
        <f>IFERROR(__xludf.DUMMYFUNCTION("""COMPUTED_VALUE"""),"رزمندگان اسلام (نورالشهدا)")</f>
        <v>رزمندگان اسلام (نورالشهدا)</v>
      </c>
      <c r="D4814" s="5" t="str">
        <f>IFERROR(__xludf.DUMMYFUNCTION("""COMPUTED_VALUE"""),"البرز")</f>
        <v>البرز</v>
      </c>
      <c r="E4814" s="5" t="str">
        <f>IFERROR(__xludf.DUMMYFUNCTION("""COMPUTED_VALUE"""),"کرج")</f>
        <v>کرج</v>
      </c>
      <c r="F4814" s="5"/>
      <c r="G4814" s="5"/>
      <c r="H4814" s="5"/>
      <c r="I4814" s="5"/>
      <c r="J4814" s="6" t="str">
        <f>IFERROR(__xludf.DUMMYFUNCTION("""COMPUTED_VALUE"""),"https://eitaa.com/nouroshohada")</f>
        <v>https://eitaa.com/nouroshohada</v>
      </c>
      <c r="K4814" s="5"/>
      <c r="L4814" s="5"/>
      <c r="M4814" s="5"/>
      <c r="N4814" s="5"/>
      <c r="O4814" s="5"/>
      <c r="P4814" s="5"/>
      <c r="Q4814" s="5"/>
      <c r="R4814" s="5"/>
      <c r="S4814" s="5"/>
    </row>
    <row r="4815">
      <c r="A4815" s="5">
        <f>IFERROR(__xludf.DUMMYFUNCTION("""COMPUTED_VALUE"""),2210.0)</f>
        <v>2210</v>
      </c>
      <c r="B4815" s="5" t="str">
        <f>IFERROR(__xludf.DUMMYFUNCTION("""COMPUTED_VALUE"""),"هیئت")</f>
        <v>هیئت</v>
      </c>
      <c r="C4815" s="5" t="str">
        <f>IFERROR(__xludf.DUMMYFUNCTION("""COMPUTED_VALUE"""),"رزمندگان اسلام غرب (فاطمیون)")</f>
        <v>رزمندگان اسلام غرب (فاطمیون)</v>
      </c>
      <c r="D4815" s="5" t="str">
        <f>IFERROR(__xludf.DUMMYFUNCTION("""COMPUTED_VALUE"""),"البرز")</f>
        <v>البرز</v>
      </c>
      <c r="E4815" s="5" t="str">
        <f>IFERROR(__xludf.DUMMYFUNCTION("""COMPUTED_VALUE"""),"کرج")</f>
        <v>کرج</v>
      </c>
      <c r="F4815" s="5"/>
      <c r="G4815" s="5"/>
      <c r="H4815" s="5"/>
      <c r="I4815" s="5"/>
      <c r="J4815" s="6" t="str">
        <f>IFERROR(__xludf.DUMMYFUNCTION("""COMPUTED_VALUE"""),"https://eitaa.com/Heyat_fatemiyon")</f>
        <v>https://eitaa.com/Heyat_fatemiyon</v>
      </c>
      <c r="K4815" s="5"/>
      <c r="L4815" s="5"/>
      <c r="M4815" s="5"/>
      <c r="N4815" s="5"/>
      <c r="O4815" s="5"/>
      <c r="P4815" s="5"/>
      <c r="Q4815" s="5"/>
      <c r="R4815" s="5"/>
      <c r="S4815" s="5"/>
    </row>
    <row r="4816">
      <c r="A4816" s="5">
        <f>IFERROR(__xludf.DUMMYFUNCTION("""COMPUTED_VALUE"""),2517.0)</f>
        <v>2517</v>
      </c>
      <c r="B4816" s="5" t="str">
        <f>IFERROR(__xludf.DUMMYFUNCTION("""COMPUTED_VALUE"""),"هیئت")</f>
        <v>هیئت</v>
      </c>
      <c r="C4816" s="5" t="str">
        <f>IFERROR(__xludf.DUMMYFUNCTION("""COMPUTED_VALUE"""),"رهروان ولایت")</f>
        <v>رهروان ولایت</v>
      </c>
      <c r="D4816" s="5" t="str">
        <f>IFERROR(__xludf.DUMMYFUNCTION("""COMPUTED_VALUE"""),"البرز")</f>
        <v>البرز</v>
      </c>
      <c r="E4816" s="5" t="str">
        <f>IFERROR(__xludf.DUMMYFUNCTION("""COMPUTED_VALUE"""),"کرج")</f>
        <v>کرج</v>
      </c>
      <c r="F4816" s="5"/>
      <c r="G4816" s="5"/>
      <c r="H4816" s="5"/>
      <c r="I4816" s="5"/>
      <c r="J4816" s="6" t="str">
        <f>IFERROR(__xludf.DUMMYFUNCTION("""COMPUTED_VALUE"""),"https://eitaa.com/rhvkrj")</f>
        <v>https://eitaa.com/rhvkrj</v>
      </c>
      <c r="K4816" s="5"/>
      <c r="L4816" s="5"/>
      <c r="M4816" s="5"/>
      <c r="N4816" s="5"/>
      <c r="O4816" s="5"/>
      <c r="P4816" s="5"/>
      <c r="Q4816" s="5"/>
      <c r="R4816" s="5"/>
      <c r="S4816" s="5"/>
    </row>
    <row r="4817">
      <c r="A4817" s="5">
        <f>IFERROR(__xludf.DUMMYFUNCTION("""COMPUTED_VALUE"""),23116.0)</f>
        <v>23116</v>
      </c>
      <c r="B4817" s="5" t="str">
        <f>IFERROR(__xludf.DUMMYFUNCTION("""COMPUTED_VALUE"""),"هیئت")</f>
        <v>هیئت</v>
      </c>
      <c r="C4817" s="5" t="str">
        <f>IFERROR(__xludf.DUMMYFUNCTION("""COMPUTED_VALUE"""),"روضه الشهدا رزمندگان مهرشهر")</f>
        <v>روضه الشهدا رزمندگان مهرشهر</v>
      </c>
      <c r="D4817" s="5" t="str">
        <f>IFERROR(__xludf.DUMMYFUNCTION("""COMPUTED_VALUE"""),"البرز")</f>
        <v>البرز</v>
      </c>
      <c r="E4817" s="5" t="str">
        <f>IFERROR(__xludf.DUMMYFUNCTION("""COMPUTED_VALUE"""),"کرج")</f>
        <v>کرج</v>
      </c>
      <c r="F4817" s="5" t="str">
        <f>IFERROR(__xludf.DUMMYFUNCTION("""COMPUTED_VALUE"""),"محمد شهر")</f>
        <v>محمد شهر</v>
      </c>
      <c r="G4817" s="5"/>
      <c r="H4817" s="5"/>
      <c r="I4817" s="5"/>
      <c r="J4817" s="6" t="str">
        <f>IFERROR(__xludf.DUMMYFUNCTION("""COMPUTED_VALUE"""),"https://eitaa.com/rozehinfo")</f>
        <v>https://eitaa.com/rozehinfo</v>
      </c>
      <c r="K4817" s="5"/>
      <c r="L4817" s="5"/>
      <c r="M4817" s="5"/>
      <c r="N4817" s="5"/>
      <c r="O4817" s="5"/>
      <c r="P4817" s="5"/>
      <c r="Q4817" s="5"/>
      <c r="R4817" s="5"/>
      <c r="S4817" s="5"/>
    </row>
    <row r="4818">
      <c r="A4818" s="5">
        <f>IFERROR(__xludf.DUMMYFUNCTION("""COMPUTED_VALUE"""),19974.0)</f>
        <v>19974</v>
      </c>
      <c r="B4818" s="5" t="str">
        <f>IFERROR(__xludf.DUMMYFUNCTION("""COMPUTED_VALUE"""),"هیئت دانش آموزی")</f>
        <v>هیئت دانش آموزی</v>
      </c>
      <c r="C4818" s="5" t="str">
        <f>IFERROR(__xludf.DUMMYFUNCTION("""COMPUTED_VALUE"""),"ریحانه النبی (س)")</f>
        <v>ریحانه النبی (س)</v>
      </c>
      <c r="D4818" s="5" t="str">
        <f>IFERROR(__xludf.DUMMYFUNCTION("""COMPUTED_VALUE"""),"البرز")</f>
        <v>البرز</v>
      </c>
      <c r="E4818" s="5" t="str">
        <f>IFERROR(__xludf.DUMMYFUNCTION("""COMPUTED_VALUE"""),"کرج")</f>
        <v>کرج</v>
      </c>
      <c r="F4818" s="5"/>
      <c r="G4818" s="5"/>
      <c r="H4818" s="5"/>
      <c r="I4818" s="5"/>
      <c r="J4818" s="6" t="str">
        <f>IFERROR(__xludf.DUMMYFUNCTION("""COMPUTED_VALUE"""),"https://eitaa.com/reihane_al_nabi")</f>
        <v>https://eitaa.com/reihane_al_nabi</v>
      </c>
      <c r="K4818" s="5"/>
      <c r="L4818" s="5"/>
      <c r="M4818" s="5"/>
      <c r="N4818" s="5"/>
      <c r="O4818" s="5"/>
      <c r="P4818" s="5"/>
      <c r="Q4818" s="5"/>
      <c r="R4818" s="5"/>
      <c r="S4818" s="5"/>
    </row>
    <row r="4819">
      <c r="A4819" s="5">
        <f>IFERROR(__xludf.DUMMYFUNCTION("""COMPUTED_VALUE"""),25454.0)</f>
        <v>25454</v>
      </c>
      <c r="B4819" s="5" t="str">
        <f>IFERROR(__xludf.DUMMYFUNCTION("""COMPUTED_VALUE"""),"هیئت")</f>
        <v>هیئت</v>
      </c>
      <c r="C4819" s="5" t="str">
        <f>IFERROR(__xludf.DUMMYFUNCTION("""COMPUTED_VALUE"""),"زینبیه حضرت رقیه")</f>
        <v>زینبیه حضرت رقیه</v>
      </c>
      <c r="D4819" s="5" t="str">
        <f>IFERROR(__xludf.DUMMYFUNCTION("""COMPUTED_VALUE"""),"البرز")</f>
        <v>البرز</v>
      </c>
      <c r="E4819" s="5" t="str">
        <f>IFERROR(__xludf.DUMMYFUNCTION("""COMPUTED_VALUE"""),"ساوجبلاغ")</f>
        <v>ساوجبلاغ</v>
      </c>
      <c r="F4819" s="5" t="str">
        <f>IFERROR(__xludf.DUMMYFUNCTION("""COMPUTED_VALUE"""),"هشتگرد")</f>
        <v>هشتگرد</v>
      </c>
      <c r="G4819" s="5"/>
      <c r="H4819" s="5"/>
      <c r="I4819" s="5"/>
      <c r="J4819" s="6" t="str">
        <f>IFERROR(__xludf.DUMMYFUNCTION("""COMPUTED_VALUE"""),"https://eitaa.com/zeynabie8gerd")</f>
        <v>https://eitaa.com/zeynabie8gerd</v>
      </c>
      <c r="K4819" s="5"/>
      <c r="L4819" s="5"/>
      <c r="M4819" s="5"/>
      <c r="N4819" s="5"/>
      <c r="O4819" s="5"/>
      <c r="P4819" s="5"/>
      <c r="Q4819" s="5"/>
      <c r="R4819" s="5"/>
      <c r="S4819" s="5"/>
    </row>
    <row r="4820">
      <c r="A4820" s="5">
        <f>IFERROR(__xludf.DUMMYFUNCTION("""COMPUTED_VALUE"""),2494.0)</f>
        <v>2494</v>
      </c>
      <c r="B4820" s="5" t="str">
        <f>IFERROR(__xludf.DUMMYFUNCTION("""COMPUTED_VALUE"""),"هیئت")</f>
        <v>هیئت</v>
      </c>
      <c r="C4820" s="5" t="str">
        <f>IFERROR(__xludf.DUMMYFUNCTION("""COMPUTED_VALUE"""),"سیده زینب (س)")</f>
        <v>سیده زینب (س)</v>
      </c>
      <c r="D4820" s="5" t="str">
        <f>IFERROR(__xludf.DUMMYFUNCTION("""COMPUTED_VALUE"""),"البرز")</f>
        <v>البرز</v>
      </c>
      <c r="E4820" s="5" t="str">
        <f>IFERROR(__xludf.DUMMYFUNCTION("""COMPUTED_VALUE"""),"کرج")</f>
        <v>کرج</v>
      </c>
      <c r="F4820" s="5"/>
      <c r="G4820" s="5"/>
      <c r="H4820" s="5"/>
      <c r="I4820" s="6" t="str">
        <f>IFERROR(__xludf.DUMMYFUNCTION("""COMPUTED_VALUE"""),"https://t.me/seyedezeinab")</f>
        <v>https://t.me/seyedezeinab</v>
      </c>
      <c r="J4820" s="6" t="str">
        <f>IFERROR(__xludf.DUMMYFUNCTION("""COMPUTED_VALUE"""),"https://eitaa.com/seyede_zeinab")</f>
        <v>https://eitaa.com/seyede_zeinab</v>
      </c>
      <c r="K4820" s="5"/>
      <c r="L4820" s="5"/>
      <c r="M4820" s="5"/>
      <c r="N4820" s="5"/>
      <c r="O4820" s="5"/>
      <c r="P4820" s="5"/>
      <c r="Q4820" s="5"/>
      <c r="R4820" s="5"/>
      <c r="S4820" s="5"/>
    </row>
    <row r="4821">
      <c r="A4821" s="5">
        <f>IFERROR(__xludf.DUMMYFUNCTION("""COMPUTED_VALUE"""),2515.0)</f>
        <v>2515</v>
      </c>
      <c r="B4821" s="5" t="str">
        <f>IFERROR(__xludf.DUMMYFUNCTION("""COMPUTED_VALUE"""),"هیئت")</f>
        <v>هیئت</v>
      </c>
      <c r="C4821" s="5" t="str">
        <f>IFERROR(__xludf.DUMMYFUNCTION("""COMPUTED_VALUE"""),"شهدای گمنام (متوسلین به حضرت زهرا(س))")</f>
        <v>شهدای گمنام (متوسلین به حضرت زهرا(س))</v>
      </c>
      <c r="D4821" s="5" t="str">
        <f>IFERROR(__xludf.DUMMYFUNCTION("""COMPUTED_VALUE"""),"البرز")</f>
        <v>البرز</v>
      </c>
      <c r="E4821" s="5" t="str">
        <f>IFERROR(__xludf.DUMMYFUNCTION("""COMPUTED_VALUE"""),"اشتهارد")</f>
        <v>اشتهارد</v>
      </c>
      <c r="F4821" s="5" t="str">
        <f>IFERROR(__xludf.DUMMYFUNCTION("""COMPUTED_VALUE"""),"اشتهارد")</f>
        <v>اشتهارد</v>
      </c>
      <c r="G4821" s="5"/>
      <c r="H4821" s="5"/>
      <c r="I4821" s="5"/>
      <c r="J4821" s="6" t="str">
        <f>IFERROR(__xludf.DUMMYFUNCTION("""COMPUTED_VALUE"""),"https://eitaa.com/hiatshohada")</f>
        <v>https://eitaa.com/hiatshohada</v>
      </c>
      <c r="K4821" s="5"/>
      <c r="L4821" s="5"/>
      <c r="M4821" s="5"/>
      <c r="N4821" s="5"/>
      <c r="O4821" s="5"/>
      <c r="P4821" s="5"/>
      <c r="Q4821" s="5"/>
      <c r="R4821" s="5"/>
      <c r="S4821" s="5"/>
    </row>
    <row r="4822">
      <c r="A4822" s="5">
        <f>IFERROR(__xludf.DUMMYFUNCTION("""COMPUTED_VALUE"""),2390.0)</f>
        <v>2390</v>
      </c>
      <c r="B4822" s="5" t="str">
        <f>IFERROR(__xludf.DUMMYFUNCTION("""COMPUTED_VALUE"""),"هیئت")</f>
        <v>هیئت</v>
      </c>
      <c r="C4822" s="5" t="str">
        <f>IFERROR(__xludf.DUMMYFUNCTION("""COMPUTED_VALUE"""),"عاشقان ثارالله(ع) مصباح")</f>
        <v>عاشقان ثارالله(ع) مصباح</v>
      </c>
      <c r="D4822" s="5" t="str">
        <f>IFERROR(__xludf.DUMMYFUNCTION("""COMPUTED_VALUE"""),"البرز")</f>
        <v>البرز</v>
      </c>
      <c r="E4822" s="5" t="str">
        <f>IFERROR(__xludf.DUMMYFUNCTION("""COMPUTED_VALUE"""),"کرج")</f>
        <v>کرج</v>
      </c>
      <c r="F4822" s="5"/>
      <c r="G4822" s="5"/>
      <c r="H4822" s="5"/>
      <c r="I4822" s="5"/>
      <c r="J4822" s="6" t="str">
        <f>IFERROR(__xludf.DUMMYFUNCTION("""COMPUTED_VALUE"""),"https://eitaa.com/bouriyainfo")</f>
        <v>https://eitaa.com/bouriyainfo</v>
      </c>
      <c r="K4822" s="5"/>
      <c r="L4822" s="5"/>
      <c r="M4822" s="5"/>
      <c r="N4822" s="5"/>
      <c r="O4822" s="5"/>
      <c r="P4822" s="5"/>
      <c r="Q4822" s="5"/>
      <c r="R4822" s="5"/>
      <c r="S4822" s="5"/>
    </row>
    <row r="4823">
      <c r="A4823" s="5">
        <f>IFERROR(__xludf.DUMMYFUNCTION("""COMPUTED_VALUE"""),28232.0)</f>
        <v>28232</v>
      </c>
      <c r="B4823" s="5" t="str">
        <f>IFERROR(__xludf.DUMMYFUNCTION("""COMPUTED_VALUE"""),"هیئت")</f>
        <v>هیئت</v>
      </c>
      <c r="C4823" s="5" t="str">
        <f>IFERROR(__xludf.DUMMYFUNCTION("""COMPUTED_VALUE"""),"عاشقان‌ثارالله")</f>
        <v>عاشقان‌ثارالله</v>
      </c>
      <c r="D4823" s="5" t="str">
        <f>IFERROR(__xludf.DUMMYFUNCTION("""COMPUTED_VALUE"""),"البرز")</f>
        <v>البرز</v>
      </c>
      <c r="E4823" s="5" t="str">
        <f>IFERROR(__xludf.DUMMYFUNCTION("""COMPUTED_VALUE"""),"کرج")</f>
        <v>کرج</v>
      </c>
      <c r="F4823" s="5"/>
      <c r="G4823" s="5"/>
      <c r="H4823" s="5"/>
      <c r="I4823" s="6" t="str">
        <f>IFERROR(__xludf.DUMMYFUNCTION("""COMPUTED_VALUE"""),"https://t.me/asheghansarallah_karaj")</f>
        <v>https://t.me/asheghansarallah_karaj</v>
      </c>
      <c r="J4823" s="6" t="str">
        <f>IFERROR(__xludf.DUMMYFUNCTION("""COMPUTED_VALUE"""),"https://eitaa.com/asheghansarallah_karaj")</f>
        <v>https://eitaa.com/asheghansarallah_karaj</v>
      </c>
      <c r="K4823" s="5"/>
      <c r="L4823" s="5"/>
      <c r="M4823" s="5"/>
      <c r="N4823" s="5"/>
      <c r="O4823" s="5"/>
      <c r="P4823" s="5"/>
      <c r="Q4823" s="5"/>
      <c r="R4823" s="5"/>
      <c r="S4823" s="5"/>
    </row>
    <row r="4824">
      <c r="A4824" s="5">
        <f>IFERROR(__xludf.DUMMYFUNCTION("""COMPUTED_VALUE"""),30166.0)</f>
        <v>30166</v>
      </c>
      <c r="B4824" s="5" t="str">
        <f>IFERROR(__xludf.DUMMYFUNCTION("""COMPUTED_VALUE"""),"هیئت جوانان")</f>
        <v>هیئت جوانان</v>
      </c>
      <c r="C4824" s="5" t="str">
        <f>IFERROR(__xludf.DUMMYFUNCTION("""COMPUTED_VALUE"""),"عاشورائی _ انصارالامام کرج")</f>
        <v>عاشورائی _ انصارالامام کرج</v>
      </c>
      <c r="D4824" s="5" t="str">
        <f>IFERROR(__xludf.DUMMYFUNCTION("""COMPUTED_VALUE"""),"البرز")</f>
        <v>البرز</v>
      </c>
      <c r="E4824" s="5" t="str">
        <f>IFERROR(__xludf.DUMMYFUNCTION("""COMPUTED_VALUE"""),"کرج ")</f>
        <v>کرج </v>
      </c>
      <c r="F4824" s="5"/>
      <c r="G4824" s="5"/>
      <c r="H4824" s="5"/>
      <c r="I4824" s="6" t="str">
        <f>IFERROR(__xludf.DUMMYFUNCTION("""COMPUTED_VALUE"""),"https://t.me/n_ansaremam")</f>
        <v>https://t.me/n_ansaremam</v>
      </c>
      <c r="J4824" s="5"/>
      <c r="K4824" s="5"/>
      <c r="L4824" s="5"/>
      <c r="M4824" s="5"/>
      <c r="N4824" s="5"/>
      <c r="O4824" s="5"/>
      <c r="P4824" s="5"/>
      <c r="Q4824" s="5"/>
      <c r="R4824" s="5"/>
      <c r="S4824" s="5"/>
    </row>
    <row r="4825">
      <c r="A4825" s="5">
        <f>IFERROR(__xludf.DUMMYFUNCTION("""COMPUTED_VALUE"""),20314.0)</f>
        <v>20314</v>
      </c>
      <c r="B4825" s="5" t="str">
        <f>IFERROR(__xludf.DUMMYFUNCTION("""COMPUTED_VALUE"""),"هیئت")</f>
        <v>هیئت</v>
      </c>
      <c r="C4825" s="5" t="str">
        <f>IFERROR(__xludf.DUMMYFUNCTION("""COMPUTED_VALUE"""),"غریب مدینه")</f>
        <v>غریب مدینه</v>
      </c>
      <c r="D4825" s="5" t="str">
        <f>IFERROR(__xludf.DUMMYFUNCTION("""COMPUTED_VALUE"""),"البرز")</f>
        <v>البرز</v>
      </c>
      <c r="E4825" s="5" t="str">
        <f>IFERROR(__xludf.DUMMYFUNCTION("""COMPUTED_VALUE"""),"کرج")</f>
        <v>کرج</v>
      </c>
      <c r="F4825" s="5"/>
      <c r="G4825" s="5">
        <f>IFERROR(__xludf.DUMMYFUNCTION("""COMPUTED_VALUE"""),1.0)</f>
        <v>1</v>
      </c>
      <c r="H4825" s="5"/>
      <c r="I4825" s="6" t="str">
        <f>IFERROR(__xludf.DUMMYFUNCTION("""COMPUTED_VALUE"""),"https://t.me/mokb_madine")</f>
        <v>https://t.me/mokb_madine</v>
      </c>
      <c r="J4825" s="5"/>
      <c r="K4825" s="5"/>
      <c r="L4825" s="5"/>
      <c r="M4825" s="5"/>
      <c r="N4825" s="5"/>
      <c r="O4825" s="5"/>
      <c r="P4825" s="5"/>
      <c r="Q4825" s="5"/>
      <c r="R4825" s="5"/>
      <c r="S4825" s="5"/>
    </row>
    <row r="4826">
      <c r="A4826" s="5">
        <f>IFERROR(__xludf.DUMMYFUNCTION("""COMPUTED_VALUE"""),20518.0)</f>
        <v>20518</v>
      </c>
      <c r="B4826" s="5" t="str">
        <f>IFERROR(__xludf.DUMMYFUNCTION("""COMPUTED_VALUE"""),"هیئت")</f>
        <v>هیئت</v>
      </c>
      <c r="C4826" s="5" t="str">
        <f>IFERROR(__xludf.DUMMYFUNCTION("""COMPUTED_VALUE"""),"قرارگاه فرهنگی عمار")</f>
        <v>قرارگاه فرهنگی عمار</v>
      </c>
      <c r="D4826" s="5" t="str">
        <f>IFERROR(__xludf.DUMMYFUNCTION("""COMPUTED_VALUE"""),"البرز")</f>
        <v>البرز</v>
      </c>
      <c r="E4826" s="5" t="str">
        <f>IFERROR(__xludf.DUMMYFUNCTION("""COMPUTED_VALUE"""),"کرج")</f>
        <v>کرج</v>
      </c>
      <c r="F4826" s="5"/>
      <c r="G4826" s="5"/>
      <c r="H4826" s="5"/>
      <c r="I4826" s="5"/>
      <c r="J4826" s="6" t="str">
        <f>IFERROR(__xludf.DUMMYFUNCTION("""COMPUTED_VALUE"""),"https://eitaa.com/ammar_enghlab")</f>
        <v>https://eitaa.com/ammar_enghlab</v>
      </c>
      <c r="K4826" s="5"/>
      <c r="L4826" s="5"/>
      <c r="M4826" s="5"/>
      <c r="N4826" s="5"/>
      <c r="O4826" s="5"/>
      <c r="P4826" s="5"/>
      <c r="Q4826" s="5"/>
      <c r="R4826" s="5"/>
      <c r="S4826" s="5"/>
    </row>
    <row r="4827">
      <c r="A4827" s="5">
        <f>IFERROR(__xludf.DUMMYFUNCTION("""COMPUTED_VALUE"""),2356.0)</f>
        <v>2356</v>
      </c>
      <c r="B4827" s="5" t="str">
        <f>IFERROR(__xludf.DUMMYFUNCTION("""COMPUTED_VALUE"""),"هیئت")</f>
        <v>هیئت</v>
      </c>
      <c r="C4827" s="5" t="str">
        <f>IFERROR(__xludf.DUMMYFUNCTION("""COMPUTED_VALUE"""),"قمربنی هاشم(ع)")</f>
        <v>قمربنی هاشم(ع)</v>
      </c>
      <c r="D4827" s="5" t="str">
        <f>IFERROR(__xludf.DUMMYFUNCTION("""COMPUTED_VALUE"""),"البرز")</f>
        <v>البرز</v>
      </c>
      <c r="E4827" s="5" t="str">
        <f>IFERROR(__xludf.DUMMYFUNCTION("""COMPUTED_VALUE"""),"کرج")</f>
        <v>کرج</v>
      </c>
      <c r="F4827" s="5" t="str">
        <f>IFERROR(__xludf.DUMMYFUNCTION("""COMPUTED_VALUE"""),"نظرآباد")</f>
        <v>نظرآباد</v>
      </c>
      <c r="G4827" s="5"/>
      <c r="H4827" s="5"/>
      <c r="I4827" s="5"/>
      <c r="J4827" s="6" t="str">
        <f>IFERROR(__xludf.DUMMYFUNCTION("""COMPUTED_VALUE"""),"https://eitaa.com/hosseinieh313")</f>
        <v>https://eitaa.com/hosseinieh313</v>
      </c>
      <c r="K4827" s="5"/>
      <c r="L4827" s="5"/>
      <c r="M4827" s="5"/>
      <c r="N4827" s="5"/>
      <c r="O4827" s="5"/>
      <c r="P4827" s="5"/>
      <c r="Q4827" s="5"/>
      <c r="R4827" s="5"/>
      <c r="S4827" s="5"/>
    </row>
    <row r="4828">
      <c r="A4828" s="5">
        <f>IFERROR(__xludf.DUMMYFUNCTION("""COMPUTED_VALUE"""),19973.0)</f>
        <v>19973</v>
      </c>
      <c r="B4828" s="5" t="str">
        <f>IFERROR(__xludf.DUMMYFUNCTION("""COMPUTED_VALUE"""),"هیئت")</f>
        <v>هیئت</v>
      </c>
      <c r="C4828" s="5" t="str">
        <f>IFERROR(__xludf.DUMMYFUNCTION("""COMPUTED_VALUE"""),"کانون فرهنگی غدیر")</f>
        <v>کانون فرهنگی غدیر</v>
      </c>
      <c r="D4828" s="5" t="str">
        <f>IFERROR(__xludf.DUMMYFUNCTION("""COMPUTED_VALUE"""),"البرز")</f>
        <v>البرز</v>
      </c>
      <c r="E4828" s="5" t="str">
        <f>IFERROR(__xludf.DUMMYFUNCTION("""COMPUTED_VALUE"""),"کرج")</f>
        <v>کرج</v>
      </c>
      <c r="F4828" s="5"/>
      <c r="G4828" s="5"/>
      <c r="H4828" s="5"/>
      <c r="I4828" s="5"/>
      <c r="J4828" s="6" t="str">
        <f>IFERROR(__xludf.DUMMYFUNCTION("""COMPUTED_VALUE"""),"https://eitaa.com/kanoon_ghaadir")</f>
        <v>https://eitaa.com/kanoon_ghaadir</v>
      </c>
      <c r="K4828" s="5"/>
      <c r="L4828" s="5"/>
      <c r="M4828" s="5"/>
      <c r="N4828" s="5"/>
      <c r="O4828" s="5"/>
      <c r="P4828" s="5"/>
      <c r="Q4828" s="5"/>
      <c r="R4828" s="5"/>
      <c r="S4828" s="5"/>
    </row>
    <row r="4829">
      <c r="A4829" s="5">
        <f>IFERROR(__xludf.DUMMYFUNCTION("""COMPUTED_VALUE"""),2175.0)</f>
        <v>2175</v>
      </c>
      <c r="B4829" s="5" t="str">
        <f>IFERROR(__xludf.DUMMYFUNCTION("""COMPUTED_VALUE"""),"هیئت")</f>
        <v>هیئت</v>
      </c>
      <c r="C4829" s="5" t="str">
        <f>IFERROR(__xludf.DUMMYFUNCTION("""COMPUTED_VALUE"""),"متوسلین به مسلم بن عقیل(ع)")</f>
        <v>متوسلین به مسلم بن عقیل(ع)</v>
      </c>
      <c r="D4829" s="5" t="str">
        <f>IFERROR(__xludf.DUMMYFUNCTION("""COMPUTED_VALUE"""),"البرز")</f>
        <v>البرز</v>
      </c>
      <c r="E4829" s="5" t="str">
        <f>IFERROR(__xludf.DUMMYFUNCTION("""COMPUTED_VALUE"""),"کرج")</f>
        <v>کرج</v>
      </c>
      <c r="F4829" s="5"/>
      <c r="G4829" s="5"/>
      <c r="H4829" s="5"/>
      <c r="I4829" s="5"/>
      <c r="J4829" s="6" t="str">
        <f>IFERROR(__xludf.DUMMYFUNCTION("""COMPUTED_VALUE"""),"https://eitaa.com/haj_moslem_hadian")</f>
        <v>https://eitaa.com/haj_moslem_hadian</v>
      </c>
      <c r="K4829" s="5"/>
      <c r="L4829" s="5"/>
      <c r="M4829" s="5"/>
      <c r="N4829" s="5"/>
      <c r="O4829" s="5"/>
      <c r="P4829" s="5"/>
      <c r="Q4829" s="5"/>
      <c r="R4829" s="5"/>
      <c r="S4829" s="5"/>
    </row>
    <row r="4830">
      <c r="A4830" s="5">
        <f>IFERROR(__xludf.DUMMYFUNCTION("""COMPUTED_VALUE"""),18356.0)</f>
        <v>18356</v>
      </c>
      <c r="B4830" s="5" t="str">
        <f>IFERROR(__xludf.DUMMYFUNCTION("""COMPUTED_VALUE"""),"هیئت")</f>
        <v>هیئت</v>
      </c>
      <c r="C4830" s="5" t="str">
        <f>IFERROR(__xludf.DUMMYFUNCTION("""COMPUTED_VALUE"""),"محبان الائمه (ع) رزمندگان فردیس")</f>
        <v>محبان الائمه (ع) رزمندگان فردیس</v>
      </c>
      <c r="D4830" s="5" t="str">
        <f>IFERROR(__xludf.DUMMYFUNCTION("""COMPUTED_VALUE"""),"البرز")</f>
        <v>البرز</v>
      </c>
      <c r="E4830" s="5" t="str">
        <f>IFERROR(__xludf.DUMMYFUNCTION("""COMPUTED_VALUE"""),"فردیس")</f>
        <v>فردیس</v>
      </c>
      <c r="F4830" s="5"/>
      <c r="G4830" s="5"/>
      <c r="H4830" s="5"/>
      <c r="I4830" s="5"/>
      <c r="J4830" s="6" t="str">
        <f>IFERROR(__xludf.DUMMYFUNCTION("""COMPUTED_VALUE"""),"https://eitaa.com/mohebbanallemmehfardis")</f>
        <v>https://eitaa.com/mohebbanallemmehfardis</v>
      </c>
      <c r="K4830" s="5"/>
      <c r="L4830" s="5"/>
      <c r="M4830" s="5"/>
      <c r="N4830" s="5"/>
      <c r="O4830" s="5"/>
      <c r="P4830" s="5"/>
      <c r="Q4830" s="5"/>
      <c r="R4830" s="5"/>
      <c r="S4830" s="5"/>
    </row>
    <row r="4831">
      <c r="A4831" s="5">
        <f>IFERROR(__xludf.DUMMYFUNCTION("""COMPUTED_VALUE"""),20277.0)</f>
        <v>20277</v>
      </c>
      <c r="B4831" s="5" t="str">
        <f>IFERROR(__xludf.DUMMYFUNCTION("""COMPUTED_VALUE"""),"هیئت")</f>
        <v>هیئت</v>
      </c>
      <c r="C4831" s="5" t="str">
        <f>IFERROR(__xludf.DUMMYFUNCTION("""COMPUTED_VALUE"""),"محبان الائمه(ع)")</f>
        <v>محبان الائمه(ع)</v>
      </c>
      <c r="D4831" s="5" t="str">
        <f>IFERROR(__xludf.DUMMYFUNCTION("""COMPUTED_VALUE"""),"البرز")</f>
        <v>البرز</v>
      </c>
      <c r="E4831" s="5" t="str">
        <f>IFERROR(__xludf.DUMMYFUNCTION("""COMPUTED_VALUE"""),"کرج")</f>
        <v>کرج</v>
      </c>
      <c r="F4831" s="5"/>
      <c r="G4831" s="5"/>
      <c r="H4831" s="5"/>
      <c r="I4831" s="5"/>
      <c r="J4831" s="6" t="str">
        <f>IFERROR(__xludf.DUMMYFUNCTION("""COMPUTED_VALUE"""),"https://eitaa.com/mohebbanallemmehfardis")</f>
        <v>https://eitaa.com/mohebbanallemmehfardis</v>
      </c>
      <c r="K4831" s="5"/>
      <c r="L4831" s="5"/>
      <c r="M4831" s="5"/>
      <c r="N4831" s="5"/>
      <c r="O4831" s="5"/>
      <c r="P4831" s="5"/>
      <c r="Q4831" s="5"/>
      <c r="R4831" s="5"/>
      <c r="S4831" s="5"/>
    </row>
    <row r="4832">
      <c r="A4832" s="5">
        <f>IFERROR(__xludf.DUMMYFUNCTION("""COMPUTED_VALUE"""),21816.0)</f>
        <v>21816</v>
      </c>
      <c r="B4832" s="5" t="str">
        <f>IFERROR(__xludf.DUMMYFUNCTION("""COMPUTED_VALUE"""),"هیئت")</f>
        <v>هیئت</v>
      </c>
      <c r="C4832" s="5" t="str">
        <f>IFERROR(__xludf.DUMMYFUNCTION("""COMPUTED_VALUE"""),"محبان المهدی (عج)")</f>
        <v>محبان المهدی (عج)</v>
      </c>
      <c r="D4832" s="5" t="str">
        <f>IFERROR(__xludf.DUMMYFUNCTION("""COMPUTED_VALUE"""),"البرز")</f>
        <v>البرز</v>
      </c>
      <c r="E4832" s="5" t="str">
        <f>IFERROR(__xludf.DUMMYFUNCTION("""COMPUTED_VALUE"""),"کرج")</f>
        <v>کرج</v>
      </c>
      <c r="F4832" s="5"/>
      <c r="G4832" s="5"/>
      <c r="H4832" s="5"/>
      <c r="I4832" s="5"/>
      <c r="J4832" s="6" t="str">
        <f>IFERROR(__xludf.DUMMYFUNCTION("""COMPUTED_VALUE"""),"https://eitaa.com/mohebban_almahdii")</f>
        <v>https://eitaa.com/mohebban_almahdii</v>
      </c>
      <c r="K4832" s="5"/>
      <c r="L4832" s="5"/>
      <c r="M4832" s="5"/>
      <c r="N4832" s="5"/>
      <c r="O4832" s="5"/>
      <c r="P4832" s="5"/>
      <c r="Q4832" s="5"/>
      <c r="R4832" s="5"/>
      <c r="S4832" s="5"/>
    </row>
    <row r="4833">
      <c r="A4833" s="5">
        <f>IFERROR(__xludf.DUMMYFUNCTION("""COMPUTED_VALUE"""),18355.0)</f>
        <v>18355</v>
      </c>
      <c r="B4833" s="5" t="str">
        <f>IFERROR(__xludf.DUMMYFUNCTION("""COMPUTED_VALUE"""),"هیأت هفتگی")</f>
        <v>هیأت هفتگی</v>
      </c>
      <c r="C4833" s="5" t="str">
        <f>IFERROR(__xludf.DUMMYFUNCTION("""COMPUTED_VALUE"""),"محبان المهدی(عج)")</f>
        <v>محبان المهدی(عج)</v>
      </c>
      <c r="D4833" s="5" t="str">
        <f>IFERROR(__xludf.DUMMYFUNCTION("""COMPUTED_VALUE"""),"البرز")</f>
        <v>البرز</v>
      </c>
      <c r="E4833" s="5" t="str">
        <f>IFERROR(__xludf.DUMMYFUNCTION("""COMPUTED_VALUE"""),"کوهسار")</f>
        <v>کوهسار</v>
      </c>
      <c r="F4833" s="5"/>
      <c r="G4833" s="5"/>
      <c r="H4833" s="5"/>
      <c r="I4833" s="5"/>
      <c r="J4833" s="6" t="str">
        <f>IFERROR(__xludf.DUMMYFUNCTION("""COMPUTED_VALUE"""),"https://eitaa.com/mohebban_mahdi1")</f>
        <v>https://eitaa.com/mohebban_mahdi1</v>
      </c>
      <c r="K4833" s="5"/>
      <c r="L4833" s="5"/>
      <c r="M4833" s="5"/>
      <c r="N4833" s="5"/>
      <c r="O4833" s="5"/>
      <c r="P4833" s="5"/>
      <c r="Q4833" s="5"/>
      <c r="R4833" s="5"/>
      <c r="S4833" s="5"/>
    </row>
    <row r="4834">
      <c r="A4834" s="5">
        <f>IFERROR(__xludf.DUMMYFUNCTION("""COMPUTED_VALUE"""),20258.0)</f>
        <v>20258</v>
      </c>
      <c r="B4834" s="5" t="str">
        <f>IFERROR(__xludf.DUMMYFUNCTION("""COMPUTED_VALUE"""),"هیئت")</f>
        <v>هیئت</v>
      </c>
      <c r="C4834" s="5" t="str">
        <f>IFERROR(__xludf.DUMMYFUNCTION("""COMPUTED_VALUE"""),"محبان امام حسن(ع)")</f>
        <v>محبان امام حسن(ع)</v>
      </c>
      <c r="D4834" s="5" t="str">
        <f>IFERROR(__xludf.DUMMYFUNCTION("""COMPUTED_VALUE"""),"البرز")</f>
        <v>البرز</v>
      </c>
      <c r="E4834" s="5" t="str">
        <f>IFERROR(__xludf.DUMMYFUNCTION("""COMPUTED_VALUE"""),"کرج")</f>
        <v>کرج</v>
      </c>
      <c r="F4834" s="5"/>
      <c r="G4834" s="5"/>
      <c r="H4834" s="5"/>
      <c r="I4834" s="5"/>
      <c r="J4834" s="6" t="str">
        <f>IFERROR(__xludf.DUMMYFUNCTION("""COMPUTED_VALUE"""),"https://eitaa.com/LoversofHassan")</f>
        <v>https://eitaa.com/LoversofHassan</v>
      </c>
      <c r="K4834" s="5"/>
      <c r="L4834" s="5"/>
      <c r="M4834" s="5"/>
      <c r="N4834" s="5"/>
      <c r="O4834" s="5"/>
      <c r="P4834" s="5"/>
      <c r="Q4834" s="5"/>
      <c r="R4834" s="5"/>
      <c r="S4834" s="5"/>
    </row>
    <row r="4835">
      <c r="A4835" s="5">
        <f>IFERROR(__xludf.DUMMYFUNCTION("""COMPUTED_VALUE"""),30132.0)</f>
        <v>30132</v>
      </c>
      <c r="B4835" s="5" t="str">
        <f>IFERROR(__xludf.DUMMYFUNCTION("""COMPUTED_VALUE"""),"هیئت")</f>
        <v>هیئت</v>
      </c>
      <c r="C4835" s="5" t="str">
        <f>IFERROR(__xludf.DUMMYFUNCTION("""COMPUTED_VALUE"""),"محبین الائمه")</f>
        <v>محبین الائمه</v>
      </c>
      <c r="D4835" s="5" t="str">
        <f>IFERROR(__xludf.DUMMYFUNCTION("""COMPUTED_VALUE"""),"البرز")</f>
        <v>البرز</v>
      </c>
      <c r="E4835" s="5" t="str">
        <f>IFERROR(__xludf.DUMMYFUNCTION("""COMPUTED_VALUE"""),"کرج ")</f>
        <v>کرج </v>
      </c>
      <c r="F4835" s="5"/>
      <c r="G4835" s="5"/>
      <c r="H4835" s="5"/>
      <c r="I4835" s="6" t="str">
        <f>IFERROR(__xludf.DUMMYFUNCTION("""COMPUTED_VALUE"""),"https://t.me/mohebbinolaeemekhor")</f>
        <v>https://t.me/mohebbinolaeemekhor</v>
      </c>
      <c r="J4835" s="5"/>
      <c r="K4835" s="5"/>
      <c r="L4835" s="5"/>
      <c r="M4835" s="5"/>
      <c r="N4835" s="5"/>
      <c r="O4835" s="5"/>
      <c r="P4835" s="5"/>
      <c r="Q4835" s="5"/>
      <c r="R4835" s="5"/>
      <c r="S4835" s="5"/>
    </row>
    <row r="4836">
      <c r="A4836" s="5">
        <f>IFERROR(__xludf.DUMMYFUNCTION("""COMPUTED_VALUE"""),2364.0)</f>
        <v>2364</v>
      </c>
      <c r="B4836" s="5" t="str">
        <f>IFERROR(__xludf.DUMMYFUNCTION("""COMPUTED_VALUE"""),"هیئت")</f>
        <v>هیئت</v>
      </c>
      <c r="C4836" s="5" t="str">
        <f>IFERROR(__xludf.DUMMYFUNCTION("""COMPUTED_VALUE"""),"محبین الائمه(ع)")</f>
        <v>محبین الائمه(ع)</v>
      </c>
      <c r="D4836" s="5" t="str">
        <f>IFERROR(__xludf.DUMMYFUNCTION("""COMPUTED_VALUE"""),"البرز")</f>
        <v>البرز</v>
      </c>
      <c r="E4836" s="5" t="str">
        <f>IFERROR(__xludf.DUMMYFUNCTION("""COMPUTED_VALUE"""),"کرج")</f>
        <v>کرج</v>
      </c>
      <c r="F4836" s="5" t="str">
        <f>IFERROR(__xludf.DUMMYFUNCTION("""COMPUTED_VALUE"""),"نظرآباد")</f>
        <v>نظرآباد</v>
      </c>
      <c r="G4836" s="5"/>
      <c r="H4836" s="5"/>
      <c r="I4836" s="5"/>
      <c r="J4836" s="6" t="str">
        <f>IFERROR(__xludf.DUMMYFUNCTION("""COMPUTED_VALUE"""),"https://eitaa.com/mohebbinolaemmeh79")</f>
        <v>https://eitaa.com/mohebbinolaemmeh79</v>
      </c>
      <c r="K4836" s="5"/>
      <c r="L4836" s="5"/>
      <c r="M4836" s="5"/>
      <c r="N4836" s="5"/>
      <c r="O4836" s="5"/>
      <c r="P4836" s="5"/>
      <c r="Q4836" s="5"/>
      <c r="R4836" s="5"/>
      <c r="S4836" s="5"/>
    </row>
    <row r="4837">
      <c r="A4837" s="5">
        <f>IFERROR(__xludf.DUMMYFUNCTION("""COMPUTED_VALUE"""),26665.0)</f>
        <v>26665</v>
      </c>
      <c r="B4837" s="5" t="str">
        <f>IFERROR(__xludf.DUMMYFUNCTION("""COMPUTED_VALUE"""),"هیئت")</f>
        <v>هیئت</v>
      </c>
      <c r="C4837" s="5" t="str">
        <f>IFERROR(__xludf.DUMMYFUNCTION("""COMPUTED_VALUE"""),"محبین المهدی (عج)")</f>
        <v>محبین المهدی (عج)</v>
      </c>
      <c r="D4837" s="5" t="str">
        <f>IFERROR(__xludf.DUMMYFUNCTION("""COMPUTED_VALUE"""),"البرز")</f>
        <v>البرز</v>
      </c>
      <c r="E4837" s="5" t="str">
        <f>IFERROR(__xludf.DUMMYFUNCTION("""COMPUTED_VALUE"""),"کرج")</f>
        <v>کرج</v>
      </c>
      <c r="F4837" s="5"/>
      <c r="G4837" s="5"/>
      <c r="H4837" s="5"/>
      <c r="I4837" s="5"/>
      <c r="J4837" s="6" t="str">
        <f>IFERROR(__xludf.DUMMYFUNCTION("""COMPUTED_VALUE"""),"https://eitaa.com/mohbanalmahdii")</f>
        <v>https://eitaa.com/mohbanalmahdii</v>
      </c>
      <c r="K4837" s="5"/>
      <c r="L4837" s="5"/>
      <c r="M4837" s="5"/>
      <c r="N4837" s="5"/>
      <c r="O4837" s="5"/>
      <c r="P4837" s="5"/>
      <c r="Q4837" s="5"/>
      <c r="R4837" s="5"/>
      <c r="S4837" s="5"/>
    </row>
    <row r="4838">
      <c r="A4838" s="5">
        <f>IFERROR(__xludf.DUMMYFUNCTION("""COMPUTED_VALUE"""),2381.0)</f>
        <v>2381</v>
      </c>
      <c r="B4838" s="5" t="str">
        <f>IFERROR(__xludf.DUMMYFUNCTION("""COMPUTED_VALUE"""),"هیئت")</f>
        <v>هیئت</v>
      </c>
      <c r="C4838" s="5" t="str">
        <f>IFERROR(__xludf.DUMMYFUNCTION("""COMPUTED_VALUE"""),"محبین اهل بیت(ع)")</f>
        <v>محبین اهل بیت(ع)</v>
      </c>
      <c r="D4838" s="5" t="str">
        <f>IFERROR(__xludf.DUMMYFUNCTION("""COMPUTED_VALUE"""),"البرز")</f>
        <v>البرز</v>
      </c>
      <c r="E4838" s="5" t="str">
        <f>IFERROR(__xludf.DUMMYFUNCTION("""COMPUTED_VALUE"""),"کرج")</f>
        <v>کرج</v>
      </c>
      <c r="F4838" s="5"/>
      <c r="G4838" s="5"/>
      <c r="H4838" s="5"/>
      <c r="I4838" s="5"/>
      <c r="J4838" s="6" t="str">
        <f>IFERROR(__xludf.DUMMYFUNCTION("""COMPUTED_VALUE"""),"https://eitaa.com/mohebbin_net")</f>
        <v>https://eitaa.com/mohebbin_net</v>
      </c>
      <c r="K4838" s="5"/>
      <c r="L4838" s="5"/>
      <c r="M4838" s="5"/>
      <c r="N4838" s="5"/>
      <c r="O4838" s="5"/>
      <c r="P4838" s="5"/>
      <c r="Q4838" s="5"/>
      <c r="R4838" s="5"/>
      <c r="S4838" s="5"/>
    </row>
    <row r="4839">
      <c r="A4839" s="5">
        <f>IFERROR(__xludf.DUMMYFUNCTION("""COMPUTED_VALUE"""),2300.0)</f>
        <v>2300</v>
      </c>
      <c r="B4839" s="5" t="str">
        <f>IFERROR(__xludf.DUMMYFUNCTION("""COMPUTED_VALUE"""),"هیئت")</f>
        <v>هیئت</v>
      </c>
      <c r="C4839" s="5" t="str">
        <f>IFERROR(__xludf.DUMMYFUNCTION("""COMPUTED_VALUE"""),"مسجد المهدی (عج)")</f>
        <v>مسجد المهدی (عج)</v>
      </c>
      <c r="D4839" s="5" t="str">
        <f>IFERROR(__xludf.DUMMYFUNCTION("""COMPUTED_VALUE"""),"البرز")</f>
        <v>البرز</v>
      </c>
      <c r="E4839" s="5" t="str">
        <f>IFERROR(__xludf.DUMMYFUNCTION("""COMPUTED_VALUE"""),"کرج")</f>
        <v>کرج</v>
      </c>
      <c r="F4839" s="5"/>
      <c r="G4839" s="5"/>
      <c r="H4839" s="5"/>
      <c r="I4839" s="5"/>
      <c r="J4839" s="6" t="str">
        <f>IFERROR(__xludf.DUMMYFUNCTION("""COMPUTED_VALUE"""),"https://eitaa.com/masjedalmahdi_karaj")</f>
        <v>https://eitaa.com/masjedalmahdi_karaj</v>
      </c>
      <c r="K4839" s="5"/>
      <c r="L4839" s="5"/>
      <c r="M4839" s="5"/>
      <c r="N4839" s="5"/>
      <c r="O4839" s="5"/>
      <c r="P4839" s="5"/>
      <c r="Q4839" s="5"/>
      <c r="R4839" s="5"/>
      <c r="S4839" s="5"/>
    </row>
    <row r="4840">
      <c r="A4840" s="5">
        <f>IFERROR(__xludf.DUMMYFUNCTION("""COMPUTED_VALUE"""),20261.0)</f>
        <v>20261</v>
      </c>
      <c r="B4840" s="5" t="str">
        <f>IFERROR(__xludf.DUMMYFUNCTION("""COMPUTED_VALUE"""),"هیئت")</f>
        <v>هیئت</v>
      </c>
      <c r="C4840" s="5" t="str">
        <f>IFERROR(__xludf.DUMMYFUNCTION("""COMPUTED_VALUE"""),"مسجد المهدی(ع)")</f>
        <v>مسجد المهدی(ع)</v>
      </c>
      <c r="D4840" s="5" t="str">
        <f>IFERROR(__xludf.DUMMYFUNCTION("""COMPUTED_VALUE"""),"البرز")</f>
        <v>البرز</v>
      </c>
      <c r="E4840" s="5" t="str">
        <f>IFERROR(__xludf.DUMMYFUNCTION("""COMPUTED_VALUE"""),"کرج")</f>
        <v>کرج</v>
      </c>
      <c r="F4840" s="5"/>
      <c r="G4840" s="5"/>
      <c r="H4840" s="5"/>
      <c r="I4840" s="5"/>
      <c r="J4840" s="6" t="str">
        <f>IFERROR(__xludf.DUMMYFUNCTION("""COMPUTED_VALUE"""),"https://eitaa.com/masjedalmahdi_karaj")</f>
        <v>https://eitaa.com/masjedalmahdi_karaj</v>
      </c>
      <c r="K4840" s="5"/>
      <c r="L4840" s="5"/>
      <c r="M4840" s="5"/>
      <c r="N4840" s="5"/>
      <c r="O4840" s="5"/>
      <c r="P4840" s="5"/>
      <c r="Q4840" s="5"/>
      <c r="R4840" s="5"/>
      <c r="S4840" s="5"/>
    </row>
    <row r="4841">
      <c r="A4841" s="5">
        <f>IFERROR(__xludf.DUMMYFUNCTION("""COMPUTED_VALUE"""),2203.0)</f>
        <v>2203</v>
      </c>
      <c r="B4841" s="5" t="str">
        <f>IFERROR(__xludf.DUMMYFUNCTION("""COMPUTED_VALUE"""),"هیئت")</f>
        <v>هیئت</v>
      </c>
      <c r="C4841" s="5" t="str">
        <f>IFERROR(__xludf.DUMMYFUNCTION("""COMPUTED_VALUE"""),"مسجد جامع المهدی (عج) / حضرت روح الله (ره)")</f>
        <v>مسجد جامع المهدی (عج) / حضرت روح الله (ره)</v>
      </c>
      <c r="D4841" s="5" t="str">
        <f>IFERROR(__xludf.DUMMYFUNCTION("""COMPUTED_VALUE"""),"البرز")</f>
        <v>البرز</v>
      </c>
      <c r="E4841" s="5" t="str">
        <f>IFERROR(__xludf.DUMMYFUNCTION("""COMPUTED_VALUE"""),"کرج")</f>
        <v>کرج</v>
      </c>
      <c r="F4841" s="5"/>
      <c r="G4841" s="5"/>
      <c r="H4841" s="5"/>
      <c r="I4841" s="5"/>
      <c r="J4841" s="6" t="str">
        <f>IFERROR(__xludf.DUMMYFUNCTION("""COMPUTED_VALUE"""),"https://eitaa.com/almahdifardis")</f>
        <v>https://eitaa.com/almahdifardis</v>
      </c>
      <c r="K4841" s="5"/>
      <c r="L4841" s="5"/>
      <c r="M4841" s="5"/>
      <c r="N4841" s="5"/>
      <c r="O4841" s="5"/>
      <c r="P4841" s="5"/>
      <c r="Q4841" s="5"/>
      <c r="R4841" s="5"/>
      <c r="S4841" s="5"/>
    </row>
    <row r="4842">
      <c r="A4842" s="5">
        <f>IFERROR(__xludf.DUMMYFUNCTION("""COMPUTED_VALUE"""),18575.0)</f>
        <v>18575</v>
      </c>
      <c r="B4842" s="5" t="str">
        <f>IFERROR(__xludf.DUMMYFUNCTION("""COMPUTED_VALUE"""),"هیئت")</f>
        <v>هیئت</v>
      </c>
      <c r="C4842" s="5" t="str">
        <f>IFERROR(__xludf.DUMMYFUNCTION("""COMPUTED_VALUE"""),"مسجد جامع حصارک")</f>
        <v>مسجد جامع حصارک</v>
      </c>
      <c r="D4842" s="5" t="str">
        <f>IFERROR(__xludf.DUMMYFUNCTION("""COMPUTED_VALUE"""),"البرز")</f>
        <v>البرز</v>
      </c>
      <c r="E4842" s="5" t="str">
        <f>IFERROR(__xludf.DUMMYFUNCTION("""COMPUTED_VALUE"""),"کرج")</f>
        <v>کرج</v>
      </c>
      <c r="F4842" s="5"/>
      <c r="G4842" s="5"/>
      <c r="H4842" s="5"/>
      <c r="I4842" s="5"/>
      <c r="J4842" s="6" t="str">
        <f>IFERROR(__xludf.DUMMYFUNCTION("""COMPUTED_VALUE"""),"https://eitaa.com/masjeed_jame")</f>
        <v>https://eitaa.com/masjeed_jame</v>
      </c>
      <c r="K4842" s="5"/>
      <c r="L4842" s="5"/>
      <c r="M4842" s="5"/>
      <c r="N4842" s="5"/>
      <c r="O4842" s="5"/>
      <c r="P4842" s="5"/>
      <c r="Q4842" s="5"/>
      <c r="R4842" s="5"/>
      <c r="S4842" s="5"/>
    </row>
    <row r="4843">
      <c r="A4843" s="5">
        <f>IFERROR(__xludf.DUMMYFUNCTION("""COMPUTED_VALUE"""),20233.0)</f>
        <v>20233</v>
      </c>
      <c r="B4843" s="5" t="str">
        <f>IFERROR(__xludf.DUMMYFUNCTION("""COMPUTED_VALUE"""),"هیئت")</f>
        <v>هیئت</v>
      </c>
      <c r="C4843" s="5" t="str">
        <f>IFERROR(__xludf.DUMMYFUNCTION("""COMPUTED_VALUE"""),"مسجدحضرت خدیجه (س)")</f>
        <v>مسجدحضرت خدیجه (س)</v>
      </c>
      <c r="D4843" s="5" t="str">
        <f>IFERROR(__xludf.DUMMYFUNCTION("""COMPUTED_VALUE"""),"البرز")</f>
        <v>البرز</v>
      </c>
      <c r="E4843" s="5" t="str">
        <f>IFERROR(__xludf.DUMMYFUNCTION("""COMPUTED_VALUE"""),"کرج")</f>
        <v>کرج</v>
      </c>
      <c r="F4843" s="5"/>
      <c r="G4843" s="5"/>
      <c r="H4843" s="5"/>
      <c r="I4843" s="5"/>
      <c r="J4843" s="6" t="str">
        <f>IFERROR(__xludf.DUMMYFUNCTION("""COMPUTED_VALUE"""),"https://eitaa.com/masjed_hazratkhadijeh")</f>
        <v>https://eitaa.com/masjed_hazratkhadijeh</v>
      </c>
      <c r="K4843" s="5"/>
      <c r="L4843" s="5"/>
      <c r="M4843" s="5"/>
      <c r="N4843" s="5"/>
      <c r="O4843" s="5"/>
      <c r="P4843" s="5"/>
      <c r="Q4843" s="5"/>
      <c r="R4843" s="5"/>
      <c r="S4843" s="5"/>
    </row>
    <row r="4844">
      <c r="A4844" s="5">
        <f>IFERROR(__xludf.DUMMYFUNCTION("""COMPUTED_VALUE"""),20233.0)</f>
        <v>20233</v>
      </c>
      <c r="B4844" s="5" t="str">
        <f>IFERROR(__xludf.DUMMYFUNCTION("""COMPUTED_VALUE"""),"هیئت")</f>
        <v>هیئت</v>
      </c>
      <c r="C4844" s="5" t="str">
        <f>IFERROR(__xludf.DUMMYFUNCTION("""COMPUTED_VALUE"""),"مسجدحضرت خدیجه (س)")</f>
        <v>مسجدحضرت خدیجه (س)</v>
      </c>
      <c r="D4844" s="5" t="str">
        <f>IFERROR(__xludf.DUMMYFUNCTION("""COMPUTED_VALUE"""),"البرز")</f>
        <v>البرز</v>
      </c>
      <c r="E4844" s="5" t="str">
        <f>IFERROR(__xludf.DUMMYFUNCTION("""COMPUTED_VALUE"""),"کرج")</f>
        <v>کرج</v>
      </c>
      <c r="F4844" s="5"/>
      <c r="G4844" s="5"/>
      <c r="H4844" s="5"/>
      <c r="I4844" s="5"/>
      <c r="J4844" s="6" t="str">
        <f>IFERROR(__xludf.DUMMYFUNCTION("""COMPUTED_VALUE"""),"https://eitaa.com/masjed_hazratkhadijeh")</f>
        <v>https://eitaa.com/masjed_hazratkhadijeh</v>
      </c>
      <c r="K4844" s="5"/>
      <c r="L4844" s="5"/>
      <c r="M4844" s="5"/>
      <c r="N4844" s="5"/>
      <c r="O4844" s="5"/>
      <c r="P4844" s="5"/>
      <c r="Q4844" s="5"/>
      <c r="R4844" s="5"/>
      <c r="S4844" s="5"/>
    </row>
    <row r="4845">
      <c r="A4845" s="5">
        <f>IFERROR(__xludf.DUMMYFUNCTION("""COMPUTED_VALUE"""),33125.0)</f>
        <v>33125</v>
      </c>
      <c r="B4845" s="5" t="str">
        <f>IFERROR(__xludf.DUMMYFUNCTION("""COMPUTED_VALUE"""),"هیئت")</f>
        <v>هیئت</v>
      </c>
      <c r="C4845" s="5" t="str">
        <f>IFERROR(__xludf.DUMMYFUNCTION("""COMPUTED_VALUE"""),"معراج الشهدا")</f>
        <v>معراج الشهدا</v>
      </c>
      <c r="D4845" s="5" t="str">
        <f>IFERROR(__xludf.DUMMYFUNCTION("""COMPUTED_VALUE"""),"البرز")</f>
        <v>البرز</v>
      </c>
      <c r="E4845" s="5" t="str">
        <f>IFERROR(__xludf.DUMMYFUNCTION("""COMPUTED_VALUE"""),"کرج")</f>
        <v>کرج</v>
      </c>
      <c r="F4845" s="5" t="str">
        <f>IFERROR(__xludf.DUMMYFUNCTION("""COMPUTED_VALUE"""),"ساوجبلاغ هشتگرد")</f>
        <v>ساوجبلاغ هشتگرد</v>
      </c>
      <c r="G4845" s="5"/>
      <c r="H4845" s="5"/>
      <c r="I4845" s="5"/>
      <c r="J4845" s="6" t="str">
        <f>IFERROR(__xludf.DUMMYFUNCTION("""COMPUTED_VALUE"""),"https://eitaa.com/meraajoshohadaa")</f>
        <v>https://eitaa.com/meraajoshohadaa</v>
      </c>
      <c r="K4845" s="5"/>
      <c r="L4845" s="5"/>
      <c r="M4845" s="5"/>
      <c r="N4845" s="5"/>
      <c r="O4845" s="5"/>
      <c r="P4845" s="5"/>
      <c r="Q4845" s="5"/>
      <c r="R4845" s="5"/>
      <c r="S4845" s="5"/>
    </row>
    <row r="4846">
      <c r="A4846" s="5">
        <f>IFERROR(__xludf.DUMMYFUNCTION("""COMPUTED_VALUE"""),32670.0)</f>
        <v>32670</v>
      </c>
      <c r="B4846" s="5" t="str">
        <f>IFERROR(__xludf.DUMMYFUNCTION("""COMPUTED_VALUE"""),"هیأت دخترانه")</f>
        <v>هیأت دخترانه</v>
      </c>
      <c r="C4846" s="5" t="str">
        <f>IFERROR(__xludf.DUMMYFUNCTION("""COMPUTED_VALUE"""),"معظم بنات الحیدر")</f>
        <v>معظم بنات الحیدر</v>
      </c>
      <c r="D4846" s="5" t="str">
        <f>IFERROR(__xludf.DUMMYFUNCTION("""COMPUTED_VALUE"""),"البرز")</f>
        <v>البرز</v>
      </c>
      <c r="E4846" s="5" t="str">
        <f>IFERROR(__xludf.DUMMYFUNCTION("""COMPUTED_VALUE"""),"کرج")</f>
        <v>کرج</v>
      </c>
      <c r="F4846" s="5"/>
      <c r="G4846" s="5"/>
      <c r="H4846" s="5"/>
      <c r="I4846" s="5"/>
      <c r="J4846" s="6" t="str">
        <f>IFERROR(__xludf.DUMMYFUNCTION("""COMPUTED_VALUE"""),"https://eitaa.com/banatolheydar")</f>
        <v>https://eitaa.com/banatolheydar</v>
      </c>
      <c r="K4846" s="5"/>
      <c r="L4846" s="5"/>
      <c r="M4846" s="5"/>
      <c r="N4846" s="5"/>
      <c r="O4846" s="5"/>
      <c r="P4846" s="5"/>
      <c r="Q4846" s="5"/>
      <c r="R4846" s="5"/>
      <c r="S4846" s="5"/>
    </row>
    <row r="4847">
      <c r="A4847" s="5">
        <f>IFERROR(__xludf.DUMMYFUNCTION("""COMPUTED_VALUE"""),21569.0)</f>
        <v>21569</v>
      </c>
      <c r="B4847" s="5" t="str">
        <f>IFERROR(__xludf.DUMMYFUNCTION("""COMPUTED_VALUE"""),"هیأت هفتگی")</f>
        <v>هیأت هفتگی</v>
      </c>
      <c r="C4847" s="5" t="str">
        <f>IFERROR(__xludf.DUMMYFUNCTION("""COMPUTED_VALUE"""),"منتظران قائم(عج)")</f>
        <v>منتظران قائم(عج)</v>
      </c>
      <c r="D4847" s="5" t="str">
        <f>IFERROR(__xludf.DUMMYFUNCTION("""COMPUTED_VALUE"""),"البرز")</f>
        <v>البرز</v>
      </c>
      <c r="E4847" s="5" t="str">
        <f>IFERROR(__xludf.DUMMYFUNCTION("""COMPUTED_VALUE"""),"فردیس")</f>
        <v>فردیس</v>
      </c>
      <c r="F4847" s="5"/>
      <c r="G4847" s="5"/>
      <c r="H4847" s="5"/>
      <c r="I4847" s="5"/>
      <c r="J4847" s="6" t="str">
        <f>IFERROR(__xludf.DUMMYFUNCTION("""COMPUTED_VALUE"""),"https://eitaa.com/montazeranfardis")</f>
        <v>https://eitaa.com/montazeranfardis</v>
      </c>
      <c r="K4847" s="5"/>
      <c r="L4847" s="5"/>
      <c r="M4847" s="5"/>
      <c r="N4847" s="5"/>
      <c r="O4847" s="5"/>
      <c r="P4847" s="5"/>
      <c r="Q4847" s="5"/>
      <c r="R4847" s="5"/>
      <c r="S4847" s="5"/>
    </row>
    <row r="4848">
      <c r="A4848" s="5">
        <f>IFERROR(__xludf.DUMMYFUNCTION("""COMPUTED_VALUE"""),2320.0)</f>
        <v>2320</v>
      </c>
      <c r="B4848" s="5" t="str">
        <f>IFERROR(__xludf.DUMMYFUNCTION("""COMPUTED_VALUE"""),"هیئت")</f>
        <v>هیئت</v>
      </c>
      <c r="C4848" s="5" t="str">
        <f>IFERROR(__xludf.DUMMYFUNCTION("""COMPUTED_VALUE"""),"نصارالحسین(ع)")</f>
        <v>نصارالحسین(ع)</v>
      </c>
      <c r="D4848" s="5" t="str">
        <f>IFERROR(__xludf.DUMMYFUNCTION("""COMPUTED_VALUE"""),"البرز")</f>
        <v>البرز</v>
      </c>
      <c r="E4848" s="5" t="str">
        <f>IFERROR(__xludf.DUMMYFUNCTION("""COMPUTED_VALUE"""),"کرج")</f>
        <v>کرج</v>
      </c>
      <c r="F4848" s="5"/>
      <c r="G4848" s="5"/>
      <c r="H4848" s="5"/>
      <c r="I4848" s="5"/>
      <c r="J4848" s="6" t="str">
        <f>IFERROR(__xludf.DUMMYFUNCTION("""COMPUTED_VALUE"""),"https://eitaa.com/ansarollhosain")</f>
        <v>https://eitaa.com/ansarollhosain</v>
      </c>
      <c r="K4848" s="5"/>
      <c r="L4848" s="5"/>
      <c r="M4848" s="5"/>
      <c r="N4848" s="5"/>
      <c r="O4848" s="5"/>
      <c r="P4848" s="5"/>
      <c r="Q4848" s="5"/>
      <c r="R4848" s="5"/>
      <c r="S4848" s="5"/>
    </row>
    <row r="4849">
      <c r="A4849" s="5">
        <f>IFERROR(__xludf.DUMMYFUNCTION("""COMPUTED_VALUE"""),2399.0)</f>
        <v>2399</v>
      </c>
      <c r="B4849" s="5" t="str">
        <f>IFERROR(__xludf.DUMMYFUNCTION("""COMPUTED_VALUE"""),"هیئت")</f>
        <v>هیئت</v>
      </c>
      <c r="C4849" s="5" t="str">
        <f>IFERROR(__xludf.DUMMYFUNCTION("""COMPUTED_VALUE"""),"یافاطمه الزهرا (س) / خادمین بیت الشهدا")</f>
        <v>یافاطمه الزهرا (س) / خادمین بیت الشهدا</v>
      </c>
      <c r="D4849" s="5" t="str">
        <f>IFERROR(__xludf.DUMMYFUNCTION("""COMPUTED_VALUE"""),"البرز")</f>
        <v>البرز</v>
      </c>
      <c r="E4849" s="5" t="str">
        <f>IFERROR(__xludf.DUMMYFUNCTION("""COMPUTED_VALUE"""),"کرج")</f>
        <v>کرج</v>
      </c>
      <c r="F4849" s="5"/>
      <c r="G4849" s="5"/>
      <c r="H4849" s="5"/>
      <c r="I4849" s="5"/>
      <c r="J4849" s="6" t="str">
        <f>IFERROR(__xludf.DUMMYFUNCTION("""COMPUTED_VALUE"""),"https://eitaa.com/yafatemekhadmin")</f>
        <v>https://eitaa.com/yafatemekhadmin</v>
      </c>
      <c r="K4849" s="5"/>
      <c r="L4849" s="5"/>
      <c r="M4849" s="5"/>
      <c r="N4849" s="5"/>
      <c r="O4849" s="5"/>
      <c r="P4849" s="5"/>
      <c r="Q4849" s="5"/>
      <c r="R4849" s="5"/>
      <c r="S4849" s="5"/>
    </row>
    <row r="4850">
      <c r="A4850" s="5"/>
      <c r="B4850" s="5" t="str">
        <f>IFERROR(__xludf.DUMMYFUNCTION("""COMPUTED_VALUE"""),"موکب")</f>
        <v>موکب</v>
      </c>
      <c r="C4850" s="5" t="str">
        <f>IFERROR(__xludf.DUMMYFUNCTION("""COMPUTED_VALUE"""),"زائرین بهشت(موکب خدام الزهراء)")</f>
        <v>زائرین بهشت(موکب خدام الزهراء)</v>
      </c>
      <c r="D4850" s="5" t="str">
        <f>IFERROR(__xludf.DUMMYFUNCTION("""COMPUTED_VALUE"""),"البرز")</f>
        <v>البرز</v>
      </c>
      <c r="E4850" s="5" t="str">
        <f>IFERROR(__xludf.DUMMYFUNCTION("""COMPUTED_VALUE"""),"البرز")</f>
        <v>البرز</v>
      </c>
      <c r="F4850" s="5"/>
      <c r="G4850" s="5"/>
      <c r="H4850" s="5"/>
      <c r="I4850" s="5"/>
      <c r="J4850" s="6" t="str">
        <f>IFERROR(__xludf.DUMMYFUNCTION("""COMPUTED_VALUE"""),"https://eitaa.com/mokeb_khodam_alzahra")</f>
        <v>https://eitaa.com/mokeb_khodam_alzahra</v>
      </c>
      <c r="K4850" s="5"/>
      <c r="L4850" s="5"/>
      <c r="M4850" s="5"/>
      <c r="N4850" s="5"/>
      <c r="O4850" s="5"/>
      <c r="P4850" s="5"/>
      <c r="Q4850" s="5"/>
      <c r="R4850" s="5"/>
      <c r="S4850" s="5"/>
    </row>
    <row r="4851">
      <c r="A4851" s="5"/>
      <c r="B4851" s="5" t="str">
        <f>IFERROR(__xludf.DUMMYFUNCTION("""COMPUTED_VALUE"""),"هیأت")</f>
        <v>هیأت</v>
      </c>
      <c r="C4851" s="5" t="str">
        <f>IFERROR(__xludf.DUMMYFUNCTION("""COMPUTED_VALUE"""),"رزمندگان اسلام مکشین دشت")</f>
        <v>رزمندگان اسلام مکشین دشت</v>
      </c>
      <c r="D4851" s="5" t="str">
        <f>IFERROR(__xludf.DUMMYFUNCTION("""COMPUTED_VALUE"""),"البرز")</f>
        <v>البرز</v>
      </c>
      <c r="E4851" s="5" t="str">
        <f>IFERROR(__xludf.DUMMYFUNCTION("""COMPUTED_VALUE"""),"کرج")</f>
        <v>کرج</v>
      </c>
      <c r="F4851" s="5"/>
      <c r="G4851" s="5"/>
      <c r="H4851" s="6" t="str">
        <f>IFERROR(__xludf.DUMMYFUNCTION("""COMPUTED_VALUE"""),"https://www.instagram.com/montazerane_karaj")</f>
        <v>https://www.instagram.com/montazerane_karaj</v>
      </c>
      <c r="I4851" s="6" t="str">
        <f>IFERROR(__xludf.DUMMYFUNCTION("""COMPUTED_VALUE"""),"http://t.me/Montazerane_karaj")</f>
        <v>http://t.me/Montazerane_karaj</v>
      </c>
      <c r="J4851" s="6" t="str">
        <f>IFERROR(__xludf.DUMMYFUNCTION("""COMPUTED_VALUE"""),"https://eitaa.com/montazerane_karaj")</f>
        <v>https://eitaa.com/montazerane_karaj</v>
      </c>
      <c r="K4851" s="5"/>
      <c r="L4851" s="5"/>
      <c r="M4851" s="5"/>
      <c r="N4851" s="5"/>
      <c r="O4851" s="5"/>
      <c r="P4851" s="5"/>
      <c r="Q4851" s="5"/>
      <c r="R4851" s="5"/>
      <c r="S4851" s="5"/>
    </row>
    <row r="4852">
      <c r="A4852" s="5"/>
      <c r="B4852" s="5" t="str">
        <f>IFERROR(__xludf.DUMMYFUNCTION("""COMPUTED_VALUE"""),"هیأت")</f>
        <v>هیأت</v>
      </c>
      <c r="C4852" s="5" t="str">
        <f>IFERROR(__xludf.DUMMYFUNCTION("""COMPUTED_VALUE"""),"الزهرا")</f>
        <v>الزهرا</v>
      </c>
      <c r="D4852" s="5" t="str">
        <f>IFERROR(__xludf.DUMMYFUNCTION("""COMPUTED_VALUE"""),"البرز")</f>
        <v>البرز</v>
      </c>
      <c r="E4852" s="5" t="str">
        <f>IFERROR(__xludf.DUMMYFUNCTION("""COMPUTED_VALUE"""),"کرج")</f>
        <v>کرج</v>
      </c>
      <c r="F4852" s="5"/>
      <c r="G4852" s="5"/>
      <c r="H4852" s="5"/>
      <c r="I4852" s="5"/>
      <c r="J4852" s="6" t="str">
        <f>IFERROR(__xludf.DUMMYFUNCTION("""COMPUTED_VALUE"""),"https://eitaa.com/HEYATOZAHRA_IR")</f>
        <v>https://eitaa.com/HEYATOZAHRA_IR</v>
      </c>
      <c r="K4852" s="5"/>
      <c r="L4852" s="5"/>
      <c r="M4852" s="5"/>
      <c r="N4852" s="5"/>
      <c r="O4852" s="5"/>
      <c r="P4852" s="5"/>
      <c r="Q4852" s="5"/>
      <c r="R4852" s="5"/>
      <c r="S4852" s="5"/>
    </row>
    <row r="4853">
      <c r="A4853" s="5"/>
      <c r="B4853" s="5" t="str">
        <f>IFERROR(__xludf.DUMMYFUNCTION("""COMPUTED_VALUE"""),"هیأت خواهران")</f>
        <v>هیأت خواهران</v>
      </c>
      <c r="C4853" s="5" t="str">
        <f>IFERROR(__xludf.DUMMYFUNCTION("""COMPUTED_VALUE"""),"انصار الامام")</f>
        <v>انصار الامام</v>
      </c>
      <c r="D4853" s="5" t="str">
        <f>IFERROR(__xludf.DUMMYFUNCTION("""COMPUTED_VALUE"""),"البرز")</f>
        <v>البرز</v>
      </c>
      <c r="E4853" s="5" t="str">
        <f>IFERROR(__xludf.DUMMYFUNCTION("""COMPUTED_VALUE"""),"کرج")</f>
        <v>کرج</v>
      </c>
      <c r="F4853" s="5"/>
      <c r="G4853" s="5"/>
      <c r="H4853" s="5"/>
      <c r="I4853" s="5"/>
      <c r="J4853" s="6" t="str">
        <f>IFERROR(__xludf.DUMMYFUNCTION("""COMPUTED_VALUE"""),"https://eitaa.com/etrate_ansar")</f>
        <v>https://eitaa.com/etrate_ansar</v>
      </c>
      <c r="K4853" s="5"/>
      <c r="L4853" s="5"/>
      <c r="M4853" s="5"/>
      <c r="N4853" s="5"/>
      <c r="O4853" s="5"/>
      <c r="P4853" s="5"/>
      <c r="Q4853" s="5"/>
      <c r="R4853" s="5"/>
      <c r="S4853" s="5"/>
    </row>
    <row r="4854">
      <c r="A4854" s="5"/>
      <c r="B4854" s="5" t="str">
        <f>IFERROR(__xludf.DUMMYFUNCTION("""COMPUTED_VALUE"""),"حسینیه")</f>
        <v>حسینیه</v>
      </c>
      <c r="C4854" s="5" t="str">
        <f>IFERROR(__xludf.DUMMYFUNCTION("""COMPUTED_VALUE"""),"زینبیون")</f>
        <v>زینبیون</v>
      </c>
      <c r="D4854" s="5" t="str">
        <f>IFERROR(__xludf.DUMMYFUNCTION("""COMPUTED_VALUE"""),"البرز")</f>
        <v>البرز</v>
      </c>
      <c r="E4854" s="5" t="str">
        <f>IFERROR(__xludf.DUMMYFUNCTION("""COMPUTED_VALUE"""),"کرج")</f>
        <v>کرج</v>
      </c>
      <c r="F4854" s="5"/>
      <c r="G4854" s="5"/>
      <c r="H4854" s="5"/>
      <c r="I4854" s="5"/>
      <c r="J4854" s="6" t="str">
        <f>IFERROR(__xludf.DUMMYFUNCTION("""COMPUTED_VALUE"""),"https://eitaa.com/zeinabiyon_it")</f>
        <v>https://eitaa.com/zeinabiyon_it</v>
      </c>
      <c r="K4854" s="5"/>
      <c r="L4854" s="5"/>
      <c r="M4854" s="5"/>
      <c r="N4854" s="5"/>
      <c r="O4854" s="5"/>
      <c r="P4854" s="5"/>
      <c r="Q4854" s="5"/>
      <c r="R4854" s="5"/>
      <c r="S4854" s="5"/>
    </row>
    <row r="4855">
      <c r="A4855" s="5">
        <f>IFERROR(__xludf.DUMMYFUNCTION("""COMPUTED_VALUE"""),32653.0)</f>
        <v>32653</v>
      </c>
      <c r="B4855" s="5" t="str">
        <f>IFERROR(__xludf.DUMMYFUNCTION("""COMPUTED_VALUE"""),"هیأت بانوان")</f>
        <v>هیأت بانوان</v>
      </c>
      <c r="C4855" s="5" t="str">
        <f>IFERROR(__xludf.DUMMYFUNCTION("""COMPUTED_VALUE"""),"عشاق الزهرا (س)")</f>
        <v>عشاق الزهرا (س)</v>
      </c>
      <c r="D4855" s="5" t="str">
        <f>IFERROR(__xludf.DUMMYFUNCTION("""COMPUTED_VALUE"""),"هرمزگان")</f>
        <v>هرمزگان</v>
      </c>
      <c r="E4855" s="5" t="str">
        <f>IFERROR(__xludf.DUMMYFUNCTION("""COMPUTED_VALUE"""),"بندرعباس")</f>
        <v>بندرعباس</v>
      </c>
      <c r="F4855" s="5"/>
      <c r="G4855" s="5"/>
      <c r="H4855" s="6" t="str">
        <f>IFERROR(__xludf.DUMMYFUNCTION("""COMPUTED_VALUE"""),"https://www.instagram.com/heiat_oshaghzahra_s/")</f>
        <v>https://www.instagram.com/heiat_oshaghzahra_s/</v>
      </c>
      <c r="I4855" s="6" t="str">
        <f>IFERROR(__xludf.DUMMYFUNCTION("""COMPUTED_VALUE"""),"t.me/oshaghzahra")</f>
        <v>t.me/oshaghzahra</v>
      </c>
      <c r="J4855" s="5"/>
      <c r="K4855" s="5"/>
      <c r="L4855" s="5"/>
      <c r="M4855" s="5"/>
      <c r="N4855" s="5"/>
      <c r="O4855" s="5"/>
      <c r="P4855" s="5"/>
      <c r="Q4855" s="5"/>
      <c r="R4855" s="5"/>
      <c r="S4855" s="5"/>
    </row>
    <row r="4856">
      <c r="A4856" s="5">
        <f>IFERROR(__xludf.DUMMYFUNCTION("""COMPUTED_VALUE"""),24998.0)</f>
        <v>24998</v>
      </c>
      <c r="B4856" s="5"/>
      <c r="C4856" s="5" t="str">
        <f>IFERROR(__xludf.DUMMYFUNCTION("""COMPUTED_VALUE"""),"مهدویون")</f>
        <v>مهدویون</v>
      </c>
      <c r="D4856" s="5" t="str">
        <f>IFERROR(__xludf.DUMMYFUNCTION("""COMPUTED_VALUE"""),"هرمزگان")</f>
        <v>هرمزگان</v>
      </c>
      <c r="E4856" s="5" t="str">
        <f>IFERROR(__xludf.DUMMYFUNCTION("""COMPUTED_VALUE"""),"بندرعباس")</f>
        <v>بندرعباس</v>
      </c>
      <c r="F4856" s="5"/>
      <c r="G4856" s="5"/>
      <c r="H4856" s="6" t="str">
        <f>IFERROR(__xludf.DUMMYFUNCTION("""COMPUTED_VALUE"""),"https://www.instagram.com/mahdavion12/")</f>
        <v>https://www.instagram.com/mahdavion12/</v>
      </c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</row>
    <row r="4857">
      <c r="A4857" s="5">
        <f>IFERROR(__xludf.DUMMYFUNCTION("""COMPUTED_VALUE"""),24715.0)</f>
        <v>24715</v>
      </c>
      <c r="B4857" s="5" t="str">
        <f>IFERROR(__xludf.DUMMYFUNCTION("""COMPUTED_VALUE"""),"هیأت هفتگی")</f>
        <v>هیأت هفتگی</v>
      </c>
      <c r="C4857" s="5" t="str">
        <f>IFERROR(__xludf.DUMMYFUNCTION("""COMPUTED_VALUE"""),"مکتب الحسین (ع)")</f>
        <v>مکتب الحسین (ع)</v>
      </c>
      <c r="D4857" s="5" t="str">
        <f>IFERROR(__xludf.DUMMYFUNCTION("""COMPUTED_VALUE"""),"هرمزگان")</f>
        <v>هرمزگان</v>
      </c>
      <c r="E4857" s="5" t="str">
        <f>IFERROR(__xludf.DUMMYFUNCTION("""COMPUTED_VALUE"""),"بندرعباس")</f>
        <v>بندرعباس</v>
      </c>
      <c r="F4857" s="5"/>
      <c r="G4857" s="5"/>
      <c r="H4857" s="6" t="str">
        <f>IFERROR(__xludf.DUMMYFUNCTION("""COMPUTED_VALUE"""),"https://www.instagram.com/maktabolhosein1/")</f>
        <v>https://www.instagram.com/maktabolhosein1/</v>
      </c>
      <c r="I4857" s="6" t="str">
        <f>IFERROR(__xludf.DUMMYFUNCTION("""COMPUTED_VALUE"""),"t.me/maktabolhosein1")</f>
        <v>t.me/maktabolhosein1</v>
      </c>
      <c r="J4857" s="5"/>
      <c r="K4857" s="5"/>
      <c r="L4857" s="5"/>
      <c r="M4857" s="5"/>
      <c r="N4857" s="5"/>
      <c r="O4857" s="5"/>
      <c r="P4857" s="5"/>
      <c r="Q4857" s="5"/>
      <c r="R4857" s="5"/>
      <c r="S4857" s="5"/>
    </row>
    <row r="4858">
      <c r="A4858" s="5">
        <f>IFERROR(__xludf.DUMMYFUNCTION("""COMPUTED_VALUE"""),23809.0)</f>
        <v>23809</v>
      </c>
      <c r="B4858" s="5"/>
      <c r="C4858" s="5" t="str">
        <f>IFERROR(__xludf.DUMMYFUNCTION("""COMPUTED_VALUE"""),"مجموعه انتظار")</f>
        <v>مجموعه انتظار</v>
      </c>
      <c r="D4858" s="5" t="str">
        <f>IFERROR(__xludf.DUMMYFUNCTION("""COMPUTED_VALUE"""),"هرمزگان")</f>
        <v>هرمزگان</v>
      </c>
      <c r="E4858" s="5" t="str">
        <f>IFERROR(__xludf.DUMMYFUNCTION("""COMPUTED_VALUE"""),"بندرعباس")</f>
        <v>بندرعباس</v>
      </c>
      <c r="F4858" s="5"/>
      <c r="G4858" s="5"/>
      <c r="H4858" s="6" t="str">
        <f>IFERROR(__xludf.DUMMYFUNCTION("""COMPUTED_VALUE"""),"https://www.instagram.com/intezar.ir/")</f>
        <v>https://www.instagram.com/intezar.ir/</v>
      </c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</row>
    <row r="4859">
      <c r="A4859" s="5">
        <f>IFERROR(__xludf.DUMMYFUNCTION("""COMPUTED_VALUE"""),23253.0)</f>
        <v>23253</v>
      </c>
      <c r="B4859" s="5"/>
      <c r="C4859" s="5" t="str">
        <f>IFERROR(__xludf.DUMMYFUNCTION("""COMPUTED_VALUE"""),"محفل عزاداران حضرت زهرا / بیت الزهرا")</f>
        <v>محفل عزاداران حضرت زهرا / بیت الزهرا</v>
      </c>
      <c r="D4859" s="5" t="str">
        <f>IFERROR(__xludf.DUMMYFUNCTION("""COMPUTED_VALUE"""),"هرمزگان")</f>
        <v>هرمزگان</v>
      </c>
      <c r="E4859" s="5" t="str">
        <f>IFERROR(__xludf.DUMMYFUNCTION("""COMPUTED_VALUE"""),"میناب")</f>
        <v>میناب</v>
      </c>
      <c r="F4859" s="5"/>
      <c r="G4859" s="5"/>
      <c r="H4859" s="6" t="str">
        <f>IFERROR(__xludf.DUMMYFUNCTION("""COMPUTED_VALUE"""),"https://www.instagram.com/beytozahra.135/")</f>
        <v>https://www.instagram.com/beytozahra.135/</v>
      </c>
      <c r="I4859" s="6" t="str">
        <f>IFERROR(__xludf.DUMMYFUNCTION("""COMPUTED_VALUE"""),"t.me/beytalzahra_135")</f>
        <v>t.me/beytalzahra_135</v>
      </c>
      <c r="J4859" s="5"/>
      <c r="K4859" s="5"/>
      <c r="L4859" s="5"/>
      <c r="M4859" s="5"/>
      <c r="N4859" s="5"/>
      <c r="O4859" s="5"/>
      <c r="P4859" s="5"/>
      <c r="Q4859" s="5"/>
      <c r="R4859" s="5"/>
      <c r="S4859" s="5"/>
    </row>
    <row r="4860">
      <c r="A4860" s="5">
        <f>IFERROR(__xludf.DUMMYFUNCTION("""COMPUTED_VALUE"""),23250.0)</f>
        <v>23250</v>
      </c>
      <c r="B4860" s="5"/>
      <c r="C4860" s="5" t="str">
        <f>IFERROR(__xludf.DUMMYFUNCTION("""COMPUTED_VALUE"""),"محبان العباس (ع)")</f>
        <v>محبان العباس (ع)</v>
      </c>
      <c r="D4860" s="5" t="str">
        <f>IFERROR(__xludf.DUMMYFUNCTION("""COMPUTED_VALUE"""),"هرمزگان")</f>
        <v>هرمزگان</v>
      </c>
      <c r="E4860" s="5" t="str">
        <f>IFERROR(__xludf.DUMMYFUNCTION("""COMPUTED_VALUE"""),"بندرعباس")</f>
        <v>بندرعباس</v>
      </c>
      <c r="F4860" s="5"/>
      <c r="G4860" s="5"/>
      <c r="H4860" s="6" t="str">
        <f>IFERROR(__xludf.DUMMYFUNCTION("""COMPUTED_VALUE"""),"https://www.instagram.com/mohebban_alabbas_bnd/")</f>
        <v>https://www.instagram.com/mohebban_alabbas_bnd/</v>
      </c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</row>
    <row r="4861">
      <c r="A4861" s="5">
        <f>IFERROR(__xludf.DUMMYFUNCTION("""COMPUTED_VALUE"""),23248.0)</f>
        <v>23248</v>
      </c>
      <c r="B4861" s="5"/>
      <c r="C4861" s="5" t="str">
        <f>IFERROR(__xludf.DUMMYFUNCTION("""COMPUTED_VALUE"""),"حضرت علی اصغر (ع)")</f>
        <v>حضرت علی اصغر (ع)</v>
      </c>
      <c r="D4861" s="5" t="str">
        <f>IFERROR(__xludf.DUMMYFUNCTION("""COMPUTED_VALUE"""),"هرمزگان")</f>
        <v>هرمزگان</v>
      </c>
      <c r="E4861" s="5" t="str">
        <f>IFERROR(__xludf.DUMMYFUNCTION("""COMPUTED_VALUE"""),"بندرعباس")</f>
        <v>بندرعباس</v>
      </c>
      <c r="F4861" s="5"/>
      <c r="G4861" s="5"/>
      <c r="H4861" s="5"/>
      <c r="I4861" s="5"/>
      <c r="J4861" s="6" t="str">
        <f>IFERROR(__xludf.DUMMYFUNCTION("""COMPUTED_VALUE"""),"https://eitaa.com/asghariyoon")</f>
        <v>https://eitaa.com/asghariyoon</v>
      </c>
      <c r="K4861" s="5"/>
      <c r="L4861" s="5"/>
      <c r="M4861" s="5"/>
      <c r="N4861" s="5"/>
      <c r="O4861" s="5"/>
      <c r="P4861" s="5"/>
      <c r="Q4861" s="5"/>
      <c r="R4861" s="5"/>
      <c r="S4861" s="5"/>
    </row>
    <row r="4862">
      <c r="A4862" s="5">
        <f>IFERROR(__xludf.DUMMYFUNCTION("""COMPUTED_VALUE"""),23247.0)</f>
        <v>23247</v>
      </c>
      <c r="B4862" s="5" t="str">
        <f>IFERROR(__xludf.DUMMYFUNCTION("""COMPUTED_VALUE"""),"هیأت هفتگی")</f>
        <v>هیأت هفتگی</v>
      </c>
      <c r="C4862" s="5" t="str">
        <f>IFERROR(__xludf.DUMMYFUNCTION("""COMPUTED_VALUE"""),"مکتب الحسین (ع)")</f>
        <v>مکتب الحسین (ع)</v>
      </c>
      <c r="D4862" s="5" t="str">
        <f>IFERROR(__xludf.DUMMYFUNCTION("""COMPUTED_VALUE"""),"هرمزگان")</f>
        <v>هرمزگان</v>
      </c>
      <c r="E4862" s="5" t="str">
        <f>IFERROR(__xludf.DUMMYFUNCTION("""COMPUTED_VALUE"""),"بندرعباس")</f>
        <v>بندرعباس</v>
      </c>
      <c r="F4862" s="5"/>
      <c r="G4862" s="5"/>
      <c r="H4862" s="6" t="str">
        <f>IFERROR(__xludf.DUMMYFUNCTION("""COMPUTED_VALUE"""),"https://www.instagram.com/maktabolhosein1/")</f>
        <v>https://www.instagram.com/maktabolhosein1/</v>
      </c>
      <c r="I4862" s="6" t="str">
        <f>IFERROR(__xludf.DUMMYFUNCTION("""COMPUTED_VALUE"""),"t.me/maktabolhosein1")</f>
        <v>t.me/maktabolhosein1</v>
      </c>
      <c r="J4862" s="5"/>
      <c r="K4862" s="5"/>
      <c r="L4862" s="5"/>
      <c r="M4862" s="5"/>
      <c r="N4862" s="5"/>
      <c r="O4862" s="5"/>
      <c r="P4862" s="5"/>
      <c r="Q4862" s="5"/>
      <c r="R4862" s="5"/>
      <c r="S4862" s="5"/>
    </row>
    <row r="4863">
      <c r="A4863" s="5">
        <f>IFERROR(__xludf.DUMMYFUNCTION("""COMPUTED_VALUE"""),23246.0)</f>
        <v>23246</v>
      </c>
      <c r="B4863" s="5"/>
      <c r="C4863" s="5" t="str">
        <f>IFERROR(__xludf.DUMMYFUNCTION("""COMPUTED_VALUE"""),"محبان المهدی (عج)")</f>
        <v>محبان المهدی (عج)</v>
      </c>
      <c r="D4863" s="5" t="str">
        <f>IFERROR(__xludf.DUMMYFUNCTION("""COMPUTED_VALUE"""),"هرمزگان")</f>
        <v>هرمزگان</v>
      </c>
      <c r="E4863" s="5" t="str">
        <f>IFERROR(__xludf.DUMMYFUNCTION("""COMPUTED_VALUE"""),"بندرعباس")</f>
        <v>بندرعباس</v>
      </c>
      <c r="F4863" s="5"/>
      <c r="G4863" s="5"/>
      <c r="H4863" s="6" t="str">
        <f>IFERROR(__xludf.DUMMYFUNCTION("""COMPUTED_VALUE"""),"https://www.instagram.com/moheban_mahdi_118/")</f>
        <v>https://www.instagram.com/moheban_mahdi_118/</v>
      </c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</row>
    <row r="4864">
      <c r="A4864" s="5">
        <f>IFERROR(__xludf.DUMMYFUNCTION("""COMPUTED_VALUE"""),22610.0)</f>
        <v>22610</v>
      </c>
      <c r="B4864" s="5"/>
      <c r="C4864" s="5" t="str">
        <f>IFERROR(__xludf.DUMMYFUNCTION("""COMPUTED_VALUE"""),"شهدای پارسیان")</f>
        <v>شهدای پارسیان</v>
      </c>
      <c r="D4864" s="5" t="str">
        <f>IFERROR(__xludf.DUMMYFUNCTION("""COMPUTED_VALUE"""),"هرمزگان")</f>
        <v>هرمزگان</v>
      </c>
      <c r="E4864" s="5" t="str">
        <f>IFERROR(__xludf.DUMMYFUNCTION("""COMPUTED_VALUE"""),"پارسیان")</f>
        <v>پارسیان</v>
      </c>
      <c r="F4864" s="5"/>
      <c r="G4864" s="5"/>
      <c r="H4864" s="5"/>
      <c r="I4864" s="5"/>
      <c r="J4864" s="6" t="str">
        <f>IFERROR(__xludf.DUMMYFUNCTION("""COMPUTED_VALUE"""),"https://eitaa.com/Khademin_parsian")</f>
        <v>https://eitaa.com/Khademin_parsian</v>
      </c>
      <c r="K4864" s="5"/>
      <c r="L4864" s="5"/>
      <c r="M4864" s="5"/>
      <c r="N4864" s="5"/>
      <c r="O4864" s="5"/>
      <c r="P4864" s="5"/>
      <c r="Q4864" s="5"/>
      <c r="R4864" s="5"/>
      <c r="S4864" s="5"/>
    </row>
    <row r="4865">
      <c r="A4865" s="5">
        <f>IFERROR(__xludf.DUMMYFUNCTION("""COMPUTED_VALUE"""),22382.0)</f>
        <v>22382</v>
      </c>
      <c r="B4865" s="5"/>
      <c r="C4865" s="5" t="str">
        <f>IFERROR(__xludf.DUMMYFUNCTION("""COMPUTED_VALUE"""),"رزمندگان اسلام")</f>
        <v>رزمندگان اسلام</v>
      </c>
      <c r="D4865" s="5" t="str">
        <f>IFERROR(__xludf.DUMMYFUNCTION("""COMPUTED_VALUE"""),"هرمزگان")</f>
        <v>هرمزگان</v>
      </c>
      <c r="E4865" s="5" t="str">
        <f>IFERROR(__xludf.DUMMYFUNCTION("""COMPUTED_VALUE"""),"قشم")</f>
        <v>قشم</v>
      </c>
      <c r="F4865" s="5"/>
      <c r="G4865" s="5"/>
      <c r="H4865" s="6" t="str">
        <f>IFERROR(__xludf.DUMMYFUNCTION("""COMPUTED_VALUE"""),"https://www.instagram.com/razmandegan_qeshm/")</f>
        <v>https://www.instagram.com/razmandegan_qeshm/</v>
      </c>
      <c r="I4865" s="5"/>
      <c r="J4865" s="6" t="str">
        <f>IFERROR(__xludf.DUMMYFUNCTION("""COMPUTED_VALUE"""),"eitaa.com/Razmandegan_Qeshm")</f>
        <v>eitaa.com/Razmandegan_Qeshm</v>
      </c>
      <c r="K4865" s="5"/>
      <c r="L4865" s="5"/>
      <c r="M4865" s="5"/>
      <c r="N4865" s="5"/>
      <c r="O4865" s="5"/>
      <c r="P4865" s="5"/>
      <c r="Q4865" s="5"/>
      <c r="R4865" s="5"/>
      <c r="S4865" s="5"/>
    </row>
    <row r="4866">
      <c r="A4866" s="5">
        <f>IFERROR(__xludf.DUMMYFUNCTION("""COMPUTED_VALUE"""),22367.0)</f>
        <v>22367</v>
      </c>
      <c r="B4866" s="5"/>
      <c r="C4866" s="5" t="str">
        <f>IFERROR(__xludf.DUMMYFUNCTION("""COMPUTED_VALUE"""),"امام زین العابدین (ع)")</f>
        <v>امام زین العابدین (ع)</v>
      </c>
      <c r="D4866" s="5" t="str">
        <f>IFERROR(__xludf.DUMMYFUNCTION("""COMPUTED_VALUE"""),"هرمزگان")</f>
        <v>هرمزگان</v>
      </c>
      <c r="E4866" s="5" t="str">
        <f>IFERROR(__xludf.DUMMYFUNCTION("""COMPUTED_VALUE"""),"بندرعباس")</f>
        <v>بندرعباس</v>
      </c>
      <c r="F4866" s="5"/>
      <c r="G4866" s="5"/>
      <c r="H4866" s="6" t="str">
        <f>IFERROR(__xludf.DUMMYFUNCTION("""COMPUTED_VALUE"""),"https://www.instagram.com/heyatmasjedemamzeynolabedin/")</f>
        <v>https://www.instagram.com/heyatmasjedemamzeynolabedin/</v>
      </c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</row>
    <row r="4867">
      <c r="A4867" s="5">
        <f>IFERROR(__xludf.DUMMYFUNCTION("""COMPUTED_VALUE"""),21678.0)</f>
        <v>21678</v>
      </c>
      <c r="B4867" s="5"/>
      <c r="C4867" s="5" t="str">
        <f>IFERROR(__xludf.DUMMYFUNCTION("""COMPUTED_VALUE"""),"علی بن ابیطالب (ع)")</f>
        <v>علی بن ابیطالب (ع)</v>
      </c>
      <c r="D4867" s="5" t="str">
        <f>IFERROR(__xludf.DUMMYFUNCTION("""COMPUTED_VALUE"""),"هرمزگان")</f>
        <v>هرمزگان</v>
      </c>
      <c r="E4867" s="5" t="str">
        <f>IFERROR(__xludf.DUMMYFUNCTION("""COMPUTED_VALUE"""),"خمیر")</f>
        <v>خمیر</v>
      </c>
      <c r="F4867" s="5"/>
      <c r="G4867" s="5"/>
      <c r="H4867" s="6" t="str">
        <f>IFERROR(__xludf.DUMMYFUNCTION("""COMPUTED_VALUE"""),"https://www.instagram.com/aliebnabitaleb_m/")</f>
        <v>https://www.instagram.com/aliebnabitaleb_m/</v>
      </c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</row>
    <row r="4868">
      <c r="A4868" s="5">
        <f>IFERROR(__xludf.DUMMYFUNCTION("""COMPUTED_VALUE"""),21623.0)</f>
        <v>21623</v>
      </c>
      <c r="B4868" s="5"/>
      <c r="C4868" s="5" t="str">
        <f>IFERROR(__xludf.DUMMYFUNCTION("""COMPUTED_VALUE"""),"منتظران ظهور (عج)")</f>
        <v>منتظران ظهور (عج)</v>
      </c>
      <c r="D4868" s="5" t="str">
        <f>IFERROR(__xludf.DUMMYFUNCTION("""COMPUTED_VALUE"""),"هرمزگان")</f>
        <v>هرمزگان</v>
      </c>
      <c r="E4868" s="5" t="str">
        <f>IFERROR(__xludf.DUMMYFUNCTION("""COMPUTED_VALUE"""),"میناب")</f>
        <v>میناب</v>
      </c>
      <c r="F4868" s="5"/>
      <c r="G4868" s="5"/>
      <c r="H4868" s="6" t="str">
        <f>IFERROR(__xludf.DUMMYFUNCTION("""COMPUTED_VALUE"""),"https://www.instagram.com/hiatmontazranzohoorminab/")</f>
        <v>https://www.instagram.com/hiatmontazranzohoorminab/</v>
      </c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</row>
    <row r="4869">
      <c r="A4869" s="5">
        <f>IFERROR(__xludf.DUMMYFUNCTION("""COMPUTED_VALUE"""),20855.0)</f>
        <v>20855</v>
      </c>
      <c r="B4869" s="5"/>
      <c r="C4869" s="5" t="str">
        <f>IFERROR(__xludf.DUMMYFUNCTION("""COMPUTED_VALUE"""),"نوجوانان عاشورائی روستای روتان")</f>
        <v>نوجوانان عاشورائی روستای روتان</v>
      </c>
      <c r="D4869" s="5" t="str">
        <f>IFERROR(__xludf.DUMMYFUNCTION("""COMPUTED_VALUE"""),"هرمزگان")</f>
        <v>هرمزگان</v>
      </c>
      <c r="E4869" s="5" t="str">
        <f>IFERROR(__xludf.DUMMYFUNCTION("""COMPUTED_VALUE"""),"سیریک")</f>
        <v>سیریک</v>
      </c>
      <c r="F4869" s="5"/>
      <c r="G4869" s="5"/>
      <c r="H4869" s="6" t="str">
        <f>IFERROR(__xludf.DUMMYFUNCTION("""COMPUTED_VALUE"""),"https://www.instagram.com/rovtan.sirik/")</f>
        <v>https://www.instagram.com/rovtan.sirik/</v>
      </c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</row>
    <row r="4870">
      <c r="A4870" s="5">
        <f>IFERROR(__xludf.DUMMYFUNCTION("""COMPUTED_VALUE"""),18253.0)</f>
        <v>18253</v>
      </c>
      <c r="B4870" s="5"/>
      <c r="C4870" s="5" t="str">
        <f>IFERROR(__xludf.DUMMYFUNCTION("""COMPUTED_VALUE"""),"فاطمیون")</f>
        <v>فاطمیون</v>
      </c>
      <c r="D4870" s="5" t="str">
        <f>IFERROR(__xludf.DUMMYFUNCTION("""COMPUTED_VALUE"""),"هرمزگان")</f>
        <v>هرمزگان</v>
      </c>
      <c r="E4870" s="5" t="str">
        <f>IFERROR(__xludf.DUMMYFUNCTION("""COMPUTED_VALUE"""),"بندرلنگه")</f>
        <v>بندرلنگه</v>
      </c>
      <c r="F4870" s="5"/>
      <c r="G4870" s="5"/>
      <c r="H4870" s="6" t="str">
        <f>IFERROR(__xludf.DUMMYFUNCTION("""COMPUTED_VALUE"""),"https://www.instagram.com/fatemiyoun_com/")</f>
        <v>https://www.instagram.com/fatemiyoun_com/</v>
      </c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</row>
    <row r="4871">
      <c r="A4871" s="5">
        <f>IFERROR(__xludf.DUMMYFUNCTION("""COMPUTED_VALUE"""),177988.0)</f>
        <v>177988</v>
      </c>
      <c r="B4871" s="5"/>
      <c r="C4871" s="5" t="str">
        <f>IFERROR(__xludf.DUMMYFUNCTION("""COMPUTED_VALUE"""),"مکتب الزهرا (س)")</f>
        <v>مکتب الزهرا (س)</v>
      </c>
      <c r="D4871" s="5" t="str">
        <f>IFERROR(__xludf.DUMMYFUNCTION("""COMPUTED_VALUE"""),"هرمزگان")</f>
        <v>هرمزگان</v>
      </c>
      <c r="E4871" s="5" t="str">
        <f>IFERROR(__xludf.DUMMYFUNCTION("""COMPUTED_VALUE"""),"حاجی اباد")</f>
        <v>حاجی اباد</v>
      </c>
      <c r="F4871" s="5"/>
      <c r="G4871" s="5"/>
      <c r="H4871" s="6" t="str">
        <f>IFERROR(__xludf.DUMMYFUNCTION("""COMPUTED_VALUE"""),"https://www.instagram.com/maktab_zahra_1399/")</f>
        <v>https://www.instagram.com/maktab_zahra_1399/</v>
      </c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</row>
    <row r="4872">
      <c r="A4872" s="5"/>
      <c r="B4872" s="5"/>
      <c r="C4872" s="5" t="str">
        <f>IFERROR(__xludf.DUMMYFUNCTION("""COMPUTED_VALUE"""),"محبان اهل بیت (ع)")</f>
        <v>محبان اهل بیت (ع)</v>
      </c>
      <c r="D4872" s="5" t="str">
        <f>IFERROR(__xludf.DUMMYFUNCTION("""COMPUTED_VALUE"""),"هرمزگان")</f>
        <v>هرمزگان</v>
      </c>
      <c r="E4872" s="5" t="str">
        <f>IFERROR(__xludf.DUMMYFUNCTION("""COMPUTED_VALUE"""),"بندرچارک")</f>
        <v>بندرچارک</v>
      </c>
      <c r="F4872" s="5"/>
      <c r="G4872" s="5"/>
      <c r="H4872" s="5"/>
      <c r="I4872" s="5"/>
      <c r="J4872" s="6" t="str">
        <f>IFERROR(__xludf.DUMMYFUNCTION("""COMPUTED_VALUE"""),"https://eitaa.com/muhiban1396")</f>
        <v>https://eitaa.com/muhiban1396</v>
      </c>
      <c r="K4872" s="5"/>
      <c r="L4872" s="5"/>
      <c r="M4872" s="5"/>
      <c r="N4872" s="5"/>
      <c r="O4872" s="5"/>
      <c r="P4872" s="5"/>
      <c r="Q4872" s="5"/>
      <c r="R4872" s="5"/>
      <c r="S4872" s="5"/>
    </row>
    <row r="4873">
      <c r="A4873" s="5">
        <f>IFERROR(__xludf.DUMMYFUNCTION("""COMPUTED_VALUE"""),16015.0)</f>
        <v>16015</v>
      </c>
      <c r="B4873" s="5"/>
      <c r="C4873" s="5" t="str">
        <f>IFERROR(__xludf.DUMMYFUNCTION("""COMPUTED_VALUE"""),"بیت الاحزان حضرت زهرا (س)")</f>
        <v>بیت الاحزان حضرت زهرا (س)</v>
      </c>
      <c r="D4873" s="5" t="str">
        <f>IFERROR(__xludf.DUMMYFUNCTION("""COMPUTED_VALUE"""),"هرمزگان")</f>
        <v>هرمزگان</v>
      </c>
      <c r="E4873" s="5" t="str">
        <f>IFERROR(__xludf.DUMMYFUNCTION("""COMPUTED_VALUE"""),"بندرعباس")</f>
        <v>بندرعباس</v>
      </c>
      <c r="F4873" s="5"/>
      <c r="G4873" s="5"/>
      <c r="H4873" s="5"/>
      <c r="I4873" s="5"/>
      <c r="J4873" s="6" t="str">
        <f>IFERROR(__xludf.DUMMYFUNCTION("""COMPUTED_VALUE"""),"https://eitaa.com/beytolahzanebandarabbas")</f>
        <v>https://eitaa.com/beytolahzanebandarabbas</v>
      </c>
      <c r="K4873" s="5"/>
      <c r="L4873" s="5"/>
      <c r="M4873" s="5"/>
      <c r="N4873" s="5"/>
      <c r="O4873" s="5"/>
      <c r="P4873" s="5"/>
      <c r="Q4873" s="5"/>
      <c r="R4873" s="5"/>
      <c r="S4873" s="5"/>
    </row>
    <row r="4874">
      <c r="A4874" s="5">
        <f>IFERROR(__xludf.DUMMYFUNCTION("""COMPUTED_VALUE"""),16005.0)</f>
        <v>16005</v>
      </c>
      <c r="B4874" s="5"/>
      <c r="C4874" s="5" t="str">
        <f>IFERROR(__xludf.DUMMYFUNCTION("""COMPUTED_VALUE"""),"حضرت امام رضا(ع) (روستا کردر رضی)")</f>
        <v>حضرت امام رضا(ع) (روستا کردر رضی)</v>
      </c>
      <c r="D4874" s="5" t="str">
        <f>IFERROR(__xludf.DUMMYFUNCTION("""COMPUTED_VALUE"""),"هرمزگان")</f>
        <v>هرمزگان</v>
      </c>
      <c r="E4874" s="5" t="str">
        <f>IFERROR(__xludf.DUMMYFUNCTION("""COMPUTED_VALUE"""),"بندزرک")</f>
        <v>بندزرک</v>
      </c>
      <c r="F4874" s="5"/>
      <c r="G4874" s="5"/>
      <c r="H4874" s="5"/>
      <c r="I4874" s="5"/>
      <c r="J4874" s="6" t="str">
        <f>IFERROR(__xludf.DUMMYFUNCTION("""COMPUTED_VALUE"""),"https://eitaa.com/shahriyarzakeri")</f>
        <v>https://eitaa.com/shahriyarzakeri</v>
      </c>
      <c r="K4874" s="5"/>
      <c r="L4874" s="5"/>
      <c r="M4874" s="5"/>
      <c r="N4874" s="5"/>
      <c r="O4874" s="5"/>
      <c r="P4874" s="5"/>
      <c r="Q4874" s="5"/>
      <c r="R4874" s="5"/>
      <c r="S4874" s="5"/>
    </row>
    <row r="4875">
      <c r="A4875" s="5">
        <f>IFERROR(__xludf.DUMMYFUNCTION("""COMPUTED_VALUE"""),15946.0)</f>
        <v>15946</v>
      </c>
      <c r="B4875" s="5"/>
      <c r="C4875" s="5" t="str">
        <f>IFERROR(__xludf.DUMMYFUNCTION("""COMPUTED_VALUE"""),"امام سجاد(ع)")</f>
        <v>امام سجاد(ع)</v>
      </c>
      <c r="D4875" s="5" t="str">
        <f>IFERROR(__xludf.DUMMYFUNCTION("""COMPUTED_VALUE"""),"هرمزگان")</f>
        <v>هرمزگان</v>
      </c>
      <c r="E4875" s="5" t="str">
        <f>IFERROR(__xludf.DUMMYFUNCTION("""COMPUTED_VALUE"""),"قشم")</f>
        <v>قشم</v>
      </c>
      <c r="F4875" s="5"/>
      <c r="G4875" s="5"/>
      <c r="H4875" s="6" t="str">
        <f>IFERROR(__xludf.DUMMYFUNCTION("""COMPUTED_VALUE"""),"https://www.instagram.com/imam_sajad_qeshm/")</f>
        <v>https://www.instagram.com/imam_sajad_qeshm/</v>
      </c>
      <c r="I4875" s="5"/>
      <c r="J4875" s="6" t="str">
        <f>IFERROR(__xludf.DUMMYFUNCTION("""COMPUTED_VALUE"""),"https://eitaa.com/imam_sajad_qeshm")</f>
        <v>https://eitaa.com/imam_sajad_qeshm</v>
      </c>
      <c r="K4875" s="5"/>
      <c r="L4875" s="5"/>
      <c r="M4875" s="5"/>
      <c r="N4875" s="5"/>
      <c r="O4875" s="5"/>
      <c r="P4875" s="5"/>
      <c r="Q4875" s="5"/>
      <c r="R4875" s="5"/>
      <c r="S4875" s="5"/>
    </row>
    <row r="4876">
      <c r="A4876" s="5">
        <f>IFERROR(__xludf.DUMMYFUNCTION("""COMPUTED_VALUE"""),15884.0)</f>
        <v>15884</v>
      </c>
      <c r="B4876" s="5"/>
      <c r="C4876" s="5" t="str">
        <f>IFERROR(__xludf.DUMMYFUNCTION("""COMPUTED_VALUE"""),"حسینیه حضرت اباالفضل العباس (ع)")</f>
        <v>حسینیه حضرت اباالفضل العباس (ع)</v>
      </c>
      <c r="D4876" s="5" t="str">
        <f>IFERROR(__xludf.DUMMYFUNCTION("""COMPUTED_VALUE"""),"هرمزگان")</f>
        <v>هرمزگان</v>
      </c>
      <c r="E4876" s="5" t="str">
        <f>IFERROR(__xludf.DUMMYFUNCTION("""COMPUTED_VALUE"""),"بندرلنگه")</f>
        <v>بندرلنگه</v>
      </c>
      <c r="F4876" s="5"/>
      <c r="G4876" s="5"/>
      <c r="H4876" s="6" t="str">
        <f>IFERROR(__xludf.DUMMYFUNCTION("""COMPUTED_VALUE"""),"https://www.instagram.com/mahalleh_hedayati/")</f>
        <v>https://www.instagram.com/mahalleh_hedayati/</v>
      </c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</row>
    <row r="4877">
      <c r="A4877" s="5">
        <f>IFERROR(__xludf.DUMMYFUNCTION("""COMPUTED_VALUE"""),15773.0)</f>
        <v>15773</v>
      </c>
      <c r="B4877" s="5"/>
      <c r="C4877" s="5" t="str">
        <f>IFERROR(__xludf.DUMMYFUNCTION("""COMPUTED_VALUE"""),"صاحب الزمان (عج)")</f>
        <v>صاحب الزمان (عج)</v>
      </c>
      <c r="D4877" s="5" t="str">
        <f>IFERROR(__xludf.DUMMYFUNCTION("""COMPUTED_VALUE"""),"هرمزگان")</f>
        <v>هرمزگان</v>
      </c>
      <c r="E4877" s="5" t="str">
        <f>IFERROR(__xludf.DUMMYFUNCTION("""COMPUTED_VALUE"""),"بندرعباس")</f>
        <v>بندرعباس</v>
      </c>
      <c r="F4877" s="5" t="str">
        <f>IFERROR(__xludf.DUMMYFUNCTION("""COMPUTED_VALUE"""),"-")</f>
        <v>-</v>
      </c>
      <c r="G4877" s="5"/>
      <c r="H4877" s="6" t="str">
        <f>IFERROR(__xludf.DUMMYFUNCTION("""COMPUTED_VALUE"""),"https://www.instagram.com/hoseinieh.sahebalzaman.zibashr/")</f>
        <v>https://www.instagram.com/hoseinieh.sahebalzaman.zibashr/</v>
      </c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</row>
    <row r="4878">
      <c r="A4878" s="5">
        <f>IFERROR(__xludf.DUMMYFUNCTION("""COMPUTED_VALUE"""),15753.0)</f>
        <v>15753</v>
      </c>
      <c r="B4878" s="5"/>
      <c r="C4878" s="5" t="str">
        <f>IFERROR(__xludf.DUMMYFUNCTION("""COMPUTED_VALUE"""),"مکتب العباس (ع)")</f>
        <v>مکتب العباس (ع)</v>
      </c>
      <c r="D4878" s="5" t="str">
        <f>IFERROR(__xludf.DUMMYFUNCTION("""COMPUTED_VALUE"""),"هرمزگان")</f>
        <v>هرمزگان</v>
      </c>
      <c r="E4878" s="5" t="str">
        <f>IFERROR(__xludf.DUMMYFUNCTION("""COMPUTED_VALUE"""),"بندرعباس")</f>
        <v>بندرعباس</v>
      </c>
      <c r="F4878" s="5"/>
      <c r="G4878" s="5"/>
      <c r="H4878" s="6" t="str">
        <f>IFERROR(__xludf.DUMMYFUNCTION("""COMPUTED_VALUE"""),"https://www.instagram.com/hmaktababbas_ir/")</f>
        <v>https://www.instagram.com/hmaktababbas_ir/</v>
      </c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</row>
    <row r="4879">
      <c r="A4879" s="5">
        <f>IFERROR(__xludf.DUMMYFUNCTION("""COMPUTED_VALUE"""),15747.0)</f>
        <v>15747</v>
      </c>
      <c r="B4879" s="5"/>
      <c r="C4879" s="5" t="str">
        <f>IFERROR(__xludf.DUMMYFUNCTION("""COMPUTED_VALUE"""),"مکتب الزهرا (س)")</f>
        <v>مکتب الزهرا (س)</v>
      </c>
      <c r="D4879" s="5" t="str">
        <f>IFERROR(__xludf.DUMMYFUNCTION("""COMPUTED_VALUE"""),"هرمزگان")</f>
        <v>هرمزگان</v>
      </c>
      <c r="E4879" s="5" t="str">
        <f>IFERROR(__xludf.DUMMYFUNCTION("""COMPUTED_VALUE"""),"بندرعباس")</f>
        <v>بندرعباس</v>
      </c>
      <c r="F4879" s="5"/>
      <c r="G4879" s="5"/>
      <c r="H4879" s="6" t="str">
        <f>IFERROR(__xludf.DUMMYFUNCTION("""COMPUTED_VALUE"""),"https://www.instagram.com/maktab_net/")</f>
        <v>https://www.instagram.com/maktab_net/</v>
      </c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</row>
    <row r="4880">
      <c r="A4880" s="5">
        <f>IFERROR(__xludf.DUMMYFUNCTION("""COMPUTED_VALUE"""),15726.0)</f>
        <v>15726</v>
      </c>
      <c r="B4880" s="5"/>
      <c r="C4880" s="5" t="str">
        <f>IFERROR(__xludf.DUMMYFUNCTION("""COMPUTED_VALUE"""),"باقریون")</f>
        <v>باقریون</v>
      </c>
      <c r="D4880" s="5" t="str">
        <f>IFERROR(__xludf.DUMMYFUNCTION("""COMPUTED_VALUE"""),"هرمزگان")</f>
        <v>هرمزگان</v>
      </c>
      <c r="E4880" s="5" t="str">
        <f>IFERROR(__xludf.DUMMYFUNCTION("""COMPUTED_VALUE"""),"بندرعباس")</f>
        <v>بندرعباس</v>
      </c>
      <c r="F4880" s="5"/>
      <c r="G4880" s="5"/>
      <c r="H4880" s="6" t="str">
        <f>IFERROR(__xludf.DUMMYFUNCTION("""COMPUTED_VALUE"""),"https://www.instagram.com/bagheriyun_heiat/")</f>
        <v>https://www.instagram.com/bagheriyun_heiat/</v>
      </c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</row>
    <row r="4881">
      <c r="A4881" s="5"/>
      <c r="B4881" s="5"/>
      <c r="C4881" s="5" t="str">
        <f>IFERROR(__xludf.DUMMYFUNCTION("""COMPUTED_VALUE"""),"بیت الرقیه (س)")</f>
        <v>بیت الرقیه (س)</v>
      </c>
      <c r="D4881" s="5" t="str">
        <f>IFERROR(__xludf.DUMMYFUNCTION("""COMPUTED_VALUE"""),"هرمزگان")</f>
        <v>هرمزگان</v>
      </c>
      <c r="E4881" s="5" t="str">
        <f>IFERROR(__xludf.DUMMYFUNCTION("""COMPUTED_VALUE"""),"بندرعباس")</f>
        <v>بندرعباس</v>
      </c>
      <c r="F4881" s="5"/>
      <c r="G4881" s="5"/>
      <c r="H4881" s="6" t="str">
        <f>IFERROR(__xludf.DUMMYFUNCTION("""COMPUTED_VALUE"""),"https://www.instagram.com/heyat_beyt_roghayeh/")</f>
        <v>https://www.instagram.com/heyat_beyt_roghayeh/</v>
      </c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</row>
    <row r="4882">
      <c r="A4882" s="5"/>
      <c r="B4882" s="5"/>
      <c r="C4882" s="5" t="str">
        <f>IFERROR(__xludf.DUMMYFUNCTION("""COMPUTED_VALUE"""),"دخترانه ریحانه النبی س")</f>
        <v>دخترانه ریحانه النبی س</v>
      </c>
      <c r="D4882" s="5" t="str">
        <f>IFERROR(__xludf.DUMMYFUNCTION("""COMPUTED_VALUE"""),"هرمزگان")</f>
        <v>هرمزگان</v>
      </c>
      <c r="E4882" s="5" t="str">
        <f>IFERROR(__xludf.DUMMYFUNCTION("""COMPUTED_VALUE"""),"بندرلنگه")</f>
        <v>بندرلنگه</v>
      </c>
      <c r="F4882" s="5"/>
      <c r="G4882" s="5"/>
      <c r="H4882" s="6" t="str">
        <f>IFERROR(__xludf.DUMMYFUNCTION("""COMPUTED_VALUE"""),"https://www.instagram.com/reyhane_com/")</f>
        <v>https://www.instagram.com/reyhane_com/</v>
      </c>
      <c r="I4882" s="5"/>
      <c r="J4882" s="6" t="str">
        <f>IFERROR(__xludf.DUMMYFUNCTION("""COMPUTED_VALUE"""),"https://eitaa.com/reyhane_com")</f>
        <v>https://eitaa.com/reyhane_com</v>
      </c>
      <c r="K4882" s="5"/>
      <c r="L4882" s="5"/>
      <c r="M4882" s="5"/>
      <c r="N4882" s="5"/>
      <c r="O4882" s="5"/>
      <c r="P4882" s="5"/>
      <c r="Q4882" s="5"/>
      <c r="R4882" s="5"/>
      <c r="S4882" s="5"/>
    </row>
    <row r="4883">
      <c r="A4883" s="5">
        <f>IFERROR(__xludf.DUMMYFUNCTION("""COMPUTED_VALUE"""),32353.0)</f>
        <v>32353</v>
      </c>
      <c r="B4883" s="5" t="str">
        <f>IFERROR(__xludf.DUMMYFUNCTION("""COMPUTED_VALUE"""),"هیأت هفتگی")</f>
        <v>هیأت هفتگی</v>
      </c>
      <c r="C4883" s="5" t="str">
        <f>IFERROR(__xludf.DUMMYFUNCTION("""COMPUTED_VALUE"""),"عشاق الحسین (ع) روستای زهوکی")</f>
        <v>عشاق الحسین (ع) روستای زهوکی</v>
      </c>
      <c r="D4883" s="5" t="str">
        <f>IFERROR(__xludf.DUMMYFUNCTION("""COMPUTED_VALUE"""),"هرمزگان")</f>
        <v>هرمزگان</v>
      </c>
      <c r="E4883" s="5" t="str">
        <f>IFERROR(__xludf.DUMMYFUNCTION("""COMPUTED_VALUE"""),"میناب")</f>
        <v>میناب</v>
      </c>
      <c r="F4883" s="5"/>
      <c r="G4883" s="5"/>
      <c r="H4883" s="6" t="str">
        <f>IFERROR(__xludf.DUMMYFUNCTION("""COMPUTED_VALUE"""),"https://www.instagram.com/oshaqolhosein")</f>
        <v>https://www.instagram.com/oshaqolhosein</v>
      </c>
      <c r="I4883" s="6" t="str">
        <f>IFERROR(__xludf.DUMMYFUNCTION("""COMPUTED_VALUE"""),"https://t.me/heyateoshaqolhosein")</f>
        <v>https://t.me/heyateoshaqolhosein</v>
      </c>
      <c r="J4883" s="5"/>
      <c r="K4883" s="5"/>
      <c r="L4883" s="5"/>
      <c r="M4883" s="5"/>
      <c r="N4883" s="5"/>
      <c r="O4883" s="5"/>
      <c r="P4883" s="5"/>
      <c r="Q4883" s="5"/>
      <c r="R4883" s="5"/>
      <c r="S4883" s="5"/>
    </row>
    <row r="4884">
      <c r="A4884" s="5">
        <f>IFERROR(__xludf.DUMMYFUNCTION("""COMPUTED_VALUE"""),32299.0)</f>
        <v>32299</v>
      </c>
      <c r="B4884" s="5" t="str">
        <f>IFERROR(__xludf.DUMMYFUNCTION("""COMPUTED_VALUE"""),"هیأت هفتگی")</f>
        <v>هیأت هفتگی</v>
      </c>
      <c r="C4884" s="5" t="str">
        <f>IFERROR(__xludf.DUMMYFUNCTION("""COMPUTED_VALUE"""),"علی اصغر نخل ناخدا")</f>
        <v>علی اصغر نخل ناخدا</v>
      </c>
      <c r="D4884" s="5" t="str">
        <f>IFERROR(__xludf.DUMMYFUNCTION("""COMPUTED_VALUE"""),"هرمزگان")</f>
        <v>هرمزگان</v>
      </c>
      <c r="E4884" s="5" t="str">
        <f>IFERROR(__xludf.DUMMYFUNCTION("""COMPUTED_VALUE"""),"میناب")</f>
        <v>میناب</v>
      </c>
      <c r="F4884" s="5"/>
      <c r="G4884" s="5"/>
      <c r="H4884" s="6" t="str">
        <f>IFERROR(__xludf.DUMMYFUNCTION("""COMPUTED_VALUE"""),"https://www.instagram.com/h.aliasghar.nakhlmina")</f>
        <v>https://www.instagram.com/h.aliasghar.nakhlmina</v>
      </c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</row>
    <row r="4885">
      <c r="A4885" s="5">
        <f>IFERROR(__xludf.DUMMYFUNCTION("""COMPUTED_VALUE"""),32272.0)</f>
        <v>32272</v>
      </c>
      <c r="B4885" s="5" t="str">
        <f>IFERROR(__xludf.DUMMYFUNCTION("""COMPUTED_VALUE"""),"هیأت هفتگی")</f>
        <v>هیأت هفتگی</v>
      </c>
      <c r="C4885" s="5" t="str">
        <f>IFERROR(__xludf.DUMMYFUNCTION("""COMPUTED_VALUE"""),"مکتب الزهرا (س)")</f>
        <v>مکتب الزهرا (س)</v>
      </c>
      <c r="D4885" s="5" t="str">
        <f>IFERROR(__xludf.DUMMYFUNCTION("""COMPUTED_VALUE"""),"هرمزگان")</f>
        <v>هرمزگان</v>
      </c>
      <c r="E4885" s="5" t="str">
        <f>IFERROR(__xludf.DUMMYFUNCTION("""COMPUTED_VALUE"""),"میناب")</f>
        <v>میناب</v>
      </c>
      <c r="F4885" s="5"/>
      <c r="G4885" s="5"/>
      <c r="H4885" s="6" t="str">
        <f>IFERROR(__xludf.DUMMYFUNCTION("""COMPUTED_VALUE"""),"https://www.instagram.com/maktabozahra.minab")</f>
        <v>https://www.instagram.com/maktabozahra.minab</v>
      </c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</row>
    <row r="4886">
      <c r="A4886" s="5">
        <f>IFERROR(__xludf.DUMMYFUNCTION("""COMPUTED_VALUE"""),31380.0)</f>
        <v>31380</v>
      </c>
      <c r="B4886" s="5" t="str">
        <f>IFERROR(__xludf.DUMMYFUNCTION("""COMPUTED_VALUE"""),"هیأت هفتگی")</f>
        <v>هیأت هفتگی</v>
      </c>
      <c r="C4886" s="5" t="str">
        <f>IFERROR(__xludf.DUMMYFUNCTION("""COMPUTED_VALUE"""),"حضرت ابوالفضل العباس ع")</f>
        <v>حضرت ابوالفضل العباس ع</v>
      </c>
      <c r="D4886" s="5" t="str">
        <f>IFERROR(__xludf.DUMMYFUNCTION("""COMPUTED_VALUE"""),"هرمزگان")</f>
        <v>هرمزگان</v>
      </c>
      <c r="E4886" s="5" t="str">
        <f>IFERROR(__xludf.DUMMYFUNCTION("""COMPUTED_VALUE"""),"رودان")</f>
        <v>رودان</v>
      </c>
      <c r="F4886" s="5"/>
      <c r="G4886" s="5"/>
      <c r="H4886" s="6" t="str">
        <f>IFERROR(__xludf.DUMMYFUNCTION("""COMPUTED_VALUE"""),"https://www.instagram.com/jonoubiha0136")</f>
        <v>https://www.instagram.com/jonoubiha0136</v>
      </c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</row>
    <row r="4887">
      <c r="A4887" s="5">
        <f>IFERROR(__xludf.DUMMYFUNCTION("""COMPUTED_VALUE"""),30448.0)</f>
        <v>30448</v>
      </c>
      <c r="B4887" s="5" t="str">
        <f>IFERROR(__xludf.DUMMYFUNCTION("""COMPUTED_VALUE"""),"هیأت هفتگی")</f>
        <v>هیأت هفتگی</v>
      </c>
      <c r="C4887" s="5" t="str">
        <f>IFERROR(__xludf.DUMMYFUNCTION("""COMPUTED_VALUE"""),"هیات حاجی خادمی")</f>
        <v>هیات حاجی خادمی</v>
      </c>
      <c r="D4887" s="5" t="str">
        <f>IFERROR(__xludf.DUMMYFUNCTION("""COMPUTED_VALUE"""),"هرمزگان")</f>
        <v>هرمزگان</v>
      </c>
      <c r="E4887" s="5" t="str">
        <f>IFERROR(__xludf.DUMMYFUNCTION("""COMPUTED_VALUE"""),"میناب")</f>
        <v>میناب</v>
      </c>
      <c r="F4887" s="5"/>
      <c r="G4887" s="5"/>
      <c r="H4887" s="6" t="str">
        <f>IFERROR(__xludf.DUMMYFUNCTION("""COMPUTED_VALUE"""),"https://www.instagram.com/heyat_taziyehkhani_hajikhademi")</f>
        <v>https://www.instagram.com/heyat_taziyehkhani_hajikhademi</v>
      </c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</row>
    <row r="4888">
      <c r="A4888" s="5">
        <f>IFERROR(__xludf.DUMMYFUNCTION("""COMPUTED_VALUE"""),30206.0)</f>
        <v>30206</v>
      </c>
      <c r="B4888" s="5" t="str">
        <f>IFERROR(__xludf.DUMMYFUNCTION("""COMPUTED_VALUE"""),"حسینیه")</f>
        <v>حسینیه</v>
      </c>
      <c r="C4888" s="5" t="str">
        <f>IFERROR(__xludf.DUMMYFUNCTION("""COMPUTED_VALUE"""),"حضرت ابوالفضل العباس")</f>
        <v>حضرت ابوالفضل العباس</v>
      </c>
      <c r="D4888" s="5" t="str">
        <f>IFERROR(__xludf.DUMMYFUNCTION("""COMPUTED_VALUE"""),"هرمزگان")</f>
        <v>هرمزگان</v>
      </c>
      <c r="E4888" s="5" t="str">
        <f>IFERROR(__xludf.DUMMYFUNCTION("""COMPUTED_VALUE"""),"پارسیان")</f>
        <v>پارسیان</v>
      </c>
      <c r="F4888" s="5"/>
      <c r="G4888" s="5"/>
      <c r="H4888" s="6" t="str">
        <f>IFERROR(__xludf.DUMMYFUNCTION("""COMPUTED_VALUE"""),"https://www.instagram.com/hoseyniyeh_abolfazl")</f>
        <v>https://www.instagram.com/hoseyniyeh_abolfazl</v>
      </c>
      <c r="I4888" s="5"/>
      <c r="J4888" s="6" t="str">
        <f>IFERROR(__xludf.DUMMYFUNCTION("""COMPUTED_VALUE"""),"https://eitaa.com/hoseyniyeh_abolfazl")</f>
        <v>https://eitaa.com/hoseyniyeh_abolfazl</v>
      </c>
      <c r="K4888" s="5"/>
      <c r="L4888" s="5"/>
      <c r="M4888" s="5"/>
      <c r="N4888" s="5"/>
      <c r="O4888" s="5"/>
      <c r="P4888" s="5"/>
      <c r="Q4888" s="5"/>
      <c r="R4888" s="5"/>
      <c r="S4888" s="5"/>
    </row>
    <row r="4889">
      <c r="A4889" s="5">
        <f>IFERROR(__xludf.DUMMYFUNCTION("""COMPUTED_VALUE"""),29743.0)</f>
        <v>29743</v>
      </c>
      <c r="B4889" s="5" t="str">
        <f>IFERROR(__xludf.DUMMYFUNCTION("""COMPUTED_VALUE"""),"هیأت هفتگی")</f>
        <v>هیأت هفتگی</v>
      </c>
      <c r="C4889" s="5" t="str">
        <f>IFERROR(__xludf.DUMMYFUNCTION("""COMPUTED_VALUE"""),"محبین اهل بیت دانشگاه هرمزگان")</f>
        <v>محبین اهل بیت دانشگاه هرمزگان</v>
      </c>
      <c r="D4889" s="5" t="str">
        <f>IFERROR(__xludf.DUMMYFUNCTION("""COMPUTED_VALUE"""),"هرمزگان")</f>
        <v>هرمزگان</v>
      </c>
      <c r="E4889" s="5" t="str">
        <f>IFERROR(__xludf.DUMMYFUNCTION("""COMPUTED_VALUE"""),"بندرعباس")</f>
        <v>بندرعباس</v>
      </c>
      <c r="F4889" s="5"/>
      <c r="G4889" s="5"/>
      <c r="H4889" s="5"/>
      <c r="I4889" s="5"/>
      <c r="J4889" s="6" t="str">
        <f>IFERROR(__xludf.DUMMYFUNCTION("""COMPUTED_VALUE"""),"https://eitaa.com/heyat_hu")</f>
        <v>https://eitaa.com/heyat_hu</v>
      </c>
      <c r="K4889" s="5"/>
      <c r="L4889" s="5"/>
      <c r="M4889" s="5"/>
      <c r="N4889" s="5"/>
      <c r="O4889" s="5"/>
      <c r="P4889" s="5"/>
      <c r="Q4889" s="5"/>
      <c r="R4889" s="5"/>
      <c r="S4889" s="5"/>
    </row>
    <row r="4890">
      <c r="A4890" s="5">
        <f>IFERROR(__xludf.DUMMYFUNCTION("""COMPUTED_VALUE"""),29434.0)</f>
        <v>29434</v>
      </c>
      <c r="B4890" s="5" t="str">
        <f>IFERROR(__xludf.DUMMYFUNCTION("""COMPUTED_VALUE"""),"هیأت هفتگی")</f>
        <v>هیأت هفتگی</v>
      </c>
      <c r="C4890" s="5" t="str">
        <f>IFERROR(__xludf.DUMMYFUNCTION("""COMPUTED_VALUE"""),"انصارالمهدی (عج) دلگشا")</f>
        <v>انصارالمهدی (عج) دلگشا</v>
      </c>
      <c r="D4890" s="5" t="str">
        <f>IFERROR(__xludf.DUMMYFUNCTION("""COMPUTED_VALUE"""),"هرمزگان")</f>
        <v>هرمزگان</v>
      </c>
      <c r="E4890" s="5" t="str">
        <f>IFERROR(__xludf.DUMMYFUNCTION("""COMPUTED_VALUE"""),"رودان")</f>
        <v>رودان</v>
      </c>
      <c r="F4890" s="5"/>
      <c r="G4890" s="5"/>
      <c r="H4890" s="6" t="str">
        <f>IFERROR(__xludf.DUMMYFUNCTION("""COMPUTED_VALUE"""),"https://www.instagram.com/heiat_ansar_mehdi")</f>
        <v>https://www.instagram.com/heiat_ansar_mehdi</v>
      </c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</row>
    <row r="4891">
      <c r="A4891" s="5">
        <f>IFERROR(__xludf.DUMMYFUNCTION("""COMPUTED_VALUE"""),29234.0)</f>
        <v>29234</v>
      </c>
      <c r="B4891" s="5" t="str">
        <f>IFERROR(__xludf.DUMMYFUNCTION("""COMPUTED_VALUE"""),"هیأت هفتگی")</f>
        <v>هیأت هفتگی</v>
      </c>
      <c r="C4891" s="5" t="str">
        <f>IFERROR(__xludf.DUMMYFUNCTION("""COMPUTED_VALUE"""),"بیت الشهدا")</f>
        <v>بیت الشهدا</v>
      </c>
      <c r="D4891" s="5" t="str">
        <f>IFERROR(__xludf.DUMMYFUNCTION("""COMPUTED_VALUE"""),"هرمزگان")</f>
        <v>هرمزگان</v>
      </c>
      <c r="E4891" s="5" t="str">
        <f>IFERROR(__xludf.DUMMYFUNCTION("""COMPUTED_VALUE"""),"قشم")</f>
        <v>قشم</v>
      </c>
      <c r="F4891" s="5"/>
      <c r="G4891" s="5"/>
      <c r="H4891" s="6" t="str">
        <f>IFERROR(__xludf.DUMMYFUNCTION("""COMPUTED_VALUE"""),"https://www.instagram.com/heyat.beytalshohada")</f>
        <v>https://www.instagram.com/heyat.beytalshohada</v>
      </c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</row>
    <row r="4892">
      <c r="A4892" s="5">
        <f>IFERROR(__xludf.DUMMYFUNCTION("""COMPUTED_VALUE"""),28403.0)</f>
        <v>28403</v>
      </c>
      <c r="B4892" s="5" t="str">
        <f>IFERROR(__xludf.DUMMYFUNCTION("""COMPUTED_VALUE"""),"هیأت هفتگی")</f>
        <v>هیأت هفتگی</v>
      </c>
      <c r="C4892" s="5" t="str">
        <f>IFERROR(__xludf.DUMMYFUNCTION("""COMPUTED_VALUE"""),"چادرخاکی بندرعباس")</f>
        <v>چادرخاکی بندرعباس</v>
      </c>
      <c r="D4892" s="5" t="str">
        <f>IFERROR(__xludf.DUMMYFUNCTION("""COMPUTED_VALUE"""),"هرمزگان")</f>
        <v>هرمزگان</v>
      </c>
      <c r="E4892" s="5" t="str">
        <f>IFERROR(__xludf.DUMMYFUNCTION("""COMPUTED_VALUE"""),"بندرعباس")</f>
        <v>بندرعباس</v>
      </c>
      <c r="F4892" s="5"/>
      <c r="G4892" s="5"/>
      <c r="H4892" s="6" t="str">
        <f>IFERROR(__xludf.DUMMYFUNCTION("""COMPUTED_VALUE"""),"https://www.instagram.com/chadorkhakibnd")</f>
        <v>https://www.instagram.com/chadorkhakibnd</v>
      </c>
      <c r="I4892" s="6" t="str">
        <f>IFERROR(__xludf.DUMMYFUNCTION("""COMPUTED_VALUE"""),"https://t.me/chadorkhakibnd")</f>
        <v>https://t.me/chadorkhakibnd</v>
      </c>
      <c r="J4892" s="5"/>
      <c r="K4892" s="5"/>
      <c r="L4892" s="5"/>
      <c r="M4892" s="5"/>
      <c r="N4892" s="5"/>
      <c r="O4892" s="5"/>
      <c r="P4892" s="5"/>
      <c r="Q4892" s="5"/>
      <c r="R4892" s="5"/>
      <c r="S4892" s="5"/>
    </row>
    <row r="4893">
      <c r="A4893" s="5">
        <f>IFERROR(__xludf.DUMMYFUNCTION("""COMPUTED_VALUE"""),27962.0)</f>
        <v>27962</v>
      </c>
      <c r="B4893" s="5" t="str">
        <f>IFERROR(__xludf.DUMMYFUNCTION("""COMPUTED_VALUE"""),"هیأت هفتگی")</f>
        <v>هیأت هفتگی</v>
      </c>
      <c r="C4893" s="5" t="str">
        <f>IFERROR(__xludf.DUMMYFUNCTION("""COMPUTED_VALUE"""),"آل البیت (ع)")</f>
        <v>آل البیت (ع)</v>
      </c>
      <c r="D4893" s="5" t="str">
        <f>IFERROR(__xludf.DUMMYFUNCTION("""COMPUTED_VALUE"""),"هرمزگان")</f>
        <v>هرمزگان</v>
      </c>
      <c r="E4893" s="5" t="str">
        <f>IFERROR(__xludf.DUMMYFUNCTION("""COMPUTED_VALUE"""),"بندرلنگه")</f>
        <v>بندرلنگه</v>
      </c>
      <c r="F4893" s="5"/>
      <c r="G4893" s="5"/>
      <c r="H4893" s="6" t="str">
        <f>IFERROR(__xludf.DUMMYFUNCTION("""COMPUTED_VALUE"""),"https://www.instagram.com/howzeh_bandrlengeh")</f>
        <v>https://www.instagram.com/howzeh_bandrlengeh</v>
      </c>
      <c r="I4893" s="5"/>
      <c r="J4893" s="6" t="str">
        <f>IFERROR(__xludf.DUMMYFUNCTION("""COMPUTED_VALUE"""),"https://eitaa.com/howzeh_bandrlengeh")</f>
        <v>https://eitaa.com/howzeh_bandrlengeh</v>
      </c>
      <c r="K4893" s="5"/>
      <c r="L4893" s="5"/>
      <c r="M4893" s="5"/>
      <c r="N4893" s="5"/>
      <c r="O4893" s="5"/>
      <c r="P4893" s="5"/>
      <c r="Q4893" s="5"/>
      <c r="R4893" s="5"/>
      <c r="S4893" s="5"/>
    </row>
    <row r="4894">
      <c r="A4894" s="5">
        <f>IFERROR(__xludf.DUMMYFUNCTION("""COMPUTED_VALUE"""),27961.0)</f>
        <v>27961</v>
      </c>
      <c r="B4894" s="5" t="str">
        <f>IFERROR(__xludf.DUMMYFUNCTION("""COMPUTED_VALUE"""),"هیأت هفتگی")</f>
        <v>هیأت هفتگی</v>
      </c>
      <c r="C4894" s="5" t="str">
        <f>IFERROR(__xludf.DUMMYFUNCTION("""COMPUTED_VALUE"""),"محبان الحسین (ع)")</f>
        <v>محبان الحسین (ع)</v>
      </c>
      <c r="D4894" s="5" t="str">
        <f>IFERROR(__xludf.DUMMYFUNCTION("""COMPUTED_VALUE"""),"هرمزگان")</f>
        <v>هرمزگان</v>
      </c>
      <c r="E4894" s="5" t="str">
        <f>IFERROR(__xludf.DUMMYFUNCTION("""COMPUTED_VALUE"""),"قشم")</f>
        <v>قشم</v>
      </c>
      <c r="F4894" s="5"/>
      <c r="G4894" s="5"/>
      <c r="H4894" s="6" t="str">
        <f>IFERROR(__xludf.DUMMYFUNCTION("""COMPUTED_VALUE"""),"https://www.instagram.com/moheban_alhoseiin")</f>
        <v>https://www.instagram.com/moheban_alhoseiin</v>
      </c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</row>
    <row r="4895">
      <c r="A4895" s="5">
        <f>IFERROR(__xludf.DUMMYFUNCTION("""COMPUTED_VALUE"""),25526.0)</f>
        <v>25526</v>
      </c>
      <c r="B4895" s="5" t="str">
        <f>IFERROR(__xludf.DUMMYFUNCTION("""COMPUTED_VALUE"""),"مسجد")</f>
        <v>مسجد</v>
      </c>
      <c r="C4895" s="5" t="str">
        <f>IFERROR(__xludf.DUMMYFUNCTION("""COMPUTED_VALUE"""),"حضرت رقیه (س)")</f>
        <v>حضرت رقیه (س)</v>
      </c>
      <c r="D4895" s="5" t="str">
        <f>IFERROR(__xludf.DUMMYFUNCTION("""COMPUTED_VALUE"""),"هرمزگان")</f>
        <v>هرمزگان</v>
      </c>
      <c r="E4895" s="5" t="str">
        <f>IFERROR(__xludf.DUMMYFUNCTION("""COMPUTED_VALUE"""),"میناب")</f>
        <v>میناب</v>
      </c>
      <c r="F4895" s="5"/>
      <c r="G4895" s="5"/>
      <c r="H4895" s="6" t="str">
        <f>IFERROR(__xludf.DUMMYFUNCTION("""COMPUTED_VALUE"""),"https://www.instagram.com/masjed5886")</f>
        <v>https://www.instagram.com/masjed5886</v>
      </c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</row>
    <row r="4896">
      <c r="A4896" s="5">
        <f>IFERROR(__xludf.DUMMYFUNCTION("""COMPUTED_VALUE"""),25376.0)</f>
        <v>25376</v>
      </c>
      <c r="B4896" s="5" t="str">
        <f>IFERROR(__xludf.DUMMYFUNCTION("""COMPUTED_VALUE"""),"هیأت هفتگی")</f>
        <v>هیأت هفتگی</v>
      </c>
      <c r="C4896" s="5" t="str">
        <f>IFERROR(__xludf.DUMMYFUNCTION("""COMPUTED_VALUE"""),"مهدویون")</f>
        <v>مهدویون</v>
      </c>
      <c r="D4896" s="5" t="str">
        <f>IFERROR(__xludf.DUMMYFUNCTION("""COMPUTED_VALUE"""),"هرمزگان")</f>
        <v>هرمزگان</v>
      </c>
      <c r="E4896" s="5" t="str">
        <f>IFERROR(__xludf.DUMMYFUNCTION("""COMPUTED_VALUE"""),"بندرعباس")</f>
        <v>بندرعباس</v>
      </c>
      <c r="F4896" s="5"/>
      <c r="G4896" s="5"/>
      <c r="H4896" s="6" t="str">
        <f>IFERROR(__xludf.DUMMYFUNCTION("""COMPUTED_VALUE"""),"https://www.instagram.com/mahdavion12")</f>
        <v>https://www.instagram.com/mahdavion12</v>
      </c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</row>
    <row r="4897">
      <c r="A4897" s="5">
        <f>IFERROR(__xludf.DUMMYFUNCTION("""COMPUTED_VALUE"""),24578.0)</f>
        <v>24578</v>
      </c>
      <c r="B4897" s="5" t="str">
        <f>IFERROR(__xludf.DUMMYFUNCTION("""COMPUTED_VALUE"""),"حسینیه")</f>
        <v>حسینیه</v>
      </c>
      <c r="C4897" s="5" t="str">
        <f>IFERROR(__xludf.DUMMYFUNCTION("""COMPUTED_VALUE"""),"صاحب الزمان(عج)")</f>
        <v>صاحب الزمان(عج)</v>
      </c>
      <c r="D4897" s="5" t="str">
        <f>IFERROR(__xludf.DUMMYFUNCTION("""COMPUTED_VALUE"""),"هرمزگان")</f>
        <v>هرمزگان</v>
      </c>
      <c r="E4897" s="5" t="str">
        <f>IFERROR(__xludf.DUMMYFUNCTION("""COMPUTED_VALUE"""),"بندرعباس")</f>
        <v>بندرعباس</v>
      </c>
      <c r="F4897" s="5"/>
      <c r="G4897" s="5"/>
      <c r="H4897" s="6" t="str">
        <f>IFERROR(__xludf.DUMMYFUNCTION("""COMPUTED_VALUE"""),"https://www.instagram.com/hoseinieh.sahebalzaman.zibashr")</f>
        <v>https://www.instagram.com/hoseinieh.sahebalzaman.zibashr</v>
      </c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</row>
    <row r="4898">
      <c r="A4898" s="5">
        <f>IFERROR(__xludf.DUMMYFUNCTION("""COMPUTED_VALUE"""),24527.0)</f>
        <v>24527</v>
      </c>
      <c r="B4898" s="5" t="str">
        <f>IFERROR(__xludf.DUMMYFUNCTION("""COMPUTED_VALUE"""),"مسجد")</f>
        <v>مسجد</v>
      </c>
      <c r="C4898" s="5" t="str">
        <f>IFERROR(__xludf.DUMMYFUNCTION("""COMPUTED_VALUE"""),"ابوالفضل پل خواجو")</f>
        <v>ابوالفضل پل خواجو</v>
      </c>
      <c r="D4898" s="5" t="str">
        <f>IFERROR(__xludf.DUMMYFUNCTION("""COMPUTED_VALUE"""),"هرمزگان")</f>
        <v>هرمزگان</v>
      </c>
      <c r="E4898" s="5" t="str">
        <f>IFERROR(__xludf.DUMMYFUNCTION("""COMPUTED_VALUE"""),"بندرعباس")</f>
        <v>بندرعباس</v>
      </c>
      <c r="F4898" s="5"/>
      <c r="G4898" s="5"/>
      <c r="H4898" s="6" t="str">
        <f>IFERROR(__xludf.DUMMYFUNCTION("""COMPUTED_VALUE"""),"https://www.instagram.com/mohebban_alabbas_bnd")</f>
        <v>https://www.instagram.com/mohebban_alabbas_bnd</v>
      </c>
      <c r="I4898" s="5"/>
      <c r="J4898" s="6" t="str">
        <f>IFERROR(__xludf.DUMMYFUNCTION("""COMPUTED_VALUE"""),"https://eitaa.com/ya_saqqa")</f>
        <v>https://eitaa.com/ya_saqqa</v>
      </c>
      <c r="K4898" s="5"/>
      <c r="L4898" s="5"/>
      <c r="M4898" s="5"/>
      <c r="N4898" s="5"/>
      <c r="O4898" s="5"/>
      <c r="P4898" s="5"/>
      <c r="Q4898" s="5"/>
      <c r="R4898" s="5"/>
      <c r="S4898" s="5"/>
    </row>
    <row r="4899">
      <c r="A4899" s="5">
        <f>IFERROR(__xludf.DUMMYFUNCTION("""COMPUTED_VALUE"""),24524.0)</f>
        <v>24524</v>
      </c>
      <c r="B4899" s="5" t="str">
        <f>IFERROR(__xludf.DUMMYFUNCTION("""COMPUTED_VALUE"""),"هیأت هفتگی")</f>
        <v>هیأت هفتگی</v>
      </c>
      <c r="C4899" s="5" t="str">
        <f>IFERROR(__xludf.DUMMYFUNCTION("""COMPUTED_VALUE"""),"محبان المهدی")</f>
        <v>محبان المهدی</v>
      </c>
      <c r="D4899" s="5" t="str">
        <f>IFERROR(__xludf.DUMMYFUNCTION("""COMPUTED_VALUE"""),"هرمزگان")</f>
        <v>هرمزگان</v>
      </c>
      <c r="E4899" s="5" t="str">
        <f>IFERROR(__xludf.DUMMYFUNCTION("""COMPUTED_VALUE"""),"بندرعباس")</f>
        <v>بندرعباس</v>
      </c>
      <c r="F4899" s="5"/>
      <c r="G4899" s="5"/>
      <c r="H4899" s="6" t="str">
        <f>IFERROR(__xludf.DUMMYFUNCTION("""COMPUTED_VALUE"""),"https://www.instagram.com/heyat_moheban.mahdi")</f>
        <v>https://www.instagram.com/heyat_moheban.mahdi</v>
      </c>
      <c r="I4899" s="6" t="str">
        <f>IFERROR(__xludf.DUMMYFUNCTION("""COMPUTED_VALUE"""),"https://t.me/heyat_mohebnmahdi")</f>
        <v>https://t.me/heyat_mohebnmahdi</v>
      </c>
      <c r="J4899" s="5"/>
      <c r="K4899" s="5"/>
      <c r="L4899" s="5"/>
      <c r="M4899" s="5"/>
      <c r="N4899" s="5"/>
      <c r="O4899" s="5"/>
      <c r="P4899" s="5"/>
      <c r="Q4899" s="5"/>
      <c r="R4899" s="5"/>
      <c r="S4899" s="5"/>
    </row>
    <row r="4900">
      <c r="A4900" s="5">
        <f>IFERROR(__xludf.DUMMYFUNCTION("""COMPUTED_VALUE"""),24521.0)</f>
        <v>24521</v>
      </c>
      <c r="B4900" s="5" t="str">
        <f>IFERROR(__xludf.DUMMYFUNCTION("""COMPUTED_VALUE"""),"هیأت هفتگی")</f>
        <v>هیأت هفتگی</v>
      </c>
      <c r="C4900" s="5" t="str">
        <f>IFERROR(__xludf.DUMMYFUNCTION("""COMPUTED_VALUE"""),"بیت النور")</f>
        <v>بیت النور</v>
      </c>
      <c r="D4900" s="5" t="str">
        <f>IFERROR(__xludf.DUMMYFUNCTION("""COMPUTED_VALUE"""),"هرمزگان")</f>
        <v>هرمزگان</v>
      </c>
      <c r="E4900" s="5" t="str">
        <f>IFERROR(__xludf.DUMMYFUNCTION("""COMPUTED_VALUE"""),"بندرعباس")</f>
        <v>بندرعباس</v>
      </c>
      <c r="F4900" s="5"/>
      <c r="G4900" s="5"/>
      <c r="H4900" s="6" t="str">
        <f>IFERROR(__xludf.DUMMYFUNCTION("""COMPUTED_VALUE"""),"https://www.instagram.com/baytonnoor")</f>
        <v>https://www.instagram.com/baytonnoor</v>
      </c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</row>
    <row r="4901">
      <c r="A4901" s="5">
        <f>IFERROR(__xludf.DUMMYFUNCTION("""COMPUTED_VALUE"""),24513.0)</f>
        <v>24513</v>
      </c>
      <c r="B4901" s="5" t="str">
        <f>IFERROR(__xludf.DUMMYFUNCTION("""COMPUTED_VALUE"""),"مسجد")</f>
        <v>مسجد</v>
      </c>
      <c r="C4901" s="5" t="str">
        <f>IFERROR(__xludf.DUMMYFUNCTION("""COMPUTED_VALUE"""),"حضرت موسی بن جعفر (ع)")</f>
        <v>حضرت موسی بن جعفر (ع)</v>
      </c>
      <c r="D4901" s="5" t="str">
        <f>IFERROR(__xludf.DUMMYFUNCTION("""COMPUTED_VALUE"""),"هرمزگان")</f>
        <v>هرمزگان</v>
      </c>
      <c r="E4901" s="5" t="str">
        <f>IFERROR(__xludf.DUMMYFUNCTION("""COMPUTED_VALUE"""),"بندرعباس")</f>
        <v>بندرعباس</v>
      </c>
      <c r="F4901" s="5"/>
      <c r="G4901" s="5"/>
      <c r="H4901" s="6" t="str">
        <f>IFERROR(__xludf.DUMMYFUNCTION("""COMPUTED_VALUE"""),"https://www.instagram.com/kazemioun7")</f>
        <v>https://www.instagram.com/kazemioun7</v>
      </c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</row>
    <row r="4902">
      <c r="A4902" s="5">
        <f>IFERROR(__xludf.DUMMYFUNCTION("""COMPUTED_VALUE"""),24512.0)</f>
        <v>24512</v>
      </c>
      <c r="B4902" s="5" t="str">
        <f>IFERROR(__xludf.DUMMYFUNCTION("""COMPUTED_VALUE"""),"هیأت هفتگی")</f>
        <v>هیأت هفتگی</v>
      </c>
      <c r="C4902" s="5" t="str">
        <f>IFERROR(__xludf.DUMMYFUNCTION("""COMPUTED_VALUE"""),"انصارالحسین (ع)")</f>
        <v>انصارالحسین (ع)</v>
      </c>
      <c r="D4902" s="5" t="str">
        <f>IFERROR(__xludf.DUMMYFUNCTION("""COMPUTED_VALUE"""),"هرمزگان")</f>
        <v>هرمزگان</v>
      </c>
      <c r="E4902" s="5" t="str">
        <f>IFERROR(__xludf.DUMMYFUNCTION("""COMPUTED_VALUE"""),"بندرعباس")</f>
        <v>بندرعباس</v>
      </c>
      <c r="F4902" s="5"/>
      <c r="G4902" s="5"/>
      <c r="H4902" s="6" t="str">
        <f>IFERROR(__xludf.DUMMYFUNCTION("""COMPUTED_VALUE"""),"https://www.instagram.com/heyat.ansaralhosien")</f>
        <v>https://www.instagram.com/heyat.ansaralhosien</v>
      </c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</row>
    <row r="4903">
      <c r="A4903" s="5">
        <f>IFERROR(__xludf.DUMMYFUNCTION("""COMPUTED_VALUE"""),24510.0)</f>
        <v>24510</v>
      </c>
      <c r="B4903" s="5" t="str">
        <f>IFERROR(__xludf.DUMMYFUNCTION("""COMPUTED_VALUE"""),"هیأت هفتگی")</f>
        <v>هیأت هفتگی</v>
      </c>
      <c r="C4903" s="5" t="str">
        <f>IFERROR(__xludf.DUMMYFUNCTION("""COMPUTED_VALUE"""),"حضرت علی اصغر (ع)")</f>
        <v>حضرت علی اصغر (ع)</v>
      </c>
      <c r="D4903" s="5" t="str">
        <f>IFERROR(__xludf.DUMMYFUNCTION("""COMPUTED_VALUE"""),"هرمزگان")</f>
        <v>هرمزگان</v>
      </c>
      <c r="E4903" s="5" t="str">
        <f>IFERROR(__xludf.DUMMYFUNCTION("""COMPUTED_VALUE"""),"بندرعباس")</f>
        <v>بندرعباس</v>
      </c>
      <c r="F4903" s="5"/>
      <c r="G4903" s="5"/>
      <c r="H4903" s="5"/>
      <c r="I4903" s="5"/>
      <c r="J4903" s="6" t="str">
        <f>IFERROR(__xludf.DUMMYFUNCTION("""COMPUTED_VALUE"""),"https://eitaa.com/asghariyoon")</f>
        <v>https://eitaa.com/asghariyoon</v>
      </c>
      <c r="K4903" s="5"/>
      <c r="L4903" s="5"/>
      <c r="M4903" s="5"/>
      <c r="N4903" s="5"/>
      <c r="O4903" s="5"/>
      <c r="P4903" s="5"/>
      <c r="Q4903" s="5"/>
      <c r="R4903" s="5"/>
      <c r="S4903" s="5"/>
    </row>
    <row r="4904">
      <c r="A4904" s="5">
        <f>IFERROR(__xludf.DUMMYFUNCTION("""COMPUTED_VALUE"""),24419.0)</f>
        <v>24419</v>
      </c>
      <c r="B4904" s="5" t="str">
        <f>IFERROR(__xludf.DUMMYFUNCTION("""COMPUTED_VALUE"""),"هیأت هفتگی")</f>
        <v>هیأت هفتگی</v>
      </c>
      <c r="C4904" s="5" t="str">
        <f>IFERROR(__xludf.DUMMYFUNCTION("""COMPUTED_VALUE"""),"ستاد مردمی قاسمیون")</f>
        <v>ستاد مردمی قاسمیون</v>
      </c>
      <c r="D4904" s="5" t="str">
        <f>IFERROR(__xludf.DUMMYFUNCTION("""COMPUTED_VALUE"""),"هرمزگان")</f>
        <v>هرمزگان</v>
      </c>
      <c r="E4904" s="5" t="str">
        <f>IFERROR(__xludf.DUMMYFUNCTION("""COMPUTED_VALUE"""),"میناب")</f>
        <v>میناب</v>
      </c>
      <c r="F4904" s="5"/>
      <c r="G4904" s="5"/>
      <c r="H4904" s="6" t="str">
        <f>IFERROR(__xludf.DUMMYFUNCTION("""COMPUTED_VALUE"""),"https://www.instagram.com/irani699m")</f>
        <v>https://www.instagram.com/irani699m</v>
      </c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</row>
    <row r="4905">
      <c r="A4905" s="5">
        <f>IFERROR(__xludf.DUMMYFUNCTION("""COMPUTED_VALUE"""),24390.0)</f>
        <v>24390</v>
      </c>
      <c r="B4905" s="5" t="str">
        <f>IFERROR(__xludf.DUMMYFUNCTION("""COMPUTED_VALUE"""),"هیأت هفتگی")</f>
        <v>هیأت هفتگی</v>
      </c>
      <c r="C4905" s="5" t="str">
        <f>IFERROR(__xludf.DUMMYFUNCTION("""COMPUTED_VALUE"""),"مسجد انقلاب")</f>
        <v>مسجد انقلاب</v>
      </c>
      <c r="D4905" s="5" t="str">
        <f>IFERROR(__xludf.DUMMYFUNCTION("""COMPUTED_VALUE"""),"هرمزگان")</f>
        <v>هرمزگان</v>
      </c>
      <c r="E4905" s="5" t="str">
        <f>IFERROR(__xludf.DUMMYFUNCTION("""COMPUTED_VALUE"""),"بندرعباس")</f>
        <v>بندرعباس</v>
      </c>
      <c r="F4905" s="5"/>
      <c r="G4905" s="5"/>
      <c r="H4905" s="6" t="str">
        <f>IFERROR(__xludf.DUMMYFUNCTION("""COMPUTED_VALUE"""),"https://www.instagram.com/masjedenghelab400")</f>
        <v>https://www.instagram.com/masjedenghelab400</v>
      </c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</row>
    <row r="4906">
      <c r="A4906" s="5">
        <f>IFERROR(__xludf.DUMMYFUNCTION("""COMPUTED_VALUE"""),24170.0)</f>
        <v>24170</v>
      </c>
      <c r="B4906" s="5" t="str">
        <f>IFERROR(__xludf.DUMMYFUNCTION("""COMPUTED_VALUE"""),"هیأت هفتگی")</f>
        <v>هیأت هفتگی</v>
      </c>
      <c r="C4906" s="5" t="str">
        <f>IFERROR(__xludf.DUMMYFUNCTION("""COMPUTED_VALUE"""),"هیأت المهدی")</f>
        <v>هیأت المهدی</v>
      </c>
      <c r="D4906" s="5" t="str">
        <f>IFERROR(__xludf.DUMMYFUNCTION("""COMPUTED_VALUE"""),"هرمزگان")</f>
        <v>هرمزگان</v>
      </c>
      <c r="E4906" s="5" t="str">
        <f>IFERROR(__xludf.DUMMYFUNCTION("""COMPUTED_VALUE"""),"میناب")</f>
        <v>میناب</v>
      </c>
      <c r="F4906" s="5"/>
      <c r="G4906" s="5"/>
      <c r="H4906" s="6" t="str">
        <f>IFERROR(__xludf.DUMMYFUNCTION("""COMPUTED_VALUE"""),"https://www.instagram.com/heyat.almahdi")</f>
        <v>https://www.instagram.com/heyat.almahdi</v>
      </c>
      <c r="I4906" s="5"/>
      <c r="J4906" s="6" t="str">
        <f>IFERROR(__xludf.DUMMYFUNCTION("""COMPUTED_VALUE"""),"https://eitaa.com/heyatalmahdiminab")</f>
        <v>https://eitaa.com/heyatalmahdiminab</v>
      </c>
      <c r="K4906" s="5"/>
      <c r="L4906" s="5"/>
      <c r="M4906" s="5"/>
      <c r="N4906" s="5"/>
      <c r="O4906" s="5"/>
      <c r="P4906" s="5"/>
      <c r="Q4906" s="5"/>
      <c r="R4906" s="5"/>
      <c r="S4906" s="5"/>
    </row>
    <row r="4907">
      <c r="A4907" s="5">
        <f>IFERROR(__xludf.DUMMYFUNCTION("""COMPUTED_VALUE"""),23256.0)</f>
        <v>23256</v>
      </c>
      <c r="B4907" s="5" t="str">
        <f>IFERROR(__xludf.DUMMYFUNCTION("""COMPUTED_VALUE"""),"هیأت هفتگی")</f>
        <v>هیأت هفتگی</v>
      </c>
      <c r="C4907" s="5" t="str">
        <f>IFERROR(__xludf.DUMMYFUNCTION("""COMPUTED_VALUE"""),"متوسلین به حضرت علی اکبر(ع) مسجد النبی")</f>
        <v>متوسلین به حضرت علی اکبر(ع) مسجد النبی</v>
      </c>
      <c r="D4907" s="5" t="str">
        <f>IFERROR(__xludf.DUMMYFUNCTION("""COMPUTED_VALUE"""),"هرمزگان")</f>
        <v>هرمزگان</v>
      </c>
      <c r="E4907" s="5" t="str">
        <f>IFERROR(__xludf.DUMMYFUNCTION("""COMPUTED_VALUE"""),"جاسک")</f>
        <v>جاسک</v>
      </c>
      <c r="F4907" s="5"/>
      <c r="G4907" s="5"/>
      <c r="H4907" s="6" t="str">
        <f>IFERROR(__xludf.DUMMYFUNCTION("""COMPUTED_VALUE"""),"https://www.instagram.com/gomnam_tarin7899")</f>
        <v>https://www.instagram.com/gomnam_tarin7899</v>
      </c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</row>
    <row r="4908">
      <c r="A4908" s="5">
        <f>IFERROR(__xludf.DUMMYFUNCTION("""COMPUTED_VALUE"""),23246.0)</f>
        <v>23246</v>
      </c>
      <c r="B4908" s="5" t="str">
        <f>IFERROR(__xludf.DUMMYFUNCTION("""COMPUTED_VALUE"""),"هیأت هفتگی")</f>
        <v>هیأت هفتگی</v>
      </c>
      <c r="C4908" s="5" t="str">
        <f>IFERROR(__xludf.DUMMYFUNCTION("""COMPUTED_VALUE"""),"محبان المهدی (عج)")</f>
        <v>محبان المهدی (عج)</v>
      </c>
      <c r="D4908" s="5" t="str">
        <f>IFERROR(__xludf.DUMMYFUNCTION("""COMPUTED_VALUE"""),"هرمزگان")</f>
        <v>هرمزگان</v>
      </c>
      <c r="E4908" s="5" t="str">
        <f>IFERROR(__xludf.DUMMYFUNCTION("""COMPUTED_VALUE"""),"بندرعباس")</f>
        <v>بندرعباس</v>
      </c>
      <c r="F4908" s="5"/>
      <c r="G4908" s="5"/>
      <c r="H4908" s="6" t="str">
        <f>IFERROR(__xludf.DUMMYFUNCTION("""COMPUTED_VALUE"""),"https://www.instagram.com/heyat_moheban.mahdi")</f>
        <v>https://www.instagram.com/heyat_moheban.mahdi</v>
      </c>
      <c r="I4908" s="6" t="str">
        <f>IFERROR(__xludf.DUMMYFUNCTION("""COMPUTED_VALUE"""),"https://t.me/heyat_mohebnmahdi")</f>
        <v>https://t.me/heyat_mohebnmahdi</v>
      </c>
      <c r="J4908" s="5"/>
      <c r="K4908" s="5"/>
      <c r="L4908" s="5"/>
      <c r="M4908" s="5"/>
      <c r="N4908" s="5"/>
      <c r="O4908" s="5"/>
      <c r="P4908" s="5"/>
      <c r="Q4908" s="5"/>
      <c r="R4908" s="5"/>
      <c r="S4908" s="5"/>
    </row>
    <row r="4909">
      <c r="A4909" s="5">
        <f>IFERROR(__xludf.DUMMYFUNCTION("""COMPUTED_VALUE"""),22616.0)</f>
        <v>22616</v>
      </c>
      <c r="B4909" s="5" t="str">
        <f>IFERROR(__xludf.DUMMYFUNCTION("""COMPUTED_VALUE"""),"هیأت هفتگی")</f>
        <v>هیأت هفتگی</v>
      </c>
      <c r="C4909" s="5" t="str">
        <f>IFERROR(__xludf.DUMMYFUNCTION("""COMPUTED_VALUE"""),"موکب قمربنی هاشم (ع)")</f>
        <v>موکب قمربنی هاشم (ع)</v>
      </c>
      <c r="D4909" s="5" t="str">
        <f>IFERROR(__xludf.DUMMYFUNCTION("""COMPUTED_VALUE"""),"هرمزگان")</f>
        <v>هرمزگان</v>
      </c>
      <c r="E4909" s="5" t="str">
        <f>IFERROR(__xludf.DUMMYFUNCTION("""COMPUTED_VALUE"""),"میناب")</f>
        <v>میناب</v>
      </c>
      <c r="F4909" s="5"/>
      <c r="G4909" s="5"/>
      <c r="H4909" s="6" t="str">
        <f>IFERROR(__xludf.DUMMYFUNCTION("""COMPUTED_VALUE"""),"https://www.instagram.com/minab_arbain")</f>
        <v>https://www.instagram.com/minab_arbain</v>
      </c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</row>
    <row r="4910">
      <c r="A4910" s="5">
        <f>IFERROR(__xludf.DUMMYFUNCTION("""COMPUTED_VALUE"""),22614.0)</f>
        <v>22614</v>
      </c>
      <c r="B4910" s="5" t="str">
        <f>IFERROR(__xludf.DUMMYFUNCTION("""COMPUTED_VALUE"""),"هیأت هفتگی")</f>
        <v>هیأت هفتگی</v>
      </c>
      <c r="C4910" s="5" t="str">
        <f>IFERROR(__xludf.DUMMYFUNCTION("""COMPUTED_VALUE"""),"جوانان قمربنی هاشم (ع)")</f>
        <v>جوانان قمربنی هاشم (ع)</v>
      </c>
      <c r="D4910" s="5" t="str">
        <f>IFERROR(__xludf.DUMMYFUNCTION("""COMPUTED_VALUE"""),"هرمزگان")</f>
        <v>هرمزگان</v>
      </c>
      <c r="E4910" s="5" t="str">
        <f>IFERROR(__xludf.DUMMYFUNCTION("""COMPUTED_VALUE"""),"قشم")</f>
        <v>قشم</v>
      </c>
      <c r="F4910" s="5"/>
      <c r="G4910" s="5"/>
      <c r="H4910" s="5"/>
      <c r="I4910" s="5"/>
      <c r="J4910" s="6" t="str">
        <f>IFERROR(__xludf.DUMMYFUNCTION("""COMPUTED_VALUE"""),"https://eitaa.com/heyate_ghamarebanihashem")</f>
        <v>https://eitaa.com/heyate_ghamarebanihashem</v>
      </c>
      <c r="K4910" s="5"/>
      <c r="L4910" s="5"/>
      <c r="M4910" s="5"/>
      <c r="N4910" s="5"/>
      <c r="O4910" s="5"/>
      <c r="P4910" s="5"/>
      <c r="Q4910" s="5"/>
      <c r="R4910" s="5"/>
      <c r="S4910" s="5"/>
    </row>
    <row r="4911">
      <c r="A4911" s="5">
        <f>IFERROR(__xludf.DUMMYFUNCTION("""COMPUTED_VALUE"""),22608.0)</f>
        <v>22608</v>
      </c>
      <c r="B4911" s="5" t="str">
        <f>IFERROR(__xludf.DUMMYFUNCTION("""COMPUTED_VALUE"""),"هیأت هفتگی")</f>
        <v>هیأت هفتگی</v>
      </c>
      <c r="C4911" s="5" t="str">
        <f>IFERROR(__xludf.DUMMYFUNCTION("""COMPUTED_VALUE"""),"کمیته خادم الشهدا شهرستان پارسیان")</f>
        <v>کمیته خادم الشهدا شهرستان پارسیان</v>
      </c>
      <c r="D4911" s="5" t="str">
        <f>IFERROR(__xludf.DUMMYFUNCTION("""COMPUTED_VALUE"""),"هرمزگان")</f>
        <v>هرمزگان</v>
      </c>
      <c r="E4911" s="5" t="str">
        <f>IFERROR(__xludf.DUMMYFUNCTION("""COMPUTED_VALUE"""),"پارسیان")</f>
        <v>پارسیان</v>
      </c>
      <c r="F4911" s="5"/>
      <c r="G4911" s="5"/>
      <c r="H4911" s="6" t="str">
        <f>IFERROR(__xludf.DUMMYFUNCTION("""COMPUTED_VALUE"""),"https://www.instagram.com/khademin_parsian")</f>
        <v>https://www.instagram.com/khademin_parsian</v>
      </c>
      <c r="I4911" s="5"/>
      <c r="J4911" s="6" t="str">
        <f>IFERROR(__xludf.DUMMYFUNCTION("""COMPUTED_VALUE"""),"https://eitaa.com/Khademin_parsian")</f>
        <v>https://eitaa.com/Khademin_parsian</v>
      </c>
      <c r="K4911" s="5"/>
      <c r="L4911" s="5"/>
      <c r="M4911" s="5"/>
      <c r="N4911" s="5"/>
      <c r="O4911" s="5"/>
      <c r="P4911" s="5"/>
      <c r="Q4911" s="5"/>
      <c r="R4911" s="5"/>
      <c r="S4911" s="5"/>
    </row>
    <row r="4912">
      <c r="A4912" s="5">
        <f>IFERROR(__xludf.DUMMYFUNCTION("""COMPUTED_VALUE"""),22413.0)</f>
        <v>22413</v>
      </c>
      <c r="B4912" s="5" t="str">
        <f>IFERROR(__xludf.DUMMYFUNCTION("""COMPUTED_VALUE"""),"هیأت هفتگی")</f>
        <v>هیأت هفتگی</v>
      </c>
      <c r="C4912" s="5" t="str">
        <f>IFERROR(__xludf.DUMMYFUNCTION("""COMPUTED_VALUE"""),"حسن بن علی (ع)")</f>
        <v>حسن بن علی (ع)</v>
      </c>
      <c r="D4912" s="5" t="str">
        <f>IFERROR(__xludf.DUMMYFUNCTION("""COMPUTED_VALUE"""),"هرمزگان")</f>
        <v>هرمزگان</v>
      </c>
      <c r="E4912" s="5" t="str">
        <f>IFERROR(__xludf.DUMMYFUNCTION("""COMPUTED_VALUE"""),"بندرعباس")</f>
        <v>بندرعباس</v>
      </c>
      <c r="F4912" s="5"/>
      <c r="G4912" s="5"/>
      <c r="H4912" s="6" t="str">
        <f>IFERROR(__xludf.DUMMYFUNCTION("""COMPUTED_VALUE"""),"https://www.instagram.com/hasaniyoon118_bnd_live")</f>
        <v>https://www.instagram.com/hasaniyoon118_bnd_live</v>
      </c>
      <c r="I4912" s="6" t="str">
        <f>IFERROR(__xludf.DUMMYFUNCTION("""COMPUTED_VALUE"""),"https://t.me/hasaniyoon_bnd118")</f>
        <v>https://t.me/hasaniyoon_bnd118</v>
      </c>
      <c r="J4912" s="6" t="str">
        <f>IFERROR(__xludf.DUMMYFUNCTION("""COMPUTED_VALUE"""),"https://eitaa.com/hasaniyoon_bnd")</f>
        <v>https://eitaa.com/hasaniyoon_bnd</v>
      </c>
      <c r="K4912" s="5"/>
      <c r="L4912" s="5"/>
      <c r="M4912" s="5"/>
      <c r="N4912" s="5"/>
      <c r="O4912" s="5"/>
      <c r="P4912" s="5"/>
      <c r="Q4912" s="5"/>
      <c r="R4912" s="5"/>
      <c r="S4912" s="5"/>
    </row>
    <row r="4913">
      <c r="A4913" s="5">
        <f>IFERROR(__xludf.DUMMYFUNCTION("""COMPUTED_VALUE"""),22382.0)</f>
        <v>22382</v>
      </c>
      <c r="B4913" s="5" t="str">
        <f>IFERROR(__xludf.DUMMYFUNCTION("""COMPUTED_VALUE"""),"هیأت هفتگی")</f>
        <v>هیأت هفتگی</v>
      </c>
      <c r="C4913" s="5" t="str">
        <f>IFERROR(__xludf.DUMMYFUNCTION("""COMPUTED_VALUE"""),"رزمندگان اسلام")</f>
        <v>رزمندگان اسلام</v>
      </c>
      <c r="D4913" s="5" t="str">
        <f>IFERROR(__xludf.DUMMYFUNCTION("""COMPUTED_VALUE"""),"هرمزگان")</f>
        <v>هرمزگان</v>
      </c>
      <c r="E4913" s="5" t="str">
        <f>IFERROR(__xludf.DUMMYFUNCTION("""COMPUTED_VALUE"""),"قشم")</f>
        <v>قشم</v>
      </c>
      <c r="F4913" s="5"/>
      <c r="G4913" s="5"/>
      <c r="H4913" s="6" t="str">
        <f>IFERROR(__xludf.DUMMYFUNCTION("""COMPUTED_VALUE"""),"https://www.instagram.com/razmandegan_qeshm")</f>
        <v>https://www.instagram.com/razmandegan_qeshm</v>
      </c>
      <c r="I4913" s="5"/>
      <c r="J4913" s="6" t="str">
        <f>IFERROR(__xludf.DUMMYFUNCTION("""COMPUTED_VALUE"""),"https://eitaa.com/Razmandegan_Qeshm")</f>
        <v>https://eitaa.com/Razmandegan_Qeshm</v>
      </c>
      <c r="K4913" s="5"/>
      <c r="L4913" s="5"/>
      <c r="M4913" s="5"/>
      <c r="N4913" s="5"/>
      <c r="O4913" s="5"/>
      <c r="P4913" s="5"/>
      <c r="Q4913" s="5"/>
      <c r="R4913" s="5"/>
      <c r="S4913" s="5"/>
    </row>
    <row r="4914">
      <c r="A4914" s="5">
        <f>IFERROR(__xludf.DUMMYFUNCTION("""COMPUTED_VALUE"""),22381.0)</f>
        <v>22381</v>
      </c>
      <c r="B4914" s="5" t="str">
        <f>IFERROR(__xludf.DUMMYFUNCTION("""COMPUTED_VALUE"""),"هیأت هفتگی")</f>
        <v>هیأت هفتگی</v>
      </c>
      <c r="C4914" s="5" t="str">
        <f>IFERROR(__xludf.DUMMYFUNCTION("""COMPUTED_VALUE"""),"بقیه الله الاعظم (عج)")</f>
        <v>بقیه الله الاعظم (عج)</v>
      </c>
      <c r="D4914" s="5" t="str">
        <f>IFERROR(__xludf.DUMMYFUNCTION("""COMPUTED_VALUE"""),"هرمزگان")</f>
        <v>هرمزگان</v>
      </c>
      <c r="E4914" s="5" t="str">
        <f>IFERROR(__xludf.DUMMYFUNCTION("""COMPUTED_VALUE"""),"بندرعباس")</f>
        <v>بندرعباس</v>
      </c>
      <c r="F4914" s="5"/>
      <c r="G4914" s="5"/>
      <c r="H4914" s="6" t="str">
        <f>IFERROR(__xludf.DUMMYFUNCTION("""COMPUTED_VALUE"""),"https://www.instagram.com/minab.2020")</f>
        <v>https://www.instagram.com/minab.2020</v>
      </c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</row>
    <row r="4915">
      <c r="A4915" s="5">
        <f>IFERROR(__xludf.DUMMYFUNCTION("""COMPUTED_VALUE"""),22368.0)</f>
        <v>22368</v>
      </c>
      <c r="B4915" s="5" t="str">
        <f>IFERROR(__xludf.DUMMYFUNCTION("""COMPUTED_VALUE"""),"هیأت هفتگی")</f>
        <v>هیأت هفتگی</v>
      </c>
      <c r="C4915" s="5" t="str">
        <f>IFERROR(__xludf.DUMMYFUNCTION("""COMPUTED_VALUE"""),"مسجد موسی بن جعفر(ع)")</f>
        <v>مسجد موسی بن جعفر(ع)</v>
      </c>
      <c r="D4915" s="5" t="str">
        <f>IFERROR(__xludf.DUMMYFUNCTION("""COMPUTED_VALUE"""),"هرمزگان")</f>
        <v>هرمزگان</v>
      </c>
      <c r="E4915" s="5" t="str">
        <f>IFERROR(__xludf.DUMMYFUNCTION("""COMPUTED_VALUE"""),"بندرعباس")</f>
        <v>بندرعباس</v>
      </c>
      <c r="F4915" s="5"/>
      <c r="G4915" s="5"/>
      <c r="H4915" s="6" t="str">
        <f>IFERROR(__xludf.DUMMYFUNCTION("""COMPUTED_VALUE"""),"https://www.instagram.com/kazemioun7")</f>
        <v>https://www.instagram.com/kazemioun7</v>
      </c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</row>
    <row r="4916">
      <c r="A4916" s="5">
        <f>IFERROR(__xludf.DUMMYFUNCTION("""COMPUTED_VALUE"""),22362.0)</f>
        <v>22362</v>
      </c>
      <c r="B4916" s="5" t="str">
        <f>IFERROR(__xludf.DUMMYFUNCTION("""COMPUTED_VALUE"""),"هیأت هفتگی")</f>
        <v>هیأت هفتگی</v>
      </c>
      <c r="C4916" s="5" t="str">
        <f>IFERROR(__xludf.DUMMYFUNCTION("""COMPUTED_VALUE"""),"موسسه خیریه نبی اکرم (ص)")</f>
        <v>موسسه خیریه نبی اکرم (ص)</v>
      </c>
      <c r="D4916" s="5" t="str">
        <f>IFERROR(__xludf.DUMMYFUNCTION("""COMPUTED_VALUE"""),"هرمزگان")</f>
        <v>هرمزگان</v>
      </c>
      <c r="E4916" s="5" t="str">
        <f>IFERROR(__xludf.DUMMYFUNCTION("""COMPUTED_VALUE"""),"بندرعباس")</f>
        <v>بندرعباس</v>
      </c>
      <c r="F4916" s="5"/>
      <c r="G4916" s="5"/>
      <c r="H4916" s="6" t="str">
        <f>IFERROR(__xludf.DUMMYFUNCTION("""COMPUTED_VALUE"""),"https://www.instagram.com/nabiakram2")</f>
        <v>https://www.instagram.com/nabiakram2</v>
      </c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</row>
    <row r="4917">
      <c r="A4917" s="5">
        <f>IFERROR(__xludf.DUMMYFUNCTION("""COMPUTED_VALUE"""),21994.0)</f>
        <v>21994</v>
      </c>
      <c r="B4917" s="5" t="str">
        <f>IFERROR(__xludf.DUMMYFUNCTION("""COMPUTED_VALUE"""),"هیأت هفتگی")</f>
        <v>هیأت هفتگی</v>
      </c>
      <c r="C4917" s="5" t="str">
        <f>IFERROR(__xludf.DUMMYFUNCTION("""COMPUTED_VALUE"""),"نورالهدی / بنت النبی")</f>
        <v>نورالهدی / بنت النبی</v>
      </c>
      <c r="D4917" s="5" t="str">
        <f>IFERROR(__xludf.DUMMYFUNCTION("""COMPUTED_VALUE"""),"هرمزگان")</f>
        <v>هرمزگان</v>
      </c>
      <c r="E4917" s="5" t="str">
        <f>IFERROR(__xludf.DUMMYFUNCTION("""COMPUTED_VALUE"""),"بندرعباس")</f>
        <v>بندرعباس</v>
      </c>
      <c r="F4917" s="5"/>
      <c r="G4917" s="5"/>
      <c r="H4917" s="5"/>
      <c r="I4917" s="5"/>
      <c r="J4917" s="6" t="str">
        <f>IFERROR(__xludf.DUMMYFUNCTION("""COMPUTED_VALUE"""),"https://eitaa.com/noorolhoda_bandr")</f>
        <v>https://eitaa.com/noorolhoda_bandr</v>
      </c>
      <c r="K4917" s="5"/>
      <c r="L4917" s="5"/>
      <c r="M4917" s="5"/>
      <c r="N4917" s="5"/>
      <c r="O4917" s="5"/>
      <c r="P4917" s="5"/>
      <c r="Q4917" s="5"/>
      <c r="R4917" s="5"/>
      <c r="S4917" s="5"/>
    </row>
    <row r="4918">
      <c r="A4918" s="5">
        <f>IFERROR(__xludf.DUMMYFUNCTION("""COMPUTED_VALUE"""),21989.0)</f>
        <v>21989</v>
      </c>
      <c r="B4918" s="5" t="str">
        <f>IFERROR(__xludf.DUMMYFUNCTION("""COMPUTED_VALUE"""),"مسجد")</f>
        <v>مسجد</v>
      </c>
      <c r="C4918" s="5" t="str">
        <f>IFERROR(__xludf.DUMMYFUNCTION("""COMPUTED_VALUE"""),"حضرت ابوالفضل (ع)")</f>
        <v>حضرت ابوالفضل (ع)</v>
      </c>
      <c r="D4918" s="5" t="str">
        <f>IFERROR(__xludf.DUMMYFUNCTION("""COMPUTED_VALUE"""),"هرمزگان")</f>
        <v>هرمزگان</v>
      </c>
      <c r="E4918" s="5" t="str">
        <f>IFERROR(__xludf.DUMMYFUNCTION("""COMPUTED_VALUE"""),"رودان")</f>
        <v>رودان</v>
      </c>
      <c r="F4918" s="5"/>
      <c r="G4918" s="5"/>
      <c r="H4918" s="6" t="str">
        <f>IFERROR(__xludf.DUMMYFUNCTION("""COMPUTED_VALUE"""),"https://www.instagram.com/masjedaboalfazl")</f>
        <v>https://www.instagram.com/masjedaboalfazl</v>
      </c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</row>
    <row r="4919">
      <c r="A4919" s="5">
        <f>IFERROR(__xludf.DUMMYFUNCTION("""COMPUTED_VALUE"""),21987.0)</f>
        <v>21987</v>
      </c>
      <c r="B4919" s="5" t="str">
        <f>IFERROR(__xludf.DUMMYFUNCTION("""COMPUTED_VALUE"""),"هیأت هفتگی")</f>
        <v>هیأت هفتگی</v>
      </c>
      <c r="C4919" s="5" t="str">
        <f>IFERROR(__xludf.DUMMYFUNCTION("""COMPUTED_VALUE"""),"رزمندگان اسلام")</f>
        <v>رزمندگان اسلام</v>
      </c>
      <c r="D4919" s="5" t="str">
        <f>IFERROR(__xludf.DUMMYFUNCTION("""COMPUTED_VALUE"""),"هرمزگان")</f>
        <v>هرمزگان</v>
      </c>
      <c r="E4919" s="5" t="str">
        <f>IFERROR(__xludf.DUMMYFUNCTION("""COMPUTED_VALUE"""),"بندرعباس")</f>
        <v>بندرعباس</v>
      </c>
      <c r="F4919" s="5"/>
      <c r="G4919" s="5"/>
      <c r="H4919" s="6" t="str">
        <f>IFERROR(__xludf.DUMMYFUNCTION("""COMPUTED_VALUE"""),"https://www.instagram.com/heyathormozgan")</f>
        <v>https://www.instagram.com/heyathormozgan</v>
      </c>
      <c r="I4919" s="5"/>
      <c r="J4919" s="6" t="str">
        <f>IFERROR(__xludf.DUMMYFUNCTION("""COMPUTED_VALUE"""),"https://eitaa.com/heyat_bnd")</f>
        <v>https://eitaa.com/heyat_bnd</v>
      </c>
      <c r="K4919" s="5"/>
      <c r="L4919" s="5"/>
      <c r="M4919" s="5"/>
      <c r="N4919" s="5"/>
      <c r="O4919" s="5"/>
      <c r="P4919" s="5"/>
      <c r="Q4919" s="5"/>
      <c r="R4919" s="5"/>
      <c r="S4919" s="5"/>
    </row>
    <row r="4920">
      <c r="A4920" s="5">
        <f>IFERROR(__xludf.DUMMYFUNCTION("""COMPUTED_VALUE"""),21900.0)</f>
        <v>21900</v>
      </c>
      <c r="B4920" s="5" t="str">
        <f>IFERROR(__xludf.DUMMYFUNCTION("""COMPUTED_VALUE"""),"هیأت هفتگی")</f>
        <v>هیأت هفتگی</v>
      </c>
      <c r="C4920" s="5" t="str">
        <f>IFERROR(__xludf.DUMMYFUNCTION("""COMPUTED_VALUE"""),"دختران فاطمی (هیات مدرسه علمیه کوثر)")</f>
        <v>دختران فاطمی (هیات مدرسه علمیه کوثر)</v>
      </c>
      <c r="D4920" s="5" t="str">
        <f>IFERROR(__xludf.DUMMYFUNCTION("""COMPUTED_VALUE"""),"هرمزگان")</f>
        <v>هرمزگان</v>
      </c>
      <c r="E4920" s="5" t="str">
        <f>IFERROR(__xludf.DUMMYFUNCTION("""COMPUTED_VALUE"""),"بندرلنگه")</f>
        <v>بندرلنگه</v>
      </c>
      <c r="F4920" s="5"/>
      <c r="G4920" s="5"/>
      <c r="H4920" s="5"/>
      <c r="I4920" s="5"/>
      <c r="J4920" s="6" t="str">
        <f>IFERROR(__xludf.DUMMYFUNCTION("""COMPUTED_VALUE"""),"https://eitaa.com/dokhtarane_fatemi_bandare_lengeh")</f>
        <v>https://eitaa.com/dokhtarane_fatemi_bandare_lengeh</v>
      </c>
      <c r="K4920" s="5"/>
      <c r="L4920" s="5"/>
      <c r="M4920" s="5"/>
      <c r="N4920" s="5"/>
      <c r="O4920" s="5"/>
      <c r="P4920" s="5"/>
      <c r="Q4920" s="5"/>
      <c r="R4920" s="5"/>
      <c r="S4920" s="5"/>
    </row>
    <row r="4921">
      <c r="A4921" s="5">
        <f>IFERROR(__xludf.DUMMYFUNCTION("""COMPUTED_VALUE"""),21674.0)</f>
        <v>21674</v>
      </c>
      <c r="B4921" s="5" t="str">
        <f>IFERROR(__xludf.DUMMYFUNCTION("""COMPUTED_VALUE"""),"هیأت هفتگی")</f>
        <v>هیأت هفتگی</v>
      </c>
      <c r="C4921" s="5" t="str">
        <f>IFERROR(__xludf.DUMMYFUNCTION("""COMPUTED_VALUE"""),"مسجدامام حسین (ع)")</f>
        <v>مسجدامام حسین (ع)</v>
      </c>
      <c r="D4921" s="5" t="str">
        <f>IFERROR(__xludf.DUMMYFUNCTION("""COMPUTED_VALUE"""),"هرمزگان")</f>
        <v>هرمزگان</v>
      </c>
      <c r="E4921" s="5" t="str">
        <f>IFERROR(__xludf.DUMMYFUNCTION("""COMPUTED_VALUE"""),"قشم")</f>
        <v>قشم</v>
      </c>
      <c r="F4921" s="5"/>
      <c r="G4921" s="5"/>
      <c r="H4921" s="6" t="str">
        <f>IFERROR(__xludf.DUMMYFUNCTION("""COMPUTED_VALUE"""),"https://www.instagram.com/masjed_emam_hosain_qeshm")</f>
        <v>https://www.instagram.com/masjed_emam_hosain_qeshm</v>
      </c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</row>
    <row r="4922">
      <c r="A4922" s="5">
        <f>IFERROR(__xludf.DUMMYFUNCTION("""COMPUTED_VALUE"""),21668.0)</f>
        <v>21668</v>
      </c>
      <c r="B4922" s="5" t="str">
        <f>IFERROR(__xludf.DUMMYFUNCTION("""COMPUTED_VALUE"""),"هیأت هفتگی")</f>
        <v>هیأت هفتگی</v>
      </c>
      <c r="C4922" s="5" t="str">
        <f>IFERROR(__xludf.DUMMYFUNCTION("""COMPUTED_VALUE"""),"سیدالشهدا کهنوج")</f>
        <v>سیدالشهدا کهنوج</v>
      </c>
      <c r="D4922" s="5" t="str">
        <f>IFERROR(__xludf.DUMMYFUNCTION("""COMPUTED_VALUE"""),"هرمزگان")</f>
        <v>هرمزگان</v>
      </c>
      <c r="E4922" s="5" t="str">
        <f>IFERROR(__xludf.DUMMYFUNCTION("""COMPUTED_VALUE"""),"حاجی آباد")</f>
        <v>حاجی آباد</v>
      </c>
      <c r="F4922" s="5"/>
      <c r="G4922" s="5"/>
      <c r="H4922" s="6" t="str">
        <f>IFERROR(__xludf.DUMMYFUNCTION("""COMPUTED_VALUE"""),"https://www.instagram.com/heyat_seyedoshohada_kahnuj")</f>
        <v>https://www.instagram.com/heyat_seyedoshohada_kahnuj</v>
      </c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</row>
    <row r="4923">
      <c r="A4923" s="5">
        <f>IFERROR(__xludf.DUMMYFUNCTION("""COMPUTED_VALUE"""),20623.0)</f>
        <v>20623</v>
      </c>
      <c r="B4923" s="5" t="str">
        <f>IFERROR(__xludf.DUMMYFUNCTION("""COMPUTED_VALUE"""),"هیأت هفتگی")</f>
        <v>هیأت هفتگی</v>
      </c>
      <c r="C4923" s="5" t="str">
        <f>IFERROR(__xludf.DUMMYFUNCTION("""COMPUTED_VALUE"""),"دفترنمایندگی ولی فقیه درامور اهل سنت بندرعباس")</f>
        <v>دفترنمایندگی ولی فقیه درامور اهل سنت بندرعباس</v>
      </c>
      <c r="D4923" s="5" t="str">
        <f>IFERROR(__xludf.DUMMYFUNCTION("""COMPUTED_VALUE"""),"هرمزگان")</f>
        <v>هرمزگان</v>
      </c>
      <c r="E4923" s="5" t="str">
        <f>IFERROR(__xludf.DUMMYFUNCTION("""COMPUTED_VALUE"""),"بندرعباس")</f>
        <v>بندرعباس</v>
      </c>
      <c r="F4923" s="5"/>
      <c r="G4923" s="5"/>
      <c r="H4923" s="5"/>
      <c r="I4923" s="5"/>
      <c r="J4923" s="6" t="str">
        <f>IFERROR(__xludf.DUMMYFUNCTION("""COMPUTED_VALUE"""),"https://eitaa.com/ebadizadeh")</f>
        <v>https://eitaa.com/ebadizadeh</v>
      </c>
      <c r="K4923" s="5"/>
      <c r="L4923" s="5"/>
      <c r="M4923" s="5"/>
      <c r="N4923" s="5"/>
      <c r="O4923" s="5"/>
      <c r="P4923" s="5"/>
      <c r="Q4923" s="5"/>
      <c r="R4923" s="5"/>
      <c r="S4923" s="5"/>
    </row>
    <row r="4924">
      <c r="A4924" s="5">
        <f>IFERROR(__xludf.DUMMYFUNCTION("""COMPUTED_VALUE"""),20223.0)</f>
        <v>20223</v>
      </c>
      <c r="B4924" s="5" t="str">
        <f>IFERROR(__xludf.DUMMYFUNCTION("""COMPUTED_VALUE"""),"هیأت هفتگی")</f>
        <v>هیأت هفتگی</v>
      </c>
      <c r="C4924" s="5" t="str">
        <f>IFERROR(__xludf.DUMMYFUNCTION("""COMPUTED_VALUE"""),"خادمین گلزار شهدا")</f>
        <v>خادمین گلزار شهدا</v>
      </c>
      <c r="D4924" s="5" t="str">
        <f>IFERROR(__xludf.DUMMYFUNCTION("""COMPUTED_VALUE"""),"هرمزگان")</f>
        <v>هرمزگان</v>
      </c>
      <c r="E4924" s="5" t="str">
        <f>IFERROR(__xludf.DUMMYFUNCTION("""COMPUTED_VALUE"""),"بندرعباس")</f>
        <v>بندرعباس</v>
      </c>
      <c r="F4924" s="5"/>
      <c r="G4924" s="5"/>
      <c r="H4924" s="6" t="str">
        <f>IFERROR(__xludf.DUMMYFUNCTION("""COMPUTED_VALUE"""),"https://www.instagram.com/khademin_hrm")</f>
        <v>https://www.instagram.com/khademin_hrm</v>
      </c>
      <c r="I4924" s="6" t="str">
        <f>IFERROR(__xludf.DUMMYFUNCTION("""COMPUTED_VALUE"""),"https://t.me/heiat_khademin_golzareshohada")</f>
        <v>https://t.me/heiat_khademin_golzareshohada</v>
      </c>
      <c r="J4924" s="5"/>
      <c r="K4924" s="5"/>
      <c r="L4924" s="5"/>
      <c r="M4924" s="5"/>
      <c r="N4924" s="5"/>
      <c r="O4924" s="5"/>
      <c r="P4924" s="5"/>
      <c r="Q4924" s="5"/>
      <c r="R4924" s="5"/>
      <c r="S4924" s="5"/>
    </row>
    <row r="4925">
      <c r="A4925" s="5">
        <f>IFERROR(__xludf.DUMMYFUNCTION("""COMPUTED_VALUE"""),20182.0)</f>
        <v>20182</v>
      </c>
      <c r="B4925" s="5" t="str">
        <f>IFERROR(__xludf.DUMMYFUNCTION("""COMPUTED_VALUE"""),"هیأت هفتگی")</f>
        <v>هیأت هفتگی</v>
      </c>
      <c r="C4925" s="5" t="str">
        <f>IFERROR(__xludf.DUMMYFUNCTION("""COMPUTED_VALUE"""),"رزمندگان اسلام / پیروان عترت (خواهران)")</f>
        <v>رزمندگان اسلام / پیروان عترت (خواهران)</v>
      </c>
      <c r="D4925" s="5" t="str">
        <f>IFERROR(__xludf.DUMMYFUNCTION("""COMPUTED_VALUE"""),"هرمزگان")</f>
        <v>هرمزگان</v>
      </c>
      <c r="E4925" s="5" t="str">
        <f>IFERROR(__xludf.DUMMYFUNCTION("""COMPUTED_VALUE"""),"بندرعباس")</f>
        <v>بندرعباس</v>
      </c>
      <c r="F4925" s="5"/>
      <c r="G4925" s="5"/>
      <c r="H4925" s="6" t="str">
        <f>IFERROR(__xludf.DUMMYFUNCTION("""COMPUTED_VALUE"""),"https://www.instagram.com/kahfelvara_313")</f>
        <v>https://www.instagram.com/kahfelvara_313</v>
      </c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</row>
    <row r="4926">
      <c r="A4926" s="5">
        <f>IFERROR(__xludf.DUMMYFUNCTION("""COMPUTED_VALUE"""),19131.0)</f>
        <v>19131</v>
      </c>
      <c r="B4926" s="5" t="str">
        <f>IFERROR(__xludf.DUMMYFUNCTION("""COMPUTED_VALUE"""),"هیأت هفتگی")</f>
        <v>هیأت هفتگی</v>
      </c>
      <c r="C4926" s="5" t="str">
        <f>IFERROR(__xludf.DUMMYFUNCTION("""COMPUTED_VALUE"""),"عشاق الحسین(ع)")</f>
        <v>عشاق الحسین(ع)</v>
      </c>
      <c r="D4926" s="5" t="str">
        <f>IFERROR(__xludf.DUMMYFUNCTION("""COMPUTED_VALUE"""),"هرمزگان")</f>
        <v>هرمزگان</v>
      </c>
      <c r="E4926" s="5" t="str">
        <f>IFERROR(__xludf.DUMMYFUNCTION("""COMPUTED_VALUE"""),"میناب")</f>
        <v>میناب</v>
      </c>
      <c r="F4926" s="5"/>
      <c r="G4926" s="5"/>
      <c r="H4926" s="6" t="str">
        <f>IFERROR(__xludf.DUMMYFUNCTION("""COMPUTED_VALUE"""),"https://www.instagram.com/oshaghe_alhossein")</f>
        <v>https://www.instagram.com/oshaghe_alhossein</v>
      </c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</row>
    <row r="4927">
      <c r="A4927" s="5">
        <f>IFERROR(__xludf.DUMMYFUNCTION("""COMPUTED_VALUE"""),18253.0)</f>
        <v>18253</v>
      </c>
      <c r="B4927" s="5" t="str">
        <f>IFERROR(__xludf.DUMMYFUNCTION("""COMPUTED_VALUE"""),"هیأت هفتگی")</f>
        <v>هیأت هفتگی</v>
      </c>
      <c r="C4927" s="5" t="str">
        <f>IFERROR(__xludf.DUMMYFUNCTION("""COMPUTED_VALUE"""),"فاطمیون")</f>
        <v>فاطمیون</v>
      </c>
      <c r="D4927" s="5" t="str">
        <f>IFERROR(__xludf.DUMMYFUNCTION("""COMPUTED_VALUE"""),"هرمزگان")</f>
        <v>هرمزگان</v>
      </c>
      <c r="E4927" s="5" t="str">
        <f>IFERROR(__xludf.DUMMYFUNCTION("""COMPUTED_VALUE"""),"بندرلنگه")</f>
        <v>بندرلنگه</v>
      </c>
      <c r="F4927" s="5"/>
      <c r="G4927" s="5"/>
      <c r="H4927" s="5"/>
      <c r="I4927" s="5"/>
      <c r="J4927" s="6" t="str">
        <f>IFERROR(__xludf.DUMMYFUNCTION("""COMPUTED_VALUE"""),"https://eitaa.com/fatemiyoun_com")</f>
        <v>https://eitaa.com/fatemiyoun_com</v>
      </c>
      <c r="K4927" s="5"/>
      <c r="L4927" s="5"/>
      <c r="M4927" s="5"/>
      <c r="N4927" s="5"/>
      <c r="O4927" s="5"/>
      <c r="P4927" s="5"/>
      <c r="Q4927" s="5"/>
      <c r="R4927" s="5"/>
      <c r="S4927" s="5"/>
    </row>
    <row r="4928">
      <c r="A4928" s="5">
        <f>IFERROR(__xludf.DUMMYFUNCTION("""COMPUTED_VALUE"""),16035.0)</f>
        <v>16035</v>
      </c>
      <c r="B4928" s="5" t="str">
        <f>IFERROR(__xludf.DUMMYFUNCTION("""COMPUTED_VALUE"""),"هیأت هفتگی")</f>
        <v>هیأت هفتگی</v>
      </c>
      <c r="C4928" s="5" t="str">
        <f>IFERROR(__xludf.DUMMYFUNCTION("""COMPUTED_VALUE"""),"حضرت ابوالفضل(ع)")</f>
        <v>حضرت ابوالفضل(ع)</v>
      </c>
      <c r="D4928" s="5" t="str">
        <f>IFERROR(__xludf.DUMMYFUNCTION("""COMPUTED_VALUE"""),"هرمزگان")</f>
        <v>هرمزگان</v>
      </c>
      <c r="E4928" s="5" t="str">
        <f>IFERROR(__xludf.DUMMYFUNCTION("""COMPUTED_VALUE"""),"بدون شهرستان")</f>
        <v>بدون شهرستان</v>
      </c>
      <c r="F4928" s="5"/>
      <c r="G4928" s="5"/>
      <c r="H4928" s="6" t="str">
        <f>IFERROR(__xludf.DUMMYFUNCTION("""COMPUTED_VALUE"""),"https://www.instagram.com/heyat_abolfazlabbas")</f>
        <v>https://www.instagram.com/heyat_abolfazlabbas</v>
      </c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</row>
    <row r="4929">
      <c r="A4929" s="5">
        <f>IFERROR(__xludf.DUMMYFUNCTION("""COMPUTED_VALUE"""),16016.0)</f>
        <v>16016</v>
      </c>
      <c r="B4929" s="5" t="str">
        <f>IFERROR(__xludf.DUMMYFUNCTION("""COMPUTED_VALUE"""),"حسینیه")</f>
        <v>حسینیه</v>
      </c>
      <c r="C4929" s="5" t="str">
        <f>IFERROR(__xludf.DUMMYFUNCTION("""COMPUTED_VALUE"""),"سیدالشهدا(ع)")</f>
        <v>سیدالشهدا(ع)</v>
      </c>
      <c r="D4929" s="5" t="str">
        <f>IFERROR(__xludf.DUMMYFUNCTION("""COMPUTED_VALUE"""),"هرمزگان")</f>
        <v>هرمزگان</v>
      </c>
      <c r="E4929" s="5" t="str">
        <f>IFERROR(__xludf.DUMMYFUNCTION("""COMPUTED_VALUE"""),"بندرعباس")</f>
        <v>بندرعباس</v>
      </c>
      <c r="F4929" s="5"/>
      <c r="G4929" s="5"/>
      <c r="H4929" s="6" t="str">
        <f>IFERROR(__xludf.DUMMYFUNCTION("""COMPUTED_VALUE"""),"https://www.instagram.com/hoseyniyeh.sarrig.bnd")</f>
        <v>https://www.instagram.com/hoseyniyeh.sarrig.bnd</v>
      </c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</row>
    <row r="4930">
      <c r="A4930" s="5">
        <f>IFERROR(__xludf.DUMMYFUNCTION("""COMPUTED_VALUE"""),16015.0)</f>
        <v>16015</v>
      </c>
      <c r="B4930" s="5" t="str">
        <f>IFERROR(__xludf.DUMMYFUNCTION("""COMPUTED_VALUE"""),"هیأت هفتگی")</f>
        <v>هیأت هفتگی</v>
      </c>
      <c r="C4930" s="5" t="str">
        <f>IFERROR(__xludf.DUMMYFUNCTION("""COMPUTED_VALUE"""),"بیت الاحزان حضرت زهرا (س)")</f>
        <v>بیت الاحزان حضرت زهرا (س)</v>
      </c>
      <c r="D4930" s="5" t="str">
        <f>IFERROR(__xludf.DUMMYFUNCTION("""COMPUTED_VALUE"""),"هرمزگان")</f>
        <v>هرمزگان</v>
      </c>
      <c r="E4930" s="5" t="str">
        <f>IFERROR(__xludf.DUMMYFUNCTION("""COMPUTED_VALUE"""),"بندرعباس")</f>
        <v>بندرعباس</v>
      </c>
      <c r="F4930" s="5"/>
      <c r="G4930" s="5"/>
      <c r="H4930" s="5"/>
      <c r="I4930" s="5"/>
      <c r="J4930" s="6" t="str">
        <f>IFERROR(__xludf.DUMMYFUNCTION("""COMPUTED_VALUE"""),"https://eitaa.com/beytolahzanebandarabbas")</f>
        <v>https://eitaa.com/beytolahzanebandarabbas</v>
      </c>
      <c r="K4930" s="5"/>
      <c r="L4930" s="5"/>
      <c r="M4930" s="5"/>
      <c r="N4930" s="5"/>
      <c r="O4930" s="5"/>
      <c r="P4930" s="5"/>
      <c r="Q4930" s="5"/>
      <c r="R4930" s="5"/>
      <c r="S4930" s="5"/>
    </row>
    <row r="4931">
      <c r="A4931" s="5">
        <f>IFERROR(__xludf.DUMMYFUNCTION("""COMPUTED_VALUE"""),16011.0)</f>
        <v>16011</v>
      </c>
      <c r="B4931" s="5" t="str">
        <f>IFERROR(__xludf.DUMMYFUNCTION("""COMPUTED_VALUE"""),"هیأت هفتگی")</f>
        <v>هیأت هفتگی</v>
      </c>
      <c r="C4931" s="5" t="str">
        <f>IFERROR(__xludf.DUMMYFUNCTION("""COMPUTED_VALUE"""),"زینبیون")</f>
        <v>زینبیون</v>
      </c>
      <c r="D4931" s="5" t="str">
        <f>IFERROR(__xludf.DUMMYFUNCTION("""COMPUTED_VALUE"""),"هرمزگان")</f>
        <v>هرمزگان</v>
      </c>
      <c r="E4931" s="5" t="str">
        <f>IFERROR(__xludf.DUMMYFUNCTION("""COMPUTED_VALUE"""),"بندرعباس")</f>
        <v>بندرعباس</v>
      </c>
      <c r="F4931" s="5"/>
      <c r="G4931" s="5"/>
      <c r="H4931" s="6" t="str">
        <f>IFERROR(__xludf.DUMMYFUNCTION("""COMPUTED_VALUE"""),"https://www.instagram.com/heiat_zeinabioon")</f>
        <v>https://www.instagram.com/heiat_zeinabioon</v>
      </c>
      <c r="I4931" s="5"/>
      <c r="J4931" s="6" t="str">
        <f>IFERROR(__xludf.DUMMYFUNCTION("""COMPUTED_VALUE"""),"https://eitaa.com/zenabeeon")</f>
        <v>https://eitaa.com/zenabeeon</v>
      </c>
      <c r="K4931" s="5"/>
      <c r="L4931" s="5"/>
      <c r="M4931" s="5"/>
      <c r="N4931" s="5"/>
      <c r="O4931" s="5"/>
      <c r="P4931" s="5"/>
      <c r="Q4931" s="5"/>
      <c r="R4931" s="5"/>
      <c r="S4931" s="5"/>
    </row>
    <row r="4932">
      <c r="A4932" s="5">
        <f>IFERROR(__xludf.DUMMYFUNCTION("""COMPUTED_VALUE"""),16006.0)</f>
        <v>16006</v>
      </c>
      <c r="B4932" s="5" t="str">
        <f>IFERROR(__xludf.DUMMYFUNCTION("""COMPUTED_VALUE"""),"هیأت هفتگی")</f>
        <v>هیأت هفتگی</v>
      </c>
      <c r="C4932" s="5" t="str">
        <f>IFERROR(__xludf.DUMMYFUNCTION("""COMPUTED_VALUE"""),"محبان اهل بیت (ع)")</f>
        <v>محبان اهل بیت (ع)</v>
      </c>
      <c r="D4932" s="5" t="str">
        <f>IFERROR(__xludf.DUMMYFUNCTION("""COMPUTED_VALUE"""),"هرمزگان")</f>
        <v>هرمزگان</v>
      </c>
      <c r="E4932" s="5" t="str">
        <f>IFERROR(__xludf.DUMMYFUNCTION("""COMPUTED_VALUE"""),"میناب")</f>
        <v>میناب</v>
      </c>
      <c r="F4932" s="5"/>
      <c r="G4932" s="5"/>
      <c r="H4932" s="6" t="str">
        <f>IFERROR(__xludf.DUMMYFUNCTION("""COMPUTED_VALUE"""),"https://www.instagram.com/heyat_moheban_minab")</f>
        <v>https://www.instagram.com/heyat_moheban_minab</v>
      </c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</row>
    <row r="4933">
      <c r="A4933" s="5">
        <f>IFERROR(__xludf.DUMMYFUNCTION("""COMPUTED_VALUE"""),16005.0)</f>
        <v>16005</v>
      </c>
      <c r="B4933" s="5" t="str">
        <f>IFERROR(__xludf.DUMMYFUNCTION("""COMPUTED_VALUE"""),"هیأت هفتگی")</f>
        <v>هیأت هفتگی</v>
      </c>
      <c r="C4933" s="5" t="str">
        <f>IFERROR(__xludf.DUMMYFUNCTION("""COMPUTED_VALUE"""),"حضرت امام رضا (ع) (روستا کردر رضی)")</f>
        <v>حضرت امام رضا (ع) (روستا کردر رضی)</v>
      </c>
      <c r="D4933" s="5" t="str">
        <f>IFERROR(__xludf.DUMMYFUNCTION("""COMPUTED_VALUE"""),"هرمزگان")</f>
        <v>هرمزگان</v>
      </c>
      <c r="E4933" s="5" t="str">
        <f>IFERROR(__xludf.DUMMYFUNCTION("""COMPUTED_VALUE"""),"میناب")</f>
        <v>میناب</v>
      </c>
      <c r="F4933" s="5"/>
      <c r="G4933" s="5"/>
      <c r="H4933" s="5"/>
      <c r="I4933" s="5"/>
      <c r="J4933" s="6" t="str">
        <f>IFERROR(__xludf.DUMMYFUNCTION("""COMPUTED_VALUE"""),"https://eitaa.com/shahriyarzakeri")</f>
        <v>https://eitaa.com/shahriyarzakeri</v>
      </c>
      <c r="K4933" s="5"/>
      <c r="L4933" s="5"/>
      <c r="M4933" s="5"/>
      <c r="N4933" s="5"/>
      <c r="O4933" s="5"/>
      <c r="P4933" s="5"/>
      <c r="Q4933" s="5"/>
      <c r="R4933" s="5"/>
      <c r="S4933" s="5"/>
    </row>
    <row r="4934">
      <c r="A4934" s="5">
        <f>IFERROR(__xludf.DUMMYFUNCTION("""COMPUTED_VALUE"""),16000.0)</f>
        <v>16000</v>
      </c>
      <c r="B4934" s="5" t="str">
        <f>IFERROR(__xludf.DUMMYFUNCTION("""COMPUTED_VALUE"""),"هیأت هفتگی")</f>
        <v>هیأت هفتگی</v>
      </c>
      <c r="C4934" s="5" t="str">
        <f>IFERROR(__xludf.DUMMYFUNCTION("""COMPUTED_VALUE"""),"خادم الولایه")</f>
        <v>خادم الولایه</v>
      </c>
      <c r="D4934" s="5" t="str">
        <f>IFERROR(__xludf.DUMMYFUNCTION("""COMPUTED_VALUE"""),"هرمزگان")</f>
        <v>هرمزگان</v>
      </c>
      <c r="E4934" s="5" t="str">
        <f>IFERROR(__xludf.DUMMYFUNCTION("""COMPUTED_VALUE"""),"بندرعباس")</f>
        <v>بندرعباس</v>
      </c>
      <c r="F4934" s="5"/>
      <c r="G4934" s="5"/>
      <c r="H4934" s="5"/>
      <c r="I4934" s="5"/>
      <c r="J4934" s="6" t="str">
        <f>IFERROR(__xludf.DUMMYFUNCTION("""COMPUTED_VALUE"""),"https://eitaa.com/khadem_al_velayah_bnd")</f>
        <v>https://eitaa.com/khadem_al_velayah_bnd</v>
      </c>
      <c r="K4934" s="5"/>
      <c r="L4934" s="5"/>
      <c r="M4934" s="5"/>
      <c r="N4934" s="5"/>
      <c r="O4934" s="5"/>
      <c r="P4934" s="5"/>
      <c r="Q4934" s="5"/>
      <c r="R4934" s="5"/>
      <c r="S4934" s="5"/>
    </row>
    <row r="4935">
      <c r="A4935" s="5">
        <f>IFERROR(__xludf.DUMMYFUNCTION("""COMPUTED_VALUE"""),15992.0)</f>
        <v>15992</v>
      </c>
      <c r="B4935" s="5" t="str">
        <f>IFERROR(__xludf.DUMMYFUNCTION("""COMPUTED_VALUE"""),"هیأت هفتگی")</f>
        <v>هیأت هفتگی</v>
      </c>
      <c r="C4935" s="5" t="str">
        <f>IFERROR(__xludf.DUMMYFUNCTION("""COMPUTED_VALUE"""),"کاروان عشق")</f>
        <v>کاروان عشق</v>
      </c>
      <c r="D4935" s="5" t="str">
        <f>IFERROR(__xludf.DUMMYFUNCTION("""COMPUTED_VALUE"""),"هرمزگان")</f>
        <v>هرمزگان</v>
      </c>
      <c r="E4935" s="5" t="str">
        <f>IFERROR(__xludf.DUMMYFUNCTION("""COMPUTED_VALUE"""),"بدون شهرستان")</f>
        <v>بدون شهرستان</v>
      </c>
      <c r="F4935" s="5"/>
      <c r="G4935" s="5"/>
      <c r="H4935" s="6" t="str">
        <f>IFERROR(__xludf.DUMMYFUNCTION("""COMPUTED_VALUE"""),"https://www.instagram.com/karvaneshq313")</f>
        <v>https://www.instagram.com/karvaneshq313</v>
      </c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</row>
    <row r="4936">
      <c r="A4936" s="5">
        <f>IFERROR(__xludf.DUMMYFUNCTION("""COMPUTED_VALUE"""),15985.0)</f>
        <v>15985</v>
      </c>
      <c r="B4936" s="5" t="str">
        <f>IFERROR(__xludf.DUMMYFUNCTION("""COMPUTED_VALUE"""),"هیأت هفتگی")</f>
        <v>هیأت هفتگی</v>
      </c>
      <c r="C4936" s="5" t="str">
        <f>IFERROR(__xludf.DUMMYFUNCTION("""COMPUTED_VALUE"""),"حضرت علی اکبر(ع)")</f>
        <v>حضرت علی اکبر(ع)</v>
      </c>
      <c r="D4936" s="5" t="str">
        <f>IFERROR(__xludf.DUMMYFUNCTION("""COMPUTED_VALUE"""),"هرمزگان")</f>
        <v>هرمزگان</v>
      </c>
      <c r="E4936" s="5" t="str">
        <f>IFERROR(__xludf.DUMMYFUNCTION("""COMPUTED_VALUE"""),"بدون شهرستان")</f>
        <v>بدون شهرستان</v>
      </c>
      <c r="F4936" s="5"/>
      <c r="G4936" s="5"/>
      <c r="H4936" s="6" t="str">
        <f>IFERROR(__xludf.DUMMYFUNCTION("""COMPUTED_VALUE"""),"https://www.instagram.com/aliakbarfin")</f>
        <v>https://www.instagram.com/aliakbarfin</v>
      </c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</row>
    <row r="4937">
      <c r="A4937" s="5">
        <f>IFERROR(__xludf.DUMMYFUNCTION("""COMPUTED_VALUE"""),15948.0)</f>
        <v>15948</v>
      </c>
      <c r="B4937" s="5" t="str">
        <f>IFERROR(__xludf.DUMMYFUNCTION("""COMPUTED_VALUE"""),"هیأت هفتگی")</f>
        <v>هیأت هفتگی</v>
      </c>
      <c r="C4937" s="5" t="str">
        <f>IFERROR(__xludf.DUMMYFUNCTION("""COMPUTED_VALUE"""),"موسسه فرهنگی هنری پیامبراعظم(ص)")</f>
        <v>موسسه فرهنگی هنری پیامبراعظم(ص)</v>
      </c>
      <c r="D4937" s="5" t="str">
        <f>IFERROR(__xludf.DUMMYFUNCTION("""COMPUTED_VALUE"""),"هرمزگان")</f>
        <v>هرمزگان</v>
      </c>
      <c r="E4937" s="5" t="str">
        <f>IFERROR(__xludf.DUMMYFUNCTION("""COMPUTED_VALUE"""),"قشم")</f>
        <v>قشم</v>
      </c>
      <c r="F4937" s="5"/>
      <c r="G4937" s="5"/>
      <c r="H4937" s="6" t="str">
        <f>IFERROR(__xludf.DUMMYFUNCTION("""COMPUTED_VALUE"""),"https://www.instagram.com/alzoha313")</f>
        <v>https://www.instagram.com/alzoha313</v>
      </c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</row>
    <row r="4938">
      <c r="A4938" s="5">
        <f>IFERROR(__xludf.DUMMYFUNCTION("""COMPUTED_VALUE"""),15946.0)</f>
        <v>15946</v>
      </c>
      <c r="B4938" s="5" t="str">
        <f>IFERROR(__xludf.DUMMYFUNCTION("""COMPUTED_VALUE"""),"هیأت هفتگی")</f>
        <v>هیأت هفتگی</v>
      </c>
      <c r="C4938" s="5" t="str">
        <f>IFERROR(__xludf.DUMMYFUNCTION("""COMPUTED_VALUE"""),"امام سجاد(ع)")</f>
        <v>امام سجاد(ع)</v>
      </c>
      <c r="D4938" s="5" t="str">
        <f>IFERROR(__xludf.DUMMYFUNCTION("""COMPUTED_VALUE"""),"هرمزگان")</f>
        <v>هرمزگان</v>
      </c>
      <c r="E4938" s="5" t="str">
        <f>IFERROR(__xludf.DUMMYFUNCTION("""COMPUTED_VALUE"""),"قشم")</f>
        <v>قشم</v>
      </c>
      <c r="F4938" s="5"/>
      <c r="G4938" s="5"/>
      <c r="H4938" s="6" t="str">
        <f>IFERROR(__xludf.DUMMYFUNCTION("""COMPUTED_VALUE"""),"https://www.instagram.com/heyat_imam_sajad_qeshm")</f>
        <v>https://www.instagram.com/heyat_imam_sajad_qeshm</v>
      </c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</row>
    <row r="4939">
      <c r="A4939" s="5">
        <f>IFERROR(__xludf.DUMMYFUNCTION("""COMPUTED_VALUE"""),15932.0)</f>
        <v>15932</v>
      </c>
      <c r="B4939" s="5" t="str">
        <f>IFERROR(__xludf.DUMMYFUNCTION("""COMPUTED_VALUE"""),"هیأت هفتگی")</f>
        <v>هیأت هفتگی</v>
      </c>
      <c r="C4939" s="5" t="str">
        <f>IFERROR(__xludf.DUMMYFUNCTION("""COMPUTED_VALUE"""),"کوثر(س)")</f>
        <v>کوثر(س)</v>
      </c>
      <c r="D4939" s="5" t="str">
        <f>IFERROR(__xludf.DUMMYFUNCTION("""COMPUTED_VALUE"""),"هرمزگان")</f>
        <v>هرمزگان</v>
      </c>
      <c r="E4939" s="5" t="str">
        <f>IFERROR(__xludf.DUMMYFUNCTION("""COMPUTED_VALUE"""),"رودان")</f>
        <v>رودان</v>
      </c>
      <c r="F4939" s="5"/>
      <c r="G4939" s="5"/>
      <c r="H4939" s="6" t="str">
        <f>IFERROR(__xludf.DUMMYFUNCTION("""COMPUTED_VALUE"""),"https://www.instagram.com/hayat_kosar")</f>
        <v>https://www.instagram.com/hayat_kosar</v>
      </c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</row>
    <row r="4940">
      <c r="A4940" s="5">
        <f>IFERROR(__xludf.DUMMYFUNCTION("""COMPUTED_VALUE"""),15930.0)</f>
        <v>15930</v>
      </c>
      <c r="B4940" s="5" t="str">
        <f>IFERROR(__xludf.DUMMYFUNCTION("""COMPUTED_VALUE"""),"هیأت هفتگی")</f>
        <v>هیأت هفتگی</v>
      </c>
      <c r="C4940" s="5" t="str">
        <f>IFERROR(__xludf.DUMMYFUNCTION("""COMPUTED_VALUE"""),"مسجد جامع")</f>
        <v>مسجد جامع</v>
      </c>
      <c r="D4940" s="5" t="str">
        <f>IFERROR(__xludf.DUMMYFUNCTION("""COMPUTED_VALUE"""),"هرمزگان")</f>
        <v>هرمزگان</v>
      </c>
      <c r="E4940" s="5" t="str">
        <f>IFERROR(__xludf.DUMMYFUNCTION("""COMPUTED_VALUE"""),"رودان")</f>
        <v>رودان</v>
      </c>
      <c r="F4940" s="5"/>
      <c r="G4940" s="5"/>
      <c r="H4940" s="6" t="str">
        <f>IFERROR(__xludf.DUMMYFUNCTION("""COMPUTED_VALUE"""),"https://www.instagram.com/kanoon.alaviyun")</f>
        <v>https://www.instagram.com/kanoon.alaviyun</v>
      </c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</row>
    <row r="4941">
      <c r="A4941" s="5">
        <f>IFERROR(__xludf.DUMMYFUNCTION("""COMPUTED_VALUE"""),15926.0)</f>
        <v>15926</v>
      </c>
      <c r="B4941" s="5" t="str">
        <f>IFERROR(__xludf.DUMMYFUNCTION("""COMPUTED_VALUE"""),"هیأت دانشجویی")</f>
        <v>هیأت دانشجویی</v>
      </c>
      <c r="C4941" s="5" t="str">
        <f>IFERROR(__xludf.DUMMYFUNCTION("""COMPUTED_VALUE"""),"سیدالشهدا(ع)")</f>
        <v>سیدالشهدا(ع)</v>
      </c>
      <c r="D4941" s="5" t="str">
        <f>IFERROR(__xludf.DUMMYFUNCTION("""COMPUTED_VALUE"""),"هرمزگان")</f>
        <v>هرمزگان</v>
      </c>
      <c r="E4941" s="5" t="str">
        <f>IFERROR(__xludf.DUMMYFUNCTION("""COMPUTED_VALUE"""),"بدون شهرستان")</f>
        <v>بدون شهرستان</v>
      </c>
      <c r="F4941" s="5"/>
      <c r="G4941" s="5"/>
      <c r="H4941" s="6" t="str">
        <f>IFERROR(__xludf.DUMMYFUNCTION("""COMPUTED_VALUE"""),"https://www.instagram.com/heyat_seyed_al_shohada_")</f>
        <v>https://www.instagram.com/heyat_seyed_al_shohada_</v>
      </c>
      <c r="I4941" s="5"/>
      <c r="J4941" s="6" t="str">
        <f>IFERROR(__xludf.DUMMYFUNCTION("""COMPUTED_VALUE"""),"https://eitaa.com/heyat_seyedoshohada_bnd1")</f>
        <v>https://eitaa.com/heyat_seyedoshohada_bnd1</v>
      </c>
      <c r="K4941" s="5"/>
      <c r="L4941" s="5"/>
      <c r="M4941" s="5"/>
      <c r="N4941" s="5"/>
      <c r="O4941" s="5"/>
      <c r="P4941" s="5"/>
      <c r="Q4941" s="5"/>
      <c r="R4941" s="5"/>
      <c r="S4941" s="5"/>
    </row>
    <row r="4942">
      <c r="A4942" s="5">
        <f>IFERROR(__xludf.DUMMYFUNCTION("""COMPUTED_VALUE"""),15925.0)</f>
        <v>15925</v>
      </c>
      <c r="B4942" s="5" t="str">
        <f>IFERROR(__xludf.DUMMYFUNCTION("""COMPUTED_VALUE"""),"مسجد")</f>
        <v>مسجد</v>
      </c>
      <c r="C4942" s="5" t="str">
        <f>IFERROR(__xludf.DUMMYFUNCTION("""COMPUTED_VALUE"""),"مسجد امام رضا(ع)")</f>
        <v>مسجد امام رضا(ع)</v>
      </c>
      <c r="D4942" s="5" t="str">
        <f>IFERROR(__xludf.DUMMYFUNCTION("""COMPUTED_VALUE"""),"هرمزگان")</f>
        <v>هرمزگان</v>
      </c>
      <c r="E4942" s="5" t="str">
        <f>IFERROR(__xludf.DUMMYFUNCTION("""COMPUTED_VALUE"""),"رودان")</f>
        <v>رودان</v>
      </c>
      <c r="F4942" s="5"/>
      <c r="G4942" s="5"/>
      <c r="H4942" s="6" t="str">
        <f>IFERROR(__xludf.DUMMYFUNCTION("""COMPUTED_VALUE"""),"https://www.instagram.com/heyat_samenalhojaj")</f>
        <v>https://www.instagram.com/heyat_samenalhojaj</v>
      </c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</row>
    <row r="4943">
      <c r="A4943" s="5">
        <f>IFERROR(__xludf.DUMMYFUNCTION("""COMPUTED_VALUE"""),15902.0)</f>
        <v>15902</v>
      </c>
      <c r="B4943" s="5" t="str">
        <f>IFERROR(__xludf.DUMMYFUNCTION("""COMPUTED_VALUE"""),"هیأت هفتگی")</f>
        <v>هیأت هفتگی</v>
      </c>
      <c r="C4943" s="5" t="str">
        <f>IFERROR(__xludf.DUMMYFUNCTION("""COMPUTED_VALUE"""),"محبان اهل بیت (ع)")</f>
        <v>محبان اهل بیت (ع)</v>
      </c>
      <c r="D4943" s="5" t="str">
        <f>IFERROR(__xludf.DUMMYFUNCTION("""COMPUTED_VALUE"""),"هرمزگان")</f>
        <v>هرمزگان</v>
      </c>
      <c r="E4943" s="5" t="str">
        <f>IFERROR(__xludf.DUMMYFUNCTION("""COMPUTED_VALUE"""),"حاجی آباد")</f>
        <v>حاجی آباد</v>
      </c>
      <c r="F4943" s="5"/>
      <c r="G4943" s="5"/>
      <c r="H4943" s="6" t="str">
        <f>IFERROR(__xludf.DUMMYFUNCTION("""COMPUTED_VALUE"""),"https://www.instagram.com/mohebaneahlebeyt.hajeabad")</f>
        <v>https://www.instagram.com/mohebaneahlebeyt.hajeabad</v>
      </c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</row>
    <row r="4944">
      <c r="A4944" s="5">
        <f>IFERROR(__xludf.DUMMYFUNCTION("""COMPUTED_VALUE"""),15884.0)</f>
        <v>15884</v>
      </c>
      <c r="B4944" s="5" t="str">
        <f>IFERROR(__xludf.DUMMYFUNCTION("""COMPUTED_VALUE"""),"حسینیه")</f>
        <v>حسینیه</v>
      </c>
      <c r="C4944" s="5" t="str">
        <f>IFERROR(__xludf.DUMMYFUNCTION("""COMPUTED_VALUE"""),"حسینیه حضرت اباالفضل العباس (ع)")</f>
        <v>حسینیه حضرت اباالفضل العباس (ع)</v>
      </c>
      <c r="D4944" s="5" t="str">
        <f>IFERROR(__xludf.DUMMYFUNCTION("""COMPUTED_VALUE"""),"هرمزگان")</f>
        <v>هرمزگان</v>
      </c>
      <c r="E4944" s="5" t="str">
        <f>IFERROR(__xludf.DUMMYFUNCTION("""COMPUTED_VALUE"""),"بندرلنگه")</f>
        <v>بندرلنگه</v>
      </c>
      <c r="F4944" s="5"/>
      <c r="G4944" s="5"/>
      <c r="H4944" s="6" t="str">
        <f>IFERROR(__xludf.DUMMYFUNCTION("""COMPUTED_VALUE"""),"https://www.instagram.com/hoseyniye.hazrat.abalfazl/")</f>
        <v>https://www.instagram.com/hoseyniye.hazrat.abalfazl/</v>
      </c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</row>
    <row r="4945">
      <c r="A4945" s="5">
        <f>IFERROR(__xludf.DUMMYFUNCTION("""COMPUTED_VALUE"""),15879.0)</f>
        <v>15879</v>
      </c>
      <c r="B4945" s="5" t="str">
        <f>IFERROR(__xludf.DUMMYFUNCTION("""COMPUTED_VALUE"""),"مسجد")</f>
        <v>مسجد</v>
      </c>
      <c r="C4945" s="5" t="str">
        <f>IFERROR(__xludf.DUMMYFUNCTION("""COMPUTED_VALUE"""),"حسینیه سید‏محمد عالم")</f>
        <v>حسینیه سید‏محمد عالم</v>
      </c>
      <c r="D4945" s="5" t="str">
        <f>IFERROR(__xludf.DUMMYFUNCTION("""COMPUTED_VALUE"""),"هرمزگان")</f>
        <v>هرمزگان</v>
      </c>
      <c r="E4945" s="5" t="str">
        <f>IFERROR(__xludf.DUMMYFUNCTION("""COMPUTED_VALUE"""),"بندرلنگه")</f>
        <v>بندرلنگه</v>
      </c>
      <c r="F4945" s="5"/>
      <c r="G4945" s="5"/>
      <c r="H4945" s="6" t="str">
        <f>IFERROR(__xludf.DUMMYFUNCTION("""COMPUTED_VALUE"""),"https://www.instagram.com/msjed_saeed_m_a_kong")</f>
        <v>https://www.instagram.com/msjed_saeed_m_a_kong</v>
      </c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</row>
    <row r="4946">
      <c r="A4946" s="5">
        <f>IFERROR(__xludf.DUMMYFUNCTION("""COMPUTED_VALUE"""),15853.0)</f>
        <v>15853</v>
      </c>
      <c r="B4946" s="5" t="str">
        <f>IFERROR(__xludf.DUMMYFUNCTION("""COMPUTED_VALUE"""),"مسجد")</f>
        <v>مسجد</v>
      </c>
      <c r="C4946" s="5" t="str">
        <f>IFERROR(__xludf.DUMMYFUNCTION("""COMPUTED_VALUE"""),"مسجد مالک اشتر")</f>
        <v>مسجد مالک اشتر</v>
      </c>
      <c r="D4946" s="5" t="str">
        <f>IFERROR(__xludf.DUMMYFUNCTION("""COMPUTED_VALUE"""),"هرمزگان")</f>
        <v>هرمزگان</v>
      </c>
      <c r="E4946" s="5" t="str">
        <f>IFERROR(__xludf.DUMMYFUNCTION("""COMPUTED_VALUE"""),"بندرعباس")</f>
        <v>بندرعباس</v>
      </c>
      <c r="F4946" s="5"/>
      <c r="G4946" s="5"/>
      <c r="H4946" s="6" t="str">
        <f>IFERROR(__xludf.DUMMYFUNCTION("""COMPUTED_VALUE"""),"https://www.instagram.com/howzeh.malekashtar_")</f>
        <v>https://www.instagram.com/howzeh.malekashtar_</v>
      </c>
      <c r="I4946" s="5"/>
      <c r="J4946" s="6" t="str">
        <f>IFERROR(__xludf.DUMMYFUNCTION("""COMPUTED_VALUE"""),"https://eitaa.com/howzehmalek")</f>
        <v>https://eitaa.com/howzehmalek</v>
      </c>
      <c r="K4946" s="5"/>
      <c r="L4946" s="5"/>
      <c r="M4946" s="5"/>
      <c r="N4946" s="5"/>
      <c r="O4946" s="5"/>
      <c r="P4946" s="5"/>
      <c r="Q4946" s="5"/>
      <c r="R4946" s="5"/>
      <c r="S4946" s="5"/>
    </row>
    <row r="4947">
      <c r="A4947" s="5">
        <f>IFERROR(__xludf.DUMMYFUNCTION("""COMPUTED_VALUE"""),15846.0)</f>
        <v>15846</v>
      </c>
      <c r="B4947" s="5" t="str">
        <f>IFERROR(__xludf.DUMMYFUNCTION("""COMPUTED_VALUE"""),"مسجد")</f>
        <v>مسجد</v>
      </c>
      <c r="C4947" s="5" t="str">
        <f>IFERROR(__xludf.DUMMYFUNCTION("""COMPUTED_VALUE"""),"مسجد امام حسین(ع)")</f>
        <v>مسجد امام حسین(ع)</v>
      </c>
      <c r="D4947" s="5" t="str">
        <f>IFERROR(__xludf.DUMMYFUNCTION("""COMPUTED_VALUE"""),"هرمزگان")</f>
        <v>هرمزگان</v>
      </c>
      <c r="E4947" s="5" t="str">
        <f>IFERROR(__xludf.DUMMYFUNCTION("""COMPUTED_VALUE"""),"بندرعباس")</f>
        <v>بندرعباس</v>
      </c>
      <c r="F4947" s="5"/>
      <c r="G4947" s="5"/>
      <c r="H4947" s="6" t="str">
        <f>IFERROR(__xludf.DUMMYFUNCTION("""COMPUTED_VALUE"""),"https://www.instagram.com/masjed.imam.hussain")</f>
        <v>https://www.instagram.com/masjed.imam.hussain</v>
      </c>
      <c r="I4947" s="5"/>
      <c r="J4947" s="6" t="str">
        <f>IFERROR(__xludf.DUMMYFUNCTION("""COMPUTED_VALUE"""),"https://eitaa.com/masjed_lmam_hussain")</f>
        <v>https://eitaa.com/masjed_lmam_hussain</v>
      </c>
      <c r="K4947" s="5"/>
      <c r="L4947" s="5"/>
      <c r="M4947" s="5"/>
      <c r="N4947" s="5"/>
      <c r="O4947" s="5"/>
      <c r="P4947" s="5"/>
      <c r="Q4947" s="5"/>
      <c r="R4947" s="5"/>
      <c r="S4947" s="5"/>
    </row>
    <row r="4948">
      <c r="A4948" s="5">
        <f>IFERROR(__xludf.DUMMYFUNCTION("""COMPUTED_VALUE"""),15841.0)</f>
        <v>15841</v>
      </c>
      <c r="B4948" s="5" t="str">
        <f>IFERROR(__xludf.DUMMYFUNCTION("""COMPUTED_VALUE"""),"مسجد")</f>
        <v>مسجد</v>
      </c>
      <c r="C4948" s="5" t="str">
        <f>IFERROR(__xludf.DUMMYFUNCTION("""COMPUTED_VALUE"""),"صاحب الزمان (عج) درخت سبز")</f>
        <v>صاحب الزمان (عج) درخت سبز</v>
      </c>
      <c r="D4948" s="5" t="str">
        <f>IFERROR(__xludf.DUMMYFUNCTION("""COMPUTED_VALUE"""),"هرمزگان")</f>
        <v>هرمزگان</v>
      </c>
      <c r="E4948" s="5" t="str">
        <f>IFERROR(__xludf.DUMMYFUNCTION("""COMPUTED_VALUE"""),"بندرعباس")</f>
        <v>بندرعباس</v>
      </c>
      <c r="F4948" s="5"/>
      <c r="G4948" s="5"/>
      <c r="H4948" s="6" t="str">
        <f>IFERROR(__xludf.DUMMYFUNCTION("""COMPUTED_VALUE"""),"https://www.instagram.com/masjed_bnd1402")</f>
        <v>https://www.instagram.com/masjed_bnd1402</v>
      </c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</row>
    <row r="4949">
      <c r="A4949" s="5">
        <f>IFERROR(__xludf.DUMMYFUNCTION("""COMPUTED_VALUE"""),15838.0)</f>
        <v>15838</v>
      </c>
      <c r="B4949" s="5" t="str">
        <f>IFERROR(__xludf.DUMMYFUNCTION("""COMPUTED_VALUE"""),"هیأت هفتگی")</f>
        <v>هیأت هفتگی</v>
      </c>
      <c r="C4949" s="5" t="str">
        <f>IFERROR(__xludf.DUMMYFUNCTION("""COMPUTED_VALUE"""),"منتظران مهدی(عج)")</f>
        <v>منتظران مهدی(عج)</v>
      </c>
      <c r="D4949" s="5" t="str">
        <f>IFERROR(__xludf.DUMMYFUNCTION("""COMPUTED_VALUE"""),"هرمزگان")</f>
        <v>هرمزگان</v>
      </c>
      <c r="E4949" s="5" t="str">
        <f>IFERROR(__xludf.DUMMYFUNCTION("""COMPUTED_VALUE"""),"بندرعباس")</f>
        <v>بندرعباس</v>
      </c>
      <c r="F4949" s="5"/>
      <c r="G4949" s="5"/>
      <c r="H4949" s="6" t="str">
        <f>IFERROR(__xludf.DUMMYFUNCTION("""COMPUTED_VALUE"""),"https://www.instagram.com/montazeranmahdi_fin")</f>
        <v>https://www.instagram.com/montazeranmahdi_fin</v>
      </c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</row>
    <row r="4950">
      <c r="A4950" s="5">
        <f>IFERROR(__xludf.DUMMYFUNCTION("""COMPUTED_VALUE"""),15837.0)</f>
        <v>15837</v>
      </c>
      <c r="B4950" s="5" t="str">
        <f>IFERROR(__xludf.DUMMYFUNCTION("""COMPUTED_VALUE"""),"هیأت هفتگی")</f>
        <v>هیأت هفتگی</v>
      </c>
      <c r="C4950" s="5" t="str">
        <f>IFERROR(__xludf.DUMMYFUNCTION("""COMPUTED_VALUE"""),"مجموعه فرهنگی انتظار")</f>
        <v>مجموعه فرهنگی انتظار</v>
      </c>
      <c r="D4950" s="5" t="str">
        <f>IFERROR(__xludf.DUMMYFUNCTION("""COMPUTED_VALUE"""),"هرمزگان")</f>
        <v>هرمزگان</v>
      </c>
      <c r="E4950" s="5" t="str">
        <f>IFERROR(__xludf.DUMMYFUNCTION("""COMPUTED_VALUE"""),"میناب")</f>
        <v>میناب</v>
      </c>
      <c r="F4950" s="5"/>
      <c r="G4950" s="5"/>
      <c r="H4950" s="5"/>
      <c r="I4950" s="5"/>
      <c r="J4950" s="6" t="str">
        <f>IFERROR(__xludf.DUMMYFUNCTION("""COMPUTED_VALUE"""),"https://eitaa.com/intezar_ir")</f>
        <v>https://eitaa.com/intezar_ir</v>
      </c>
      <c r="K4950" s="5"/>
      <c r="L4950" s="5"/>
      <c r="M4950" s="5"/>
      <c r="N4950" s="5"/>
      <c r="O4950" s="5"/>
      <c r="P4950" s="5"/>
      <c r="Q4950" s="5"/>
      <c r="R4950" s="5"/>
      <c r="S4950" s="5"/>
    </row>
    <row r="4951">
      <c r="A4951" s="5">
        <f>IFERROR(__xludf.DUMMYFUNCTION("""COMPUTED_VALUE"""),15830.0)</f>
        <v>15830</v>
      </c>
      <c r="B4951" s="5" t="str">
        <f>IFERROR(__xludf.DUMMYFUNCTION("""COMPUTED_VALUE"""),"هیأت هفتگی")</f>
        <v>هیأت هفتگی</v>
      </c>
      <c r="C4951" s="5" t="str">
        <f>IFERROR(__xludf.DUMMYFUNCTION("""COMPUTED_VALUE"""),"متوسلین به حضرت زهرا (س)")</f>
        <v>متوسلین به حضرت زهرا (س)</v>
      </c>
      <c r="D4951" s="5" t="str">
        <f>IFERROR(__xludf.DUMMYFUNCTION("""COMPUTED_VALUE"""),"هرمزگان")</f>
        <v>هرمزگان</v>
      </c>
      <c r="E4951" s="5" t="str">
        <f>IFERROR(__xludf.DUMMYFUNCTION("""COMPUTED_VALUE"""),"بدون شهرستان")</f>
        <v>بدون شهرستان</v>
      </c>
      <c r="F4951" s="5"/>
      <c r="G4951" s="5"/>
      <c r="H4951" s="6" t="str">
        <f>IFERROR(__xludf.DUMMYFUNCTION("""COMPUTED_VALUE"""),"https://www.instagram.com/motevaselein")</f>
        <v>https://www.instagram.com/motevaselein</v>
      </c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</row>
    <row r="4952">
      <c r="A4952" s="5">
        <f>IFERROR(__xludf.DUMMYFUNCTION("""COMPUTED_VALUE"""),15829.0)</f>
        <v>15829</v>
      </c>
      <c r="B4952" s="5" t="str">
        <f>IFERROR(__xludf.DUMMYFUNCTION("""COMPUTED_VALUE"""),"هیأت جوانان")</f>
        <v>هیأت جوانان</v>
      </c>
      <c r="C4952" s="5" t="str">
        <f>IFERROR(__xludf.DUMMYFUNCTION("""COMPUTED_VALUE"""),"ثارالله(ع)")</f>
        <v>ثارالله(ع)</v>
      </c>
      <c r="D4952" s="5" t="str">
        <f>IFERROR(__xludf.DUMMYFUNCTION("""COMPUTED_VALUE"""),"هرمزگان")</f>
        <v>هرمزگان</v>
      </c>
      <c r="E4952" s="5" t="str">
        <f>IFERROR(__xludf.DUMMYFUNCTION("""COMPUTED_VALUE"""),"بدون شهرستان")</f>
        <v>بدون شهرستان</v>
      </c>
      <c r="F4952" s="5"/>
      <c r="G4952" s="5"/>
      <c r="H4952" s="6" t="str">
        <f>IFERROR(__xludf.DUMMYFUNCTION("""COMPUTED_VALUE"""),"https://www.instagram.com/heyeat_javanan_sarallah")</f>
        <v>https://www.instagram.com/heyeat_javanan_sarallah</v>
      </c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</row>
    <row r="4953">
      <c r="A4953" s="5">
        <f>IFERROR(__xludf.DUMMYFUNCTION("""COMPUTED_VALUE"""),15808.0)</f>
        <v>15808</v>
      </c>
      <c r="B4953" s="5" t="str">
        <f>IFERROR(__xludf.DUMMYFUNCTION("""COMPUTED_VALUE"""),"هیأت هفتگی")</f>
        <v>هیأت هفتگی</v>
      </c>
      <c r="C4953" s="5" t="str">
        <f>IFERROR(__xludf.DUMMYFUNCTION("""COMPUTED_VALUE"""),"مسجد پنج تن آل عبا (ع)")</f>
        <v>مسجد پنج تن آل عبا (ع)</v>
      </c>
      <c r="D4953" s="5" t="str">
        <f>IFERROR(__xludf.DUMMYFUNCTION("""COMPUTED_VALUE"""),"هرمزگان")</f>
        <v>هرمزگان</v>
      </c>
      <c r="E4953" s="5" t="str">
        <f>IFERROR(__xludf.DUMMYFUNCTION("""COMPUTED_VALUE"""),"بندرعباس")</f>
        <v>بندرعباس</v>
      </c>
      <c r="F4953" s="5"/>
      <c r="G4953" s="5"/>
      <c r="H4953" s="6" t="str">
        <f>IFERROR(__xludf.DUMMYFUNCTION("""COMPUTED_VALUE"""),"https://www.instagram.com/hytpnjtnal")</f>
        <v>https://www.instagram.com/hytpnjtnal</v>
      </c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</row>
    <row r="4954">
      <c r="A4954" s="5">
        <f>IFERROR(__xludf.DUMMYFUNCTION("""COMPUTED_VALUE"""),15804.0)</f>
        <v>15804</v>
      </c>
      <c r="B4954" s="5" t="str">
        <f>IFERROR(__xludf.DUMMYFUNCTION("""COMPUTED_VALUE"""),"هیأت هفتگی")</f>
        <v>هیأت هفتگی</v>
      </c>
      <c r="C4954" s="5" t="str">
        <f>IFERROR(__xludf.DUMMYFUNCTION("""COMPUTED_VALUE"""),"آل طه")</f>
        <v>آل طه</v>
      </c>
      <c r="D4954" s="5" t="str">
        <f>IFERROR(__xludf.DUMMYFUNCTION("""COMPUTED_VALUE"""),"هرمزگان")</f>
        <v>هرمزگان</v>
      </c>
      <c r="E4954" s="5" t="str">
        <f>IFERROR(__xludf.DUMMYFUNCTION("""COMPUTED_VALUE"""),"بدون شهرستان")</f>
        <v>بدون شهرستان</v>
      </c>
      <c r="F4954" s="5"/>
      <c r="G4954" s="5"/>
      <c r="H4954" s="6" t="str">
        <f>IFERROR(__xludf.DUMMYFUNCTION("""COMPUTED_VALUE"""),"https://www.instagram.com/kanonfarhangi_aletaha")</f>
        <v>https://www.instagram.com/kanonfarhangi_aletaha</v>
      </c>
      <c r="I4954" s="6" t="str">
        <f>IFERROR(__xludf.DUMMYFUNCTION("""COMPUTED_VALUE"""),"https://t.me/Aletaha")</f>
        <v>https://t.me/Aletaha</v>
      </c>
      <c r="J4954" s="5"/>
      <c r="K4954" s="5"/>
      <c r="L4954" s="5"/>
      <c r="M4954" s="5"/>
      <c r="N4954" s="5"/>
      <c r="O4954" s="5"/>
      <c r="P4954" s="5"/>
      <c r="Q4954" s="5"/>
      <c r="R4954" s="5"/>
      <c r="S4954" s="5"/>
    </row>
    <row r="4955">
      <c r="A4955" s="5">
        <f>IFERROR(__xludf.DUMMYFUNCTION("""COMPUTED_VALUE"""),15801.0)</f>
        <v>15801</v>
      </c>
      <c r="B4955" s="5" t="str">
        <f>IFERROR(__xludf.DUMMYFUNCTION("""COMPUTED_VALUE"""),"هیأت هفتگی")</f>
        <v>هیأت هفتگی</v>
      </c>
      <c r="C4955" s="5" t="str">
        <f>IFERROR(__xludf.DUMMYFUNCTION("""COMPUTED_VALUE"""),"کانون تخصصی امام رضا(ع)")</f>
        <v>کانون تخصصی امام رضا(ع)</v>
      </c>
      <c r="D4955" s="5" t="str">
        <f>IFERROR(__xludf.DUMMYFUNCTION("""COMPUTED_VALUE"""),"هرمزگان")</f>
        <v>هرمزگان</v>
      </c>
      <c r="E4955" s="5" t="str">
        <f>IFERROR(__xludf.DUMMYFUNCTION("""COMPUTED_VALUE"""),"بدون شهرستان")</f>
        <v>بدون شهرستان</v>
      </c>
      <c r="F4955" s="5"/>
      <c r="G4955" s="5"/>
      <c r="H4955" s="5"/>
      <c r="I4955" s="5"/>
      <c r="J4955" s="6" t="str">
        <f>IFERROR(__xludf.DUMMYFUNCTION("""COMPUTED_VALUE"""),"https://eitaa.com/hormozgan_razavi")</f>
        <v>https://eitaa.com/hormozgan_razavi</v>
      </c>
      <c r="K4955" s="5"/>
      <c r="L4955" s="5"/>
      <c r="M4955" s="5"/>
      <c r="N4955" s="5"/>
      <c r="O4955" s="5"/>
      <c r="P4955" s="5"/>
      <c r="Q4955" s="5"/>
      <c r="R4955" s="5"/>
      <c r="S4955" s="5"/>
    </row>
    <row r="4956">
      <c r="A4956" s="5">
        <f>IFERROR(__xludf.DUMMYFUNCTION("""COMPUTED_VALUE"""),15800.0)</f>
        <v>15800</v>
      </c>
      <c r="B4956" s="5" t="str">
        <f>IFERROR(__xludf.DUMMYFUNCTION("""COMPUTED_VALUE"""),"هیأت هفتگی")</f>
        <v>هیأت هفتگی</v>
      </c>
      <c r="C4956" s="5" t="str">
        <f>IFERROR(__xludf.DUMMYFUNCTION("""COMPUTED_VALUE"""),"شهید عمرانی")</f>
        <v>شهید عمرانی</v>
      </c>
      <c r="D4956" s="5" t="str">
        <f>IFERROR(__xludf.DUMMYFUNCTION("""COMPUTED_VALUE"""),"هرمزگان")</f>
        <v>هرمزگان</v>
      </c>
      <c r="E4956" s="5" t="str">
        <f>IFERROR(__xludf.DUMMYFUNCTION("""COMPUTED_VALUE"""),"بدون شهرستان")</f>
        <v>بدون شهرستان</v>
      </c>
      <c r="F4956" s="5"/>
      <c r="G4956" s="5"/>
      <c r="H4956" s="6" t="str">
        <f>IFERROR(__xludf.DUMMYFUNCTION("""COMPUTED_VALUE"""),"https://www.instagram.com/kanoonomrani_minab")</f>
        <v>https://www.instagram.com/kanoonomrani_minab</v>
      </c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</row>
    <row r="4957">
      <c r="A4957" s="5">
        <f>IFERROR(__xludf.DUMMYFUNCTION("""COMPUTED_VALUE"""),15797.0)</f>
        <v>15797</v>
      </c>
      <c r="B4957" s="5" t="str">
        <f>IFERROR(__xludf.DUMMYFUNCTION("""COMPUTED_VALUE"""),"هیأت هفتگی")</f>
        <v>هیأت هفتگی</v>
      </c>
      <c r="C4957" s="5" t="str">
        <f>IFERROR(__xludf.DUMMYFUNCTION("""COMPUTED_VALUE"""),"منتظران ظهور")</f>
        <v>منتظران ظهور</v>
      </c>
      <c r="D4957" s="5" t="str">
        <f>IFERROR(__xludf.DUMMYFUNCTION("""COMPUTED_VALUE"""),"هرمزگان")</f>
        <v>هرمزگان</v>
      </c>
      <c r="E4957" s="5" t="str">
        <f>IFERROR(__xludf.DUMMYFUNCTION("""COMPUTED_VALUE"""),"بدون شهرستان")</f>
        <v>بدون شهرستان</v>
      </c>
      <c r="F4957" s="5"/>
      <c r="G4957" s="5"/>
      <c r="H4957" s="6" t="str">
        <f>IFERROR(__xludf.DUMMYFUNCTION("""COMPUTED_VALUE"""),"https://www.instagram.com/montazeranzohoorbnd/")</f>
        <v>https://www.instagram.com/montazeranzohoorbnd/</v>
      </c>
      <c r="I4957" s="5"/>
      <c r="J4957" s="6" t="str">
        <f>IFERROR(__xludf.DUMMYFUNCTION("""COMPUTED_VALUE"""),"https://eitaa.com/montazeranzohoorbnd")</f>
        <v>https://eitaa.com/montazeranzohoorbnd</v>
      </c>
      <c r="K4957" s="5"/>
      <c r="L4957" s="5"/>
      <c r="M4957" s="5"/>
      <c r="N4957" s="5"/>
      <c r="O4957" s="5"/>
      <c r="P4957" s="5"/>
      <c r="Q4957" s="5"/>
      <c r="R4957" s="5"/>
      <c r="S4957" s="5"/>
    </row>
    <row r="4958">
      <c r="A4958" s="5">
        <f>IFERROR(__xludf.DUMMYFUNCTION("""COMPUTED_VALUE"""),15796.0)</f>
        <v>15796</v>
      </c>
      <c r="B4958" s="5" t="str">
        <f>IFERROR(__xludf.DUMMYFUNCTION("""COMPUTED_VALUE"""),"هیأت هفتگی")</f>
        <v>هیأت هفتگی</v>
      </c>
      <c r="C4958" s="5" t="str">
        <f>IFERROR(__xludf.DUMMYFUNCTION("""COMPUTED_VALUE"""),"مکتب الشهدا")</f>
        <v>مکتب الشهدا</v>
      </c>
      <c r="D4958" s="5" t="str">
        <f>IFERROR(__xludf.DUMMYFUNCTION("""COMPUTED_VALUE"""),"هرمزگان")</f>
        <v>هرمزگان</v>
      </c>
      <c r="E4958" s="5" t="str">
        <f>IFERROR(__xludf.DUMMYFUNCTION("""COMPUTED_VALUE"""),"بدون شهرستان")</f>
        <v>بدون شهرستان</v>
      </c>
      <c r="F4958" s="5"/>
      <c r="G4958" s="5"/>
      <c r="H4958" s="6" t="str">
        <f>IFERROR(__xludf.DUMMYFUNCTION("""COMPUTED_VALUE"""),"https://www.instagram.com/maktab_al.shuhada/")</f>
        <v>https://www.instagram.com/maktab_al.shuhada/</v>
      </c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</row>
    <row r="4959">
      <c r="A4959" s="5">
        <f>IFERROR(__xludf.DUMMYFUNCTION("""COMPUTED_VALUE"""),15774.0)</f>
        <v>15774</v>
      </c>
      <c r="B4959" s="5" t="str">
        <f>IFERROR(__xludf.DUMMYFUNCTION("""COMPUTED_VALUE"""),"هیأت هفتگی")</f>
        <v>هیأت هفتگی</v>
      </c>
      <c r="C4959" s="5" t="str">
        <f>IFERROR(__xludf.DUMMYFUNCTION("""COMPUTED_VALUE"""),"انجمن هنر")</f>
        <v>انجمن هنر</v>
      </c>
      <c r="D4959" s="5" t="str">
        <f>IFERROR(__xludf.DUMMYFUNCTION("""COMPUTED_VALUE"""),"هرمزگان")</f>
        <v>هرمزگان</v>
      </c>
      <c r="E4959" s="5" t="str">
        <f>IFERROR(__xludf.DUMMYFUNCTION("""COMPUTED_VALUE"""),"بدون شهرستان")</f>
        <v>بدون شهرستان</v>
      </c>
      <c r="F4959" s="5"/>
      <c r="G4959" s="5"/>
      <c r="H4959" s="6" t="str">
        <f>IFERROR(__xludf.DUMMYFUNCTION("""COMPUTED_VALUE"""),"https://www.instagram.com/honarhaye_namayeshi_hormozgan")</f>
        <v>https://www.instagram.com/honarhaye_namayeshi_hormozgan</v>
      </c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</row>
    <row r="4960">
      <c r="A4960" s="5">
        <f>IFERROR(__xludf.DUMMYFUNCTION("""COMPUTED_VALUE"""),15769.0)</f>
        <v>15769</v>
      </c>
      <c r="B4960" s="5" t="str">
        <f>IFERROR(__xludf.DUMMYFUNCTION("""COMPUTED_VALUE"""),"هیأت هفتگی")</f>
        <v>هیأت هفتگی</v>
      </c>
      <c r="C4960" s="5" t="str">
        <f>IFERROR(__xludf.DUMMYFUNCTION("""COMPUTED_VALUE"""),"انقلاب")</f>
        <v>انقلاب</v>
      </c>
      <c r="D4960" s="5" t="str">
        <f>IFERROR(__xludf.DUMMYFUNCTION("""COMPUTED_VALUE"""),"هرمزگان")</f>
        <v>هرمزگان</v>
      </c>
      <c r="E4960" s="5" t="str">
        <f>IFERROR(__xludf.DUMMYFUNCTION("""COMPUTED_VALUE"""),"بدون شهرستان")</f>
        <v>بدون شهرستان</v>
      </c>
      <c r="F4960" s="5"/>
      <c r="G4960" s="5"/>
      <c r="H4960" s="6" t="str">
        <f>IFERROR(__xludf.DUMMYFUNCTION("""COMPUTED_VALUE"""),"https://www.instagram.com/arthormozgan/")</f>
        <v>https://www.instagram.com/arthormozgan/</v>
      </c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</row>
    <row r="4961">
      <c r="A4961" s="5">
        <f>IFERROR(__xludf.DUMMYFUNCTION("""COMPUTED_VALUE"""),15768.0)</f>
        <v>15768</v>
      </c>
      <c r="B4961" s="5" t="str">
        <f>IFERROR(__xludf.DUMMYFUNCTION("""COMPUTED_VALUE"""),"هیأت هفتگی")</f>
        <v>هیأت هفتگی</v>
      </c>
      <c r="C4961" s="5" t="str">
        <f>IFERROR(__xludf.DUMMYFUNCTION("""COMPUTED_VALUE"""),"مولود کعبه")</f>
        <v>مولود کعبه</v>
      </c>
      <c r="D4961" s="5" t="str">
        <f>IFERROR(__xludf.DUMMYFUNCTION("""COMPUTED_VALUE"""),"هرمزگان")</f>
        <v>هرمزگان</v>
      </c>
      <c r="E4961" s="5" t="str">
        <f>IFERROR(__xludf.DUMMYFUNCTION("""COMPUTED_VALUE"""),"بدون شهرستان")</f>
        <v>بدون شهرستان</v>
      </c>
      <c r="F4961" s="5"/>
      <c r="G4961" s="5"/>
      <c r="H4961" s="6" t="str">
        <f>IFERROR(__xludf.DUMMYFUNCTION("""COMPUTED_VALUE"""),"https://www.instagram.com/gharargah.azadshahr/")</f>
        <v>https://www.instagram.com/gharargah.azadshahr/</v>
      </c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</row>
    <row r="4962">
      <c r="A4962" s="5">
        <f>IFERROR(__xludf.DUMMYFUNCTION("""COMPUTED_VALUE"""),15743.0)</f>
        <v>15743</v>
      </c>
      <c r="B4962" s="5" t="str">
        <f>IFERROR(__xludf.DUMMYFUNCTION("""COMPUTED_VALUE"""),"هیأت هفتگی")</f>
        <v>هیأت هفتگی</v>
      </c>
      <c r="C4962" s="5" t="str">
        <f>IFERROR(__xludf.DUMMYFUNCTION("""COMPUTED_VALUE"""),"مکتب الباقر(ع)")</f>
        <v>مکتب الباقر(ع)</v>
      </c>
      <c r="D4962" s="5" t="str">
        <f>IFERROR(__xludf.DUMMYFUNCTION("""COMPUTED_VALUE"""),"هرمزگان")</f>
        <v>هرمزگان</v>
      </c>
      <c r="E4962" s="5" t="str">
        <f>IFERROR(__xludf.DUMMYFUNCTION("""COMPUTED_VALUE"""),"بندرعباس")</f>
        <v>بندرعباس</v>
      </c>
      <c r="F4962" s="5"/>
      <c r="G4962" s="5"/>
      <c r="H4962" s="6" t="str">
        <f>IFERROR(__xludf.DUMMYFUNCTION("""COMPUTED_VALUE"""),"https://www.instagram.com/maktabalbagher")</f>
        <v>https://www.instagram.com/maktabalbagher</v>
      </c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</row>
    <row r="4963">
      <c r="A4963" s="5">
        <f>IFERROR(__xludf.DUMMYFUNCTION("""COMPUTED_VALUE"""),15741.0)</f>
        <v>15741</v>
      </c>
      <c r="B4963" s="5" t="str">
        <f>IFERROR(__xludf.DUMMYFUNCTION("""COMPUTED_VALUE"""),"مسجد")</f>
        <v>مسجد</v>
      </c>
      <c r="C4963" s="5" t="str">
        <f>IFERROR(__xludf.DUMMYFUNCTION("""COMPUTED_VALUE"""),"عزاداران مسجد صاحب الزمان (عج)")</f>
        <v>عزاداران مسجد صاحب الزمان (عج)</v>
      </c>
      <c r="D4963" s="5" t="str">
        <f>IFERROR(__xludf.DUMMYFUNCTION("""COMPUTED_VALUE"""),"هرمزگان")</f>
        <v>هرمزگان</v>
      </c>
      <c r="E4963" s="5" t="str">
        <f>IFERROR(__xludf.DUMMYFUNCTION("""COMPUTED_VALUE"""),"بندرعباس")</f>
        <v>بندرعباس</v>
      </c>
      <c r="F4963" s="5"/>
      <c r="G4963" s="5"/>
      <c r="H4963" s="6" t="str">
        <f>IFERROR(__xludf.DUMMYFUNCTION("""COMPUTED_VALUE"""),"https://www.instagram.com/hoseiniyeh_saheb_alzaman")</f>
        <v>https://www.instagram.com/hoseiniyeh_saheb_alzaman</v>
      </c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</row>
    <row r="4964">
      <c r="A4964" s="5">
        <f>IFERROR(__xludf.DUMMYFUNCTION("""COMPUTED_VALUE"""),15729.0)</f>
        <v>15729</v>
      </c>
      <c r="B4964" s="5" t="str">
        <f>IFERROR(__xludf.DUMMYFUNCTION("""COMPUTED_VALUE"""),"هیأت هفتگی")</f>
        <v>هیأت هفتگی</v>
      </c>
      <c r="C4964" s="5" t="str">
        <f>IFERROR(__xludf.DUMMYFUNCTION("""COMPUTED_VALUE"""),"قمربنی هاشم (ع) روستای روتان")</f>
        <v>قمربنی هاشم (ع) روستای روتان</v>
      </c>
      <c r="D4964" s="5" t="str">
        <f>IFERROR(__xludf.DUMMYFUNCTION("""COMPUTED_VALUE"""),"هرمزگان")</f>
        <v>هرمزگان</v>
      </c>
      <c r="E4964" s="5" t="str">
        <f>IFERROR(__xludf.DUMMYFUNCTION("""COMPUTED_VALUE"""),"سیریک")</f>
        <v>سیریک</v>
      </c>
      <c r="F4964" s="5"/>
      <c r="G4964" s="5"/>
      <c r="H4964" s="6" t="str">
        <f>IFERROR(__xludf.DUMMYFUNCTION("""COMPUTED_VALUE"""),"https://www.instagram.com/rovtan.sirik")</f>
        <v>https://www.instagram.com/rovtan.sirik</v>
      </c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</row>
    <row r="4965">
      <c r="A4965" s="5">
        <f>IFERROR(__xludf.DUMMYFUNCTION("""COMPUTED_VALUE"""),15728.0)</f>
        <v>15728</v>
      </c>
      <c r="B4965" s="5" t="str">
        <f>IFERROR(__xludf.DUMMYFUNCTION("""COMPUTED_VALUE"""),"حسینیه")</f>
        <v>حسینیه</v>
      </c>
      <c r="C4965" s="5" t="str">
        <f>IFERROR(__xludf.DUMMYFUNCTION("""COMPUTED_VALUE"""),"شهدای شلمچه")</f>
        <v>شهدای شلمچه</v>
      </c>
      <c r="D4965" s="5" t="str">
        <f>IFERROR(__xludf.DUMMYFUNCTION("""COMPUTED_VALUE"""),"هرمزگان")</f>
        <v>هرمزگان</v>
      </c>
      <c r="E4965" s="5" t="str">
        <f>IFERROR(__xludf.DUMMYFUNCTION("""COMPUTED_VALUE"""),"بندرعباس")</f>
        <v>بندرعباس</v>
      </c>
      <c r="F4965" s="5"/>
      <c r="G4965" s="5"/>
      <c r="H4965" s="6" t="str">
        <f>IFERROR(__xludf.DUMMYFUNCTION("""COMPUTED_VALUE"""),"https://www.instagram.com/shohadaye_shalamche/")</f>
        <v>https://www.instagram.com/shohadaye_shalamche/</v>
      </c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</row>
    <row r="4966">
      <c r="A4966" s="5">
        <f>IFERROR(__xludf.DUMMYFUNCTION("""COMPUTED_VALUE"""),15726.0)</f>
        <v>15726</v>
      </c>
      <c r="B4966" s="5" t="str">
        <f>IFERROR(__xludf.DUMMYFUNCTION("""COMPUTED_VALUE"""),"هیأت هفتگی")</f>
        <v>هیأت هفتگی</v>
      </c>
      <c r="C4966" s="5" t="str">
        <f>IFERROR(__xludf.DUMMYFUNCTION("""COMPUTED_VALUE"""),"باقریون")</f>
        <v>باقریون</v>
      </c>
      <c r="D4966" s="5" t="str">
        <f>IFERROR(__xludf.DUMMYFUNCTION("""COMPUTED_VALUE"""),"هرمزگان")</f>
        <v>هرمزگان</v>
      </c>
      <c r="E4966" s="5" t="str">
        <f>IFERROR(__xludf.DUMMYFUNCTION("""COMPUTED_VALUE"""),"بندرعباس")</f>
        <v>بندرعباس</v>
      </c>
      <c r="F4966" s="5"/>
      <c r="G4966" s="5"/>
      <c r="H4966" s="6" t="str">
        <f>IFERROR(__xludf.DUMMYFUNCTION("""COMPUTED_VALUE"""),"https://www.instagram.com/bagheriyun_heiat")</f>
        <v>https://www.instagram.com/bagheriyun_heiat</v>
      </c>
      <c r="I4966" s="6" t="str">
        <f>IFERROR(__xludf.DUMMYFUNCTION("""COMPUTED_VALUE"""),"https://t.me/bagheriyunheiat")</f>
        <v>https://t.me/bagheriyunheiat</v>
      </c>
      <c r="J4966" s="6" t="str">
        <f>IFERROR(__xludf.DUMMYFUNCTION("""COMPUTED_VALUE"""),"https://eitaa.com/bagheriyun_heiat")</f>
        <v>https://eitaa.com/bagheriyun_heiat</v>
      </c>
      <c r="K4966" s="5"/>
      <c r="L4966" s="5"/>
      <c r="M4966" s="5"/>
      <c r="N4966" s="5"/>
      <c r="O4966" s="5"/>
      <c r="P4966" s="5"/>
      <c r="Q4966" s="5"/>
      <c r="R4966" s="5"/>
      <c r="S4966" s="5"/>
    </row>
    <row r="4967">
      <c r="A4967" s="5">
        <f>IFERROR(__xludf.DUMMYFUNCTION("""COMPUTED_VALUE"""),15720.0)</f>
        <v>15720</v>
      </c>
      <c r="B4967" s="5" t="str">
        <f>IFERROR(__xludf.DUMMYFUNCTION("""COMPUTED_VALUE"""),"مسجد")</f>
        <v>مسجد</v>
      </c>
      <c r="C4967" s="5" t="str">
        <f>IFERROR(__xludf.DUMMYFUNCTION("""COMPUTED_VALUE"""),"چهارده معصوم(ع)")</f>
        <v>چهارده معصوم(ع)</v>
      </c>
      <c r="D4967" s="5" t="str">
        <f>IFERROR(__xludf.DUMMYFUNCTION("""COMPUTED_VALUE"""),"هرمزگان")</f>
        <v>هرمزگان</v>
      </c>
      <c r="E4967" s="5" t="str">
        <f>IFERROR(__xludf.DUMMYFUNCTION("""COMPUTED_VALUE"""),"رودان")</f>
        <v>رودان</v>
      </c>
      <c r="F4967" s="5"/>
      <c r="G4967" s="5"/>
      <c r="H4967" s="6" t="str">
        <f>IFERROR(__xludf.DUMMYFUNCTION("""COMPUTED_VALUE"""),"https://www.instagram.com/masjed14maesom_roudan")</f>
        <v>https://www.instagram.com/masjed14maesom_roudan</v>
      </c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</row>
    <row r="4968">
      <c r="A4968" s="5">
        <f>IFERROR(__xludf.DUMMYFUNCTION("""COMPUTED_VALUE"""),15717.0)</f>
        <v>15717</v>
      </c>
      <c r="B4968" s="5" t="str">
        <f>IFERROR(__xludf.DUMMYFUNCTION("""COMPUTED_VALUE"""),"مسجد")</f>
        <v>مسجد</v>
      </c>
      <c r="C4968" s="5" t="str">
        <f>IFERROR(__xludf.DUMMYFUNCTION("""COMPUTED_VALUE"""),"صاحب الزمان(عج)")</f>
        <v>صاحب الزمان(عج)</v>
      </c>
      <c r="D4968" s="5" t="str">
        <f>IFERROR(__xludf.DUMMYFUNCTION("""COMPUTED_VALUE"""),"هرمزگان")</f>
        <v>هرمزگان</v>
      </c>
      <c r="E4968" s="5" t="str">
        <f>IFERROR(__xludf.DUMMYFUNCTION("""COMPUTED_VALUE"""),"رودان")</f>
        <v>رودان</v>
      </c>
      <c r="F4968" s="5"/>
      <c r="G4968" s="5"/>
      <c r="H4968" s="6" t="str">
        <f>IFERROR(__xludf.DUMMYFUNCTION("""COMPUTED_VALUE"""),"https://www.instagram.com/masjed_sahebalzamann")</f>
        <v>https://www.instagram.com/masjed_sahebalzamann</v>
      </c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</row>
    <row r="4969">
      <c r="A4969" s="5">
        <f>IFERROR(__xludf.DUMMYFUNCTION("""COMPUTED_VALUE"""),15702.0)</f>
        <v>15702</v>
      </c>
      <c r="B4969" s="5" t="str">
        <f>IFERROR(__xludf.DUMMYFUNCTION("""COMPUTED_VALUE"""),"مسجد")</f>
        <v>مسجد</v>
      </c>
      <c r="C4969" s="5" t="str">
        <f>IFERROR(__xludf.DUMMYFUNCTION("""COMPUTED_VALUE"""),"مسجد جامع بزرگ قشم")</f>
        <v>مسجد جامع بزرگ قشم</v>
      </c>
      <c r="D4969" s="5" t="str">
        <f>IFERROR(__xludf.DUMMYFUNCTION("""COMPUTED_VALUE"""),"هرمزگان")</f>
        <v>هرمزگان</v>
      </c>
      <c r="E4969" s="5" t="str">
        <f>IFERROR(__xludf.DUMMYFUNCTION("""COMPUTED_VALUE"""),"قشم")</f>
        <v>قشم</v>
      </c>
      <c r="F4969" s="5"/>
      <c r="G4969" s="5"/>
      <c r="H4969" s="6" t="str">
        <f>IFERROR(__xludf.DUMMYFUNCTION("""COMPUTED_VALUE"""),"https://www.instagram.com/masjed_jame_qeshm")</f>
        <v>https://www.instagram.com/masjed_jame_qeshm</v>
      </c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</row>
    <row r="4970">
      <c r="A4970" s="5">
        <f>IFERROR(__xludf.DUMMYFUNCTION("""COMPUTED_VALUE"""),15698.0)</f>
        <v>15698</v>
      </c>
      <c r="B4970" s="5" t="str">
        <f>IFERROR(__xludf.DUMMYFUNCTION("""COMPUTED_VALUE"""),"هیأت هفتگی")</f>
        <v>هیأت هفتگی</v>
      </c>
      <c r="C4970" s="5" t="str">
        <f>IFERROR(__xludf.DUMMYFUNCTION("""COMPUTED_VALUE"""),"امامزاده مظفر")</f>
        <v>امامزاده مظفر</v>
      </c>
      <c r="D4970" s="5" t="str">
        <f>IFERROR(__xludf.DUMMYFUNCTION("""COMPUTED_VALUE"""),"هرمزگان")</f>
        <v>هرمزگان</v>
      </c>
      <c r="E4970" s="5" t="str">
        <f>IFERROR(__xludf.DUMMYFUNCTION("""COMPUTED_VALUE"""),"قشم")</f>
        <v>قشم</v>
      </c>
      <c r="F4970" s="5"/>
      <c r="G4970" s="5"/>
      <c r="H4970" s="6" t="str">
        <f>IFERROR(__xludf.DUMMYFUNCTION("""COMPUTED_VALUE"""),"https://www.instagram.com/seyyedmozafar_qeshm")</f>
        <v>https://www.instagram.com/seyyedmozafar_qeshm</v>
      </c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</row>
    <row r="4971">
      <c r="A4971" s="5">
        <f>IFERROR(__xludf.DUMMYFUNCTION("""COMPUTED_VALUE"""),15682.0)</f>
        <v>15682</v>
      </c>
      <c r="B4971" s="5" t="str">
        <f>IFERROR(__xludf.DUMMYFUNCTION("""COMPUTED_VALUE"""),"مسجد")</f>
        <v>مسجد</v>
      </c>
      <c r="C4971" s="5" t="str">
        <f>IFERROR(__xludf.DUMMYFUNCTION("""COMPUTED_VALUE"""),"امام جعفرصادق(ع)")</f>
        <v>امام جعفرصادق(ع)</v>
      </c>
      <c r="D4971" s="5" t="str">
        <f>IFERROR(__xludf.DUMMYFUNCTION("""COMPUTED_VALUE"""),"هرمزگان")</f>
        <v>هرمزگان</v>
      </c>
      <c r="E4971" s="5" t="str">
        <f>IFERROR(__xludf.DUMMYFUNCTION("""COMPUTED_VALUE"""),"میناب")</f>
        <v>میناب</v>
      </c>
      <c r="F4971" s="5"/>
      <c r="G4971" s="5"/>
      <c r="H4971" s="6" t="str">
        <f>IFERROR(__xludf.DUMMYFUNCTION("""COMPUTED_VALUE"""),"https://www.instagram.com/masjed_lmam_jafar_sadegh")</f>
        <v>https://www.instagram.com/masjed_lmam_jafar_sadegh</v>
      </c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</row>
    <row r="4972">
      <c r="A4972" s="5">
        <f>IFERROR(__xludf.DUMMYFUNCTION("""COMPUTED_VALUE"""),15671.0)</f>
        <v>15671</v>
      </c>
      <c r="B4972" s="5" t="str">
        <f>IFERROR(__xludf.DUMMYFUNCTION("""COMPUTED_VALUE"""),"مسجد")</f>
        <v>مسجد</v>
      </c>
      <c r="C4972" s="5" t="str">
        <f>IFERROR(__xludf.DUMMYFUNCTION("""COMPUTED_VALUE"""),"ولی عصر(عج)")</f>
        <v>ولی عصر(عج)</v>
      </c>
      <c r="D4972" s="5" t="str">
        <f>IFERROR(__xludf.DUMMYFUNCTION("""COMPUTED_VALUE"""),"هرمزگان")</f>
        <v>هرمزگان</v>
      </c>
      <c r="E4972" s="5" t="str">
        <f>IFERROR(__xludf.DUMMYFUNCTION("""COMPUTED_VALUE"""),"میناب")</f>
        <v>میناب</v>
      </c>
      <c r="F4972" s="5"/>
      <c r="G4972" s="5"/>
      <c r="H4972" s="6" t="str">
        <f>IFERROR(__xludf.DUMMYFUNCTION("""COMPUTED_VALUE"""),"https://www.instagram.com/masjedvaliasr_8bandi2/")</f>
        <v>https://www.instagram.com/masjedvaliasr_8bandi2/</v>
      </c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</row>
    <row r="4973">
      <c r="A4973" s="5">
        <f>IFERROR(__xludf.DUMMYFUNCTION("""COMPUTED_VALUE"""),15649.0)</f>
        <v>15649</v>
      </c>
      <c r="B4973" s="5" t="str">
        <f>IFERROR(__xludf.DUMMYFUNCTION("""COMPUTED_VALUE"""),"هیأت هفتگی")</f>
        <v>هیأت هفتگی</v>
      </c>
      <c r="C4973" s="5" t="str">
        <f>IFERROR(__xludf.DUMMYFUNCTION("""COMPUTED_VALUE"""),"نینوا")</f>
        <v>نینوا</v>
      </c>
      <c r="D4973" s="5" t="str">
        <f>IFERROR(__xludf.DUMMYFUNCTION("""COMPUTED_VALUE"""),"هرمزگان")</f>
        <v>هرمزگان</v>
      </c>
      <c r="E4973" s="5" t="str">
        <f>IFERROR(__xludf.DUMMYFUNCTION("""COMPUTED_VALUE"""),"حاجی آباد")</f>
        <v>حاجی آباد</v>
      </c>
      <c r="F4973" s="5"/>
      <c r="G4973" s="5"/>
      <c r="H4973" s="5"/>
      <c r="I4973" s="6" t="str">
        <f>IFERROR(__xludf.DUMMYFUNCTION("""COMPUTED_VALUE"""),"https://t.me/masjedneynava_ir")</f>
        <v>https://t.me/masjedneynava_ir</v>
      </c>
      <c r="J4973" s="5"/>
      <c r="K4973" s="5"/>
      <c r="L4973" s="5"/>
      <c r="M4973" s="5"/>
      <c r="N4973" s="5"/>
      <c r="O4973" s="5"/>
      <c r="P4973" s="5"/>
      <c r="Q4973" s="5"/>
      <c r="R4973" s="5"/>
      <c r="S4973" s="5"/>
    </row>
    <row r="4974">
      <c r="A4974" s="5">
        <f>IFERROR(__xludf.DUMMYFUNCTION("""COMPUTED_VALUE"""),15648.0)</f>
        <v>15648</v>
      </c>
      <c r="B4974" s="5" t="str">
        <f>IFERROR(__xludf.DUMMYFUNCTION("""COMPUTED_VALUE"""),"مسجد")</f>
        <v>مسجد</v>
      </c>
      <c r="C4974" s="5" t="str">
        <f>IFERROR(__xludf.DUMMYFUNCTION("""COMPUTED_VALUE"""),"مسجد حضرت ابوالفضل(ع)")</f>
        <v>مسجد حضرت ابوالفضل(ع)</v>
      </c>
      <c r="D4974" s="5" t="str">
        <f>IFERROR(__xludf.DUMMYFUNCTION("""COMPUTED_VALUE"""),"هرمزگان")</f>
        <v>هرمزگان</v>
      </c>
      <c r="E4974" s="5" t="str">
        <f>IFERROR(__xludf.DUMMYFUNCTION("""COMPUTED_VALUE"""),"بندرعباس")</f>
        <v>بندرعباس</v>
      </c>
      <c r="F4974" s="5"/>
      <c r="G4974" s="5"/>
      <c r="H4974" s="6" t="str">
        <f>IFERROR(__xludf.DUMMYFUNCTION("""COMPUTED_VALUE"""),"https://www.instagram.com/masjedabalfazl_bandarabbas")</f>
        <v>https://www.instagram.com/masjedabalfazl_bandarabbas</v>
      </c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</row>
    <row r="4975">
      <c r="A4975" s="5">
        <f>IFERROR(__xludf.DUMMYFUNCTION("""COMPUTED_VALUE"""),15622.0)</f>
        <v>15622</v>
      </c>
      <c r="B4975" s="5" t="str">
        <f>IFERROR(__xludf.DUMMYFUNCTION("""COMPUTED_VALUE"""),"مسجد")</f>
        <v>مسجد</v>
      </c>
      <c r="C4975" s="5" t="str">
        <f>IFERROR(__xludf.DUMMYFUNCTION("""COMPUTED_VALUE"""),"صاحب الزمان(عج)")</f>
        <v>صاحب الزمان(عج)</v>
      </c>
      <c r="D4975" s="5" t="str">
        <f>IFERROR(__xludf.DUMMYFUNCTION("""COMPUTED_VALUE"""),"هرمزگان")</f>
        <v>هرمزگان</v>
      </c>
      <c r="E4975" s="5" t="str">
        <f>IFERROR(__xludf.DUMMYFUNCTION("""COMPUTED_VALUE"""),"حاجی آباد")</f>
        <v>حاجی آباد</v>
      </c>
      <c r="F4975" s="5"/>
      <c r="G4975" s="5"/>
      <c r="H4975" s="6" t="str">
        <f>IFERROR(__xludf.DUMMYFUNCTION("""COMPUTED_VALUE"""),"https://www.instagram.com/masjedhajiabad")</f>
        <v>https://www.instagram.com/masjedhajiabad</v>
      </c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</row>
    <row r="4976">
      <c r="A4976" s="5">
        <f>IFERROR(__xludf.DUMMYFUNCTION("""COMPUTED_VALUE"""),15607.0)</f>
        <v>15607</v>
      </c>
      <c r="B4976" s="5" t="str">
        <f>IFERROR(__xludf.DUMMYFUNCTION("""COMPUTED_VALUE"""),"هیأت هفتگی")</f>
        <v>هیأت هفتگی</v>
      </c>
      <c r="C4976" s="5" t="str">
        <f>IFERROR(__xludf.DUMMYFUNCTION("""COMPUTED_VALUE"""),"قمربنی هاشم(ع)")</f>
        <v>قمربنی هاشم(ع)</v>
      </c>
      <c r="D4976" s="5" t="str">
        <f>IFERROR(__xludf.DUMMYFUNCTION("""COMPUTED_VALUE"""),"هرمزگان")</f>
        <v>هرمزگان</v>
      </c>
      <c r="E4976" s="5" t="str">
        <f>IFERROR(__xludf.DUMMYFUNCTION("""COMPUTED_VALUE"""),"حاجی آباد")</f>
        <v>حاجی آباد</v>
      </c>
      <c r="F4976" s="5"/>
      <c r="G4976" s="5"/>
      <c r="H4976" s="6" t="str">
        <f>IFERROR(__xludf.DUMMYFUNCTION("""COMPUTED_VALUE"""),"https://www.instagram.com/heyat_rostay_hajiabad")</f>
        <v>https://www.instagram.com/heyat_rostay_hajiabad</v>
      </c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</row>
    <row r="4977">
      <c r="A4977" s="5"/>
      <c r="B4977" s="5" t="str">
        <f>IFERROR(__xludf.DUMMYFUNCTION("""COMPUTED_VALUE"""),"هیأت دانش آموزی")</f>
        <v>هیأت دانش آموزی</v>
      </c>
      <c r="C4977" s="5" t="str">
        <f>IFERROR(__xludf.DUMMYFUNCTION("""COMPUTED_VALUE"""),"انصار المهدی")</f>
        <v>انصار المهدی</v>
      </c>
      <c r="D4977" s="5" t="str">
        <f>IFERROR(__xludf.DUMMYFUNCTION("""COMPUTED_VALUE"""),"هرمزگان")</f>
        <v>هرمزگان</v>
      </c>
      <c r="E4977" s="5" t="str">
        <f>IFERROR(__xludf.DUMMYFUNCTION("""COMPUTED_VALUE"""),"بندرعباس")</f>
        <v>بندرعباس</v>
      </c>
      <c r="F4977" s="5"/>
      <c r="G4977" s="5"/>
      <c r="H4977" s="5"/>
      <c r="I4977" s="5"/>
      <c r="J4977" s="6" t="str">
        <f>IFERROR(__xludf.DUMMYFUNCTION("""COMPUTED_VALUE"""),"https://eitaa.com/Board_ansaralmahdi")</f>
        <v>https://eitaa.com/Board_ansaralmahdi</v>
      </c>
      <c r="K4977" s="5"/>
      <c r="L4977" s="5"/>
      <c r="M4977" s="5"/>
      <c r="N4977" s="5"/>
      <c r="O4977" s="5"/>
      <c r="P4977" s="5"/>
      <c r="Q4977" s="5"/>
      <c r="R4977" s="5"/>
      <c r="S4977" s="5"/>
    </row>
    <row r="4978">
      <c r="A4978" s="5">
        <f>IFERROR(__xludf.DUMMYFUNCTION("""COMPUTED_VALUE"""),25093.0)</f>
        <v>25093</v>
      </c>
      <c r="B4978" s="5"/>
      <c r="C4978" s="5" t="str">
        <f>IFERROR(__xludf.DUMMYFUNCTION("""COMPUTED_VALUE"""),"ثارالله (ع)")</f>
        <v>ثارالله (ع)</v>
      </c>
      <c r="D4978" s="5" t="str">
        <f>IFERROR(__xludf.DUMMYFUNCTION("""COMPUTED_VALUE"""),"مرکزی")</f>
        <v>مرکزی</v>
      </c>
      <c r="E4978" s="5" t="str">
        <f>IFERROR(__xludf.DUMMYFUNCTION("""COMPUTED_VALUE"""),"آشتیان")</f>
        <v>آشتیان</v>
      </c>
      <c r="F4978" s="5"/>
      <c r="G4978" s="5"/>
      <c r="H4978" s="6" t="str">
        <f>IFERROR(__xludf.DUMMYFUNCTION("""COMPUTED_VALUE"""),"https://www.instagram.com/heyat.sarallah.ashtian/")</f>
        <v>https://www.instagram.com/heyat.sarallah.ashtian/</v>
      </c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</row>
    <row r="4979">
      <c r="A4979" s="5"/>
      <c r="B4979" s="5" t="str">
        <f>IFERROR(__xludf.DUMMYFUNCTION("""COMPUTED_VALUE"""),"هیأت")</f>
        <v>هیأت</v>
      </c>
      <c r="C4979" s="5" t="str">
        <f>IFERROR(__xludf.DUMMYFUNCTION("""COMPUTED_VALUE"""),"حسنی")</f>
        <v>حسنی</v>
      </c>
      <c r="D4979" s="5" t="str">
        <f>IFERROR(__xludf.DUMMYFUNCTION("""COMPUTED_VALUE"""),"مرکزی")</f>
        <v>مرکزی</v>
      </c>
      <c r="E4979" s="5" t="str">
        <f>IFERROR(__xludf.DUMMYFUNCTION("""COMPUTED_VALUE"""),"آشتیان")</f>
        <v>آشتیان</v>
      </c>
      <c r="F4979" s="5"/>
      <c r="G4979" s="5"/>
      <c r="H4979" s="6" t="str">
        <f>IFERROR(__xludf.DUMMYFUNCTION("""COMPUTED_VALUE"""),"https://www.instagram.com/heyathasani.ir/")</f>
        <v>https://www.instagram.com/heyathasani.ir/</v>
      </c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</row>
    <row r="4980">
      <c r="A4980" s="5"/>
      <c r="B4980" s="5" t="str">
        <f>IFERROR(__xludf.DUMMYFUNCTION("""COMPUTED_VALUE"""),"هیأت")</f>
        <v>هیأت</v>
      </c>
      <c r="C4980" s="5" t="str">
        <f>IFERROR(__xludf.DUMMYFUNCTION("""COMPUTED_VALUE"""),"امام صادق(ع)")</f>
        <v>امام صادق(ع)</v>
      </c>
      <c r="D4980" s="5" t="str">
        <f>IFERROR(__xludf.DUMMYFUNCTION("""COMPUTED_VALUE"""),"مرکزی")</f>
        <v>مرکزی</v>
      </c>
      <c r="E4980" s="5" t="str">
        <f>IFERROR(__xludf.DUMMYFUNCTION("""COMPUTED_VALUE"""),"آشتیان")</f>
        <v>آشتیان</v>
      </c>
      <c r="F4980" s="5"/>
      <c r="G4980" s="5"/>
      <c r="H4980" s="6" t="str">
        <f>IFERROR(__xludf.DUMMYFUNCTION("""COMPUTED_VALUE"""),"https://www.instagram.com/husseinieh_sadeghbik")</f>
        <v>https://www.instagram.com/husseinieh_sadeghbik</v>
      </c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</row>
    <row r="4981">
      <c r="A4981" s="5"/>
      <c r="B4981" s="5" t="str">
        <f>IFERROR(__xludf.DUMMYFUNCTION("""COMPUTED_VALUE"""),"هیأت نوجوان")</f>
        <v>هیأت نوجوان</v>
      </c>
      <c r="C4981" s="5" t="str">
        <f>IFERROR(__xludf.DUMMYFUNCTION("""COMPUTED_VALUE"""),"حضرت زینب")</f>
        <v>حضرت زینب</v>
      </c>
      <c r="D4981" s="5" t="str">
        <f>IFERROR(__xludf.DUMMYFUNCTION("""COMPUTED_VALUE"""),"مرکزی")</f>
        <v>مرکزی</v>
      </c>
      <c r="E4981" s="5" t="str">
        <f>IFERROR(__xludf.DUMMYFUNCTION("""COMPUTED_VALUE"""),"آشتیان")</f>
        <v>آشتیان</v>
      </c>
      <c r="F4981" s="5"/>
      <c r="G4981" s="5"/>
      <c r="H4981" s="6" t="str">
        <f>IFERROR(__xludf.DUMMYFUNCTION("""COMPUTED_VALUE"""),"https://www.instagram.com/heyat_hazrat_zenab/")</f>
        <v>https://www.instagram.com/heyat_hazrat_zenab/</v>
      </c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</row>
    <row r="4982">
      <c r="A4982" s="5"/>
      <c r="B4982" s="5" t="str">
        <f>IFERROR(__xludf.DUMMYFUNCTION("""COMPUTED_VALUE"""),"هیأت")</f>
        <v>هیأت</v>
      </c>
      <c r="C4982" s="5" t="str">
        <f>IFERROR(__xludf.DUMMYFUNCTION("""COMPUTED_VALUE"""),"عشاق العباس(ع)")</f>
        <v>عشاق العباس(ع)</v>
      </c>
      <c r="D4982" s="5" t="str">
        <f>IFERROR(__xludf.DUMMYFUNCTION("""COMPUTED_VALUE"""),"مرکزی")</f>
        <v>مرکزی</v>
      </c>
      <c r="E4982" s="5" t="str">
        <f>IFERROR(__xludf.DUMMYFUNCTION("""COMPUTED_VALUE"""),"آشتیان")</f>
        <v>آشتیان</v>
      </c>
      <c r="F4982" s="5"/>
      <c r="G4982" s="5"/>
      <c r="H4982" s="6" t="str">
        <f>IFERROR(__xludf.DUMMYFUNCTION("""COMPUTED_VALUE"""),"https://www.instagram.com/oshagh_abas/")</f>
        <v>https://www.instagram.com/oshagh_abas/</v>
      </c>
      <c r="I4982" s="6" t="str">
        <f>IFERROR(__xludf.DUMMYFUNCTION("""COMPUTED_VALUE"""),"https://t.me/uuuuoshaghabas")</f>
        <v>https://t.me/uuuuoshaghabas</v>
      </c>
      <c r="J4982" s="5"/>
      <c r="K4982" s="5"/>
      <c r="L4982" s="5"/>
      <c r="M4982" s="5"/>
      <c r="N4982" s="5"/>
      <c r="O4982" s="5"/>
      <c r="P4982" s="5"/>
      <c r="Q4982" s="5"/>
      <c r="R4982" s="5"/>
      <c r="S4982" s="5"/>
    </row>
    <row r="4983">
      <c r="A4983" s="5"/>
      <c r="B4983" s="5" t="str">
        <f>IFERROR(__xludf.DUMMYFUNCTION("""COMPUTED_VALUE"""),"هیأت")</f>
        <v>هیأت</v>
      </c>
      <c r="C4983" s="5" t="str">
        <f>IFERROR(__xludf.DUMMYFUNCTION("""COMPUTED_VALUE"""),"حضرت رقیه(س)")</f>
        <v>حضرت رقیه(س)</v>
      </c>
      <c r="D4983" s="5" t="str">
        <f>IFERROR(__xludf.DUMMYFUNCTION("""COMPUTED_VALUE"""),"مرکزی")</f>
        <v>مرکزی</v>
      </c>
      <c r="E4983" s="5" t="str">
        <f>IFERROR(__xludf.DUMMYFUNCTION("""COMPUTED_VALUE"""),"آشتیان")</f>
        <v>آشتیان</v>
      </c>
      <c r="F4983" s="5"/>
      <c r="G4983" s="5"/>
      <c r="H4983" s="6" t="str">
        <f>IFERROR(__xludf.DUMMYFUNCTION("""COMPUTED_VALUE"""),"https://www.instagram.com/heyatroghayeh.ir")</f>
        <v>https://www.instagram.com/heyatroghayeh.ir</v>
      </c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</row>
    <row r="4984">
      <c r="A4984" s="5">
        <f>IFERROR(__xludf.DUMMYFUNCTION("""COMPUTED_VALUE"""),32731.0)</f>
        <v>32731</v>
      </c>
      <c r="B4984" s="5"/>
      <c r="C4984" s="5" t="str">
        <f>IFERROR(__xludf.DUMMYFUNCTION("""COMPUTED_VALUE"""),"مکتب الحسین (ع)")</f>
        <v>مکتب الحسین (ع)</v>
      </c>
      <c r="D4984" s="5" t="str">
        <f>IFERROR(__xludf.DUMMYFUNCTION("""COMPUTED_VALUE"""),"مرکزی")</f>
        <v>مرکزی</v>
      </c>
      <c r="E4984" s="5" t="str">
        <f>IFERROR(__xludf.DUMMYFUNCTION("""COMPUTED_VALUE"""),"اراک")</f>
        <v>اراک</v>
      </c>
      <c r="F4984" s="5"/>
      <c r="G4984" s="5"/>
      <c r="H4984" s="6" t="str">
        <f>IFERROR(__xludf.DUMMYFUNCTION("""COMPUTED_VALUE"""),"https://www.instagram.com/maktabolhusein/")</f>
        <v>https://www.instagram.com/maktabolhusein/</v>
      </c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</row>
    <row r="4985">
      <c r="A4985" s="5">
        <f>IFERROR(__xludf.DUMMYFUNCTION("""COMPUTED_VALUE"""),32727.0)</f>
        <v>32727</v>
      </c>
      <c r="B4985" s="5"/>
      <c r="C4985" s="5" t="str">
        <f>IFERROR(__xludf.DUMMYFUNCTION("""COMPUTED_VALUE"""),"هیات زهرایی")</f>
        <v>هیات زهرایی</v>
      </c>
      <c r="D4985" s="5" t="str">
        <f>IFERROR(__xludf.DUMMYFUNCTION("""COMPUTED_VALUE"""),"مرکزی")</f>
        <v>مرکزی</v>
      </c>
      <c r="E4985" s="5" t="str">
        <f>IFERROR(__xludf.DUMMYFUNCTION("""COMPUTED_VALUE"""),"اراک")</f>
        <v>اراک</v>
      </c>
      <c r="F4985" s="5"/>
      <c r="G4985" s="5"/>
      <c r="H4985" s="5"/>
      <c r="I4985" s="5"/>
      <c r="J4985" s="6" t="str">
        <f>IFERROR(__xludf.DUMMYFUNCTION("""COMPUTED_VALUE"""),"https://eitaa.com/heiatezahray")</f>
        <v>https://eitaa.com/heiatezahray</v>
      </c>
      <c r="K4985" s="5"/>
      <c r="L4985" s="5"/>
      <c r="M4985" s="5"/>
      <c r="N4985" s="5"/>
      <c r="O4985" s="5"/>
      <c r="P4985" s="5"/>
      <c r="Q4985" s="5"/>
      <c r="R4985" s="5"/>
      <c r="S4985" s="5"/>
    </row>
    <row r="4986">
      <c r="A4986" s="5">
        <f>IFERROR(__xludf.DUMMYFUNCTION("""COMPUTED_VALUE"""),29684.0)</f>
        <v>29684</v>
      </c>
      <c r="B4986" s="5"/>
      <c r="C4986" s="5" t="str">
        <f>IFERROR(__xludf.DUMMYFUNCTION("""COMPUTED_VALUE"""),"شهد الشهود")</f>
        <v>شهد الشهود</v>
      </c>
      <c r="D4986" s="5" t="str">
        <f>IFERROR(__xludf.DUMMYFUNCTION("""COMPUTED_VALUE"""),"مرکزی")</f>
        <v>مرکزی</v>
      </c>
      <c r="E4986" s="5" t="str">
        <f>IFERROR(__xludf.DUMMYFUNCTION("""COMPUTED_VALUE"""),"اراک")</f>
        <v>اراک</v>
      </c>
      <c r="F4986" s="5"/>
      <c r="G4986" s="5"/>
      <c r="H4986" s="5"/>
      <c r="I4986" s="5"/>
      <c r="J4986" s="6" t="str">
        <f>IFERROR(__xludf.DUMMYFUNCTION("""COMPUTED_VALUE"""),"https://eitaa.com/shahde_shohod")</f>
        <v>https://eitaa.com/shahde_shohod</v>
      </c>
      <c r="K4986" s="5"/>
      <c r="L4986" s="5"/>
      <c r="M4986" s="5"/>
      <c r="N4986" s="5"/>
      <c r="O4986" s="5"/>
      <c r="P4986" s="5"/>
      <c r="Q4986" s="5"/>
      <c r="R4986" s="5"/>
      <c r="S4986" s="5"/>
    </row>
    <row r="4987">
      <c r="A4987" s="5">
        <f>IFERROR(__xludf.DUMMYFUNCTION("""COMPUTED_VALUE"""),26554.0)</f>
        <v>26554</v>
      </c>
      <c r="B4987" s="5"/>
      <c r="C4987" s="5" t="str">
        <f>IFERROR(__xludf.DUMMYFUNCTION("""COMPUTED_VALUE"""),"فرهنگی جهادی حر")</f>
        <v>فرهنگی جهادی حر</v>
      </c>
      <c r="D4987" s="5" t="str">
        <f>IFERROR(__xludf.DUMMYFUNCTION("""COMPUTED_VALUE"""),"مرکزی")</f>
        <v>مرکزی</v>
      </c>
      <c r="E4987" s="5" t="str">
        <f>IFERROR(__xludf.DUMMYFUNCTION("""COMPUTED_VALUE"""),"اراک")</f>
        <v>اراک</v>
      </c>
      <c r="F4987" s="5"/>
      <c r="G4987" s="5"/>
      <c r="H4987" s="6" t="str">
        <f>IFERROR(__xludf.DUMMYFUNCTION("""COMPUTED_VALUE"""),"https://www.instagram.com/heyathorsaveh/")</f>
        <v>https://www.instagram.com/heyathorsaveh/</v>
      </c>
      <c r="I4987" s="5"/>
      <c r="J4987" s="6" t="str">
        <f>IFERROR(__xludf.DUMMYFUNCTION("""COMPUTED_VALUE"""),"eitaa.com/heyathorsaveh")</f>
        <v>eitaa.com/heyathorsaveh</v>
      </c>
      <c r="K4987" s="5"/>
      <c r="L4987" s="5"/>
      <c r="M4987" s="5"/>
      <c r="N4987" s="5"/>
      <c r="O4987" s="5"/>
      <c r="P4987" s="5"/>
      <c r="Q4987" s="5"/>
      <c r="R4987" s="5"/>
      <c r="S4987" s="5"/>
    </row>
    <row r="4988">
      <c r="A4988" s="5">
        <f>IFERROR(__xludf.DUMMYFUNCTION("""COMPUTED_VALUE"""),25315.0)</f>
        <v>25315</v>
      </c>
      <c r="B4988" s="5"/>
      <c r="C4988" s="5" t="str">
        <f>IFERROR(__xludf.DUMMYFUNCTION("""COMPUTED_VALUE"""),"بیت الزهرا (س)")</f>
        <v>بیت الزهرا (س)</v>
      </c>
      <c r="D4988" s="5" t="str">
        <f>IFERROR(__xludf.DUMMYFUNCTION("""COMPUTED_VALUE"""),"مرکزی")</f>
        <v>مرکزی</v>
      </c>
      <c r="E4988" s="5" t="str">
        <f>IFERROR(__xludf.DUMMYFUNCTION("""COMPUTED_VALUE"""),"اراک")</f>
        <v>اراک</v>
      </c>
      <c r="F4988" s="5"/>
      <c r="G4988" s="5"/>
      <c r="H4988" s="6" t="str">
        <f>IFERROR(__xludf.DUMMYFUNCTION("""COMPUTED_VALUE"""),"https://www.instagram.com/moojab135/")</f>
        <v>https://www.instagram.com/moojab135/</v>
      </c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</row>
    <row r="4989">
      <c r="A4989" s="5">
        <f>IFERROR(__xludf.DUMMYFUNCTION("""COMPUTED_VALUE"""),25200.0)</f>
        <v>25200</v>
      </c>
      <c r="B4989" s="5"/>
      <c r="C4989" s="5" t="str">
        <f>IFERROR(__xludf.DUMMYFUNCTION("""COMPUTED_VALUE"""),"بیت الحسن (ع)")</f>
        <v>بیت الحسن (ع)</v>
      </c>
      <c r="D4989" s="5" t="str">
        <f>IFERROR(__xludf.DUMMYFUNCTION("""COMPUTED_VALUE"""),"مرکزی")</f>
        <v>مرکزی</v>
      </c>
      <c r="E4989" s="5" t="str">
        <f>IFERROR(__xludf.DUMMYFUNCTION("""COMPUTED_VALUE"""),"اراک")</f>
        <v>اراک</v>
      </c>
      <c r="F4989" s="5"/>
      <c r="G4989" s="5"/>
      <c r="H4989" s="6" t="str">
        <f>IFERROR(__xludf.DUMMYFUNCTION("""COMPUTED_VALUE"""),"https://www.instagram.com/beitalhasan4517/")</f>
        <v>https://www.instagram.com/beitalhasan4517/</v>
      </c>
      <c r="I4989" s="6" t="str">
        <f>IFERROR(__xludf.DUMMYFUNCTION("""COMPUTED_VALUE"""),"t.me/beytolhasan_arak")</f>
        <v>t.me/beytolhasan_arak</v>
      </c>
      <c r="J4989" s="5"/>
      <c r="K4989" s="5"/>
      <c r="L4989" s="5"/>
      <c r="M4989" s="5"/>
      <c r="N4989" s="5"/>
      <c r="O4989" s="5"/>
      <c r="P4989" s="5"/>
      <c r="Q4989" s="5"/>
      <c r="R4989" s="5"/>
      <c r="S4989" s="5"/>
    </row>
    <row r="4990">
      <c r="A4990" s="5">
        <f>IFERROR(__xludf.DUMMYFUNCTION("""COMPUTED_VALUE"""),25125.0)</f>
        <v>25125</v>
      </c>
      <c r="B4990" s="5"/>
      <c r="C4990" s="5" t="str">
        <f>IFERROR(__xludf.DUMMYFUNCTION("""COMPUTED_VALUE"""),"ثامن الحجج (ع)")</f>
        <v>ثامن الحجج (ع)</v>
      </c>
      <c r="D4990" s="5" t="str">
        <f>IFERROR(__xludf.DUMMYFUNCTION("""COMPUTED_VALUE"""),"مرکزی")</f>
        <v>مرکزی</v>
      </c>
      <c r="E4990" s="5" t="str">
        <f>IFERROR(__xludf.DUMMYFUNCTION("""COMPUTED_VALUE"""),"اراک")</f>
        <v>اراک</v>
      </c>
      <c r="F4990" s="5"/>
      <c r="G4990" s="5"/>
      <c r="H4990" s="6" t="str">
        <f>IFERROR(__xludf.DUMMYFUNCTION("""COMPUTED_VALUE"""),"https://www.instagram.com/samenalhojaj.arak/")</f>
        <v>https://www.instagram.com/samenalhojaj.arak/</v>
      </c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</row>
    <row r="4991">
      <c r="A4991" s="5">
        <f>IFERROR(__xludf.DUMMYFUNCTION("""COMPUTED_VALUE"""),25090.0)</f>
        <v>25090</v>
      </c>
      <c r="B4991" s="5"/>
      <c r="C4991" s="5" t="str">
        <f>IFERROR(__xludf.DUMMYFUNCTION("""COMPUTED_VALUE"""),"حسنیه")</f>
        <v>حسنیه</v>
      </c>
      <c r="D4991" s="5" t="str">
        <f>IFERROR(__xludf.DUMMYFUNCTION("""COMPUTED_VALUE"""),"مرکزی")</f>
        <v>مرکزی</v>
      </c>
      <c r="E4991" s="5" t="str">
        <f>IFERROR(__xludf.DUMMYFUNCTION("""COMPUTED_VALUE"""),"اراک")</f>
        <v>اراک</v>
      </c>
      <c r="F4991" s="5"/>
      <c r="G4991" s="5"/>
      <c r="H4991" s="6" t="str">
        <f>IFERROR(__xludf.DUMMYFUNCTION("""COMPUTED_VALUE"""),"https://www.instagram.com/hasanie_arak/")</f>
        <v>https://www.instagram.com/hasanie_arak/</v>
      </c>
      <c r="I4991" s="6" t="str">
        <f>IFERROR(__xludf.DUMMYFUNCTION("""COMPUTED_VALUE"""),"https://t.me/Hasanie_arak")</f>
        <v>https://t.me/Hasanie_arak</v>
      </c>
      <c r="J4991" s="5"/>
      <c r="K4991" s="5"/>
      <c r="L4991" s="5"/>
      <c r="M4991" s="5"/>
      <c r="N4991" s="5"/>
      <c r="O4991" s="5"/>
      <c r="P4991" s="5"/>
      <c r="Q4991" s="5"/>
      <c r="R4991" s="5"/>
      <c r="S4991" s="5"/>
    </row>
    <row r="4992">
      <c r="A4992" s="5"/>
      <c r="B4992" s="5"/>
      <c r="C4992" s="5" t="str">
        <f>IFERROR(__xludf.DUMMYFUNCTION("""COMPUTED_VALUE"""),"مـحـفـل دیـوانـگان مـکـتـب الـحـسـيـن (ع)")</f>
        <v>مـحـفـل دیـوانـگان مـکـتـب الـحـسـيـن (ع)</v>
      </c>
      <c r="D4992" s="5" t="str">
        <f>IFERROR(__xludf.DUMMYFUNCTION("""COMPUTED_VALUE"""),"مرکزی")</f>
        <v>مرکزی</v>
      </c>
      <c r="E4992" s="5" t="str">
        <f>IFERROR(__xludf.DUMMYFUNCTION("""COMPUTED_VALUE"""),"اراک")</f>
        <v>اراک</v>
      </c>
      <c r="F4992" s="5"/>
      <c r="G4992" s="5"/>
      <c r="H4992" s="6" t="str">
        <f>IFERROR(__xludf.DUMMYFUNCTION("""COMPUTED_VALUE"""),"https://www.instagram.com/mahfele_maktabalhosein/")</f>
        <v>https://www.instagram.com/mahfele_maktabalhosein/</v>
      </c>
      <c r="I4992" s="6" t="str">
        <f>IFERROR(__xludf.DUMMYFUNCTION("""COMPUTED_VALUE"""),"t.me/mahfele_maktabalhosein")</f>
        <v>t.me/mahfele_maktabalhosein</v>
      </c>
      <c r="J4992" s="5"/>
      <c r="K4992" s="5"/>
      <c r="L4992" s="5"/>
      <c r="M4992" s="5"/>
      <c r="N4992" s="5"/>
      <c r="O4992" s="5"/>
      <c r="P4992" s="5"/>
      <c r="Q4992" s="5"/>
      <c r="R4992" s="5"/>
      <c r="S4992" s="5"/>
    </row>
    <row r="4993">
      <c r="A4993" s="5">
        <f>IFERROR(__xludf.DUMMYFUNCTION("""COMPUTED_VALUE"""),23195.0)</f>
        <v>23195</v>
      </c>
      <c r="B4993" s="5"/>
      <c r="C4993" s="5" t="str">
        <f>IFERROR(__xludf.DUMMYFUNCTION("""COMPUTED_VALUE"""),"رزمندگان _ حسینیه عاشقان ثارالله (ع)")</f>
        <v>رزمندگان _ حسینیه عاشقان ثارالله (ع)</v>
      </c>
      <c r="D4993" s="5" t="str">
        <f>IFERROR(__xludf.DUMMYFUNCTION("""COMPUTED_VALUE"""),"مرکزی")</f>
        <v>مرکزی</v>
      </c>
      <c r="E4993" s="5" t="str">
        <f>IFERROR(__xludf.DUMMYFUNCTION("""COMPUTED_VALUE"""),"اراک")</f>
        <v>اراک</v>
      </c>
      <c r="F4993" s="5"/>
      <c r="G4993" s="5"/>
      <c r="H4993" s="6" t="str">
        <f>IFERROR(__xludf.DUMMYFUNCTION("""COMPUTED_VALUE"""),"https://www.instagram.com/meheyat.ir/")</f>
        <v>https://www.instagram.com/meheyat.ir/</v>
      </c>
      <c r="I4993" s="5"/>
      <c r="J4993" s="6" t="str">
        <f>IFERROR(__xludf.DUMMYFUNCTION("""COMPUTED_VALUE"""),"eitaa.com/meheyat_ir")</f>
        <v>eitaa.com/meheyat_ir</v>
      </c>
      <c r="K4993" s="5"/>
      <c r="L4993" s="5"/>
      <c r="M4993" s="5"/>
      <c r="N4993" s="5"/>
      <c r="O4993" s="5"/>
      <c r="P4993" s="5"/>
      <c r="Q4993" s="5"/>
      <c r="R4993" s="5"/>
      <c r="S4993" s="5"/>
    </row>
    <row r="4994">
      <c r="A4994" s="5">
        <f>IFERROR(__xludf.DUMMYFUNCTION("""COMPUTED_VALUE"""),22639.0)</f>
        <v>22639</v>
      </c>
      <c r="B4994" s="5"/>
      <c r="C4994" s="5" t="str">
        <f>IFERROR(__xludf.DUMMYFUNCTION("""COMPUTED_VALUE"""),"شباب الزینب (س)")</f>
        <v>شباب الزینب (س)</v>
      </c>
      <c r="D4994" s="5" t="str">
        <f>IFERROR(__xludf.DUMMYFUNCTION("""COMPUTED_VALUE"""),"مرکزی")</f>
        <v>مرکزی</v>
      </c>
      <c r="E4994" s="5" t="str">
        <f>IFERROR(__xludf.DUMMYFUNCTION("""COMPUTED_VALUE"""),"اراک")</f>
        <v>اراک</v>
      </c>
      <c r="F4994" s="5" t="str">
        <f>IFERROR(__xludf.DUMMYFUNCTION("""COMPUTED_VALUE""")," ")</f>
        <v> </v>
      </c>
      <c r="G4994" s="5"/>
      <c r="H4994" s="6" t="str">
        <f>IFERROR(__xludf.DUMMYFUNCTION("""COMPUTED_VALUE"""),"https://www.instagram.com/shababozeynab_saveh/")</f>
        <v>https://www.instagram.com/shababozeynab_saveh/</v>
      </c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</row>
    <row r="4995">
      <c r="A4995" s="5">
        <f>IFERROR(__xludf.DUMMYFUNCTION("""COMPUTED_VALUE"""),21566.0)</f>
        <v>21566</v>
      </c>
      <c r="B4995" s="5"/>
      <c r="C4995" s="5" t="str">
        <f>IFERROR(__xludf.DUMMYFUNCTION("""COMPUTED_VALUE"""),"محبان الزینب (س)")</f>
        <v>محبان الزینب (س)</v>
      </c>
      <c r="D4995" s="5" t="str">
        <f>IFERROR(__xludf.DUMMYFUNCTION("""COMPUTED_VALUE"""),"مرکزی")</f>
        <v>مرکزی</v>
      </c>
      <c r="E4995" s="5" t="str">
        <f>IFERROR(__xludf.DUMMYFUNCTION("""COMPUTED_VALUE"""),"اراک")</f>
        <v>اراک</v>
      </c>
      <c r="F4995" s="5"/>
      <c r="G4995" s="5"/>
      <c r="H4995" s="6" t="str">
        <f>IFERROR(__xludf.DUMMYFUNCTION("""COMPUTED_VALUE"""),"https://www.instagram.com/heyat_mohebanzeynab_arak/")</f>
        <v>https://www.instagram.com/heyat_mohebanzeynab_arak/</v>
      </c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</row>
    <row r="4996">
      <c r="A4996" s="5">
        <f>IFERROR(__xludf.DUMMYFUNCTION("""COMPUTED_VALUE"""),21352.0)</f>
        <v>21352</v>
      </c>
      <c r="B4996" s="5"/>
      <c r="C4996" s="5" t="str">
        <f>IFERROR(__xludf.DUMMYFUNCTION("""COMPUTED_VALUE"""),"محفل زینبیون (س)")</f>
        <v>محفل زینبیون (س)</v>
      </c>
      <c r="D4996" s="5" t="str">
        <f>IFERROR(__xludf.DUMMYFUNCTION("""COMPUTED_VALUE"""),"مرکزی")</f>
        <v>مرکزی</v>
      </c>
      <c r="E4996" s="5" t="str">
        <f>IFERROR(__xludf.DUMMYFUNCTION("""COMPUTED_VALUE"""),"اراک")</f>
        <v>اراک</v>
      </c>
      <c r="F4996" s="5"/>
      <c r="G4996" s="5"/>
      <c r="H4996" s="6" t="str">
        <f>IFERROR(__xludf.DUMMYFUNCTION("""COMPUTED_VALUE"""),"https://www.instagram.com/heyatzeynabion_arak/")</f>
        <v>https://www.instagram.com/heyatzeynabion_arak/</v>
      </c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</row>
    <row r="4997">
      <c r="A4997" s="5">
        <f>IFERROR(__xludf.DUMMYFUNCTION("""COMPUTED_VALUE"""),20900.0)</f>
        <v>20900</v>
      </c>
      <c r="B4997" s="5"/>
      <c r="C4997" s="5" t="str">
        <f>IFERROR(__xludf.DUMMYFUNCTION("""COMPUTED_VALUE"""),"هیأت دخترانه ریحانه حداث الحسین (ع)")</f>
        <v>هیأت دخترانه ریحانه حداث الحسین (ع)</v>
      </c>
      <c r="D4997" s="5" t="str">
        <f>IFERROR(__xludf.DUMMYFUNCTION("""COMPUTED_VALUE"""),"مرکزی")</f>
        <v>مرکزی</v>
      </c>
      <c r="E4997" s="5" t="str">
        <f>IFERROR(__xludf.DUMMYFUNCTION("""COMPUTED_VALUE"""),"اراک")</f>
        <v>اراک</v>
      </c>
      <c r="F4997" s="5"/>
      <c r="G4997" s="5"/>
      <c r="H4997" s="5"/>
      <c r="I4997" s="5"/>
      <c r="J4997" s="6" t="str">
        <f>IFERROR(__xludf.DUMMYFUNCTION("""COMPUTED_VALUE"""),"https://eitaa.com/hoddas_arak")</f>
        <v>https://eitaa.com/hoddas_arak</v>
      </c>
      <c r="K4997" s="5"/>
      <c r="L4997" s="5"/>
      <c r="M4997" s="5"/>
      <c r="N4997" s="5"/>
      <c r="O4997" s="5"/>
      <c r="P4997" s="5"/>
      <c r="Q4997" s="5"/>
      <c r="R4997" s="5"/>
      <c r="S4997" s="5"/>
    </row>
    <row r="4998">
      <c r="A4998" s="5">
        <f>IFERROR(__xludf.DUMMYFUNCTION("""COMPUTED_VALUE"""),19927.0)</f>
        <v>19927</v>
      </c>
      <c r="B4998" s="5"/>
      <c r="C4998" s="5" t="str">
        <f>IFERROR(__xludf.DUMMYFUNCTION("""COMPUTED_VALUE"""),"لواء الزهرا(س)")</f>
        <v>لواء الزهرا(س)</v>
      </c>
      <c r="D4998" s="5" t="str">
        <f>IFERROR(__xludf.DUMMYFUNCTION("""COMPUTED_VALUE"""),"مرکزی")</f>
        <v>مرکزی</v>
      </c>
      <c r="E4998" s="5" t="str">
        <f>IFERROR(__xludf.DUMMYFUNCTION("""COMPUTED_VALUE"""),"اراک")</f>
        <v>اراک</v>
      </c>
      <c r="F4998" s="5"/>
      <c r="G4998" s="5"/>
      <c r="H4998" s="6" t="str">
        <f>IFERROR(__xludf.DUMMYFUNCTION("""COMPUTED_VALUE"""),"https://www.instagram.com/leva_ozzahra/")</f>
        <v>https://www.instagram.com/leva_ozzahra/</v>
      </c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</row>
    <row r="4999">
      <c r="A4999" s="5">
        <f>IFERROR(__xludf.DUMMYFUNCTION("""COMPUTED_VALUE"""),19910.0)</f>
        <v>19910</v>
      </c>
      <c r="B4999" s="5"/>
      <c r="C4999" s="5" t="str">
        <f>IFERROR(__xludf.DUMMYFUNCTION("""COMPUTED_VALUE"""),"بیت المهدی _ پسران و دختران برنا")</f>
        <v>بیت المهدی _ پسران و دختران برنا</v>
      </c>
      <c r="D4999" s="5" t="str">
        <f>IFERROR(__xludf.DUMMYFUNCTION("""COMPUTED_VALUE"""),"مرکزی")</f>
        <v>مرکزی</v>
      </c>
      <c r="E4999" s="5" t="str">
        <f>IFERROR(__xludf.DUMMYFUNCTION("""COMPUTED_VALUE"""),"اراک")</f>
        <v>اراک</v>
      </c>
      <c r="F4999" s="5"/>
      <c r="G4999" s="5"/>
      <c r="H4999" s="6" t="str">
        <f>IFERROR(__xludf.DUMMYFUNCTION("""COMPUTED_VALUE"""),"https://www.instagram.com/nodbeha/")</f>
        <v>https://www.instagram.com/nodbeha/</v>
      </c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</row>
    <row r="5000">
      <c r="A5000" s="5">
        <f>IFERROR(__xludf.DUMMYFUNCTION("""COMPUTED_VALUE"""),15581.0)</f>
        <v>15581</v>
      </c>
      <c r="B5000" s="5"/>
      <c r="C5000" s="5" t="str">
        <f>IFERROR(__xludf.DUMMYFUNCTION("""COMPUTED_VALUE"""),"اصحاب المهدی (عج)")</f>
        <v>اصحاب المهدی (عج)</v>
      </c>
      <c r="D5000" s="5" t="str">
        <f>IFERROR(__xludf.DUMMYFUNCTION("""COMPUTED_VALUE"""),"مرکزی")</f>
        <v>مرکزی</v>
      </c>
      <c r="E5000" s="5" t="str">
        <f>IFERROR(__xludf.DUMMYFUNCTION("""COMPUTED_VALUE"""),"اراک")</f>
        <v>اراک</v>
      </c>
      <c r="F5000" s="5"/>
      <c r="G5000" s="5"/>
      <c r="H5000" s="6" t="str">
        <f>IFERROR(__xludf.DUMMYFUNCTION("""COMPUTED_VALUE"""),"https://www.instagram.com/varesorg/")</f>
        <v>https://www.instagram.com/varesorg/</v>
      </c>
      <c r="I5000" s="6" t="str">
        <f>IFERROR(__xludf.DUMMYFUNCTION("""COMPUTED_VALUE"""),"https://t.me/amahdi_313")</f>
        <v>https://t.me/amahdi_313</v>
      </c>
      <c r="J5000" s="6" t="str">
        <f>IFERROR(__xludf.DUMMYFUNCTION("""COMPUTED_VALUE"""),"https://eitaa.com/amahdi_313")</f>
        <v>https://eitaa.com/amahdi_313</v>
      </c>
      <c r="K5000" s="5"/>
      <c r="L5000" s="5"/>
      <c r="M5000" s="5"/>
      <c r="N5000" s="5"/>
      <c r="O5000" s="5"/>
      <c r="P5000" s="5"/>
      <c r="Q5000" s="5"/>
      <c r="R5000" s="5"/>
      <c r="S5000" s="5"/>
    </row>
    <row r="5001">
      <c r="A5001" s="5">
        <f>IFERROR(__xludf.DUMMYFUNCTION("""COMPUTED_VALUE"""),15509.0)</f>
        <v>15509</v>
      </c>
      <c r="B5001" s="5"/>
      <c r="C5001" s="5" t="str">
        <f>IFERROR(__xludf.DUMMYFUNCTION("""COMPUTED_VALUE"""),"مجموعه علمی فرهنگی صاحب العصر(عج)")</f>
        <v>مجموعه علمی فرهنگی صاحب العصر(عج)</v>
      </c>
      <c r="D5001" s="5" t="str">
        <f>IFERROR(__xludf.DUMMYFUNCTION("""COMPUTED_VALUE"""),"مرکزی")</f>
        <v>مرکزی</v>
      </c>
      <c r="E5001" s="5" t="str">
        <f>IFERROR(__xludf.DUMMYFUNCTION("""COMPUTED_VALUE"""),"اراک")</f>
        <v>اراک</v>
      </c>
      <c r="F5001" s="5"/>
      <c r="G5001" s="5"/>
      <c r="H5001" s="6" t="str">
        <f>IFERROR(__xludf.DUMMYFUNCTION("""COMPUTED_VALUE"""),"https://www.instagram.com/yalasarat__net/")</f>
        <v>https://www.instagram.com/yalasarat__net/</v>
      </c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</row>
    <row r="5002">
      <c r="A5002" s="5">
        <f>IFERROR(__xludf.DUMMYFUNCTION("""COMPUTED_VALUE"""),15443.0)</f>
        <v>15443</v>
      </c>
      <c r="B5002" s="5"/>
      <c r="C5002" s="5" t="str">
        <f>IFERROR(__xludf.DUMMYFUNCTION("""COMPUTED_VALUE"""),"انصارالزهرا (س)")</f>
        <v>انصارالزهرا (س)</v>
      </c>
      <c r="D5002" s="5" t="str">
        <f>IFERROR(__xludf.DUMMYFUNCTION("""COMPUTED_VALUE"""),"مرکزی")</f>
        <v>مرکزی</v>
      </c>
      <c r="E5002" s="5" t="str">
        <f>IFERROR(__xludf.DUMMYFUNCTION("""COMPUTED_VALUE"""),"اراک")</f>
        <v>اراک</v>
      </c>
      <c r="F5002" s="5"/>
      <c r="G5002" s="5"/>
      <c r="H5002" s="5"/>
      <c r="I5002" s="5"/>
      <c r="J5002" s="6" t="str">
        <f>IFERROR(__xludf.DUMMYFUNCTION("""COMPUTED_VALUE"""),"https://eitaa.com/ansarozahraarak")</f>
        <v>https://eitaa.com/ansarozahraarak</v>
      </c>
      <c r="K5002" s="5"/>
      <c r="L5002" s="5"/>
      <c r="M5002" s="5"/>
      <c r="N5002" s="5"/>
      <c r="O5002" s="5"/>
      <c r="P5002" s="5"/>
      <c r="Q5002" s="5"/>
      <c r="R5002" s="5"/>
      <c r="S5002" s="5"/>
    </row>
    <row r="5003">
      <c r="A5003" s="5">
        <f>IFERROR(__xludf.DUMMYFUNCTION("""COMPUTED_VALUE"""),15434.0)</f>
        <v>15434</v>
      </c>
      <c r="B5003" s="5"/>
      <c r="C5003" s="5" t="str">
        <f>IFERROR(__xludf.DUMMYFUNCTION("""COMPUTED_VALUE"""),"فاطمیون سنجان")</f>
        <v>فاطمیون سنجان</v>
      </c>
      <c r="D5003" s="5" t="str">
        <f>IFERROR(__xludf.DUMMYFUNCTION("""COMPUTED_VALUE"""),"مرکزی")</f>
        <v>مرکزی</v>
      </c>
      <c r="E5003" s="5" t="str">
        <f>IFERROR(__xludf.DUMMYFUNCTION("""COMPUTED_VALUE"""),"اراک")</f>
        <v>اراک</v>
      </c>
      <c r="F5003" s="5"/>
      <c r="G5003" s="5"/>
      <c r="H5003" s="6" t="str">
        <f>IFERROR(__xludf.DUMMYFUNCTION("""COMPUTED_VALUE"""),"https://www.instagram.com/fatemioon_senejan/")</f>
        <v>https://www.instagram.com/fatemioon_senejan/</v>
      </c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</row>
    <row r="5004">
      <c r="A5004" s="5">
        <f>IFERROR(__xludf.DUMMYFUNCTION("""COMPUTED_VALUE"""),15418.0)</f>
        <v>15418</v>
      </c>
      <c r="B5004" s="5"/>
      <c r="C5004" s="5" t="str">
        <f>IFERROR(__xludf.DUMMYFUNCTION("""COMPUTED_VALUE"""),"غدیریون")</f>
        <v>غدیریون</v>
      </c>
      <c r="D5004" s="5" t="str">
        <f>IFERROR(__xludf.DUMMYFUNCTION("""COMPUTED_VALUE"""),"مرکزی")</f>
        <v>مرکزی</v>
      </c>
      <c r="E5004" s="5" t="str">
        <f>IFERROR(__xludf.DUMMYFUNCTION("""COMPUTED_VALUE"""),"اراک")</f>
        <v>اراک</v>
      </c>
      <c r="F5004" s="5"/>
      <c r="G5004" s="5"/>
      <c r="H5004" s="6" t="str">
        <f>IFERROR(__xludf.DUMMYFUNCTION("""COMPUTED_VALUE"""),"https://www.instagram.com/ghadirion_ir/")</f>
        <v>https://www.instagram.com/ghadirion_ir/</v>
      </c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</row>
    <row r="5005">
      <c r="A5005" s="5">
        <f>IFERROR(__xludf.DUMMYFUNCTION("""COMPUTED_VALUE"""),15362.0)</f>
        <v>15362</v>
      </c>
      <c r="B5005" s="5"/>
      <c r="C5005" s="5" t="str">
        <f>IFERROR(__xludf.DUMMYFUNCTION("""COMPUTED_VALUE"""),"محبین الائمه (ع)")</f>
        <v>محبین الائمه (ع)</v>
      </c>
      <c r="D5005" s="5" t="str">
        <f>IFERROR(__xludf.DUMMYFUNCTION("""COMPUTED_VALUE"""),"مرکزی")</f>
        <v>مرکزی</v>
      </c>
      <c r="E5005" s="5" t="str">
        <f>IFERROR(__xludf.DUMMYFUNCTION("""COMPUTED_VALUE"""),"اراک")</f>
        <v>اراک</v>
      </c>
      <c r="F5005" s="5"/>
      <c r="G5005" s="5"/>
      <c r="H5005" s="5"/>
      <c r="I5005" s="5"/>
      <c r="J5005" s="6" t="str">
        <f>IFERROR(__xludf.DUMMYFUNCTION("""COMPUTED_VALUE"""),"https://eitaa.com/homaarak")</f>
        <v>https://eitaa.com/homaarak</v>
      </c>
      <c r="K5005" s="5"/>
      <c r="L5005" s="5"/>
      <c r="M5005" s="5"/>
      <c r="N5005" s="5"/>
      <c r="O5005" s="5"/>
      <c r="P5005" s="5"/>
      <c r="Q5005" s="5"/>
      <c r="R5005" s="5"/>
      <c r="S5005" s="5"/>
    </row>
    <row r="5006">
      <c r="A5006" s="5">
        <f>IFERROR(__xludf.DUMMYFUNCTION("""COMPUTED_VALUE"""),15361.0)</f>
        <v>15361</v>
      </c>
      <c r="B5006" s="5"/>
      <c r="C5006" s="5" t="str">
        <f>IFERROR(__xludf.DUMMYFUNCTION("""COMPUTED_VALUE"""),"محبین خاتم الانبیا(ص)")</f>
        <v>محبین خاتم الانبیا(ص)</v>
      </c>
      <c r="D5006" s="5" t="str">
        <f>IFERROR(__xludf.DUMMYFUNCTION("""COMPUTED_VALUE"""),"مرکزی")</f>
        <v>مرکزی</v>
      </c>
      <c r="E5006" s="5" t="str">
        <f>IFERROR(__xludf.DUMMYFUNCTION("""COMPUTED_VALUE"""),"اراک")</f>
        <v>اراک</v>
      </c>
      <c r="F5006" s="5"/>
      <c r="G5006" s="5"/>
      <c r="H5006" s="6" t="str">
        <f>IFERROR(__xludf.DUMMYFUNCTION("""COMPUTED_VALUE"""),"https://www.instagram.com/heyat_mohibin/")</f>
        <v>https://www.instagram.com/heyat_mohibin/</v>
      </c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</row>
    <row r="5007">
      <c r="A5007" s="5">
        <f>IFERROR(__xludf.DUMMYFUNCTION("""COMPUTED_VALUE"""),15353.0)</f>
        <v>15353</v>
      </c>
      <c r="B5007" s="5"/>
      <c r="C5007" s="5" t="str">
        <f>IFERROR(__xludf.DUMMYFUNCTION("""COMPUTED_VALUE"""),"مکتب الزهرا (س)")</f>
        <v>مکتب الزهرا (س)</v>
      </c>
      <c r="D5007" s="5" t="str">
        <f>IFERROR(__xludf.DUMMYFUNCTION("""COMPUTED_VALUE"""),"مرکزی")</f>
        <v>مرکزی</v>
      </c>
      <c r="E5007" s="5" t="str">
        <f>IFERROR(__xludf.DUMMYFUNCTION("""COMPUTED_VALUE"""),"اراک")</f>
        <v>اراک</v>
      </c>
      <c r="F5007" s="5"/>
      <c r="G5007" s="5"/>
      <c r="H5007" s="6" t="str">
        <f>IFERROR(__xludf.DUMMYFUNCTION("""COMPUTED_VALUE"""),"https://www.instagram.com/maktabalzahra.arak/")</f>
        <v>https://www.instagram.com/maktabalzahra.arak/</v>
      </c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</row>
    <row r="5008">
      <c r="A5008" s="5">
        <f>IFERROR(__xludf.DUMMYFUNCTION("""COMPUTED_VALUE"""),15324.0)</f>
        <v>15324</v>
      </c>
      <c r="B5008" s="5"/>
      <c r="C5008" s="5" t="str">
        <f>IFERROR(__xludf.DUMMYFUNCTION("""COMPUTED_VALUE"""),"محبین الزهرا(س) / یادگاران شهدا شهباز")</f>
        <v>محبین الزهرا(س) / یادگاران شهدا شهباز</v>
      </c>
      <c r="D5008" s="5" t="str">
        <f>IFERROR(__xludf.DUMMYFUNCTION("""COMPUTED_VALUE"""),"مرکزی")</f>
        <v>مرکزی</v>
      </c>
      <c r="E5008" s="5" t="str">
        <f>IFERROR(__xludf.DUMMYFUNCTION("""COMPUTED_VALUE"""),"اراک")</f>
        <v>اراک</v>
      </c>
      <c r="F5008" s="5"/>
      <c r="G5008" s="5"/>
      <c r="H5008" s="5"/>
      <c r="I5008" s="5"/>
      <c r="J5008" s="6" t="str">
        <f>IFERROR(__xludf.DUMMYFUNCTION("""COMPUTED_VALUE"""),"https://eitaa.com/yadegaran_info")</f>
        <v>https://eitaa.com/yadegaran_info</v>
      </c>
      <c r="K5008" s="5" t="str">
        <f>IFERROR(__xludf.DUMMYFUNCTION("""COMPUTED_VALUE"""),"-")</f>
        <v>-</v>
      </c>
      <c r="L5008" s="6" t="str">
        <f>IFERROR(__xludf.DUMMYFUNCTION("""COMPUTED_VALUE"""),"https://www.yadegaran.info")</f>
        <v>https://www.yadegaran.info</v>
      </c>
      <c r="M5008" s="5"/>
      <c r="N5008" s="5"/>
      <c r="O5008" s="5"/>
      <c r="P5008" s="5"/>
      <c r="Q5008" s="5"/>
      <c r="R5008" s="5"/>
      <c r="S5008" s="5"/>
    </row>
    <row r="5009">
      <c r="A5009" s="5"/>
      <c r="B5009" s="5"/>
      <c r="C5009" s="5" t="str">
        <f>IFERROR(__xludf.DUMMYFUNCTION("""COMPUTED_VALUE"""),"شهدای گمنام")</f>
        <v>شهدای گمنام</v>
      </c>
      <c r="D5009" s="5" t="str">
        <f>IFERROR(__xludf.DUMMYFUNCTION("""COMPUTED_VALUE"""),"مرکزی")</f>
        <v>مرکزی</v>
      </c>
      <c r="E5009" s="5" t="str">
        <f>IFERROR(__xludf.DUMMYFUNCTION("""COMPUTED_VALUE"""),"اراک")</f>
        <v>اراک</v>
      </c>
      <c r="F5009" s="5"/>
      <c r="G5009" s="5"/>
      <c r="H5009" s="6" t="str">
        <f>IFERROR(__xludf.DUMMYFUNCTION("""COMPUTED_VALUE"""),"https://www.instagram.com/gomnaminfo/")</f>
        <v>https://www.instagram.com/gomnaminfo/</v>
      </c>
      <c r="I5009" s="5"/>
      <c r="J5009" s="6" t="str">
        <f>IFERROR(__xludf.DUMMYFUNCTION("""COMPUTED_VALUE"""),"https://eitaa.com/gomnaminfo")</f>
        <v>https://eitaa.com/gomnaminfo</v>
      </c>
      <c r="K5009" s="5"/>
      <c r="L5009" s="5"/>
      <c r="M5009" s="5"/>
      <c r="N5009" s="5"/>
      <c r="O5009" s="5"/>
      <c r="P5009" s="5"/>
      <c r="Q5009" s="5"/>
      <c r="R5009" s="5"/>
      <c r="S5009" s="5"/>
    </row>
    <row r="5010">
      <c r="A5010" s="5"/>
      <c r="B5010" s="5" t="str">
        <f>IFERROR(__xludf.DUMMYFUNCTION("""COMPUTED_VALUE"""),"هیأت دخترانه")</f>
        <v>هیأت دخترانه</v>
      </c>
      <c r="C5010" s="5" t="str">
        <f>IFERROR(__xludf.DUMMYFUNCTION("""COMPUTED_VALUE"""),"یهدا")</f>
        <v>یهدا</v>
      </c>
      <c r="D5010" s="5" t="str">
        <f>IFERROR(__xludf.DUMMYFUNCTION("""COMPUTED_VALUE"""),"مرکزی")</f>
        <v>مرکزی</v>
      </c>
      <c r="E5010" s="5" t="str">
        <f>IFERROR(__xludf.DUMMYFUNCTION("""COMPUTED_VALUE"""),"اراک")</f>
        <v>اراک</v>
      </c>
      <c r="F5010" s="5"/>
      <c r="G5010" s="5"/>
      <c r="H5010" s="6" t="str">
        <f>IFERROR(__xludf.DUMMYFUNCTION("""COMPUTED_VALUE"""),"https://www.instagram.com/yahda_ir_/")</f>
        <v>https://www.instagram.com/yahda_ir_/</v>
      </c>
      <c r="I5010" s="5"/>
      <c r="J5010" s="6" t="str">
        <f>IFERROR(__xludf.DUMMYFUNCTION("""COMPUTED_VALUE"""),"https://eitaa.com/maedeh_media")</f>
        <v>https://eitaa.com/maedeh_media</v>
      </c>
      <c r="K5010" s="5"/>
      <c r="L5010" s="5"/>
      <c r="M5010" s="5"/>
      <c r="N5010" s="5"/>
      <c r="O5010" s="5"/>
      <c r="P5010" s="5"/>
      <c r="Q5010" s="5"/>
      <c r="R5010" s="5"/>
      <c r="S5010" s="5"/>
    </row>
    <row r="5011">
      <c r="A5011" s="5"/>
      <c r="B5011" s="5" t="str">
        <f>IFERROR(__xludf.DUMMYFUNCTION("""COMPUTED_VALUE"""),"هیأت")</f>
        <v>هیأت</v>
      </c>
      <c r="C5011" s="5" t="str">
        <f>IFERROR(__xludf.DUMMYFUNCTION("""COMPUTED_VALUE"""),"الزهراء")</f>
        <v>الزهراء</v>
      </c>
      <c r="D5011" s="5" t="str">
        <f>IFERROR(__xludf.DUMMYFUNCTION("""COMPUTED_VALUE"""),"مرکزی")</f>
        <v>مرکزی</v>
      </c>
      <c r="E5011" s="5" t="str">
        <f>IFERROR(__xludf.DUMMYFUNCTION("""COMPUTED_VALUE"""),"اراک")</f>
        <v>اراک</v>
      </c>
      <c r="F5011" s="5"/>
      <c r="G5011" s="5"/>
      <c r="H5011" s="6" t="str">
        <f>IFERROR(__xludf.DUMMYFUNCTION("""COMPUTED_VALUE"""),"https://www.instagram.com/heyatozahraarak/")</f>
        <v>https://www.instagram.com/heyatozahraarak/</v>
      </c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</row>
    <row r="5012">
      <c r="A5012" s="5"/>
      <c r="B5012" s="5" t="str">
        <f>IFERROR(__xludf.DUMMYFUNCTION("""COMPUTED_VALUE"""),"هیأت")</f>
        <v>هیأت</v>
      </c>
      <c r="C5012" s="5" t="str">
        <f>IFERROR(__xludf.DUMMYFUNCTION("""COMPUTED_VALUE"""),"شفیقة الحسن")</f>
        <v>شفیقة الحسن</v>
      </c>
      <c r="D5012" s="5" t="str">
        <f>IFERROR(__xludf.DUMMYFUNCTION("""COMPUTED_VALUE"""),"مرکزی")</f>
        <v>مرکزی</v>
      </c>
      <c r="E5012" s="5" t="str">
        <f>IFERROR(__xludf.DUMMYFUNCTION("""COMPUTED_VALUE"""),"اراک")</f>
        <v>اراک</v>
      </c>
      <c r="F5012" s="5"/>
      <c r="G5012" s="5"/>
      <c r="H5012" s="6" t="str">
        <f>IFERROR(__xludf.DUMMYFUNCTION("""COMPUTED_VALUE"""),"https://www.instagram.com/shaghighatalhasan/")</f>
        <v>https://www.instagram.com/shaghighatalhasan/</v>
      </c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</row>
    <row r="5013">
      <c r="A5013" s="5"/>
      <c r="B5013" s="5" t="str">
        <f>IFERROR(__xludf.DUMMYFUNCTION("""COMPUTED_VALUE"""),"هیأت")</f>
        <v>هیأت</v>
      </c>
      <c r="C5013" s="5" t="str">
        <f>IFERROR(__xludf.DUMMYFUNCTION("""COMPUTED_VALUE"""),"بین الحرمین")</f>
        <v>بین الحرمین</v>
      </c>
      <c r="D5013" s="5" t="str">
        <f>IFERROR(__xludf.DUMMYFUNCTION("""COMPUTED_VALUE"""),"مرکزی")</f>
        <v>مرکزی</v>
      </c>
      <c r="E5013" s="5" t="str">
        <f>IFERROR(__xludf.DUMMYFUNCTION("""COMPUTED_VALUE"""),"اراک")</f>
        <v>اراک</v>
      </c>
      <c r="F5013" s="5"/>
      <c r="G5013" s="5"/>
      <c r="H5013" s="6" t="str">
        <f>IFERROR(__xludf.DUMMYFUNCTION("""COMPUTED_VALUE"""),"https://www.instagram.com/heyatebeyn.alharameyn/")</f>
        <v>https://www.instagram.com/heyatebeyn.alharameyn/</v>
      </c>
      <c r="I5013" s="6" t="str">
        <f>IFERROR(__xludf.DUMMYFUNCTION("""COMPUTED_VALUE"""),"https://t.me/heyatebeyn_alharameyn")</f>
        <v>https://t.me/heyatebeyn_alharameyn</v>
      </c>
      <c r="J5013" s="5"/>
      <c r="K5013" s="5"/>
      <c r="L5013" s="5"/>
      <c r="M5013" s="5"/>
      <c r="N5013" s="5"/>
      <c r="O5013" s="5"/>
      <c r="P5013" s="5"/>
      <c r="Q5013" s="5"/>
      <c r="R5013" s="5"/>
      <c r="S5013" s="5"/>
    </row>
    <row r="5014">
      <c r="A5014" s="5"/>
      <c r="B5014" s="5" t="str">
        <f>IFERROR(__xludf.DUMMYFUNCTION("""COMPUTED_VALUE"""),"هیأت")</f>
        <v>هیأت</v>
      </c>
      <c r="C5014" s="5" t="str">
        <f>IFERROR(__xludf.DUMMYFUNCTION("""COMPUTED_VALUE"""),"فدائیان امام حسن مجتبی")</f>
        <v>فدائیان امام حسن مجتبی</v>
      </c>
      <c r="D5014" s="5" t="str">
        <f>IFERROR(__xludf.DUMMYFUNCTION("""COMPUTED_VALUE"""),"مرکزی")</f>
        <v>مرکزی</v>
      </c>
      <c r="E5014" s="5" t="str">
        <f>IFERROR(__xludf.DUMMYFUNCTION("""COMPUTED_VALUE"""),"اراک")</f>
        <v>اراک</v>
      </c>
      <c r="F5014" s="5"/>
      <c r="G5014" s="5"/>
      <c r="H5014" s="6" t="str">
        <f>IFERROR(__xludf.DUMMYFUNCTION("""COMPUTED_VALUE"""),"https://www.instagram.com/fedak.arak/")</f>
        <v>https://www.instagram.com/fedak.arak/</v>
      </c>
      <c r="I5014" s="6" t="str">
        <f>IFERROR(__xludf.DUMMYFUNCTION("""COMPUTED_VALUE"""),"https://t.me/fedak_arak")</f>
        <v>https://t.me/fedak_arak</v>
      </c>
      <c r="J5014" s="6" t="str">
        <f>IFERROR(__xludf.DUMMYFUNCTION("""COMPUTED_VALUE"""),"https://eitaa.com/fedak_arak")</f>
        <v>https://eitaa.com/fedak_arak</v>
      </c>
      <c r="K5014" s="5"/>
      <c r="L5014" s="5"/>
      <c r="M5014" s="5"/>
      <c r="N5014" s="5"/>
      <c r="O5014" s="5"/>
      <c r="P5014" s="5"/>
      <c r="Q5014" s="5"/>
      <c r="R5014" s="5"/>
      <c r="S5014" s="5"/>
    </row>
    <row r="5015">
      <c r="A5015" s="5"/>
      <c r="B5015" s="5" t="str">
        <f>IFERROR(__xludf.DUMMYFUNCTION("""COMPUTED_VALUE"""),"هیأت")</f>
        <v>هیأت</v>
      </c>
      <c r="C5015" s="5" t="str">
        <f>IFERROR(__xludf.DUMMYFUNCTION("""COMPUTED_VALUE"""),"لواءالزینب")</f>
        <v>لواءالزینب</v>
      </c>
      <c r="D5015" s="5" t="str">
        <f>IFERROR(__xludf.DUMMYFUNCTION("""COMPUTED_VALUE"""),"مرکزی")</f>
        <v>مرکزی</v>
      </c>
      <c r="E5015" s="5" t="str">
        <f>IFERROR(__xludf.DUMMYFUNCTION("""COMPUTED_VALUE"""),"اراک")</f>
        <v>اراک</v>
      </c>
      <c r="F5015" s="5"/>
      <c r="G5015" s="5"/>
      <c r="H5015" s="6" t="str">
        <f>IFERROR(__xludf.DUMMYFUNCTION("""COMPUTED_VALUE"""),"https://www.instagram.com/levaozzeynab_arak/")</f>
        <v>https://www.instagram.com/levaozzeynab_arak/</v>
      </c>
      <c r="I5015" s="5"/>
      <c r="J5015" s="6" t="str">
        <f>IFERROR(__xludf.DUMMYFUNCTION("""COMPUTED_VALUE"""),"https://eitaa.com/levaozzeynab_arak")</f>
        <v>https://eitaa.com/levaozzeynab_arak</v>
      </c>
      <c r="K5015" s="5"/>
      <c r="L5015" s="5"/>
      <c r="M5015" s="5"/>
      <c r="N5015" s="5"/>
      <c r="O5015" s="5"/>
      <c r="P5015" s="5"/>
      <c r="Q5015" s="5"/>
      <c r="R5015" s="5"/>
      <c r="S5015" s="5"/>
    </row>
    <row r="5016">
      <c r="A5016" s="5"/>
      <c r="B5016" s="5" t="str">
        <f>IFERROR(__xludf.DUMMYFUNCTION("""COMPUTED_VALUE"""),"هیأت")</f>
        <v>هیأت</v>
      </c>
      <c r="C5016" s="5" t="str">
        <f>IFERROR(__xludf.DUMMYFUNCTION("""COMPUTED_VALUE"""),"امام حسن مجتبی")</f>
        <v>امام حسن مجتبی</v>
      </c>
      <c r="D5016" s="5" t="str">
        <f>IFERROR(__xludf.DUMMYFUNCTION("""COMPUTED_VALUE"""),"مرکزی")</f>
        <v>مرکزی</v>
      </c>
      <c r="E5016" s="5" t="str">
        <f>IFERROR(__xludf.DUMMYFUNCTION("""COMPUTED_VALUE"""),"اراک")</f>
        <v>اراک</v>
      </c>
      <c r="F5016" s="5" t="str">
        <f>IFERROR(__xludf.DUMMYFUNCTION("""COMPUTED_VALUE"""),"گوار")</f>
        <v>گوار</v>
      </c>
      <c r="G5016" s="5"/>
      <c r="H5016" s="6" t="str">
        <f>IFERROR(__xludf.DUMMYFUNCTION("""COMPUTED_VALUE"""),"https://www.instagram.com/emam_gavar/")</f>
        <v>https://www.instagram.com/emam_gavar/</v>
      </c>
      <c r="I5016" s="6" t="str">
        <f>IFERROR(__xludf.DUMMYFUNCTION("""COMPUTED_VALUE"""),"https://t.me/emam_gavar")</f>
        <v>https://t.me/emam_gavar</v>
      </c>
      <c r="J5016" s="5"/>
      <c r="K5016" s="5"/>
      <c r="L5016" s="5"/>
      <c r="M5016" s="5"/>
      <c r="N5016" s="5"/>
      <c r="O5016" s="5"/>
      <c r="P5016" s="5"/>
      <c r="Q5016" s="5"/>
      <c r="R5016" s="5"/>
      <c r="S5016" s="5"/>
    </row>
    <row r="5017">
      <c r="A5017" s="5"/>
      <c r="B5017" s="5" t="str">
        <f>IFERROR(__xludf.DUMMYFUNCTION("""COMPUTED_VALUE"""),"هیأت")</f>
        <v>هیأت</v>
      </c>
      <c r="C5017" s="5" t="str">
        <f>IFERROR(__xludf.DUMMYFUNCTION("""COMPUTED_VALUE"""),"عشاق الحیدر")</f>
        <v>عشاق الحیدر</v>
      </c>
      <c r="D5017" s="5" t="str">
        <f>IFERROR(__xludf.DUMMYFUNCTION("""COMPUTED_VALUE"""),"مرکزی")</f>
        <v>مرکزی</v>
      </c>
      <c r="E5017" s="5" t="str">
        <f>IFERROR(__xludf.DUMMYFUNCTION("""COMPUTED_VALUE"""),"اراک")</f>
        <v>اراک</v>
      </c>
      <c r="F5017" s="5" t="str">
        <f>IFERROR(__xludf.DUMMYFUNCTION("""COMPUTED_VALUE"""),"کرهود")</f>
        <v>کرهود</v>
      </c>
      <c r="G5017" s="5"/>
      <c r="H5017" s="6" t="str">
        <f>IFERROR(__xludf.DUMMYFUNCTION("""COMPUTED_VALUE"""),"https://www.instagram.com/asheqaneali/")</f>
        <v>https://www.instagram.com/asheqaneali/</v>
      </c>
      <c r="I5017" s="5"/>
      <c r="J5017" s="6" t="str">
        <f>IFERROR(__xludf.DUMMYFUNCTION("""COMPUTED_VALUE"""),"https://eitaa.com/asheqaneali")</f>
        <v>https://eitaa.com/asheqaneali</v>
      </c>
      <c r="K5017" s="5"/>
      <c r="L5017" s="5"/>
      <c r="M5017" s="5"/>
      <c r="N5017" s="5"/>
      <c r="O5017" s="5"/>
      <c r="P5017" s="5"/>
      <c r="Q5017" s="5"/>
      <c r="R5017" s="5"/>
      <c r="S5017" s="5"/>
    </row>
    <row r="5018">
      <c r="A5018" s="5"/>
      <c r="B5018" s="5" t="str">
        <f>IFERROR(__xludf.DUMMYFUNCTION("""COMPUTED_VALUE"""),"هیأت")</f>
        <v>هیأت</v>
      </c>
      <c r="C5018" s="5" t="str">
        <f>IFERROR(__xludf.DUMMYFUNCTION("""COMPUTED_VALUE"""),"محبین الائمه(علیهم السلام)")</f>
        <v>محبین الائمه(علیهم السلام)</v>
      </c>
      <c r="D5018" s="5" t="str">
        <f>IFERROR(__xludf.DUMMYFUNCTION("""COMPUTED_VALUE"""),"مرکزی")</f>
        <v>مرکزی</v>
      </c>
      <c r="E5018" s="5" t="str">
        <f>IFERROR(__xludf.DUMMYFUNCTION("""COMPUTED_VALUE"""),"اراک")</f>
        <v>اراک</v>
      </c>
      <c r="F5018" s="5"/>
      <c r="G5018" s="5"/>
      <c r="H5018" s="6" t="str">
        <f>IFERROR(__xludf.DUMMYFUNCTION("""COMPUTED_VALUE"""),"https://www.instagram.com/homa_arak/")</f>
        <v>https://www.instagram.com/homa_arak/</v>
      </c>
      <c r="I5018" s="5" t="str">
        <f>IFERROR(__xludf.DUMMYFUNCTION("""COMPUTED_VALUE"""),"داره")</f>
        <v>داره</v>
      </c>
      <c r="J5018" s="5" t="str">
        <f>IFERROR(__xludf.DUMMYFUNCTION("""COMPUTED_VALUE"""),"داره")</f>
        <v>داره</v>
      </c>
      <c r="K5018" s="5"/>
      <c r="L5018" s="5"/>
      <c r="M5018" s="5"/>
      <c r="N5018" s="5"/>
      <c r="O5018" s="5"/>
      <c r="P5018" s="5"/>
      <c r="Q5018" s="5"/>
      <c r="R5018" s="5"/>
      <c r="S5018" s="5"/>
    </row>
    <row r="5019">
      <c r="A5019" s="5"/>
      <c r="B5019" s="5" t="str">
        <f>IFERROR(__xludf.DUMMYFUNCTION("""COMPUTED_VALUE"""),"هیأت")</f>
        <v>هیأت</v>
      </c>
      <c r="C5019" s="5" t="str">
        <f>IFERROR(__xludf.DUMMYFUNCTION("""COMPUTED_VALUE"""),"یادگاران شهدا")</f>
        <v>یادگاران شهدا</v>
      </c>
      <c r="D5019" s="5" t="str">
        <f>IFERROR(__xludf.DUMMYFUNCTION("""COMPUTED_VALUE"""),"مرکزی")</f>
        <v>مرکزی</v>
      </c>
      <c r="E5019" s="5" t="str">
        <f>IFERROR(__xludf.DUMMYFUNCTION("""COMPUTED_VALUE"""),"اراک")</f>
        <v>اراک</v>
      </c>
      <c r="F5019" s="5"/>
      <c r="G5019" s="5"/>
      <c r="H5019" s="6" t="str">
        <f>IFERROR(__xludf.DUMMYFUNCTION("""COMPUTED_VALUE"""),"https://www.instagram.com/yadegaran_info/")</f>
        <v>https://www.instagram.com/yadegaran_info/</v>
      </c>
      <c r="I5019" s="6" t="str">
        <f>IFERROR(__xludf.DUMMYFUNCTION("""COMPUTED_VALUE"""),"https://t.me/yadegaran_info")</f>
        <v>https://t.me/yadegaran_info</v>
      </c>
      <c r="J5019" s="5"/>
      <c r="K5019" s="5"/>
      <c r="L5019" s="5"/>
      <c r="M5019" s="5"/>
      <c r="N5019" s="5"/>
      <c r="O5019" s="5"/>
      <c r="P5019" s="5"/>
      <c r="Q5019" s="5"/>
      <c r="R5019" s="5"/>
      <c r="S5019" s="5"/>
    </row>
    <row r="5020">
      <c r="A5020" s="5"/>
      <c r="B5020" s="5" t="str">
        <f>IFERROR(__xludf.DUMMYFUNCTION("""COMPUTED_VALUE"""),"هیأت")</f>
        <v>هیأت</v>
      </c>
      <c r="C5020" s="5" t="str">
        <f>IFERROR(__xludf.DUMMYFUNCTION("""COMPUTED_VALUE"""),"قاسم‌ابن‌الحسن(ع)")</f>
        <v>قاسم‌ابن‌الحسن(ع)</v>
      </c>
      <c r="D5020" s="5" t="str">
        <f>IFERROR(__xludf.DUMMYFUNCTION("""COMPUTED_VALUE"""),"مرکزی")</f>
        <v>مرکزی</v>
      </c>
      <c r="E5020" s="5" t="str">
        <f>IFERROR(__xludf.DUMMYFUNCTION("""COMPUTED_VALUE"""),"اراک")</f>
        <v>اراک</v>
      </c>
      <c r="F5020" s="5" t="str">
        <f>IFERROR(__xludf.DUMMYFUNCTION("""COMPUTED_VALUE"""),"پردیس")</f>
        <v>پردیس</v>
      </c>
      <c r="G5020" s="5"/>
      <c r="H5020" s="6" t="str">
        <f>IFERROR(__xludf.DUMMYFUNCTION("""COMPUTED_VALUE"""),"https://www.instagram.com/ebnalhasan_info/")</f>
        <v>https://www.instagram.com/ebnalhasan_info/</v>
      </c>
      <c r="I5020" s="6" t="str">
        <f>IFERROR(__xludf.DUMMYFUNCTION("""COMPUTED_VALUE"""),"https://t.me/ebnalhasan_info")</f>
        <v>https://t.me/ebnalhasan_info</v>
      </c>
      <c r="J5020" s="6" t="str">
        <f>IFERROR(__xludf.DUMMYFUNCTION("""COMPUTED_VALUE"""),"https://eitaa.com/ebnalhasan_info")</f>
        <v>https://eitaa.com/ebnalhasan_info</v>
      </c>
      <c r="K5020" s="5"/>
      <c r="L5020" s="5"/>
      <c r="M5020" s="5"/>
      <c r="N5020" s="5"/>
      <c r="O5020" s="5"/>
      <c r="P5020" s="5"/>
      <c r="Q5020" s="5"/>
      <c r="R5020" s="5"/>
      <c r="S5020" s="5"/>
    </row>
    <row r="5021">
      <c r="A5021" s="5"/>
      <c r="B5021" s="5" t="str">
        <f>IFERROR(__xludf.DUMMYFUNCTION("""COMPUTED_VALUE"""),"هیأت")</f>
        <v>هیأت</v>
      </c>
      <c r="C5021" s="5" t="str">
        <f>IFERROR(__xludf.DUMMYFUNCTION("""COMPUTED_VALUE"""),"سیدالشباب(ع)")</f>
        <v>سیدالشباب(ع)</v>
      </c>
      <c r="D5021" s="5" t="str">
        <f>IFERROR(__xludf.DUMMYFUNCTION("""COMPUTED_VALUE"""),"مرکزی")</f>
        <v>مرکزی</v>
      </c>
      <c r="E5021" s="5" t="str">
        <f>IFERROR(__xludf.DUMMYFUNCTION("""COMPUTED_VALUE"""),"اراک")</f>
        <v>اراک</v>
      </c>
      <c r="F5021" s="5"/>
      <c r="G5021" s="5"/>
      <c r="H5021" s="6" t="str">
        <f>IFERROR(__xludf.DUMMYFUNCTION("""COMPUTED_VALUE"""),"https://www.instagram.com/boka.info/")</f>
        <v>https://www.instagram.com/boka.info/</v>
      </c>
      <c r="I5021" s="6" t="str">
        <f>IFERROR(__xludf.DUMMYFUNCTION("""COMPUTED_VALUE"""),"https://t.me/bokainfo")</f>
        <v>https://t.me/bokainfo</v>
      </c>
      <c r="J5021" s="6" t="str">
        <f>IFERROR(__xludf.DUMMYFUNCTION("""COMPUTED_VALUE"""),"https://eitaa.com/bokainfo")</f>
        <v>https://eitaa.com/bokainfo</v>
      </c>
      <c r="K5021" s="5"/>
      <c r="L5021" s="5"/>
      <c r="M5021" s="5"/>
      <c r="N5021" s="5"/>
      <c r="O5021" s="5"/>
      <c r="P5021" s="5"/>
      <c r="Q5021" s="5"/>
      <c r="R5021" s="5"/>
      <c r="S5021" s="5"/>
    </row>
    <row r="5022">
      <c r="A5022" s="5"/>
      <c r="B5022" s="5" t="str">
        <f>IFERROR(__xludf.DUMMYFUNCTION("""COMPUTED_VALUE"""),"هیأت")</f>
        <v>هیأت</v>
      </c>
      <c r="C5022" s="5" t="str">
        <f>IFERROR(__xludf.DUMMYFUNCTION("""COMPUTED_VALUE"""),"رایة الزهرا (س)")</f>
        <v>رایة الزهرا (س)</v>
      </c>
      <c r="D5022" s="5" t="str">
        <f>IFERROR(__xludf.DUMMYFUNCTION("""COMPUTED_VALUE"""),"مرکزی")</f>
        <v>مرکزی</v>
      </c>
      <c r="E5022" s="5" t="str">
        <f>IFERROR(__xludf.DUMMYFUNCTION("""COMPUTED_VALUE"""),"اراک")</f>
        <v>اراک</v>
      </c>
      <c r="F5022" s="5"/>
      <c r="G5022" s="5"/>
      <c r="H5022" s="6" t="str">
        <f>IFERROR(__xludf.DUMMYFUNCTION("""COMPUTED_VALUE"""),"https://www.instagram.com/meshkat.arak.ir/")</f>
        <v>https://www.instagram.com/meshkat.arak.ir/</v>
      </c>
      <c r="I5022" s="5"/>
      <c r="J5022" s="6" t="str">
        <f>IFERROR(__xludf.DUMMYFUNCTION("""COMPUTED_VALUE"""),"https://eitaa.com/Meshkat_bhr")</f>
        <v>https://eitaa.com/Meshkat_bhr</v>
      </c>
      <c r="K5022" s="5"/>
      <c r="L5022" s="5"/>
      <c r="M5022" s="5"/>
      <c r="N5022" s="5"/>
      <c r="O5022" s="5"/>
      <c r="P5022" s="5"/>
      <c r="Q5022" s="5"/>
      <c r="R5022" s="5"/>
      <c r="S5022" s="5"/>
    </row>
    <row r="5023">
      <c r="A5023" s="5"/>
      <c r="B5023" s="5" t="str">
        <f>IFERROR(__xludf.DUMMYFUNCTION("""COMPUTED_VALUE"""),"هیأت")</f>
        <v>هیأت</v>
      </c>
      <c r="C5023" s="5" t="str">
        <f>IFERROR(__xludf.DUMMYFUNCTION("""COMPUTED_VALUE"""),"حیدریون")</f>
        <v>حیدریون</v>
      </c>
      <c r="D5023" s="5" t="str">
        <f>IFERROR(__xludf.DUMMYFUNCTION("""COMPUTED_VALUE"""),"مرکزی")</f>
        <v>مرکزی</v>
      </c>
      <c r="E5023" s="5" t="str">
        <f>IFERROR(__xludf.DUMMYFUNCTION("""COMPUTED_VALUE"""),"اراک")</f>
        <v>اراک</v>
      </c>
      <c r="F5023" s="5"/>
      <c r="G5023" s="5"/>
      <c r="H5023" s="6" t="str">
        <f>IFERROR(__xludf.DUMMYFUNCTION("""COMPUTED_VALUE"""),"https://www.instagram.com/heydariyoon_arak/")</f>
        <v>https://www.instagram.com/heydariyoon_arak/</v>
      </c>
      <c r="I5023" s="6" t="str">
        <f>IFERROR(__xludf.DUMMYFUNCTION("""COMPUTED_VALUE"""),"https://t.me/heydariyoon_arak")</f>
        <v>https://t.me/heydariyoon_arak</v>
      </c>
      <c r="J5023" s="5"/>
      <c r="K5023" s="5"/>
      <c r="L5023" s="5"/>
      <c r="M5023" s="5"/>
      <c r="N5023" s="5"/>
      <c r="O5023" s="5"/>
      <c r="P5023" s="5"/>
      <c r="Q5023" s="5"/>
      <c r="R5023" s="5"/>
      <c r="S5023" s="5"/>
    </row>
    <row r="5024">
      <c r="A5024" s="5"/>
      <c r="B5024" s="5" t="str">
        <f>IFERROR(__xludf.DUMMYFUNCTION("""COMPUTED_VALUE"""),"هیأت")</f>
        <v>هیأت</v>
      </c>
      <c r="C5024" s="5" t="str">
        <f>IFERROR(__xludf.DUMMYFUNCTION("""COMPUTED_VALUE"""),"عاشقان باب الحوائج")</f>
        <v>عاشقان باب الحوائج</v>
      </c>
      <c r="D5024" s="5" t="str">
        <f>IFERROR(__xludf.DUMMYFUNCTION("""COMPUTED_VALUE"""),"مرکزی")</f>
        <v>مرکزی</v>
      </c>
      <c r="E5024" s="5" t="str">
        <f>IFERROR(__xludf.DUMMYFUNCTION("""COMPUTED_VALUE"""),"اراک")</f>
        <v>اراک</v>
      </c>
      <c r="F5024" s="5"/>
      <c r="G5024" s="5"/>
      <c r="H5024" s="6" t="str">
        <f>IFERROR(__xludf.DUMMYFUNCTION("""COMPUTED_VALUE"""),"https://www.instagram.com/babalhavaej_arak/")</f>
        <v>https://www.instagram.com/babalhavaej_arak/</v>
      </c>
      <c r="I5024" s="6" t="str">
        <f>IFERROR(__xludf.DUMMYFUNCTION("""COMPUTED_VALUE"""),"https://t.me/asheghanebabalhavaejarak")</f>
        <v>https://t.me/asheghanebabalhavaejarak</v>
      </c>
      <c r="J5024" s="5"/>
      <c r="K5024" s="5"/>
      <c r="L5024" s="5"/>
      <c r="M5024" s="5"/>
      <c r="N5024" s="5"/>
      <c r="O5024" s="5"/>
      <c r="P5024" s="5"/>
      <c r="Q5024" s="5"/>
      <c r="R5024" s="5"/>
      <c r="S5024" s="5"/>
    </row>
    <row r="5025">
      <c r="A5025" s="5"/>
      <c r="B5025" s="5" t="str">
        <f>IFERROR(__xludf.DUMMYFUNCTION("""COMPUTED_VALUE"""),"هیأت")</f>
        <v>هیأت</v>
      </c>
      <c r="C5025" s="5" t="str">
        <f>IFERROR(__xludf.DUMMYFUNCTION("""COMPUTED_VALUE"""),"حضرت حسن ابن علی(ع)")</f>
        <v>حضرت حسن ابن علی(ع)</v>
      </c>
      <c r="D5025" s="5" t="str">
        <f>IFERROR(__xludf.DUMMYFUNCTION("""COMPUTED_VALUE"""),"مرکزی")</f>
        <v>مرکزی</v>
      </c>
      <c r="E5025" s="5" t="str">
        <f>IFERROR(__xludf.DUMMYFUNCTION("""COMPUTED_VALUE"""),"اراک")</f>
        <v>اراک</v>
      </c>
      <c r="F5025" s="5"/>
      <c r="G5025" s="5"/>
      <c r="H5025" s="6" t="str">
        <f>IFERROR(__xludf.DUMMYFUNCTION("""COMPUTED_VALUE"""),"https://www.instagram.com/moazenmedia/")</f>
        <v>https://www.instagram.com/moazenmedia/</v>
      </c>
      <c r="I5025" s="6" t="str">
        <f>IFERROR(__xludf.DUMMYFUNCTION("""COMPUTED_VALUE"""),"https://t.me/moazenmedia")</f>
        <v>https://t.me/moazenmedia</v>
      </c>
      <c r="J5025" s="5"/>
      <c r="K5025" s="5"/>
      <c r="L5025" s="5"/>
      <c r="M5025" s="5"/>
      <c r="N5025" s="5"/>
      <c r="O5025" s="5"/>
      <c r="P5025" s="5"/>
      <c r="Q5025" s="5"/>
      <c r="R5025" s="5"/>
      <c r="S5025" s="5"/>
    </row>
    <row r="5026">
      <c r="A5026" s="5"/>
      <c r="B5026" s="5" t="str">
        <f>IFERROR(__xludf.DUMMYFUNCTION("""COMPUTED_VALUE"""),"هیأت")</f>
        <v>هیأت</v>
      </c>
      <c r="C5026" s="5" t="str">
        <f>IFERROR(__xludf.DUMMYFUNCTION("""COMPUTED_VALUE"""),"زینبیون (س)")</f>
        <v>زینبیون (س)</v>
      </c>
      <c r="D5026" s="5" t="str">
        <f>IFERROR(__xludf.DUMMYFUNCTION("""COMPUTED_VALUE"""),"مرکزی")</f>
        <v>مرکزی</v>
      </c>
      <c r="E5026" s="5" t="str">
        <f>IFERROR(__xludf.DUMMYFUNCTION("""COMPUTED_VALUE"""),"اراک")</f>
        <v>اراک</v>
      </c>
      <c r="F5026" s="5"/>
      <c r="G5026" s="5"/>
      <c r="H5026" s="6" t="str">
        <f>IFERROR(__xludf.DUMMYFUNCTION("""COMPUTED_VALUE"""),"https://www.instagram.com/mahfele_zeinabion/")</f>
        <v>https://www.instagram.com/mahfele_zeinabion/</v>
      </c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</row>
    <row r="5027">
      <c r="A5027" s="5"/>
      <c r="B5027" s="5" t="str">
        <f>IFERROR(__xludf.DUMMYFUNCTION("""COMPUTED_VALUE"""),"هیأت")</f>
        <v>هیأت</v>
      </c>
      <c r="C5027" s="5" t="str">
        <f>IFERROR(__xludf.DUMMYFUNCTION("""COMPUTED_VALUE"""),"تفّاحة الجنّة سلام‌الله‌علیها")</f>
        <v>تفّاحة الجنّة سلام‌الله‌علیها</v>
      </c>
      <c r="D5027" s="5" t="str">
        <f>IFERROR(__xludf.DUMMYFUNCTION("""COMPUTED_VALUE"""),"مرکزی")</f>
        <v>مرکزی</v>
      </c>
      <c r="E5027" s="5" t="str">
        <f>IFERROR(__xludf.DUMMYFUNCTION("""COMPUTED_VALUE"""),"اراک")</f>
        <v>اراک</v>
      </c>
      <c r="F5027" s="5"/>
      <c r="G5027" s="5"/>
      <c r="H5027" s="6" t="str">
        <f>IFERROR(__xludf.DUMMYFUNCTION("""COMPUTED_VALUE"""),"https://www.instagram.com/toffahatoljannat/")</f>
        <v>https://www.instagram.com/toffahatoljannat/</v>
      </c>
      <c r="I5027" s="6" t="str">
        <f>IFERROR(__xludf.DUMMYFUNCTION("""COMPUTED_VALUE"""),"https://t.me/toffahatoljannat")</f>
        <v>https://t.me/toffahatoljannat</v>
      </c>
      <c r="J5027" s="6" t="str">
        <f>IFERROR(__xludf.DUMMYFUNCTION("""COMPUTED_VALUE"""),"https://eitaa.com/toffahatoljannat")</f>
        <v>https://eitaa.com/toffahatoljannat</v>
      </c>
      <c r="K5027" s="5"/>
      <c r="L5027" s="5"/>
      <c r="M5027" s="5"/>
      <c r="N5027" s="5"/>
      <c r="O5027" s="5"/>
      <c r="P5027" s="5"/>
      <c r="Q5027" s="5"/>
      <c r="R5027" s="5"/>
      <c r="S5027" s="5"/>
    </row>
    <row r="5028">
      <c r="A5028" s="5"/>
      <c r="B5028" s="5" t="str">
        <f>IFERROR(__xludf.DUMMYFUNCTION("""COMPUTED_VALUE"""),"هیأت")</f>
        <v>هیأت</v>
      </c>
      <c r="C5028" s="5" t="str">
        <f>IFERROR(__xludf.DUMMYFUNCTION("""COMPUTED_VALUE"""),"زوارالحسین(ع)")</f>
        <v>زوارالحسین(ع)</v>
      </c>
      <c r="D5028" s="5" t="str">
        <f>IFERROR(__xludf.DUMMYFUNCTION("""COMPUTED_VALUE"""),"مرکزی")</f>
        <v>مرکزی</v>
      </c>
      <c r="E5028" s="5" t="str">
        <f>IFERROR(__xludf.DUMMYFUNCTION("""COMPUTED_VALUE"""),"اراک")</f>
        <v>اراک</v>
      </c>
      <c r="F5028" s="5"/>
      <c r="G5028" s="5"/>
      <c r="H5028" s="6" t="str">
        <f>IFERROR(__xludf.DUMMYFUNCTION("""COMPUTED_VALUE"""),"https://www.instagram.com/mahfel_zovvarolhosseinarak/")</f>
        <v>https://www.instagram.com/mahfel_zovvarolhosseinarak/</v>
      </c>
      <c r="I5028" s="6" t="str">
        <f>IFERROR(__xludf.DUMMYFUNCTION("""COMPUTED_VALUE"""),"https://t.me/zovariyon")</f>
        <v>https://t.me/zovariyon</v>
      </c>
      <c r="J5028" s="5"/>
      <c r="K5028" s="5"/>
      <c r="L5028" s="5"/>
      <c r="M5028" s="5"/>
      <c r="N5028" s="5"/>
      <c r="O5028" s="5"/>
      <c r="P5028" s="5"/>
      <c r="Q5028" s="5"/>
      <c r="R5028" s="5"/>
      <c r="S5028" s="5"/>
    </row>
    <row r="5029">
      <c r="A5029" s="5"/>
      <c r="B5029" s="5" t="str">
        <f>IFERROR(__xludf.DUMMYFUNCTION("""COMPUTED_VALUE"""),"هیأت")</f>
        <v>هیأت</v>
      </c>
      <c r="C5029" s="5" t="str">
        <f>IFERROR(__xludf.DUMMYFUNCTION("""COMPUTED_VALUE"""),"حداث الحسین")</f>
        <v>حداث الحسین</v>
      </c>
      <c r="D5029" s="5" t="str">
        <f>IFERROR(__xludf.DUMMYFUNCTION("""COMPUTED_VALUE"""),"مرکزی")</f>
        <v>مرکزی</v>
      </c>
      <c r="E5029" s="5" t="str">
        <f>IFERROR(__xludf.DUMMYFUNCTION("""COMPUTED_VALUE"""),"اراک")</f>
        <v>اراک</v>
      </c>
      <c r="F5029" s="5"/>
      <c r="G5029" s="5"/>
      <c r="H5029" s="6" t="str">
        <f>IFERROR(__xludf.DUMMYFUNCTION("""COMPUTED_VALUE"""),"https://www.instagram.com/hoddasinfo/")</f>
        <v>https://www.instagram.com/hoddasinfo/</v>
      </c>
      <c r="I5029" s="5"/>
      <c r="J5029" s="6" t="str">
        <f>IFERROR(__xludf.DUMMYFUNCTION("""COMPUTED_VALUE"""),"https://eitaa.com/hoddas_arak")</f>
        <v>https://eitaa.com/hoddas_arak</v>
      </c>
      <c r="K5029" s="5"/>
      <c r="L5029" s="5"/>
      <c r="M5029" s="5"/>
      <c r="N5029" s="5"/>
      <c r="O5029" s="5"/>
      <c r="P5029" s="5"/>
      <c r="Q5029" s="5"/>
      <c r="R5029" s="5"/>
      <c r="S5029" s="5"/>
    </row>
    <row r="5030">
      <c r="A5030" s="5"/>
      <c r="B5030" s="5" t="str">
        <f>IFERROR(__xludf.DUMMYFUNCTION("""COMPUTED_VALUE"""),"هیأت")</f>
        <v>هیأت</v>
      </c>
      <c r="C5030" s="5" t="str">
        <f>IFERROR(__xludf.DUMMYFUNCTION("""COMPUTED_VALUE"""),"تعزیه‌خوانی سقای کربلا")</f>
        <v>تعزیه‌خوانی سقای کربلا</v>
      </c>
      <c r="D5030" s="5" t="str">
        <f>IFERROR(__xludf.DUMMYFUNCTION("""COMPUTED_VALUE"""),"مرکزی")</f>
        <v>مرکزی</v>
      </c>
      <c r="E5030" s="5" t="str">
        <f>IFERROR(__xludf.DUMMYFUNCTION("""COMPUTED_VALUE"""),"اراک")</f>
        <v>اراک</v>
      </c>
      <c r="F5030" s="5"/>
      <c r="G5030" s="5"/>
      <c r="H5030" s="6" t="str">
        <f>IFERROR(__xludf.DUMMYFUNCTION("""COMPUTED_VALUE"""),"https://www.instagram.com/saqaye_karbala/")</f>
        <v>https://www.instagram.com/saqaye_karbala/</v>
      </c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</row>
    <row r="5031">
      <c r="A5031" s="5">
        <f>IFERROR(__xludf.DUMMYFUNCTION("""COMPUTED_VALUE"""),20901.0)</f>
        <v>20901</v>
      </c>
      <c r="B5031" s="5"/>
      <c r="C5031" s="5" t="str">
        <f>IFERROR(__xludf.DUMMYFUNCTION("""COMPUTED_VALUE"""),"شهدای گمنام")</f>
        <v>شهدای گمنام</v>
      </c>
      <c r="D5031" s="5" t="str">
        <f>IFERROR(__xludf.DUMMYFUNCTION("""COMPUTED_VALUE"""),"مرکزی")</f>
        <v>مرکزی</v>
      </c>
      <c r="E5031" s="5" t="str">
        <f>IFERROR(__xludf.DUMMYFUNCTION("""COMPUTED_VALUE"""),"اراک")</f>
        <v>اراک</v>
      </c>
      <c r="F5031" s="5"/>
      <c r="G5031" s="5"/>
      <c r="H5031" s="6" t="str">
        <f>IFERROR(__xludf.DUMMYFUNCTION("""COMPUTED_VALUE"""),"https://instagram.com/gomnaminfo")</f>
        <v>https://instagram.com/gomnaminfo</v>
      </c>
      <c r="I5031" s="5"/>
      <c r="J5031" s="6" t="str">
        <f>IFERROR(__xludf.DUMMYFUNCTION("""COMPUTED_VALUE"""),"https://eitaa.com/gomnaminfo")</f>
        <v>https://eitaa.com/gomnaminfo</v>
      </c>
      <c r="K5031" s="5"/>
      <c r="L5031" s="5"/>
      <c r="M5031" s="5"/>
      <c r="N5031" s="5"/>
      <c r="O5031" s="5"/>
      <c r="P5031" s="5"/>
      <c r="Q5031" s="5"/>
      <c r="R5031" s="5"/>
      <c r="S5031" s="5"/>
    </row>
    <row r="5032">
      <c r="A5032" s="5"/>
      <c r="B5032" s="5" t="str">
        <f>IFERROR(__xludf.DUMMYFUNCTION("""COMPUTED_VALUE"""),"هیأت")</f>
        <v>هیأت</v>
      </c>
      <c r="C5032" s="5" t="str">
        <f>IFERROR(__xludf.DUMMYFUNCTION("""COMPUTED_VALUE"""),"شهود")</f>
        <v>شهود</v>
      </c>
      <c r="D5032" s="5" t="str">
        <f>IFERROR(__xludf.DUMMYFUNCTION("""COMPUTED_VALUE"""),"مرکزی")</f>
        <v>مرکزی</v>
      </c>
      <c r="E5032" s="5" t="str">
        <f>IFERROR(__xludf.DUMMYFUNCTION("""COMPUTED_VALUE"""),"اراک")</f>
        <v>اراک</v>
      </c>
      <c r="F5032" s="5"/>
      <c r="G5032" s="5"/>
      <c r="H5032" s="6" t="str">
        <f>IFERROR(__xludf.DUMMYFUNCTION("""COMPUTED_VALUE"""),"https://www.instagram.com/shahdeshuhod")</f>
        <v>https://www.instagram.com/shahdeshuhod</v>
      </c>
      <c r="I5032" s="5"/>
      <c r="J5032" s="6" t="str">
        <f>IFERROR(__xludf.DUMMYFUNCTION("""COMPUTED_VALUE"""),"https://eitaa.com/shahde_shohod")</f>
        <v>https://eitaa.com/shahde_shohod</v>
      </c>
      <c r="K5032" s="5"/>
      <c r="L5032" s="5"/>
      <c r="M5032" s="5"/>
      <c r="N5032" s="5"/>
      <c r="O5032" s="5"/>
      <c r="P5032" s="5"/>
      <c r="Q5032" s="5"/>
      <c r="R5032" s="5"/>
      <c r="S5032" s="5"/>
    </row>
    <row r="5033">
      <c r="A5033" s="5"/>
      <c r="B5033" s="5" t="str">
        <f>IFERROR(__xludf.DUMMYFUNCTION("""COMPUTED_VALUE"""),"هیأت")</f>
        <v>هیأت</v>
      </c>
      <c r="C5033" s="5" t="str">
        <f>IFERROR(__xludf.DUMMYFUNCTION("""COMPUTED_VALUE"""),"نور")</f>
        <v>نور</v>
      </c>
      <c r="D5033" s="5" t="str">
        <f>IFERROR(__xludf.DUMMYFUNCTION("""COMPUTED_VALUE"""),"مرکزی")</f>
        <v>مرکزی</v>
      </c>
      <c r="E5033" s="5" t="str">
        <f>IFERROR(__xludf.DUMMYFUNCTION("""COMPUTED_VALUE"""),"اراک")</f>
        <v>اراک</v>
      </c>
      <c r="F5033" s="5"/>
      <c r="G5033" s="5"/>
      <c r="H5033" s="6" t="str">
        <f>IFERROR(__xludf.DUMMYFUNCTION("""COMPUTED_VALUE"""),"https://www.instagram.com/mahfelenoor_ir")</f>
        <v>https://www.instagram.com/mahfelenoor_ir</v>
      </c>
      <c r="I5033" s="6" t="str">
        <f>IFERROR(__xludf.DUMMYFUNCTION("""COMPUTED_VALUE"""),"https://t.me/mahfelenoor_ir")</f>
        <v>https://t.me/mahfelenoor_ir</v>
      </c>
      <c r="J5033" s="6" t="str">
        <f>IFERROR(__xludf.DUMMYFUNCTION("""COMPUTED_VALUE"""),"https://eitaa.com/mahfelenoor_ir")</f>
        <v>https://eitaa.com/mahfelenoor_ir</v>
      </c>
      <c r="K5033" s="5"/>
      <c r="L5033" s="5"/>
      <c r="M5033" s="5"/>
      <c r="N5033" s="5"/>
      <c r="O5033" s="5"/>
      <c r="P5033" s="5"/>
      <c r="Q5033" s="5"/>
      <c r="R5033" s="5"/>
      <c r="S5033" s="5"/>
    </row>
    <row r="5034">
      <c r="A5034" s="5"/>
      <c r="B5034" s="5" t="str">
        <f>IFERROR(__xludf.DUMMYFUNCTION("""COMPUTED_VALUE"""),"هیأت")</f>
        <v>هیأت</v>
      </c>
      <c r="C5034" s="5" t="str">
        <f>IFERROR(__xludf.DUMMYFUNCTION("""COMPUTED_VALUE"""),"عشاق الحسن علیه السلام")</f>
        <v>عشاق الحسن علیه السلام</v>
      </c>
      <c r="D5034" s="5" t="str">
        <f>IFERROR(__xludf.DUMMYFUNCTION("""COMPUTED_VALUE"""),"مرکزی")</f>
        <v>مرکزی</v>
      </c>
      <c r="E5034" s="5" t="str">
        <f>IFERROR(__xludf.DUMMYFUNCTION("""COMPUTED_VALUE"""),"اراک")</f>
        <v>اراک</v>
      </c>
      <c r="F5034" s="5"/>
      <c r="G5034" s="5"/>
      <c r="H5034" s="6" t="str">
        <f>IFERROR(__xludf.DUMMYFUNCTION("""COMPUTED_VALUE"""),"https://www.instagram.com/oshagh_hasanarak")</f>
        <v>https://www.instagram.com/oshagh_hasanarak</v>
      </c>
      <c r="I5034" s="6" t="str">
        <f>IFERROR(__xludf.DUMMYFUNCTION("""COMPUTED_VALUE"""),"https://t.me/oshagh_hasanarak")</f>
        <v>https://t.me/oshagh_hasanarak</v>
      </c>
      <c r="J5034" s="6" t="str">
        <f>IFERROR(__xludf.DUMMYFUNCTION("""COMPUTED_VALUE"""),"https://eitaa.com/oshagh_hasanarak")</f>
        <v>https://eitaa.com/oshagh_hasanarak</v>
      </c>
      <c r="K5034" s="5"/>
      <c r="L5034" s="5"/>
      <c r="M5034" s="5"/>
      <c r="N5034" s="5"/>
      <c r="O5034" s="5"/>
      <c r="P5034" s="5"/>
      <c r="Q5034" s="5"/>
      <c r="R5034" s="5"/>
      <c r="S5034" s="5"/>
    </row>
    <row r="5035">
      <c r="A5035" s="5"/>
      <c r="B5035" s="5" t="str">
        <f>IFERROR(__xludf.DUMMYFUNCTION("""COMPUTED_VALUE"""),"هیأت")</f>
        <v>هیأت</v>
      </c>
      <c r="C5035" s="5" t="str">
        <f>IFERROR(__xludf.DUMMYFUNCTION("""COMPUTED_VALUE"""),"محمدی‌")</f>
        <v>محمدی‌</v>
      </c>
      <c r="D5035" s="5" t="str">
        <f>IFERROR(__xludf.DUMMYFUNCTION("""COMPUTED_VALUE"""),"مرکزی")</f>
        <v>مرکزی</v>
      </c>
      <c r="E5035" s="5" t="str">
        <f>IFERROR(__xludf.DUMMYFUNCTION("""COMPUTED_VALUE"""),"اراک")</f>
        <v>اراک</v>
      </c>
      <c r="F5035" s="5"/>
      <c r="G5035" s="5"/>
      <c r="H5035" s="6" t="str">
        <f>IFERROR(__xludf.DUMMYFUNCTION("""COMPUTED_VALUE"""),"https://www.instagram.com/heyatmohammadi_arak/")</f>
        <v>https://www.instagram.com/heyatmohammadi_arak/</v>
      </c>
      <c r="I5035" s="6" t="str">
        <f>IFERROR(__xludf.DUMMYFUNCTION("""COMPUTED_VALUE"""),"https://t.me/heyatmohammadi")</f>
        <v>https://t.me/heyatmohammadi</v>
      </c>
      <c r="J5035" s="5"/>
      <c r="K5035" s="5"/>
      <c r="L5035" s="5"/>
      <c r="M5035" s="5"/>
      <c r="N5035" s="5"/>
      <c r="O5035" s="5"/>
      <c r="P5035" s="5"/>
      <c r="Q5035" s="5"/>
      <c r="R5035" s="5"/>
      <c r="S5035" s="5"/>
    </row>
    <row r="5036">
      <c r="A5036" s="5"/>
      <c r="B5036" s="5" t="str">
        <f>IFERROR(__xludf.DUMMYFUNCTION("""COMPUTED_VALUE"""),"هیأت")</f>
        <v>هیأت</v>
      </c>
      <c r="C5036" s="5" t="str">
        <f>IFERROR(__xludf.DUMMYFUNCTION("""COMPUTED_VALUE"""),"الکریم")</f>
        <v>الکریم</v>
      </c>
      <c r="D5036" s="5" t="str">
        <f>IFERROR(__xludf.DUMMYFUNCTION("""COMPUTED_VALUE"""),"مرکزی")</f>
        <v>مرکزی</v>
      </c>
      <c r="E5036" s="5" t="str">
        <f>IFERROR(__xludf.DUMMYFUNCTION("""COMPUTED_VALUE"""),"اراک")</f>
        <v>اراک</v>
      </c>
      <c r="F5036" s="5"/>
      <c r="G5036" s="5">
        <f>IFERROR(__xludf.DUMMYFUNCTION("""COMPUTED_VALUE"""),1.0)</f>
        <v>1</v>
      </c>
      <c r="H5036" s="6" t="str">
        <f>IFERROR(__xludf.DUMMYFUNCTION("""COMPUTED_VALUE"""),"https://www.instagram.com/emamhassan.arak/")</f>
        <v>https://www.instagram.com/emamhassan.arak/</v>
      </c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</row>
    <row r="5037">
      <c r="A5037" s="5"/>
      <c r="B5037" s="5" t="str">
        <f>IFERROR(__xludf.DUMMYFUNCTION("""COMPUTED_VALUE"""),"هیأت")</f>
        <v>هیأت</v>
      </c>
      <c r="C5037" s="5" t="str">
        <f>IFERROR(__xludf.DUMMYFUNCTION("""COMPUTED_VALUE"""),"مکتب الحسین(ع)")</f>
        <v>مکتب الحسین(ع)</v>
      </c>
      <c r="D5037" s="5" t="str">
        <f>IFERROR(__xludf.DUMMYFUNCTION("""COMPUTED_VALUE"""),"مرکزی")</f>
        <v>مرکزی</v>
      </c>
      <c r="E5037" s="5" t="str">
        <f>IFERROR(__xludf.DUMMYFUNCTION("""COMPUTED_VALUE"""),"اراک")</f>
        <v>اراک</v>
      </c>
      <c r="F5037" s="5"/>
      <c r="G5037" s="5"/>
      <c r="H5037" s="6" t="str">
        <f>IFERROR(__xludf.DUMMYFUNCTION("""COMPUTED_VALUE"""),"https://www.instagram.com/maktabolhusein")</f>
        <v>https://www.instagram.com/maktabolhusein</v>
      </c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</row>
    <row r="5038">
      <c r="A5038" s="5"/>
      <c r="B5038" s="5" t="str">
        <f>IFERROR(__xludf.DUMMYFUNCTION("""COMPUTED_VALUE"""),"هیأت")</f>
        <v>هیأت</v>
      </c>
      <c r="C5038" s="5" t="str">
        <f>IFERROR(__xludf.DUMMYFUNCTION("""COMPUTED_VALUE"""),"علمداران بنی الزهرا(س)")</f>
        <v>علمداران بنی الزهرا(س)</v>
      </c>
      <c r="D5038" s="5" t="str">
        <f>IFERROR(__xludf.DUMMYFUNCTION("""COMPUTED_VALUE"""),"مرکزی")</f>
        <v>مرکزی</v>
      </c>
      <c r="E5038" s="5" t="str">
        <f>IFERROR(__xludf.DUMMYFUNCTION("""COMPUTED_VALUE"""),"اراک")</f>
        <v>اراک</v>
      </c>
      <c r="F5038" s="5"/>
      <c r="G5038" s="5"/>
      <c r="H5038" s="6" t="str">
        <f>IFERROR(__xludf.DUMMYFUNCTION("""COMPUTED_VALUE"""),"https://www.instagram.com/heyatalamdaranarak/")</f>
        <v>https://www.instagram.com/heyatalamdaranarak/</v>
      </c>
      <c r="I5038" s="6" t="str">
        <f>IFERROR(__xludf.DUMMYFUNCTION("""COMPUTED_VALUE"""),"https://t.me/alamdaranarak")</f>
        <v>https://t.me/alamdaranarak</v>
      </c>
      <c r="J5038" s="6" t="str">
        <f>IFERROR(__xludf.DUMMYFUNCTION("""COMPUTED_VALUE"""),"https://eitaa.com/heyatalamdaranarak")</f>
        <v>https://eitaa.com/heyatalamdaranarak</v>
      </c>
      <c r="K5038" s="5"/>
      <c r="L5038" s="5"/>
      <c r="M5038" s="5"/>
      <c r="N5038" s="5"/>
      <c r="O5038" s="5"/>
      <c r="P5038" s="5"/>
      <c r="Q5038" s="5"/>
      <c r="R5038" s="5"/>
      <c r="S5038" s="5"/>
    </row>
    <row r="5039">
      <c r="A5039" s="5"/>
      <c r="B5039" s="5" t="str">
        <f>IFERROR(__xludf.DUMMYFUNCTION("""COMPUTED_VALUE"""),"هیأت")</f>
        <v>هیأت</v>
      </c>
      <c r="C5039" s="5" t="str">
        <f>IFERROR(__xludf.DUMMYFUNCTION("""COMPUTED_VALUE"""),"محب العباس(ع)")</f>
        <v>محب العباس(ع)</v>
      </c>
      <c r="D5039" s="5" t="str">
        <f>IFERROR(__xludf.DUMMYFUNCTION("""COMPUTED_VALUE"""),"مرکزی")</f>
        <v>مرکزی</v>
      </c>
      <c r="E5039" s="5" t="str">
        <f>IFERROR(__xludf.DUMMYFUNCTION("""COMPUTED_VALUE"""),"اراک")</f>
        <v>اراک</v>
      </c>
      <c r="F5039" s="5"/>
      <c r="G5039" s="5"/>
      <c r="H5039" s="6" t="str">
        <f>IFERROR(__xludf.DUMMYFUNCTION("""COMPUTED_VALUE"""),"https://www.instagram.com/mohebolabas_arak/")</f>
        <v>https://www.instagram.com/mohebolabas_arak/</v>
      </c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</row>
    <row r="5040">
      <c r="A5040" s="5"/>
      <c r="B5040" s="5" t="str">
        <f>IFERROR(__xludf.DUMMYFUNCTION("""COMPUTED_VALUE"""),"هیأت")</f>
        <v>هیأت</v>
      </c>
      <c r="C5040" s="5" t="str">
        <f>IFERROR(__xludf.DUMMYFUNCTION("""COMPUTED_VALUE"""),"زهرایی")</f>
        <v>زهرایی</v>
      </c>
      <c r="D5040" s="5" t="str">
        <f>IFERROR(__xludf.DUMMYFUNCTION("""COMPUTED_VALUE"""),"مرکزی")</f>
        <v>مرکزی</v>
      </c>
      <c r="E5040" s="5" t="str">
        <f>IFERROR(__xludf.DUMMYFUNCTION("""COMPUTED_VALUE"""),"اراک")</f>
        <v>اراک</v>
      </c>
      <c r="F5040" s="5"/>
      <c r="G5040" s="5">
        <f>IFERROR(__xludf.DUMMYFUNCTION("""COMPUTED_VALUE"""),1.0)</f>
        <v>1</v>
      </c>
      <c r="H5040" s="6" t="str">
        <f>IFERROR(__xludf.DUMMYFUNCTION("""COMPUTED_VALUE"""),"https://www.instagram.com/heyat.zahraei.masjed.seyedha")</f>
        <v>https://www.instagram.com/heyat.zahraei.masjed.seyedha</v>
      </c>
      <c r="I5040" s="6" t="str">
        <f>IFERROR(__xludf.DUMMYFUNCTION("""COMPUTED_VALUE"""),"https://t.me/heyatzahraei")</f>
        <v>https://t.me/heyatzahraei</v>
      </c>
      <c r="J5040" s="5"/>
      <c r="K5040" s="5"/>
      <c r="L5040" s="5"/>
      <c r="M5040" s="5"/>
      <c r="N5040" s="5"/>
      <c r="O5040" s="5"/>
      <c r="P5040" s="5"/>
      <c r="Q5040" s="5"/>
      <c r="R5040" s="5"/>
      <c r="S5040" s="5"/>
    </row>
    <row r="5041">
      <c r="A5041" s="5"/>
      <c r="B5041" s="5" t="str">
        <f>IFERROR(__xludf.DUMMYFUNCTION("""COMPUTED_VALUE"""),"هیأت")</f>
        <v>هیأت</v>
      </c>
      <c r="C5041" s="5" t="str">
        <f>IFERROR(__xludf.DUMMYFUNCTION("""COMPUTED_VALUE"""),"حضرت علی اصغر")</f>
        <v>حضرت علی اصغر</v>
      </c>
      <c r="D5041" s="5" t="str">
        <f>IFERROR(__xludf.DUMMYFUNCTION("""COMPUTED_VALUE"""),"مرکزی")</f>
        <v>مرکزی</v>
      </c>
      <c r="E5041" s="5" t="str">
        <f>IFERROR(__xludf.DUMMYFUNCTION("""COMPUTED_VALUE"""),"اراک")</f>
        <v>اراک</v>
      </c>
      <c r="F5041" s="5"/>
      <c r="G5041" s="5"/>
      <c r="H5041" s="6" t="str">
        <f>IFERROR(__xludf.DUMMYFUNCTION("""COMPUTED_VALUE"""),"https://www.instagram.com/shahid6mahe")</f>
        <v>https://www.instagram.com/shahid6mahe</v>
      </c>
      <c r="I5041" s="6" t="str">
        <f>IFERROR(__xludf.DUMMYFUNCTION("""COMPUTED_VALUE"""),"https://t.me/shahid6mahe1")</f>
        <v>https://t.me/shahid6mahe1</v>
      </c>
      <c r="J5041" s="6" t="str">
        <f>IFERROR(__xludf.DUMMYFUNCTION("""COMPUTED_VALUE"""),"https://eitaa.com/shahid6mahe")</f>
        <v>https://eitaa.com/shahid6mahe</v>
      </c>
      <c r="K5041" s="5"/>
      <c r="L5041" s="5"/>
      <c r="M5041" s="5"/>
      <c r="N5041" s="5"/>
      <c r="O5041" s="5"/>
      <c r="P5041" s="5"/>
      <c r="Q5041" s="5"/>
      <c r="R5041" s="5"/>
      <c r="S5041" s="5"/>
    </row>
    <row r="5042">
      <c r="A5042" s="5"/>
      <c r="B5042" s="5" t="str">
        <f>IFERROR(__xludf.DUMMYFUNCTION("""COMPUTED_VALUE"""),"هیأت")</f>
        <v>هیأت</v>
      </c>
      <c r="C5042" s="5" t="str">
        <f>IFERROR(__xludf.DUMMYFUNCTION("""COMPUTED_VALUE"""),"بیت الاحزان")</f>
        <v>بیت الاحزان</v>
      </c>
      <c r="D5042" s="5" t="str">
        <f>IFERROR(__xludf.DUMMYFUNCTION("""COMPUTED_VALUE"""),"مرکزی")</f>
        <v>مرکزی</v>
      </c>
      <c r="E5042" s="5" t="str">
        <f>IFERROR(__xludf.DUMMYFUNCTION("""COMPUTED_VALUE"""),"اراک")</f>
        <v>اراک</v>
      </c>
      <c r="F5042" s="5"/>
      <c r="G5042" s="5"/>
      <c r="H5042" s="6" t="str">
        <f>IFERROR(__xludf.DUMMYFUNCTION("""COMPUTED_VALUE"""),"https://www.instagram.com/beytollahzan_arak/")</f>
        <v>https://www.instagram.com/beytollahzan_arak/</v>
      </c>
      <c r="I5042" s="6" t="str">
        <f>IFERROR(__xludf.DUMMYFUNCTION("""COMPUTED_VALUE"""),"http://t.me/beytollahzan_arak")</f>
        <v>http://t.me/beytollahzan_arak</v>
      </c>
      <c r="J5042" s="5"/>
      <c r="K5042" s="5"/>
      <c r="L5042" s="5"/>
      <c r="M5042" s="5"/>
      <c r="N5042" s="5"/>
      <c r="O5042" s="5"/>
      <c r="P5042" s="5"/>
      <c r="Q5042" s="5"/>
      <c r="R5042" s="5"/>
      <c r="S5042" s="5"/>
    </row>
    <row r="5043">
      <c r="A5043" s="5"/>
      <c r="B5043" s="5" t="str">
        <f>IFERROR(__xludf.DUMMYFUNCTION("""COMPUTED_VALUE"""),"هیأت")</f>
        <v>هیأت</v>
      </c>
      <c r="C5043" s="5" t="str">
        <f>IFERROR(__xludf.DUMMYFUNCTION("""COMPUTED_VALUE"""),"شریکة الحسین")</f>
        <v>شریکة الحسین</v>
      </c>
      <c r="D5043" s="5" t="str">
        <f>IFERROR(__xludf.DUMMYFUNCTION("""COMPUTED_VALUE"""),"مرکزی")</f>
        <v>مرکزی</v>
      </c>
      <c r="E5043" s="5" t="str">
        <f>IFERROR(__xludf.DUMMYFUNCTION("""COMPUTED_VALUE"""),"اراک")</f>
        <v>اراک</v>
      </c>
      <c r="F5043" s="5"/>
      <c r="G5043" s="5"/>
      <c r="H5043" s="6" t="str">
        <f>IFERROR(__xludf.DUMMYFUNCTION("""COMPUTED_VALUE"""),"https://www.instagram.com/sharikatolhossein_arak/")</f>
        <v>https://www.instagram.com/sharikatolhossein_arak/</v>
      </c>
      <c r="I5043" s="6" t="str">
        <f>IFERROR(__xludf.DUMMYFUNCTION("""COMPUTED_VALUE"""),"https://t.me/sharikatolhossein")</f>
        <v>https://t.me/sharikatolhossein</v>
      </c>
      <c r="J5043" s="5"/>
      <c r="K5043" s="5"/>
      <c r="L5043" s="5"/>
      <c r="M5043" s="5"/>
      <c r="N5043" s="5"/>
      <c r="O5043" s="5"/>
      <c r="P5043" s="5"/>
      <c r="Q5043" s="5"/>
      <c r="R5043" s="5"/>
      <c r="S5043" s="5"/>
    </row>
    <row r="5044">
      <c r="A5044" s="5"/>
      <c r="B5044" s="5" t="str">
        <f>IFERROR(__xludf.DUMMYFUNCTION("""COMPUTED_VALUE"""),"هیأت")</f>
        <v>هیأت</v>
      </c>
      <c r="C5044" s="5" t="str">
        <f>IFERROR(__xludf.DUMMYFUNCTION("""COMPUTED_VALUE"""),"جوادی")</f>
        <v>جوادی</v>
      </c>
      <c r="D5044" s="5" t="str">
        <f>IFERROR(__xludf.DUMMYFUNCTION("""COMPUTED_VALUE"""),"مرکزی")</f>
        <v>مرکزی</v>
      </c>
      <c r="E5044" s="5" t="str">
        <f>IFERROR(__xludf.DUMMYFUNCTION("""COMPUTED_VALUE"""),"اراک")</f>
        <v>اراک</v>
      </c>
      <c r="F5044" s="5"/>
      <c r="G5044" s="5"/>
      <c r="H5044" s="6" t="str">
        <f>IFERROR(__xludf.DUMMYFUNCTION("""COMPUTED_VALUE"""),"https://www.instagram.com/heyat_javadi")</f>
        <v>https://www.instagram.com/heyat_javadi</v>
      </c>
      <c r="I5044" s="6" t="str">
        <f>IFERROR(__xludf.DUMMYFUNCTION("""COMPUTED_VALUE"""),"https://t.m/heyat_javadi")</f>
        <v>https://t.m/heyat_javadi</v>
      </c>
      <c r="J5044" s="5"/>
      <c r="K5044" s="5"/>
      <c r="L5044" s="5"/>
      <c r="M5044" s="5"/>
      <c r="N5044" s="5"/>
      <c r="O5044" s="5"/>
      <c r="P5044" s="5"/>
      <c r="Q5044" s="5"/>
      <c r="R5044" s="5"/>
      <c r="S5044" s="5"/>
    </row>
    <row r="5045">
      <c r="A5045" s="5"/>
      <c r="B5045" s="5" t="str">
        <f>IFERROR(__xludf.DUMMYFUNCTION("""COMPUTED_VALUE"""),"هیأت")</f>
        <v>هیأت</v>
      </c>
      <c r="C5045" s="5" t="str">
        <f>IFERROR(__xludf.DUMMYFUNCTION("""COMPUTED_VALUE"""),"الزهراء")</f>
        <v>الزهراء</v>
      </c>
      <c r="D5045" s="5" t="str">
        <f>IFERROR(__xludf.DUMMYFUNCTION("""COMPUTED_VALUE"""),"مرکزی")</f>
        <v>مرکزی</v>
      </c>
      <c r="E5045" s="5" t="str">
        <f>IFERROR(__xludf.DUMMYFUNCTION("""COMPUTED_VALUE"""),"اراک")</f>
        <v>اراک</v>
      </c>
      <c r="F5045" s="5" t="str">
        <f>IFERROR(__xludf.DUMMYFUNCTION("""COMPUTED_VALUE"""),"شهرک گردو")</f>
        <v>شهرک گردو</v>
      </c>
      <c r="G5045" s="5"/>
      <c r="H5045" s="6" t="str">
        <f>IFERROR(__xludf.DUMMYFUNCTION("""COMPUTED_VALUE"""),"https://www.instagram.com/heyaat_javanan_alzahra/")</f>
        <v>https://www.instagram.com/heyaat_javanan_alzahra/</v>
      </c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</row>
    <row r="5046">
      <c r="A5046" s="5"/>
      <c r="B5046" s="5" t="str">
        <f>IFERROR(__xludf.DUMMYFUNCTION("""COMPUTED_VALUE"""),"هیأت")</f>
        <v>هیأت</v>
      </c>
      <c r="C5046" s="5" t="str">
        <f>IFERROR(__xludf.DUMMYFUNCTION("""COMPUTED_VALUE"""),"سجادی")</f>
        <v>سجادی</v>
      </c>
      <c r="D5046" s="5" t="str">
        <f>IFERROR(__xludf.DUMMYFUNCTION("""COMPUTED_VALUE"""),"مرکزی")</f>
        <v>مرکزی</v>
      </c>
      <c r="E5046" s="5" t="str">
        <f>IFERROR(__xludf.DUMMYFUNCTION("""COMPUTED_VALUE"""),"اراک")</f>
        <v>اراک</v>
      </c>
      <c r="F5046" s="5"/>
      <c r="G5046" s="5"/>
      <c r="H5046" s="6" t="str">
        <f>IFERROR(__xludf.DUMMYFUNCTION("""COMPUTED_VALUE"""),"https://www.instagram.com/heyat_sajjadi_arak/")</f>
        <v>https://www.instagram.com/heyat_sajjadi_arak/</v>
      </c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</row>
    <row r="5047">
      <c r="A5047" s="5"/>
      <c r="B5047" s="5" t="str">
        <f>IFERROR(__xludf.DUMMYFUNCTION("""COMPUTED_VALUE"""),"هیأت")</f>
        <v>هیأت</v>
      </c>
      <c r="C5047" s="5" t="str">
        <f>IFERROR(__xludf.DUMMYFUNCTION("""COMPUTED_VALUE"""),"صاحب الزمان(عج)")</f>
        <v>صاحب الزمان(عج)</v>
      </c>
      <c r="D5047" s="5" t="str">
        <f>IFERROR(__xludf.DUMMYFUNCTION("""COMPUTED_VALUE"""),"مرکزی")</f>
        <v>مرکزی</v>
      </c>
      <c r="E5047" s="5" t="str">
        <f>IFERROR(__xludf.DUMMYFUNCTION("""COMPUTED_VALUE"""),"اراک")</f>
        <v>اراک</v>
      </c>
      <c r="F5047" s="5"/>
      <c r="G5047" s="5"/>
      <c r="H5047" s="6" t="str">
        <f>IFERROR(__xludf.DUMMYFUNCTION("""COMPUTED_VALUE"""),"https://www.instagram.com/saheb_zaman_71/")</f>
        <v>https://www.instagram.com/saheb_zaman_71/</v>
      </c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</row>
    <row r="5048">
      <c r="A5048" s="5"/>
      <c r="B5048" s="5" t="str">
        <f>IFERROR(__xludf.DUMMYFUNCTION("""COMPUTED_VALUE"""),"هیأت")</f>
        <v>هیأت</v>
      </c>
      <c r="C5048" s="5" t="str">
        <f>IFERROR(__xludf.DUMMYFUNCTION("""COMPUTED_VALUE"""),"منتظران مهدی (عج)")</f>
        <v>منتظران مهدی (عج)</v>
      </c>
      <c r="D5048" s="5" t="str">
        <f>IFERROR(__xludf.DUMMYFUNCTION("""COMPUTED_VALUE"""),"مرکزی")</f>
        <v>مرکزی</v>
      </c>
      <c r="E5048" s="5" t="str">
        <f>IFERROR(__xludf.DUMMYFUNCTION("""COMPUTED_VALUE"""),"اراک")</f>
        <v>اراک</v>
      </c>
      <c r="F5048" s="5"/>
      <c r="G5048" s="5"/>
      <c r="H5048" s="6" t="str">
        <f>IFERROR(__xludf.DUMMYFUNCTION("""COMPUTED_VALUE"""),"https://www.instagram.com/heyatmontazaranmahdi.arak/")</f>
        <v>https://www.instagram.com/heyatmontazaranmahdi.arak/</v>
      </c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</row>
    <row r="5049">
      <c r="A5049" s="5"/>
      <c r="B5049" s="5" t="str">
        <f>IFERROR(__xludf.DUMMYFUNCTION("""COMPUTED_VALUE"""),"هیأت")</f>
        <v>هیأت</v>
      </c>
      <c r="C5049" s="5" t="str">
        <f>IFERROR(__xludf.DUMMYFUNCTION("""COMPUTED_VALUE"""),"محبین الحسین")</f>
        <v>محبین الحسین</v>
      </c>
      <c r="D5049" s="5" t="str">
        <f>IFERROR(__xludf.DUMMYFUNCTION("""COMPUTED_VALUE"""),"مرکزی")</f>
        <v>مرکزی</v>
      </c>
      <c r="E5049" s="5" t="str">
        <f>IFERROR(__xludf.DUMMYFUNCTION("""COMPUTED_VALUE"""),"اراک")</f>
        <v>اراک</v>
      </c>
      <c r="F5049" s="5"/>
      <c r="G5049" s="5"/>
      <c r="H5049" s="6" t="str">
        <f>IFERROR(__xludf.DUMMYFUNCTION("""COMPUTED_VALUE"""),"https://www.instagram.com/mohebin_arak")</f>
        <v>https://www.instagram.com/mohebin_arak</v>
      </c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</row>
    <row r="5050">
      <c r="A5050" s="5"/>
      <c r="B5050" s="5" t="str">
        <f>IFERROR(__xludf.DUMMYFUNCTION("""COMPUTED_VALUE"""),"هیأت")</f>
        <v>هیأت</v>
      </c>
      <c r="C5050" s="5" t="str">
        <f>IFERROR(__xludf.DUMMYFUNCTION("""COMPUTED_VALUE"""),"محبان اهل بیت(ع)")</f>
        <v>محبان اهل بیت(ع)</v>
      </c>
      <c r="D5050" s="5" t="str">
        <f>IFERROR(__xludf.DUMMYFUNCTION("""COMPUTED_VALUE"""),"مرکزی")</f>
        <v>مرکزی</v>
      </c>
      <c r="E5050" s="5" t="str">
        <f>IFERROR(__xludf.DUMMYFUNCTION("""COMPUTED_VALUE"""),"اراک")</f>
        <v>اراک</v>
      </c>
      <c r="F5050" s="5"/>
      <c r="G5050" s="5"/>
      <c r="H5050" s="6" t="str">
        <f>IFERROR(__xludf.DUMMYFUNCTION("""COMPUTED_VALUE"""),"https://www.instagram.com/moheban.ahlbeit.arak/")</f>
        <v>https://www.instagram.com/moheban.ahlbeit.arak/</v>
      </c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</row>
    <row r="5051">
      <c r="A5051" s="5"/>
      <c r="B5051" s="5" t="str">
        <f>IFERROR(__xludf.DUMMYFUNCTION("""COMPUTED_VALUE"""),"هیأت")</f>
        <v>هیأت</v>
      </c>
      <c r="C5051" s="5" t="str">
        <f>IFERROR(__xludf.DUMMYFUNCTION("""COMPUTED_VALUE"""),"علمدار بین الحرمین")</f>
        <v>علمدار بین الحرمین</v>
      </c>
      <c r="D5051" s="5" t="str">
        <f>IFERROR(__xludf.DUMMYFUNCTION("""COMPUTED_VALUE"""),"مرکزی")</f>
        <v>مرکزی</v>
      </c>
      <c r="E5051" s="5" t="str">
        <f>IFERROR(__xludf.DUMMYFUNCTION("""COMPUTED_VALUE"""),"اراک")</f>
        <v>اراک</v>
      </c>
      <c r="F5051" s="5"/>
      <c r="G5051" s="5"/>
      <c r="H5051" s="6" t="str">
        <f>IFERROR(__xludf.DUMMYFUNCTION("""COMPUTED_VALUE"""),"https://www.instagram.com/alamdarbeynolharameyn.arak/")</f>
        <v>https://www.instagram.com/alamdarbeynolharameyn.arak/</v>
      </c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</row>
    <row r="5052">
      <c r="A5052" s="5"/>
      <c r="B5052" s="5" t="str">
        <f>IFERROR(__xludf.DUMMYFUNCTION("""COMPUTED_VALUE"""),"هیأت")</f>
        <v>هیأت</v>
      </c>
      <c r="C5052" s="5" t="str">
        <f>IFERROR(__xludf.DUMMYFUNCTION("""COMPUTED_VALUE"""),"متوسلین به قمربنی هاشم علیه السلام")</f>
        <v>متوسلین به قمربنی هاشم علیه السلام</v>
      </c>
      <c r="D5052" s="5" t="str">
        <f>IFERROR(__xludf.DUMMYFUNCTION("""COMPUTED_VALUE"""),"مرکزی")</f>
        <v>مرکزی</v>
      </c>
      <c r="E5052" s="5" t="str">
        <f>IFERROR(__xludf.DUMMYFUNCTION("""COMPUTED_VALUE"""),"اراک")</f>
        <v>اراک</v>
      </c>
      <c r="F5052" s="5"/>
      <c r="G5052" s="5"/>
      <c r="H5052" s="6" t="str">
        <f>IFERROR(__xludf.DUMMYFUNCTION("""COMPUTED_VALUE"""),"https://www.instagram.com/emamhadiforat/")</f>
        <v>https://www.instagram.com/emamhadiforat/</v>
      </c>
      <c r="I5052" s="6" t="str">
        <f>IFERROR(__xludf.DUMMYFUNCTION("""COMPUTED_VALUE"""),"https://t.m/emamhadiforat")</f>
        <v>https://t.m/emamhadiforat</v>
      </c>
      <c r="J5052" s="6" t="str">
        <f>IFERROR(__xludf.DUMMYFUNCTION("""COMPUTED_VALUE"""),"https://eitaa.com/emamhadiforat")</f>
        <v>https://eitaa.com/emamhadiforat</v>
      </c>
      <c r="K5052" s="5"/>
      <c r="L5052" s="5"/>
      <c r="M5052" s="5"/>
      <c r="N5052" s="5"/>
      <c r="O5052" s="5"/>
      <c r="P5052" s="5"/>
      <c r="Q5052" s="5"/>
      <c r="R5052" s="5"/>
      <c r="S5052" s="5"/>
    </row>
    <row r="5053">
      <c r="A5053" s="5"/>
      <c r="B5053" s="5" t="str">
        <f>IFERROR(__xludf.DUMMYFUNCTION("""COMPUTED_VALUE"""),"هیأت")</f>
        <v>هیأت</v>
      </c>
      <c r="C5053" s="5" t="str">
        <f>IFERROR(__xludf.DUMMYFUNCTION("""COMPUTED_VALUE"""),"جان نثـاران امام حسین (ع)")</f>
        <v>جان نثـاران امام حسین (ع)</v>
      </c>
      <c r="D5053" s="5" t="str">
        <f>IFERROR(__xludf.DUMMYFUNCTION("""COMPUTED_VALUE"""),"مرکزی")</f>
        <v>مرکزی</v>
      </c>
      <c r="E5053" s="5" t="str">
        <f>IFERROR(__xludf.DUMMYFUNCTION("""COMPUTED_VALUE"""),"اراک")</f>
        <v>اراک</v>
      </c>
      <c r="F5053" s="5"/>
      <c r="G5053" s="5"/>
      <c r="H5053" s="6" t="str">
        <f>IFERROR(__xludf.DUMMYFUNCTION("""COMPUTED_VALUE"""),"https://www.instagram.com/jannesaran_arak_1357/")</f>
        <v>https://www.instagram.com/jannesaran_arak_1357/</v>
      </c>
      <c r="I5053" s="6" t="str">
        <f>IFERROR(__xludf.DUMMYFUNCTION("""COMPUTED_VALUE"""),"https://t.me/jannesaran_arak")</f>
        <v>https://t.me/jannesaran_arak</v>
      </c>
      <c r="J5053" s="5"/>
      <c r="K5053" s="5"/>
      <c r="L5053" s="5"/>
      <c r="M5053" s="5"/>
      <c r="N5053" s="5"/>
      <c r="O5053" s="5"/>
      <c r="P5053" s="5"/>
      <c r="Q5053" s="5"/>
      <c r="R5053" s="5"/>
      <c r="S5053" s="5"/>
    </row>
    <row r="5054">
      <c r="A5054" s="5"/>
      <c r="B5054" s="5" t="str">
        <f>IFERROR(__xludf.DUMMYFUNCTION("""COMPUTED_VALUE"""),"هیأت دانشجویی")</f>
        <v>هیأت دانشجویی</v>
      </c>
      <c r="C5054" s="5" t="str">
        <f>IFERROR(__xludf.DUMMYFUNCTION("""COMPUTED_VALUE"""),"محبان صاحب الزمان (عج)")</f>
        <v>محبان صاحب الزمان (عج)</v>
      </c>
      <c r="D5054" s="5" t="str">
        <f>IFERROR(__xludf.DUMMYFUNCTION("""COMPUTED_VALUE"""),"مرکزی")</f>
        <v>مرکزی</v>
      </c>
      <c r="E5054" s="5" t="str">
        <f>IFERROR(__xludf.DUMMYFUNCTION("""COMPUTED_VALUE"""),"اراک")</f>
        <v>اراک</v>
      </c>
      <c r="F5054" s="5" t="str">
        <f>IFERROR(__xludf.DUMMYFUNCTION("""COMPUTED_VALUE"""),"پردیس باهنر دانشگاه فرهنگیان")</f>
        <v>پردیس باهنر دانشگاه فرهنگیان</v>
      </c>
      <c r="G5054" s="5"/>
      <c r="H5054" s="6" t="str">
        <f>IFERROR(__xludf.DUMMYFUNCTION("""COMPUTED_VALUE"""),"https://www.instagram.com/mohebancfu/")</f>
        <v>https://www.instagram.com/mohebancfu/</v>
      </c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</row>
    <row r="5055">
      <c r="A5055" s="5"/>
      <c r="B5055" s="5" t="str">
        <f>IFERROR(__xludf.DUMMYFUNCTION("""COMPUTED_VALUE"""),"هیأت")</f>
        <v>هیأت</v>
      </c>
      <c r="C5055" s="5" t="str">
        <f>IFERROR(__xludf.DUMMYFUNCTION("""COMPUTED_VALUE"""),"عاشقان صاحب الزمان(عج)")</f>
        <v>عاشقان صاحب الزمان(عج)</v>
      </c>
      <c r="D5055" s="5" t="str">
        <f>IFERROR(__xludf.DUMMYFUNCTION("""COMPUTED_VALUE"""),"مرکزی")</f>
        <v>مرکزی</v>
      </c>
      <c r="E5055" s="5" t="str">
        <f>IFERROR(__xludf.DUMMYFUNCTION("""COMPUTED_VALUE"""),"اراک")</f>
        <v>اراک</v>
      </c>
      <c r="F5055" s="5" t="str">
        <f>IFERROR(__xludf.DUMMYFUNCTION("""COMPUTED_VALUE"""),"کرهود")</f>
        <v>کرهود</v>
      </c>
      <c r="G5055" s="5"/>
      <c r="H5055" s="6" t="str">
        <f>IFERROR(__xludf.DUMMYFUNCTION("""COMPUTED_VALUE"""),"https://www.instagram.com/asheghane_saheb_zaman/")</f>
        <v>https://www.instagram.com/asheghane_saheb_zaman/</v>
      </c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</row>
    <row r="5056">
      <c r="A5056" s="5"/>
      <c r="B5056" s="5" t="str">
        <f>IFERROR(__xludf.DUMMYFUNCTION("""COMPUTED_VALUE"""),"هیأت")</f>
        <v>هیأت</v>
      </c>
      <c r="C5056" s="5" t="str">
        <f>IFERROR(__xludf.DUMMYFUNCTION("""COMPUTED_VALUE"""),"شاهزاده علی اصغر (ع)")</f>
        <v>شاهزاده علی اصغر (ع)</v>
      </c>
      <c r="D5056" s="5" t="str">
        <f>IFERROR(__xludf.DUMMYFUNCTION("""COMPUTED_VALUE"""),"مرکزی")</f>
        <v>مرکزی</v>
      </c>
      <c r="E5056" s="5" t="str">
        <f>IFERROR(__xludf.DUMMYFUNCTION("""COMPUTED_VALUE"""),"اراک")</f>
        <v>اراک</v>
      </c>
      <c r="F5056" s="5" t="str">
        <f>IFERROR(__xludf.DUMMYFUNCTION("""COMPUTED_VALUE"""),"سنجان")</f>
        <v>سنجان</v>
      </c>
      <c r="G5056" s="5"/>
      <c r="H5056" s="6" t="str">
        <f>IFERROR(__xludf.DUMMYFUNCTION("""COMPUTED_VALUE"""),"https://www.instagram.com/shahzade_aliasghar")</f>
        <v>https://www.instagram.com/shahzade_aliasghar</v>
      </c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</row>
    <row r="5057">
      <c r="A5057" s="5"/>
      <c r="B5057" s="5" t="str">
        <f>IFERROR(__xludf.DUMMYFUNCTION("""COMPUTED_VALUE"""),"هیأت")</f>
        <v>هیأت</v>
      </c>
      <c r="C5057" s="5" t="str">
        <f>IFERROR(__xludf.DUMMYFUNCTION("""COMPUTED_VALUE"""),"باب الحوائج")</f>
        <v>باب الحوائج</v>
      </c>
      <c r="D5057" s="5" t="str">
        <f>IFERROR(__xludf.DUMMYFUNCTION("""COMPUTED_VALUE"""),"مرکزی")</f>
        <v>مرکزی</v>
      </c>
      <c r="E5057" s="5" t="str">
        <f>IFERROR(__xludf.DUMMYFUNCTION("""COMPUTED_VALUE"""),"اراک")</f>
        <v>اراک</v>
      </c>
      <c r="F5057" s="5" t="str">
        <f>IFERROR(__xludf.DUMMYFUNCTION("""COMPUTED_VALUE"""),"فیجان")</f>
        <v>فیجان</v>
      </c>
      <c r="G5057" s="5"/>
      <c r="H5057" s="6" t="str">
        <f>IFERROR(__xludf.DUMMYFUNCTION("""COMPUTED_VALUE"""),"https://www.instagram.com/babalhavaej_feyjan/")</f>
        <v>https://www.instagram.com/babalhavaej_feyjan/</v>
      </c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</row>
    <row r="5058">
      <c r="A5058" s="5"/>
      <c r="B5058" s="5" t="str">
        <f>IFERROR(__xludf.DUMMYFUNCTION("""COMPUTED_VALUE"""),"هیأت")</f>
        <v>هیأت</v>
      </c>
      <c r="C5058" s="5" t="str">
        <f>IFERROR(__xludf.DUMMYFUNCTION("""COMPUTED_VALUE"""),"شهزاده علی اکبر(ع)")</f>
        <v>شهزاده علی اکبر(ع)</v>
      </c>
      <c r="D5058" s="5" t="str">
        <f>IFERROR(__xludf.DUMMYFUNCTION("""COMPUTED_VALUE"""),"مرکزی")</f>
        <v>مرکزی</v>
      </c>
      <c r="E5058" s="5" t="str">
        <f>IFERROR(__xludf.DUMMYFUNCTION("""COMPUTED_VALUE"""),"اراک")</f>
        <v>اراک</v>
      </c>
      <c r="F5058" s="5" t="str">
        <f>IFERROR(__xludf.DUMMYFUNCTION("""COMPUTED_VALUE"""),"فیجان")</f>
        <v>فیجان</v>
      </c>
      <c r="G5058" s="5"/>
      <c r="H5058" s="6" t="str">
        <f>IFERROR(__xludf.DUMMYFUNCTION("""COMPUTED_VALUE"""),"https://www.instagram.com/shahzadeee_aliakbar/")</f>
        <v>https://www.instagram.com/shahzadeee_aliakbar/</v>
      </c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</row>
    <row r="5059">
      <c r="A5059" s="5"/>
      <c r="B5059" s="5" t="str">
        <f>IFERROR(__xludf.DUMMYFUNCTION("""COMPUTED_VALUE"""),"هیأت")</f>
        <v>هیأت</v>
      </c>
      <c r="C5059" s="5" t="str">
        <f>IFERROR(__xludf.DUMMYFUNCTION("""COMPUTED_VALUE"""),"جوانان")</f>
        <v>جوانان</v>
      </c>
      <c r="D5059" s="5" t="str">
        <f>IFERROR(__xludf.DUMMYFUNCTION("""COMPUTED_VALUE"""),"مرکزی")</f>
        <v>مرکزی</v>
      </c>
      <c r="E5059" s="5" t="str">
        <f>IFERROR(__xludf.DUMMYFUNCTION("""COMPUTED_VALUE"""),"اراک")</f>
        <v>اراک</v>
      </c>
      <c r="F5059" s="5" t="str">
        <f>IFERROR(__xludf.DUMMYFUNCTION("""COMPUTED_VALUE"""),"داودآباد")</f>
        <v>داودآباد</v>
      </c>
      <c r="G5059" s="5"/>
      <c r="H5059" s="6" t="str">
        <f>IFERROR(__xludf.DUMMYFUNCTION("""COMPUTED_VALUE"""),"https://www.instagram.com/heyat_javanan__davoodabad")</f>
        <v>https://www.instagram.com/heyat_javanan__davoodabad</v>
      </c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</row>
    <row r="5060">
      <c r="A5060" s="5"/>
      <c r="B5060" s="5" t="str">
        <f>IFERROR(__xludf.DUMMYFUNCTION("""COMPUTED_VALUE"""),"هیأت")</f>
        <v>هیأت</v>
      </c>
      <c r="C5060" s="5" t="str">
        <f>IFERROR(__xludf.DUMMYFUNCTION("""COMPUTED_VALUE"""),"رزمندگان اسلام")</f>
        <v>رزمندگان اسلام</v>
      </c>
      <c r="D5060" s="5" t="str">
        <f>IFERROR(__xludf.DUMMYFUNCTION("""COMPUTED_VALUE"""),"مرکزی")</f>
        <v>مرکزی</v>
      </c>
      <c r="E5060" s="5" t="str">
        <f>IFERROR(__xludf.DUMMYFUNCTION("""COMPUTED_VALUE"""),"اراک")</f>
        <v>اراک</v>
      </c>
      <c r="F5060" s="5" t="str">
        <f>IFERROR(__xludf.DUMMYFUNCTION("""COMPUTED_VALUE"""),"ساروق")</f>
        <v>ساروق</v>
      </c>
      <c r="G5060" s="5"/>
      <c r="H5060" s="6" t="str">
        <f>IFERROR(__xludf.DUMMYFUNCTION("""COMPUTED_VALUE"""),"https://www.instagram.com/heyat_javanan_sarogh/")</f>
        <v>https://www.instagram.com/heyat_javanan_sarogh/</v>
      </c>
      <c r="I5060" s="6" t="str">
        <f>IFERROR(__xludf.DUMMYFUNCTION("""COMPUTED_VALUE"""),"https://t.me/heyat_javanan_sarogh")</f>
        <v>https://t.me/heyat_javanan_sarogh</v>
      </c>
      <c r="J5060" s="5"/>
      <c r="K5060" s="5"/>
      <c r="L5060" s="5"/>
      <c r="M5060" s="5"/>
      <c r="N5060" s="5"/>
      <c r="O5060" s="5"/>
      <c r="P5060" s="5"/>
      <c r="Q5060" s="5"/>
      <c r="R5060" s="5"/>
      <c r="S5060" s="5"/>
    </row>
    <row r="5061">
      <c r="A5061" s="5"/>
      <c r="B5061" s="5" t="str">
        <f>IFERROR(__xludf.DUMMYFUNCTION("""COMPUTED_VALUE"""),"هیأت")</f>
        <v>هیأت</v>
      </c>
      <c r="C5061" s="5" t="str">
        <f>IFERROR(__xludf.DUMMYFUNCTION("""COMPUTED_VALUE"""),"عزاداران چهارده معصوم (ع)")</f>
        <v>عزاداران چهارده معصوم (ع)</v>
      </c>
      <c r="D5061" s="5" t="str">
        <f>IFERROR(__xludf.DUMMYFUNCTION("""COMPUTED_VALUE"""),"مرکزی")</f>
        <v>مرکزی</v>
      </c>
      <c r="E5061" s="5" t="str">
        <f>IFERROR(__xludf.DUMMYFUNCTION("""COMPUTED_VALUE"""),"اراک")</f>
        <v>اراک</v>
      </c>
      <c r="F5061" s="5" t="str">
        <f>IFERROR(__xludf.DUMMYFUNCTION("""COMPUTED_VALUE"""),"کارچان")</f>
        <v>کارچان</v>
      </c>
      <c r="G5061" s="5"/>
      <c r="H5061" s="6" t="str">
        <f>IFERROR(__xludf.DUMMYFUNCTION("""COMPUTED_VALUE"""),"https://www.instagram.com/azadaran14/")</f>
        <v>https://www.instagram.com/azadaran14/</v>
      </c>
      <c r="I5061" s="5"/>
      <c r="J5061" s="6" t="str">
        <f>IFERROR(__xludf.DUMMYFUNCTION("""COMPUTED_VALUE"""),"https://eitaa.com/azadaran14")</f>
        <v>https://eitaa.com/azadaran14</v>
      </c>
      <c r="K5061" s="5"/>
      <c r="L5061" s="5"/>
      <c r="M5061" s="5"/>
      <c r="N5061" s="5"/>
      <c r="O5061" s="5"/>
      <c r="P5061" s="5"/>
      <c r="Q5061" s="5"/>
      <c r="R5061" s="5"/>
      <c r="S5061" s="5"/>
    </row>
    <row r="5062">
      <c r="A5062" s="5"/>
      <c r="B5062" s="5" t="str">
        <f>IFERROR(__xludf.DUMMYFUNCTION("""COMPUTED_VALUE"""),"هیأت")</f>
        <v>هیأت</v>
      </c>
      <c r="C5062" s="5" t="str">
        <f>IFERROR(__xludf.DUMMYFUNCTION("""COMPUTED_VALUE"""),"منتظران ظهور")</f>
        <v>منتظران ظهور</v>
      </c>
      <c r="D5062" s="5" t="str">
        <f>IFERROR(__xludf.DUMMYFUNCTION("""COMPUTED_VALUE"""),"مرکزی")</f>
        <v>مرکزی</v>
      </c>
      <c r="E5062" s="5" t="str">
        <f>IFERROR(__xludf.DUMMYFUNCTION("""COMPUTED_VALUE"""),"اراک")</f>
        <v>اراک</v>
      </c>
      <c r="F5062" s="5" t="str">
        <f>IFERROR(__xludf.DUMMYFUNCTION("""COMPUTED_VALUE"""),"کارچان")</f>
        <v>کارچان</v>
      </c>
      <c r="G5062" s="5"/>
      <c r="H5062" s="6" t="str">
        <f>IFERROR(__xludf.DUMMYFUNCTION("""COMPUTED_VALUE"""),"https://www.instagram.com/montazerane_zohor_karchan/")</f>
        <v>https://www.instagram.com/montazerane_zohor_karchan/</v>
      </c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</row>
    <row r="5063">
      <c r="A5063" s="5"/>
      <c r="B5063" s="5" t="str">
        <f>IFERROR(__xludf.DUMMYFUNCTION("""COMPUTED_VALUE"""),"هیأت")</f>
        <v>هیأت</v>
      </c>
      <c r="C5063" s="5" t="str">
        <f>IFERROR(__xludf.DUMMYFUNCTION("""COMPUTED_VALUE"""),"امام حسن مجتبی (ع)")</f>
        <v>امام حسن مجتبی (ع)</v>
      </c>
      <c r="D5063" s="5" t="str">
        <f>IFERROR(__xludf.DUMMYFUNCTION("""COMPUTED_VALUE"""),"مرکزی")</f>
        <v>مرکزی</v>
      </c>
      <c r="E5063" s="5" t="str">
        <f>IFERROR(__xludf.DUMMYFUNCTION("""COMPUTED_VALUE"""),"اراک")</f>
        <v>اراک</v>
      </c>
      <c r="F5063" s="5" t="str">
        <f>IFERROR(__xludf.DUMMYFUNCTION("""COMPUTED_VALUE"""),"جاورسیان")</f>
        <v>جاورسیان</v>
      </c>
      <c r="G5063" s="5"/>
      <c r="H5063" s="6" t="str">
        <f>IFERROR(__xludf.DUMMYFUNCTION("""COMPUTED_VALUE"""),"https://www.instagram.com/heyatemam_hasan1393/")</f>
        <v>https://www.instagram.com/heyatemam_hasan1393/</v>
      </c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</row>
    <row r="5064">
      <c r="A5064" s="5"/>
      <c r="B5064" s="5" t="str">
        <f>IFERROR(__xludf.DUMMYFUNCTION("""COMPUTED_VALUE"""),"هیأت")</f>
        <v>هیأت</v>
      </c>
      <c r="C5064" s="5" t="str">
        <f>IFERROR(__xludf.DUMMYFUNCTION("""COMPUTED_VALUE"""),"قمر بنی هاشم(ع)")</f>
        <v>قمر بنی هاشم(ع)</v>
      </c>
      <c r="D5064" s="5" t="str">
        <f>IFERROR(__xludf.DUMMYFUNCTION("""COMPUTED_VALUE"""),"مرکزی")</f>
        <v>مرکزی</v>
      </c>
      <c r="E5064" s="5" t="str">
        <f>IFERROR(__xludf.DUMMYFUNCTION("""COMPUTED_VALUE"""),"اراک")</f>
        <v>اراک</v>
      </c>
      <c r="F5064" s="5" t="str">
        <f>IFERROR(__xludf.DUMMYFUNCTION("""COMPUTED_VALUE"""),"کارچان")</f>
        <v>کارچان</v>
      </c>
      <c r="G5064" s="5"/>
      <c r="H5064" s="6" t="str">
        <f>IFERROR(__xludf.DUMMYFUNCTION("""COMPUTED_VALUE"""),"https://www.instagram.com/harimghamar/")</f>
        <v>https://www.instagram.com/harimghamar/</v>
      </c>
      <c r="I5064" s="6" t="str">
        <f>IFERROR(__xludf.DUMMYFUNCTION("""COMPUTED_VALUE"""),"https://t.me/harimghamar")</f>
        <v>https://t.me/harimghamar</v>
      </c>
      <c r="J5064" s="5"/>
      <c r="K5064" s="5"/>
      <c r="L5064" s="5"/>
      <c r="M5064" s="5"/>
      <c r="N5064" s="5"/>
      <c r="O5064" s="5"/>
      <c r="P5064" s="5"/>
      <c r="Q5064" s="5"/>
      <c r="R5064" s="5"/>
      <c r="S5064" s="5"/>
    </row>
    <row r="5065">
      <c r="A5065" s="5"/>
      <c r="B5065" s="5" t="str">
        <f>IFERROR(__xludf.DUMMYFUNCTION("""COMPUTED_VALUE"""),"هیأت")</f>
        <v>هیأت</v>
      </c>
      <c r="C5065" s="5" t="str">
        <f>IFERROR(__xludf.DUMMYFUNCTION("""COMPUTED_VALUE"""),"محبان شهدای")</f>
        <v>محبان شهدای</v>
      </c>
      <c r="D5065" s="5" t="str">
        <f>IFERROR(__xludf.DUMMYFUNCTION("""COMPUTED_VALUE"""),"مرکزی")</f>
        <v>مرکزی</v>
      </c>
      <c r="E5065" s="5" t="str">
        <f>IFERROR(__xludf.DUMMYFUNCTION("""COMPUTED_VALUE"""),"اراک")</f>
        <v>اراک</v>
      </c>
      <c r="F5065" s="5"/>
      <c r="G5065" s="5"/>
      <c r="H5065" s="6" t="str">
        <f>IFERROR(__xludf.DUMMYFUNCTION("""COMPUTED_VALUE"""),"https://www.instagram.com/mohebban.shohada")</f>
        <v>https://www.instagram.com/mohebban.shohada</v>
      </c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</row>
    <row r="5066">
      <c r="A5066" s="5"/>
      <c r="B5066" s="5" t="str">
        <f>IFERROR(__xludf.DUMMYFUNCTION("""COMPUTED_VALUE"""),"هیأت دخترانه")</f>
        <v>هیأت دخترانه</v>
      </c>
      <c r="C5066" s="5" t="str">
        <f>IFERROR(__xludf.DUMMYFUNCTION("""COMPUTED_VALUE"""),"فاطمی")</f>
        <v>فاطمی</v>
      </c>
      <c r="D5066" s="5" t="str">
        <f>IFERROR(__xludf.DUMMYFUNCTION("""COMPUTED_VALUE"""),"مرکزی")</f>
        <v>مرکزی</v>
      </c>
      <c r="E5066" s="5" t="str">
        <f>IFERROR(__xludf.DUMMYFUNCTION("""COMPUTED_VALUE"""),"اراک")</f>
        <v>اراک</v>
      </c>
      <c r="F5066" s="5" t="str">
        <f>IFERROR(__xludf.DUMMYFUNCTION("""COMPUTED_VALUE"""),"جیریا")</f>
        <v>جیریا</v>
      </c>
      <c r="G5066" s="5"/>
      <c r="H5066" s="6" t="str">
        <f>IFERROR(__xludf.DUMMYFUNCTION("""COMPUTED_VALUE"""),"https://www.instagram.com/fatemeeee_ir")</f>
        <v>https://www.instagram.com/fatemeeee_ir</v>
      </c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</row>
    <row r="5067">
      <c r="A5067" s="5"/>
      <c r="B5067" s="5" t="str">
        <f>IFERROR(__xludf.DUMMYFUNCTION("""COMPUTED_VALUE"""),"هیأت")</f>
        <v>هیأت</v>
      </c>
      <c r="C5067" s="5" t="str">
        <f>IFERROR(__xludf.DUMMYFUNCTION("""COMPUTED_VALUE"""),"زینبیون")</f>
        <v>زینبیون</v>
      </c>
      <c r="D5067" s="5" t="str">
        <f>IFERROR(__xludf.DUMMYFUNCTION("""COMPUTED_VALUE"""),"مرکزی")</f>
        <v>مرکزی</v>
      </c>
      <c r="E5067" s="5" t="str">
        <f>IFERROR(__xludf.DUMMYFUNCTION("""COMPUTED_VALUE"""),"تفرش")</f>
        <v>تفرش</v>
      </c>
      <c r="F5067" s="5"/>
      <c r="G5067" s="5"/>
      <c r="H5067" s="6" t="str">
        <f>IFERROR(__xludf.DUMMYFUNCTION("""COMPUTED_VALUE"""),"https://www.instagram.com/zeinabiun_tafresh_69/")</f>
        <v>https://www.instagram.com/zeinabiun_tafresh_69/</v>
      </c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</row>
    <row r="5068">
      <c r="A5068" s="5"/>
      <c r="B5068" s="5" t="str">
        <f>IFERROR(__xludf.DUMMYFUNCTION("""COMPUTED_VALUE"""),"هیأت")</f>
        <v>هیأت</v>
      </c>
      <c r="C5068" s="5" t="str">
        <f>IFERROR(__xludf.DUMMYFUNCTION("""COMPUTED_VALUE"""),"آل یاسین (ع)")</f>
        <v>آل یاسین (ع)</v>
      </c>
      <c r="D5068" s="5" t="str">
        <f>IFERROR(__xludf.DUMMYFUNCTION("""COMPUTED_VALUE"""),"مرکزی")</f>
        <v>مرکزی</v>
      </c>
      <c r="E5068" s="5" t="str">
        <f>IFERROR(__xludf.DUMMYFUNCTION("""COMPUTED_VALUE"""),"تفرش")</f>
        <v>تفرش</v>
      </c>
      <c r="F5068" s="5"/>
      <c r="G5068" s="5"/>
      <c r="H5068" s="6" t="str">
        <f>IFERROR(__xludf.DUMMYFUNCTION("""COMPUTED_VALUE"""),"https://www.instagram.com/heyat_al_yasin_tafresh/")</f>
        <v>https://www.instagram.com/heyat_al_yasin_tafresh/</v>
      </c>
      <c r="I5068" s="6" t="str">
        <f>IFERROR(__xludf.DUMMYFUNCTION("""COMPUTED_VALUE"""),"https://t.me/aleyasinetafresh")</f>
        <v>https://t.me/aleyasinetafresh</v>
      </c>
      <c r="J5068" s="5"/>
      <c r="K5068" s="5"/>
      <c r="L5068" s="5"/>
      <c r="M5068" s="5"/>
      <c r="N5068" s="5"/>
      <c r="O5068" s="5"/>
      <c r="P5068" s="5"/>
      <c r="Q5068" s="5"/>
      <c r="R5068" s="5"/>
      <c r="S5068" s="5"/>
    </row>
    <row r="5069">
      <c r="A5069" s="5"/>
      <c r="B5069" s="5" t="str">
        <f>IFERROR(__xludf.DUMMYFUNCTION("""COMPUTED_VALUE"""),"هیأت")</f>
        <v>هیأت</v>
      </c>
      <c r="C5069" s="5" t="str">
        <f>IFERROR(__xludf.DUMMYFUNCTION("""COMPUTED_VALUE"""),"ریحانة‌الحسین")</f>
        <v>ریحانة‌الحسین</v>
      </c>
      <c r="D5069" s="5" t="str">
        <f>IFERROR(__xludf.DUMMYFUNCTION("""COMPUTED_VALUE"""),"مرکزی")</f>
        <v>مرکزی</v>
      </c>
      <c r="E5069" s="5" t="str">
        <f>IFERROR(__xludf.DUMMYFUNCTION("""COMPUTED_VALUE"""),"تفرش")</f>
        <v>تفرش</v>
      </c>
      <c r="F5069" s="5"/>
      <c r="G5069" s="5"/>
      <c r="H5069" s="6" t="str">
        <f>IFERROR(__xludf.DUMMYFUNCTION("""COMPUTED_VALUE"""),"https://www.instagram.com/mahfel.reyhanatolhosein315/")</f>
        <v>https://www.instagram.com/mahfel.reyhanatolhosein315/</v>
      </c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</row>
    <row r="5070">
      <c r="A5070" s="5"/>
      <c r="B5070" s="5" t="str">
        <f>IFERROR(__xludf.DUMMYFUNCTION("""COMPUTED_VALUE"""),"هیأت")</f>
        <v>هیأت</v>
      </c>
      <c r="C5070" s="5" t="str">
        <f>IFERROR(__xludf.DUMMYFUNCTION("""COMPUTED_VALUE"""),"فاطمیه(س)")</f>
        <v>فاطمیه(س)</v>
      </c>
      <c r="D5070" s="5" t="str">
        <f>IFERROR(__xludf.DUMMYFUNCTION("""COMPUTED_VALUE"""),"مرکزی")</f>
        <v>مرکزی</v>
      </c>
      <c r="E5070" s="5" t="str">
        <f>IFERROR(__xludf.DUMMYFUNCTION("""COMPUTED_VALUE"""),"تفرش")</f>
        <v>تفرش</v>
      </c>
      <c r="F5070" s="5" t="str">
        <f>IFERROR(__xludf.DUMMYFUNCTION("""COMPUTED_VALUE"""),"ششناو")</f>
        <v>ششناو</v>
      </c>
      <c r="G5070" s="5"/>
      <c r="H5070" s="6" t="str">
        <f>IFERROR(__xludf.DUMMYFUNCTION("""COMPUTED_VALUE"""),"https://www.instagram.com/heyat_fatemiye_sheshnav")</f>
        <v>https://www.instagram.com/heyat_fatemiye_sheshnav</v>
      </c>
      <c r="I5070" s="6" t="str">
        <f>IFERROR(__xludf.DUMMYFUNCTION("""COMPUTED_VALUE"""),"https://t.me/heyatfatemiehsheshnav")</f>
        <v>https://t.me/heyatfatemiehsheshnav</v>
      </c>
      <c r="J5070" s="5"/>
      <c r="K5070" s="5"/>
      <c r="L5070" s="5"/>
      <c r="M5070" s="5"/>
      <c r="N5070" s="5"/>
      <c r="O5070" s="5"/>
      <c r="P5070" s="5"/>
      <c r="Q5070" s="5"/>
      <c r="R5070" s="5"/>
      <c r="S5070" s="5"/>
    </row>
    <row r="5071">
      <c r="A5071" s="5"/>
      <c r="B5071" s="5" t="str">
        <f>IFERROR(__xludf.DUMMYFUNCTION("""COMPUTED_VALUE"""),"هیأت")</f>
        <v>هیأت</v>
      </c>
      <c r="C5071" s="5" t="str">
        <f>IFERROR(__xludf.DUMMYFUNCTION("""COMPUTED_VALUE"""),"بین الحرمین")</f>
        <v>بین الحرمین</v>
      </c>
      <c r="D5071" s="5" t="str">
        <f>IFERROR(__xludf.DUMMYFUNCTION("""COMPUTED_VALUE"""),"مرکزی")</f>
        <v>مرکزی</v>
      </c>
      <c r="E5071" s="5" t="str">
        <f>IFERROR(__xludf.DUMMYFUNCTION("""COMPUTED_VALUE"""),"تفرش")</f>
        <v>تفرش</v>
      </c>
      <c r="F5071" s="5"/>
      <c r="G5071" s="5"/>
      <c r="H5071" s="6" t="str">
        <f>IFERROR(__xludf.DUMMYFUNCTION("""COMPUTED_VALUE"""),"https://www.instagram.com/beynolharameyn_tafresh")</f>
        <v>https://www.instagram.com/beynolharameyn_tafresh</v>
      </c>
      <c r="I5071" s="6" t="str">
        <f>IFERROR(__xludf.DUMMYFUNCTION("""COMPUTED_VALUE"""),"https://t.me/beynolharameyn_tafresh")</f>
        <v>https://t.me/beynolharameyn_tafresh</v>
      </c>
      <c r="J5071" s="5"/>
      <c r="K5071" s="5"/>
      <c r="L5071" s="5"/>
      <c r="M5071" s="5"/>
      <c r="N5071" s="5"/>
      <c r="O5071" s="5"/>
      <c r="P5071" s="5"/>
      <c r="Q5071" s="5"/>
      <c r="R5071" s="5"/>
      <c r="S5071" s="5"/>
    </row>
    <row r="5072">
      <c r="A5072" s="5"/>
      <c r="B5072" s="5" t="str">
        <f>IFERROR(__xludf.DUMMYFUNCTION("""COMPUTED_VALUE"""),"حسینیه")</f>
        <v>حسینیه</v>
      </c>
      <c r="C5072" s="5" t="str">
        <f>IFERROR(__xludf.DUMMYFUNCTION("""COMPUTED_VALUE"""),"بعثت")</f>
        <v>بعثت</v>
      </c>
      <c r="D5072" s="5" t="str">
        <f>IFERROR(__xludf.DUMMYFUNCTION("""COMPUTED_VALUE"""),"مرکزی")</f>
        <v>مرکزی</v>
      </c>
      <c r="E5072" s="5" t="str">
        <f>IFERROR(__xludf.DUMMYFUNCTION("""COMPUTED_VALUE"""),"تفرش")</f>
        <v>تفرش</v>
      </c>
      <c r="F5072" s="5"/>
      <c r="G5072" s="5"/>
      <c r="H5072" s="6" t="str">
        <f>IFERROR(__xludf.DUMMYFUNCTION("""COMPUTED_VALUE"""),"https://www.instagram.com/tafreshhb")</f>
        <v>https://www.instagram.com/tafreshhb</v>
      </c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</row>
    <row r="5073">
      <c r="A5073" s="5"/>
      <c r="B5073" s="5" t="str">
        <f>IFERROR(__xludf.DUMMYFUNCTION("""COMPUTED_VALUE"""),"هیأت")</f>
        <v>هیأت</v>
      </c>
      <c r="C5073" s="5" t="str">
        <f>IFERROR(__xludf.DUMMYFUNCTION("""COMPUTED_VALUE"""),"میثاق با شهدا")</f>
        <v>میثاق با شهدا</v>
      </c>
      <c r="D5073" s="5" t="str">
        <f>IFERROR(__xludf.DUMMYFUNCTION("""COMPUTED_VALUE"""),"مرکزی")</f>
        <v>مرکزی</v>
      </c>
      <c r="E5073" s="5" t="str">
        <f>IFERROR(__xludf.DUMMYFUNCTION("""COMPUTED_VALUE"""),"تفرش")</f>
        <v>تفرش</v>
      </c>
      <c r="F5073" s="5" t="str">
        <f>IFERROR(__xludf.DUMMYFUNCTION("""COMPUTED_VALUE"""),"ششناو")</f>
        <v>ششناو</v>
      </c>
      <c r="G5073" s="5"/>
      <c r="H5073" s="6" t="str">
        <f>IFERROR(__xludf.DUMMYFUNCTION("""COMPUTED_VALUE"""),"https://www.instagram.com/tafresh.mokeb/")</f>
        <v>https://www.instagram.com/tafresh.mokeb/</v>
      </c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</row>
    <row r="5074">
      <c r="A5074" s="5"/>
      <c r="B5074" s="5" t="str">
        <f>IFERROR(__xludf.DUMMYFUNCTION("""COMPUTED_VALUE"""),"هیأت دانشجویی")</f>
        <v>هیأت دانشجویی</v>
      </c>
      <c r="C5074" s="5" t="str">
        <f>IFERROR(__xludf.DUMMYFUNCTION("""COMPUTED_VALUE"""),"محبان اهل بیت(ع)")</f>
        <v>محبان اهل بیت(ع)</v>
      </c>
      <c r="D5074" s="5" t="str">
        <f>IFERROR(__xludf.DUMMYFUNCTION("""COMPUTED_VALUE"""),"مرکزی")</f>
        <v>مرکزی</v>
      </c>
      <c r="E5074" s="5" t="str">
        <f>IFERROR(__xludf.DUMMYFUNCTION("""COMPUTED_VALUE"""),"تفرش")</f>
        <v>تفرش</v>
      </c>
      <c r="F5074" s="5" t="str">
        <f>IFERROR(__xludf.DUMMYFUNCTION("""COMPUTED_VALUE"""),"دانشگاه تفرش")</f>
        <v>دانشگاه تفرش</v>
      </c>
      <c r="G5074" s="5"/>
      <c r="H5074" s="6" t="str">
        <f>IFERROR(__xludf.DUMMYFUNCTION("""COMPUTED_VALUE"""),"https://www.instagram.com/heyat_azam_hazrat_abalfazl/")</f>
        <v>https://www.instagram.com/heyat_azam_hazrat_abalfazl/</v>
      </c>
      <c r="I5074" s="5"/>
      <c r="J5074" s="6" t="str">
        <f>IFERROR(__xludf.DUMMYFUNCTION("""COMPUTED_VALUE"""),"https://eitaa.com/heyat_tu")</f>
        <v>https://eitaa.com/heyat_tu</v>
      </c>
      <c r="K5074" s="5"/>
      <c r="L5074" s="5"/>
      <c r="M5074" s="5"/>
      <c r="N5074" s="5"/>
      <c r="O5074" s="5"/>
      <c r="P5074" s="5"/>
      <c r="Q5074" s="5"/>
      <c r="R5074" s="5"/>
      <c r="S5074" s="5"/>
    </row>
    <row r="5075">
      <c r="A5075" s="5">
        <f>IFERROR(__xludf.DUMMYFUNCTION("""COMPUTED_VALUE"""),23439.0)</f>
        <v>23439</v>
      </c>
      <c r="B5075" s="5"/>
      <c r="C5075" s="5" t="str">
        <f>IFERROR(__xludf.DUMMYFUNCTION("""COMPUTED_VALUE"""),"قاسم بن الحسن (ع)")</f>
        <v>قاسم بن الحسن (ع)</v>
      </c>
      <c r="D5075" s="5" t="str">
        <f>IFERROR(__xludf.DUMMYFUNCTION("""COMPUTED_VALUE"""),"مرکزی")</f>
        <v>مرکزی</v>
      </c>
      <c r="E5075" s="5" t="str">
        <f>IFERROR(__xludf.DUMMYFUNCTION("""COMPUTED_VALUE"""),"خمین")</f>
        <v>خمین</v>
      </c>
      <c r="F5075" s="5"/>
      <c r="G5075" s="5"/>
      <c r="H5075" s="5"/>
      <c r="I5075" s="5"/>
      <c r="J5075" s="6" t="str">
        <f>IFERROR(__xludf.DUMMYFUNCTION("""COMPUTED_VALUE"""),"https://eitaa.com/heiat_khatam")</f>
        <v>https://eitaa.com/heiat_khatam</v>
      </c>
      <c r="K5075" s="5"/>
      <c r="L5075" s="5"/>
      <c r="M5075" s="5"/>
      <c r="N5075" s="5"/>
      <c r="O5075" s="5"/>
      <c r="P5075" s="5"/>
      <c r="Q5075" s="5"/>
      <c r="R5075" s="5"/>
      <c r="S5075" s="5"/>
    </row>
    <row r="5076">
      <c r="A5076" s="5">
        <f>IFERROR(__xludf.DUMMYFUNCTION("""COMPUTED_VALUE"""),22632.0)</f>
        <v>22632</v>
      </c>
      <c r="B5076" s="5"/>
      <c r="C5076" s="5" t="str">
        <f>IFERROR(__xludf.DUMMYFUNCTION("""COMPUTED_VALUE"""),"ساقی عطشان کربلا")</f>
        <v>ساقی عطشان کربلا</v>
      </c>
      <c r="D5076" s="5" t="str">
        <f>IFERROR(__xludf.DUMMYFUNCTION("""COMPUTED_VALUE"""),"مرکزی")</f>
        <v>مرکزی</v>
      </c>
      <c r="E5076" s="5" t="str">
        <f>IFERROR(__xludf.DUMMYFUNCTION("""COMPUTED_VALUE"""),"خمین")</f>
        <v>خمین</v>
      </c>
      <c r="F5076" s="5"/>
      <c r="G5076" s="5"/>
      <c r="H5076" s="6" t="str">
        <f>IFERROR(__xludf.DUMMYFUNCTION("""COMPUTED_VALUE"""),"https://instagram.com/khomeinmookeb")</f>
        <v>https://instagram.com/khomeinmookeb</v>
      </c>
      <c r="I5076" s="6" t="str">
        <f>IFERROR(__xludf.DUMMYFUNCTION("""COMPUTED_VALUE"""),"https://t.me/khomeinMookeb")</f>
        <v>https://t.me/khomeinMookeb</v>
      </c>
      <c r="J5076" s="6" t="str">
        <f>IFERROR(__xludf.DUMMYFUNCTION("""COMPUTED_VALUE"""),"https://eitaa.com/khomeinmookeb")</f>
        <v>https://eitaa.com/khomeinmookeb</v>
      </c>
      <c r="K5076" s="5"/>
      <c r="L5076" s="5"/>
      <c r="M5076" s="5"/>
      <c r="N5076" s="5"/>
      <c r="O5076" s="5"/>
      <c r="P5076" s="5"/>
      <c r="Q5076" s="5"/>
      <c r="R5076" s="5"/>
      <c r="S5076" s="5"/>
    </row>
    <row r="5077">
      <c r="A5077" s="5">
        <f>IFERROR(__xludf.DUMMYFUNCTION("""COMPUTED_VALUE"""),19924.0)</f>
        <v>19924</v>
      </c>
      <c r="B5077" s="5"/>
      <c r="C5077" s="5" t="str">
        <f>IFERROR(__xludf.DUMMYFUNCTION("""COMPUTED_VALUE"""),"حوزه علمیه قرآن و عترت")</f>
        <v>حوزه علمیه قرآن و عترت</v>
      </c>
      <c r="D5077" s="5" t="str">
        <f>IFERROR(__xludf.DUMMYFUNCTION("""COMPUTED_VALUE"""),"مرکزی")</f>
        <v>مرکزی</v>
      </c>
      <c r="E5077" s="5" t="str">
        <f>IFERROR(__xludf.DUMMYFUNCTION("""COMPUTED_VALUE"""),"خمین")</f>
        <v>خمین</v>
      </c>
      <c r="F5077" s="5"/>
      <c r="G5077" s="5"/>
      <c r="H5077" s="5"/>
      <c r="I5077" s="5"/>
      <c r="J5077" s="6" t="str">
        <f>IFERROR(__xludf.DUMMYFUNCTION("""COMPUTED_VALUE"""),"https://eitaa.com/Quran_Etrat_ac")</f>
        <v>https://eitaa.com/Quran_Etrat_ac</v>
      </c>
      <c r="K5077" s="5"/>
      <c r="L5077" s="5"/>
      <c r="M5077" s="5"/>
      <c r="N5077" s="5"/>
      <c r="O5077" s="5"/>
      <c r="P5077" s="5"/>
      <c r="Q5077" s="5"/>
      <c r="R5077" s="5"/>
      <c r="S5077" s="5"/>
    </row>
    <row r="5078">
      <c r="A5078" s="5"/>
      <c r="B5078" s="5" t="str">
        <f>IFERROR(__xludf.DUMMYFUNCTION("""COMPUTED_VALUE"""),"هیأت")</f>
        <v>هیأت</v>
      </c>
      <c r="C5078" s="5" t="str">
        <f>IFERROR(__xludf.DUMMYFUNCTION("""COMPUTED_VALUE"""),"امیرالمؤمنین (ع)")</f>
        <v>امیرالمؤمنین (ع)</v>
      </c>
      <c r="D5078" s="5" t="str">
        <f>IFERROR(__xludf.DUMMYFUNCTION("""COMPUTED_VALUE"""),"مرکزی")</f>
        <v>مرکزی</v>
      </c>
      <c r="E5078" s="5" t="str">
        <f>IFERROR(__xludf.DUMMYFUNCTION("""COMPUTED_VALUE"""),"خمین")</f>
        <v>خمین</v>
      </c>
      <c r="F5078" s="5"/>
      <c r="G5078" s="5"/>
      <c r="H5078" s="6" t="str">
        <f>IFERROR(__xludf.DUMMYFUNCTION("""COMPUTED_VALUE"""),"https://www.instagram.com/amir_momenin110/")</f>
        <v>https://www.instagram.com/amir_momenin110/</v>
      </c>
      <c r="I5078" s="6" t="str">
        <f>IFERROR(__xludf.DUMMYFUNCTION("""COMPUTED_VALUE"""),"https://t.me/amir_momenin110")</f>
        <v>https://t.me/amir_momenin110</v>
      </c>
      <c r="J5078" s="5"/>
      <c r="K5078" s="5"/>
      <c r="L5078" s="5"/>
      <c r="M5078" s="5"/>
      <c r="N5078" s="5"/>
      <c r="O5078" s="5"/>
      <c r="P5078" s="5"/>
      <c r="Q5078" s="5"/>
      <c r="R5078" s="5"/>
      <c r="S5078" s="5"/>
    </row>
    <row r="5079">
      <c r="A5079" s="5"/>
      <c r="B5079" s="5" t="str">
        <f>IFERROR(__xludf.DUMMYFUNCTION("""COMPUTED_VALUE"""),"هیأت")</f>
        <v>هیأت</v>
      </c>
      <c r="C5079" s="5" t="str">
        <f>IFERROR(__xludf.DUMMYFUNCTION("""COMPUTED_VALUE"""),"جان نثاران حضرت اباالفضل علیه السلام")</f>
        <v>جان نثاران حضرت اباالفضل علیه السلام</v>
      </c>
      <c r="D5079" s="5" t="str">
        <f>IFERROR(__xludf.DUMMYFUNCTION("""COMPUTED_VALUE"""),"مرکزی")</f>
        <v>مرکزی</v>
      </c>
      <c r="E5079" s="5" t="str">
        <f>IFERROR(__xludf.DUMMYFUNCTION("""COMPUTED_VALUE"""),"خمین")</f>
        <v>خمین</v>
      </c>
      <c r="F5079" s="5"/>
      <c r="G5079" s="5"/>
      <c r="H5079" s="6" t="str">
        <f>IFERROR(__xludf.DUMMYFUNCTION("""COMPUTED_VALUE"""),"https://www.instagram.com/jannesaran1/")</f>
        <v>https://www.instagram.com/jannesaran1/</v>
      </c>
      <c r="I5079" s="6" t="str">
        <f>IFERROR(__xludf.DUMMYFUNCTION("""COMPUTED_VALUE"""),"https://t.me/jannesaran1")</f>
        <v>https://t.me/jannesaran1</v>
      </c>
      <c r="J5079" s="6" t="str">
        <f>IFERROR(__xludf.DUMMYFUNCTION("""COMPUTED_VALUE"""),"https://eitaa.com/jannesaran1")</f>
        <v>https://eitaa.com/jannesaran1</v>
      </c>
      <c r="K5079" s="5"/>
      <c r="L5079" s="5"/>
      <c r="M5079" s="5"/>
      <c r="N5079" s="5"/>
      <c r="O5079" s="5"/>
      <c r="P5079" s="5"/>
      <c r="Q5079" s="5"/>
      <c r="R5079" s="5"/>
      <c r="S5079" s="5"/>
    </row>
    <row r="5080">
      <c r="A5080" s="5"/>
      <c r="B5080" s="5" t="str">
        <f>IFERROR(__xludf.DUMMYFUNCTION("""COMPUTED_VALUE"""),"هیأت")</f>
        <v>هیأت</v>
      </c>
      <c r="C5080" s="5" t="str">
        <f>IFERROR(__xludf.DUMMYFUNCTION("""COMPUTED_VALUE"""),"مکتب الزهرا (س)")</f>
        <v>مکتب الزهرا (س)</v>
      </c>
      <c r="D5080" s="5" t="str">
        <f>IFERROR(__xludf.DUMMYFUNCTION("""COMPUTED_VALUE"""),"مرکزی")</f>
        <v>مرکزی</v>
      </c>
      <c r="E5080" s="5" t="str">
        <f>IFERROR(__xludf.DUMMYFUNCTION("""COMPUTED_VALUE"""),"خمین")</f>
        <v>خمین</v>
      </c>
      <c r="F5080" s="5"/>
      <c r="G5080" s="5"/>
      <c r="H5080" s="6" t="str">
        <f>IFERROR(__xludf.DUMMYFUNCTION("""COMPUTED_VALUE"""),"https://www.instagram.com/mzkhomeyn/")</f>
        <v>https://www.instagram.com/mzkhomeyn/</v>
      </c>
      <c r="I5080" s="6" t="str">
        <f>IFERROR(__xludf.DUMMYFUNCTION("""COMPUTED_VALUE"""),"https://t.me/mzkhomeyn")</f>
        <v>https://t.me/mzkhomeyn</v>
      </c>
      <c r="J5080" s="5"/>
      <c r="K5080" s="5"/>
      <c r="L5080" s="5"/>
      <c r="M5080" s="5"/>
      <c r="N5080" s="5"/>
      <c r="O5080" s="5"/>
      <c r="P5080" s="5"/>
      <c r="Q5080" s="5"/>
      <c r="R5080" s="5"/>
      <c r="S5080" s="5"/>
    </row>
    <row r="5081">
      <c r="A5081" s="5"/>
      <c r="B5081" s="5" t="str">
        <f>IFERROR(__xludf.DUMMYFUNCTION("""COMPUTED_VALUE"""),"هیأت")</f>
        <v>هیأت</v>
      </c>
      <c r="C5081" s="5" t="str">
        <f>IFERROR(__xludf.DUMMYFUNCTION("""COMPUTED_VALUE"""),"حسین جان")</f>
        <v>حسین جان</v>
      </c>
      <c r="D5081" s="5" t="str">
        <f>IFERROR(__xludf.DUMMYFUNCTION("""COMPUTED_VALUE"""),"مرکزی")</f>
        <v>مرکزی</v>
      </c>
      <c r="E5081" s="5" t="str">
        <f>IFERROR(__xludf.DUMMYFUNCTION("""COMPUTED_VALUE"""),"خمین")</f>
        <v>خمین</v>
      </c>
      <c r="F5081" s="5"/>
      <c r="G5081" s="5"/>
      <c r="H5081" s="6" t="str">
        <f>IFERROR(__xludf.DUMMYFUNCTION("""COMPUTED_VALUE"""),"https://www.instagram.com/heyat_hoseynjan_khomein")</f>
        <v>https://www.instagram.com/heyat_hoseynjan_khomein</v>
      </c>
      <c r="I5081" s="6" t="str">
        <f>IFERROR(__xludf.DUMMYFUNCTION("""COMPUTED_VALUE"""),"https://t.me/heyat_hoseyn_jan_khomeyn")</f>
        <v>https://t.me/heyat_hoseyn_jan_khomeyn</v>
      </c>
      <c r="J5081" s="5"/>
      <c r="K5081" s="5"/>
      <c r="L5081" s="5"/>
      <c r="M5081" s="5"/>
      <c r="N5081" s="5"/>
      <c r="O5081" s="5"/>
      <c r="P5081" s="5"/>
      <c r="Q5081" s="5"/>
      <c r="R5081" s="5"/>
      <c r="S5081" s="5"/>
    </row>
    <row r="5082">
      <c r="A5082" s="5"/>
      <c r="B5082" s="5" t="str">
        <f>IFERROR(__xludf.DUMMYFUNCTION("""COMPUTED_VALUE"""),"هیأت")</f>
        <v>هیأت</v>
      </c>
      <c r="C5082" s="5" t="str">
        <f>IFERROR(__xludf.DUMMYFUNCTION("""COMPUTED_VALUE"""),"پرچمداران ثارالله (ع)")</f>
        <v>پرچمداران ثارالله (ع)</v>
      </c>
      <c r="D5082" s="5" t="str">
        <f>IFERROR(__xludf.DUMMYFUNCTION("""COMPUTED_VALUE"""),"مرکزی")</f>
        <v>مرکزی</v>
      </c>
      <c r="E5082" s="5" t="str">
        <f>IFERROR(__xludf.DUMMYFUNCTION("""COMPUTED_VALUE"""),"خمین")</f>
        <v>خمین</v>
      </c>
      <c r="F5082" s="5"/>
      <c r="G5082" s="5"/>
      <c r="H5082" s="6" t="str">
        <f>IFERROR(__xludf.DUMMYFUNCTION("""COMPUTED_VALUE"""),"https://www.instagram.com/parchamdaran_1392/")</f>
        <v>https://www.instagram.com/parchamdaran_1392/</v>
      </c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</row>
    <row r="5083">
      <c r="A5083" s="5"/>
      <c r="B5083" s="5" t="str">
        <f>IFERROR(__xludf.DUMMYFUNCTION("""COMPUTED_VALUE"""),"هیأت")</f>
        <v>هیأت</v>
      </c>
      <c r="C5083" s="5" t="str">
        <f>IFERROR(__xludf.DUMMYFUNCTION("""COMPUTED_VALUE"""),"حضرت قاسم ابن الحسن (علیه السلام)")</f>
        <v>حضرت قاسم ابن الحسن (علیه السلام)</v>
      </c>
      <c r="D5083" s="5" t="str">
        <f>IFERROR(__xludf.DUMMYFUNCTION("""COMPUTED_VALUE"""),"مرکزی")</f>
        <v>مرکزی</v>
      </c>
      <c r="E5083" s="5" t="str">
        <f>IFERROR(__xludf.DUMMYFUNCTION("""COMPUTED_VALUE"""),"خمین")</f>
        <v>خمین</v>
      </c>
      <c r="F5083" s="5"/>
      <c r="G5083" s="5"/>
      <c r="H5083" s="6" t="str">
        <f>IFERROR(__xludf.DUMMYFUNCTION("""COMPUTED_VALUE"""),"https://www.instagram.com/heiat_khatam")</f>
        <v>https://www.instagram.com/heiat_khatam</v>
      </c>
      <c r="I5083" s="5"/>
      <c r="J5083" s="5"/>
      <c r="K5083" s="5"/>
      <c r="L5083" s="5"/>
      <c r="M5083" s="5"/>
      <c r="N5083" s="5"/>
      <c r="O5083" s="5"/>
      <c r="P5083" s="5"/>
      <c r="Q5083" s="5"/>
      <c r="R5083" s="5"/>
      <c r="S5083" s="5"/>
    </row>
    <row r="5084">
      <c r="A5084" s="5"/>
      <c r="B5084" s="5" t="str">
        <f>IFERROR(__xludf.DUMMYFUNCTION("""COMPUTED_VALUE"""),"هیأت")</f>
        <v>هیأت</v>
      </c>
      <c r="C5084" s="5" t="str">
        <f>IFERROR(__xludf.DUMMYFUNCTION("""COMPUTED_VALUE"""),"چهارده معصوم")</f>
        <v>چهارده معصوم</v>
      </c>
      <c r="D5084" s="5" t="str">
        <f>IFERROR(__xludf.DUMMYFUNCTION("""COMPUTED_VALUE"""),"مرکزی")</f>
        <v>مرکزی</v>
      </c>
      <c r="E5084" s="5" t="str">
        <f>IFERROR(__xludf.DUMMYFUNCTION("""COMPUTED_VALUE"""),"خمین")</f>
        <v>خمین</v>
      </c>
      <c r="F5084" s="5"/>
      <c r="G5084" s="5"/>
      <c r="H5084" s="6" t="str">
        <f>IFERROR(__xludf.DUMMYFUNCTION("""COMPUTED_VALUE"""),"https://www.instagram.com/h_14masum/")</f>
        <v>https://www.instagram.com/h_14masum/</v>
      </c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</row>
    <row r="5085">
      <c r="A5085" s="5"/>
      <c r="B5085" s="5" t="str">
        <f>IFERROR(__xludf.DUMMYFUNCTION("""COMPUTED_VALUE"""),"هیأت")</f>
        <v>هیأت</v>
      </c>
      <c r="C5085" s="5" t="str">
        <f>IFERROR(__xludf.DUMMYFUNCTION("""COMPUTED_VALUE"""),"منتظران ظهور")</f>
        <v>منتظران ظهور</v>
      </c>
      <c r="D5085" s="5" t="str">
        <f>IFERROR(__xludf.DUMMYFUNCTION("""COMPUTED_VALUE"""),"مرکزی")</f>
        <v>مرکزی</v>
      </c>
      <c r="E5085" s="5" t="str">
        <f>IFERROR(__xludf.DUMMYFUNCTION("""COMPUTED_VALUE"""),"خمین")</f>
        <v>خمین</v>
      </c>
      <c r="F5085" s="5"/>
      <c r="G5085" s="5"/>
      <c r="H5085" s="6" t="str">
        <f>IFERROR(__xludf.DUMMYFUNCTION("""COMPUTED_VALUE"""),"https://www.instagram.com/montazeran_khomein/")</f>
        <v>https://www.instagram.com/montazeran_khomein/</v>
      </c>
      <c r="I5085" s="6" t="str">
        <f>IFERROR(__xludf.DUMMYFUNCTION("""COMPUTED_VALUE"""),"https://t.me/montazeran_khomein")</f>
        <v>https://t.me/montazeran_khomein</v>
      </c>
      <c r="J5085" s="6" t="str">
        <f>IFERROR(__xludf.DUMMYFUNCTION("""COMPUTED_VALUE"""),"https://eitaa.com/montazeran_khomein")</f>
        <v>https://eitaa.com/montazeran_khomein</v>
      </c>
      <c r="K5085" s="5"/>
      <c r="L5085" s="5"/>
      <c r="M5085" s="5"/>
      <c r="N5085" s="5"/>
      <c r="O5085" s="5"/>
      <c r="P5085" s="5"/>
      <c r="Q5085" s="5"/>
      <c r="R5085" s="5"/>
      <c r="S5085" s="5"/>
    </row>
    <row r="5086">
      <c r="A5086" s="5"/>
      <c r="B5086" s="5" t="str">
        <f>IFERROR(__xludf.DUMMYFUNCTION("""COMPUTED_VALUE"""),"هیأت")</f>
        <v>هیأت</v>
      </c>
      <c r="C5086" s="5" t="str">
        <f>IFERROR(__xludf.DUMMYFUNCTION("""COMPUTED_VALUE"""),"بیت الحیدر (علیه السلام)")</f>
        <v>بیت الحیدر (علیه السلام)</v>
      </c>
      <c r="D5086" s="5" t="str">
        <f>IFERROR(__xludf.DUMMYFUNCTION("""COMPUTED_VALUE"""),"مرکزی")</f>
        <v>مرکزی</v>
      </c>
      <c r="E5086" s="5" t="str">
        <f>IFERROR(__xludf.DUMMYFUNCTION("""COMPUTED_VALUE"""),"خمین")</f>
        <v>خمین</v>
      </c>
      <c r="F5086" s="5"/>
      <c r="G5086" s="5"/>
      <c r="H5086" s="6" t="str">
        <f>IFERROR(__xludf.DUMMYFUNCTION("""COMPUTED_VALUE"""),"https://www.instagram.com/beytolheydar_khomein/")</f>
        <v>https://www.instagram.com/beytolheydar_khomein/</v>
      </c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</row>
    <row r="5087">
      <c r="A5087" s="5"/>
      <c r="B5087" s="5" t="str">
        <f>IFERROR(__xludf.DUMMYFUNCTION("""COMPUTED_VALUE"""),"هیأت")</f>
        <v>هیأت</v>
      </c>
      <c r="C5087" s="5" t="str">
        <f>IFERROR(__xludf.DUMMYFUNCTION("""COMPUTED_VALUE"""),"محبین اهل بیت ( علیه السلام ) محفل رهروان ولایت")</f>
        <v>محبین اهل بیت ( علیه السلام ) محفل رهروان ولایت</v>
      </c>
      <c r="D5087" s="5" t="str">
        <f>IFERROR(__xludf.DUMMYFUNCTION("""COMPUTED_VALUE"""),"مرکزی")</f>
        <v>مرکزی</v>
      </c>
      <c r="E5087" s="5" t="str">
        <f>IFERROR(__xludf.DUMMYFUNCTION("""COMPUTED_VALUE"""),"خمین")</f>
        <v>خمین</v>
      </c>
      <c r="F5087" s="5"/>
      <c r="G5087" s="5"/>
      <c r="H5087" s="6" t="str">
        <f>IFERROR(__xludf.DUMMYFUNCTION("""COMPUTED_VALUE"""),"https://www.instagram.com/mohebin_khomein/")</f>
        <v>https://www.instagram.com/mohebin_khomein/</v>
      </c>
      <c r="I5087" s="6" t="str">
        <f>IFERROR(__xludf.DUMMYFUNCTION("""COMPUTED_VALUE"""),"https://t.me/mohebin_khomein")</f>
        <v>https://t.me/mohebin_khomein</v>
      </c>
      <c r="J5087" s="5"/>
      <c r="K5087" s="5"/>
      <c r="L5087" s="5"/>
      <c r="M5087" s="5"/>
      <c r="N5087" s="5"/>
      <c r="O5087" s="5"/>
      <c r="P5087" s="5"/>
      <c r="Q5087" s="5"/>
      <c r="R5087" s="5"/>
      <c r="S5087" s="5"/>
    </row>
    <row r="5088">
      <c r="A5088" s="5"/>
      <c r="B5088" s="5" t="str">
        <f>IFERROR(__xludf.DUMMYFUNCTION("""COMPUTED_VALUE"""),"هیأت")</f>
        <v>هیأت</v>
      </c>
      <c r="C5088" s="5" t="str">
        <f>IFERROR(__xludf.DUMMYFUNCTION("""COMPUTED_VALUE"""),"ام البنین(س)")</f>
        <v>ام البنین(س)</v>
      </c>
      <c r="D5088" s="5" t="str">
        <f>IFERROR(__xludf.DUMMYFUNCTION("""COMPUTED_VALUE"""),"مرکزی")</f>
        <v>مرکزی</v>
      </c>
      <c r="E5088" s="5" t="str">
        <f>IFERROR(__xludf.DUMMYFUNCTION("""COMPUTED_VALUE"""),"خمین")</f>
        <v>خمین</v>
      </c>
      <c r="F5088" s="5"/>
      <c r="G5088" s="5"/>
      <c r="H5088" s="6" t="str">
        <f>IFERROR(__xludf.DUMMYFUNCTION("""COMPUTED_VALUE"""),"https://www.instagram.com/heyat_omolbaninkhomein/")</f>
        <v>https://www.instagram.com/heyat_omolbaninkhomein/</v>
      </c>
      <c r="I5088" s="6" t="str">
        <f>IFERROR(__xludf.DUMMYFUNCTION("""COMPUTED_VALUE"""),"https://t.me/khomeyn133")</f>
        <v>https://t.me/khomeyn133</v>
      </c>
      <c r="J5088" s="5"/>
      <c r="K5088" s="5"/>
      <c r="L5088" s="5"/>
      <c r="M5088" s="5"/>
      <c r="N5088" s="5"/>
      <c r="O5088" s="5"/>
      <c r="P5088" s="5"/>
      <c r="Q5088" s="5"/>
      <c r="R5088" s="5"/>
      <c r="S5088" s="5"/>
    </row>
    <row r="5089">
      <c r="A5089" s="5"/>
      <c r="B5089" s="5" t="str">
        <f>IFERROR(__xludf.DUMMYFUNCTION("""COMPUTED_VALUE"""),"هیأت زنجیرزنی")</f>
        <v>هیأت زنجیرزنی</v>
      </c>
      <c r="C5089" s="5" t="str">
        <f>IFERROR(__xludf.DUMMYFUNCTION("""COMPUTED_VALUE"""),"فاطمیه")</f>
        <v>فاطمیه</v>
      </c>
      <c r="D5089" s="5" t="str">
        <f>IFERROR(__xludf.DUMMYFUNCTION("""COMPUTED_VALUE"""),"مرکزی")</f>
        <v>مرکزی</v>
      </c>
      <c r="E5089" s="5" t="str">
        <f>IFERROR(__xludf.DUMMYFUNCTION("""COMPUTED_VALUE"""),"خمین")</f>
        <v>خمین</v>
      </c>
      <c r="F5089" s="5"/>
      <c r="G5089" s="5"/>
      <c r="H5089" s="6" t="str">
        <f>IFERROR(__xludf.DUMMYFUNCTION("""COMPUTED_VALUE"""),"https://www.instagram.com/hyyat_zanjir_zani.fatemyeh/")</f>
        <v>https://www.instagram.com/hyyat_zanjir_zani.fatemyeh/</v>
      </c>
      <c r="I5089" s="5"/>
      <c r="J5089" s="5"/>
      <c r="K5089" s="5"/>
      <c r="L5089" s="5"/>
      <c r="M5089" s="5"/>
      <c r="N5089" s="5"/>
      <c r="O5089" s="5"/>
      <c r="P5089" s="5"/>
      <c r="Q5089" s="5"/>
      <c r="R5089" s="5"/>
      <c r="S5089" s="5"/>
    </row>
    <row r="5090">
      <c r="A5090" s="5"/>
      <c r="B5090" s="5" t="str">
        <f>IFERROR(__xludf.DUMMYFUNCTION("""COMPUTED_VALUE"""),"هیأت")</f>
        <v>هیأت</v>
      </c>
      <c r="C5090" s="5" t="str">
        <f>IFERROR(__xludf.DUMMYFUNCTION("""COMPUTED_VALUE"""),"جنت الحسین(ع)")</f>
        <v>جنت الحسین(ع)</v>
      </c>
      <c r="D5090" s="5" t="str">
        <f>IFERROR(__xludf.DUMMYFUNCTION("""COMPUTED_VALUE"""),"مرکزی")</f>
        <v>مرکزی</v>
      </c>
      <c r="E5090" s="5" t="str">
        <f>IFERROR(__xludf.DUMMYFUNCTION("""COMPUTED_VALUE"""),"خمین")</f>
        <v>خمین</v>
      </c>
      <c r="F5090" s="5"/>
      <c r="G5090" s="5"/>
      <c r="H5090" s="6" t="str">
        <f>IFERROR(__xludf.DUMMYFUNCTION("""COMPUTED_VALUE"""),"https://www.instagram.com/heyatjanatkhomeni_110/")</f>
        <v>https://www.instagram.com/heyatjanatkhomeni_110/</v>
      </c>
      <c r="I5090" s="5"/>
      <c r="J5090" s="6" t="str">
        <f>IFERROR(__xludf.DUMMYFUNCTION("""COMPUTED_VALUE"""),"https://eitaa.com/heyatjanatkhomeni_110")</f>
        <v>https://eitaa.com/heyatjanatkhomeni_110</v>
      </c>
      <c r="K5090" s="5"/>
      <c r="L5090" s="5"/>
      <c r="M5090" s="5"/>
      <c r="N5090" s="5"/>
      <c r="O5090" s="5"/>
      <c r="P5090" s="5"/>
      <c r="Q5090" s="5"/>
      <c r="R5090" s="5"/>
      <c r="S5090" s="5"/>
    </row>
    <row r="5091">
      <c r="A5091" s="5"/>
      <c r="B5091" s="5"/>
      <c r="C5091" s="5" t="str">
        <f>IFERROR(__xludf.DUMMYFUNCTION("""COMPUTED_VALUE"""),"محبین الزهرا (س)")</f>
        <v>محبین الزهرا (س)</v>
      </c>
      <c r="D5091" s="5" t="str">
        <f>IFERROR(__xludf.DUMMYFUNCTION("""COMPUTED_VALUE"""),"مرکزی")</f>
        <v>مرکزی</v>
      </c>
      <c r="E5091" s="5" t="str">
        <f>IFERROR(__xludf.DUMMYFUNCTION("""COMPUTED_VALUE"""),"خنداب")</f>
        <v>خنداب</v>
      </c>
      <c r="F5091" s="5" t="str">
        <f>IFERROR(__xludf.DUMMYFUNCTION("""COMPUTED_VALUE"""),"جاورسیان")</f>
        <v>جاورسیان</v>
      </c>
      <c r="G5091" s="5"/>
      <c r="H5091" s="5"/>
      <c r="I5091" s="5"/>
      <c r="J5091" s="6" t="str">
        <f>IFERROR(__xludf.DUMMYFUNCTION("""COMPUTED_VALUE"""),"https://eitaa.com/mohebine_alzahra")</f>
        <v>https://eitaa.com/mohebine_alzahra</v>
      </c>
      <c r="K5091" s="5"/>
      <c r="L5091" s="5"/>
      <c r="M5091" s="5"/>
      <c r="N5091" s="5"/>
      <c r="O5091" s="5"/>
      <c r="P5091" s="5"/>
      <c r="Q5091" s="5"/>
      <c r="R5091" s="5"/>
      <c r="S5091" s="5"/>
    </row>
    <row r="5092">
      <c r="A5092" s="5">
        <f>IFERROR(__xludf.DUMMYFUNCTION("""COMPUTED_VALUE"""),15483.0)</f>
        <v>15483</v>
      </c>
      <c r="B5092" s="5"/>
      <c r="C5092" s="5" t="str">
        <f>IFERROR(__xludf.DUMMYFUNCTION("""COMPUTED_VALUE"""),"یاوران مهدی")</f>
        <v>یاوران مهدی</v>
      </c>
      <c r="D5092" s="5" t="str">
        <f>IFERROR(__xludf.DUMMYFUNCTION("""COMPUTED_VALUE"""),"مرکزی")</f>
        <v>مرکزی</v>
      </c>
      <c r="E5092" s="5" t="str">
        <f>IFERROR(__xludf.DUMMYFUNCTION("""COMPUTED_VALUE"""),"خنداب")</f>
        <v>خنداب</v>
      </c>
      <c r="F5092" s="5"/>
      <c r="G5092" s="5"/>
      <c r="H5092" s="5"/>
      <c r="I5092" s="5"/>
      <c r="J5092" s="6" t="str">
        <f>IFERROR(__xludf.DUMMYFUNCTION("""COMPUTED_VALUE"""),"https://eitaa.com/yavaran_mahdi_khondab")</f>
        <v>https://eitaa.com/yavaran_mahdi_khondab</v>
      </c>
      <c r="K5092" s="5"/>
      <c r="L5092" s="5"/>
      <c r="M5092" s="5"/>
      <c r="N5092" s="5"/>
      <c r="O5092" s="5"/>
      <c r="P5092" s="5"/>
      <c r="Q5092" s="5"/>
      <c r="R5092" s="5"/>
      <c r="S5092" s="5"/>
    </row>
    <row r="5093">
      <c r="A5093" s="5"/>
      <c r="B5093" s="5" t="str">
        <f>IFERROR(__xludf.DUMMYFUNCTION("""COMPUTED_VALUE"""),"هیأت")</f>
        <v>هیأت</v>
      </c>
      <c r="C5093" s="5" t="str">
        <f>IFERROR(__xludf.DUMMYFUNCTION("""COMPUTED_VALUE"""),"حضرت ابالفضل(ع)")</f>
        <v>حضرت ابالفضل(ع)</v>
      </c>
      <c r="D5093" s="5" t="str">
        <f>IFERROR(__xludf.DUMMYFUNCTION("""COMPUTED_VALUE"""),"مرکزی")</f>
        <v>مرکزی</v>
      </c>
      <c r="E5093" s="5" t="str">
        <f>IFERROR(__xludf.DUMMYFUNCTION("""COMPUTED_VALUE"""),"خنداب")</f>
        <v>خنداب</v>
      </c>
      <c r="F5093" s="5"/>
      <c r="G5093" s="5"/>
      <c r="H5093" s="6" t="str">
        <f>IFERROR(__xludf.DUMMYFUNCTION("""COMPUTED_VALUE"""),"https://www.instagram.com/heyat_azam_hazrat_abalfazl/")</f>
        <v>https://www.instagram.com/heyat_azam_hazrat_abalfazl/</v>
      </c>
      <c r="I5093" s="5"/>
      <c r="J5093" s="5"/>
      <c r="K5093" s="5"/>
      <c r="L5093" s="5"/>
      <c r="M5093" s="5"/>
      <c r="N5093" s="5"/>
      <c r="O5093" s="5"/>
      <c r="P5093" s="5"/>
      <c r="Q5093" s="5"/>
      <c r="R5093" s="5"/>
      <c r="S5093" s="5"/>
    </row>
    <row r="5094">
      <c r="A5094" s="5"/>
      <c r="B5094" s="5" t="str">
        <f>IFERROR(__xludf.DUMMYFUNCTION("""COMPUTED_VALUE"""),"هیأت")</f>
        <v>هیأت</v>
      </c>
      <c r="C5094" s="5" t="str">
        <f>IFERROR(__xludf.DUMMYFUNCTION("""COMPUTED_VALUE"""),"قرآنی امام زمان")</f>
        <v>قرآنی امام زمان</v>
      </c>
      <c r="D5094" s="5" t="str">
        <f>IFERROR(__xludf.DUMMYFUNCTION("""COMPUTED_VALUE"""),"مرکزی")</f>
        <v>مرکزی</v>
      </c>
      <c r="E5094" s="5" t="str">
        <f>IFERROR(__xludf.DUMMYFUNCTION("""COMPUTED_VALUE"""),"خنداب")</f>
        <v>خنداب</v>
      </c>
      <c r="F5094" s="5"/>
      <c r="G5094" s="5"/>
      <c r="H5094" s="6" t="str">
        <f>IFERROR(__xludf.DUMMYFUNCTION("""COMPUTED_VALUE"""),"https://www.instagram.com/quran_emam_zaman/")</f>
        <v>https://www.instagram.com/quran_emam_zaman/</v>
      </c>
      <c r="I5094" s="6" t="str">
        <f>IFERROR(__xludf.DUMMYFUNCTION("""COMPUTED_VALUE"""),"https://t.me/hqemz")</f>
        <v>https://t.me/hqemz</v>
      </c>
      <c r="J5094" s="5"/>
      <c r="K5094" s="5"/>
      <c r="L5094" s="5"/>
      <c r="M5094" s="5"/>
      <c r="N5094" s="5"/>
      <c r="O5094" s="5"/>
      <c r="P5094" s="5"/>
      <c r="Q5094" s="5"/>
      <c r="R5094" s="5"/>
      <c r="S5094" s="5"/>
    </row>
    <row r="5095">
      <c r="A5095" s="5"/>
      <c r="B5095" s="5" t="str">
        <f>IFERROR(__xludf.DUMMYFUNCTION("""COMPUTED_VALUE"""),"هیأت")</f>
        <v>هیأت</v>
      </c>
      <c r="C5095" s="5" t="str">
        <f>IFERROR(__xludf.DUMMYFUNCTION("""COMPUTED_VALUE"""),"مجمع حیدریون")</f>
        <v>مجمع حیدریون</v>
      </c>
      <c r="D5095" s="5" t="str">
        <f>IFERROR(__xludf.DUMMYFUNCTION("""COMPUTED_VALUE"""),"مرکزی")</f>
        <v>مرکزی</v>
      </c>
      <c r="E5095" s="5" t="str">
        <f>IFERROR(__xludf.DUMMYFUNCTION("""COMPUTED_VALUE"""),"خنداب")</f>
        <v>خنداب</v>
      </c>
      <c r="F5095" s="5"/>
      <c r="G5095" s="5"/>
      <c r="H5095" s="6" t="str">
        <f>IFERROR(__xludf.DUMMYFUNCTION("""COMPUTED_VALUE"""),"https://www.instagram.com/majmae_heydarion")</f>
        <v>https://www.instagram.com/majmae_heydarion</v>
      </c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</row>
    <row r="5096">
      <c r="A5096" s="5"/>
      <c r="B5096" s="5" t="str">
        <f>IFERROR(__xludf.DUMMYFUNCTION("""COMPUTED_VALUE"""),"هیأت")</f>
        <v>هیأت</v>
      </c>
      <c r="C5096" s="5" t="str">
        <f>IFERROR(__xludf.DUMMYFUNCTION("""COMPUTED_VALUE"""),"یاوران مهدی(عج)")</f>
        <v>یاوران مهدی(عج)</v>
      </c>
      <c r="D5096" s="5" t="str">
        <f>IFERROR(__xludf.DUMMYFUNCTION("""COMPUTED_VALUE"""),"مرکزی")</f>
        <v>مرکزی</v>
      </c>
      <c r="E5096" s="5" t="str">
        <f>IFERROR(__xludf.DUMMYFUNCTION("""COMPUTED_VALUE"""),"خنداب")</f>
        <v>خنداب</v>
      </c>
      <c r="F5096" s="5"/>
      <c r="G5096" s="5"/>
      <c r="H5096" s="6" t="str">
        <f>IFERROR(__xludf.DUMMYFUNCTION("""COMPUTED_VALUE"""),"https://www.instagram.com/yavaran_mahdi_khondab")</f>
        <v>https://www.instagram.com/yavaran_mahdi_khondab</v>
      </c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</row>
    <row r="5097">
      <c r="A5097" s="5"/>
      <c r="B5097" s="5" t="str">
        <f>IFERROR(__xludf.DUMMYFUNCTION("""COMPUTED_VALUE"""),"هیأت")</f>
        <v>هیأت</v>
      </c>
      <c r="C5097" s="5" t="str">
        <f>IFERROR(__xludf.DUMMYFUNCTION("""COMPUTED_VALUE"""),"عاشقان حضرت علی اکبر(ع)")</f>
        <v>عاشقان حضرت علی اکبر(ع)</v>
      </c>
      <c r="D5097" s="5" t="str">
        <f>IFERROR(__xludf.DUMMYFUNCTION("""COMPUTED_VALUE"""),"مرکزی")</f>
        <v>مرکزی</v>
      </c>
      <c r="E5097" s="5" t="str">
        <f>IFERROR(__xludf.DUMMYFUNCTION("""COMPUTED_VALUE"""),"خنداب")</f>
        <v>خنداب</v>
      </c>
      <c r="F5097" s="5" t="str">
        <f>IFERROR(__xludf.DUMMYFUNCTION("""COMPUTED_VALUE"""),"جاورسیان")</f>
        <v>جاورسیان</v>
      </c>
      <c r="G5097" s="5"/>
      <c r="H5097" s="6" t="str">
        <f>IFERROR(__xludf.DUMMYFUNCTION("""COMPUTED_VALUE"""),"https://www.instagram.com/heiate_aliakbar_javersiyan/")</f>
        <v>https://www.instagram.com/heiate_aliakbar_javersiyan/</v>
      </c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</row>
    <row r="5098">
      <c r="A5098" s="5"/>
      <c r="B5098" s="5" t="str">
        <f>IFERROR(__xludf.DUMMYFUNCTION("""COMPUTED_VALUE"""),"هیأت")</f>
        <v>هیأت</v>
      </c>
      <c r="C5098" s="5" t="str">
        <f>IFERROR(__xludf.DUMMYFUNCTION("""COMPUTED_VALUE"""),"فطرس ملک")</f>
        <v>فطرس ملک</v>
      </c>
      <c r="D5098" s="5" t="str">
        <f>IFERROR(__xludf.DUMMYFUNCTION("""COMPUTED_VALUE"""),"مرکزی")</f>
        <v>مرکزی</v>
      </c>
      <c r="E5098" s="5" t="str">
        <f>IFERROR(__xludf.DUMMYFUNCTION("""COMPUTED_VALUE"""),"دلیجان")</f>
        <v>دلیجان</v>
      </c>
      <c r="F5098" s="5"/>
      <c r="G5098" s="5"/>
      <c r="H5098" s="6" t="str">
        <f>IFERROR(__xludf.DUMMYFUNCTION("""COMPUTED_VALUE"""),"https://www.instagram.com/fotros_delijan")</f>
        <v>https://www.instagram.com/fotros_delijan</v>
      </c>
      <c r="I5098" s="6" t="str">
        <f>IFERROR(__xludf.DUMMYFUNCTION("""COMPUTED_VALUE"""),"https://t.me/fotrosdelijan")</f>
        <v>https://t.me/fotrosdelijan</v>
      </c>
      <c r="J5098" s="5"/>
      <c r="K5098" s="5"/>
      <c r="L5098" s="5"/>
      <c r="M5098" s="5"/>
      <c r="N5098" s="5"/>
      <c r="O5098" s="5"/>
      <c r="P5098" s="5"/>
      <c r="Q5098" s="5"/>
      <c r="R5098" s="5"/>
      <c r="S5098" s="5"/>
    </row>
    <row r="5099">
      <c r="A5099" s="5"/>
      <c r="B5099" s="5" t="str">
        <f>IFERROR(__xludf.DUMMYFUNCTION("""COMPUTED_VALUE"""),"هیأت")</f>
        <v>هیأت</v>
      </c>
      <c r="C5099" s="5" t="str">
        <f>IFERROR(__xludf.DUMMYFUNCTION("""COMPUTED_VALUE"""),"حضرت اباالفضل")</f>
        <v>حضرت اباالفضل</v>
      </c>
      <c r="D5099" s="5" t="str">
        <f>IFERROR(__xludf.DUMMYFUNCTION("""COMPUTED_VALUE"""),"مرکزی")</f>
        <v>مرکزی</v>
      </c>
      <c r="E5099" s="5" t="str">
        <f>IFERROR(__xludf.DUMMYFUNCTION("""COMPUTED_VALUE"""),"دلیجان")</f>
        <v>دلیجان</v>
      </c>
      <c r="F5099" s="5"/>
      <c r="G5099" s="5"/>
      <c r="H5099" s="6" t="str">
        <f>IFERROR(__xludf.DUMMYFUNCTION("""COMPUTED_VALUE"""),"https://www.instagram.com/heyat_hazratabalfazl_delijan")</f>
        <v>https://www.instagram.com/heyat_hazratabalfazl_delijan</v>
      </c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</row>
    <row r="5100">
      <c r="A5100" s="5"/>
      <c r="B5100" s="5" t="str">
        <f>IFERROR(__xludf.DUMMYFUNCTION("""COMPUTED_VALUE"""),"هیأت")</f>
        <v>هیأت</v>
      </c>
      <c r="C5100" s="5" t="str">
        <f>IFERROR(__xludf.DUMMYFUNCTION("""COMPUTED_VALUE"""),"شاهزاده علی اکبر")</f>
        <v>شاهزاده علی اکبر</v>
      </c>
      <c r="D5100" s="5" t="str">
        <f>IFERROR(__xludf.DUMMYFUNCTION("""COMPUTED_VALUE"""),"مرکزی")</f>
        <v>مرکزی</v>
      </c>
      <c r="E5100" s="5" t="str">
        <f>IFERROR(__xludf.DUMMYFUNCTION("""COMPUTED_VALUE"""),"دلیجان")</f>
        <v>دلیجان</v>
      </c>
      <c r="F5100" s="5"/>
      <c r="G5100" s="5"/>
      <c r="H5100" s="6" t="str">
        <f>IFERROR(__xludf.DUMMYFUNCTION("""COMPUTED_VALUE"""),"https://www.instagram.com/heyat_aliakbri_delijan/")</f>
        <v>https://www.instagram.com/heyat_aliakbri_delijan/</v>
      </c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</row>
    <row r="5101">
      <c r="A5101" s="5"/>
      <c r="B5101" s="5" t="str">
        <f>IFERROR(__xludf.DUMMYFUNCTION("""COMPUTED_VALUE"""),"هیأت")</f>
        <v>هیأت</v>
      </c>
      <c r="C5101" s="5" t="str">
        <f>IFERROR(__xludf.DUMMYFUNCTION("""COMPUTED_VALUE"""),"رزمندگان اسلام")</f>
        <v>رزمندگان اسلام</v>
      </c>
      <c r="D5101" s="5" t="str">
        <f>IFERROR(__xludf.DUMMYFUNCTION("""COMPUTED_VALUE"""),"مرکزی")</f>
        <v>مرکزی</v>
      </c>
      <c r="E5101" s="5" t="str">
        <f>IFERROR(__xludf.DUMMYFUNCTION("""COMPUTED_VALUE"""),"دلیجان")</f>
        <v>دلیجان</v>
      </c>
      <c r="F5101" s="5"/>
      <c r="G5101" s="5"/>
      <c r="H5101" s="6" t="str">
        <f>IFERROR(__xludf.DUMMYFUNCTION("""COMPUTED_VALUE"""),"https://www.instagram.com/hre_delijan/")</f>
        <v>https://www.instagram.com/hre_delijan/</v>
      </c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</row>
    <row r="5102">
      <c r="A5102" s="5"/>
      <c r="B5102" s="5" t="str">
        <f>IFERROR(__xludf.DUMMYFUNCTION("""COMPUTED_VALUE"""),"هیأت")</f>
        <v>هیأت</v>
      </c>
      <c r="C5102" s="5" t="str">
        <f>IFERROR(__xludf.DUMMYFUNCTION("""COMPUTED_VALUE"""),"محبان بنی فاطمه سلام الله علیها")</f>
        <v>محبان بنی فاطمه سلام الله علیها</v>
      </c>
      <c r="D5102" s="5" t="str">
        <f>IFERROR(__xludf.DUMMYFUNCTION("""COMPUTED_VALUE"""),"مرکزی")</f>
        <v>مرکزی</v>
      </c>
      <c r="E5102" s="5" t="str">
        <f>IFERROR(__xludf.DUMMYFUNCTION("""COMPUTED_VALUE"""),"دلیجان")</f>
        <v>دلیجان</v>
      </c>
      <c r="F5102" s="5"/>
      <c r="G5102" s="5"/>
      <c r="H5102" s="6" t="str">
        <f>IFERROR(__xludf.DUMMYFUNCTION("""COMPUTED_VALUE"""),"https://www.instagram.com/moheban_bani_fatemeh/")</f>
        <v>https://www.instagram.com/moheban_bani_fatemeh/</v>
      </c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</row>
    <row r="5103">
      <c r="A5103" s="5"/>
      <c r="B5103" s="5" t="str">
        <f>IFERROR(__xludf.DUMMYFUNCTION("""COMPUTED_VALUE"""),"هیأت نوجوانان")</f>
        <v>هیأت نوجوانان</v>
      </c>
      <c r="C5103" s="5" t="str">
        <f>IFERROR(__xludf.DUMMYFUNCTION("""COMPUTED_VALUE"""),"عشاق الحسین")</f>
        <v>عشاق الحسین</v>
      </c>
      <c r="D5103" s="5" t="str">
        <f>IFERROR(__xludf.DUMMYFUNCTION("""COMPUTED_VALUE"""),"مرکزی")</f>
        <v>مرکزی</v>
      </c>
      <c r="E5103" s="5" t="str">
        <f>IFERROR(__xludf.DUMMYFUNCTION("""COMPUTED_VALUE"""),"دلیجان")</f>
        <v>دلیجان</v>
      </c>
      <c r="F5103" s="5"/>
      <c r="G5103" s="5"/>
      <c r="H5103" s="6" t="str">
        <f>IFERROR(__xludf.DUMMYFUNCTION("""COMPUTED_VALUE"""),"https://www.instagram.com/oshaghalhossindelijan/")</f>
        <v>https://www.instagram.com/oshaghalhossindelijan/</v>
      </c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</row>
    <row r="5104">
      <c r="A5104" s="5"/>
      <c r="B5104" s="5" t="str">
        <f>IFERROR(__xludf.DUMMYFUNCTION("""COMPUTED_VALUE"""),"هیأت")</f>
        <v>هیأت</v>
      </c>
      <c r="C5104" s="5" t="str">
        <f>IFERROR(__xludf.DUMMYFUNCTION("""COMPUTED_VALUE"""),"سلطان عشق")</f>
        <v>سلطان عشق</v>
      </c>
      <c r="D5104" s="5" t="str">
        <f>IFERROR(__xludf.DUMMYFUNCTION("""COMPUTED_VALUE"""),"مرکزی")</f>
        <v>مرکزی</v>
      </c>
      <c r="E5104" s="5" t="str">
        <f>IFERROR(__xludf.DUMMYFUNCTION("""COMPUTED_VALUE"""),"دلیجان")</f>
        <v>دلیجان</v>
      </c>
      <c r="F5104" s="5"/>
      <c r="G5104" s="5"/>
      <c r="H5104" s="6" t="str">
        <f>IFERROR(__xludf.DUMMYFUNCTION("""COMPUTED_VALUE"""),"https://www.instagram.com/soltane_eshgh_128/")</f>
        <v>https://www.instagram.com/soltane_eshgh_128/</v>
      </c>
      <c r="I5104" s="6" t="str">
        <f>IFERROR(__xludf.DUMMYFUNCTION("""COMPUTED_VALUE"""),"https://t.me/soltaneshghdelijan")</f>
        <v>https://t.me/soltaneshghdelijan</v>
      </c>
      <c r="J5104" s="5"/>
      <c r="K5104" s="5"/>
      <c r="L5104" s="5"/>
      <c r="M5104" s="5"/>
      <c r="N5104" s="5"/>
      <c r="O5104" s="5"/>
      <c r="P5104" s="5"/>
      <c r="Q5104" s="5"/>
      <c r="R5104" s="5"/>
      <c r="S5104" s="5"/>
    </row>
    <row r="5105">
      <c r="A5105" s="5"/>
      <c r="B5105" s="5" t="str">
        <f>IFERROR(__xludf.DUMMYFUNCTION("""COMPUTED_VALUE"""),"هیأت")</f>
        <v>هیأت</v>
      </c>
      <c r="C5105" s="5" t="str">
        <f>IFERROR(__xludf.DUMMYFUNCTION("""COMPUTED_VALUE"""),"رزمندگان اسلام")</f>
        <v>رزمندگان اسلام</v>
      </c>
      <c r="D5105" s="5" t="str">
        <f>IFERROR(__xludf.DUMMYFUNCTION("""COMPUTED_VALUE"""),"مرکزی")</f>
        <v>مرکزی</v>
      </c>
      <c r="E5105" s="5" t="str">
        <f>IFERROR(__xludf.DUMMYFUNCTION("""COMPUTED_VALUE"""),"زرندیه")</f>
        <v>زرندیه</v>
      </c>
      <c r="F5105" s="5" t="str">
        <f>IFERROR(__xludf.DUMMYFUNCTION("""COMPUTED_VALUE"""),"مامونیه")</f>
        <v>مامونیه</v>
      </c>
      <c r="G5105" s="5"/>
      <c r="H5105" s="6" t="str">
        <f>IFERROR(__xludf.DUMMYFUNCTION("""COMPUTED_VALUE"""),"https://www.instagram.com/heyat.re.mamunieh/")</f>
        <v>https://www.instagram.com/heyat.re.mamunieh/</v>
      </c>
      <c r="I5105" s="6" t="str">
        <f>IFERROR(__xludf.DUMMYFUNCTION("""COMPUTED_VALUE"""),"https://t.me/razmandeganeeslammamunieh")</f>
        <v>https://t.me/razmandeganeeslammamunieh</v>
      </c>
      <c r="J5105" s="5"/>
      <c r="K5105" s="5"/>
      <c r="L5105" s="5"/>
      <c r="M5105" s="5"/>
      <c r="N5105" s="5"/>
      <c r="O5105" s="5"/>
      <c r="P5105" s="5"/>
      <c r="Q5105" s="5"/>
      <c r="R5105" s="5"/>
      <c r="S5105" s="5"/>
    </row>
    <row r="5106">
      <c r="A5106" s="5"/>
      <c r="B5106" s="5" t="str">
        <f>IFERROR(__xludf.DUMMYFUNCTION("""COMPUTED_VALUE"""),"هیأت")</f>
        <v>هیأت</v>
      </c>
      <c r="C5106" s="5" t="str">
        <f>IFERROR(__xludf.DUMMYFUNCTION("""COMPUTED_VALUE"""),"الزهرا(س)")</f>
        <v>الزهرا(س)</v>
      </c>
      <c r="D5106" s="5" t="str">
        <f>IFERROR(__xludf.DUMMYFUNCTION("""COMPUTED_VALUE"""),"مرکزی")</f>
        <v>مرکزی</v>
      </c>
      <c r="E5106" s="5" t="str">
        <f>IFERROR(__xludf.DUMMYFUNCTION("""COMPUTED_VALUE"""),"زرندیه")</f>
        <v>زرندیه</v>
      </c>
      <c r="F5106" s="5" t="str">
        <f>IFERROR(__xludf.DUMMYFUNCTION("""COMPUTED_VALUE"""),"مامونیه")</f>
        <v>مامونیه</v>
      </c>
      <c r="G5106" s="5"/>
      <c r="H5106" s="6" t="str">
        <f>IFERROR(__xludf.DUMMYFUNCTION("""COMPUTED_VALUE"""),"https://www.instagram.com/heyatozzahra128")</f>
        <v>https://www.instagram.com/heyatozzahra128</v>
      </c>
      <c r="I5106" s="5"/>
      <c r="J5106" s="6" t="str">
        <f>IFERROR(__xludf.DUMMYFUNCTION("""COMPUTED_VALUE"""),"https://eitaa.com/Heyatozzahra128")</f>
        <v>https://eitaa.com/Heyatozzahra128</v>
      </c>
      <c r="K5106" s="5"/>
      <c r="L5106" s="5"/>
      <c r="M5106" s="5"/>
      <c r="N5106" s="5"/>
      <c r="O5106" s="5"/>
      <c r="P5106" s="5"/>
      <c r="Q5106" s="5"/>
      <c r="R5106" s="5"/>
      <c r="S5106" s="5"/>
    </row>
    <row r="5107">
      <c r="A5107" s="5"/>
      <c r="B5107" s="5" t="str">
        <f>IFERROR(__xludf.DUMMYFUNCTION("""COMPUTED_VALUE"""),"هیأت")</f>
        <v>هیأت</v>
      </c>
      <c r="C5107" s="5" t="str">
        <f>IFERROR(__xludf.DUMMYFUNCTION("""COMPUTED_VALUE"""),"قمربنی هاشم(بابانظری ها)")</f>
        <v>قمربنی هاشم(بابانظری ها)</v>
      </c>
      <c r="D5107" s="5" t="str">
        <f>IFERROR(__xludf.DUMMYFUNCTION("""COMPUTED_VALUE"""),"مرکزی")</f>
        <v>مرکزی</v>
      </c>
      <c r="E5107" s="5" t="str">
        <f>IFERROR(__xludf.DUMMYFUNCTION("""COMPUTED_VALUE"""),"زرندیه")</f>
        <v>زرندیه</v>
      </c>
      <c r="F5107" s="5" t="str">
        <f>IFERROR(__xludf.DUMMYFUNCTION("""COMPUTED_VALUE"""),"مامونیه")</f>
        <v>مامونیه</v>
      </c>
      <c r="G5107" s="5"/>
      <c r="H5107" s="6" t="str">
        <f>IFERROR(__xludf.DUMMYFUNCTION("""COMPUTED_VALUE"""),"https://www.instagram.com/heyate_ghamare.banihashem/")</f>
        <v>https://www.instagram.com/heyate_ghamare.banihashem/</v>
      </c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</row>
    <row r="5108">
      <c r="A5108" s="5"/>
      <c r="B5108" s="5" t="str">
        <f>IFERROR(__xludf.DUMMYFUNCTION("""COMPUTED_VALUE"""),"هیأت")</f>
        <v>هیأت</v>
      </c>
      <c r="C5108" s="5" t="str">
        <f>IFERROR(__xludf.DUMMYFUNCTION("""COMPUTED_VALUE"""),"عشاق العباس")</f>
        <v>عشاق العباس</v>
      </c>
      <c r="D5108" s="5" t="str">
        <f>IFERROR(__xludf.DUMMYFUNCTION("""COMPUTED_VALUE"""),"مرکزی")</f>
        <v>مرکزی</v>
      </c>
      <c r="E5108" s="5" t="str">
        <f>IFERROR(__xludf.DUMMYFUNCTION("""COMPUTED_VALUE"""),"زرندیه")</f>
        <v>زرندیه</v>
      </c>
      <c r="F5108" s="5" t="str">
        <f>IFERROR(__xludf.DUMMYFUNCTION("""COMPUTED_VALUE"""),"پرندک")</f>
        <v>پرندک</v>
      </c>
      <c r="G5108" s="5"/>
      <c r="H5108" s="6" t="str">
        <f>IFERROR(__xludf.DUMMYFUNCTION("""COMPUTED_VALUE"""),"https://www.instagram.com/oshagholabasiha/")</f>
        <v>https://www.instagram.com/oshagholabasiha/</v>
      </c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</row>
    <row r="5109">
      <c r="A5109" s="5"/>
      <c r="B5109" s="5" t="str">
        <f>IFERROR(__xludf.DUMMYFUNCTION("""COMPUTED_VALUE"""),"هیأت")</f>
        <v>هیأت</v>
      </c>
      <c r="C5109" s="5" t="str">
        <f>IFERROR(__xludf.DUMMYFUNCTION("""COMPUTED_VALUE"""),"سیدالشهدا")</f>
        <v>سیدالشهدا</v>
      </c>
      <c r="D5109" s="5" t="str">
        <f>IFERROR(__xludf.DUMMYFUNCTION("""COMPUTED_VALUE"""),"مرکزی")</f>
        <v>مرکزی</v>
      </c>
      <c r="E5109" s="5" t="str">
        <f>IFERROR(__xludf.DUMMYFUNCTION("""COMPUTED_VALUE"""),"زرندیه")</f>
        <v>زرندیه</v>
      </c>
      <c r="F5109" s="5" t="str">
        <f>IFERROR(__xludf.DUMMYFUNCTION("""COMPUTED_VALUE"""),"زاویه")</f>
        <v>زاویه</v>
      </c>
      <c r="G5109" s="5"/>
      <c r="H5109" s="6" t="str">
        <f>IFERROR(__xludf.DUMMYFUNCTION("""COMPUTED_VALUE"""),"https://www.instagram.com/seyed_alshohada.zavieh")</f>
        <v>https://www.instagram.com/seyed_alshohada.zavieh</v>
      </c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</row>
    <row r="5110">
      <c r="A5110" s="5"/>
      <c r="B5110" s="5"/>
      <c r="C5110" s="5" t="str">
        <f>IFERROR(__xludf.DUMMYFUNCTION("""COMPUTED_VALUE"""),"حسینیه کربلایی های ساوه")</f>
        <v>حسینیه کربلایی های ساوه</v>
      </c>
      <c r="D5110" s="5" t="str">
        <f>IFERROR(__xludf.DUMMYFUNCTION("""COMPUTED_VALUE"""),"مرکزی")</f>
        <v>مرکزی</v>
      </c>
      <c r="E5110" s="5" t="str">
        <f>IFERROR(__xludf.DUMMYFUNCTION("""COMPUTED_VALUE"""),"ساوه")</f>
        <v>ساوه</v>
      </c>
      <c r="F5110" s="5"/>
      <c r="G5110" s="5"/>
      <c r="H5110" s="6" t="str">
        <f>IFERROR(__xludf.DUMMYFUNCTION("""COMPUTED_VALUE"""),"https://www.instagram.com/karbalaei_saveh/")</f>
        <v>https://www.instagram.com/karbalaei_saveh/</v>
      </c>
      <c r="I5110" s="6" t="str">
        <f>IFERROR(__xludf.DUMMYFUNCTION("""COMPUTED_VALUE"""),"t.me/karbalaei_saveh8")</f>
        <v>t.me/karbalaei_saveh8</v>
      </c>
      <c r="J5110" s="5"/>
      <c r="K5110" s="5"/>
      <c r="L5110" s="5"/>
      <c r="M5110" s="5"/>
      <c r="N5110" s="5"/>
      <c r="O5110" s="5"/>
      <c r="P5110" s="5"/>
      <c r="Q5110" s="5"/>
      <c r="R5110" s="5"/>
      <c r="S5110" s="5"/>
    </row>
    <row r="5111">
      <c r="A5111" s="5">
        <f>IFERROR(__xludf.DUMMYFUNCTION("""COMPUTED_VALUE"""),25168.0)</f>
        <v>25168</v>
      </c>
      <c r="B5111" s="5"/>
      <c r="C5111" s="5" t="str">
        <f>IFERROR(__xludf.DUMMYFUNCTION("""COMPUTED_VALUE"""),"احرار")</f>
        <v>احرار</v>
      </c>
      <c r="D5111" s="5" t="str">
        <f>IFERROR(__xludf.DUMMYFUNCTION("""COMPUTED_VALUE"""),"مرکزی")</f>
        <v>مرکزی</v>
      </c>
      <c r="E5111" s="5" t="str">
        <f>IFERROR(__xludf.DUMMYFUNCTION("""COMPUTED_VALUE"""),"ساوه")</f>
        <v>ساوه</v>
      </c>
      <c r="F5111" s="5"/>
      <c r="G5111" s="5"/>
      <c r="H5111" s="6" t="str">
        <f>IFERROR(__xludf.DUMMYFUNCTION("""COMPUTED_VALUE"""),"https://www.instagram.com/ahrar_ir/")</f>
        <v>https://www.instagram.com/ahrar_ir/</v>
      </c>
      <c r="I5111" s="6" t="str">
        <f>IFERROR(__xludf.DUMMYFUNCTION("""COMPUTED_VALUE"""),"t.me/ahrar_saveh")</f>
        <v>t.me/ahrar_saveh</v>
      </c>
      <c r="J5111" s="5"/>
      <c r="K5111" s="5"/>
      <c r="L5111" s="5"/>
      <c r="M5111" s="5"/>
      <c r="N5111" s="5"/>
      <c r="O5111" s="5"/>
      <c r="P5111" s="5"/>
      <c r="Q5111" s="5"/>
      <c r="R5111" s="5"/>
      <c r="S5111" s="5"/>
    </row>
    <row r="5112">
      <c r="A5112" s="5">
        <f>IFERROR(__xludf.DUMMYFUNCTION("""COMPUTED_VALUE"""),19923.0)</f>
        <v>19923</v>
      </c>
      <c r="B5112" s="5"/>
      <c r="C5112" s="5" t="str">
        <f>IFERROR(__xludf.DUMMYFUNCTION("""COMPUTED_VALUE"""),"طفلان حضرت زینب (س)")</f>
        <v>طفلان حضرت زینب (س)</v>
      </c>
      <c r="D5112" s="5" t="str">
        <f>IFERROR(__xludf.DUMMYFUNCTION("""COMPUTED_VALUE"""),"مرکزی")</f>
        <v>مرکزی</v>
      </c>
      <c r="E5112" s="5" t="str">
        <f>IFERROR(__xludf.DUMMYFUNCTION("""COMPUTED_VALUE"""),"ساوه")</f>
        <v>ساوه</v>
      </c>
      <c r="F5112" s="5"/>
      <c r="G5112" s="5"/>
      <c r="H5112" s="5"/>
      <c r="I5112" s="5"/>
      <c r="J5112" s="6" t="str">
        <f>IFERROR(__xludf.DUMMYFUNCTION("""COMPUTED_VALUE"""),"https://eitaa.com/hadisneynava")</f>
        <v>https://eitaa.com/hadisneynava</v>
      </c>
      <c r="K5112" s="5"/>
      <c r="L5112" s="5"/>
      <c r="M5112" s="5"/>
      <c r="N5112" s="5"/>
      <c r="O5112" s="5"/>
      <c r="P5112" s="5"/>
      <c r="Q5112" s="5"/>
      <c r="R5112" s="5"/>
      <c r="S5112" s="5"/>
    </row>
    <row r="5113">
      <c r="A5113" s="5">
        <f>IFERROR(__xludf.DUMMYFUNCTION("""COMPUTED_VALUE"""),19921.0)</f>
        <v>19921</v>
      </c>
      <c r="B5113" s="5"/>
      <c r="C5113" s="5" t="str">
        <f>IFERROR(__xludf.DUMMYFUNCTION("""COMPUTED_VALUE"""),"عزیزم حسین (ع)")</f>
        <v>عزیزم حسین (ع)</v>
      </c>
      <c r="D5113" s="5" t="str">
        <f>IFERROR(__xludf.DUMMYFUNCTION("""COMPUTED_VALUE"""),"مرکزی")</f>
        <v>مرکزی</v>
      </c>
      <c r="E5113" s="5" t="str">
        <f>IFERROR(__xludf.DUMMYFUNCTION("""COMPUTED_VALUE"""),"ساوه")</f>
        <v>ساوه</v>
      </c>
      <c r="F5113" s="5"/>
      <c r="G5113" s="5"/>
      <c r="H5113" s="6" t="str">
        <f>IFERROR(__xludf.DUMMYFUNCTION("""COMPUTED_VALUE"""),"https://www.instagram.com/azizamhussein/")</f>
        <v>https://www.instagram.com/azizamhussein/</v>
      </c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</row>
    <row r="5114">
      <c r="A5114" s="5">
        <f>IFERROR(__xludf.DUMMYFUNCTION("""COMPUTED_VALUE"""),15494.0)</f>
        <v>15494</v>
      </c>
      <c r="B5114" s="5"/>
      <c r="C5114" s="5" t="str">
        <f>IFERROR(__xludf.DUMMYFUNCTION("""COMPUTED_VALUE"""),"امام رضا (ع)")</f>
        <v>امام رضا (ع)</v>
      </c>
      <c r="D5114" s="5" t="str">
        <f>IFERROR(__xludf.DUMMYFUNCTION("""COMPUTED_VALUE"""),"مرکزی")</f>
        <v>مرکزی</v>
      </c>
      <c r="E5114" s="5" t="str">
        <f>IFERROR(__xludf.DUMMYFUNCTION("""COMPUTED_VALUE"""),"ساوه")</f>
        <v>ساوه</v>
      </c>
      <c r="F5114" s="5"/>
      <c r="G5114" s="5"/>
      <c r="H5114" s="6" t="str">
        <f>IFERROR(__xludf.DUMMYFUNCTION("""COMPUTED_VALUE"""),"https://www.instagram.com/heyat_emamreza_saveh/")</f>
        <v>https://www.instagram.com/heyat_emamreza_saveh/</v>
      </c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</row>
    <row r="5115">
      <c r="A5115" s="5"/>
      <c r="B5115" s="5" t="str">
        <f>IFERROR(__xludf.DUMMYFUNCTION("""COMPUTED_VALUE"""),"هیأت")</f>
        <v>هیأت</v>
      </c>
      <c r="C5115" s="5" t="str">
        <f>IFERROR(__xludf.DUMMYFUNCTION("""COMPUTED_VALUE"""),"زوارالزهراء")</f>
        <v>زوارالزهراء</v>
      </c>
      <c r="D5115" s="5" t="str">
        <f>IFERROR(__xludf.DUMMYFUNCTION("""COMPUTED_VALUE"""),"مرکزی")</f>
        <v>مرکزی</v>
      </c>
      <c r="E5115" s="5" t="str">
        <f>IFERROR(__xludf.DUMMYFUNCTION("""COMPUTED_VALUE"""),"ساوه")</f>
        <v>ساوه</v>
      </c>
      <c r="F5115" s="5"/>
      <c r="G5115" s="5"/>
      <c r="H5115" s="6" t="str">
        <f>IFERROR(__xludf.DUMMYFUNCTION("""COMPUTED_VALUE"""),"https://www.instagram.com/zovaroalzahra_saveh/")</f>
        <v>https://www.instagram.com/zovaroalzahra_saveh/</v>
      </c>
      <c r="I5115" s="6" t="str">
        <f>IFERROR(__xludf.DUMMYFUNCTION("""COMPUTED_VALUE"""),"https://t.me/zovaroalzahra_saveh")</f>
        <v>https://t.me/zovaroalzahra_saveh</v>
      </c>
      <c r="J5115" s="5"/>
      <c r="K5115" s="5"/>
      <c r="L5115" s="5"/>
      <c r="M5115" s="5"/>
      <c r="N5115" s="5"/>
      <c r="O5115" s="5"/>
      <c r="P5115" s="5"/>
      <c r="Q5115" s="5"/>
      <c r="R5115" s="5"/>
      <c r="S5115" s="5"/>
    </row>
    <row r="5116">
      <c r="A5116" s="5"/>
      <c r="B5116" s="5" t="str">
        <f>IFERROR(__xludf.DUMMYFUNCTION("""COMPUTED_VALUE"""),"هیأت")</f>
        <v>هیأت</v>
      </c>
      <c r="C5116" s="5" t="str">
        <f>IFERROR(__xludf.DUMMYFUNCTION("""COMPUTED_VALUE"""),"سیدالشهداء (ع)")</f>
        <v>سیدالشهداء (ع)</v>
      </c>
      <c r="D5116" s="5" t="str">
        <f>IFERROR(__xludf.DUMMYFUNCTION("""COMPUTED_VALUE"""),"مرکزی")</f>
        <v>مرکزی</v>
      </c>
      <c r="E5116" s="5" t="str">
        <f>IFERROR(__xludf.DUMMYFUNCTION("""COMPUTED_VALUE"""),"ساوه")</f>
        <v>ساوه</v>
      </c>
      <c r="F5116" s="5"/>
      <c r="G5116" s="5"/>
      <c r="H5116" s="6" t="str">
        <f>IFERROR(__xludf.DUMMYFUNCTION("""COMPUTED_VALUE"""),"https://www.instagram.com/seyedoshohada_saveh/")</f>
        <v>https://www.instagram.com/seyedoshohada_saveh/</v>
      </c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</row>
    <row r="5117">
      <c r="A5117" s="5"/>
      <c r="B5117" s="5" t="str">
        <f>IFERROR(__xludf.DUMMYFUNCTION("""COMPUTED_VALUE"""),"هیأت")</f>
        <v>هیأت</v>
      </c>
      <c r="C5117" s="5" t="str">
        <f>IFERROR(__xludf.DUMMYFUNCTION("""COMPUTED_VALUE"""),"خادم الحسین علیه السلام")</f>
        <v>خادم الحسین علیه السلام</v>
      </c>
      <c r="D5117" s="5" t="str">
        <f>IFERROR(__xludf.DUMMYFUNCTION("""COMPUTED_VALUE"""),"مرکزی")</f>
        <v>مرکزی</v>
      </c>
      <c r="E5117" s="5" t="str">
        <f>IFERROR(__xludf.DUMMYFUNCTION("""COMPUTED_VALUE"""),"ساوه")</f>
        <v>ساوه</v>
      </c>
      <c r="F5117" s="5"/>
      <c r="G5117" s="5"/>
      <c r="H5117" s="6" t="str">
        <f>IFERROR(__xludf.DUMMYFUNCTION("""COMPUTED_VALUE"""),"https://www.instagram.com/khademalhosein_saveh/")</f>
        <v>https://www.instagram.com/khademalhosein_saveh/</v>
      </c>
      <c r="I5117" s="6" t="str">
        <f>IFERROR(__xludf.DUMMYFUNCTION("""COMPUTED_VALUE"""),"https://t.me/h_khademalhosein")</f>
        <v>https://t.me/h_khademalhosein</v>
      </c>
      <c r="J5117" s="5"/>
      <c r="K5117" s="5"/>
      <c r="L5117" s="5"/>
      <c r="M5117" s="5"/>
      <c r="N5117" s="5"/>
      <c r="O5117" s="5"/>
      <c r="P5117" s="5"/>
      <c r="Q5117" s="5"/>
      <c r="R5117" s="5"/>
      <c r="S5117" s="5"/>
    </row>
    <row r="5118">
      <c r="A5118" s="5"/>
      <c r="B5118" s="5" t="str">
        <f>IFERROR(__xludf.DUMMYFUNCTION("""COMPUTED_VALUE"""),"هیأت")</f>
        <v>هیأت</v>
      </c>
      <c r="C5118" s="5" t="str">
        <f>IFERROR(__xludf.DUMMYFUNCTION("""COMPUTED_VALUE"""),"حضرت علی اکبر ع")</f>
        <v>حضرت علی اکبر ع</v>
      </c>
      <c r="D5118" s="5" t="str">
        <f>IFERROR(__xludf.DUMMYFUNCTION("""COMPUTED_VALUE"""),"مرکزی")</f>
        <v>مرکزی</v>
      </c>
      <c r="E5118" s="5" t="str">
        <f>IFERROR(__xludf.DUMMYFUNCTION("""COMPUTED_VALUE"""),"ساوه")</f>
        <v>ساوه</v>
      </c>
      <c r="F5118" s="5"/>
      <c r="G5118" s="5">
        <f>IFERROR(__xludf.DUMMYFUNCTION("""COMPUTED_VALUE"""),1.0)</f>
        <v>1</v>
      </c>
      <c r="H5118" s="6" t="str">
        <f>IFERROR(__xludf.DUMMYFUNCTION("""COMPUTED_VALUE"""),"https://www.instagram.com/heyati_77/")</f>
        <v>https://www.instagram.com/heyati_77/</v>
      </c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</row>
    <row r="5119">
      <c r="A5119" s="5"/>
      <c r="B5119" s="5" t="str">
        <f>IFERROR(__xludf.DUMMYFUNCTION("""COMPUTED_VALUE"""),"هیأت")</f>
        <v>هیأت</v>
      </c>
      <c r="C5119" s="5" t="str">
        <f>IFERROR(__xludf.DUMMYFUNCTION("""COMPUTED_VALUE"""),"دارالشفا علمدار سیدالشهدا")</f>
        <v>دارالشفا علمدار سیدالشهدا</v>
      </c>
      <c r="D5119" s="5" t="str">
        <f>IFERROR(__xludf.DUMMYFUNCTION("""COMPUTED_VALUE"""),"مرکزی")</f>
        <v>مرکزی</v>
      </c>
      <c r="E5119" s="5" t="str">
        <f>IFERROR(__xludf.DUMMYFUNCTION("""COMPUTED_VALUE"""),"ساوه")</f>
        <v>ساوه</v>
      </c>
      <c r="F5119" s="5"/>
      <c r="G5119" s="5"/>
      <c r="H5119" s="6" t="str">
        <f>IFERROR(__xludf.DUMMYFUNCTION("""COMPUTED_VALUE"""),"https://www.instagram.com/alamdar__saveh/")</f>
        <v>https://www.instagram.com/alamdar__saveh/</v>
      </c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</row>
    <row r="5120">
      <c r="A5120" s="5"/>
      <c r="B5120" s="5" t="str">
        <f>IFERROR(__xludf.DUMMYFUNCTION("""COMPUTED_VALUE"""),"هیأت")</f>
        <v>هیأت</v>
      </c>
      <c r="C5120" s="5" t="str">
        <f>IFERROR(__xludf.DUMMYFUNCTION("""COMPUTED_VALUE"""),"جوادالائمه")</f>
        <v>جوادالائمه</v>
      </c>
      <c r="D5120" s="5" t="str">
        <f>IFERROR(__xludf.DUMMYFUNCTION("""COMPUTED_VALUE"""),"مرکزی")</f>
        <v>مرکزی</v>
      </c>
      <c r="E5120" s="5" t="str">
        <f>IFERROR(__xludf.DUMMYFUNCTION("""COMPUTED_VALUE"""),"ساوه")</f>
        <v>ساوه</v>
      </c>
      <c r="F5120" s="5"/>
      <c r="G5120" s="5"/>
      <c r="H5120" s="6" t="str">
        <f>IFERROR(__xludf.DUMMYFUNCTION("""COMPUTED_VALUE"""),"https://www.instagram.com/javadalaemeh_saveh/")</f>
        <v>https://www.instagram.com/javadalaemeh_saveh/</v>
      </c>
      <c r="I5120" s="6" t="str">
        <f>IFERROR(__xludf.DUMMYFUNCTION("""COMPUTED_VALUE"""),"https://t.me/javadalaemeh_saveh")</f>
        <v>https://t.me/javadalaemeh_saveh</v>
      </c>
      <c r="J5120" s="5"/>
      <c r="K5120" s="5"/>
      <c r="L5120" s="5"/>
      <c r="M5120" s="5"/>
      <c r="N5120" s="5"/>
      <c r="O5120" s="5"/>
      <c r="P5120" s="5"/>
      <c r="Q5120" s="5"/>
      <c r="R5120" s="5"/>
      <c r="S5120" s="5"/>
    </row>
    <row r="5121">
      <c r="A5121" s="5"/>
      <c r="B5121" s="5" t="str">
        <f>IFERROR(__xludf.DUMMYFUNCTION("""COMPUTED_VALUE"""),"هیأت")</f>
        <v>هیأت</v>
      </c>
      <c r="C5121" s="5" t="str">
        <f>IFERROR(__xludf.DUMMYFUNCTION("""COMPUTED_VALUE"""),"حضرت‌فاطمه‌الزهرا(س)")</f>
        <v>حضرت‌فاطمه‌الزهرا(س)</v>
      </c>
      <c r="D5121" s="5" t="str">
        <f>IFERROR(__xludf.DUMMYFUNCTION("""COMPUTED_VALUE"""),"مرکزی")</f>
        <v>مرکزی</v>
      </c>
      <c r="E5121" s="5" t="str">
        <f>IFERROR(__xludf.DUMMYFUNCTION("""COMPUTED_VALUE"""),"ساوه")</f>
        <v>ساوه</v>
      </c>
      <c r="F5121" s="5"/>
      <c r="G5121" s="5"/>
      <c r="H5121" s="6" t="str">
        <f>IFERROR(__xludf.DUMMYFUNCTION("""COMPUTED_VALUE"""),"https://www.instagram.com/masjedmehvar_saveh/")</f>
        <v>https://www.instagram.com/masjedmehvar_saveh/</v>
      </c>
      <c r="I5121" s="5"/>
      <c r="J5121" s="5"/>
      <c r="K5121" s="5"/>
      <c r="L5121" s="5"/>
      <c r="M5121" s="5"/>
      <c r="N5121" s="5"/>
      <c r="O5121" s="5"/>
      <c r="P5121" s="5"/>
      <c r="Q5121" s="5"/>
      <c r="R5121" s="5"/>
      <c r="S5121" s="5"/>
    </row>
    <row r="5122">
      <c r="A5122" s="5"/>
      <c r="B5122" s="5" t="str">
        <f>IFERROR(__xludf.DUMMYFUNCTION("""COMPUTED_VALUE"""),"هیأت")</f>
        <v>هیأت</v>
      </c>
      <c r="C5122" s="5" t="str">
        <f>IFERROR(__xludf.DUMMYFUNCTION("""COMPUTED_VALUE"""),"ریحانه الحسین")</f>
        <v>ریحانه الحسین</v>
      </c>
      <c r="D5122" s="5" t="str">
        <f>IFERROR(__xludf.DUMMYFUNCTION("""COMPUTED_VALUE"""),"مرکزی")</f>
        <v>مرکزی</v>
      </c>
      <c r="E5122" s="5" t="str">
        <f>IFERROR(__xludf.DUMMYFUNCTION("""COMPUTED_VALUE"""),"ساوه")</f>
        <v>ساوه</v>
      </c>
      <c r="F5122" s="5"/>
      <c r="G5122" s="5"/>
      <c r="H5122" s="6" t="str">
        <f>IFERROR(__xludf.DUMMYFUNCTION("""COMPUTED_VALUE"""),"https://www.instagram.com/reyhanelive.saveh/")</f>
        <v>https://www.instagram.com/reyhanelive.saveh/</v>
      </c>
      <c r="I5122" s="6" t="str">
        <f>IFERROR(__xludf.DUMMYFUNCTION("""COMPUTED_VALUE"""),"https://t.me/reyhanatolhooseinsaveh")</f>
        <v>https://t.me/reyhanatolhooseinsaveh</v>
      </c>
      <c r="J5122" s="5"/>
      <c r="K5122" s="5"/>
      <c r="L5122" s="5"/>
      <c r="M5122" s="5"/>
      <c r="N5122" s="5"/>
      <c r="O5122" s="5"/>
      <c r="P5122" s="5"/>
      <c r="Q5122" s="5"/>
      <c r="R5122" s="5"/>
      <c r="S5122" s="5"/>
    </row>
    <row r="5123">
      <c r="A5123" s="5"/>
      <c r="B5123" s="5" t="str">
        <f>IFERROR(__xludf.DUMMYFUNCTION("""COMPUTED_VALUE"""),"هیأت")</f>
        <v>هیأت</v>
      </c>
      <c r="C5123" s="5" t="str">
        <f>IFERROR(__xludf.DUMMYFUNCTION("""COMPUTED_VALUE"""),"حســـنیـــون")</f>
        <v>حســـنیـــون</v>
      </c>
      <c r="D5123" s="5" t="str">
        <f>IFERROR(__xludf.DUMMYFUNCTION("""COMPUTED_VALUE"""),"مرکزی")</f>
        <v>مرکزی</v>
      </c>
      <c r="E5123" s="5" t="str">
        <f>IFERROR(__xludf.DUMMYFUNCTION("""COMPUTED_VALUE"""),"ساوه")</f>
        <v>ساوه</v>
      </c>
      <c r="F5123" s="5"/>
      <c r="G5123" s="5"/>
      <c r="H5123" s="6" t="str">
        <f>IFERROR(__xludf.DUMMYFUNCTION("""COMPUTED_VALUE"""),"https://www.instagram.com/hassaniyon/")</f>
        <v>https://www.instagram.com/hassaniyon/</v>
      </c>
      <c r="I5123" s="6" t="str">
        <f>IFERROR(__xludf.DUMMYFUNCTION("""COMPUTED_VALUE"""),"https://t.me/hassaniyon_channel")</f>
        <v>https://t.me/hassaniyon_channel</v>
      </c>
      <c r="J5123" s="5"/>
      <c r="K5123" s="5"/>
      <c r="L5123" s="5"/>
      <c r="M5123" s="5"/>
      <c r="N5123" s="5"/>
      <c r="O5123" s="5"/>
      <c r="P5123" s="5"/>
      <c r="Q5123" s="5"/>
      <c r="R5123" s="5"/>
      <c r="S5123" s="5"/>
    </row>
    <row r="5124">
      <c r="A5124" s="5"/>
      <c r="B5124" s="5" t="str">
        <f>IFERROR(__xludf.DUMMYFUNCTION("""COMPUTED_VALUE"""),"هیأت")</f>
        <v>هیأت</v>
      </c>
      <c r="C5124" s="5" t="str">
        <f>IFERROR(__xludf.DUMMYFUNCTION("""COMPUTED_VALUE"""),"فدائیان حضرت زهرا سلام اللّٰه علیها")</f>
        <v>فدائیان حضرت زهرا سلام اللّٰه علیها</v>
      </c>
      <c r="D5124" s="5" t="str">
        <f>IFERROR(__xludf.DUMMYFUNCTION("""COMPUTED_VALUE"""),"مرکزی")</f>
        <v>مرکزی</v>
      </c>
      <c r="E5124" s="5" t="str">
        <f>IFERROR(__xludf.DUMMYFUNCTION("""COMPUTED_VALUE"""),"ساوه")</f>
        <v>ساوه</v>
      </c>
      <c r="F5124" s="5"/>
      <c r="G5124" s="5"/>
      <c r="H5124" s="6" t="str">
        <f>IFERROR(__xludf.DUMMYFUNCTION("""COMPUTED_VALUE"""),"https://www.instagram.com/mokeb_fadaeian/")</f>
        <v>https://www.instagram.com/mokeb_fadaeian/</v>
      </c>
      <c r="I5124" s="6" t="str">
        <f>IFERROR(__xludf.DUMMYFUNCTION("""COMPUTED_VALUE"""),"https://t.me/mokeb_fadaeian")</f>
        <v>https://t.me/mokeb_fadaeian</v>
      </c>
      <c r="J5124" s="6" t="str">
        <f>IFERROR(__xludf.DUMMYFUNCTION("""COMPUTED_VALUE"""),"https://eitaa.com/mokeb_fadaeian")</f>
        <v>https://eitaa.com/mokeb_fadaeian</v>
      </c>
      <c r="K5124" s="5"/>
      <c r="L5124" s="5"/>
      <c r="M5124" s="5"/>
      <c r="N5124" s="5"/>
      <c r="O5124" s="5"/>
      <c r="P5124" s="5"/>
      <c r="Q5124" s="5"/>
      <c r="R5124" s="5"/>
      <c r="S5124" s="5"/>
    </row>
    <row r="5125">
      <c r="A5125" s="5"/>
      <c r="B5125" s="5" t="str">
        <f>IFERROR(__xludf.DUMMYFUNCTION("""COMPUTED_VALUE"""),"هیأت")</f>
        <v>هیأت</v>
      </c>
      <c r="C5125" s="5" t="str">
        <f>IFERROR(__xludf.DUMMYFUNCTION("""COMPUTED_VALUE"""),"بیت الحسن(ع)")</f>
        <v>بیت الحسن(ع)</v>
      </c>
      <c r="D5125" s="5" t="str">
        <f>IFERROR(__xludf.DUMMYFUNCTION("""COMPUTED_VALUE"""),"مرکزی")</f>
        <v>مرکزی</v>
      </c>
      <c r="E5125" s="5" t="str">
        <f>IFERROR(__xludf.DUMMYFUNCTION("""COMPUTED_VALUE"""),"ساوه")</f>
        <v>ساوه</v>
      </c>
      <c r="F5125" s="5"/>
      <c r="G5125" s="5"/>
      <c r="H5125" s="6" t="str">
        <f>IFERROR(__xludf.DUMMYFUNCTION("""COMPUTED_VALUE"""),"https://www.instagram.com/beytolhasaan/")</f>
        <v>https://www.instagram.com/beytolhasaan/</v>
      </c>
      <c r="I5125" s="6" t="str">
        <f>IFERROR(__xludf.DUMMYFUNCTION("""COMPUTED_VALUE"""),"https://t.me/beytolhasaan")</f>
        <v>https://t.me/beytolhasaan</v>
      </c>
      <c r="J5125" s="5"/>
      <c r="K5125" s="5"/>
      <c r="L5125" s="5"/>
      <c r="M5125" s="5"/>
      <c r="N5125" s="5"/>
      <c r="O5125" s="5"/>
      <c r="P5125" s="5"/>
      <c r="Q5125" s="5"/>
      <c r="R5125" s="5"/>
      <c r="S5125" s="5"/>
    </row>
    <row r="5126">
      <c r="A5126" s="5"/>
      <c r="B5126" s="5" t="str">
        <f>IFERROR(__xludf.DUMMYFUNCTION("""COMPUTED_VALUE"""),"هیأت")</f>
        <v>هیأت</v>
      </c>
      <c r="C5126" s="5" t="str">
        <f>IFERROR(__xludf.DUMMYFUNCTION("""COMPUTED_VALUE"""),"فَاستَقِم")</f>
        <v>فَاستَقِم</v>
      </c>
      <c r="D5126" s="5" t="str">
        <f>IFERROR(__xludf.DUMMYFUNCTION("""COMPUTED_VALUE"""),"مرکزی")</f>
        <v>مرکزی</v>
      </c>
      <c r="E5126" s="5" t="str">
        <f>IFERROR(__xludf.DUMMYFUNCTION("""COMPUTED_VALUE"""),"ساوه")</f>
        <v>ساوه</v>
      </c>
      <c r="F5126" s="5"/>
      <c r="G5126" s="5"/>
      <c r="H5126" s="6" t="str">
        <f>IFERROR(__xludf.DUMMYFUNCTION("""COMPUTED_VALUE"""),"https://www.instagram.com/heyat_fastaghem/")</f>
        <v>https://www.instagram.com/heyat_fastaghem/</v>
      </c>
      <c r="I5126" s="5"/>
      <c r="J5126" s="6" t="str">
        <f>IFERROR(__xludf.DUMMYFUNCTION("""COMPUTED_VALUE"""),"https://eitaa.com/fastaghem_saveh")</f>
        <v>https://eitaa.com/fastaghem_saveh</v>
      </c>
      <c r="K5126" s="5"/>
      <c r="L5126" s="5"/>
      <c r="M5126" s="5"/>
      <c r="N5126" s="5"/>
      <c r="O5126" s="5"/>
      <c r="P5126" s="5"/>
      <c r="Q5126" s="5"/>
      <c r="R5126" s="5"/>
      <c r="S5126" s="5"/>
    </row>
    <row r="5127">
      <c r="A5127" s="5"/>
      <c r="B5127" s="5" t="str">
        <f>IFERROR(__xludf.DUMMYFUNCTION("""COMPUTED_VALUE"""),"هیأت")</f>
        <v>هیأت</v>
      </c>
      <c r="C5127" s="5" t="str">
        <f>IFERROR(__xludf.DUMMYFUNCTION("""COMPUTED_VALUE"""),"ياحسين(ع)")</f>
        <v>ياحسين(ع)</v>
      </c>
      <c r="D5127" s="5" t="str">
        <f>IFERROR(__xludf.DUMMYFUNCTION("""COMPUTED_VALUE"""),"مرکزی")</f>
        <v>مرکزی</v>
      </c>
      <c r="E5127" s="5" t="str">
        <f>IFERROR(__xludf.DUMMYFUNCTION("""COMPUTED_VALUE"""),"ساوه")</f>
        <v>ساوه</v>
      </c>
      <c r="F5127" s="5"/>
      <c r="G5127" s="5"/>
      <c r="H5127" s="6" t="str">
        <f>IFERROR(__xludf.DUMMYFUNCTION("""COMPUTED_VALUE"""),"https://www.instagram.com/yahossein__ir/")</f>
        <v>https://www.instagram.com/yahossein__ir/</v>
      </c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</row>
    <row r="5128">
      <c r="A5128" s="5"/>
      <c r="B5128" s="5" t="str">
        <f>IFERROR(__xludf.DUMMYFUNCTION("""COMPUTED_VALUE"""),"هیأت")</f>
        <v>هیأت</v>
      </c>
      <c r="C5128" s="5" t="str">
        <f>IFERROR(__xludf.DUMMYFUNCTION("""COMPUTED_VALUE"""),"عماریون")</f>
        <v>عماریون</v>
      </c>
      <c r="D5128" s="5" t="str">
        <f>IFERROR(__xludf.DUMMYFUNCTION("""COMPUTED_VALUE"""),"مرکزی")</f>
        <v>مرکزی</v>
      </c>
      <c r="E5128" s="5" t="str">
        <f>IFERROR(__xludf.DUMMYFUNCTION("""COMPUTED_VALUE"""),"ساوه")</f>
        <v>ساوه</v>
      </c>
      <c r="F5128" s="5" t="str">
        <f>IFERROR(__xludf.DUMMYFUNCTION("""COMPUTED_VALUE"""),"شهرک فجر")</f>
        <v>شهرک فجر</v>
      </c>
      <c r="G5128" s="5"/>
      <c r="H5128" s="6" t="str">
        <f>IFERROR(__xludf.DUMMYFUNCTION("""COMPUTED_VALUE"""),"https://www.instagram.com/mahfel_ammarion/")</f>
        <v>https://www.instagram.com/mahfel_ammarion/</v>
      </c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</row>
    <row r="5129">
      <c r="A5129" s="5"/>
      <c r="B5129" s="5" t="str">
        <f>IFERROR(__xludf.DUMMYFUNCTION("""COMPUTED_VALUE"""),"هیأت")</f>
        <v>هیأت</v>
      </c>
      <c r="C5129" s="5" t="str">
        <f>IFERROR(__xludf.DUMMYFUNCTION("""COMPUTED_VALUE"""),"ثامن الائمه")</f>
        <v>ثامن الائمه</v>
      </c>
      <c r="D5129" s="5" t="str">
        <f>IFERROR(__xludf.DUMMYFUNCTION("""COMPUTED_VALUE"""),"مرکزی")</f>
        <v>مرکزی</v>
      </c>
      <c r="E5129" s="5" t="str">
        <f>IFERROR(__xludf.DUMMYFUNCTION("""COMPUTED_VALUE"""),"ساوه")</f>
        <v>ساوه</v>
      </c>
      <c r="F5129" s="5"/>
      <c r="G5129" s="5"/>
      <c r="H5129" s="6" t="str">
        <f>IFERROR(__xludf.DUMMYFUNCTION("""COMPUTED_VALUE"""),"https://www.instagram.com/samenolaemehsaveh/")</f>
        <v>https://www.instagram.com/samenolaemehsaveh/</v>
      </c>
      <c r="I5129" s="6" t="str">
        <f>IFERROR(__xludf.DUMMYFUNCTION("""COMPUTED_VALUE"""),"https://t.me/samenolaemehsaveh")</f>
        <v>https://t.me/samenolaemehsaveh</v>
      </c>
      <c r="J5129" s="5"/>
      <c r="K5129" s="5"/>
      <c r="L5129" s="5"/>
      <c r="M5129" s="5"/>
      <c r="N5129" s="5"/>
      <c r="O5129" s="5"/>
      <c r="P5129" s="5"/>
      <c r="Q5129" s="5"/>
      <c r="R5129" s="5"/>
      <c r="S5129" s="5"/>
    </row>
    <row r="5130">
      <c r="A5130" s="5"/>
      <c r="B5130" s="5" t="str">
        <f>IFERROR(__xludf.DUMMYFUNCTION("""COMPUTED_VALUE"""),"هیأت")</f>
        <v>هیأت</v>
      </c>
      <c r="C5130" s="5" t="str">
        <f>IFERROR(__xludf.DUMMYFUNCTION("""COMPUTED_VALUE"""),"آل ياسين")</f>
        <v>آل ياسين</v>
      </c>
      <c r="D5130" s="5" t="str">
        <f>IFERROR(__xludf.DUMMYFUNCTION("""COMPUTED_VALUE"""),"مرکزی")</f>
        <v>مرکزی</v>
      </c>
      <c r="E5130" s="5" t="str">
        <f>IFERROR(__xludf.DUMMYFUNCTION("""COMPUTED_VALUE"""),"ساوه")</f>
        <v>ساوه</v>
      </c>
      <c r="F5130" s="5"/>
      <c r="G5130" s="5"/>
      <c r="H5130" s="6" t="str">
        <f>IFERROR(__xludf.DUMMYFUNCTION("""COMPUTED_VALUE"""),"http://instagram.com/alyasinsaveh/")</f>
        <v>http://instagram.com/alyasinsaveh/</v>
      </c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</row>
    <row r="5131">
      <c r="A5131" s="5"/>
      <c r="B5131" s="5" t="str">
        <f>IFERROR(__xludf.DUMMYFUNCTION("""COMPUTED_VALUE"""),"هیأت")</f>
        <v>هیأت</v>
      </c>
      <c r="C5131" s="5" t="str">
        <f>IFERROR(__xludf.DUMMYFUNCTION("""COMPUTED_VALUE"""),"رزمندگان اسلام")</f>
        <v>رزمندگان اسلام</v>
      </c>
      <c r="D5131" s="5" t="str">
        <f>IFERROR(__xludf.DUMMYFUNCTION("""COMPUTED_VALUE"""),"مرکزی")</f>
        <v>مرکزی</v>
      </c>
      <c r="E5131" s="5" t="str">
        <f>IFERROR(__xludf.DUMMYFUNCTION("""COMPUTED_VALUE"""),"ساوه")</f>
        <v>ساوه</v>
      </c>
      <c r="F5131" s="5"/>
      <c r="G5131" s="5"/>
      <c r="H5131" s="6" t="str">
        <f>IFERROR(__xludf.DUMMYFUNCTION("""COMPUTED_VALUE"""),"https://www.instagram.com/razmandegane_saveh/")</f>
        <v>https://www.instagram.com/razmandegane_saveh/</v>
      </c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</row>
    <row r="5132">
      <c r="A5132" s="5"/>
      <c r="B5132" s="5" t="str">
        <f>IFERROR(__xludf.DUMMYFUNCTION("""COMPUTED_VALUE"""),"هیأت")</f>
        <v>هیأت</v>
      </c>
      <c r="C5132" s="5" t="str">
        <f>IFERROR(__xludf.DUMMYFUNCTION("""COMPUTED_VALUE"""),"رقیه بِنت الحسین")</f>
        <v>رقیه بِنت الحسین</v>
      </c>
      <c r="D5132" s="5" t="str">
        <f>IFERROR(__xludf.DUMMYFUNCTION("""COMPUTED_VALUE"""),"مرکزی")</f>
        <v>مرکزی</v>
      </c>
      <c r="E5132" s="5" t="str">
        <f>IFERROR(__xludf.DUMMYFUNCTION("""COMPUTED_VALUE"""),"ساوه")</f>
        <v>ساوه</v>
      </c>
      <c r="F5132" s="5"/>
      <c r="G5132" s="5"/>
      <c r="H5132" s="6" t="str">
        <f>IFERROR(__xludf.DUMMYFUNCTION("""COMPUTED_VALUE"""),"https://www.instagram.com/mokeb.saveh/")</f>
        <v>https://www.instagram.com/mokeb.saveh/</v>
      </c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</row>
    <row r="5133">
      <c r="A5133" s="5"/>
      <c r="B5133" s="5" t="str">
        <f>IFERROR(__xludf.DUMMYFUNCTION("""COMPUTED_VALUE"""),"هیأت")</f>
        <v>هیأت</v>
      </c>
      <c r="C5133" s="5" t="str">
        <f>IFERROR(__xludf.DUMMYFUNCTION("""COMPUTED_VALUE"""),"ثارالله (ع)")</f>
        <v>ثارالله (ع)</v>
      </c>
      <c r="D5133" s="5" t="str">
        <f>IFERROR(__xludf.DUMMYFUNCTION("""COMPUTED_VALUE"""),"مرکزی")</f>
        <v>مرکزی</v>
      </c>
      <c r="E5133" s="5" t="str">
        <f>IFERROR(__xludf.DUMMYFUNCTION("""COMPUTED_VALUE"""),"ساوه")</f>
        <v>ساوه</v>
      </c>
      <c r="F5133" s="5"/>
      <c r="G5133" s="5"/>
      <c r="H5133" s="6" t="str">
        <f>IFERROR(__xludf.DUMMYFUNCTION("""COMPUTED_VALUE"""),"https://www.instagram.com/heyat_sarallah_saveh/")</f>
        <v>https://www.instagram.com/heyat_sarallah_saveh/</v>
      </c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</row>
    <row r="5134">
      <c r="A5134" s="5"/>
      <c r="B5134" s="5" t="str">
        <f>IFERROR(__xludf.DUMMYFUNCTION("""COMPUTED_VALUE"""),"هیأت")</f>
        <v>هیأت</v>
      </c>
      <c r="C5134" s="5" t="str">
        <f>IFERROR(__xludf.DUMMYFUNCTION("""COMPUTED_VALUE"""),"بیرق معظم روضة القاسم")</f>
        <v>بیرق معظم روضة القاسم</v>
      </c>
      <c r="D5134" s="5" t="str">
        <f>IFERROR(__xludf.DUMMYFUNCTION("""COMPUTED_VALUE"""),"مرکزی")</f>
        <v>مرکزی</v>
      </c>
      <c r="E5134" s="5" t="str">
        <f>IFERROR(__xludf.DUMMYFUNCTION("""COMPUTED_VALUE"""),"ساوه")</f>
        <v>ساوه</v>
      </c>
      <c r="F5134" s="5"/>
      <c r="G5134" s="5"/>
      <c r="H5134" s="6" t="str">
        <f>IFERROR(__xludf.DUMMYFUNCTION("""COMPUTED_VALUE"""),"https://www.instagram.com/rozatolghasem_saveh/")</f>
        <v>https://www.instagram.com/rozatolghasem_saveh/</v>
      </c>
      <c r="I5134" s="6" t="str">
        <f>IFERROR(__xludf.DUMMYFUNCTION("""COMPUTED_VALUE"""),"https://t.me/rozatolghasem_saveh")</f>
        <v>https://t.me/rozatolghasem_saveh</v>
      </c>
      <c r="J5134" s="5"/>
      <c r="K5134" s="5"/>
      <c r="L5134" s="5"/>
      <c r="M5134" s="5"/>
      <c r="N5134" s="5"/>
      <c r="O5134" s="5"/>
      <c r="P5134" s="5"/>
      <c r="Q5134" s="5"/>
      <c r="R5134" s="5"/>
      <c r="S5134" s="5"/>
    </row>
    <row r="5135">
      <c r="A5135" s="5"/>
      <c r="B5135" s="5" t="str">
        <f>IFERROR(__xludf.DUMMYFUNCTION("""COMPUTED_VALUE"""),"موکب")</f>
        <v>موکب</v>
      </c>
      <c r="C5135" s="5" t="str">
        <f>IFERROR(__xludf.DUMMYFUNCTION("""COMPUTED_VALUE"""),"صاحب الزمان(عج)")</f>
        <v>صاحب الزمان(عج)</v>
      </c>
      <c r="D5135" s="5" t="str">
        <f>IFERROR(__xludf.DUMMYFUNCTION("""COMPUTED_VALUE"""),"مرکزی")</f>
        <v>مرکزی</v>
      </c>
      <c r="E5135" s="5" t="str">
        <f>IFERROR(__xludf.DUMMYFUNCTION("""COMPUTED_VALUE"""),"ساوه")</f>
        <v>ساوه</v>
      </c>
      <c r="F5135" s="5" t="str">
        <f>IFERROR(__xludf.DUMMYFUNCTION("""COMPUTED_VALUE"""),"کربلا")</f>
        <v>کربلا</v>
      </c>
      <c r="G5135" s="5"/>
      <c r="H5135" s="6" t="str">
        <f>IFERROR(__xludf.DUMMYFUNCTION("""COMPUTED_VALUE"""),"https://www.instagram.com/mokeb_saheb_alzaman_saveh/")</f>
        <v>https://www.instagram.com/mokeb_saheb_alzaman_saveh/</v>
      </c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</row>
    <row r="5136">
      <c r="A5136" s="5"/>
      <c r="B5136" s="5" t="str">
        <f>IFERROR(__xludf.DUMMYFUNCTION("""COMPUTED_VALUE"""),"هیأت")</f>
        <v>هیأت</v>
      </c>
      <c r="C5136" s="5" t="str">
        <f>IFERROR(__xludf.DUMMYFUNCTION("""COMPUTED_VALUE"""),"مکتب قرآن")</f>
        <v>مکتب قرآن</v>
      </c>
      <c r="D5136" s="5" t="str">
        <f>IFERROR(__xludf.DUMMYFUNCTION("""COMPUTED_VALUE"""),"مرکزی")</f>
        <v>مرکزی</v>
      </c>
      <c r="E5136" s="5" t="str">
        <f>IFERROR(__xludf.DUMMYFUNCTION("""COMPUTED_VALUE"""),"ساوه")</f>
        <v>ساوه</v>
      </c>
      <c r="F5136" s="5"/>
      <c r="G5136" s="5"/>
      <c r="H5136" s="6" t="str">
        <f>IFERROR(__xludf.DUMMYFUNCTION("""COMPUTED_VALUE"""),"https://www.instagram.com/heyat_maktab_ghoraan/")</f>
        <v>https://www.instagram.com/heyat_maktab_ghoraan/</v>
      </c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</row>
    <row r="5137">
      <c r="A5137" s="5"/>
      <c r="B5137" s="5" t="str">
        <f>IFERROR(__xludf.DUMMYFUNCTION("""COMPUTED_VALUE"""),"هیأت")</f>
        <v>هیأت</v>
      </c>
      <c r="C5137" s="5" t="str">
        <f>IFERROR(__xludf.DUMMYFUNCTION("""COMPUTED_VALUE"""),"ابناءالزهرا")</f>
        <v>ابناءالزهرا</v>
      </c>
      <c r="D5137" s="5" t="str">
        <f>IFERROR(__xludf.DUMMYFUNCTION("""COMPUTED_VALUE"""),"مرکزی")</f>
        <v>مرکزی</v>
      </c>
      <c r="E5137" s="5" t="str">
        <f>IFERROR(__xludf.DUMMYFUNCTION("""COMPUTED_VALUE"""),"ساوه")</f>
        <v>ساوه</v>
      </c>
      <c r="F5137" s="5"/>
      <c r="G5137" s="5"/>
      <c r="H5137" s="6" t="str">
        <f>IFERROR(__xludf.DUMMYFUNCTION("""COMPUTED_VALUE"""),"https://www.instagram.com/abnaalzahra_saveh/")</f>
        <v>https://www.instagram.com/abnaalzahra_saveh/</v>
      </c>
      <c r="I5137" s="5"/>
      <c r="J5137" s="6" t="str">
        <f>IFERROR(__xludf.DUMMYFUNCTION("""COMPUTED_VALUE"""),"https://eitaa.com/abnaalzahra_saveh")</f>
        <v>https://eitaa.com/abnaalzahra_saveh</v>
      </c>
      <c r="K5137" s="5"/>
      <c r="L5137" s="5"/>
      <c r="M5137" s="5"/>
      <c r="N5137" s="5"/>
      <c r="O5137" s="5"/>
      <c r="P5137" s="5"/>
      <c r="Q5137" s="5"/>
      <c r="R5137" s="5"/>
      <c r="S5137" s="5"/>
    </row>
    <row r="5138">
      <c r="A5138" s="5"/>
      <c r="B5138" s="5" t="str">
        <f>IFERROR(__xludf.DUMMYFUNCTION("""COMPUTED_VALUE"""),"هیأت")</f>
        <v>هیأت</v>
      </c>
      <c r="C5138" s="5" t="str">
        <f>IFERROR(__xludf.DUMMYFUNCTION("""COMPUTED_VALUE"""),"شاهزاده علی اصغر ع")</f>
        <v>شاهزاده علی اصغر ع</v>
      </c>
      <c r="D5138" s="5" t="str">
        <f>IFERROR(__xludf.DUMMYFUNCTION("""COMPUTED_VALUE"""),"مرکزی")</f>
        <v>مرکزی</v>
      </c>
      <c r="E5138" s="5" t="str">
        <f>IFERROR(__xludf.DUMMYFUNCTION("""COMPUTED_VALUE"""),"ساوه")</f>
        <v>ساوه</v>
      </c>
      <c r="F5138" s="5"/>
      <c r="G5138" s="5"/>
      <c r="H5138" s="6" t="str">
        <f>IFERROR(__xludf.DUMMYFUNCTION("""COMPUTED_VALUE"""),"https://www.instagram.com/shahzadeh_aliasghar_saveh/")</f>
        <v>https://www.instagram.com/shahzadeh_aliasghar_saveh/</v>
      </c>
      <c r="I5138" s="6" t="str">
        <f>IFERROR(__xludf.DUMMYFUNCTION("""COMPUTED_VALUE"""),"https://t.me/enghelab14")</f>
        <v>https://t.me/enghelab14</v>
      </c>
      <c r="J5138" s="5"/>
      <c r="K5138" s="5"/>
      <c r="L5138" s="5"/>
      <c r="M5138" s="5"/>
      <c r="N5138" s="5"/>
      <c r="O5138" s="5"/>
      <c r="P5138" s="5"/>
      <c r="Q5138" s="5"/>
      <c r="R5138" s="5"/>
      <c r="S5138" s="5"/>
    </row>
    <row r="5139">
      <c r="A5139" s="5"/>
      <c r="B5139" s="5" t="str">
        <f>IFERROR(__xludf.DUMMYFUNCTION("""COMPUTED_VALUE"""),"هیأت")</f>
        <v>هیأت</v>
      </c>
      <c r="C5139" s="5" t="str">
        <f>IFERROR(__xludf.DUMMYFUNCTION("""COMPUTED_VALUE"""),"انصار الحسن")</f>
        <v>انصار الحسن</v>
      </c>
      <c r="D5139" s="5" t="str">
        <f>IFERROR(__xludf.DUMMYFUNCTION("""COMPUTED_VALUE"""),"مرکزی")</f>
        <v>مرکزی</v>
      </c>
      <c r="E5139" s="5" t="str">
        <f>IFERROR(__xludf.DUMMYFUNCTION("""COMPUTED_VALUE"""),"ساوه")</f>
        <v>ساوه</v>
      </c>
      <c r="F5139" s="5"/>
      <c r="G5139" s="5"/>
      <c r="H5139" s="6" t="str">
        <f>IFERROR(__xludf.DUMMYFUNCTION("""COMPUTED_VALUE"""),"https://www.instagram.com/ansarlhasan_saveh/")</f>
        <v>https://www.instagram.com/ansarlhasan_saveh/</v>
      </c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</row>
    <row r="5140">
      <c r="A5140" s="5"/>
      <c r="B5140" s="5" t="str">
        <f>IFERROR(__xludf.DUMMYFUNCTION("""COMPUTED_VALUE"""),"هیأت")</f>
        <v>هیأت</v>
      </c>
      <c r="C5140" s="5" t="str">
        <f>IFERROR(__xludf.DUMMYFUNCTION("""COMPUTED_VALUE"""),"بیت الشهدا")</f>
        <v>بیت الشهدا</v>
      </c>
      <c r="D5140" s="5" t="str">
        <f>IFERROR(__xludf.DUMMYFUNCTION("""COMPUTED_VALUE"""),"مرکزی")</f>
        <v>مرکزی</v>
      </c>
      <c r="E5140" s="5" t="str">
        <f>IFERROR(__xludf.DUMMYFUNCTION("""COMPUTED_VALUE"""),"ساوه")</f>
        <v>ساوه</v>
      </c>
      <c r="F5140" s="5"/>
      <c r="G5140" s="5"/>
      <c r="H5140" s="6" t="str">
        <f>IFERROR(__xludf.DUMMYFUNCTION("""COMPUTED_VALUE"""),"https://www.instagram.com/beitalshahda/")</f>
        <v>https://www.instagram.com/beitalshahda/</v>
      </c>
      <c r="I5140" s="6" t="str">
        <f>IFERROR(__xludf.DUMMYFUNCTION("""COMPUTED_VALUE"""),"https://t.me/BeitalShahda")</f>
        <v>https://t.me/BeitalShahda</v>
      </c>
      <c r="J5140" s="5"/>
      <c r="K5140" s="5"/>
      <c r="L5140" s="5"/>
      <c r="M5140" s="5"/>
      <c r="N5140" s="5"/>
      <c r="O5140" s="5"/>
      <c r="P5140" s="5"/>
      <c r="Q5140" s="5"/>
      <c r="R5140" s="5"/>
      <c r="S5140" s="5"/>
    </row>
    <row r="5141">
      <c r="A5141" s="5"/>
      <c r="B5141" s="5" t="str">
        <f>IFERROR(__xludf.DUMMYFUNCTION("""COMPUTED_VALUE"""),"هیأت")</f>
        <v>هیأت</v>
      </c>
      <c r="C5141" s="5" t="str">
        <f>IFERROR(__xludf.DUMMYFUNCTION("""COMPUTED_VALUE"""),"محبّان زينب")</f>
        <v>محبّان زينب</v>
      </c>
      <c r="D5141" s="5" t="str">
        <f>IFERROR(__xludf.DUMMYFUNCTION("""COMPUTED_VALUE"""),"مرکزی")</f>
        <v>مرکزی</v>
      </c>
      <c r="E5141" s="5" t="str">
        <f>IFERROR(__xludf.DUMMYFUNCTION("""COMPUTED_VALUE"""),"ساوه")</f>
        <v>ساوه</v>
      </c>
      <c r="F5141" s="5"/>
      <c r="G5141" s="5"/>
      <c r="H5141" s="6" t="str">
        <f>IFERROR(__xludf.DUMMYFUNCTION("""COMPUTED_VALUE"""),"https://www.instagram.com/mohebbanzeynab_ir/")</f>
        <v>https://www.instagram.com/mohebbanzeynab_ir/</v>
      </c>
      <c r="I5141" s="6" t="str">
        <f>IFERROR(__xludf.DUMMYFUNCTION("""COMPUTED_VALUE"""),"https://t.me/Mohebban_Zeynabb")</f>
        <v>https://t.me/Mohebban_Zeynabb</v>
      </c>
      <c r="J5141" s="5"/>
      <c r="K5141" s="5"/>
      <c r="L5141" s="5"/>
      <c r="M5141" s="5"/>
      <c r="N5141" s="5"/>
      <c r="O5141" s="5"/>
      <c r="P5141" s="5"/>
      <c r="Q5141" s="5"/>
      <c r="R5141" s="5"/>
      <c r="S5141" s="5"/>
    </row>
    <row r="5142">
      <c r="A5142" s="5"/>
      <c r="B5142" s="5" t="str">
        <f>IFERROR(__xludf.DUMMYFUNCTION("""COMPUTED_VALUE"""),"هیأت")</f>
        <v>هیأت</v>
      </c>
      <c r="C5142" s="5" t="str">
        <f>IFERROR(__xludf.DUMMYFUNCTION("""COMPUTED_VALUE"""),"حسن‌جان")</f>
        <v>حسن‌جان</v>
      </c>
      <c r="D5142" s="5" t="str">
        <f>IFERROR(__xludf.DUMMYFUNCTION("""COMPUTED_VALUE"""),"مرکزی")</f>
        <v>مرکزی</v>
      </c>
      <c r="E5142" s="5" t="str">
        <f>IFERROR(__xludf.DUMMYFUNCTION("""COMPUTED_VALUE"""),"ساوه")</f>
        <v>ساوه</v>
      </c>
      <c r="F5142" s="5"/>
      <c r="G5142" s="5"/>
      <c r="H5142" s="6" t="str">
        <f>IFERROR(__xludf.DUMMYFUNCTION("""COMPUTED_VALUE"""),"https://www.instagram.com/hasanjaan_/")</f>
        <v>https://www.instagram.com/hasanjaan_/</v>
      </c>
      <c r="I5142" s="6" t="str">
        <f>IFERROR(__xludf.DUMMYFUNCTION("""COMPUTED_VALUE"""),"https://t.me/hasanjan_channel")</f>
        <v>https://t.me/hasanjan_channel</v>
      </c>
      <c r="J5142" s="5"/>
      <c r="K5142" s="5"/>
      <c r="L5142" s="5"/>
      <c r="M5142" s="5"/>
      <c r="N5142" s="5"/>
      <c r="O5142" s="5"/>
      <c r="P5142" s="5"/>
      <c r="Q5142" s="5"/>
      <c r="R5142" s="5"/>
      <c r="S5142" s="5"/>
    </row>
    <row r="5143">
      <c r="A5143" s="5"/>
      <c r="B5143" s="5" t="str">
        <f>IFERROR(__xludf.DUMMYFUNCTION("""COMPUTED_VALUE"""),"هیأت")</f>
        <v>هیأت</v>
      </c>
      <c r="C5143" s="5" t="str">
        <f>IFERROR(__xludf.DUMMYFUNCTION("""COMPUTED_VALUE"""),"خدّام‌امیرالمؤمنین")</f>
        <v>خدّام‌امیرالمؤمنین</v>
      </c>
      <c r="D5143" s="5" t="str">
        <f>IFERROR(__xludf.DUMMYFUNCTION("""COMPUTED_VALUE"""),"مرکزی")</f>
        <v>مرکزی</v>
      </c>
      <c r="E5143" s="5" t="str">
        <f>IFERROR(__xludf.DUMMYFUNCTION("""COMPUTED_VALUE"""),"ساوه")</f>
        <v>ساوه</v>
      </c>
      <c r="F5143" s="5"/>
      <c r="G5143" s="5"/>
      <c r="H5143" s="6" t="str">
        <f>IFERROR(__xludf.DUMMYFUNCTION("""COMPUTED_VALUE"""),"https://www.instagram.com/mokeb.amiralmomenin/")</f>
        <v>https://www.instagram.com/mokeb.amiralmomenin/</v>
      </c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</row>
    <row r="5144">
      <c r="A5144" s="5"/>
      <c r="B5144" s="5" t="str">
        <f>IFERROR(__xludf.DUMMYFUNCTION("""COMPUTED_VALUE"""),"هیأت")</f>
        <v>هیأت</v>
      </c>
      <c r="C5144" s="5" t="str">
        <f>IFERROR(__xludf.DUMMYFUNCTION("""COMPUTED_VALUE"""),"محبان المهدی (عج)")</f>
        <v>محبان المهدی (عج)</v>
      </c>
      <c r="D5144" s="5" t="str">
        <f>IFERROR(__xludf.DUMMYFUNCTION("""COMPUTED_VALUE"""),"مرکزی")</f>
        <v>مرکزی</v>
      </c>
      <c r="E5144" s="5" t="str">
        <f>IFERROR(__xludf.DUMMYFUNCTION("""COMPUTED_VALUE"""),"ساوه")</f>
        <v>ساوه</v>
      </c>
      <c r="F5144" s="5"/>
      <c r="G5144" s="5">
        <f>IFERROR(__xludf.DUMMYFUNCTION("""COMPUTED_VALUE"""),1.0)</f>
        <v>1</v>
      </c>
      <c r="H5144" s="6" t="str">
        <f>IFERROR(__xludf.DUMMYFUNCTION("""COMPUTED_VALUE"""),"https://www.instagram.com/mohebban_saveh/")</f>
        <v>https://www.instagram.com/mohebban_saveh/</v>
      </c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</row>
    <row r="5145">
      <c r="A5145" s="5"/>
      <c r="B5145" s="5" t="str">
        <f>IFERROR(__xludf.DUMMYFUNCTION("""COMPUTED_VALUE"""),"هیأت")</f>
        <v>هیأت</v>
      </c>
      <c r="C5145" s="5" t="str">
        <f>IFERROR(__xludf.DUMMYFUNCTION("""COMPUTED_VALUE"""),"حضرت شش ماهه")</f>
        <v>حضرت شش ماهه</v>
      </c>
      <c r="D5145" s="5" t="str">
        <f>IFERROR(__xludf.DUMMYFUNCTION("""COMPUTED_VALUE"""),"مرکزی")</f>
        <v>مرکزی</v>
      </c>
      <c r="E5145" s="5" t="str">
        <f>IFERROR(__xludf.DUMMYFUNCTION("""COMPUTED_VALUE"""),"ساوه")</f>
        <v>ساوه</v>
      </c>
      <c r="F5145" s="5"/>
      <c r="G5145" s="5"/>
      <c r="H5145" s="6" t="str">
        <f>IFERROR(__xludf.DUMMYFUNCTION("""COMPUTED_VALUE"""),"https://www.instagram.com/heyat.hazrat.6.mahe.saveh/")</f>
        <v>https://www.instagram.com/heyat.hazrat.6.mahe.saveh/</v>
      </c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</row>
    <row r="5146">
      <c r="A5146" s="5"/>
      <c r="B5146" s="5" t="str">
        <f>IFERROR(__xludf.DUMMYFUNCTION("""COMPUTED_VALUE"""),"هیأت")</f>
        <v>هیأت</v>
      </c>
      <c r="C5146" s="5" t="str">
        <f>IFERROR(__xludf.DUMMYFUNCTION("""COMPUTED_VALUE"""),"بین الحرمین")</f>
        <v>بین الحرمین</v>
      </c>
      <c r="D5146" s="5" t="str">
        <f>IFERROR(__xludf.DUMMYFUNCTION("""COMPUTED_VALUE"""),"مرکزی")</f>
        <v>مرکزی</v>
      </c>
      <c r="E5146" s="5" t="str">
        <f>IFERROR(__xludf.DUMMYFUNCTION("""COMPUTED_VALUE"""),"ساوه")</f>
        <v>ساوه</v>
      </c>
      <c r="F5146" s="5"/>
      <c r="G5146" s="5"/>
      <c r="H5146" s="6" t="str">
        <f>IFERROR(__xludf.DUMMYFUNCTION("""COMPUTED_VALUE"""),"https://www.instagram.com/ab72ir")</f>
        <v>https://www.instagram.com/ab72ir</v>
      </c>
      <c r="I5146" s="6" t="str">
        <f>IFERROR(__xludf.DUMMYFUNCTION("""COMPUTED_VALUE"""),"http://t.me/AB72ir")</f>
        <v>http://t.me/AB72ir</v>
      </c>
      <c r="J5146" s="5"/>
      <c r="K5146" s="5"/>
      <c r="L5146" s="5"/>
      <c r="M5146" s="5"/>
      <c r="N5146" s="5"/>
      <c r="O5146" s="5"/>
      <c r="P5146" s="5"/>
      <c r="Q5146" s="5"/>
      <c r="R5146" s="5"/>
      <c r="S5146" s="5"/>
    </row>
    <row r="5147">
      <c r="A5147" s="5"/>
      <c r="B5147" s="5" t="str">
        <f>IFERROR(__xludf.DUMMYFUNCTION("""COMPUTED_VALUE"""),"هیأت")</f>
        <v>هیأت</v>
      </c>
      <c r="C5147" s="5" t="str">
        <f>IFERROR(__xludf.DUMMYFUNCTION("""COMPUTED_VALUE"""),"معراج الشهدا")</f>
        <v>معراج الشهدا</v>
      </c>
      <c r="D5147" s="5" t="str">
        <f>IFERROR(__xludf.DUMMYFUNCTION("""COMPUTED_VALUE"""),"مرکزی")</f>
        <v>مرکزی</v>
      </c>
      <c r="E5147" s="5" t="str">
        <f>IFERROR(__xludf.DUMMYFUNCTION("""COMPUTED_VALUE"""),"ساوه")</f>
        <v>ساوه</v>
      </c>
      <c r="F5147" s="5"/>
      <c r="G5147" s="5"/>
      <c r="H5147" s="6" t="str">
        <f>IFERROR(__xludf.DUMMYFUNCTION("""COMPUTED_VALUE"""),"https://www.instagram.com/merajoshohada_saveh.ir/")</f>
        <v>https://www.instagram.com/merajoshohada_saveh.ir/</v>
      </c>
      <c r="I5147" s="5"/>
      <c r="J5147" s="6" t="str">
        <f>IFERROR(__xludf.DUMMYFUNCTION("""COMPUTED_VALUE"""),"https://eitaa.com/merajoshohada_saveh_ir")</f>
        <v>https://eitaa.com/merajoshohada_saveh_ir</v>
      </c>
      <c r="K5147" s="5"/>
      <c r="L5147" s="5"/>
      <c r="M5147" s="5"/>
      <c r="N5147" s="5"/>
      <c r="O5147" s="5"/>
      <c r="P5147" s="5"/>
      <c r="Q5147" s="5"/>
      <c r="R5147" s="5"/>
      <c r="S5147" s="5"/>
    </row>
    <row r="5148">
      <c r="A5148" s="5"/>
      <c r="B5148" s="5" t="str">
        <f>IFERROR(__xludf.DUMMYFUNCTION("""COMPUTED_VALUE"""),"هیأت")</f>
        <v>هیأت</v>
      </c>
      <c r="C5148" s="5" t="str">
        <f>IFERROR(__xludf.DUMMYFUNCTION("""COMPUTED_VALUE"""),"حضرت رقیه(س)")</f>
        <v>حضرت رقیه(س)</v>
      </c>
      <c r="D5148" s="5" t="str">
        <f>IFERROR(__xludf.DUMMYFUNCTION("""COMPUTED_VALUE"""),"مرکزی")</f>
        <v>مرکزی</v>
      </c>
      <c r="E5148" s="5" t="str">
        <f>IFERROR(__xludf.DUMMYFUNCTION("""COMPUTED_VALUE"""),"ساوه")</f>
        <v>ساوه</v>
      </c>
      <c r="F5148" s="5"/>
      <c r="G5148" s="5"/>
      <c r="H5148" s="6" t="str">
        <f>IFERROR(__xludf.DUMMYFUNCTION("""COMPUTED_VALUE"""),"https://www.instagram.com/hazrat_roghayye_saveh")</f>
        <v>https://www.instagram.com/hazrat_roghayye_saveh</v>
      </c>
      <c r="I5148" s="6" t="str">
        <f>IFERROR(__xludf.DUMMYFUNCTION("""COMPUTED_VALUE"""),"https://t.me/hazrat_roghayye_saveh")</f>
        <v>https://t.me/hazrat_roghayye_saveh</v>
      </c>
      <c r="J5148" s="5"/>
      <c r="K5148" s="5"/>
      <c r="L5148" s="5"/>
      <c r="M5148" s="5"/>
      <c r="N5148" s="5"/>
      <c r="O5148" s="5"/>
      <c r="P5148" s="5"/>
      <c r="Q5148" s="5"/>
      <c r="R5148" s="5"/>
      <c r="S5148" s="5"/>
    </row>
    <row r="5149">
      <c r="A5149" s="5"/>
      <c r="B5149" s="5" t="str">
        <f>IFERROR(__xludf.DUMMYFUNCTION("""COMPUTED_VALUE"""),"هیأت")</f>
        <v>هیأت</v>
      </c>
      <c r="C5149" s="5" t="str">
        <f>IFERROR(__xludf.DUMMYFUNCTION("""COMPUTED_VALUE"""),"خادم الشهدا")</f>
        <v>خادم الشهدا</v>
      </c>
      <c r="D5149" s="5" t="str">
        <f>IFERROR(__xludf.DUMMYFUNCTION("""COMPUTED_VALUE"""),"مرکزی")</f>
        <v>مرکزی</v>
      </c>
      <c r="E5149" s="5" t="str">
        <f>IFERROR(__xludf.DUMMYFUNCTION("""COMPUTED_VALUE"""),"ساوه")</f>
        <v>ساوه</v>
      </c>
      <c r="F5149" s="5" t="str">
        <f>IFERROR(__xludf.DUMMYFUNCTION("""COMPUTED_VALUE"""),"شهرک فجر")</f>
        <v>شهرک فجر</v>
      </c>
      <c r="G5149" s="5"/>
      <c r="H5149" s="6" t="str">
        <f>IFERROR(__xludf.DUMMYFUNCTION("""COMPUTED_VALUE"""),"https://www.instagram.com/khademoshohada_saveh/")</f>
        <v>https://www.instagram.com/khademoshohada_saveh/</v>
      </c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</row>
    <row r="5150">
      <c r="A5150" s="5"/>
      <c r="B5150" s="5" t="str">
        <f>IFERROR(__xludf.DUMMYFUNCTION("""COMPUTED_VALUE"""),"هیأت")</f>
        <v>هیأت</v>
      </c>
      <c r="C5150" s="5" t="str">
        <f>IFERROR(__xludf.DUMMYFUNCTION("""COMPUTED_VALUE"""),"عشاق الزهراء")</f>
        <v>عشاق الزهراء</v>
      </c>
      <c r="D5150" s="5" t="str">
        <f>IFERROR(__xludf.DUMMYFUNCTION("""COMPUTED_VALUE"""),"مرکزی")</f>
        <v>مرکزی</v>
      </c>
      <c r="E5150" s="5" t="str">
        <f>IFERROR(__xludf.DUMMYFUNCTION("""COMPUTED_VALUE"""),"ساوه")</f>
        <v>ساوه</v>
      </c>
      <c r="F5150" s="5"/>
      <c r="G5150" s="5"/>
      <c r="H5150" s="6" t="str">
        <f>IFERROR(__xludf.DUMMYFUNCTION("""COMPUTED_VALUE"""),"https://www.instagram.com/oshaghozzahra/")</f>
        <v>https://www.instagram.com/oshaghozzahra/</v>
      </c>
      <c r="I5150" s="5"/>
      <c r="J5150" s="6" t="str">
        <f>IFERROR(__xludf.DUMMYFUNCTION("""COMPUTED_VALUE"""),"https://t.me/oshaghozzahra")</f>
        <v>https://t.me/oshaghozzahra</v>
      </c>
      <c r="K5150" s="5"/>
      <c r="L5150" s="5"/>
      <c r="M5150" s="5"/>
      <c r="N5150" s="5"/>
      <c r="O5150" s="5"/>
      <c r="P5150" s="5"/>
      <c r="Q5150" s="5"/>
      <c r="R5150" s="5"/>
      <c r="S5150" s="5"/>
    </row>
    <row r="5151">
      <c r="A5151" s="5"/>
      <c r="B5151" s="5" t="str">
        <f>IFERROR(__xludf.DUMMYFUNCTION("""COMPUTED_VALUE"""),"حسینیه")</f>
        <v>حسینیه</v>
      </c>
      <c r="C5151" s="5" t="str">
        <f>IFERROR(__xludf.DUMMYFUNCTION("""COMPUTED_VALUE"""),"شهداء")</f>
        <v>شهداء</v>
      </c>
      <c r="D5151" s="5" t="str">
        <f>IFERROR(__xludf.DUMMYFUNCTION("""COMPUTED_VALUE"""),"مرکزی")</f>
        <v>مرکزی</v>
      </c>
      <c r="E5151" s="5" t="str">
        <f>IFERROR(__xludf.DUMMYFUNCTION("""COMPUTED_VALUE"""),"ساوه")</f>
        <v>ساوه</v>
      </c>
      <c r="F5151" s="5"/>
      <c r="G5151" s="5"/>
      <c r="H5151" s="6" t="str">
        <f>IFERROR(__xludf.DUMMYFUNCTION("""COMPUTED_VALUE"""),"https://www.instagram.com/h_shohada133")</f>
        <v>https://www.instagram.com/h_shohada133</v>
      </c>
      <c r="I5151" s="6" t="str">
        <f>IFERROR(__xludf.DUMMYFUNCTION("""COMPUTED_VALUE"""),"https://t.me/h_shohada133")</f>
        <v>https://t.me/h_shohada133</v>
      </c>
      <c r="J5151" s="5"/>
      <c r="K5151" s="5"/>
      <c r="L5151" s="5"/>
      <c r="M5151" s="5"/>
      <c r="N5151" s="5"/>
      <c r="O5151" s="5"/>
      <c r="P5151" s="5"/>
      <c r="Q5151" s="5"/>
      <c r="R5151" s="5"/>
      <c r="S5151" s="5"/>
    </row>
    <row r="5152">
      <c r="A5152" s="5"/>
      <c r="B5152" s="5" t="str">
        <f>IFERROR(__xludf.DUMMYFUNCTION("""COMPUTED_VALUE"""),"هیأت")</f>
        <v>هیأت</v>
      </c>
      <c r="C5152" s="5" t="str">
        <f>IFERROR(__xludf.DUMMYFUNCTION("""COMPUTED_VALUE"""),"تکیه حسین‌خانه")</f>
        <v>تکیه حسین‌خانه</v>
      </c>
      <c r="D5152" s="5" t="str">
        <f>IFERROR(__xludf.DUMMYFUNCTION("""COMPUTED_VALUE"""),"مرکزی")</f>
        <v>مرکزی</v>
      </c>
      <c r="E5152" s="5" t="str">
        <f>IFERROR(__xludf.DUMMYFUNCTION("""COMPUTED_VALUE"""),"ساوه")</f>
        <v>ساوه</v>
      </c>
      <c r="F5152" s="5"/>
      <c r="G5152" s="5"/>
      <c r="H5152" s="6" t="str">
        <f>IFERROR(__xludf.DUMMYFUNCTION("""COMPUTED_VALUE"""),"https://www.instagram.com/hosseinkhaaneh")</f>
        <v>https://www.instagram.com/hosseinkhaaneh</v>
      </c>
      <c r="I5152" s="6" t="str">
        <f>IFERROR(__xludf.DUMMYFUNCTION("""COMPUTED_VALUE"""),"https://t.me/HoseinKhanehSaveh")</f>
        <v>https://t.me/HoseinKhanehSaveh</v>
      </c>
      <c r="J5152" s="5"/>
      <c r="K5152" s="5"/>
      <c r="L5152" s="5"/>
      <c r="M5152" s="5"/>
      <c r="N5152" s="5"/>
      <c r="O5152" s="5"/>
      <c r="P5152" s="5"/>
      <c r="Q5152" s="5"/>
      <c r="R5152" s="5"/>
      <c r="S5152" s="5"/>
    </row>
    <row r="5153">
      <c r="A5153" s="5"/>
      <c r="B5153" s="5" t="str">
        <f>IFERROR(__xludf.DUMMYFUNCTION("""COMPUTED_VALUE"""),"هیأت")</f>
        <v>هیأت</v>
      </c>
      <c r="C5153" s="5" t="str">
        <f>IFERROR(__xludf.DUMMYFUNCTION("""COMPUTED_VALUE"""),"تکیه عباسیه")</f>
        <v>تکیه عباسیه</v>
      </c>
      <c r="D5153" s="5" t="str">
        <f>IFERROR(__xludf.DUMMYFUNCTION("""COMPUTED_VALUE"""),"مرکزی")</f>
        <v>مرکزی</v>
      </c>
      <c r="E5153" s="5" t="str">
        <f>IFERROR(__xludf.DUMMYFUNCTION("""COMPUTED_VALUE"""),"ساوه")</f>
        <v>ساوه</v>
      </c>
      <c r="F5153" s="5"/>
      <c r="G5153" s="5"/>
      <c r="H5153" s="6" t="str">
        <f>IFERROR(__xludf.DUMMYFUNCTION("""COMPUTED_VALUE"""),"https://www.instagram.com/heyat.abbasieh")</f>
        <v>https://www.instagram.com/heyat.abbasieh</v>
      </c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</row>
    <row r="5154">
      <c r="A5154" s="5"/>
      <c r="B5154" s="5" t="str">
        <f>IFERROR(__xludf.DUMMYFUNCTION("""COMPUTED_VALUE"""),"هیأت")</f>
        <v>هیأت</v>
      </c>
      <c r="C5154" s="5" t="str">
        <f>IFERROR(__xludf.DUMMYFUNCTION("""COMPUTED_VALUE"""),"ریحانه الحسین")</f>
        <v>ریحانه الحسین</v>
      </c>
      <c r="D5154" s="5" t="str">
        <f>IFERROR(__xludf.DUMMYFUNCTION("""COMPUTED_VALUE"""),"مرکزی")</f>
        <v>مرکزی</v>
      </c>
      <c r="E5154" s="5" t="str">
        <f>IFERROR(__xludf.DUMMYFUNCTION("""COMPUTED_VALUE"""),"ساوه")</f>
        <v>ساوه</v>
      </c>
      <c r="F5154" s="5"/>
      <c r="G5154" s="5"/>
      <c r="H5154" s="6" t="str">
        <f>IFERROR(__xludf.DUMMYFUNCTION("""COMPUTED_VALUE"""),"https://www.instagram.com/reyhanatolhooseinsaveh.ir/")</f>
        <v>https://www.instagram.com/reyhanatolhooseinsaveh.ir/</v>
      </c>
      <c r="I5154" s="6" t="str">
        <f>IFERROR(__xludf.DUMMYFUNCTION("""COMPUTED_VALUE"""),"https://t.me/reyhanatolhooseinsaveh")</f>
        <v>https://t.me/reyhanatolhooseinsaveh</v>
      </c>
      <c r="J5154" s="6" t="str">
        <f>IFERROR(__xludf.DUMMYFUNCTION("""COMPUTED_VALUE"""),"https://eitaa.com/reyhanatolhooseinsaveh")</f>
        <v>https://eitaa.com/reyhanatolhooseinsaveh</v>
      </c>
      <c r="K5154" s="5"/>
      <c r="L5154" s="5"/>
      <c r="M5154" s="5"/>
      <c r="N5154" s="5"/>
      <c r="O5154" s="5"/>
      <c r="P5154" s="5"/>
      <c r="Q5154" s="5"/>
      <c r="R5154" s="5"/>
      <c r="S5154" s="5"/>
    </row>
    <row r="5155">
      <c r="A5155" s="5"/>
      <c r="B5155" s="5" t="str">
        <f>IFERROR(__xludf.DUMMYFUNCTION("""COMPUTED_VALUE"""),"هیأت")</f>
        <v>هیأت</v>
      </c>
      <c r="C5155" s="5" t="str">
        <f>IFERROR(__xludf.DUMMYFUNCTION("""COMPUTED_VALUE"""),"روضه الزهرا(س)")</f>
        <v>روضه الزهرا(س)</v>
      </c>
      <c r="D5155" s="5" t="str">
        <f>IFERROR(__xludf.DUMMYFUNCTION("""COMPUTED_VALUE"""),"مرکزی")</f>
        <v>مرکزی</v>
      </c>
      <c r="E5155" s="5" t="str">
        <f>IFERROR(__xludf.DUMMYFUNCTION("""COMPUTED_VALUE"""),"ساوه")</f>
        <v>ساوه</v>
      </c>
      <c r="F5155" s="5"/>
      <c r="G5155" s="5"/>
      <c r="H5155" s="6" t="str">
        <f>IFERROR(__xludf.DUMMYFUNCTION("""COMPUTED_VALUE"""),"https://www.instagram.com/heyat_rozatolzahra/")</f>
        <v>https://www.instagram.com/heyat_rozatolzahra/</v>
      </c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</row>
    <row r="5156">
      <c r="A5156" s="5"/>
      <c r="B5156" s="5" t="str">
        <f>IFERROR(__xludf.DUMMYFUNCTION("""COMPUTED_VALUE"""),"هیأت")</f>
        <v>هیأت</v>
      </c>
      <c r="C5156" s="5" t="str">
        <f>IFERROR(__xludf.DUMMYFUNCTION("""COMPUTED_VALUE"""),"فاطميون")</f>
        <v>فاطميون</v>
      </c>
      <c r="D5156" s="5" t="str">
        <f>IFERROR(__xludf.DUMMYFUNCTION("""COMPUTED_VALUE"""),"مرکزی")</f>
        <v>مرکزی</v>
      </c>
      <c r="E5156" s="5" t="str">
        <f>IFERROR(__xludf.DUMMYFUNCTION("""COMPUTED_VALUE"""),"ساوه")</f>
        <v>ساوه</v>
      </c>
      <c r="F5156" s="5"/>
      <c r="G5156" s="5"/>
      <c r="H5156" s="6" t="str">
        <f>IFERROR(__xludf.DUMMYFUNCTION("""COMPUTED_VALUE"""),"https://www.instagram.com/fatemionsaveh/")</f>
        <v>https://www.instagram.com/fatemionsaveh/</v>
      </c>
      <c r="I5156" s="6" t="str">
        <f>IFERROR(__xludf.DUMMYFUNCTION("""COMPUTED_VALUE"""),"https://t.me/shahidghaffari")</f>
        <v>https://t.me/shahidghaffari</v>
      </c>
      <c r="J5156" s="5"/>
      <c r="K5156" s="5"/>
      <c r="L5156" s="5"/>
      <c r="M5156" s="5"/>
      <c r="N5156" s="5"/>
      <c r="O5156" s="5"/>
      <c r="P5156" s="5"/>
      <c r="Q5156" s="5"/>
      <c r="R5156" s="5"/>
      <c r="S5156" s="5"/>
    </row>
    <row r="5157">
      <c r="A5157" s="5"/>
      <c r="B5157" s="5" t="str">
        <f>IFERROR(__xludf.DUMMYFUNCTION("""COMPUTED_VALUE"""),"هیأت")</f>
        <v>هیأت</v>
      </c>
      <c r="C5157" s="5" t="str">
        <f>IFERROR(__xludf.DUMMYFUNCTION("""COMPUTED_VALUE"""),"دیوانگان علی اکبر (ع)")</f>
        <v>دیوانگان علی اکبر (ع)</v>
      </c>
      <c r="D5157" s="5" t="str">
        <f>IFERROR(__xludf.DUMMYFUNCTION("""COMPUTED_VALUE"""),"مرکزی")</f>
        <v>مرکزی</v>
      </c>
      <c r="E5157" s="5" t="str">
        <f>IFERROR(__xludf.DUMMYFUNCTION("""COMPUTED_VALUE"""),"ساوه")</f>
        <v>ساوه</v>
      </c>
      <c r="F5157" s="5"/>
      <c r="G5157" s="5"/>
      <c r="H5157" s="6" t="str">
        <f>IFERROR(__xludf.DUMMYFUNCTION("""COMPUTED_VALUE"""),"https://www.instagram.com/divanegan.aliakbar.333/")</f>
        <v>https://www.instagram.com/divanegan.aliakbar.333/</v>
      </c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</row>
    <row r="5158">
      <c r="A5158" s="5"/>
      <c r="B5158" s="5" t="str">
        <f>IFERROR(__xludf.DUMMYFUNCTION("""COMPUTED_VALUE"""),"هیأت")</f>
        <v>هیأت</v>
      </c>
      <c r="C5158" s="5" t="str">
        <f>IFERROR(__xludf.DUMMYFUNCTION("""COMPUTED_VALUE"""),"بیت الرقیه‌")</f>
        <v>بیت الرقیه‌</v>
      </c>
      <c r="D5158" s="5" t="str">
        <f>IFERROR(__xludf.DUMMYFUNCTION("""COMPUTED_VALUE"""),"مرکزی")</f>
        <v>مرکزی</v>
      </c>
      <c r="E5158" s="5" t="str">
        <f>IFERROR(__xludf.DUMMYFUNCTION("""COMPUTED_VALUE"""),"ساوه")</f>
        <v>ساوه</v>
      </c>
      <c r="F5158" s="5"/>
      <c r="G5158" s="5"/>
      <c r="H5158" s="6" t="str">
        <f>IFERROR(__xludf.DUMMYFUNCTION("""COMPUTED_VALUE"""),"https://www.instagram.com/beytol_roghaye_/")</f>
        <v>https://www.instagram.com/beytol_roghaye_/</v>
      </c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</row>
    <row r="5159">
      <c r="A5159" s="5"/>
      <c r="B5159" s="5" t="str">
        <f>IFERROR(__xludf.DUMMYFUNCTION("""COMPUTED_VALUE"""),"هیأت")</f>
        <v>هیأت</v>
      </c>
      <c r="C5159" s="5" t="str">
        <f>IFERROR(__xludf.DUMMYFUNCTION("""COMPUTED_VALUE"""),"حضرت امیرالمؤمنین")</f>
        <v>حضرت امیرالمؤمنین</v>
      </c>
      <c r="D5159" s="5" t="str">
        <f>IFERROR(__xludf.DUMMYFUNCTION("""COMPUTED_VALUE"""),"مرکزی")</f>
        <v>مرکزی</v>
      </c>
      <c r="E5159" s="5" t="str">
        <f>IFERROR(__xludf.DUMMYFUNCTION("""COMPUTED_VALUE"""),"ساوه")</f>
        <v>ساوه</v>
      </c>
      <c r="F5159" s="5"/>
      <c r="G5159" s="5"/>
      <c r="H5159" s="6" t="str">
        <f>IFERROR(__xludf.DUMMYFUNCTION("""COMPUTED_VALUE"""),"https://www.instagram.com/amiralmoemenin_saveh/")</f>
        <v>https://www.instagram.com/amiralmoemenin_saveh/</v>
      </c>
      <c r="I5159" s="5"/>
      <c r="J5159" s="6" t="str">
        <f>IFERROR(__xludf.DUMMYFUNCTION("""COMPUTED_VALUE"""),"https://eitaa.com/AmirAlmoemenin_Saveh")</f>
        <v>https://eitaa.com/AmirAlmoemenin_Saveh</v>
      </c>
      <c r="K5159" s="5"/>
      <c r="L5159" s="5"/>
      <c r="M5159" s="5"/>
      <c r="N5159" s="5"/>
      <c r="O5159" s="5"/>
      <c r="P5159" s="5"/>
      <c r="Q5159" s="5"/>
      <c r="R5159" s="5"/>
      <c r="S5159" s="5"/>
    </row>
    <row r="5160">
      <c r="A5160" s="5"/>
      <c r="B5160" s="5" t="str">
        <f>IFERROR(__xludf.DUMMYFUNCTION("""COMPUTED_VALUE"""),"هیأت")</f>
        <v>هیأت</v>
      </c>
      <c r="C5160" s="5" t="str">
        <f>IFERROR(__xludf.DUMMYFUNCTION("""COMPUTED_VALUE"""),"خادم الحسین علیه السلام")</f>
        <v>خادم الحسین علیه السلام</v>
      </c>
      <c r="D5160" s="5" t="str">
        <f>IFERROR(__xludf.DUMMYFUNCTION("""COMPUTED_VALUE"""),"مرکزی")</f>
        <v>مرکزی</v>
      </c>
      <c r="E5160" s="5" t="str">
        <f>IFERROR(__xludf.DUMMYFUNCTION("""COMPUTED_VALUE"""),"ساوه")</f>
        <v>ساوه</v>
      </c>
      <c r="F5160" s="5"/>
      <c r="G5160" s="5"/>
      <c r="H5160" s="6" t="str">
        <f>IFERROR(__xludf.DUMMYFUNCTION("""COMPUTED_VALUE"""),"https://www.instagram.com/khademalhosein__info/")</f>
        <v>https://www.instagram.com/khademalhosein__info/</v>
      </c>
      <c r="I5160" s="6" t="str">
        <f>IFERROR(__xludf.DUMMYFUNCTION("""COMPUTED_VALUE"""),"https://t.me/h_khademalhosein")</f>
        <v>https://t.me/h_khademalhosein</v>
      </c>
      <c r="J5160" s="5"/>
      <c r="K5160" s="5"/>
      <c r="L5160" s="5"/>
      <c r="M5160" s="5"/>
      <c r="N5160" s="5"/>
      <c r="O5160" s="5"/>
      <c r="P5160" s="5"/>
      <c r="Q5160" s="5"/>
      <c r="R5160" s="5"/>
      <c r="S5160" s="5"/>
    </row>
    <row r="5161">
      <c r="A5161" s="5"/>
      <c r="B5161" s="5" t="str">
        <f>IFERROR(__xludf.DUMMYFUNCTION("""COMPUTED_VALUE"""),"هیأت")</f>
        <v>هیأت</v>
      </c>
      <c r="C5161" s="5" t="str">
        <f>IFERROR(__xludf.DUMMYFUNCTION("""COMPUTED_VALUE"""),"بیت الرقیه")</f>
        <v>بیت الرقیه</v>
      </c>
      <c r="D5161" s="5" t="str">
        <f>IFERROR(__xludf.DUMMYFUNCTION("""COMPUTED_VALUE"""),"مرکزی")</f>
        <v>مرکزی</v>
      </c>
      <c r="E5161" s="5" t="str">
        <f>IFERROR(__xludf.DUMMYFUNCTION("""COMPUTED_VALUE"""),"ساوه")</f>
        <v>ساوه</v>
      </c>
      <c r="F5161" s="5" t="str">
        <f>IFERROR(__xludf.DUMMYFUNCTION("""COMPUTED_VALUE"""),"صولت آباد")</f>
        <v>صولت آباد</v>
      </c>
      <c r="G5161" s="5"/>
      <c r="H5161" s="6" t="str">
        <f>IFERROR(__xludf.DUMMYFUNCTION("""COMPUTED_VALUE"""),"https://www.instagram.com/beyt_ol_roghayyeh/")</f>
        <v>https://www.instagram.com/beyt_ol_roghayyeh/</v>
      </c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</row>
    <row r="5162">
      <c r="A5162" s="5"/>
      <c r="B5162" s="5" t="str">
        <f>IFERROR(__xludf.DUMMYFUNCTION("""COMPUTED_VALUE"""),"هیأت")</f>
        <v>هیأت</v>
      </c>
      <c r="C5162" s="5" t="str">
        <f>IFERROR(__xludf.DUMMYFUNCTION("""COMPUTED_VALUE"""),"اُمِّ اَبیها (س)")</f>
        <v>اُمِّ اَبیها (س)</v>
      </c>
      <c r="D5162" s="5" t="str">
        <f>IFERROR(__xludf.DUMMYFUNCTION("""COMPUTED_VALUE"""),"مرکزی")</f>
        <v>مرکزی</v>
      </c>
      <c r="E5162" s="5" t="str">
        <f>IFERROR(__xludf.DUMMYFUNCTION("""COMPUTED_VALUE"""),"ساوه")</f>
        <v>ساوه</v>
      </c>
      <c r="F5162" s="5"/>
      <c r="G5162" s="5"/>
      <c r="H5162" s="6" t="str">
        <f>IFERROR(__xludf.DUMMYFUNCTION("""COMPUTED_VALUE"""),"https://www.instagram.com/heyat.ome.abiha/")</f>
        <v>https://www.instagram.com/heyat.ome.abiha/</v>
      </c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</row>
    <row r="5163">
      <c r="A5163" s="5"/>
      <c r="B5163" s="5" t="str">
        <f>IFERROR(__xludf.DUMMYFUNCTION("""COMPUTED_VALUE"""),"هیأت")</f>
        <v>هیأت</v>
      </c>
      <c r="C5163" s="5" t="str">
        <f>IFERROR(__xludf.DUMMYFUNCTION("""COMPUTED_VALUE"""),"خادمین امام زمان(عج)")</f>
        <v>خادمین امام زمان(عج)</v>
      </c>
      <c r="D5163" s="5" t="str">
        <f>IFERROR(__xludf.DUMMYFUNCTION("""COMPUTED_VALUE"""),"مرکزی")</f>
        <v>مرکزی</v>
      </c>
      <c r="E5163" s="5" t="str">
        <f>IFERROR(__xludf.DUMMYFUNCTION("""COMPUTED_VALUE"""),"ساوه")</f>
        <v>ساوه</v>
      </c>
      <c r="F5163" s="5"/>
      <c r="G5163" s="5"/>
      <c r="H5163" s="6" t="str">
        <f>IFERROR(__xludf.DUMMYFUNCTION("""COMPUTED_VALUE"""),"https://www.instagram.com/khademin_emam_zaman/")</f>
        <v>https://www.instagram.com/khademin_emam_zaman/</v>
      </c>
      <c r="I5163" s="5"/>
      <c r="J5163" s="6" t="str">
        <f>IFERROR(__xludf.DUMMYFUNCTION("""COMPUTED_VALUE"""),"https://eitaa.com/khademineemamzaman")</f>
        <v>https://eitaa.com/khademineemamzaman</v>
      </c>
      <c r="K5163" s="5"/>
      <c r="L5163" s="5"/>
      <c r="M5163" s="5"/>
      <c r="N5163" s="5"/>
      <c r="O5163" s="5"/>
      <c r="P5163" s="5"/>
      <c r="Q5163" s="5"/>
      <c r="R5163" s="5"/>
      <c r="S5163" s="5"/>
    </row>
    <row r="5164">
      <c r="A5164" s="5"/>
      <c r="B5164" s="5" t="str">
        <f>IFERROR(__xludf.DUMMYFUNCTION("""COMPUTED_VALUE"""),"هیأت")</f>
        <v>هیأت</v>
      </c>
      <c r="C5164" s="5" t="str">
        <f>IFERROR(__xludf.DUMMYFUNCTION("""COMPUTED_VALUE"""),"بیت الزهرا(س)")</f>
        <v>بیت الزهرا(س)</v>
      </c>
      <c r="D5164" s="5" t="str">
        <f>IFERROR(__xludf.DUMMYFUNCTION("""COMPUTED_VALUE"""),"مرکزی")</f>
        <v>مرکزی</v>
      </c>
      <c r="E5164" s="5" t="str">
        <f>IFERROR(__xludf.DUMMYFUNCTION("""COMPUTED_VALUE"""),"ساوه")</f>
        <v>ساوه</v>
      </c>
      <c r="F5164" s="5"/>
      <c r="G5164" s="5"/>
      <c r="H5164" s="6" t="str">
        <f>IFERROR(__xludf.DUMMYFUNCTION("""COMPUTED_VALUE"""),"https://www.instagram.com/beytolzahrasaveh/")</f>
        <v>https://www.instagram.com/beytolzahrasaveh/</v>
      </c>
      <c r="I5164" s="6" t="str">
        <f>IFERROR(__xludf.DUMMYFUNCTION("""COMPUTED_VALUE"""),"https://t.me/beytozahraSave")</f>
        <v>https://t.me/beytozahraSave</v>
      </c>
      <c r="J5164" s="6" t="str">
        <f>IFERROR(__xludf.DUMMYFUNCTION("""COMPUTED_VALUE"""),"https://eitaa.com/Heyat_Eiliya")</f>
        <v>https://eitaa.com/Heyat_Eiliya</v>
      </c>
      <c r="K5164" s="5"/>
      <c r="L5164" s="5"/>
      <c r="M5164" s="5"/>
      <c r="N5164" s="5"/>
      <c r="O5164" s="5"/>
      <c r="P5164" s="5"/>
      <c r="Q5164" s="5"/>
      <c r="R5164" s="5"/>
      <c r="S5164" s="5"/>
    </row>
    <row r="5165">
      <c r="A5165" s="5"/>
      <c r="B5165" s="5" t="str">
        <f>IFERROR(__xludf.DUMMYFUNCTION("""COMPUTED_VALUE"""),"هیأت نوجوان")</f>
        <v>هیأت نوجوان</v>
      </c>
      <c r="C5165" s="5" t="str">
        <f>IFERROR(__xludf.DUMMYFUNCTION("""COMPUTED_VALUE"""),"ایلیا")</f>
        <v>ایلیا</v>
      </c>
      <c r="D5165" s="5" t="str">
        <f>IFERROR(__xludf.DUMMYFUNCTION("""COMPUTED_VALUE"""),"مرکزی")</f>
        <v>مرکزی</v>
      </c>
      <c r="E5165" s="5" t="str">
        <f>IFERROR(__xludf.DUMMYFUNCTION("""COMPUTED_VALUE"""),"ساوه")</f>
        <v>ساوه</v>
      </c>
      <c r="F5165" s="5"/>
      <c r="G5165" s="5"/>
      <c r="H5165" s="6" t="str">
        <f>IFERROR(__xludf.DUMMYFUNCTION("""COMPUTED_VALUE"""),"https://www.instagram.com/heyat_eiliya/")</f>
        <v>https://www.instagram.com/heyat_eiliya/</v>
      </c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</row>
    <row r="5166">
      <c r="A5166" s="5"/>
      <c r="B5166" s="5" t="str">
        <f>IFERROR(__xludf.DUMMYFUNCTION("""COMPUTED_VALUE"""),"موکب")</f>
        <v>موکب</v>
      </c>
      <c r="C5166" s="5" t="str">
        <f>IFERROR(__xludf.DUMMYFUNCTION("""COMPUTED_VALUE"""),"امام حسن مجتبی علیه السلام")</f>
        <v>امام حسن مجتبی علیه السلام</v>
      </c>
      <c r="D5166" s="5" t="str">
        <f>IFERROR(__xludf.DUMMYFUNCTION("""COMPUTED_VALUE"""),"مرکزی")</f>
        <v>مرکزی</v>
      </c>
      <c r="E5166" s="5" t="str">
        <f>IFERROR(__xludf.DUMMYFUNCTION("""COMPUTED_VALUE"""),"ساوه")</f>
        <v>ساوه</v>
      </c>
      <c r="F5166" s="5"/>
      <c r="G5166" s="5"/>
      <c r="H5166" s="6" t="str">
        <f>IFERROR(__xludf.DUMMYFUNCTION("""COMPUTED_VALUE"""),"https://www.instagram.com/mokeb_emamhasan_saveh/")</f>
        <v>https://www.instagram.com/mokeb_emamhasan_saveh/</v>
      </c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</row>
    <row r="5167">
      <c r="A5167" s="5"/>
      <c r="B5167" s="5" t="str">
        <f>IFERROR(__xludf.DUMMYFUNCTION("""COMPUTED_VALUE"""),"هیأت")</f>
        <v>هیأت</v>
      </c>
      <c r="C5167" s="5" t="str">
        <f>IFERROR(__xludf.DUMMYFUNCTION("""COMPUTED_VALUE"""),"قاسمیه")</f>
        <v>قاسمیه</v>
      </c>
      <c r="D5167" s="5" t="str">
        <f>IFERROR(__xludf.DUMMYFUNCTION("""COMPUTED_VALUE"""),"مرکزی")</f>
        <v>مرکزی</v>
      </c>
      <c r="E5167" s="5" t="str">
        <f>IFERROR(__xludf.DUMMYFUNCTION("""COMPUTED_VALUE"""),"ساوه")</f>
        <v>ساوه</v>
      </c>
      <c r="F5167" s="5"/>
      <c r="G5167" s="5"/>
      <c r="H5167" s="6" t="str">
        <f>IFERROR(__xludf.DUMMYFUNCTION("""COMPUTED_VALUE"""),"https://www.instagram.com/ghasemiyeh_saveh/")</f>
        <v>https://www.instagram.com/ghasemiyeh_saveh/</v>
      </c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/>
    </row>
    <row r="5168">
      <c r="A5168" s="5"/>
      <c r="B5168" s="5" t="str">
        <f>IFERROR(__xludf.DUMMYFUNCTION("""COMPUTED_VALUE"""),"هیأت")</f>
        <v>هیأت</v>
      </c>
      <c r="C5168" s="5" t="str">
        <f>IFERROR(__xludf.DUMMYFUNCTION("""COMPUTED_VALUE"""),"امام حسن مجتبی (ع)")</f>
        <v>امام حسن مجتبی (ع)</v>
      </c>
      <c r="D5168" s="5" t="str">
        <f>IFERROR(__xludf.DUMMYFUNCTION("""COMPUTED_VALUE"""),"مرکزی")</f>
        <v>مرکزی</v>
      </c>
      <c r="E5168" s="5" t="str">
        <f>IFERROR(__xludf.DUMMYFUNCTION("""COMPUTED_VALUE"""),"ساوه")</f>
        <v>ساوه</v>
      </c>
      <c r="F5168" s="5"/>
      <c r="G5168" s="5">
        <f>IFERROR(__xludf.DUMMYFUNCTION("""COMPUTED_VALUE"""),1.0)</f>
        <v>1</v>
      </c>
      <c r="H5168" s="6" t="str">
        <f>IFERROR(__xludf.DUMMYFUNCTION("""COMPUTED_VALUE"""),"https://www.instagram.com/emam.hasan.save/")</f>
        <v>https://www.instagram.com/emam.hasan.save/</v>
      </c>
      <c r="I5168" s="5"/>
      <c r="J5168" s="5"/>
      <c r="K5168" s="5"/>
      <c r="L5168" s="5"/>
      <c r="M5168" s="5"/>
      <c r="N5168" s="5"/>
      <c r="O5168" s="5"/>
      <c r="P5168" s="5"/>
      <c r="Q5168" s="5"/>
      <c r="R5168" s="5"/>
      <c r="S5168" s="5"/>
    </row>
    <row r="5169">
      <c r="A5169" s="5"/>
      <c r="B5169" s="5" t="str">
        <f>IFERROR(__xludf.DUMMYFUNCTION("""COMPUTED_VALUE"""),"رسانه")</f>
        <v>رسانه</v>
      </c>
      <c r="C5169" s="5" t="str">
        <f>IFERROR(__xludf.DUMMYFUNCTION("""COMPUTED_VALUE"""),"احرار")</f>
        <v>احرار</v>
      </c>
      <c r="D5169" s="5" t="str">
        <f>IFERROR(__xludf.DUMMYFUNCTION("""COMPUTED_VALUE"""),"مرکزی")</f>
        <v>مرکزی</v>
      </c>
      <c r="E5169" s="5" t="str">
        <f>IFERROR(__xludf.DUMMYFUNCTION("""COMPUTED_VALUE"""),"ساوه")</f>
        <v>ساوه</v>
      </c>
      <c r="F5169" s="5"/>
      <c r="G5169" s="5"/>
      <c r="H5169" s="6" t="str">
        <f>IFERROR(__xludf.DUMMYFUNCTION("""COMPUTED_VALUE"""),"https://www.instagram.com/resaneh_ahrar/")</f>
        <v>https://www.instagram.com/resaneh_ahrar/</v>
      </c>
      <c r="I5169" s="6" t="str">
        <f>IFERROR(__xludf.DUMMYFUNCTION("""COMPUTED_VALUE"""),"https://t.me/resaneh_ahrar")</f>
        <v>https://t.me/resaneh_ahrar</v>
      </c>
      <c r="J5169" s="6" t="str">
        <f>IFERROR(__xludf.DUMMYFUNCTION("""COMPUTED_VALUE"""),"https://eitaa.com/resaneh_ahrar")</f>
        <v>https://eitaa.com/resaneh_ahrar</v>
      </c>
      <c r="K5169" s="5"/>
      <c r="L5169" s="5"/>
      <c r="M5169" s="5"/>
      <c r="N5169" s="5"/>
      <c r="O5169" s="5"/>
      <c r="P5169" s="5"/>
      <c r="Q5169" s="5"/>
      <c r="R5169" s="5"/>
      <c r="S5169" s="5"/>
    </row>
    <row r="5170">
      <c r="A5170" s="5"/>
      <c r="B5170" s="5" t="str">
        <f>IFERROR(__xludf.DUMMYFUNCTION("""COMPUTED_VALUE"""),"هیأت")</f>
        <v>هیأت</v>
      </c>
      <c r="C5170" s="5" t="str">
        <f>IFERROR(__xludf.DUMMYFUNCTION("""COMPUTED_VALUE"""),"مکتب الحسین(ع)")</f>
        <v>مکتب الحسین(ع)</v>
      </c>
      <c r="D5170" s="5" t="str">
        <f>IFERROR(__xludf.DUMMYFUNCTION("""COMPUTED_VALUE"""),"مرکزی")</f>
        <v>مرکزی</v>
      </c>
      <c r="E5170" s="5" t="str">
        <f>IFERROR(__xludf.DUMMYFUNCTION("""COMPUTED_VALUE"""),"ساوه")</f>
        <v>ساوه</v>
      </c>
      <c r="F5170" s="5"/>
      <c r="G5170" s="5"/>
      <c r="H5170" s="6" t="str">
        <f>IFERROR(__xludf.DUMMYFUNCTION("""COMPUTED_VALUE"""),"https://www.instagram.com/maktab_alhosein_saveh/")</f>
        <v>https://www.instagram.com/maktab_alhosein_saveh/</v>
      </c>
      <c r="I5170" s="6" t="str">
        <f>IFERROR(__xludf.DUMMYFUNCTION("""COMPUTED_VALUE"""),"https://t.me/maktab_alhosein_saveh")</f>
        <v>https://t.me/maktab_alhosein_saveh</v>
      </c>
      <c r="J5170" s="5"/>
      <c r="K5170" s="5"/>
      <c r="L5170" s="5"/>
      <c r="M5170" s="5"/>
      <c r="N5170" s="5"/>
      <c r="O5170" s="5"/>
      <c r="P5170" s="5"/>
      <c r="Q5170" s="5"/>
      <c r="R5170" s="5"/>
      <c r="S5170" s="5"/>
    </row>
    <row r="5171">
      <c r="A5171" s="5"/>
      <c r="B5171" s="5" t="str">
        <f>IFERROR(__xludf.DUMMYFUNCTION("""COMPUTED_VALUE"""),"هیأت")</f>
        <v>هیأت</v>
      </c>
      <c r="C5171" s="5" t="str">
        <f>IFERROR(__xludf.DUMMYFUNCTION("""COMPUTED_VALUE"""),"علامت داران وعلامت کشان")</f>
        <v>علامت داران وعلامت کشان</v>
      </c>
      <c r="D5171" s="5" t="str">
        <f>IFERROR(__xludf.DUMMYFUNCTION("""COMPUTED_VALUE"""),"مرکزی")</f>
        <v>مرکزی</v>
      </c>
      <c r="E5171" s="5" t="str">
        <f>IFERROR(__xludf.DUMMYFUNCTION("""COMPUTED_VALUE"""),"ساوه")</f>
        <v>ساوه</v>
      </c>
      <c r="F5171" s="5"/>
      <c r="G5171" s="5"/>
      <c r="H5171" s="6" t="str">
        <f>IFERROR(__xludf.DUMMYFUNCTION("""COMPUTED_VALUE"""),"https://www.instagram.com/alamdaran_alamkeshan_saveh/")</f>
        <v>https://www.instagram.com/alamdaran_alamkeshan_saveh/</v>
      </c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</row>
    <row r="5172">
      <c r="A5172" s="5"/>
      <c r="B5172" s="5" t="str">
        <f>IFERROR(__xludf.DUMMYFUNCTION("""COMPUTED_VALUE"""),"موکب")</f>
        <v>موکب</v>
      </c>
      <c r="C5172" s="5" t="str">
        <f>IFERROR(__xludf.DUMMYFUNCTION("""COMPUTED_VALUE"""),"علمدار کربلا")</f>
        <v>علمدار کربلا</v>
      </c>
      <c r="D5172" s="5" t="str">
        <f>IFERROR(__xludf.DUMMYFUNCTION("""COMPUTED_VALUE"""),"مرکزی")</f>
        <v>مرکزی</v>
      </c>
      <c r="E5172" s="5" t="str">
        <f>IFERROR(__xludf.DUMMYFUNCTION("""COMPUTED_VALUE"""),"ساوه")</f>
        <v>ساوه</v>
      </c>
      <c r="F5172" s="5"/>
      <c r="G5172" s="5"/>
      <c r="H5172" s="6" t="str">
        <f>IFERROR(__xludf.DUMMYFUNCTION("""COMPUTED_VALUE"""),"https://www.instagram.com/mokeb.alamdar.karbala_saveh/")</f>
        <v>https://www.instagram.com/mokeb.alamdar.karbala_saveh/</v>
      </c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/>
    </row>
    <row r="5173">
      <c r="A5173" s="5"/>
      <c r="B5173" s="5" t="str">
        <f>IFERROR(__xludf.DUMMYFUNCTION("""COMPUTED_VALUE"""),"هیأت")</f>
        <v>هیأت</v>
      </c>
      <c r="C5173" s="5" t="str">
        <f>IFERROR(__xludf.DUMMYFUNCTION("""COMPUTED_VALUE"""),"منتظران حضرت ولیعصر (عج)")</f>
        <v>منتظران حضرت ولیعصر (عج)</v>
      </c>
      <c r="D5173" s="5" t="str">
        <f>IFERROR(__xludf.DUMMYFUNCTION("""COMPUTED_VALUE"""),"مرکزی")</f>
        <v>مرکزی</v>
      </c>
      <c r="E5173" s="5" t="str">
        <f>IFERROR(__xludf.DUMMYFUNCTION("""COMPUTED_VALUE"""),"ساوه")</f>
        <v>ساوه</v>
      </c>
      <c r="F5173" s="5"/>
      <c r="G5173" s="5"/>
      <c r="H5173" s="6" t="str">
        <f>IFERROR(__xludf.DUMMYFUNCTION("""COMPUTED_VALUE"""),"https://www.instagram.com/havayehosein.heyat/")</f>
        <v>https://www.instagram.com/havayehosein.heyat/</v>
      </c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/>
    </row>
    <row r="5174">
      <c r="A5174" s="5"/>
      <c r="B5174" s="5" t="str">
        <f>IFERROR(__xludf.DUMMYFUNCTION("""COMPUTED_VALUE"""),"موکب")</f>
        <v>موکب</v>
      </c>
      <c r="C5174" s="5" t="str">
        <f>IFERROR(__xludf.DUMMYFUNCTION("""COMPUTED_VALUE"""),"جاماندگان كربلا")</f>
        <v>جاماندگان كربلا</v>
      </c>
      <c r="D5174" s="5" t="str">
        <f>IFERROR(__xludf.DUMMYFUNCTION("""COMPUTED_VALUE"""),"مرکزی")</f>
        <v>مرکزی</v>
      </c>
      <c r="E5174" s="5" t="str">
        <f>IFERROR(__xludf.DUMMYFUNCTION("""COMPUTED_VALUE"""),"ساوه")</f>
        <v>ساوه</v>
      </c>
      <c r="F5174" s="5"/>
      <c r="G5174" s="5"/>
      <c r="H5174" s="6" t="str">
        <f>IFERROR(__xludf.DUMMYFUNCTION("""COMPUTED_VALUE"""),"https://www.instagram.com/mokebejamandegan/")</f>
        <v>https://www.instagram.com/mokebejamandegan/</v>
      </c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</row>
    <row r="5175">
      <c r="A5175" s="5"/>
      <c r="B5175" s="5" t="str">
        <f>IFERROR(__xludf.DUMMYFUNCTION("""COMPUTED_VALUE"""),"هیأت")</f>
        <v>هیأت</v>
      </c>
      <c r="C5175" s="5" t="str">
        <f>IFERROR(__xludf.DUMMYFUNCTION("""COMPUTED_VALUE"""),"امامزاده سید ابورضا")</f>
        <v>امامزاده سید ابورضا</v>
      </c>
      <c r="D5175" s="5" t="str">
        <f>IFERROR(__xludf.DUMMYFUNCTION("""COMPUTED_VALUE"""),"مرکزی")</f>
        <v>مرکزی</v>
      </c>
      <c r="E5175" s="5" t="str">
        <f>IFERROR(__xludf.DUMMYFUNCTION("""COMPUTED_VALUE"""),"ساوه")</f>
        <v>ساوه</v>
      </c>
      <c r="F5175" s="5"/>
      <c r="G5175" s="5"/>
      <c r="H5175" s="6" t="str">
        <f>IFERROR(__xludf.DUMMYFUNCTION("""COMPUTED_VALUE"""),"https://www.instagram.com/emamzadeh.seyedaboreza/")</f>
        <v>https://www.instagram.com/emamzadeh.seyedaboreza/</v>
      </c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</row>
    <row r="5176">
      <c r="A5176" s="5"/>
      <c r="B5176" s="5" t="str">
        <f>IFERROR(__xludf.DUMMYFUNCTION("""COMPUTED_VALUE"""),"هیأت")</f>
        <v>هیأت</v>
      </c>
      <c r="C5176" s="5" t="str">
        <f>IFERROR(__xludf.DUMMYFUNCTION("""COMPUTED_VALUE"""),"محبان اهل بیت(ع)")</f>
        <v>محبان اهل بیت(ع)</v>
      </c>
      <c r="D5176" s="5" t="str">
        <f>IFERROR(__xludf.DUMMYFUNCTION("""COMPUTED_VALUE"""),"مرکزی")</f>
        <v>مرکزی</v>
      </c>
      <c r="E5176" s="5" t="str">
        <f>IFERROR(__xludf.DUMMYFUNCTION("""COMPUTED_VALUE"""),"شازند")</f>
        <v>شازند</v>
      </c>
      <c r="F5176" s="5"/>
      <c r="G5176" s="5"/>
      <c r="H5176" s="6" t="str">
        <f>IFERROR(__xludf.DUMMYFUNCTION("""COMPUTED_VALUE"""),"https://www.instagram.com/heyat_mohebanahlebeit_shazand/")</f>
        <v>https://www.instagram.com/heyat_mohebanahlebeit_shazand/</v>
      </c>
      <c r="I5176" s="6" t="str">
        <f>IFERROR(__xludf.DUMMYFUNCTION("""COMPUTED_VALUE"""),"https://t.me/heyat_moheban_ahlebeit_shazand")</f>
        <v>https://t.me/heyat_moheban_ahlebeit_shazand</v>
      </c>
      <c r="J5176" s="5"/>
      <c r="K5176" s="5"/>
      <c r="L5176" s="5"/>
      <c r="M5176" s="5"/>
      <c r="N5176" s="5"/>
      <c r="O5176" s="5"/>
      <c r="P5176" s="5"/>
      <c r="Q5176" s="5"/>
      <c r="R5176" s="5"/>
      <c r="S5176" s="5"/>
    </row>
    <row r="5177">
      <c r="A5177" s="5"/>
      <c r="B5177" s="5" t="str">
        <f>IFERROR(__xludf.DUMMYFUNCTION("""COMPUTED_VALUE"""),"هیأت")</f>
        <v>هیأت</v>
      </c>
      <c r="C5177" s="5" t="str">
        <f>IFERROR(__xludf.DUMMYFUNCTION("""COMPUTED_VALUE"""),"الرضا")</f>
        <v>الرضا</v>
      </c>
      <c r="D5177" s="5" t="str">
        <f>IFERROR(__xludf.DUMMYFUNCTION("""COMPUTED_VALUE"""),"مرکزی")</f>
        <v>مرکزی</v>
      </c>
      <c r="E5177" s="5" t="str">
        <f>IFERROR(__xludf.DUMMYFUNCTION("""COMPUTED_VALUE"""),"شازند")</f>
        <v>شازند</v>
      </c>
      <c r="F5177" s="5"/>
      <c r="G5177" s="5"/>
      <c r="H5177" s="6" t="str">
        <f>IFERROR(__xludf.DUMMYFUNCTION("""COMPUTED_VALUE"""),"https://www.instagram.com/heyatalreza2020")</f>
        <v>https://www.instagram.com/heyatalreza2020</v>
      </c>
      <c r="I5177" s="6" t="str">
        <f>IFERROR(__xludf.DUMMYFUNCTION("""COMPUTED_VALUE"""),"https://t.me/heyatalreza2020")</f>
        <v>https://t.me/heyatalreza2020</v>
      </c>
      <c r="J5177" s="5"/>
      <c r="K5177" s="5"/>
      <c r="L5177" s="5"/>
      <c r="M5177" s="5"/>
      <c r="N5177" s="5"/>
      <c r="O5177" s="5"/>
      <c r="P5177" s="5"/>
      <c r="Q5177" s="5"/>
      <c r="R5177" s="5"/>
      <c r="S5177" s="5"/>
    </row>
    <row r="5178">
      <c r="A5178" s="5">
        <f>IFERROR(__xludf.DUMMYFUNCTION("""COMPUTED_VALUE"""),25094.0)</f>
        <v>25094</v>
      </c>
      <c r="B5178" s="5"/>
      <c r="C5178" s="5" t="str">
        <f>IFERROR(__xludf.DUMMYFUNCTION("""COMPUTED_VALUE"""),"بیت العباس (ع)")</f>
        <v>بیت العباس (ع)</v>
      </c>
      <c r="D5178" s="5" t="str">
        <f>IFERROR(__xludf.DUMMYFUNCTION("""COMPUTED_VALUE"""),"مرکزی")</f>
        <v>مرکزی</v>
      </c>
      <c r="E5178" s="5" t="str">
        <f>IFERROR(__xludf.DUMMYFUNCTION("""COMPUTED_VALUE"""),"فراهان")</f>
        <v>فراهان</v>
      </c>
      <c r="F5178" s="5" t="str">
        <f>IFERROR(__xludf.DUMMYFUNCTION("""COMPUTED_VALUE"""),"فرمهین")</f>
        <v>فرمهین</v>
      </c>
      <c r="G5178" s="5">
        <f>IFERROR(__xludf.DUMMYFUNCTION("""COMPUTED_VALUE"""),1.0)</f>
        <v>1</v>
      </c>
      <c r="H5178" s="6" t="str">
        <f>IFERROR(__xludf.DUMMYFUNCTION("""COMPUTED_VALUE"""),"https://www.instagram.com/byt_al_abass/")</f>
        <v>https://www.instagram.com/byt_al_abass/</v>
      </c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</row>
    <row r="5179">
      <c r="A5179" s="5"/>
      <c r="B5179" s="5" t="str">
        <f>IFERROR(__xludf.DUMMYFUNCTION("""COMPUTED_VALUE"""),"هیأت")</f>
        <v>هیأت</v>
      </c>
      <c r="C5179" s="5" t="str">
        <f>IFERROR(__xludf.DUMMYFUNCTION("""COMPUTED_VALUE"""),"انصارالمهدی (عج)")</f>
        <v>انصارالمهدی (عج)</v>
      </c>
      <c r="D5179" s="5" t="str">
        <f>IFERROR(__xludf.DUMMYFUNCTION("""COMPUTED_VALUE"""),"مرکزی")</f>
        <v>مرکزی</v>
      </c>
      <c r="E5179" s="5" t="str">
        <f>IFERROR(__xludf.DUMMYFUNCTION("""COMPUTED_VALUE"""),"فراهان")</f>
        <v>فراهان</v>
      </c>
      <c r="F5179" s="5"/>
      <c r="G5179" s="5"/>
      <c r="H5179" s="6" t="str">
        <f>IFERROR(__xludf.DUMMYFUNCTION("""COMPUTED_VALUE"""),"https://www.instagram.com/ansarolmahdi_farahan/")</f>
        <v>https://www.instagram.com/ansarolmahdi_farahan/</v>
      </c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</row>
    <row r="5180">
      <c r="A5180" s="5"/>
      <c r="B5180" s="5" t="str">
        <f>IFERROR(__xludf.DUMMYFUNCTION("""COMPUTED_VALUE"""),"هیأت")</f>
        <v>هیأت</v>
      </c>
      <c r="C5180" s="5" t="str">
        <f>IFERROR(__xludf.DUMMYFUNCTION("""COMPUTED_VALUE"""),"قمربنی هاشم")</f>
        <v>قمربنی هاشم</v>
      </c>
      <c r="D5180" s="5" t="str">
        <f>IFERROR(__xludf.DUMMYFUNCTION("""COMPUTED_VALUE"""),"مرکزی")</f>
        <v>مرکزی</v>
      </c>
      <c r="E5180" s="5" t="str">
        <f>IFERROR(__xludf.DUMMYFUNCTION("""COMPUTED_VALUE"""),"فراهان")</f>
        <v>فراهان</v>
      </c>
      <c r="F5180" s="5" t="str">
        <f>IFERROR(__xludf.DUMMYFUNCTION("""COMPUTED_VALUE"""),"نجف آباد")</f>
        <v>نجف آباد</v>
      </c>
      <c r="G5180" s="5">
        <f>IFERROR(__xludf.DUMMYFUNCTION("""COMPUTED_VALUE"""),1.0)</f>
        <v>1</v>
      </c>
      <c r="H5180" s="6" t="str">
        <f>IFERROR(__xludf.DUMMYFUNCTION("""COMPUTED_VALUE"""),"https://www.instagram.com/taziahfarahan/")</f>
        <v>https://www.instagram.com/taziahfarahan/</v>
      </c>
      <c r="I5180" s="5"/>
      <c r="J5180" s="5"/>
      <c r="K5180" s="5"/>
      <c r="L5180" s="5"/>
      <c r="M5180" s="5"/>
      <c r="N5180" s="5"/>
      <c r="O5180" s="5"/>
      <c r="P5180" s="5"/>
      <c r="Q5180" s="5"/>
      <c r="R5180" s="5"/>
      <c r="S5180" s="5"/>
    </row>
    <row r="5181">
      <c r="A5181" s="5">
        <f>IFERROR(__xludf.DUMMYFUNCTION("""COMPUTED_VALUE"""),19925.0)</f>
        <v>19925</v>
      </c>
      <c r="B5181" s="5"/>
      <c r="C5181" s="5" t="str">
        <f>IFERROR(__xludf.DUMMYFUNCTION("""COMPUTED_VALUE"""),"شهدای گمنام")</f>
        <v>شهدای گمنام</v>
      </c>
      <c r="D5181" s="5" t="str">
        <f>IFERROR(__xludf.DUMMYFUNCTION("""COMPUTED_VALUE"""),"مرکزی")</f>
        <v>مرکزی</v>
      </c>
      <c r="E5181" s="5" t="str">
        <f>IFERROR(__xludf.DUMMYFUNCTION("""COMPUTED_VALUE"""),"محلات")</f>
        <v>محلات</v>
      </c>
      <c r="F5181" s="5"/>
      <c r="G5181" s="5"/>
      <c r="H5181" s="6" t="str">
        <f>IFERROR(__xludf.DUMMYFUNCTION("""COMPUTED_VALUE"""),"https://www.instagram.com/rowzaat/")</f>
        <v>https://www.instagram.com/rowzaat/</v>
      </c>
      <c r="I5181" s="5"/>
      <c r="J5181" s="6" t="str">
        <f>IFERROR(__xludf.DUMMYFUNCTION("""COMPUTED_VALUE"""),"https://eitaa.com/rowzaat")</f>
        <v>https://eitaa.com/rowzaat</v>
      </c>
      <c r="K5181" s="5"/>
      <c r="L5181" s="5"/>
      <c r="M5181" s="5"/>
      <c r="N5181" s="5"/>
      <c r="O5181" s="5"/>
      <c r="P5181" s="5"/>
      <c r="Q5181" s="5"/>
      <c r="R5181" s="5"/>
      <c r="S5181" s="5"/>
    </row>
    <row r="5182">
      <c r="A5182" s="5"/>
      <c r="B5182" s="5" t="str">
        <f>IFERROR(__xludf.DUMMYFUNCTION("""COMPUTED_VALUE"""),"هیأت")</f>
        <v>هیأت</v>
      </c>
      <c r="C5182" s="5" t="str">
        <f>IFERROR(__xludf.DUMMYFUNCTION("""COMPUTED_VALUE"""),"قمر بنی هاشم")</f>
        <v>قمر بنی هاشم</v>
      </c>
      <c r="D5182" s="5" t="str">
        <f>IFERROR(__xludf.DUMMYFUNCTION("""COMPUTED_VALUE"""),"مرکزی")</f>
        <v>مرکزی</v>
      </c>
      <c r="E5182" s="5" t="str">
        <f>IFERROR(__xludf.DUMMYFUNCTION("""COMPUTED_VALUE"""),"محلات")</f>
        <v>محلات</v>
      </c>
      <c r="F5182" s="5"/>
      <c r="G5182" s="5"/>
      <c r="H5182" s="6" t="str">
        <f>IFERROR(__xludf.DUMMYFUNCTION("""COMPUTED_VALUE"""),"https://www.instagram.com/heyat_ghamarbanihashem_mahalla")</f>
        <v>https://www.instagram.com/heyat_ghamarbanihashem_mahalla</v>
      </c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</row>
    <row r="5183">
      <c r="A5183" s="5"/>
      <c r="B5183" s="5" t="str">
        <f>IFERROR(__xludf.DUMMYFUNCTION("""COMPUTED_VALUE"""),"هیأت")</f>
        <v>هیأت</v>
      </c>
      <c r="C5183" s="5" t="str">
        <f>IFERROR(__xludf.DUMMYFUNCTION("""COMPUTED_VALUE"""),"محبان المهدی (عج)")</f>
        <v>محبان المهدی (عج)</v>
      </c>
      <c r="D5183" s="5" t="str">
        <f>IFERROR(__xludf.DUMMYFUNCTION("""COMPUTED_VALUE"""),"مرکزی")</f>
        <v>مرکزی</v>
      </c>
      <c r="E5183" s="5" t="str">
        <f>IFERROR(__xludf.DUMMYFUNCTION("""COMPUTED_VALUE"""),"محلات")</f>
        <v>محلات</v>
      </c>
      <c r="F5183" s="5"/>
      <c r="G5183" s="5"/>
      <c r="H5183" s="6" t="str">
        <f>IFERROR(__xludf.DUMMYFUNCTION("""COMPUTED_VALUE"""),"https://www.instagram.com/heyat_moheban_mahalat/")</f>
        <v>https://www.instagram.com/heyat_moheban_mahalat/</v>
      </c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</row>
    <row r="5184">
      <c r="A5184" s="5"/>
      <c r="B5184" s="5" t="str">
        <f>IFERROR(__xludf.DUMMYFUNCTION("""COMPUTED_VALUE"""),"حسینیه")</f>
        <v>حسینیه</v>
      </c>
      <c r="C5184" s="5" t="str">
        <f>IFERROR(__xludf.DUMMYFUNCTION("""COMPUTED_VALUE"""),"آقاسید الشهدا")</f>
        <v>آقاسید الشهدا</v>
      </c>
      <c r="D5184" s="5" t="str">
        <f>IFERROR(__xludf.DUMMYFUNCTION("""COMPUTED_VALUE"""),"مرکزی")</f>
        <v>مرکزی</v>
      </c>
      <c r="E5184" s="5" t="str">
        <f>IFERROR(__xludf.DUMMYFUNCTION("""COMPUTED_VALUE"""),"محلات")</f>
        <v>محلات</v>
      </c>
      <c r="F5184" s="5"/>
      <c r="G5184" s="5"/>
      <c r="H5184" s="6" t="str">
        <f>IFERROR(__xludf.DUMMYFUNCTION("""COMPUTED_VALUE"""),"https://www.instagram.com/heyat.agha/")</f>
        <v>https://www.instagram.com/heyat.agha/</v>
      </c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</row>
    <row r="5185">
      <c r="A5185" s="5"/>
      <c r="B5185" s="5" t="str">
        <f>IFERROR(__xludf.DUMMYFUNCTION("""COMPUTED_VALUE"""),"هیأت")</f>
        <v>هیأت</v>
      </c>
      <c r="C5185" s="5" t="str">
        <f>IFERROR(__xludf.DUMMYFUNCTION("""COMPUTED_VALUE"""),"حیدری")</f>
        <v>حیدری</v>
      </c>
      <c r="D5185" s="5" t="str">
        <f>IFERROR(__xludf.DUMMYFUNCTION("""COMPUTED_VALUE"""),"مرکزی")</f>
        <v>مرکزی</v>
      </c>
      <c r="E5185" s="5" t="str">
        <f>IFERROR(__xludf.DUMMYFUNCTION("""COMPUTED_VALUE"""),"محلات")</f>
        <v>محلات</v>
      </c>
      <c r="F5185" s="5"/>
      <c r="G5185" s="5"/>
      <c r="H5185" s="6" t="str">
        <f>IFERROR(__xludf.DUMMYFUNCTION("""COMPUTED_VALUE"""),"https://www.instagram.com/heyat_heydari_mahallat")</f>
        <v>https://www.instagram.com/heyat_heydari_mahallat</v>
      </c>
      <c r="I5185" s="6" t="str">
        <f>IFERROR(__xludf.DUMMYFUNCTION("""COMPUTED_VALUE"""),"https://t.me/heyat_heydari_mahallat")</f>
        <v>https://t.me/heyat_heydari_mahallat</v>
      </c>
      <c r="J5185" s="5"/>
      <c r="K5185" s="5"/>
      <c r="L5185" s="5"/>
      <c r="M5185" s="5"/>
      <c r="N5185" s="5"/>
      <c r="O5185" s="5"/>
      <c r="P5185" s="5"/>
      <c r="Q5185" s="5"/>
      <c r="R5185" s="5"/>
      <c r="S5185" s="5"/>
    </row>
    <row r="5186">
      <c r="A5186" s="5"/>
      <c r="B5186" s="5" t="str">
        <f>IFERROR(__xludf.DUMMYFUNCTION("""COMPUTED_VALUE"""),"حسینیه")</f>
        <v>حسینیه</v>
      </c>
      <c r="C5186" s="5" t="str">
        <f>IFERROR(__xludf.DUMMYFUNCTION("""COMPUTED_VALUE"""),"شهید محلاتی")</f>
        <v>شهید محلاتی</v>
      </c>
      <c r="D5186" s="5" t="str">
        <f>IFERROR(__xludf.DUMMYFUNCTION("""COMPUTED_VALUE"""),"مرکزی")</f>
        <v>مرکزی</v>
      </c>
      <c r="E5186" s="5" t="str">
        <f>IFERROR(__xludf.DUMMYFUNCTION("""COMPUTED_VALUE"""),"محلات")</f>
        <v>محلات</v>
      </c>
      <c r="F5186" s="5"/>
      <c r="G5186" s="5"/>
      <c r="H5186" s="6" t="str">
        <f>IFERROR(__xludf.DUMMYFUNCTION("""COMPUTED_VALUE"""),"https://www.instagram.com/shahidmahallati_hoseiniyeh")</f>
        <v>https://www.instagram.com/shahidmahallati_hoseiniyeh</v>
      </c>
      <c r="I5186" s="5"/>
      <c r="J5186" s="5"/>
      <c r="K5186" s="5"/>
      <c r="L5186" s="5"/>
      <c r="M5186" s="5"/>
      <c r="N5186" s="5"/>
      <c r="O5186" s="5"/>
      <c r="P5186" s="5"/>
      <c r="Q5186" s="5"/>
      <c r="R5186" s="5"/>
      <c r="S5186" s="5"/>
    </row>
    <row r="5187">
      <c r="A5187" s="5"/>
      <c r="B5187" s="5" t="str">
        <f>IFERROR(__xludf.DUMMYFUNCTION("""COMPUTED_VALUE"""),"هیأت")</f>
        <v>هیأت</v>
      </c>
      <c r="C5187" s="5" t="str">
        <f>IFERROR(__xludf.DUMMYFUNCTION("""COMPUTED_VALUE"""),"یاد یاران")</f>
        <v>یاد یاران</v>
      </c>
      <c r="D5187" s="5" t="str">
        <f>IFERROR(__xludf.DUMMYFUNCTION("""COMPUTED_VALUE"""),"مرکزی")</f>
        <v>مرکزی</v>
      </c>
      <c r="E5187" s="5" t="str">
        <f>IFERROR(__xludf.DUMMYFUNCTION("""COMPUTED_VALUE"""),"محلات")</f>
        <v>محلات</v>
      </c>
      <c r="F5187" s="5"/>
      <c r="G5187" s="5"/>
      <c r="H5187" s="6" t="str">
        <f>IFERROR(__xludf.DUMMYFUNCTION("""COMPUTED_VALUE"""),"https://www.instagram.com/heiate.yade.yaran")</f>
        <v>https://www.instagram.com/heiate.yade.yaran</v>
      </c>
      <c r="I5187" s="6" t="str">
        <f>IFERROR(__xludf.DUMMYFUNCTION("""COMPUTED_VALUE"""),"https://t.me/rahiyan96yadeyaran")</f>
        <v>https://t.me/rahiyan96yadeyaran</v>
      </c>
      <c r="J5187" s="5"/>
      <c r="K5187" s="5"/>
      <c r="L5187" s="5"/>
      <c r="M5187" s="5"/>
      <c r="N5187" s="5"/>
      <c r="O5187" s="5"/>
      <c r="P5187" s="5"/>
      <c r="Q5187" s="5"/>
      <c r="R5187" s="5"/>
      <c r="S5187" s="5"/>
    </row>
    <row r="5188">
      <c r="A5188" s="5"/>
      <c r="B5188" s="5" t="str">
        <f>IFERROR(__xludf.DUMMYFUNCTION("""COMPUTED_VALUE"""),"هیأت")</f>
        <v>هیأت</v>
      </c>
      <c r="C5188" s="5" t="str">
        <f>IFERROR(__xludf.DUMMYFUNCTION("""COMPUTED_VALUE"""),"حسینی")</f>
        <v>حسینی</v>
      </c>
      <c r="D5188" s="5" t="str">
        <f>IFERROR(__xludf.DUMMYFUNCTION("""COMPUTED_VALUE"""),"مرکزی")</f>
        <v>مرکزی</v>
      </c>
      <c r="E5188" s="5" t="str">
        <f>IFERROR(__xludf.DUMMYFUNCTION("""COMPUTED_VALUE"""),"محلات")</f>
        <v>محلات</v>
      </c>
      <c r="F5188" s="5"/>
      <c r="G5188" s="5"/>
      <c r="H5188" s="6" t="str">
        <f>IFERROR(__xludf.DUMMYFUNCTION("""COMPUTED_VALUE"""),"https://www.instagram.com/heyat_hoseni_delijan")</f>
        <v>https://www.instagram.com/heyat_hoseni_delijan</v>
      </c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</row>
    <row r="5189">
      <c r="A5189" s="5"/>
      <c r="B5189" s="5" t="str">
        <f>IFERROR(__xludf.DUMMYFUNCTION("""COMPUTED_VALUE"""),"موکب")</f>
        <v>موکب</v>
      </c>
      <c r="C5189" s="5" t="str">
        <f>IFERROR(__xludf.DUMMYFUNCTION("""COMPUTED_VALUE"""),"احباب الرضا")</f>
        <v>احباب الرضا</v>
      </c>
      <c r="D5189" s="5" t="str">
        <f>IFERROR(__xludf.DUMMYFUNCTION("""COMPUTED_VALUE"""),"مرکزی")</f>
        <v>مرکزی</v>
      </c>
      <c r="E5189" s="5" t="str">
        <f>IFERROR(__xludf.DUMMYFUNCTION("""COMPUTED_VALUE"""),"محلات")</f>
        <v>محلات</v>
      </c>
      <c r="F5189" s="5" t="str">
        <f>IFERROR(__xludf.DUMMYFUNCTION("""COMPUTED_VALUE"""),"عمود 1173")</f>
        <v>عمود 1173</v>
      </c>
      <c r="G5189" s="5"/>
      <c r="H5189" s="6" t="str">
        <f>IFERROR(__xludf.DUMMYFUNCTION("""COMPUTED_VALUE"""),"https://www.instagram.com/moukeb_1173/")</f>
        <v>https://www.instagram.com/moukeb_1173/</v>
      </c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</row>
    <row r="5190">
      <c r="A5190" s="5"/>
      <c r="B5190" s="5" t="str">
        <f>IFERROR(__xludf.DUMMYFUNCTION("""COMPUTED_VALUE"""),"هیأت")</f>
        <v>هیأت</v>
      </c>
      <c r="C5190" s="5" t="str">
        <f>IFERROR(__xludf.DUMMYFUNCTION("""COMPUTED_VALUE"""),"شهدای")</f>
        <v>شهدای</v>
      </c>
      <c r="D5190" s="5" t="str">
        <f>IFERROR(__xludf.DUMMYFUNCTION("""COMPUTED_VALUE"""),"مرکزی")</f>
        <v>مرکزی</v>
      </c>
      <c r="E5190" s="5" t="str">
        <f>IFERROR(__xludf.DUMMYFUNCTION("""COMPUTED_VALUE"""),"زرندیه")</f>
        <v>زرندیه</v>
      </c>
      <c r="F5190" s="5" t="str">
        <f>IFERROR(__xludf.DUMMYFUNCTION("""COMPUTED_VALUE"""),"خشکرود")</f>
        <v>خشکرود</v>
      </c>
      <c r="G5190" s="5"/>
      <c r="H5190" s="6" t="str">
        <f>IFERROR(__xludf.DUMMYFUNCTION("""COMPUTED_VALUE"""),"https://www.instagram.com/shohada_khoshkrood/")</f>
        <v>https://www.instagram.com/shohada_khoshkrood/</v>
      </c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</row>
    <row r="5191">
      <c r="A5191" s="5"/>
      <c r="B5191" s="5" t="str">
        <f>IFERROR(__xludf.DUMMYFUNCTION("""COMPUTED_VALUE"""),"هیأت")</f>
        <v>هیأت</v>
      </c>
      <c r="C5191" s="5" t="str">
        <f>IFERROR(__xludf.DUMMYFUNCTION("""COMPUTED_VALUE"""),"ثارالله (ع)")</f>
        <v>ثارالله (ع)</v>
      </c>
      <c r="D5191" s="5" t="str">
        <f>IFERROR(__xludf.DUMMYFUNCTION("""COMPUTED_VALUE"""),"مرکزی")</f>
        <v>مرکزی</v>
      </c>
      <c r="E5191" s="5" t="str">
        <f>IFERROR(__xludf.DUMMYFUNCTION("""COMPUTED_VALUE"""),"زرندیه")</f>
        <v>زرندیه</v>
      </c>
      <c r="F5191" s="5" t="str">
        <f>IFERROR(__xludf.DUMMYFUNCTION("""COMPUTED_VALUE"""),"خشکرود")</f>
        <v>خشکرود</v>
      </c>
      <c r="G5191" s="5"/>
      <c r="H5191" s="6" t="str">
        <f>IFERROR(__xludf.DUMMYFUNCTION("""COMPUTED_VALUE"""),"https://www.instagram.com/sarollah_khoshkroud/")</f>
        <v>https://www.instagram.com/sarollah_khoshkroud/</v>
      </c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</row>
    <row r="5192">
      <c r="A5192" s="5"/>
      <c r="B5192" s="5" t="str">
        <f>IFERROR(__xludf.DUMMYFUNCTION("""COMPUTED_VALUE"""),"هیأت")</f>
        <v>هیأت</v>
      </c>
      <c r="C5192" s="5" t="str">
        <f>IFERROR(__xludf.DUMMYFUNCTION("""COMPUTED_VALUE"""),"انصار الزهرا (س)")</f>
        <v>انصار الزهرا (س)</v>
      </c>
      <c r="D5192" s="5" t="str">
        <f>IFERROR(__xludf.DUMMYFUNCTION("""COMPUTED_VALUE"""),"مرکزی")</f>
        <v>مرکزی</v>
      </c>
      <c r="E5192" s="5" t="str">
        <f>IFERROR(__xludf.DUMMYFUNCTION("""COMPUTED_VALUE"""),"اراک")</f>
        <v>اراک</v>
      </c>
      <c r="F5192" s="5"/>
      <c r="G5192" s="5"/>
      <c r="H5192" s="5"/>
      <c r="I5192" s="5"/>
      <c r="J5192" s="6" t="str">
        <f>IFERROR(__xludf.DUMMYFUNCTION("""COMPUTED_VALUE"""),"https://eitaa.com/ansar_zahra_info")</f>
        <v>https://eitaa.com/ansar_zahra_info</v>
      </c>
      <c r="K5192" s="5"/>
      <c r="L5192" s="5"/>
      <c r="M5192" s="5"/>
      <c r="N5192" s="5"/>
      <c r="O5192" s="5"/>
      <c r="P5192" s="5"/>
      <c r="Q5192" s="5"/>
      <c r="R5192" s="5"/>
      <c r="S5192" s="5"/>
    </row>
    <row r="5193">
      <c r="A5193" s="5"/>
      <c r="B5193" s="5" t="str">
        <f>IFERROR(__xludf.DUMMYFUNCTION("""COMPUTED_VALUE"""),"هیأت")</f>
        <v>هیأت</v>
      </c>
      <c r="C5193" s="5" t="str">
        <f>IFERROR(__xludf.DUMMYFUNCTION("""COMPUTED_VALUE"""),"ریحانة الحسین ")</f>
        <v>ریحانة الحسین </v>
      </c>
      <c r="D5193" s="5" t="str">
        <f>IFERROR(__xludf.DUMMYFUNCTION("""COMPUTED_VALUE"""),"مرکزی")</f>
        <v>مرکزی</v>
      </c>
      <c r="E5193" s="5" t="str">
        <f>IFERROR(__xludf.DUMMYFUNCTION("""COMPUTED_VALUE"""),"ساوه")</f>
        <v>ساوه</v>
      </c>
      <c r="F5193" s="5"/>
      <c r="G5193" s="5"/>
      <c r="H5193" s="6" t="str">
        <f>IFERROR(__xludf.DUMMYFUNCTION("""COMPUTED_VALUE"""),"https://www.instagram.com/reyhanatolhooseinsaveh.live/")</f>
        <v>https://www.instagram.com/reyhanatolhooseinsaveh.live/</v>
      </c>
      <c r="I5193" s="6" t="str">
        <f>IFERROR(__xludf.DUMMYFUNCTION("""COMPUTED_VALUE"""),"https://t.me/reyhanatolhooseinsaveh")</f>
        <v>https://t.me/reyhanatolhooseinsaveh</v>
      </c>
      <c r="J5193" s="6" t="str">
        <f>IFERROR(__xludf.DUMMYFUNCTION("""COMPUTED_VALUE"""),"https://eitaa.com/reyhanatolhooseinsaveh")</f>
        <v>https://eitaa.com/reyhanatolhooseinsaveh</v>
      </c>
      <c r="K5193" s="5"/>
      <c r="L5193" s="5"/>
      <c r="M5193" s="5"/>
      <c r="N5193" s="5"/>
      <c r="O5193" s="5"/>
      <c r="P5193" s="5"/>
      <c r="Q5193" s="5"/>
      <c r="R5193" s="5"/>
      <c r="S5193" s="5"/>
    </row>
    <row r="5194">
      <c r="A5194" s="5"/>
      <c r="B5194" s="5" t="str">
        <f>IFERROR(__xludf.DUMMYFUNCTION("""COMPUTED_VALUE"""),"هیأت")</f>
        <v>هیأت</v>
      </c>
      <c r="C5194" s="5" t="str">
        <f>IFERROR(__xludf.DUMMYFUNCTION("""COMPUTED_VALUE"""),"فاطمه الزهرا (س)")</f>
        <v>فاطمه الزهرا (س)</v>
      </c>
      <c r="D5194" s="5" t="str">
        <f>IFERROR(__xludf.DUMMYFUNCTION("""COMPUTED_VALUE"""),"مرکزی")</f>
        <v>مرکزی</v>
      </c>
      <c r="E5194" s="5" t="str">
        <f>IFERROR(__xludf.DUMMYFUNCTION("""COMPUTED_VALUE"""),"اراک")</f>
        <v>اراک</v>
      </c>
      <c r="F5194" s="5"/>
      <c r="G5194" s="5"/>
      <c r="H5194" s="6" t="str">
        <f>IFERROR(__xludf.DUMMYFUNCTION("""COMPUTED_VALUE"""),"https://www.instagram.com/heiatfatemezahraa/")</f>
        <v>https://www.instagram.com/heiatfatemezahraa/</v>
      </c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</row>
    <row r="5195">
      <c r="A5195" s="5"/>
      <c r="B5195" s="5" t="str">
        <f>IFERROR(__xludf.DUMMYFUNCTION("""COMPUTED_VALUE"""),"هیأت")</f>
        <v>هیأت</v>
      </c>
      <c r="C5195" s="5" t="str">
        <f>IFERROR(__xludf.DUMMYFUNCTION("""COMPUTED_VALUE"""),"جوادالائمه (ع)")</f>
        <v>جوادالائمه (ع)</v>
      </c>
      <c r="D5195" s="5" t="str">
        <f>IFERROR(__xludf.DUMMYFUNCTION("""COMPUTED_VALUE"""),"مرکزی")</f>
        <v>مرکزی</v>
      </c>
      <c r="E5195" s="5" t="str">
        <f>IFERROR(__xludf.DUMMYFUNCTION("""COMPUTED_VALUE"""),"کمیجان")</f>
        <v>کمیجان</v>
      </c>
      <c r="F5195" s="5"/>
      <c r="G5195" s="5"/>
      <c r="H5195" s="6" t="str">
        <f>IFERROR(__xludf.DUMMYFUNCTION("""COMPUTED_VALUE"""),"https://www.instagram.com/fotros_nurolhoda/")</f>
        <v>https://www.instagram.com/fotros_nurolhoda/</v>
      </c>
      <c r="I5195" s="6" t="str">
        <f>IFERROR(__xludf.DUMMYFUNCTION("""COMPUTED_VALUE"""),"t.me/fotros_nurolhoda")</f>
        <v>t.me/fotros_nurolhoda</v>
      </c>
      <c r="J5195" s="5"/>
      <c r="K5195" s="5"/>
      <c r="L5195" s="5"/>
      <c r="M5195" s="5"/>
      <c r="N5195" s="5"/>
      <c r="O5195" s="5"/>
      <c r="P5195" s="5"/>
      <c r="Q5195" s="5"/>
      <c r="R5195" s="5"/>
      <c r="S5195" s="5"/>
    </row>
    <row r="5196">
      <c r="A5196" s="5"/>
      <c r="B5196" s="5" t="str">
        <f>IFERROR(__xludf.DUMMYFUNCTION("""COMPUTED_VALUE"""),"مسجد")</f>
        <v>مسجد</v>
      </c>
      <c r="C5196" s="5" t="str">
        <f>IFERROR(__xludf.DUMMYFUNCTION("""COMPUTED_VALUE"""),"امام حسین")</f>
        <v>امام حسین</v>
      </c>
      <c r="D5196" s="5" t="str">
        <f>IFERROR(__xludf.DUMMYFUNCTION("""COMPUTED_VALUE"""),"مرکزی")</f>
        <v>مرکزی</v>
      </c>
      <c r="E5196" s="5" t="str">
        <f>IFERROR(__xludf.DUMMYFUNCTION("""COMPUTED_VALUE"""),"فراهان")</f>
        <v>فراهان</v>
      </c>
      <c r="F5196" s="5"/>
      <c r="G5196" s="5"/>
      <c r="H5196" s="6" t="str">
        <f>IFERROR(__xludf.DUMMYFUNCTION("""COMPUTED_VALUE"""),"https://www.instagram.com/masjedemamhosein/")</f>
        <v>https://www.instagram.com/masjedemamhosein/</v>
      </c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</row>
    <row r="5197">
      <c r="A5197" s="5"/>
      <c r="B5197" s="5" t="str">
        <f>IFERROR(__xludf.DUMMYFUNCTION("""COMPUTED_VALUE"""),"هیأت")</f>
        <v>هیأت</v>
      </c>
      <c r="C5197" s="5" t="str">
        <f>IFERROR(__xludf.DUMMYFUNCTION("""COMPUTED_VALUE"""),"کانون فرهنگی هنری بقیه الله مسجد زاغرم")</f>
        <v>کانون فرهنگی هنری بقیه الله مسجد زاغرم</v>
      </c>
      <c r="D5197" s="5" t="str">
        <f>IFERROR(__xludf.DUMMYFUNCTION("""COMPUTED_VALUE"""),"مرکزی")</f>
        <v>مرکزی</v>
      </c>
      <c r="E5197" s="5" t="str">
        <f>IFERROR(__xludf.DUMMYFUNCTION("""COMPUTED_VALUE"""),"تفرش")</f>
        <v>تفرش</v>
      </c>
      <c r="F5197" s="5"/>
      <c r="G5197" s="5"/>
      <c r="H5197" s="5"/>
      <c r="I5197" s="5"/>
      <c r="J5197" s="6" t="str">
        <f>IFERROR(__xludf.DUMMYFUNCTION("""COMPUTED_VALUE"""),"https://eitaa.com/kanoontafresh")</f>
        <v>https://eitaa.com/kanoontafresh</v>
      </c>
      <c r="K5197" s="5"/>
      <c r="L5197" s="5"/>
      <c r="M5197" s="5"/>
      <c r="N5197" s="5"/>
      <c r="O5197" s="5"/>
      <c r="P5197" s="5"/>
      <c r="Q5197" s="5"/>
      <c r="R5197" s="5"/>
      <c r="S5197" s="5"/>
    </row>
    <row r="5198">
      <c r="A5198" s="5"/>
      <c r="B5198" s="5" t="str">
        <f>IFERROR(__xludf.DUMMYFUNCTION("""COMPUTED_VALUE"""),"هیأت")</f>
        <v>هیأت</v>
      </c>
      <c r="C5198" s="5" t="str">
        <f>IFERROR(__xludf.DUMMYFUNCTION("""COMPUTED_VALUE"""),"جوانان بنی هاشم")</f>
        <v>جوانان بنی هاشم</v>
      </c>
      <c r="D5198" s="5" t="str">
        <f>IFERROR(__xludf.DUMMYFUNCTION("""COMPUTED_VALUE"""),"مرکزی")</f>
        <v>مرکزی</v>
      </c>
      <c r="E5198" s="5" t="str">
        <f>IFERROR(__xludf.DUMMYFUNCTION("""COMPUTED_VALUE"""),"اراک")</f>
        <v>اراک</v>
      </c>
      <c r="F5198" s="5"/>
      <c r="G5198" s="5"/>
      <c r="H5198" s="6" t="str">
        <f>IFERROR(__xludf.DUMMYFUNCTION("""COMPUTED_VALUE"""),"https://www.instagram.com/ghamar_bani_hashem_robatmil/")</f>
        <v>https://www.instagram.com/ghamar_bani_hashem_robatmil/</v>
      </c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</row>
    <row r="5199">
      <c r="A5199" s="5"/>
      <c r="B5199" s="5" t="str">
        <f>IFERROR(__xludf.DUMMYFUNCTION("""COMPUTED_VALUE"""),"هیأت")</f>
        <v>هیأت</v>
      </c>
      <c r="C5199" s="5" t="str">
        <f>IFERROR(__xludf.DUMMYFUNCTION("""COMPUTED_VALUE"""),"انصارالمهدی (عج)")</f>
        <v>انصارالمهدی (عج)</v>
      </c>
      <c r="D5199" s="5" t="str">
        <f>IFERROR(__xludf.DUMMYFUNCTION("""COMPUTED_VALUE"""),"مرکزی")</f>
        <v>مرکزی</v>
      </c>
      <c r="E5199" s="5" t="str">
        <f>IFERROR(__xludf.DUMMYFUNCTION("""COMPUTED_VALUE"""),"اراک")</f>
        <v>اراک</v>
      </c>
      <c r="F5199" s="5"/>
      <c r="G5199" s="5"/>
      <c r="H5199" s="6" t="str">
        <f>IFERROR(__xludf.DUMMYFUNCTION("""COMPUTED_VALUE"""),"https://www.instagram.com/ansariha_arak/")</f>
        <v>https://www.instagram.com/ansariha_arak/</v>
      </c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</row>
    <row r="5200">
      <c r="A5200" s="5"/>
      <c r="B5200" s="5" t="str">
        <f>IFERROR(__xludf.DUMMYFUNCTION("""COMPUTED_VALUE"""),"هیأت")</f>
        <v>هیأت</v>
      </c>
      <c r="C5200" s="5" t="str">
        <f>IFERROR(__xludf.DUMMYFUNCTION("""COMPUTED_VALUE"""),"ریحانه النبی (س)")</f>
        <v>ریحانه النبی (س)</v>
      </c>
      <c r="D5200" s="5" t="str">
        <f>IFERROR(__xludf.DUMMYFUNCTION("""COMPUTED_VALUE"""),"مرکزی")</f>
        <v>مرکزی</v>
      </c>
      <c r="E5200" s="5" t="str">
        <f>IFERROR(__xludf.DUMMYFUNCTION("""COMPUTED_VALUE"""),"اراک")</f>
        <v>اراک</v>
      </c>
      <c r="F5200" s="5"/>
      <c r="G5200" s="5"/>
      <c r="H5200" s="6" t="str">
        <f>IFERROR(__xludf.DUMMYFUNCTION("""COMPUTED_VALUE"""),"https://www.instagram.com/heyat_reihanton_nabi/")</f>
        <v>https://www.instagram.com/heyat_reihanton_nabi/</v>
      </c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</row>
    <row r="5201">
      <c r="A5201" s="5"/>
      <c r="B5201" s="5" t="str">
        <f>IFERROR(__xludf.DUMMYFUNCTION("""COMPUTED_VALUE"""),"هیأت")</f>
        <v>هیأت</v>
      </c>
      <c r="C5201" s="5" t="str">
        <f>IFERROR(__xludf.DUMMYFUNCTION("""COMPUTED_VALUE"""),"محبین ام الائمه فاطمه زهرا (س)")</f>
        <v>محبین ام الائمه فاطمه زهرا (س)</v>
      </c>
      <c r="D5201" s="5" t="str">
        <f>IFERROR(__xludf.DUMMYFUNCTION("""COMPUTED_VALUE"""),"مرکزی")</f>
        <v>مرکزی</v>
      </c>
      <c r="E5201" s="5" t="str">
        <f>IFERROR(__xludf.DUMMYFUNCTION("""COMPUTED_VALUE"""),"اراک")</f>
        <v>اراک</v>
      </c>
      <c r="F5201" s="5"/>
      <c r="G5201" s="5"/>
      <c r="H5201" s="5"/>
      <c r="I5201" s="5"/>
      <c r="J5201" s="6" t="str">
        <f>IFERROR(__xludf.DUMMYFUNCTION("""COMPUTED_VALUE"""),"https://eitaa.com/shahide1546")</f>
        <v>https://eitaa.com/shahide1546</v>
      </c>
      <c r="K5201" s="5"/>
      <c r="L5201" s="5"/>
      <c r="M5201" s="5"/>
      <c r="N5201" s="5"/>
      <c r="O5201" s="5"/>
      <c r="P5201" s="5"/>
      <c r="Q5201" s="5"/>
      <c r="R5201" s="5"/>
      <c r="S5201" s="5"/>
    </row>
    <row r="5202">
      <c r="A5202" s="5"/>
      <c r="B5202" s="5" t="str">
        <f>IFERROR(__xludf.DUMMYFUNCTION("""COMPUTED_VALUE"""),"هیأت")</f>
        <v>هیأت</v>
      </c>
      <c r="C5202" s="5" t="str">
        <f>IFERROR(__xludf.DUMMYFUNCTION("""COMPUTED_VALUE"""),"متوسلین به اهل بیت (ع)")</f>
        <v>متوسلین به اهل بیت (ع)</v>
      </c>
      <c r="D5202" s="5" t="str">
        <f>IFERROR(__xludf.DUMMYFUNCTION("""COMPUTED_VALUE"""),"مرکزی")</f>
        <v>مرکزی</v>
      </c>
      <c r="E5202" s="5" t="str">
        <f>IFERROR(__xludf.DUMMYFUNCTION("""COMPUTED_VALUE"""),"اراک")</f>
        <v>اراک</v>
      </c>
      <c r="F5202" s="5"/>
      <c r="G5202" s="5"/>
      <c r="H5202" s="6" t="str">
        <f>IFERROR(__xludf.DUMMYFUNCTION("""COMPUTED_VALUE"""),"https://www.instagram.com/motevaselin_be_ahlebeit/")</f>
        <v>https://www.instagram.com/motevaselin_be_ahlebeit/</v>
      </c>
      <c r="I5202" s="5" t="str">
        <f>IFERROR(__xludf.DUMMYFUNCTION("""COMPUTED_VALUE"""),"telegram.dog/heiatemotevaselinbeahlebeit")</f>
        <v>telegram.dog/heiatemotevaselinbeahlebeit</v>
      </c>
      <c r="J5202" s="5"/>
      <c r="K5202" s="5"/>
      <c r="L5202" s="5"/>
      <c r="M5202" s="5"/>
      <c r="N5202" s="5"/>
      <c r="O5202" s="5"/>
      <c r="P5202" s="5"/>
      <c r="Q5202" s="5"/>
      <c r="R5202" s="5"/>
      <c r="S5202" s="5"/>
    </row>
    <row r="5203">
      <c r="A5203" s="5"/>
      <c r="B5203" s="5" t="str">
        <f>IFERROR(__xludf.DUMMYFUNCTION("""COMPUTED_VALUE"""),"هیأت")</f>
        <v>هیأت</v>
      </c>
      <c r="C5203" s="5" t="str">
        <f>IFERROR(__xludf.DUMMYFUNCTION("""COMPUTED_VALUE"""),"رزمندگان اسلام")</f>
        <v>رزمندگان اسلام</v>
      </c>
      <c r="D5203" s="5" t="str">
        <f>IFERROR(__xludf.DUMMYFUNCTION("""COMPUTED_VALUE"""),"مرکزی")</f>
        <v>مرکزی</v>
      </c>
      <c r="E5203" s="5" t="str">
        <f>IFERROR(__xludf.DUMMYFUNCTION("""COMPUTED_VALUE"""),"ساوه")</f>
        <v>ساوه</v>
      </c>
      <c r="F5203" s="5"/>
      <c r="G5203" s="5"/>
      <c r="H5203" s="5"/>
      <c r="I5203" s="5"/>
      <c r="J5203" s="6" t="str">
        <f>IFERROR(__xludf.DUMMYFUNCTION("""COMPUTED_VALUE"""),"https://eitaa.com/heyat_saveh")</f>
        <v>https://eitaa.com/heyat_saveh</v>
      </c>
      <c r="K5203" s="5"/>
      <c r="L5203" s="5"/>
      <c r="M5203" s="5"/>
      <c r="N5203" s="5"/>
      <c r="O5203" s="5"/>
      <c r="P5203" s="5"/>
      <c r="Q5203" s="5"/>
      <c r="R5203" s="5"/>
      <c r="S5203" s="5"/>
    </row>
    <row r="5204">
      <c r="A5204" s="5"/>
      <c r="B5204" s="5" t="str">
        <f>IFERROR(__xludf.DUMMYFUNCTION("""COMPUTED_VALUE"""),"هیأت")</f>
        <v>هیأت</v>
      </c>
      <c r="C5204" s="5" t="str">
        <f>IFERROR(__xludf.DUMMYFUNCTION("""COMPUTED_VALUE"""),"فاطمیون جوانان کربلایی")</f>
        <v>فاطمیون جوانان کربلایی</v>
      </c>
      <c r="D5204" s="5" t="str">
        <f>IFERROR(__xludf.DUMMYFUNCTION("""COMPUTED_VALUE"""),"مرکزی")</f>
        <v>مرکزی</v>
      </c>
      <c r="E5204" s="5" t="str">
        <f>IFERROR(__xludf.DUMMYFUNCTION("""COMPUTED_VALUE"""),"اراک")</f>
        <v>اراک</v>
      </c>
      <c r="F5204" s="5"/>
      <c r="G5204" s="5"/>
      <c r="H5204" s="6" t="str">
        <f>IFERROR(__xludf.DUMMYFUNCTION("""COMPUTED_VALUE"""),"https://www.instagram.com/fatemiun_karbalaee/")</f>
        <v>https://www.instagram.com/fatemiun_karbalaee/</v>
      </c>
      <c r="I5204" s="5"/>
      <c r="J5204" s="5"/>
      <c r="K5204" s="5"/>
      <c r="L5204" s="5"/>
      <c r="M5204" s="5"/>
      <c r="N5204" s="5"/>
      <c r="O5204" s="5"/>
      <c r="P5204" s="5"/>
      <c r="Q5204" s="5"/>
      <c r="R5204" s="5"/>
      <c r="S5204" s="5"/>
    </row>
    <row r="5205">
      <c r="A5205" s="5"/>
      <c r="B5205" s="5" t="str">
        <f>IFERROR(__xludf.DUMMYFUNCTION("""COMPUTED_VALUE"""),"هیأت")</f>
        <v>هیأت</v>
      </c>
      <c r="C5205" s="5" t="str">
        <f>IFERROR(__xludf.DUMMYFUNCTION("""COMPUTED_VALUE"""),"حسنیه")</f>
        <v>حسنیه</v>
      </c>
      <c r="D5205" s="5" t="str">
        <f>IFERROR(__xludf.DUMMYFUNCTION("""COMPUTED_VALUE"""),"مرکزی")</f>
        <v>مرکزی</v>
      </c>
      <c r="E5205" s="5" t="str">
        <f>IFERROR(__xludf.DUMMYFUNCTION("""COMPUTED_VALUE"""),"اراک")</f>
        <v>اراک</v>
      </c>
      <c r="F5205" s="5"/>
      <c r="G5205" s="5"/>
      <c r="H5205" s="5"/>
      <c r="I5205" s="5"/>
      <c r="J5205" s="6" t="str">
        <f>IFERROR(__xludf.DUMMYFUNCTION("""COMPUTED_VALUE"""),"https://eitaa.com/hasanie_arak")</f>
        <v>https://eitaa.com/hasanie_arak</v>
      </c>
      <c r="K5205" s="5"/>
      <c r="L5205" s="5"/>
      <c r="M5205" s="5"/>
      <c r="N5205" s="5"/>
      <c r="O5205" s="5"/>
      <c r="P5205" s="5"/>
      <c r="Q5205" s="5"/>
      <c r="R5205" s="5"/>
      <c r="S5205" s="5"/>
    </row>
    <row r="5206">
      <c r="A5206" s="5"/>
      <c r="B5206" s="5" t="str">
        <f>IFERROR(__xludf.DUMMYFUNCTION("""COMPUTED_VALUE"""),"هیأت")</f>
        <v>هیأت</v>
      </c>
      <c r="C5206" s="5" t="str">
        <f>IFERROR(__xludf.DUMMYFUNCTION("""COMPUTED_VALUE"""),"دیوانگان حیدر کرار (ع)")</f>
        <v>دیوانگان حیدر کرار (ع)</v>
      </c>
      <c r="D5206" s="5" t="str">
        <f>IFERROR(__xludf.DUMMYFUNCTION("""COMPUTED_VALUE"""),"مرکزی")</f>
        <v>مرکزی</v>
      </c>
      <c r="E5206" s="5" t="str">
        <f>IFERROR(__xludf.DUMMYFUNCTION("""COMPUTED_VALUE"""),"اراک")</f>
        <v>اراک</v>
      </c>
      <c r="F5206" s="5"/>
      <c r="G5206" s="5"/>
      <c r="H5206" s="5"/>
      <c r="I5206" s="5"/>
      <c r="J5206" s="6" t="str">
        <f>IFERROR(__xludf.DUMMYFUNCTION("""COMPUTED_VALUE"""),"https://t.me/divaneganheydarkarararark")</f>
        <v>https://t.me/divaneganheydarkarararark</v>
      </c>
      <c r="K5206" s="5"/>
      <c r="L5206" s="5"/>
      <c r="M5206" s="5"/>
      <c r="N5206" s="5"/>
      <c r="O5206" s="5"/>
      <c r="P5206" s="5"/>
      <c r="Q5206" s="5"/>
      <c r="R5206" s="5"/>
      <c r="S5206" s="5"/>
    </row>
    <row r="5207">
      <c r="A5207" s="5"/>
      <c r="B5207" s="5" t="str">
        <f>IFERROR(__xludf.DUMMYFUNCTION("""COMPUTED_VALUE"""),"هیأت")</f>
        <v>هیأت</v>
      </c>
      <c r="C5207" s="5" t="str">
        <f>IFERROR(__xludf.DUMMYFUNCTION("""COMPUTED_VALUE"""),"بیت المهدی (عج)")</f>
        <v>بیت المهدی (عج)</v>
      </c>
      <c r="D5207" s="5" t="str">
        <f>IFERROR(__xludf.DUMMYFUNCTION("""COMPUTED_VALUE"""),"مرکزی")</f>
        <v>مرکزی</v>
      </c>
      <c r="E5207" s="5" t="str">
        <f>IFERROR(__xludf.DUMMYFUNCTION("""COMPUTED_VALUE"""),"اراک")</f>
        <v>اراک</v>
      </c>
      <c r="F5207" s="5"/>
      <c r="G5207" s="5"/>
      <c r="H5207" s="5"/>
      <c r="I5207" s="5"/>
      <c r="J5207" s="6" t="str">
        <f>IFERROR(__xludf.DUMMYFUNCTION("""COMPUTED_VALUE"""),"https://eitaa.com/nodbeha")</f>
        <v>https://eitaa.com/nodbeha</v>
      </c>
      <c r="K5207" s="5"/>
      <c r="L5207" s="5"/>
      <c r="M5207" s="5"/>
      <c r="N5207" s="5"/>
      <c r="O5207" s="5"/>
      <c r="P5207" s="5"/>
      <c r="Q5207" s="5"/>
      <c r="R5207" s="5"/>
      <c r="S5207" s="5"/>
    </row>
    <row r="5208">
      <c r="A5208" s="5"/>
      <c r="B5208" s="5" t="str">
        <f>IFERROR(__xludf.DUMMYFUNCTION("""COMPUTED_VALUE"""),"هیأت")</f>
        <v>هیأت</v>
      </c>
      <c r="C5208" s="5" t="str">
        <f>IFERROR(__xludf.DUMMYFUNCTION("""COMPUTED_VALUE"""),"حضرت علی اصغر (ع)")</f>
        <v>حضرت علی اصغر (ع)</v>
      </c>
      <c r="D5208" s="5" t="str">
        <f>IFERROR(__xludf.DUMMYFUNCTION("""COMPUTED_VALUE"""),"مرکزی")</f>
        <v>مرکزی</v>
      </c>
      <c r="E5208" s="5" t="str">
        <f>IFERROR(__xludf.DUMMYFUNCTION("""COMPUTED_VALUE"""),"فرمهین")</f>
        <v>فرمهین</v>
      </c>
      <c r="F5208" s="5"/>
      <c r="G5208" s="5"/>
      <c r="H5208" s="5"/>
      <c r="I5208" s="5"/>
      <c r="J5208" s="6" t="str">
        <f>IFERROR(__xludf.DUMMYFUNCTION("""COMPUTED_VALUE"""),"https://eitaa.com/heiathazrataliasghar")</f>
        <v>https://eitaa.com/heiathazrataliasghar</v>
      </c>
      <c r="K5208" s="5"/>
      <c r="L5208" s="5"/>
      <c r="M5208" s="5"/>
      <c r="N5208" s="5"/>
      <c r="O5208" s="5"/>
      <c r="P5208" s="5"/>
      <c r="Q5208" s="5"/>
      <c r="R5208" s="5"/>
      <c r="S5208" s="5"/>
    </row>
    <row r="5209">
      <c r="A5209" s="5"/>
      <c r="B5209" s="5" t="str">
        <f>IFERROR(__xludf.DUMMYFUNCTION("""COMPUTED_VALUE"""),"هیأت")</f>
        <v>هیأت</v>
      </c>
      <c r="C5209" s="5" t="str">
        <f>IFERROR(__xludf.DUMMYFUNCTION("""COMPUTED_VALUE"""),"فرهنگی مذهبی جوادالائمه(ع)")</f>
        <v>فرهنگی مذهبی جوادالائمه(ع)</v>
      </c>
      <c r="D5209" s="5" t="str">
        <f>IFERROR(__xludf.DUMMYFUNCTION("""COMPUTED_VALUE"""),"مرکزی")</f>
        <v>مرکزی</v>
      </c>
      <c r="E5209" s="5" t="str">
        <f>IFERROR(__xludf.DUMMYFUNCTION("""COMPUTED_VALUE"""),"اراک")</f>
        <v>اراک</v>
      </c>
      <c r="F5209" s="5"/>
      <c r="G5209" s="5"/>
      <c r="H5209" s="6" t="str">
        <f>IFERROR(__xludf.DUMMYFUNCTION("""COMPUTED_VALUE"""),"https://www.instagram.com/babol_javad_arak/")</f>
        <v>https://www.instagram.com/babol_javad_arak/</v>
      </c>
      <c r="I5209" s="6" t="str">
        <f>IFERROR(__xludf.DUMMYFUNCTION("""COMPUTED_VALUE"""),"t.me/babol_javad")</f>
        <v>t.me/babol_javad</v>
      </c>
      <c r="J5209" s="6" t="str">
        <f>IFERROR(__xludf.DUMMYFUNCTION("""COMPUTED_VALUE"""),"https://eitaa.com/babol_javad")</f>
        <v>https://eitaa.com/babol_javad</v>
      </c>
      <c r="K5209" s="5"/>
      <c r="L5209" s="5"/>
      <c r="M5209" s="5"/>
      <c r="N5209" s="5"/>
      <c r="O5209" s="5"/>
      <c r="P5209" s="5"/>
      <c r="Q5209" s="5"/>
      <c r="R5209" s="5"/>
      <c r="S5209" s="5"/>
    </row>
    <row r="5210">
      <c r="A5210" s="5"/>
      <c r="B5210" s="5" t="str">
        <f>IFERROR(__xludf.DUMMYFUNCTION("""COMPUTED_VALUE"""),"هیأت")</f>
        <v>هیأت</v>
      </c>
      <c r="C5210" s="5" t="str">
        <f>IFERROR(__xludf.DUMMYFUNCTION("""COMPUTED_VALUE"""),"عزاداران عشاق الحسین (ع)")</f>
        <v>عزاداران عشاق الحسین (ع)</v>
      </c>
      <c r="D5210" s="5" t="str">
        <f>IFERROR(__xludf.DUMMYFUNCTION("""COMPUTED_VALUE"""),"مرکزی")</f>
        <v>مرکزی</v>
      </c>
      <c r="E5210" s="5" t="str">
        <f>IFERROR(__xludf.DUMMYFUNCTION("""COMPUTED_VALUE"""),"اراک")</f>
        <v>اراک</v>
      </c>
      <c r="F5210" s="5"/>
      <c r="G5210" s="5"/>
      <c r="H5210" s="5"/>
      <c r="I5210" s="5"/>
      <c r="J5210" s="6" t="str">
        <f>IFERROR(__xludf.DUMMYFUNCTION("""COMPUTED_VALUE"""),"https://eitaa.com/oshagholhoseiyn")</f>
        <v>https://eitaa.com/oshagholhoseiyn</v>
      </c>
      <c r="K5210" s="5"/>
      <c r="L5210" s="5"/>
      <c r="M5210" s="5"/>
      <c r="N5210" s="5"/>
      <c r="O5210" s="5"/>
      <c r="P5210" s="5"/>
      <c r="Q5210" s="5"/>
      <c r="R5210" s="5"/>
      <c r="S5210" s="5"/>
    </row>
    <row r="5211">
      <c r="A5211" s="5"/>
      <c r="B5211" s="5" t="str">
        <f>IFERROR(__xludf.DUMMYFUNCTION("""COMPUTED_VALUE"""),"هیأت")</f>
        <v>هیأت</v>
      </c>
      <c r="C5211" s="5" t="str">
        <f>IFERROR(__xludf.DUMMYFUNCTION("""COMPUTED_VALUE"""),"مکتب الزینب (س)")</f>
        <v>مکتب الزینب (س)</v>
      </c>
      <c r="D5211" s="5" t="str">
        <f>IFERROR(__xludf.DUMMYFUNCTION("""COMPUTED_VALUE"""),"مرکزی")</f>
        <v>مرکزی</v>
      </c>
      <c r="E5211" s="5" t="str">
        <f>IFERROR(__xludf.DUMMYFUNCTION("""COMPUTED_VALUE"""),"اراک")</f>
        <v>اراک</v>
      </c>
      <c r="F5211" s="5"/>
      <c r="G5211" s="5"/>
      <c r="H5211" s="5"/>
      <c r="I5211" s="5"/>
      <c r="J5211" s="6" t="str">
        <f>IFERROR(__xludf.DUMMYFUNCTION("""COMPUTED_VALUE"""),"https://eitaa.com/maktabzeynab_03")</f>
        <v>https://eitaa.com/maktabzeynab_03</v>
      </c>
      <c r="K5211" s="5"/>
      <c r="L5211" s="5"/>
      <c r="M5211" s="5"/>
      <c r="N5211" s="5"/>
      <c r="O5211" s="5"/>
      <c r="P5211" s="5"/>
      <c r="Q5211" s="5"/>
      <c r="R5211" s="5"/>
      <c r="S5211" s="5"/>
    </row>
    <row r="5212">
      <c r="A5212" s="5"/>
      <c r="B5212" s="5" t="str">
        <f>IFERROR(__xludf.DUMMYFUNCTION("""COMPUTED_VALUE"""),"هیأت")</f>
        <v>هیأت</v>
      </c>
      <c r="C5212" s="5" t="str">
        <f>IFERROR(__xludf.DUMMYFUNCTION("""COMPUTED_VALUE"""),"سادات")</f>
        <v>سادات</v>
      </c>
      <c r="D5212" s="5" t="str">
        <f>IFERROR(__xludf.DUMMYFUNCTION("""COMPUTED_VALUE"""),"مرکزی")</f>
        <v>مرکزی</v>
      </c>
      <c r="E5212" s="5" t="str">
        <f>IFERROR(__xludf.DUMMYFUNCTION("""COMPUTED_VALUE"""),"محلات")</f>
        <v>محلات</v>
      </c>
      <c r="F5212" s="5"/>
      <c r="G5212" s="5"/>
      <c r="H5212" s="6" t="str">
        <f>IFERROR(__xludf.DUMMYFUNCTION("""COMPUTED_VALUE"""),"https://www.instagram.com/heyate_sadate_shahre_nimvar/")</f>
        <v>https://www.instagram.com/heyate_sadate_shahre_nimvar/</v>
      </c>
      <c r="I5212" s="6" t="str">
        <f>IFERROR(__xludf.DUMMYFUNCTION("""COMPUTED_VALUE"""),"https://t.me/heyat_sadat_nimvar")</f>
        <v>https://t.me/heyat_sadat_nimvar</v>
      </c>
      <c r="J5212" s="5"/>
      <c r="K5212" s="5"/>
      <c r="L5212" s="5"/>
      <c r="M5212" s="5"/>
      <c r="N5212" s="5"/>
      <c r="O5212" s="5"/>
      <c r="P5212" s="5"/>
      <c r="Q5212" s="5"/>
      <c r="R5212" s="5"/>
      <c r="S5212" s="5"/>
    </row>
    <row r="5213">
      <c r="A5213" s="5"/>
      <c r="B5213" s="5" t="str">
        <f>IFERROR(__xludf.DUMMYFUNCTION("""COMPUTED_VALUE"""),"هیأت")</f>
        <v>هیأت</v>
      </c>
      <c r="C5213" s="5" t="str">
        <f>IFERROR(__xludf.DUMMYFUNCTION("""COMPUTED_VALUE"""),"محبان اهل بیت(ع) (دانشجویی)")</f>
        <v>محبان اهل بیت(ع) (دانشجویی)</v>
      </c>
      <c r="D5213" s="5" t="str">
        <f>IFERROR(__xludf.DUMMYFUNCTION("""COMPUTED_VALUE"""),"مرکزی")</f>
        <v>مرکزی</v>
      </c>
      <c r="E5213" s="5" t="str">
        <f>IFERROR(__xludf.DUMMYFUNCTION("""COMPUTED_VALUE"""),"اراک")</f>
        <v>اراک</v>
      </c>
      <c r="F5213" s="5"/>
      <c r="G5213" s="5"/>
      <c r="H5213" s="5"/>
      <c r="I5213" s="5" t="str">
        <f>IFERROR(__xludf.DUMMYFUNCTION("""COMPUTED_VALUE""")," ")</f>
        <v> </v>
      </c>
      <c r="J5213" s="6" t="str">
        <f>IFERROR(__xludf.DUMMYFUNCTION("""COMPUTED_VALUE"""),"https://t.me/mohebbin_araku")</f>
        <v>https://t.me/mohebbin_araku</v>
      </c>
      <c r="K5213" s="5"/>
      <c r="L5213" s="5"/>
      <c r="M5213" s="5"/>
      <c r="N5213" s="5"/>
      <c r="O5213" s="5"/>
      <c r="P5213" s="5"/>
      <c r="Q5213" s="5"/>
      <c r="R5213" s="5"/>
      <c r="S5213" s="5"/>
    </row>
    <row r="5214">
      <c r="A5214" s="5"/>
      <c r="B5214" s="5" t="str">
        <f>IFERROR(__xludf.DUMMYFUNCTION("""COMPUTED_VALUE"""),"هیأت")</f>
        <v>هیأت</v>
      </c>
      <c r="C5214" s="5" t="str">
        <f>IFERROR(__xludf.DUMMYFUNCTION("""COMPUTED_VALUE"""),"قائم آل محمد(عج)")</f>
        <v>قائم آل محمد(عج)</v>
      </c>
      <c r="D5214" s="5" t="str">
        <f>IFERROR(__xludf.DUMMYFUNCTION("""COMPUTED_VALUE"""),"مرکزی")</f>
        <v>مرکزی</v>
      </c>
      <c r="E5214" s="5" t="str">
        <f>IFERROR(__xludf.DUMMYFUNCTION("""COMPUTED_VALUE"""),"اراک")</f>
        <v>اراک</v>
      </c>
      <c r="F5214" s="5"/>
      <c r="G5214" s="5"/>
      <c r="H5214" s="6" t="str">
        <f>IFERROR(__xludf.DUMMYFUNCTION("""COMPUTED_VALUE"""),"https://www.instagram.com/ghaem_almohammad/")</f>
        <v>https://www.instagram.com/ghaem_almohammad/</v>
      </c>
      <c r="I5214" s="6" t="str">
        <f>IFERROR(__xludf.DUMMYFUNCTION("""COMPUTED_VALUE"""),"t.me/heyatghaemalmo")</f>
        <v>t.me/heyatghaemalmo</v>
      </c>
      <c r="J5214" s="5"/>
      <c r="K5214" s="5"/>
      <c r="L5214" s="5"/>
      <c r="M5214" s="5"/>
      <c r="N5214" s="5"/>
      <c r="O5214" s="5"/>
      <c r="P5214" s="5"/>
      <c r="Q5214" s="5"/>
      <c r="R5214" s="5"/>
      <c r="S5214" s="5"/>
    </row>
    <row r="5215">
      <c r="A5215" s="5"/>
      <c r="B5215" s="5" t="str">
        <f>IFERROR(__xludf.DUMMYFUNCTION("""COMPUTED_VALUE"""),"هیأت")</f>
        <v>هیأت</v>
      </c>
      <c r="C5215" s="5" t="str">
        <f>IFERROR(__xludf.DUMMYFUNCTION("""COMPUTED_VALUE"""),"کریم آل طاها")</f>
        <v>کریم آل طاها</v>
      </c>
      <c r="D5215" s="5" t="str">
        <f>IFERROR(__xludf.DUMMYFUNCTION("""COMPUTED_VALUE"""),"مرکزی")</f>
        <v>مرکزی</v>
      </c>
      <c r="E5215" s="5" t="str">
        <f>IFERROR(__xludf.DUMMYFUNCTION("""COMPUTED_VALUE"""),"اراک")</f>
        <v>اراک</v>
      </c>
      <c r="F5215" s="5"/>
      <c r="G5215" s="5"/>
      <c r="H5215" s="6" t="str">
        <f>IFERROR(__xludf.DUMMYFUNCTION("""COMPUTED_VALUE"""),"https://www.instagram.com/karimaltaha__/")</f>
        <v>https://www.instagram.com/karimaltaha__/</v>
      </c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</row>
    <row r="5216">
      <c r="A5216" s="5"/>
      <c r="B5216" s="5" t="str">
        <f>IFERROR(__xludf.DUMMYFUNCTION("""COMPUTED_VALUE"""),"هیأت")</f>
        <v>هیأت</v>
      </c>
      <c r="C5216" s="5" t="str">
        <f>IFERROR(__xludf.DUMMYFUNCTION("""COMPUTED_VALUE"""),"متوسلین به ائمه اطهار(ع)")</f>
        <v>متوسلین به ائمه اطهار(ع)</v>
      </c>
      <c r="D5216" s="5" t="str">
        <f>IFERROR(__xludf.DUMMYFUNCTION("""COMPUTED_VALUE"""),"مرکزی")</f>
        <v>مرکزی</v>
      </c>
      <c r="E5216" s="5" t="str">
        <f>IFERROR(__xludf.DUMMYFUNCTION("""COMPUTED_VALUE"""),"اراک")</f>
        <v>اراک</v>
      </c>
      <c r="F5216" s="5"/>
      <c r="G5216" s="5"/>
      <c r="H5216" s="6" t="str">
        <f>IFERROR(__xludf.DUMMYFUNCTION("""COMPUTED_VALUE"""),"https://www.instagram.com/motavaselininfo/")</f>
        <v>https://www.instagram.com/motavaselininfo/</v>
      </c>
      <c r="I5216" s="5"/>
      <c r="J5216" s="6" t="str">
        <f>IFERROR(__xludf.DUMMYFUNCTION("""COMPUTED_VALUE"""),"eitaa.com/motavaselein")</f>
        <v>eitaa.com/motavaselein</v>
      </c>
      <c r="K5216" s="5"/>
      <c r="L5216" s="5"/>
      <c r="M5216" s="5"/>
      <c r="N5216" s="5"/>
      <c r="O5216" s="5"/>
      <c r="P5216" s="5"/>
      <c r="Q5216" s="5"/>
      <c r="R5216" s="5"/>
      <c r="S5216" s="5"/>
    </row>
    <row r="5217">
      <c r="A5217" s="5"/>
      <c r="B5217" s="5" t="str">
        <f>IFERROR(__xludf.DUMMYFUNCTION("""COMPUTED_VALUE"""),"هیأت")</f>
        <v>هیأت</v>
      </c>
      <c r="C5217" s="5" t="str">
        <f>IFERROR(__xludf.DUMMYFUNCTION("""COMPUTED_VALUE"""),"بی بی رقیه (س)")</f>
        <v>بی بی رقیه (س)</v>
      </c>
      <c r="D5217" s="5" t="str">
        <f>IFERROR(__xludf.DUMMYFUNCTION("""COMPUTED_VALUE"""),"مرکزی")</f>
        <v>مرکزی</v>
      </c>
      <c r="E5217" s="5" t="str">
        <f>IFERROR(__xludf.DUMMYFUNCTION("""COMPUTED_VALUE"""),"اراک")</f>
        <v>اراک</v>
      </c>
      <c r="F5217" s="5"/>
      <c r="G5217" s="5"/>
      <c r="H5217" s="5"/>
      <c r="I5217" s="6" t="str">
        <f>IFERROR(__xludf.DUMMYFUNCTION("""COMPUTED_VALUE"""),"https://t.me/bibiroghayeh_arak")</f>
        <v>https://t.me/bibiroghayeh_arak</v>
      </c>
      <c r="J5217" s="5"/>
      <c r="K5217" s="5"/>
      <c r="L5217" s="5"/>
      <c r="M5217" s="5"/>
      <c r="N5217" s="5"/>
      <c r="O5217" s="5"/>
      <c r="P5217" s="5"/>
      <c r="Q5217" s="5"/>
      <c r="R5217" s="5"/>
      <c r="S5217" s="5"/>
    </row>
    <row r="5218">
      <c r="A5218" s="5"/>
      <c r="B5218" s="5" t="str">
        <f>IFERROR(__xludf.DUMMYFUNCTION("""COMPUTED_VALUE"""),"هیأت")</f>
        <v>هیأت</v>
      </c>
      <c r="C5218" s="5" t="str">
        <f>IFERROR(__xludf.DUMMYFUNCTION("""COMPUTED_VALUE"""),"یاوران مهدی")</f>
        <v>یاوران مهدی</v>
      </c>
      <c r="D5218" s="5" t="str">
        <f>IFERROR(__xludf.DUMMYFUNCTION("""COMPUTED_VALUE"""),"مرکزی")</f>
        <v>مرکزی</v>
      </c>
      <c r="E5218" s="5" t="str">
        <f>IFERROR(__xludf.DUMMYFUNCTION("""COMPUTED_VALUE"""),"خنداب")</f>
        <v>خنداب</v>
      </c>
      <c r="F5218" s="5"/>
      <c r="G5218" s="5"/>
      <c r="H5218" s="5"/>
      <c r="I5218" s="5"/>
      <c r="J5218" s="6" t="str">
        <f>IFERROR(__xludf.DUMMYFUNCTION("""COMPUTED_VALUE"""),"https://eitaa.com/yavaran_mahdi_khondab")</f>
        <v>https://eitaa.com/yavaran_mahdi_khondab</v>
      </c>
      <c r="K5218" s="5"/>
      <c r="L5218" s="5"/>
      <c r="M5218" s="5"/>
      <c r="N5218" s="5"/>
      <c r="O5218" s="5"/>
      <c r="P5218" s="5"/>
      <c r="Q5218" s="5"/>
      <c r="R5218" s="5"/>
      <c r="S5218" s="5"/>
    </row>
    <row r="5219">
      <c r="A5219" s="5"/>
      <c r="B5219" s="5" t="str">
        <f>IFERROR(__xludf.DUMMYFUNCTION("""COMPUTED_VALUE"""),"مسجد")</f>
        <v>مسجد</v>
      </c>
      <c r="C5219" s="5" t="str">
        <f>IFERROR(__xludf.DUMMYFUNCTION("""COMPUTED_VALUE"""),"ولیعصر (عج)")</f>
        <v>ولیعصر (عج)</v>
      </c>
      <c r="D5219" s="5" t="str">
        <f>IFERROR(__xludf.DUMMYFUNCTION("""COMPUTED_VALUE"""),"مرکزی")</f>
        <v>مرکزی</v>
      </c>
      <c r="E5219" s="5" t="str">
        <f>IFERROR(__xludf.DUMMYFUNCTION("""COMPUTED_VALUE"""),"خمین")</f>
        <v>خمین</v>
      </c>
      <c r="F5219" s="5"/>
      <c r="G5219" s="5"/>
      <c r="H5219" s="6" t="str">
        <f>IFERROR(__xludf.DUMMYFUNCTION("""COMPUTED_VALUE"""),"https://www.instagram.com/hyyat_masjed_valiasr/")</f>
        <v>https://www.instagram.com/hyyat_masjed_valiasr/</v>
      </c>
      <c r="I5219" s="6" t="str">
        <f>IFERROR(__xludf.DUMMYFUNCTION("""COMPUTED_VALUE"""),"t.me/hayatvaleasr1348")</f>
        <v>t.me/hayatvaleasr1348</v>
      </c>
      <c r="J5219" s="5"/>
      <c r="K5219" s="5"/>
      <c r="L5219" s="5"/>
      <c r="M5219" s="5"/>
      <c r="N5219" s="5"/>
      <c r="O5219" s="5"/>
      <c r="P5219" s="5"/>
      <c r="Q5219" s="5"/>
      <c r="R5219" s="5"/>
      <c r="S5219" s="5"/>
    </row>
    <row r="5220">
      <c r="A5220" s="5"/>
      <c r="B5220" s="5" t="str">
        <f>IFERROR(__xludf.DUMMYFUNCTION("""COMPUTED_VALUE"""),"هیأت")</f>
        <v>هیأت</v>
      </c>
      <c r="C5220" s="5" t="str">
        <f>IFERROR(__xludf.DUMMYFUNCTION("""COMPUTED_VALUE"""),"محمدی")</f>
        <v>محمدی</v>
      </c>
      <c r="D5220" s="5" t="str">
        <f>IFERROR(__xludf.DUMMYFUNCTION("""COMPUTED_VALUE"""),"مرکزی")</f>
        <v>مرکزی</v>
      </c>
      <c r="E5220" s="5" t="str">
        <f>IFERROR(__xludf.DUMMYFUNCTION("""COMPUTED_VALUE"""),"اراک")</f>
        <v>اراک</v>
      </c>
      <c r="F5220" s="5"/>
      <c r="G5220" s="5"/>
      <c r="H5220" s="5"/>
      <c r="I5220" s="6" t="str">
        <f>IFERROR(__xludf.DUMMYFUNCTION("""COMPUTED_VALUE"""),"https://t.me/heyatmohammadi")</f>
        <v>https://t.me/heyatmohammadi</v>
      </c>
      <c r="J5220" s="5"/>
      <c r="K5220" s="5"/>
      <c r="L5220" s="5"/>
      <c r="M5220" s="5"/>
      <c r="N5220" s="5"/>
      <c r="O5220" s="5"/>
      <c r="P5220" s="5"/>
      <c r="Q5220" s="5"/>
      <c r="R5220" s="5"/>
      <c r="S5220" s="5"/>
    </row>
    <row r="5221">
      <c r="A5221" s="5"/>
      <c r="B5221" s="5" t="str">
        <f>IFERROR(__xludf.DUMMYFUNCTION("""COMPUTED_VALUE"""),"هیأت")</f>
        <v>هیأت</v>
      </c>
      <c r="C5221" s="5" t="str">
        <f>IFERROR(__xludf.DUMMYFUNCTION("""COMPUTED_VALUE"""),"مکتب الصادق (ع)")</f>
        <v>مکتب الصادق (ع)</v>
      </c>
      <c r="D5221" s="5" t="str">
        <f>IFERROR(__xludf.DUMMYFUNCTION("""COMPUTED_VALUE"""),"مرکزی")</f>
        <v>مرکزی</v>
      </c>
      <c r="E5221" s="5" t="str">
        <f>IFERROR(__xludf.DUMMYFUNCTION("""COMPUTED_VALUE"""),"اراک")</f>
        <v>اراک</v>
      </c>
      <c r="F5221" s="5"/>
      <c r="G5221" s="5"/>
      <c r="H5221" s="6" t="str">
        <f>IFERROR(__xludf.DUMMYFUNCTION("""COMPUTED_VALUE"""),"https://www.instagram.com/maktabosadeq_net/")</f>
        <v>https://www.instagram.com/maktabosadeq_net/</v>
      </c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</row>
    <row r="5222">
      <c r="A5222" s="5"/>
      <c r="B5222" s="5" t="str">
        <f>IFERROR(__xludf.DUMMYFUNCTION("""COMPUTED_VALUE"""),"هیأت")</f>
        <v>هیأت</v>
      </c>
      <c r="C5222" s="5" t="str">
        <f>IFERROR(__xludf.DUMMYFUNCTION("""COMPUTED_VALUE"""),"علمدار بین الحرمین")</f>
        <v>علمدار بین الحرمین</v>
      </c>
      <c r="D5222" s="5" t="str">
        <f>IFERROR(__xludf.DUMMYFUNCTION("""COMPUTED_VALUE"""),"مرکزی")</f>
        <v>مرکزی</v>
      </c>
      <c r="E5222" s="5" t="str">
        <f>IFERROR(__xludf.DUMMYFUNCTION("""COMPUTED_VALUE"""),"اراک")</f>
        <v>اراک</v>
      </c>
      <c r="F5222" s="5"/>
      <c r="G5222" s="5"/>
      <c r="H5222" s="5"/>
      <c r="I5222" s="6" t="str">
        <f>IFERROR(__xludf.DUMMYFUNCTION("""COMPUTED_VALUE"""),"https://t.me/alamdarbeinoalharamein")</f>
        <v>https://t.me/alamdarbeinoalharamein</v>
      </c>
      <c r="J5222" s="5"/>
      <c r="K5222" s="5"/>
      <c r="L5222" s="5"/>
      <c r="M5222" s="5"/>
      <c r="N5222" s="5"/>
      <c r="O5222" s="5"/>
      <c r="P5222" s="5"/>
      <c r="Q5222" s="5"/>
      <c r="R5222" s="5"/>
      <c r="S5222" s="5"/>
    </row>
    <row r="5223">
      <c r="A5223" s="5"/>
      <c r="B5223" s="5" t="str">
        <f>IFERROR(__xludf.DUMMYFUNCTION("""COMPUTED_VALUE"""),"هیأت")</f>
        <v>هیأت</v>
      </c>
      <c r="C5223" s="5" t="str">
        <f>IFERROR(__xludf.DUMMYFUNCTION("""COMPUTED_VALUE"""),"بیت الرقیه")</f>
        <v>بیت الرقیه</v>
      </c>
      <c r="D5223" s="5" t="str">
        <f>IFERROR(__xludf.DUMMYFUNCTION("""COMPUTED_VALUE"""),"مرکزی")</f>
        <v>مرکزی</v>
      </c>
      <c r="E5223" s="5" t="str">
        <f>IFERROR(__xludf.DUMMYFUNCTION("""COMPUTED_VALUE"""),"اراک")</f>
        <v>اراک</v>
      </c>
      <c r="F5223" s="5"/>
      <c r="G5223" s="5"/>
      <c r="H5223" s="6" t="str">
        <f>IFERROR(__xludf.DUMMYFUNCTION("""COMPUTED_VALUE"""),"https://www.instagram.com/b_rogayesenjan/")</f>
        <v>https://www.instagram.com/b_rogayesenjan/</v>
      </c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</row>
    <row r="5224">
      <c r="A5224" s="5"/>
      <c r="B5224" s="5" t="str">
        <f>IFERROR(__xludf.DUMMYFUNCTION("""COMPUTED_VALUE"""),"هیأت")</f>
        <v>هیأت</v>
      </c>
      <c r="C5224" s="5" t="str">
        <f>IFERROR(__xludf.DUMMYFUNCTION("""COMPUTED_VALUE"""),"بی بی رقیه (س)")</f>
        <v>بی بی رقیه (س)</v>
      </c>
      <c r="D5224" s="5" t="str">
        <f>IFERROR(__xludf.DUMMYFUNCTION("""COMPUTED_VALUE"""),"مرکزی")</f>
        <v>مرکزی</v>
      </c>
      <c r="E5224" s="5" t="str">
        <f>IFERROR(__xludf.DUMMYFUNCTION("""COMPUTED_VALUE"""),"اراک")</f>
        <v>اراک</v>
      </c>
      <c r="F5224" s="5"/>
      <c r="G5224" s="5"/>
      <c r="H5224" s="5"/>
      <c r="I5224" s="5"/>
      <c r="J5224" s="6" t="str">
        <f>IFERROR(__xludf.DUMMYFUNCTION("""COMPUTED_VALUE"""),"https://eitaa.com/bibiroghayeh_arak")</f>
        <v>https://eitaa.com/bibiroghayeh_arak</v>
      </c>
      <c r="K5224" s="5"/>
      <c r="L5224" s="5"/>
      <c r="M5224" s="5"/>
      <c r="N5224" s="5"/>
      <c r="O5224" s="5"/>
      <c r="P5224" s="5"/>
      <c r="Q5224" s="5"/>
      <c r="R5224" s="5"/>
      <c r="S5224" s="5"/>
    </row>
    <row r="5225">
      <c r="A5225" s="5"/>
      <c r="B5225" s="5" t="str">
        <f>IFERROR(__xludf.DUMMYFUNCTION("""COMPUTED_VALUE"""),"هیأت")</f>
        <v>هیأت</v>
      </c>
      <c r="C5225" s="5" t="str">
        <f>IFERROR(__xludf.DUMMYFUNCTION("""COMPUTED_VALUE"""),"مکتب الزهرا (س)")</f>
        <v>مکتب الزهرا (س)</v>
      </c>
      <c r="D5225" s="5" t="str">
        <f>IFERROR(__xludf.DUMMYFUNCTION("""COMPUTED_VALUE"""),"مرکزی")</f>
        <v>مرکزی</v>
      </c>
      <c r="E5225" s="5" t="str">
        <f>IFERROR(__xludf.DUMMYFUNCTION("""COMPUTED_VALUE"""),"اراک")</f>
        <v>اراک</v>
      </c>
      <c r="F5225" s="5"/>
      <c r="G5225" s="5"/>
      <c r="H5225" s="5"/>
      <c r="I5225" s="6" t="str">
        <f>IFERROR(__xludf.DUMMYFUNCTION("""COMPUTED_VALUE"""),"https://t.me/maktabozahra90")</f>
        <v>https://t.me/maktabozahra90</v>
      </c>
      <c r="J5225" s="5"/>
      <c r="K5225" s="5"/>
      <c r="L5225" s="5"/>
      <c r="M5225" s="5"/>
      <c r="N5225" s="5"/>
      <c r="O5225" s="5"/>
      <c r="P5225" s="5"/>
      <c r="Q5225" s="5"/>
      <c r="R5225" s="5"/>
      <c r="S5225" s="5"/>
    </row>
    <row r="5226">
      <c r="A5226" s="5"/>
      <c r="B5226" s="5" t="str">
        <f>IFERROR(__xludf.DUMMYFUNCTION("""COMPUTED_VALUE"""),"هیأت")</f>
        <v>هیأت</v>
      </c>
      <c r="C5226" s="5" t="str">
        <f>IFERROR(__xludf.DUMMYFUNCTION("""COMPUTED_VALUE"""),"منتظران صاحب الزمان (عج)")</f>
        <v>منتظران صاحب الزمان (عج)</v>
      </c>
      <c r="D5226" s="5" t="str">
        <f>IFERROR(__xludf.DUMMYFUNCTION("""COMPUTED_VALUE"""),"مرکزی")</f>
        <v>مرکزی</v>
      </c>
      <c r="E5226" s="5" t="str">
        <f>IFERROR(__xludf.DUMMYFUNCTION("""COMPUTED_VALUE"""),"اراک")</f>
        <v>اراک</v>
      </c>
      <c r="F5226" s="5"/>
      <c r="G5226" s="5"/>
      <c r="H5226" s="6" t="str">
        <f>IFERROR(__xludf.DUMMYFUNCTION("""COMPUTED_VALUE"""),"https://www.instagram.com/montazeran_arak/")</f>
        <v>https://www.instagram.com/montazeran_arak/</v>
      </c>
      <c r="I5226" s="6" t="str">
        <f>IFERROR(__xludf.DUMMYFUNCTION("""COMPUTED_VALUE"""),"https://t.me/Montazeran_arak")</f>
        <v>https://t.me/Montazeran_arak</v>
      </c>
      <c r="J5226" s="6" t="str">
        <f>IFERROR(__xludf.DUMMYFUNCTION("""COMPUTED_VALUE"""),"https://eitaa.com/Montazeran_Arak")</f>
        <v>https://eitaa.com/Montazeran_Arak</v>
      </c>
      <c r="K5226" s="5"/>
      <c r="L5226" s="5"/>
      <c r="M5226" s="5"/>
      <c r="N5226" s="5"/>
      <c r="O5226" s="5"/>
      <c r="P5226" s="5"/>
      <c r="Q5226" s="5"/>
      <c r="R5226" s="5"/>
      <c r="S5226" s="5"/>
    </row>
    <row r="5227">
      <c r="A5227" s="5"/>
      <c r="B5227" s="5" t="str">
        <f>IFERROR(__xludf.DUMMYFUNCTION("""COMPUTED_VALUE"""),"هیأت")</f>
        <v>هیأت</v>
      </c>
      <c r="C5227" s="5" t="str">
        <f>IFERROR(__xludf.DUMMYFUNCTION("""COMPUTED_VALUE"""),"صاحب العصر")</f>
        <v>صاحب العصر</v>
      </c>
      <c r="D5227" s="5" t="str">
        <f>IFERROR(__xludf.DUMMYFUNCTION("""COMPUTED_VALUE"""),"مرکزی")</f>
        <v>مرکزی</v>
      </c>
      <c r="E5227" s="5" t="str">
        <f>IFERROR(__xludf.DUMMYFUNCTION("""COMPUTED_VALUE"""),"اراک")</f>
        <v>اراک</v>
      </c>
      <c r="F5227" s="5"/>
      <c r="G5227" s="5"/>
      <c r="H5227" s="5"/>
      <c r="I5227" s="5"/>
      <c r="J5227" s="6" t="str">
        <f>IFERROR(__xludf.DUMMYFUNCTION("""COMPUTED_VALUE"""),"https://eitaa.com/yalasaratnet")</f>
        <v>https://eitaa.com/yalasaratnet</v>
      </c>
      <c r="K5227" s="5"/>
      <c r="L5227" s="5"/>
      <c r="M5227" s="5"/>
      <c r="N5227" s="5"/>
      <c r="O5227" s="5"/>
      <c r="P5227" s="5"/>
      <c r="Q5227" s="5"/>
      <c r="R5227" s="5"/>
      <c r="S5227" s="5"/>
    </row>
    <row r="5228">
      <c r="A5228" s="5"/>
      <c r="B5228" s="5" t="str">
        <f>IFERROR(__xludf.DUMMYFUNCTION("""COMPUTED_VALUE"""),"هیأت")</f>
        <v>هیأت</v>
      </c>
      <c r="C5228" s="5" t="str">
        <f>IFERROR(__xludf.DUMMYFUNCTION("""COMPUTED_VALUE"""),"رزمندگان اسلام")</f>
        <v>رزمندگان اسلام</v>
      </c>
      <c r="D5228" s="5" t="str">
        <f>IFERROR(__xludf.DUMMYFUNCTION("""COMPUTED_VALUE"""),"مرکزی")</f>
        <v>مرکزی</v>
      </c>
      <c r="E5228" s="5" t="str">
        <f>IFERROR(__xludf.DUMMYFUNCTION("""COMPUTED_VALUE"""),"اراک")</f>
        <v>اراک</v>
      </c>
      <c r="F5228" s="5"/>
      <c r="G5228" s="5"/>
      <c r="H5228" s="5"/>
      <c r="I5228" s="5"/>
      <c r="J5228" s="6" t="str">
        <f>IFERROR(__xludf.DUMMYFUNCTION("""COMPUTED_VALUE"""),"https://eitaa.com/meheyat_ir")</f>
        <v>https://eitaa.com/meheyat_ir</v>
      </c>
      <c r="K5228" s="5"/>
      <c r="L5228" s="5"/>
      <c r="M5228" s="5"/>
      <c r="N5228" s="5"/>
      <c r="O5228" s="5"/>
      <c r="P5228" s="5"/>
      <c r="Q5228" s="5"/>
      <c r="R5228" s="5"/>
      <c r="S5228" s="5"/>
    </row>
    <row r="5229">
      <c r="A5229" s="5"/>
      <c r="B5229" s="5" t="str">
        <f>IFERROR(__xludf.DUMMYFUNCTION("""COMPUTED_VALUE"""),"هیأت")</f>
        <v>هیأت</v>
      </c>
      <c r="C5229" s="5" t="str">
        <f>IFERROR(__xludf.DUMMYFUNCTION("""COMPUTED_VALUE"""),"فاطمه الزهرا (مادر سادات)")</f>
        <v>فاطمه الزهرا (مادر سادات)</v>
      </c>
      <c r="D5229" s="5" t="str">
        <f>IFERROR(__xludf.DUMMYFUNCTION("""COMPUTED_VALUE"""),"مرکزی")</f>
        <v>مرکزی</v>
      </c>
      <c r="E5229" s="5" t="str">
        <f>IFERROR(__xludf.DUMMYFUNCTION("""COMPUTED_VALUE"""),"اراک")</f>
        <v>اراک</v>
      </c>
      <c r="F5229" s="5"/>
      <c r="G5229" s="5"/>
      <c r="H5229" s="5"/>
      <c r="I5229" s="5"/>
      <c r="J5229" s="6" t="str">
        <f>IFERROR(__xludf.DUMMYFUNCTION("""COMPUTED_VALUE"""),"https://eitaa.com/madaresadat_ir")</f>
        <v>https://eitaa.com/madaresadat_ir</v>
      </c>
      <c r="K5229" s="5"/>
      <c r="L5229" s="5"/>
      <c r="M5229" s="5"/>
      <c r="N5229" s="5"/>
      <c r="O5229" s="5"/>
      <c r="P5229" s="5"/>
      <c r="Q5229" s="5"/>
      <c r="R5229" s="5"/>
      <c r="S5229" s="5"/>
    </row>
    <row r="5230">
      <c r="A5230" s="5"/>
      <c r="B5230" s="5" t="str">
        <f>IFERROR(__xludf.DUMMYFUNCTION("""COMPUTED_VALUE"""),"حسینیه")</f>
        <v>حسینیه</v>
      </c>
      <c r="C5230" s="5" t="str">
        <f>IFERROR(__xludf.DUMMYFUNCTION("""COMPUTED_VALUE"""),"کفسان")</f>
        <v>کفسان</v>
      </c>
      <c r="D5230" s="5" t="str">
        <f>IFERROR(__xludf.DUMMYFUNCTION("""COMPUTED_VALUE"""),"مرکزی")</f>
        <v>مرکزی</v>
      </c>
      <c r="E5230" s="5" t="str">
        <f>IFERROR(__xludf.DUMMYFUNCTION("""COMPUTED_VALUE"""),"خمین")</f>
        <v>خمین</v>
      </c>
      <c r="F5230" s="5"/>
      <c r="G5230" s="5"/>
      <c r="H5230" s="5"/>
      <c r="I5230" s="5"/>
      <c r="J5230" s="6" t="str">
        <f>IFERROR(__xludf.DUMMYFUNCTION("""COMPUTED_VALUE"""),"https://eitaa.com/hoseiniehkafsan")</f>
        <v>https://eitaa.com/hoseiniehkafsan</v>
      </c>
      <c r="K5230" s="5"/>
      <c r="L5230" s="5"/>
      <c r="M5230" s="5"/>
      <c r="N5230" s="5"/>
      <c r="O5230" s="5"/>
      <c r="P5230" s="5"/>
      <c r="Q5230" s="5"/>
      <c r="R5230" s="5"/>
      <c r="S5230" s="5"/>
    </row>
    <row r="5231">
      <c r="A5231" s="5"/>
      <c r="B5231" s="5" t="str">
        <f>IFERROR(__xludf.DUMMYFUNCTION("""COMPUTED_VALUE"""),"هیأت دخترانه")</f>
        <v>هیأت دخترانه</v>
      </c>
      <c r="C5231" s="5" t="str">
        <f>IFERROR(__xludf.DUMMYFUNCTION("""COMPUTED_VALUE"""),"حب الحسین")</f>
        <v>حب الحسین</v>
      </c>
      <c r="D5231" s="5" t="str">
        <f>IFERROR(__xludf.DUMMYFUNCTION("""COMPUTED_VALUE"""),"مرکزی")</f>
        <v>مرکزی</v>
      </c>
      <c r="E5231" s="5" t="str">
        <f>IFERROR(__xludf.DUMMYFUNCTION("""COMPUTED_VALUE"""),"ساوه")</f>
        <v>ساوه</v>
      </c>
      <c r="F5231" s="5"/>
      <c r="G5231" s="5"/>
      <c r="H5231" s="6" t="str">
        <f>IFERROR(__xludf.DUMMYFUNCTION("""COMPUTED_VALUE"""),"https://www.instagram.com/hobbol_hosseein/")</f>
        <v>https://www.instagram.com/hobbol_hosseein/</v>
      </c>
      <c r="I5231" s="5"/>
      <c r="J5231" s="6" t="str">
        <f>IFERROR(__xludf.DUMMYFUNCTION("""COMPUTED_VALUE"""),"https://eitaa.com/hobbolhosseein")</f>
        <v>https://eitaa.com/hobbolhosseein</v>
      </c>
      <c r="K5231" s="5"/>
      <c r="L5231" s="5"/>
      <c r="M5231" s="5"/>
      <c r="N5231" s="5"/>
      <c r="O5231" s="5"/>
      <c r="P5231" s="5"/>
      <c r="Q5231" s="5"/>
      <c r="R5231" s="5"/>
      <c r="S5231" s="5"/>
    </row>
    <row r="5232">
      <c r="A5232" s="5"/>
      <c r="B5232" s="5" t="str">
        <f>IFERROR(__xludf.DUMMYFUNCTION("""COMPUTED_VALUE"""),"هیأت")</f>
        <v>هیأت</v>
      </c>
      <c r="C5232" s="5" t="str">
        <f>IFERROR(__xludf.DUMMYFUNCTION("""COMPUTED_VALUE"""),"انصار المهدی")</f>
        <v>انصار المهدی</v>
      </c>
      <c r="D5232" s="5" t="str">
        <f>IFERROR(__xludf.DUMMYFUNCTION("""COMPUTED_VALUE"""),"مرکزی")</f>
        <v>مرکزی</v>
      </c>
      <c r="E5232" s="5" t="str">
        <f>IFERROR(__xludf.DUMMYFUNCTION("""COMPUTED_VALUE"""),"شازند")</f>
        <v>شازند</v>
      </c>
      <c r="F5232" s="5"/>
      <c r="G5232" s="5"/>
      <c r="H5232" s="5"/>
      <c r="I5232" s="5"/>
      <c r="J5232" s="6" t="str">
        <f>IFERROR(__xludf.DUMMYFUNCTION("""COMPUTED_VALUE"""),"https://eitaa.com/ansaralmahdishazand")</f>
        <v>https://eitaa.com/ansaralmahdishazand</v>
      </c>
      <c r="K5232" s="5"/>
      <c r="L5232" s="5"/>
      <c r="M5232" s="5"/>
      <c r="N5232" s="5"/>
      <c r="O5232" s="5"/>
      <c r="P5232" s="5"/>
      <c r="Q5232" s="5"/>
      <c r="R5232" s="5"/>
      <c r="S5232" s="5"/>
    </row>
    <row r="5233">
      <c r="A5233" s="5">
        <f>IFERROR(__xludf.DUMMYFUNCTION("""COMPUTED_VALUE"""),30096.0)</f>
        <v>30096</v>
      </c>
      <c r="B5233" s="5" t="str">
        <f>IFERROR(__xludf.DUMMYFUNCTION("""COMPUTED_VALUE"""),"هیأت")</f>
        <v>هیأت</v>
      </c>
      <c r="C5233" s="5" t="str">
        <f>IFERROR(__xludf.DUMMYFUNCTION("""COMPUTED_VALUE"""),"علویون")</f>
        <v>علویون</v>
      </c>
      <c r="D5233" s="5" t="str">
        <f>IFERROR(__xludf.DUMMYFUNCTION("""COMPUTED_VALUE"""),"لرستان")</f>
        <v>لرستان</v>
      </c>
      <c r="E5233" s="5" t="str">
        <f>IFERROR(__xludf.DUMMYFUNCTION("""COMPUTED_VALUE"""),"بروجرد")</f>
        <v>بروجرد</v>
      </c>
      <c r="F5233" s="5"/>
      <c r="G5233" s="5"/>
      <c r="H5233" s="6" t="str">
        <f>IFERROR(__xludf.DUMMYFUNCTION("""COMPUTED_VALUE"""),"https://www.instagram.com/alaviyon110/")</f>
        <v>https://www.instagram.com/alaviyon110/</v>
      </c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</row>
    <row r="5234">
      <c r="A5234" s="5">
        <f>IFERROR(__xludf.DUMMYFUNCTION("""COMPUTED_VALUE"""),29853.0)</f>
        <v>29853</v>
      </c>
      <c r="B5234" s="5" t="str">
        <f>IFERROR(__xludf.DUMMYFUNCTION("""COMPUTED_VALUE"""),"هیأت")</f>
        <v>هیأت</v>
      </c>
      <c r="C5234" s="5" t="str">
        <f>IFERROR(__xludf.DUMMYFUNCTION("""COMPUTED_VALUE"""),"محفل الشهدا")</f>
        <v>محفل الشهدا</v>
      </c>
      <c r="D5234" s="5" t="str">
        <f>IFERROR(__xludf.DUMMYFUNCTION("""COMPUTED_VALUE"""),"لرستان")</f>
        <v>لرستان</v>
      </c>
      <c r="E5234" s="5" t="str">
        <f>IFERROR(__xludf.DUMMYFUNCTION("""COMPUTED_VALUE"""),"کوهدشت")</f>
        <v>کوهدشت</v>
      </c>
      <c r="F5234" s="5"/>
      <c r="G5234" s="5"/>
      <c r="H5234" s="5"/>
      <c r="I5234" s="5"/>
      <c r="J5234" s="6" t="str">
        <f>IFERROR(__xludf.DUMMYFUNCTION("""COMPUTED_VALUE"""),"https://eitaa.com/mahfeleshohada61/")</f>
        <v>https://eitaa.com/mahfeleshohada61/</v>
      </c>
      <c r="K5234" s="5"/>
      <c r="L5234" s="5"/>
      <c r="M5234" s="5"/>
      <c r="N5234" s="5"/>
      <c r="O5234" s="5"/>
      <c r="P5234" s="5"/>
      <c r="Q5234" s="5"/>
      <c r="R5234" s="5"/>
      <c r="S5234" s="5"/>
    </row>
    <row r="5235">
      <c r="A5235" s="5">
        <f>IFERROR(__xludf.DUMMYFUNCTION("""COMPUTED_VALUE"""),29852.0)</f>
        <v>29852</v>
      </c>
      <c r="B5235" s="5" t="str">
        <f>IFERROR(__xludf.DUMMYFUNCTION("""COMPUTED_VALUE"""),"هیأت")</f>
        <v>هیأت</v>
      </c>
      <c r="C5235" s="5" t="str">
        <f>IFERROR(__xludf.DUMMYFUNCTION("""COMPUTED_VALUE"""),"متوسلین حضرت زهرا (س)")</f>
        <v>متوسلین حضرت زهرا (س)</v>
      </c>
      <c r="D5235" s="5" t="str">
        <f>IFERROR(__xludf.DUMMYFUNCTION("""COMPUTED_VALUE"""),"لرستان")</f>
        <v>لرستان</v>
      </c>
      <c r="E5235" s="5" t="str">
        <f>IFERROR(__xludf.DUMMYFUNCTION("""COMPUTED_VALUE"""),"کوهدشت")</f>
        <v>کوهدشت</v>
      </c>
      <c r="F5235" s="5"/>
      <c r="G5235" s="5"/>
      <c r="H5235" s="5"/>
      <c r="I5235" s="5"/>
      <c r="J5235" s="6" t="str">
        <f>IFERROR(__xludf.DUMMYFUNCTION("""COMPUTED_VALUE"""),"https://eitaa.com/motevaselein")</f>
        <v>https://eitaa.com/motevaselein</v>
      </c>
      <c r="K5235" s="5"/>
      <c r="L5235" s="5"/>
      <c r="M5235" s="5"/>
      <c r="N5235" s="5"/>
      <c r="O5235" s="5"/>
      <c r="P5235" s="5"/>
      <c r="Q5235" s="5"/>
      <c r="R5235" s="5"/>
      <c r="S5235" s="5"/>
    </row>
    <row r="5236">
      <c r="A5236" s="5">
        <f>IFERROR(__xludf.DUMMYFUNCTION("""COMPUTED_VALUE"""),29848.0)</f>
        <v>29848</v>
      </c>
      <c r="B5236" s="5" t="str">
        <f>IFERROR(__xludf.DUMMYFUNCTION("""COMPUTED_VALUE"""),"هیأت")</f>
        <v>هیأت</v>
      </c>
      <c r="C5236" s="5" t="str">
        <f>IFERROR(__xludf.DUMMYFUNCTION("""COMPUTED_VALUE"""),"حضرت علی اکبر (ع)")</f>
        <v>حضرت علی اکبر (ع)</v>
      </c>
      <c r="D5236" s="5" t="str">
        <f>IFERROR(__xludf.DUMMYFUNCTION("""COMPUTED_VALUE"""),"لرستان")</f>
        <v>لرستان</v>
      </c>
      <c r="E5236" s="5" t="str">
        <f>IFERROR(__xludf.DUMMYFUNCTION("""COMPUTED_VALUE"""),"الیگودرز")</f>
        <v>الیگودرز</v>
      </c>
      <c r="F5236" s="5"/>
      <c r="G5236" s="5"/>
      <c r="H5236" s="5"/>
      <c r="I5236" s="5"/>
      <c r="J5236" s="6" t="str">
        <f>IFERROR(__xludf.DUMMYFUNCTION("""COMPUTED_VALUE"""),"https://eitaa.com/heiat_h_aliakbar")</f>
        <v>https://eitaa.com/heiat_h_aliakbar</v>
      </c>
      <c r="K5236" s="5"/>
      <c r="L5236" s="5"/>
      <c r="M5236" s="5"/>
      <c r="N5236" s="5"/>
      <c r="O5236" s="5"/>
      <c r="P5236" s="5"/>
      <c r="Q5236" s="5"/>
      <c r="R5236" s="5"/>
      <c r="S5236" s="5"/>
    </row>
    <row r="5237">
      <c r="A5237" s="5">
        <f>IFERROR(__xludf.DUMMYFUNCTION("""COMPUTED_VALUE"""),29850.0)</f>
        <v>29850</v>
      </c>
      <c r="B5237" s="5" t="str">
        <f>IFERROR(__xludf.DUMMYFUNCTION("""COMPUTED_VALUE"""),"هیأت")</f>
        <v>هیأت</v>
      </c>
      <c r="C5237" s="5" t="str">
        <f>IFERROR(__xludf.DUMMYFUNCTION("""COMPUTED_VALUE"""),"منتظران المهدی (عج)")</f>
        <v>منتظران المهدی (عج)</v>
      </c>
      <c r="D5237" s="5" t="str">
        <f>IFERROR(__xludf.DUMMYFUNCTION("""COMPUTED_VALUE"""),"لرستان")</f>
        <v>لرستان</v>
      </c>
      <c r="E5237" s="5" t="str">
        <f>IFERROR(__xludf.DUMMYFUNCTION("""COMPUTED_VALUE"""),"خرم آباد")</f>
        <v>خرم آباد</v>
      </c>
      <c r="F5237" s="5"/>
      <c r="G5237" s="5"/>
      <c r="H5237" s="6" t="str">
        <f>IFERROR(__xludf.DUMMYFUNCTION("""COMPUTED_VALUE"""),"https://www.instagram.com/montazeran_mahdi_khoramabad/")</f>
        <v>https://www.instagram.com/montazeran_mahdi_khoramabad/</v>
      </c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</row>
    <row r="5238">
      <c r="A5238" s="5">
        <f>IFERROR(__xludf.DUMMYFUNCTION("""COMPUTED_VALUE"""),29772.0)</f>
        <v>29772</v>
      </c>
      <c r="B5238" s="5" t="str">
        <f>IFERROR(__xludf.DUMMYFUNCTION("""COMPUTED_VALUE"""),"هیأت")</f>
        <v>هیأت</v>
      </c>
      <c r="C5238" s="5" t="str">
        <f>IFERROR(__xludf.DUMMYFUNCTION("""COMPUTED_VALUE"""),"حضرت زینب (س)")</f>
        <v>حضرت زینب (س)</v>
      </c>
      <c r="D5238" s="5" t="str">
        <f>IFERROR(__xludf.DUMMYFUNCTION("""COMPUTED_VALUE"""),"لرستان")</f>
        <v>لرستان</v>
      </c>
      <c r="E5238" s="5" t="str">
        <f>IFERROR(__xludf.DUMMYFUNCTION("""COMPUTED_VALUE"""),"خرم آباد")</f>
        <v>خرم آباد</v>
      </c>
      <c r="F5238" s="5"/>
      <c r="G5238" s="5"/>
      <c r="H5238" s="5"/>
      <c r="I5238" s="5"/>
      <c r="J5238" s="6" t="str">
        <f>IFERROR(__xludf.DUMMYFUNCTION("""COMPUTED_VALUE"""),"https://eitaa.com/heyatzeynabion")</f>
        <v>https://eitaa.com/heyatzeynabion</v>
      </c>
      <c r="K5238" s="5"/>
      <c r="L5238" s="5"/>
      <c r="M5238" s="5"/>
      <c r="N5238" s="5"/>
      <c r="O5238" s="5"/>
      <c r="P5238" s="5"/>
      <c r="Q5238" s="5"/>
      <c r="R5238" s="5"/>
      <c r="S5238" s="5"/>
    </row>
    <row r="5239">
      <c r="A5239" s="5">
        <f>IFERROR(__xludf.DUMMYFUNCTION("""COMPUTED_VALUE"""),26423.0)</f>
        <v>26423</v>
      </c>
      <c r="B5239" s="5" t="str">
        <f>IFERROR(__xludf.DUMMYFUNCTION("""COMPUTED_VALUE"""),"هیأت")</f>
        <v>هیأت</v>
      </c>
      <c r="C5239" s="5" t="str">
        <f>IFERROR(__xludf.DUMMYFUNCTION("""COMPUTED_VALUE"""),"بین الحرمین")</f>
        <v>بین الحرمین</v>
      </c>
      <c r="D5239" s="5" t="str">
        <f>IFERROR(__xludf.DUMMYFUNCTION("""COMPUTED_VALUE"""),"لرستان")</f>
        <v>لرستان</v>
      </c>
      <c r="E5239" s="5" t="str">
        <f>IFERROR(__xludf.DUMMYFUNCTION("""COMPUTED_VALUE"""),"بروجرد")</f>
        <v>بروجرد</v>
      </c>
      <c r="F5239" s="5"/>
      <c r="G5239" s="5"/>
      <c r="H5239" s="6" t="str">
        <f>IFERROR(__xludf.DUMMYFUNCTION("""COMPUTED_VALUE"""),"https://www.instagram.com/b_harameyn_ir")</f>
        <v>https://www.instagram.com/b_harameyn_ir</v>
      </c>
      <c r="I5239" s="5"/>
      <c r="J5239" s="6" t="str">
        <f>IFERROR(__xludf.DUMMYFUNCTION("""COMPUTED_VALUE"""),"https://eitaa.com/b_harameyn_ir")</f>
        <v>https://eitaa.com/b_harameyn_ir</v>
      </c>
      <c r="K5239" s="5"/>
      <c r="L5239" s="5"/>
      <c r="M5239" s="5"/>
      <c r="N5239" s="5"/>
      <c r="O5239" s="5"/>
      <c r="P5239" s="5"/>
      <c r="Q5239" s="5"/>
      <c r="R5239" s="5"/>
      <c r="S5239" s="5"/>
    </row>
    <row r="5240">
      <c r="A5240" s="5">
        <f>IFERROR(__xludf.DUMMYFUNCTION("""COMPUTED_VALUE"""),26055.0)</f>
        <v>26055</v>
      </c>
      <c r="B5240" s="5" t="str">
        <f>IFERROR(__xludf.DUMMYFUNCTION("""COMPUTED_VALUE"""),"هیأت")</f>
        <v>هیأت</v>
      </c>
      <c r="C5240" s="5" t="str">
        <f>IFERROR(__xludf.DUMMYFUNCTION("""COMPUTED_VALUE"""),"عشاق الزهرا(س)")</f>
        <v>عشاق الزهرا(س)</v>
      </c>
      <c r="D5240" s="5" t="str">
        <f>IFERROR(__xludf.DUMMYFUNCTION("""COMPUTED_VALUE"""),"لرستان")</f>
        <v>لرستان</v>
      </c>
      <c r="E5240" s="5" t="str">
        <f>IFERROR(__xludf.DUMMYFUNCTION("""COMPUTED_VALUE"""),"بروجرد")</f>
        <v>بروجرد</v>
      </c>
      <c r="F5240" s="5"/>
      <c r="G5240" s="5"/>
      <c r="H5240" s="6" t="str">
        <f>IFERROR(__xludf.DUMMYFUNCTION("""COMPUTED_VALUE"""),"https://www.instagram.com/aman59.brj/")</f>
        <v>https://www.instagram.com/aman59.brj/</v>
      </c>
      <c r="I5240" s="5"/>
      <c r="J5240" s="6" t="str">
        <f>IFERROR(__xludf.DUMMYFUNCTION("""COMPUTED_VALUE"""),"https://eitaa.com/aman59brj")</f>
        <v>https://eitaa.com/aman59brj</v>
      </c>
      <c r="K5240" s="5"/>
      <c r="L5240" s="5"/>
      <c r="M5240" s="5"/>
      <c r="N5240" s="5"/>
      <c r="O5240" s="5"/>
      <c r="P5240" s="5"/>
      <c r="Q5240" s="5"/>
      <c r="R5240" s="5"/>
      <c r="S5240" s="5"/>
    </row>
    <row r="5241">
      <c r="A5241" s="5">
        <f>IFERROR(__xludf.DUMMYFUNCTION("""COMPUTED_VALUE"""),24941.0)</f>
        <v>24941</v>
      </c>
      <c r="B5241" s="5" t="str">
        <f>IFERROR(__xludf.DUMMYFUNCTION("""COMPUTED_VALUE"""),"هیأت")</f>
        <v>هیأت</v>
      </c>
      <c r="C5241" s="5" t="str">
        <f>IFERROR(__xludf.DUMMYFUNCTION("""COMPUTED_VALUE"""),"منتظران المهدی (عج)")</f>
        <v>منتظران المهدی (عج)</v>
      </c>
      <c r="D5241" s="5" t="str">
        <f>IFERROR(__xludf.DUMMYFUNCTION("""COMPUTED_VALUE"""),"لرستان")</f>
        <v>لرستان</v>
      </c>
      <c r="E5241" s="5"/>
      <c r="F5241" s="5"/>
      <c r="G5241" s="5"/>
      <c r="H5241" s="6" t="str">
        <f>IFERROR(__xludf.DUMMYFUNCTION("""COMPUTED_VALUE"""),"https://www.instagram.com/heyat_montazeran313/")</f>
        <v>https://www.instagram.com/heyat_montazeran313/</v>
      </c>
      <c r="I5241" s="6" t="str">
        <f>IFERROR(__xludf.DUMMYFUNCTION("""COMPUTED_VALUE"""),"t.me/heyat_montazeran_alg")</f>
        <v>t.me/heyat_montazeran_alg</v>
      </c>
      <c r="J5241" s="5"/>
      <c r="K5241" s="5"/>
      <c r="L5241" s="5"/>
      <c r="M5241" s="5"/>
      <c r="N5241" s="5"/>
      <c r="O5241" s="5"/>
      <c r="P5241" s="5"/>
      <c r="Q5241" s="5"/>
      <c r="R5241" s="5"/>
      <c r="S5241" s="5"/>
    </row>
    <row r="5242">
      <c r="A5242" s="5">
        <f>IFERROR(__xludf.DUMMYFUNCTION("""COMPUTED_VALUE"""),22336.0)</f>
        <v>22336</v>
      </c>
      <c r="B5242" s="5" t="str">
        <f>IFERROR(__xludf.DUMMYFUNCTION("""COMPUTED_VALUE"""),"هیأت")</f>
        <v>هیأت</v>
      </c>
      <c r="C5242" s="5" t="str">
        <f>IFERROR(__xludf.DUMMYFUNCTION("""COMPUTED_VALUE"""),"مجمع حیدریون ارادتمندان به حضرت زهرا (س)")</f>
        <v>مجمع حیدریون ارادتمندان به حضرت زهرا (س)</v>
      </c>
      <c r="D5242" s="5" t="str">
        <f>IFERROR(__xludf.DUMMYFUNCTION("""COMPUTED_VALUE"""),"لرستان")</f>
        <v>لرستان</v>
      </c>
      <c r="E5242" s="5" t="str">
        <f>IFERROR(__xludf.DUMMYFUNCTION("""COMPUTED_VALUE"""),"الیگودرز")</f>
        <v>الیگودرز</v>
      </c>
      <c r="F5242" s="5"/>
      <c r="G5242" s="5"/>
      <c r="H5242" s="5"/>
      <c r="I5242" s="5"/>
      <c r="J5242" s="6" t="str">
        <f>IFERROR(__xludf.DUMMYFUNCTION("""COMPUTED_VALUE"""),"https://eitaa.com/majmaeheydarioon")</f>
        <v>https://eitaa.com/majmaeheydarioon</v>
      </c>
      <c r="K5242" s="5"/>
      <c r="L5242" s="5"/>
      <c r="M5242" s="5"/>
      <c r="N5242" s="5"/>
      <c r="O5242" s="5"/>
      <c r="P5242" s="5"/>
      <c r="Q5242" s="5"/>
      <c r="R5242" s="5"/>
      <c r="S5242" s="5"/>
    </row>
    <row r="5243">
      <c r="A5243" s="5">
        <f>IFERROR(__xludf.DUMMYFUNCTION("""COMPUTED_VALUE"""),19931.0)</f>
        <v>19931</v>
      </c>
      <c r="B5243" s="5" t="str">
        <f>IFERROR(__xludf.DUMMYFUNCTION("""COMPUTED_VALUE"""),"هیأت")</f>
        <v>هیأت</v>
      </c>
      <c r="C5243" s="5" t="str">
        <f>IFERROR(__xludf.DUMMYFUNCTION("""COMPUTED_VALUE"""),"فاطمیون")</f>
        <v>فاطمیون</v>
      </c>
      <c r="D5243" s="5" t="str">
        <f>IFERROR(__xludf.DUMMYFUNCTION("""COMPUTED_VALUE"""),"لرستان")</f>
        <v>لرستان</v>
      </c>
      <c r="E5243" s="5" t="str">
        <f>IFERROR(__xludf.DUMMYFUNCTION("""COMPUTED_VALUE"""),"خرم آباد")</f>
        <v>خرم آباد</v>
      </c>
      <c r="F5243" s="5"/>
      <c r="G5243" s="5"/>
      <c r="H5243" s="6" t="str">
        <f>IFERROR(__xludf.DUMMYFUNCTION("""COMPUTED_VALUE"""),"https://www.instagram.com/fatemiyon_khoramabad/")</f>
        <v>https://www.instagram.com/fatemiyon_khoramabad/</v>
      </c>
      <c r="I5243" s="6" t="str">
        <f>IFERROR(__xludf.DUMMYFUNCTION("""COMPUTED_VALUE"""),"t.me/fatemiyun_khorramabad")</f>
        <v>t.me/fatemiyun_khorramabad</v>
      </c>
      <c r="J5243" s="5"/>
      <c r="K5243" s="5"/>
      <c r="L5243" s="5"/>
      <c r="M5243" s="5"/>
      <c r="N5243" s="5"/>
      <c r="O5243" s="5"/>
      <c r="P5243" s="5"/>
      <c r="Q5243" s="5"/>
      <c r="R5243" s="5"/>
      <c r="S5243" s="5"/>
    </row>
    <row r="5244">
      <c r="A5244" s="5">
        <f>IFERROR(__xludf.DUMMYFUNCTION("""COMPUTED_VALUE"""),19929.0)</f>
        <v>19929</v>
      </c>
      <c r="B5244" s="5" t="str">
        <f>IFERROR(__xludf.DUMMYFUNCTION("""COMPUTED_VALUE"""),"هیأت")</f>
        <v>هیأت</v>
      </c>
      <c r="C5244" s="5" t="str">
        <f>IFERROR(__xludf.DUMMYFUNCTION("""COMPUTED_VALUE"""),"شهدای گمنام")</f>
        <v>شهدای گمنام</v>
      </c>
      <c r="D5244" s="5" t="str">
        <f>IFERROR(__xludf.DUMMYFUNCTION("""COMPUTED_VALUE"""),"لرستان")</f>
        <v>لرستان</v>
      </c>
      <c r="E5244" s="5" t="str">
        <f>IFERROR(__xludf.DUMMYFUNCTION("""COMPUTED_VALUE"""),"خرم آباد")</f>
        <v>خرم آباد</v>
      </c>
      <c r="F5244" s="5"/>
      <c r="G5244" s="5"/>
      <c r="H5244" s="5"/>
      <c r="I5244" s="5"/>
      <c r="J5244" s="6" t="str">
        <f>IFERROR(__xludf.DUMMYFUNCTION("""COMPUTED_VALUE"""),"https://eitaa.com/shohadagomnam_1398")</f>
        <v>https://eitaa.com/shohadagomnam_1398</v>
      </c>
      <c r="K5244" s="5"/>
      <c r="L5244" s="5"/>
      <c r="M5244" s="5"/>
      <c r="N5244" s="5"/>
      <c r="O5244" s="5"/>
      <c r="P5244" s="5"/>
      <c r="Q5244" s="5"/>
      <c r="R5244" s="5"/>
      <c r="S5244" s="5"/>
    </row>
    <row r="5245">
      <c r="A5245" s="5">
        <f>IFERROR(__xludf.DUMMYFUNCTION("""COMPUTED_VALUE"""),19907.0)</f>
        <v>19907</v>
      </c>
      <c r="B5245" s="5" t="str">
        <f>IFERROR(__xludf.DUMMYFUNCTION("""COMPUTED_VALUE"""),"هیأت")</f>
        <v>هیأت</v>
      </c>
      <c r="C5245" s="5" t="str">
        <f>IFERROR(__xludf.DUMMYFUNCTION("""COMPUTED_VALUE"""),"امام حسن عسکری(ع)")</f>
        <v>امام حسن عسکری(ع)</v>
      </c>
      <c r="D5245" s="5" t="str">
        <f>IFERROR(__xludf.DUMMYFUNCTION("""COMPUTED_VALUE"""),"لرستان")</f>
        <v>لرستان</v>
      </c>
      <c r="E5245" s="5" t="str">
        <f>IFERROR(__xludf.DUMMYFUNCTION("""COMPUTED_VALUE"""),"خرم آباد")</f>
        <v>خرم آباد</v>
      </c>
      <c r="F5245" s="5"/>
      <c r="G5245" s="5"/>
      <c r="H5245" s="5"/>
      <c r="I5245" s="5"/>
      <c r="J5245" s="6" t="str">
        <f>IFERROR(__xludf.DUMMYFUNCTION("""COMPUTED_VALUE"""),"https://eitaa.com/heiat_emamhasan_askari")</f>
        <v>https://eitaa.com/heiat_emamhasan_askari</v>
      </c>
      <c r="K5245" s="5"/>
      <c r="L5245" s="5"/>
      <c r="M5245" s="5"/>
      <c r="N5245" s="5"/>
      <c r="O5245" s="5"/>
      <c r="P5245" s="5"/>
      <c r="Q5245" s="5"/>
      <c r="R5245" s="5"/>
      <c r="S5245" s="5"/>
    </row>
    <row r="5246">
      <c r="A5246" s="5">
        <f>IFERROR(__xludf.DUMMYFUNCTION("""COMPUTED_VALUE"""),18239.0)</f>
        <v>18239</v>
      </c>
      <c r="B5246" s="5" t="str">
        <f>IFERROR(__xludf.DUMMYFUNCTION("""COMPUTED_VALUE"""),"هیأت")</f>
        <v>هیأت</v>
      </c>
      <c r="C5246" s="5" t="str">
        <f>IFERROR(__xludf.DUMMYFUNCTION("""COMPUTED_VALUE"""),"بیت الزهرا (س)")</f>
        <v>بیت الزهرا (س)</v>
      </c>
      <c r="D5246" s="5" t="str">
        <f>IFERROR(__xludf.DUMMYFUNCTION("""COMPUTED_VALUE"""),"لرستان")</f>
        <v>لرستان</v>
      </c>
      <c r="E5246" s="5" t="str">
        <f>IFERROR(__xludf.DUMMYFUNCTION("""COMPUTED_VALUE"""),"خرم آباد")</f>
        <v>خرم آباد</v>
      </c>
      <c r="F5246" s="5"/>
      <c r="G5246" s="5"/>
      <c r="H5246" s="5"/>
      <c r="I5246" s="5"/>
      <c r="J5246" s="6" t="str">
        <f>IFERROR(__xludf.DUMMYFUNCTION("""COMPUTED_VALUE"""),"https://eitaa.com/beyt_al_zahra_s")</f>
        <v>https://eitaa.com/beyt_al_zahra_s</v>
      </c>
      <c r="K5246" s="5"/>
      <c r="L5246" s="5"/>
      <c r="M5246" s="5"/>
      <c r="N5246" s="5"/>
      <c r="O5246" s="5"/>
      <c r="P5246" s="5"/>
      <c r="Q5246" s="5"/>
      <c r="R5246" s="5"/>
      <c r="S5246" s="5"/>
    </row>
    <row r="5247">
      <c r="A5247" s="5">
        <f>IFERROR(__xludf.DUMMYFUNCTION("""COMPUTED_VALUE"""),18237.0)</f>
        <v>18237</v>
      </c>
      <c r="B5247" s="5" t="str">
        <f>IFERROR(__xludf.DUMMYFUNCTION("""COMPUTED_VALUE"""),"هیأت")</f>
        <v>هیأت</v>
      </c>
      <c r="C5247" s="5" t="str">
        <f>IFERROR(__xludf.DUMMYFUNCTION("""COMPUTED_VALUE"""),"کریم اهل بیت(ع) (محفل بسیجیان و رهروان ولایت وشهدا)")</f>
        <v>کریم اهل بیت(ع) (محفل بسیجیان و رهروان ولایت وشهدا)</v>
      </c>
      <c r="D5247" s="5" t="str">
        <f>IFERROR(__xludf.DUMMYFUNCTION("""COMPUTED_VALUE"""),"لرستان")</f>
        <v>لرستان</v>
      </c>
      <c r="E5247" s="5" t="str">
        <f>IFERROR(__xludf.DUMMYFUNCTION("""COMPUTED_VALUE"""),"دورود")</f>
        <v>دورود</v>
      </c>
      <c r="F5247" s="5"/>
      <c r="G5247" s="5"/>
      <c r="H5247" s="5"/>
      <c r="I5247" s="5"/>
      <c r="J5247" s="6" t="str">
        <f>IFERROR(__xludf.DUMMYFUNCTION("""COMPUTED_VALUE"""),"https://ble.ir/h_karim_ahlebeit")</f>
        <v>https://ble.ir/h_karim_ahlebeit</v>
      </c>
      <c r="K5247" s="5"/>
      <c r="L5247" s="5"/>
      <c r="M5247" s="5"/>
      <c r="N5247" s="5"/>
      <c r="O5247" s="5"/>
      <c r="P5247" s="5"/>
      <c r="Q5247" s="5"/>
      <c r="R5247" s="5"/>
      <c r="S5247" s="5"/>
    </row>
    <row r="5248">
      <c r="A5248" s="5">
        <f>IFERROR(__xludf.DUMMYFUNCTION("""COMPUTED_VALUE"""),1823.0)</f>
        <v>1823</v>
      </c>
      <c r="B5248" s="5" t="str">
        <f>IFERROR(__xludf.DUMMYFUNCTION("""COMPUTED_VALUE"""),"هیأت")</f>
        <v>هیأت</v>
      </c>
      <c r="C5248" s="5" t="str">
        <f>IFERROR(__xludf.DUMMYFUNCTION("""COMPUTED_VALUE"""),"ریحانه النبی (س)")</f>
        <v>ریحانه النبی (س)</v>
      </c>
      <c r="D5248" s="5" t="str">
        <f>IFERROR(__xludf.DUMMYFUNCTION("""COMPUTED_VALUE"""),"لرستان")</f>
        <v>لرستان</v>
      </c>
      <c r="E5248" s="5" t="str">
        <f>IFERROR(__xludf.DUMMYFUNCTION("""COMPUTED_VALUE"""),"دورود")</f>
        <v>دورود</v>
      </c>
      <c r="F5248" s="5"/>
      <c r="G5248" s="5"/>
      <c r="H5248" s="6" t="str">
        <f>IFERROR(__xludf.DUMMYFUNCTION("""COMPUTED_VALUE"""),"https://www.instagram.com/info_rnd/")</f>
        <v>https://www.instagram.com/info_rnd/</v>
      </c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/>
    </row>
    <row r="5249">
      <c r="A5249" s="5">
        <f>IFERROR(__xludf.DUMMYFUNCTION("""COMPUTED_VALUE"""),18235.0)</f>
        <v>18235</v>
      </c>
      <c r="B5249" s="5" t="str">
        <f>IFERROR(__xludf.DUMMYFUNCTION("""COMPUTED_VALUE"""),"هیأت")</f>
        <v>هیأت</v>
      </c>
      <c r="C5249" s="5" t="str">
        <f>IFERROR(__xludf.DUMMYFUNCTION("""COMPUTED_VALUE"""),"رایت العباس (علیه السلام)")</f>
        <v>رایت العباس (علیه السلام)</v>
      </c>
      <c r="D5249" s="5" t="str">
        <f>IFERROR(__xludf.DUMMYFUNCTION("""COMPUTED_VALUE"""),"لرستان")</f>
        <v>لرستان</v>
      </c>
      <c r="E5249" s="5" t="str">
        <f>IFERROR(__xludf.DUMMYFUNCTION("""COMPUTED_VALUE"""),"پلدختر")</f>
        <v>پلدختر</v>
      </c>
      <c r="F5249" s="5"/>
      <c r="G5249" s="5"/>
      <c r="H5249" s="6" t="str">
        <f>IFERROR(__xludf.DUMMYFUNCTION("""COMPUTED_VALUE"""),"https://instagram.com/rayat_alabas_pol/")</f>
        <v>https://instagram.com/rayat_alabas_pol/</v>
      </c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</row>
    <row r="5250">
      <c r="A5250" s="5">
        <f>IFERROR(__xludf.DUMMYFUNCTION("""COMPUTED_VALUE"""),18230.0)</f>
        <v>18230</v>
      </c>
      <c r="B5250" s="5" t="str">
        <f>IFERROR(__xludf.DUMMYFUNCTION("""COMPUTED_VALUE"""),"هیأت")</f>
        <v>هیأت</v>
      </c>
      <c r="C5250" s="5" t="str">
        <f>IFERROR(__xludf.DUMMYFUNCTION("""COMPUTED_VALUE"""),"بنت الرسول(س)")</f>
        <v>بنت الرسول(س)</v>
      </c>
      <c r="D5250" s="5" t="str">
        <f>IFERROR(__xludf.DUMMYFUNCTION("""COMPUTED_VALUE"""),"لرستان")</f>
        <v>لرستان</v>
      </c>
      <c r="E5250" s="5" t="str">
        <f>IFERROR(__xludf.DUMMYFUNCTION("""COMPUTED_VALUE"""),"بروجرد")</f>
        <v>بروجرد</v>
      </c>
      <c r="F5250" s="5"/>
      <c r="G5250" s="5"/>
      <c r="H5250" s="6" t="str">
        <f>IFERROR(__xludf.DUMMYFUNCTION("""COMPUTED_VALUE"""),"https://www.instagram.com/bentolrasool/")</f>
        <v>https://www.instagram.com/bentolrasool/</v>
      </c>
      <c r="I5250" s="5"/>
      <c r="J5250" s="5"/>
      <c r="K5250" s="5"/>
      <c r="L5250" s="5"/>
      <c r="M5250" s="5"/>
      <c r="N5250" s="5"/>
      <c r="O5250" s="5"/>
      <c r="P5250" s="5"/>
      <c r="Q5250" s="5"/>
      <c r="R5250" s="5"/>
      <c r="S5250" s="5"/>
    </row>
    <row r="5251">
      <c r="A5251" s="5">
        <f>IFERROR(__xludf.DUMMYFUNCTION("""COMPUTED_VALUE"""),18229.0)</f>
        <v>18229</v>
      </c>
      <c r="B5251" s="5" t="str">
        <f>IFERROR(__xludf.DUMMYFUNCTION("""COMPUTED_VALUE"""),"هیأت")</f>
        <v>هیأت</v>
      </c>
      <c r="C5251" s="5" t="str">
        <f>IFERROR(__xludf.DUMMYFUNCTION("""COMPUTED_VALUE"""),"سیدالشهدا (ع)")</f>
        <v>سیدالشهدا (ع)</v>
      </c>
      <c r="D5251" s="5" t="str">
        <f>IFERROR(__xludf.DUMMYFUNCTION("""COMPUTED_VALUE"""),"لرستان")</f>
        <v>لرستان</v>
      </c>
      <c r="E5251" s="5" t="str">
        <f>IFERROR(__xludf.DUMMYFUNCTION("""COMPUTED_VALUE"""),"الیگودرز")</f>
        <v>الیگودرز</v>
      </c>
      <c r="F5251" s="5"/>
      <c r="G5251" s="5"/>
      <c r="H5251" s="6" t="str">
        <f>IFERROR(__xludf.DUMMYFUNCTION("""COMPUTED_VALUE"""),"https://www.instagram.com/seyedoshohadaaa/")</f>
        <v>https://www.instagram.com/seyedoshohadaaa/</v>
      </c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</row>
    <row r="5252">
      <c r="A5252" s="5">
        <f>IFERROR(__xludf.DUMMYFUNCTION("""COMPUTED_VALUE"""),18228.0)</f>
        <v>18228</v>
      </c>
      <c r="B5252" s="5" t="str">
        <f>IFERROR(__xludf.DUMMYFUNCTION("""COMPUTED_VALUE"""),"هیأت")</f>
        <v>هیأت</v>
      </c>
      <c r="C5252" s="5" t="str">
        <f>IFERROR(__xludf.DUMMYFUNCTION("""COMPUTED_VALUE"""),"عشاق الزهرا(س)")</f>
        <v>عشاق الزهرا(س)</v>
      </c>
      <c r="D5252" s="5" t="str">
        <f>IFERROR(__xludf.DUMMYFUNCTION("""COMPUTED_VALUE"""),"لرستان")</f>
        <v>لرستان</v>
      </c>
      <c r="E5252" s="5" t="str">
        <f>IFERROR(__xludf.DUMMYFUNCTION("""COMPUTED_VALUE"""),"الیگودرز")</f>
        <v>الیگودرز</v>
      </c>
      <c r="F5252" s="5"/>
      <c r="G5252" s="5"/>
      <c r="H5252" s="6" t="str">
        <f>IFERROR(__xludf.DUMMYFUNCTION("""COMPUTED_VALUE"""),"https://www.instagram.com/oshaghozahra_aligoodarz/")</f>
        <v>https://www.instagram.com/oshaghozahra_aligoodarz/</v>
      </c>
      <c r="I5252" s="5"/>
      <c r="J5252" s="5"/>
      <c r="K5252" s="5"/>
      <c r="L5252" s="5"/>
      <c r="M5252" s="5"/>
      <c r="N5252" s="5"/>
      <c r="O5252" s="5"/>
      <c r="P5252" s="5"/>
      <c r="Q5252" s="5"/>
      <c r="R5252" s="5"/>
      <c r="S5252" s="5"/>
    </row>
    <row r="5253">
      <c r="A5253" s="5">
        <f>IFERROR(__xludf.DUMMYFUNCTION("""COMPUTED_VALUE"""),18224.0)</f>
        <v>18224</v>
      </c>
      <c r="B5253" s="5" t="str">
        <f>IFERROR(__xludf.DUMMYFUNCTION("""COMPUTED_VALUE"""),"هیأت")</f>
        <v>هیأت</v>
      </c>
      <c r="C5253" s="5" t="str">
        <f>IFERROR(__xludf.DUMMYFUNCTION("""COMPUTED_VALUE"""),"حسینیه ثارالله(ع)")</f>
        <v>حسینیه ثارالله(ع)</v>
      </c>
      <c r="D5253" s="5" t="str">
        <f>IFERROR(__xludf.DUMMYFUNCTION("""COMPUTED_VALUE"""),"لرستان")</f>
        <v>لرستان</v>
      </c>
      <c r="E5253" s="5" t="str">
        <f>IFERROR(__xludf.DUMMYFUNCTION("""COMPUTED_VALUE"""),"نورآباد")</f>
        <v>نورآباد</v>
      </c>
      <c r="F5253" s="5"/>
      <c r="G5253" s="5"/>
      <c r="H5253" s="6" t="str">
        <f>IFERROR(__xludf.DUMMYFUNCTION("""COMPUTED_VALUE"""),"https://www.instagram.com/hoseiniehsaralah/")</f>
        <v>https://www.instagram.com/hoseiniehsaralah/</v>
      </c>
      <c r="I5253" s="5"/>
      <c r="J5253" s="5"/>
      <c r="K5253" s="5"/>
      <c r="L5253" s="5"/>
      <c r="M5253" s="5"/>
      <c r="N5253" s="5"/>
      <c r="O5253" s="5"/>
      <c r="P5253" s="5"/>
      <c r="Q5253" s="5"/>
      <c r="R5253" s="5"/>
      <c r="S5253" s="5"/>
    </row>
    <row r="5254">
      <c r="A5254" s="5">
        <f>IFERROR(__xludf.DUMMYFUNCTION("""COMPUTED_VALUE"""),14475.0)</f>
        <v>14475</v>
      </c>
      <c r="B5254" s="5" t="str">
        <f>IFERROR(__xludf.DUMMYFUNCTION("""COMPUTED_VALUE"""),"هیأت")</f>
        <v>هیأت</v>
      </c>
      <c r="C5254" s="5" t="str">
        <f>IFERROR(__xludf.DUMMYFUNCTION("""COMPUTED_VALUE"""),"انصارالمهدی (عج)")</f>
        <v>انصارالمهدی (عج)</v>
      </c>
      <c r="D5254" s="5" t="str">
        <f>IFERROR(__xludf.DUMMYFUNCTION("""COMPUTED_VALUE"""),"لرستان")</f>
        <v>لرستان</v>
      </c>
      <c r="E5254" s="5" t="str">
        <f>IFERROR(__xludf.DUMMYFUNCTION("""COMPUTED_VALUE"""),"ازنا")</f>
        <v>ازنا</v>
      </c>
      <c r="F5254" s="5"/>
      <c r="G5254" s="5"/>
      <c r="H5254" s="5"/>
      <c r="I5254" s="5"/>
      <c r="J5254" s="6" t="str">
        <f>IFERROR(__xludf.DUMMYFUNCTION("""COMPUTED_VALUE"""),"https://eitaa.com/ansarolmahdiazna")</f>
        <v>https://eitaa.com/ansarolmahdiazna</v>
      </c>
      <c r="K5254" s="5"/>
      <c r="L5254" s="5"/>
      <c r="M5254" s="5"/>
      <c r="N5254" s="5"/>
      <c r="O5254" s="5"/>
      <c r="P5254" s="5"/>
      <c r="Q5254" s="5"/>
      <c r="R5254" s="5"/>
      <c r="S5254" s="5"/>
    </row>
    <row r="5255">
      <c r="A5255" s="5">
        <f>IFERROR(__xludf.DUMMYFUNCTION("""COMPUTED_VALUE"""),14384.0)</f>
        <v>14384</v>
      </c>
      <c r="B5255" s="5" t="str">
        <f>IFERROR(__xludf.DUMMYFUNCTION("""COMPUTED_VALUE"""),"هیأت")</f>
        <v>هیأت</v>
      </c>
      <c r="C5255" s="5" t="str">
        <f>IFERROR(__xludf.DUMMYFUNCTION("""COMPUTED_VALUE"""),"رزمندگان اسلام")</f>
        <v>رزمندگان اسلام</v>
      </c>
      <c r="D5255" s="5" t="str">
        <f>IFERROR(__xludf.DUMMYFUNCTION("""COMPUTED_VALUE"""),"لرستان")</f>
        <v>لرستان</v>
      </c>
      <c r="E5255" s="5" t="str">
        <f>IFERROR(__xludf.DUMMYFUNCTION("""COMPUTED_VALUE"""),"نورآباد")</f>
        <v>نورآباد</v>
      </c>
      <c r="F5255" s="5"/>
      <c r="G5255" s="5"/>
      <c r="H5255" s="6" t="str">
        <f>IFERROR(__xludf.DUMMYFUNCTION("""COMPUTED_VALUE"""),"https://www.instagram.com/eheyat.mamasani.ir/")</f>
        <v>https://www.instagram.com/eheyat.mamasani.ir/</v>
      </c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</row>
    <row r="5256">
      <c r="A5256" s="5">
        <f>IFERROR(__xludf.DUMMYFUNCTION("""COMPUTED_VALUE"""),14290.0)</f>
        <v>14290</v>
      </c>
      <c r="B5256" s="5" t="str">
        <f>IFERROR(__xludf.DUMMYFUNCTION("""COMPUTED_VALUE"""),"هیأت")</f>
        <v>هیأت</v>
      </c>
      <c r="C5256" s="5" t="str">
        <f>IFERROR(__xludf.DUMMYFUNCTION("""COMPUTED_VALUE"""),"زوارالحسین(ع)")</f>
        <v>زوارالحسین(ع)</v>
      </c>
      <c r="D5256" s="5" t="str">
        <f>IFERROR(__xludf.DUMMYFUNCTION("""COMPUTED_VALUE"""),"لرستان")</f>
        <v>لرستان</v>
      </c>
      <c r="E5256" s="5" t="str">
        <f>IFERROR(__xludf.DUMMYFUNCTION("""COMPUTED_VALUE"""),"خرم آباد")</f>
        <v>خرم آباد</v>
      </c>
      <c r="F5256" s="5"/>
      <c r="G5256" s="5"/>
      <c r="H5256" s="6" t="str">
        <f>IFERROR(__xludf.DUMMYFUNCTION("""COMPUTED_VALUE"""),"https://www.instagram.com/zoovarolhosein128/")</f>
        <v>https://www.instagram.com/zoovarolhosein128/</v>
      </c>
      <c r="I5256" s="5"/>
      <c r="J5256" s="5"/>
      <c r="K5256" s="5"/>
      <c r="L5256" s="5"/>
      <c r="M5256" s="5"/>
      <c r="N5256" s="5"/>
      <c r="O5256" s="5"/>
      <c r="P5256" s="5"/>
      <c r="Q5256" s="5"/>
      <c r="R5256" s="5"/>
      <c r="S5256" s="5"/>
    </row>
    <row r="5257">
      <c r="A5257" s="5">
        <f>IFERROR(__xludf.DUMMYFUNCTION("""COMPUTED_VALUE"""),14247.0)</f>
        <v>14247</v>
      </c>
      <c r="B5257" s="5" t="str">
        <f>IFERROR(__xludf.DUMMYFUNCTION("""COMPUTED_VALUE"""),"هیأت")</f>
        <v>هیأت</v>
      </c>
      <c r="C5257" s="5" t="str">
        <f>IFERROR(__xludf.DUMMYFUNCTION("""COMPUTED_VALUE"""),"محفل شمع زینب (س)")</f>
        <v>محفل شمع زینب (س)</v>
      </c>
      <c r="D5257" s="5" t="str">
        <f>IFERROR(__xludf.DUMMYFUNCTION("""COMPUTED_VALUE"""),"لرستان")</f>
        <v>لرستان</v>
      </c>
      <c r="E5257" s="5" t="str">
        <f>IFERROR(__xludf.DUMMYFUNCTION("""COMPUTED_VALUE"""),"بروجرد")</f>
        <v>بروجرد</v>
      </c>
      <c r="F5257" s="5"/>
      <c r="G5257" s="5"/>
      <c r="H5257" s="5"/>
      <c r="I5257" s="5"/>
      <c r="J5257" s="6" t="str">
        <f>IFERROR(__xludf.DUMMYFUNCTION("""COMPUTED_VALUE"""),"https://eitaa.com/shamezeinab")</f>
        <v>https://eitaa.com/shamezeinab</v>
      </c>
      <c r="K5257" s="5"/>
      <c r="L5257" s="5"/>
      <c r="M5257" s="5"/>
      <c r="N5257" s="5"/>
      <c r="O5257" s="5"/>
      <c r="P5257" s="5"/>
      <c r="Q5257" s="5"/>
      <c r="R5257" s="5"/>
      <c r="S5257" s="5"/>
    </row>
    <row r="5258">
      <c r="A5258" s="5">
        <f>IFERROR(__xludf.DUMMYFUNCTION("""COMPUTED_VALUE"""),14189.0)</f>
        <v>14189</v>
      </c>
      <c r="B5258" s="5" t="str">
        <f>IFERROR(__xludf.DUMMYFUNCTION("""COMPUTED_VALUE"""),"هیأت")</f>
        <v>هیأت</v>
      </c>
      <c r="C5258" s="5" t="str">
        <f>IFERROR(__xludf.DUMMYFUNCTION("""COMPUTED_VALUE"""),"خادم العباس (ع)")</f>
        <v>خادم العباس (ع)</v>
      </c>
      <c r="D5258" s="5" t="str">
        <f>IFERROR(__xludf.DUMMYFUNCTION("""COMPUTED_VALUE"""),"لرستان")</f>
        <v>لرستان</v>
      </c>
      <c r="E5258" s="5" t="str">
        <f>IFERROR(__xludf.DUMMYFUNCTION("""COMPUTED_VALUE"""),"ازنا")</f>
        <v>ازنا</v>
      </c>
      <c r="F5258" s="5"/>
      <c r="G5258" s="5"/>
      <c r="H5258" s="6" t="str">
        <f>IFERROR(__xludf.DUMMYFUNCTION("""COMPUTED_VALUE"""),"https://www.instagram.com/heyat_khademolabbas_azna/")</f>
        <v>https://www.instagram.com/heyat_khademolabbas_azna/</v>
      </c>
      <c r="I5258" s="5"/>
      <c r="J5258" s="5"/>
      <c r="K5258" s="5"/>
      <c r="L5258" s="5"/>
      <c r="M5258" s="5"/>
      <c r="N5258" s="5"/>
      <c r="O5258" s="5"/>
      <c r="P5258" s="5"/>
      <c r="Q5258" s="5"/>
      <c r="R5258" s="5"/>
      <c r="S5258" s="5"/>
    </row>
    <row r="5259">
      <c r="A5259" s="5">
        <f>IFERROR(__xludf.DUMMYFUNCTION("""COMPUTED_VALUE"""),14127.0)</f>
        <v>14127</v>
      </c>
      <c r="B5259" s="5" t="str">
        <f>IFERROR(__xludf.DUMMYFUNCTION("""COMPUTED_VALUE"""),"هیأت")</f>
        <v>هیأت</v>
      </c>
      <c r="C5259" s="5" t="str">
        <f>IFERROR(__xludf.DUMMYFUNCTION("""COMPUTED_VALUE"""),"حضرت فاطمه الزهرا (س)")</f>
        <v>حضرت فاطمه الزهرا (س)</v>
      </c>
      <c r="D5259" s="5" t="str">
        <f>IFERROR(__xludf.DUMMYFUNCTION("""COMPUTED_VALUE"""),"لرستان")</f>
        <v>لرستان</v>
      </c>
      <c r="E5259" s="5" t="str">
        <f>IFERROR(__xludf.DUMMYFUNCTION("""COMPUTED_VALUE"""),"خرم آباد")</f>
        <v>خرم آباد</v>
      </c>
      <c r="F5259" s="5"/>
      <c r="G5259" s="5"/>
      <c r="H5259" s="6" t="str">
        <f>IFERROR(__xludf.DUMMYFUNCTION("""COMPUTED_VALUE"""),"https://www.instagram.com/heiatefatemehzahraa/")</f>
        <v>https://www.instagram.com/heiatefatemehzahraa/</v>
      </c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</row>
    <row r="5260">
      <c r="A5260" s="5">
        <f>IFERROR(__xludf.DUMMYFUNCTION("""COMPUTED_VALUE"""),14118.0)</f>
        <v>14118</v>
      </c>
      <c r="B5260" s="5" t="str">
        <f>IFERROR(__xludf.DUMMYFUNCTION("""COMPUTED_VALUE"""),"هیأت")</f>
        <v>هیأت</v>
      </c>
      <c r="C5260" s="5" t="str">
        <f>IFERROR(__xludf.DUMMYFUNCTION("""COMPUTED_VALUE"""),"عاشقان ثارالله(ع) / بسیج ایثار")</f>
        <v>عاشقان ثارالله(ع) / بسیج ایثار</v>
      </c>
      <c r="D5260" s="5" t="str">
        <f>IFERROR(__xludf.DUMMYFUNCTION("""COMPUTED_VALUE"""),"لرستان")</f>
        <v>لرستان</v>
      </c>
      <c r="E5260" s="5" t="str">
        <f>IFERROR(__xludf.DUMMYFUNCTION("""COMPUTED_VALUE"""),"بروجرد")</f>
        <v>بروجرد</v>
      </c>
      <c r="F5260" s="5"/>
      <c r="G5260" s="5"/>
      <c r="H5260" s="6" t="str">
        <f>IFERROR(__xludf.DUMMYFUNCTION("""COMPUTED_VALUE"""),"https://www.instagram.com/asheghane_sarallah_boroujerd/")</f>
        <v>https://www.instagram.com/asheghane_sarallah_boroujerd/</v>
      </c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</row>
    <row r="5261">
      <c r="A5261" s="5">
        <f>IFERROR(__xludf.DUMMYFUNCTION("""COMPUTED_VALUE"""),14115.0)</f>
        <v>14115</v>
      </c>
      <c r="B5261" s="5" t="str">
        <f>IFERROR(__xludf.DUMMYFUNCTION("""COMPUTED_VALUE"""),"هیأت")</f>
        <v>هیأت</v>
      </c>
      <c r="C5261" s="5" t="str">
        <f>IFERROR(__xludf.DUMMYFUNCTION("""COMPUTED_VALUE"""),"یالثارات الحسین (ع)")</f>
        <v>یالثارات الحسین (ع)</v>
      </c>
      <c r="D5261" s="5" t="str">
        <f>IFERROR(__xludf.DUMMYFUNCTION("""COMPUTED_VALUE"""),"لرستان")</f>
        <v>لرستان</v>
      </c>
      <c r="E5261" s="5" t="str">
        <f>IFERROR(__xludf.DUMMYFUNCTION("""COMPUTED_VALUE"""),"دورود")</f>
        <v>دورود</v>
      </c>
      <c r="F5261" s="5"/>
      <c r="G5261" s="5"/>
      <c r="H5261" s="6" t="str">
        <f>IFERROR(__xludf.DUMMYFUNCTION("""COMPUTED_VALUE"""),"https://www.instagram.com/yaletharat_dorod/")</f>
        <v>https://www.instagram.com/yaletharat_dorod/</v>
      </c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</row>
    <row r="5262">
      <c r="A5262" s="5">
        <f>IFERROR(__xludf.DUMMYFUNCTION("""COMPUTED_VALUE"""),14084.0)</f>
        <v>14084</v>
      </c>
      <c r="B5262" s="5" t="str">
        <f>IFERROR(__xludf.DUMMYFUNCTION("""COMPUTED_VALUE"""),"هیأت")</f>
        <v>هیأت</v>
      </c>
      <c r="C5262" s="5" t="str">
        <f>IFERROR(__xludf.DUMMYFUNCTION("""COMPUTED_VALUE"""),"علمدار")</f>
        <v>علمدار</v>
      </c>
      <c r="D5262" s="5" t="str">
        <f>IFERROR(__xludf.DUMMYFUNCTION("""COMPUTED_VALUE"""),"لرستان")</f>
        <v>لرستان</v>
      </c>
      <c r="E5262" s="5" t="str">
        <f>IFERROR(__xludf.DUMMYFUNCTION("""COMPUTED_VALUE"""),"الیگودرز")</f>
        <v>الیگودرز</v>
      </c>
      <c r="F5262" s="5"/>
      <c r="G5262" s="5"/>
      <c r="H5262" s="6" t="str">
        <f>IFERROR(__xludf.DUMMYFUNCTION("""COMPUTED_VALUE"""),"https://www.instagram.com/heyaat_alamdar/")</f>
        <v>https://www.instagram.com/heyaat_alamdar/</v>
      </c>
      <c r="I5262" s="6" t="str">
        <f>IFERROR(__xludf.DUMMYFUNCTION("""COMPUTED_VALUE"""),"telegram.me/heyatalamdar")</f>
        <v>telegram.me/heyatalamdar</v>
      </c>
      <c r="J5262" s="5"/>
      <c r="K5262" s="5"/>
      <c r="L5262" s="5"/>
      <c r="M5262" s="5"/>
      <c r="N5262" s="5"/>
      <c r="O5262" s="5"/>
      <c r="P5262" s="5"/>
      <c r="Q5262" s="5"/>
      <c r="R5262" s="5"/>
      <c r="S5262" s="5"/>
    </row>
    <row r="5263">
      <c r="A5263" s="5">
        <f>IFERROR(__xludf.DUMMYFUNCTION("""COMPUTED_VALUE"""),14083.0)</f>
        <v>14083</v>
      </c>
      <c r="B5263" s="5" t="str">
        <f>IFERROR(__xludf.DUMMYFUNCTION("""COMPUTED_VALUE"""),"هیأت")</f>
        <v>هیأت</v>
      </c>
      <c r="C5263" s="5" t="str">
        <f>IFERROR(__xludf.DUMMYFUNCTION("""COMPUTED_VALUE"""),"حضرت یوسف زهرا (عج)")</f>
        <v>حضرت یوسف زهرا (عج)</v>
      </c>
      <c r="D5263" s="5" t="str">
        <f>IFERROR(__xludf.DUMMYFUNCTION("""COMPUTED_VALUE"""),"لرستان")</f>
        <v>لرستان</v>
      </c>
      <c r="E5263" s="5" t="str">
        <f>IFERROR(__xludf.DUMMYFUNCTION("""COMPUTED_VALUE"""),"خرم اباد")</f>
        <v>خرم اباد</v>
      </c>
      <c r="F5263" s="5"/>
      <c r="G5263" s="5"/>
      <c r="H5263" s="5"/>
      <c r="I5263" s="5"/>
      <c r="J5263" s="6" t="str">
        <f>IFERROR(__xludf.DUMMYFUNCTION("""COMPUTED_VALUE"""),"https://eitaa.com/yousofezahra_ir")</f>
        <v>https://eitaa.com/yousofezahra_ir</v>
      </c>
      <c r="K5263" s="5"/>
      <c r="L5263" s="5"/>
      <c r="M5263" s="5"/>
      <c r="N5263" s="5"/>
      <c r="O5263" s="5"/>
      <c r="P5263" s="5"/>
      <c r="Q5263" s="5"/>
      <c r="R5263" s="5"/>
      <c r="S5263" s="5"/>
    </row>
    <row r="5264">
      <c r="A5264" s="5">
        <f>IFERROR(__xludf.DUMMYFUNCTION("""COMPUTED_VALUE"""),14066.0)</f>
        <v>14066</v>
      </c>
      <c r="B5264" s="5" t="str">
        <f>IFERROR(__xludf.DUMMYFUNCTION("""COMPUTED_VALUE"""),"هیأت")</f>
        <v>هیأت</v>
      </c>
      <c r="C5264" s="5" t="str">
        <f>IFERROR(__xludf.DUMMYFUNCTION("""COMPUTED_VALUE"""),"یاوران مهدی فاطمه (عج)")</f>
        <v>یاوران مهدی فاطمه (عج)</v>
      </c>
      <c r="D5264" s="5" t="str">
        <f>IFERROR(__xludf.DUMMYFUNCTION("""COMPUTED_VALUE"""),"لرستان")</f>
        <v>لرستان</v>
      </c>
      <c r="E5264" s="5" t="str">
        <f>IFERROR(__xludf.DUMMYFUNCTION("""COMPUTED_VALUE"""),"خرم آباد")</f>
        <v>خرم آباد</v>
      </c>
      <c r="F5264" s="5"/>
      <c r="G5264" s="5"/>
      <c r="H5264" s="6" t="str">
        <f>IFERROR(__xludf.DUMMYFUNCTION("""COMPUTED_VALUE"""),"https://www.instagram.com/yavaranmahdi59/ ")</f>
        <v>https://www.instagram.com/yavaranmahdi59/ </v>
      </c>
      <c r="I5264" s="5"/>
      <c r="J5264" s="5"/>
      <c r="K5264" s="5"/>
      <c r="L5264" s="5"/>
      <c r="M5264" s="5"/>
      <c r="N5264" s="5"/>
      <c r="O5264" s="5"/>
      <c r="P5264" s="5"/>
      <c r="Q5264" s="5"/>
      <c r="R5264" s="5"/>
      <c r="S5264" s="5"/>
    </row>
    <row r="5265">
      <c r="A5265" s="5">
        <f>IFERROR(__xludf.DUMMYFUNCTION("""COMPUTED_VALUE"""),14064.0)</f>
        <v>14064</v>
      </c>
      <c r="B5265" s="5" t="str">
        <f>IFERROR(__xludf.DUMMYFUNCTION("""COMPUTED_VALUE"""),"هیأت")</f>
        <v>هیأت</v>
      </c>
      <c r="C5265" s="5" t="str">
        <f>IFERROR(__xludf.DUMMYFUNCTION("""COMPUTED_VALUE"""),"مساکین الزهرا (س)")</f>
        <v>مساکین الزهرا (س)</v>
      </c>
      <c r="D5265" s="5" t="str">
        <f>IFERROR(__xludf.DUMMYFUNCTION("""COMPUTED_VALUE"""),"لرستان")</f>
        <v>لرستان</v>
      </c>
      <c r="E5265" s="5" t="str">
        <f>IFERROR(__xludf.DUMMYFUNCTION("""COMPUTED_VALUE"""),"خرم آباد")</f>
        <v>خرم آباد</v>
      </c>
      <c r="F5265" s="5"/>
      <c r="G5265" s="5"/>
      <c r="H5265" s="5"/>
      <c r="I5265" s="5"/>
      <c r="J5265" s="6" t="str">
        <f>IFERROR(__xludf.DUMMYFUNCTION("""COMPUTED_VALUE"""),"https://eitaa.com/masakin_alzahra")</f>
        <v>https://eitaa.com/masakin_alzahra</v>
      </c>
      <c r="K5265" s="5"/>
      <c r="L5265" s="5"/>
      <c r="M5265" s="5"/>
      <c r="N5265" s="5"/>
      <c r="O5265" s="5"/>
      <c r="P5265" s="5"/>
      <c r="Q5265" s="5"/>
      <c r="R5265" s="5"/>
      <c r="S5265" s="5"/>
    </row>
    <row r="5266">
      <c r="A5266" s="5">
        <f>IFERROR(__xludf.DUMMYFUNCTION("""COMPUTED_VALUE"""),14063.0)</f>
        <v>14063</v>
      </c>
      <c r="B5266" s="5" t="str">
        <f>IFERROR(__xludf.DUMMYFUNCTION("""COMPUTED_VALUE"""),"هیأت")</f>
        <v>هیأت</v>
      </c>
      <c r="C5266" s="5" t="str">
        <f>IFERROR(__xludf.DUMMYFUNCTION("""COMPUTED_VALUE"""),"کریم اهل بیت (ع)")</f>
        <v>کریم اهل بیت (ع)</v>
      </c>
      <c r="D5266" s="5" t="str">
        <f>IFERROR(__xludf.DUMMYFUNCTION("""COMPUTED_VALUE"""),"لرستان")</f>
        <v>لرستان</v>
      </c>
      <c r="E5266" s="5" t="str">
        <f>IFERROR(__xludf.DUMMYFUNCTION("""COMPUTED_VALUE"""),"خرم آباد")</f>
        <v>خرم آباد</v>
      </c>
      <c r="F5266" s="5"/>
      <c r="G5266" s="5"/>
      <c r="H5266" s="6" t="str">
        <f>IFERROR(__xludf.DUMMYFUNCTION("""COMPUTED_VALUE"""),"https://www.instagram.com/karimeahlebet86/")</f>
        <v>https://www.instagram.com/karimeahlebet86/</v>
      </c>
      <c r="I5266" s="5"/>
      <c r="J5266" s="5"/>
      <c r="K5266" s="5"/>
      <c r="L5266" s="5"/>
      <c r="M5266" s="5"/>
      <c r="N5266" s="5"/>
      <c r="O5266" s="5"/>
      <c r="P5266" s="5"/>
      <c r="Q5266" s="5"/>
      <c r="R5266" s="5"/>
      <c r="S5266" s="5"/>
    </row>
    <row r="5267">
      <c r="A5267" s="5">
        <f>IFERROR(__xludf.DUMMYFUNCTION("""COMPUTED_VALUE"""),14058.0)</f>
        <v>14058</v>
      </c>
      <c r="B5267" s="5" t="str">
        <f>IFERROR(__xludf.DUMMYFUNCTION("""COMPUTED_VALUE"""),"هیأت")</f>
        <v>هیأت</v>
      </c>
      <c r="C5267" s="5" t="str">
        <f>IFERROR(__xludf.DUMMYFUNCTION("""COMPUTED_VALUE"""),"محبین امام حسن مجتبی (ع)")</f>
        <v>محبین امام حسن مجتبی (ع)</v>
      </c>
      <c r="D5267" s="5" t="str">
        <f>IFERROR(__xludf.DUMMYFUNCTION("""COMPUTED_VALUE"""),"لرستان")</f>
        <v>لرستان</v>
      </c>
      <c r="E5267" s="5" t="str">
        <f>IFERROR(__xludf.DUMMYFUNCTION("""COMPUTED_VALUE"""),"خرم آباد")</f>
        <v>خرم آباد</v>
      </c>
      <c r="F5267" s="5"/>
      <c r="G5267" s="5"/>
      <c r="H5267" s="6" t="str">
        <f>IFERROR(__xludf.DUMMYFUNCTION("""COMPUTED_VALUE"""),"https://www.instagram.com/mohebin.emamhasan/")</f>
        <v>https://www.instagram.com/mohebin.emamhasan/</v>
      </c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</row>
    <row r="5268">
      <c r="A5268" s="5">
        <f>IFERROR(__xludf.DUMMYFUNCTION("""COMPUTED_VALUE"""),14050.0)</f>
        <v>14050</v>
      </c>
      <c r="B5268" s="5" t="str">
        <f>IFERROR(__xludf.DUMMYFUNCTION("""COMPUTED_VALUE"""),"هیأت")</f>
        <v>هیأت</v>
      </c>
      <c r="C5268" s="5" t="str">
        <f>IFERROR(__xludf.DUMMYFUNCTION("""COMPUTED_VALUE"""),"انصارالحسین(ع) مسجد جامع")</f>
        <v>انصارالحسین(ع) مسجد جامع</v>
      </c>
      <c r="D5268" s="5" t="str">
        <f>IFERROR(__xludf.DUMMYFUNCTION("""COMPUTED_VALUE"""),"لرستان")</f>
        <v>لرستان</v>
      </c>
      <c r="E5268" s="5" t="str">
        <f>IFERROR(__xludf.DUMMYFUNCTION("""COMPUTED_VALUE"""),"کوهدشت")</f>
        <v>کوهدشت</v>
      </c>
      <c r="F5268" s="5"/>
      <c r="G5268" s="5"/>
      <c r="H5268" s="5"/>
      <c r="I5268" s="5"/>
      <c r="J5268" s="6" t="str">
        <f>IFERROR(__xludf.DUMMYFUNCTION("""COMPUTED_VALUE"""),"https://eitaa.com/ansarolhosein5711")</f>
        <v>https://eitaa.com/ansarolhosein5711</v>
      </c>
      <c r="K5268" s="5"/>
      <c r="L5268" s="5"/>
      <c r="M5268" s="5"/>
      <c r="N5268" s="5"/>
      <c r="O5268" s="5"/>
      <c r="P5268" s="5"/>
      <c r="Q5268" s="5"/>
      <c r="R5268" s="5"/>
      <c r="S5268" s="5"/>
    </row>
    <row r="5269">
      <c r="A5269" s="5">
        <f>IFERROR(__xludf.DUMMYFUNCTION("""COMPUTED_VALUE"""),14037.0)</f>
        <v>14037</v>
      </c>
      <c r="B5269" s="5" t="str">
        <f>IFERROR(__xludf.DUMMYFUNCTION("""COMPUTED_VALUE"""),"هیأت")</f>
        <v>هیأت</v>
      </c>
      <c r="C5269" s="5" t="str">
        <f>IFERROR(__xludf.DUMMYFUNCTION("""COMPUTED_VALUE"""),"نورالشهدا")</f>
        <v>نورالشهدا</v>
      </c>
      <c r="D5269" s="5" t="str">
        <f>IFERROR(__xludf.DUMMYFUNCTION("""COMPUTED_VALUE"""),"لرستان")</f>
        <v>لرستان</v>
      </c>
      <c r="E5269" s="5" t="str">
        <f>IFERROR(__xludf.DUMMYFUNCTION("""COMPUTED_VALUE"""),"خرم اباد")</f>
        <v>خرم اباد</v>
      </c>
      <c r="F5269" s="5"/>
      <c r="G5269" s="5"/>
      <c r="H5269" s="6" t="str">
        <f>IFERROR(__xludf.DUMMYFUNCTION("""COMPUTED_VALUE"""),"https://www.instagram.com/nooralshohada_31/")</f>
        <v>https://www.instagram.com/nooralshohada_31/</v>
      </c>
      <c r="I5269" s="5"/>
      <c r="J5269" s="5"/>
      <c r="K5269" s="5"/>
      <c r="L5269" s="5"/>
      <c r="M5269" s="5"/>
      <c r="N5269" s="5"/>
      <c r="O5269" s="5"/>
      <c r="P5269" s="5"/>
      <c r="Q5269" s="5"/>
      <c r="R5269" s="5"/>
      <c r="S5269" s="5"/>
    </row>
    <row r="5270">
      <c r="A5270" s="5">
        <f>IFERROR(__xludf.DUMMYFUNCTION("""COMPUTED_VALUE"""),14014.0)</f>
        <v>14014</v>
      </c>
      <c r="B5270" s="5" t="str">
        <f>IFERROR(__xludf.DUMMYFUNCTION("""COMPUTED_VALUE"""),"هیأت")</f>
        <v>هیأت</v>
      </c>
      <c r="C5270" s="5" t="str">
        <f>IFERROR(__xludf.DUMMYFUNCTION("""COMPUTED_VALUE"""),"امیرالمومنین(ع)")</f>
        <v>امیرالمومنین(ع)</v>
      </c>
      <c r="D5270" s="5" t="str">
        <f>IFERROR(__xludf.DUMMYFUNCTION("""COMPUTED_VALUE"""),"لرستان")</f>
        <v>لرستان</v>
      </c>
      <c r="E5270" s="5" t="str">
        <f>IFERROR(__xludf.DUMMYFUNCTION("""COMPUTED_VALUE"""),"الیگودرز")</f>
        <v>الیگودرز</v>
      </c>
      <c r="F5270" s="5"/>
      <c r="G5270" s="5"/>
      <c r="H5270" s="6" t="str">
        <f>IFERROR(__xludf.DUMMYFUNCTION("""COMPUTED_VALUE"""),"https://www.instagram.com/heiat_amir/")</f>
        <v>https://www.instagram.com/heiat_amir/</v>
      </c>
      <c r="I5270" s="5"/>
      <c r="J5270" s="5"/>
      <c r="K5270" s="5"/>
      <c r="L5270" s="5"/>
      <c r="M5270" s="5"/>
      <c r="N5270" s="5"/>
      <c r="O5270" s="5"/>
      <c r="P5270" s="5"/>
      <c r="Q5270" s="5"/>
      <c r="R5270" s="5"/>
      <c r="S5270" s="5"/>
    </row>
    <row r="5271">
      <c r="A5271" s="5">
        <f>IFERROR(__xludf.DUMMYFUNCTION("""COMPUTED_VALUE"""),14013.0)</f>
        <v>14013</v>
      </c>
      <c r="B5271" s="5" t="str">
        <f>IFERROR(__xludf.DUMMYFUNCTION("""COMPUTED_VALUE"""),"هیأت")</f>
        <v>هیأت</v>
      </c>
      <c r="C5271" s="5" t="str">
        <f>IFERROR(__xludf.DUMMYFUNCTION("""COMPUTED_VALUE"""),"آل یاسین")</f>
        <v>آل یاسین</v>
      </c>
      <c r="D5271" s="5" t="str">
        <f>IFERROR(__xludf.DUMMYFUNCTION("""COMPUTED_VALUE"""),"لرستان")</f>
        <v>لرستان</v>
      </c>
      <c r="E5271" s="5" t="str">
        <f>IFERROR(__xludf.DUMMYFUNCTION("""COMPUTED_VALUE"""),"الیگودرز")</f>
        <v>الیگودرز</v>
      </c>
      <c r="F5271" s="5"/>
      <c r="G5271" s="5"/>
      <c r="H5271" s="6" t="str">
        <f>IFERROR(__xludf.DUMMYFUNCTION("""COMPUTED_VALUE"""),"https://www.instagram.com/Aleya30n/")</f>
        <v>https://www.instagram.com/Aleya30n/</v>
      </c>
      <c r="I5271" s="6" t="str">
        <f>IFERROR(__xludf.DUMMYFUNCTION("""COMPUTED_VALUE"""),"tlgrm.me//aleya30n")</f>
        <v>tlgrm.me//aleya30n</v>
      </c>
      <c r="J5271" s="5"/>
      <c r="K5271" s="5"/>
      <c r="L5271" s="5"/>
      <c r="M5271" s="5"/>
      <c r="N5271" s="5"/>
      <c r="O5271" s="5"/>
      <c r="P5271" s="5"/>
      <c r="Q5271" s="5"/>
      <c r="R5271" s="5"/>
      <c r="S5271" s="5"/>
    </row>
    <row r="5272">
      <c r="A5272" s="5">
        <f>IFERROR(__xludf.DUMMYFUNCTION("""COMPUTED_VALUE"""),14007.0)</f>
        <v>14007</v>
      </c>
      <c r="B5272" s="5" t="str">
        <f>IFERROR(__xludf.DUMMYFUNCTION("""COMPUTED_VALUE"""),"هیأت")</f>
        <v>هیأت</v>
      </c>
      <c r="C5272" s="5" t="str">
        <f>IFERROR(__xludf.DUMMYFUNCTION("""COMPUTED_VALUE"""),"محبین آل یاسین")</f>
        <v>محبین آل یاسین</v>
      </c>
      <c r="D5272" s="5" t="str">
        <f>IFERROR(__xludf.DUMMYFUNCTION("""COMPUTED_VALUE"""),"لرستان")</f>
        <v>لرستان</v>
      </c>
      <c r="E5272" s="5" t="str">
        <f>IFERROR(__xludf.DUMMYFUNCTION("""COMPUTED_VALUE"""),"بروجرد")</f>
        <v>بروجرد</v>
      </c>
      <c r="F5272" s="5"/>
      <c r="G5272" s="5"/>
      <c r="H5272" s="5"/>
      <c r="I5272" s="5"/>
      <c r="J5272" s="6" t="str">
        <f>IFERROR(__xludf.DUMMYFUNCTION("""COMPUTED_VALUE"""),"https://eitaa.com/mohebin_ale_yassin")</f>
        <v>https://eitaa.com/mohebin_ale_yassin</v>
      </c>
      <c r="K5272" s="5"/>
      <c r="L5272" s="5"/>
      <c r="M5272" s="5"/>
      <c r="N5272" s="5"/>
      <c r="O5272" s="5"/>
      <c r="P5272" s="5"/>
      <c r="Q5272" s="5"/>
      <c r="R5272" s="5"/>
      <c r="S5272" s="5"/>
    </row>
    <row r="5273">
      <c r="A5273" s="5">
        <f>IFERROR(__xludf.DUMMYFUNCTION("""COMPUTED_VALUE"""),13996.0)</f>
        <v>13996</v>
      </c>
      <c r="B5273" s="5" t="str">
        <f>IFERROR(__xludf.DUMMYFUNCTION("""COMPUTED_VALUE"""),"هیأت")</f>
        <v>هیأت</v>
      </c>
      <c r="C5273" s="5" t="str">
        <f>IFERROR(__xludf.DUMMYFUNCTION("""COMPUTED_VALUE"""),"شهدای گمنام / عاشقان عاشورا")</f>
        <v>شهدای گمنام / عاشقان عاشورا</v>
      </c>
      <c r="D5273" s="5" t="str">
        <f>IFERROR(__xludf.DUMMYFUNCTION("""COMPUTED_VALUE"""),"لرستان")</f>
        <v>لرستان</v>
      </c>
      <c r="E5273" s="5" t="str">
        <f>IFERROR(__xludf.DUMMYFUNCTION("""COMPUTED_VALUE"""),"بروجرد")</f>
        <v>بروجرد</v>
      </c>
      <c r="F5273" s="5"/>
      <c r="G5273" s="5"/>
      <c r="H5273" s="6" t="str">
        <f>IFERROR(__xludf.DUMMYFUNCTION("""COMPUTED_VALUE"""),"https://www.instagram.com/asheghaneashora_1374/")</f>
        <v>https://www.instagram.com/asheghaneashora_1374/</v>
      </c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</row>
    <row r="5274">
      <c r="A5274" s="5">
        <f>IFERROR(__xludf.DUMMYFUNCTION("""COMPUTED_VALUE"""),13985.0)</f>
        <v>13985</v>
      </c>
      <c r="B5274" s="5" t="str">
        <f>IFERROR(__xludf.DUMMYFUNCTION("""COMPUTED_VALUE"""),"هیأت")</f>
        <v>هیأت</v>
      </c>
      <c r="C5274" s="5" t="str">
        <f>IFERROR(__xludf.DUMMYFUNCTION("""COMPUTED_VALUE"""),"فاطمیون")</f>
        <v>فاطمیون</v>
      </c>
      <c r="D5274" s="5" t="str">
        <f>IFERROR(__xludf.DUMMYFUNCTION("""COMPUTED_VALUE"""),"لرستان")</f>
        <v>لرستان</v>
      </c>
      <c r="E5274" s="5" t="str">
        <f>IFERROR(__xludf.DUMMYFUNCTION("""COMPUTED_VALUE"""),"نورآباد")</f>
        <v>نورآباد</v>
      </c>
      <c r="F5274" s="5"/>
      <c r="G5274" s="5"/>
      <c r="H5274" s="6" t="str">
        <f>IFERROR(__xludf.DUMMYFUNCTION("""COMPUTED_VALUE"""),"https://www.instagram.com/kheimeh_fatemiyon/")</f>
        <v>https://www.instagram.com/kheimeh_fatemiyon/</v>
      </c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</row>
    <row r="5275">
      <c r="A5275" s="5">
        <f>IFERROR(__xludf.DUMMYFUNCTION("""COMPUTED_VALUE"""),13984.0)</f>
        <v>13984</v>
      </c>
      <c r="B5275" s="5" t="str">
        <f>IFERROR(__xludf.DUMMYFUNCTION("""COMPUTED_VALUE"""),"هیأت")</f>
        <v>هیأت</v>
      </c>
      <c r="C5275" s="5" t="str">
        <f>IFERROR(__xludf.DUMMYFUNCTION("""COMPUTED_VALUE"""),"محبین اهل ‌بیت (ع)")</f>
        <v>محبین اهل ‌بیت (ع)</v>
      </c>
      <c r="D5275" s="5" t="str">
        <f>IFERROR(__xludf.DUMMYFUNCTION("""COMPUTED_VALUE"""),"لرستان")</f>
        <v>لرستان</v>
      </c>
      <c r="E5275" s="5" t="str">
        <f>IFERROR(__xludf.DUMMYFUNCTION("""COMPUTED_VALUE"""),"نورآباد")</f>
        <v>نورآباد</v>
      </c>
      <c r="F5275" s="5"/>
      <c r="G5275" s="5"/>
      <c r="H5275" s="5"/>
      <c r="I5275" s="5"/>
      <c r="J5275" s="6" t="str">
        <f>IFERROR(__xludf.DUMMYFUNCTION("""COMPUTED_VALUE"""),"https://eitaa.com/heyatmohebindelfan")</f>
        <v>https://eitaa.com/heyatmohebindelfan</v>
      </c>
      <c r="K5275" s="5"/>
      <c r="L5275" s="5"/>
      <c r="M5275" s="5"/>
      <c r="N5275" s="5"/>
      <c r="O5275" s="5"/>
      <c r="P5275" s="5"/>
      <c r="Q5275" s="5"/>
      <c r="R5275" s="5"/>
      <c r="S5275" s="5"/>
    </row>
    <row r="5276">
      <c r="A5276" s="5"/>
      <c r="B5276" s="5" t="str">
        <f>IFERROR(__xludf.DUMMYFUNCTION("""COMPUTED_VALUE"""),"هیأت")</f>
        <v>هیأت</v>
      </c>
      <c r="C5276" s="5" t="str">
        <f>IFERROR(__xludf.DUMMYFUNCTION("""COMPUTED_VALUE"""),"محفل عشاق العباس (ع)")</f>
        <v>محفل عشاق العباس (ع)</v>
      </c>
      <c r="D5276" s="5" t="str">
        <f>IFERROR(__xludf.DUMMYFUNCTION("""COMPUTED_VALUE"""),"لرستان")</f>
        <v>لرستان</v>
      </c>
      <c r="E5276" s="5" t="str">
        <f>IFERROR(__xludf.DUMMYFUNCTION("""COMPUTED_VALUE"""),"بروجرد")</f>
        <v>بروجرد</v>
      </c>
      <c r="F5276" s="5"/>
      <c r="G5276" s="5"/>
      <c r="H5276" s="6" t="str">
        <f>IFERROR(__xludf.DUMMYFUNCTION("""COMPUTED_VALUE"""),"https://www.instagram.com/oshaghabbas_brj/")</f>
        <v>https://www.instagram.com/oshaghabbas_brj/</v>
      </c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</row>
    <row r="5277">
      <c r="A5277" s="5"/>
      <c r="B5277" s="5" t="str">
        <f>IFERROR(__xludf.DUMMYFUNCTION("""COMPUTED_VALUE"""),"هیأت")</f>
        <v>هیأت</v>
      </c>
      <c r="C5277" s="5" t="str">
        <f>IFERROR(__xludf.DUMMYFUNCTION("""COMPUTED_VALUE"""),"خیمه")</f>
        <v>خیمه</v>
      </c>
      <c r="D5277" s="5" t="str">
        <f>IFERROR(__xludf.DUMMYFUNCTION("""COMPUTED_VALUE"""),"لرستان")</f>
        <v>لرستان</v>
      </c>
      <c r="E5277" s="5" t="str">
        <f>IFERROR(__xludf.DUMMYFUNCTION("""COMPUTED_VALUE"""),"بروجرد")</f>
        <v>بروجرد</v>
      </c>
      <c r="F5277" s="5"/>
      <c r="G5277" s="5"/>
      <c r="H5277" s="6" t="str">
        <f>IFERROR(__xludf.DUMMYFUNCTION("""COMPUTED_VALUE"""),"https://www.instagram.com/kheymeh_brj/")</f>
        <v>https://www.instagram.com/kheymeh_brj/</v>
      </c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</row>
    <row r="5278">
      <c r="A5278" s="5"/>
      <c r="B5278" s="5" t="str">
        <f>IFERROR(__xludf.DUMMYFUNCTION("""COMPUTED_VALUE"""),"هیأت")</f>
        <v>هیأت</v>
      </c>
      <c r="C5278" s="5" t="str">
        <f>IFERROR(__xludf.DUMMYFUNCTION("""COMPUTED_VALUE"""),"الزهرا (س)")</f>
        <v>الزهرا (س)</v>
      </c>
      <c r="D5278" s="5" t="str">
        <f>IFERROR(__xludf.DUMMYFUNCTION("""COMPUTED_VALUE"""),"لرستان")</f>
        <v>لرستان</v>
      </c>
      <c r="E5278" s="5" t="str">
        <f>IFERROR(__xludf.DUMMYFUNCTION("""COMPUTED_VALUE"""),"بروجرد")</f>
        <v>بروجرد</v>
      </c>
      <c r="F5278" s="5"/>
      <c r="G5278" s="5"/>
      <c r="H5278" s="6" t="str">
        <f>IFERROR(__xludf.DUMMYFUNCTION("""COMPUTED_VALUE"""),"https://www.instagram.com/heyatalzahra_borujerd/")</f>
        <v>https://www.instagram.com/heyatalzahra_borujerd/</v>
      </c>
      <c r="I5278" s="5"/>
      <c r="J5278" s="6" t="str">
        <f>IFERROR(__xludf.DUMMYFUNCTION("""COMPUTED_VALUE"""),"eitaa.com/HeyatAlzahra_Borujerd")</f>
        <v>eitaa.com/HeyatAlzahra_Borujerd</v>
      </c>
      <c r="K5278" s="5"/>
      <c r="L5278" s="5"/>
      <c r="M5278" s="5"/>
      <c r="N5278" s="5"/>
      <c r="O5278" s="5"/>
      <c r="P5278" s="5"/>
      <c r="Q5278" s="5"/>
      <c r="R5278" s="5"/>
      <c r="S5278" s="5"/>
    </row>
    <row r="5279">
      <c r="A5279" s="5"/>
      <c r="B5279" s="5" t="str">
        <f>IFERROR(__xludf.DUMMYFUNCTION("""COMPUTED_VALUE"""),"هیأت")</f>
        <v>هیأت</v>
      </c>
      <c r="C5279" s="5" t="str">
        <f>IFERROR(__xludf.DUMMYFUNCTION("""COMPUTED_VALUE"""),"دانشجویی امام جواد (ع)")</f>
        <v>دانشجویی امام جواد (ع)</v>
      </c>
      <c r="D5279" s="5" t="str">
        <f>IFERROR(__xludf.DUMMYFUNCTION("""COMPUTED_VALUE"""),"لرستان")</f>
        <v>لرستان</v>
      </c>
      <c r="E5279" s="5" t="str">
        <f>IFERROR(__xludf.DUMMYFUNCTION("""COMPUTED_VALUE"""),"الیگودرز")</f>
        <v>الیگودرز</v>
      </c>
      <c r="F5279" s="5"/>
      <c r="G5279" s="5"/>
      <c r="H5279" s="6" t="str">
        <f>IFERROR(__xludf.DUMMYFUNCTION("""COMPUTED_VALUE"""),"https://www.instagram.com/h_daneshjoei/")</f>
        <v>https://www.instagram.com/h_daneshjoei/</v>
      </c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</row>
    <row r="5280">
      <c r="A5280" s="5"/>
      <c r="B5280" s="5" t="str">
        <f>IFERROR(__xludf.DUMMYFUNCTION("""COMPUTED_VALUE"""),"هیأت")</f>
        <v>هیأت</v>
      </c>
      <c r="C5280" s="5" t="str">
        <f>IFERROR(__xludf.DUMMYFUNCTION("""COMPUTED_VALUE"""),"اصحاب الحسین")</f>
        <v>اصحاب الحسین</v>
      </c>
      <c r="D5280" s="5" t="str">
        <f>IFERROR(__xludf.DUMMYFUNCTION("""COMPUTED_VALUE"""),"لرستان")</f>
        <v>لرستان</v>
      </c>
      <c r="E5280" s="5" t="str">
        <f>IFERROR(__xludf.DUMMYFUNCTION("""COMPUTED_VALUE"""),"دلفان")</f>
        <v>دلفان</v>
      </c>
      <c r="F5280" s="5"/>
      <c r="G5280" s="5"/>
      <c r="H5280" s="6" t="str">
        <f>IFERROR(__xludf.DUMMYFUNCTION("""COMPUTED_VALUE"""),"https://www.instagram.com/ashab_delfan_ir/")</f>
        <v>https://www.instagram.com/ashab_delfan_ir/</v>
      </c>
      <c r="I5280" s="6" t="str">
        <f>IFERROR(__xludf.DUMMYFUNCTION("""COMPUTED_VALUE"""),"t.me/ashab_delfan_ir")</f>
        <v>t.me/ashab_delfan_ir</v>
      </c>
      <c r="J5280" s="5"/>
      <c r="K5280" s="5"/>
      <c r="L5280" s="5"/>
      <c r="M5280" s="5"/>
      <c r="N5280" s="5"/>
      <c r="O5280" s="5"/>
      <c r="P5280" s="5"/>
      <c r="Q5280" s="5"/>
      <c r="R5280" s="5"/>
      <c r="S5280" s="5"/>
    </row>
    <row r="5281">
      <c r="A5281" s="5"/>
      <c r="B5281" s="5" t="str">
        <f>IFERROR(__xludf.DUMMYFUNCTION("""COMPUTED_VALUE"""),"هیأت")</f>
        <v>هیأت</v>
      </c>
      <c r="C5281" s="5" t="str">
        <f>IFERROR(__xludf.DUMMYFUNCTION("""COMPUTED_VALUE"""),"فاطمه الزهرا")</f>
        <v>فاطمه الزهرا</v>
      </c>
      <c r="D5281" s="5" t="str">
        <f>IFERROR(__xludf.DUMMYFUNCTION("""COMPUTED_VALUE"""),"لرستان")</f>
        <v>لرستان</v>
      </c>
      <c r="E5281" s="5" t="str">
        <f>IFERROR(__xludf.DUMMYFUNCTION("""COMPUTED_VALUE"""),"خرم آباد")</f>
        <v>خرم آباد</v>
      </c>
      <c r="F5281" s="5"/>
      <c r="G5281" s="5"/>
      <c r="H5281" s="6" t="str">
        <f>IFERROR(__xludf.DUMMYFUNCTION("""COMPUTED_VALUE"""),"https://www.instagram.com/heiatefatemehzahraa")</f>
        <v>https://www.instagram.com/heiatefatemehzahraa</v>
      </c>
      <c r="I5281" s="6" t="str">
        <f>IFERROR(__xludf.DUMMYFUNCTION("""COMPUTED_VALUE"""),"t.me/heiatefatemehzahra")</f>
        <v>t.me/heiatefatemehzahra</v>
      </c>
      <c r="J5281" s="5"/>
      <c r="K5281" s="5"/>
      <c r="L5281" s="5"/>
      <c r="M5281" s="5"/>
      <c r="N5281" s="5"/>
      <c r="O5281" s="5"/>
      <c r="P5281" s="5"/>
      <c r="Q5281" s="5"/>
      <c r="R5281" s="5"/>
      <c r="S5281" s="5"/>
    </row>
    <row r="5282">
      <c r="A5282" s="5"/>
      <c r="B5282" s="5" t="str">
        <f>IFERROR(__xludf.DUMMYFUNCTION("""COMPUTED_VALUE"""),"مسجد")</f>
        <v>مسجد</v>
      </c>
      <c r="C5282" s="5" t="str">
        <f>IFERROR(__xludf.DUMMYFUNCTION("""COMPUTED_VALUE"""),"امام حسن عسکری(ع)")</f>
        <v>امام حسن عسکری(ع)</v>
      </c>
      <c r="D5282" s="5" t="str">
        <f>IFERROR(__xludf.DUMMYFUNCTION("""COMPUTED_VALUE"""),"لرستان")</f>
        <v>لرستان</v>
      </c>
      <c r="E5282" s="5" t="str">
        <f>IFERROR(__xludf.DUMMYFUNCTION("""COMPUTED_VALUE"""),"الیگودرز")</f>
        <v>الیگودرز</v>
      </c>
      <c r="F5282" s="5"/>
      <c r="G5282" s="5"/>
      <c r="H5282" s="5"/>
      <c r="I5282" s="6" t="str">
        <f>IFERROR(__xludf.DUMMYFUNCTION("""COMPUTED_VALUE"""),"https://t.me/Emamasgari_ir")</f>
        <v>https://t.me/Emamasgari_ir</v>
      </c>
      <c r="J5282" s="5"/>
      <c r="K5282" s="5"/>
      <c r="L5282" s="5"/>
      <c r="M5282" s="5"/>
      <c r="N5282" s="5"/>
      <c r="O5282" s="5"/>
      <c r="P5282" s="5"/>
      <c r="Q5282" s="5"/>
      <c r="R5282" s="5"/>
      <c r="S5282" s="5"/>
    </row>
    <row r="5283">
      <c r="A5283" s="5"/>
      <c r="B5283" s="5" t="str">
        <f>IFERROR(__xludf.DUMMYFUNCTION("""COMPUTED_VALUE"""),"هیأت")</f>
        <v>هیأت</v>
      </c>
      <c r="C5283" s="5" t="str">
        <f>IFERROR(__xludf.DUMMYFUNCTION("""COMPUTED_VALUE"""),"مسجدالرسول")</f>
        <v>مسجدالرسول</v>
      </c>
      <c r="D5283" s="5" t="str">
        <f>IFERROR(__xludf.DUMMYFUNCTION("""COMPUTED_VALUE"""),"لرستان")</f>
        <v>لرستان</v>
      </c>
      <c r="E5283" s="5" t="str">
        <f>IFERROR(__xludf.DUMMYFUNCTION("""COMPUTED_VALUE"""),"خرم آباد")</f>
        <v>خرم آباد</v>
      </c>
      <c r="F5283" s="5"/>
      <c r="G5283" s="5"/>
      <c r="H5283" s="6" t="str">
        <f>IFERROR(__xludf.DUMMYFUNCTION("""COMPUTED_VALUE"""),"https://www.instagram.com/masjed_al_rasool/")</f>
        <v>https://www.instagram.com/masjed_al_rasool/</v>
      </c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</row>
    <row r="5284">
      <c r="A5284" s="5"/>
      <c r="B5284" s="5" t="str">
        <f>IFERROR(__xludf.DUMMYFUNCTION("""COMPUTED_VALUE"""),"هیأت")</f>
        <v>هیأت</v>
      </c>
      <c r="C5284" s="5" t="str">
        <f>IFERROR(__xludf.DUMMYFUNCTION("""COMPUTED_VALUE"""),"محفل زینبیون")</f>
        <v>محفل زینبیون</v>
      </c>
      <c r="D5284" s="5" t="str">
        <f>IFERROR(__xludf.DUMMYFUNCTION("""COMPUTED_VALUE"""),"لرستان")</f>
        <v>لرستان</v>
      </c>
      <c r="E5284" s="5" t="str">
        <f>IFERROR(__xludf.DUMMYFUNCTION("""COMPUTED_VALUE"""),"خرم آباد")</f>
        <v>خرم آباد</v>
      </c>
      <c r="F5284" s="5"/>
      <c r="G5284" s="5"/>
      <c r="H5284" s="6" t="str">
        <f>IFERROR(__xludf.DUMMYFUNCTION("""COMPUTED_VALUE"""),"https://www.instagram.com/zainabiun_69/")</f>
        <v>https://www.instagram.com/zainabiun_69/</v>
      </c>
      <c r="I5284" s="6" t="str">
        <f>IFERROR(__xludf.DUMMYFUNCTION("""COMPUTED_VALUE"""),"https://t.me/zeinabioun_69")</f>
        <v>https://t.me/zeinabioun_69</v>
      </c>
      <c r="J5284" s="5"/>
      <c r="K5284" s="5"/>
      <c r="L5284" s="5"/>
      <c r="M5284" s="5"/>
      <c r="N5284" s="5"/>
      <c r="O5284" s="5"/>
      <c r="P5284" s="5"/>
      <c r="Q5284" s="5"/>
      <c r="R5284" s="5"/>
      <c r="S5284" s="5"/>
    </row>
    <row r="5285">
      <c r="A5285" s="5"/>
      <c r="B5285" s="5" t="str">
        <f>IFERROR(__xludf.DUMMYFUNCTION("""COMPUTED_VALUE"""),"هیأت")</f>
        <v>هیأت</v>
      </c>
      <c r="C5285" s="5" t="str">
        <f>IFERROR(__xludf.DUMMYFUNCTION("""COMPUTED_VALUE"""),"عشاق الحسین (ع)")</f>
        <v>عشاق الحسین (ع)</v>
      </c>
      <c r="D5285" s="5" t="str">
        <f>IFERROR(__xludf.DUMMYFUNCTION("""COMPUTED_VALUE"""),"لرستان")</f>
        <v>لرستان</v>
      </c>
      <c r="E5285" s="5" t="str">
        <f>IFERROR(__xludf.DUMMYFUNCTION("""COMPUTED_VALUE"""),"خرم آباد")</f>
        <v>خرم آباد</v>
      </c>
      <c r="F5285" s="5"/>
      <c r="G5285" s="5"/>
      <c r="H5285" s="6" t="str">
        <f>IFERROR(__xludf.DUMMYFUNCTION("""COMPUTED_VALUE"""),"https://www.instagram.com/oshagholhosein_khorramabad/")</f>
        <v>https://www.instagram.com/oshagholhosein_khorramabad/</v>
      </c>
      <c r="I5285" s="5"/>
      <c r="J5285" s="5"/>
      <c r="K5285" s="5"/>
      <c r="L5285" s="6" t="str">
        <f>IFERROR(__xludf.DUMMYFUNCTION("""COMPUTED_VALUE"""),"hohkhoramabad.blogfa.com")</f>
        <v>hohkhoramabad.blogfa.com</v>
      </c>
      <c r="M5285" s="5"/>
      <c r="N5285" s="5"/>
      <c r="O5285" s="5"/>
      <c r="P5285" s="5"/>
      <c r="Q5285" s="5"/>
      <c r="R5285" s="5"/>
      <c r="S5285" s="5"/>
    </row>
    <row r="5286">
      <c r="A5286" s="5"/>
      <c r="B5286" s="5" t="str">
        <f>IFERROR(__xludf.DUMMYFUNCTION("""COMPUTED_VALUE"""),"هیأت")</f>
        <v>هیأت</v>
      </c>
      <c r="C5286" s="5" t="str">
        <f>IFERROR(__xludf.DUMMYFUNCTION("""COMPUTED_VALUE"""),"محبان اهل بیت (ع)")</f>
        <v>محبان اهل بیت (ع)</v>
      </c>
      <c r="D5286" s="5" t="str">
        <f>IFERROR(__xludf.DUMMYFUNCTION("""COMPUTED_VALUE"""),"لرستان")</f>
        <v>لرستان</v>
      </c>
      <c r="E5286" s="5" t="str">
        <f>IFERROR(__xludf.DUMMYFUNCTION("""COMPUTED_VALUE"""),"دورود")</f>
        <v>دورود</v>
      </c>
      <c r="F5286" s="5"/>
      <c r="G5286" s="5"/>
      <c r="H5286" s="6" t="str">
        <f>IFERROR(__xludf.DUMMYFUNCTION("""COMPUTED_VALUE"""),"https://www.instagram.com/moheban_ahlebeiyt/")</f>
        <v>https://www.instagram.com/moheban_ahlebeiyt/</v>
      </c>
      <c r="I5286" s="6" t="str">
        <f>IFERROR(__xludf.DUMMYFUNCTION("""COMPUTED_VALUE"""),"t.me/heiate_moheban_ahlebiyt")</f>
        <v>t.me/heiate_moheban_ahlebiyt</v>
      </c>
      <c r="J5286" s="5"/>
      <c r="K5286" s="5"/>
      <c r="L5286" s="5"/>
      <c r="M5286" s="5"/>
      <c r="N5286" s="5"/>
      <c r="O5286" s="5"/>
      <c r="P5286" s="5"/>
      <c r="Q5286" s="5"/>
      <c r="R5286" s="5"/>
      <c r="S5286" s="5"/>
    </row>
    <row r="5287">
      <c r="A5287" s="5"/>
      <c r="B5287" s="5" t="str">
        <f>IFERROR(__xludf.DUMMYFUNCTION("""COMPUTED_VALUE"""),"هیأت")</f>
        <v>هیأت</v>
      </c>
      <c r="C5287" s="5" t="str">
        <f>IFERROR(__xludf.DUMMYFUNCTION("""COMPUTED_VALUE"""),"یالثارات الحسین (ع)")</f>
        <v>یالثارات الحسین (ع)</v>
      </c>
      <c r="D5287" s="5" t="str">
        <f>IFERROR(__xludf.DUMMYFUNCTION("""COMPUTED_VALUE"""),"لرستان")</f>
        <v>لرستان</v>
      </c>
      <c r="E5287" s="5" t="str">
        <f>IFERROR(__xludf.DUMMYFUNCTION("""COMPUTED_VALUE"""),"دورود")</f>
        <v>دورود</v>
      </c>
      <c r="F5287" s="5"/>
      <c r="G5287" s="5"/>
      <c r="H5287" s="5"/>
      <c r="I5287" s="6" t="str">
        <f>IFERROR(__xludf.DUMMYFUNCTION("""COMPUTED_VALUE"""),"https://t.me/yalasarat_alhossein_ir")</f>
        <v>https://t.me/yalasarat_alhossein_ir</v>
      </c>
      <c r="J5287" s="5"/>
      <c r="K5287" s="5"/>
      <c r="L5287" s="5"/>
      <c r="M5287" s="5"/>
      <c r="N5287" s="5"/>
      <c r="O5287" s="5"/>
      <c r="P5287" s="5"/>
      <c r="Q5287" s="5"/>
      <c r="R5287" s="5"/>
      <c r="S5287" s="5"/>
    </row>
    <row r="5288">
      <c r="A5288" s="5"/>
      <c r="B5288" s="5" t="str">
        <f>IFERROR(__xludf.DUMMYFUNCTION("""COMPUTED_VALUE"""),"هیأت")</f>
        <v>هیأت</v>
      </c>
      <c r="C5288" s="5" t="str">
        <f>IFERROR(__xludf.DUMMYFUNCTION("""COMPUTED_VALUE"""),"علمداران محمد رسول الله (ص)")</f>
        <v>علمداران محمد رسول الله (ص)</v>
      </c>
      <c r="D5288" s="5" t="str">
        <f>IFERROR(__xludf.DUMMYFUNCTION("""COMPUTED_VALUE"""),"لرستان")</f>
        <v>لرستان</v>
      </c>
      <c r="E5288" s="5" t="str">
        <f>IFERROR(__xludf.DUMMYFUNCTION("""COMPUTED_VALUE"""),"خرم آباد")</f>
        <v>خرم آباد</v>
      </c>
      <c r="F5288" s="5"/>
      <c r="G5288" s="5"/>
      <c r="H5288" s="6" t="str">
        <f>IFERROR(__xludf.DUMMYFUNCTION("""COMPUTED_VALUE"""),"https://www.instagram.com/hyat_alamdaramohamad_rasolalah/")</f>
        <v>https://www.instagram.com/hyat_alamdaramohamad_rasolalah/</v>
      </c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</row>
    <row r="5289">
      <c r="A5289" s="5"/>
      <c r="B5289" s="5" t="str">
        <f>IFERROR(__xludf.DUMMYFUNCTION("""COMPUTED_VALUE"""),"هیأت")</f>
        <v>هیأت</v>
      </c>
      <c r="C5289" s="5" t="str">
        <f>IFERROR(__xludf.DUMMYFUNCTION("""COMPUTED_VALUE"""),"کریم اهل بیت ")</f>
        <v>کریم اهل بیت </v>
      </c>
      <c r="D5289" s="5" t="str">
        <f>IFERROR(__xludf.DUMMYFUNCTION("""COMPUTED_VALUE"""),"لرستان")</f>
        <v>لرستان</v>
      </c>
      <c r="E5289" s="5" t="str">
        <f>IFERROR(__xludf.DUMMYFUNCTION("""COMPUTED_VALUE"""),"خرم آباد")</f>
        <v>خرم آباد</v>
      </c>
      <c r="F5289" s="5"/>
      <c r="G5289" s="5"/>
      <c r="H5289" s="6" t="str">
        <f>IFERROR(__xludf.DUMMYFUNCTION("""COMPUTED_VALUE"""),"https://www.instagram.com/karimeahlebet86/")</f>
        <v>https://www.instagram.com/karimeahlebet86/</v>
      </c>
      <c r="I5289" s="5"/>
      <c r="J5289" s="6" t="str">
        <f>IFERROR(__xludf.DUMMYFUNCTION("""COMPUTED_VALUE"""),"eitaa.com/karimeahlebet")</f>
        <v>eitaa.com/karimeahlebet</v>
      </c>
      <c r="K5289" s="5"/>
      <c r="L5289" s="5"/>
      <c r="M5289" s="5"/>
      <c r="N5289" s="5"/>
      <c r="O5289" s="5"/>
      <c r="P5289" s="5"/>
      <c r="Q5289" s="5"/>
      <c r="R5289" s="5"/>
      <c r="S5289" s="5"/>
    </row>
    <row r="5290">
      <c r="A5290" s="5"/>
      <c r="B5290" s="5" t="str">
        <f>IFERROR(__xludf.DUMMYFUNCTION("""COMPUTED_VALUE"""),"هیأت")</f>
        <v>هیأت</v>
      </c>
      <c r="C5290" s="5" t="str">
        <f>IFERROR(__xludf.DUMMYFUNCTION("""COMPUTED_VALUE""")," رهروان مهدویت")</f>
        <v> رهروان مهدویت</v>
      </c>
      <c r="D5290" s="5" t="str">
        <f>IFERROR(__xludf.DUMMYFUNCTION("""COMPUTED_VALUE"""),"لرستان")</f>
        <v>لرستان</v>
      </c>
      <c r="E5290" s="5" t="str">
        <f>IFERROR(__xludf.DUMMYFUNCTION("""COMPUTED_VALUE"""),"بروجرد")</f>
        <v>بروجرد</v>
      </c>
      <c r="F5290" s="5"/>
      <c r="G5290" s="5"/>
      <c r="H5290" s="5"/>
      <c r="I5290" s="5"/>
      <c r="J5290" s="6" t="str">
        <f>IFERROR(__xludf.DUMMYFUNCTION("""COMPUTED_VALUE"""),"https://eitaa.com/rahrovanmahdaviyat")</f>
        <v>https://eitaa.com/rahrovanmahdaviyat</v>
      </c>
      <c r="K5290" s="5"/>
      <c r="L5290" s="5"/>
      <c r="M5290" s="5"/>
      <c r="N5290" s="5"/>
      <c r="O5290" s="5"/>
      <c r="P5290" s="5"/>
      <c r="Q5290" s="5"/>
      <c r="R5290" s="5"/>
      <c r="S5290" s="5"/>
    </row>
    <row r="5291">
      <c r="A5291" s="5"/>
      <c r="B5291" s="5" t="str">
        <f>IFERROR(__xludf.DUMMYFUNCTION("""COMPUTED_VALUE"""),"هیأت")</f>
        <v>هیأت</v>
      </c>
      <c r="C5291" s="5" t="str">
        <f>IFERROR(__xludf.DUMMYFUNCTION("""COMPUTED_VALUE"""),"بوتراب (ع)")</f>
        <v>بوتراب (ع)</v>
      </c>
      <c r="D5291" s="5" t="str">
        <f>IFERROR(__xludf.DUMMYFUNCTION("""COMPUTED_VALUE"""),"لرستان")</f>
        <v>لرستان</v>
      </c>
      <c r="E5291" s="5" t="str">
        <f>IFERROR(__xludf.DUMMYFUNCTION("""COMPUTED_VALUE"""),"خرم آباد")</f>
        <v>خرم آباد</v>
      </c>
      <c r="F5291" s="5"/>
      <c r="G5291" s="5"/>
      <c r="H5291" s="6" t="str">
        <f>IFERROR(__xludf.DUMMYFUNCTION("""COMPUTED_VALUE"""),"https://www.instagram.com/botorab.94/")</f>
        <v>https://www.instagram.com/botorab.94/</v>
      </c>
      <c r="I5291" s="6" t="str">
        <f>IFERROR(__xludf.DUMMYFUNCTION("""COMPUTED_VALUE"""),"tlgrm.me/botorab94")</f>
        <v>tlgrm.me/botorab94</v>
      </c>
      <c r="J5291" s="5"/>
      <c r="K5291" s="5"/>
      <c r="L5291" s="5"/>
      <c r="M5291" s="5"/>
      <c r="N5291" s="5"/>
      <c r="O5291" s="5"/>
      <c r="P5291" s="5"/>
      <c r="Q5291" s="5"/>
      <c r="R5291" s="5"/>
      <c r="S5291" s="5"/>
    </row>
    <row r="5292">
      <c r="A5292" s="5"/>
      <c r="B5292" s="5" t="str">
        <f>IFERROR(__xludf.DUMMYFUNCTION("""COMPUTED_VALUE"""),"موکب")</f>
        <v>موکب</v>
      </c>
      <c r="C5292" s="5" t="str">
        <f>IFERROR(__xludf.DUMMYFUNCTION("""COMPUTED_VALUE""")," رزمندگان اسلام")</f>
        <v> رزمندگان اسلام</v>
      </c>
      <c r="D5292" s="5" t="str">
        <f>IFERROR(__xludf.DUMMYFUNCTION("""COMPUTED_VALUE"""),"لرستان")</f>
        <v>لرستان</v>
      </c>
      <c r="E5292" s="5" t="str">
        <f>IFERROR(__xludf.DUMMYFUNCTION("""COMPUTED_VALUE"""),"ازنا")</f>
        <v>ازنا</v>
      </c>
      <c r="F5292" s="5"/>
      <c r="G5292" s="5"/>
      <c r="H5292" s="5"/>
      <c r="I5292" s="5"/>
      <c r="J5292" s="6" t="str">
        <f>IFERROR(__xludf.DUMMYFUNCTION("""COMPUTED_VALUE"""),"https://eitaa.com/moazna")</f>
        <v>https://eitaa.com/moazna</v>
      </c>
      <c r="K5292" s="5"/>
      <c r="L5292" s="5"/>
      <c r="M5292" s="5"/>
      <c r="N5292" s="5"/>
      <c r="O5292" s="5"/>
      <c r="P5292" s="5"/>
      <c r="Q5292" s="5"/>
      <c r="R5292" s="5"/>
      <c r="S5292" s="5"/>
    </row>
    <row r="5293">
      <c r="A5293" s="5"/>
      <c r="B5293" s="5" t="str">
        <f>IFERROR(__xludf.DUMMYFUNCTION("""COMPUTED_VALUE"""),"هیأت")</f>
        <v>هیأت</v>
      </c>
      <c r="C5293" s="5" t="str">
        <f>IFERROR(__xludf.DUMMYFUNCTION("""COMPUTED_VALUE"""),"هیأت شهدا")</f>
        <v>هیأت شهدا</v>
      </c>
      <c r="D5293" s="5" t="str">
        <f>IFERROR(__xludf.DUMMYFUNCTION("""COMPUTED_VALUE"""),"لرستان")</f>
        <v>لرستان</v>
      </c>
      <c r="E5293" s="5" t="str">
        <f>IFERROR(__xludf.DUMMYFUNCTION("""COMPUTED_VALUE"""),"دلفان")</f>
        <v>دلفان</v>
      </c>
      <c r="F5293" s="5"/>
      <c r="G5293" s="5"/>
      <c r="H5293" s="6" t="str">
        <f>IFERROR(__xludf.DUMMYFUNCTION("""COMPUTED_VALUE"""),"https://www.instagram.com/shohadaye_delfan")</f>
        <v>https://www.instagram.com/shohadaye_delfan</v>
      </c>
      <c r="I5293" s="6" t="str">
        <f>IFERROR(__xludf.DUMMYFUNCTION("""COMPUTED_VALUE"""),"https://t.me/shohadaye_delfan")</f>
        <v>https://t.me/shohadaye_delfan</v>
      </c>
      <c r="J5293" s="6" t="str">
        <f>IFERROR(__xludf.DUMMYFUNCTION("""COMPUTED_VALUE"""),"eitaa.com/shohadaye_delfan")</f>
        <v>eitaa.com/shohadaye_delfan</v>
      </c>
      <c r="K5293" s="5"/>
      <c r="L5293" s="5"/>
      <c r="M5293" s="5"/>
      <c r="N5293" s="5"/>
      <c r="O5293" s="5"/>
      <c r="P5293" s="5"/>
      <c r="Q5293" s="5"/>
      <c r="R5293" s="5"/>
      <c r="S5293" s="5"/>
    </row>
    <row r="5294">
      <c r="A5294" s="5"/>
      <c r="B5294" s="5" t="str">
        <f>IFERROR(__xludf.DUMMYFUNCTION("""COMPUTED_VALUE"""),"هیأت")</f>
        <v>هیأت</v>
      </c>
      <c r="C5294" s="5" t="str">
        <f>IFERROR(__xludf.DUMMYFUNCTION("""COMPUTED_VALUE"""),"موکب مردمی صاحب الزمان عج ")</f>
        <v>موکب مردمی صاحب الزمان عج </v>
      </c>
      <c r="D5294" s="5" t="str">
        <f>IFERROR(__xludf.DUMMYFUNCTION("""COMPUTED_VALUE"""),"لرستان")</f>
        <v>لرستان</v>
      </c>
      <c r="E5294" s="5" t="str">
        <f>IFERROR(__xludf.DUMMYFUNCTION("""COMPUTED_VALUE"""),"کوهدشت")</f>
        <v>کوهدشت</v>
      </c>
      <c r="F5294" s="5"/>
      <c r="G5294" s="5"/>
      <c r="H5294" s="5"/>
      <c r="I5294" s="5"/>
      <c r="J5294" s="6" t="str">
        <f>IFERROR(__xludf.DUMMYFUNCTION("""COMPUTED_VALUE"""),"https://eitaa.com/mukeb313")</f>
        <v>https://eitaa.com/mukeb313</v>
      </c>
      <c r="K5294" s="5"/>
      <c r="L5294" s="5"/>
      <c r="M5294" s="5"/>
      <c r="N5294" s="5"/>
      <c r="O5294" s="5"/>
      <c r="P5294" s="5"/>
      <c r="Q5294" s="5"/>
      <c r="R5294" s="5"/>
      <c r="S5294" s="5"/>
    </row>
    <row r="5295">
      <c r="A5295" s="5"/>
      <c r="B5295" s="5" t="str">
        <f>IFERROR(__xludf.DUMMYFUNCTION("""COMPUTED_VALUE"""),"هیأت")</f>
        <v>هیأت</v>
      </c>
      <c r="C5295" s="5" t="str">
        <f>IFERROR(__xludf.DUMMYFUNCTION("""COMPUTED_VALUE"""),"منتظران المهدی (عج)")</f>
        <v>منتظران المهدی (عج)</v>
      </c>
      <c r="D5295" s="5" t="str">
        <f>IFERROR(__xludf.DUMMYFUNCTION("""COMPUTED_VALUE"""),"لرستان")</f>
        <v>لرستان</v>
      </c>
      <c r="E5295" s="5" t="str">
        <f>IFERROR(__xludf.DUMMYFUNCTION("""COMPUTED_VALUE"""),"الشتر")</f>
        <v>الشتر</v>
      </c>
      <c r="F5295" s="5"/>
      <c r="G5295" s="5"/>
      <c r="H5295" s="6" t="str">
        <f>IFERROR(__xludf.DUMMYFUNCTION("""COMPUTED_VALUE"""),"https://www.instagram.com/heyat_montazeranmahdi313/")</f>
        <v>https://www.instagram.com/heyat_montazeranmahdi313/</v>
      </c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</row>
    <row r="5296">
      <c r="A5296" s="5"/>
      <c r="B5296" s="5" t="str">
        <f>IFERROR(__xludf.DUMMYFUNCTION("""COMPUTED_VALUE"""),"هیأت")</f>
        <v>هیأت</v>
      </c>
      <c r="C5296" s="5" t="str">
        <f>IFERROR(__xludf.DUMMYFUNCTION("""COMPUTED_VALUE"""),"اصحاب الحسین")</f>
        <v>اصحاب الحسین</v>
      </c>
      <c r="D5296" s="5" t="str">
        <f>IFERROR(__xludf.DUMMYFUNCTION("""COMPUTED_VALUE"""),"لرستان")</f>
        <v>لرستان</v>
      </c>
      <c r="E5296" s="5" t="str">
        <f>IFERROR(__xludf.DUMMYFUNCTION("""COMPUTED_VALUE"""),"دلفان")</f>
        <v>دلفان</v>
      </c>
      <c r="F5296" s="5"/>
      <c r="G5296" s="5"/>
      <c r="H5296" s="5"/>
      <c r="I5296" s="5"/>
      <c r="J5296" s="6" t="str">
        <f>IFERROR(__xludf.DUMMYFUNCTION("""COMPUTED_VALUE"""),"https://eitaa.com/ashab_ir")</f>
        <v>https://eitaa.com/ashab_ir</v>
      </c>
      <c r="K5296" s="5"/>
      <c r="L5296" s="5"/>
      <c r="M5296" s="5"/>
      <c r="N5296" s="5"/>
      <c r="O5296" s="5"/>
      <c r="P5296" s="5"/>
      <c r="Q5296" s="5"/>
      <c r="R5296" s="5"/>
      <c r="S5296" s="5"/>
    </row>
    <row r="5297">
      <c r="A5297" s="5"/>
      <c r="B5297" s="5" t="str">
        <f>IFERROR(__xludf.DUMMYFUNCTION("""COMPUTED_VALUE"""),"حسینیه")</f>
        <v>حسینیه</v>
      </c>
      <c r="C5297" s="5" t="str">
        <f>IFERROR(__xludf.DUMMYFUNCTION("""COMPUTED_VALUE"""),"ثارالله")</f>
        <v>ثارالله</v>
      </c>
      <c r="D5297" s="5" t="str">
        <f>IFERROR(__xludf.DUMMYFUNCTION("""COMPUTED_VALUE"""),"لرستان")</f>
        <v>لرستان</v>
      </c>
      <c r="E5297" s="5" t="str">
        <f>IFERROR(__xludf.DUMMYFUNCTION("""COMPUTED_VALUE"""),"دلفان")</f>
        <v>دلفان</v>
      </c>
      <c r="F5297" s="5"/>
      <c r="G5297" s="5"/>
      <c r="H5297" s="5"/>
      <c r="I5297" s="5"/>
      <c r="J5297" s="6" t="str">
        <f>IFERROR(__xludf.DUMMYFUNCTION("""COMPUTED_VALUE"""),"https://eitaa.com/hoseiniehsaralah")</f>
        <v>https://eitaa.com/hoseiniehsaralah</v>
      </c>
      <c r="K5297" s="5"/>
      <c r="L5297" s="5"/>
      <c r="M5297" s="5"/>
      <c r="N5297" s="5"/>
      <c r="O5297" s="5"/>
      <c r="P5297" s="5"/>
      <c r="Q5297" s="5"/>
      <c r="R5297" s="5"/>
      <c r="S5297" s="5"/>
    </row>
    <row r="5298">
      <c r="A5298" s="5"/>
      <c r="B5298" s="5" t="str">
        <f>IFERROR(__xludf.DUMMYFUNCTION("""COMPUTED_VALUE"""),"هیأت")</f>
        <v>هیأت</v>
      </c>
      <c r="C5298" s="5" t="str">
        <f>IFERROR(__xludf.DUMMYFUNCTION("""COMPUTED_VALUE"""),"محبین اهل ‌بیت (ع)")</f>
        <v>محبین اهل ‌بیت (ع)</v>
      </c>
      <c r="D5298" s="5" t="str">
        <f>IFERROR(__xludf.DUMMYFUNCTION("""COMPUTED_VALUE"""),"لرستان")</f>
        <v>لرستان</v>
      </c>
      <c r="E5298" s="5" t="str">
        <f>IFERROR(__xludf.DUMMYFUNCTION("""COMPUTED_VALUE"""),"دلفان")</f>
        <v>دلفان</v>
      </c>
      <c r="F5298" s="5"/>
      <c r="G5298" s="5"/>
      <c r="H5298" s="6" t="str">
        <f>IFERROR(__xludf.DUMMYFUNCTION("""COMPUTED_VALUE"""),"https://www.instagram.com/heyatmohebindelfan/")</f>
        <v>https://www.instagram.com/heyatmohebindelfan/</v>
      </c>
      <c r="I5298" s="6" t="str">
        <f>IFERROR(__xludf.DUMMYFUNCTION("""COMPUTED_VALUE"""),"https://t.me/heyatmohebindelfan")</f>
        <v>https://t.me/heyatmohebindelfan</v>
      </c>
      <c r="J5298" s="5"/>
      <c r="K5298" s="5"/>
      <c r="L5298" s="5"/>
      <c r="M5298" s="5"/>
      <c r="N5298" s="5"/>
      <c r="O5298" s="5"/>
      <c r="P5298" s="5"/>
      <c r="Q5298" s="5"/>
      <c r="R5298" s="5"/>
      <c r="S5298" s="5"/>
    </row>
    <row r="5299">
      <c r="A5299" s="5"/>
      <c r="B5299" s="5" t="str">
        <f>IFERROR(__xludf.DUMMYFUNCTION("""COMPUTED_VALUE"""),"هیأت")</f>
        <v>هیأت</v>
      </c>
      <c r="C5299" s="5" t="str">
        <f>IFERROR(__xludf.DUMMYFUNCTION("""COMPUTED_VALUE"""),"بیرق معظم دلسوختگان حضرت زهرا(س)")</f>
        <v>بیرق معظم دلسوختگان حضرت زهرا(س)</v>
      </c>
      <c r="D5299" s="5" t="str">
        <f>IFERROR(__xludf.DUMMYFUNCTION("""COMPUTED_VALUE"""),"لرستان")</f>
        <v>لرستان</v>
      </c>
      <c r="E5299" s="5" t="str">
        <f>IFERROR(__xludf.DUMMYFUNCTION("""COMPUTED_VALUE"""),"خرم آباد")</f>
        <v>خرم آباد</v>
      </c>
      <c r="F5299" s="5"/>
      <c r="G5299" s="5"/>
      <c r="H5299" s="6" t="str">
        <f>IFERROR(__xludf.DUMMYFUNCTION("""COMPUTED_VALUE"""),"https://www.instagram.com/delsookhtegan.h.zahra135/")</f>
        <v>https://www.instagram.com/delsookhtegan.h.zahra135/</v>
      </c>
      <c r="I5299" s="6" t="str">
        <f>IFERROR(__xludf.DUMMYFUNCTION("""COMPUTED_VALUE"""),"https://t.me/delsookhtegan135")</f>
        <v>https://t.me/delsookhtegan135</v>
      </c>
      <c r="J5299" s="5"/>
      <c r="K5299" s="5"/>
      <c r="L5299" s="5"/>
      <c r="M5299" s="5"/>
      <c r="N5299" s="5"/>
      <c r="O5299" s="5"/>
      <c r="P5299" s="5"/>
      <c r="Q5299" s="5"/>
      <c r="R5299" s="5"/>
      <c r="S5299" s="5"/>
    </row>
    <row r="5300">
      <c r="A5300" s="5"/>
      <c r="B5300" s="5" t="str">
        <f>IFERROR(__xludf.DUMMYFUNCTION("""COMPUTED_VALUE"""),"هیأت")</f>
        <v>هیأت</v>
      </c>
      <c r="C5300" s="5" t="str">
        <f>IFERROR(__xludf.DUMMYFUNCTION("""COMPUTED_VALUE"""),"مساکین الزهرا سلام الله علیها")</f>
        <v>مساکین الزهرا سلام الله علیها</v>
      </c>
      <c r="D5300" s="5" t="str">
        <f>IFERROR(__xludf.DUMMYFUNCTION("""COMPUTED_VALUE"""),"لرستان")</f>
        <v>لرستان</v>
      </c>
      <c r="E5300" s="5" t="str">
        <f>IFERROR(__xludf.DUMMYFUNCTION("""COMPUTED_VALUE"""),"خرم آباد")</f>
        <v>خرم آباد</v>
      </c>
      <c r="F5300" s="5"/>
      <c r="G5300" s="5"/>
      <c r="H5300" s="6" t="str">
        <f>IFERROR(__xludf.DUMMYFUNCTION("""COMPUTED_VALUE"""),"https://www.instagram.com/masakin_ir/")</f>
        <v>https://www.instagram.com/masakin_ir/</v>
      </c>
      <c r="I5300" s="6" t="str">
        <f>IFERROR(__xludf.DUMMYFUNCTION("""COMPUTED_VALUE"""),"https://t.me/heyatmasakin_ir")</f>
        <v>https://t.me/heyatmasakin_ir</v>
      </c>
      <c r="J5300" s="6" t="str">
        <f>IFERROR(__xludf.DUMMYFUNCTION("""COMPUTED_VALUE"""),"https://eitaa.com/masakin_alzahra")</f>
        <v>https://eitaa.com/masakin_alzahra</v>
      </c>
      <c r="K5300" s="5"/>
      <c r="L5300" s="5"/>
      <c r="M5300" s="5"/>
      <c r="N5300" s="5"/>
      <c r="O5300" s="5"/>
      <c r="P5300" s="5"/>
      <c r="Q5300" s="5"/>
      <c r="R5300" s="5"/>
      <c r="S5300" s="5"/>
    </row>
    <row r="5301">
      <c r="A5301" s="5"/>
      <c r="B5301" s="5" t="str">
        <f>IFERROR(__xludf.DUMMYFUNCTION("""COMPUTED_VALUE"""),"هیأت")</f>
        <v>هیأت</v>
      </c>
      <c r="C5301" s="5" t="str">
        <f>IFERROR(__xludf.DUMMYFUNCTION("""COMPUTED_VALUE"""),"رایة الحسین(ع)")</f>
        <v>رایة الحسین(ع)</v>
      </c>
      <c r="D5301" s="5" t="str">
        <f>IFERROR(__xludf.DUMMYFUNCTION("""COMPUTED_VALUE"""),"لرستان")</f>
        <v>لرستان</v>
      </c>
      <c r="E5301" s="5" t="str">
        <f>IFERROR(__xludf.DUMMYFUNCTION("""COMPUTED_VALUE"""),"خرم آباد")</f>
        <v>خرم آباد</v>
      </c>
      <c r="F5301" s="5"/>
      <c r="G5301" s="5"/>
      <c r="H5301" s="6" t="str">
        <f>IFERROR(__xludf.DUMMYFUNCTION("""COMPUTED_VALUE"""),"https://www.instagram.com/heyat_rayatollhossein/")</f>
        <v>https://www.instagram.com/heyat_rayatollhossein/</v>
      </c>
      <c r="I5301" s="6" t="str">
        <f>IFERROR(__xludf.DUMMYFUNCTION("""COMPUTED_VALUE"""),"https://t.me/rayatollhossein99")</f>
        <v>https://t.me/rayatollhossein99</v>
      </c>
      <c r="J5301" s="5"/>
      <c r="K5301" s="5"/>
      <c r="L5301" s="5"/>
      <c r="M5301" s="5"/>
      <c r="N5301" s="5"/>
      <c r="O5301" s="5"/>
      <c r="P5301" s="5"/>
      <c r="Q5301" s="5"/>
      <c r="R5301" s="5"/>
      <c r="S5301" s="5"/>
    </row>
    <row r="5302">
      <c r="A5302" s="5"/>
      <c r="B5302" s="5" t="str">
        <f>IFERROR(__xludf.DUMMYFUNCTION("""COMPUTED_VALUE"""),"هیأت")</f>
        <v>هیأت</v>
      </c>
      <c r="C5302" s="5" t="str">
        <f>IFERROR(__xludf.DUMMYFUNCTION("""COMPUTED_VALUE"""),"انصار قمربنی هاشم")</f>
        <v>انصار قمربنی هاشم</v>
      </c>
      <c r="D5302" s="5" t="str">
        <f>IFERROR(__xludf.DUMMYFUNCTION("""COMPUTED_VALUE"""),"لرستان")</f>
        <v>لرستان</v>
      </c>
      <c r="E5302" s="5" t="str">
        <f>IFERROR(__xludf.DUMMYFUNCTION("""COMPUTED_VALUE"""),"دلفان")</f>
        <v>دلفان</v>
      </c>
      <c r="F5302" s="5"/>
      <c r="G5302" s="5"/>
      <c r="H5302" s="6" t="str">
        <f>IFERROR(__xludf.DUMMYFUNCTION("""COMPUTED_VALUE"""),"https://www.instagram.com/heyate_ansar_delfan/")</f>
        <v>https://www.instagram.com/heyate_ansar_delfan/</v>
      </c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</row>
    <row r="5303">
      <c r="A5303" s="5"/>
      <c r="B5303" s="5" t="str">
        <f>IFERROR(__xludf.DUMMYFUNCTION("""COMPUTED_VALUE"""),"هیأت")</f>
        <v>هیأت</v>
      </c>
      <c r="C5303" s="5" t="str">
        <f>IFERROR(__xludf.DUMMYFUNCTION("""COMPUTED_VALUE"""),"انصار المهدی")</f>
        <v>انصار المهدی</v>
      </c>
      <c r="D5303" s="5" t="str">
        <f>IFERROR(__xludf.DUMMYFUNCTION("""COMPUTED_VALUE"""),"لرستان")</f>
        <v>لرستان</v>
      </c>
      <c r="E5303" s="5" t="str">
        <f>IFERROR(__xludf.DUMMYFUNCTION("""COMPUTED_VALUE"""),"پلدختر")</f>
        <v>پلدختر</v>
      </c>
      <c r="F5303" s="5"/>
      <c r="G5303" s="5"/>
      <c r="H5303" s="6" t="str">
        <f>IFERROR(__xludf.DUMMYFUNCTION("""COMPUTED_VALUE"""),"http://instagram.com/ansaralmahdi1384/")</f>
        <v>http://instagram.com/ansaralmahdi1384/</v>
      </c>
      <c r="I5303" s="6" t="str">
        <f>IFERROR(__xludf.DUMMYFUNCTION("""COMPUTED_VALUE"""),"t.me/ansarpol")</f>
        <v>t.me/ansarpol</v>
      </c>
      <c r="J5303" s="5"/>
      <c r="K5303" s="5"/>
      <c r="L5303" s="5"/>
      <c r="M5303" s="5"/>
      <c r="N5303" s="5"/>
      <c r="O5303" s="5"/>
      <c r="P5303" s="5"/>
      <c r="Q5303" s="5"/>
      <c r="R5303" s="5"/>
      <c r="S5303" s="5"/>
    </row>
    <row r="5304">
      <c r="A5304" s="5"/>
      <c r="B5304" s="5" t="str">
        <f>IFERROR(__xludf.DUMMYFUNCTION("""COMPUTED_VALUE"""),"هیأت")</f>
        <v>هیأت</v>
      </c>
      <c r="C5304" s="5" t="str">
        <f>IFERROR(__xludf.DUMMYFUNCTION("""COMPUTED_VALUE"""),"رضاجان")</f>
        <v>رضاجان</v>
      </c>
      <c r="D5304" s="5" t="str">
        <f>IFERROR(__xludf.DUMMYFUNCTION("""COMPUTED_VALUE"""),"لرستان")</f>
        <v>لرستان</v>
      </c>
      <c r="E5304" s="5" t="str">
        <f>IFERROR(__xludf.DUMMYFUNCTION("""COMPUTED_VALUE"""),"خرم آباد")</f>
        <v>خرم آباد</v>
      </c>
      <c r="F5304" s="5"/>
      <c r="G5304" s="5"/>
      <c r="H5304" s="6" t="str">
        <f>IFERROR(__xludf.DUMMYFUNCTION("""COMPUTED_VALUE"""),"https://www.instagram.com/rezajan_khorramabad/")</f>
        <v>https://www.instagram.com/rezajan_khorramabad/</v>
      </c>
      <c r="I5304" s="5"/>
      <c r="J5304" s="6" t="str">
        <f>IFERROR(__xludf.DUMMYFUNCTION("""COMPUTED_VALUE"""),"https://eitaa.com/rezajankhorramabad")</f>
        <v>https://eitaa.com/rezajankhorramabad</v>
      </c>
      <c r="K5304" s="5"/>
      <c r="L5304" s="5"/>
      <c r="M5304" s="5"/>
      <c r="N5304" s="5"/>
      <c r="O5304" s="5"/>
      <c r="P5304" s="5"/>
      <c r="Q5304" s="5"/>
      <c r="R5304" s="5"/>
      <c r="S5304" s="5"/>
    </row>
    <row r="5305">
      <c r="A5305" s="5"/>
      <c r="B5305" s="5" t="str">
        <f>IFERROR(__xludf.DUMMYFUNCTION("""COMPUTED_VALUE"""),"هیأت")</f>
        <v>هیأت</v>
      </c>
      <c r="C5305" s="5" t="str">
        <f>IFERROR(__xludf.DUMMYFUNCTION("""COMPUTED_VALUE"""),"غوث‌الفقراء‌عج")</f>
        <v>غوث‌الفقراء‌عج</v>
      </c>
      <c r="D5305" s="5" t="str">
        <f>IFERROR(__xludf.DUMMYFUNCTION("""COMPUTED_VALUE"""),"لرستان")</f>
        <v>لرستان</v>
      </c>
      <c r="E5305" s="5" t="str">
        <f>IFERROR(__xludf.DUMMYFUNCTION("""COMPUTED_VALUE"""),"خرم آباد")</f>
        <v>خرم آباد</v>
      </c>
      <c r="F5305" s="5"/>
      <c r="G5305" s="5"/>
      <c r="H5305" s="6" t="str">
        <f>IFERROR(__xludf.DUMMYFUNCTION("""COMPUTED_VALUE"""),"https://www.instagram.com/ghosalfoghara/")</f>
        <v>https://www.instagram.com/ghosalfoghara/</v>
      </c>
      <c r="I5305" s="5" t="str">
        <f>IFERROR(__xludf.DUMMYFUNCTION("""COMPUTED_VALUE"""),"*")</f>
        <v>*</v>
      </c>
      <c r="J5305" s="5" t="str">
        <f>IFERROR(__xludf.DUMMYFUNCTION("""COMPUTED_VALUE"""),"*")</f>
        <v>*</v>
      </c>
      <c r="K5305" s="5"/>
      <c r="L5305" s="5"/>
      <c r="M5305" s="5"/>
      <c r="N5305" s="5"/>
      <c r="O5305" s="5"/>
      <c r="P5305" s="5"/>
      <c r="Q5305" s="5"/>
      <c r="R5305" s="5"/>
      <c r="S5305" s="5"/>
    </row>
    <row r="5306">
      <c r="A5306" s="5"/>
      <c r="B5306" s="5" t="str">
        <f>IFERROR(__xludf.DUMMYFUNCTION("""COMPUTED_VALUE"""),"هیأت")</f>
        <v>هیأت</v>
      </c>
      <c r="C5306" s="5" t="str">
        <f>IFERROR(__xludf.DUMMYFUNCTION("""COMPUTED_VALUE"""),"آل یاسین")</f>
        <v>آل یاسین</v>
      </c>
      <c r="D5306" s="5" t="str">
        <f>IFERROR(__xludf.DUMMYFUNCTION("""COMPUTED_VALUE"""),"لرستان")</f>
        <v>لرستان</v>
      </c>
      <c r="E5306" s="5" t="str">
        <f>IFERROR(__xludf.DUMMYFUNCTION("""COMPUTED_VALUE"""),"خرم آباد")</f>
        <v>خرم آباد</v>
      </c>
      <c r="F5306" s="5"/>
      <c r="G5306" s="5"/>
      <c r="H5306" s="6" t="str">
        <f>IFERROR(__xludf.DUMMYFUNCTION("""COMPUTED_VALUE"""),"https://www.instagram.com/aleyasin1khorram/")</f>
        <v>https://www.instagram.com/aleyasin1khorram/</v>
      </c>
      <c r="I5306" s="6" t="str">
        <f>IFERROR(__xludf.DUMMYFUNCTION("""COMPUTED_VALUE"""),"t.me/aleyasin1khorram")</f>
        <v>t.me/aleyasin1khorram</v>
      </c>
      <c r="J5306" s="5"/>
      <c r="K5306" s="5"/>
      <c r="L5306" s="5"/>
      <c r="M5306" s="5"/>
      <c r="N5306" s="5"/>
      <c r="O5306" s="5"/>
      <c r="P5306" s="5"/>
      <c r="Q5306" s="5"/>
      <c r="R5306" s="5"/>
      <c r="S5306" s="5"/>
    </row>
    <row r="5307">
      <c r="A5307" s="5"/>
      <c r="B5307" s="5" t="str">
        <f>IFERROR(__xludf.DUMMYFUNCTION("""COMPUTED_VALUE"""),"هیأت")</f>
        <v>هیأت</v>
      </c>
      <c r="C5307" s="5" t="str">
        <f>IFERROR(__xludf.DUMMYFUNCTION("""COMPUTED_VALUE"""),"حضرت زینب (س)")</f>
        <v>حضرت زینب (س)</v>
      </c>
      <c r="D5307" s="5" t="str">
        <f>IFERROR(__xludf.DUMMYFUNCTION("""COMPUTED_VALUE"""),"لرستان")</f>
        <v>لرستان</v>
      </c>
      <c r="E5307" s="5" t="str">
        <f>IFERROR(__xludf.DUMMYFUNCTION("""COMPUTED_VALUE"""),"دلفان")</f>
        <v>دلفان</v>
      </c>
      <c r="F5307" s="5"/>
      <c r="G5307" s="5"/>
      <c r="H5307" s="6" t="str">
        <f>IFERROR(__xludf.DUMMYFUNCTION("""COMPUTED_VALUE"""),"https://www.instagram.com/saelin_h_zeinab/")</f>
        <v>https://www.instagram.com/saelin_h_zeinab/</v>
      </c>
      <c r="I5307" s="6" t="str">
        <f>IFERROR(__xludf.DUMMYFUNCTION("""COMPUTED_VALUE"""),"t.me/saelin_h_zeinab")</f>
        <v>t.me/saelin_h_zeinab</v>
      </c>
      <c r="J5307" s="5"/>
      <c r="K5307" s="5"/>
      <c r="L5307" s="5"/>
      <c r="M5307" s="5"/>
      <c r="N5307" s="5"/>
      <c r="O5307" s="5"/>
      <c r="P5307" s="5"/>
      <c r="Q5307" s="5"/>
      <c r="R5307" s="5"/>
      <c r="S5307" s="5"/>
    </row>
    <row r="5308">
      <c r="A5308" s="5"/>
      <c r="B5308" s="5" t="str">
        <f>IFERROR(__xludf.DUMMYFUNCTION("""COMPUTED_VALUE"""),"هیأت")</f>
        <v>هیأت</v>
      </c>
      <c r="C5308" s="5" t="str">
        <f>IFERROR(__xludf.DUMMYFUNCTION("""COMPUTED_VALUE"""),"محبان امیرالمومنین علی (ع)")</f>
        <v>محبان امیرالمومنین علی (ع)</v>
      </c>
      <c r="D5308" s="5" t="str">
        <f>IFERROR(__xludf.DUMMYFUNCTION("""COMPUTED_VALUE"""),"لرستان")</f>
        <v>لرستان</v>
      </c>
      <c r="E5308" s="5" t="str">
        <f>IFERROR(__xludf.DUMMYFUNCTION("""COMPUTED_VALUE"""),"ازنا")</f>
        <v>ازنا</v>
      </c>
      <c r="F5308" s="5"/>
      <c r="G5308" s="5"/>
      <c r="H5308" s="6" t="str">
        <f>IFERROR(__xludf.DUMMYFUNCTION("""COMPUTED_VALUE"""),"https://www.instagram.com/heyat.mohebban.azna/")</f>
        <v>https://www.instagram.com/heyat.mohebban.azna/</v>
      </c>
      <c r="I5308" s="5"/>
      <c r="J5308" s="5"/>
      <c r="K5308" s="5"/>
      <c r="L5308" s="5"/>
      <c r="M5308" s="5"/>
      <c r="N5308" s="5"/>
      <c r="O5308" s="5"/>
      <c r="P5308" s="5"/>
      <c r="Q5308" s="5"/>
      <c r="R5308" s="5"/>
      <c r="S5308" s="5"/>
    </row>
    <row r="5309">
      <c r="A5309" s="5"/>
      <c r="B5309" s="5" t="str">
        <f>IFERROR(__xludf.DUMMYFUNCTION("""COMPUTED_VALUE"""),"هیأت")</f>
        <v>هیأت</v>
      </c>
      <c r="C5309" s="5" t="str">
        <f>IFERROR(__xludf.DUMMYFUNCTION("""COMPUTED_VALUE"""),"ناصرین حسین")</f>
        <v>ناصرین حسین</v>
      </c>
      <c r="D5309" s="5" t="str">
        <f>IFERROR(__xludf.DUMMYFUNCTION("""COMPUTED_VALUE"""),"لرستان")</f>
        <v>لرستان</v>
      </c>
      <c r="E5309" s="5" t="str">
        <f>IFERROR(__xludf.DUMMYFUNCTION("""COMPUTED_VALUE"""),"بروجرد")</f>
        <v>بروجرد</v>
      </c>
      <c r="F5309" s="5"/>
      <c r="G5309" s="5">
        <f>IFERROR(__xludf.DUMMYFUNCTION("""COMPUTED_VALUE"""),1.0)</f>
        <v>1</v>
      </c>
      <c r="H5309" s="5"/>
      <c r="I5309" s="6" t="str">
        <f>IFERROR(__xludf.DUMMYFUNCTION("""COMPUTED_VALUE"""),"https://t.me/heyaatnaserinhosseinbroujerd")</f>
        <v>https://t.me/heyaatnaserinhosseinbroujerd</v>
      </c>
      <c r="J5309" s="5"/>
      <c r="K5309" s="5"/>
      <c r="L5309" s="5"/>
      <c r="M5309" s="5"/>
      <c r="N5309" s="5"/>
      <c r="O5309" s="5"/>
      <c r="P5309" s="5"/>
      <c r="Q5309" s="5"/>
      <c r="R5309" s="5"/>
      <c r="S5309" s="5"/>
    </row>
    <row r="5310">
      <c r="A5310" s="5"/>
      <c r="B5310" s="5" t="str">
        <f>IFERROR(__xludf.DUMMYFUNCTION("""COMPUTED_VALUE"""),"هیأت")</f>
        <v>هیأت</v>
      </c>
      <c r="C5310" s="5" t="str">
        <f>IFERROR(__xludf.DUMMYFUNCTION("""COMPUTED_VALUE"""),"محفل قرآنی امام موسی ابن جعفر (ع)")</f>
        <v>محفل قرآنی امام موسی ابن جعفر (ع)</v>
      </c>
      <c r="D5310" s="5" t="str">
        <f>IFERROR(__xludf.DUMMYFUNCTION("""COMPUTED_VALUE"""),"لرستان")</f>
        <v>لرستان</v>
      </c>
      <c r="E5310" s="5" t="str">
        <f>IFERROR(__xludf.DUMMYFUNCTION("""COMPUTED_VALUE"""),"بروجرد")</f>
        <v>بروجرد</v>
      </c>
      <c r="F5310" s="5"/>
      <c r="G5310" s="5"/>
      <c r="H5310" s="5"/>
      <c r="I5310" s="5"/>
      <c r="J5310" s="6" t="str">
        <f>IFERROR(__xludf.DUMMYFUNCTION("""COMPUTED_VALUE"""),"https://eitaa.com/MahfeleQorani14")</f>
        <v>https://eitaa.com/MahfeleQorani14</v>
      </c>
      <c r="K5310" s="5"/>
      <c r="L5310" s="5"/>
      <c r="M5310" s="5"/>
      <c r="N5310" s="5"/>
      <c r="O5310" s="5"/>
      <c r="P5310" s="5"/>
      <c r="Q5310" s="5"/>
      <c r="R5310" s="5"/>
      <c r="S5310" s="5"/>
    </row>
    <row r="5311">
      <c r="A5311" s="5"/>
      <c r="B5311" s="5" t="str">
        <f>IFERROR(__xludf.DUMMYFUNCTION("""COMPUTED_VALUE"""),"هیأت")</f>
        <v>هیأت</v>
      </c>
      <c r="C5311" s="5" t="str">
        <f>IFERROR(__xludf.DUMMYFUNCTION("""COMPUTED_VALUE"""),"مکتب الحسین(ع)")</f>
        <v>مکتب الحسین(ع)</v>
      </c>
      <c r="D5311" s="5" t="str">
        <f>IFERROR(__xludf.DUMMYFUNCTION("""COMPUTED_VALUE"""),"لرستان")</f>
        <v>لرستان</v>
      </c>
      <c r="E5311" s="5" t="str">
        <f>IFERROR(__xludf.DUMMYFUNCTION("""COMPUTED_VALUE"""),"خرم آباد")</f>
        <v>خرم آباد</v>
      </c>
      <c r="F5311" s="5"/>
      <c r="G5311" s="5"/>
      <c r="H5311" s="6" t="str">
        <f>IFERROR(__xludf.DUMMYFUNCTION("""COMPUTED_VALUE"""),"https://www.instagram.com/maktabalhosein.128/")</f>
        <v>https://www.instagram.com/maktabalhosein.128/</v>
      </c>
      <c r="I5311" s="6" t="str">
        <f>IFERROR(__xludf.DUMMYFUNCTION("""COMPUTED_VALUE"""),"https://t.me/maktab_all_hosein_khoramabad")</f>
        <v>https://t.me/maktab_all_hosein_khoramabad</v>
      </c>
      <c r="J5311" s="6" t="str">
        <f>IFERROR(__xludf.DUMMYFUNCTION("""COMPUTED_VALUE"""),"https://eitaa.com/maktab_al_hosein")</f>
        <v>https://eitaa.com/maktab_al_hosein</v>
      </c>
      <c r="K5311" s="5"/>
      <c r="L5311" s="5"/>
      <c r="M5311" s="5"/>
      <c r="N5311" s="5"/>
      <c r="O5311" s="5"/>
      <c r="P5311" s="5"/>
      <c r="Q5311" s="5"/>
      <c r="R5311" s="5"/>
      <c r="S5311" s="5"/>
    </row>
    <row r="5312">
      <c r="A5312" s="5"/>
      <c r="B5312" s="5" t="str">
        <f>IFERROR(__xludf.DUMMYFUNCTION("""COMPUTED_VALUE"""),"هیأت")</f>
        <v>هیأت</v>
      </c>
      <c r="C5312" s="5" t="str">
        <f>IFERROR(__xludf.DUMMYFUNCTION("""COMPUTED_VALUE"""),"سیدالشهدا (ع)")</f>
        <v>سیدالشهدا (ع)</v>
      </c>
      <c r="D5312" s="5" t="str">
        <f>IFERROR(__xludf.DUMMYFUNCTION("""COMPUTED_VALUE"""),"لرستان")</f>
        <v>لرستان</v>
      </c>
      <c r="E5312" s="5" t="str">
        <f>IFERROR(__xludf.DUMMYFUNCTION("""COMPUTED_VALUE"""),"الیگودرز")</f>
        <v>الیگودرز</v>
      </c>
      <c r="F5312" s="5"/>
      <c r="G5312" s="5"/>
      <c r="H5312" s="6" t="str">
        <f>IFERROR(__xludf.DUMMYFUNCTION("""COMPUTED_VALUE"""),"https://www.instagram.com/seyedoshohadaaa/")</f>
        <v>https://www.instagram.com/seyedoshohadaaa/</v>
      </c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</row>
    <row r="5313">
      <c r="A5313" s="5"/>
      <c r="B5313" s="5" t="str">
        <f>IFERROR(__xludf.DUMMYFUNCTION("""COMPUTED_VALUE"""),"هیأت")</f>
        <v>هیأت</v>
      </c>
      <c r="C5313" s="5" t="str">
        <f>IFERROR(__xludf.DUMMYFUNCTION("""COMPUTED_VALUE"""),"محبان بقیه الله (عج)")</f>
        <v>محبان بقیه الله (عج)</v>
      </c>
      <c r="D5313" s="5" t="str">
        <f>IFERROR(__xludf.DUMMYFUNCTION("""COMPUTED_VALUE"""),"لرستان")</f>
        <v>لرستان</v>
      </c>
      <c r="E5313" s="5" t="str">
        <f>IFERROR(__xludf.DUMMYFUNCTION("""COMPUTED_VALUE"""),"خرم آباد")</f>
        <v>خرم آباد</v>
      </c>
      <c r="F5313" s="5"/>
      <c r="G5313" s="5"/>
      <c r="H5313" s="6" t="str">
        <f>IFERROR(__xludf.DUMMYFUNCTION("""COMPUTED_VALUE"""),"https://www.instagram.com/mooheban/")</f>
        <v>https://www.instagram.com/mooheban/</v>
      </c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</row>
    <row r="5314">
      <c r="A5314" s="5"/>
      <c r="B5314" s="5" t="str">
        <f>IFERROR(__xludf.DUMMYFUNCTION("""COMPUTED_VALUE"""),"هیأت")</f>
        <v>هیأت</v>
      </c>
      <c r="C5314" s="5" t="str">
        <f>IFERROR(__xludf.DUMMYFUNCTION("""COMPUTED_VALUE"""),"صاحب ذوالفقار (ع)")</f>
        <v>صاحب ذوالفقار (ع)</v>
      </c>
      <c r="D5314" s="5" t="str">
        <f>IFERROR(__xludf.DUMMYFUNCTION("""COMPUTED_VALUE"""),"لرستان")</f>
        <v>لرستان</v>
      </c>
      <c r="E5314" s="5" t="str">
        <f>IFERROR(__xludf.DUMMYFUNCTION("""COMPUTED_VALUE"""),"ازنا")</f>
        <v>ازنا</v>
      </c>
      <c r="F5314" s="5"/>
      <c r="G5314" s="5"/>
      <c r="H5314" s="6" t="str">
        <f>IFERROR(__xludf.DUMMYFUNCTION("""COMPUTED_VALUE"""),"https://www.instagram.com/sahebzolfaghar/")</f>
        <v>https://www.instagram.com/sahebzolfaghar/</v>
      </c>
      <c r="I5314" s="5"/>
      <c r="J5314" s="5"/>
      <c r="K5314" s="5"/>
      <c r="L5314" s="5"/>
      <c r="M5314" s="5"/>
      <c r="N5314" s="5"/>
      <c r="O5314" s="5"/>
      <c r="P5314" s="5"/>
      <c r="Q5314" s="5"/>
      <c r="R5314" s="5"/>
      <c r="S5314" s="5"/>
    </row>
    <row r="5315">
      <c r="A5315" s="5"/>
      <c r="B5315" s="5" t="str">
        <f>IFERROR(__xludf.DUMMYFUNCTION("""COMPUTED_VALUE"""),"هیأت")</f>
        <v>هیأت</v>
      </c>
      <c r="C5315" s="5" t="str">
        <f>IFERROR(__xludf.DUMMYFUNCTION("""COMPUTED_VALUE"""),"قمر بنی هاشم")</f>
        <v>قمر بنی هاشم</v>
      </c>
      <c r="D5315" s="5" t="str">
        <f>IFERROR(__xludf.DUMMYFUNCTION("""COMPUTED_VALUE"""),"لرستان")</f>
        <v>لرستان</v>
      </c>
      <c r="E5315" s="5" t="str">
        <f>IFERROR(__xludf.DUMMYFUNCTION("""COMPUTED_VALUE"""),"خرم آباد")</f>
        <v>خرم آباد</v>
      </c>
      <c r="F5315" s="5"/>
      <c r="G5315" s="5"/>
      <c r="H5315" s="5" t="str">
        <f>IFERROR(__xludf.DUMMYFUNCTION("""COMPUTED_VALUE"""),"مسجد قدس")</f>
        <v>مسجد قدس</v>
      </c>
      <c r="I5315" s="5"/>
      <c r="J5315" s="6" t="str">
        <f>IFERROR(__xludf.DUMMYFUNCTION("""COMPUTED_VALUE"""),"https://eitaa.com/masjed_ghods1402")</f>
        <v>https://eitaa.com/masjed_ghods1402</v>
      </c>
      <c r="K5315" s="5"/>
      <c r="L5315" s="5"/>
      <c r="M5315" s="5"/>
      <c r="N5315" s="5"/>
      <c r="O5315" s="5"/>
      <c r="P5315" s="5"/>
      <c r="Q5315" s="5"/>
      <c r="R5315" s="5"/>
      <c r="S5315" s="5"/>
    </row>
    <row r="5316">
      <c r="A5316" s="5"/>
      <c r="B5316" s="5" t="str">
        <f>IFERROR(__xludf.DUMMYFUNCTION("""COMPUTED_VALUE"""),"هیأت")</f>
        <v>هیأت</v>
      </c>
      <c r="C5316" s="5" t="str">
        <f>IFERROR(__xludf.DUMMYFUNCTION("""COMPUTED_VALUE"""),"بیت الحسن")</f>
        <v>بیت الحسن</v>
      </c>
      <c r="D5316" s="5" t="str">
        <f>IFERROR(__xludf.DUMMYFUNCTION("""COMPUTED_VALUE"""),"لرستان")</f>
        <v>لرستان</v>
      </c>
      <c r="E5316" s="5" t="str">
        <f>IFERROR(__xludf.DUMMYFUNCTION("""COMPUTED_VALUE"""),"خرم آباد")</f>
        <v>خرم آباد</v>
      </c>
      <c r="F5316" s="5"/>
      <c r="G5316" s="5"/>
      <c r="H5316" s="5"/>
      <c r="I5316" s="5"/>
      <c r="J5316" s="6" t="str">
        <f>IFERROR(__xludf.DUMMYFUNCTION("""COMPUTED_VALUE"""),"https://eitaa.com/beytalhasan_com")</f>
        <v>https://eitaa.com/beytalhasan_com</v>
      </c>
      <c r="K5316" s="5"/>
      <c r="L5316" s="5"/>
      <c r="M5316" s="5"/>
      <c r="N5316" s="5"/>
      <c r="O5316" s="5"/>
      <c r="P5316" s="5"/>
      <c r="Q5316" s="5"/>
      <c r="R5316" s="5"/>
      <c r="S5316" s="5"/>
    </row>
    <row r="5317">
      <c r="A5317" s="5"/>
      <c r="B5317" s="5" t="str">
        <f>IFERROR(__xludf.DUMMYFUNCTION("""COMPUTED_VALUE"""),"هیأت")</f>
        <v>هیأت</v>
      </c>
      <c r="C5317" s="5" t="str">
        <f>IFERROR(__xludf.DUMMYFUNCTION("""COMPUTED_VALUE"""),"انصار المهدی")</f>
        <v>انصار المهدی</v>
      </c>
      <c r="D5317" s="5" t="str">
        <f>IFERROR(__xludf.DUMMYFUNCTION("""COMPUTED_VALUE"""),"لرستان")</f>
        <v>لرستان</v>
      </c>
      <c r="E5317" s="5" t="str">
        <f>IFERROR(__xludf.DUMMYFUNCTION("""COMPUTED_VALUE"""),"خرم آباد")</f>
        <v>خرم آباد</v>
      </c>
      <c r="F5317" s="5"/>
      <c r="G5317" s="5"/>
      <c r="H5317" s="6" t="str">
        <f>IFERROR(__xludf.DUMMYFUNCTION("""COMPUTED_VALUE"""),"https://www.instagram.com/ansar_khorramabad/")</f>
        <v>https://www.instagram.com/ansar_khorramabad/</v>
      </c>
      <c r="I5317" s="6" t="str">
        <f>IFERROR(__xludf.DUMMYFUNCTION("""COMPUTED_VALUE"""),"t.me/ansar_khorramabad")</f>
        <v>t.me/ansar_khorramabad</v>
      </c>
      <c r="J5317" s="5"/>
      <c r="K5317" s="5"/>
      <c r="L5317" s="5"/>
      <c r="M5317" s="5"/>
      <c r="N5317" s="5"/>
      <c r="O5317" s="5"/>
      <c r="P5317" s="5"/>
      <c r="Q5317" s="5"/>
      <c r="R5317" s="5"/>
      <c r="S5317" s="5"/>
    </row>
    <row r="5318">
      <c r="A5318" s="5"/>
      <c r="B5318" s="5" t="str">
        <f>IFERROR(__xludf.DUMMYFUNCTION("""COMPUTED_VALUE"""),"هیأت")</f>
        <v>هیأت</v>
      </c>
      <c r="C5318" s="5" t="str">
        <f>IFERROR(__xludf.DUMMYFUNCTION("""COMPUTED_VALUE"""),"انصار العباس")</f>
        <v>انصار العباس</v>
      </c>
      <c r="D5318" s="5" t="str">
        <f>IFERROR(__xludf.DUMMYFUNCTION("""COMPUTED_VALUE"""),"لرستان")</f>
        <v>لرستان</v>
      </c>
      <c r="E5318" s="5" t="str">
        <f>IFERROR(__xludf.DUMMYFUNCTION("""COMPUTED_VALUE"""),"بروجرد")</f>
        <v>بروجرد</v>
      </c>
      <c r="F5318" s="5"/>
      <c r="G5318" s="5"/>
      <c r="H5318" s="6" t="str">
        <f>IFERROR(__xludf.DUMMYFUNCTION("""COMPUTED_VALUE"""),"https://www.instagram.com/h_ansarolabbas_brj/")</f>
        <v>https://www.instagram.com/h_ansarolabbas_brj/</v>
      </c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</row>
    <row r="5319">
      <c r="A5319" s="5"/>
      <c r="B5319" s="5" t="str">
        <f>IFERROR(__xludf.DUMMYFUNCTION("""COMPUTED_VALUE"""),"هیأت")</f>
        <v>هیأت</v>
      </c>
      <c r="C5319" s="5" t="str">
        <f>IFERROR(__xludf.DUMMYFUNCTION("""COMPUTED_VALUE"""),"انصار الحسین(ع)")</f>
        <v>انصار الحسین(ع)</v>
      </c>
      <c r="D5319" s="5" t="str">
        <f>IFERROR(__xludf.DUMMYFUNCTION("""COMPUTED_VALUE"""),"لرستان")</f>
        <v>لرستان</v>
      </c>
      <c r="E5319" s="5" t="str">
        <f>IFERROR(__xludf.DUMMYFUNCTION("""COMPUTED_VALUE"""),"بروجرد")</f>
        <v>بروجرد</v>
      </c>
      <c r="F5319" s="5"/>
      <c r="G5319" s="5"/>
      <c r="H5319" s="6" t="str">
        <f>IFERROR(__xludf.DUMMYFUNCTION("""COMPUTED_VALUE"""),"https://www.instagram.com/ansarhussainie.brj/")</f>
        <v>https://www.instagram.com/ansarhussainie.brj/</v>
      </c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</row>
    <row r="5320">
      <c r="A5320" s="5"/>
      <c r="B5320" s="5" t="str">
        <f>IFERROR(__xludf.DUMMYFUNCTION("""COMPUTED_VALUE"""),"هیأت")</f>
        <v>هیأت</v>
      </c>
      <c r="C5320" s="5" t="str">
        <f>IFERROR(__xludf.DUMMYFUNCTION("""COMPUTED_VALUE"""),"حیدریون")</f>
        <v>حیدریون</v>
      </c>
      <c r="D5320" s="5" t="str">
        <f>IFERROR(__xludf.DUMMYFUNCTION("""COMPUTED_VALUE"""),"لرستان")</f>
        <v>لرستان</v>
      </c>
      <c r="E5320" s="5" t="str">
        <f>IFERROR(__xludf.DUMMYFUNCTION("""COMPUTED_VALUE"""),"الیگودرز")</f>
        <v>الیگودرز</v>
      </c>
      <c r="F5320" s="5"/>
      <c r="G5320" s="5"/>
      <c r="H5320" s="6" t="str">
        <f>IFERROR(__xludf.DUMMYFUNCTION("""COMPUTED_VALUE"""),"https://www.instagram.com/majmae_heydrioon/")</f>
        <v>https://www.instagram.com/majmae_heydrioon/</v>
      </c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</row>
    <row r="5321">
      <c r="A5321" s="5"/>
      <c r="B5321" s="5" t="str">
        <f>IFERROR(__xludf.DUMMYFUNCTION("""COMPUTED_VALUE"""),"هیأت")</f>
        <v>هیأت</v>
      </c>
      <c r="C5321" s="5" t="str">
        <f>IFERROR(__xludf.DUMMYFUNCTION("""COMPUTED_VALUE"""),"محبین")</f>
        <v>محبین</v>
      </c>
      <c r="D5321" s="5" t="str">
        <f>IFERROR(__xludf.DUMMYFUNCTION("""COMPUTED_VALUE"""),"لرستان")</f>
        <v>لرستان</v>
      </c>
      <c r="E5321" s="5" t="str">
        <f>IFERROR(__xludf.DUMMYFUNCTION("""COMPUTED_VALUE"""),"الیگودرز")</f>
        <v>الیگودرز</v>
      </c>
      <c r="F5321" s="5"/>
      <c r="G5321" s="5"/>
      <c r="H5321" s="5"/>
      <c r="I5321" s="5"/>
      <c r="J5321" s="6" t="str">
        <f>IFERROR(__xludf.DUMMYFUNCTION("""COMPUTED_VALUE"""),"https://eitaa.com/mohebin1373")</f>
        <v>https://eitaa.com/mohebin1373</v>
      </c>
      <c r="K5321" s="5"/>
      <c r="L5321" s="5"/>
      <c r="M5321" s="5"/>
      <c r="N5321" s="5"/>
      <c r="O5321" s="5"/>
      <c r="P5321" s="5"/>
      <c r="Q5321" s="5"/>
      <c r="R5321" s="5"/>
      <c r="S5321" s="5"/>
    </row>
    <row r="5322">
      <c r="A5322" s="5"/>
      <c r="B5322" s="5" t="str">
        <f>IFERROR(__xludf.DUMMYFUNCTION("""COMPUTED_VALUE"""),"هیأت")</f>
        <v>هیأت</v>
      </c>
      <c r="C5322" s="5" t="str">
        <f>IFERROR(__xludf.DUMMYFUNCTION("""COMPUTED_VALUE"""),"جوادالائمه(ع)")</f>
        <v>جوادالائمه(ع)</v>
      </c>
      <c r="D5322" s="5" t="str">
        <f>IFERROR(__xludf.DUMMYFUNCTION("""COMPUTED_VALUE"""),"لرستان")</f>
        <v>لرستان</v>
      </c>
      <c r="E5322" s="5" t="str">
        <f>IFERROR(__xludf.DUMMYFUNCTION("""COMPUTED_VALUE"""),"الیگودرز")</f>
        <v>الیگودرز</v>
      </c>
      <c r="F5322" s="5"/>
      <c r="G5322" s="5"/>
      <c r="H5322" s="6" t="str">
        <f>IFERROR(__xludf.DUMMYFUNCTION("""COMPUTED_VALUE"""),"https://www.instagram.com/javadalaemeh/")</f>
        <v>https://www.instagram.com/javadalaemeh/</v>
      </c>
      <c r="I5322" s="6" t="str">
        <f>IFERROR(__xludf.DUMMYFUNCTION("""COMPUTED_VALUE"""),"t.me/javadalaemeh95")</f>
        <v>t.me/javadalaemeh95</v>
      </c>
      <c r="J5322" s="5"/>
      <c r="K5322" s="5"/>
      <c r="L5322" s="5"/>
      <c r="M5322" s="5"/>
      <c r="N5322" s="5"/>
      <c r="O5322" s="5"/>
      <c r="P5322" s="5"/>
      <c r="Q5322" s="5"/>
      <c r="R5322" s="5"/>
      <c r="S5322" s="5"/>
    </row>
    <row r="5323">
      <c r="A5323" s="5"/>
      <c r="B5323" s="5" t="str">
        <f>IFERROR(__xludf.DUMMYFUNCTION("""COMPUTED_VALUE"""),"هیأت")</f>
        <v>هیأت</v>
      </c>
      <c r="C5323" s="5" t="str">
        <f>IFERROR(__xludf.DUMMYFUNCTION("""COMPUTED_VALUE"""),"ریحانه النبی (س)")</f>
        <v>ریحانه النبی (س)</v>
      </c>
      <c r="D5323" s="5" t="str">
        <f>IFERROR(__xludf.DUMMYFUNCTION("""COMPUTED_VALUE"""),"لرستان")</f>
        <v>لرستان</v>
      </c>
      <c r="E5323" s="5" t="str">
        <f>IFERROR(__xludf.DUMMYFUNCTION("""COMPUTED_VALUE"""),"دورود")</f>
        <v>دورود</v>
      </c>
      <c r="F5323" s="5"/>
      <c r="G5323" s="5"/>
      <c r="H5323" s="6" t="str">
        <f>IFERROR(__xludf.DUMMYFUNCTION("""COMPUTED_VALUE"""),"https://www.instagram.com/info_rnd/")</f>
        <v>https://www.instagram.com/info_rnd/</v>
      </c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</row>
    <row r="5324">
      <c r="A5324" s="5"/>
      <c r="B5324" s="5" t="str">
        <f>IFERROR(__xludf.DUMMYFUNCTION("""COMPUTED_VALUE"""),"هیأت")</f>
        <v>هیأت</v>
      </c>
      <c r="C5324" s="5" t="str">
        <f>IFERROR(__xludf.DUMMYFUNCTION("""COMPUTED_VALUE"""),"عشاق الزهرا (س)")</f>
        <v>عشاق الزهرا (س)</v>
      </c>
      <c r="D5324" s="5" t="str">
        <f>IFERROR(__xludf.DUMMYFUNCTION("""COMPUTED_VALUE"""),"لرستان")</f>
        <v>لرستان</v>
      </c>
      <c r="E5324" s="5" t="str">
        <f>IFERROR(__xludf.DUMMYFUNCTION("""COMPUTED_VALUE"""),"الیگودرز")</f>
        <v>الیگودرز</v>
      </c>
      <c r="F5324" s="5"/>
      <c r="G5324" s="5"/>
      <c r="H5324" s="6" t="str">
        <f>IFERROR(__xludf.DUMMYFUNCTION("""COMPUTED_VALUE"""),"https://www.instagram.com/oshaghozahra_aligoodarz/")</f>
        <v>https://www.instagram.com/oshaghozahra_aligoodarz/</v>
      </c>
      <c r="I5324" s="6" t="str">
        <f>IFERROR(__xludf.DUMMYFUNCTION("""COMPUTED_VALUE"""),"t.me/oshaq_zahra_alg")</f>
        <v>t.me/oshaq_zahra_alg</v>
      </c>
      <c r="J5324" s="5"/>
      <c r="K5324" s="5"/>
      <c r="L5324" s="5"/>
      <c r="M5324" s="5"/>
      <c r="N5324" s="5"/>
      <c r="O5324" s="5"/>
      <c r="P5324" s="5"/>
      <c r="Q5324" s="5"/>
      <c r="R5324" s="5"/>
      <c r="S5324" s="5"/>
    </row>
    <row r="5325">
      <c r="A5325" s="5"/>
      <c r="B5325" s="5" t="str">
        <f>IFERROR(__xludf.DUMMYFUNCTION("""COMPUTED_VALUE"""),"هیأت")</f>
        <v>هیأت</v>
      </c>
      <c r="C5325" s="5" t="str">
        <f>IFERROR(__xludf.DUMMYFUNCTION("""COMPUTED_VALUE"""),"متوسلین به حضرت ابوالفضل(ع)")</f>
        <v>متوسلین به حضرت ابوالفضل(ع)</v>
      </c>
      <c r="D5325" s="5" t="str">
        <f>IFERROR(__xludf.DUMMYFUNCTION("""COMPUTED_VALUE"""),"لرستان")</f>
        <v>لرستان</v>
      </c>
      <c r="E5325" s="5" t="str">
        <f>IFERROR(__xludf.DUMMYFUNCTION("""COMPUTED_VALUE"""),"بروجرد")</f>
        <v>بروجرد</v>
      </c>
      <c r="F5325" s="5"/>
      <c r="G5325" s="5"/>
      <c r="H5325" s="6" t="str">
        <f>IFERROR(__xludf.DUMMYFUNCTION("""COMPUTED_VALUE"""),"https://www.instagram.com/jehadi_group/")</f>
        <v>https://www.instagram.com/jehadi_group/</v>
      </c>
      <c r="I5325" s="5"/>
      <c r="J5325" s="5"/>
      <c r="K5325" s="5"/>
      <c r="L5325" s="6" t="str">
        <f>IFERROR(__xludf.DUMMYFUNCTION("""COMPUTED_VALUE"""),"heyathami.ir")</f>
        <v>heyathami.ir</v>
      </c>
      <c r="M5325" s="5"/>
      <c r="N5325" s="5"/>
      <c r="O5325" s="5"/>
      <c r="P5325" s="5"/>
      <c r="Q5325" s="5"/>
      <c r="R5325" s="5"/>
      <c r="S5325" s="5"/>
    </row>
    <row r="5326">
      <c r="A5326" s="5"/>
      <c r="B5326" s="5" t="str">
        <f>IFERROR(__xludf.DUMMYFUNCTION("""COMPUTED_VALUE"""),"هیأت")</f>
        <v>هیأت</v>
      </c>
      <c r="C5326" s="5" t="str">
        <f>IFERROR(__xludf.DUMMYFUNCTION("""COMPUTED_VALUE"""),"محبان علی ابن ابی طالب (ع)")</f>
        <v>محبان علی ابن ابی طالب (ع)</v>
      </c>
      <c r="D5326" s="5" t="str">
        <f>IFERROR(__xludf.DUMMYFUNCTION("""COMPUTED_VALUE"""),"لرستان")</f>
        <v>لرستان</v>
      </c>
      <c r="E5326" s="5" t="str">
        <f>IFERROR(__xludf.DUMMYFUNCTION("""COMPUTED_VALUE"""),"خرم آباد")</f>
        <v>خرم آباد</v>
      </c>
      <c r="F5326" s="5"/>
      <c r="G5326" s="5"/>
      <c r="H5326" s="5"/>
      <c r="I5326" s="5"/>
      <c r="J5326" s="6" t="str">
        <f>IFERROR(__xludf.DUMMYFUNCTION("""COMPUTED_VALUE"""),"https://eitaa.com/mohebanali1")</f>
        <v>https://eitaa.com/mohebanali1</v>
      </c>
      <c r="K5326" s="5"/>
      <c r="L5326" s="5"/>
      <c r="M5326" s="5"/>
      <c r="N5326" s="5"/>
      <c r="O5326" s="5"/>
      <c r="P5326" s="5"/>
      <c r="Q5326" s="5"/>
      <c r="R5326" s="5"/>
      <c r="S5326" s="5"/>
    </row>
    <row r="5327">
      <c r="A5327" s="5"/>
      <c r="B5327" s="5" t="str">
        <f>IFERROR(__xludf.DUMMYFUNCTION("""COMPUTED_VALUE"""),"هیأت")</f>
        <v>هیأت</v>
      </c>
      <c r="C5327" s="5" t="str">
        <f>IFERROR(__xludf.DUMMYFUNCTION("""COMPUTED_VALUE"""),"عشاق المهدی (عج)")</f>
        <v>عشاق المهدی (عج)</v>
      </c>
      <c r="D5327" s="5" t="str">
        <f>IFERROR(__xludf.DUMMYFUNCTION("""COMPUTED_VALUE"""),"لرستان")</f>
        <v>لرستان</v>
      </c>
      <c r="E5327" s="5" t="str">
        <f>IFERROR(__xludf.DUMMYFUNCTION("""COMPUTED_VALUE"""),"خرم آباد")</f>
        <v>خرم آباد</v>
      </c>
      <c r="F5327" s="5"/>
      <c r="G5327" s="5"/>
      <c r="H5327" s="6" t="str">
        <f>IFERROR(__xludf.DUMMYFUNCTION("""COMPUTED_VALUE"""),"https://www.instagram.com/oshagmahdi/")</f>
        <v>https://www.instagram.com/oshagmahdi/</v>
      </c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</row>
    <row r="5328">
      <c r="A5328" s="5"/>
      <c r="B5328" s="5" t="str">
        <f>IFERROR(__xludf.DUMMYFUNCTION("""COMPUTED_VALUE"""),"هیأت")</f>
        <v>هیأت</v>
      </c>
      <c r="C5328" s="5" t="str">
        <f>IFERROR(__xludf.DUMMYFUNCTION("""COMPUTED_VALUE"""),"کاظمیون")</f>
        <v>کاظمیون</v>
      </c>
      <c r="D5328" s="5" t="str">
        <f>IFERROR(__xludf.DUMMYFUNCTION("""COMPUTED_VALUE"""),"لرستان")</f>
        <v>لرستان</v>
      </c>
      <c r="E5328" s="5" t="str">
        <f>IFERROR(__xludf.DUMMYFUNCTION("""COMPUTED_VALUE"""),"خرم آباد")</f>
        <v>خرم آباد</v>
      </c>
      <c r="F5328" s="5"/>
      <c r="G5328" s="5"/>
      <c r="H5328" s="6" t="str">
        <f>IFERROR(__xludf.DUMMYFUNCTION("""COMPUTED_VALUE"""),"https://www.instagram.com/kazemiuon313/")</f>
        <v>https://www.instagram.com/kazemiuon313/</v>
      </c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</row>
    <row r="5329">
      <c r="A5329" s="5"/>
      <c r="B5329" s="5" t="str">
        <f>IFERROR(__xludf.DUMMYFUNCTION("""COMPUTED_VALUE"""),"هیأت")</f>
        <v>هیأت</v>
      </c>
      <c r="C5329" s="5" t="str">
        <f>IFERROR(__xludf.DUMMYFUNCTION("""COMPUTED_VALUE"""),"زنجیرزنی قمربنی هاشم(ع)")</f>
        <v>زنجیرزنی قمربنی هاشم(ع)</v>
      </c>
      <c r="D5329" s="5" t="str">
        <f>IFERROR(__xludf.DUMMYFUNCTION("""COMPUTED_VALUE"""),"لرستان")</f>
        <v>لرستان</v>
      </c>
      <c r="E5329" s="5" t="str">
        <f>IFERROR(__xludf.DUMMYFUNCTION("""COMPUTED_VALUE"""),"کوهدشت")</f>
        <v>کوهدشت</v>
      </c>
      <c r="F5329" s="5"/>
      <c r="G5329" s="5"/>
      <c r="H5329" s="6" t="str">
        <f>IFERROR(__xludf.DUMMYFUNCTION("""COMPUTED_VALUE"""),"https://www.instagram.com/heyatzanjirzani/")</f>
        <v>https://www.instagram.com/heyatzanjirzani/</v>
      </c>
      <c r="I5329" s="6" t="str">
        <f>IFERROR(__xludf.DUMMYFUNCTION("""COMPUTED_VALUE"""),"t.me/heyatzanjirzani")</f>
        <v>t.me/heyatzanjirzani</v>
      </c>
      <c r="J5329" s="5"/>
      <c r="K5329" s="5"/>
      <c r="L5329" s="5"/>
      <c r="M5329" s="5"/>
      <c r="N5329" s="5"/>
      <c r="O5329" s="5"/>
      <c r="P5329" s="5"/>
      <c r="Q5329" s="5"/>
      <c r="R5329" s="5"/>
      <c r="S5329" s="5"/>
    </row>
    <row r="5330">
      <c r="A5330" s="5"/>
      <c r="B5330" s="5" t="str">
        <f>IFERROR(__xludf.DUMMYFUNCTION("""COMPUTED_VALUE"""),"هیأت")</f>
        <v>هیأت</v>
      </c>
      <c r="C5330" s="5" t="str">
        <f>IFERROR(__xludf.DUMMYFUNCTION("""COMPUTED_VALUE"""),"ام الائمه")</f>
        <v>ام الائمه</v>
      </c>
      <c r="D5330" s="5" t="str">
        <f>IFERROR(__xludf.DUMMYFUNCTION("""COMPUTED_VALUE"""),"لرستان")</f>
        <v>لرستان</v>
      </c>
      <c r="E5330" s="5" t="str">
        <f>IFERROR(__xludf.DUMMYFUNCTION("""COMPUTED_VALUE"""),"خرم‌ آباد")</f>
        <v>خرم‌ آباد</v>
      </c>
      <c r="F5330" s="5"/>
      <c r="G5330" s="5"/>
      <c r="H5330" s="6" t="str">
        <f>IFERROR(__xludf.DUMMYFUNCTION("""COMPUTED_VALUE"""),"https://www.instagram.com/omolaemeh_ir/")</f>
        <v>https://www.instagram.com/omolaemeh_ir/</v>
      </c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</row>
    <row r="5331">
      <c r="A5331" s="5"/>
      <c r="B5331" s="5" t="str">
        <f>IFERROR(__xludf.DUMMYFUNCTION("""COMPUTED_VALUE"""),"هیأت")</f>
        <v>هیأت</v>
      </c>
      <c r="C5331" s="5" t="str">
        <f>IFERROR(__xludf.DUMMYFUNCTION("""COMPUTED_VALUE"""),"مجانین العباس")</f>
        <v>مجانین العباس</v>
      </c>
      <c r="D5331" s="5" t="str">
        <f>IFERROR(__xludf.DUMMYFUNCTION("""COMPUTED_VALUE"""),"لرستان")</f>
        <v>لرستان</v>
      </c>
      <c r="E5331" s="5" t="str">
        <f>IFERROR(__xludf.DUMMYFUNCTION("""COMPUTED_VALUE"""),"دورود")</f>
        <v>دورود</v>
      </c>
      <c r="F5331" s="5"/>
      <c r="G5331" s="5"/>
      <c r="H5331" s="6" t="str">
        <f>IFERROR(__xludf.DUMMYFUNCTION("""COMPUTED_VALUE"""),"https://www.instagram.com/majanin_al_abas133/")</f>
        <v>https://www.instagram.com/majanin_al_abas133/</v>
      </c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</row>
    <row r="5332">
      <c r="A5332" s="5"/>
      <c r="B5332" s="5" t="str">
        <f>IFERROR(__xludf.DUMMYFUNCTION("""COMPUTED_VALUE"""),"هیأت")</f>
        <v>هیأت</v>
      </c>
      <c r="C5332" s="5" t="str">
        <f>IFERROR(__xludf.DUMMYFUNCTION("""COMPUTED_VALUE"""),"رایة العباس ")</f>
        <v>رایة العباس </v>
      </c>
      <c r="D5332" s="5" t="str">
        <f>IFERROR(__xludf.DUMMYFUNCTION("""COMPUTED_VALUE"""),"لرستان")</f>
        <v>لرستان</v>
      </c>
      <c r="E5332" s="5" t="str">
        <f>IFERROR(__xludf.DUMMYFUNCTION("""COMPUTED_VALUE"""),"ازنا")</f>
        <v>ازنا</v>
      </c>
      <c r="F5332" s="5"/>
      <c r="G5332" s="5"/>
      <c r="H5332" s="6" t="str">
        <f>IFERROR(__xludf.DUMMYFUNCTION("""COMPUTED_VALUE"""),"https://www.instagram.com/heyat_raitolabbas_azna/")</f>
        <v>https://www.instagram.com/heyat_raitolabbas_azna/</v>
      </c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</row>
    <row r="5333">
      <c r="A5333" s="5"/>
      <c r="B5333" s="5" t="str">
        <f>IFERROR(__xludf.DUMMYFUNCTION("""COMPUTED_VALUE"""),"هیأت")</f>
        <v>هیأت</v>
      </c>
      <c r="C5333" s="5" t="str">
        <f>IFERROR(__xludf.DUMMYFUNCTION("""COMPUTED_VALUE"""),"علمدار")</f>
        <v>علمدار</v>
      </c>
      <c r="D5333" s="5" t="str">
        <f>IFERROR(__xludf.DUMMYFUNCTION("""COMPUTED_VALUE"""),"لرستان")</f>
        <v>لرستان</v>
      </c>
      <c r="E5333" s="5" t="str">
        <f>IFERROR(__xludf.DUMMYFUNCTION("""COMPUTED_VALUE"""),"بروجرد")</f>
        <v>بروجرد</v>
      </c>
      <c r="F5333" s="5"/>
      <c r="G5333" s="5"/>
      <c r="H5333" s="6" t="str">
        <f>IFERROR(__xludf.DUMMYFUNCTION("""COMPUTED_VALUE"""),"https://www.instagram.com/mahfel_e_alamdar/")</f>
        <v>https://www.instagram.com/mahfel_e_alamdar/</v>
      </c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</row>
    <row r="5334">
      <c r="A5334" s="5"/>
      <c r="B5334" s="5" t="str">
        <f>IFERROR(__xludf.DUMMYFUNCTION("""COMPUTED_VALUE"""),"هیأت")</f>
        <v>هیأت</v>
      </c>
      <c r="C5334" s="5" t="str">
        <f>IFERROR(__xludf.DUMMYFUNCTION("""COMPUTED_VALUE"""),"رزمندگان اسلام")</f>
        <v>رزمندگان اسلام</v>
      </c>
      <c r="D5334" s="5" t="str">
        <f>IFERROR(__xludf.DUMMYFUNCTION("""COMPUTED_VALUE"""),"لرستان")</f>
        <v>لرستان</v>
      </c>
      <c r="E5334" s="5" t="str">
        <f>IFERROR(__xludf.DUMMYFUNCTION("""COMPUTED_VALUE"""),"لرستان")</f>
        <v>لرستان</v>
      </c>
      <c r="F5334" s="5"/>
      <c r="G5334" s="5"/>
      <c r="H5334" s="5"/>
      <c r="I5334" s="5"/>
      <c r="J5334" s="6" t="str">
        <f>IFERROR(__xludf.DUMMYFUNCTION("""COMPUTED_VALUE"""),"https://eitaa.com/heyat_razmandegan_lorestan")</f>
        <v>https://eitaa.com/heyat_razmandegan_lorestan</v>
      </c>
      <c r="K5334" s="5"/>
      <c r="L5334" s="5"/>
      <c r="M5334" s="5"/>
      <c r="N5334" s="5"/>
      <c r="O5334" s="5"/>
      <c r="P5334" s="5"/>
      <c r="Q5334" s="5"/>
      <c r="R5334" s="5"/>
      <c r="S5334" s="5"/>
    </row>
    <row r="5335">
      <c r="A5335" s="5"/>
      <c r="B5335" s="5" t="str">
        <f>IFERROR(__xludf.DUMMYFUNCTION("""COMPUTED_VALUE"""),"هیأت")</f>
        <v>هیأت</v>
      </c>
      <c r="C5335" s="5" t="str">
        <f>IFERROR(__xludf.DUMMYFUNCTION("""COMPUTED_VALUE"""),"خادم العباس (ع)")</f>
        <v>خادم العباس (ع)</v>
      </c>
      <c r="D5335" s="5" t="str">
        <f>IFERROR(__xludf.DUMMYFUNCTION("""COMPUTED_VALUE"""),"لرستان")</f>
        <v>لرستان</v>
      </c>
      <c r="E5335" s="5" t="str">
        <f>IFERROR(__xludf.DUMMYFUNCTION("""COMPUTED_VALUE"""),"ازنا")</f>
        <v>ازنا</v>
      </c>
      <c r="F5335" s="5"/>
      <c r="G5335" s="5"/>
      <c r="H5335" s="6" t="str">
        <f>IFERROR(__xludf.DUMMYFUNCTION("""COMPUTED_VALUE"""),"https://www.instagram.com/heyat_khademolabbas_azna/")</f>
        <v>https://www.instagram.com/heyat_khademolabbas_azna/</v>
      </c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</row>
    <row r="5336">
      <c r="A5336" s="5"/>
      <c r="B5336" s="5" t="str">
        <f>IFERROR(__xludf.DUMMYFUNCTION("""COMPUTED_VALUE"""),"هیأت")</f>
        <v>هیأت</v>
      </c>
      <c r="C5336" s="5" t="str">
        <f>IFERROR(__xludf.DUMMYFUNCTION("""COMPUTED_VALUE"""),"محبان حضرت مهدی")</f>
        <v>محبان حضرت مهدی</v>
      </c>
      <c r="D5336" s="5" t="str">
        <f>IFERROR(__xludf.DUMMYFUNCTION("""COMPUTED_VALUE"""),"لرستان")</f>
        <v>لرستان</v>
      </c>
      <c r="E5336" s="5" t="str">
        <f>IFERROR(__xludf.DUMMYFUNCTION("""COMPUTED_VALUE"""),"ازنا")</f>
        <v>ازنا</v>
      </c>
      <c r="F5336" s="5"/>
      <c r="G5336" s="5"/>
      <c r="H5336" s="5"/>
      <c r="I5336" s="5"/>
      <c r="J5336" s="6" t="str">
        <f>IFERROR(__xludf.DUMMYFUNCTION("""COMPUTED_VALUE"""),"https://eitaa.com/mohebanazna14")</f>
        <v>https://eitaa.com/mohebanazna14</v>
      </c>
      <c r="K5336" s="5"/>
      <c r="L5336" s="5"/>
      <c r="M5336" s="5"/>
      <c r="N5336" s="5"/>
      <c r="O5336" s="5"/>
      <c r="P5336" s="5"/>
      <c r="Q5336" s="5"/>
      <c r="R5336" s="5"/>
      <c r="S5336" s="5"/>
    </row>
    <row r="5337">
      <c r="A5337" s="5"/>
      <c r="B5337" s="5" t="str">
        <f>IFERROR(__xludf.DUMMYFUNCTION("""COMPUTED_VALUE"""),"هیأت")</f>
        <v>هیأت</v>
      </c>
      <c r="C5337" s="5" t="str">
        <f>IFERROR(__xludf.DUMMYFUNCTION("""COMPUTED_VALUE"""),"زینبیون")</f>
        <v>زینبیون</v>
      </c>
      <c r="D5337" s="5" t="str">
        <f>IFERROR(__xludf.DUMMYFUNCTION("""COMPUTED_VALUE"""),"لرستان")</f>
        <v>لرستان</v>
      </c>
      <c r="E5337" s="5" t="str">
        <f>IFERROR(__xludf.DUMMYFUNCTION("""COMPUTED_VALUE"""),"نورآباد")</f>
        <v>نورآباد</v>
      </c>
      <c r="F5337" s="5"/>
      <c r="G5337" s="5"/>
      <c r="H5337" s="6" t="str">
        <f>IFERROR(__xludf.DUMMYFUNCTION("""COMPUTED_VALUE"""),"https://www.instagram.com/heiat.zeinabeun.mamasani/")</f>
        <v>https://www.instagram.com/heiat.zeinabeun.mamasani/</v>
      </c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</row>
    <row r="5338">
      <c r="A5338" s="5"/>
      <c r="B5338" s="5" t="str">
        <f>IFERROR(__xludf.DUMMYFUNCTION("""COMPUTED_VALUE"""),"هیأت")</f>
        <v>هیأت</v>
      </c>
      <c r="C5338" s="5" t="str">
        <f>IFERROR(__xludf.DUMMYFUNCTION("""COMPUTED_VALUE"""),"رزمندگان اسلام")</f>
        <v>رزمندگان اسلام</v>
      </c>
      <c r="D5338" s="5" t="str">
        <f>IFERROR(__xludf.DUMMYFUNCTION("""COMPUTED_VALUE"""),"لرستان")</f>
        <v>لرستان</v>
      </c>
      <c r="E5338" s="5" t="str">
        <f>IFERROR(__xludf.DUMMYFUNCTION("""COMPUTED_VALUE"""),"ازنا")</f>
        <v>ازنا</v>
      </c>
      <c r="F5338" s="5"/>
      <c r="G5338" s="5"/>
      <c r="H5338" s="6" t="str">
        <f>IFERROR(__xludf.DUMMYFUNCTION("""COMPUTED_VALUE"""),"https://www.instagram.com/eheyat_azna/")</f>
        <v>https://www.instagram.com/eheyat_azna/</v>
      </c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</row>
    <row r="5339">
      <c r="A5339" s="5"/>
      <c r="B5339" s="5" t="str">
        <f>IFERROR(__xludf.DUMMYFUNCTION("""COMPUTED_VALUE"""),"هیأت")</f>
        <v>هیأت</v>
      </c>
      <c r="C5339" s="5" t="str">
        <f>IFERROR(__xludf.DUMMYFUNCTION("""COMPUTED_VALUE"""),"علمدار")</f>
        <v>علمدار</v>
      </c>
      <c r="D5339" s="5" t="str">
        <f>IFERROR(__xludf.DUMMYFUNCTION("""COMPUTED_VALUE"""),"لرستان")</f>
        <v>لرستان</v>
      </c>
      <c r="E5339" s="5" t="str">
        <f>IFERROR(__xludf.DUMMYFUNCTION("""COMPUTED_VALUE"""),"الیگودرز")</f>
        <v>الیگودرز</v>
      </c>
      <c r="F5339" s="5"/>
      <c r="G5339" s="5"/>
      <c r="H5339" s="6" t="str">
        <f>IFERROR(__xludf.DUMMYFUNCTION("""COMPUTED_VALUE"""),"https://www.instagram.com/heyaat_alamdar/")</f>
        <v>https://www.instagram.com/heyaat_alamdar/</v>
      </c>
      <c r="I5339" s="6" t="str">
        <f>IFERROR(__xludf.DUMMYFUNCTION("""COMPUTED_VALUE"""),"telegram.me/heyatalamdar")</f>
        <v>telegram.me/heyatalamdar</v>
      </c>
      <c r="J5339" s="5"/>
      <c r="K5339" s="5"/>
      <c r="L5339" s="5"/>
      <c r="M5339" s="5"/>
      <c r="N5339" s="5"/>
      <c r="O5339" s="5"/>
      <c r="P5339" s="5"/>
      <c r="Q5339" s="5"/>
      <c r="R5339" s="5"/>
      <c r="S5339" s="5"/>
    </row>
    <row r="5340">
      <c r="A5340" s="5"/>
      <c r="B5340" s="5" t="str">
        <f>IFERROR(__xludf.DUMMYFUNCTION("""COMPUTED_VALUE"""),"هیأت")</f>
        <v>هیأت</v>
      </c>
      <c r="C5340" s="5" t="str">
        <f>IFERROR(__xludf.DUMMYFUNCTION("""COMPUTED_VALUE"""),"جنت الحسین (ع)")</f>
        <v>جنت الحسین (ع)</v>
      </c>
      <c r="D5340" s="5" t="str">
        <f>IFERROR(__xludf.DUMMYFUNCTION("""COMPUTED_VALUE"""),"لرستان")</f>
        <v>لرستان</v>
      </c>
      <c r="E5340" s="5" t="str">
        <f>IFERROR(__xludf.DUMMYFUNCTION("""COMPUTED_VALUE"""),"خرم آباد")</f>
        <v>خرم آباد</v>
      </c>
      <c r="F5340" s="5"/>
      <c r="G5340" s="5"/>
      <c r="H5340" s="6" t="str">
        <f>IFERROR(__xludf.DUMMYFUNCTION("""COMPUTED_VALUE"""),"https://www.instagram.com/janathoosin1381/")</f>
        <v>https://www.instagram.com/janathoosin1381/</v>
      </c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</row>
    <row r="5341">
      <c r="A5341" s="5"/>
      <c r="B5341" s="5" t="str">
        <f>IFERROR(__xludf.DUMMYFUNCTION("""COMPUTED_VALUE"""),"هیأت دانشجویی")</f>
        <v>هیأت دانشجویی</v>
      </c>
      <c r="C5341" s="5" t="str">
        <f>IFERROR(__xludf.DUMMYFUNCTION("""COMPUTED_VALUE"""),"رایه العباس (ع)")</f>
        <v>رایه العباس (ع)</v>
      </c>
      <c r="D5341" s="5" t="str">
        <f>IFERROR(__xludf.DUMMYFUNCTION("""COMPUTED_VALUE"""),"لرستان")</f>
        <v>لرستان</v>
      </c>
      <c r="E5341" s="5" t="str">
        <f>IFERROR(__xludf.DUMMYFUNCTION("""COMPUTED_VALUE"""),"لرستان")</f>
        <v>لرستان</v>
      </c>
      <c r="F5341" s="5"/>
      <c r="G5341" s="5"/>
      <c r="H5341" s="6" t="str">
        <f>IFERROR(__xludf.DUMMYFUNCTION("""COMPUTED_VALUE"""),"https://www.instagram.com/heyat_lu/")</f>
        <v>https://www.instagram.com/heyat_lu/</v>
      </c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</row>
    <row r="5342">
      <c r="A5342" s="5"/>
      <c r="B5342" s="5" t="str">
        <f>IFERROR(__xludf.DUMMYFUNCTION("""COMPUTED_VALUE"""),"هیأت")</f>
        <v>هیأت</v>
      </c>
      <c r="C5342" s="5" t="str">
        <f>IFERROR(__xludf.DUMMYFUNCTION("""COMPUTED_VALUE"""),"متوسلین به باقرالعلوم (ع)")</f>
        <v>متوسلین به باقرالعلوم (ع)</v>
      </c>
      <c r="D5342" s="5" t="str">
        <f>IFERROR(__xludf.DUMMYFUNCTION("""COMPUTED_VALUE"""),"لرستان")</f>
        <v>لرستان</v>
      </c>
      <c r="E5342" s="5" t="str">
        <f>IFERROR(__xludf.DUMMYFUNCTION("""COMPUTED_VALUE"""),"خرم آباد")</f>
        <v>خرم آباد</v>
      </c>
      <c r="F5342" s="5"/>
      <c r="G5342" s="5"/>
      <c r="H5342" s="6" t="str">
        <f>IFERROR(__xludf.DUMMYFUNCTION("""COMPUTED_VALUE"""),"https://www.instagram.com/heyat_motavaslin_m_belal/")</f>
        <v>https://www.instagram.com/heyat_motavaslin_m_belal/</v>
      </c>
      <c r="I5342" s="6" t="str">
        <f>IFERROR(__xludf.DUMMYFUNCTION("""COMPUTED_VALUE"""),"t.me/heyat_motavaslin_m_belal")</f>
        <v>t.me/heyat_motavaslin_m_belal</v>
      </c>
      <c r="J5342" s="5"/>
      <c r="K5342" s="5"/>
      <c r="L5342" s="5"/>
      <c r="M5342" s="5"/>
      <c r="N5342" s="5"/>
      <c r="O5342" s="5"/>
      <c r="P5342" s="5"/>
      <c r="Q5342" s="5"/>
      <c r="R5342" s="5"/>
      <c r="S5342" s="5"/>
    </row>
    <row r="5343">
      <c r="A5343" s="5"/>
      <c r="B5343" s="5" t="str">
        <f>IFERROR(__xludf.DUMMYFUNCTION("""COMPUTED_VALUE"""),"هیأت")</f>
        <v>هیأت</v>
      </c>
      <c r="C5343" s="5" t="str">
        <f>IFERROR(__xludf.DUMMYFUNCTION("""COMPUTED_VALUE"""),"ابوالفضل العباس (ع)")</f>
        <v>ابوالفضل العباس (ع)</v>
      </c>
      <c r="D5343" s="5" t="str">
        <f>IFERROR(__xludf.DUMMYFUNCTION("""COMPUTED_VALUE"""),"لرستان")</f>
        <v>لرستان</v>
      </c>
      <c r="E5343" s="5" t="str">
        <f>IFERROR(__xludf.DUMMYFUNCTION("""COMPUTED_VALUE"""),"نورآباد")</f>
        <v>نورآباد</v>
      </c>
      <c r="F5343" s="5"/>
      <c r="G5343" s="5"/>
      <c r="H5343" s="6" t="str">
        <f>IFERROR(__xludf.DUMMYFUNCTION("""COMPUTED_VALUE"""),"https://www.instagram.com/abalfazl.mamasani/")</f>
        <v>https://www.instagram.com/abalfazl.mamasani/</v>
      </c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</row>
    <row r="5344">
      <c r="A5344" s="5"/>
      <c r="B5344" s="5" t="str">
        <f>IFERROR(__xludf.DUMMYFUNCTION("""COMPUTED_VALUE"""),"هیأت")</f>
        <v>هیأت</v>
      </c>
      <c r="C5344" s="5" t="str">
        <f>IFERROR(__xludf.DUMMYFUNCTION("""COMPUTED_VALUE"""),"نورالزهرا (س)")</f>
        <v>نورالزهرا (س)</v>
      </c>
      <c r="D5344" s="5" t="str">
        <f>IFERROR(__xludf.DUMMYFUNCTION("""COMPUTED_VALUE"""),"لرستان")</f>
        <v>لرستان</v>
      </c>
      <c r="E5344" s="5" t="str">
        <f>IFERROR(__xludf.DUMMYFUNCTION("""COMPUTED_VALUE"""),"خرم آباد")</f>
        <v>خرم آباد</v>
      </c>
      <c r="F5344" s="5"/>
      <c r="G5344" s="5"/>
      <c r="H5344" s="6" t="str">
        <f>IFERROR(__xludf.DUMMYFUNCTION("""COMPUTED_VALUE"""),"https://www.instagram.com/nooor.alzahra/")</f>
        <v>https://www.instagram.com/nooor.alzahra/</v>
      </c>
      <c r="I5344" s="5"/>
      <c r="J5344" s="6" t="str">
        <f>IFERROR(__xludf.DUMMYFUNCTION("""COMPUTED_VALUE"""),"eitaa.com/noooralzahra")</f>
        <v>eitaa.com/noooralzahra</v>
      </c>
      <c r="K5344" s="5"/>
      <c r="L5344" s="5"/>
      <c r="M5344" s="5"/>
      <c r="N5344" s="5"/>
      <c r="O5344" s="5"/>
      <c r="P5344" s="5"/>
      <c r="Q5344" s="5"/>
      <c r="R5344" s="5"/>
      <c r="S5344" s="5"/>
    </row>
    <row r="5345">
      <c r="A5345" s="5"/>
      <c r="B5345" s="5" t="str">
        <f>IFERROR(__xludf.DUMMYFUNCTION("""COMPUTED_VALUE"""),"هیأت")</f>
        <v>هیأت</v>
      </c>
      <c r="C5345" s="5" t="str">
        <f>IFERROR(__xludf.DUMMYFUNCTION("""COMPUTED_VALUE"""),"غوث الفقرا")</f>
        <v>غوث الفقرا</v>
      </c>
      <c r="D5345" s="5" t="str">
        <f>IFERROR(__xludf.DUMMYFUNCTION("""COMPUTED_VALUE"""),"لرستان")</f>
        <v>لرستان</v>
      </c>
      <c r="E5345" s="5" t="str">
        <f>IFERROR(__xludf.DUMMYFUNCTION("""COMPUTED_VALUE"""),"خرم آباد")</f>
        <v>خرم آباد</v>
      </c>
      <c r="F5345" s="5"/>
      <c r="G5345" s="5"/>
      <c r="H5345" s="6" t="str">
        <f>IFERROR(__xludf.DUMMYFUNCTION("""COMPUTED_VALUE"""),"https://www.instagram.com/h_ghosalfoghara/")</f>
        <v>https://www.instagram.com/h_ghosalfoghara/</v>
      </c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</row>
    <row r="5346">
      <c r="A5346" s="5"/>
      <c r="B5346" s="5" t="str">
        <f>IFERROR(__xludf.DUMMYFUNCTION("""COMPUTED_VALUE"""),"هیأت")</f>
        <v>هیأت</v>
      </c>
      <c r="C5346" s="5" t="str">
        <f>IFERROR(__xludf.DUMMYFUNCTION("""COMPUTED_VALUE"""),"بیت الزهرا (س)")</f>
        <v>بیت الزهرا (س)</v>
      </c>
      <c r="D5346" s="5" t="str">
        <f>IFERROR(__xludf.DUMMYFUNCTION("""COMPUTED_VALUE"""),"لرستان")</f>
        <v>لرستان</v>
      </c>
      <c r="E5346" s="5" t="str">
        <f>IFERROR(__xludf.DUMMYFUNCTION("""COMPUTED_VALUE"""),"بروجرد")</f>
        <v>بروجرد</v>
      </c>
      <c r="F5346" s="5"/>
      <c r="G5346" s="5"/>
      <c r="H5346" s="5"/>
      <c r="I5346" s="5"/>
      <c r="J5346" s="6" t="str">
        <f>IFERROR(__xludf.DUMMYFUNCTION("""COMPUTED_VALUE"""),"https://eitaa.com/b_zahra_ir")</f>
        <v>https://eitaa.com/b_zahra_ir</v>
      </c>
      <c r="K5346" s="5"/>
      <c r="L5346" s="5"/>
      <c r="M5346" s="5"/>
      <c r="N5346" s="5"/>
      <c r="O5346" s="5"/>
      <c r="P5346" s="5"/>
      <c r="Q5346" s="5"/>
      <c r="R5346" s="5"/>
      <c r="S5346" s="5"/>
    </row>
    <row r="5347">
      <c r="A5347" s="5"/>
      <c r="B5347" s="5" t="str">
        <f>IFERROR(__xludf.DUMMYFUNCTION("""COMPUTED_VALUE"""),"هیأت")</f>
        <v>هیأت</v>
      </c>
      <c r="C5347" s="5" t="str">
        <f>IFERROR(__xludf.DUMMYFUNCTION("""COMPUTED_VALUE"""),"رقیه بنت الحسین (س)")</f>
        <v>رقیه بنت الحسین (س)</v>
      </c>
      <c r="D5347" s="5" t="str">
        <f>IFERROR(__xludf.DUMMYFUNCTION("""COMPUTED_VALUE"""),"لرستان")</f>
        <v>لرستان</v>
      </c>
      <c r="E5347" s="5" t="str">
        <f>IFERROR(__xludf.DUMMYFUNCTION("""COMPUTED_VALUE"""),"خرم آباد")</f>
        <v>خرم آباد</v>
      </c>
      <c r="F5347" s="5"/>
      <c r="G5347" s="5"/>
      <c r="H5347" s="6" t="str">
        <f>IFERROR(__xludf.DUMMYFUNCTION("""COMPUTED_VALUE"""),"https://www.instagram.com/roqayeh_bent_hosein_/")</f>
        <v>https://www.instagram.com/roqayeh_bent_hosein_/</v>
      </c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</row>
    <row r="5348">
      <c r="A5348" s="5"/>
      <c r="B5348" s="5" t="str">
        <f>IFERROR(__xludf.DUMMYFUNCTION("""COMPUTED_VALUE"""),"هیأت")</f>
        <v>هیأت</v>
      </c>
      <c r="C5348" s="5" t="str">
        <f>IFERROR(__xludf.DUMMYFUNCTION("""COMPUTED_VALUE"""),"نورالشهدا")</f>
        <v>نورالشهدا</v>
      </c>
      <c r="D5348" s="5" t="str">
        <f>IFERROR(__xludf.DUMMYFUNCTION("""COMPUTED_VALUE"""),"لرستان")</f>
        <v>لرستان</v>
      </c>
      <c r="E5348" s="5" t="str">
        <f>IFERROR(__xludf.DUMMYFUNCTION("""COMPUTED_VALUE"""),"خرم آباد")</f>
        <v>خرم آباد</v>
      </c>
      <c r="F5348" s="5"/>
      <c r="G5348" s="5"/>
      <c r="H5348" s="6" t="str">
        <f>IFERROR(__xludf.DUMMYFUNCTION("""COMPUTED_VALUE"""),"https://www.instagram.com/nooralshohada_31/")</f>
        <v>https://www.instagram.com/nooralshohada_31/</v>
      </c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</row>
    <row r="5349">
      <c r="A5349" s="5"/>
      <c r="B5349" s="5" t="str">
        <f>IFERROR(__xludf.DUMMYFUNCTION("""COMPUTED_VALUE"""),"هیأت")</f>
        <v>هیأت</v>
      </c>
      <c r="C5349" s="5" t="str">
        <f>IFERROR(__xludf.DUMMYFUNCTION("""COMPUTED_VALUE"""),"متوسلین شاه مردان علی(ع)")</f>
        <v>متوسلین شاه مردان علی(ع)</v>
      </c>
      <c r="D5349" s="5" t="str">
        <f>IFERROR(__xludf.DUMMYFUNCTION("""COMPUTED_VALUE"""),"لرستان")</f>
        <v>لرستان</v>
      </c>
      <c r="E5349" s="5" t="str">
        <f>IFERROR(__xludf.DUMMYFUNCTION("""COMPUTED_VALUE"""),"دورود")</f>
        <v>دورود</v>
      </c>
      <c r="F5349" s="5"/>
      <c r="G5349" s="5"/>
      <c r="H5349" s="6" t="str">
        <f>IFERROR(__xludf.DUMMYFUNCTION("""COMPUTED_VALUE"""),"https://www.instagram.com/heyateshahemardan/")</f>
        <v>https://www.instagram.com/heyateshahemardan/</v>
      </c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</row>
    <row r="5350">
      <c r="A5350" s="5"/>
      <c r="B5350" s="5" t="str">
        <f>IFERROR(__xludf.DUMMYFUNCTION("""COMPUTED_VALUE"""),"هیأت")</f>
        <v>هیأت</v>
      </c>
      <c r="C5350" s="5" t="str">
        <f>IFERROR(__xludf.DUMMYFUNCTION("""COMPUTED_VALUE"""),"رقیه بنت الحسین (س)")</f>
        <v>رقیه بنت الحسین (س)</v>
      </c>
      <c r="D5350" s="5" t="str">
        <f>IFERROR(__xludf.DUMMYFUNCTION("""COMPUTED_VALUE"""),"لرستان")</f>
        <v>لرستان</v>
      </c>
      <c r="E5350" s="5" t="str">
        <f>IFERROR(__xludf.DUMMYFUNCTION("""COMPUTED_VALUE"""),"دورود")</f>
        <v>دورود</v>
      </c>
      <c r="F5350" s="5"/>
      <c r="G5350" s="5"/>
      <c r="H5350" s="6" t="str">
        <f>IFERROR(__xludf.DUMMYFUNCTION("""COMPUTED_VALUE"""),"https://www.instagram.com/roghayeh_bentolhossein/")</f>
        <v>https://www.instagram.com/roghayeh_bentolhossein/</v>
      </c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</row>
    <row r="5351">
      <c r="A5351" s="5"/>
      <c r="B5351" s="5" t="str">
        <f>IFERROR(__xludf.DUMMYFUNCTION("""COMPUTED_VALUE"""),"هیأت")</f>
        <v>هیأت</v>
      </c>
      <c r="C5351" s="5" t="str">
        <f>IFERROR(__xludf.DUMMYFUNCTION("""COMPUTED_VALUE"""),"مکتب الزینب (س)")</f>
        <v>مکتب الزینب (س)</v>
      </c>
      <c r="D5351" s="5" t="str">
        <f>IFERROR(__xludf.DUMMYFUNCTION("""COMPUTED_VALUE"""),"لرستان")</f>
        <v>لرستان</v>
      </c>
      <c r="E5351" s="5" t="str">
        <f>IFERROR(__xludf.DUMMYFUNCTION("""COMPUTED_VALUE"""),"دورود")</f>
        <v>دورود</v>
      </c>
      <c r="F5351" s="5"/>
      <c r="G5351" s="5"/>
      <c r="H5351" s="6" t="str">
        <f>IFERROR(__xludf.DUMMYFUNCTION("""COMPUTED_VALUE"""),"https://www.instagram.com/maktabool_zeinab_69/")</f>
        <v>https://www.instagram.com/maktabool_zeinab_69/</v>
      </c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</row>
    <row r="5352">
      <c r="A5352" s="5"/>
      <c r="B5352" s="5" t="str">
        <f>IFERROR(__xludf.DUMMYFUNCTION("""COMPUTED_VALUE"""),"هیأت")</f>
        <v>هیأت</v>
      </c>
      <c r="C5352" s="5" t="str">
        <f>IFERROR(__xludf.DUMMYFUNCTION("""COMPUTED_VALUE"""),"امیرالمومنین(ع)")</f>
        <v>امیرالمومنین(ع)</v>
      </c>
      <c r="D5352" s="5" t="str">
        <f>IFERROR(__xludf.DUMMYFUNCTION("""COMPUTED_VALUE"""),"لرستان")</f>
        <v>لرستان</v>
      </c>
      <c r="E5352" s="5" t="str">
        <f>IFERROR(__xludf.DUMMYFUNCTION("""COMPUTED_VALUE"""),"الیگودرز")</f>
        <v>الیگودرز</v>
      </c>
      <c r="F5352" s="5"/>
      <c r="G5352" s="5"/>
      <c r="H5352" s="6" t="str">
        <f>IFERROR(__xludf.DUMMYFUNCTION("""COMPUTED_VALUE"""),"https://www.instagram.com/heiat_amir/")</f>
        <v>https://www.instagram.com/heiat_amir/</v>
      </c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</row>
    <row r="5353">
      <c r="A5353" s="5"/>
      <c r="B5353" s="5" t="str">
        <f>IFERROR(__xludf.DUMMYFUNCTION("""COMPUTED_VALUE"""),"هیأت")</f>
        <v>هیأت</v>
      </c>
      <c r="C5353" s="5" t="str">
        <f>IFERROR(__xludf.DUMMYFUNCTION("""COMPUTED_VALUE"""),"آل یاسین")</f>
        <v>آل یاسین</v>
      </c>
      <c r="D5353" s="5" t="str">
        <f>IFERROR(__xludf.DUMMYFUNCTION("""COMPUTED_VALUE"""),"لرستان")</f>
        <v>لرستان</v>
      </c>
      <c r="E5353" s="5" t="str">
        <f>IFERROR(__xludf.DUMMYFUNCTION("""COMPUTED_VALUE"""),"الیگودرز")</f>
        <v>الیگودرز</v>
      </c>
      <c r="F5353" s="5"/>
      <c r="G5353" s="5"/>
      <c r="H5353" s="6" t="str">
        <f>IFERROR(__xludf.DUMMYFUNCTION("""COMPUTED_VALUE"""),"https://www.instagram.com/Aleya30n/")</f>
        <v>https://www.instagram.com/Aleya30n/</v>
      </c>
      <c r="I5353" s="6" t="str">
        <f>IFERROR(__xludf.DUMMYFUNCTION("""COMPUTED_VALUE"""),"tlgrm.me//aleya30n")</f>
        <v>tlgrm.me//aleya30n</v>
      </c>
      <c r="J5353" s="5"/>
      <c r="K5353" s="5"/>
      <c r="L5353" s="5"/>
      <c r="M5353" s="5"/>
      <c r="N5353" s="5"/>
      <c r="O5353" s="5"/>
      <c r="P5353" s="5"/>
      <c r="Q5353" s="5"/>
      <c r="R5353" s="5"/>
      <c r="S5353" s="5"/>
    </row>
    <row r="5354">
      <c r="A5354" s="5"/>
      <c r="B5354" s="5" t="str">
        <f>IFERROR(__xludf.DUMMYFUNCTION("""COMPUTED_VALUE"""),"هیأت")</f>
        <v>هیأت</v>
      </c>
      <c r="C5354" s="5" t="str">
        <f>IFERROR(__xludf.DUMMYFUNCTION("""COMPUTED_VALUE"""),"محبین آل یاسین")</f>
        <v>محبین آل یاسین</v>
      </c>
      <c r="D5354" s="5" t="str">
        <f>IFERROR(__xludf.DUMMYFUNCTION("""COMPUTED_VALUE"""),"لرستان")</f>
        <v>لرستان</v>
      </c>
      <c r="E5354" s="5" t="str">
        <f>IFERROR(__xludf.DUMMYFUNCTION("""COMPUTED_VALUE"""),"بروجرد")</f>
        <v>بروجرد</v>
      </c>
      <c r="F5354" s="5"/>
      <c r="G5354" s="5"/>
      <c r="H5354" s="6" t="str">
        <f>IFERROR(__xludf.DUMMYFUNCTION("""COMPUTED_VALUE"""),"https://www.instagram.com/mohebin_ale_yassin/")</f>
        <v>https://www.instagram.com/mohebin_ale_yassin/</v>
      </c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</row>
    <row r="5355">
      <c r="A5355" s="5"/>
      <c r="B5355" s="5" t="str">
        <f>IFERROR(__xludf.DUMMYFUNCTION("""COMPUTED_VALUE"""),"هیأت")</f>
        <v>هیأت</v>
      </c>
      <c r="C5355" s="5" t="str">
        <f>IFERROR(__xludf.DUMMYFUNCTION("""COMPUTED_VALUE"""),"محبیین گل یاس (محبان حضرت صدیقه طاهره(س))")</f>
        <v>محبیین گل یاس (محبان حضرت صدیقه طاهره(س))</v>
      </c>
      <c r="D5355" s="5" t="str">
        <f>IFERROR(__xludf.DUMMYFUNCTION("""COMPUTED_VALUE"""),"لرستان")</f>
        <v>لرستان</v>
      </c>
      <c r="E5355" s="5" t="str">
        <f>IFERROR(__xludf.DUMMYFUNCTION("""COMPUTED_VALUE"""),"بروجرد")</f>
        <v>بروجرد</v>
      </c>
      <c r="F5355" s="5"/>
      <c r="G5355" s="5"/>
      <c r="H5355" s="6" t="str">
        <f>IFERROR(__xludf.DUMMYFUNCTION("""COMPUTED_VALUE"""),"https://www.instagram.com/mohebingoleyas/")</f>
        <v>https://www.instagram.com/mohebingoleyas/</v>
      </c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</row>
    <row r="5356">
      <c r="A5356" s="5"/>
      <c r="B5356" s="5" t="str">
        <f>IFERROR(__xludf.DUMMYFUNCTION("""COMPUTED_VALUE"""),"هیأت")</f>
        <v>هیأت</v>
      </c>
      <c r="C5356" s="5" t="str">
        <f>IFERROR(__xludf.DUMMYFUNCTION("""COMPUTED_VALUE"""),"بسیجیان بقیه الله (مسجد ولی عصر (عج)")</f>
        <v>بسیجیان بقیه الله (مسجد ولی عصر (عج)</v>
      </c>
      <c r="D5356" s="5" t="str">
        <f>IFERROR(__xludf.DUMMYFUNCTION("""COMPUTED_VALUE"""),"لرستان")</f>
        <v>لرستان</v>
      </c>
      <c r="E5356" s="5" t="str">
        <f>IFERROR(__xludf.DUMMYFUNCTION("""COMPUTED_VALUE"""),"بروجرد")</f>
        <v>بروجرد</v>
      </c>
      <c r="F5356" s="5"/>
      <c r="G5356" s="5"/>
      <c r="H5356" s="5"/>
      <c r="I5356" s="5"/>
      <c r="J5356" s="6" t="str">
        <f>IFERROR(__xludf.DUMMYFUNCTION("""COMPUTED_VALUE"""),"https://eitaa.com/Masjednakhi")</f>
        <v>https://eitaa.com/Masjednakhi</v>
      </c>
      <c r="K5356" s="5"/>
      <c r="L5356" s="5"/>
      <c r="M5356" s="5"/>
      <c r="N5356" s="5"/>
      <c r="O5356" s="5"/>
      <c r="P5356" s="5"/>
      <c r="Q5356" s="5"/>
      <c r="R5356" s="5"/>
      <c r="S5356" s="5"/>
    </row>
    <row r="5357">
      <c r="A5357" s="5"/>
      <c r="B5357" s="5" t="str">
        <f>IFERROR(__xludf.DUMMYFUNCTION("""COMPUTED_VALUE"""),"هیأت")</f>
        <v>هیأت</v>
      </c>
      <c r="C5357" s="5" t="str">
        <f>IFERROR(__xludf.DUMMYFUNCTION("""COMPUTED_VALUE"""),"شهدای گمنام")</f>
        <v>شهدای گمنام</v>
      </c>
      <c r="D5357" s="5" t="str">
        <f>IFERROR(__xludf.DUMMYFUNCTION("""COMPUTED_VALUE"""),"لرستان")</f>
        <v>لرستان</v>
      </c>
      <c r="E5357" s="5" t="str">
        <f>IFERROR(__xludf.DUMMYFUNCTION("""COMPUTED_VALUE"""),"بروجرد")</f>
        <v>بروجرد</v>
      </c>
      <c r="F5357" s="5"/>
      <c r="G5357" s="5"/>
      <c r="H5357" s="6" t="str">
        <f>IFERROR(__xludf.DUMMYFUNCTION("""COMPUTED_VALUE"""),"https://www.instagram.com/heiiat_shohaday_gomnam/")</f>
        <v>https://www.instagram.com/heiiat_shohaday_gomnam/</v>
      </c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</row>
    <row r="5358">
      <c r="A5358" s="5"/>
      <c r="B5358" s="5" t="str">
        <f>IFERROR(__xludf.DUMMYFUNCTION("""COMPUTED_VALUE"""),"هیأت")</f>
        <v>هیأت</v>
      </c>
      <c r="C5358" s="5" t="str">
        <f>IFERROR(__xludf.DUMMYFUNCTION("""COMPUTED_VALUE"""),"جوانان بنی هاشم(ع)")</f>
        <v>جوانان بنی هاشم(ع)</v>
      </c>
      <c r="D5358" s="5" t="str">
        <f>IFERROR(__xludf.DUMMYFUNCTION("""COMPUTED_VALUE"""),"لرستان")</f>
        <v>لرستان</v>
      </c>
      <c r="E5358" s="5" t="str">
        <f>IFERROR(__xludf.DUMMYFUNCTION("""COMPUTED_VALUE"""),"بروجرد")</f>
        <v>بروجرد</v>
      </c>
      <c r="F5358" s="5"/>
      <c r="G5358" s="5"/>
      <c r="H5358" s="6" t="str">
        <f>IFERROR(__xludf.DUMMYFUNCTION("""COMPUTED_VALUE"""),"https://www.instagram.com/javananbnihashm/")</f>
        <v>https://www.instagram.com/javananbnihashm/</v>
      </c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</row>
    <row r="5359">
      <c r="A5359" s="5"/>
      <c r="B5359" s="5" t="str">
        <f>IFERROR(__xludf.DUMMYFUNCTION("""COMPUTED_VALUE"""),"هیأت")</f>
        <v>هیأت</v>
      </c>
      <c r="C5359" s="5" t="str">
        <f>IFERROR(__xludf.DUMMYFUNCTION("""COMPUTED_VALUE"""),"محبین الرقیه (س)")</f>
        <v>محبین الرقیه (س)</v>
      </c>
      <c r="D5359" s="5" t="str">
        <f>IFERROR(__xludf.DUMMYFUNCTION("""COMPUTED_VALUE"""),"لرستان")</f>
        <v>لرستان</v>
      </c>
      <c r="E5359" s="5" t="str">
        <f>IFERROR(__xludf.DUMMYFUNCTION("""COMPUTED_VALUE"""),"بروجرد")</f>
        <v>بروجرد</v>
      </c>
      <c r="F5359" s="5"/>
      <c r="G5359" s="5"/>
      <c r="H5359" s="5"/>
      <c r="I5359" s="5"/>
      <c r="J5359" s="6" t="str">
        <f>IFERROR(__xludf.DUMMYFUNCTION("""COMPUTED_VALUE"""),"https://eitaa.com/mohebinroghayeh")</f>
        <v>https://eitaa.com/mohebinroghayeh</v>
      </c>
      <c r="K5359" s="5"/>
      <c r="L5359" s="5"/>
      <c r="M5359" s="5"/>
      <c r="N5359" s="5"/>
      <c r="O5359" s="5"/>
      <c r="P5359" s="5"/>
      <c r="Q5359" s="5"/>
      <c r="R5359" s="5"/>
      <c r="S5359" s="5"/>
    </row>
    <row r="5360">
      <c r="A5360" s="5"/>
      <c r="B5360" s="5" t="str">
        <f>IFERROR(__xludf.DUMMYFUNCTION("""COMPUTED_VALUE"""),"هیأت")</f>
        <v>هیأت</v>
      </c>
      <c r="C5360" s="5" t="str">
        <f>IFERROR(__xludf.DUMMYFUNCTION("""COMPUTED_VALUE"""),"شهدای گمنام")</f>
        <v>شهدای گمنام</v>
      </c>
      <c r="D5360" s="5" t="str">
        <f>IFERROR(__xludf.DUMMYFUNCTION("""COMPUTED_VALUE"""),"لرستان")</f>
        <v>لرستان</v>
      </c>
      <c r="E5360" s="5" t="str">
        <f>IFERROR(__xludf.DUMMYFUNCTION("""COMPUTED_VALUE"""),"بروجرد")</f>
        <v>بروجرد</v>
      </c>
      <c r="F5360" s="5" t="str">
        <f>IFERROR(__xludf.DUMMYFUNCTION("""COMPUTED_VALUE""")," (دانشگاه آیت الله بروجردی)")</f>
        <v> (دانشگاه آیت الله بروجردی)</v>
      </c>
      <c r="G5360" s="5"/>
      <c r="H5360" s="6" t="str">
        <f>IFERROR(__xludf.DUMMYFUNCTION("""COMPUTED_VALUE"""),"https://www.instagram.com/h_shohada_g/")</f>
        <v>https://www.instagram.com/h_shohada_g/</v>
      </c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</row>
    <row r="5361">
      <c r="A5361" s="5"/>
      <c r="B5361" s="5" t="str">
        <f>IFERROR(__xludf.DUMMYFUNCTION("""COMPUTED_VALUE"""),"مسجد")</f>
        <v>مسجد</v>
      </c>
      <c r="C5361" s="5" t="str">
        <f>IFERROR(__xludf.DUMMYFUNCTION("""COMPUTED_VALUE""")," النبی (ص)")</f>
        <v> النبی (ص)</v>
      </c>
      <c r="D5361" s="5" t="str">
        <f>IFERROR(__xludf.DUMMYFUNCTION("""COMPUTED_VALUE"""),"لرستان")</f>
        <v>لرستان</v>
      </c>
      <c r="E5361" s="5" t="str">
        <f>IFERROR(__xludf.DUMMYFUNCTION("""COMPUTED_VALUE"""),"بروجرد")</f>
        <v>بروجرد</v>
      </c>
      <c r="F5361" s="5"/>
      <c r="G5361" s="5"/>
      <c r="H5361" s="6" t="str">
        <f>IFERROR(__xludf.DUMMYFUNCTION("""COMPUTED_VALUE"""),"https://www.instagram.com/nabi.brj/")</f>
        <v>https://www.instagram.com/nabi.brj/</v>
      </c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</row>
    <row r="5362">
      <c r="A5362" s="5"/>
      <c r="B5362" s="5" t="str">
        <f>IFERROR(__xludf.DUMMYFUNCTION("""COMPUTED_VALUE"""),"هیأت")</f>
        <v>هیأت</v>
      </c>
      <c r="C5362" s="5" t="str">
        <f>IFERROR(__xludf.DUMMYFUNCTION("""COMPUTED_VALUE"""),"شهدای گمنام / عاشقان عاشورا")</f>
        <v>شهدای گمنام / عاشقان عاشورا</v>
      </c>
      <c r="D5362" s="5" t="str">
        <f>IFERROR(__xludf.DUMMYFUNCTION("""COMPUTED_VALUE"""),"لرستان")</f>
        <v>لرستان</v>
      </c>
      <c r="E5362" s="5" t="str">
        <f>IFERROR(__xludf.DUMMYFUNCTION("""COMPUTED_VALUE"""),"بروجرد")</f>
        <v>بروجرد</v>
      </c>
      <c r="F5362" s="5"/>
      <c r="G5362" s="5"/>
      <c r="H5362" s="6" t="str">
        <f>IFERROR(__xludf.DUMMYFUNCTION("""COMPUTED_VALUE"""),"https://www.instagram.com/asheghaneashora_1374/")</f>
        <v>https://www.instagram.com/asheghaneashora_1374/</v>
      </c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</row>
    <row r="5363">
      <c r="A5363" s="5"/>
      <c r="B5363" s="5" t="str">
        <f>IFERROR(__xludf.DUMMYFUNCTION("""COMPUTED_VALUE"""),"هیأت")</f>
        <v>هیأت</v>
      </c>
      <c r="C5363" s="5" t="str">
        <f>IFERROR(__xludf.DUMMYFUNCTION("""COMPUTED_VALUE"""),"سیدالشهدا(ع) مسجد جامع")</f>
        <v>سیدالشهدا(ع) مسجد جامع</v>
      </c>
      <c r="D5363" s="5" t="str">
        <f>IFERROR(__xludf.DUMMYFUNCTION("""COMPUTED_VALUE"""),"لرستان")</f>
        <v>لرستان</v>
      </c>
      <c r="E5363" s="5" t="str">
        <f>IFERROR(__xludf.DUMMYFUNCTION("""COMPUTED_VALUE"""),"خرم آباد")</f>
        <v>خرم آباد</v>
      </c>
      <c r="F5363" s="5"/>
      <c r="G5363" s="5"/>
      <c r="H5363" s="6" t="str">
        <f>IFERROR(__xludf.DUMMYFUNCTION("""COMPUTED_VALUE"""),"https://www.instagram.com/heiatseyyedoshohada/")</f>
        <v>https://www.instagram.com/heiatseyyedoshohada/</v>
      </c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</row>
    <row r="5364">
      <c r="A5364" s="5"/>
      <c r="B5364" s="5" t="str">
        <f>IFERROR(__xludf.DUMMYFUNCTION("""COMPUTED_VALUE"""),"هیأت")</f>
        <v>هیأت</v>
      </c>
      <c r="C5364" s="5" t="str">
        <f>IFERROR(__xludf.DUMMYFUNCTION("""COMPUTED_VALUE"""),"عاشقان اهل بیت (ع)")</f>
        <v>عاشقان اهل بیت (ع)</v>
      </c>
      <c r="D5364" s="5" t="str">
        <f>IFERROR(__xludf.DUMMYFUNCTION("""COMPUTED_VALUE"""),"لرستان")</f>
        <v>لرستان</v>
      </c>
      <c r="E5364" s="5" t="str">
        <f>IFERROR(__xludf.DUMMYFUNCTION("""COMPUTED_VALUE"""),"الشتر")</f>
        <v>الشتر</v>
      </c>
      <c r="F5364" s="5"/>
      <c r="G5364" s="5"/>
      <c r="H5364" s="6" t="str">
        <f>IFERROR(__xludf.DUMMYFUNCTION("""COMPUTED_VALUE"""),"https://www.instagram.com/ashegan.ahlebeit.aleshtar/")</f>
        <v>https://www.instagram.com/ashegan.ahlebeit.aleshtar/</v>
      </c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</row>
    <row r="5365">
      <c r="A5365" s="5"/>
      <c r="B5365" s="5" t="str">
        <f>IFERROR(__xludf.DUMMYFUNCTION("""COMPUTED_VALUE"""),"هیأت")</f>
        <v>هیأت</v>
      </c>
      <c r="C5365" s="5" t="str">
        <f>IFERROR(__xludf.DUMMYFUNCTION("""COMPUTED_VALUE"""),"فاطمیون")</f>
        <v>فاطمیون</v>
      </c>
      <c r="D5365" s="5" t="str">
        <f>IFERROR(__xludf.DUMMYFUNCTION("""COMPUTED_VALUE"""),"لرستان")</f>
        <v>لرستان</v>
      </c>
      <c r="E5365" s="5" t="str">
        <f>IFERROR(__xludf.DUMMYFUNCTION("""COMPUTED_VALUE"""),"نورآباد")</f>
        <v>نورآباد</v>
      </c>
      <c r="F5365" s="5"/>
      <c r="G5365" s="5"/>
      <c r="H5365" s="6" t="str">
        <f>IFERROR(__xludf.DUMMYFUNCTION("""COMPUTED_VALUE"""),"https://www.instagram.com/fater.313/")</f>
        <v>https://www.instagram.com/fater.313/</v>
      </c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</row>
    <row r="5366">
      <c r="A5366" s="5"/>
      <c r="B5366" s="5" t="str">
        <f>IFERROR(__xludf.DUMMYFUNCTION("""COMPUTED_VALUE"""),"هیأت")</f>
        <v>هیأت</v>
      </c>
      <c r="C5366" s="5" t="str">
        <f>IFERROR(__xludf.DUMMYFUNCTION("""COMPUTED_VALUE"""),"محبان امیر المومنین")</f>
        <v>محبان امیر المومنین</v>
      </c>
      <c r="D5366" s="5" t="str">
        <f>IFERROR(__xludf.DUMMYFUNCTION("""COMPUTED_VALUE"""),"لرستان")</f>
        <v>لرستان</v>
      </c>
      <c r="E5366" s="5" t="str">
        <f>IFERROR(__xludf.DUMMYFUNCTION("""COMPUTED_VALUE"""),"ازنا")</f>
        <v>ازنا</v>
      </c>
      <c r="F5366" s="5"/>
      <c r="G5366" s="5"/>
      <c r="H5366" s="5"/>
      <c r="I5366" s="5"/>
      <c r="J5366" s="6" t="str">
        <f>IFERROR(__xludf.DUMMYFUNCTION("""COMPUTED_VALUE"""),"https://eitaa.com/Heyat_Mohebban_Azna")</f>
        <v>https://eitaa.com/Heyat_Mohebban_Azna</v>
      </c>
      <c r="K5366" s="5"/>
      <c r="L5366" s="5"/>
      <c r="M5366" s="5"/>
      <c r="N5366" s="5"/>
      <c r="O5366" s="5"/>
      <c r="P5366" s="5"/>
      <c r="Q5366" s="5"/>
      <c r="R5366" s="5"/>
      <c r="S5366" s="5"/>
    </row>
    <row r="5367">
      <c r="A5367" s="5"/>
      <c r="B5367" s="5" t="str">
        <f>IFERROR(__xludf.DUMMYFUNCTION("""COMPUTED_VALUE"""),"هیأت")</f>
        <v>هیأت</v>
      </c>
      <c r="C5367" s="5" t="str">
        <f>IFERROR(__xludf.DUMMYFUNCTION("""COMPUTED_VALUE"""),"بنی فاطمه")</f>
        <v>بنی فاطمه</v>
      </c>
      <c r="D5367" s="5" t="str">
        <f>IFERROR(__xludf.DUMMYFUNCTION("""COMPUTED_VALUE"""),"لرستان")</f>
        <v>لرستان</v>
      </c>
      <c r="E5367" s="5"/>
      <c r="F5367" s="5"/>
      <c r="G5367" s="5"/>
      <c r="H5367" s="5"/>
      <c r="I5367" s="5"/>
      <c r="J5367" s="6" t="str">
        <f>IFERROR(__xludf.DUMMYFUNCTION("""COMPUTED_VALUE"""),"https://eitaa.com/heyat_bani_fatemeh_delfan")</f>
        <v>https://eitaa.com/heyat_bani_fatemeh_delfan</v>
      </c>
      <c r="K5367" s="5"/>
      <c r="L5367" s="5"/>
      <c r="M5367" s="5"/>
      <c r="N5367" s="5"/>
      <c r="O5367" s="5"/>
      <c r="P5367" s="5"/>
      <c r="Q5367" s="5"/>
      <c r="R5367" s="5"/>
      <c r="S5367" s="5"/>
    </row>
    <row r="5368">
      <c r="A5368" s="5">
        <f>IFERROR(__xludf.DUMMYFUNCTION("""COMPUTED_VALUE"""),1129.0)</f>
        <v>1129</v>
      </c>
      <c r="B5368" s="5" t="str">
        <f>IFERROR(__xludf.DUMMYFUNCTION("""COMPUTED_VALUE"""),"هیأت")</f>
        <v>هیأت</v>
      </c>
      <c r="C5368" s="5" t="str">
        <f>IFERROR(__xludf.DUMMYFUNCTION("""COMPUTED_VALUE"""),"عاشورائیان")</f>
        <v>عاشورائیان</v>
      </c>
      <c r="D5368" s="5" t="str">
        <f>IFERROR(__xludf.DUMMYFUNCTION("""COMPUTED_VALUE"""),"اصفهان")</f>
        <v>اصفهان</v>
      </c>
      <c r="E5368" s="5" t="str">
        <f>IFERROR(__xludf.DUMMYFUNCTION("""COMPUTED_VALUE"""),"لنجان ")</f>
        <v>لنجان </v>
      </c>
      <c r="F5368" s="5" t="str">
        <f>IFERROR(__xludf.DUMMYFUNCTION("""COMPUTED_VALUE"""),"فولادشهر ")</f>
        <v>فولادشهر </v>
      </c>
      <c r="G5368" s="5"/>
      <c r="H5368" s="6" t="str">
        <f>IFERROR(__xludf.DUMMYFUNCTION("""COMPUTED_VALUE"""),"https://www.instagram.com/ashouraiyan_313/")</f>
        <v>https://www.instagram.com/ashouraiyan_313/</v>
      </c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</row>
    <row r="5369">
      <c r="A5369" s="5">
        <f>IFERROR(__xludf.DUMMYFUNCTION("""COMPUTED_VALUE"""),1130.0)</f>
        <v>1130</v>
      </c>
      <c r="B5369" s="5" t="str">
        <f>IFERROR(__xludf.DUMMYFUNCTION("""COMPUTED_VALUE"""),"هیأت")</f>
        <v>هیأت</v>
      </c>
      <c r="C5369" s="5" t="str">
        <f>IFERROR(__xludf.DUMMYFUNCTION("""COMPUTED_VALUE"""),"حضرت علی اکبر(ع)")</f>
        <v>حضرت علی اکبر(ع)</v>
      </c>
      <c r="D5369" s="5" t="str">
        <f>IFERROR(__xludf.DUMMYFUNCTION("""COMPUTED_VALUE"""),"اصفهان")</f>
        <v>اصفهان</v>
      </c>
      <c r="E5369" s="5" t="str">
        <f>IFERROR(__xludf.DUMMYFUNCTION("""COMPUTED_VALUE"""),"برخوار")</f>
        <v>برخوار</v>
      </c>
      <c r="F5369" s="5" t="str">
        <f>IFERROR(__xludf.DUMMYFUNCTION("""COMPUTED_VALUE"""),"دولت آباد")</f>
        <v>دولت آباد</v>
      </c>
      <c r="G5369" s="5"/>
      <c r="H5369" s="6" t="str">
        <f>IFERROR(__xludf.DUMMYFUNCTION("""COMPUTED_VALUE"""),"https://www.instagram.com/heyat_aliakbar_dolatabad8/")</f>
        <v>https://www.instagram.com/heyat_aliakbar_dolatabad8/</v>
      </c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</row>
    <row r="5370">
      <c r="A5370" s="5">
        <f>IFERROR(__xludf.DUMMYFUNCTION("""COMPUTED_VALUE"""),1132.0)</f>
        <v>1132</v>
      </c>
      <c r="B5370" s="5" t="str">
        <f>IFERROR(__xludf.DUMMYFUNCTION("""COMPUTED_VALUE"""),"هیأت")</f>
        <v>هیأت</v>
      </c>
      <c r="C5370" s="5" t="str">
        <f>IFERROR(__xludf.DUMMYFUNCTION("""COMPUTED_VALUE"""),"فاطمیون")</f>
        <v>فاطمیون</v>
      </c>
      <c r="D5370" s="5" t="str">
        <f>IFERROR(__xludf.DUMMYFUNCTION("""COMPUTED_VALUE"""),"اصفهان")</f>
        <v>اصفهان</v>
      </c>
      <c r="E5370" s="5" t="str">
        <f>IFERROR(__xludf.DUMMYFUNCTION("""COMPUTED_VALUE"""),"نجف اباد ")</f>
        <v>نجف اباد </v>
      </c>
      <c r="F5370" s="5"/>
      <c r="G5370" s="5"/>
      <c r="H5370" s="6" t="str">
        <f>IFERROR(__xludf.DUMMYFUNCTION("""COMPUTED_VALUE"""),"https://www.instagram.com/fatimieh_waliasr/")</f>
        <v>https://www.instagram.com/fatimieh_waliasr/</v>
      </c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</row>
    <row r="5371">
      <c r="A5371" s="5">
        <f>IFERROR(__xludf.DUMMYFUNCTION("""COMPUTED_VALUE"""),1142.0)</f>
        <v>1142</v>
      </c>
      <c r="B5371" s="5" t="str">
        <f>IFERROR(__xludf.DUMMYFUNCTION("""COMPUTED_VALUE"""),"هیأت")</f>
        <v>هیأت</v>
      </c>
      <c r="C5371" s="5" t="str">
        <f>IFERROR(__xludf.DUMMYFUNCTION("""COMPUTED_VALUE"""),"ذاکرین اهل بیت(ع)")</f>
        <v>ذاکرین اهل بیت(ع)</v>
      </c>
      <c r="D5371" s="5" t="str">
        <f>IFERROR(__xludf.DUMMYFUNCTION("""COMPUTED_VALUE"""),"اصفهان")</f>
        <v>اصفهان</v>
      </c>
      <c r="E5371" s="5" t="str">
        <f>IFERROR(__xludf.DUMMYFUNCTION("""COMPUTED_VALUE"""),"اصفهان")</f>
        <v>اصفهان</v>
      </c>
      <c r="F5371" s="5"/>
      <c r="G5371" s="5"/>
      <c r="H5371" s="6" t="str">
        <f>IFERROR(__xludf.DUMMYFUNCTION("""COMPUTED_VALUE"""),"https://www.instagram.com/zakerinahlebeyt/")</f>
        <v>https://www.instagram.com/zakerinahlebeyt/</v>
      </c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</row>
    <row r="5372">
      <c r="A5372" s="5">
        <f>IFERROR(__xludf.DUMMYFUNCTION("""COMPUTED_VALUE"""),1149.0)</f>
        <v>1149</v>
      </c>
      <c r="B5372" s="5" t="str">
        <f>IFERROR(__xludf.DUMMYFUNCTION("""COMPUTED_VALUE"""),"هیأت")</f>
        <v>هیأت</v>
      </c>
      <c r="C5372" s="5" t="str">
        <f>IFERROR(__xludf.DUMMYFUNCTION("""COMPUTED_VALUE"""),"امام حسن مجتبی (ع) طوفاحته الفردوس")</f>
        <v>امام حسن مجتبی (ع) طوفاحته الفردوس</v>
      </c>
      <c r="D5372" s="5" t="str">
        <f>IFERROR(__xludf.DUMMYFUNCTION("""COMPUTED_VALUE"""),"اصفهان")</f>
        <v>اصفهان</v>
      </c>
      <c r="E5372" s="5" t="str">
        <f>IFERROR(__xludf.DUMMYFUNCTION("""COMPUTED_VALUE"""),"اصفهان")</f>
        <v>اصفهان</v>
      </c>
      <c r="F5372" s="5"/>
      <c r="G5372" s="5"/>
      <c r="H5372" s="6" t="str">
        <f>IFERROR(__xludf.DUMMYFUNCTION("""COMPUTED_VALUE"""),"https://www.instagram.com/imam_mojtaba_h/")</f>
        <v>https://www.instagram.com/imam_mojtaba_h/</v>
      </c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</row>
    <row r="5373">
      <c r="A5373" s="5">
        <f>IFERROR(__xludf.DUMMYFUNCTION("""COMPUTED_VALUE"""),1151.0)</f>
        <v>1151</v>
      </c>
      <c r="B5373" s="5" t="str">
        <f>IFERROR(__xludf.DUMMYFUNCTION("""COMPUTED_VALUE"""),"هیأت")</f>
        <v>هیأت</v>
      </c>
      <c r="C5373" s="5" t="str">
        <f>IFERROR(__xludf.DUMMYFUNCTION("""COMPUTED_VALUE"""),"مجموعه فرهنگی یادگاران امام(ره)")</f>
        <v>مجموعه فرهنگی یادگاران امام(ره)</v>
      </c>
      <c r="D5373" s="5" t="str">
        <f>IFERROR(__xludf.DUMMYFUNCTION("""COMPUTED_VALUE"""),"اصفهان")</f>
        <v>اصفهان</v>
      </c>
      <c r="E5373" s="5" t="str">
        <f>IFERROR(__xludf.DUMMYFUNCTION("""COMPUTED_VALUE"""),"اصفهان")</f>
        <v>اصفهان</v>
      </c>
      <c r="F5373" s="5"/>
      <c r="G5373" s="5"/>
      <c r="H5373" s="6" t="str">
        <f>IFERROR(__xludf.DUMMYFUNCTION("""COMPUTED_VALUE"""),"https://www.instagram.com/yadegaran_ir/")</f>
        <v>https://www.instagram.com/yadegaran_ir/</v>
      </c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</row>
    <row r="5374">
      <c r="A5374" s="5">
        <f>IFERROR(__xludf.DUMMYFUNCTION("""COMPUTED_VALUE"""),1156.0)</f>
        <v>1156</v>
      </c>
      <c r="B5374" s="5" t="str">
        <f>IFERROR(__xludf.DUMMYFUNCTION("""COMPUTED_VALUE"""),"هیأت")</f>
        <v>هیأت</v>
      </c>
      <c r="C5374" s="5" t="str">
        <f>IFERROR(__xludf.DUMMYFUNCTION("""COMPUTED_VALUE"""),"قمربنی هاشم (ع)")</f>
        <v>قمربنی هاشم (ع)</v>
      </c>
      <c r="D5374" s="5" t="str">
        <f>IFERROR(__xludf.DUMMYFUNCTION("""COMPUTED_VALUE"""),"اصفهان")</f>
        <v>اصفهان</v>
      </c>
      <c r="E5374" s="5" t="str">
        <f>IFERROR(__xludf.DUMMYFUNCTION("""COMPUTED_VALUE"""),"اصفهان")</f>
        <v>اصفهان</v>
      </c>
      <c r="F5374" s="5"/>
      <c r="G5374" s="5"/>
      <c r="H5374" s="6" t="str">
        <f>IFERROR(__xludf.DUMMYFUNCTION("""COMPUTED_VALUE"""),"https://www.instagram.com/qamarbanihashem_nasrabad/")</f>
        <v>https://www.instagram.com/qamarbanihashem_nasrabad/</v>
      </c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</row>
    <row r="5375">
      <c r="A5375" s="5">
        <f>IFERROR(__xludf.DUMMYFUNCTION("""COMPUTED_VALUE"""),1158.0)</f>
        <v>1158</v>
      </c>
      <c r="B5375" s="5" t="str">
        <f>IFERROR(__xludf.DUMMYFUNCTION("""COMPUTED_VALUE"""),"هیأت")</f>
        <v>هیأت</v>
      </c>
      <c r="C5375" s="5" t="str">
        <f>IFERROR(__xludf.DUMMYFUNCTION("""COMPUTED_VALUE"""),"مرکز فرهنگی فانوس")</f>
        <v>مرکز فرهنگی فانوس</v>
      </c>
      <c r="D5375" s="5" t="str">
        <f>IFERROR(__xludf.DUMMYFUNCTION("""COMPUTED_VALUE"""),"اصفهان")</f>
        <v>اصفهان</v>
      </c>
      <c r="E5375" s="5" t="str">
        <f>IFERROR(__xludf.DUMMYFUNCTION("""COMPUTED_VALUE"""),"اصفهان")</f>
        <v>اصفهان</v>
      </c>
      <c r="F5375" s="5"/>
      <c r="G5375" s="5"/>
      <c r="H5375" s="6" t="str">
        <f>IFERROR(__xludf.DUMMYFUNCTION("""COMPUTED_VALUE"""),"https://www.instagram.com/fanousgroup_ir")</f>
        <v>https://www.instagram.com/fanousgroup_ir</v>
      </c>
      <c r="I5375" s="5"/>
      <c r="J5375" s="6" t="str">
        <f>IFERROR(__xludf.DUMMYFUNCTION("""COMPUTED_VALUE"""),"https://eitaa.com/Fanousgroup_ir")</f>
        <v>https://eitaa.com/Fanousgroup_ir</v>
      </c>
      <c r="K5375" s="5"/>
      <c r="L5375" s="5"/>
      <c r="M5375" s="5"/>
      <c r="N5375" s="5"/>
      <c r="O5375" s="5"/>
      <c r="P5375" s="5"/>
      <c r="Q5375" s="5"/>
      <c r="R5375" s="5"/>
      <c r="S5375" s="5"/>
    </row>
    <row r="5376">
      <c r="A5376" s="5">
        <f>IFERROR(__xludf.DUMMYFUNCTION("""COMPUTED_VALUE"""),1166.0)</f>
        <v>1166</v>
      </c>
      <c r="B5376" s="5" t="str">
        <f>IFERROR(__xludf.DUMMYFUNCTION("""COMPUTED_VALUE"""),"هیأت")</f>
        <v>هیأت</v>
      </c>
      <c r="C5376" s="5" t="str">
        <f>IFERROR(__xludf.DUMMYFUNCTION("""COMPUTED_VALUE"""),"مجمع فرهنگی علویون")</f>
        <v>مجمع فرهنگی علویون</v>
      </c>
      <c r="D5376" s="5" t="str">
        <f>IFERROR(__xludf.DUMMYFUNCTION("""COMPUTED_VALUE"""),"اصفهان")</f>
        <v>اصفهان</v>
      </c>
      <c r="E5376" s="5" t="str">
        <f>IFERROR(__xludf.DUMMYFUNCTION("""COMPUTED_VALUE"""),"اصفهان")</f>
        <v>اصفهان</v>
      </c>
      <c r="F5376" s="5"/>
      <c r="G5376" s="5"/>
      <c r="H5376" s="6" t="str">
        <f>IFERROR(__xludf.DUMMYFUNCTION("""COMPUTED_VALUE"""),"https://www.instagram.com/alaviyoonisf")</f>
        <v>https://www.instagram.com/alaviyoonisf</v>
      </c>
      <c r="I5376" s="6" t="str">
        <f>IFERROR(__xludf.DUMMYFUNCTION("""COMPUTED_VALUE"""),"https://t.me/Alaviyoonisf")</f>
        <v>https://t.me/Alaviyoonisf</v>
      </c>
      <c r="J5376" s="5"/>
      <c r="K5376" s="5"/>
      <c r="L5376" s="5"/>
      <c r="M5376" s="5"/>
      <c r="N5376" s="5"/>
      <c r="O5376" s="5"/>
      <c r="P5376" s="5"/>
      <c r="Q5376" s="5"/>
      <c r="R5376" s="5"/>
      <c r="S5376" s="5"/>
    </row>
    <row r="5377">
      <c r="A5377" s="5">
        <f>IFERROR(__xludf.DUMMYFUNCTION("""COMPUTED_VALUE"""),1167.0)</f>
        <v>1167</v>
      </c>
      <c r="B5377" s="5" t="str">
        <f>IFERROR(__xludf.DUMMYFUNCTION("""COMPUTED_VALUE"""),"هیأت")</f>
        <v>هیأت</v>
      </c>
      <c r="C5377" s="5" t="str">
        <f>IFERROR(__xludf.DUMMYFUNCTION("""COMPUTED_VALUE"""),"فدائیان حسین (ع)")</f>
        <v>فدائیان حسین (ع)</v>
      </c>
      <c r="D5377" s="5" t="str">
        <f>IFERROR(__xludf.DUMMYFUNCTION("""COMPUTED_VALUE"""),"اصفهان")</f>
        <v>اصفهان</v>
      </c>
      <c r="E5377" s="5" t="str">
        <f>IFERROR(__xludf.DUMMYFUNCTION("""COMPUTED_VALUE"""),"اصفهان")</f>
        <v>اصفهان</v>
      </c>
      <c r="F5377" s="5"/>
      <c r="G5377" s="5"/>
      <c r="H5377" s="6" t="str">
        <f>IFERROR(__xludf.DUMMYFUNCTION("""COMPUTED_VALUE"""),"https://www.instagram.com/fadaeianhoseinir")</f>
        <v>https://www.instagram.com/fadaeianhoseinir</v>
      </c>
      <c r="I5377" s="5"/>
      <c r="J5377" s="6" t="str">
        <f>IFERROR(__xludf.DUMMYFUNCTION("""COMPUTED_VALUE"""),"https://eitaa.com/fadaeianhoseinir")</f>
        <v>https://eitaa.com/fadaeianhoseinir</v>
      </c>
      <c r="K5377" s="5"/>
      <c r="L5377" s="5"/>
      <c r="M5377" s="5" t="str">
        <f>IFERROR(__xludf.DUMMYFUNCTION("""COMPUTED_VALUE"""),"سیدرضا نریمانی")</f>
        <v>سیدرضا نریمانی</v>
      </c>
      <c r="N5377" s="5"/>
      <c r="O5377" s="5"/>
      <c r="P5377" s="5"/>
      <c r="Q5377" s="5"/>
      <c r="R5377" s="5"/>
      <c r="S5377" s="5"/>
    </row>
    <row r="5378">
      <c r="A5378" s="5">
        <f>IFERROR(__xludf.DUMMYFUNCTION("""COMPUTED_VALUE"""),1168.0)</f>
        <v>1168</v>
      </c>
      <c r="B5378" s="5" t="str">
        <f>IFERROR(__xludf.DUMMYFUNCTION("""COMPUTED_VALUE"""),"هیأت")</f>
        <v>هیأت</v>
      </c>
      <c r="C5378" s="5" t="str">
        <f>IFERROR(__xludf.DUMMYFUNCTION("""COMPUTED_VALUE"""),"مجتمع فرهنگی باران (ویژه نوجوانان)")</f>
        <v>مجتمع فرهنگی باران (ویژه نوجوانان)</v>
      </c>
      <c r="D5378" s="5" t="str">
        <f>IFERROR(__xludf.DUMMYFUNCTION("""COMPUTED_VALUE"""),"اصفهان")</f>
        <v>اصفهان</v>
      </c>
      <c r="E5378" s="5" t="str">
        <f>IFERROR(__xludf.DUMMYFUNCTION("""COMPUTED_VALUE"""),"اصفهان")</f>
        <v>اصفهان</v>
      </c>
      <c r="F5378" s="5"/>
      <c r="G5378" s="5"/>
      <c r="H5378" s="6" t="str">
        <f>IFERROR(__xludf.DUMMYFUNCTION("""COMPUTED_VALUE"""),"https://www.instagram.com/m.baraniha/")</f>
        <v>https://www.instagram.com/m.baraniha/</v>
      </c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</row>
    <row r="5379">
      <c r="A5379" s="5">
        <f>IFERROR(__xludf.DUMMYFUNCTION("""COMPUTED_VALUE"""),1169.0)</f>
        <v>1169</v>
      </c>
      <c r="B5379" s="5" t="str">
        <f>IFERROR(__xludf.DUMMYFUNCTION("""COMPUTED_VALUE"""),"هیأت")</f>
        <v>هیأت</v>
      </c>
      <c r="C5379" s="5" t="str">
        <f>IFERROR(__xludf.DUMMYFUNCTION("""COMPUTED_VALUE"""),"یاران خورشید ، رهروان حضرت مهدی (عج)")</f>
        <v>یاران خورشید ، رهروان حضرت مهدی (عج)</v>
      </c>
      <c r="D5379" s="5" t="str">
        <f>IFERROR(__xludf.DUMMYFUNCTION("""COMPUTED_VALUE"""),"اصفهان")</f>
        <v>اصفهان</v>
      </c>
      <c r="E5379" s="5" t="str">
        <f>IFERROR(__xludf.DUMMYFUNCTION("""COMPUTED_VALUE"""),"اصفهان")</f>
        <v>اصفهان</v>
      </c>
      <c r="F5379" s="5"/>
      <c r="G5379" s="5"/>
      <c r="H5379" s="6" t="str">
        <f>IFERROR(__xludf.DUMMYFUNCTION("""COMPUTED_VALUE"""),"https://www.instagram.com/yarane_khorshid/")</f>
        <v>https://www.instagram.com/yarane_khorshid/</v>
      </c>
      <c r="I5379" s="5"/>
      <c r="J5379" s="5"/>
      <c r="K5379" s="5"/>
      <c r="L5379" s="5"/>
      <c r="M5379" s="5"/>
      <c r="N5379" s="5"/>
      <c r="O5379" s="5"/>
      <c r="P5379" s="5"/>
      <c r="Q5379" s="5"/>
      <c r="R5379" s="5"/>
      <c r="S5379" s="5"/>
    </row>
    <row r="5380">
      <c r="A5380" s="5">
        <f>IFERROR(__xludf.DUMMYFUNCTION("""COMPUTED_VALUE"""),1173.0)</f>
        <v>1173</v>
      </c>
      <c r="B5380" s="5" t="str">
        <f>IFERROR(__xludf.DUMMYFUNCTION("""COMPUTED_VALUE"""),"هیأت")</f>
        <v>هیأت</v>
      </c>
      <c r="C5380" s="5" t="str">
        <f>IFERROR(__xludf.DUMMYFUNCTION("""COMPUTED_VALUE"""),"رزمندگان اسلام (عاشقان ثارالله(ع)")</f>
        <v>رزمندگان اسلام (عاشقان ثارالله(ع)</v>
      </c>
      <c r="D5380" s="5" t="str">
        <f>IFERROR(__xludf.DUMMYFUNCTION("""COMPUTED_VALUE"""),"اصفهان")</f>
        <v>اصفهان</v>
      </c>
      <c r="E5380" s="5" t="str">
        <f>IFERROR(__xludf.DUMMYFUNCTION("""COMPUTED_VALUE"""),"تیران و کرون")</f>
        <v>تیران و کرون</v>
      </c>
      <c r="F5380" s="5"/>
      <c r="G5380" s="5"/>
      <c r="H5380" s="5"/>
      <c r="I5380" s="5"/>
      <c r="J5380" s="6" t="str">
        <f>IFERROR(__xludf.DUMMYFUNCTION("""COMPUTED_VALUE"""),"https://eitaa.com/razmandegantiran")</f>
        <v>https://eitaa.com/razmandegantiran</v>
      </c>
      <c r="K5380" s="5"/>
      <c r="L5380" s="5"/>
      <c r="M5380" s="5"/>
      <c r="N5380" s="5"/>
      <c r="O5380" s="5"/>
      <c r="P5380" s="5"/>
      <c r="Q5380" s="5"/>
      <c r="R5380" s="5"/>
      <c r="S5380" s="5"/>
    </row>
    <row r="5381">
      <c r="A5381" s="5">
        <f>IFERROR(__xludf.DUMMYFUNCTION("""COMPUTED_VALUE"""),1176.0)</f>
        <v>1176</v>
      </c>
      <c r="B5381" s="5" t="str">
        <f>IFERROR(__xludf.DUMMYFUNCTION("""COMPUTED_VALUE"""),"هیأت")</f>
        <v>هیأت</v>
      </c>
      <c r="C5381" s="5" t="str">
        <f>IFERROR(__xludf.DUMMYFUNCTION("""COMPUTED_VALUE"""),"انصارالحسین(ع) (موسسه فرهنگی شهید بهشتی)")</f>
        <v>انصارالحسین(ع) (موسسه فرهنگی شهید بهشتی)</v>
      </c>
      <c r="D5381" s="5" t="str">
        <f>IFERROR(__xludf.DUMMYFUNCTION("""COMPUTED_VALUE"""),"اصفهان")</f>
        <v>اصفهان</v>
      </c>
      <c r="E5381" s="5" t="str">
        <f>IFERROR(__xludf.DUMMYFUNCTION("""COMPUTED_VALUE"""),"اصفهان")</f>
        <v>اصفهان</v>
      </c>
      <c r="F5381" s="5"/>
      <c r="G5381" s="5"/>
      <c r="H5381" s="6" t="str">
        <f>IFERROR(__xludf.DUMMYFUNCTION("""COMPUTED_VALUE"""),"https://www.instagram.com/beheshtyian")</f>
        <v>https://www.instagram.com/beheshtyian</v>
      </c>
      <c r="I5381" s="6" t="str">
        <f>IFERROR(__xludf.DUMMYFUNCTION("""COMPUTED_VALUE"""),"https://t.me/Beheshtyian")</f>
        <v>https://t.me/Beheshtyian</v>
      </c>
      <c r="J5381" s="5"/>
      <c r="K5381" s="5"/>
      <c r="L5381" s="5"/>
      <c r="M5381" s="5"/>
      <c r="N5381" s="5"/>
      <c r="O5381" s="5"/>
      <c r="P5381" s="5"/>
      <c r="Q5381" s="5"/>
      <c r="R5381" s="5"/>
      <c r="S5381" s="5"/>
    </row>
    <row r="5382">
      <c r="A5382" s="5">
        <f>IFERROR(__xludf.DUMMYFUNCTION("""COMPUTED_VALUE"""),1177.0)</f>
        <v>1177</v>
      </c>
      <c r="B5382" s="5" t="str">
        <f>IFERROR(__xludf.DUMMYFUNCTION("""COMPUTED_VALUE"""),"هیأت")</f>
        <v>هیأت</v>
      </c>
      <c r="C5382" s="5" t="str">
        <f>IFERROR(__xludf.DUMMYFUNCTION("""COMPUTED_VALUE"""),"امامزاده هارونیه")</f>
        <v>امامزاده هارونیه</v>
      </c>
      <c r="D5382" s="5" t="str">
        <f>IFERROR(__xludf.DUMMYFUNCTION("""COMPUTED_VALUE"""),"اصفهان")</f>
        <v>اصفهان</v>
      </c>
      <c r="E5382" s="5" t="str">
        <f>IFERROR(__xludf.DUMMYFUNCTION("""COMPUTED_VALUE"""),"اصفهان")</f>
        <v>اصفهان</v>
      </c>
      <c r="F5382" s="5"/>
      <c r="G5382" s="5"/>
      <c r="H5382" s="6" t="str">
        <f>IFERROR(__xludf.DUMMYFUNCTION("""COMPUTED_VALUE"""),"https://www.instagram.com/haroniieh")</f>
        <v>https://www.instagram.com/haroniieh</v>
      </c>
      <c r="I5382" s="6" t="str">
        <f>IFERROR(__xludf.DUMMYFUNCTION("""COMPUTED_VALUE"""),"https://t.me/haronieh")</f>
        <v>https://t.me/haronieh</v>
      </c>
      <c r="J5382" s="5"/>
      <c r="K5382" s="5"/>
      <c r="L5382" s="5"/>
      <c r="M5382" s="5"/>
      <c r="N5382" s="5"/>
      <c r="O5382" s="5"/>
      <c r="P5382" s="5"/>
      <c r="Q5382" s="5"/>
      <c r="R5382" s="5"/>
      <c r="S5382" s="5"/>
    </row>
    <row r="5383">
      <c r="A5383" s="5">
        <f>IFERROR(__xludf.DUMMYFUNCTION("""COMPUTED_VALUE"""),1179.0)</f>
        <v>1179</v>
      </c>
      <c r="B5383" s="5" t="str">
        <f>IFERROR(__xludf.DUMMYFUNCTION("""COMPUTED_VALUE"""),"هیأت")</f>
        <v>هیأت</v>
      </c>
      <c r="C5383" s="5" t="str">
        <f>IFERROR(__xludf.DUMMYFUNCTION("""COMPUTED_VALUE"""),"عترت بینه")</f>
        <v>عترت بینه</v>
      </c>
      <c r="D5383" s="5" t="str">
        <f>IFERROR(__xludf.DUMMYFUNCTION("""COMPUTED_VALUE"""),"اصفهان")</f>
        <v>اصفهان</v>
      </c>
      <c r="E5383" s="5" t="str">
        <f>IFERROR(__xludf.DUMMYFUNCTION("""COMPUTED_VALUE"""),"اصفهان")</f>
        <v>اصفهان</v>
      </c>
      <c r="F5383" s="5"/>
      <c r="G5383" s="5"/>
      <c r="H5383" s="6" t="str">
        <f>IFERROR(__xludf.DUMMYFUNCTION("""COMPUTED_VALUE"""),"https://www.instagram.com/mqebir")</f>
        <v>https://www.instagram.com/mqebir</v>
      </c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</row>
    <row r="5384">
      <c r="A5384" s="5">
        <f>IFERROR(__xludf.DUMMYFUNCTION("""COMPUTED_VALUE"""),1185.0)</f>
        <v>1185</v>
      </c>
      <c r="B5384" s="5" t="str">
        <f>IFERROR(__xludf.DUMMYFUNCTION("""COMPUTED_VALUE"""),"هیأت")</f>
        <v>هیأت</v>
      </c>
      <c r="C5384" s="5" t="str">
        <f>IFERROR(__xludf.DUMMYFUNCTION("""COMPUTED_VALUE"""),"انصارالحسین(ع)")</f>
        <v>انصارالحسین(ع)</v>
      </c>
      <c r="D5384" s="5" t="str">
        <f>IFERROR(__xludf.DUMMYFUNCTION("""COMPUTED_VALUE"""),"اصفهان")</f>
        <v>اصفهان</v>
      </c>
      <c r="E5384" s="5" t="str">
        <f>IFERROR(__xludf.DUMMYFUNCTION("""COMPUTED_VALUE"""),"اصفهان")</f>
        <v>اصفهان</v>
      </c>
      <c r="F5384" s="5"/>
      <c r="G5384" s="5"/>
      <c r="H5384" s="6" t="str">
        <f>IFERROR(__xludf.DUMMYFUNCTION("""COMPUTED_VALUE"""),"https://www.instagram.com/ansarolhosain_ir/")</f>
        <v>https://www.instagram.com/ansarolhosain_ir/</v>
      </c>
      <c r="I5384" s="6" t="str">
        <f>IFERROR(__xludf.DUMMYFUNCTION("""COMPUTED_VALUE"""),"https://t.me/ansaroolhosain")</f>
        <v>https://t.me/ansaroolhosain</v>
      </c>
      <c r="J5384" s="6" t="str">
        <f>IFERROR(__xludf.DUMMYFUNCTION("""COMPUTED_VALUE"""),"https://eitaa.com/ansaroolhosain")</f>
        <v>https://eitaa.com/ansaroolhosain</v>
      </c>
      <c r="K5384" s="5"/>
      <c r="L5384" s="5"/>
      <c r="M5384" s="5"/>
      <c r="N5384" s="5"/>
      <c r="O5384" s="5"/>
      <c r="P5384" s="5"/>
      <c r="Q5384" s="5"/>
      <c r="R5384" s="5"/>
      <c r="S5384" s="5"/>
    </row>
    <row r="5385">
      <c r="A5385" s="5">
        <f>IFERROR(__xludf.DUMMYFUNCTION("""COMPUTED_VALUE"""),1186.0)</f>
        <v>1186</v>
      </c>
      <c r="B5385" s="5" t="str">
        <f>IFERROR(__xludf.DUMMYFUNCTION("""COMPUTED_VALUE"""),"هیأت")</f>
        <v>هیأت</v>
      </c>
      <c r="C5385" s="5" t="str">
        <f>IFERROR(__xludf.DUMMYFUNCTION("""COMPUTED_VALUE"""),"آوارگان حرم")</f>
        <v>آوارگان حرم</v>
      </c>
      <c r="D5385" s="5" t="str">
        <f>IFERROR(__xludf.DUMMYFUNCTION("""COMPUTED_VALUE"""),"اصفهان")</f>
        <v>اصفهان</v>
      </c>
      <c r="E5385" s="5" t="str">
        <f>IFERROR(__xludf.DUMMYFUNCTION("""COMPUTED_VALUE"""),"اصفهان")</f>
        <v>اصفهان</v>
      </c>
      <c r="F5385" s="5"/>
      <c r="G5385" s="5"/>
      <c r="H5385" s="6" t="str">
        <f>IFERROR(__xludf.DUMMYFUNCTION("""COMPUTED_VALUE"""),"https://www.instagram.com/senjvadamam3")</f>
        <v>https://www.instagram.com/senjvadamam3</v>
      </c>
      <c r="I5385" s="5"/>
      <c r="J5385" s="5"/>
      <c r="K5385" s="5"/>
      <c r="L5385" s="5"/>
      <c r="M5385" s="5"/>
      <c r="N5385" s="5"/>
      <c r="O5385" s="5"/>
      <c r="P5385" s="5"/>
      <c r="Q5385" s="5"/>
      <c r="R5385" s="5"/>
      <c r="S5385" s="5"/>
    </row>
    <row r="5386">
      <c r="A5386" s="5">
        <f>IFERROR(__xludf.DUMMYFUNCTION("""COMPUTED_VALUE"""),1188.0)</f>
        <v>1188</v>
      </c>
      <c r="B5386" s="5" t="str">
        <f>IFERROR(__xludf.DUMMYFUNCTION("""COMPUTED_VALUE"""),"هیأت")</f>
        <v>هیأت</v>
      </c>
      <c r="C5386" s="5" t="str">
        <f>IFERROR(__xludf.DUMMYFUNCTION("""COMPUTED_VALUE"""),"مجموعه فرهنگی پانزده خرداد")</f>
        <v>مجموعه فرهنگی پانزده خرداد</v>
      </c>
      <c r="D5386" s="5" t="str">
        <f>IFERROR(__xludf.DUMMYFUNCTION("""COMPUTED_VALUE"""),"اصفهان")</f>
        <v>اصفهان</v>
      </c>
      <c r="E5386" s="5" t="str">
        <f>IFERROR(__xludf.DUMMYFUNCTION("""COMPUTED_VALUE"""),"اصفهان")</f>
        <v>اصفهان</v>
      </c>
      <c r="F5386" s="5"/>
      <c r="G5386" s="5"/>
      <c r="H5386" s="6" t="str">
        <f>IFERROR(__xludf.DUMMYFUNCTION("""COMPUTED_VALUE"""),"https://www.instagram.com/mf_15khordad/")</f>
        <v>https://www.instagram.com/mf_15khordad/</v>
      </c>
      <c r="I5386" s="5"/>
      <c r="J5386" s="6" t="str">
        <f>IFERROR(__xludf.DUMMYFUNCTION("""COMPUTED_VALUE"""),"https://eitaa.com/mf_15khordad")</f>
        <v>https://eitaa.com/mf_15khordad</v>
      </c>
      <c r="K5386" s="5"/>
      <c r="L5386" s="5"/>
      <c r="M5386" s="5"/>
      <c r="N5386" s="5"/>
      <c r="O5386" s="5"/>
      <c r="P5386" s="5"/>
      <c r="Q5386" s="5"/>
      <c r="R5386" s="5"/>
      <c r="S5386" s="5"/>
    </row>
    <row r="5387">
      <c r="A5387" s="5">
        <f>IFERROR(__xludf.DUMMYFUNCTION("""COMPUTED_VALUE"""),1189.0)</f>
        <v>1189</v>
      </c>
      <c r="B5387" s="5" t="str">
        <f>IFERROR(__xludf.DUMMYFUNCTION("""COMPUTED_VALUE"""),"هیأت")</f>
        <v>هیأت</v>
      </c>
      <c r="C5387" s="5" t="str">
        <f>IFERROR(__xludf.DUMMYFUNCTION("""COMPUTED_VALUE"""),"مجموعه فرهنگی پانزده خرداد")</f>
        <v>مجموعه فرهنگی پانزده خرداد</v>
      </c>
      <c r="D5387" s="5" t="str">
        <f>IFERROR(__xludf.DUMMYFUNCTION("""COMPUTED_VALUE"""),"اصفهان")</f>
        <v>اصفهان</v>
      </c>
      <c r="E5387" s="5" t="str">
        <f>IFERROR(__xludf.DUMMYFUNCTION("""COMPUTED_VALUE"""),"خمینی شهر")</f>
        <v>خمینی شهر</v>
      </c>
      <c r="F5387" s="5"/>
      <c r="G5387" s="5">
        <f>IFERROR(__xludf.DUMMYFUNCTION("""COMPUTED_VALUE"""),1.0)</f>
        <v>1</v>
      </c>
      <c r="H5387" s="6" t="str">
        <f>IFERROR(__xludf.DUMMYFUNCTION("""COMPUTED_VALUE"""),"https://www.instagram.com/solale_ir")</f>
        <v>https://www.instagram.com/solale_ir</v>
      </c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</row>
    <row r="5388">
      <c r="A5388" s="5">
        <f>IFERROR(__xludf.DUMMYFUNCTION("""COMPUTED_VALUE"""),1191.0)</f>
        <v>1191</v>
      </c>
      <c r="B5388" s="5" t="str">
        <f>IFERROR(__xludf.DUMMYFUNCTION("""COMPUTED_VALUE"""),"خیریه")</f>
        <v>خیریه</v>
      </c>
      <c r="C5388" s="5" t="str">
        <f>IFERROR(__xludf.DUMMYFUNCTION("""COMPUTED_VALUE"""),"مسجد قدس")</f>
        <v>مسجد قدس</v>
      </c>
      <c r="D5388" s="5" t="str">
        <f>IFERROR(__xludf.DUMMYFUNCTION("""COMPUTED_VALUE"""),"اصفهان")</f>
        <v>اصفهان</v>
      </c>
      <c r="E5388" s="5" t="str">
        <f>IFERROR(__xludf.DUMMYFUNCTION("""COMPUTED_VALUE"""),"اصفهان")</f>
        <v>اصفهان</v>
      </c>
      <c r="F5388" s="5"/>
      <c r="G5388" s="5">
        <f>IFERROR(__xludf.DUMMYFUNCTION("""COMPUTED_VALUE"""),1.0)</f>
        <v>1</v>
      </c>
      <c r="H5388" s="6" t="str">
        <f>IFERROR(__xludf.DUMMYFUNCTION("""COMPUTED_VALUE"""),"https://www.instagram.com/qods_charity")</f>
        <v>https://www.instagram.com/qods_charity</v>
      </c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</row>
    <row r="5389">
      <c r="A5389" s="5">
        <f>IFERROR(__xludf.DUMMYFUNCTION("""COMPUTED_VALUE"""),1193.0)</f>
        <v>1193</v>
      </c>
      <c r="B5389" s="5" t="str">
        <f>IFERROR(__xludf.DUMMYFUNCTION("""COMPUTED_VALUE"""),"هیأت")</f>
        <v>هیأت</v>
      </c>
      <c r="C5389" s="5" t="str">
        <f>IFERROR(__xludf.DUMMYFUNCTION("""COMPUTED_VALUE"""),"محفل فرهنگی آسمانی ها")</f>
        <v>محفل فرهنگی آسمانی ها</v>
      </c>
      <c r="D5389" s="5" t="str">
        <f>IFERROR(__xludf.DUMMYFUNCTION("""COMPUTED_VALUE"""),"اصفهان")</f>
        <v>اصفهان</v>
      </c>
      <c r="E5389" s="5" t="str">
        <f>IFERROR(__xludf.DUMMYFUNCTION("""COMPUTED_VALUE"""),"اصفهان")</f>
        <v>اصفهان</v>
      </c>
      <c r="F5389" s="5"/>
      <c r="G5389" s="5"/>
      <c r="H5389" s="6" t="str">
        <f>IFERROR(__xludf.DUMMYFUNCTION("""COMPUTED_VALUE"""),"https://www.instagram.com/asemaniha_ir")</f>
        <v>https://www.instagram.com/asemaniha_ir</v>
      </c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</row>
    <row r="5390">
      <c r="A5390" s="5">
        <f>IFERROR(__xludf.DUMMYFUNCTION("""COMPUTED_VALUE"""),1199.0)</f>
        <v>1199</v>
      </c>
      <c r="B5390" s="5" t="str">
        <f>IFERROR(__xludf.DUMMYFUNCTION("""COMPUTED_VALUE"""),"هیأت")</f>
        <v>هیأت</v>
      </c>
      <c r="C5390" s="5" t="str">
        <f>IFERROR(__xludf.DUMMYFUNCTION("""COMPUTED_VALUE"""),"حضرت ابوالفضل(ع)")</f>
        <v>حضرت ابوالفضل(ع)</v>
      </c>
      <c r="D5390" s="5" t="str">
        <f>IFERROR(__xludf.DUMMYFUNCTION("""COMPUTED_VALUE"""),"اصفهان")</f>
        <v>اصفهان</v>
      </c>
      <c r="E5390" s="5" t="str">
        <f>IFERROR(__xludf.DUMMYFUNCTION("""COMPUTED_VALUE"""),"کوهپایه")</f>
        <v>کوهپایه</v>
      </c>
      <c r="F5390" s="5"/>
      <c r="G5390" s="5"/>
      <c r="H5390" s="6" t="str">
        <f>IFERROR(__xludf.DUMMYFUNCTION("""COMPUTED_VALUE"""),"https://www.instagram.com/heatabolfazlvazvan/")</f>
        <v>https://www.instagram.com/heatabolfazlvazvan/</v>
      </c>
      <c r="I5390" s="5"/>
      <c r="J5390" s="6" t="str">
        <f>IFERROR(__xludf.DUMMYFUNCTION("""COMPUTED_VALUE"""),"https://eitaa.com/abolfazl_1345")</f>
        <v>https://eitaa.com/abolfazl_1345</v>
      </c>
      <c r="K5390" s="5"/>
      <c r="L5390" s="5"/>
      <c r="M5390" s="5"/>
      <c r="N5390" s="5"/>
      <c r="O5390" s="5"/>
      <c r="P5390" s="5"/>
      <c r="Q5390" s="5"/>
      <c r="R5390" s="5"/>
      <c r="S5390" s="5"/>
    </row>
    <row r="5391">
      <c r="A5391" s="5">
        <f>IFERROR(__xludf.DUMMYFUNCTION("""COMPUTED_VALUE"""),1200.0)</f>
        <v>1200</v>
      </c>
      <c r="B5391" s="5" t="str">
        <f>IFERROR(__xludf.DUMMYFUNCTION("""COMPUTED_VALUE"""),"هیأت مسجد")</f>
        <v>هیأت مسجد</v>
      </c>
      <c r="C5391" s="5" t="str">
        <f>IFERROR(__xludf.DUMMYFUNCTION("""COMPUTED_VALUE"""),"صاحب الزمان(عج)")</f>
        <v>صاحب الزمان(عج)</v>
      </c>
      <c r="D5391" s="5" t="str">
        <f>IFERROR(__xludf.DUMMYFUNCTION("""COMPUTED_VALUE"""),"اصفهان")</f>
        <v>اصفهان</v>
      </c>
      <c r="E5391" s="5" t="str">
        <f>IFERROR(__xludf.DUMMYFUNCTION("""COMPUTED_VALUE"""),"اصفهان")</f>
        <v>اصفهان</v>
      </c>
      <c r="F5391" s="5"/>
      <c r="G5391" s="5"/>
      <c r="H5391" s="5"/>
      <c r="I5391" s="5"/>
      <c r="J5391" s="6" t="str">
        <f>IFERROR(__xludf.DUMMYFUNCTION("""COMPUTED_VALUE"""),"https://eitaa.com/sahebalzaman_mosque")</f>
        <v>https://eitaa.com/sahebalzaman_mosque</v>
      </c>
      <c r="K5391" s="5"/>
      <c r="L5391" s="5"/>
      <c r="M5391" s="5"/>
      <c r="N5391" s="5"/>
      <c r="O5391" s="5"/>
      <c r="P5391" s="5"/>
      <c r="Q5391" s="5"/>
      <c r="R5391" s="5"/>
      <c r="S5391" s="5"/>
    </row>
    <row r="5392">
      <c r="A5392" s="5">
        <f>IFERROR(__xludf.DUMMYFUNCTION("""COMPUTED_VALUE"""),1202.0)</f>
        <v>1202</v>
      </c>
      <c r="B5392" s="5" t="str">
        <f>IFERROR(__xludf.DUMMYFUNCTION("""COMPUTED_VALUE"""),"هیأت")</f>
        <v>هیأت</v>
      </c>
      <c r="C5392" s="5" t="str">
        <f>IFERROR(__xludf.DUMMYFUNCTION("""COMPUTED_VALUE"""),"کانون فرهنگی گل نرگس(عج)")</f>
        <v>کانون فرهنگی گل نرگس(عج)</v>
      </c>
      <c r="D5392" s="5" t="str">
        <f>IFERROR(__xludf.DUMMYFUNCTION("""COMPUTED_VALUE"""),"اصفهان")</f>
        <v>اصفهان</v>
      </c>
      <c r="E5392" s="5" t="str">
        <f>IFERROR(__xludf.DUMMYFUNCTION("""COMPUTED_VALUE"""),"اصفهان")</f>
        <v>اصفهان</v>
      </c>
      <c r="F5392" s="5"/>
      <c r="G5392" s="5">
        <f>IFERROR(__xludf.DUMMYFUNCTION("""COMPUTED_VALUE"""),1.0)</f>
        <v>1</v>
      </c>
      <c r="H5392" s="6" t="str">
        <f>IFERROR(__xludf.DUMMYFUNCTION("""COMPUTED_VALUE"""),"https://www.instagram.com/goole_narges95")</f>
        <v>https://www.instagram.com/goole_narges95</v>
      </c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</row>
    <row r="5393">
      <c r="A5393" s="5">
        <f>IFERROR(__xludf.DUMMYFUNCTION("""COMPUTED_VALUE"""),1203.0)</f>
        <v>1203</v>
      </c>
      <c r="B5393" s="5" t="str">
        <f>IFERROR(__xludf.DUMMYFUNCTION("""COMPUTED_VALUE"""),"هیأت")</f>
        <v>هیأت</v>
      </c>
      <c r="C5393" s="5" t="str">
        <f>IFERROR(__xludf.DUMMYFUNCTION("""COMPUTED_VALUE"""),"مرکز فرهنگی قائم(عج)")</f>
        <v>مرکز فرهنگی قائم(عج)</v>
      </c>
      <c r="D5393" s="5" t="str">
        <f>IFERROR(__xludf.DUMMYFUNCTION("""COMPUTED_VALUE"""),"اصفهان")</f>
        <v>اصفهان</v>
      </c>
      <c r="E5393" s="5" t="str">
        <f>IFERROR(__xludf.DUMMYFUNCTION("""COMPUTED_VALUE"""),"اصفهان")</f>
        <v>اصفهان</v>
      </c>
      <c r="F5393" s="5"/>
      <c r="G5393" s="5"/>
      <c r="H5393" s="6" t="str">
        <f>IFERROR(__xludf.DUMMYFUNCTION("""COMPUTED_VALUE"""),"https://www.instagram.com/heyatehazrateghaem")</f>
        <v>https://www.instagram.com/heyatehazrateghaem</v>
      </c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</row>
    <row r="5394">
      <c r="A5394" s="5">
        <f>IFERROR(__xludf.DUMMYFUNCTION("""COMPUTED_VALUE"""),1208.0)</f>
        <v>1208</v>
      </c>
      <c r="B5394" s="5" t="str">
        <f>IFERROR(__xludf.DUMMYFUNCTION("""COMPUTED_VALUE"""),"هیأت")</f>
        <v>هیأت</v>
      </c>
      <c r="C5394" s="5" t="str">
        <f>IFERROR(__xludf.DUMMYFUNCTION("""COMPUTED_VALUE"""),"دارالسلام امام مهدی (عج)")</f>
        <v>دارالسلام امام مهدی (عج)</v>
      </c>
      <c r="D5394" s="5" t="str">
        <f>IFERROR(__xludf.DUMMYFUNCTION("""COMPUTED_VALUE"""),"اصفهان")</f>
        <v>اصفهان</v>
      </c>
      <c r="E5394" s="5" t="str">
        <f>IFERROR(__xludf.DUMMYFUNCTION("""COMPUTED_VALUE"""),"اصفهان")</f>
        <v>اصفهان</v>
      </c>
      <c r="F5394" s="5"/>
      <c r="G5394" s="5"/>
      <c r="H5394" s="6" t="str">
        <f>IFERROR(__xludf.DUMMYFUNCTION("""COMPUTED_VALUE"""),"https://www.instagram.com/darosalam_esf")</f>
        <v>https://www.instagram.com/darosalam_esf</v>
      </c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</row>
    <row r="5395">
      <c r="A5395" s="5">
        <f>IFERROR(__xludf.DUMMYFUNCTION("""COMPUTED_VALUE"""),1212.0)</f>
        <v>1212</v>
      </c>
      <c r="B5395" s="5" t="str">
        <f>IFERROR(__xludf.DUMMYFUNCTION("""COMPUTED_VALUE"""),"هیأت")</f>
        <v>هیأت</v>
      </c>
      <c r="C5395" s="5" t="str">
        <f>IFERROR(__xludf.DUMMYFUNCTION("""COMPUTED_VALUE"""),"حضرت علی اصغر(ع)")</f>
        <v>حضرت علی اصغر(ع)</v>
      </c>
      <c r="D5395" s="5" t="str">
        <f>IFERROR(__xludf.DUMMYFUNCTION("""COMPUTED_VALUE"""),"اصفهان")</f>
        <v>اصفهان</v>
      </c>
      <c r="E5395" s="5" t="str">
        <f>IFERROR(__xludf.DUMMYFUNCTION("""COMPUTED_VALUE"""),"اصفهان")</f>
        <v>اصفهان</v>
      </c>
      <c r="F5395" s="5"/>
      <c r="G5395" s="5">
        <f>IFERROR(__xludf.DUMMYFUNCTION("""COMPUTED_VALUE"""),1.0)</f>
        <v>1</v>
      </c>
      <c r="H5395" s="6" t="str">
        <f>IFERROR(__xludf.DUMMYFUNCTION("""COMPUTED_VALUE"""),"https://www.instagram.com/yakarbala1001")</f>
        <v>https://www.instagram.com/yakarbala1001</v>
      </c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</row>
    <row r="5396">
      <c r="A5396" s="5">
        <f>IFERROR(__xludf.DUMMYFUNCTION("""COMPUTED_VALUE"""),1214.0)</f>
        <v>1214</v>
      </c>
      <c r="B5396" s="5" t="str">
        <f>IFERROR(__xludf.DUMMYFUNCTION("""COMPUTED_VALUE"""),"هیأت")</f>
        <v>هیأت</v>
      </c>
      <c r="C5396" s="5" t="str">
        <f>IFERROR(__xludf.DUMMYFUNCTION("""COMPUTED_VALUE"""),"بیت المهدی (عج)")</f>
        <v>بیت المهدی (عج)</v>
      </c>
      <c r="D5396" s="5" t="str">
        <f>IFERROR(__xludf.DUMMYFUNCTION("""COMPUTED_VALUE"""),"اصفهان")</f>
        <v>اصفهان</v>
      </c>
      <c r="E5396" s="5" t="str">
        <f>IFERROR(__xludf.DUMMYFUNCTION("""COMPUTED_VALUE"""),"اصفهان")</f>
        <v>اصفهان</v>
      </c>
      <c r="F5396" s="5"/>
      <c r="G5396" s="5"/>
      <c r="H5396" s="5"/>
      <c r="I5396" s="5"/>
      <c r="J5396" s="6" t="str">
        <f>IFERROR(__xludf.DUMMYFUNCTION("""COMPUTED_VALUE"""),"https://eitaa.com/Bmjar_ir")</f>
        <v>https://eitaa.com/Bmjar_ir</v>
      </c>
      <c r="K5396" s="5"/>
      <c r="L5396" s="5"/>
      <c r="M5396" s="5"/>
      <c r="N5396" s="5"/>
      <c r="O5396" s="5"/>
      <c r="P5396" s="5"/>
      <c r="Q5396" s="5"/>
      <c r="R5396" s="5"/>
      <c r="S5396" s="5"/>
    </row>
    <row r="5397">
      <c r="A5397" s="5">
        <f>IFERROR(__xludf.DUMMYFUNCTION("""COMPUTED_VALUE"""),1220.0)</f>
        <v>1220</v>
      </c>
      <c r="B5397" s="5" t="str">
        <f>IFERROR(__xludf.DUMMYFUNCTION("""COMPUTED_VALUE"""),"هیأت")</f>
        <v>هیأت</v>
      </c>
      <c r="C5397" s="5" t="str">
        <f>IFERROR(__xludf.DUMMYFUNCTION("""COMPUTED_VALUE"""),"بقیه الله (عج)")</f>
        <v>بقیه الله (عج)</v>
      </c>
      <c r="D5397" s="5" t="str">
        <f>IFERROR(__xludf.DUMMYFUNCTION("""COMPUTED_VALUE"""),"اصفهان")</f>
        <v>اصفهان</v>
      </c>
      <c r="E5397" s="5" t="str">
        <f>IFERROR(__xludf.DUMMYFUNCTION("""COMPUTED_VALUE"""),"اصفهان")</f>
        <v>اصفهان</v>
      </c>
      <c r="F5397" s="5"/>
      <c r="G5397" s="5">
        <f>IFERROR(__xludf.DUMMYFUNCTION("""COMPUTED_VALUE"""),1.0)</f>
        <v>1</v>
      </c>
      <c r="H5397" s="6" t="str">
        <f>IFERROR(__xludf.DUMMYFUNCTION("""COMPUTED_VALUE"""),"https://www.instagram.com/bonyadbaghyatallah")</f>
        <v>https://www.instagram.com/bonyadbaghyatallah</v>
      </c>
      <c r="I5397" s="5"/>
      <c r="J5397" s="5"/>
      <c r="K5397" s="5"/>
      <c r="L5397" s="5"/>
      <c r="M5397" s="5"/>
      <c r="N5397" s="5"/>
      <c r="O5397" s="5"/>
      <c r="P5397" s="5"/>
      <c r="Q5397" s="5"/>
      <c r="R5397" s="5"/>
      <c r="S5397" s="5"/>
    </row>
    <row r="5398">
      <c r="A5398" s="5">
        <f>IFERROR(__xludf.DUMMYFUNCTION("""COMPUTED_VALUE"""),1222.0)</f>
        <v>1222</v>
      </c>
      <c r="B5398" s="5" t="str">
        <f>IFERROR(__xludf.DUMMYFUNCTION("""COMPUTED_VALUE"""),"هیأت")</f>
        <v>هیأت</v>
      </c>
      <c r="C5398" s="5" t="str">
        <f>IFERROR(__xludf.DUMMYFUNCTION("""COMPUTED_VALUE"""),"قمربنی هاشم (ع)")</f>
        <v>قمربنی هاشم (ع)</v>
      </c>
      <c r="D5398" s="5" t="str">
        <f>IFERROR(__xludf.DUMMYFUNCTION("""COMPUTED_VALUE"""),"اصفهان")</f>
        <v>اصفهان</v>
      </c>
      <c r="E5398" s="5" t="str">
        <f>IFERROR(__xludf.DUMMYFUNCTION("""COMPUTED_VALUE"""),"اصفهان")</f>
        <v>اصفهان</v>
      </c>
      <c r="F5398" s="5"/>
      <c r="G5398" s="5">
        <f>IFERROR(__xludf.DUMMYFUNCTION("""COMPUTED_VALUE"""),1.0)</f>
        <v>1</v>
      </c>
      <c r="H5398" s="6" t="str">
        <f>IFERROR(__xludf.DUMMYFUNCTION("""COMPUTED_VALUE"""),"https://www.instagram.com/heiat_ghamar_banihashem_es")</f>
        <v>https://www.instagram.com/heiat_ghamar_banihashem_es</v>
      </c>
      <c r="I5398" s="5"/>
      <c r="J5398" s="5"/>
      <c r="K5398" s="5"/>
      <c r="L5398" s="5"/>
      <c r="M5398" s="5"/>
      <c r="N5398" s="5"/>
      <c r="O5398" s="5"/>
      <c r="P5398" s="5"/>
      <c r="Q5398" s="5"/>
      <c r="R5398" s="5"/>
      <c r="S5398" s="5"/>
    </row>
    <row r="5399">
      <c r="A5399" s="5">
        <f>IFERROR(__xludf.DUMMYFUNCTION("""COMPUTED_VALUE"""),1224.0)</f>
        <v>1224</v>
      </c>
      <c r="B5399" s="5" t="str">
        <f>IFERROR(__xludf.DUMMYFUNCTION("""COMPUTED_VALUE"""),"هیأت")</f>
        <v>هیأت</v>
      </c>
      <c r="C5399" s="5" t="str">
        <f>IFERROR(__xludf.DUMMYFUNCTION("""COMPUTED_VALUE"""),"حسین جان(ع)")</f>
        <v>حسین جان(ع)</v>
      </c>
      <c r="D5399" s="5" t="str">
        <f>IFERROR(__xludf.DUMMYFUNCTION("""COMPUTED_VALUE"""),"اصفهان")</f>
        <v>اصفهان</v>
      </c>
      <c r="E5399" s="5" t="str">
        <f>IFERROR(__xludf.DUMMYFUNCTION("""COMPUTED_VALUE"""),"اصفهان")</f>
        <v>اصفهان</v>
      </c>
      <c r="F5399" s="5"/>
      <c r="G5399" s="5"/>
      <c r="H5399" s="6" t="str">
        <f>IFERROR(__xludf.DUMMYFUNCTION("""COMPUTED_VALUE"""),"https://www.instagram.com/hoseinjan.182")</f>
        <v>https://www.instagram.com/hoseinjan.182</v>
      </c>
      <c r="I5399" s="6" t="str">
        <f>IFERROR(__xludf.DUMMYFUNCTION("""COMPUTED_VALUE"""),"https://t.me/hoseinjan182")</f>
        <v>https://t.me/hoseinjan182</v>
      </c>
      <c r="J5399" s="6" t="str">
        <f>IFERROR(__xludf.DUMMYFUNCTION("""COMPUTED_VALUE"""),"https://eitaa.com/hoseinjan182")</f>
        <v>https://eitaa.com/hoseinjan182</v>
      </c>
      <c r="K5399" s="5"/>
      <c r="L5399" s="5"/>
      <c r="M5399" s="5"/>
      <c r="N5399" s="5"/>
      <c r="O5399" s="5"/>
      <c r="P5399" s="5"/>
      <c r="Q5399" s="5"/>
      <c r="R5399" s="5"/>
      <c r="S5399" s="5"/>
    </row>
    <row r="5400">
      <c r="A5400" s="5">
        <f>IFERROR(__xludf.DUMMYFUNCTION("""COMPUTED_VALUE"""),1226.0)</f>
        <v>1226</v>
      </c>
      <c r="B5400" s="5" t="str">
        <f>IFERROR(__xludf.DUMMYFUNCTION("""COMPUTED_VALUE"""),"هیأت")</f>
        <v>هیأت</v>
      </c>
      <c r="C5400" s="5" t="str">
        <f>IFERROR(__xludf.DUMMYFUNCTION("""COMPUTED_VALUE"""),"بین الحرمین (مجموعه غدیر)")</f>
        <v>بین الحرمین (مجموعه غدیر)</v>
      </c>
      <c r="D5400" s="5" t="str">
        <f>IFERROR(__xludf.DUMMYFUNCTION("""COMPUTED_VALUE"""),"اصفهان")</f>
        <v>اصفهان</v>
      </c>
      <c r="E5400" s="5" t="str">
        <f>IFERROR(__xludf.DUMMYFUNCTION("""COMPUTED_VALUE"""),"اصفهان")</f>
        <v>اصفهان</v>
      </c>
      <c r="F5400" s="5"/>
      <c r="G5400" s="5">
        <f>IFERROR(__xludf.DUMMYFUNCTION("""COMPUTED_VALUE"""),1.0)</f>
        <v>1</v>
      </c>
      <c r="H5400" s="6" t="str">
        <f>IFERROR(__xludf.DUMMYFUNCTION("""COMPUTED_VALUE"""),"https://www.instagram.com/beynolharamein_esf")</f>
        <v>https://www.instagram.com/beynolharamein_esf</v>
      </c>
      <c r="I5400" s="5"/>
      <c r="J5400" s="5"/>
      <c r="K5400" s="5"/>
      <c r="L5400" s="5"/>
      <c r="M5400" s="5"/>
      <c r="N5400" s="5"/>
      <c r="O5400" s="5"/>
      <c r="P5400" s="5"/>
      <c r="Q5400" s="5"/>
      <c r="R5400" s="5"/>
      <c r="S5400" s="5"/>
    </row>
    <row r="5401">
      <c r="A5401" s="5">
        <f>IFERROR(__xludf.DUMMYFUNCTION("""COMPUTED_VALUE"""),1227.0)</f>
        <v>1227</v>
      </c>
      <c r="B5401" s="5" t="str">
        <f>IFERROR(__xludf.DUMMYFUNCTION("""COMPUTED_VALUE"""),"هیأت")</f>
        <v>هیأت</v>
      </c>
      <c r="C5401" s="5" t="str">
        <f>IFERROR(__xludf.DUMMYFUNCTION("""COMPUTED_VALUE"""),"قاسم بن الحسن (ع)")</f>
        <v>قاسم بن الحسن (ع)</v>
      </c>
      <c r="D5401" s="5" t="str">
        <f>IFERROR(__xludf.DUMMYFUNCTION("""COMPUTED_VALUE"""),"اصفهان")</f>
        <v>اصفهان</v>
      </c>
      <c r="E5401" s="5" t="str">
        <f>IFERROR(__xludf.DUMMYFUNCTION("""COMPUTED_VALUE"""),"اصفهان")</f>
        <v>اصفهان</v>
      </c>
      <c r="F5401" s="5"/>
      <c r="G5401" s="5"/>
      <c r="H5401" s="5"/>
      <c r="I5401" s="5"/>
      <c r="J5401" s="6" t="str">
        <f>IFERROR(__xludf.DUMMYFUNCTION("""COMPUTED_VALUE"""),"https://eitaa.com/ghaamabnhasn")</f>
        <v>https://eitaa.com/ghaamabnhasn</v>
      </c>
      <c r="K5401" s="5"/>
      <c r="L5401" s="5"/>
      <c r="M5401" s="5"/>
      <c r="N5401" s="5"/>
      <c r="O5401" s="5"/>
      <c r="P5401" s="5"/>
      <c r="Q5401" s="5"/>
      <c r="R5401" s="5"/>
      <c r="S5401" s="5"/>
    </row>
    <row r="5402">
      <c r="A5402" s="5">
        <f>IFERROR(__xludf.DUMMYFUNCTION("""COMPUTED_VALUE"""),1228.0)</f>
        <v>1228</v>
      </c>
      <c r="B5402" s="5" t="str">
        <f>IFERROR(__xludf.DUMMYFUNCTION("""COMPUTED_VALUE"""),"هیأت")</f>
        <v>هیأت</v>
      </c>
      <c r="C5402" s="5" t="str">
        <f>IFERROR(__xludf.DUMMYFUNCTION("""COMPUTED_VALUE"""),"حضرت علی بن ابیطالب(ع)")</f>
        <v>حضرت علی بن ابیطالب(ع)</v>
      </c>
      <c r="D5402" s="5" t="str">
        <f>IFERROR(__xludf.DUMMYFUNCTION("""COMPUTED_VALUE"""),"اصفهان")</f>
        <v>اصفهان</v>
      </c>
      <c r="E5402" s="5" t="str">
        <f>IFERROR(__xludf.DUMMYFUNCTION("""COMPUTED_VALUE"""),"اصفهان")</f>
        <v>اصفهان</v>
      </c>
      <c r="F5402" s="5"/>
      <c r="G5402" s="5">
        <f>IFERROR(__xludf.DUMMYFUNCTION("""COMPUTED_VALUE"""),1.0)</f>
        <v>1</v>
      </c>
      <c r="H5402" s="6" t="str">
        <f>IFERROR(__xludf.DUMMYFUNCTION("""COMPUTED_VALUE"""),"https://www.instagram.com/heyate_aliebne_abitaleb")</f>
        <v>https://www.instagram.com/heyate_aliebne_abitaleb</v>
      </c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</row>
    <row r="5403">
      <c r="A5403" s="5">
        <f>IFERROR(__xludf.DUMMYFUNCTION("""COMPUTED_VALUE"""),1233.0)</f>
        <v>1233</v>
      </c>
      <c r="B5403" s="5" t="str">
        <f>IFERROR(__xludf.DUMMYFUNCTION("""COMPUTED_VALUE"""),"هیأت")</f>
        <v>هیأت</v>
      </c>
      <c r="C5403" s="5" t="str">
        <f>IFERROR(__xludf.DUMMYFUNCTION("""COMPUTED_VALUE"""),"موسسه و مکتب المهدی (عج)")</f>
        <v>موسسه و مکتب المهدی (عج)</v>
      </c>
      <c r="D5403" s="5" t="str">
        <f>IFERROR(__xludf.DUMMYFUNCTION("""COMPUTED_VALUE"""),"اصفهان")</f>
        <v>اصفهان</v>
      </c>
      <c r="E5403" s="5" t="str">
        <f>IFERROR(__xludf.DUMMYFUNCTION("""COMPUTED_VALUE"""),"اصفهان")</f>
        <v>اصفهان</v>
      </c>
      <c r="F5403" s="5"/>
      <c r="G5403" s="5">
        <f>IFERROR(__xludf.DUMMYFUNCTION("""COMPUTED_VALUE"""),1.0)</f>
        <v>1</v>
      </c>
      <c r="H5403" s="6" t="str">
        <f>IFERROR(__xludf.DUMMYFUNCTION("""COMPUTED_VALUE"""),"https://www.instagram.com/maktab_almahdi.99")</f>
        <v>https://www.instagram.com/maktab_almahdi.99</v>
      </c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</row>
    <row r="5404">
      <c r="A5404" s="5">
        <f>IFERROR(__xludf.DUMMYFUNCTION("""COMPUTED_VALUE"""),1234.0)</f>
        <v>1234</v>
      </c>
      <c r="B5404" s="5" t="str">
        <f>IFERROR(__xludf.DUMMYFUNCTION("""COMPUTED_VALUE"""),"هیأت")</f>
        <v>هیأت</v>
      </c>
      <c r="C5404" s="5" t="str">
        <f>IFERROR(__xludf.DUMMYFUNCTION("""COMPUTED_VALUE"""),"زنجیر زنان شاهزاده علی اکبر(ع)")</f>
        <v>زنجیر زنان شاهزاده علی اکبر(ع)</v>
      </c>
      <c r="D5404" s="5" t="str">
        <f>IFERROR(__xludf.DUMMYFUNCTION("""COMPUTED_VALUE"""),"اصفهان")</f>
        <v>اصفهان</v>
      </c>
      <c r="E5404" s="5" t="str">
        <f>IFERROR(__xludf.DUMMYFUNCTION("""COMPUTED_VALUE"""),"اصفهان")</f>
        <v>اصفهان</v>
      </c>
      <c r="F5404" s="5"/>
      <c r="G5404" s="5"/>
      <c r="H5404" s="5" t="str">
        <f>IFERROR(__xludf.DUMMYFUNCTION("""COMPUTED_VALUE"""),"https://www.instagram.com/h_hazratealiakbar\")</f>
        <v>https://www.instagram.com/h_hazratealiakbar\</v>
      </c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</row>
    <row r="5405">
      <c r="A5405" s="5">
        <f>IFERROR(__xludf.DUMMYFUNCTION("""COMPUTED_VALUE"""),1236.0)</f>
        <v>1236</v>
      </c>
      <c r="B5405" s="5" t="str">
        <f>IFERROR(__xludf.DUMMYFUNCTION("""COMPUTED_VALUE"""),"هیأت")</f>
        <v>هیأت</v>
      </c>
      <c r="C5405" s="5" t="str">
        <f>IFERROR(__xludf.DUMMYFUNCTION("""COMPUTED_VALUE"""),"محبان امام حسن مجتبی (ع)")</f>
        <v>محبان امام حسن مجتبی (ع)</v>
      </c>
      <c r="D5405" s="5" t="str">
        <f>IFERROR(__xludf.DUMMYFUNCTION("""COMPUTED_VALUE"""),"اصفهان")</f>
        <v>اصفهان</v>
      </c>
      <c r="E5405" s="5" t="str">
        <f>IFERROR(__xludf.DUMMYFUNCTION("""COMPUTED_VALUE"""),"اصفهان")</f>
        <v>اصفهان</v>
      </c>
      <c r="F5405" s="5"/>
      <c r="G5405" s="5">
        <f>IFERROR(__xludf.DUMMYFUNCTION("""COMPUTED_VALUE"""),1.0)</f>
        <v>1</v>
      </c>
      <c r="H5405" s="6" t="str">
        <f>IFERROR(__xludf.DUMMYFUNCTION("""COMPUTED_VALUE"""),"https://www.instagram.com/moheban_emamhasan")</f>
        <v>https://www.instagram.com/moheban_emamhasan</v>
      </c>
      <c r="I5405" s="6" t="str">
        <f>IFERROR(__xludf.DUMMYFUNCTION("""COMPUTED_VALUE"""),"https://t.me/moheban_emamhasan")</f>
        <v>https://t.me/moheban_emamhasan</v>
      </c>
      <c r="J5405" s="5"/>
      <c r="K5405" s="5"/>
      <c r="L5405" s="5"/>
      <c r="M5405" s="5"/>
      <c r="N5405" s="5"/>
      <c r="O5405" s="5"/>
      <c r="P5405" s="5"/>
      <c r="Q5405" s="5"/>
      <c r="R5405" s="5"/>
      <c r="S5405" s="5"/>
    </row>
    <row r="5406">
      <c r="A5406" s="5">
        <f>IFERROR(__xludf.DUMMYFUNCTION("""COMPUTED_VALUE"""),1238.0)</f>
        <v>1238</v>
      </c>
      <c r="B5406" s="5" t="str">
        <f>IFERROR(__xludf.DUMMYFUNCTION("""COMPUTED_VALUE"""),"هیأت")</f>
        <v>هیأت</v>
      </c>
      <c r="C5406" s="5" t="str">
        <f>IFERROR(__xludf.DUMMYFUNCTION("""COMPUTED_VALUE"""),"شهدای مهدویون")</f>
        <v>شهدای مهدویون</v>
      </c>
      <c r="D5406" s="5" t="str">
        <f>IFERROR(__xludf.DUMMYFUNCTION("""COMPUTED_VALUE"""),"اصفهان")</f>
        <v>اصفهان</v>
      </c>
      <c r="E5406" s="5" t="str">
        <f>IFERROR(__xludf.DUMMYFUNCTION("""COMPUTED_VALUE"""),"اصفهان")</f>
        <v>اصفهان</v>
      </c>
      <c r="F5406" s="5"/>
      <c r="G5406" s="5">
        <f>IFERROR(__xludf.DUMMYFUNCTION("""COMPUTED_VALUE"""),1.0)</f>
        <v>1</v>
      </c>
      <c r="H5406" s="6" t="str">
        <f>IFERROR(__xludf.DUMMYFUNCTION("""COMPUTED_VALUE"""),"https://www.instagram.com/heyatmahdiyounesfahan")</f>
        <v>https://www.instagram.com/heyatmahdiyounesfahan</v>
      </c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</row>
    <row r="5407">
      <c r="A5407" s="5">
        <f>IFERROR(__xludf.DUMMYFUNCTION("""COMPUTED_VALUE"""),1246.0)</f>
        <v>1246</v>
      </c>
      <c r="B5407" s="5" t="str">
        <f>IFERROR(__xludf.DUMMYFUNCTION("""COMPUTED_VALUE"""),"هیأت")</f>
        <v>هیأت</v>
      </c>
      <c r="C5407" s="5" t="str">
        <f>IFERROR(__xludf.DUMMYFUNCTION("""COMPUTED_VALUE""")," عشاق الحسین(ع)")</f>
        <v> عشاق الحسین(ع)</v>
      </c>
      <c r="D5407" s="5" t="str">
        <f>IFERROR(__xludf.DUMMYFUNCTION("""COMPUTED_VALUE"""),"اصفهان")</f>
        <v>اصفهان</v>
      </c>
      <c r="E5407" s="5" t="str">
        <f>IFERROR(__xludf.DUMMYFUNCTION("""COMPUTED_VALUE"""),"اصفهان")</f>
        <v>اصفهان</v>
      </c>
      <c r="F5407" s="5"/>
      <c r="G5407" s="5"/>
      <c r="H5407" s="6" t="str">
        <f>IFERROR(__xludf.DUMMYFUNCTION("""COMPUTED_VALUE"""),"https://www.instagram.com/oshaghol_hossein1")</f>
        <v>https://www.instagram.com/oshaghol_hossein1</v>
      </c>
      <c r="I5407" s="5"/>
      <c r="J5407" s="6" t="str">
        <f>IFERROR(__xludf.DUMMYFUNCTION("""COMPUTED_VALUE"""),"https://eitaa.com/oshaghol_hossein1")</f>
        <v>https://eitaa.com/oshaghol_hossein1</v>
      </c>
      <c r="K5407" s="5"/>
      <c r="L5407" s="5"/>
      <c r="M5407" s="5"/>
      <c r="N5407" s="5"/>
      <c r="O5407" s="5"/>
      <c r="P5407" s="5"/>
      <c r="Q5407" s="5"/>
      <c r="R5407" s="5"/>
      <c r="S5407" s="5"/>
    </row>
    <row r="5408">
      <c r="A5408" s="5">
        <f>IFERROR(__xludf.DUMMYFUNCTION("""COMPUTED_VALUE"""),1249.0)</f>
        <v>1249</v>
      </c>
      <c r="B5408" s="5" t="str">
        <f>IFERROR(__xludf.DUMMYFUNCTION("""COMPUTED_VALUE"""),"هیأت")</f>
        <v>هیأت</v>
      </c>
      <c r="C5408" s="5" t="str">
        <f>IFERROR(__xludf.DUMMYFUNCTION("""COMPUTED_VALUE"""),"قمربنی هاشم(ع) / حضرت ابوالفضل(ع)")</f>
        <v>قمربنی هاشم(ع) / حضرت ابوالفضل(ع)</v>
      </c>
      <c r="D5408" s="5" t="str">
        <f>IFERROR(__xludf.DUMMYFUNCTION("""COMPUTED_VALUE"""),"اصفهان")</f>
        <v>اصفهان</v>
      </c>
      <c r="E5408" s="5" t="str">
        <f>IFERROR(__xludf.DUMMYFUNCTION("""COMPUTED_VALUE"""),"برخوار")</f>
        <v>برخوار</v>
      </c>
      <c r="F5408" s="5"/>
      <c r="G5408" s="5"/>
      <c r="H5408" s="6" t="str">
        <f>IFERROR(__xludf.DUMMYFUNCTION("""COMPUTED_VALUE"""),"https://www.instagram.com/saghaa1387")</f>
        <v>https://www.instagram.com/saghaa1387</v>
      </c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</row>
    <row r="5409">
      <c r="A5409" s="5">
        <f>IFERROR(__xludf.DUMMYFUNCTION("""COMPUTED_VALUE"""),1251.0)</f>
        <v>1251</v>
      </c>
      <c r="B5409" s="5" t="str">
        <f>IFERROR(__xludf.DUMMYFUNCTION("""COMPUTED_VALUE"""),"هیأت")</f>
        <v>هیأت</v>
      </c>
      <c r="C5409" s="5" t="str">
        <f>IFERROR(__xludf.DUMMYFUNCTION("""COMPUTED_VALUE"""),"صاحب الزمان(عج)")</f>
        <v>صاحب الزمان(عج)</v>
      </c>
      <c r="D5409" s="5" t="str">
        <f>IFERROR(__xludf.DUMMYFUNCTION("""COMPUTED_VALUE"""),"اصفهان")</f>
        <v>اصفهان</v>
      </c>
      <c r="E5409" s="5" t="str">
        <f>IFERROR(__xludf.DUMMYFUNCTION("""COMPUTED_VALUE"""),"اصفهان")</f>
        <v>اصفهان</v>
      </c>
      <c r="F5409" s="5"/>
      <c r="G5409" s="5"/>
      <c r="H5409" s="6" t="str">
        <f>IFERROR(__xludf.DUMMYFUNCTION("""COMPUTED_VALUE"""),"https://www.instagram.com/sahebalzaman.shahinshahr")</f>
        <v>https://www.instagram.com/sahebalzaman.shahinshahr</v>
      </c>
      <c r="I5409" s="5"/>
      <c r="J5409" s="5"/>
      <c r="K5409" s="5"/>
      <c r="L5409" s="5"/>
      <c r="M5409" s="5"/>
      <c r="N5409" s="5"/>
      <c r="O5409" s="5"/>
      <c r="P5409" s="5"/>
      <c r="Q5409" s="5"/>
      <c r="R5409" s="5"/>
      <c r="S5409" s="5"/>
    </row>
    <row r="5410">
      <c r="A5410" s="5">
        <f>IFERROR(__xludf.DUMMYFUNCTION("""COMPUTED_VALUE"""),1259.0)</f>
        <v>1259</v>
      </c>
      <c r="B5410" s="5" t="str">
        <f>IFERROR(__xludf.DUMMYFUNCTION("""COMPUTED_VALUE"""),"هیأت")</f>
        <v>هیأت</v>
      </c>
      <c r="C5410" s="5" t="str">
        <f>IFERROR(__xludf.DUMMYFUNCTION("""COMPUTED_VALUE"""),"انصارالحجه (عج)")</f>
        <v>انصارالحجه (عج)</v>
      </c>
      <c r="D5410" s="5" t="str">
        <f>IFERROR(__xludf.DUMMYFUNCTION("""COMPUTED_VALUE"""),"اصفهان")</f>
        <v>اصفهان</v>
      </c>
      <c r="E5410" s="5" t="str">
        <f>IFERROR(__xludf.DUMMYFUNCTION("""COMPUTED_VALUE"""),"اردستان")</f>
        <v>اردستان</v>
      </c>
      <c r="F5410" s="5"/>
      <c r="G5410" s="5"/>
      <c r="H5410" s="6" t="str">
        <f>IFERROR(__xludf.DUMMYFUNCTION("""COMPUTED_VALUE"""),"https://www.instagram.com/ansarolhojat313")</f>
        <v>https://www.instagram.com/ansarolhojat313</v>
      </c>
      <c r="I5410" s="6" t="str">
        <f>IFERROR(__xludf.DUMMYFUNCTION("""COMPUTED_VALUE"""),"https://t.me/ansarolhojat313")</f>
        <v>https://t.me/ansarolhojat313</v>
      </c>
      <c r="J5410" s="5"/>
      <c r="K5410" s="5"/>
      <c r="L5410" s="5"/>
      <c r="M5410" s="5"/>
      <c r="N5410" s="5"/>
      <c r="O5410" s="5"/>
      <c r="P5410" s="5"/>
      <c r="Q5410" s="5"/>
      <c r="R5410" s="5"/>
      <c r="S5410" s="5"/>
    </row>
    <row r="5411">
      <c r="A5411" s="5">
        <f>IFERROR(__xludf.DUMMYFUNCTION("""COMPUTED_VALUE"""),1263.0)</f>
        <v>1263</v>
      </c>
      <c r="B5411" s="5" t="str">
        <f>IFERROR(__xludf.DUMMYFUNCTION("""COMPUTED_VALUE"""),"هیأت")</f>
        <v>هیأت</v>
      </c>
      <c r="C5411" s="5" t="str">
        <f>IFERROR(__xludf.DUMMYFUNCTION("""COMPUTED_VALUE"""),"سربازان امام زمان(عج)")</f>
        <v>سربازان امام زمان(عج)</v>
      </c>
      <c r="D5411" s="5" t="str">
        <f>IFERROR(__xludf.DUMMYFUNCTION("""COMPUTED_VALUE"""),"اصفهان")</f>
        <v>اصفهان</v>
      </c>
      <c r="E5411" s="5" t="str">
        <f>IFERROR(__xludf.DUMMYFUNCTION("""COMPUTED_VALUE"""),"زواره")</f>
        <v>زواره</v>
      </c>
      <c r="F5411" s="5"/>
      <c r="G5411" s="5"/>
      <c r="H5411" s="6" t="str">
        <f>IFERROR(__xludf.DUMMYFUNCTION("""COMPUTED_VALUE"""),"https://www.instagram.com/sahebalzaman_mosque")</f>
        <v>https://www.instagram.com/sahebalzaman_mosque</v>
      </c>
      <c r="I5411" s="5"/>
      <c r="J5411" s="5"/>
      <c r="K5411" s="5"/>
      <c r="L5411" s="5"/>
      <c r="M5411" s="5"/>
      <c r="N5411" s="5"/>
      <c r="O5411" s="5"/>
      <c r="P5411" s="5"/>
      <c r="Q5411" s="5"/>
      <c r="R5411" s="5"/>
      <c r="S5411" s="5"/>
    </row>
    <row r="5412">
      <c r="A5412" s="5">
        <f>IFERROR(__xludf.DUMMYFUNCTION("""COMPUTED_VALUE"""),1266.0)</f>
        <v>1266</v>
      </c>
      <c r="B5412" s="5" t="str">
        <f>IFERROR(__xludf.DUMMYFUNCTION("""COMPUTED_VALUE"""),"هیأت")</f>
        <v>هیأت</v>
      </c>
      <c r="C5412" s="5" t="str">
        <f>IFERROR(__xludf.DUMMYFUNCTION("""COMPUTED_VALUE"""),"ائمه بقیع(ع)
")</f>
        <v>ائمه بقیع(ع)
</v>
      </c>
      <c r="D5412" s="5" t="str">
        <f>IFERROR(__xludf.DUMMYFUNCTION("""COMPUTED_VALUE"""),"اصفهان")</f>
        <v>اصفهان</v>
      </c>
      <c r="E5412" s="5" t="str">
        <f>IFERROR(__xludf.DUMMYFUNCTION("""COMPUTED_VALUE"""),"اصفهان")</f>
        <v>اصفهان</v>
      </c>
      <c r="F5412" s="5"/>
      <c r="G5412" s="5"/>
      <c r="H5412" s="6" t="str">
        <f>IFERROR(__xludf.DUMMYFUNCTION("""COMPUTED_VALUE"""),"https://www.instagram.com/aeme_baqi")</f>
        <v>https://www.instagram.com/aeme_baqi</v>
      </c>
      <c r="I5412" s="6" t="str">
        <f>IFERROR(__xludf.DUMMYFUNCTION("""COMPUTED_VALUE"""),"https://t.me/aeme_baqii")</f>
        <v>https://t.me/aeme_baqii</v>
      </c>
      <c r="J5412" s="6" t="str">
        <f>IFERROR(__xludf.DUMMYFUNCTION("""COMPUTED_VALUE"""),"https://eitaa.com/aeme_baqiii")</f>
        <v>https://eitaa.com/aeme_baqiii</v>
      </c>
      <c r="K5412" s="5"/>
      <c r="L5412" s="5"/>
      <c r="M5412" s="5"/>
      <c r="N5412" s="5"/>
      <c r="O5412" s="5"/>
      <c r="P5412" s="5"/>
      <c r="Q5412" s="5"/>
      <c r="R5412" s="5"/>
      <c r="S5412" s="5"/>
    </row>
    <row r="5413">
      <c r="A5413" s="5">
        <f>IFERROR(__xludf.DUMMYFUNCTION("""COMPUTED_VALUE"""),1273.0)</f>
        <v>1273</v>
      </c>
      <c r="B5413" s="5" t="str">
        <f>IFERROR(__xludf.DUMMYFUNCTION("""COMPUTED_VALUE"""),"هیأت")</f>
        <v>هیأت</v>
      </c>
      <c r="C5413" s="5" t="str">
        <f>IFERROR(__xludf.DUMMYFUNCTION("""COMPUTED_VALUE"""),"کانون محبان الزهرا(س) مسجد مسلم")</f>
        <v>کانون محبان الزهرا(س) مسجد مسلم</v>
      </c>
      <c r="D5413" s="5" t="str">
        <f>IFERROR(__xludf.DUMMYFUNCTION("""COMPUTED_VALUE"""),"اصفهان")</f>
        <v>اصفهان</v>
      </c>
      <c r="E5413" s="5" t="str">
        <f>IFERROR(__xludf.DUMMYFUNCTION("""COMPUTED_VALUE"""),"اصفهان")</f>
        <v>اصفهان</v>
      </c>
      <c r="F5413" s="5"/>
      <c r="G5413" s="5">
        <f>IFERROR(__xludf.DUMMYFUNCTION("""COMPUTED_VALUE"""),1.0)</f>
        <v>1</v>
      </c>
      <c r="H5413" s="6" t="str">
        <f>IFERROR(__xludf.DUMMYFUNCTION("""COMPUTED_VALUE"""),"https://www.instagram.com/moheban.isf")</f>
        <v>https://www.instagram.com/moheban.isf</v>
      </c>
      <c r="I5413" s="5"/>
      <c r="J5413" s="5"/>
      <c r="K5413" s="5"/>
      <c r="L5413" s="5"/>
      <c r="M5413" s="5"/>
      <c r="N5413" s="5"/>
      <c r="O5413" s="5"/>
      <c r="P5413" s="5"/>
      <c r="Q5413" s="5"/>
      <c r="R5413" s="5"/>
      <c r="S5413" s="5"/>
    </row>
    <row r="5414">
      <c r="A5414" s="5">
        <f>IFERROR(__xludf.DUMMYFUNCTION("""COMPUTED_VALUE"""),1274.0)</f>
        <v>1274</v>
      </c>
      <c r="B5414" s="5" t="str">
        <f>IFERROR(__xludf.DUMMYFUNCTION("""COMPUTED_VALUE"""),"هیأت")</f>
        <v>هیأت</v>
      </c>
      <c r="C5414" s="5" t="str">
        <f>IFERROR(__xludf.DUMMYFUNCTION("""COMPUTED_VALUE"""),"مسلم بن عقیل(ع)")</f>
        <v>مسلم بن عقیل(ع)</v>
      </c>
      <c r="D5414" s="5" t="str">
        <f>IFERROR(__xludf.DUMMYFUNCTION("""COMPUTED_VALUE"""),"اصفهان")</f>
        <v>اصفهان</v>
      </c>
      <c r="E5414" s="5" t="str">
        <f>IFERROR(__xludf.DUMMYFUNCTION("""COMPUTED_VALUE"""),"اصفهان")</f>
        <v>اصفهان</v>
      </c>
      <c r="F5414" s="5"/>
      <c r="G5414" s="5"/>
      <c r="H5414" s="6" t="str">
        <f>IFERROR(__xludf.DUMMYFUNCTION("""COMPUTED_VALUE"""),"https://www.instagram.com/moslemie_esfahan")</f>
        <v>https://www.instagram.com/moslemie_esfahan</v>
      </c>
      <c r="I5414" s="6" t="str">
        <f>IFERROR(__xludf.DUMMYFUNCTION("""COMPUTED_VALUE"""),"https://t.me/yamoslemie")</f>
        <v>https://t.me/yamoslemie</v>
      </c>
      <c r="J5414" s="5"/>
      <c r="K5414" s="5"/>
      <c r="L5414" s="5"/>
      <c r="M5414" s="5"/>
      <c r="N5414" s="5"/>
      <c r="O5414" s="5"/>
      <c r="P5414" s="5"/>
      <c r="Q5414" s="5"/>
      <c r="R5414" s="5"/>
      <c r="S5414" s="5"/>
    </row>
    <row r="5415">
      <c r="A5415" s="5">
        <f>IFERROR(__xludf.DUMMYFUNCTION("""COMPUTED_VALUE"""),1283.0)</f>
        <v>1283</v>
      </c>
      <c r="B5415" s="5" t="str">
        <f>IFERROR(__xludf.DUMMYFUNCTION("""COMPUTED_VALUE"""),"هیأت")</f>
        <v>هیأت</v>
      </c>
      <c r="C5415" s="5" t="str">
        <f>IFERROR(__xludf.DUMMYFUNCTION("""COMPUTED_VALUE"""),"مجموعه فرهنگی مسجد الامام")</f>
        <v>مجموعه فرهنگی مسجد الامام</v>
      </c>
      <c r="D5415" s="5" t="str">
        <f>IFERROR(__xludf.DUMMYFUNCTION("""COMPUTED_VALUE"""),"اصفهان")</f>
        <v>اصفهان</v>
      </c>
      <c r="E5415" s="5" t="str">
        <f>IFERROR(__xludf.DUMMYFUNCTION("""COMPUTED_VALUE"""),"اصفهان")</f>
        <v>اصفهان</v>
      </c>
      <c r="F5415" s="5"/>
      <c r="G5415" s="5"/>
      <c r="H5415" s="6" t="str">
        <f>IFERROR(__xludf.DUMMYFUNCTION("""COMPUTED_VALUE"""),"https://www.instagram.com/masjed_emam_channel")</f>
        <v>https://www.instagram.com/masjed_emam_channel</v>
      </c>
      <c r="I5415" s="5"/>
      <c r="J5415" s="5"/>
      <c r="K5415" s="5"/>
      <c r="L5415" s="5"/>
      <c r="M5415" s="5"/>
      <c r="N5415" s="5"/>
      <c r="O5415" s="5"/>
      <c r="P5415" s="5"/>
      <c r="Q5415" s="5"/>
      <c r="R5415" s="5"/>
      <c r="S5415" s="5"/>
    </row>
    <row r="5416">
      <c r="A5416" s="5">
        <f>IFERROR(__xludf.DUMMYFUNCTION("""COMPUTED_VALUE"""),1285.0)</f>
        <v>1285</v>
      </c>
      <c r="B5416" s="5" t="str">
        <f>IFERROR(__xludf.DUMMYFUNCTION("""COMPUTED_VALUE"""),"هیأت")</f>
        <v>هیأت</v>
      </c>
      <c r="C5416" s="5" t="str">
        <f>IFERROR(__xludf.DUMMYFUNCTION("""COMPUTED_VALUE"""),"محبان الحسین(ع) (کانون فرهنگی جنات)")</f>
        <v>محبان الحسین(ع) (کانون فرهنگی جنات)</v>
      </c>
      <c r="D5416" s="5" t="str">
        <f>IFERROR(__xludf.DUMMYFUNCTION("""COMPUTED_VALUE"""),"اصفهان")</f>
        <v>اصفهان</v>
      </c>
      <c r="E5416" s="5" t="str">
        <f>IFERROR(__xludf.DUMMYFUNCTION("""COMPUTED_VALUE"""),"اصفهان")</f>
        <v>اصفهان</v>
      </c>
      <c r="F5416" s="5"/>
      <c r="G5416" s="5"/>
      <c r="H5416" s="6" t="str">
        <f>IFERROR(__xludf.DUMMYFUNCTION("""COMPUTED_VALUE"""),"https://www.instagram.com/baghshan_farhangi313")</f>
        <v>https://www.instagram.com/baghshan_farhangi313</v>
      </c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</row>
    <row r="5417">
      <c r="A5417" s="5">
        <f>IFERROR(__xludf.DUMMYFUNCTION("""COMPUTED_VALUE"""),1287.0)</f>
        <v>1287</v>
      </c>
      <c r="B5417" s="5" t="str">
        <f>IFERROR(__xludf.DUMMYFUNCTION("""COMPUTED_VALUE"""),"هیأت")</f>
        <v>هیأت</v>
      </c>
      <c r="C5417" s="5" t="str">
        <f>IFERROR(__xludf.DUMMYFUNCTION("""COMPUTED_VALUE"""),"متوسلین به ائمه بقیع(ع)")</f>
        <v>متوسلین به ائمه بقیع(ع)</v>
      </c>
      <c r="D5417" s="5" t="str">
        <f>IFERROR(__xludf.DUMMYFUNCTION("""COMPUTED_VALUE"""),"اصفهان")</f>
        <v>اصفهان</v>
      </c>
      <c r="E5417" s="5" t="str">
        <f>IFERROR(__xludf.DUMMYFUNCTION("""COMPUTED_VALUE"""),"اصفهان")</f>
        <v>اصفهان</v>
      </c>
      <c r="F5417" s="5"/>
      <c r="G5417" s="5"/>
      <c r="H5417" s="6" t="str">
        <f>IFERROR(__xludf.DUMMYFUNCTION("""COMPUTED_VALUE"""),"https://www.instagram.com/heiatbaghbadoran")</f>
        <v>https://www.instagram.com/heiatbaghbadoran</v>
      </c>
      <c r="I5417" s="5"/>
      <c r="J5417" s="6" t="str">
        <f>IFERROR(__xludf.DUMMYFUNCTION("""COMPUTED_VALUE"""),"https://eitaa.com/heiatbaghbadoran")</f>
        <v>https://eitaa.com/heiatbaghbadoran</v>
      </c>
      <c r="K5417" s="5"/>
      <c r="L5417" s="5"/>
      <c r="M5417" s="5"/>
      <c r="N5417" s="5"/>
      <c r="O5417" s="5"/>
      <c r="P5417" s="5"/>
      <c r="Q5417" s="5"/>
      <c r="R5417" s="5"/>
      <c r="S5417" s="5"/>
    </row>
    <row r="5418">
      <c r="A5418" s="5">
        <f>IFERROR(__xludf.DUMMYFUNCTION("""COMPUTED_VALUE"""),1288.0)</f>
        <v>1288</v>
      </c>
      <c r="B5418" s="5" t="str">
        <f>IFERROR(__xludf.DUMMYFUNCTION("""COMPUTED_VALUE"""),"هیأت")</f>
        <v>هیأت</v>
      </c>
      <c r="C5418" s="5" t="str">
        <f>IFERROR(__xludf.DUMMYFUNCTION("""COMPUTED_VALUE"""),"یاس")</f>
        <v>یاس</v>
      </c>
      <c r="D5418" s="5" t="str">
        <f>IFERROR(__xludf.DUMMYFUNCTION("""COMPUTED_VALUE"""),"اصفهان")</f>
        <v>اصفهان</v>
      </c>
      <c r="E5418" s="5" t="str">
        <f>IFERROR(__xludf.DUMMYFUNCTION("""COMPUTED_VALUE"""),"اصفهان")</f>
        <v>اصفهان</v>
      </c>
      <c r="F5418" s="5"/>
      <c r="G5418" s="5"/>
      <c r="H5418" s="6" t="str">
        <f>IFERROR(__xludf.DUMMYFUNCTION("""COMPUTED_VALUE"""),"https://www.instagram.com/yasesf133")</f>
        <v>https://www.instagram.com/yasesf133</v>
      </c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</row>
    <row r="5419">
      <c r="A5419" s="5">
        <f>IFERROR(__xludf.DUMMYFUNCTION("""COMPUTED_VALUE"""),1289.0)</f>
        <v>1289</v>
      </c>
      <c r="B5419" s="5" t="str">
        <f>IFERROR(__xludf.DUMMYFUNCTION("""COMPUTED_VALUE"""),"هیأت")</f>
        <v>هیأت</v>
      </c>
      <c r="C5419" s="5" t="str">
        <f>IFERROR(__xludf.DUMMYFUNCTION("""COMPUTED_VALUE"""),"بچه های انقلاب")</f>
        <v>بچه های انقلاب</v>
      </c>
      <c r="D5419" s="5" t="str">
        <f>IFERROR(__xludf.DUMMYFUNCTION("""COMPUTED_VALUE"""),"اصفهان")</f>
        <v>اصفهان</v>
      </c>
      <c r="E5419" s="5" t="str">
        <f>IFERROR(__xludf.DUMMYFUNCTION("""COMPUTED_VALUE"""),"اصفهان")</f>
        <v>اصفهان</v>
      </c>
      <c r="F5419" s="5"/>
      <c r="G5419" s="5">
        <f>IFERROR(__xludf.DUMMYFUNCTION("""COMPUTED_VALUE"""),1.0)</f>
        <v>1</v>
      </c>
      <c r="H5419" s="6" t="str">
        <f>IFERROR(__xludf.DUMMYFUNCTION("""COMPUTED_VALUE"""),"https://www.instagram.com/bachehaye.enghelab")</f>
        <v>https://www.instagram.com/bachehaye.enghelab</v>
      </c>
      <c r="I5419" s="6" t="str">
        <f>IFERROR(__xludf.DUMMYFUNCTION("""COMPUTED_VALUE"""),"https://t.me/hiyatbachehaeenghelab")</f>
        <v>https://t.me/hiyatbachehaeenghelab</v>
      </c>
      <c r="J5419" s="5"/>
      <c r="K5419" s="5"/>
      <c r="L5419" s="5"/>
      <c r="M5419" s="5"/>
      <c r="N5419" s="5"/>
      <c r="O5419" s="5"/>
      <c r="P5419" s="5"/>
      <c r="Q5419" s="5"/>
      <c r="R5419" s="5"/>
      <c r="S5419" s="5"/>
    </row>
    <row r="5420">
      <c r="A5420" s="5">
        <f>IFERROR(__xludf.DUMMYFUNCTION("""COMPUTED_VALUE"""),1292.0)</f>
        <v>1292</v>
      </c>
      <c r="B5420" s="5" t="str">
        <f>IFERROR(__xludf.DUMMYFUNCTION("""COMPUTED_VALUE"""),"هیأت")</f>
        <v>هیأت</v>
      </c>
      <c r="C5420" s="5" t="str">
        <f>IFERROR(__xludf.DUMMYFUNCTION("""COMPUTED_VALUE"""),"مجمع فرهنگی شهید اژه ای")</f>
        <v>مجمع فرهنگی شهید اژه ای</v>
      </c>
      <c r="D5420" s="5" t="str">
        <f>IFERROR(__xludf.DUMMYFUNCTION("""COMPUTED_VALUE"""),"اصفهان")</f>
        <v>اصفهان</v>
      </c>
      <c r="E5420" s="5" t="str">
        <f>IFERROR(__xludf.DUMMYFUNCTION("""COMPUTED_VALUE"""),"اصفهان")</f>
        <v>اصفهان</v>
      </c>
      <c r="F5420" s="5"/>
      <c r="G5420" s="5"/>
      <c r="H5420" s="6" t="str">
        <f>IFERROR(__xludf.DUMMYFUNCTION("""COMPUTED_VALUE"""),"https://www.instagram.com/majmaiha")</f>
        <v>https://www.instagram.com/majmaiha</v>
      </c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</row>
    <row r="5421">
      <c r="A5421" s="5">
        <f>IFERROR(__xludf.DUMMYFUNCTION("""COMPUTED_VALUE"""),1293.0)</f>
        <v>1293</v>
      </c>
      <c r="B5421" s="5" t="str">
        <f>IFERROR(__xludf.DUMMYFUNCTION("""COMPUTED_VALUE"""),"هیأت")</f>
        <v>هیأت</v>
      </c>
      <c r="C5421" s="5" t="str">
        <f>IFERROR(__xludf.DUMMYFUNCTION("""COMPUTED_VALUE"""),"حسینیه مسجد مصری")</f>
        <v>حسینیه مسجد مصری</v>
      </c>
      <c r="D5421" s="5" t="str">
        <f>IFERROR(__xludf.DUMMYFUNCTION("""COMPUTED_VALUE"""),"اصفهان")</f>
        <v>اصفهان</v>
      </c>
      <c r="E5421" s="5" t="str">
        <f>IFERROR(__xludf.DUMMYFUNCTION("""COMPUTED_VALUE"""),"اصفهان")</f>
        <v>اصفهان</v>
      </c>
      <c r="F5421" s="5"/>
      <c r="G5421" s="5"/>
      <c r="H5421" s="6" t="str">
        <f>IFERROR(__xludf.DUMMYFUNCTION("""COMPUTED_VALUE"""),"https://www.instagram.com/masjed.mesri")</f>
        <v>https://www.instagram.com/masjed.mesri</v>
      </c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</row>
    <row r="5422">
      <c r="A5422" s="5">
        <f>IFERROR(__xludf.DUMMYFUNCTION("""COMPUTED_VALUE"""),1295.0)</f>
        <v>1295</v>
      </c>
      <c r="B5422" s="5" t="str">
        <f>IFERROR(__xludf.DUMMYFUNCTION("""COMPUTED_VALUE"""),"هیأت")</f>
        <v>هیأت</v>
      </c>
      <c r="C5422" s="5" t="str">
        <f>IFERROR(__xludf.DUMMYFUNCTION("""COMPUTED_VALUE"""),"جوادالائمه(ع)")</f>
        <v>جوادالائمه(ع)</v>
      </c>
      <c r="D5422" s="5" t="str">
        <f>IFERROR(__xludf.DUMMYFUNCTION("""COMPUTED_VALUE"""),"اصفهان")</f>
        <v>اصفهان</v>
      </c>
      <c r="E5422" s="5" t="str">
        <f>IFERROR(__xludf.DUMMYFUNCTION("""COMPUTED_VALUE"""),"اصفهان")</f>
        <v>اصفهان</v>
      </c>
      <c r="F5422" s="5"/>
      <c r="G5422" s="5"/>
      <c r="H5422" s="5"/>
      <c r="I5422" s="5"/>
      <c r="J5422" s="6" t="str">
        <f>IFERROR(__xludf.DUMMYFUNCTION("""COMPUTED_VALUE"""),"https://eitaa.com/joinchat/2858287332Cbde5fce19c")</f>
        <v>https://eitaa.com/joinchat/2858287332Cbde5fce19c</v>
      </c>
      <c r="K5422" s="5"/>
      <c r="L5422" s="5"/>
      <c r="M5422" s="5"/>
      <c r="N5422" s="5"/>
      <c r="O5422" s="5"/>
      <c r="P5422" s="5"/>
      <c r="Q5422" s="5"/>
      <c r="R5422" s="5"/>
      <c r="S5422" s="5"/>
    </row>
    <row r="5423">
      <c r="A5423" s="5">
        <f>IFERROR(__xludf.DUMMYFUNCTION("""COMPUTED_VALUE"""),1299.0)</f>
        <v>1299</v>
      </c>
      <c r="B5423" s="5" t="str">
        <f>IFERROR(__xludf.DUMMYFUNCTION("""COMPUTED_VALUE"""),"هیأت")</f>
        <v>هیأت</v>
      </c>
      <c r="C5423" s="5" t="str">
        <f>IFERROR(__xludf.DUMMYFUNCTION("""COMPUTED_VALUE"""),"تسنیم")</f>
        <v>تسنیم</v>
      </c>
      <c r="D5423" s="5" t="str">
        <f>IFERROR(__xludf.DUMMYFUNCTION("""COMPUTED_VALUE"""),"اصفهان")</f>
        <v>اصفهان</v>
      </c>
      <c r="E5423" s="5" t="str">
        <f>IFERROR(__xludf.DUMMYFUNCTION("""COMPUTED_VALUE"""),"اصفهان")</f>
        <v>اصفهان</v>
      </c>
      <c r="F5423" s="5"/>
      <c r="G5423" s="5">
        <f>IFERROR(__xludf.DUMMYFUNCTION("""COMPUTED_VALUE"""),1.0)</f>
        <v>1</v>
      </c>
      <c r="H5423" s="6" t="str">
        <f>IFERROR(__xludf.DUMMYFUNCTION("""COMPUTED_VALUE"""),"https://www.instagram.com/tawashih_tasnim")</f>
        <v>https://www.instagram.com/tawashih_tasnim</v>
      </c>
      <c r="I5423" s="5"/>
      <c r="J5423" s="5"/>
      <c r="K5423" s="5"/>
      <c r="L5423" s="5"/>
      <c r="M5423" s="5"/>
      <c r="N5423" s="5"/>
      <c r="O5423" s="5"/>
      <c r="P5423" s="5"/>
      <c r="Q5423" s="5"/>
      <c r="R5423" s="5"/>
      <c r="S5423" s="5"/>
    </row>
    <row r="5424">
      <c r="A5424" s="5">
        <f>IFERROR(__xludf.DUMMYFUNCTION("""COMPUTED_VALUE"""),1306.0)</f>
        <v>1306</v>
      </c>
      <c r="B5424" s="5" t="str">
        <f>IFERROR(__xludf.DUMMYFUNCTION("""COMPUTED_VALUE"""),"هیأت")</f>
        <v>هیأت</v>
      </c>
      <c r="C5424" s="5" t="str">
        <f>IFERROR(__xludf.DUMMYFUNCTION("""COMPUTED_VALUE"""),"فاطمیه")</f>
        <v>فاطمیه</v>
      </c>
      <c r="D5424" s="5" t="str">
        <f>IFERROR(__xludf.DUMMYFUNCTION("""COMPUTED_VALUE"""),"اصفهان")</f>
        <v>اصفهان</v>
      </c>
      <c r="E5424" s="5" t="str">
        <f>IFERROR(__xludf.DUMMYFUNCTION("""COMPUTED_VALUE"""),"اصفهان")</f>
        <v>اصفهان</v>
      </c>
      <c r="F5424" s="5"/>
      <c r="G5424" s="5"/>
      <c r="H5424" s="6" t="str">
        <f>IFERROR(__xludf.DUMMYFUNCTION("""COMPUTED_VALUE"""),"https://www.instagram.com/fatemiyejoshoghaniha")</f>
        <v>https://www.instagram.com/fatemiyejoshoghaniha</v>
      </c>
      <c r="I5424" s="6" t="str">
        <f>IFERROR(__xludf.DUMMYFUNCTION("""COMPUTED_VALUE"""),"https://t.me/heyatefatemieh133")</f>
        <v>https://t.me/heyatefatemieh133</v>
      </c>
      <c r="J5424" s="5"/>
      <c r="K5424" s="5"/>
      <c r="L5424" s="5"/>
      <c r="M5424" s="5"/>
      <c r="N5424" s="5"/>
      <c r="O5424" s="5"/>
      <c r="P5424" s="5"/>
      <c r="Q5424" s="5"/>
      <c r="R5424" s="5"/>
      <c r="S5424" s="5"/>
    </row>
    <row r="5425">
      <c r="A5425" s="5">
        <f>IFERROR(__xludf.DUMMYFUNCTION("""COMPUTED_VALUE"""),1317.0)</f>
        <v>1317</v>
      </c>
      <c r="B5425" s="5" t="str">
        <f>IFERROR(__xludf.DUMMYFUNCTION("""COMPUTED_VALUE"""),"هیأت")</f>
        <v>هیأت</v>
      </c>
      <c r="C5425" s="5" t="str">
        <f>IFERROR(__xludf.DUMMYFUNCTION("""COMPUTED_VALUE"""),"حضرت زهرا(س) (خواهران)")</f>
        <v>حضرت زهرا(س) (خواهران)</v>
      </c>
      <c r="D5425" s="5" t="str">
        <f>IFERROR(__xludf.DUMMYFUNCTION("""COMPUTED_VALUE"""),"اصفهان")</f>
        <v>اصفهان</v>
      </c>
      <c r="E5425" s="5" t="str">
        <f>IFERROR(__xludf.DUMMYFUNCTION("""COMPUTED_VALUE"""),"اصفهان")</f>
        <v>اصفهان</v>
      </c>
      <c r="F5425" s="5"/>
      <c r="G5425" s="5"/>
      <c r="H5425" s="6" t="str">
        <f>IFERROR(__xludf.DUMMYFUNCTION("""COMPUTED_VALUE"""),"https://www.instagram.com/banovan_fatemii")</f>
        <v>https://www.instagram.com/banovan_fatemii</v>
      </c>
      <c r="I5425" s="5"/>
      <c r="J5425" s="6" t="str">
        <f>IFERROR(__xludf.DUMMYFUNCTION("""COMPUTED_VALUE"""),"https://eitaa.com/heiatefatematozahra")</f>
        <v>https://eitaa.com/heiatefatematozahra</v>
      </c>
      <c r="K5425" s="5"/>
      <c r="L5425" s="5"/>
      <c r="M5425" s="5"/>
      <c r="N5425" s="5"/>
      <c r="O5425" s="5"/>
      <c r="P5425" s="5"/>
      <c r="Q5425" s="5"/>
      <c r="R5425" s="5"/>
      <c r="S5425" s="5"/>
    </row>
    <row r="5426">
      <c r="A5426" s="5">
        <f>IFERROR(__xludf.DUMMYFUNCTION("""COMPUTED_VALUE"""),1318.0)</f>
        <v>1318</v>
      </c>
      <c r="B5426" s="5" t="str">
        <f>IFERROR(__xludf.DUMMYFUNCTION("""COMPUTED_VALUE"""),"هیأت")</f>
        <v>هیأت</v>
      </c>
      <c r="C5426" s="5" t="str">
        <f>IFERROR(__xludf.DUMMYFUNCTION("""COMPUTED_VALUE"""),"نهاد نمایندگی مقام معظم رهبری در دانشگاه پیام نور اصفهان")</f>
        <v>نهاد نمایندگی مقام معظم رهبری در دانشگاه پیام نور اصفهان</v>
      </c>
      <c r="D5426" s="5" t="str">
        <f>IFERROR(__xludf.DUMMYFUNCTION("""COMPUTED_VALUE"""),"اصفهان")</f>
        <v>اصفهان</v>
      </c>
      <c r="E5426" s="5" t="str">
        <f>IFERROR(__xludf.DUMMYFUNCTION("""COMPUTED_VALUE"""),"اصفهان")</f>
        <v>اصفهان</v>
      </c>
      <c r="F5426" s="5"/>
      <c r="G5426" s="5"/>
      <c r="H5426" s="5"/>
      <c r="I5426" s="5"/>
      <c r="J5426" s="6" t="str">
        <f>IFERROR(__xludf.DUMMYFUNCTION("""COMPUTED_VALUE"""),"https://eitaa.com/pnuesf_nahad_ir")</f>
        <v>https://eitaa.com/pnuesf_nahad_ir</v>
      </c>
      <c r="K5426" s="5"/>
      <c r="L5426" s="5"/>
      <c r="M5426" s="5"/>
      <c r="N5426" s="5"/>
      <c r="O5426" s="5"/>
      <c r="P5426" s="5"/>
      <c r="Q5426" s="5"/>
      <c r="R5426" s="5"/>
      <c r="S5426" s="5"/>
    </row>
    <row r="5427">
      <c r="A5427" s="5">
        <f>IFERROR(__xludf.DUMMYFUNCTION("""COMPUTED_VALUE"""),1319.0)</f>
        <v>1319</v>
      </c>
      <c r="B5427" s="5" t="str">
        <f>IFERROR(__xludf.DUMMYFUNCTION("""COMPUTED_VALUE"""),"هیأت")</f>
        <v>هیأت</v>
      </c>
      <c r="C5427" s="5" t="str">
        <f>IFERROR(__xludf.DUMMYFUNCTION("""COMPUTED_VALUE"""),"سائلان الحسین (ع)")</f>
        <v>سائلان الحسین (ع)</v>
      </c>
      <c r="D5427" s="5" t="str">
        <f>IFERROR(__xludf.DUMMYFUNCTION("""COMPUTED_VALUE"""),"اصفهان")</f>
        <v>اصفهان</v>
      </c>
      <c r="E5427" s="5" t="str">
        <f>IFERROR(__xludf.DUMMYFUNCTION("""COMPUTED_VALUE"""),"اصفهان")</f>
        <v>اصفهان</v>
      </c>
      <c r="F5427" s="5"/>
      <c r="G5427" s="5"/>
      <c r="H5427" s="6" t="str">
        <f>IFERROR(__xludf.DUMMYFUNCTION("""COMPUTED_VALUE"""),"https://www.instagram.com/saelanelhossein")</f>
        <v>https://www.instagram.com/saelanelhossein</v>
      </c>
      <c r="I5427" s="5"/>
      <c r="J5427" s="5"/>
      <c r="K5427" s="5"/>
      <c r="L5427" s="5"/>
      <c r="M5427" s="5"/>
      <c r="N5427" s="5"/>
      <c r="O5427" s="5"/>
      <c r="P5427" s="5"/>
      <c r="Q5427" s="5"/>
      <c r="R5427" s="5"/>
      <c r="S5427" s="5"/>
    </row>
    <row r="5428">
      <c r="A5428" s="5">
        <f>IFERROR(__xludf.DUMMYFUNCTION("""COMPUTED_VALUE"""),1322.0)</f>
        <v>1322</v>
      </c>
      <c r="B5428" s="5" t="str">
        <f>IFERROR(__xludf.DUMMYFUNCTION("""COMPUTED_VALUE"""),"هیأت")</f>
        <v>هیأت</v>
      </c>
      <c r="C5428" s="5" t="str">
        <f>IFERROR(__xludf.DUMMYFUNCTION("""COMPUTED_VALUE"""),"حضرت قاسم بن الحسن (ع)")</f>
        <v>حضرت قاسم بن الحسن (ع)</v>
      </c>
      <c r="D5428" s="5" t="str">
        <f>IFERROR(__xludf.DUMMYFUNCTION("""COMPUTED_VALUE"""),"اصفهان")</f>
        <v>اصفهان</v>
      </c>
      <c r="E5428" s="5" t="str">
        <f>IFERROR(__xludf.DUMMYFUNCTION("""COMPUTED_VALUE"""),"اصفهان")</f>
        <v>اصفهان</v>
      </c>
      <c r="F5428" s="5"/>
      <c r="G5428" s="5"/>
      <c r="H5428" s="6" t="str">
        <f>IFERROR(__xludf.DUMMYFUNCTION("""COMPUTED_VALUE"""),"https://www.instagram.com/hazratghasem_94")</f>
        <v>https://www.instagram.com/hazratghasem_94</v>
      </c>
      <c r="I5428" s="5"/>
      <c r="J5428" s="5"/>
      <c r="K5428" s="5"/>
      <c r="L5428" s="5"/>
      <c r="M5428" s="5"/>
      <c r="N5428" s="5"/>
      <c r="O5428" s="5"/>
      <c r="P5428" s="5"/>
      <c r="Q5428" s="5"/>
      <c r="R5428" s="5"/>
      <c r="S5428" s="5"/>
    </row>
    <row r="5429">
      <c r="A5429" s="5">
        <f>IFERROR(__xludf.DUMMYFUNCTION("""COMPUTED_VALUE"""),1323.0)</f>
        <v>1323</v>
      </c>
      <c r="B5429" s="5" t="str">
        <f>IFERROR(__xludf.DUMMYFUNCTION("""COMPUTED_VALUE"""),"هیأت")</f>
        <v>هیأت</v>
      </c>
      <c r="C5429" s="5" t="str">
        <f>IFERROR(__xludf.DUMMYFUNCTION("""COMPUTED_VALUE"""),"موسسه امیر بیان")</f>
        <v>موسسه امیر بیان</v>
      </c>
      <c r="D5429" s="5" t="str">
        <f>IFERROR(__xludf.DUMMYFUNCTION("""COMPUTED_VALUE"""),"اصفهان")</f>
        <v>اصفهان</v>
      </c>
      <c r="E5429" s="5" t="str">
        <f>IFERROR(__xludf.DUMMYFUNCTION("""COMPUTED_VALUE"""),"اصفهان")</f>
        <v>اصفهان</v>
      </c>
      <c r="F5429" s="5"/>
      <c r="G5429" s="5"/>
      <c r="H5429" s="5"/>
      <c r="I5429" s="5"/>
      <c r="J5429" s="6" t="str">
        <f>IFERROR(__xludf.DUMMYFUNCTION("""COMPUTED_VALUE"""),"https://eitaa.com/amirebayanesf")</f>
        <v>https://eitaa.com/amirebayanesf</v>
      </c>
      <c r="K5429" s="5"/>
      <c r="L5429" s="5"/>
      <c r="M5429" s="5"/>
      <c r="N5429" s="5"/>
      <c r="O5429" s="5"/>
      <c r="P5429" s="5"/>
      <c r="Q5429" s="5"/>
      <c r="R5429" s="5"/>
      <c r="S5429" s="5"/>
    </row>
    <row r="5430">
      <c r="A5430" s="5">
        <f>IFERROR(__xludf.DUMMYFUNCTION("""COMPUTED_VALUE"""),1325.0)</f>
        <v>1325</v>
      </c>
      <c r="B5430" s="5" t="str">
        <f>IFERROR(__xludf.DUMMYFUNCTION("""COMPUTED_VALUE"""),"موکب")</f>
        <v>موکب</v>
      </c>
      <c r="C5430" s="5" t="str">
        <f>IFERROR(__xludf.DUMMYFUNCTION("""COMPUTED_VALUE"""),"محبان آل یاسین")</f>
        <v>محبان آل یاسین</v>
      </c>
      <c r="D5430" s="5" t="str">
        <f>IFERROR(__xludf.DUMMYFUNCTION("""COMPUTED_VALUE"""),"اصفهان")</f>
        <v>اصفهان</v>
      </c>
      <c r="E5430" s="5" t="str">
        <f>IFERROR(__xludf.DUMMYFUNCTION("""COMPUTED_VALUE"""),"اصفهان")</f>
        <v>اصفهان</v>
      </c>
      <c r="F5430" s="5"/>
      <c r="G5430" s="5"/>
      <c r="H5430" s="6" t="str">
        <f>IFERROR(__xludf.DUMMYFUNCTION("""COMPUTED_VALUE"""),"https://www.instagram.com/mokeb_aleyasin")</f>
        <v>https://www.instagram.com/mokeb_aleyasin</v>
      </c>
      <c r="I5430" s="5"/>
      <c r="J5430" s="5"/>
      <c r="K5430" s="5"/>
      <c r="L5430" s="5"/>
      <c r="M5430" s="5"/>
      <c r="N5430" s="5"/>
      <c r="O5430" s="5"/>
      <c r="P5430" s="5"/>
      <c r="Q5430" s="5"/>
      <c r="R5430" s="5"/>
      <c r="S5430" s="5"/>
    </row>
    <row r="5431">
      <c r="A5431" s="5">
        <f>IFERROR(__xludf.DUMMYFUNCTION("""COMPUTED_VALUE"""),1326.0)</f>
        <v>1326</v>
      </c>
      <c r="B5431" s="5" t="str">
        <f>IFERROR(__xludf.DUMMYFUNCTION("""COMPUTED_VALUE"""),"هیأت")</f>
        <v>هیأت</v>
      </c>
      <c r="C5431" s="5" t="str">
        <f>IFERROR(__xludf.DUMMYFUNCTION("""COMPUTED_VALUE"""),"علی بن ابیطالب(ع)")</f>
        <v>علی بن ابیطالب(ع)</v>
      </c>
      <c r="D5431" s="5" t="str">
        <f>IFERROR(__xludf.DUMMYFUNCTION("""COMPUTED_VALUE"""),"اصفهان")</f>
        <v>اصفهان</v>
      </c>
      <c r="E5431" s="5" t="str">
        <f>IFERROR(__xludf.DUMMYFUNCTION("""COMPUTED_VALUE"""),"اصفهان")</f>
        <v>اصفهان</v>
      </c>
      <c r="F5431" s="5"/>
      <c r="G5431" s="5"/>
      <c r="H5431" s="5"/>
      <c r="I5431" s="5"/>
      <c r="J5431" s="6" t="str">
        <f>IFERROR(__xludf.DUMMYFUNCTION("""COMPUTED_VALUE"""),"https://eitaa.com/aheyatiha_ir")</f>
        <v>https://eitaa.com/aheyatiha_ir</v>
      </c>
      <c r="K5431" s="5"/>
      <c r="L5431" s="5"/>
      <c r="M5431" s="5"/>
      <c r="N5431" s="5"/>
      <c r="O5431" s="5"/>
      <c r="P5431" s="5"/>
      <c r="Q5431" s="5"/>
      <c r="R5431" s="5"/>
      <c r="S5431" s="5"/>
    </row>
    <row r="5432">
      <c r="A5432" s="5">
        <f>IFERROR(__xludf.DUMMYFUNCTION("""COMPUTED_VALUE"""),1335.0)</f>
        <v>1335</v>
      </c>
      <c r="B5432" s="5" t="str">
        <f>IFERROR(__xludf.DUMMYFUNCTION("""COMPUTED_VALUE"""),"هیأت")</f>
        <v>هیأت</v>
      </c>
      <c r="C5432" s="5" t="str">
        <f>IFERROR(__xludf.DUMMYFUNCTION("""COMPUTED_VALUE"""),"مسجد و مجموعه فرهنگی امام حسن عسکری (ع)")</f>
        <v>مسجد و مجموعه فرهنگی امام حسن عسکری (ع)</v>
      </c>
      <c r="D5432" s="5" t="str">
        <f>IFERROR(__xludf.DUMMYFUNCTION("""COMPUTED_VALUE"""),"اصفهان")</f>
        <v>اصفهان</v>
      </c>
      <c r="E5432" s="5" t="str">
        <f>IFERROR(__xludf.DUMMYFUNCTION("""COMPUTED_VALUE"""),"اصفهان")</f>
        <v>اصفهان</v>
      </c>
      <c r="F5432" s="5"/>
      <c r="G5432" s="5">
        <f>IFERROR(__xludf.DUMMYFUNCTION("""COMPUTED_VALUE"""),1.0)</f>
        <v>1</v>
      </c>
      <c r="H5432" s="6" t="str">
        <f>IFERROR(__xludf.DUMMYFUNCTION("""COMPUTED_VALUE"""),"https://www.instagram.com/maktabalabbas313")</f>
        <v>https://www.instagram.com/maktabalabbas313</v>
      </c>
      <c r="I5432" s="5"/>
      <c r="J5432" s="5"/>
      <c r="K5432" s="5"/>
      <c r="L5432" s="5"/>
      <c r="M5432" s="5"/>
      <c r="N5432" s="5"/>
      <c r="O5432" s="5"/>
      <c r="P5432" s="5"/>
      <c r="Q5432" s="5"/>
      <c r="R5432" s="5"/>
      <c r="S5432" s="5"/>
    </row>
    <row r="5433">
      <c r="A5433" s="5">
        <f>IFERROR(__xludf.DUMMYFUNCTION("""COMPUTED_VALUE"""),1350.0)</f>
        <v>1350</v>
      </c>
      <c r="B5433" s="5" t="str">
        <f>IFERROR(__xludf.DUMMYFUNCTION("""COMPUTED_VALUE"""),"هیأت")</f>
        <v>هیأت</v>
      </c>
      <c r="C5433" s="5" t="str">
        <f>IFERROR(__xludf.DUMMYFUNCTION("""COMPUTED_VALUE"""),"حضرت علی بن موسی الرضا(ع)")</f>
        <v>حضرت علی بن موسی الرضا(ع)</v>
      </c>
      <c r="D5433" s="5" t="str">
        <f>IFERROR(__xludf.DUMMYFUNCTION("""COMPUTED_VALUE"""),"اصفهان")</f>
        <v>اصفهان</v>
      </c>
      <c r="E5433" s="5" t="str">
        <f>IFERROR(__xludf.DUMMYFUNCTION("""COMPUTED_VALUE"""),"اصفهان")</f>
        <v>اصفهان</v>
      </c>
      <c r="F5433" s="5"/>
      <c r="G5433" s="5"/>
      <c r="H5433" s="6" t="str">
        <f>IFERROR(__xludf.DUMMYFUNCTION("""COMPUTED_VALUE"""),"https://www.instagram.com/heyat_rezaie_kashan")</f>
        <v>https://www.instagram.com/heyat_rezaie_kashan</v>
      </c>
      <c r="I5433" s="6" t="str">
        <f>IFERROR(__xludf.DUMMYFUNCTION("""COMPUTED_VALUE"""),"https://t.me/heyat_rezaie_kashan")</f>
        <v>https://t.me/heyat_rezaie_kashan</v>
      </c>
      <c r="J5433" s="6" t="str">
        <f>IFERROR(__xludf.DUMMYFUNCTION("""COMPUTED_VALUE"""),"https://eitaa.com/heyat_rezaie_kashan")</f>
        <v>https://eitaa.com/heyat_rezaie_kashan</v>
      </c>
      <c r="K5433" s="5"/>
      <c r="L5433" s="5"/>
      <c r="M5433" s="5"/>
      <c r="N5433" s="5"/>
      <c r="O5433" s="5"/>
      <c r="P5433" s="5"/>
      <c r="Q5433" s="5"/>
      <c r="R5433" s="5"/>
      <c r="S5433" s="5"/>
    </row>
    <row r="5434">
      <c r="A5434" s="5">
        <f>IFERROR(__xludf.DUMMYFUNCTION("""COMPUTED_VALUE"""),1355.0)</f>
        <v>1355</v>
      </c>
      <c r="B5434" s="5" t="str">
        <f>IFERROR(__xludf.DUMMYFUNCTION("""COMPUTED_VALUE"""),"هیأت")</f>
        <v>هیأت</v>
      </c>
      <c r="C5434" s="5" t="str">
        <f>IFERROR(__xludf.DUMMYFUNCTION("""COMPUTED_VALUE"""),"حب الائمه(ع)")</f>
        <v>حب الائمه(ع)</v>
      </c>
      <c r="D5434" s="5" t="str">
        <f>IFERROR(__xludf.DUMMYFUNCTION("""COMPUTED_VALUE"""),"اصفهان")</f>
        <v>اصفهان</v>
      </c>
      <c r="E5434" s="5" t="str">
        <f>IFERROR(__xludf.DUMMYFUNCTION("""COMPUTED_VALUE"""),"اصفهان")</f>
        <v>اصفهان</v>
      </c>
      <c r="F5434" s="5"/>
      <c r="G5434" s="5"/>
      <c r="H5434" s="5"/>
      <c r="I5434" s="5"/>
      <c r="J5434" s="6" t="str">
        <f>IFERROR(__xludf.DUMMYFUNCTION("""COMPUTED_VALUE"""),"https://eitaa.com/hobesf")</f>
        <v>https://eitaa.com/hobesf</v>
      </c>
      <c r="K5434" s="5"/>
      <c r="L5434" s="5"/>
      <c r="M5434" s="5"/>
      <c r="N5434" s="5"/>
      <c r="O5434" s="5"/>
      <c r="P5434" s="5"/>
      <c r="Q5434" s="5"/>
      <c r="R5434" s="5"/>
      <c r="S5434" s="5"/>
    </row>
    <row r="5435">
      <c r="A5435" s="5">
        <f>IFERROR(__xludf.DUMMYFUNCTION("""COMPUTED_VALUE"""),1357.0)</f>
        <v>1357</v>
      </c>
      <c r="B5435" s="5" t="str">
        <f>IFERROR(__xludf.DUMMYFUNCTION("""COMPUTED_VALUE"""),"هیأت")</f>
        <v>هیأت</v>
      </c>
      <c r="C5435" s="5" t="str">
        <f>IFERROR(__xludf.DUMMYFUNCTION("""COMPUTED_VALUE"""),"قاسم بن الحسن (ع)")</f>
        <v>قاسم بن الحسن (ع)</v>
      </c>
      <c r="D5435" s="5" t="str">
        <f>IFERROR(__xludf.DUMMYFUNCTION("""COMPUTED_VALUE"""),"اصفهان")</f>
        <v>اصفهان</v>
      </c>
      <c r="E5435" s="5" t="str">
        <f>IFERROR(__xludf.DUMMYFUNCTION("""COMPUTED_VALUE"""),"اصفهان")</f>
        <v>اصفهان</v>
      </c>
      <c r="F5435" s="5"/>
      <c r="G5435" s="5"/>
      <c r="H5435" s="6" t="str">
        <f>IFERROR(__xludf.DUMMYFUNCTION("""COMPUTED_VALUE"""),"https://www.instagram.com/music.hazratqasem_/")</f>
        <v>https://www.instagram.com/music.hazratqasem_/</v>
      </c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</row>
    <row r="5436">
      <c r="A5436" s="5">
        <f>IFERROR(__xludf.DUMMYFUNCTION("""COMPUTED_VALUE"""),1360.0)</f>
        <v>1360</v>
      </c>
      <c r="B5436" s="5" t="str">
        <f>IFERROR(__xludf.DUMMYFUNCTION("""COMPUTED_VALUE"""),"هیأت")</f>
        <v>هیأت</v>
      </c>
      <c r="C5436" s="5" t="str">
        <f>IFERROR(__xludf.DUMMYFUNCTION("""COMPUTED_VALUE"""),"محبان حضرت زهرا (س)")</f>
        <v>محبان حضرت زهرا (س)</v>
      </c>
      <c r="D5436" s="5" t="str">
        <f>IFERROR(__xludf.DUMMYFUNCTION("""COMPUTED_VALUE"""),"اصفهان")</f>
        <v>اصفهان</v>
      </c>
      <c r="E5436" s="5" t="str">
        <f>IFERROR(__xludf.DUMMYFUNCTION("""COMPUTED_VALUE"""),"اصفهان")</f>
        <v>اصفهان</v>
      </c>
      <c r="F5436" s="5"/>
      <c r="G5436" s="5"/>
      <c r="H5436" s="6" t="str">
        <f>IFERROR(__xludf.DUMMYFUNCTION("""COMPUTED_VALUE"""),"https://www.instagram.com/mohebanalzahra.isf")</f>
        <v>https://www.instagram.com/mohebanalzahra.isf</v>
      </c>
      <c r="I5436" s="5"/>
      <c r="J5436" s="6" t="str">
        <f>IFERROR(__xludf.DUMMYFUNCTION("""COMPUTED_VALUE"""),"https://eitaa.com/MOHEBAN_AL_ZAHRA")</f>
        <v>https://eitaa.com/MOHEBAN_AL_ZAHRA</v>
      </c>
      <c r="K5436" s="5"/>
      <c r="L5436" s="5"/>
      <c r="M5436" s="5"/>
      <c r="N5436" s="5"/>
      <c r="O5436" s="5"/>
      <c r="P5436" s="5"/>
      <c r="Q5436" s="5"/>
      <c r="R5436" s="5"/>
      <c r="S5436" s="5"/>
    </row>
    <row r="5437">
      <c r="A5437" s="5">
        <f>IFERROR(__xludf.DUMMYFUNCTION("""COMPUTED_VALUE"""),1370.0)</f>
        <v>1370</v>
      </c>
      <c r="B5437" s="5" t="str">
        <f>IFERROR(__xludf.DUMMYFUNCTION("""COMPUTED_VALUE"""),"هیأت")</f>
        <v>هیأت</v>
      </c>
      <c r="C5437" s="5" t="str">
        <f>IFERROR(__xludf.DUMMYFUNCTION("""COMPUTED_VALUE"""),"محبان المهدی (عج)")</f>
        <v>محبان المهدی (عج)</v>
      </c>
      <c r="D5437" s="5" t="str">
        <f>IFERROR(__xludf.DUMMYFUNCTION("""COMPUTED_VALUE"""),"اصفهان")</f>
        <v>اصفهان</v>
      </c>
      <c r="E5437" s="5" t="str">
        <f>IFERROR(__xludf.DUMMYFUNCTION("""COMPUTED_VALUE"""),"اصفهان")</f>
        <v>اصفهان</v>
      </c>
      <c r="F5437" s="5"/>
      <c r="G5437" s="5"/>
      <c r="H5437" s="6" t="str">
        <f>IFERROR(__xludf.DUMMYFUNCTION("""COMPUTED_VALUE"""),"https://www.instagram.com/mohebanalmahdi_110")</f>
        <v>https://www.instagram.com/mohebanalmahdi_110</v>
      </c>
      <c r="I5437" s="6" t="str">
        <f>IFERROR(__xludf.DUMMYFUNCTION("""COMPUTED_VALUE"""),"https://t.me/mohebanalmahdi110")</f>
        <v>https://t.me/mohebanalmahdi110</v>
      </c>
      <c r="J5437" s="5"/>
      <c r="K5437" s="5"/>
      <c r="L5437" s="5"/>
      <c r="M5437" s="5"/>
      <c r="N5437" s="5"/>
      <c r="O5437" s="5"/>
      <c r="P5437" s="5"/>
      <c r="Q5437" s="5"/>
      <c r="R5437" s="5"/>
      <c r="S5437" s="5"/>
    </row>
    <row r="5438">
      <c r="A5438" s="5">
        <f>IFERROR(__xludf.DUMMYFUNCTION("""COMPUTED_VALUE"""),1375.0)</f>
        <v>1375</v>
      </c>
      <c r="B5438" s="5" t="str">
        <f>IFERROR(__xludf.DUMMYFUNCTION("""COMPUTED_VALUE"""),"هیأت")</f>
        <v>هیأت</v>
      </c>
      <c r="C5438" s="5" t="str">
        <f>IFERROR(__xludf.DUMMYFUNCTION("""COMPUTED_VALUE"""),"انصارالمهدی (عج)")</f>
        <v>انصارالمهدی (عج)</v>
      </c>
      <c r="D5438" s="5" t="str">
        <f>IFERROR(__xludf.DUMMYFUNCTION("""COMPUTED_VALUE"""),"اصفهان")</f>
        <v>اصفهان</v>
      </c>
      <c r="E5438" s="5" t="str">
        <f>IFERROR(__xludf.DUMMYFUNCTION("""COMPUTED_VALUE"""),"آران وبیدگل")</f>
        <v>آران وبیدگل</v>
      </c>
      <c r="F5438" s="5"/>
      <c r="G5438" s="5">
        <f>IFERROR(__xludf.DUMMYFUNCTION("""COMPUTED_VALUE"""),1.0)</f>
        <v>1</v>
      </c>
      <c r="H5438" s="6" t="str">
        <f>IFERROR(__xludf.DUMMYFUNCTION("""COMPUTED_VALUE"""),"https://www.instagram.com/heyateansaralmahdi")</f>
        <v>https://www.instagram.com/heyateansaralmahdi</v>
      </c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</row>
    <row r="5439">
      <c r="A5439" s="5">
        <f>IFERROR(__xludf.DUMMYFUNCTION("""COMPUTED_VALUE"""),1376.0)</f>
        <v>1376</v>
      </c>
      <c r="B5439" s="5" t="str">
        <f>IFERROR(__xludf.DUMMYFUNCTION("""COMPUTED_VALUE"""),"هیأت")</f>
        <v>هیأت</v>
      </c>
      <c r="C5439" s="5" t="str">
        <f>IFERROR(__xludf.DUMMYFUNCTION("""COMPUTED_VALUE"""),"علی بن موسی الرضا(ع)")</f>
        <v>علی بن موسی الرضا(ع)</v>
      </c>
      <c r="D5439" s="5" t="str">
        <f>IFERROR(__xludf.DUMMYFUNCTION("""COMPUTED_VALUE"""),"اصفهان")</f>
        <v>اصفهان</v>
      </c>
      <c r="E5439" s="5" t="str">
        <f>IFERROR(__xludf.DUMMYFUNCTION("""COMPUTED_VALUE"""),"آران وبیدگل")</f>
        <v>آران وبیدگل</v>
      </c>
      <c r="F5439" s="5"/>
      <c r="G5439" s="5"/>
      <c r="H5439" s="6" t="str">
        <f>IFERROR(__xludf.DUMMYFUNCTION("""COMPUTED_VALUE"""),"https://www.instagram.com/heyat_emam.reza")</f>
        <v>https://www.instagram.com/heyat_emam.reza</v>
      </c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</row>
    <row r="5440">
      <c r="A5440" s="5">
        <f>IFERROR(__xludf.DUMMYFUNCTION("""COMPUTED_VALUE"""),1380.0)</f>
        <v>1380</v>
      </c>
      <c r="B5440" s="5" t="str">
        <f>IFERROR(__xludf.DUMMYFUNCTION("""COMPUTED_VALUE"""),"هیأت")</f>
        <v>هیأت</v>
      </c>
      <c r="C5440" s="5" t="str">
        <f>IFERROR(__xludf.DUMMYFUNCTION("""COMPUTED_VALUE"""),"محبان الحسین (ع)")</f>
        <v>محبان الحسین (ع)</v>
      </c>
      <c r="D5440" s="5" t="str">
        <f>IFERROR(__xludf.DUMMYFUNCTION("""COMPUTED_VALUE"""),"اصفهان")</f>
        <v>اصفهان</v>
      </c>
      <c r="E5440" s="5" t="str">
        <f>IFERROR(__xludf.DUMMYFUNCTION("""COMPUTED_VALUE"""),"آران وبیدگل")</f>
        <v>آران وبیدگل</v>
      </c>
      <c r="F5440" s="5"/>
      <c r="G5440" s="5"/>
      <c r="H5440" s="6" t="str">
        <f>IFERROR(__xludf.DUMMYFUNCTION("""COMPUTED_VALUE"""),"https://www.instagram.com/haramtaharam")</f>
        <v>https://www.instagram.com/haramtaharam</v>
      </c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</row>
    <row r="5441">
      <c r="A5441" s="5">
        <f>IFERROR(__xludf.DUMMYFUNCTION("""COMPUTED_VALUE"""),1381.0)</f>
        <v>1381</v>
      </c>
      <c r="B5441" s="5" t="str">
        <f>IFERROR(__xludf.DUMMYFUNCTION("""COMPUTED_VALUE"""),"هیأت")</f>
        <v>هیأت</v>
      </c>
      <c r="C5441" s="5" t="str">
        <f>IFERROR(__xludf.DUMMYFUNCTION("""COMPUTED_VALUE"""),"حضرت ابوالفضل(ع)")</f>
        <v>حضرت ابوالفضل(ع)</v>
      </c>
      <c r="D5441" s="5" t="str">
        <f>IFERROR(__xludf.DUMMYFUNCTION("""COMPUTED_VALUE"""),"اصفهان")</f>
        <v>اصفهان</v>
      </c>
      <c r="E5441" s="5" t="str">
        <f>IFERROR(__xludf.DUMMYFUNCTION("""COMPUTED_VALUE"""),"آران وبیدگل")</f>
        <v>آران وبیدگل</v>
      </c>
      <c r="F5441" s="5"/>
      <c r="G5441" s="5"/>
      <c r="H5441" s="5"/>
      <c r="I5441" s="6" t="str">
        <f>IFERROR(__xludf.DUMMYFUNCTION("""COMPUTED_VALUE"""),"https://t.me/heyat_abalfazliaran")</f>
        <v>https://t.me/heyat_abalfazliaran</v>
      </c>
      <c r="J5441" s="5"/>
      <c r="K5441" s="5"/>
      <c r="L5441" s="5"/>
      <c r="M5441" s="5"/>
      <c r="N5441" s="5"/>
      <c r="O5441" s="5"/>
      <c r="P5441" s="5"/>
      <c r="Q5441" s="5"/>
      <c r="R5441" s="5"/>
      <c r="S5441" s="5"/>
    </row>
    <row r="5442">
      <c r="A5442" s="5">
        <f>IFERROR(__xludf.DUMMYFUNCTION("""COMPUTED_VALUE"""),1384.0)</f>
        <v>1384</v>
      </c>
      <c r="B5442" s="5" t="str">
        <f>IFERROR(__xludf.DUMMYFUNCTION("""COMPUTED_VALUE"""),"هیأت")</f>
        <v>هیأت</v>
      </c>
      <c r="C5442" s="5" t="str">
        <f>IFERROR(__xludf.DUMMYFUNCTION("""COMPUTED_VALUE"""),"شمیم ولایت")</f>
        <v>شمیم ولایت</v>
      </c>
      <c r="D5442" s="5" t="str">
        <f>IFERROR(__xludf.DUMMYFUNCTION("""COMPUTED_VALUE"""),"اصفهان")</f>
        <v>اصفهان</v>
      </c>
      <c r="E5442" s="5" t="str">
        <f>IFERROR(__xludf.DUMMYFUNCTION("""COMPUTED_VALUE"""),"اصفهان")</f>
        <v>اصفهان</v>
      </c>
      <c r="F5442" s="5"/>
      <c r="G5442" s="5"/>
      <c r="H5442" s="5"/>
      <c r="I5442" s="5"/>
      <c r="J5442" s="6" t="str">
        <f>IFERROR(__xludf.DUMMYFUNCTION("""COMPUTED_VALUE"""),"https://eitaa.com/ravabetesf1")</f>
        <v>https://eitaa.com/ravabetesf1</v>
      </c>
      <c r="K5442" s="5"/>
      <c r="L5442" s="5"/>
      <c r="M5442" s="5"/>
      <c r="N5442" s="5"/>
      <c r="O5442" s="5"/>
      <c r="P5442" s="5"/>
      <c r="Q5442" s="5"/>
      <c r="R5442" s="5"/>
      <c r="S5442" s="5"/>
    </row>
    <row r="5443">
      <c r="A5443" s="5">
        <f>IFERROR(__xludf.DUMMYFUNCTION("""COMPUTED_VALUE"""),1387.0)</f>
        <v>1387</v>
      </c>
      <c r="B5443" s="5" t="str">
        <f>IFERROR(__xludf.DUMMYFUNCTION("""COMPUTED_VALUE"""),"هیأت")</f>
        <v>هیأت</v>
      </c>
      <c r="C5443" s="5" t="str">
        <f>IFERROR(__xludf.DUMMYFUNCTION("""COMPUTED_VALUE"""),"انصارالمهدی (عج)")</f>
        <v>انصارالمهدی (عج)</v>
      </c>
      <c r="D5443" s="5" t="str">
        <f>IFERROR(__xludf.DUMMYFUNCTION("""COMPUTED_VALUE"""),"اصفهان")</f>
        <v>اصفهان</v>
      </c>
      <c r="E5443" s="5" t="str">
        <f>IFERROR(__xludf.DUMMYFUNCTION("""COMPUTED_VALUE"""),"لنجان")</f>
        <v>لنجان</v>
      </c>
      <c r="F5443" s="5"/>
      <c r="G5443" s="5"/>
      <c r="H5443" s="6" t="str">
        <f>IFERROR(__xludf.DUMMYFUNCTION("""COMPUTED_VALUE"""),"https://www.instagram.com/ansaralmahdi_lapouei")</f>
        <v>https://www.instagram.com/ansaralmahdi_lapouei</v>
      </c>
      <c r="I5443" s="6" t="str">
        <f>IFERROR(__xludf.DUMMYFUNCTION("""COMPUTED_VALUE"""),"https://t.me/ansaralmahdi_lapouei")</f>
        <v>https://t.me/ansaralmahdi_lapouei</v>
      </c>
      <c r="J5443" s="5"/>
      <c r="K5443" s="5"/>
      <c r="L5443" s="5"/>
      <c r="M5443" s="5"/>
      <c r="N5443" s="5"/>
      <c r="O5443" s="5"/>
      <c r="P5443" s="5"/>
      <c r="Q5443" s="5"/>
      <c r="R5443" s="5"/>
      <c r="S5443" s="5"/>
    </row>
    <row r="5444">
      <c r="A5444" s="5">
        <f>IFERROR(__xludf.DUMMYFUNCTION("""COMPUTED_VALUE"""),1388.0)</f>
        <v>1388</v>
      </c>
      <c r="B5444" s="5" t="str">
        <f>IFERROR(__xludf.DUMMYFUNCTION("""COMPUTED_VALUE"""),"هیأت")</f>
        <v>هیأت</v>
      </c>
      <c r="C5444" s="5" t="str">
        <f>IFERROR(__xludf.DUMMYFUNCTION("""COMPUTED_VALUE"""),"محبان اهل بیت(ع)")</f>
        <v>محبان اهل بیت(ع)</v>
      </c>
      <c r="D5444" s="5" t="str">
        <f>IFERROR(__xludf.DUMMYFUNCTION("""COMPUTED_VALUE"""),"اصفهان")</f>
        <v>اصفهان</v>
      </c>
      <c r="E5444" s="5" t="str">
        <f>IFERROR(__xludf.DUMMYFUNCTION("""COMPUTED_VALUE"""),"لنجان")</f>
        <v>لنجان</v>
      </c>
      <c r="F5444" s="5"/>
      <c r="G5444" s="5"/>
      <c r="H5444" s="6" t="str">
        <f>IFERROR(__xludf.DUMMYFUNCTION("""COMPUTED_VALUE"""),"https://www.instagram.com/mohebban_m")</f>
        <v>https://www.instagram.com/mohebban_m</v>
      </c>
      <c r="I5444" s="5"/>
      <c r="J5444" s="5"/>
      <c r="K5444" s="5"/>
      <c r="L5444" s="5"/>
      <c r="M5444" s="5"/>
      <c r="N5444" s="5"/>
      <c r="O5444" s="5"/>
      <c r="P5444" s="5"/>
      <c r="Q5444" s="5"/>
      <c r="R5444" s="5"/>
      <c r="S5444" s="5"/>
    </row>
    <row r="5445">
      <c r="A5445" s="5">
        <f>IFERROR(__xludf.DUMMYFUNCTION("""COMPUTED_VALUE"""),1389.0)</f>
        <v>1389</v>
      </c>
      <c r="B5445" s="5" t="str">
        <f>IFERROR(__xludf.DUMMYFUNCTION("""COMPUTED_VALUE"""),"هیأت")</f>
        <v>هیأت</v>
      </c>
      <c r="C5445" s="5" t="str">
        <f>IFERROR(__xludf.DUMMYFUNCTION("""COMPUTED_VALUE"""),"فاطمیون")</f>
        <v>فاطمیون</v>
      </c>
      <c r="D5445" s="5" t="str">
        <f>IFERROR(__xludf.DUMMYFUNCTION("""COMPUTED_VALUE"""),"اصفهان")</f>
        <v>اصفهان</v>
      </c>
      <c r="E5445" s="5" t="str">
        <f>IFERROR(__xludf.DUMMYFUNCTION("""COMPUTED_VALUE"""),"لنجان")</f>
        <v>لنجان</v>
      </c>
      <c r="F5445" s="5"/>
      <c r="G5445" s="5"/>
      <c r="H5445" s="5"/>
      <c r="I5445" s="5"/>
      <c r="J5445" s="6" t="str">
        <f>IFERROR(__xludf.DUMMYFUNCTION("""COMPUTED_VALUE"""),"https://eitaa.com/Heyat_fatemiun_esferenjan")</f>
        <v>https://eitaa.com/Heyat_fatemiun_esferenjan</v>
      </c>
      <c r="K5445" s="5"/>
      <c r="L5445" s="5"/>
      <c r="M5445" s="5"/>
      <c r="N5445" s="5"/>
      <c r="O5445" s="5"/>
      <c r="P5445" s="5"/>
      <c r="Q5445" s="5"/>
      <c r="R5445" s="5"/>
      <c r="S5445" s="5"/>
    </row>
    <row r="5446">
      <c r="A5446" s="5">
        <f>IFERROR(__xludf.DUMMYFUNCTION("""COMPUTED_VALUE"""),1390.0)</f>
        <v>1390</v>
      </c>
      <c r="B5446" s="5" t="str">
        <f>IFERROR(__xludf.DUMMYFUNCTION("""COMPUTED_VALUE"""),"هیأت")</f>
        <v>هیأت</v>
      </c>
      <c r="C5446" s="5" t="str">
        <f>IFERROR(__xludf.DUMMYFUNCTION("""COMPUTED_VALUE"""),"حسینیه حضرت حضرت ابوالفضل (ع)")</f>
        <v>حسینیه حضرت حضرت ابوالفضل (ع)</v>
      </c>
      <c r="D5446" s="5" t="str">
        <f>IFERROR(__xludf.DUMMYFUNCTION("""COMPUTED_VALUE"""),"اصفهان")</f>
        <v>اصفهان</v>
      </c>
      <c r="E5446" s="5" t="str">
        <f>IFERROR(__xludf.DUMMYFUNCTION("""COMPUTED_VALUE"""),"مبارکه")</f>
        <v>مبارکه</v>
      </c>
      <c r="F5446" s="5"/>
      <c r="G5446" s="5"/>
      <c r="H5446" s="6" t="str">
        <f>IFERROR(__xludf.DUMMYFUNCTION("""COMPUTED_VALUE"""),"https://www.instagram.com/montazeranemahdiaj")</f>
        <v>https://www.instagram.com/montazeranemahdiaj</v>
      </c>
      <c r="I5446" s="6" t="str">
        <f>IFERROR(__xludf.DUMMYFUNCTION("""COMPUTED_VALUE"""),"https://t.me/montazeranemahdiaj")</f>
        <v>https://t.me/montazeranemahdiaj</v>
      </c>
      <c r="J5446" s="5"/>
      <c r="K5446" s="5"/>
      <c r="L5446" s="5"/>
      <c r="M5446" s="5"/>
      <c r="N5446" s="5"/>
      <c r="O5446" s="5"/>
      <c r="P5446" s="5"/>
      <c r="Q5446" s="5"/>
      <c r="R5446" s="5"/>
      <c r="S5446" s="5"/>
    </row>
    <row r="5447">
      <c r="A5447" s="5">
        <f>IFERROR(__xludf.DUMMYFUNCTION("""COMPUTED_VALUE"""),1392.0)</f>
        <v>1392</v>
      </c>
      <c r="B5447" s="5" t="str">
        <f>IFERROR(__xludf.DUMMYFUNCTION("""COMPUTED_VALUE"""),"هیأت")</f>
        <v>هیأت</v>
      </c>
      <c r="C5447" s="5" t="str">
        <f>IFERROR(__xludf.DUMMYFUNCTION("""COMPUTED_VALUE"""),"سلمان فارسی")</f>
        <v>سلمان فارسی</v>
      </c>
      <c r="D5447" s="5" t="str">
        <f>IFERROR(__xludf.DUMMYFUNCTION("""COMPUTED_VALUE"""),"اصفهان")</f>
        <v>اصفهان</v>
      </c>
      <c r="E5447" s="5" t="str">
        <f>IFERROR(__xludf.DUMMYFUNCTION("""COMPUTED_VALUE"""),"اصفهان")</f>
        <v>اصفهان</v>
      </c>
      <c r="F5447" s="5"/>
      <c r="G5447" s="5"/>
      <c r="H5447" s="6" t="str">
        <f>IFERROR(__xludf.DUMMYFUNCTION("""COMPUTED_VALUE"""),"https://www.instagram.com/salman.isf")</f>
        <v>https://www.instagram.com/salman.isf</v>
      </c>
      <c r="I5447" s="5"/>
      <c r="J5447" s="6" t="str">
        <f>IFERROR(__xludf.DUMMYFUNCTION("""COMPUTED_VALUE"""),"https://eitaa.com/salman_isf")</f>
        <v>https://eitaa.com/salman_isf</v>
      </c>
      <c r="K5447" s="5"/>
      <c r="L5447" s="5"/>
      <c r="M5447" s="5"/>
      <c r="N5447" s="5"/>
      <c r="O5447" s="5"/>
      <c r="P5447" s="5"/>
      <c r="Q5447" s="5"/>
      <c r="R5447" s="5"/>
      <c r="S5447" s="5"/>
    </row>
    <row r="5448">
      <c r="A5448" s="5">
        <f>IFERROR(__xludf.DUMMYFUNCTION("""COMPUTED_VALUE"""),1393.0)</f>
        <v>1393</v>
      </c>
      <c r="B5448" s="5" t="str">
        <f>IFERROR(__xludf.DUMMYFUNCTION("""COMPUTED_VALUE"""),"هیأت")</f>
        <v>هیأت</v>
      </c>
      <c r="C5448" s="5" t="str">
        <f>IFERROR(__xludf.DUMMYFUNCTION("""COMPUTED_VALUE"""),"محبان الحسین (ع)")</f>
        <v>محبان الحسین (ع)</v>
      </c>
      <c r="D5448" s="5" t="str">
        <f>IFERROR(__xludf.DUMMYFUNCTION("""COMPUTED_VALUE"""),"اصفهان")</f>
        <v>اصفهان</v>
      </c>
      <c r="E5448" s="5" t="str">
        <f>IFERROR(__xludf.DUMMYFUNCTION("""COMPUTED_VALUE"""),"دهاقان")</f>
        <v>دهاقان</v>
      </c>
      <c r="F5448" s="5"/>
      <c r="G5448" s="5"/>
      <c r="H5448" s="6" t="str">
        <f>IFERROR(__xludf.DUMMYFUNCTION("""COMPUTED_VALUE"""),"https://www.instagram.com/moheban_hoseyn128")</f>
        <v>https://www.instagram.com/moheban_hoseyn128</v>
      </c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</row>
    <row r="5449">
      <c r="A5449" s="5">
        <f>IFERROR(__xludf.DUMMYFUNCTION("""COMPUTED_VALUE"""),1394.0)</f>
        <v>1394</v>
      </c>
      <c r="B5449" s="5" t="str">
        <f>IFERROR(__xludf.DUMMYFUNCTION("""COMPUTED_VALUE"""),"هیأت")</f>
        <v>هیأت</v>
      </c>
      <c r="C5449" s="5" t="str">
        <f>IFERROR(__xludf.DUMMYFUNCTION("""COMPUTED_VALUE"""),"حضرت ابوالفضل(ع)")</f>
        <v>حضرت ابوالفضل(ع)</v>
      </c>
      <c r="D5449" s="5" t="str">
        <f>IFERROR(__xludf.DUMMYFUNCTION("""COMPUTED_VALUE"""),"اصفهان")</f>
        <v>اصفهان</v>
      </c>
      <c r="E5449" s="5" t="str">
        <f>IFERROR(__xludf.DUMMYFUNCTION("""COMPUTED_VALUE"""),"تیران و کرون")</f>
        <v>تیران و کرون</v>
      </c>
      <c r="F5449" s="5"/>
      <c r="G5449" s="5">
        <f>IFERROR(__xludf.DUMMYFUNCTION("""COMPUTED_VALUE"""),1.0)</f>
        <v>1</v>
      </c>
      <c r="H5449" s="6" t="str">
        <f>IFERROR(__xludf.DUMMYFUNCTION("""COMPUTED_VALUE"""),"https://www.instagram.com/heyyat_hazrat_abalfazl")</f>
        <v>https://www.instagram.com/heyyat_hazrat_abalfazl</v>
      </c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</row>
    <row r="5450">
      <c r="A5450" s="5">
        <f>IFERROR(__xludf.DUMMYFUNCTION("""COMPUTED_VALUE"""),1400.0)</f>
        <v>1400</v>
      </c>
      <c r="B5450" s="5" t="str">
        <f>IFERROR(__xludf.DUMMYFUNCTION("""COMPUTED_VALUE"""),"هیأت")</f>
        <v>هیأت</v>
      </c>
      <c r="C5450" s="5" t="str">
        <f>IFERROR(__xludf.DUMMYFUNCTION("""COMPUTED_VALUE"""),"محبان المهدی (عج)")</f>
        <v>محبان المهدی (عج)</v>
      </c>
      <c r="D5450" s="5" t="str">
        <f>IFERROR(__xludf.DUMMYFUNCTION("""COMPUTED_VALUE"""),"اصفهان")</f>
        <v>اصفهان</v>
      </c>
      <c r="E5450" s="5" t="str">
        <f>IFERROR(__xludf.DUMMYFUNCTION("""COMPUTED_VALUE"""),"بهارستان")</f>
        <v>بهارستان</v>
      </c>
      <c r="F5450" s="5"/>
      <c r="G5450" s="5"/>
      <c r="H5450" s="6" t="str">
        <f>IFERROR(__xludf.DUMMYFUNCTION("""COMPUTED_VALUE"""),"https://www.instagram.com/heyat_mohebban_almahdi")</f>
        <v>https://www.instagram.com/heyat_mohebban_almahdi</v>
      </c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</row>
    <row r="5451">
      <c r="A5451" s="5">
        <f>IFERROR(__xludf.DUMMYFUNCTION("""COMPUTED_VALUE"""),1401.0)</f>
        <v>1401</v>
      </c>
      <c r="B5451" s="5" t="str">
        <f>IFERROR(__xludf.DUMMYFUNCTION("""COMPUTED_VALUE"""),"هیأت")</f>
        <v>هیأت</v>
      </c>
      <c r="C5451" s="5" t="str">
        <f>IFERROR(__xludf.DUMMYFUNCTION("""COMPUTED_VALUE"""),"حضرت قائم(عج)")</f>
        <v>حضرت قائم(عج)</v>
      </c>
      <c r="D5451" s="5" t="str">
        <f>IFERROR(__xludf.DUMMYFUNCTION("""COMPUTED_VALUE"""),"اصفهان")</f>
        <v>اصفهان</v>
      </c>
      <c r="E5451" s="5" t="str">
        <f>IFERROR(__xludf.DUMMYFUNCTION("""COMPUTED_VALUE"""),"بهارستان")</f>
        <v>بهارستان</v>
      </c>
      <c r="F5451" s="5"/>
      <c r="G5451" s="5">
        <f>IFERROR(__xludf.DUMMYFUNCTION("""COMPUTED_VALUE"""),1.0)</f>
        <v>1</v>
      </c>
      <c r="H5451" s="6" t="str">
        <f>IFERROR(__xludf.DUMMYFUNCTION("""COMPUTED_VALUE"""),"https://www.instagram.com/masjed_hazratghaem")</f>
        <v>https://www.instagram.com/masjed_hazratghaem</v>
      </c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</row>
    <row r="5452">
      <c r="A5452" s="5">
        <f>IFERROR(__xludf.DUMMYFUNCTION("""COMPUTED_VALUE"""),1407.0)</f>
        <v>1407</v>
      </c>
      <c r="B5452" s="5" t="str">
        <f>IFERROR(__xludf.DUMMYFUNCTION("""COMPUTED_VALUE"""),"هیأت")</f>
        <v>هیأت</v>
      </c>
      <c r="C5452" s="5" t="str">
        <f>IFERROR(__xludf.DUMMYFUNCTION("""COMPUTED_VALUE"""),"کانون شهید مطهری (ره)")</f>
        <v>کانون شهید مطهری (ره)</v>
      </c>
      <c r="D5452" s="5" t="str">
        <f>IFERROR(__xludf.DUMMYFUNCTION("""COMPUTED_VALUE"""),"اصفهان")</f>
        <v>اصفهان</v>
      </c>
      <c r="E5452" s="5" t="str">
        <f>IFERROR(__xludf.DUMMYFUNCTION("""COMPUTED_VALUE"""),"تیران و کرون")</f>
        <v>تیران و کرون</v>
      </c>
      <c r="F5452" s="5"/>
      <c r="G5452" s="5"/>
      <c r="H5452" s="5"/>
      <c r="I5452" s="5"/>
      <c r="J5452" s="6" t="str">
        <f>IFERROR(__xludf.DUMMYFUNCTION("""COMPUTED_VALUE"""),"https://eitaa.com/kanon_motahari_razan")</f>
        <v>https://eitaa.com/kanon_motahari_razan</v>
      </c>
      <c r="K5452" s="5"/>
      <c r="L5452" s="5"/>
      <c r="M5452" s="5"/>
      <c r="N5452" s="5"/>
      <c r="O5452" s="5"/>
      <c r="P5452" s="5"/>
      <c r="Q5452" s="5"/>
      <c r="R5452" s="5"/>
      <c r="S5452" s="5"/>
    </row>
    <row r="5453">
      <c r="A5453" s="5">
        <f>IFERROR(__xludf.DUMMYFUNCTION("""COMPUTED_VALUE"""),1409.0)</f>
        <v>1409</v>
      </c>
      <c r="B5453" s="5" t="str">
        <f>IFERROR(__xludf.DUMMYFUNCTION("""COMPUTED_VALUE"""),"هیأت")</f>
        <v>هیأت</v>
      </c>
      <c r="C5453" s="5" t="str">
        <f>IFERROR(__xludf.DUMMYFUNCTION("""COMPUTED_VALUE"""),"صاحب الزمان (عج) روستای مهدی آباد")</f>
        <v>صاحب الزمان (عج) روستای مهدی آباد</v>
      </c>
      <c r="D5453" s="5" t="str">
        <f>IFERROR(__xludf.DUMMYFUNCTION("""COMPUTED_VALUE"""),"اصفهان")</f>
        <v>اصفهان</v>
      </c>
      <c r="E5453" s="5" t="str">
        <f>IFERROR(__xludf.DUMMYFUNCTION("""COMPUTED_VALUE"""),"کوهپایه")</f>
        <v>کوهپایه</v>
      </c>
      <c r="F5453" s="5"/>
      <c r="G5453" s="5">
        <f>IFERROR(__xludf.DUMMYFUNCTION("""COMPUTED_VALUE"""),1.0)</f>
        <v>1</v>
      </c>
      <c r="H5453" s="6" t="str">
        <f>IFERROR(__xludf.DUMMYFUNCTION("""COMPUTED_VALUE"""),"https://www.instagram.com/saheb_alzaman_heyat")</f>
        <v>https://www.instagram.com/saheb_alzaman_heyat</v>
      </c>
      <c r="I5453" s="5"/>
      <c r="J5453" s="5"/>
      <c r="K5453" s="5"/>
      <c r="L5453" s="5"/>
      <c r="M5453" s="5"/>
      <c r="N5453" s="5"/>
      <c r="O5453" s="5"/>
      <c r="P5453" s="5"/>
      <c r="Q5453" s="5"/>
      <c r="R5453" s="5"/>
      <c r="S5453" s="5"/>
    </row>
    <row r="5454">
      <c r="A5454" s="5">
        <f>IFERROR(__xludf.DUMMYFUNCTION("""COMPUTED_VALUE"""),1411.0)</f>
        <v>1411</v>
      </c>
      <c r="B5454" s="5" t="str">
        <f>IFERROR(__xludf.DUMMYFUNCTION("""COMPUTED_VALUE"""),"هیأت")</f>
        <v>هیأت</v>
      </c>
      <c r="C5454" s="5" t="str">
        <f>IFERROR(__xludf.DUMMYFUNCTION("""COMPUTED_VALUE"""),"حضرت ابوالفضل العباس(ع)")</f>
        <v>حضرت ابوالفضل العباس(ع)</v>
      </c>
      <c r="D5454" s="5" t="str">
        <f>IFERROR(__xludf.DUMMYFUNCTION("""COMPUTED_VALUE"""),"اصفهان")</f>
        <v>اصفهان</v>
      </c>
      <c r="E5454" s="5" t="str">
        <f>IFERROR(__xludf.DUMMYFUNCTION("""COMPUTED_VALUE"""),"اصفهان")</f>
        <v>اصفهان</v>
      </c>
      <c r="F5454" s="5"/>
      <c r="G5454" s="5"/>
      <c r="H5454" s="6" t="str">
        <f>IFERROR(__xludf.DUMMYFUNCTION("""COMPUTED_VALUE"""),"https://www.instagram.com/board12998")</f>
        <v>https://www.instagram.com/board12998</v>
      </c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</row>
    <row r="5455">
      <c r="A5455" s="5">
        <f>IFERROR(__xludf.DUMMYFUNCTION("""COMPUTED_VALUE"""),1418.0)</f>
        <v>1418</v>
      </c>
      <c r="B5455" s="5" t="str">
        <f>IFERROR(__xludf.DUMMYFUNCTION("""COMPUTED_VALUE"""),"هیأت")</f>
        <v>هیأت</v>
      </c>
      <c r="C5455" s="5" t="str">
        <f>IFERROR(__xludf.DUMMYFUNCTION("""COMPUTED_VALUE"""),"امام حسن عسکری (ع)")</f>
        <v>امام حسن عسکری (ع)</v>
      </c>
      <c r="D5455" s="5" t="str">
        <f>IFERROR(__xludf.DUMMYFUNCTION("""COMPUTED_VALUE"""),"اصفهان")</f>
        <v>اصفهان</v>
      </c>
      <c r="E5455" s="5" t="str">
        <f>IFERROR(__xludf.DUMMYFUNCTION("""COMPUTED_VALUE"""),"چادگان")</f>
        <v>چادگان</v>
      </c>
      <c r="F5455" s="5"/>
      <c r="G5455" s="5">
        <f>IFERROR(__xludf.DUMMYFUNCTION("""COMPUTED_VALUE"""),1.0)</f>
        <v>1</v>
      </c>
      <c r="H5455" s="6" t="str">
        <f>IFERROR(__xludf.DUMMYFUNCTION("""COMPUTED_VALUE"""),"https://www.instagram.com/heyat_emamhasan_askari")</f>
        <v>https://www.instagram.com/heyat_emamhasan_askari</v>
      </c>
      <c r="I5455" s="5"/>
      <c r="J5455" s="5"/>
      <c r="K5455" s="5"/>
      <c r="L5455" s="5"/>
      <c r="M5455" s="5"/>
      <c r="N5455" s="5"/>
      <c r="O5455" s="5"/>
      <c r="P5455" s="5"/>
      <c r="Q5455" s="5"/>
      <c r="R5455" s="5"/>
      <c r="S5455" s="5"/>
    </row>
    <row r="5456">
      <c r="A5456" s="5">
        <f>IFERROR(__xludf.DUMMYFUNCTION("""COMPUTED_VALUE"""),1419.0)</f>
        <v>1419</v>
      </c>
      <c r="B5456" s="5" t="str">
        <f>IFERROR(__xludf.DUMMYFUNCTION("""COMPUTED_VALUE"""),"هیأت")</f>
        <v>هیأت</v>
      </c>
      <c r="C5456" s="5" t="str">
        <f>IFERROR(__xludf.DUMMYFUNCTION("""COMPUTED_VALUE"""),"منتظران یوسف زهرا (عج)")</f>
        <v>منتظران یوسف زهرا (عج)</v>
      </c>
      <c r="D5456" s="5" t="str">
        <f>IFERROR(__xludf.DUMMYFUNCTION("""COMPUTED_VALUE"""),"اصفهان")</f>
        <v>اصفهان</v>
      </c>
      <c r="E5456" s="5" t="str">
        <f>IFERROR(__xludf.DUMMYFUNCTION("""COMPUTED_VALUE"""),"اصفهان")</f>
        <v>اصفهان</v>
      </c>
      <c r="F5456" s="5"/>
      <c r="G5456" s="5"/>
      <c r="H5456" s="6" t="str">
        <f>IFERROR(__xludf.DUMMYFUNCTION("""COMPUTED_VALUE"""),"https://www.instagram.com/mokebyousofezahra")</f>
        <v>https://www.instagram.com/mokebyousofezahra</v>
      </c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</row>
    <row r="5457">
      <c r="A5457" s="5">
        <f>IFERROR(__xludf.DUMMYFUNCTION("""COMPUTED_VALUE"""),1420.0)</f>
        <v>1420</v>
      </c>
      <c r="B5457" s="5" t="str">
        <f>IFERROR(__xludf.DUMMYFUNCTION("""COMPUTED_VALUE"""),"هیأت")</f>
        <v>هیأت</v>
      </c>
      <c r="C5457" s="5" t="str">
        <f>IFERROR(__xludf.DUMMYFUNCTION("""COMPUTED_VALUE"""),"حضرت ابوالفضل (ع)")</f>
        <v>حضرت ابوالفضل (ع)</v>
      </c>
      <c r="D5457" s="5" t="str">
        <f>IFERROR(__xludf.DUMMYFUNCTION("""COMPUTED_VALUE"""),"اصفهان")</f>
        <v>اصفهان</v>
      </c>
      <c r="E5457" s="5" t="str">
        <f>IFERROR(__xludf.DUMMYFUNCTION("""COMPUTED_VALUE"""),"خور و بیابانک")</f>
        <v>خور و بیابانک</v>
      </c>
      <c r="F5457" s="5"/>
      <c r="G5457" s="5">
        <f>IFERROR(__xludf.DUMMYFUNCTION("""COMPUTED_VALUE"""),1.0)</f>
        <v>1</v>
      </c>
      <c r="H5457" s="6" t="str">
        <f>IFERROR(__xludf.DUMMYFUNCTION("""COMPUTED_VALUE"""),"https://www.instagram.com/kheirestan")</f>
        <v>https://www.instagram.com/kheirestan</v>
      </c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</row>
    <row r="5458">
      <c r="A5458" s="5">
        <f>IFERROR(__xludf.DUMMYFUNCTION("""COMPUTED_VALUE"""),1421.0)</f>
        <v>1421</v>
      </c>
      <c r="B5458" s="5" t="str">
        <f>IFERROR(__xludf.DUMMYFUNCTION("""COMPUTED_VALUE"""),"هیأت")</f>
        <v>هیأت</v>
      </c>
      <c r="C5458" s="5" t="str">
        <f>IFERROR(__xludf.DUMMYFUNCTION("""COMPUTED_VALUE"""),"مسجد النبی (ص) (دانشگاه ازاد)")</f>
        <v>مسجد النبی (ص) (دانشگاه ازاد)</v>
      </c>
      <c r="D5458" s="5" t="str">
        <f>IFERROR(__xludf.DUMMYFUNCTION("""COMPUTED_VALUE"""),"اصفهان")</f>
        <v>اصفهان</v>
      </c>
      <c r="E5458" s="5" t="str">
        <f>IFERROR(__xludf.DUMMYFUNCTION("""COMPUTED_VALUE"""),"خمینی شهر")</f>
        <v>خمینی شهر</v>
      </c>
      <c r="F5458" s="5"/>
      <c r="G5458" s="5"/>
      <c r="H5458" s="5"/>
      <c r="I5458" s="5"/>
      <c r="J5458" s="6" t="str">
        <f>IFERROR(__xludf.DUMMYFUNCTION("""COMPUTED_VALUE"""),"https://eitaa.com/nahadazadesf")</f>
        <v>https://eitaa.com/nahadazadesf</v>
      </c>
      <c r="K5458" s="5"/>
      <c r="L5458" s="5"/>
      <c r="M5458" s="5"/>
      <c r="N5458" s="5"/>
      <c r="O5458" s="5"/>
      <c r="P5458" s="5"/>
      <c r="Q5458" s="5"/>
      <c r="R5458" s="5"/>
      <c r="S5458" s="5"/>
    </row>
    <row r="5459">
      <c r="A5459" s="5">
        <f>IFERROR(__xludf.DUMMYFUNCTION("""COMPUTED_VALUE"""),1423.0)</f>
        <v>1423</v>
      </c>
      <c r="B5459" s="5" t="str">
        <f>IFERROR(__xludf.DUMMYFUNCTION("""COMPUTED_VALUE"""),"هیأت")</f>
        <v>هیأت</v>
      </c>
      <c r="C5459" s="5" t="str">
        <f>IFERROR(__xludf.DUMMYFUNCTION("""COMPUTED_VALUE"""),"دارالقرآن رضوی")</f>
        <v>دارالقرآن رضوی</v>
      </c>
      <c r="D5459" s="5" t="str">
        <f>IFERROR(__xludf.DUMMYFUNCTION("""COMPUTED_VALUE"""),"اصفهان")</f>
        <v>اصفهان</v>
      </c>
      <c r="E5459" s="5" t="str">
        <f>IFERROR(__xludf.DUMMYFUNCTION("""COMPUTED_VALUE"""),"خمینی شهر")</f>
        <v>خمینی شهر</v>
      </c>
      <c r="F5459" s="5"/>
      <c r="G5459" s="5"/>
      <c r="H5459" s="6" t="str">
        <f>IFERROR(__xludf.DUMMYFUNCTION("""COMPUTED_VALUE"""),"https://www.instagram.com/razavi_q")</f>
        <v>https://www.instagram.com/razavi_q</v>
      </c>
      <c r="I5459" s="5"/>
      <c r="J5459" s="5"/>
      <c r="K5459" s="5"/>
      <c r="L5459" s="5"/>
      <c r="M5459" s="5"/>
      <c r="N5459" s="5"/>
      <c r="O5459" s="5"/>
      <c r="P5459" s="5"/>
      <c r="Q5459" s="5"/>
      <c r="R5459" s="5"/>
      <c r="S5459" s="5"/>
    </row>
    <row r="5460">
      <c r="A5460" s="5">
        <f>IFERROR(__xludf.DUMMYFUNCTION("""COMPUTED_VALUE"""),1425.0)</f>
        <v>1425</v>
      </c>
      <c r="B5460" s="5" t="str">
        <f>IFERROR(__xludf.DUMMYFUNCTION("""COMPUTED_VALUE"""),"هیأت")</f>
        <v>هیأت</v>
      </c>
      <c r="C5460" s="5" t="str">
        <f>IFERROR(__xludf.DUMMYFUNCTION("""COMPUTED_VALUE"""),"علمدار حسین (ع)")</f>
        <v>علمدار حسین (ع)</v>
      </c>
      <c r="D5460" s="5" t="str">
        <f>IFERROR(__xludf.DUMMYFUNCTION("""COMPUTED_VALUE"""),"اصفهان")</f>
        <v>اصفهان</v>
      </c>
      <c r="E5460" s="5" t="str">
        <f>IFERROR(__xludf.DUMMYFUNCTION("""COMPUTED_VALUE"""),"خمینی شهر")</f>
        <v>خمینی شهر</v>
      </c>
      <c r="F5460" s="5"/>
      <c r="G5460" s="5"/>
      <c r="H5460" s="6" t="str">
        <f>IFERROR(__xludf.DUMMYFUNCTION("""COMPUTED_VALUE"""),"https://www.instagram.com/alamdarhossein473")</f>
        <v>https://www.instagram.com/alamdarhossein473</v>
      </c>
      <c r="I5460" s="6" t="str">
        <f>IFERROR(__xludf.DUMMYFUNCTION("""COMPUTED_VALUE"""),"https://t.me/Alamdar_hossain473")</f>
        <v>https://t.me/Alamdar_hossain473</v>
      </c>
      <c r="J5460" s="5"/>
      <c r="K5460" s="5"/>
      <c r="L5460" s="5"/>
      <c r="M5460" s="5"/>
      <c r="N5460" s="5"/>
      <c r="O5460" s="5"/>
      <c r="P5460" s="5"/>
      <c r="Q5460" s="5"/>
      <c r="R5460" s="5"/>
      <c r="S5460" s="5"/>
    </row>
    <row r="5461">
      <c r="A5461" s="5">
        <f>IFERROR(__xludf.DUMMYFUNCTION("""COMPUTED_VALUE"""),1429.0)</f>
        <v>1429</v>
      </c>
      <c r="B5461" s="5" t="str">
        <f>IFERROR(__xludf.DUMMYFUNCTION("""COMPUTED_VALUE"""),"هیأت")</f>
        <v>هیأت</v>
      </c>
      <c r="C5461" s="5" t="str">
        <f>IFERROR(__xludf.DUMMYFUNCTION("""COMPUTED_VALUE"""),"مکتب الرضا(ع) / فاطمیه")</f>
        <v>مکتب الرضا(ع) / فاطمیه</v>
      </c>
      <c r="D5461" s="5" t="str">
        <f>IFERROR(__xludf.DUMMYFUNCTION("""COMPUTED_VALUE"""),"اصفهان")</f>
        <v>اصفهان</v>
      </c>
      <c r="E5461" s="5" t="str">
        <f>IFERROR(__xludf.DUMMYFUNCTION("""COMPUTED_VALUE"""),"خمینی شهر")</f>
        <v>خمینی شهر</v>
      </c>
      <c r="F5461" s="5"/>
      <c r="G5461" s="5"/>
      <c r="H5461" s="6" t="str">
        <f>IFERROR(__xludf.DUMMYFUNCTION("""COMPUTED_VALUE"""),"https://www.instagram.com/maktabolreza184")</f>
        <v>https://www.instagram.com/maktabolreza184</v>
      </c>
      <c r="I5461" s="5"/>
      <c r="J5461" s="5"/>
      <c r="K5461" s="5"/>
      <c r="L5461" s="5"/>
      <c r="M5461" s="5"/>
      <c r="N5461" s="5"/>
      <c r="O5461" s="5"/>
      <c r="P5461" s="5"/>
      <c r="Q5461" s="5"/>
      <c r="R5461" s="5"/>
      <c r="S5461" s="5"/>
    </row>
    <row r="5462">
      <c r="A5462" s="5">
        <f>IFERROR(__xludf.DUMMYFUNCTION("""COMPUTED_VALUE"""),1432.0)</f>
        <v>1432</v>
      </c>
      <c r="B5462" s="5" t="str">
        <f>IFERROR(__xludf.DUMMYFUNCTION("""COMPUTED_VALUE"""),"هیأت")</f>
        <v>هیأت</v>
      </c>
      <c r="C5462" s="5" t="str">
        <f>IFERROR(__xludf.DUMMYFUNCTION("""COMPUTED_VALUE"""),"محفل قرآن امام رضا(ع)")</f>
        <v>محفل قرآن امام رضا(ع)</v>
      </c>
      <c r="D5462" s="5" t="str">
        <f>IFERROR(__xludf.DUMMYFUNCTION("""COMPUTED_VALUE"""),"اصفهان")</f>
        <v>اصفهان</v>
      </c>
      <c r="E5462" s="5" t="str">
        <f>IFERROR(__xludf.DUMMYFUNCTION("""COMPUTED_VALUE"""),"خمینی شهر")</f>
        <v>خمینی شهر</v>
      </c>
      <c r="F5462" s="5"/>
      <c r="G5462" s="5"/>
      <c r="H5462" s="5"/>
      <c r="I5462" s="5"/>
      <c r="J5462" s="6" t="str">
        <f>IFERROR(__xludf.DUMMYFUNCTION("""COMPUTED_VALUE"""),"https://eitaa.com/mahfelimamreza")</f>
        <v>https://eitaa.com/mahfelimamreza</v>
      </c>
      <c r="K5462" s="5"/>
      <c r="L5462" s="5"/>
      <c r="M5462" s="5"/>
      <c r="N5462" s="5"/>
      <c r="O5462" s="5"/>
      <c r="P5462" s="5"/>
      <c r="Q5462" s="5"/>
      <c r="R5462" s="5"/>
      <c r="S5462" s="5"/>
    </row>
    <row r="5463">
      <c r="A5463" s="5">
        <f>IFERROR(__xludf.DUMMYFUNCTION("""COMPUTED_VALUE"""),1433.0)</f>
        <v>1433</v>
      </c>
      <c r="B5463" s="5" t="str">
        <f>IFERROR(__xludf.DUMMYFUNCTION("""COMPUTED_VALUE"""),"هیأت خانگی")</f>
        <v>هیأت خانگی</v>
      </c>
      <c r="C5463" s="5" t="str">
        <f>IFERROR(__xludf.DUMMYFUNCTION("""COMPUTED_VALUE"""),"متوسلین بحضرت موسی بن جعفر (ع)")</f>
        <v>متوسلین بحضرت موسی بن جعفر (ع)</v>
      </c>
      <c r="D5463" s="5" t="str">
        <f>IFERROR(__xludf.DUMMYFUNCTION("""COMPUTED_VALUE"""),"اصفهان")</f>
        <v>اصفهان</v>
      </c>
      <c r="E5463" s="5" t="str">
        <f>IFERROR(__xludf.DUMMYFUNCTION("""COMPUTED_VALUE"""),"اصفهان")</f>
        <v>اصفهان</v>
      </c>
      <c r="F5463" s="5"/>
      <c r="G5463" s="5"/>
      <c r="H5463" s="6" t="str">
        <f>IFERROR(__xludf.DUMMYFUNCTION("""COMPUTED_VALUE"""),"https://www.instagram.com/heyat_musabnejafar")</f>
        <v>https://www.instagram.com/heyat_musabnejafar</v>
      </c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/>
    </row>
    <row r="5464">
      <c r="A5464" s="5">
        <f>IFERROR(__xludf.DUMMYFUNCTION("""COMPUTED_VALUE"""),1435.0)</f>
        <v>1435</v>
      </c>
      <c r="B5464" s="5" t="str">
        <f>IFERROR(__xludf.DUMMYFUNCTION("""COMPUTED_VALUE"""),"هیأت")</f>
        <v>هیأت</v>
      </c>
      <c r="C5464" s="5" t="str">
        <f>IFERROR(__xludf.DUMMYFUNCTION("""COMPUTED_VALUE"""),"باب الحوائج(ع)")</f>
        <v>باب الحوائج(ع)</v>
      </c>
      <c r="D5464" s="5" t="str">
        <f>IFERROR(__xludf.DUMMYFUNCTION("""COMPUTED_VALUE"""),"اصفهان")</f>
        <v>اصفهان</v>
      </c>
      <c r="E5464" s="5" t="str">
        <f>IFERROR(__xludf.DUMMYFUNCTION("""COMPUTED_VALUE"""),"خوانسار")</f>
        <v>خوانسار</v>
      </c>
      <c r="F5464" s="5"/>
      <c r="G5464" s="5">
        <f>IFERROR(__xludf.DUMMYFUNCTION("""COMPUTED_VALUE"""),1.0)</f>
        <v>1</v>
      </c>
      <c r="H5464" s="6" t="str">
        <f>IFERROR(__xludf.DUMMYFUNCTION("""COMPUTED_VALUE"""),"https://www.instagram.com/babal_havaej1")</f>
        <v>https://www.instagram.com/babal_havaej1</v>
      </c>
      <c r="I5464" s="5"/>
      <c r="J5464" s="5"/>
      <c r="K5464" s="5"/>
      <c r="L5464" s="5"/>
      <c r="M5464" s="5"/>
      <c r="N5464" s="5"/>
      <c r="O5464" s="5"/>
      <c r="P5464" s="5"/>
      <c r="Q5464" s="5"/>
      <c r="R5464" s="5"/>
      <c r="S5464" s="5"/>
    </row>
    <row r="5465">
      <c r="A5465" s="5">
        <f>IFERROR(__xludf.DUMMYFUNCTION("""COMPUTED_VALUE"""),1446.0)</f>
        <v>1446</v>
      </c>
      <c r="B5465" s="5" t="str">
        <f>IFERROR(__xludf.DUMMYFUNCTION("""COMPUTED_VALUE"""),"هیأت")</f>
        <v>هیأت</v>
      </c>
      <c r="C5465" s="5" t="str">
        <f>IFERROR(__xludf.DUMMYFUNCTION("""COMPUTED_VALUE"""),"مکتب العباس (ع)")</f>
        <v>مکتب العباس (ع)</v>
      </c>
      <c r="D5465" s="5" t="str">
        <f>IFERROR(__xludf.DUMMYFUNCTION("""COMPUTED_VALUE"""),"اصفهان")</f>
        <v>اصفهان</v>
      </c>
      <c r="E5465" s="5" t="str">
        <f>IFERROR(__xludf.DUMMYFUNCTION("""COMPUTED_VALUE"""),"خوراسگان")</f>
        <v>خوراسگان</v>
      </c>
      <c r="F5465" s="5"/>
      <c r="G5465" s="5"/>
      <c r="H5465" s="6" t="str">
        <f>IFERROR(__xludf.DUMMYFUNCTION("""COMPUTED_VALUE"""),"https://www.instagram.com/heiat.maktabol.abbas")</f>
        <v>https://www.instagram.com/heiat.maktabol.abbas</v>
      </c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</row>
    <row r="5466">
      <c r="A5466" s="5">
        <f>IFERROR(__xludf.DUMMYFUNCTION("""COMPUTED_VALUE"""),1447.0)</f>
        <v>1447</v>
      </c>
      <c r="B5466" s="5" t="str">
        <f>IFERROR(__xludf.DUMMYFUNCTION("""COMPUTED_VALUE"""),"هیأت")</f>
        <v>هیأت</v>
      </c>
      <c r="C5466" s="5" t="str">
        <f>IFERROR(__xludf.DUMMYFUNCTION("""COMPUTED_VALUE"""),"حوزه علمیه امام صادق (ع)")</f>
        <v>حوزه علمیه امام صادق (ع)</v>
      </c>
      <c r="D5466" s="5" t="str">
        <f>IFERROR(__xludf.DUMMYFUNCTION("""COMPUTED_VALUE"""),"اصفهان")</f>
        <v>اصفهان</v>
      </c>
      <c r="E5466" s="5" t="str">
        <f>IFERROR(__xludf.DUMMYFUNCTION("""COMPUTED_VALUE"""),"خوراسگان")</f>
        <v>خوراسگان</v>
      </c>
      <c r="F5466" s="5"/>
      <c r="G5466" s="5"/>
      <c r="H5466" s="5"/>
      <c r="I5466" s="5"/>
      <c r="J5466" s="6" t="str">
        <f>IFERROR(__xludf.DUMMYFUNCTION("""COMPUTED_VALUE"""),"https://eitaa.com/hozehimamsadeq")</f>
        <v>https://eitaa.com/hozehimamsadeq</v>
      </c>
      <c r="K5466" s="5"/>
      <c r="L5466" s="5"/>
      <c r="M5466" s="5"/>
      <c r="N5466" s="5"/>
      <c r="O5466" s="5"/>
      <c r="P5466" s="5"/>
      <c r="Q5466" s="5"/>
      <c r="R5466" s="5"/>
      <c r="S5466" s="5"/>
    </row>
    <row r="5467">
      <c r="A5467" s="5">
        <f>IFERROR(__xludf.DUMMYFUNCTION("""COMPUTED_VALUE"""),1450.0)</f>
        <v>1450</v>
      </c>
      <c r="B5467" s="5" t="str">
        <f>IFERROR(__xludf.DUMMYFUNCTION("""COMPUTED_VALUE"""),"هیأت")</f>
        <v>هیأت</v>
      </c>
      <c r="C5467" s="5" t="str">
        <f>IFERROR(__xludf.DUMMYFUNCTION("""COMPUTED_VALUE"""),"عزاداران حسینی / قمربنی هاشم (ع)")</f>
        <v>عزاداران حسینی / قمربنی هاشم (ع)</v>
      </c>
      <c r="D5467" s="5" t="str">
        <f>IFERROR(__xludf.DUMMYFUNCTION("""COMPUTED_VALUE"""),"اصفهان")</f>
        <v>اصفهان</v>
      </c>
      <c r="E5467" s="5" t="str">
        <f>IFERROR(__xludf.DUMMYFUNCTION("""COMPUTED_VALUE"""),"خور و بیابانک")</f>
        <v>خور و بیابانک</v>
      </c>
      <c r="F5467" s="5"/>
      <c r="G5467" s="5"/>
      <c r="H5467" s="6" t="str">
        <f>IFERROR(__xludf.DUMMYFUNCTION("""COMPUTED_VALUE"""),"https://www.instagram.com/heyat_ghamar315")</f>
        <v>https://www.instagram.com/heyat_ghamar315</v>
      </c>
      <c r="I5467" s="5"/>
      <c r="J5467" s="6" t="str">
        <f>IFERROR(__xludf.DUMMYFUNCTION("""COMPUTED_VALUE"""),"https://eitaa.com/ghamar_p")</f>
        <v>https://eitaa.com/ghamar_p</v>
      </c>
      <c r="K5467" s="5"/>
      <c r="L5467" s="5"/>
      <c r="M5467" s="5"/>
      <c r="N5467" s="5"/>
      <c r="O5467" s="5"/>
      <c r="P5467" s="5"/>
      <c r="Q5467" s="5"/>
      <c r="R5467" s="5"/>
      <c r="S5467" s="5"/>
    </row>
    <row r="5468">
      <c r="A5468" s="5">
        <f>IFERROR(__xludf.DUMMYFUNCTION("""COMPUTED_VALUE"""),1455.0)</f>
        <v>1455</v>
      </c>
      <c r="B5468" s="5" t="str">
        <f>IFERROR(__xludf.DUMMYFUNCTION("""COMPUTED_VALUE"""),"هیأت")</f>
        <v>هیأت</v>
      </c>
      <c r="C5468" s="5" t="str">
        <f>IFERROR(__xludf.DUMMYFUNCTION("""COMPUTED_VALUE"""),"سیدالشهدا(ع)")</f>
        <v>سیدالشهدا(ع)</v>
      </c>
      <c r="D5468" s="5" t="str">
        <f>IFERROR(__xludf.DUMMYFUNCTION("""COMPUTED_VALUE"""),"اصفهان")</f>
        <v>اصفهان</v>
      </c>
      <c r="E5468" s="5" t="str">
        <f>IFERROR(__xludf.DUMMYFUNCTION("""COMPUTED_VALUE"""),"خور و بیابانک")</f>
        <v>خور و بیابانک</v>
      </c>
      <c r="F5468" s="5"/>
      <c r="G5468" s="5"/>
      <c r="H5468" s="6" t="str">
        <f>IFERROR(__xludf.DUMMYFUNCTION("""COMPUTED_VALUE"""),"https://www.instagram.com/seyed.all.shohada")</f>
        <v>https://www.instagram.com/seyed.all.shohada</v>
      </c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</row>
    <row r="5469">
      <c r="A5469" s="5">
        <f>IFERROR(__xludf.DUMMYFUNCTION("""COMPUTED_VALUE"""),1466.0)</f>
        <v>1466</v>
      </c>
      <c r="B5469" s="5" t="str">
        <f>IFERROR(__xludf.DUMMYFUNCTION("""COMPUTED_VALUE"""),"هیأت")</f>
        <v>هیأت</v>
      </c>
      <c r="C5469" s="5" t="str">
        <f>IFERROR(__xludf.DUMMYFUNCTION("""COMPUTED_VALUE"""),"کانون صاحب الزمان(عج)")</f>
        <v>کانون صاحب الزمان(عج)</v>
      </c>
      <c r="D5469" s="5" t="str">
        <f>IFERROR(__xludf.DUMMYFUNCTION("""COMPUTED_VALUE"""),"اصفهان")</f>
        <v>اصفهان</v>
      </c>
      <c r="E5469" s="5" t="str">
        <f>IFERROR(__xludf.DUMMYFUNCTION("""COMPUTED_VALUE"""),"اصفهان")</f>
        <v>اصفهان</v>
      </c>
      <c r="F5469" s="5"/>
      <c r="G5469" s="5"/>
      <c r="H5469" s="5"/>
      <c r="I5469" s="5"/>
      <c r="J5469" s="6" t="str">
        <f>IFERROR(__xludf.DUMMYFUNCTION("""COMPUTED_VALUE"""),"https://eitaa.com/HBSahebazzaman")</f>
        <v>https://eitaa.com/HBSahebazzaman</v>
      </c>
      <c r="K5469" s="5"/>
      <c r="L5469" s="5"/>
      <c r="M5469" s="5"/>
      <c r="N5469" s="5"/>
      <c r="O5469" s="5"/>
      <c r="P5469" s="5"/>
      <c r="Q5469" s="5"/>
      <c r="R5469" s="5"/>
      <c r="S5469" s="5"/>
    </row>
    <row r="5470">
      <c r="A5470" s="5">
        <f>IFERROR(__xludf.DUMMYFUNCTION("""COMPUTED_VALUE"""),1470.0)</f>
        <v>1470</v>
      </c>
      <c r="B5470" s="5" t="str">
        <f>IFERROR(__xludf.DUMMYFUNCTION("""COMPUTED_VALUE"""),"هیأت")</f>
        <v>هیأت</v>
      </c>
      <c r="C5470" s="5" t="str">
        <f>IFERROR(__xludf.DUMMYFUNCTION("""COMPUTED_VALUE"""),"محبان الحسین(ع)")</f>
        <v>محبان الحسین(ع)</v>
      </c>
      <c r="D5470" s="5" t="str">
        <f>IFERROR(__xludf.DUMMYFUNCTION("""COMPUTED_VALUE"""),"اصفهان")</f>
        <v>اصفهان</v>
      </c>
      <c r="E5470" s="5" t="str">
        <f>IFERROR(__xludf.DUMMYFUNCTION("""COMPUTED_VALUE"""),"دهاقان")</f>
        <v>دهاقان</v>
      </c>
      <c r="F5470" s="5"/>
      <c r="G5470" s="5"/>
      <c r="H5470" s="6" t="str">
        <f>IFERROR(__xludf.DUMMYFUNCTION("""COMPUTED_VALUE"""),"https://www.instagram.com/heyat.mohebbanolhossein")</f>
        <v>https://www.instagram.com/heyat.mohebbanolhossein</v>
      </c>
      <c r="I5470" s="5"/>
      <c r="J5470" s="5"/>
      <c r="K5470" s="5"/>
      <c r="L5470" s="5"/>
      <c r="M5470" s="5"/>
      <c r="N5470" s="5"/>
      <c r="O5470" s="5"/>
      <c r="P5470" s="5"/>
      <c r="Q5470" s="5"/>
      <c r="R5470" s="5"/>
      <c r="S5470" s="5"/>
    </row>
    <row r="5471">
      <c r="A5471" s="5">
        <f>IFERROR(__xludf.DUMMYFUNCTION("""COMPUTED_VALUE"""),1474.0)</f>
        <v>1474</v>
      </c>
      <c r="B5471" s="5" t="str">
        <f>IFERROR(__xludf.DUMMYFUNCTION("""COMPUTED_VALUE"""),"هیأت")</f>
        <v>هیأت</v>
      </c>
      <c r="C5471" s="5" t="str">
        <f>IFERROR(__xludf.DUMMYFUNCTION("""COMPUTED_VALUE"""),"قمربنی هاشم(ع)")</f>
        <v>قمربنی هاشم(ع)</v>
      </c>
      <c r="D5471" s="5" t="str">
        <f>IFERROR(__xludf.DUMMYFUNCTION("""COMPUTED_VALUE"""),"اصفهان")</f>
        <v>اصفهان</v>
      </c>
      <c r="E5471" s="5" t="str">
        <f>IFERROR(__xludf.DUMMYFUNCTION("""COMPUTED_VALUE"""),"دهاقان")</f>
        <v>دهاقان</v>
      </c>
      <c r="F5471" s="5"/>
      <c r="G5471" s="5">
        <f>IFERROR(__xludf.DUMMYFUNCTION("""COMPUTED_VALUE"""),1.0)</f>
        <v>1</v>
      </c>
      <c r="H5471" s="6" t="str">
        <f>IFERROR(__xludf.DUMMYFUNCTION("""COMPUTED_VALUE"""),"https://www.instagram.com/rahrovane_abas")</f>
        <v>https://www.instagram.com/rahrovane_abas</v>
      </c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</row>
    <row r="5472">
      <c r="A5472" s="5">
        <f>IFERROR(__xludf.DUMMYFUNCTION("""COMPUTED_VALUE"""),1477.0)</f>
        <v>1477</v>
      </c>
      <c r="B5472" s="5" t="str">
        <f>IFERROR(__xludf.DUMMYFUNCTION("""COMPUTED_VALUE"""),"هیأت")</f>
        <v>هیأت</v>
      </c>
      <c r="C5472" s="5" t="str">
        <f>IFERROR(__xludf.DUMMYFUNCTION("""COMPUTED_VALUE"""),"جوانان عاشقان ثارالله(ع)")</f>
        <v>جوانان عاشقان ثارالله(ع)</v>
      </c>
      <c r="D5472" s="5" t="str">
        <f>IFERROR(__xludf.DUMMYFUNCTION("""COMPUTED_VALUE"""),"اصفهان")</f>
        <v>اصفهان</v>
      </c>
      <c r="E5472" s="5" t="str">
        <f>IFERROR(__xludf.DUMMYFUNCTION("""COMPUTED_VALUE"""),"دهاقان")</f>
        <v>دهاقان</v>
      </c>
      <c r="F5472" s="5"/>
      <c r="G5472" s="5">
        <f>IFERROR(__xludf.DUMMYFUNCTION("""COMPUTED_VALUE"""),1.0)</f>
        <v>1</v>
      </c>
      <c r="H5472" s="6" t="str">
        <f>IFERROR(__xludf.DUMMYFUNCTION("""COMPUTED_VALUE"""),"https://www.instagram.com/asheghan_saralh_rey")</f>
        <v>https://www.instagram.com/asheghan_saralh_rey</v>
      </c>
      <c r="I5472" s="6" t="str">
        <f>IFERROR(__xludf.DUMMYFUNCTION("""COMPUTED_VALUE"""),"https://t.me/Ashegan_saralah_rey")</f>
        <v>https://t.me/Ashegan_saralah_rey</v>
      </c>
      <c r="J5472" s="5"/>
      <c r="K5472" s="5"/>
      <c r="L5472" s="5"/>
      <c r="M5472" s="5"/>
      <c r="N5472" s="5"/>
      <c r="O5472" s="5"/>
      <c r="P5472" s="5"/>
      <c r="Q5472" s="5"/>
      <c r="R5472" s="5"/>
      <c r="S5472" s="5"/>
    </row>
    <row r="5473">
      <c r="A5473" s="5">
        <f>IFERROR(__xludf.DUMMYFUNCTION("""COMPUTED_VALUE"""),1480.0)</f>
        <v>1480</v>
      </c>
      <c r="B5473" s="5" t="str">
        <f>IFERROR(__xludf.DUMMYFUNCTION("""COMPUTED_VALUE"""),"هیأت")</f>
        <v>هیأت</v>
      </c>
      <c r="C5473" s="5" t="str">
        <f>IFERROR(__xludf.DUMMYFUNCTION("""COMPUTED_VALUE"""),"جوانان عاشورائی")</f>
        <v>جوانان عاشورائی</v>
      </c>
      <c r="D5473" s="5" t="str">
        <f>IFERROR(__xludf.DUMMYFUNCTION("""COMPUTED_VALUE"""),"اصفهان")</f>
        <v>اصفهان</v>
      </c>
      <c r="E5473" s="5" t="str">
        <f>IFERROR(__xludf.DUMMYFUNCTION("""COMPUTED_VALUE"""),"دهاقان")</f>
        <v>دهاقان</v>
      </c>
      <c r="F5473" s="5"/>
      <c r="G5473" s="5"/>
      <c r="H5473" s="6" t="str">
        <f>IFERROR(__xludf.DUMMYFUNCTION("""COMPUTED_VALUE"""),"https://www.instagram.com/javanane_ashorayi")</f>
        <v>https://www.instagram.com/javanane_ashorayi</v>
      </c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/>
    </row>
    <row r="5474">
      <c r="A5474" s="5">
        <f>IFERROR(__xludf.DUMMYFUNCTION("""COMPUTED_VALUE"""),1492.0)</f>
        <v>1492</v>
      </c>
      <c r="B5474" s="5" t="str">
        <f>IFERROR(__xludf.DUMMYFUNCTION("""COMPUTED_VALUE"""),"هیأت")</f>
        <v>هیأت</v>
      </c>
      <c r="C5474" s="5" t="str">
        <f>IFERROR(__xludf.DUMMYFUNCTION("""COMPUTED_VALUE"""),"مکتب المهدی (عج)")</f>
        <v>مکتب المهدی (عج)</v>
      </c>
      <c r="D5474" s="5" t="str">
        <f>IFERROR(__xludf.DUMMYFUNCTION("""COMPUTED_VALUE"""),"اصفهان")</f>
        <v>اصفهان</v>
      </c>
      <c r="E5474" s="5" t="str">
        <f>IFERROR(__xludf.DUMMYFUNCTION("""COMPUTED_VALUE"""),"اصفهان")</f>
        <v>اصفهان</v>
      </c>
      <c r="F5474" s="5"/>
      <c r="G5474" s="5"/>
      <c r="H5474" s="6" t="str">
        <f>IFERROR(__xludf.DUMMYFUNCTION("""COMPUTED_VALUE"""),"https://www.instagram.com/maktab_almahdi59")</f>
        <v>https://www.instagram.com/maktab_almahdi59</v>
      </c>
      <c r="I5474" s="5"/>
      <c r="J5474" s="5"/>
      <c r="K5474" s="5"/>
      <c r="L5474" s="5"/>
      <c r="M5474" s="5"/>
      <c r="N5474" s="5"/>
      <c r="O5474" s="5"/>
      <c r="P5474" s="5"/>
      <c r="Q5474" s="5"/>
      <c r="R5474" s="5"/>
      <c r="S5474" s="5"/>
    </row>
    <row r="5475">
      <c r="A5475" s="5">
        <f>IFERROR(__xludf.DUMMYFUNCTION("""COMPUTED_VALUE"""),1493.0)</f>
        <v>1493</v>
      </c>
      <c r="B5475" s="5" t="str">
        <f>IFERROR(__xludf.DUMMYFUNCTION("""COMPUTED_VALUE"""),"هیأت")</f>
        <v>هیأت</v>
      </c>
      <c r="C5475" s="5" t="str">
        <f>IFERROR(__xludf.DUMMYFUNCTION("""COMPUTED_VALUE"""),"جوانان متوسلین به حضرت رقیه(س)")</f>
        <v>جوانان متوسلین به حضرت رقیه(س)</v>
      </c>
      <c r="D5475" s="5" t="str">
        <f>IFERROR(__xludf.DUMMYFUNCTION("""COMPUTED_VALUE"""),"اصفهان")</f>
        <v>اصفهان</v>
      </c>
      <c r="E5475" s="5" t="str">
        <f>IFERROR(__xludf.DUMMYFUNCTION("""COMPUTED_VALUE"""),"اصفهان")</f>
        <v>اصفهان</v>
      </c>
      <c r="F5475" s="5"/>
      <c r="G5475" s="5"/>
      <c r="H5475" s="6" t="str">
        <f>IFERROR(__xludf.DUMMYFUNCTION("""COMPUTED_VALUE"""),"https://www.instagram.com/heyathazratroghayeh84")</f>
        <v>https://www.instagram.com/heyathazratroghayeh84</v>
      </c>
      <c r="I5475" s="5"/>
      <c r="J5475" s="5"/>
      <c r="K5475" s="5"/>
      <c r="L5475" s="5"/>
      <c r="M5475" s="5"/>
      <c r="N5475" s="5"/>
      <c r="O5475" s="5"/>
      <c r="P5475" s="5"/>
      <c r="Q5475" s="5"/>
      <c r="R5475" s="5"/>
      <c r="S5475" s="5"/>
    </row>
    <row r="5476">
      <c r="A5476" s="5">
        <f>IFERROR(__xludf.DUMMYFUNCTION("""COMPUTED_VALUE"""),1495.0)</f>
        <v>1495</v>
      </c>
      <c r="B5476" s="5" t="str">
        <f>IFERROR(__xludf.DUMMYFUNCTION("""COMPUTED_VALUE"""),"هیأت")</f>
        <v>هیأت</v>
      </c>
      <c r="C5476" s="5" t="str">
        <f>IFERROR(__xludf.DUMMYFUNCTION("""COMPUTED_VALUE"""),"انصارالمهدی (عج)")</f>
        <v>انصارالمهدی (عج)</v>
      </c>
      <c r="D5476" s="5" t="str">
        <f>IFERROR(__xludf.DUMMYFUNCTION("""COMPUTED_VALUE"""),"اصفهان")</f>
        <v>اصفهان</v>
      </c>
      <c r="E5476" s="5" t="str">
        <f>IFERROR(__xludf.DUMMYFUNCTION("""COMPUTED_VALUE"""),"اصفهان")</f>
        <v>اصفهان</v>
      </c>
      <c r="F5476" s="5"/>
      <c r="G5476" s="5"/>
      <c r="H5476" s="5"/>
      <c r="I5476" s="5"/>
      <c r="J5476" s="6" t="str">
        <f>IFERROR(__xludf.DUMMYFUNCTION("""COMPUTED_VALUE"""),"https://eitaa.com/ansarandarzgo")</f>
        <v>https://eitaa.com/ansarandarzgo</v>
      </c>
      <c r="K5476" s="5"/>
      <c r="L5476" s="5"/>
      <c r="M5476" s="5"/>
      <c r="N5476" s="5"/>
      <c r="O5476" s="5"/>
      <c r="P5476" s="5"/>
      <c r="Q5476" s="5"/>
      <c r="R5476" s="5"/>
      <c r="S5476" s="5"/>
    </row>
    <row r="5477">
      <c r="A5477" s="5">
        <f>IFERROR(__xludf.DUMMYFUNCTION("""COMPUTED_VALUE"""),1508.0)</f>
        <v>1508</v>
      </c>
      <c r="B5477" s="5" t="str">
        <f>IFERROR(__xludf.DUMMYFUNCTION("""COMPUTED_VALUE"""),"هیأت")</f>
        <v>هیأت</v>
      </c>
      <c r="C5477" s="5" t="str">
        <f>IFERROR(__xludf.DUMMYFUNCTION("""COMPUTED_VALUE"""),"محبین اهل بیت (ع)")</f>
        <v>محبین اهل بیت (ع)</v>
      </c>
      <c r="D5477" s="5" t="str">
        <f>IFERROR(__xludf.DUMMYFUNCTION("""COMPUTED_VALUE"""),"اصفهان")</f>
        <v>اصفهان</v>
      </c>
      <c r="E5477" s="5" t="str">
        <f>IFERROR(__xludf.DUMMYFUNCTION("""COMPUTED_VALUE"""),"مبارکه")</f>
        <v>مبارکه</v>
      </c>
      <c r="F5477" s="5"/>
      <c r="G5477" s="5">
        <f>IFERROR(__xludf.DUMMYFUNCTION("""COMPUTED_VALUE"""),1.0)</f>
        <v>1</v>
      </c>
      <c r="H5477" s="6" t="str">
        <f>IFERROR(__xludf.DUMMYFUNCTION("""COMPUTED_VALUE"""),"https://www.instagram.com/mohebbin_info")</f>
        <v>https://www.instagram.com/mohebbin_info</v>
      </c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</row>
    <row r="5478">
      <c r="A5478" s="5">
        <f>IFERROR(__xludf.DUMMYFUNCTION("""COMPUTED_VALUE"""),1511.0)</f>
        <v>1511</v>
      </c>
      <c r="B5478" s="5" t="str">
        <f>IFERROR(__xludf.DUMMYFUNCTION("""COMPUTED_VALUE"""),"هیأت")</f>
        <v>هیأت</v>
      </c>
      <c r="C5478" s="5" t="str">
        <f>IFERROR(__xludf.DUMMYFUNCTION("""COMPUTED_VALUE"""),"فاطمیون")</f>
        <v>فاطمیون</v>
      </c>
      <c r="D5478" s="5" t="str">
        <f>IFERROR(__xludf.DUMMYFUNCTION("""COMPUTED_VALUE"""),"اصفهان")</f>
        <v>اصفهان</v>
      </c>
      <c r="E5478" s="5" t="str">
        <f>IFERROR(__xludf.DUMMYFUNCTION("""COMPUTED_VALUE"""),"اصفهان")</f>
        <v>اصفهان</v>
      </c>
      <c r="F5478" s="5"/>
      <c r="G5478" s="5"/>
      <c r="H5478" s="5"/>
      <c r="I5478" s="6" t="str">
        <f>IFERROR(__xludf.DUMMYFUNCTION("""COMPUTED_VALUE"""),"https://t.me/fatemiyonmalekshahr")</f>
        <v>https://t.me/fatemiyonmalekshahr</v>
      </c>
      <c r="J5478" s="5"/>
      <c r="K5478" s="5"/>
      <c r="L5478" s="5"/>
      <c r="M5478" s="5"/>
      <c r="N5478" s="5"/>
      <c r="O5478" s="5"/>
      <c r="P5478" s="5"/>
      <c r="Q5478" s="5"/>
      <c r="R5478" s="5"/>
      <c r="S5478" s="5"/>
    </row>
    <row r="5479">
      <c r="A5479" s="5">
        <f>IFERROR(__xludf.DUMMYFUNCTION("""COMPUTED_VALUE"""),1512.0)</f>
        <v>1512</v>
      </c>
      <c r="B5479" s="5" t="str">
        <f>IFERROR(__xludf.DUMMYFUNCTION("""COMPUTED_VALUE"""),"هیأت")</f>
        <v>هیأت</v>
      </c>
      <c r="C5479" s="5" t="str">
        <f>IFERROR(__xludf.DUMMYFUNCTION("""COMPUTED_VALUE"""),"محبان حضرت علی اکبر(ع)")</f>
        <v>محبان حضرت علی اکبر(ع)</v>
      </c>
      <c r="D5479" s="5" t="str">
        <f>IFERROR(__xludf.DUMMYFUNCTION("""COMPUTED_VALUE"""),"اصفهان")</f>
        <v>اصفهان</v>
      </c>
      <c r="E5479" s="5" t="str">
        <f>IFERROR(__xludf.DUMMYFUNCTION("""COMPUTED_VALUE"""),"اصفهان")</f>
        <v>اصفهان</v>
      </c>
      <c r="F5479" s="5"/>
      <c r="G5479" s="5"/>
      <c r="H5479" s="6" t="str">
        <f>IFERROR(__xludf.DUMMYFUNCTION("""COMPUTED_VALUE"""),"https://www.instagram.com/mohebanaliakbar_ir")</f>
        <v>https://www.instagram.com/mohebanaliakbar_ir</v>
      </c>
      <c r="I5479" s="5"/>
      <c r="J5479" s="5"/>
      <c r="K5479" s="5"/>
      <c r="L5479" s="5"/>
      <c r="M5479" s="5"/>
      <c r="N5479" s="5"/>
      <c r="O5479" s="5"/>
      <c r="P5479" s="5"/>
      <c r="Q5479" s="5"/>
      <c r="R5479" s="5"/>
      <c r="S5479" s="5"/>
    </row>
    <row r="5480">
      <c r="A5480" s="5">
        <f>IFERROR(__xludf.DUMMYFUNCTION("""COMPUTED_VALUE"""),1516.0)</f>
        <v>1516</v>
      </c>
      <c r="B5480" s="5" t="str">
        <f>IFERROR(__xludf.DUMMYFUNCTION("""COMPUTED_VALUE"""),"هیأت")</f>
        <v>هیأت</v>
      </c>
      <c r="C5480" s="5" t="str">
        <f>IFERROR(__xludf.DUMMYFUNCTION("""COMPUTED_VALUE"""),"منتظران مهدی (عج)")</f>
        <v>منتظران مهدی (عج)</v>
      </c>
      <c r="D5480" s="5" t="str">
        <f>IFERROR(__xludf.DUMMYFUNCTION("""COMPUTED_VALUE"""),"اصفهان")</f>
        <v>اصفهان</v>
      </c>
      <c r="E5480" s="5" t="str">
        <f>IFERROR(__xludf.DUMMYFUNCTION("""COMPUTED_VALUE"""),"سمیرم")</f>
        <v>سمیرم</v>
      </c>
      <c r="F5480" s="5"/>
      <c r="G5480" s="5">
        <f>IFERROR(__xludf.DUMMYFUNCTION("""COMPUTED_VALUE"""),1.0)</f>
        <v>1</v>
      </c>
      <c r="H5480" s="6" t="str">
        <f>IFERROR(__xludf.DUMMYFUNCTION("""COMPUTED_VALUE"""),"https://www.instagram.com/a_sahebzaman")</f>
        <v>https://www.instagram.com/a_sahebzaman</v>
      </c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</row>
    <row r="5481">
      <c r="A5481" s="5">
        <f>IFERROR(__xludf.DUMMYFUNCTION("""COMPUTED_VALUE"""),1523.0)</f>
        <v>1523</v>
      </c>
      <c r="B5481" s="5" t="str">
        <f>IFERROR(__xludf.DUMMYFUNCTION("""COMPUTED_VALUE"""),"هیأت")</f>
        <v>هیأت</v>
      </c>
      <c r="C5481" s="5" t="str">
        <f>IFERROR(__xludf.DUMMYFUNCTION("""COMPUTED_VALUE"""),"پنج تن آل عبا (ع)")</f>
        <v>پنج تن آل عبا (ع)</v>
      </c>
      <c r="D5481" s="5" t="str">
        <f>IFERROR(__xludf.DUMMYFUNCTION("""COMPUTED_VALUE"""),"اصفهان")</f>
        <v>اصفهان</v>
      </c>
      <c r="E5481" s="5" t="str">
        <f>IFERROR(__xludf.DUMMYFUNCTION("""COMPUTED_VALUE"""),"شاهین شهر")</f>
        <v>شاهین شهر</v>
      </c>
      <c r="F5481" s="5"/>
      <c r="G5481" s="5"/>
      <c r="H5481" s="6" t="str">
        <f>IFERROR(__xludf.DUMMYFUNCTION("""COMPUTED_VALUE"""),"https://www.instagram.com/heyat_panjtan_ale_aba")</f>
        <v>https://www.instagram.com/heyat_panjtan_ale_aba</v>
      </c>
      <c r="I5481" s="5"/>
      <c r="J5481" s="5"/>
      <c r="K5481" s="5"/>
      <c r="L5481" s="5"/>
      <c r="M5481" s="5"/>
      <c r="N5481" s="5"/>
      <c r="O5481" s="5"/>
      <c r="P5481" s="5"/>
      <c r="Q5481" s="5"/>
      <c r="R5481" s="5"/>
      <c r="S5481" s="5"/>
    </row>
    <row r="5482">
      <c r="A5482" s="5">
        <f>IFERROR(__xludf.DUMMYFUNCTION("""COMPUTED_VALUE"""),1526.0)</f>
        <v>1526</v>
      </c>
      <c r="B5482" s="5" t="str">
        <f>IFERROR(__xludf.DUMMYFUNCTION("""COMPUTED_VALUE"""),"گروه سرود")</f>
        <v>گروه سرود</v>
      </c>
      <c r="C5482" s="5" t="str">
        <f>IFERROR(__xludf.DUMMYFUNCTION("""COMPUTED_VALUE"""),"جوانان انصارالمهدی (عج)")</f>
        <v>جوانان انصارالمهدی (عج)</v>
      </c>
      <c r="D5482" s="5" t="str">
        <f>IFERROR(__xludf.DUMMYFUNCTION("""COMPUTED_VALUE"""),"اصفهان")</f>
        <v>اصفهان</v>
      </c>
      <c r="E5482" s="5" t="str">
        <f>IFERROR(__xludf.DUMMYFUNCTION("""COMPUTED_VALUE"""),"شاهین شهر")</f>
        <v>شاهین شهر</v>
      </c>
      <c r="F5482" s="5"/>
      <c r="G5482" s="5"/>
      <c r="H5482" s="6" t="str">
        <f>IFERROR(__xludf.DUMMYFUNCTION("""COMPUTED_VALUE"""),"https://www.instagram.com/ansaralmahdishahinshahr")</f>
        <v>https://www.instagram.com/ansaralmahdishahinshahr</v>
      </c>
      <c r="I5482" s="5"/>
      <c r="J5482" s="5"/>
      <c r="K5482" s="5"/>
      <c r="L5482" s="5"/>
      <c r="M5482" s="5"/>
      <c r="N5482" s="5"/>
      <c r="O5482" s="5"/>
      <c r="P5482" s="5"/>
      <c r="Q5482" s="5"/>
      <c r="R5482" s="5"/>
      <c r="S5482" s="5"/>
    </row>
    <row r="5483">
      <c r="A5483" s="5">
        <f>IFERROR(__xludf.DUMMYFUNCTION("""COMPUTED_VALUE"""),1529.0)</f>
        <v>1529</v>
      </c>
      <c r="B5483" s="5" t="str">
        <f>IFERROR(__xludf.DUMMYFUNCTION("""COMPUTED_VALUE"""),"هیأت")</f>
        <v>هیأت</v>
      </c>
      <c r="C5483" s="5" t="str">
        <f>IFERROR(__xludf.DUMMYFUNCTION("""COMPUTED_VALUE"""),"مجموعه فرهنگی آل طه")</f>
        <v>مجموعه فرهنگی آل طه</v>
      </c>
      <c r="D5483" s="5" t="str">
        <f>IFERROR(__xludf.DUMMYFUNCTION("""COMPUTED_VALUE"""),"اصفهان")</f>
        <v>اصفهان</v>
      </c>
      <c r="E5483" s="5" t="str">
        <f>IFERROR(__xludf.DUMMYFUNCTION("""COMPUTED_VALUE"""),"شاهین شهر")</f>
        <v>شاهین شهر</v>
      </c>
      <c r="F5483" s="5"/>
      <c r="G5483" s="5"/>
      <c r="H5483" s="5"/>
      <c r="I5483" s="5"/>
      <c r="J5483" s="6" t="str">
        <f>IFERROR(__xludf.DUMMYFUNCTION("""COMPUTED_VALUE"""),"https://eitaa.com/Aletaha_heyat")</f>
        <v>https://eitaa.com/Aletaha_heyat</v>
      </c>
      <c r="K5483" s="5"/>
      <c r="L5483" s="5"/>
      <c r="M5483" s="5"/>
      <c r="N5483" s="5"/>
      <c r="O5483" s="5"/>
      <c r="P5483" s="5"/>
      <c r="Q5483" s="5"/>
      <c r="R5483" s="5"/>
      <c r="S5483" s="5"/>
    </row>
    <row r="5484">
      <c r="A5484" s="5">
        <f>IFERROR(__xludf.DUMMYFUNCTION("""COMPUTED_VALUE"""),1535.0)</f>
        <v>1535</v>
      </c>
      <c r="B5484" s="5" t="str">
        <f>IFERROR(__xludf.DUMMYFUNCTION("""COMPUTED_VALUE"""),"هیأت")</f>
        <v>هیأت</v>
      </c>
      <c r="C5484" s="5" t="str">
        <f>IFERROR(__xludf.DUMMYFUNCTION("""COMPUTED_VALUE"""),"موسسه قرآنی _ مدرسه القران الکریم")</f>
        <v>موسسه قرآنی _ مدرسه القران الکریم</v>
      </c>
      <c r="D5484" s="5" t="str">
        <f>IFERROR(__xludf.DUMMYFUNCTION("""COMPUTED_VALUE"""),"اصفهان")</f>
        <v>اصفهان</v>
      </c>
      <c r="E5484" s="5" t="str">
        <f>IFERROR(__xludf.DUMMYFUNCTION("""COMPUTED_VALUE"""),"شهرضا")</f>
        <v>شهرضا</v>
      </c>
      <c r="F5484" s="5"/>
      <c r="G5484" s="5"/>
      <c r="H5484" s="5"/>
      <c r="I5484" s="5"/>
      <c r="J5484" s="6" t="str">
        <f>IFERROR(__xludf.DUMMYFUNCTION("""COMPUTED_VALUE"""),"https://eitaa.com/MahdeQuran_Shahreza")</f>
        <v>https://eitaa.com/MahdeQuran_Shahreza</v>
      </c>
      <c r="K5484" s="5"/>
      <c r="L5484" s="5"/>
      <c r="M5484" s="5"/>
      <c r="N5484" s="5"/>
      <c r="O5484" s="5"/>
      <c r="P5484" s="5"/>
      <c r="Q5484" s="5"/>
      <c r="R5484" s="5"/>
      <c r="S5484" s="5"/>
    </row>
    <row r="5485">
      <c r="A5485" s="5">
        <f>IFERROR(__xludf.DUMMYFUNCTION("""COMPUTED_VALUE"""),1538.0)</f>
        <v>1538</v>
      </c>
      <c r="B5485" s="5" t="str">
        <f>IFERROR(__xludf.DUMMYFUNCTION("""COMPUTED_VALUE"""),"هیأت")</f>
        <v>هیأت</v>
      </c>
      <c r="C5485" s="5" t="str">
        <f>IFERROR(__xludf.DUMMYFUNCTION("""COMPUTED_VALUE"""),"امامزاده شاه رضا(ع)")</f>
        <v>امامزاده شاه رضا(ع)</v>
      </c>
      <c r="D5485" s="5" t="str">
        <f>IFERROR(__xludf.DUMMYFUNCTION("""COMPUTED_VALUE"""),"اصفهان")</f>
        <v>اصفهان</v>
      </c>
      <c r="E5485" s="5" t="str">
        <f>IFERROR(__xludf.DUMMYFUNCTION("""COMPUTED_VALUE"""),"شهرضا")</f>
        <v>شهرضا</v>
      </c>
      <c r="F5485" s="5"/>
      <c r="G5485" s="5"/>
      <c r="H5485" s="6" t="str">
        <f>IFERROR(__xludf.DUMMYFUNCTION("""COMPUTED_VALUE"""),"https://www.instagram.com/astanshahreza")</f>
        <v>https://www.instagram.com/astanshahreza</v>
      </c>
      <c r="I5485" s="6" t="str">
        <f>IFERROR(__xludf.DUMMYFUNCTION("""COMPUTED_VALUE"""),"https://t.me/shaahreza_ir")</f>
        <v>https://t.me/shaahreza_ir</v>
      </c>
      <c r="J5485" s="5"/>
      <c r="K5485" s="5"/>
      <c r="L5485" s="5"/>
      <c r="M5485" s="5"/>
      <c r="N5485" s="5"/>
      <c r="O5485" s="5"/>
      <c r="P5485" s="5"/>
      <c r="Q5485" s="5"/>
      <c r="R5485" s="5"/>
      <c r="S5485" s="5"/>
    </row>
    <row r="5486">
      <c r="A5486" s="5">
        <f>IFERROR(__xludf.DUMMYFUNCTION("""COMPUTED_VALUE"""),1540.0)</f>
        <v>1540</v>
      </c>
      <c r="B5486" s="5" t="str">
        <f>IFERROR(__xludf.DUMMYFUNCTION("""COMPUTED_VALUE"""),"هیأت")</f>
        <v>هیأت</v>
      </c>
      <c r="C5486" s="5" t="str">
        <f>IFERROR(__xludf.DUMMYFUNCTION("""COMPUTED_VALUE"""),"جوادالائمه(ع)")</f>
        <v>جوادالائمه(ع)</v>
      </c>
      <c r="D5486" s="5" t="str">
        <f>IFERROR(__xludf.DUMMYFUNCTION("""COMPUTED_VALUE"""),"اصفهان")</f>
        <v>اصفهان</v>
      </c>
      <c r="E5486" s="5" t="str">
        <f>IFERROR(__xludf.DUMMYFUNCTION("""COMPUTED_VALUE"""),"مبارکه")</f>
        <v>مبارکه</v>
      </c>
      <c r="F5486" s="5"/>
      <c r="G5486" s="5"/>
      <c r="H5486" s="5"/>
      <c r="I5486" s="5"/>
      <c r="J5486" s="6" t="str">
        <f>IFERROR(__xludf.DUMMYFUNCTION("""COMPUTED_VALUE"""),"https://eitaa.com/heyatjavodolaeme")</f>
        <v>https://eitaa.com/heyatjavodolaeme</v>
      </c>
      <c r="K5486" s="5"/>
      <c r="L5486" s="5"/>
      <c r="M5486" s="5"/>
      <c r="N5486" s="5"/>
      <c r="O5486" s="5"/>
      <c r="P5486" s="5"/>
      <c r="Q5486" s="5"/>
      <c r="R5486" s="5"/>
      <c r="S5486" s="5"/>
    </row>
    <row r="5487">
      <c r="A5487" s="5">
        <f>IFERROR(__xludf.DUMMYFUNCTION("""COMPUTED_VALUE"""),1546.0)</f>
        <v>1546</v>
      </c>
      <c r="B5487" s="5" t="str">
        <f>IFERROR(__xludf.DUMMYFUNCTION("""COMPUTED_VALUE"""),"هیأت")</f>
        <v>هیأت</v>
      </c>
      <c r="C5487" s="5" t="str">
        <f>IFERROR(__xludf.DUMMYFUNCTION("""COMPUTED_VALUE"""),"روحانی طرح هجرت")</f>
        <v>روحانی طرح هجرت</v>
      </c>
      <c r="D5487" s="5" t="str">
        <f>IFERROR(__xludf.DUMMYFUNCTION("""COMPUTED_VALUE"""),"اصفهان")</f>
        <v>اصفهان</v>
      </c>
      <c r="E5487" s="5" t="str">
        <f>IFERROR(__xludf.DUMMYFUNCTION("""COMPUTED_VALUE"""),"اصفهان")</f>
        <v>اصفهان</v>
      </c>
      <c r="F5487" s="5"/>
      <c r="G5487" s="5"/>
      <c r="H5487" s="5"/>
      <c r="I5487" s="5"/>
      <c r="J5487" s="6" t="str">
        <f>IFERROR(__xludf.DUMMYFUNCTION("""COMPUTED_VALUE"""),"https://eitaa.com/farhangihozeh")</f>
        <v>https://eitaa.com/farhangihozeh</v>
      </c>
      <c r="K5487" s="5"/>
      <c r="L5487" s="5"/>
      <c r="M5487" s="5"/>
      <c r="N5487" s="5"/>
      <c r="O5487" s="5"/>
      <c r="P5487" s="5"/>
      <c r="Q5487" s="5"/>
      <c r="R5487" s="5"/>
      <c r="S5487" s="5"/>
    </row>
    <row r="5488">
      <c r="A5488" s="5">
        <f>IFERROR(__xludf.DUMMYFUNCTION("""COMPUTED_VALUE"""),1557.0)</f>
        <v>1557</v>
      </c>
      <c r="B5488" s="5" t="str">
        <f>IFERROR(__xludf.DUMMYFUNCTION("""COMPUTED_VALUE"""),"هیأت")</f>
        <v>هیأت</v>
      </c>
      <c r="C5488" s="5" t="str">
        <f>IFERROR(__xludf.DUMMYFUNCTION("""COMPUTED_VALUE"""),"کانون فرهنگی هنری الغدیر")</f>
        <v>کانون فرهنگی هنری الغدیر</v>
      </c>
      <c r="D5488" s="5" t="str">
        <f>IFERROR(__xludf.DUMMYFUNCTION("""COMPUTED_VALUE"""),"اصفهان")</f>
        <v>اصفهان</v>
      </c>
      <c r="E5488" s="5" t="str">
        <f>IFERROR(__xludf.DUMMYFUNCTION("""COMPUTED_VALUE"""),"فلاورجان")</f>
        <v>فلاورجان</v>
      </c>
      <c r="F5488" s="5"/>
      <c r="G5488" s="5"/>
      <c r="H5488" s="5"/>
      <c r="I5488" s="5"/>
      <c r="J5488" s="6" t="str">
        <f>IFERROR(__xludf.DUMMYFUNCTION("""COMPUTED_VALUE"""),"https://eitaa.com/kanoonghadir_tiran")</f>
        <v>https://eitaa.com/kanoonghadir_tiran</v>
      </c>
      <c r="K5488" s="5"/>
      <c r="L5488" s="5"/>
      <c r="M5488" s="5"/>
      <c r="N5488" s="5"/>
      <c r="O5488" s="5"/>
      <c r="P5488" s="5"/>
      <c r="Q5488" s="5"/>
      <c r="R5488" s="5"/>
      <c r="S5488" s="5"/>
    </row>
    <row r="5489">
      <c r="A5489" s="5">
        <f>IFERROR(__xludf.DUMMYFUNCTION("""COMPUTED_VALUE"""),1562.0)</f>
        <v>1562</v>
      </c>
      <c r="B5489" s="5" t="str">
        <f>IFERROR(__xludf.DUMMYFUNCTION("""COMPUTED_VALUE"""),"هیأت")</f>
        <v>هیأت</v>
      </c>
      <c r="C5489" s="5" t="str">
        <f>IFERROR(__xludf.DUMMYFUNCTION("""COMPUTED_VALUE"""),"قمربنی هاشم(ع)")</f>
        <v>قمربنی هاشم(ع)</v>
      </c>
      <c r="D5489" s="5" t="str">
        <f>IFERROR(__xludf.DUMMYFUNCTION("""COMPUTED_VALUE"""),"اصفهان")</f>
        <v>اصفهان</v>
      </c>
      <c r="E5489" s="5" t="str">
        <f>IFERROR(__xludf.DUMMYFUNCTION("""COMPUTED_VALUE"""),"فلاورجان")</f>
        <v>فلاورجان</v>
      </c>
      <c r="F5489" s="5"/>
      <c r="G5489" s="5"/>
      <c r="H5489" s="6" t="str">
        <f>IFERROR(__xludf.DUMMYFUNCTION("""COMPUTED_VALUE"""),"https://www.instagram.com/h_gamarbanihashem")</f>
        <v>https://www.instagram.com/h_gamarbanihashem</v>
      </c>
      <c r="I5489" s="5"/>
      <c r="J5489" s="5"/>
      <c r="K5489" s="5"/>
      <c r="L5489" s="5"/>
      <c r="M5489" s="5"/>
      <c r="N5489" s="5"/>
      <c r="O5489" s="5"/>
      <c r="P5489" s="5"/>
      <c r="Q5489" s="5"/>
      <c r="R5489" s="5"/>
      <c r="S5489" s="5"/>
    </row>
    <row r="5490">
      <c r="A5490" s="5">
        <f>IFERROR(__xludf.DUMMYFUNCTION("""COMPUTED_VALUE"""),1583.0)</f>
        <v>1583</v>
      </c>
      <c r="B5490" s="5" t="str">
        <f>IFERROR(__xludf.DUMMYFUNCTION("""COMPUTED_VALUE"""),"هیأت")</f>
        <v>هیأت</v>
      </c>
      <c r="C5490" s="5" t="str">
        <f>IFERROR(__xludf.DUMMYFUNCTION("""COMPUTED_VALUE"""),"فرهنگی امامین عسکریین(ع)")</f>
        <v>فرهنگی امامین عسکریین(ع)</v>
      </c>
      <c r="D5490" s="5" t="str">
        <f>IFERROR(__xludf.DUMMYFUNCTION("""COMPUTED_VALUE"""),"اصفهان")</f>
        <v>اصفهان</v>
      </c>
      <c r="E5490" s="5" t="str">
        <f>IFERROR(__xludf.DUMMYFUNCTION("""COMPUTED_VALUE"""),"کاشان")</f>
        <v>کاشان</v>
      </c>
      <c r="F5490" s="5"/>
      <c r="G5490" s="5"/>
      <c r="H5490" s="6" t="str">
        <f>IFERROR(__xludf.DUMMYFUNCTION("""COMPUTED_VALUE"""),"https://www.instagram.com/emamayn/")</f>
        <v>https://www.instagram.com/emamayn/</v>
      </c>
      <c r="I5490" s="6" t="str">
        <f>IFERROR(__xludf.DUMMYFUNCTION("""COMPUTED_VALUE"""),"https://t.me/emamayn")</f>
        <v>https://t.me/emamayn</v>
      </c>
      <c r="J5490" s="5"/>
      <c r="K5490" s="5"/>
      <c r="L5490" s="5"/>
      <c r="M5490" s="5"/>
      <c r="N5490" s="5"/>
      <c r="O5490" s="5"/>
      <c r="P5490" s="5"/>
      <c r="Q5490" s="5"/>
      <c r="R5490" s="5"/>
      <c r="S5490" s="5"/>
    </row>
    <row r="5491">
      <c r="A5491" s="5">
        <f>IFERROR(__xludf.DUMMYFUNCTION("""COMPUTED_VALUE"""),1594.0)</f>
        <v>1594</v>
      </c>
      <c r="B5491" s="5" t="str">
        <f>IFERROR(__xludf.DUMMYFUNCTION("""COMPUTED_VALUE"""),"هیأت")</f>
        <v>هیأت</v>
      </c>
      <c r="C5491" s="5" t="str">
        <f>IFERROR(__xludf.DUMMYFUNCTION("""COMPUTED_VALUE"""),"فرهنگی عشاق الحسن (ع)")</f>
        <v>فرهنگی عشاق الحسن (ع)</v>
      </c>
      <c r="D5491" s="5" t="str">
        <f>IFERROR(__xludf.DUMMYFUNCTION("""COMPUTED_VALUE"""),"اصفهان")</f>
        <v>اصفهان</v>
      </c>
      <c r="E5491" s="5" t="str">
        <f>IFERROR(__xludf.DUMMYFUNCTION("""COMPUTED_VALUE"""),"کاشان")</f>
        <v>کاشان</v>
      </c>
      <c r="F5491" s="5"/>
      <c r="G5491" s="5"/>
      <c r="H5491" s="6" t="str">
        <f>IFERROR(__xludf.DUMMYFUNCTION("""COMPUTED_VALUE"""),"https://www.instagram.com/hasanjanir/")</f>
        <v>https://www.instagram.com/hasanjanir/</v>
      </c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</row>
    <row r="5492">
      <c r="A5492" s="5">
        <f>IFERROR(__xludf.DUMMYFUNCTION("""COMPUTED_VALUE"""),1636.0)</f>
        <v>1636</v>
      </c>
      <c r="B5492" s="5" t="str">
        <f>IFERROR(__xludf.DUMMYFUNCTION("""COMPUTED_VALUE"""),"هیأت")</f>
        <v>هیأت</v>
      </c>
      <c r="C5492" s="5" t="str">
        <f>IFERROR(__xludf.DUMMYFUNCTION("""COMPUTED_VALUE"""),"جنت العباس (ع)")</f>
        <v>جنت العباس (ع)</v>
      </c>
      <c r="D5492" s="5" t="str">
        <f>IFERROR(__xludf.DUMMYFUNCTION("""COMPUTED_VALUE"""),"اصفهان")</f>
        <v>اصفهان</v>
      </c>
      <c r="E5492" s="5" t="str">
        <f>IFERROR(__xludf.DUMMYFUNCTION("""COMPUTED_VALUE"""),"کاشان")</f>
        <v>کاشان</v>
      </c>
      <c r="F5492" s="5"/>
      <c r="G5492" s="5"/>
      <c r="H5492" s="6" t="str">
        <f>IFERROR(__xludf.DUMMYFUNCTION("""COMPUTED_VALUE"""),"https://www.instagram.com/janat.al.abbas/")</f>
        <v>https://www.instagram.com/janat.al.abbas/</v>
      </c>
      <c r="I5492" s="6" t="str">
        <f>IFERROR(__xludf.DUMMYFUNCTION("""COMPUTED_VALUE"""),"https://t.me/jannat_al_abbas")</f>
        <v>https://t.me/jannat_al_abbas</v>
      </c>
      <c r="J5492" s="5"/>
      <c r="K5492" s="5"/>
      <c r="L5492" s="5"/>
      <c r="M5492" s="5"/>
      <c r="N5492" s="5"/>
      <c r="O5492" s="5"/>
      <c r="P5492" s="5"/>
      <c r="Q5492" s="5"/>
      <c r="R5492" s="5"/>
      <c r="S5492" s="5"/>
    </row>
    <row r="5493">
      <c r="A5493" s="5">
        <f>IFERROR(__xludf.DUMMYFUNCTION("""COMPUTED_VALUE"""),1640.0)</f>
        <v>1640</v>
      </c>
      <c r="B5493" s="5" t="str">
        <f>IFERROR(__xludf.DUMMYFUNCTION("""COMPUTED_VALUE"""),"هیأت")</f>
        <v>هیأت</v>
      </c>
      <c r="C5493" s="5" t="str">
        <f>IFERROR(__xludf.DUMMYFUNCTION("""COMPUTED_VALUE"""),"عشاق الزهرا(س) (مسجد الزهرا(س)")</f>
        <v>عشاق الزهرا(س) (مسجد الزهرا(س)</v>
      </c>
      <c r="D5493" s="5" t="str">
        <f>IFERROR(__xludf.DUMMYFUNCTION("""COMPUTED_VALUE"""),"اصفهان")</f>
        <v>اصفهان</v>
      </c>
      <c r="E5493" s="5" t="str">
        <f>IFERROR(__xludf.DUMMYFUNCTION("""COMPUTED_VALUE"""),"کاشان")</f>
        <v>کاشان</v>
      </c>
      <c r="F5493" s="5"/>
      <c r="G5493" s="5"/>
      <c r="H5493" s="6" t="str">
        <f>IFERROR(__xludf.DUMMYFUNCTION("""COMPUTED_VALUE"""),"https://www.instagram.com/h_oshaghalzahra_kashan/")</f>
        <v>https://www.instagram.com/h_oshaghalzahra_kashan/</v>
      </c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</row>
    <row r="5494">
      <c r="A5494" s="5">
        <f>IFERROR(__xludf.DUMMYFUNCTION("""COMPUTED_VALUE"""),1660.0)</f>
        <v>1660</v>
      </c>
      <c r="B5494" s="5" t="str">
        <f>IFERROR(__xludf.DUMMYFUNCTION("""COMPUTED_VALUE"""),"مسجد")</f>
        <v>مسجد</v>
      </c>
      <c r="C5494" s="5" t="str">
        <f>IFERROR(__xludf.DUMMYFUNCTION("""COMPUTED_VALUE"""),"حجت(عج)")</f>
        <v>حجت(عج)</v>
      </c>
      <c r="D5494" s="5" t="str">
        <f>IFERROR(__xludf.DUMMYFUNCTION("""COMPUTED_VALUE"""),"اصفهان")</f>
        <v>اصفهان</v>
      </c>
      <c r="E5494" s="5" t="str">
        <f>IFERROR(__xludf.DUMMYFUNCTION("""COMPUTED_VALUE"""),"گلپایگان")</f>
        <v>گلپایگان</v>
      </c>
      <c r="F5494" s="5"/>
      <c r="G5494" s="5"/>
      <c r="H5494" s="5" t="str">
        <f>IFERROR(__xludf.DUMMYFUNCTION("""COMPUTED_VALUE"""),"https://www.instagram.com/hojatol_eslam\")</f>
        <v>https://www.instagram.com/hojatol_eslam\</v>
      </c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</row>
    <row r="5495">
      <c r="A5495" s="5">
        <f>IFERROR(__xludf.DUMMYFUNCTION("""COMPUTED_VALUE"""),1664.0)</f>
        <v>1664</v>
      </c>
      <c r="B5495" s="5" t="str">
        <f>IFERROR(__xludf.DUMMYFUNCTION("""COMPUTED_VALUE"""),"هیأت دانشجویی")</f>
        <v>هیأت دانشجویی</v>
      </c>
      <c r="C5495" s="5" t="str">
        <f>IFERROR(__xludf.DUMMYFUNCTION("""COMPUTED_VALUE"""),"عشاق الولایه")</f>
        <v>عشاق الولایه</v>
      </c>
      <c r="D5495" s="5" t="str">
        <f>IFERROR(__xludf.DUMMYFUNCTION("""COMPUTED_VALUE"""),"اصفهان")</f>
        <v>اصفهان</v>
      </c>
      <c r="E5495" s="5" t="str">
        <f>IFERROR(__xludf.DUMMYFUNCTION("""COMPUTED_VALUE"""),"اصفهان")</f>
        <v>اصفهان</v>
      </c>
      <c r="F5495" s="5"/>
      <c r="G5495" s="5"/>
      <c r="H5495" s="6" t="str">
        <f>IFERROR(__xludf.DUMMYFUNCTION("""COMPUTED_VALUE"""),"https://www.instagram.com/heyatkaums")</f>
        <v>https://www.instagram.com/heyatkaums</v>
      </c>
      <c r="I5495" s="6" t="str">
        <f>IFERROR(__xludf.DUMMYFUNCTION("""COMPUTED_VALUE"""),"https://t.me/oshaqalvelayah_kaums")</f>
        <v>https://t.me/oshaqalvelayah_kaums</v>
      </c>
      <c r="J5495" s="6" t="str">
        <f>IFERROR(__xludf.DUMMYFUNCTION("""COMPUTED_VALUE"""),"https://eitaa.com/oshaqalvelayah_kaums")</f>
        <v>https://eitaa.com/oshaqalvelayah_kaums</v>
      </c>
      <c r="K5495" s="5"/>
      <c r="L5495" s="5"/>
      <c r="M5495" s="5"/>
      <c r="N5495" s="5"/>
      <c r="O5495" s="5"/>
      <c r="P5495" s="5"/>
      <c r="Q5495" s="5"/>
      <c r="R5495" s="5"/>
      <c r="S5495" s="5"/>
    </row>
    <row r="5496">
      <c r="A5496" s="5">
        <f>IFERROR(__xludf.DUMMYFUNCTION("""COMPUTED_VALUE"""),1665.0)</f>
        <v>1665</v>
      </c>
      <c r="B5496" s="5" t="str">
        <f>IFERROR(__xludf.DUMMYFUNCTION("""COMPUTED_VALUE"""),"هیأت")</f>
        <v>هیأت</v>
      </c>
      <c r="C5496" s="5" t="str">
        <f>IFERROR(__xludf.DUMMYFUNCTION("""COMPUTED_VALUE"""),"عاشقان ثارالله(ع)")</f>
        <v>عاشقان ثارالله(ع)</v>
      </c>
      <c r="D5496" s="5" t="str">
        <f>IFERROR(__xludf.DUMMYFUNCTION("""COMPUTED_VALUE"""),"اصفهان")</f>
        <v>اصفهان</v>
      </c>
      <c r="E5496" s="5" t="str">
        <f>IFERROR(__xludf.DUMMYFUNCTION("""COMPUTED_VALUE"""),"گلپایگان")</f>
        <v>گلپایگان</v>
      </c>
      <c r="F5496" s="5"/>
      <c r="G5496" s="5">
        <f>IFERROR(__xludf.DUMMYFUNCTION("""COMPUTED_VALUE"""),1.0)</f>
        <v>1</v>
      </c>
      <c r="H5496" s="6" t="str">
        <f>IFERROR(__xludf.DUMMYFUNCTION("""COMPUTED_VALUE"""),"https://www.instagram.com/heyat.asheghan.sarallah")</f>
        <v>https://www.instagram.com/heyat.asheghan.sarallah</v>
      </c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</row>
    <row r="5497">
      <c r="A5497" s="5">
        <f>IFERROR(__xludf.DUMMYFUNCTION("""COMPUTED_VALUE"""),1669.0)</f>
        <v>1669</v>
      </c>
      <c r="B5497" s="5" t="str">
        <f>IFERROR(__xludf.DUMMYFUNCTION("""COMPUTED_VALUE"""),"هیأت")</f>
        <v>هیأت</v>
      </c>
      <c r="C5497" s="5" t="str">
        <f>IFERROR(__xludf.DUMMYFUNCTION("""COMPUTED_VALUE"""),"فاطمیون")</f>
        <v>فاطمیون</v>
      </c>
      <c r="D5497" s="5" t="str">
        <f>IFERROR(__xludf.DUMMYFUNCTION("""COMPUTED_VALUE"""),"اصفهان")</f>
        <v>اصفهان</v>
      </c>
      <c r="E5497" s="5" t="str">
        <f>IFERROR(__xludf.DUMMYFUNCTION("""COMPUTED_VALUE"""),"گلپایگان")</f>
        <v>گلپایگان</v>
      </c>
      <c r="F5497" s="5"/>
      <c r="G5497" s="5"/>
      <c r="H5497" s="6" t="str">
        <f>IFERROR(__xludf.DUMMYFUNCTION("""COMPUTED_VALUE"""),"https://www.instagram.com/heyat_fatemiyon81")</f>
        <v>https://www.instagram.com/heyat_fatemiyon81</v>
      </c>
      <c r="I5497" s="5"/>
      <c r="J5497" s="5"/>
      <c r="K5497" s="5"/>
      <c r="L5497" s="5"/>
      <c r="M5497" s="5"/>
      <c r="N5497" s="5"/>
      <c r="O5497" s="5"/>
      <c r="P5497" s="5"/>
      <c r="Q5497" s="5"/>
      <c r="R5497" s="5"/>
      <c r="S5497" s="5"/>
    </row>
    <row r="5498">
      <c r="A5498" s="5">
        <f>IFERROR(__xludf.DUMMYFUNCTION("""COMPUTED_VALUE"""),1671.0)</f>
        <v>1671</v>
      </c>
      <c r="B5498" s="5" t="str">
        <f>IFERROR(__xludf.DUMMYFUNCTION("""COMPUTED_VALUE"""),"هیأت")</f>
        <v>هیأت</v>
      </c>
      <c r="C5498" s="5" t="str">
        <f>IFERROR(__xludf.DUMMYFUNCTION("""COMPUTED_VALUE"""),"موسی بن جعفر(ع)")</f>
        <v>موسی بن جعفر(ع)</v>
      </c>
      <c r="D5498" s="5" t="str">
        <f>IFERROR(__xludf.DUMMYFUNCTION("""COMPUTED_VALUE"""),"اصفهان")</f>
        <v>اصفهان</v>
      </c>
      <c r="E5498" s="5" t="str">
        <f>IFERROR(__xludf.DUMMYFUNCTION("""COMPUTED_VALUE"""),"گلپایگان")</f>
        <v>گلپایگان</v>
      </c>
      <c r="F5498" s="5"/>
      <c r="G5498" s="5"/>
      <c r="H5498" s="6" t="str">
        <f>IFERROR(__xludf.DUMMYFUNCTION("""COMPUTED_VALUE"""),"https://www.instagram.com/h.mosiebnjafar")</f>
        <v>https://www.instagram.com/h.mosiebnjafar</v>
      </c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</row>
    <row r="5499">
      <c r="A5499" s="5">
        <f>IFERROR(__xludf.DUMMYFUNCTION("""COMPUTED_VALUE"""),1674.0)</f>
        <v>1674</v>
      </c>
      <c r="B5499" s="5" t="str">
        <f>IFERROR(__xludf.DUMMYFUNCTION("""COMPUTED_VALUE"""),"هیأت")</f>
        <v>هیأت</v>
      </c>
      <c r="C5499" s="5" t="str">
        <f>IFERROR(__xludf.DUMMYFUNCTION("""COMPUTED_VALUE"""),"محبان الحسین(ع) (خیمه گاه زرنجان)")</f>
        <v>محبان الحسین(ع) (خیمه گاه زرنجان)</v>
      </c>
      <c r="D5499" s="5" t="str">
        <f>IFERROR(__xludf.DUMMYFUNCTION("""COMPUTED_VALUE"""),"اصفهان")</f>
        <v>اصفهان</v>
      </c>
      <c r="E5499" s="5" t="str">
        <f>IFERROR(__xludf.DUMMYFUNCTION("""COMPUTED_VALUE"""),"گلپایگان")</f>
        <v>گلپایگان</v>
      </c>
      <c r="F5499" s="5"/>
      <c r="G5499" s="5"/>
      <c r="H5499" s="6" t="str">
        <f>IFERROR(__xludf.DUMMYFUNCTION("""COMPUTED_VALUE"""),"https://www.instagram.com/kheimegahe_zerenjan")</f>
        <v>https://www.instagram.com/kheimegahe_zerenjan</v>
      </c>
      <c r="I5499" s="5"/>
      <c r="J5499" s="5"/>
      <c r="K5499" s="5"/>
      <c r="L5499" s="5"/>
      <c r="M5499" s="5"/>
      <c r="N5499" s="5"/>
      <c r="O5499" s="5"/>
      <c r="P5499" s="5"/>
      <c r="Q5499" s="5"/>
      <c r="R5499" s="5"/>
      <c r="S5499" s="5"/>
    </row>
    <row r="5500">
      <c r="A5500" s="5">
        <f>IFERROR(__xludf.DUMMYFUNCTION("""COMPUTED_VALUE"""),1676.0)</f>
        <v>1676</v>
      </c>
      <c r="B5500" s="5" t="str">
        <f>IFERROR(__xludf.DUMMYFUNCTION("""COMPUTED_VALUE"""),"هیأت")</f>
        <v>هیأت</v>
      </c>
      <c r="C5500" s="5" t="str">
        <f>IFERROR(__xludf.DUMMYFUNCTION("""COMPUTED_VALUE"""),"عشاق الحسین (ع)")</f>
        <v>عشاق الحسین (ع)</v>
      </c>
      <c r="D5500" s="5" t="str">
        <f>IFERROR(__xludf.DUMMYFUNCTION("""COMPUTED_VALUE"""),"اصفهان")</f>
        <v>اصفهان</v>
      </c>
      <c r="E5500" s="5" t="str">
        <f>IFERROR(__xludf.DUMMYFUNCTION("""COMPUTED_VALUE"""),"گلپایگان")</f>
        <v>گلپایگان</v>
      </c>
      <c r="F5500" s="5"/>
      <c r="G5500" s="5"/>
      <c r="H5500" s="5"/>
      <c r="I5500" s="5"/>
      <c r="J5500" s="6" t="str">
        <f>IFERROR(__xludf.DUMMYFUNCTION("""COMPUTED_VALUE"""),"https://eitaa.com/heiatoshagh")</f>
        <v>https://eitaa.com/heiatoshagh</v>
      </c>
      <c r="K5500" s="5"/>
      <c r="L5500" s="5"/>
      <c r="M5500" s="5"/>
      <c r="N5500" s="5"/>
      <c r="O5500" s="5"/>
      <c r="P5500" s="5"/>
      <c r="Q5500" s="5"/>
      <c r="R5500" s="5"/>
      <c r="S5500" s="5"/>
    </row>
    <row r="5501">
      <c r="A5501" s="5">
        <f>IFERROR(__xludf.DUMMYFUNCTION("""COMPUTED_VALUE"""),1685.0)</f>
        <v>1685</v>
      </c>
      <c r="B5501" s="5" t="str">
        <f>IFERROR(__xludf.DUMMYFUNCTION("""COMPUTED_VALUE"""),"هیأت")</f>
        <v>هیأت</v>
      </c>
      <c r="C5501" s="5" t="str">
        <f>IFERROR(__xludf.DUMMYFUNCTION("""COMPUTED_VALUE"""),"مکتب الشهدا")</f>
        <v>مکتب الشهدا</v>
      </c>
      <c r="D5501" s="5" t="str">
        <f>IFERROR(__xludf.DUMMYFUNCTION("""COMPUTED_VALUE"""),"اصفهان")</f>
        <v>اصفهان</v>
      </c>
      <c r="E5501" s="5" t="str">
        <f>IFERROR(__xludf.DUMMYFUNCTION("""COMPUTED_VALUE"""),"گلپایگان")</f>
        <v>گلپایگان</v>
      </c>
      <c r="F5501" s="5"/>
      <c r="G5501" s="5">
        <f>IFERROR(__xludf.DUMMYFUNCTION("""COMPUTED_VALUE"""),1.0)</f>
        <v>1</v>
      </c>
      <c r="H5501" s="6" t="str">
        <f>IFERROR(__xludf.DUMMYFUNCTION("""COMPUTED_VALUE"""),"https://www.instagram.com/m.shohada.ir")</f>
        <v>https://www.instagram.com/m.shohada.ir</v>
      </c>
      <c r="I5501" s="6" t="str">
        <f>IFERROR(__xludf.DUMMYFUNCTION("""COMPUTED_VALUE"""),"https://t.me/m_shohada_pakdasht")</f>
        <v>https://t.me/m_shohada_pakdasht</v>
      </c>
      <c r="J5501" s="5"/>
      <c r="K5501" s="5"/>
      <c r="L5501" s="5"/>
      <c r="M5501" s="5"/>
      <c r="N5501" s="5"/>
      <c r="O5501" s="5"/>
      <c r="P5501" s="5"/>
      <c r="Q5501" s="5"/>
      <c r="R5501" s="5"/>
      <c r="S5501" s="5"/>
    </row>
    <row r="5502">
      <c r="A5502" s="5">
        <f>IFERROR(__xludf.DUMMYFUNCTION("""COMPUTED_VALUE"""),1686.0)</f>
        <v>1686</v>
      </c>
      <c r="B5502" s="5" t="str">
        <f>IFERROR(__xludf.DUMMYFUNCTION("""COMPUTED_VALUE"""),"هیأت")</f>
        <v>هیأت</v>
      </c>
      <c r="C5502" s="5" t="str">
        <f>IFERROR(__xludf.DUMMYFUNCTION("""COMPUTED_VALUE"""),"جوادالائمه(ع)")</f>
        <v>جوادالائمه(ع)</v>
      </c>
      <c r="D5502" s="5" t="str">
        <f>IFERROR(__xludf.DUMMYFUNCTION("""COMPUTED_VALUE"""),"اصفهان")</f>
        <v>اصفهان</v>
      </c>
      <c r="E5502" s="5" t="str">
        <f>IFERROR(__xludf.DUMMYFUNCTION("""COMPUTED_VALUE"""),"گوگد")</f>
        <v>گوگد</v>
      </c>
      <c r="F5502" s="5"/>
      <c r="G5502" s="5">
        <f>IFERROR(__xludf.DUMMYFUNCTION("""COMPUTED_VALUE"""),1.0)</f>
        <v>1</v>
      </c>
      <c r="H5502" s="6" t="str">
        <f>IFERROR(__xludf.DUMMYFUNCTION("""COMPUTED_VALUE"""),"https://www.instagram.com/beyt.aljavad")</f>
        <v>https://www.instagram.com/beyt.aljavad</v>
      </c>
      <c r="I5502" s="5"/>
      <c r="J5502" s="5"/>
      <c r="K5502" s="5"/>
      <c r="L5502" s="5"/>
      <c r="M5502" s="5"/>
      <c r="N5502" s="5"/>
      <c r="O5502" s="5"/>
      <c r="P5502" s="5"/>
      <c r="Q5502" s="5"/>
      <c r="R5502" s="5"/>
      <c r="S5502" s="5"/>
    </row>
    <row r="5503">
      <c r="A5503" s="5">
        <f>IFERROR(__xludf.DUMMYFUNCTION("""COMPUTED_VALUE"""),1693.0)</f>
        <v>1693</v>
      </c>
      <c r="B5503" s="5" t="str">
        <f>IFERROR(__xludf.DUMMYFUNCTION("""COMPUTED_VALUE"""),"هیأت")</f>
        <v>هیأت</v>
      </c>
      <c r="C5503" s="5" t="str">
        <f>IFERROR(__xludf.DUMMYFUNCTION("""COMPUTED_VALUE"""),"منتظران ظهور")</f>
        <v>منتظران ظهور</v>
      </c>
      <c r="D5503" s="5" t="str">
        <f>IFERROR(__xludf.DUMMYFUNCTION("""COMPUTED_VALUE"""),"اصفهان")</f>
        <v>اصفهان</v>
      </c>
      <c r="E5503" s="5" t="str">
        <f>IFERROR(__xludf.DUMMYFUNCTION("""COMPUTED_VALUE"""),"لنجان")</f>
        <v>لنجان</v>
      </c>
      <c r="F5503" s="5"/>
      <c r="G5503" s="5"/>
      <c r="H5503" s="6" t="str">
        <f>IFERROR(__xludf.DUMMYFUNCTION("""COMPUTED_VALUE"""),"https://www.instagram.com/moontazeran.zohour")</f>
        <v>https://www.instagram.com/moontazeran.zohour</v>
      </c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/>
    </row>
    <row r="5504">
      <c r="A5504" s="5">
        <f>IFERROR(__xludf.DUMMYFUNCTION("""COMPUTED_VALUE"""),1695.0)</f>
        <v>1695</v>
      </c>
      <c r="B5504" s="5" t="str">
        <f>IFERROR(__xludf.DUMMYFUNCTION("""COMPUTED_VALUE"""),"هیأت")</f>
        <v>هیأت</v>
      </c>
      <c r="C5504" s="5" t="str">
        <f>IFERROR(__xludf.DUMMYFUNCTION("""COMPUTED_VALUE"""),"حسینیه حضرت اباالفضل (ع)")</f>
        <v>حسینیه حضرت اباالفضل (ع)</v>
      </c>
      <c r="D5504" s="5" t="str">
        <f>IFERROR(__xludf.DUMMYFUNCTION("""COMPUTED_VALUE"""),"اصفهان")</f>
        <v>اصفهان</v>
      </c>
      <c r="E5504" s="5" t="str">
        <f>IFERROR(__xludf.DUMMYFUNCTION("""COMPUTED_VALUE"""),"مبارکه")</f>
        <v>مبارکه</v>
      </c>
      <c r="F5504" s="5"/>
      <c r="G5504" s="5"/>
      <c r="H5504" s="6" t="str">
        <f>IFERROR(__xludf.DUMMYFUNCTION("""COMPUTED_VALUE"""),"https://www.instagram.com/husseiniyah_prophet_abolfazl_a")</f>
        <v>https://www.instagram.com/husseiniyah_prophet_abolfazl_a</v>
      </c>
      <c r="I5504" s="5"/>
      <c r="J5504" s="5"/>
      <c r="K5504" s="5"/>
      <c r="L5504" s="5"/>
      <c r="M5504" s="5"/>
      <c r="N5504" s="5"/>
      <c r="O5504" s="5"/>
      <c r="P5504" s="5"/>
      <c r="Q5504" s="5"/>
      <c r="R5504" s="5"/>
      <c r="S5504" s="5"/>
    </row>
    <row r="5505">
      <c r="A5505" s="5">
        <f>IFERROR(__xludf.DUMMYFUNCTION("""COMPUTED_VALUE"""),1696.0)</f>
        <v>1696</v>
      </c>
      <c r="B5505" s="5" t="str">
        <f>IFERROR(__xludf.DUMMYFUNCTION("""COMPUTED_VALUE"""),"هیأت")</f>
        <v>هیأت</v>
      </c>
      <c r="C5505" s="5" t="str">
        <f>IFERROR(__xludf.DUMMYFUNCTION("""COMPUTED_VALUE"""),"زهرائیون")</f>
        <v>زهرائیون</v>
      </c>
      <c r="D5505" s="5" t="str">
        <f>IFERROR(__xludf.DUMMYFUNCTION("""COMPUTED_VALUE"""),"اصفهان")</f>
        <v>اصفهان</v>
      </c>
      <c r="E5505" s="5" t="str">
        <f>IFERROR(__xludf.DUMMYFUNCTION("""COMPUTED_VALUE"""),"دهاقان")</f>
        <v>دهاقان</v>
      </c>
      <c r="F5505" s="5"/>
      <c r="G5505" s="5"/>
      <c r="H5505" s="5"/>
      <c r="I5505" s="5"/>
      <c r="J5505" s="6" t="str">
        <f>IFERROR(__xludf.DUMMYFUNCTION("""COMPUTED_VALUE"""),"https://eitaa.com/zahraeioon")</f>
        <v>https://eitaa.com/zahraeioon</v>
      </c>
      <c r="K5505" s="5"/>
      <c r="L5505" s="5"/>
      <c r="M5505" s="5"/>
      <c r="N5505" s="5"/>
      <c r="O5505" s="5"/>
      <c r="P5505" s="5"/>
      <c r="Q5505" s="5"/>
      <c r="R5505" s="5"/>
      <c r="S5505" s="5"/>
    </row>
    <row r="5506">
      <c r="A5506" s="5">
        <f>IFERROR(__xludf.DUMMYFUNCTION("""COMPUTED_VALUE"""),1697.0)</f>
        <v>1697</v>
      </c>
      <c r="B5506" s="5" t="str">
        <f>IFERROR(__xludf.DUMMYFUNCTION("""COMPUTED_VALUE"""),"هیأت")</f>
        <v>هیأت</v>
      </c>
      <c r="C5506" s="5" t="str">
        <f>IFERROR(__xludf.DUMMYFUNCTION("""COMPUTED_VALUE"""),"جان نثاران قمربنی هاشم(ع) ")</f>
        <v>جان نثاران قمربنی هاشم(ع) </v>
      </c>
      <c r="D5506" s="5" t="str">
        <f>IFERROR(__xludf.DUMMYFUNCTION("""COMPUTED_VALUE"""),"اصفهان")</f>
        <v>اصفهان</v>
      </c>
      <c r="E5506" s="5" t="str">
        <f>IFERROR(__xludf.DUMMYFUNCTION("""COMPUTED_VALUE"""),"مبارکه")</f>
        <v>مبارکه</v>
      </c>
      <c r="F5506" s="5"/>
      <c r="G5506" s="5">
        <f>IFERROR(__xludf.DUMMYFUNCTION("""COMPUTED_VALUE"""),1.0)</f>
        <v>1</v>
      </c>
      <c r="H5506" s="6" t="str">
        <f>IFERROR(__xludf.DUMMYFUNCTION("""COMPUTED_VALUE"""),"https://www.instagram.com/reza1369d")</f>
        <v>https://www.instagram.com/reza1369d</v>
      </c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/>
    </row>
    <row r="5507">
      <c r="A5507" s="5">
        <f>IFERROR(__xludf.DUMMYFUNCTION("""COMPUTED_VALUE"""),1700.0)</f>
        <v>1700</v>
      </c>
      <c r="B5507" s="5" t="str">
        <f>IFERROR(__xludf.DUMMYFUNCTION("""COMPUTED_VALUE"""),"هیأت")</f>
        <v>هیأت</v>
      </c>
      <c r="C5507" s="5" t="str">
        <f>IFERROR(__xludf.DUMMYFUNCTION("""COMPUTED_VALUE"""),"ریحانه النبی (س)")</f>
        <v>ریحانه النبی (س)</v>
      </c>
      <c r="D5507" s="5" t="str">
        <f>IFERROR(__xludf.DUMMYFUNCTION("""COMPUTED_VALUE"""),"اصفهان")</f>
        <v>اصفهان</v>
      </c>
      <c r="E5507" s="5" t="str">
        <f>IFERROR(__xludf.DUMMYFUNCTION("""COMPUTED_VALUE"""),"مبارکه")</f>
        <v>مبارکه</v>
      </c>
      <c r="F5507" s="5"/>
      <c r="G5507" s="5">
        <f>IFERROR(__xludf.DUMMYFUNCTION("""COMPUTED_VALUE"""),1.0)</f>
        <v>1</v>
      </c>
      <c r="H5507" s="6" t="str">
        <f>IFERROR(__xludf.DUMMYFUNCTION("""COMPUTED_VALUE"""),"https://www.instagram.com/reyhaneyenabi")</f>
        <v>https://www.instagram.com/reyhaneyenabi</v>
      </c>
      <c r="I5507" s="5"/>
      <c r="J5507" s="5"/>
      <c r="K5507" s="5"/>
      <c r="L5507" s="5"/>
      <c r="M5507" s="5"/>
      <c r="N5507" s="5"/>
      <c r="O5507" s="5"/>
      <c r="P5507" s="5"/>
      <c r="Q5507" s="5"/>
      <c r="R5507" s="5"/>
      <c r="S5507" s="5"/>
    </row>
    <row r="5508">
      <c r="A5508" s="5">
        <f>IFERROR(__xludf.DUMMYFUNCTION("""COMPUTED_VALUE"""),1701.0)</f>
        <v>1701</v>
      </c>
      <c r="B5508" s="5" t="str">
        <f>IFERROR(__xludf.DUMMYFUNCTION("""COMPUTED_VALUE"""),"هیأت")</f>
        <v>هیأت</v>
      </c>
      <c r="C5508" s="5" t="str">
        <f>IFERROR(__xludf.DUMMYFUNCTION("""COMPUTED_VALUE"""),"فارس الحجاز")</f>
        <v>فارس الحجاز</v>
      </c>
      <c r="D5508" s="5" t="str">
        <f>IFERROR(__xludf.DUMMYFUNCTION("""COMPUTED_VALUE"""),"اصفهان")</f>
        <v>اصفهان</v>
      </c>
      <c r="E5508" s="5" t="str">
        <f>IFERROR(__xludf.DUMMYFUNCTION("""COMPUTED_VALUE"""),"مبارکه")</f>
        <v>مبارکه</v>
      </c>
      <c r="F5508" s="5"/>
      <c r="G5508" s="5"/>
      <c r="H5508" s="6" t="str">
        <f>IFERROR(__xludf.DUMMYFUNCTION("""COMPUTED_VALUE"""),"https://www.instagram.com/faresalhejaz.aj")</f>
        <v>https://www.instagram.com/faresalhejaz.aj</v>
      </c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</row>
    <row r="5509">
      <c r="A5509" s="5">
        <f>IFERROR(__xludf.DUMMYFUNCTION("""COMPUTED_VALUE"""),1706.0)</f>
        <v>1706</v>
      </c>
      <c r="B5509" s="5" t="str">
        <f>IFERROR(__xludf.DUMMYFUNCTION("""COMPUTED_VALUE"""),"هیأت")</f>
        <v>هیأت</v>
      </c>
      <c r="C5509" s="5" t="str">
        <f>IFERROR(__xludf.DUMMYFUNCTION("""COMPUTED_VALUE"""),"حضرت ابوالفضل(ع)")</f>
        <v>حضرت ابوالفضل(ع)</v>
      </c>
      <c r="D5509" s="5" t="str">
        <f>IFERROR(__xludf.DUMMYFUNCTION("""COMPUTED_VALUE"""),"اصفهان")</f>
        <v>اصفهان</v>
      </c>
      <c r="E5509" s="5" t="str">
        <f>IFERROR(__xludf.DUMMYFUNCTION("""COMPUTED_VALUE"""),"مبارکه")</f>
        <v>مبارکه</v>
      </c>
      <c r="F5509" s="5"/>
      <c r="G5509" s="5"/>
      <c r="H5509" s="6" t="str">
        <f>IFERROR(__xludf.DUMMYFUNCTION("""COMPUTED_VALUE"""),"https://www.instagram.com/heyat_abolfazl_najafshahr")</f>
        <v>https://www.instagram.com/heyat_abolfazl_najafshahr</v>
      </c>
      <c r="I5509" s="6" t="str">
        <f>IFERROR(__xludf.DUMMYFUNCTION("""COMPUTED_VALUE"""),"https://t.me/abolfazlnajafshahr")</f>
        <v>https://t.me/abolfazlnajafshahr</v>
      </c>
      <c r="J5509" s="6" t="str">
        <f>IFERROR(__xludf.DUMMYFUNCTION("""COMPUTED_VALUE"""),"https://eitaa.com/alamdareh_hosein")</f>
        <v>https://eitaa.com/alamdareh_hosein</v>
      </c>
      <c r="K5509" s="5"/>
      <c r="L5509" s="5"/>
      <c r="M5509" s="5"/>
      <c r="N5509" s="5"/>
      <c r="O5509" s="5"/>
      <c r="P5509" s="5"/>
      <c r="Q5509" s="5"/>
      <c r="R5509" s="5"/>
      <c r="S5509" s="5"/>
    </row>
    <row r="5510">
      <c r="A5510" s="5">
        <f>IFERROR(__xludf.DUMMYFUNCTION("""COMPUTED_VALUE"""),1708.0)</f>
        <v>1708</v>
      </c>
      <c r="B5510" s="5" t="str">
        <f>IFERROR(__xludf.DUMMYFUNCTION("""COMPUTED_VALUE"""),"هیأت")</f>
        <v>هیأت</v>
      </c>
      <c r="C5510" s="5" t="str">
        <f>IFERROR(__xludf.DUMMYFUNCTION("""COMPUTED_VALUE"""),"حضرت ابوالفضل(ع)")</f>
        <v>حضرت ابوالفضل(ع)</v>
      </c>
      <c r="D5510" s="5" t="str">
        <f>IFERROR(__xludf.DUMMYFUNCTION("""COMPUTED_VALUE"""),"اصفهان")</f>
        <v>اصفهان</v>
      </c>
      <c r="E5510" s="5" t="str">
        <f>IFERROR(__xludf.DUMMYFUNCTION("""COMPUTED_VALUE"""),"مبارکه")</f>
        <v>مبارکه</v>
      </c>
      <c r="F5510" s="5"/>
      <c r="G5510" s="5"/>
      <c r="H5510" s="6" t="str">
        <f>IFERROR(__xludf.DUMMYFUNCTION("""COMPUTED_VALUE"""),"https://www.instagram.com/heyat_hazrat_aboalfazl")</f>
        <v>https://www.instagram.com/heyat_hazrat_aboalfazl</v>
      </c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</row>
    <row r="5511">
      <c r="A5511" s="5">
        <f>IFERROR(__xludf.DUMMYFUNCTION("""COMPUTED_VALUE"""),1710.0)</f>
        <v>1710</v>
      </c>
      <c r="B5511" s="5" t="str">
        <f>IFERROR(__xludf.DUMMYFUNCTION("""COMPUTED_VALUE"""),"هیأت")</f>
        <v>هیأت</v>
      </c>
      <c r="C5511" s="5" t="str">
        <f>IFERROR(__xludf.DUMMYFUNCTION("""COMPUTED_VALUE"""),"حضرت قاسم(ع) زیر نظر کانون مکتب الصادق(ع)")</f>
        <v>حضرت قاسم(ع) زیر نظر کانون مکتب الصادق(ع)</v>
      </c>
      <c r="D5511" s="5" t="str">
        <f>IFERROR(__xludf.DUMMYFUNCTION("""COMPUTED_VALUE"""),"اصفهان")</f>
        <v>اصفهان</v>
      </c>
      <c r="E5511" s="5" t="str">
        <f>IFERROR(__xludf.DUMMYFUNCTION("""COMPUTED_VALUE"""),"اصفهان")</f>
        <v>اصفهان</v>
      </c>
      <c r="F5511" s="5"/>
      <c r="G5511" s="5"/>
      <c r="H5511" s="6" t="str">
        <f>IFERROR(__xludf.DUMMYFUNCTION("""COMPUTED_VALUE"""),"https://www.instagram.com/ghasem_ebnlhasan/")</f>
        <v>https://www.instagram.com/ghasem_ebnlhasan/</v>
      </c>
      <c r="I5511" s="5"/>
      <c r="J5511" s="6" t="str">
        <f>IFERROR(__xludf.DUMMYFUNCTION("""COMPUTED_VALUE"""),"https://eitaa.com/ghasemebnelhasandastgerd")</f>
        <v>https://eitaa.com/ghasemebnelhasandastgerd</v>
      </c>
      <c r="K5511" s="5"/>
      <c r="L5511" s="5"/>
      <c r="M5511" s="5"/>
      <c r="N5511" s="5"/>
      <c r="O5511" s="5"/>
      <c r="P5511" s="5"/>
      <c r="Q5511" s="5"/>
      <c r="R5511" s="5"/>
      <c r="S5511" s="5"/>
    </row>
    <row r="5512">
      <c r="A5512" s="5">
        <f>IFERROR(__xludf.DUMMYFUNCTION("""COMPUTED_VALUE"""),1711.0)</f>
        <v>1711</v>
      </c>
      <c r="B5512" s="5" t="str">
        <f>IFERROR(__xludf.DUMMYFUNCTION("""COMPUTED_VALUE"""),"هیأت")</f>
        <v>هیأت</v>
      </c>
      <c r="C5512" s="5" t="str">
        <f>IFERROR(__xludf.DUMMYFUNCTION("""COMPUTED_VALUE"""),"مسجد جامع")</f>
        <v>مسجد جامع</v>
      </c>
      <c r="D5512" s="5" t="str">
        <f>IFERROR(__xludf.DUMMYFUNCTION("""COMPUTED_VALUE"""),"اصفهان")</f>
        <v>اصفهان</v>
      </c>
      <c r="E5512" s="5" t="str">
        <f>IFERROR(__xludf.DUMMYFUNCTION("""COMPUTED_VALUE"""),"اصفهان")</f>
        <v>اصفهان</v>
      </c>
      <c r="F5512" s="5"/>
      <c r="G5512" s="5"/>
      <c r="H5512" s="5"/>
      <c r="I5512" s="5"/>
      <c r="J5512" s="6" t="str">
        <f>IFERROR(__xludf.DUMMYFUNCTION("""COMPUTED_VALUE"""),"https://eitaa.com/jameh_esf")</f>
        <v>https://eitaa.com/jameh_esf</v>
      </c>
      <c r="K5512" s="5"/>
      <c r="L5512" s="5"/>
      <c r="M5512" s="5"/>
      <c r="N5512" s="5"/>
      <c r="O5512" s="5"/>
      <c r="P5512" s="5"/>
      <c r="Q5512" s="5"/>
      <c r="R5512" s="5"/>
      <c r="S5512" s="5"/>
    </row>
    <row r="5513">
      <c r="A5513" s="5">
        <f>IFERROR(__xludf.DUMMYFUNCTION("""COMPUTED_VALUE"""),1713.0)</f>
        <v>1713</v>
      </c>
      <c r="B5513" s="5" t="str">
        <f>IFERROR(__xludf.DUMMYFUNCTION("""COMPUTED_VALUE"""),"هیأت")</f>
        <v>هیأت</v>
      </c>
      <c r="C5513" s="5" t="str">
        <f>IFERROR(__xludf.DUMMYFUNCTION("""COMPUTED_VALUE"""),"مسجد رسول اکرم(ص)")</f>
        <v>مسجد رسول اکرم(ص)</v>
      </c>
      <c r="D5513" s="5" t="str">
        <f>IFERROR(__xludf.DUMMYFUNCTION("""COMPUTED_VALUE"""),"اصفهان")</f>
        <v>اصفهان</v>
      </c>
      <c r="E5513" s="5" t="str">
        <f>IFERROR(__xludf.DUMMYFUNCTION("""COMPUTED_VALUE"""),"اصفهان")</f>
        <v>اصفهان</v>
      </c>
      <c r="F5513" s="5"/>
      <c r="G5513" s="5"/>
      <c r="H5513" s="5"/>
      <c r="I5513" s="5"/>
      <c r="J5513" s="6" t="str">
        <f>IFERROR(__xludf.DUMMYFUNCTION("""COMPUTED_VALUE"""),"https://eitaa.com/masjed_esf")</f>
        <v>https://eitaa.com/masjed_esf</v>
      </c>
      <c r="K5513" s="5"/>
      <c r="L5513" s="5"/>
      <c r="M5513" s="5"/>
      <c r="N5513" s="5"/>
      <c r="O5513" s="5"/>
      <c r="P5513" s="5"/>
      <c r="Q5513" s="5"/>
      <c r="R5513" s="5"/>
      <c r="S5513" s="5"/>
    </row>
    <row r="5514">
      <c r="A5514" s="5">
        <f>IFERROR(__xludf.DUMMYFUNCTION("""COMPUTED_VALUE"""),1714.0)</f>
        <v>1714</v>
      </c>
      <c r="B5514" s="5" t="str">
        <f>IFERROR(__xludf.DUMMYFUNCTION("""COMPUTED_VALUE"""),"هیأت")</f>
        <v>هیأت</v>
      </c>
      <c r="C5514" s="5" t="str">
        <f>IFERROR(__xludf.DUMMYFUNCTION("""COMPUTED_VALUE"""),"جوانان بین الحرمین")</f>
        <v>جوانان بین الحرمین</v>
      </c>
      <c r="D5514" s="5" t="str">
        <f>IFERROR(__xludf.DUMMYFUNCTION("""COMPUTED_VALUE"""),"اصفهان")</f>
        <v>اصفهان</v>
      </c>
      <c r="E5514" s="5" t="str">
        <f>IFERROR(__xludf.DUMMYFUNCTION("""COMPUTED_VALUE"""),"اصفهان")</f>
        <v>اصفهان</v>
      </c>
      <c r="F5514" s="5"/>
      <c r="G5514" s="5"/>
      <c r="H5514" s="5"/>
      <c r="I5514" s="5"/>
      <c r="J5514" s="6" t="str">
        <f>IFERROR(__xludf.DUMMYFUNCTION("""COMPUTED_VALUE"""),"https://eitaa.com/beynolharameinfarvi")</f>
        <v>https://eitaa.com/beynolharameinfarvi</v>
      </c>
      <c r="K5514" s="5"/>
      <c r="L5514" s="5"/>
      <c r="M5514" s="5"/>
      <c r="N5514" s="5"/>
      <c r="O5514" s="5"/>
      <c r="P5514" s="5"/>
      <c r="Q5514" s="5"/>
      <c r="R5514" s="5"/>
      <c r="S5514" s="5"/>
    </row>
    <row r="5515">
      <c r="A5515" s="5">
        <f>IFERROR(__xludf.DUMMYFUNCTION("""COMPUTED_VALUE"""),1715.0)</f>
        <v>1715</v>
      </c>
      <c r="B5515" s="5" t="str">
        <f>IFERROR(__xludf.DUMMYFUNCTION("""COMPUTED_VALUE"""),"هیأت")</f>
        <v>هیأت</v>
      </c>
      <c r="C5515" s="5" t="str">
        <f>IFERROR(__xludf.DUMMYFUNCTION("""COMPUTED_VALUE"""),"حضرت ابوالفضل(ع)")</f>
        <v>حضرت ابوالفضل(ع)</v>
      </c>
      <c r="D5515" s="5" t="str">
        <f>IFERROR(__xludf.DUMMYFUNCTION("""COMPUTED_VALUE"""),"اصفهان")</f>
        <v>اصفهان</v>
      </c>
      <c r="E5515" s="5" t="str">
        <f>IFERROR(__xludf.DUMMYFUNCTION("""COMPUTED_VALUE"""),"اردستان")</f>
        <v>اردستان</v>
      </c>
      <c r="F5515" s="5"/>
      <c r="G5515" s="5"/>
      <c r="H5515" s="6" t="str">
        <f>IFERROR(__xludf.DUMMYFUNCTION("""COMPUTED_VALUE"""),"https://www.instagram.com/heyat__hazrat__abolfzl_yonart")</f>
        <v>https://www.instagram.com/heyat__hazrat__abolfzl_yonart</v>
      </c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</row>
    <row r="5516">
      <c r="A5516" s="5">
        <f>IFERROR(__xludf.DUMMYFUNCTION("""COMPUTED_VALUE"""),1717.0)</f>
        <v>1717</v>
      </c>
      <c r="B5516" s="5" t="str">
        <f>IFERROR(__xludf.DUMMYFUNCTION("""COMPUTED_VALUE"""),"هیأت")</f>
        <v>هیأت</v>
      </c>
      <c r="C5516" s="5" t="str">
        <f>IFERROR(__xludf.DUMMYFUNCTION("""COMPUTED_VALUE"""),"اداره تبلیغات اسلامی")</f>
        <v>اداره تبلیغات اسلامی</v>
      </c>
      <c r="D5516" s="5" t="str">
        <f>IFERROR(__xludf.DUMMYFUNCTION("""COMPUTED_VALUE"""),"اصفهان")</f>
        <v>اصفهان</v>
      </c>
      <c r="E5516" s="5" t="str">
        <f>IFERROR(__xludf.DUMMYFUNCTION("""COMPUTED_VALUE"""),"اصفهان")</f>
        <v>اصفهان</v>
      </c>
      <c r="F5516" s="5"/>
      <c r="G5516" s="5"/>
      <c r="H5516" s="6" t="str">
        <f>IFERROR(__xludf.DUMMYFUNCTION("""COMPUTED_VALUE"""),"https://www.instagram.com/nehzat_eslami_isfahan")</f>
        <v>https://www.instagram.com/nehzat_eslami_isfahan</v>
      </c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</row>
    <row r="5517">
      <c r="A5517" s="5">
        <f>IFERROR(__xludf.DUMMYFUNCTION("""COMPUTED_VALUE"""),1721.0)</f>
        <v>1721</v>
      </c>
      <c r="B5517" s="5" t="str">
        <f>IFERROR(__xludf.DUMMYFUNCTION("""COMPUTED_VALUE"""),"هیأت")</f>
        <v>هیأت</v>
      </c>
      <c r="C5517" s="5" t="str">
        <f>IFERROR(__xludf.DUMMYFUNCTION("""COMPUTED_VALUE"""),"جوانان ثارالله(ع)")</f>
        <v>جوانان ثارالله(ع)</v>
      </c>
      <c r="D5517" s="5" t="str">
        <f>IFERROR(__xludf.DUMMYFUNCTION("""COMPUTED_VALUE"""),"اصفهان")</f>
        <v>اصفهان</v>
      </c>
      <c r="E5517" s="5" t="str">
        <f>IFERROR(__xludf.DUMMYFUNCTION("""COMPUTED_VALUE"""),"اصفهان")</f>
        <v>اصفهان</v>
      </c>
      <c r="F5517" s="5"/>
      <c r="G5517" s="5"/>
      <c r="H5517" s="6" t="str">
        <f>IFERROR(__xludf.DUMMYFUNCTION("""COMPUTED_VALUE"""),"https://www.instagram.com/javanan.saralah")</f>
        <v>https://www.instagram.com/javanan.saralah</v>
      </c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</row>
    <row r="5518">
      <c r="A5518" s="5">
        <f>IFERROR(__xludf.DUMMYFUNCTION("""COMPUTED_VALUE"""),1723.0)</f>
        <v>1723</v>
      </c>
      <c r="B5518" s="5" t="str">
        <f>IFERROR(__xludf.DUMMYFUNCTION("""COMPUTED_VALUE"""),"هیأت")</f>
        <v>هیأت</v>
      </c>
      <c r="C5518" s="5" t="str">
        <f>IFERROR(__xludf.DUMMYFUNCTION("""COMPUTED_VALUE"""),"حیدری میدان بالای محمدیه")</f>
        <v>حیدری میدان بالای محمدیه</v>
      </c>
      <c r="D5518" s="5" t="str">
        <f>IFERROR(__xludf.DUMMYFUNCTION("""COMPUTED_VALUE"""),"اصفهان")</f>
        <v>اصفهان</v>
      </c>
      <c r="E5518" s="5" t="str">
        <f>IFERROR(__xludf.DUMMYFUNCTION("""COMPUTED_VALUE"""),"اصفهان")</f>
        <v>اصفهان</v>
      </c>
      <c r="F5518" s="5"/>
      <c r="G5518" s="5"/>
      <c r="H5518" s="6" t="str">
        <f>IFERROR(__xludf.DUMMYFUNCTION("""COMPUTED_VALUE"""),"https://www.instagram.com/heyat_heydari_meydanbala")</f>
        <v>https://www.instagram.com/heyat_heydari_meydanbala</v>
      </c>
      <c r="I5518" s="5"/>
      <c r="J5518" s="5"/>
      <c r="K5518" s="5"/>
      <c r="L5518" s="5"/>
      <c r="M5518" s="5"/>
      <c r="N5518" s="5"/>
      <c r="O5518" s="5"/>
      <c r="P5518" s="5"/>
      <c r="Q5518" s="5"/>
      <c r="R5518" s="5"/>
      <c r="S5518" s="5"/>
    </row>
    <row r="5519">
      <c r="A5519" s="5">
        <f>IFERROR(__xludf.DUMMYFUNCTION("""COMPUTED_VALUE"""),1724.0)</f>
        <v>1724</v>
      </c>
      <c r="B5519" s="5" t="str">
        <f>IFERROR(__xludf.DUMMYFUNCTION("""COMPUTED_VALUE"""),"هیأت")</f>
        <v>هیأت</v>
      </c>
      <c r="C5519" s="5" t="str">
        <f>IFERROR(__xludf.DUMMYFUNCTION("""COMPUTED_VALUE"""),"مسجد حضرت سجاد(ع)")</f>
        <v>مسجد حضرت سجاد(ع)</v>
      </c>
      <c r="D5519" s="5" t="str">
        <f>IFERROR(__xludf.DUMMYFUNCTION("""COMPUTED_VALUE"""),"اصفهان")</f>
        <v>اصفهان</v>
      </c>
      <c r="E5519" s="5" t="str">
        <f>IFERROR(__xludf.DUMMYFUNCTION("""COMPUTED_VALUE"""),"اصفهان")</f>
        <v>اصفهان</v>
      </c>
      <c r="F5519" s="5"/>
      <c r="G5519" s="5"/>
      <c r="H5519" s="6" t="str">
        <f>IFERROR(__xludf.DUMMYFUNCTION("""COMPUTED_VALUE"""),"https://www.instagram.com/masjedesajad")</f>
        <v>https://www.instagram.com/masjedesajad</v>
      </c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</row>
    <row r="5520">
      <c r="A5520" s="5">
        <f>IFERROR(__xludf.DUMMYFUNCTION("""COMPUTED_VALUE"""),1727.0)</f>
        <v>1727</v>
      </c>
      <c r="B5520" s="5" t="str">
        <f>IFERROR(__xludf.DUMMYFUNCTION("""COMPUTED_VALUE"""),"هیأت")</f>
        <v>هیأت</v>
      </c>
      <c r="C5520" s="5" t="str">
        <f>IFERROR(__xludf.DUMMYFUNCTION("""COMPUTED_VALUE"""),"قمربنی هاشم (ع) / خاتم الاوصیا (عج)")</f>
        <v>قمربنی هاشم (ع) / خاتم الاوصیا (عج)</v>
      </c>
      <c r="D5520" s="5" t="str">
        <f>IFERROR(__xludf.DUMMYFUNCTION("""COMPUTED_VALUE"""),"اصفهان")</f>
        <v>اصفهان</v>
      </c>
      <c r="E5520" s="5" t="str">
        <f>IFERROR(__xludf.DUMMYFUNCTION("""COMPUTED_VALUE"""),"نائین")</f>
        <v>نائین</v>
      </c>
      <c r="F5520" s="5"/>
      <c r="G5520" s="5">
        <f>IFERROR(__xludf.DUMMYFUNCTION("""COMPUTED_VALUE"""),1.0)</f>
        <v>1</v>
      </c>
      <c r="H5520" s="6" t="str">
        <f>IFERROR(__xludf.DUMMYFUNCTION("""COMPUTED_VALUE"""),"https://www.instagram.com/beytolabass133")</f>
        <v>https://www.instagram.com/beytolabass133</v>
      </c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</row>
    <row r="5521">
      <c r="A5521" s="5">
        <f>IFERROR(__xludf.DUMMYFUNCTION("""COMPUTED_VALUE"""),1728.0)</f>
        <v>1728</v>
      </c>
      <c r="B5521" s="5" t="str">
        <f>IFERROR(__xludf.DUMMYFUNCTION("""COMPUTED_VALUE"""),"هیأت")</f>
        <v>هیأت</v>
      </c>
      <c r="C5521" s="5" t="str">
        <f>IFERROR(__xludf.DUMMYFUNCTION("""COMPUTED_VALUE"""),"مسجد امام سجاد(ع)")</f>
        <v>مسجد امام سجاد(ع)</v>
      </c>
      <c r="D5521" s="5" t="str">
        <f>IFERROR(__xludf.DUMMYFUNCTION("""COMPUTED_VALUE"""),"اصفهان")</f>
        <v>اصفهان</v>
      </c>
      <c r="E5521" s="5" t="str">
        <f>IFERROR(__xludf.DUMMYFUNCTION("""COMPUTED_VALUE"""),"نائین")</f>
        <v>نائین</v>
      </c>
      <c r="F5521" s="5"/>
      <c r="G5521" s="5"/>
      <c r="H5521" s="5"/>
      <c r="I5521" s="6" t="str">
        <f>IFERROR(__xludf.DUMMYFUNCTION("""COMPUTED_VALUE"""),"https://t.me/masjedsajadnaein")</f>
        <v>https://t.me/masjedsajadnaein</v>
      </c>
      <c r="J5521" s="5"/>
      <c r="K5521" s="5"/>
      <c r="L5521" s="5"/>
      <c r="M5521" s="5"/>
      <c r="N5521" s="5"/>
      <c r="O5521" s="5"/>
      <c r="P5521" s="5"/>
      <c r="Q5521" s="5"/>
      <c r="R5521" s="5"/>
      <c r="S5521" s="5"/>
    </row>
    <row r="5522">
      <c r="A5522" s="5">
        <f>IFERROR(__xludf.DUMMYFUNCTION("""COMPUTED_VALUE"""),1730.0)</f>
        <v>1730</v>
      </c>
      <c r="B5522" s="5" t="str">
        <f>IFERROR(__xludf.DUMMYFUNCTION("""COMPUTED_VALUE"""),"هیأت")</f>
        <v>هیأت</v>
      </c>
      <c r="C5522" s="5" t="str">
        <f>IFERROR(__xludf.DUMMYFUNCTION("""COMPUTED_VALUE"""),"انصارالحجه (عج)")</f>
        <v>انصارالحجه (عج)</v>
      </c>
      <c r="D5522" s="5" t="str">
        <f>IFERROR(__xludf.DUMMYFUNCTION("""COMPUTED_VALUE"""),"اصفهان")</f>
        <v>اصفهان</v>
      </c>
      <c r="E5522" s="5" t="str">
        <f>IFERROR(__xludf.DUMMYFUNCTION("""COMPUTED_VALUE"""),"نجف آباد ")</f>
        <v>نجف آباد </v>
      </c>
      <c r="F5522" s="5"/>
      <c r="G5522" s="5"/>
      <c r="H5522" s="6" t="str">
        <f>IFERROR(__xludf.DUMMYFUNCTION("""COMPUTED_VALUE"""),"https://www.instagram.com/heyat_ansarolhojah_110")</f>
        <v>https://www.instagram.com/heyat_ansarolhojah_110</v>
      </c>
      <c r="I5522" s="5"/>
      <c r="J5522" s="6" t="str">
        <f>IFERROR(__xludf.DUMMYFUNCTION("""COMPUTED_VALUE"""),"https://eitaa.com/heyat_ansarolhojah_110")</f>
        <v>https://eitaa.com/heyat_ansarolhojah_110</v>
      </c>
      <c r="K5522" s="5"/>
      <c r="L5522" s="5"/>
      <c r="M5522" s="5"/>
      <c r="N5522" s="5"/>
      <c r="O5522" s="5"/>
      <c r="P5522" s="5"/>
      <c r="Q5522" s="5"/>
      <c r="R5522" s="5"/>
      <c r="S5522" s="5"/>
    </row>
    <row r="5523">
      <c r="A5523" s="5">
        <f>IFERROR(__xludf.DUMMYFUNCTION("""COMPUTED_VALUE"""),1734.0)</f>
        <v>1734</v>
      </c>
      <c r="B5523" s="5" t="str">
        <f>IFERROR(__xludf.DUMMYFUNCTION("""COMPUTED_VALUE"""),"هیأت")</f>
        <v>هیأت</v>
      </c>
      <c r="C5523" s="5" t="str">
        <f>IFERROR(__xludf.DUMMYFUNCTION("""COMPUTED_VALUE"""),"ثارالله(ع)")</f>
        <v>ثارالله(ع)</v>
      </c>
      <c r="D5523" s="5" t="str">
        <f>IFERROR(__xludf.DUMMYFUNCTION("""COMPUTED_VALUE"""),"اصفهان")</f>
        <v>اصفهان</v>
      </c>
      <c r="E5523" s="5" t="str">
        <f>IFERROR(__xludf.DUMMYFUNCTION("""COMPUTED_VALUE"""),"نجف آباد ")</f>
        <v>نجف آباد </v>
      </c>
      <c r="F5523" s="5"/>
      <c r="G5523" s="5">
        <f>IFERROR(__xludf.DUMMYFUNCTION("""COMPUTED_VALUE"""),1.0)</f>
        <v>1</v>
      </c>
      <c r="H5523" s="6" t="str">
        <f>IFERROR(__xludf.DUMMYFUNCTION("""COMPUTED_VALUE"""),"https://www.instagram.com/sarallah_njf.ir")</f>
        <v>https://www.instagram.com/sarallah_njf.ir</v>
      </c>
      <c r="I5523" s="5"/>
      <c r="J5523" s="5"/>
      <c r="K5523" s="5"/>
      <c r="L5523" s="5"/>
      <c r="M5523" s="5"/>
      <c r="N5523" s="5"/>
      <c r="O5523" s="5"/>
      <c r="P5523" s="5"/>
      <c r="Q5523" s="5"/>
      <c r="R5523" s="5"/>
      <c r="S5523" s="5"/>
    </row>
    <row r="5524">
      <c r="A5524" s="5">
        <f>IFERROR(__xludf.DUMMYFUNCTION("""COMPUTED_VALUE"""),1736.0)</f>
        <v>1736</v>
      </c>
      <c r="B5524" s="5" t="str">
        <f>IFERROR(__xludf.DUMMYFUNCTION("""COMPUTED_VALUE"""),"هیأت")</f>
        <v>هیأت</v>
      </c>
      <c r="C5524" s="5" t="str">
        <f>IFERROR(__xludf.DUMMYFUNCTION("""COMPUTED_VALUE"""),"مجمع جهانی حضرت علی اصغر(ع)")</f>
        <v>مجمع جهانی حضرت علی اصغر(ع)</v>
      </c>
      <c r="D5524" s="5" t="str">
        <f>IFERROR(__xludf.DUMMYFUNCTION("""COMPUTED_VALUE"""),"اصفهان")</f>
        <v>اصفهان</v>
      </c>
      <c r="E5524" s="5" t="str">
        <f>IFERROR(__xludf.DUMMYFUNCTION("""COMPUTED_VALUE"""),"نجف آباد ")</f>
        <v>نجف آباد </v>
      </c>
      <c r="F5524" s="5"/>
      <c r="G5524" s="5"/>
      <c r="H5524" s="6" t="str">
        <f>IFERROR(__xludf.DUMMYFUNCTION("""COMPUTED_VALUE"""),"https://www.instagram.com/mjaliasghar_njf/")</f>
        <v>https://www.instagram.com/mjaliasghar_njf/</v>
      </c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</row>
    <row r="5525">
      <c r="A5525" s="5">
        <f>IFERROR(__xludf.DUMMYFUNCTION("""COMPUTED_VALUE"""),1738.0)</f>
        <v>1738</v>
      </c>
      <c r="B5525" s="5" t="str">
        <f>IFERROR(__xludf.DUMMYFUNCTION("""COMPUTED_VALUE"""),"هیأت")</f>
        <v>هیأت</v>
      </c>
      <c r="C5525" s="5" t="str">
        <f>IFERROR(__xludf.DUMMYFUNCTION("""COMPUTED_VALUE"""),"رزمندگان اسلام")</f>
        <v>رزمندگان اسلام</v>
      </c>
      <c r="D5525" s="5" t="str">
        <f>IFERROR(__xludf.DUMMYFUNCTION("""COMPUTED_VALUE"""),"اصفهان")</f>
        <v>اصفهان</v>
      </c>
      <c r="E5525" s="5" t="str">
        <f>IFERROR(__xludf.DUMMYFUNCTION("""COMPUTED_VALUE"""),"نجف آباد ")</f>
        <v>نجف آباد </v>
      </c>
      <c r="F5525" s="5"/>
      <c r="G5525" s="5"/>
      <c r="H5525" s="6" t="str">
        <f>IFERROR(__xludf.DUMMYFUNCTION("""COMPUTED_VALUE"""),"https://www.instagram.com/heyat.razmandegan_njf/")</f>
        <v>https://www.instagram.com/heyat.razmandegan_njf/</v>
      </c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</row>
    <row r="5526">
      <c r="A5526" s="5">
        <f>IFERROR(__xludf.DUMMYFUNCTION("""COMPUTED_VALUE"""),1753.0)</f>
        <v>1753</v>
      </c>
      <c r="B5526" s="5" t="str">
        <f>IFERROR(__xludf.DUMMYFUNCTION("""COMPUTED_VALUE"""),"هیأت")</f>
        <v>هیأت</v>
      </c>
      <c r="C5526" s="5" t="str">
        <f>IFERROR(__xludf.DUMMYFUNCTION("""COMPUTED_VALUE"""),"محبان اهل بیت(ع)")</f>
        <v>محبان اهل بیت(ع)</v>
      </c>
      <c r="D5526" s="5" t="str">
        <f>IFERROR(__xludf.DUMMYFUNCTION("""COMPUTED_VALUE"""),"اصفهان")</f>
        <v>اصفهان</v>
      </c>
      <c r="E5526" s="5" t="str">
        <f>IFERROR(__xludf.DUMMYFUNCTION("""COMPUTED_VALUE"""),"نطنز")</f>
        <v>نطنز</v>
      </c>
      <c r="F5526" s="5"/>
      <c r="G5526" s="5"/>
      <c r="H5526" s="6" t="str">
        <f>IFERROR(__xludf.DUMMYFUNCTION("""COMPUTED_VALUE"""),"https://www.instagram.com/mohebbanenatanz")</f>
        <v>https://www.instagram.com/mohebbanenatanz</v>
      </c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</row>
    <row r="5527">
      <c r="A5527" s="5">
        <f>IFERROR(__xludf.DUMMYFUNCTION("""COMPUTED_VALUE"""),1757.0)</f>
        <v>1757</v>
      </c>
      <c r="B5527" s="5" t="str">
        <f>IFERROR(__xludf.DUMMYFUNCTION("""COMPUTED_VALUE"""),"هیأت")</f>
        <v>هیأت</v>
      </c>
      <c r="C5527" s="5" t="str">
        <f>IFERROR(__xludf.DUMMYFUNCTION("""COMPUTED_VALUE"""),"عاشقان ابوالفضل(ع) (مسجد جامع قبا)")</f>
        <v>عاشقان ابوالفضل(ع) (مسجد جامع قبا)</v>
      </c>
      <c r="D5527" s="5" t="str">
        <f>IFERROR(__xludf.DUMMYFUNCTION("""COMPUTED_VALUE"""),"اصفهان")</f>
        <v>اصفهان</v>
      </c>
      <c r="E5527" s="5" t="str">
        <f>IFERROR(__xludf.DUMMYFUNCTION("""COMPUTED_VALUE"""),"اصفهان")</f>
        <v>اصفهان</v>
      </c>
      <c r="F5527" s="5" t="str">
        <f>IFERROR(__xludf.DUMMYFUNCTION("""COMPUTED_VALUE"""),"مسجد جامع قبا")</f>
        <v>مسجد جامع قبا</v>
      </c>
      <c r="G5527" s="5"/>
      <c r="H5527" s="6" t="str">
        <f>IFERROR(__xludf.DUMMYFUNCTION("""COMPUTED_VALUE"""),"https://www.instagram.com/asheghan.abalfazl")</f>
        <v>https://www.instagram.com/asheghan.abalfazl</v>
      </c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</row>
    <row r="5528">
      <c r="A5528" s="5">
        <f>IFERROR(__xludf.DUMMYFUNCTION("""COMPUTED_VALUE"""),1779.0)</f>
        <v>1779</v>
      </c>
      <c r="B5528" s="5" t="str">
        <f>IFERROR(__xludf.DUMMYFUNCTION("""COMPUTED_VALUE"""),"هیأت")</f>
        <v>هیأت</v>
      </c>
      <c r="C5528" s="5" t="str">
        <f>IFERROR(__xludf.DUMMYFUNCTION("""COMPUTED_VALUE"""),"حضرت ابوالفضل(ع)")</f>
        <v>حضرت ابوالفضل(ع)</v>
      </c>
      <c r="D5528" s="5" t="str">
        <f>IFERROR(__xludf.DUMMYFUNCTION("""COMPUTED_VALUE"""),"اصفهان")</f>
        <v>اصفهان</v>
      </c>
      <c r="E5528" s="5" t="str">
        <f>IFERROR(__xludf.DUMMYFUNCTION("""COMPUTED_VALUE"""),"مبارکه ")</f>
        <v>مبارکه </v>
      </c>
      <c r="F5528" s="5"/>
      <c r="G5528" s="5"/>
      <c r="H5528" s="6" t="str">
        <f>IFERROR(__xludf.DUMMYFUNCTION("""COMPUTED_VALUE"""),"https://www.instagram.com/hoseineh_hazrat_abalfazl/")</f>
        <v>https://www.instagram.com/hoseineh_hazrat_abalfazl/</v>
      </c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</row>
    <row r="5529">
      <c r="A5529" s="5">
        <f>IFERROR(__xludf.DUMMYFUNCTION("""COMPUTED_VALUE"""),1784.0)</f>
        <v>1784</v>
      </c>
      <c r="B5529" s="5" t="str">
        <f>IFERROR(__xludf.DUMMYFUNCTION("""COMPUTED_VALUE"""),"هیأت")</f>
        <v>هیأت</v>
      </c>
      <c r="C5529" s="5" t="str">
        <f>IFERROR(__xludf.DUMMYFUNCTION("""COMPUTED_VALUE"""),"رهروان حضرت مهدی (عج)")</f>
        <v>رهروان حضرت مهدی (عج)</v>
      </c>
      <c r="D5529" s="5" t="str">
        <f>IFERROR(__xludf.DUMMYFUNCTION("""COMPUTED_VALUE"""),"اصفهان")</f>
        <v>اصفهان</v>
      </c>
      <c r="E5529" s="5" t="str">
        <f>IFERROR(__xludf.DUMMYFUNCTION("""COMPUTED_VALUE"""),"اصفهان")</f>
        <v>اصفهان</v>
      </c>
      <c r="F5529" s="5"/>
      <c r="G5529" s="5"/>
      <c r="H5529" s="6" t="str">
        <f>IFERROR(__xludf.DUMMYFUNCTION("""COMPUTED_VALUE"""),"https://www.instagram.com/peyrovanemamzaman/")</f>
        <v>https://www.instagram.com/peyrovanemamzaman/</v>
      </c>
      <c r="I5529" s="5"/>
      <c r="J5529" s="5"/>
      <c r="K5529" s="5"/>
      <c r="L5529" s="5"/>
      <c r="M5529" s="5"/>
      <c r="N5529" s="5"/>
      <c r="O5529" s="5"/>
      <c r="P5529" s="5"/>
      <c r="Q5529" s="5"/>
      <c r="R5529" s="5"/>
      <c r="S5529" s="5"/>
    </row>
    <row r="5530">
      <c r="A5530" s="5">
        <f>IFERROR(__xludf.DUMMYFUNCTION("""COMPUTED_VALUE"""),1789.0)</f>
        <v>1789</v>
      </c>
      <c r="B5530" s="5" t="str">
        <f>IFERROR(__xludf.DUMMYFUNCTION("""COMPUTED_VALUE"""),"هیأت")</f>
        <v>هیأت</v>
      </c>
      <c r="C5530" s="5" t="str">
        <f>IFERROR(__xludf.DUMMYFUNCTION("""COMPUTED_VALUE"""),"منتظرالمهدی (عج)")</f>
        <v>منتظرالمهدی (عج)</v>
      </c>
      <c r="D5530" s="5" t="str">
        <f>IFERROR(__xludf.DUMMYFUNCTION("""COMPUTED_VALUE"""),"اصفهان")</f>
        <v>اصفهان</v>
      </c>
      <c r="E5530" s="5" t="str">
        <f>IFERROR(__xludf.DUMMYFUNCTION("""COMPUTED_VALUE"""),"اصفهان")</f>
        <v>اصفهان</v>
      </c>
      <c r="F5530" s="5"/>
      <c r="G5530" s="5"/>
      <c r="H5530" s="6" t="str">
        <f>IFERROR(__xludf.DUMMYFUNCTION("""COMPUTED_VALUE"""),"https://www.instagram.com/h_montazeranemahdi")</f>
        <v>https://www.instagram.com/h_montazeranemahdi</v>
      </c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</row>
    <row r="5531">
      <c r="A5531" s="5">
        <f>IFERROR(__xludf.DUMMYFUNCTION("""COMPUTED_VALUE"""),1790.0)</f>
        <v>1790</v>
      </c>
      <c r="B5531" s="5" t="str">
        <f>IFERROR(__xludf.DUMMYFUNCTION("""COMPUTED_VALUE"""),"هیأت")</f>
        <v>هیأت</v>
      </c>
      <c r="C5531" s="5" t="str">
        <f>IFERROR(__xludf.DUMMYFUNCTION("""COMPUTED_VALUE"""),"جوانان حضرت قاسم بن الحسن (ع)")</f>
        <v>جوانان حضرت قاسم بن الحسن (ع)</v>
      </c>
      <c r="D5531" s="5" t="str">
        <f>IFERROR(__xludf.DUMMYFUNCTION("""COMPUTED_VALUE"""),"اصفهان")</f>
        <v>اصفهان</v>
      </c>
      <c r="E5531" s="5" t="str">
        <f>IFERROR(__xludf.DUMMYFUNCTION("""COMPUTED_VALUE"""),"فریدن")</f>
        <v>فریدن</v>
      </c>
      <c r="F5531" s="5" t="str">
        <f>IFERROR(__xludf.DUMMYFUNCTION("""COMPUTED_VALUE"""),"دامنه")</f>
        <v>دامنه</v>
      </c>
      <c r="G5531" s="5"/>
      <c r="H5531" s="6" t="str">
        <f>IFERROR(__xludf.DUMMYFUNCTION("""COMPUTED_VALUE"""),"https://www.instagram.com/ghasemebnhassan201")</f>
        <v>https://www.instagram.com/ghasemebnhassan201</v>
      </c>
      <c r="I5531" s="6" t="str">
        <f>IFERROR(__xludf.DUMMYFUNCTION("""COMPUTED_VALUE"""),"https://t.me/javanan_ghasm_ebn_al_hasan")</f>
        <v>https://t.me/javanan_ghasm_ebn_al_hasan</v>
      </c>
      <c r="J5531" s="5"/>
      <c r="K5531" s="5"/>
      <c r="L5531" s="5"/>
      <c r="M5531" s="5"/>
      <c r="N5531" s="5"/>
      <c r="O5531" s="5"/>
      <c r="P5531" s="5"/>
      <c r="Q5531" s="5"/>
      <c r="R5531" s="5"/>
      <c r="S5531" s="5"/>
    </row>
    <row r="5532">
      <c r="A5532" s="5">
        <f>IFERROR(__xludf.DUMMYFUNCTION("""COMPUTED_VALUE"""),1792.0)</f>
        <v>1792</v>
      </c>
      <c r="B5532" s="5" t="str">
        <f>IFERROR(__xludf.DUMMYFUNCTION("""COMPUTED_VALUE"""),"هیأت")</f>
        <v>هیأت</v>
      </c>
      <c r="C5532" s="5" t="str">
        <f>IFERROR(__xludf.DUMMYFUNCTION("""COMPUTED_VALUE"""),"جان نثاران حضرت علی اکبر(ع) بیت الاکبر")</f>
        <v>جان نثاران حضرت علی اکبر(ع) بیت الاکبر</v>
      </c>
      <c r="D5532" s="5" t="str">
        <f>IFERROR(__xludf.DUMMYFUNCTION("""COMPUTED_VALUE"""),"اصفهان")</f>
        <v>اصفهان</v>
      </c>
      <c r="E5532" s="5" t="str">
        <f>IFERROR(__xludf.DUMMYFUNCTION("""COMPUTED_VALUE"""),"کاشان")</f>
        <v>کاشان</v>
      </c>
      <c r="F5532" s="5"/>
      <c r="G5532" s="5"/>
      <c r="H5532" s="6" t="str">
        <f>IFERROR(__xludf.DUMMYFUNCTION("""COMPUTED_VALUE"""),"https://www.instagram.com/bit_aliakbar/")</f>
        <v>https://www.instagram.com/bit_aliakbar/</v>
      </c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/>
    </row>
    <row r="5533">
      <c r="A5533" s="5">
        <f>IFERROR(__xludf.DUMMYFUNCTION("""COMPUTED_VALUE"""),1793.0)</f>
        <v>1793</v>
      </c>
      <c r="B5533" s="5" t="str">
        <f>IFERROR(__xludf.DUMMYFUNCTION("""COMPUTED_VALUE"""),"هیأت")</f>
        <v>هیأت</v>
      </c>
      <c r="C5533" s="5" t="str">
        <f>IFERROR(__xludf.DUMMYFUNCTION("""COMPUTED_VALUE"""),"حضرت علی اکبر(ع)")</f>
        <v>حضرت علی اکبر(ع)</v>
      </c>
      <c r="D5533" s="5" t="str">
        <f>IFERROR(__xludf.DUMMYFUNCTION("""COMPUTED_VALUE"""),"اصفهان")</f>
        <v>اصفهان</v>
      </c>
      <c r="E5533" s="5" t="str">
        <f>IFERROR(__xludf.DUMMYFUNCTION("""COMPUTED_VALUE"""),"اصفهان")</f>
        <v>اصفهان</v>
      </c>
      <c r="F5533" s="5"/>
      <c r="G5533" s="5"/>
      <c r="H5533" s="6" t="str">
        <f>IFERROR(__xludf.DUMMYFUNCTION("""COMPUTED_VALUE"""),"https://www.instagram.com/mohebanealiakbar_ir")</f>
        <v>https://www.instagram.com/mohebanealiakbar_ir</v>
      </c>
      <c r="I5533" s="5"/>
      <c r="J5533" s="5"/>
      <c r="K5533" s="5"/>
      <c r="L5533" s="5"/>
      <c r="M5533" s="5"/>
      <c r="N5533" s="5"/>
      <c r="O5533" s="5"/>
      <c r="P5533" s="5"/>
      <c r="Q5533" s="5"/>
      <c r="R5533" s="5"/>
      <c r="S5533" s="5"/>
    </row>
    <row r="5534">
      <c r="A5534" s="5">
        <f>IFERROR(__xludf.DUMMYFUNCTION("""COMPUTED_VALUE"""),1797.0)</f>
        <v>1797</v>
      </c>
      <c r="B5534" s="5" t="str">
        <f>IFERROR(__xludf.DUMMYFUNCTION("""COMPUTED_VALUE"""),"هیأت")</f>
        <v>هیأت</v>
      </c>
      <c r="C5534" s="5" t="str">
        <f>IFERROR(__xludf.DUMMYFUNCTION("""COMPUTED_VALUE"""),"گردان فرهنگی سلمان (دارالولایه)")</f>
        <v>گردان فرهنگی سلمان (دارالولایه)</v>
      </c>
      <c r="D5534" s="5" t="str">
        <f>IFERROR(__xludf.DUMMYFUNCTION("""COMPUTED_VALUE"""),"اصفهان")</f>
        <v>اصفهان</v>
      </c>
      <c r="E5534" s="5" t="str">
        <f>IFERROR(__xludf.DUMMYFUNCTION("""COMPUTED_VALUE"""),"اصفهان")</f>
        <v>اصفهان</v>
      </c>
      <c r="F5534" s="5"/>
      <c r="G5534" s="5"/>
      <c r="H5534" s="6" t="str">
        <f>IFERROR(__xludf.DUMMYFUNCTION("""COMPUTED_VALUE"""),"https://www.instagram.com/darolvelayeh_isf/")</f>
        <v>https://www.instagram.com/darolvelayeh_isf/</v>
      </c>
      <c r="I5534" s="6" t="str">
        <f>IFERROR(__xludf.DUMMYFUNCTION("""COMPUTED_VALUE"""),"https://t.me/darolvelayeh")</f>
        <v>https://t.me/darolvelayeh</v>
      </c>
      <c r="J5534" s="5"/>
      <c r="K5534" s="5"/>
      <c r="L5534" s="5"/>
      <c r="M5534" s="5"/>
      <c r="N5534" s="5"/>
      <c r="O5534" s="5"/>
      <c r="P5534" s="5"/>
      <c r="Q5534" s="5"/>
      <c r="R5534" s="5"/>
      <c r="S5534" s="5"/>
    </row>
    <row r="5535">
      <c r="A5535" s="5">
        <f>IFERROR(__xludf.DUMMYFUNCTION("""COMPUTED_VALUE"""),1798.0)</f>
        <v>1798</v>
      </c>
      <c r="B5535" s="5" t="str">
        <f>IFERROR(__xludf.DUMMYFUNCTION("""COMPUTED_VALUE"""),"هیأت")</f>
        <v>هیأت</v>
      </c>
      <c r="C5535" s="5" t="str">
        <f>IFERROR(__xludf.DUMMYFUNCTION("""COMPUTED_VALUE"""),"محبان اهل بیت (ع)")</f>
        <v>محبان اهل بیت (ع)</v>
      </c>
      <c r="D5535" s="5" t="str">
        <f>IFERROR(__xludf.DUMMYFUNCTION("""COMPUTED_VALUE"""),"اصفهان")</f>
        <v>اصفهان</v>
      </c>
      <c r="E5535" s="5" t="str">
        <f>IFERROR(__xludf.DUMMYFUNCTION("""COMPUTED_VALUE"""),"سمیرم")</f>
        <v>سمیرم</v>
      </c>
      <c r="F5535" s="5"/>
      <c r="G5535" s="5"/>
      <c r="H5535" s="6" t="str">
        <f>IFERROR(__xludf.DUMMYFUNCTION("""COMPUTED_VALUE"""),"https://www.instagram.com/heyatmohebban110/")</f>
        <v>https://www.instagram.com/heyatmohebban110/</v>
      </c>
      <c r="I5535" s="6" t="str">
        <f>IFERROR(__xludf.DUMMYFUNCTION("""COMPUTED_VALUE"""),"https://t.me/heyatmohebban110")</f>
        <v>https://t.me/heyatmohebban110</v>
      </c>
      <c r="J5535" s="6" t="str">
        <f>IFERROR(__xludf.DUMMYFUNCTION("""COMPUTED_VALUE"""),"https://eitaa.com/heyatmohebban110")</f>
        <v>https://eitaa.com/heyatmohebban110</v>
      </c>
      <c r="K5535" s="5"/>
      <c r="L5535" s="5"/>
      <c r="M5535" s="5"/>
      <c r="N5535" s="5"/>
      <c r="O5535" s="5"/>
      <c r="P5535" s="5"/>
      <c r="Q5535" s="5"/>
      <c r="R5535" s="5"/>
      <c r="S5535" s="5"/>
    </row>
    <row r="5536">
      <c r="A5536" s="5">
        <f>IFERROR(__xludf.DUMMYFUNCTION("""COMPUTED_VALUE"""),1800.0)</f>
        <v>1800</v>
      </c>
      <c r="B5536" s="5" t="str">
        <f>IFERROR(__xludf.DUMMYFUNCTION("""COMPUTED_VALUE"""),"هیأت")</f>
        <v>هیأت</v>
      </c>
      <c r="C5536" s="5" t="str">
        <f>IFERROR(__xludf.DUMMYFUNCTION("""COMPUTED_VALUE"""),"حضرت ثارالله(ع)")</f>
        <v>حضرت ثارالله(ع)</v>
      </c>
      <c r="D5536" s="5" t="str">
        <f>IFERROR(__xludf.DUMMYFUNCTION("""COMPUTED_VALUE"""),"اصفهان")</f>
        <v>اصفهان</v>
      </c>
      <c r="E5536" s="5" t="str">
        <f>IFERROR(__xludf.DUMMYFUNCTION("""COMPUTED_VALUE"""),"اصفهان")</f>
        <v>اصفهان</v>
      </c>
      <c r="F5536" s="5"/>
      <c r="G5536" s="5"/>
      <c r="H5536" s="5"/>
      <c r="I5536" s="5"/>
      <c r="J5536" s="6" t="str">
        <f>IFERROR(__xludf.DUMMYFUNCTION("""COMPUTED_VALUE"""),"https://eitaa.com/sarallah_kalemasih")</f>
        <v>https://eitaa.com/sarallah_kalemasih</v>
      </c>
      <c r="K5536" s="5"/>
      <c r="L5536" s="5"/>
      <c r="M5536" s="5"/>
      <c r="N5536" s="5"/>
      <c r="O5536" s="5"/>
      <c r="P5536" s="5"/>
      <c r="Q5536" s="5"/>
      <c r="R5536" s="5"/>
      <c r="S5536" s="5"/>
    </row>
    <row r="5537">
      <c r="A5537" s="5">
        <f>IFERROR(__xludf.DUMMYFUNCTION("""COMPUTED_VALUE"""),1804.0)</f>
        <v>1804</v>
      </c>
      <c r="B5537" s="5" t="str">
        <f>IFERROR(__xludf.DUMMYFUNCTION("""COMPUTED_VALUE"""),"هیأت")</f>
        <v>هیأت</v>
      </c>
      <c r="C5537" s="5" t="str">
        <f>IFERROR(__xludf.DUMMYFUNCTION("""COMPUTED_VALUE"""),"محبین الحسین(ع) (مسجد امام حسین(ع))")</f>
        <v>محبین الحسین(ع) (مسجد امام حسین(ع))</v>
      </c>
      <c r="D5537" s="5" t="str">
        <f>IFERROR(__xludf.DUMMYFUNCTION("""COMPUTED_VALUE"""),"اصفهان")</f>
        <v>اصفهان</v>
      </c>
      <c r="E5537" s="5" t="str">
        <f>IFERROR(__xludf.DUMMYFUNCTION("""COMPUTED_VALUE"""),"اصفهان")</f>
        <v>اصفهان</v>
      </c>
      <c r="F5537" s="5"/>
      <c r="G5537" s="5"/>
      <c r="H5537" s="6" t="str">
        <f>IFERROR(__xludf.DUMMYFUNCTION("""COMPUTED_VALUE"""),"https://www.instagram.com/mohebin_aba_abdellah")</f>
        <v>https://www.instagram.com/mohebin_aba_abdellah</v>
      </c>
      <c r="I5537" s="5"/>
      <c r="J5537" s="5"/>
      <c r="K5537" s="5"/>
      <c r="L5537" s="5"/>
      <c r="M5537" s="5"/>
      <c r="N5537" s="5"/>
      <c r="O5537" s="5"/>
      <c r="P5537" s="5"/>
      <c r="Q5537" s="5"/>
      <c r="R5537" s="5"/>
      <c r="S5537" s="5"/>
    </row>
    <row r="5538">
      <c r="A5538" s="5">
        <f>IFERROR(__xludf.DUMMYFUNCTION("""COMPUTED_VALUE"""),1805.0)</f>
        <v>1805</v>
      </c>
      <c r="B5538" s="5" t="str">
        <f>IFERROR(__xludf.DUMMYFUNCTION("""COMPUTED_VALUE"""),"هیأت")</f>
        <v>هیأت</v>
      </c>
      <c r="C5538" s="5" t="str">
        <f>IFERROR(__xludf.DUMMYFUNCTION("""COMPUTED_VALUE"""),"جوانان محبان الشهدا ")</f>
        <v>جوانان محبان الشهدا </v>
      </c>
      <c r="D5538" s="5" t="str">
        <f>IFERROR(__xludf.DUMMYFUNCTION("""COMPUTED_VALUE"""),"اصفهان")</f>
        <v>اصفهان</v>
      </c>
      <c r="E5538" s="5" t="str">
        <f>IFERROR(__xludf.DUMMYFUNCTION("""COMPUTED_VALUE"""),"زواره")</f>
        <v>زواره</v>
      </c>
      <c r="F5538" s="5"/>
      <c r="G5538" s="5"/>
      <c r="H5538" s="6" t="str">
        <f>IFERROR(__xludf.DUMMYFUNCTION("""COMPUTED_VALUE"""),"https://www.instagram.com/javanan_mohebanshohada")</f>
        <v>https://www.instagram.com/javanan_mohebanshohada</v>
      </c>
      <c r="I5538" s="5"/>
      <c r="J5538" s="5"/>
      <c r="K5538" s="5"/>
      <c r="L5538" s="5"/>
      <c r="M5538" s="5"/>
      <c r="N5538" s="5"/>
      <c r="O5538" s="5"/>
      <c r="P5538" s="5"/>
      <c r="Q5538" s="5"/>
      <c r="R5538" s="5"/>
      <c r="S5538" s="5"/>
    </row>
    <row r="5539">
      <c r="A5539" s="5">
        <f>IFERROR(__xludf.DUMMYFUNCTION("""COMPUTED_VALUE"""),1814.0)</f>
        <v>1814</v>
      </c>
      <c r="B5539" s="5" t="str">
        <f>IFERROR(__xludf.DUMMYFUNCTION("""COMPUTED_VALUE"""),"هیأت")</f>
        <v>هیأت</v>
      </c>
      <c r="C5539" s="5" t="str">
        <f>IFERROR(__xludf.DUMMYFUNCTION("""COMPUTED_VALUE"""),"مجموعه فرهنگی زهرائیان")</f>
        <v>مجموعه فرهنگی زهرائیان</v>
      </c>
      <c r="D5539" s="5" t="str">
        <f>IFERROR(__xludf.DUMMYFUNCTION("""COMPUTED_VALUE"""),"اصفهان")</f>
        <v>اصفهان</v>
      </c>
      <c r="E5539" s="5" t="str">
        <f>IFERROR(__xludf.DUMMYFUNCTION("""COMPUTED_VALUE"""),"شهرضا")</f>
        <v>شهرضا</v>
      </c>
      <c r="F5539" s="5"/>
      <c r="G5539" s="5"/>
      <c r="H5539" s="5"/>
      <c r="I5539" s="5"/>
      <c r="J5539" s="6" t="str">
        <f>IFERROR(__xludf.DUMMYFUNCTION("""COMPUTED_VALUE"""),"https://eitaa.com/zahraeian")</f>
        <v>https://eitaa.com/zahraeian</v>
      </c>
      <c r="K5539" s="5"/>
      <c r="L5539" s="5"/>
      <c r="M5539" s="5"/>
      <c r="N5539" s="5"/>
      <c r="O5539" s="5"/>
      <c r="P5539" s="5"/>
      <c r="Q5539" s="5"/>
      <c r="R5539" s="5"/>
      <c r="S5539" s="5"/>
    </row>
    <row r="5540">
      <c r="A5540" s="5">
        <f>IFERROR(__xludf.DUMMYFUNCTION("""COMPUTED_VALUE"""),1815.0)</f>
        <v>1815</v>
      </c>
      <c r="B5540" s="5" t="str">
        <f>IFERROR(__xludf.DUMMYFUNCTION("""COMPUTED_VALUE"""),"هیأت")</f>
        <v>هیأت</v>
      </c>
      <c r="C5540" s="5" t="str">
        <f>IFERROR(__xludf.DUMMYFUNCTION("""COMPUTED_VALUE"""),"مکتب الرضا(ع)")</f>
        <v>مکتب الرضا(ع)</v>
      </c>
      <c r="D5540" s="5" t="str">
        <f>IFERROR(__xludf.DUMMYFUNCTION("""COMPUTED_VALUE"""),"اصفهان")</f>
        <v>اصفهان</v>
      </c>
      <c r="E5540" s="5" t="str">
        <f>IFERROR(__xludf.DUMMYFUNCTION("""COMPUTED_VALUE"""),"شهرضا")</f>
        <v>شهرضا</v>
      </c>
      <c r="F5540" s="5"/>
      <c r="G5540" s="5"/>
      <c r="H5540" s="6" t="str">
        <f>IFERROR(__xludf.DUMMYFUNCTION("""COMPUTED_VALUE"""),"https://www.instagram.com/maktab_alreza_shahreza")</f>
        <v>https://www.instagram.com/maktab_alreza_shahreza</v>
      </c>
      <c r="I5540" s="5"/>
      <c r="J5540" s="6" t="str">
        <f>IFERROR(__xludf.DUMMYFUNCTION("""COMPUTED_VALUE"""),"https://eitaa.com/maktab_alreza_shahreza")</f>
        <v>https://eitaa.com/maktab_alreza_shahreza</v>
      </c>
      <c r="K5540" s="5"/>
      <c r="L5540" s="5"/>
      <c r="M5540" s="5"/>
      <c r="N5540" s="5"/>
      <c r="O5540" s="5"/>
      <c r="P5540" s="5"/>
      <c r="Q5540" s="5"/>
      <c r="R5540" s="5"/>
      <c r="S5540" s="5"/>
    </row>
    <row r="5541">
      <c r="A5541" s="5">
        <f>IFERROR(__xludf.DUMMYFUNCTION("""COMPUTED_VALUE"""),1822.0)</f>
        <v>1822</v>
      </c>
      <c r="B5541" s="5" t="str">
        <f>IFERROR(__xludf.DUMMYFUNCTION("""COMPUTED_VALUE"""),"هیأت")</f>
        <v>هیأت</v>
      </c>
      <c r="C5541" s="5" t="str">
        <f>IFERROR(__xludf.DUMMYFUNCTION("""COMPUTED_VALUE"""),"عزاداران حسینی (مسجد القدس)")</f>
        <v>عزاداران حسینی (مسجد القدس)</v>
      </c>
      <c r="D5541" s="5" t="str">
        <f>IFERROR(__xludf.DUMMYFUNCTION("""COMPUTED_VALUE"""),"اصفهان")</f>
        <v>اصفهان</v>
      </c>
      <c r="E5541" s="5" t="str">
        <f>IFERROR(__xludf.DUMMYFUNCTION("""COMPUTED_VALUE"""),"اصفهان")</f>
        <v>اصفهان</v>
      </c>
      <c r="F5541" s="5"/>
      <c r="G5541" s="5"/>
      <c r="H5541" s="6" t="str">
        <f>IFERROR(__xludf.DUMMYFUNCTION("""COMPUTED_VALUE"""),"https://www.instagram.com/qods_hoseyni")</f>
        <v>https://www.instagram.com/qods_hoseyni</v>
      </c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</row>
    <row r="5542">
      <c r="A5542" s="5">
        <f>IFERROR(__xludf.DUMMYFUNCTION("""COMPUTED_VALUE"""),1823.0)</f>
        <v>1823</v>
      </c>
      <c r="B5542" s="5" t="str">
        <f>IFERROR(__xludf.DUMMYFUNCTION("""COMPUTED_VALUE"""),"هیأت")</f>
        <v>هیأت</v>
      </c>
      <c r="C5542" s="5" t="str">
        <f>IFERROR(__xludf.DUMMYFUNCTION("""COMPUTED_VALUE"""),"رهروان شهدا (طلاب و دانشجویان عدالت خواه شاهین شهر)")</f>
        <v>رهروان شهدا (طلاب و دانشجویان عدالت خواه شاهین شهر)</v>
      </c>
      <c r="D5542" s="5" t="str">
        <f>IFERROR(__xludf.DUMMYFUNCTION("""COMPUTED_VALUE"""),"اصفهان")</f>
        <v>اصفهان</v>
      </c>
      <c r="E5542" s="5" t="str">
        <f>IFERROR(__xludf.DUMMYFUNCTION("""COMPUTED_VALUE"""),"شاهین شهر")</f>
        <v>شاهین شهر</v>
      </c>
      <c r="F5542" s="5"/>
      <c r="G5542" s="5"/>
      <c r="H5542" s="6" t="str">
        <f>IFERROR(__xludf.DUMMYFUNCTION("""COMPUTED_VALUE"""),"https://www.instagram.com/edalatkhahishahinshahr58")</f>
        <v>https://www.instagram.com/edalatkhahishahinshahr58</v>
      </c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</row>
    <row r="5543">
      <c r="A5543" s="5">
        <f>IFERROR(__xludf.DUMMYFUNCTION("""COMPUTED_VALUE"""),1824.0)</f>
        <v>1824</v>
      </c>
      <c r="B5543" s="5" t="str">
        <f>IFERROR(__xludf.DUMMYFUNCTION("""COMPUTED_VALUE"""),"هیأت")</f>
        <v>هیأت</v>
      </c>
      <c r="C5543" s="5" t="str">
        <f>IFERROR(__xludf.DUMMYFUNCTION("""COMPUTED_VALUE"""),"جوانان ثارالله‏(ع‏)‏")</f>
        <v>جوانان ثارالله‏(ع‏)‏</v>
      </c>
      <c r="D5543" s="5" t="str">
        <f>IFERROR(__xludf.DUMMYFUNCTION("""COMPUTED_VALUE"""),"اصفهان")</f>
        <v>اصفهان</v>
      </c>
      <c r="E5543" s="5" t="str">
        <f>IFERROR(__xludf.DUMMYFUNCTION("""COMPUTED_VALUE"""),"نجف آباد")</f>
        <v>نجف آباد</v>
      </c>
      <c r="F5543" s="5"/>
      <c r="G5543" s="5"/>
      <c r="H5543" s="5"/>
      <c r="I5543" s="5"/>
      <c r="J5543" s="6" t="str">
        <f>IFERROR(__xludf.DUMMYFUNCTION("""COMPUTED_VALUE"""),"https://eitaa.com/h_sarallah_njf")</f>
        <v>https://eitaa.com/h_sarallah_njf</v>
      </c>
      <c r="K5543" s="5"/>
      <c r="L5543" s="5"/>
      <c r="M5543" s="5"/>
      <c r="N5543" s="5"/>
      <c r="O5543" s="5"/>
      <c r="P5543" s="5"/>
      <c r="Q5543" s="5"/>
      <c r="R5543" s="5"/>
      <c r="S5543" s="5"/>
    </row>
    <row r="5544">
      <c r="A5544" s="5">
        <f>IFERROR(__xludf.DUMMYFUNCTION("""COMPUTED_VALUE"""),1825.0)</f>
        <v>1825</v>
      </c>
      <c r="B5544" s="5" t="str">
        <f>IFERROR(__xludf.DUMMYFUNCTION("""COMPUTED_VALUE"""),"هیأت")</f>
        <v>هیأت</v>
      </c>
      <c r="C5544" s="5" t="str">
        <f>IFERROR(__xludf.DUMMYFUNCTION("""COMPUTED_VALUE"""),"دارالقرآن الکریم")</f>
        <v>دارالقرآن الکریم</v>
      </c>
      <c r="D5544" s="5" t="str">
        <f>IFERROR(__xludf.DUMMYFUNCTION("""COMPUTED_VALUE"""),"اصفهان")</f>
        <v>اصفهان</v>
      </c>
      <c r="E5544" s="5" t="str">
        <f>IFERROR(__xludf.DUMMYFUNCTION("""COMPUTED_VALUE"""),"نائین")</f>
        <v>نائین</v>
      </c>
      <c r="F5544" s="5"/>
      <c r="G5544" s="5">
        <f>IFERROR(__xludf.DUMMYFUNCTION("""COMPUTED_VALUE"""),1.0)</f>
        <v>1</v>
      </c>
      <c r="H5544" s="6" t="str">
        <f>IFERROR(__xludf.DUMMYFUNCTION("""COMPUTED_VALUE"""),"https://www.instagram.com/dar_al_quran_esfahan")</f>
        <v>https://www.instagram.com/dar_al_quran_esfahan</v>
      </c>
      <c r="I5544" s="5"/>
      <c r="J5544" s="5"/>
      <c r="K5544" s="5"/>
      <c r="L5544" s="5"/>
      <c r="M5544" s="5"/>
      <c r="N5544" s="5"/>
      <c r="O5544" s="5"/>
      <c r="P5544" s="5"/>
      <c r="Q5544" s="5"/>
      <c r="R5544" s="5"/>
      <c r="S5544" s="5"/>
    </row>
    <row r="5545">
      <c r="A5545" s="5">
        <f>IFERROR(__xludf.DUMMYFUNCTION("""COMPUTED_VALUE"""),1828.0)</f>
        <v>1828</v>
      </c>
      <c r="B5545" s="5" t="str">
        <f>IFERROR(__xludf.DUMMYFUNCTION("""COMPUTED_VALUE"""),"هیأت")</f>
        <v>هیأت</v>
      </c>
      <c r="C5545" s="5" t="str">
        <f>IFERROR(__xludf.DUMMYFUNCTION("""COMPUTED_VALUE"""),"بیت العباس (ع)")</f>
        <v>بیت العباس (ع)</v>
      </c>
      <c r="D5545" s="5" t="str">
        <f>IFERROR(__xludf.DUMMYFUNCTION("""COMPUTED_VALUE"""),"اصفهان")</f>
        <v>اصفهان</v>
      </c>
      <c r="E5545" s="5" t="str">
        <f>IFERROR(__xludf.DUMMYFUNCTION("""COMPUTED_VALUE"""),"شاهین شهر")</f>
        <v>شاهین شهر</v>
      </c>
      <c r="F5545" s="5"/>
      <c r="G5545" s="5"/>
      <c r="H5545" s="6" t="str">
        <f>IFERROR(__xludf.DUMMYFUNCTION("""COMPUTED_VALUE"""),"https://www.instagram.com/heyat_beytolabbas113")</f>
        <v>https://www.instagram.com/heyat_beytolabbas113</v>
      </c>
      <c r="I5545" s="5"/>
      <c r="J5545" s="5"/>
      <c r="K5545" s="5"/>
      <c r="L5545" s="5"/>
      <c r="M5545" s="5"/>
      <c r="N5545" s="5"/>
      <c r="O5545" s="5"/>
      <c r="P5545" s="5"/>
      <c r="Q5545" s="5"/>
      <c r="R5545" s="5"/>
      <c r="S5545" s="5"/>
    </row>
    <row r="5546">
      <c r="A5546" s="5">
        <f>IFERROR(__xludf.DUMMYFUNCTION("""COMPUTED_VALUE"""),1832.0)</f>
        <v>1832</v>
      </c>
      <c r="B5546" s="5" t="str">
        <f>IFERROR(__xludf.DUMMYFUNCTION("""COMPUTED_VALUE"""),"هیأت")</f>
        <v>هیأت</v>
      </c>
      <c r="C5546" s="5" t="str">
        <f>IFERROR(__xludf.DUMMYFUNCTION("""COMPUTED_VALUE"""),"مهدی جان(عج)")</f>
        <v>مهدی جان(عج)</v>
      </c>
      <c r="D5546" s="5" t="str">
        <f>IFERROR(__xludf.DUMMYFUNCTION("""COMPUTED_VALUE"""),"اصفهان")</f>
        <v>اصفهان</v>
      </c>
      <c r="E5546" s="5" t="str">
        <f>IFERROR(__xludf.DUMMYFUNCTION("""COMPUTED_VALUE"""),"خمینی شهر")</f>
        <v>خمینی شهر</v>
      </c>
      <c r="F5546" s="5"/>
      <c r="G5546" s="5"/>
      <c r="H5546" s="6" t="str">
        <f>IFERROR(__xludf.DUMMYFUNCTION("""COMPUTED_VALUE"""),"https://www.instagram.com/ansarolmahdikhomainishahr")</f>
        <v>https://www.instagram.com/ansarolmahdikhomainishahr</v>
      </c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</row>
    <row r="5547">
      <c r="A5547" s="5">
        <f>IFERROR(__xludf.DUMMYFUNCTION("""COMPUTED_VALUE"""),1833.0)</f>
        <v>1833</v>
      </c>
      <c r="B5547" s="5" t="str">
        <f>IFERROR(__xludf.DUMMYFUNCTION("""COMPUTED_VALUE"""),"هیأت")</f>
        <v>هیأت</v>
      </c>
      <c r="C5547" s="5" t="str">
        <f>IFERROR(__xludf.DUMMYFUNCTION("""COMPUTED_VALUE"""),"رضویه")</f>
        <v>رضویه</v>
      </c>
      <c r="D5547" s="5" t="str">
        <f>IFERROR(__xludf.DUMMYFUNCTION("""COMPUTED_VALUE"""),"اصفهان")</f>
        <v>اصفهان</v>
      </c>
      <c r="E5547" s="5" t="str">
        <f>IFERROR(__xludf.DUMMYFUNCTION("""COMPUTED_VALUE"""),"اصفهان")</f>
        <v>اصفهان</v>
      </c>
      <c r="F5547" s="5"/>
      <c r="G5547" s="5"/>
      <c r="H5547" s="6" t="str">
        <f>IFERROR(__xludf.DUMMYFUNCTION("""COMPUTED_VALUE"""),"https://www.instagram.com/heyat_razaviyeh")</f>
        <v>https://www.instagram.com/heyat_razaviyeh</v>
      </c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/>
    </row>
    <row r="5548">
      <c r="A5548" s="5">
        <f>IFERROR(__xludf.DUMMYFUNCTION("""COMPUTED_VALUE"""),1834.0)</f>
        <v>1834</v>
      </c>
      <c r="B5548" s="5" t="str">
        <f>IFERROR(__xludf.DUMMYFUNCTION("""COMPUTED_VALUE"""),"هیأت")</f>
        <v>هیأت</v>
      </c>
      <c r="C5548" s="5" t="str">
        <f>IFERROR(__xludf.DUMMYFUNCTION("""COMPUTED_VALUE"""),"منتظران موعود(عج) (محفل عاشقان ولایت)")</f>
        <v>منتظران موعود(عج) (محفل عاشقان ولایت)</v>
      </c>
      <c r="D5548" s="5" t="str">
        <f>IFERROR(__xludf.DUMMYFUNCTION("""COMPUTED_VALUE"""),"اصفهان")</f>
        <v>اصفهان</v>
      </c>
      <c r="E5548" s="5" t="str">
        <f>IFERROR(__xludf.DUMMYFUNCTION("""COMPUTED_VALUE"""),"اصفهان")</f>
        <v>اصفهان</v>
      </c>
      <c r="F5548" s="5"/>
      <c r="G5548" s="5">
        <f>IFERROR(__xludf.DUMMYFUNCTION("""COMPUTED_VALUE"""),1.0)</f>
        <v>1</v>
      </c>
      <c r="H5548" s="6" t="str">
        <f>IFERROR(__xludf.DUMMYFUNCTION("""COMPUTED_VALUE"""),"https://www.instagram.com/montazeran_mowood")</f>
        <v>https://www.instagram.com/montazeran_mowood</v>
      </c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</row>
    <row r="5549">
      <c r="A5549" s="5">
        <f>IFERROR(__xludf.DUMMYFUNCTION("""COMPUTED_VALUE"""),1835.0)</f>
        <v>1835</v>
      </c>
      <c r="B5549" s="5" t="str">
        <f>IFERROR(__xludf.DUMMYFUNCTION("""COMPUTED_VALUE"""),"هیأت")</f>
        <v>هیأت</v>
      </c>
      <c r="C5549" s="5" t="str">
        <f>IFERROR(__xludf.DUMMYFUNCTION("""COMPUTED_VALUE"""),"دانش آموزی و دانشجویی انصارالمهدی (عج) وابسطه به مرکز فرهنگی شهیدآیت الله مدرس")</f>
        <v>دانش آموزی و دانشجویی انصارالمهدی (عج) وابسطه به مرکز فرهنگی شهیدآیت الله مدرس</v>
      </c>
      <c r="D5549" s="5" t="str">
        <f>IFERROR(__xludf.DUMMYFUNCTION("""COMPUTED_VALUE"""),"اصفهان")</f>
        <v>اصفهان</v>
      </c>
      <c r="E5549" s="5" t="str">
        <f>IFERROR(__xludf.DUMMYFUNCTION("""COMPUTED_VALUE"""),"اصفهان")</f>
        <v>اصفهان</v>
      </c>
      <c r="F5549" s="5"/>
      <c r="G5549" s="5"/>
      <c r="H5549" s="5"/>
      <c r="I5549" s="5"/>
      <c r="J5549" s="6" t="str">
        <f>IFERROR(__xludf.DUMMYFUNCTION("""COMPUTED_VALUE"""),"https://eitaa.com/etehadie_esf")</f>
        <v>https://eitaa.com/etehadie_esf</v>
      </c>
      <c r="K5549" s="5"/>
      <c r="L5549" s="5"/>
      <c r="M5549" s="5"/>
      <c r="N5549" s="5"/>
      <c r="O5549" s="5"/>
      <c r="P5549" s="5"/>
      <c r="Q5549" s="5"/>
      <c r="R5549" s="5"/>
      <c r="S5549" s="5"/>
    </row>
    <row r="5550">
      <c r="A5550" s="5">
        <f>IFERROR(__xludf.DUMMYFUNCTION("""COMPUTED_VALUE"""),1836.0)</f>
        <v>1836</v>
      </c>
      <c r="B5550" s="5" t="str">
        <f>IFERROR(__xludf.DUMMYFUNCTION("""COMPUTED_VALUE"""),"هیأت")</f>
        <v>هیأت</v>
      </c>
      <c r="C5550" s="5" t="str">
        <f>IFERROR(__xludf.DUMMYFUNCTION("""COMPUTED_VALUE"""),"امام حسین(ع) / ملاحیدر")</f>
        <v>امام حسین(ع) / ملاحیدر</v>
      </c>
      <c r="D5550" s="5" t="str">
        <f>IFERROR(__xludf.DUMMYFUNCTION("""COMPUTED_VALUE"""),"اصفهان")</f>
        <v>اصفهان</v>
      </c>
      <c r="E5550" s="5" t="str">
        <f>IFERROR(__xludf.DUMMYFUNCTION("""COMPUTED_VALUE"""),"خمینی شهر")</f>
        <v>خمینی شهر</v>
      </c>
      <c r="F5550" s="5"/>
      <c r="G5550" s="5">
        <f>IFERROR(__xludf.DUMMYFUNCTION("""COMPUTED_VALUE"""),1.0)</f>
        <v>1</v>
      </c>
      <c r="H5550" s="6" t="str">
        <f>IFERROR(__xludf.DUMMYFUNCTION("""COMPUTED_VALUE"""),"https://www.instagram.com/nava._.128")</f>
        <v>https://www.instagram.com/nava._.128</v>
      </c>
      <c r="I5550" s="5"/>
      <c r="J5550" s="5"/>
      <c r="K5550" s="5"/>
      <c r="L5550" s="5"/>
      <c r="M5550" s="5"/>
      <c r="N5550" s="5"/>
      <c r="O5550" s="5"/>
      <c r="P5550" s="5"/>
      <c r="Q5550" s="5"/>
      <c r="R5550" s="5"/>
      <c r="S5550" s="5"/>
    </row>
    <row r="5551">
      <c r="A5551" s="5">
        <f>IFERROR(__xludf.DUMMYFUNCTION("""COMPUTED_VALUE"""),1841.0)</f>
        <v>1841</v>
      </c>
      <c r="B5551" s="5" t="str">
        <f>IFERROR(__xludf.DUMMYFUNCTION("""COMPUTED_VALUE"""),"هیأت")</f>
        <v>هیأت</v>
      </c>
      <c r="C5551" s="5" t="str">
        <f>IFERROR(__xludf.DUMMYFUNCTION("""COMPUTED_VALUE"""),"محفل فرهنگی موعود / محفل فرهنگی نورباران (بسیجیان مسجد نورباران)")</f>
        <v>محفل فرهنگی موعود / محفل فرهنگی نورباران (بسیجیان مسجد نورباران)</v>
      </c>
      <c r="D5551" s="5" t="str">
        <f>IFERROR(__xludf.DUMMYFUNCTION("""COMPUTED_VALUE"""),"اصفهان")</f>
        <v>اصفهان</v>
      </c>
      <c r="E5551" s="5" t="str">
        <f>IFERROR(__xludf.DUMMYFUNCTION("""COMPUTED_VALUE"""),"اصفهان")</f>
        <v>اصفهان</v>
      </c>
      <c r="F5551" s="5"/>
      <c r="G5551" s="5"/>
      <c r="H5551" s="5"/>
      <c r="I5551" s="5"/>
      <c r="J5551" s="6" t="str">
        <f>IFERROR(__xludf.DUMMYFUNCTION("""COMPUTED_VALUE"""),"https://eitaa.com/mouood")</f>
        <v>https://eitaa.com/mouood</v>
      </c>
      <c r="K5551" s="5"/>
      <c r="L5551" s="5"/>
      <c r="M5551" s="5"/>
      <c r="N5551" s="5"/>
      <c r="O5551" s="5"/>
      <c r="P5551" s="5"/>
      <c r="Q5551" s="5"/>
      <c r="R5551" s="5"/>
      <c r="S5551" s="5"/>
    </row>
    <row r="5552">
      <c r="A5552" s="5">
        <f>IFERROR(__xludf.DUMMYFUNCTION("""COMPUTED_VALUE"""),1842.0)</f>
        <v>1842</v>
      </c>
      <c r="B5552" s="5" t="str">
        <f>IFERROR(__xludf.DUMMYFUNCTION("""COMPUTED_VALUE"""),"هیأت")</f>
        <v>هیأت</v>
      </c>
      <c r="C5552" s="5" t="str">
        <f>IFERROR(__xludf.DUMMYFUNCTION("""COMPUTED_VALUE"""),"الشهدا")</f>
        <v>الشهدا</v>
      </c>
      <c r="D5552" s="5" t="str">
        <f>IFERROR(__xludf.DUMMYFUNCTION("""COMPUTED_VALUE"""),"اصفهان")</f>
        <v>اصفهان</v>
      </c>
      <c r="E5552" s="5" t="str">
        <f>IFERROR(__xludf.DUMMYFUNCTION("""COMPUTED_VALUE"""),"کاشان")</f>
        <v>کاشان</v>
      </c>
      <c r="F5552" s="5"/>
      <c r="G5552" s="5"/>
      <c r="H5552" s="6" t="str">
        <f>IFERROR(__xludf.DUMMYFUNCTION("""COMPUTED_VALUE"""),"https://www.instagram.com/heyat_oshohada/")</f>
        <v>https://www.instagram.com/heyat_oshohada/</v>
      </c>
      <c r="I5552" s="5"/>
      <c r="J5552" s="5"/>
      <c r="K5552" s="5"/>
      <c r="L5552" s="5"/>
      <c r="M5552" s="5"/>
      <c r="N5552" s="5"/>
      <c r="O5552" s="5"/>
      <c r="P5552" s="5"/>
      <c r="Q5552" s="5"/>
      <c r="R5552" s="5"/>
      <c r="S5552" s="5"/>
    </row>
    <row r="5553">
      <c r="A5553" s="5">
        <f>IFERROR(__xludf.DUMMYFUNCTION("""COMPUTED_VALUE"""),1843.0)</f>
        <v>1843</v>
      </c>
      <c r="B5553" s="5" t="str">
        <f>IFERROR(__xludf.DUMMYFUNCTION("""COMPUTED_VALUE"""),"هیأت")</f>
        <v>هیأت</v>
      </c>
      <c r="C5553" s="5" t="str">
        <f>IFERROR(__xludf.DUMMYFUNCTION("""COMPUTED_VALUE"""),"انصارالمهدی (عج)")</f>
        <v>انصارالمهدی (عج)</v>
      </c>
      <c r="D5553" s="5" t="str">
        <f>IFERROR(__xludf.DUMMYFUNCTION("""COMPUTED_VALUE"""),"اصفهان")</f>
        <v>اصفهان</v>
      </c>
      <c r="E5553" s="5" t="str">
        <f>IFERROR(__xludf.DUMMYFUNCTION("""COMPUTED_VALUE"""),"گلپایگان")</f>
        <v>گلپایگان</v>
      </c>
      <c r="F5553" s="5"/>
      <c r="G5553" s="5"/>
      <c r="H5553" s="6" t="str">
        <f>IFERROR(__xludf.DUMMYFUNCTION("""COMPUTED_VALUE"""),"https://www.instagram.com/ansaar_ir")</f>
        <v>https://www.instagram.com/ansaar_ir</v>
      </c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</row>
    <row r="5554">
      <c r="A5554" s="5">
        <f>IFERROR(__xludf.DUMMYFUNCTION("""COMPUTED_VALUE"""),1844.0)</f>
        <v>1844</v>
      </c>
      <c r="B5554" s="5" t="str">
        <f>IFERROR(__xludf.DUMMYFUNCTION("""COMPUTED_VALUE"""),"هیأت")</f>
        <v>هیأت</v>
      </c>
      <c r="C5554" s="5" t="str">
        <f>IFERROR(__xludf.DUMMYFUNCTION("""COMPUTED_VALUE"""),"منتظران موعود (عج)")</f>
        <v>منتظران موعود (عج)</v>
      </c>
      <c r="D5554" s="5" t="str">
        <f>IFERROR(__xludf.DUMMYFUNCTION("""COMPUTED_VALUE"""),"اصفهان")</f>
        <v>اصفهان</v>
      </c>
      <c r="E5554" s="5" t="str">
        <f>IFERROR(__xludf.DUMMYFUNCTION("""COMPUTED_VALUE"""),"فلاورجان")</f>
        <v>فلاورجان</v>
      </c>
      <c r="F5554" s="5"/>
      <c r="G5554" s="5"/>
      <c r="H5554" s="6" t="str">
        <f>IFERROR(__xludf.DUMMYFUNCTION("""COMPUTED_VALUE"""),"https://www.instagram.com/montazeranmouod128")</f>
        <v>https://www.instagram.com/montazeranmouod128</v>
      </c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</row>
    <row r="5555">
      <c r="A5555" s="5">
        <f>IFERROR(__xludf.DUMMYFUNCTION("""COMPUTED_VALUE"""),1845.0)</f>
        <v>1845</v>
      </c>
      <c r="B5555" s="5" t="str">
        <f>IFERROR(__xludf.DUMMYFUNCTION("""COMPUTED_VALUE"""),"هیأت")</f>
        <v>هیأت</v>
      </c>
      <c r="C5555" s="5" t="str">
        <f>IFERROR(__xludf.DUMMYFUNCTION("""COMPUTED_VALUE"""),"هیات الرضا (ع)")</f>
        <v>هیات الرضا (ع)</v>
      </c>
      <c r="D5555" s="5" t="str">
        <f>IFERROR(__xludf.DUMMYFUNCTION("""COMPUTED_VALUE"""),"اصفهان")</f>
        <v>اصفهان</v>
      </c>
      <c r="E5555" s="5" t="str">
        <f>IFERROR(__xludf.DUMMYFUNCTION("""COMPUTED_VALUE"""),"اصفهان")</f>
        <v>اصفهان</v>
      </c>
      <c r="F5555" s="5"/>
      <c r="G5555" s="5"/>
      <c r="H5555" s="6" t="str">
        <f>IFERROR(__xludf.DUMMYFUNCTION("""COMPUTED_VALUE"""),"https://www.instagram.com/heyatoreza_isf")</f>
        <v>https://www.instagram.com/heyatoreza_isf</v>
      </c>
      <c r="I5555" s="6" t="str">
        <f>IFERROR(__xludf.DUMMYFUNCTION("""COMPUTED_VALUE"""),"https://t.me/heyatoreza_isf")</f>
        <v>https://t.me/heyatoreza_isf</v>
      </c>
      <c r="J5555" s="6" t="str">
        <f>IFERROR(__xludf.DUMMYFUNCTION("""COMPUTED_VALUE"""),"https://eitaa.com/heyatoreza_isf")</f>
        <v>https://eitaa.com/heyatoreza_isf</v>
      </c>
      <c r="K5555" s="5"/>
      <c r="L5555" s="5"/>
      <c r="M5555" s="5"/>
      <c r="N5555" s="5"/>
      <c r="O5555" s="5"/>
      <c r="P5555" s="5"/>
      <c r="Q5555" s="5"/>
      <c r="R5555" s="5"/>
      <c r="S5555" s="5"/>
    </row>
    <row r="5556">
      <c r="A5556" s="5">
        <f>IFERROR(__xludf.DUMMYFUNCTION("""COMPUTED_VALUE"""),1847.0)</f>
        <v>1847</v>
      </c>
      <c r="B5556" s="5" t="str">
        <f>IFERROR(__xludf.DUMMYFUNCTION("""COMPUTED_VALUE"""),"هیأت")</f>
        <v>هیأت</v>
      </c>
      <c r="C5556" s="5" t="str">
        <f>IFERROR(__xludf.DUMMYFUNCTION("""COMPUTED_VALUE"""),"مکتب الرضا(ع)")</f>
        <v>مکتب الرضا(ع)</v>
      </c>
      <c r="D5556" s="5" t="str">
        <f>IFERROR(__xludf.DUMMYFUNCTION("""COMPUTED_VALUE"""),"اصفهان")</f>
        <v>اصفهان</v>
      </c>
      <c r="E5556" s="5" t="str">
        <f>IFERROR(__xludf.DUMMYFUNCTION("""COMPUTED_VALUE"""),"اصفهان")</f>
        <v>اصفهان</v>
      </c>
      <c r="F5556" s="5"/>
      <c r="G5556" s="5">
        <f>IFERROR(__xludf.DUMMYFUNCTION("""COMPUTED_VALUE"""),1.0)</f>
        <v>1</v>
      </c>
      <c r="H5556" s="6" t="str">
        <f>IFERROR(__xludf.DUMMYFUNCTION("""COMPUTED_VALUE"""),"https://www.instagram.com/monajat_online99")</f>
        <v>https://www.instagram.com/monajat_online99</v>
      </c>
      <c r="I5556" s="5"/>
      <c r="J5556" s="5"/>
      <c r="K5556" s="5"/>
      <c r="L5556" s="5"/>
      <c r="M5556" s="5"/>
      <c r="N5556" s="5"/>
      <c r="O5556" s="5"/>
      <c r="P5556" s="5"/>
      <c r="Q5556" s="5"/>
      <c r="R5556" s="5"/>
      <c r="S5556" s="5"/>
    </row>
    <row r="5557">
      <c r="A5557" s="5">
        <f>IFERROR(__xludf.DUMMYFUNCTION("""COMPUTED_VALUE"""),1852.0)</f>
        <v>1852</v>
      </c>
      <c r="B5557" s="5" t="str">
        <f>IFERROR(__xludf.DUMMYFUNCTION("""COMPUTED_VALUE"""),"هیأت دانشجویی")</f>
        <v>هیأت دانشجویی</v>
      </c>
      <c r="C5557" s="5" t="str">
        <f>IFERROR(__xludf.DUMMYFUNCTION("""COMPUTED_VALUE"""),"قرآن و اهل بیت(ع)")</f>
        <v>قرآن و اهل بیت(ع)</v>
      </c>
      <c r="D5557" s="5" t="str">
        <f>IFERROR(__xludf.DUMMYFUNCTION("""COMPUTED_VALUE"""),"اصفهان")</f>
        <v>اصفهان</v>
      </c>
      <c r="E5557" s="5" t="str">
        <f>IFERROR(__xludf.DUMMYFUNCTION("""COMPUTED_VALUE"""),"شاهین شهر")</f>
        <v>شاهین شهر</v>
      </c>
      <c r="F5557" s="5"/>
      <c r="G5557" s="5">
        <f>IFERROR(__xludf.DUMMYFUNCTION("""COMPUTED_VALUE"""),1.0)</f>
        <v>1</v>
      </c>
      <c r="H5557" s="6" t="str">
        <f>IFERROR(__xludf.DUMMYFUNCTION("""COMPUTED_VALUE"""),"https://www.instagram.com/heyat_quran_ahlebeyt")</f>
        <v>https://www.instagram.com/heyat_quran_ahlebeyt</v>
      </c>
      <c r="I5557" s="6" t="str">
        <f>IFERROR(__xludf.DUMMYFUNCTION("""COMPUTED_VALUE"""),"https://t.me/Heyat_Quran_Ahlebeyt")</f>
        <v>https://t.me/Heyat_Quran_Ahlebeyt</v>
      </c>
      <c r="J5557" s="5"/>
      <c r="K5557" s="5"/>
      <c r="L5557" s="5"/>
      <c r="M5557" s="5"/>
      <c r="N5557" s="5"/>
      <c r="O5557" s="5"/>
      <c r="P5557" s="5"/>
      <c r="Q5557" s="5"/>
      <c r="R5557" s="5"/>
      <c r="S5557" s="5"/>
    </row>
    <row r="5558">
      <c r="A5558" s="5">
        <f>IFERROR(__xludf.DUMMYFUNCTION("""COMPUTED_VALUE"""),1853.0)</f>
        <v>1853</v>
      </c>
      <c r="B5558" s="5" t="str">
        <f>IFERROR(__xludf.DUMMYFUNCTION("""COMPUTED_VALUE"""),"هیأت")</f>
        <v>هیأت</v>
      </c>
      <c r="C5558" s="5" t="str">
        <f>IFERROR(__xludf.DUMMYFUNCTION("""COMPUTED_VALUE"""),"عشاق الحسین(ع)")</f>
        <v>عشاق الحسین(ع)</v>
      </c>
      <c r="D5558" s="5" t="str">
        <f>IFERROR(__xludf.DUMMYFUNCTION("""COMPUTED_VALUE"""),"اصفهان")</f>
        <v>اصفهان</v>
      </c>
      <c r="E5558" s="5" t="str">
        <f>IFERROR(__xludf.DUMMYFUNCTION("""COMPUTED_VALUE"""),"اصفهان")</f>
        <v>اصفهان</v>
      </c>
      <c r="F5558" s="5"/>
      <c r="G5558" s="5"/>
      <c r="H5558" s="5"/>
      <c r="I5558" s="5"/>
      <c r="J5558" s="6" t="str">
        <f>IFERROR(__xludf.DUMMYFUNCTION("""COMPUTED_VALUE"""),"https://eitaa.com/heiatoshagh")</f>
        <v>https://eitaa.com/heiatoshagh</v>
      </c>
      <c r="K5558" s="5"/>
      <c r="L5558" s="5"/>
      <c r="M5558" s="5"/>
      <c r="N5558" s="5"/>
      <c r="O5558" s="5"/>
      <c r="P5558" s="5"/>
      <c r="Q5558" s="5"/>
      <c r="R5558" s="5"/>
      <c r="S5558" s="5"/>
    </row>
    <row r="5559">
      <c r="A5559" s="5">
        <f>IFERROR(__xludf.DUMMYFUNCTION("""COMPUTED_VALUE"""),1855.0)</f>
        <v>1855</v>
      </c>
      <c r="B5559" s="5" t="str">
        <f>IFERROR(__xludf.DUMMYFUNCTION("""COMPUTED_VALUE"""),"هیأت")</f>
        <v>هیأت</v>
      </c>
      <c r="C5559" s="5" t="str">
        <f>IFERROR(__xludf.DUMMYFUNCTION("""COMPUTED_VALUE"""),"امام هادی (ع)")</f>
        <v>امام هادی (ع)</v>
      </c>
      <c r="D5559" s="5" t="str">
        <f>IFERROR(__xludf.DUMMYFUNCTION("""COMPUTED_VALUE"""),"اصفهان")</f>
        <v>اصفهان</v>
      </c>
      <c r="E5559" s="5" t="str">
        <f>IFERROR(__xludf.DUMMYFUNCTION("""COMPUTED_VALUE"""),"برخوار")</f>
        <v>برخوار</v>
      </c>
      <c r="F5559" s="5"/>
      <c r="G5559" s="5"/>
      <c r="H5559" s="6" t="str">
        <f>IFERROR(__xludf.DUMMYFUNCTION("""COMPUTED_VALUE"""),"https://www.instagram.com/hadiannaghi")</f>
        <v>https://www.instagram.com/hadiannaghi</v>
      </c>
      <c r="I5559" s="6" t="str">
        <f>IFERROR(__xludf.DUMMYFUNCTION("""COMPUTED_VALUE"""),"https://t.me/hadiannaghi")</f>
        <v>https://t.me/hadiannaghi</v>
      </c>
      <c r="J5559" s="5"/>
      <c r="K5559" s="5"/>
      <c r="L5559" s="5"/>
      <c r="M5559" s="5"/>
      <c r="N5559" s="5"/>
      <c r="O5559" s="5"/>
      <c r="P5559" s="5"/>
      <c r="Q5559" s="5"/>
      <c r="R5559" s="5"/>
      <c r="S5559" s="5"/>
    </row>
    <row r="5560">
      <c r="A5560" s="5">
        <f>IFERROR(__xludf.DUMMYFUNCTION("""COMPUTED_VALUE"""),1857.0)</f>
        <v>1857</v>
      </c>
      <c r="B5560" s="5" t="str">
        <f>IFERROR(__xludf.DUMMYFUNCTION("""COMPUTED_VALUE"""),"هیأت")</f>
        <v>هیأت</v>
      </c>
      <c r="C5560" s="5" t="str">
        <f>IFERROR(__xludf.DUMMYFUNCTION("""COMPUTED_VALUE"""),"مسجد المهدی (عج)")</f>
        <v>مسجد المهدی (عج)</v>
      </c>
      <c r="D5560" s="5" t="str">
        <f>IFERROR(__xludf.DUMMYFUNCTION("""COMPUTED_VALUE"""),"اصفهان")</f>
        <v>اصفهان</v>
      </c>
      <c r="E5560" s="5" t="str">
        <f>IFERROR(__xludf.DUMMYFUNCTION("""COMPUTED_VALUE"""),"اصفهان")</f>
        <v>اصفهان</v>
      </c>
      <c r="F5560" s="5"/>
      <c r="G5560" s="5"/>
      <c r="H5560" s="5"/>
      <c r="I5560" s="5"/>
      <c r="J5560" s="6" t="str">
        <f>IFERROR(__xludf.DUMMYFUNCTION("""COMPUTED_VALUE"""),"https://eitaa.com/MasjedAlmahdiGolpa")</f>
        <v>https://eitaa.com/MasjedAlmahdiGolpa</v>
      </c>
      <c r="K5560" s="5"/>
      <c r="L5560" s="5"/>
      <c r="M5560" s="5"/>
      <c r="N5560" s="5"/>
      <c r="O5560" s="5"/>
      <c r="P5560" s="5"/>
      <c r="Q5560" s="5"/>
      <c r="R5560" s="5"/>
      <c r="S5560" s="5"/>
    </row>
    <row r="5561">
      <c r="A5561" s="5">
        <f>IFERROR(__xludf.DUMMYFUNCTION("""COMPUTED_VALUE"""),1859.0)</f>
        <v>1859</v>
      </c>
      <c r="B5561" s="5" t="str">
        <f>IFERROR(__xludf.DUMMYFUNCTION("""COMPUTED_VALUE"""),"هیأت")</f>
        <v>هیأت</v>
      </c>
      <c r="C5561" s="5" t="str">
        <f>IFERROR(__xludf.DUMMYFUNCTION("""COMPUTED_VALUE"""),"محبان اهل بیت(ع)")</f>
        <v>محبان اهل بیت(ع)</v>
      </c>
      <c r="D5561" s="5" t="str">
        <f>IFERROR(__xludf.DUMMYFUNCTION("""COMPUTED_VALUE"""),"اصفهان")</f>
        <v>اصفهان</v>
      </c>
      <c r="E5561" s="5" t="str">
        <f>IFERROR(__xludf.DUMMYFUNCTION("""COMPUTED_VALUE"""),"اصفهان")</f>
        <v>اصفهان</v>
      </c>
      <c r="F5561" s="5"/>
      <c r="G5561" s="5">
        <f>IFERROR(__xludf.DUMMYFUNCTION("""COMPUTED_VALUE"""),1.0)</f>
        <v>1</v>
      </c>
      <c r="H5561" s="5"/>
      <c r="I5561" s="5"/>
      <c r="J5561" s="6" t="str">
        <f>IFERROR(__xludf.DUMMYFUNCTION("""COMPUTED_VALUE"""),"https://eitaa.com/heiatmohebaneahlulbeit")</f>
        <v>https://eitaa.com/heiatmohebaneahlulbeit</v>
      </c>
      <c r="K5561" s="5"/>
      <c r="L5561" s="5"/>
      <c r="M5561" s="5"/>
      <c r="N5561" s="5"/>
      <c r="O5561" s="5"/>
      <c r="P5561" s="5"/>
      <c r="Q5561" s="5"/>
      <c r="R5561" s="5"/>
      <c r="S5561" s="5"/>
    </row>
    <row r="5562">
      <c r="A5562" s="5">
        <f>IFERROR(__xludf.DUMMYFUNCTION("""COMPUTED_VALUE"""),1860.0)</f>
        <v>1860</v>
      </c>
      <c r="B5562" s="5" t="str">
        <f>IFERROR(__xludf.DUMMYFUNCTION("""COMPUTED_VALUE"""),"هیأت")</f>
        <v>هیأت</v>
      </c>
      <c r="C5562" s="5" t="str">
        <f>IFERROR(__xludf.DUMMYFUNCTION("""COMPUTED_VALUE"""),"مکتب الحسین(ع)")</f>
        <v>مکتب الحسین(ع)</v>
      </c>
      <c r="D5562" s="5" t="str">
        <f>IFERROR(__xludf.DUMMYFUNCTION("""COMPUTED_VALUE"""),"اصفهان")</f>
        <v>اصفهان</v>
      </c>
      <c r="E5562" s="5" t="str">
        <f>IFERROR(__xludf.DUMMYFUNCTION("""COMPUTED_VALUE"""),"تیران و کرون")</f>
        <v>تیران و کرون</v>
      </c>
      <c r="F5562" s="5"/>
      <c r="G5562" s="5">
        <f>IFERROR(__xludf.DUMMYFUNCTION("""COMPUTED_VALUE"""),1.0)</f>
        <v>1</v>
      </c>
      <c r="H5562" s="6" t="str">
        <f>IFERROR(__xludf.DUMMYFUNCTION("""COMPUTED_VALUE"""),"https://www.instagram.com/maktab_olhosein")</f>
        <v>https://www.instagram.com/maktab_olhosein</v>
      </c>
      <c r="I5562" s="5"/>
      <c r="J5562" s="5"/>
      <c r="K5562" s="5"/>
      <c r="L5562" s="5"/>
      <c r="M5562" s="5"/>
      <c r="N5562" s="5"/>
      <c r="O5562" s="5"/>
      <c r="P5562" s="5"/>
      <c r="Q5562" s="5"/>
      <c r="R5562" s="5"/>
      <c r="S5562" s="5"/>
    </row>
    <row r="5563">
      <c r="A5563" s="5">
        <f>IFERROR(__xludf.DUMMYFUNCTION("""COMPUTED_VALUE"""),1867.0)</f>
        <v>1867</v>
      </c>
      <c r="B5563" s="5" t="str">
        <f>IFERROR(__xludf.DUMMYFUNCTION("""COMPUTED_VALUE"""),"هیأت")</f>
        <v>هیأت</v>
      </c>
      <c r="C5563" s="5" t="str">
        <f>IFERROR(__xludf.DUMMYFUNCTION("""COMPUTED_VALUE"""),"متوسلین به قمربنی هاشم (ع)")</f>
        <v>متوسلین به قمربنی هاشم (ع)</v>
      </c>
      <c r="D5563" s="5" t="str">
        <f>IFERROR(__xludf.DUMMYFUNCTION("""COMPUTED_VALUE"""),"اصفهان")</f>
        <v>اصفهان</v>
      </c>
      <c r="E5563" s="5" t="str">
        <f>IFERROR(__xludf.DUMMYFUNCTION("""COMPUTED_VALUE"""),"اردستان")</f>
        <v>اردستان</v>
      </c>
      <c r="F5563" s="5"/>
      <c r="G5563" s="5">
        <f>IFERROR(__xludf.DUMMYFUNCTION("""COMPUTED_VALUE"""),1.0)</f>
        <v>1</v>
      </c>
      <c r="H5563" s="6" t="str">
        <f>IFERROR(__xludf.DUMMYFUNCTION("""COMPUTED_VALUE"""),"https://www.instagram.com/heyat_ghamar_banihashm")</f>
        <v>https://www.instagram.com/heyat_ghamar_banihashm</v>
      </c>
      <c r="I5563" s="5"/>
      <c r="J5563" s="5"/>
      <c r="K5563" s="5"/>
      <c r="L5563" s="5"/>
      <c r="M5563" s="5"/>
      <c r="N5563" s="5"/>
      <c r="O5563" s="5"/>
      <c r="P5563" s="5"/>
      <c r="Q5563" s="5"/>
      <c r="R5563" s="5"/>
      <c r="S5563" s="5"/>
    </row>
    <row r="5564">
      <c r="A5564" s="5">
        <f>IFERROR(__xludf.DUMMYFUNCTION("""COMPUTED_VALUE"""),1873.0)</f>
        <v>1873</v>
      </c>
      <c r="B5564" s="5" t="str">
        <f>IFERROR(__xludf.DUMMYFUNCTION("""COMPUTED_VALUE"""),"هیأت")</f>
        <v>هیأت</v>
      </c>
      <c r="C5564" s="5" t="str">
        <f>IFERROR(__xludf.DUMMYFUNCTION("""COMPUTED_VALUE"""),"انصارالمهدی (عج)")</f>
        <v>انصارالمهدی (عج)</v>
      </c>
      <c r="D5564" s="5" t="str">
        <f>IFERROR(__xludf.DUMMYFUNCTION("""COMPUTED_VALUE"""),"اصفهان")</f>
        <v>اصفهان</v>
      </c>
      <c r="E5564" s="5" t="str">
        <f>IFERROR(__xludf.DUMMYFUNCTION("""COMPUTED_VALUE"""),"اردستان")</f>
        <v>اردستان</v>
      </c>
      <c r="F5564" s="5"/>
      <c r="G5564" s="5"/>
      <c r="H5564" s="6" t="str">
        <f>IFERROR(__xludf.DUMMYFUNCTION("""COMPUTED_VALUE"""),"https://www.instagram.com/ansaralmahdi1376")</f>
        <v>https://www.instagram.com/ansaralmahdi1376</v>
      </c>
      <c r="I5564" s="5"/>
      <c r="J5564" s="5"/>
      <c r="K5564" s="5"/>
      <c r="L5564" s="5"/>
      <c r="M5564" s="5"/>
      <c r="N5564" s="5"/>
      <c r="O5564" s="5"/>
      <c r="P5564" s="5"/>
      <c r="Q5564" s="5"/>
      <c r="R5564" s="5"/>
      <c r="S5564" s="5"/>
    </row>
    <row r="5565">
      <c r="A5565" s="5">
        <f>IFERROR(__xludf.DUMMYFUNCTION("""COMPUTED_VALUE"""),1885.0)</f>
        <v>1885</v>
      </c>
      <c r="B5565" s="5" t="str">
        <f>IFERROR(__xludf.DUMMYFUNCTION("""COMPUTED_VALUE"""),"هیأت")</f>
        <v>هیأت</v>
      </c>
      <c r="C5565" s="5" t="str">
        <f>IFERROR(__xludf.DUMMYFUNCTION("""COMPUTED_VALUE"""),"مسجد الرضا(ع)")</f>
        <v>مسجد الرضا(ع)</v>
      </c>
      <c r="D5565" s="5" t="str">
        <f>IFERROR(__xludf.DUMMYFUNCTION("""COMPUTED_VALUE"""),"اصفهان")</f>
        <v>اصفهان</v>
      </c>
      <c r="E5565" s="5" t="str">
        <f>IFERROR(__xludf.DUMMYFUNCTION("""COMPUTED_VALUE"""),"لنجان")</f>
        <v>لنجان</v>
      </c>
      <c r="F5565" s="5"/>
      <c r="G5565" s="5"/>
      <c r="H5565" s="5"/>
      <c r="I5565" s="5"/>
      <c r="J5565" s="6" t="str">
        <f>IFERROR(__xludf.DUMMYFUNCTION("""COMPUTED_VALUE"""),"https://eitaa.com/basijemamreza313")</f>
        <v>https://eitaa.com/basijemamreza313</v>
      </c>
      <c r="K5565" s="5"/>
      <c r="L5565" s="5"/>
      <c r="M5565" s="5"/>
      <c r="N5565" s="5"/>
      <c r="O5565" s="5"/>
      <c r="P5565" s="5"/>
      <c r="Q5565" s="5"/>
      <c r="R5565" s="5"/>
      <c r="S5565" s="5"/>
    </row>
    <row r="5566">
      <c r="A5566" s="5">
        <f>IFERROR(__xludf.DUMMYFUNCTION("""COMPUTED_VALUE"""),1888.0)</f>
        <v>1888</v>
      </c>
      <c r="B5566" s="5" t="str">
        <f>IFERROR(__xludf.DUMMYFUNCTION("""COMPUTED_VALUE"""),"هیأت")</f>
        <v>هیأت</v>
      </c>
      <c r="C5566" s="5" t="str">
        <f>IFERROR(__xludf.DUMMYFUNCTION("""COMPUTED_VALUE"""),"فرزندان عاشورا")</f>
        <v>فرزندان عاشورا</v>
      </c>
      <c r="D5566" s="5" t="str">
        <f>IFERROR(__xludf.DUMMYFUNCTION("""COMPUTED_VALUE"""),"اصفهان")</f>
        <v>اصفهان</v>
      </c>
      <c r="E5566" s="5" t="str">
        <f>IFERROR(__xludf.DUMMYFUNCTION("""COMPUTED_VALUE"""),"نجف آباد")</f>
        <v>نجف آباد</v>
      </c>
      <c r="F5566" s="5"/>
      <c r="G5566" s="5"/>
      <c r="H5566" s="5"/>
      <c r="I5566" s="5"/>
      <c r="J5566" s="6" t="str">
        <f>IFERROR(__xludf.DUMMYFUNCTION("""COMPUTED_VALUE"""),"https://eitaa.com/farzandan_ashura")</f>
        <v>https://eitaa.com/farzandan_ashura</v>
      </c>
      <c r="K5566" s="5"/>
      <c r="L5566" s="5"/>
      <c r="M5566" s="5"/>
      <c r="N5566" s="5"/>
      <c r="O5566" s="5"/>
      <c r="P5566" s="5"/>
      <c r="Q5566" s="5"/>
      <c r="R5566" s="5"/>
      <c r="S5566" s="5"/>
    </row>
    <row r="5567">
      <c r="A5567" s="5">
        <f>IFERROR(__xludf.DUMMYFUNCTION("""COMPUTED_VALUE"""),1900.0)</f>
        <v>1900</v>
      </c>
      <c r="B5567" s="5" t="str">
        <f>IFERROR(__xludf.DUMMYFUNCTION("""COMPUTED_VALUE"""),"هیأت")</f>
        <v>هیأت</v>
      </c>
      <c r="C5567" s="5" t="str">
        <f>IFERROR(__xludf.DUMMYFUNCTION("""COMPUTED_VALUE"""),"عاشقان مهدی (عج)")</f>
        <v>عاشقان مهدی (عج)</v>
      </c>
      <c r="D5567" s="5" t="str">
        <f>IFERROR(__xludf.DUMMYFUNCTION("""COMPUTED_VALUE"""),"اصفهان")</f>
        <v>اصفهان</v>
      </c>
      <c r="E5567" s="5" t="str">
        <f>IFERROR(__xludf.DUMMYFUNCTION("""COMPUTED_VALUE"""),"اصفهان")</f>
        <v>اصفهان</v>
      </c>
      <c r="F5567" s="5"/>
      <c r="G5567" s="5"/>
      <c r="H5567" s="6" t="str">
        <f>IFERROR(__xludf.DUMMYFUNCTION("""COMPUTED_VALUE"""),"https://www.instagram.com/asheghanemahdi_esfahan")</f>
        <v>https://www.instagram.com/asheghanemahdi_esfahan</v>
      </c>
      <c r="I5567" s="5"/>
      <c r="J5567" s="6" t="str">
        <f>IFERROR(__xludf.DUMMYFUNCTION("""COMPUTED_VALUE"""),"https://eitaa.com/asheghanemahdi_chanel")</f>
        <v>https://eitaa.com/asheghanemahdi_chanel</v>
      </c>
      <c r="K5567" s="5"/>
      <c r="L5567" s="5"/>
      <c r="M5567" s="5"/>
      <c r="N5567" s="5"/>
      <c r="O5567" s="5"/>
      <c r="P5567" s="5"/>
      <c r="Q5567" s="5"/>
      <c r="R5567" s="5"/>
      <c r="S5567" s="5"/>
    </row>
    <row r="5568">
      <c r="A5568" s="5">
        <f>IFERROR(__xludf.DUMMYFUNCTION("""COMPUTED_VALUE"""),1905.0)</f>
        <v>1905</v>
      </c>
      <c r="B5568" s="5" t="str">
        <f>IFERROR(__xludf.DUMMYFUNCTION("""COMPUTED_VALUE"""),"هیأت")</f>
        <v>هیأت</v>
      </c>
      <c r="C5568" s="5" t="str">
        <f>IFERROR(__xludf.DUMMYFUNCTION("""COMPUTED_VALUE"""),"بقیه الله (عج)")</f>
        <v>بقیه الله (عج)</v>
      </c>
      <c r="D5568" s="5" t="str">
        <f>IFERROR(__xludf.DUMMYFUNCTION("""COMPUTED_VALUE"""),"اصفهان")</f>
        <v>اصفهان</v>
      </c>
      <c r="E5568" s="5" t="str">
        <f>IFERROR(__xludf.DUMMYFUNCTION("""COMPUTED_VALUE"""),"اصفهان")</f>
        <v>اصفهان</v>
      </c>
      <c r="F5568" s="5"/>
      <c r="G5568" s="5"/>
      <c r="H5568" s="6" t="str">
        <f>IFERROR(__xludf.DUMMYFUNCTION("""COMPUTED_VALUE"""),"https://www.instagram.com/h_baghiyatallah")</f>
        <v>https://www.instagram.com/h_baghiyatallah</v>
      </c>
      <c r="I5568" s="5"/>
      <c r="J5568" s="5"/>
      <c r="K5568" s="5"/>
      <c r="L5568" s="5"/>
      <c r="M5568" s="5"/>
      <c r="N5568" s="5"/>
      <c r="O5568" s="5"/>
      <c r="P5568" s="5"/>
      <c r="Q5568" s="5"/>
      <c r="R5568" s="5"/>
      <c r="S5568" s="5"/>
    </row>
    <row r="5569">
      <c r="A5569" s="5">
        <f>IFERROR(__xludf.DUMMYFUNCTION("""COMPUTED_VALUE"""),1906.0)</f>
        <v>1906</v>
      </c>
      <c r="B5569" s="5" t="str">
        <f>IFERROR(__xludf.DUMMYFUNCTION("""COMPUTED_VALUE"""),"هیأت")</f>
        <v>هیأت</v>
      </c>
      <c r="C5569" s="5" t="str">
        <f>IFERROR(__xludf.DUMMYFUNCTION("""COMPUTED_VALUE"""),"مجموعه فرهنگی خادم الشهدا")</f>
        <v>مجموعه فرهنگی خادم الشهدا</v>
      </c>
      <c r="D5569" s="5" t="str">
        <f>IFERROR(__xludf.DUMMYFUNCTION("""COMPUTED_VALUE"""),"اصفهان")</f>
        <v>اصفهان</v>
      </c>
      <c r="E5569" s="5" t="str">
        <f>IFERROR(__xludf.DUMMYFUNCTION("""COMPUTED_VALUE"""),"نجف آباد")</f>
        <v>نجف آباد</v>
      </c>
      <c r="F5569" s="5"/>
      <c r="G5569" s="5"/>
      <c r="H5569" s="6" t="str">
        <f>IFERROR(__xludf.DUMMYFUNCTION("""COMPUTED_VALUE"""),"https://www.instagram.com/khodamnjf_313")</f>
        <v>https://www.instagram.com/khodamnjf_313</v>
      </c>
      <c r="I5569" s="5"/>
      <c r="J5569" s="6" t="str">
        <f>IFERROR(__xludf.DUMMYFUNCTION("""COMPUTED_VALUE"""),"https://eitaa.com/khodamnjf_313")</f>
        <v>https://eitaa.com/khodamnjf_313</v>
      </c>
      <c r="K5569" s="5"/>
      <c r="L5569" s="5"/>
      <c r="M5569" s="5"/>
      <c r="N5569" s="5"/>
      <c r="O5569" s="5"/>
      <c r="P5569" s="5"/>
      <c r="Q5569" s="5"/>
      <c r="R5569" s="5"/>
      <c r="S5569" s="5"/>
    </row>
    <row r="5570">
      <c r="A5570" s="5">
        <f>IFERROR(__xludf.DUMMYFUNCTION("""COMPUTED_VALUE"""),1910.0)</f>
        <v>1910</v>
      </c>
      <c r="B5570" s="5" t="str">
        <f>IFERROR(__xludf.DUMMYFUNCTION("""COMPUTED_VALUE"""),"هیأت")</f>
        <v>هیأت</v>
      </c>
      <c r="C5570" s="5" t="str">
        <f>IFERROR(__xludf.DUMMYFUNCTION("""COMPUTED_VALUE"""),"محبان قدس")</f>
        <v>محبان قدس</v>
      </c>
      <c r="D5570" s="5" t="str">
        <f>IFERROR(__xludf.DUMMYFUNCTION("""COMPUTED_VALUE"""),"اصفهان")</f>
        <v>اصفهان</v>
      </c>
      <c r="E5570" s="5" t="str">
        <f>IFERROR(__xludf.DUMMYFUNCTION("""COMPUTED_VALUE"""),"اصفهان")</f>
        <v>اصفهان</v>
      </c>
      <c r="F5570" s="5"/>
      <c r="G5570" s="5">
        <f>IFERROR(__xludf.DUMMYFUNCTION("""COMPUTED_VALUE"""),1.0)</f>
        <v>1</v>
      </c>
      <c r="H5570" s="6" t="str">
        <f>IFERROR(__xludf.DUMMYFUNCTION("""COMPUTED_VALUE"""),"https://www.instagram.com/moheban_emam_esf")</f>
        <v>https://www.instagram.com/moheban_emam_esf</v>
      </c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</row>
    <row r="5571">
      <c r="A5571" s="5">
        <f>IFERROR(__xludf.DUMMYFUNCTION("""COMPUTED_VALUE"""),1920.0)</f>
        <v>1920</v>
      </c>
      <c r="B5571" s="5" t="str">
        <f>IFERROR(__xludf.DUMMYFUNCTION("""COMPUTED_VALUE"""),"هیأت")</f>
        <v>هیأت</v>
      </c>
      <c r="C5571" s="5" t="str">
        <f>IFERROR(__xludf.DUMMYFUNCTION("""COMPUTED_VALUE"""),"آل یاسین")</f>
        <v>آل یاسین</v>
      </c>
      <c r="D5571" s="5" t="str">
        <f>IFERROR(__xludf.DUMMYFUNCTION("""COMPUTED_VALUE"""),"اصفهان")</f>
        <v>اصفهان</v>
      </c>
      <c r="E5571" s="5" t="str">
        <f>IFERROR(__xludf.DUMMYFUNCTION("""COMPUTED_VALUE"""),"برخوار")</f>
        <v>برخوار</v>
      </c>
      <c r="F5571" s="5"/>
      <c r="G5571" s="5">
        <f>IFERROR(__xludf.DUMMYFUNCTION("""COMPUTED_VALUE"""),1.0)</f>
        <v>1</v>
      </c>
      <c r="H5571" s="6" t="str">
        <f>IFERROR(__xludf.DUMMYFUNCTION("""COMPUTED_VALUE"""),"https://www.instagram.com/hosseinie_ale_yasin")</f>
        <v>https://www.instagram.com/hosseinie_ale_yasin</v>
      </c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</row>
    <row r="5572">
      <c r="A5572" s="5">
        <f>IFERROR(__xludf.DUMMYFUNCTION("""COMPUTED_VALUE"""),1923.0)</f>
        <v>1923</v>
      </c>
      <c r="B5572" s="5" t="str">
        <f>IFERROR(__xludf.DUMMYFUNCTION("""COMPUTED_VALUE"""),"هیأت")</f>
        <v>هیأت</v>
      </c>
      <c r="C5572" s="5" t="str">
        <f>IFERROR(__xludf.DUMMYFUNCTION("""COMPUTED_VALUE"""),"یارقیه(س)")</f>
        <v>یارقیه(س)</v>
      </c>
      <c r="D5572" s="5" t="str">
        <f>IFERROR(__xludf.DUMMYFUNCTION("""COMPUTED_VALUE"""),"اصفهان")</f>
        <v>اصفهان</v>
      </c>
      <c r="E5572" s="5" t="str">
        <f>IFERROR(__xludf.DUMMYFUNCTION("""COMPUTED_VALUE"""),"بوئین میاندشت")</f>
        <v>بوئین میاندشت</v>
      </c>
      <c r="F5572" s="5"/>
      <c r="G5572" s="5">
        <f>IFERROR(__xludf.DUMMYFUNCTION("""COMPUTED_VALUE"""),1.0)</f>
        <v>1</v>
      </c>
      <c r="H5572" s="6" t="str">
        <f>IFERROR(__xludf.DUMMYFUNCTION("""COMPUTED_VALUE"""),"https://www.instagram.com/yaroghayeh.bm")</f>
        <v>https://www.instagram.com/yaroghayeh.bm</v>
      </c>
      <c r="I5572" s="5"/>
      <c r="J5572" s="5"/>
      <c r="K5572" s="5"/>
      <c r="L5572" s="5"/>
      <c r="M5572" s="5"/>
      <c r="N5572" s="5"/>
      <c r="O5572" s="5"/>
      <c r="P5572" s="5"/>
      <c r="Q5572" s="5"/>
      <c r="R5572" s="5"/>
      <c r="S5572" s="5"/>
    </row>
    <row r="5573">
      <c r="A5573" s="5">
        <f>IFERROR(__xludf.DUMMYFUNCTION("""COMPUTED_VALUE"""),1929.0)</f>
        <v>1929</v>
      </c>
      <c r="B5573" s="5" t="str">
        <f>IFERROR(__xludf.DUMMYFUNCTION("""COMPUTED_VALUE"""),"هیأت")</f>
        <v>هیأت</v>
      </c>
      <c r="C5573" s="5" t="str">
        <f>IFERROR(__xludf.DUMMYFUNCTION("""COMPUTED_VALUE"""),"رقمربنی هاشم (ع)")</f>
        <v>رقمربنی هاشم (ع)</v>
      </c>
      <c r="D5573" s="5" t="str">
        <f>IFERROR(__xludf.DUMMYFUNCTION("""COMPUTED_VALUE"""),"اصفهان")</f>
        <v>اصفهان</v>
      </c>
      <c r="E5573" s="5" t="str">
        <f>IFERROR(__xludf.DUMMYFUNCTION("""COMPUTED_VALUE"""),"خمینی شهر")</f>
        <v>خمینی شهر</v>
      </c>
      <c r="F5573" s="5"/>
      <c r="G5573" s="5"/>
      <c r="H5573" s="6" t="str">
        <f>IFERROR(__xludf.DUMMYFUNCTION("""COMPUTED_VALUE"""),"https://www.instagram.com/heiat.ghamar.bani.hashem.133")</f>
        <v>https://www.instagram.com/heiat.ghamar.bani.hashem.133</v>
      </c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</row>
    <row r="5574">
      <c r="A5574" s="5">
        <f>IFERROR(__xludf.DUMMYFUNCTION("""COMPUTED_VALUE"""),1930.0)</f>
        <v>1930</v>
      </c>
      <c r="B5574" s="5" t="str">
        <f>IFERROR(__xludf.DUMMYFUNCTION("""COMPUTED_VALUE"""),"هیأت")</f>
        <v>هیأت</v>
      </c>
      <c r="C5574" s="5" t="str">
        <f>IFERROR(__xludf.DUMMYFUNCTION("""COMPUTED_VALUE"""),"روضه الزهرا (س)")</f>
        <v>روضه الزهرا (س)</v>
      </c>
      <c r="D5574" s="5" t="str">
        <f>IFERROR(__xludf.DUMMYFUNCTION("""COMPUTED_VALUE"""),"اصفهان")</f>
        <v>اصفهان</v>
      </c>
      <c r="E5574" s="5" t="str">
        <f>IFERROR(__xludf.DUMMYFUNCTION("""COMPUTED_VALUE"""),"اصفهان")</f>
        <v>اصفهان</v>
      </c>
      <c r="F5574" s="5"/>
      <c r="G5574" s="5"/>
      <c r="H5574" s="6" t="str">
        <f>IFERROR(__xludf.DUMMYFUNCTION("""COMPUTED_VALUE"""),"https://www.instagram.com/rozatozzahra_esf")</f>
        <v>https://www.instagram.com/rozatozzahra_esf</v>
      </c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5"/>
    </row>
    <row r="5575">
      <c r="A5575" s="5">
        <f>IFERROR(__xludf.DUMMYFUNCTION("""COMPUTED_VALUE"""),1932.0)</f>
        <v>1932</v>
      </c>
      <c r="B5575" s="5" t="str">
        <f>IFERROR(__xludf.DUMMYFUNCTION("""COMPUTED_VALUE"""),"هیأت")</f>
        <v>هیأت</v>
      </c>
      <c r="C5575" s="5" t="str">
        <f>IFERROR(__xludf.DUMMYFUNCTION("""COMPUTED_VALUE"""),"مهدیه")</f>
        <v>مهدیه</v>
      </c>
      <c r="D5575" s="5" t="str">
        <f>IFERROR(__xludf.DUMMYFUNCTION("""COMPUTED_VALUE"""),"اصفهان")</f>
        <v>اصفهان</v>
      </c>
      <c r="E5575" s="5" t="str">
        <f>IFERROR(__xludf.DUMMYFUNCTION("""COMPUTED_VALUE"""),"خمینی شهر")</f>
        <v>خمینی شهر</v>
      </c>
      <c r="F5575" s="5"/>
      <c r="G5575" s="5">
        <f>IFERROR(__xludf.DUMMYFUNCTION("""COMPUTED_VALUE"""),1.0)</f>
        <v>1</v>
      </c>
      <c r="H5575" s="6" t="str">
        <f>IFERROR(__xludf.DUMMYFUNCTION("""COMPUTED_VALUE"""),"https://www.instagram.com/mahdyieh.kh1")</f>
        <v>https://www.instagram.com/mahdyieh.kh1</v>
      </c>
      <c r="I5575" s="5"/>
      <c r="J5575" s="5"/>
      <c r="K5575" s="5"/>
      <c r="L5575" s="5"/>
      <c r="M5575" s="5"/>
      <c r="N5575" s="5"/>
      <c r="O5575" s="5"/>
      <c r="P5575" s="5"/>
      <c r="Q5575" s="5"/>
      <c r="R5575" s="5"/>
      <c r="S5575" s="5"/>
    </row>
    <row r="5576">
      <c r="A5576" s="5">
        <f>IFERROR(__xludf.DUMMYFUNCTION("""COMPUTED_VALUE"""),1937.0)</f>
        <v>1937</v>
      </c>
      <c r="B5576" s="5" t="str">
        <f>IFERROR(__xludf.DUMMYFUNCTION("""COMPUTED_VALUE"""),"هیأت")</f>
        <v>هیأت</v>
      </c>
      <c r="C5576" s="5" t="str">
        <f>IFERROR(__xludf.DUMMYFUNCTION("""COMPUTED_VALUE"""),"حضرت علی اکبر(ع)")</f>
        <v>حضرت علی اکبر(ع)</v>
      </c>
      <c r="D5576" s="5" t="str">
        <f>IFERROR(__xludf.DUMMYFUNCTION("""COMPUTED_VALUE"""),"اصفهان")</f>
        <v>اصفهان</v>
      </c>
      <c r="E5576" s="5" t="str">
        <f>IFERROR(__xludf.DUMMYFUNCTION("""COMPUTED_VALUE"""),"آران وبیدگل")</f>
        <v>آران وبیدگل</v>
      </c>
      <c r="F5576" s="5"/>
      <c r="G5576" s="5"/>
      <c r="H5576" s="5"/>
      <c r="I5576" s="5"/>
      <c r="J5576" s="6" t="str">
        <f>IFERROR(__xludf.DUMMYFUNCTION("""COMPUTED_VALUE"""),"https://eitaa.com/emamzade_aliakbar")</f>
        <v>https://eitaa.com/emamzade_aliakbar</v>
      </c>
      <c r="K5576" s="5"/>
      <c r="L5576" s="5"/>
      <c r="M5576" s="5"/>
      <c r="N5576" s="5"/>
      <c r="O5576" s="5"/>
      <c r="P5576" s="5"/>
      <c r="Q5576" s="5"/>
      <c r="R5576" s="5"/>
      <c r="S5576" s="5"/>
    </row>
    <row r="5577">
      <c r="A5577" s="5">
        <f>IFERROR(__xludf.DUMMYFUNCTION("""COMPUTED_VALUE"""),1946.0)</f>
        <v>1946</v>
      </c>
      <c r="B5577" s="5" t="str">
        <f>IFERROR(__xludf.DUMMYFUNCTION("""COMPUTED_VALUE"""),"هیأت")</f>
        <v>هیأت</v>
      </c>
      <c r="C5577" s="5" t="str">
        <f>IFERROR(__xludf.DUMMYFUNCTION("""COMPUTED_VALUE"""),"شهدای گمنام (موسسه فرهنگی شهید تورجی زاده)")</f>
        <v>شهدای گمنام (موسسه فرهنگی شهید تورجی زاده)</v>
      </c>
      <c r="D5577" s="5" t="str">
        <f>IFERROR(__xludf.DUMMYFUNCTION("""COMPUTED_VALUE"""),"اصفهان")</f>
        <v>اصفهان</v>
      </c>
      <c r="E5577" s="5" t="str">
        <f>IFERROR(__xludf.DUMMYFUNCTION("""COMPUTED_VALUE"""),"کاشان")</f>
        <v>کاشان</v>
      </c>
      <c r="F5577" s="5"/>
      <c r="G5577" s="5"/>
      <c r="H5577" s="5"/>
      <c r="I5577" s="5"/>
      <c r="J5577" s="6" t="str">
        <f>IFERROR(__xludf.DUMMYFUNCTION("""COMPUTED_VALUE"""),"https://eitaa.com/shohada_gomnam78")</f>
        <v>https://eitaa.com/shohada_gomnam78</v>
      </c>
      <c r="K5577" s="5"/>
      <c r="L5577" s="5"/>
      <c r="M5577" s="5"/>
      <c r="N5577" s="5"/>
      <c r="O5577" s="5"/>
      <c r="P5577" s="5"/>
      <c r="Q5577" s="5"/>
      <c r="R5577" s="5"/>
      <c r="S5577" s="5"/>
    </row>
    <row r="5578">
      <c r="A5578" s="5">
        <f>IFERROR(__xludf.DUMMYFUNCTION("""COMPUTED_VALUE"""),1955.0)</f>
        <v>1955</v>
      </c>
      <c r="B5578" s="5" t="str">
        <f>IFERROR(__xludf.DUMMYFUNCTION("""COMPUTED_VALUE"""),"هیأت")</f>
        <v>هیأت</v>
      </c>
      <c r="C5578" s="5" t="str">
        <f>IFERROR(__xludf.DUMMYFUNCTION("""COMPUTED_VALUE"""),"محبین اهل بیت(ع)")</f>
        <v>محبین اهل بیت(ع)</v>
      </c>
      <c r="D5578" s="5" t="str">
        <f>IFERROR(__xludf.DUMMYFUNCTION("""COMPUTED_VALUE"""),"اصفهان")</f>
        <v>اصفهان</v>
      </c>
      <c r="E5578" s="5" t="str">
        <f>IFERROR(__xludf.DUMMYFUNCTION("""COMPUTED_VALUE"""),"اصفهان")</f>
        <v>اصفهان</v>
      </c>
      <c r="F5578" s="5"/>
      <c r="G5578" s="5"/>
      <c r="H5578" s="6" t="str">
        <f>IFERROR(__xludf.DUMMYFUNCTION("""COMPUTED_VALUE"""),"https://www.instagram.com/mohebbin_ahlobeyt")</f>
        <v>https://www.instagram.com/mohebbin_ahlobeyt</v>
      </c>
      <c r="I5578" s="6" t="str">
        <f>IFERROR(__xludf.DUMMYFUNCTION("""COMPUTED_VALUE"""),"https://t.me/mohebbinahlobeyt")</f>
        <v>https://t.me/mohebbinahlobeyt</v>
      </c>
      <c r="J5578" s="6" t="str">
        <f>IFERROR(__xludf.DUMMYFUNCTION("""COMPUTED_VALUE"""),"https://eitaa.com/mohebbinahlobeyt")</f>
        <v>https://eitaa.com/mohebbinahlobeyt</v>
      </c>
      <c r="K5578" s="5"/>
      <c r="L5578" s="5"/>
      <c r="M5578" s="5"/>
      <c r="N5578" s="5"/>
      <c r="O5578" s="5"/>
      <c r="P5578" s="5"/>
      <c r="Q5578" s="5"/>
      <c r="R5578" s="5"/>
      <c r="S5578" s="5"/>
    </row>
    <row r="5579">
      <c r="A5579" s="5">
        <f>IFERROR(__xludf.DUMMYFUNCTION("""COMPUTED_VALUE"""),1965.0)</f>
        <v>1965</v>
      </c>
      <c r="B5579" s="5" t="str">
        <f>IFERROR(__xludf.DUMMYFUNCTION("""COMPUTED_VALUE"""),"هیأت")</f>
        <v>هیأت</v>
      </c>
      <c r="C5579" s="5" t="str">
        <f>IFERROR(__xludf.DUMMYFUNCTION("""COMPUTED_VALUE"""),"رزمندگان اسلام")</f>
        <v>رزمندگان اسلام</v>
      </c>
      <c r="D5579" s="5" t="str">
        <f>IFERROR(__xludf.DUMMYFUNCTION("""COMPUTED_VALUE"""),"اصفهان")</f>
        <v>اصفهان</v>
      </c>
      <c r="E5579" s="5" t="str">
        <f>IFERROR(__xludf.DUMMYFUNCTION("""COMPUTED_VALUE"""),"بهارستان")</f>
        <v>بهارستان</v>
      </c>
      <c r="F5579" s="5"/>
      <c r="G5579" s="5"/>
      <c r="H5579" s="6" t="str">
        <f>IFERROR(__xludf.DUMMYFUNCTION("""COMPUTED_VALUE"""),"https://www.instagram.com/razmandegan_bh2023")</f>
        <v>https://www.instagram.com/razmandegan_bh2023</v>
      </c>
      <c r="I5579" s="6" t="str">
        <f>IFERROR(__xludf.DUMMYFUNCTION("""COMPUTED_VALUE"""),"https://t.me/razmandegan_bh")</f>
        <v>https://t.me/razmandegan_bh</v>
      </c>
      <c r="J5579" s="6" t="str">
        <f>IFERROR(__xludf.DUMMYFUNCTION("""COMPUTED_VALUE"""),"https://eitaa.com/razmandegan_bh")</f>
        <v>https://eitaa.com/razmandegan_bh</v>
      </c>
      <c r="K5579" s="5"/>
      <c r="L5579" s="5"/>
      <c r="M5579" s="5"/>
      <c r="N5579" s="5"/>
      <c r="O5579" s="5"/>
      <c r="P5579" s="5"/>
      <c r="Q5579" s="5"/>
      <c r="R5579" s="5"/>
      <c r="S5579" s="5"/>
    </row>
    <row r="5580">
      <c r="A5580" s="5">
        <f>IFERROR(__xludf.DUMMYFUNCTION("""COMPUTED_VALUE"""),1973.0)</f>
        <v>1973</v>
      </c>
      <c r="B5580" s="5" t="str">
        <f>IFERROR(__xludf.DUMMYFUNCTION("""COMPUTED_VALUE"""),"هیأت")</f>
        <v>هیأت</v>
      </c>
      <c r="C5580" s="5" t="str">
        <f>IFERROR(__xludf.DUMMYFUNCTION("""COMPUTED_VALUE"""),"فاطمیون")</f>
        <v>فاطمیون</v>
      </c>
      <c r="D5580" s="5" t="str">
        <f>IFERROR(__xludf.DUMMYFUNCTION("""COMPUTED_VALUE"""),"اصفهان")</f>
        <v>اصفهان</v>
      </c>
      <c r="E5580" s="5" t="str">
        <f>IFERROR(__xludf.DUMMYFUNCTION("""COMPUTED_VALUE"""),"اصفهان")</f>
        <v>اصفهان</v>
      </c>
      <c r="F5580" s="5"/>
      <c r="G5580" s="5"/>
      <c r="H5580" s="5"/>
      <c r="I5580" s="5"/>
      <c r="J5580" s="6" t="str">
        <f>IFERROR(__xludf.DUMMYFUNCTION("""COMPUTED_VALUE"""),"https://eitaa.com/fatemeyunesf")</f>
        <v>https://eitaa.com/fatemeyunesf</v>
      </c>
      <c r="K5580" s="5"/>
      <c r="L5580" s="5"/>
      <c r="M5580" s="5"/>
      <c r="N5580" s="5"/>
      <c r="O5580" s="5"/>
      <c r="P5580" s="5"/>
      <c r="Q5580" s="5"/>
      <c r="R5580" s="5"/>
      <c r="S5580" s="5"/>
    </row>
    <row r="5581">
      <c r="A5581" s="5">
        <f>IFERROR(__xludf.DUMMYFUNCTION("""COMPUTED_VALUE"""),1978.0)</f>
        <v>1978</v>
      </c>
      <c r="B5581" s="5" t="str">
        <f>IFERROR(__xludf.DUMMYFUNCTION("""COMPUTED_VALUE"""),"هیأت")</f>
        <v>هیأت</v>
      </c>
      <c r="C5581" s="5" t="str">
        <f>IFERROR(__xludf.DUMMYFUNCTION("""COMPUTED_VALUE"""),"هارونیه")</f>
        <v>هارونیه</v>
      </c>
      <c r="D5581" s="5" t="str">
        <f>IFERROR(__xludf.DUMMYFUNCTION("""COMPUTED_VALUE"""),"اصفهان")</f>
        <v>اصفهان</v>
      </c>
      <c r="E5581" s="5" t="str">
        <f>IFERROR(__xludf.DUMMYFUNCTION("""COMPUTED_VALUE"""),"اصفهان")</f>
        <v>اصفهان</v>
      </c>
      <c r="F5581" s="5"/>
      <c r="G5581" s="5">
        <f>IFERROR(__xludf.DUMMYFUNCTION("""COMPUTED_VALUE"""),1.0)</f>
        <v>1</v>
      </c>
      <c r="H5581" s="6" t="str">
        <f>IFERROR(__xludf.DUMMYFUNCTION("""COMPUTED_VALUE"""),"https://www.instagram.com/haroniieh")</f>
        <v>https://www.instagram.com/haroniieh</v>
      </c>
      <c r="I5581" s="6" t="str">
        <f>IFERROR(__xludf.DUMMYFUNCTION("""COMPUTED_VALUE"""),"https://t.me/haronieh")</f>
        <v>https://t.me/haronieh</v>
      </c>
      <c r="J5581" s="5"/>
      <c r="K5581" s="5"/>
      <c r="L5581" s="5"/>
      <c r="M5581" s="5"/>
      <c r="N5581" s="5"/>
      <c r="O5581" s="5"/>
      <c r="P5581" s="5"/>
      <c r="Q5581" s="5"/>
      <c r="R5581" s="5"/>
      <c r="S5581" s="5"/>
    </row>
    <row r="5582">
      <c r="A5582" s="5">
        <f>IFERROR(__xludf.DUMMYFUNCTION("""COMPUTED_VALUE"""),1989.0)</f>
        <v>1989</v>
      </c>
      <c r="B5582" s="5" t="str">
        <f>IFERROR(__xludf.DUMMYFUNCTION("""COMPUTED_VALUE"""),"هیأت")</f>
        <v>هیأت</v>
      </c>
      <c r="C5582" s="5" t="str">
        <f>IFERROR(__xludf.DUMMYFUNCTION("""COMPUTED_VALUE"""),"علی بن موسی الرضا(ع)")</f>
        <v>علی بن موسی الرضا(ع)</v>
      </c>
      <c r="D5582" s="5" t="str">
        <f>IFERROR(__xludf.DUMMYFUNCTION("""COMPUTED_VALUE"""),"اصفهان")</f>
        <v>اصفهان</v>
      </c>
      <c r="E5582" s="5" t="str">
        <f>IFERROR(__xludf.DUMMYFUNCTION("""COMPUTED_VALUE"""),"اصفهان")</f>
        <v>اصفهان</v>
      </c>
      <c r="F5582" s="5"/>
      <c r="G5582" s="5"/>
      <c r="H5582" s="5"/>
      <c r="I5582" s="5"/>
      <c r="J5582" s="6" t="str">
        <f>IFERROR(__xludf.DUMMYFUNCTION("""COMPUTED_VALUE"""),"https://eitaa.com/sayyedmahdi8")</f>
        <v>https://eitaa.com/sayyedmahdi8</v>
      </c>
      <c r="K5582" s="5"/>
      <c r="L5582" s="5"/>
      <c r="M5582" s="5"/>
      <c r="N5582" s="5"/>
      <c r="O5582" s="5"/>
      <c r="P5582" s="5"/>
      <c r="Q5582" s="5"/>
      <c r="R5582" s="5"/>
      <c r="S5582" s="5"/>
    </row>
    <row r="5583">
      <c r="A5583" s="5">
        <f>IFERROR(__xludf.DUMMYFUNCTION("""COMPUTED_VALUE"""),1994.0)</f>
        <v>1994</v>
      </c>
      <c r="B5583" s="5" t="str">
        <f>IFERROR(__xludf.DUMMYFUNCTION("""COMPUTED_VALUE"""),"هیأت")</f>
        <v>هیأت</v>
      </c>
      <c r="C5583" s="5" t="str">
        <f>IFERROR(__xludf.DUMMYFUNCTION("""COMPUTED_VALUE"""),"انصارالمهدی (عج)")</f>
        <v>انصارالمهدی (عج)</v>
      </c>
      <c r="D5583" s="5" t="str">
        <f>IFERROR(__xludf.DUMMYFUNCTION("""COMPUTED_VALUE"""),"اصفهان")</f>
        <v>اصفهان</v>
      </c>
      <c r="E5583" s="5" t="str">
        <f>IFERROR(__xludf.DUMMYFUNCTION("""COMPUTED_VALUE"""),"مبارکه ")</f>
        <v>مبارکه </v>
      </c>
      <c r="F5583" s="5"/>
      <c r="G5583" s="5"/>
      <c r="H5583" s="6" t="str">
        <f>IFERROR(__xludf.DUMMYFUNCTION("""COMPUTED_VALUE"""),"https://www.instagram.com/ansar_almahdii_110")</f>
        <v>https://www.instagram.com/ansar_almahdii_110</v>
      </c>
      <c r="I5583" s="5"/>
      <c r="J5583" s="6" t="str">
        <f>IFERROR(__xludf.DUMMYFUNCTION("""COMPUTED_VALUE"""),"https://eitaa.com/ansaralmahdi1")</f>
        <v>https://eitaa.com/ansaralmahdi1</v>
      </c>
      <c r="K5583" s="5"/>
      <c r="L5583" s="5"/>
      <c r="M5583" s="5"/>
      <c r="N5583" s="5"/>
      <c r="O5583" s="5"/>
      <c r="P5583" s="5"/>
      <c r="Q5583" s="5"/>
      <c r="R5583" s="5"/>
      <c r="S5583" s="5"/>
    </row>
    <row r="5584">
      <c r="A5584" s="5">
        <f>IFERROR(__xludf.DUMMYFUNCTION("""COMPUTED_VALUE"""),2004.0)</f>
        <v>2004</v>
      </c>
      <c r="B5584" s="5" t="str">
        <f>IFERROR(__xludf.DUMMYFUNCTION("""COMPUTED_VALUE"""),"هیأت")</f>
        <v>هیأت</v>
      </c>
      <c r="C5584" s="5" t="str">
        <f>IFERROR(__xludf.DUMMYFUNCTION("""COMPUTED_VALUE"""),"محبان الحسین(ع)")</f>
        <v>محبان الحسین(ع)</v>
      </c>
      <c r="D5584" s="5" t="str">
        <f>IFERROR(__xludf.DUMMYFUNCTION("""COMPUTED_VALUE"""),"اصفهان")</f>
        <v>اصفهان</v>
      </c>
      <c r="E5584" s="5" t="str">
        <f>IFERROR(__xludf.DUMMYFUNCTION("""COMPUTED_VALUE"""),"نجف آباد")</f>
        <v>نجف آباد</v>
      </c>
      <c r="F5584" s="5"/>
      <c r="G5584" s="5">
        <f>IFERROR(__xludf.DUMMYFUNCTION("""COMPUTED_VALUE"""),1.0)</f>
        <v>1</v>
      </c>
      <c r="H5584" s="6" t="str">
        <f>IFERROR(__xludf.DUMMYFUNCTION("""COMPUTED_VALUE"""),"https://www.instagram.com/moheban_al_hossein")</f>
        <v>https://www.instagram.com/moheban_al_hossein</v>
      </c>
      <c r="I5584" s="6" t="str">
        <f>IFERROR(__xludf.DUMMYFUNCTION("""COMPUTED_VALUE"""),"https://t.me/mohebanhosein_esf")</f>
        <v>https://t.me/mohebanhosein_esf</v>
      </c>
      <c r="J5584" s="5"/>
      <c r="K5584" s="5"/>
      <c r="L5584" s="5"/>
      <c r="M5584" s="5"/>
      <c r="N5584" s="5"/>
      <c r="O5584" s="5"/>
      <c r="P5584" s="5"/>
      <c r="Q5584" s="5"/>
      <c r="R5584" s="5"/>
      <c r="S5584" s="5"/>
    </row>
    <row r="5585">
      <c r="A5585" s="5">
        <f>IFERROR(__xludf.DUMMYFUNCTION("""COMPUTED_VALUE"""),2010.0)</f>
        <v>2010</v>
      </c>
      <c r="B5585" s="5" t="str">
        <f>IFERROR(__xludf.DUMMYFUNCTION("""COMPUTED_VALUE"""),"هیأت")</f>
        <v>هیأت</v>
      </c>
      <c r="C5585" s="5" t="str">
        <f>IFERROR(__xludf.DUMMYFUNCTION("""COMPUTED_VALUE"""),"حضرت ابوالفضل(ع)")</f>
        <v>حضرت ابوالفضل(ع)</v>
      </c>
      <c r="D5585" s="5" t="str">
        <f>IFERROR(__xludf.DUMMYFUNCTION("""COMPUTED_VALUE"""),"اصفهان")</f>
        <v>اصفهان</v>
      </c>
      <c r="E5585" s="5" t="str">
        <f>IFERROR(__xludf.DUMMYFUNCTION("""COMPUTED_VALUE"""),"داران")</f>
        <v>داران</v>
      </c>
      <c r="F5585" s="5"/>
      <c r="G5585" s="5"/>
      <c r="H5585" s="6" t="str">
        <f>IFERROR(__xludf.DUMMYFUNCTION("""COMPUTED_VALUE"""),"https://www.instagram.com/heyat_abolfazl_khansar")</f>
        <v>https://www.instagram.com/heyat_abolfazl_khansar</v>
      </c>
      <c r="I5585" s="6" t="str">
        <f>IFERROR(__xludf.DUMMYFUNCTION("""COMPUTED_VALUE"""),"https://t.me/heyat_abolfazl_khansar")</f>
        <v>https://t.me/heyat_abolfazl_khansar</v>
      </c>
      <c r="J5585" s="5"/>
      <c r="K5585" s="5"/>
      <c r="L5585" s="5"/>
      <c r="M5585" s="5"/>
      <c r="N5585" s="5"/>
      <c r="O5585" s="5"/>
      <c r="P5585" s="5"/>
      <c r="Q5585" s="5"/>
      <c r="R5585" s="5"/>
      <c r="S5585" s="5"/>
    </row>
    <row r="5586">
      <c r="A5586" s="5">
        <f>IFERROR(__xludf.DUMMYFUNCTION("""COMPUTED_VALUE"""),2011.0)</f>
        <v>2011</v>
      </c>
      <c r="B5586" s="5" t="str">
        <f>IFERROR(__xludf.DUMMYFUNCTION("""COMPUTED_VALUE"""),"هیأت")</f>
        <v>هیأت</v>
      </c>
      <c r="C5586" s="5" t="str">
        <f>IFERROR(__xludf.DUMMYFUNCTION("""COMPUTED_VALUE"""),"مکتب العباس (ع) رهنان")</f>
        <v>مکتب العباس (ع) رهنان</v>
      </c>
      <c r="D5586" s="5" t="str">
        <f>IFERROR(__xludf.DUMMYFUNCTION("""COMPUTED_VALUE"""),"اصفهان")</f>
        <v>اصفهان</v>
      </c>
      <c r="E5586" s="5" t="str">
        <f>IFERROR(__xludf.DUMMYFUNCTION("""COMPUTED_VALUE"""),"اصفهان")</f>
        <v>اصفهان</v>
      </c>
      <c r="F5586" s="5"/>
      <c r="G5586" s="5">
        <f>IFERROR(__xludf.DUMMYFUNCTION("""COMPUTED_VALUE"""),1.0)</f>
        <v>1</v>
      </c>
      <c r="H5586" s="6" t="str">
        <f>IFERROR(__xludf.DUMMYFUNCTION("""COMPUTED_VALUE"""),"https://www.instagram.com/maktabol_abbas1")</f>
        <v>https://www.instagram.com/maktabol_abbas1</v>
      </c>
      <c r="I5586" s="5"/>
      <c r="J5586" s="5"/>
      <c r="K5586" s="5"/>
      <c r="L5586" s="5"/>
      <c r="M5586" s="5"/>
      <c r="N5586" s="5"/>
      <c r="O5586" s="5"/>
      <c r="P5586" s="5"/>
      <c r="Q5586" s="5"/>
      <c r="R5586" s="5"/>
      <c r="S5586" s="5"/>
    </row>
    <row r="5587">
      <c r="A5587" s="5">
        <f>IFERROR(__xludf.DUMMYFUNCTION("""COMPUTED_VALUE"""),2014.0)</f>
        <v>2014</v>
      </c>
      <c r="B5587" s="5" t="str">
        <f>IFERROR(__xludf.DUMMYFUNCTION("""COMPUTED_VALUE"""),"هیأت")</f>
        <v>هیأت</v>
      </c>
      <c r="C5587" s="5" t="str">
        <f>IFERROR(__xludf.DUMMYFUNCTION("""COMPUTED_VALUE"""),"فاطمیون دستگردقداده")</f>
        <v>فاطمیون دستگردقداده</v>
      </c>
      <c r="D5587" s="5" t="str">
        <f>IFERROR(__xludf.DUMMYFUNCTION("""COMPUTED_VALUE"""),"اصفهان")</f>
        <v>اصفهان</v>
      </c>
      <c r="E5587" s="5" t="str">
        <f>IFERROR(__xludf.DUMMYFUNCTION("""COMPUTED_VALUE"""),"خمینی شهر")</f>
        <v>خمینی شهر</v>
      </c>
      <c r="F5587" s="5"/>
      <c r="G5587" s="5"/>
      <c r="H5587" s="6" t="str">
        <f>IFERROR(__xludf.DUMMYFUNCTION("""COMPUTED_VALUE"""),"https://www.instagram.com/fatemiundastgerd")</f>
        <v>https://www.instagram.com/fatemiundastgerd</v>
      </c>
      <c r="I5587" s="5"/>
      <c r="J5587" s="6" t="str">
        <f>IFERROR(__xludf.DUMMYFUNCTION("""COMPUTED_VALUE"""),"https://eitaa.com/fatemiundastgerd")</f>
        <v>https://eitaa.com/fatemiundastgerd</v>
      </c>
      <c r="K5587" s="5"/>
      <c r="L5587" s="5"/>
      <c r="M5587" s="5"/>
      <c r="N5587" s="5"/>
      <c r="O5587" s="5"/>
      <c r="P5587" s="5"/>
      <c r="Q5587" s="5"/>
      <c r="R5587" s="5"/>
      <c r="S5587" s="5"/>
    </row>
    <row r="5588">
      <c r="A5588" s="5">
        <f>IFERROR(__xludf.DUMMYFUNCTION("""COMPUTED_VALUE"""),2018.0)</f>
        <v>2018</v>
      </c>
      <c r="B5588" s="5" t="str">
        <f>IFERROR(__xludf.DUMMYFUNCTION("""COMPUTED_VALUE"""),"هیأت")</f>
        <v>هیأت</v>
      </c>
      <c r="C5588" s="5" t="str">
        <f>IFERROR(__xludf.DUMMYFUNCTION("""COMPUTED_VALUE"""),"حضرت علی اکبر(ع)")</f>
        <v>حضرت علی اکبر(ع)</v>
      </c>
      <c r="D5588" s="5" t="str">
        <f>IFERROR(__xludf.DUMMYFUNCTION("""COMPUTED_VALUE"""),"اصفهان")</f>
        <v>اصفهان</v>
      </c>
      <c r="E5588" s="5" t="str">
        <f>IFERROR(__xludf.DUMMYFUNCTION("""COMPUTED_VALUE"""),"اصفهان")</f>
        <v>اصفهان</v>
      </c>
      <c r="F5588" s="5"/>
      <c r="G5588" s="5"/>
      <c r="H5588" s="5"/>
      <c r="I5588" s="5"/>
      <c r="J5588" s="6" t="str">
        <f>IFERROR(__xludf.DUMMYFUNCTION("""COMPUTED_VALUE"""),"https://eitaa.com/hiatehazratealiakbar")</f>
        <v>https://eitaa.com/hiatehazratealiakbar</v>
      </c>
      <c r="K5588" s="5"/>
      <c r="L5588" s="5"/>
      <c r="M5588" s="5"/>
      <c r="N5588" s="5"/>
      <c r="O5588" s="5"/>
      <c r="P5588" s="5"/>
      <c r="Q5588" s="5"/>
      <c r="R5588" s="5"/>
      <c r="S5588" s="5"/>
    </row>
    <row r="5589">
      <c r="A5589" s="5">
        <f>IFERROR(__xludf.DUMMYFUNCTION("""COMPUTED_VALUE"""),2020.0)</f>
        <v>2020</v>
      </c>
      <c r="B5589" s="5" t="str">
        <f>IFERROR(__xludf.DUMMYFUNCTION("""COMPUTED_VALUE"""),"هیأت")</f>
        <v>هیأت</v>
      </c>
      <c r="C5589" s="5" t="str">
        <f>IFERROR(__xludf.DUMMYFUNCTION("""COMPUTED_VALUE"""),"کربلایی های اصفهان")</f>
        <v>کربلایی های اصفهان</v>
      </c>
      <c r="D5589" s="5" t="str">
        <f>IFERROR(__xludf.DUMMYFUNCTION("""COMPUTED_VALUE"""),"اصفهان")</f>
        <v>اصفهان</v>
      </c>
      <c r="E5589" s="5" t="str">
        <f>IFERROR(__xludf.DUMMYFUNCTION("""COMPUTED_VALUE"""),"اصفهان")</f>
        <v>اصفهان</v>
      </c>
      <c r="F5589" s="5"/>
      <c r="G5589" s="5"/>
      <c r="H5589" s="5"/>
      <c r="I5589" s="5"/>
      <c r="J5589" s="6" t="str">
        <f>IFERROR(__xludf.DUMMYFUNCTION("""COMPUTED_VALUE"""),"https://eitaa.com/karbalaeiha_isf")</f>
        <v>https://eitaa.com/karbalaeiha_isf</v>
      </c>
      <c r="K5589" s="5"/>
      <c r="L5589" s="5"/>
      <c r="M5589" s="5"/>
      <c r="N5589" s="5"/>
      <c r="O5589" s="5"/>
      <c r="P5589" s="5"/>
      <c r="Q5589" s="5"/>
      <c r="R5589" s="5"/>
      <c r="S5589" s="5"/>
    </row>
    <row r="5590">
      <c r="A5590" s="5">
        <f>IFERROR(__xludf.DUMMYFUNCTION("""COMPUTED_VALUE"""),2023.0)</f>
        <v>2023</v>
      </c>
      <c r="B5590" s="5" t="str">
        <f>IFERROR(__xludf.DUMMYFUNCTION("""COMPUTED_VALUE"""),"هیأت")</f>
        <v>هیأت</v>
      </c>
      <c r="C5590" s="5" t="str">
        <f>IFERROR(__xludf.DUMMYFUNCTION("""COMPUTED_VALUE"""),"حسینی")</f>
        <v>حسینی</v>
      </c>
      <c r="D5590" s="5" t="str">
        <f>IFERROR(__xludf.DUMMYFUNCTION("""COMPUTED_VALUE"""),"اصفهان")</f>
        <v>اصفهان</v>
      </c>
      <c r="E5590" s="5" t="str">
        <f>IFERROR(__xludf.DUMMYFUNCTION("""COMPUTED_VALUE"""),"خوانسار")</f>
        <v>خوانسار</v>
      </c>
      <c r="F5590" s="5"/>
      <c r="G5590" s="5"/>
      <c r="H5590" s="6" t="str">
        <f>IFERROR(__xludf.DUMMYFUNCTION("""COMPUTED_VALUE"""),"https://www.instagram.com/heyat.hosseini.khansar")</f>
        <v>https://www.instagram.com/heyat.hosseini.khansar</v>
      </c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</row>
    <row r="5591">
      <c r="A5591" s="5">
        <f>IFERROR(__xludf.DUMMYFUNCTION("""COMPUTED_VALUE"""),2029.0)</f>
        <v>2029</v>
      </c>
      <c r="B5591" s="5" t="str">
        <f>IFERROR(__xludf.DUMMYFUNCTION("""COMPUTED_VALUE"""),"هیأت")</f>
        <v>هیأت</v>
      </c>
      <c r="C5591" s="5" t="str">
        <f>IFERROR(__xludf.DUMMYFUNCTION("""COMPUTED_VALUE"""),"حضرت علی اکبر")</f>
        <v>حضرت علی اکبر</v>
      </c>
      <c r="D5591" s="5" t="str">
        <f>IFERROR(__xludf.DUMMYFUNCTION("""COMPUTED_VALUE"""),"اصفهان")</f>
        <v>اصفهان</v>
      </c>
      <c r="E5591" s="5" t="str">
        <f>IFERROR(__xludf.DUMMYFUNCTION("""COMPUTED_VALUE"""),"خمینی شهر")</f>
        <v>خمینی شهر</v>
      </c>
      <c r="F5591" s="5"/>
      <c r="G5591" s="5"/>
      <c r="H5591" s="6" t="str">
        <f>IFERROR(__xludf.DUMMYFUNCTION("""COMPUTED_VALUE"""),"https://www.instagram.com/heyataaliakbar")</f>
        <v>https://www.instagram.com/heyataaliakbar</v>
      </c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</row>
    <row r="5592">
      <c r="A5592" s="5">
        <f>IFERROR(__xludf.DUMMYFUNCTION("""COMPUTED_VALUE"""),2030.0)</f>
        <v>2030</v>
      </c>
      <c r="B5592" s="5" t="str">
        <f>IFERROR(__xludf.DUMMYFUNCTION("""COMPUTED_VALUE"""),"هیأت")</f>
        <v>هیأت</v>
      </c>
      <c r="C5592" s="5" t="str">
        <f>IFERROR(__xludf.DUMMYFUNCTION("""COMPUTED_VALUE"""),"عاشورائیان")</f>
        <v>عاشورائیان</v>
      </c>
      <c r="D5592" s="5" t="str">
        <f>IFERROR(__xludf.DUMMYFUNCTION("""COMPUTED_VALUE"""),"اصفهان")</f>
        <v>اصفهان</v>
      </c>
      <c r="E5592" s="5" t="str">
        <f>IFERROR(__xludf.DUMMYFUNCTION("""COMPUTED_VALUE"""),"سمیرم")</f>
        <v>سمیرم</v>
      </c>
      <c r="F5592" s="5"/>
      <c r="G5592" s="5">
        <f>IFERROR(__xludf.DUMMYFUNCTION("""COMPUTED_VALUE"""),1.0)</f>
        <v>1</v>
      </c>
      <c r="H5592" s="6" t="str">
        <f>IFERROR(__xludf.DUMMYFUNCTION("""COMPUTED_VALUE"""),"https://www.instagram.com/heiatsemirom")</f>
        <v>https://www.instagram.com/heiatsemirom</v>
      </c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</row>
    <row r="5593">
      <c r="A5593" s="5">
        <f>IFERROR(__xludf.DUMMYFUNCTION("""COMPUTED_VALUE"""),2032.0)</f>
        <v>2032</v>
      </c>
      <c r="B5593" s="5" t="str">
        <f>IFERROR(__xludf.DUMMYFUNCTION("""COMPUTED_VALUE"""),"هیأت")</f>
        <v>هیأت</v>
      </c>
      <c r="C5593" s="5" t="str">
        <f>IFERROR(__xludf.DUMMYFUNCTION("""COMPUTED_VALUE"""),"حضرت ابوالفضل(ع) (مسجد قبا)")</f>
        <v>حضرت ابوالفضل(ع) (مسجد قبا)</v>
      </c>
      <c r="D5593" s="5" t="str">
        <f>IFERROR(__xludf.DUMMYFUNCTION("""COMPUTED_VALUE"""),"اصفهان")</f>
        <v>اصفهان</v>
      </c>
      <c r="E5593" s="5" t="str">
        <f>IFERROR(__xludf.DUMMYFUNCTION("""COMPUTED_VALUE"""),"سمیرم")</f>
        <v>سمیرم</v>
      </c>
      <c r="F5593" s="5"/>
      <c r="G5593" s="5"/>
      <c r="H5593" s="6" t="str">
        <f>IFERROR(__xludf.DUMMYFUNCTION("""COMPUTED_VALUE"""),"https://www.instagram.com/heyat_hazrate.abalfazl")</f>
        <v>https://www.instagram.com/heyat_hazrate.abalfazl</v>
      </c>
      <c r="I5593" s="5"/>
      <c r="J5593" s="5"/>
      <c r="K5593" s="5"/>
      <c r="L5593" s="5"/>
      <c r="M5593" s="5"/>
      <c r="N5593" s="5"/>
      <c r="O5593" s="5"/>
      <c r="P5593" s="5"/>
      <c r="Q5593" s="5"/>
      <c r="R5593" s="5"/>
      <c r="S5593" s="5"/>
    </row>
    <row r="5594">
      <c r="A5594" s="5">
        <f>IFERROR(__xludf.DUMMYFUNCTION("""COMPUTED_VALUE"""),2034.0)</f>
        <v>2034</v>
      </c>
      <c r="B5594" s="5" t="str">
        <f>IFERROR(__xludf.DUMMYFUNCTION("""COMPUTED_VALUE"""),"هیأت")</f>
        <v>هیأت</v>
      </c>
      <c r="C5594" s="5" t="str">
        <f>IFERROR(__xludf.DUMMYFUNCTION("""COMPUTED_VALUE"""),"فرهنگی هنری حضرت علی اصغر(ع)")</f>
        <v>فرهنگی هنری حضرت علی اصغر(ع)</v>
      </c>
      <c r="D5594" s="5" t="str">
        <f>IFERROR(__xludf.DUMMYFUNCTION("""COMPUTED_VALUE"""),"اصفهان")</f>
        <v>اصفهان</v>
      </c>
      <c r="E5594" s="5" t="str">
        <f>IFERROR(__xludf.DUMMYFUNCTION("""COMPUTED_VALUE"""),"فلاورجان")</f>
        <v>فلاورجان</v>
      </c>
      <c r="F5594" s="5"/>
      <c r="G5594" s="5">
        <f>IFERROR(__xludf.DUMMYFUNCTION("""COMPUTED_VALUE"""),1.0)</f>
        <v>1</v>
      </c>
      <c r="H5594" s="6" t="str">
        <f>IFERROR(__xludf.DUMMYFUNCTION("""COMPUTED_VALUE"""),"https://www.instagram.com/ali_asghar_heiat")</f>
        <v>https://www.instagram.com/ali_asghar_heiat</v>
      </c>
      <c r="I5594" s="5"/>
      <c r="J5594" s="5"/>
      <c r="K5594" s="5"/>
      <c r="L5594" s="5"/>
      <c r="M5594" s="5"/>
      <c r="N5594" s="5"/>
      <c r="O5594" s="5"/>
      <c r="P5594" s="5"/>
      <c r="Q5594" s="5"/>
      <c r="R5594" s="5"/>
      <c r="S5594" s="5"/>
    </row>
    <row r="5595">
      <c r="A5595" s="5">
        <f>IFERROR(__xludf.DUMMYFUNCTION("""COMPUTED_VALUE"""),2035.0)</f>
        <v>2035</v>
      </c>
      <c r="B5595" s="5" t="str">
        <f>IFERROR(__xludf.DUMMYFUNCTION("""COMPUTED_VALUE"""),"هیأت")</f>
        <v>هیأت</v>
      </c>
      <c r="C5595" s="5" t="str">
        <f>IFERROR(__xludf.DUMMYFUNCTION("""COMPUTED_VALUE"""),"مجموعه فرهنگی رهپویان وصال")</f>
        <v>مجموعه فرهنگی رهپویان وصال</v>
      </c>
      <c r="D5595" s="5" t="str">
        <f>IFERROR(__xludf.DUMMYFUNCTION("""COMPUTED_VALUE"""),"اصفهان")</f>
        <v>اصفهان</v>
      </c>
      <c r="E5595" s="5" t="str">
        <f>IFERROR(__xludf.DUMMYFUNCTION("""COMPUTED_VALUE"""),"اصفهان")</f>
        <v>اصفهان</v>
      </c>
      <c r="F5595" s="5"/>
      <c r="G5595" s="5"/>
      <c r="H5595" s="5"/>
      <c r="I5595" s="5"/>
      <c r="J5595" s="6" t="str">
        <f>IFERROR(__xludf.DUMMYFUNCTION("""COMPUTED_VALUE"""),"https://eitaa.com/Rahpouyan_vesal_Isfahan")</f>
        <v>https://eitaa.com/Rahpouyan_vesal_Isfahan</v>
      </c>
      <c r="K5595" s="5"/>
      <c r="L5595" s="5"/>
      <c r="M5595" s="5"/>
      <c r="N5595" s="5"/>
      <c r="O5595" s="5"/>
      <c r="P5595" s="5"/>
      <c r="Q5595" s="5"/>
      <c r="R5595" s="5"/>
      <c r="S5595" s="5"/>
    </row>
    <row r="5596">
      <c r="A5596" s="5">
        <f>IFERROR(__xludf.DUMMYFUNCTION("""COMPUTED_VALUE"""),2036.0)</f>
        <v>2036</v>
      </c>
      <c r="B5596" s="5" t="str">
        <f>IFERROR(__xludf.DUMMYFUNCTION("""COMPUTED_VALUE"""),"هیأت")</f>
        <v>هیأت</v>
      </c>
      <c r="C5596" s="5" t="str">
        <f>IFERROR(__xludf.DUMMYFUNCTION("""COMPUTED_VALUE"""),"امام حسن مجتبی (ع)")</f>
        <v>امام حسن مجتبی (ع)</v>
      </c>
      <c r="D5596" s="5" t="str">
        <f>IFERROR(__xludf.DUMMYFUNCTION("""COMPUTED_VALUE"""),"اصفهان")</f>
        <v>اصفهان</v>
      </c>
      <c r="E5596" s="5" t="str">
        <f>IFERROR(__xludf.DUMMYFUNCTION("""COMPUTED_VALUE"""),"نجف آباد")</f>
        <v>نجف آباد</v>
      </c>
      <c r="F5596" s="5"/>
      <c r="G5596" s="5"/>
      <c r="H5596" s="5"/>
      <c r="I5596" s="5"/>
      <c r="J5596" s="6" t="str">
        <f>IFERROR(__xludf.DUMMYFUNCTION("""COMPUTED_VALUE"""),"https://eitaa.com/emamhasan_njf")</f>
        <v>https://eitaa.com/emamhasan_njf</v>
      </c>
      <c r="K5596" s="5"/>
      <c r="L5596" s="5"/>
      <c r="M5596" s="5"/>
      <c r="N5596" s="5"/>
      <c r="O5596" s="5"/>
      <c r="P5596" s="5"/>
      <c r="Q5596" s="5"/>
      <c r="R5596" s="5"/>
      <c r="S5596" s="5"/>
    </row>
    <row r="5597">
      <c r="A5597" s="5">
        <f>IFERROR(__xludf.DUMMYFUNCTION("""COMPUTED_VALUE"""),2039.0)</f>
        <v>2039</v>
      </c>
      <c r="B5597" s="5" t="str">
        <f>IFERROR(__xludf.DUMMYFUNCTION("""COMPUTED_VALUE"""),"هیأت")</f>
        <v>هیأت</v>
      </c>
      <c r="C5597" s="5" t="str">
        <f>IFERROR(__xludf.DUMMYFUNCTION("""COMPUTED_VALUE"""),"علمدار (حوزه علمیه)")</f>
        <v>علمدار (حوزه علمیه)</v>
      </c>
      <c r="D5597" s="5" t="str">
        <f>IFERROR(__xludf.DUMMYFUNCTION("""COMPUTED_VALUE"""),"اصفهان")</f>
        <v>اصفهان</v>
      </c>
      <c r="E5597" s="5" t="str">
        <f>IFERROR(__xludf.DUMMYFUNCTION("""COMPUTED_VALUE"""),"نجف آباد")</f>
        <v>نجف آباد</v>
      </c>
      <c r="F5597" s="5"/>
      <c r="G5597" s="5"/>
      <c r="H5597" s="6" t="str">
        <f>IFERROR(__xludf.DUMMYFUNCTION("""COMPUTED_VALUE"""),"https://www.instagram.com/alamdarenajaf")</f>
        <v>https://www.instagram.com/alamdarenajaf</v>
      </c>
      <c r="I5597" s="5"/>
      <c r="J5597" s="5"/>
      <c r="K5597" s="5"/>
      <c r="L5597" s="5"/>
      <c r="M5597" s="5"/>
      <c r="N5597" s="5"/>
      <c r="O5597" s="5"/>
      <c r="P5597" s="5"/>
      <c r="Q5597" s="5"/>
      <c r="R5597" s="5"/>
      <c r="S5597" s="5"/>
    </row>
    <row r="5598">
      <c r="A5598" s="5">
        <f>IFERROR(__xludf.DUMMYFUNCTION("""COMPUTED_VALUE"""),2040.0)</f>
        <v>2040</v>
      </c>
      <c r="B5598" s="5" t="str">
        <f>IFERROR(__xludf.DUMMYFUNCTION("""COMPUTED_VALUE"""),"هیأت")</f>
        <v>هیأت</v>
      </c>
      <c r="C5598" s="5" t="str">
        <f>IFERROR(__xludf.DUMMYFUNCTION("""COMPUTED_VALUE"""),"فاطمیون")</f>
        <v>فاطمیون</v>
      </c>
      <c r="D5598" s="5" t="str">
        <f>IFERROR(__xludf.DUMMYFUNCTION("""COMPUTED_VALUE"""),"اصفهان")</f>
        <v>اصفهان</v>
      </c>
      <c r="E5598" s="5" t="str">
        <f>IFERROR(__xludf.DUMMYFUNCTION("""COMPUTED_VALUE"""),"سمیرم")</f>
        <v>سمیرم</v>
      </c>
      <c r="F5598" s="5"/>
      <c r="G5598" s="5"/>
      <c r="H5598" s="6" t="str">
        <f>IFERROR(__xludf.DUMMYFUNCTION("""COMPUTED_VALUE"""),"https://www.instagram.com/fatemyoun_ir")</f>
        <v>https://www.instagram.com/fatemyoun_ir</v>
      </c>
      <c r="I5598" s="5"/>
      <c r="J5598" s="6" t="str">
        <f>IFERROR(__xludf.DUMMYFUNCTION("""COMPUTED_VALUE"""),"https://eitaa.com/fatemyoon")</f>
        <v>https://eitaa.com/fatemyoon</v>
      </c>
      <c r="K5598" s="5"/>
      <c r="L5598" s="5"/>
      <c r="M5598" s="5"/>
      <c r="N5598" s="5"/>
      <c r="O5598" s="5"/>
      <c r="P5598" s="5"/>
      <c r="Q5598" s="5"/>
      <c r="R5598" s="5"/>
      <c r="S5598" s="5"/>
    </row>
    <row r="5599">
      <c r="A5599" s="5">
        <f>IFERROR(__xludf.DUMMYFUNCTION("""COMPUTED_VALUE"""),2041.0)</f>
        <v>2041</v>
      </c>
      <c r="B5599" s="5" t="str">
        <f>IFERROR(__xludf.DUMMYFUNCTION("""COMPUTED_VALUE"""),"هیأت")</f>
        <v>هیأت</v>
      </c>
      <c r="C5599" s="5" t="str">
        <f>IFERROR(__xludf.DUMMYFUNCTION("""COMPUTED_VALUE"""),"فرهنگی محبان الرضا (ع)")</f>
        <v>فرهنگی محبان الرضا (ع)</v>
      </c>
      <c r="D5599" s="5" t="str">
        <f>IFERROR(__xludf.DUMMYFUNCTION("""COMPUTED_VALUE"""),"اصفهان")</f>
        <v>اصفهان</v>
      </c>
      <c r="E5599" s="5" t="str">
        <f>IFERROR(__xludf.DUMMYFUNCTION("""COMPUTED_VALUE"""),"اصفهان")</f>
        <v>اصفهان</v>
      </c>
      <c r="F5599" s="5"/>
      <c r="G5599" s="5"/>
      <c r="H5599" s="6" t="str">
        <f>IFERROR(__xludf.DUMMYFUNCTION("""COMPUTED_VALUE"""),"https://www.instagram.com/mohebanreza_ir/")</f>
        <v>https://www.instagram.com/mohebanreza_ir/</v>
      </c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</row>
    <row r="5600">
      <c r="A5600" s="5">
        <f>IFERROR(__xludf.DUMMYFUNCTION("""COMPUTED_VALUE"""),2042.0)</f>
        <v>2042</v>
      </c>
      <c r="B5600" s="5" t="str">
        <f>IFERROR(__xludf.DUMMYFUNCTION("""COMPUTED_VALUE"""),"هیأت")</f>
        <v>هیأت</v>
      </c>
      <c r="C5600" s="5" t="str">
        <f>IFERROR(__xludf.DUMMYFUNCTION("""COMPUTED_VALUE"""),"محبان حضرت زهرا (س)")</f>
        <v>محبان حضرت زهرا (س)</v>
      </c>
      <c r="D5600" s="5" t="str">
        <f>IFERROR(__xludf.DUMMYFUNCTION("""COMPUTED_VALUE"""),"اصفهان")</f>
        <v>اصفهان</v>
      </c>
      <c r="E5600" s="5" t="str">
        <f>IFERROR(__xludf.DUMMYFUNCTION("""COMPUTED_VALUE"""),"اصفهان")</f>
        <v>اصفهان</v>
      </c>
      <c r="F5600" s="5"/>
      <c r="G5600" s="5"/>
      <c r="H5600" s="6" t="str">
        <f>IFERROR(__xludf.DUMMYFUNCTION("""COMPUTED_VALUE"""),"https://www.instagram.com/mohebanozahra_esf")</f>
        <v>https://www.instagram.com/mohebanozahra_esf</v>
      </c>
      <c r="I5600" s="6" t="str">
        <f>IFERROR(__xludf.DUMMYFUNCTION("""COMPUTED_VALUE"""),"https://t.me/mohebanozahra_esf")</f>
        <v>https://t.me/mohebanozahra_esf</v>
      </c>
      <c r="J5600" s="5"/>
      <c r="K5600" s="5"/>
      <c r="L5600" s="5"/>
      <c r="M5600" s="5"/>
      <c r="N5600" s="5"/>
      <c r="O5600" s="5"/>
      <c r="P5600" s="5"/>
      <c r="Q5600" s="5"/>
      <c r="R5600" s="5"/>
      <c r="S5600" s="5"/>
    </row>
    <row r="5601">
      <c r="A5601" s="5">
        <f>IFERROR(__xludf.DUMMYFUNCTION("""COMPUTED_VALUE"""),2043.0)</f>
        <v>2043</v>
      </c>
      <c r="B5601" s="5" t="str">
        <f>IFERROR(__xludf.DUMMYFUNCTION("""COMPUTED_VALUE"""),"هیأت")</f>
        <v>هیأت</v>
      </c>
      <c r="C5601" s="5" t="str">
        <f>IFERROR(__xludf.DUMMYFUNCTION("""COMPUTED_VALUE"""),"رهروان شهدا")</f>
        <v>رهروان شهدا</v>
      </c>
      <c r="D5601" s="5" t="str">
        <f>IFERROR(__xludf.DUMMYFUNCTION("""COMPUTED_VALUE"""),"اصفهان")</f>
        <v>اصفهان</v>
      </c>
      <c r="E5601" s="5" t="str">
        <f>IFERROR(__xludf.DUMMYFUNCTION("""COMPUTED_VALUE"""),"شهرضا")</f>
        <v>شهرضا</v>
      </c>
      <c r="F5601" s="5"/>
      <c r="G5601" s="5"/>
      <c r="H5601" s="6" t="str">
        <f>IFERROR(__xludf.DUMMYFUNCTION("""COMPUTED_VALUE"""),"https://www.instagram.com/rahrovanshohadash")</f>
        <v>https://www.instagram.com/rahrovanshohadash</v>
      </c>
      <c r="I5601" s="5"/>
      <c r="J5601" s="6" t="str">
        <f>IFERROR(__xludf.DUMMYFUNCTION("""COMPUTED_VALUE"""),"https://eitaa.com/rahrovanshohadash")</f>
        <v>https://eitaa.com/rahrovanshohadash</v>
      </c>
      <c r="K5601" s="5"/>
      <c r="L5601" s="5"/>
      <c r="M5601" s="5"/>
      <c r="N5601" s="5"/>
      <c r="O5601" s="5"/>
      <c r="P5601" s="5"/>
      <c r="Q5601" s="5"/>
      <c r="R5601" s="5"/>
      <c r="S5601" s="5"/>
    </row>
    <row r="5602">
      <c r="A5602" s="5">
        <f>IFERROR(__xludf.DUMMYFUNCTION("""COMPUTED_VALUE"""),2044.0)</f>
        <v>2044</v>
      </c>
      <c r="B5602" s="5" t="str">
        <f>IFERROR(__xludf.DUMMYFUNCTION("""COMPUTED_VALUE"""),"هیأت")</f>
        <v>هیأت</v>
      </c>
      <c r="C5602" s="5" t="str">
        <f>IFERROR(__xludf.DUMMYFUNCTION("""COMPUTED_VALUE"""),"مرکز فرهنگی آینه هیات رواق الحسین (ع)")</f>
        <v>مرکز فرهنگی آینه هیات رواق الحسین (ع)</v>
      </c>
      <c r="D5602" s="5" t="str">
        <f>IFERROR(__xludf.DUMMYFUNCTION("""COMPUTED_VALUE"""),"اصفهان")</f>
        <v>اصفهان</v>
      </c>
      <c r="E5602" s="5" t="str">
        <f>IFERROR(__xludf.DUMMYFUNCTION("""COMPUTED_VALUE"""),"اصفهان")</f>
        <v>اصفهان</v>
      </c>
      <c r="F5602" s="5"/>
      <c r="G5602" s="5"/>
      <c r="H5602" s="5"/>
      <c r="I5602" s="5"/>
      <c r="J5602" s="6" t="str">
        <f>IFERROR(__xludf.DUMMYFUNCTION("""COMPUTED_VALUE"""),"https://eitaa.com/ayene_ir")</f>
        <v>https://eitaa.com/ayene_ir</v>
      </c>
      <c r="K5602" s="5"/>
      <c r="L5602" s="5"/>
      <c r="M5602" s="5"/>
      <c r="N5602" s="5"/>
      <c r="O5602" s="5"/>
      <c r="P5602" s="5"/>
      <c r="Q5602" s="5"/>
      <c r="R5602" s="5"/>
      <c r="S5602" s="5"/>
    </row>
    <row r="5603">
      <c r="A5603" s="5">
        <f>IFERROR(__xludf.DUMMYFUNCTION("""COMPUTED_VALUE"""),2047.0)</f>
        <v>2047</v>
      </c>
      <c r="B5603" s="5" t="str">
        <f>IFERROR(__xludf.DUMMYFUNCTION("""COMPUTED_VALUE"""),"هیأت")</f>
        <v>هیأت</v>
      </c>
      <c r="C5603" s="5" t="str">
        <f>IFERROR(__xludf.DUMMYFUNCTION("""COMPUTED_VALUE"""),"جوانان انصارالحسین (ع)")</f>
        <v>جوانان انصارالحسین (ع)</v>
      </c>
      <c r="D5603" s="5" t="str">
        <f>IFERROR(__xludf.DUMMYFUNCTION("""COMPUTED_VALUE"""),"اصفهان")</f>
        <v>اصفهان</v>
      </c>
      <c r="E5603" s="5" t="str">
        <f>IFERROR(__xludf.DUMMYFUNCTION("""COMPUTED_VALUE"""),"گلپایگان")</f>
        <v>گلپایگان</v>
      </c>
      <c r="F5603" s="5"/>
      <c r="G5603" s="5">
        <f>IFERROR(__xludf.DUMMYFUNCTION("""COMPUTED_VALUE"""),1.0)</f>
        <v>1</v>
      </c>
      <c r="H5603" s="5"/>
      <c r="I5603" s="6" t="str">
        <f>IFERROR(__xludf.DUMMYFUNCTION("""COMPUTED_VALUE"""),"https://t.me/javanan_ansarolhosein_1393")</f>
        <v>https://t.me/javanan_ansarolhosein_1393</v>
      </c>
      <c r="J5603" s="5"/>
      <c r="K5603" s="5"/>
      <c r="L5603" s="5"/>
      <c r="M5603" s="5"/>
      <c r="N5603" s="5"/>
      <c r="O5603" s="5"/>
      <c r="P5603" s="5"/>
      <c r="Q5603" s="5"/>
      <c r="R5603" s="5"/>
      <c r="S5603" s="5"/>
    </row>
    <row r="5604">
      <c r="A5604" s="5">
        <f>IFERROR(__xludf.DUMMYFUNCTION("""COMPUTED_VALUE"""),2048.0)</f>
        <v>2048</v>
      </c>
      <c r="B5604" s="5" t="str">
        <f>IFERROR(__xludf.DUMMYFUNCTION("""COMPUTED_VALUE"""),"هیأت")</f>
        <v>هیأت</v>
      </c>
      <c r="C5604" s="5" t="str">
        <f>IFERROR(__xludf.DUMMYFUNCTION("""COMPUTED_VALUE"""),"غریب مدینه امام حسن مجتبی (ع)")</f>
        <v>غریب مدینه امام حسن مجتبی (ع)</v>
      </c>
      <c r="D5604" s="5" t="str">
        <f>IFERROR(__xludf.DUMMYFUNCTION("""COMPUTED_VALUE"""),"اصفهان")</f>
        <v>اصفهان</v>
      </c>
      <c r="E5604" s="5" t="str">
        <f>IFERROR(__xludf.DUMMYFUNCTION("""COMPUTED_VALUE"""),"اصفهان")</f>
        <v>اصفهان</v>
      </c>
      <c r="F5604" s="5"/>
      <c r="G5604" s="5"/>
      <c r="H5604" s="6" t="str">
        <f>IFERROR(__xludf.DUMMYFUNCTION("""COMPUTED_VALUE"""),"https://www.instagram.com/gharibmadine1")</f>
        <v>https://www.instagram.com/gharibmadine1</v>
      </c>
      <c r="I5604" s="5"/>
      <c r="J5604" s="6" t="str">
        <f>IFERROR(__xludf.DUMMYFUNCTION("""COMPUTED_VALUE"""),"https://eitaa.com/gharibmadine1")</f>
        <v>https://eitaa.com/gharibmadine1</v>
      </c>
      <c r="K5604" s="5"/>
      <c r="L5604" s="5"/>
      <c r="M5604" s="5"/>
      <c r="N5604" s="5"/>
      <c r="O5604" s="5"/>
      <c r="P5604" s="5"/>
      <c r="Q5604" s="5"/>
      <c r="R5604" s="5"/>
      <c r="S5604" s="5"/>
    </row>
    <row r="5605">
      <c r="A5605" s="5">
        <f>IFERROR(__xludf.DUMMYFUNCTION("""COMPUTED_VALUE"""),2057.0)</f>
        <v>2057</v>
      </c>
      <c r="B5605" s="5" t="str">
        <f>IFERROR(__xludf.DUMMYFUNCTION("""COMPUTED_VALUE"""),"گروه سرود")</f>
        <v>گروه سرود</v>
      </c>
      <c r="C5605" s="5" t="str">
        <f>IFERROR(__xludf.DUMMYFUNCTION("""COMPUTED_VALUE"""),"رهپویان ولایت")</f>
        <v>رهپویان ولایت</v>
      </c>
      <c r="D5605" s="5" t="str">
        <f>IFERROR(__xludf.DUMMYFUNCTION("""COMPUTED_VALUE"""),"اصفهان")</f>
        <v>اصفهان</v>
      </c>
      <c r="E5605" s="5" t="str">
        <f>IFERROR(__xludf.DUMMYFUNCTION("""COMPUTED_VALUE"""),"اصفهان")</f>
        <v>اصفهان</v>
      </c>
      <c r="F5605" s="5"/>
      <c r="G5605" s="5"/>
      <c r="H5605" s="5"/>
      <c r="I5605" s="5"/>
      <c r="J5605" s="6" t="str">
        <f>IFERROR(__xludf.DUMMYFUNCTION("""COMPUTED_VALUE"""),"https://eitaa.com/Rahpoooyan")</f>
        <v>https://eitaa.com/Rahpoooyan</v>
      </c>
      <c r="K5605" s="5"/>
      <c r="L5605" s="5"/>
      <c r="M5605" s="5"/>
      <c r="N5605" s="5"/>
      <c r="O5605" s="5"/>
      <c r="P5605" s="5"/>
      <c r="Q5605" s="5"/>
      <c r="R5605" s="5"/>
      <c r="S5605" s="5"/>
    </row>
    <row r="5606">
      <c r="A5606" s="5">
        <f>IFERROR(__xludf.DUMMYFUNCTION("""COMPUTED_VALUE"""),2058.0)</f>
        <v>2058</v>
      </c>
      <c r="B5606" s="5" t="str">
        <f>IFERROR(__xludf.DUMMYFUNCTION("""COMPUTED_VALUE"""),"هیأت")</f>
        <v>هیأت</v>
      </c>
      <c r="C5606" s="5" t="str">
        <f>IFERROR(__xludf.DUMMYFUNCTION("""COMPUTED_VALUE"""),"عشاق الحیدر(ع)")</f>
        <v>عشاق الحیدر(ع)</v>
      </c>
      <c r="D5606" s="5" t="str">
        <f>IFERROR(__xludf.DUMMYFUNCTION("""COMPUTED_VALUE"""),"اصفهان")</f>
        <v>اصفهان</v>
      </c>
      <c r="E5606" s="5" t="str">
        <f>IFERROR(__xludf.DUMMYFUNCTION("""COMPUTED_VALUE"""),"کاشان")</f>
        <v>کاشان</v>
      </c>
      <c r="F5606" s="5"/>
      <c r="G5606" s="5"/>
      <c r="H5606" s="6" t="str">
        <f>IFERROR(__xludf.DUMMYFUNCTION("""COMPUTED_VALUE"""),"https://www.instagram.com/oshagh_alheidar_kashan")</f>
        <v>https://www.instagram.com/oshagh_alheidar_kashan</v>
      </c>
      <c r="I5606" s="6" t="str">
        <f>IFERROR(__xludf.DUMMYFUNCTION("""COMPUTED_VALUE"""),"https://t.me/heiatnama_ir")</f>
        <v>https://t.me/heiatnama_ir</v>
      </c>
      <c r="J5606" s="6" t="str">
        <f>IFERROR(__xludf.DUMMYFUNCTION("""COMPUTED_VALUE"""),"https://eitaa.com/oshaghalheidarkashan")</f>
        <v>https://eitaa.com/oshaghalheidarkashan</v>
      </c>
      <c r="K5606" s="5"/>
      <c r="L5606" s="5"/>
      <c r="M5606" s="5"/>
      <c r="N5606" s="5"/>
      <c r="O5606" s="5"/>
      <c r="P5606" s="5"/>
      <c r="Q5606" s="5"/>
      <c r="R5606" s="5"/>
      <c r="S5606" s="5"/>
    </row>
    <row r="5607">
      <c r="A5607" s="5">
        <f>IFERROR(__xludf.DUMMYFUNCTION("""COMPUTED_VALUE"""),2060.0)</f>
        <v>2060</v>
      </c>
      <c r="B5607" s="5" t="str">
        <f>IFERROR(__xludf.DUMMYFUNCTION("""COMPUTED_VALUE"""),"هیأت")</f>
        <v>هیأت</v>
      </c>
      <c r="C5607" s="5" t="str">
        <f>IFERROR(__xludf.DUMMYFUNCTION("""COMPUTED_VALUE"""),"ام الحسنین(س)")</f>
        <v>ام الحسنین(س)</v>
      </c>
      <c r="D5607" s="5" t="str">
        <f>IFERROR(__xludf.DUMMYFUNCTION("""COMPUTED_VALUE"""),"اصفهان")</f>
        <v>اصفهان</v>
      </c>
      <c r="E5607" s="5" t="str">
        <f>IFERROR(__xludf.DUMMYFUNCTION("""COMPUTED_VALUE"""),"اصفهان")</f>
        <v>اصفهان</v>
      </c>
      <c r="F5607" s="5"/>
      <c r="G5607" s="5"/>
      <c r="H5607" s="6" t="str">
        <f>IFERROR(__xludf.DUMMYFUNCTION("""COMPUTED_VALUE"""),"https://www.instagram.com/ommolhasanein")</f>
        <v>https://www.instagram.com/ommolhasanein</v>
      </c>
      <c r="I5607" s="5"/>
      <c r="J5607" s="5"/>
      <c r="K5607" s="5"/>
      <c r="L5607" s="5"/>
      <c r="M5607" s="5"/>
      <c r="N5607" s="5"/>
      <c r="O5607" s="5"/>
      <c r="P5607" s="5"/>
      <c r="Q5607" s="5"/>
      <c r="R5607" s="5"/>
      <c r="S5607" s="5"/>
    </row>
    <row r="5608">
      <c r="A5608" s="5">
        <f>IFERROR(__xludf.DUMMYFUNCTION("""COMPUTED_VALUE"""),2065.0)</f>
        <v>2065</v>
      </c>
      <c r="B5608" s="5" t="str">
        <f>IFERROR(__xludf.DUMMYFUNCTION("""COMPUTED_VALUE"""),"هیأت")</f>
        <v>هیأت</v>
      </c>
      <c r="C5608" s="5" t="str">
        <f>IFERROR(__xludf.DUMMYFUNCTION("""COMPUTED_VALUE"""),"دین پژوهان حسینی")</f>
        <v>دین پژوهان حسینی</v>
      </c>
      <c r="D5608" s="5" t="str">
        <f>IFERROR(__xludf.DUMMYFUNCTION("""COMPUTED_VALUE"""),"اصفهان")</f>
        <v>اصفهان</v>
      </c>
      <c r="E5608" s="5" t="str">
        <f>IFERROR(__xludf.DUMMYFUNCTION("""COMPUTED_VALUE"""),"اصفهان")</f>
        <v>اصفهان</v>
      </c>
      <c r="F5608" s="5"/>
      <c r="G5608" s="5"/>
      <c r="H5608" s="6" t="str">
        <f>IFERROR(__xludf.DUMMYFUNCTION("""COMPUTED_VALUE"""),"https://www.instagram.com/din.pazhohan")</f>
        <v>https://www.instagram.com/din.pazhohan</v>
      </c>
      <c r="I5608" s="5"/>
      <c r="J5608" s="5"/>
      <c r="K5608" s="5"/>
      <c r="L5608" s="5"/>
      <c r="M5608" s="5"/>
      <c r="N5608" s="5"/>
      <c r="O5608" s="5"/>
      <c r="P5608" s="5"/>
      <c r="Q5608" s="5"/>
      <c r="R5608" s="5"/>
      <c r="S5608" s="5"/>
    </row>
    <row r="5609">
      <c r="A5609" s="5">
        <f>IFERROR(__xludf.DUMMYFUNCTION("""COMPUTED_VALUE"""),2068.0)</f>
        <v>2068</v>
      </c>
      <c r="B5609" s="5" t="str">
        <f>IFERROR(__xludf.DUMMYFUNCTION("""COMPUTED_VALUE"""),"هیأت")</f>
        <v>هیأت</v>
      </c>
      <c r="C5609" s="5" t="str">
        <f>IFERROR(__xludf.DUMMYFUNCTION("""COMPUTED_VALUE"""),"عاشقان ثارالله(ع)")</f>
        <v>عاشقان ثارالله(ع)</v>
      </c>
      <c r="D5609" s="5" t="str">
        <f>IFERROR(__xludf.DUMMYFUNCTION("""COMPUTED_VALUE"""),"اصفهان")</f>
        <v>اصفهان</v>
      </c>
      <c r="E5609" s="5" t="str">
        <f>IFERROR(__xludf.DUMMYFUNCTION("""COMPUTED_VALUE"""),"اصفهان")</f>
        <v>اصفهان</v>
      </c>
      <c r="F5609" s="5"/>
      <c r="G5609" s="5"/>
      <c r="H5609" s="6" t="str">
        <f>IFERROR(__xludf.DUMMYFUNCTION("""COMPUTED_VALUE"""),"https://www.instagram.com/asheghan_sarallah_isfahan")</f>
        <v>https://www.instagram.com/asheghan_sarallah_isfahan</v>
      </c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</row>
    <row r="5610">
      <c r="A5610" s="5">
        <f>IFERROR(__xludf.DUMMYFUNCTION("""COMPUTED_VALUE"""),2069.0)</f>
        <v>2069</v>
      </c>
      <c r="B5610" s="5" t="str">
        <f>IFERROR(__xludf.DUMMYFUNCTION("""COMPUTED_VALUE"""),"هیأت")</f>
        <v>هیأت</v>
      </c>
      <c r="C5610" s="5" t="str">
        <f>IFERROR(__xludf.DUMMYFUNCTION("""COMPUTED_VALUE"""),"عاشقان حسین(ع)")</f>
        <v>عاشقان حسین(ع)</v>
      </c>
      <c r="D5610" s="5" t="str">
        <f>IFERROR(__xludf.DUMMYFUNCTION("""COMPUTED_VALUE"""),"اصفهان")</f>
        <v>اصفهان</v>
      </c>
      <c r="E5610" s="5" t="str">
        <f>IFERROR(__xludf.DUMMYFUNCTION("""COMPUTED_VALUE"""),"اصفهان")</f>
        <v>اصفهان</v>
      </c>
      <c r="F5610" s="5"/>
      <c r="G5610" s="5"/>
      <c r="H5610" s="6" t="str">
        <f>IFERROR(__xludf.DUMMYFUNCTION("""COMPUTED_VALUE"""),"https://www.instagram.com/ashegan.imam_hosuen")</f>
        <v>https://www.instagram.com/ashegan.imam_hosuen</v>
      </c>
      <c r="I5610" s="5"/>
      <c r="J5610" s="5"/>
      <c r="K5610" s="5"/>
      <c r="L5610" s="5"/>
      <c r="M5610" s="5"/>
      <c r="N5610" s="5"/>
      <c r="O5610" s="5"/>
      <c r="P5610" s="5"/>
      <c r="Q5610" s="5"/>
      <c r="R5610" s="5"/>
      <c r="S5610" s="5"/>
    </row>
    <row r="5611">
      <c r="A5611" s="5">
        <f>IFERROR(__xludf.DUMMYFUNCTION("""COMPUTED_VALUE"""),2070.0)</f>
        <v>2070</v>
      </c>
      <c r="B5611" s="5" t="str">
        <f>IFERROR(__xludf.DUMMYFUNCTION("""COMPUTED_VALUE"""),"هیأت")</f>
        <v>هیأت</v>
      </c>
      <c r="C5611" s="5" t="str">
        <f>IFERROR(__xludf.DUMMYFUNCTION("""COMPUTED_VALUE"""),"عرشیان")</f>
        <v>عرشیان</v>
      </c>
      <c r="D5611" s="5" t="str">
        <f>IFERROR(__xludf.DUMMYFUNCTION("""COMPUTED_VALUE"""),"اصفهان")</f>
        <v>اصفهان</v>
      </c>
      <c r="E5611" s="5" t="str">
        <f>IFERROR(__xludf.DUMMYFUNCTION("""COMPUTED_VALUE"""),"اصفهان")</f>
        <v>اصفهان</v>
      </c>
      <c r="F5611" s="5"/>
      <c r="G5611" s="5"/>
      <c r="H5611" s="6" t="str">
        <f>IFERROR(__xludf.DUMMYFUNCTION("""COMPUTED_VALUE"""),"https://www.instagram.com/arshian._133")</f>
        <v>https://www.instagram.com/arshian._133</v>
      </c>
      <c r="I5611" s="5"/>
      <c r="J5611" s="6" t="str">
        <f>IFERROR(__xludf.DUMMYFUNCTION("""COMPUTED_VALUE"""),"https://eitaa.com/arshian133")</f>
        <v>https://eitaa.com/arshian133</v>
      </c>
      <c r="K5611" s="5"/>
      <c r="L5611" s="5"/>
      <c r="M5611" s="5"/>
      <c r="N5611" s="5"/>
      <c r="O5611" s="5"/>
      <c r="P5611" s="5"/>
      <c r="Q5611" s="5"/>
      <c r="R5611" s="5"/>
      <c r="S5611" s="5"/>
    </row>
    <row r="5612">
      <c r="A5612" s="5">
        <f>IFERROR(__xludf.DUMMYFUNCTION("""COMPUTED_VALUE"""),2075.0)</f>
        <v>2075</v>
      </c>
      <c r="B5612" s="5" t="str">
        <f>IFERROR(__xludf.DUMMYFUNCTION("""COMPUTED_VALUE"""),"هیأت")</f>
        <v>هیأت</v>
      </c>
      <c r="C5612" s="5" t="str">
        <f>IFERROR(__xludf.DUMMYFUNCTION("""COMPUTED_VALUE"""),"محبان الحسین (ع)")</f>
        <v>محبان الحسین (ع)</v>
      </c>
      <c r="D5612" s="5" t="str">
        <f>IFERROR(__xludf.DUMMYFUNCTION("""COMPUTED_VALUE"""),"اصفهان")</f>
        <v>اصفهان</v>
      </c>
      <c r="E5612" s="5" t="str">
        <f>IFERROR(__xludf.DUMMYFUNCTION("""COMPUTED_VALUE"""),"اصفهان")</f>
        <v>اصفهان</v>
      </c>
      <c r="F5612" s="5"/>
      <c r="G5612" s="5"/>
      <c r="H5612" s="5"/>
      <c r="I5612" s="5"/>
      <c r="J5612" s="6" t="str">
        <f>IFERROR(__xludf.DUMMYFUNCTION("""COMPUTED_VALUE"""),"https://eitaa.com/mohebanolhosain1364")</f>
        <v>https://eitaa.com/mohebanolhosain1364</v>
      </c>
      <c r="K5612" s="5"/>
      <c r="L5612" s="5"/>
      <c r="M5612" s="5"/>
      <c r="N5612" s="5"/>
      <c r="O5612" s="5"/>
      <c r="P5612" s="5"/>
      <c r="Q5612" s="5"/>
      <c r="R5612" s="5"/>
      <c r="S5612" s="5"/>
    </row>
    <row r="5613">
      <c r="A5613" s="5">
        <f>IFERROR(__xludf.DUMMYFUNCTION("""COMPUTED_VALUE"""),2084.0)</f>
        <v>2084</v>
      </c>
      <c r="B5613" s="5" t="str">
        <f>IFERROR(__xludf.DUMMYFUNCTION("""COMPUTED_VALUE"""),"هیأت")</f>
        <v>هیأت</v>
      </c>
      <c r="C5613" s="5" t="str">
        <f>IFERROR(__xludf.DUMMYFUNCTION("""COMPUTED_VALUE"""),"فرخیقمربنی هاشم (ع)")</f>
        <v>فرخیقمربنی هاشم (ع)</v>
      </c>
      <c r="D5613" s="5" t="str">
        <f>IFERROR(__xludf.DUMMYFUNCTION("""COMPUTED_VALUE"""),"اصفهان ")</f>
        <v>اصفهان </v>
      </c>
      <c r="E5613" s="5" t="str">
        <f>IFERROR(__xludf.DUMMYFUNCTION("""COMPUTED_VALUE"""),"فرخی")</f>
        <v>فرخی</v>
      </c>
      <c r="F5613" s="5"/>
      <c r="G5613" s="5"/>
      <c r="H5613" s="5"/>
      <c r="I5613" s="5"/>
      <c r="J5613" s="6" t="str">
        <f>IFERROR(__xludf.DUMMYFUNCTION("""COMPUTED_VALUE"""),"https://eitaa.com/kanoon_sagha")</f>
        <v>https://eitaa.com/kanoon_sagha</v>
      </c>
      <c r="K5613" s="5"/>
      <c r="L5613" s="5"/>
      <c r="M5613" s="5"/>
      <c r="N5613" s="5"/>
      <c r="O5613" s="5"/>
      <c r="P5613" s="5"/>
      <c r="Q5613" s="5"/>
      <c r="R5613" s="5"/>
      <c r="S5613" s="5"/>
    </row>
    <row r="5614">
      <c r="A5614" s="5">
        <f>IFERROR(__xludf.DUMMYFUNCTION("""COMPUTED_VALUE"""),2086.0)</f>
        <v>2086</v>
      </c>
      <c r="B5614" s="5" t="str">
        <f>IFERROR(__xludf.DUMMYFUNCTION("""COMPUTED_VALUE"""),"هیأت")</f>
        <v>هیأت</v>
      </c>
      <c r="C5614" s="5" t="str">
        <f>IFERROR(__xludf.DUMMYFUNCTION("""COMPUTED_VALUE"""),"امام هادی (ع)")</f>
        <v>امام هادی (ع)</v>
      </c>
      <c r="D5614" s="5" t="str">
        <f>IFERROR(__xludf.DUMMYFUNCTION("""COMPUTED_VALUE"""),"اصفهان")</f>
        <v>اصفهان</v>
      </c>
      <c r="E5614" s="5" t="str">
        <f>IFERROR(__xludf.DUMMYFUNCTION("""COMPUTED_VALUE"""),"فلاورجان")</f>
        <v>فلاورجان</v>
      </c>
      <c r="F5614" s="5"/>
      <c r="G5614" s="5">
        <f>IFERROR(__xludf.DUMMYFUNCTION("""COMPUTED_VALUE"""),1.0)</f>
        <v>1</v>
      </c>
      <c r="H5614" s="6" t="str">
        <f>IFERROR(__xludf.DUMMYFUNCTION("""COMPUTED_VALUE"""),"https://www.instagram.com/heyate.emamhadi")</f>
        <v>https://www.instagram.com/heyate.emamhadi</v>
      </c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</row>
    <row r="5615">
      <c r="A5615" s="5">
        <f>IFERROR(__xludf.DUMMYFUNCTION("""COMPUTED_VALUE"""),2090.0)</f>
        <v>2090</v>
      </c>
      <c r="B5615" s="5" t="str">
        <f>IFERROR(__xludf.DUMMYFUNCTION("""COMPUTED_VALUE"""),"هیأت")</f>
        <v>هیأت</v>
      </c>
      <c r="C5615" s="5" t="str">
        <f>IFERROR(__xludf.DUMMYFUNCTION("""COMPUTED_VALUE"""),"جوانان عاشورائی (رزمندگان اسلام)")</f>
        <v>جوانان عاشورائی (رزمندگان اسلام)</v>
      </c>
      <c r="D5615" s="5" t="str">
        <f>IFERROR(__xludf.DUMMYFUNCTION("""COMPUTED_VALUE"""),"اصفهان")</f>
        <v>اصفهان</v>
      </c>
      <c r="E5615" s="5" t="str">
        <f>IFERROR(__xludf.DUMMYFUNCTION("""COMPUTED_VALUE"""),"بهارستان")</f>
        <v>بهارستان</v>
      </c>
      <c r="F5615" s="5"/>
      <c r="G5615" s="5"/>
      <c r="H5615" s="5"/>
      <c r="I5615" s="5"/>
      <c r="J5615" s="6" t="str">
        <f>IFERROR(__xludf.DUMMYFUNCTION("""COMPUTED_VALUE"""),"https://eitaa.com/javanan_ashurai_eghlid")</f>
        <v>https://eitaa.com/javanan_ashurai_eghlid</v>
      </c>
      <c r="K5615" s="5"/>
      <c r="L5615" s="5"/>
      <c r="M5615" s="5"/>
      <c r="N5615" s="5"/>
      <c r="O5615" s="5"/>
      <c r="P5615" s="5"/>
      <c r="Q5615" s="5"/>
      <c r="R5615" s="5"/>
      <c r="S5615" s="5"/>
    </row>
    <row r="5616">
      <c r="A5616" s="5">
        <f>IFERROR(__xludf.DUMMYFUNCTION("""COMPUTED_VALUE"""),2091.0)</f>
        <v>2091</v>
      </c>
      <c r="B5616" s="5" t="str">
        <f>IFERROR(__xludf.DUMMYFUNCTION("""COMPUTED_VALUE"""),"هیأت")</f>
        <v>هیأت</v>
      </c>
      <c r="C5616" s="5" t="str">
        <f>IFERROR(__xludf.DUMMYFUNCTION("""COMPUTED_VALUE"""),"رهروان امام حسین(ع)")</f>
        <v>رهروان امام حسین(ع)</v>
      </c>
      <c r="D5616" s="5" t="str">
        <f>IFERROR(__xludf.DUMMYFUNCTION("""COMPUTED_VALUE"""),"اصفهان")</f>
        <v>اصفهان</v>
      </c>
      <c r="E5616" s="5" t="str">
        <f>IFERROR(__xludf.DUMMYFUNCTION("""COMPUTED_VALUE"""),"اصفهان")</f>
        <v>اصفهان</v>
      </c>
      <c r="F5616" s="5"/>
      <c r="G5616" s="5"/>
      <c r="H5616" s="5"/>
      <c r="I5616" s="5"/>
      <c r="J5616" s="6" t="str">
        <f>IFERROR(__xludf.DUMMYFUNCTION("""COMPUTED_VALUE"""),"https://eitaa.com/rahrovanhossein")</f>
        <v>https://eitaa.com/rahrovanhossein</v>
      </c>
      <c r="K5616" s="5"/>
      <c r="L5616" s="5"/>
      <c r="M5616" s="5"/>
      <c r="N5616" s="5"/>
      <c r="O5616" s="5"/>
      <c r="P5616" s="5"/>
      <c r="Q5616" s="5"/>
      <c r="R5616" s="5"/>
      <c r="S5616" s="5"/>
    </row>
    <row r="5617">
      <c r="A5617" s="5">
        <f>IFERROR(__xludf.DUMMYFUNCTION("""COMPUTED_VALUE"""),2095.0)</f>
        <v>2095</v>
      </c>
      <c r="B5617" s="5" t="str">
        <f>IFERROR(__xludf.DUMMYFUNCTION("""COMPUTED_VALUE"""),"هیأت")</f>
        <v>هیأت</v>
      </c>
      <c r="C5617" s="5" t="str">
        <f>IFERROR(__xludf.DUMMYFUNCTION("""COMPUTED_VALUE"""),"محبین اهل بیت(ع)")</f>
        <v>محبین اهل بیت(ع)</v>
      </c>
      <c r="D5617" s="5" t="str">
        <f>IFERROR(__xludf.DUMMYFUNCTION("""COMPUTED_VALUE"""),"اصفهان")</f>
        <v>اصفهان</v>
      </c>
      <c r="E5617" s="5" t="str">
        <f>IFERROR(__xludf.DUMMYFUNCTION("""COMPUTED_VALUE"""),"سمیرم")</f>
        <v>سمیرم</v>
      </c>
      <c r="F5617" s="5"/>
      <c r="G5617" s="5"/>
      <c r="H5617" s="5"/>
      <c r="I5617" s="5"/>
      <c r="J5617" s="6" t="str">
        <f>IFERROR(__xludf.DUMMYFUNCTION("""COMPUTED_VALUE"""),"https://eitaa.com/mohebbin_net")</f>
        <v>https://eitaa.com/mohebbin_net</v>
      </c>
      <c r="K5617" s="5"/>
      <c r="L5617" s="5"/>
      <c r="M5617" s="5"/>
      <c r="N5617" s="5"/>
      <c r="O5617" s="5"/>
      <c r="P5617" s="5"/>
      <c r="Q5617" s="5"/>
      <c r="R5617" s="5"/>
      <c r="S5617" s="5"/>
    </row>
    <row r="5618">
      <c r="A5618" s="5">
        <f>IFERROR(__xludf.DUMMYFUNCTION("""COMPUTED_VALUE"""),2099.0)</f>
        <v>2099</v>
      </c>
      <c r="B5618" s="5" t="str">
        <f>IFERROR(__xludf.DUMMYFUNCTION("""COMPUTED_VALUE"""),"هیأت")</f>
        <v>هیأت</v>
      </c>
      <c r="C5618" s="5" t="str">
        <f>IFERROR(__xludf.DUMMYFUNCTION("""COMPUTED_VALUE"""),"حضرت ثارالله (هیات پایگاه)")</f>
        <v>حضرت ثارالله (هیات پایگاه)</v>
      </c>
      <c r="D5618" s="5" t="str">
        <f>IFERROR(__xludf.DUMMYFUNCTION("""COMPUTED_VALUE"""),"اصفهان")</f>
        <v>اصفهان</v>
      </c>
      <c r="E5618" s="5" t="str">
        <f>IFERROR(__xludf.DUMMYFUNCTION("""COMPUTED_VALUE"""),"آران وبیدگل")</f>
        <v>آران وبیدگل</v>
      </c>
      <c r="F5618" s="5"/>
      <c r="G5618" s="5"/>
      <c r="H5618" s="6" t="str">
        <f>IFERROR(__xludf.DUMMYFUNCTION("""COMPUTED_VALUE"""),"https://www.instagram.com/heyat.sarallah.ab")</f>
        <v>https://www.instagram.com/heyat.sarallah.ab</v>
      </c>
      <c r="I5618" s="5"/>
      <c r="J5618" s="5"/>
      <c r="K5618" s="5"/>
      <c r="L5618" s="5"/>
      <c r="M5618" s="5"/>
      <c r="N5618" s="5"/>
      <c r="O5618" s="5"/>
      <c r="P5618" s="5"/>
      <c r="Q5618" s="5"/>
      <c r="R5618" s="5"/>
      <c r="S5618" s="5"/>
    </row>
    <row r="5619">
      <c r="A5619" s="5">
        <f>IFERROR(__xludf.DUMMYFUNCTION("""COMPUTED_VALUE"""),2102.0)</f>
        <v>2102</v>
      </c>
      <c r="B5619" s="5" t="str">
        <f>IFERROR(__xludf.DUMMYFUNCTION("""COMPUTED_VALUE"""),"هیأت")</f>
        <v>هیأت</v>
      </c>
      <c r="C5619" s="5" t="str">
        <f>IFERROR(__xludf.DUMMYFUNCTION("""COMPUTED_VALUE"""),"عشاق الزهرا(س)")</f>
        <v>عشاق الزهرا(س)</v>
      </c>
      <c r="D5619" s="5" t="str">
        <f>IFERROR(__xludf.DUMMYFUNCTION("""COMPUTED_VALUE"""),"اصفهان")</f>
        <v>اصفهان</v>
      </c>
      <c r="E5619" s="5" t="str">
        <f>IFERROR(__xludf.DUMMYFUNCTION("""COMPUTED_VALUE"""),"داران")</f>
        <v>داران</v>
      </c>
      <c r="F5619" s="5"/>
      <c r="G5619" s="5"/>
      <c r="H5619" s="6" t="str">
        <f>IFERROR(__xludf.DUMMYFUNCTION("""COMPUTED_VALUE"""),"https://www.instagram.com/oshagholzahra213")</f>
        <v>https://www.instagram.com/oshagholzahra213</v>
      </c>
      <c r="I5619" s="6" t="str">
        <f>IFERROR(__xludf.DUMMYFUNCTION("""COMPUTED_VALUE"""),"https://t.me/oshagholzahra213")</f>
        <v>https://t.me/oshagholzahra213</v>
      </c>
      <c r="J5619" s="5"/>
      <c r="K5619" s="5"/>
      <c r="L5619" s="5"/>
      <c r="M5619" s="5"/>
      <c r="N5619" s="5"/>
      <c r="O5619" s="5"/>
      <c r="P5619" s="5"/>
      <c r="Q5619" s="5"/>
      <c r="R5619" s="5"/>
      <c r="S5619" s="5"/>
    </row>
    <row r="5620">
      <c r="A5620" s="5">
        <f>IFERROR(__xludf.DUMMYFUNCTION("""COMPUTED_VALUE"""),2104.0)</f>
        <v>2104</v>
      </c>
      <c r="B5620" s="5" t="str">
        <f>IFERROR(__xludf.DUMMYFUNCTION("""COMPUTED_VALUE"""),"هیأت")</f>
        <v>هیأت</v>
      </c>
      <c r="C5620" s="5" t="str">
        <f>IFERROR(__xludf.DUMMYFUNCTION("""COMPUTED_VALUE"""),"جوانان عاشورایی")</f>
        <v>جوانان عاشورایی</v>
      </c>
      <c r="D5620" s="5" t="str">
        <f>IFERROR(__xludf.DUMMYFUNCTION("""COMPUTED_VALUE"""),"اصفهان")</f>
        <v>اصفهان</v>
      </c>
      <c r="E5620" s="5" t="str">
        <f>IFERROR(__xludf.DUMMYFUNCTION("""COMPUTED_VALUE"""),"داران")</f>
        <v>داران</v>
      </c>
      <c r="F5620" s="5"/>
      <c r="G5620" s="5"/>
      <c r="H5620" s="5"/>
      <c r="I5620" s="5"/>
      <c r="J5620" s="6" t="str">
        <f>IFERROR(__xludf.DUMMYFUNCTION("""COMPUTED_VALUE"""),"https://eitaa.com/javananashoraiidaran")</f>
        <v>https://eitaa.com/javananashoraiidaran</v>
      </c>
      <c r="K5620" s="5"/>
      <c r="L5620" s="5"/>
      <c r="M5620" s="5"/>
      <c r="N5620" s="5"/>
      <c r="O5620" s="5"/>
      <c r="P5620" s="5"/>
      <c r="Q5620" s="5"/>
      <c r="R5620" s="5"/>
      <c r="S5620" s="5"/>
    </row>
    <row r="5621">
      <c r="A5621" s="5">
        <f>IFERROR(__xludf.DUMMYFUNCTION("""COMPUTED_VALUE"""),2108.0)</f>
        <v>2108</v>
      </c>
      <c r="B5621" s="5" t="str">
        <f>IFERROR(__xludf.DUMMYFUNCTION("""COMPUTED_VALUE"""),"هیأت")</f>
        <v>هیأت</v>
      </c>
      <c r="C5621" s="5" t="str">
        <f>IFERROR(__xludf.DUMMYFUNCTION("""COMPUTED_VALUE"""),"علی بن موسی الرضا(ع)")</f>
        <v>علی بن موسی الرضا(ع)</v>
      </c>
      <c r="D5621" s="5" t="str">
        <f>IFERROR(__xludf.DUMMYFUNCTION("""COMPUTED_VALUE"""),"اصفهان")</f>
        <v>اصفهان</v>
      </c>
      <c r="E5621" s="5" t="str">
        <f>IFERROR(__xludf.DUMMYFUNCTION("""COMPUTED_VALUE"""),"اصفهان")</f>
        <v>اصفهان</v>
      </c>
      <c r="F5621" s="5"/>
      <c r="G5621" s="5"/>
      <c r="H5621" s="6" t="str">
        <f>IFERROR(__xludf.DUMMYFUNCTION("""COMPUTED_VALUE"""),"https://www.instagram.com/heyataliebnemosareza")</f>
        <v>https://www.instagram.com/heyataliebnemosareza</v>
      </c>
      <c r="I5621" s="5"/>
      <c r="J5621" s="6" t="str">
        <f>IFERROR(__xludf.DUMMYFUNCTION("""COMPUTED_VALUE"""),"https://eitaa.com/sayyedmahdi8")</f>
        <v>https://eitaa.com/sayyedmahdi8</v>
      </c>
      <c r="K5621" s="5"/>
      <c r="L5621" s="5"/>
      <c r="M5621" s="5"/>
      <c r="N5621" s="5"/>
      <c r="O5621" s="5"/>
      <c r="P5621" s="5"/>
      <c r="Q5621" s="5"/>
      <c r="R5621" s="5"/>
      <c r="S5621" s="5"/>
    </row>
    <row r="5622">
      <c r="A5622" s="5">
        <f>IFERROR(__xludf.DUMMYFUNCTION("""COMPUTED_VALUE"""),2109.0)</f>
        <v>2109</v>
      </c>
      <c r="B5622" s="5" t="str">
        <f>IFERROR(__xludf.DUMMYFUNCTION("""COMPUTED_VALUE"""),"هیأت")</f>
        <v>هیأت</v>
      </c>
      <c r="C5622" s="5" t="str">
        <f>IFERROR(__xludf.DUMMYFUNCTION("""COMPUTED_VALUE"""),"مجموعه فرهنگی یادگاران امام(ره)")</f>
        <v>مجموعه فرهنگی یادگاران امام(ره)</v>
      </c>
      <c r="D5622" s="5" t="str">
        <f>IFERROR(__xludf.DUMMYFUNCTION("""COMPUTED_VALUE"""),"اصفهان")</f>
        <v>اصفهان</v>
      </c>
      <c r="E5622" s="5" t="str">
        <f>IFERROR(__xludf.DUMMYFUNCTION("""COMPUTED_VALUE"""),"اصفهان")</f>
        <v>اصفهان</v>
      </c>
      <c r="F5622" s="5"/>
      <c r="G5622" s="5"/>
      <c r="H5622" s="6" t="str">
        <f>IFERROR(__xludf.DUMMYFUNCTION("""COMPUTED_VALUE"""),"https://www.instagram.com/yadegaran_ir")</f>
        <v>https://www.instagram.com/yadegaran_ir</v>
      </c>
      <c r="I5622" s="5"/>
      <c r="J5622" s="6" t="str">
        <f>IFERROR(__xludf.DUMMYFUNCTION("""COMPUTED_VALUE"""),"https://eitaa.com/yadegaranir")</f>
        <v>https://eitaa.com/yadegaranir</v>
      </c>
      <c r="K5622" s="5"/>
      <c r="L5622" s="5"/>
      <c r="M5622" s="5"/>
      <c r="N5622" s="5"/>
      <c r="O5622" s="5"/>
      <c r="P5622" s="5"/>
      <c r="Q5622" s="5"/>
      <c r="R5622" s="5"/>
      <c r="S5622" s="5"/>
    </row>
    <row r="5623">
      <c r="A5623" s="5">
        <f>IFERROR(__xludf.DUMMYFUNCTION("""COMPUTED_VALUE"""),2110.0)</f>
        <v>2110</v>
      </c>
      <c r="B5623" s="5" t="str">
        <f>IFERROR(__xludf.DUMMYFUNCTION("""COMPUTED_VALUE"""),"هیأت")</f>
        <v>هیأت</v>
      </c>
      <c r="C5623" s="5" t="str">
        <f>IFERROR(__xludf.DUMMYFUNCTION("""COMPUTED_VALUE"""),"کانون فرهنگی قرآنی رسول اکرم(ص)")</f>
        <v>کانون فرهنگی قرآنی رسول اکرم(ص)</v>
      </c>
      <c r="D5623" s="5" t="str">
        <f>IFERROR(__xludf.DUMMYFUNCTION("""COMPUTED_VALUE"""),"اصفهان")</f>
        <v>اصفهان</v>
      </c>
      <c r="E5623" s="5" t="str">
        <f>IFERROR(__xludf.DUMMYFUNCTION("""COMPUTED_VALUE"""),"اصفهان")</f>
        <v>اصفهان</v>
      </c>
      <c r="F5623" s="5"/>
      <c r="G5623" s="5"/>
      <c r="H5623" s="5"/>
      <c r="I5623" s="5"/>
      <c r="J5623" s="6" t="str">
        <f>IFERROR(__xludf.DUMMYFUNCTION("""COMPUTED_VALUE"""),"https://eitaa.com/Rasool_Akram_Mosque")</f>
        <v>https://eitaa.com/Rasool_Akram_Mosque</v>
      </c>
      <c r="K5623" s="5"/>
      <c r="L5623" s="5"/>
      <c r="M5623" s="5"/>
      <c r="N5623" s="5"/>
      <c r="O5623" s="5"/>
      <c r="P5623" s="5"/>
      <c r="Q5623" s="5"/>
      <c r="R5623" s="5"/>
      <c r="S5623" s="5"/>
    </row>
    <row r="5624">
      <c r="A5624" s="5">
        <f>IFERROR(__xludf.DUMMYFUNCTION("""COMPUTED_VALUE"""),2116.0)</f>
        <v>2116</v>
      </c>
      <c r="B5624" s="5" t="str">
        <f>IFERROR(__xludf.DUMMYFUNCTION("""COMPUTED_VALUE"""),"هیأت")</f>
        <v>هیأت</v>
      </c>
      <c r="C5624" s="5" t="str">
        <f>IFERROR(__xludf.DUMMYFUNCTION("""COMPUTED_VALUE"""),"محبین حضرت زهرا(س)")</f>
        <v>محبین حضرت زهرا(س)</v>
      </c>
      <c r="D5624" s="5" t="str">
        <f>IFERROR(__xludf.DUMMYFUNCTION("""COMPUTED_VALUE"""),"اصفهان")</f>
        <v>اصفهان</v>
      </c>
      <c r="E5624" s="5" t="str">
        <f>IFERROR(__xludf.DUMMYFUNCTION("""COMPUTED_VALUE"""),"اصفهان")</f>
        <v>اصفهان</v>
      </c>
      <c r="F5624" s="5"/>
      <c r="G5624" s="5"/>
      <c r="H5624" s="6" t="str">
        <f>IFERROR(__xludf.DUMMYFUNCTION("""COMPUTED_VALUE"""),"https://www.instagram.com/mohebinefatemeh135")</f>
        <v>https://www.instagram.com/mohebinefatemeh135</v>
      </c>
      <c r="I5624" s="5"/>
      <c r="J5624" s="6" t="str">
        <f>IFERROR(__xludf.DUMMYFUNCTION("""COMPUTED_VALUE"""),"https://eitaa.com/mohebinefatemeh135")</f>
        <v>https://eitaa.com/mohebinefatemeh135</v>
      </c>
      <c r="K5624" s="5"/>
      <c r="L5624" s="5"/>
      <c r="M5624" s="5"/>
      <c r="N5624" s="5"/>
      <c r="O5624" s="5"/>
      <c r="P5624" s="5"/>
      <c r="Q5624" s="5"/>
      <c r="R5624" s="5"/>
      <c r="S5624" s="5"/>
    </row>
    <row r="5625">
      <c r="A5625" s="5">
        <f>IFERROR(__xludf.DUMMYFUNCTION("""COMPUTED_VALUE"""),2117.0)</f>
        <v>2117</v>
      </c>
      <c r="B5625" s="5" t="str">
        <f>IFERROR(__xludf.DUMMYFUNCTION("""COMPUTED_VALUE"""),"هیأت")</f>
        <v>هیأت</v>
      </c>
      <c r="C5625" s="5" t="str">
        <f>IFERROR(__xludf.DUMMYFUNCTION("""COMPUTED_VALUE"""),"اباصالح المهدی (عج)")</f>
        <v>اباصالح المهدی (عج)</v>
      </c>
      <c r="D5625" s="5" t="str">
        <f>IFERROR(__xludf.DUMMYFUNCTION("""COMPUTED_VALUE"""),"اصفهان")</f>
        <v>اصفهان</v>
      </c>
      <c r="E5625" s="5" t="str">
        <f>IFERROR(__xludf.DUMMYFUNCTION("""COMPUTED_VALUE"""),"خمینی شهر")</f>
        <v>خمینی شهر</v>
      </c>
      <c r="F5625" s="5"/>
      <c r="G5625" s="5"/>
      <c r="H5625" s="6" t="str">
        <f>IFERROR(__xludf.DUMMYFUNCTION("""COMPUTED_VALUE"""),"https://www.instagram.com/abasaleh47")</f>
        <v>https://www.instagram.com/abasaleh47</v>
      </c>
      <c r="I5625" s="5"/>
      <c r="J5625" s="6" t="str">
        <f>IFERROR(__xludf.DUMMYFUNCTION("""COMPUTED_VALUE"""),"https://eitaa.com/abasalehalmahdidorche")</f>
        <v>https://eitaa.com/abasalehalmahdidorche</v>
      </c>
      <c r="K5625" s="5"/>
      <c r="L5625" s="5"/>
      <c r="M5625" s="5"/>
      <c r="N5625" s="5"/>
      <c r="O5625" s="5"/>
      <c r="P5625" s="5"/>
      <c r="Q5625" s="5"/>
      <c r="R5625" s="5"/>
      <c r="S5625" s="5"/>
    </row>
    <row r="5626">
      <c r="A5626" s="5">
        <f>IFERROR(__xludf.DUMMYFUNCTION("""COMPUTED_VALUE"""),2119.0)</f>
        <v>2119</v>
      </c>
      <c r="B5626" s="5" t="str">
        <f>IFERROR(__xludf.DUMMYFUNCTION("""COMPUTED_VALUE"""),"هیأت")</f>
        <v>هیأت</v>
      </c>
      <c r="C5626" s="5" t="str">
        <f>IFERROR(__xludf.DUMMYFUNCTION("""COMPUTED_VALUE"""),"بنیاد فرهنگی المهدی (عج)")</f>
        <v>بنیاد فرهنگی المهدی (عج)</v>
      </c>
      <c r="D5626" s="5" t="str">
        <f>IFERROR(__xludf.DUMMYFUNCTION("""COMPUTED_VALUE"""),"اصفهان")</f>
        <v>اصفهان</v>
      </c>
      <c r="E5626" s="5" t="str">
        <f>IFERROR(__xludf.DUMMYFUNCTION("""COMPUTED_VALUE"""),"اصفهان")</f>
        <v>اصفهان</v>
      </c>
      <c r="F5626" s="5"/>
      <c r="G5626" s="5"/>
      <c r="H5626" s="5"/>
      <c r="I5626" s="5"/>
      <c r="J5626" s="6" t="str">
        <f>IFERROR(__xludf.DUMMYFUNCTION("""COMPUTED_VALUE"""),"https://eitaa.com/BonyadeAlmahdi")</f>
        <v>https://eitaa.com/BonyadeAlmahdi</v>
      </c>
      <c r="K5626" s="5"/>
      <c r="L5626" s="5"/>
      <c r="M5626" s="5"/>
      <c r="N5626" s="5"/>
      <c r="O5626" s="5"/>
      <c r="P5626" s="5"/>
      <c r="Q5626" s="5"/>
      <c r="R5626" s="5"/>
      <c r="S5626" s="5"/>
    </row>
    <row r="5627">
      <c r="A5627" s="5">
        <f>IFERROR(__xludf.DUMMYFUNCTION("""COMPUTED_VALUE"""),2122.0)</f>
        <v>2122</v>
      </c>
      <c r="B5627" s="5" t="str">
        <f>IFERROR(__xludf.DUMMYFUNCTION("""COMPUTED_VALUE"""),"هیأت")</f>
        <v>هیأت</v>
      </c>
      <c r="C5627" s="5" t="str">
        <f>IFERROR(__xludf.DUMMYFUNCTION("""COMPUTED_VALUE"""),"حسین بن علی (ع)")</f>
        <v>حسین بن علی (ع)</v>
      </c>
      <c r="D5627" s="5" t="str">
        <f>IFERROR(__xludf.DUMMYFUNCTION("""COMPUTED_VALUE"""),"اصفهان")</f>
        <v>اصفهان</v>
      </c>
      <c r="E5627" s="5" t="str">
        <f>IFERROR(__xludf.DUMMYFUNCTION("""COMPUTED_VALUE"""),"اردستان")</f>
        <v>اردستان</v>
      </c>
      <c r="F5627" s="5"/>
      <c r="G5627" s="5"/>
      <c r="H5627" s="6" t="str">
        <f>IFERROR(__xludf.DUMMYFUNCTION("""COMPUTED_VALUE"""),"https://www.instagram.com/ya.hassan.118/")</f>
        <v>https://www.instagram.com/ya.hassan.118/</v>
      </c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</row>
    <row r="5628">
      <c r="A5628" s="5">
        <f>IFERROR(__xludf.DUMMYFUNCTION("""COMPUTED_VALUE"""),2129.0)</f>
        <v>2129</v>
      </c>
      <c r="B5628" s="5" t="str">
        <f>IFERROR(__xludf.DUMMYFUNCTION("""COMPUTED_VALUE"""),"هیأت")</f>
        <v>هیأت</v>
      </c>
      <c r="C5628" s="5" t="str">
        <f>IFERROR(__xludf.DUMMYFUNCTION("""COMPUTED_VALUE"""),"جوادالائمه (ع)")</f>
        <v>جوادالائمه (ع)</v>
      </c>
      <c r="D5628" s="5" t="str">
        <f>IFERROR(__xludf.DUMMYFUNCTION("""COMPUTED_VALUE"""),"اصفهان")</f>
        <v>اصفهان</v>
      </c>
      <c r="E5628" s="5" t="str">
        <f>IFERROR(__xludf.DUMMYFUNCTION("""COMPUTED_VALUE"""),"شاهین شهر")</f>
        <v>شاهین شهر</v>
      </c>
      <c r="F5628" s="5"/>
      <c r="G5628" s="5"/>
      <c r="H5628" s="5"/>
      <c r="I5628" s="5"/>
      <c r="J5628" s="6" t="str">
        <f>IFERROR(__xludf.DUMMYFUNCTION("""COMPUTED_VALUE"""),"https://eitaa.com/heyat_javadolaeme77")</f>
        <v>https://eitaa.com/heyat_javadolaeme77</v>
      </c>
      <c r="K5628" s="5"/>
      <c r="L5628" s="5"/>
      <c r="M5628" s="5"/>
      <c r="N5628" s="5"/>
      <c r="O5628" s="5"/>
      <c r="P5628" s="5"/>
      <c r="Q5628" s="5"/>
      <c r="R5628" s="5"/>
      <c r="S5628" s="5"/>
    </row>
    <row r="5629">
      <c r="A5629" s="5">
        <f>IFERROR(__xludf.DUMMYFUNCTION("""COMPUTED_VALUE"""),2132.0)</f>
        <v>2132</v>
      </c>
      <c r="B5629" s="5" t="str">
        <f>IFERROR(__xludf.DUMMYFUNCTION("""COMPUTED_VALUE"""),"هیأت")</f>
        <v>هیأت</v>
      </c>
      <c r="C5629" s="5" t="str">
        <f>IFERROR(__xludf.DUMMYFUNCTION("""COMPUTED_VALUE"""),"محبان الرضا(ع)")</f>
        <v>محبان الرضا(ع)</v>
      </c>
      <c r="D5629" s="5" t="str">
        <f>IFERROR(__xludf.DUMMYFUNCTION("""COMPUTED_VALUE"""),"اصفهان")</f>
        <v>اصفهان</v>
      </c>
      <c r="E5629" s="5" t="str">
        <f>IFERROR(__xludf.DUMMYFUNCTION("""COMPUTED_VALUE"""),"اصفهان")</f>
        <v>اصفهان</v>
      </c>
      <c r="F5629" s="5"/>
      <c r="G5629" s="5"/>
      <c r="H5629" s="5"/>
      <c r="I5629" s="5"/>
      <c r="J5629" s="6" t="str">
        <f>IFERROR(__xludf.DUMMYFUNCTION("""COMPUTED_VALUE"""),"https://eitaa.com/mohebanemamreza")</f>
        <v>https://eitaa.com/mohebanemamreza</v>
      </c>
      <c r="K5629" s="5"/>
      <c r="L5629" s="5"/>
      <c r="M5629" s="5"/>
      <c r="N5629" s="5"/>
      <c r="O5629" s="5"/>
      <c r="P5629" s="5"/>
      <c r="Q5629" s="5"/>
      <c r="R5629" s="5"/>
      <c r="S5629" s="5"/>
    </row>
    <row r="5630">
      <c r="A5630" s="5">
        <f>IFERROR(__xludf.DUMMYFUNCTION("""COMPUTED_VALUE"""),2134.0)</f>
        <v>2134</v>
      </c>
      <c r="B5630" s="5" t="str">
        <f>IFERROR(__xludf.DUMMYFUNCTION("""COMPUTED_VALUE"""),"هیأت")</f>
        <v>هیأت</v>
      </c>
      <c r="C5630" s="5" t="str">
        <f>IFERROR(__xludf.DUMMYFUNCTION("""COMPUTED_VALUE"""),"مکتب الحسین (ع)")</f>
        <v>مکتب الحسین (ع)</v>
      </c>
      <c r="D5630" s="5" t="str">
        <f>IFERROR(__xludf.DUMMYFUNCTION("""COMPUTED_VALUE"""),"اصفهان")</f>
        <v>اصفهان</v>
      </c>
      <c r="E5630" s="5" t="str">
        <f>IFERROR(__xludf.DUMMYFUNCTION("""COMPUTED_VALUE"""),"شاهین شهر")</f>
        <v>شاهین شهر</v>
      </c>
      <c r="F5630" s="5"/>
      <c r="G5630" s="5"/>
      <c r="H5630" s="5"/>
      <c r="I5630" s="5"/>
      <c r="J5630" s="6" t="str">
        <f>IFERROR(__xludf.DUMMYFUNCTION("""COMPUTED_VALUE"""),"https://eitaa.com/maktabolhossein313archive")</f>
        <v>https://eitaa.com/maktabolhossein313archive</v>
      </c>
      <c r="K5630" s="5"/>
      <c r="L5630" s="5"/>
      <c r="M5630" s="5"/>
      <c r="N5630" s="5"/>
      <c r="O5630" s="5"/>
      <c r="P5630" s="5"/>
      <c r="Q5630" s="5"/>
      <c r="R5630" s="5"/>
      <c r="S5630" s="5"/>
    </row>
    <row r="5631">
      <c r="A5631" s="5">
        <f>IFERROR(__xludf.DUMMYFUNCTION("""COMPUTED_VALUE"""),2136.0)</f>
        <v>2136</v>
      </c>
      <c r="B5631" s="5" t="str">
        <f>IFERROR(__xludf.DUMMYFUNCTION("""COMPUTED_VALUE"""),"هیأت")</f>
        <v>هیأت</v>
      </c>
      <c r="C5631" s="5" t="str">
        <f>IFERROR(__xludf.DUMMYFUNCTION("""COMPUTED_VALUE"""),"حضرت علی اصغر(ع)")</f>
        <v>حضرت علی اصغر(ع)</v>
      </c>
      <c r="D5631" s="5" t="str">
        <f>IFERROR(__xludf.DUMMYFUNCTION("""COMPUTED_VALUE"""),"اصفهان")</f>
        <v>اصفهان</v>
      </c>
      <c r="E5631" s="5" t="str">
        <f>IFERROR(__xludf.DUMMYFUNCTION("""COMPUTED_VALUE"""),"اصفهان")</f>
        <v>اصفهان</v>
      </c>
      <c r="F5631" s="5"/>
      <c r="G5631" s="5">
        <f>IFERROR(__xludf.DUMMYFUNCTION("""COMPUTED_VALUE"""),1.0)</f>
        <v>1</v>
      </c>
      <c r="H5631" s="5"/>
      <c r="I5631" s="6" t="str">
        <f>IFERROR(__xludf.DUMMYFUNCTION("""COMPUTED_VALUE"""),"https://t.me/moheban_aliasghar_esfahan")</f>
        <v>https://t.me/moheban_aliasghar_esfahan</v>
      </c>
      <c r="J5631" s="5"/>
      <c r="K5631" s="5"/>
      <c r="L5631" s="5"/>
      <c r="M5631" s="5"/>
      <c r="N5631" s="5"/>
      <c r="O5631" s="5"/>
      <c r="P5631" s="5"/>
      <c r="Q5631" s="5"/>
      <c r="R5631" s="5"/>
      <c r="S5631" s="5"/>
    </row>
    <row r="5632">
      <c r="A5632" s="5">
        <f>IFERROR(__xludf.DUMMYFUNCTION("""COMPUTED_VALUE"""),2137.0)</f>
        <v>2137</v>
      </c>
      <c r="B5632" s="5" t="str">
        <f>IFERROR(__xludf.DUMMYFUNCTION("""COMPUTED_VALUE"""),"هیأت")</f>
        <v>هیأت</v>
      </c>
      <c r="C5632" s="5" t="str">
        <f>IFERROR(__xludf.DUMMYFUNCTION("""COMPUTED_VALUE"""),"چهارده معصوم (ع)")</f>
        <v>چهارده معصوم (ع)</v>
      </c>
      <c r="D5632" s="5" t="str">
        <f>IFERROR(__xludf.DUMMYFUNCTION("""COMPUTED_VALUE"""),"اصفهان")</f>
        <v>اصفهان</v>
      </c>
      <c r="E5632" s="5" t="str">
        <f>IFERROR(__xludf.DUMMYFUNCTION("""COMPUTED_VALUE"""),"اصفهان")</f>
        <v>اصفهان</v>
      </c>
      <c r="F5632" s="5"/>
      <c r="G5632" s="5"/>
      <c r="H5632" s="5"/>
      <c r="I5632" s="5"/>
      <c r="J5632" s="6" t="str">
        <f>IFERROR(__xludf.DUMMYFUNCTION("""COMPUTED_VALUE"""),"https://eitaa.com/chahardahmasomf")</f>
        <v>https://eitaa.com/chahardahmasomf</v>
      </c>
      <c r="K5632" s="5"/>
      <c r="L5632" s="5"/>
      <c r="M5632" s="5"/>
      <c r="N5632" s="5"/>
      <c r="O5632" s="5"/>
      <c r="P5632" s="5"/>
      <c r="Q5632" s="5"/>
      <c r="R5632" s="5"/>
      <c r="S5632" s="5"/>
    </row>
    <row r="5633">
      <c r="A5633" s="5">
        <f>IFERROR(__xludf.DUMMYFUNCTION("""COMPUTED_VALUE"""),2139.0)</f>
        <v>2139</v>
      </c>
      <c r="B5633" s="5" t="str">
        <f>IFERROR(__xludf.DUMMYFUNCTION("""COMPUTED_VALUE"""),"هیأت")</f>
        <v>هیأت</v>
      </c>
      <c r="C5633" s="5" t="str">
        <f>IFERROR(__xludf.DUMMYFUNCTION("""COMPUTED_VALUE"""),"متوسلین به حضرت ابوالفضل العباس(ع) علمدار کربلا(ع)")</f>
        <v>متوسلین به حضرت ابوالفضل العباس(ع) علمدار کربلا(ع)</v>
      </c>
      <c r="D5633" s="5" t="str">
        <f>IFERROR(__xludf.DUMMYFUNCTION("""COMPUTED_VALUE"""),"اصفهان")</f>
        <v>اصفهان</v>
      </c>
      <c r="E5633" s="5" t="str">
        <f>IFERROR(__xludf.DUMMYFUNCTION("""COMPUTED_VALUE"""),"خور و بیابانک")</f>
        <v>خور و بیابانک</v>
      </c>
      <c r="F5633" s="5"/>
      <c r="G5633" s="5"/>
      <c r="H5633" s="5"/>
      <c r="I5633" s="5"/>
      <c r="J5633" s="6" t="str">
        <f>IFERROR(__xludf.DUMMYFUNCTION("""COMPUTED_VALUE"""),"https://eitaa.com/alamdar_khoor")</f>
        <v>https://eitaa.com/alamdar_khoor</v>
      </c>
      <c r="K5633" s="5"/>
      <c r="L5633" s="5"/>
      <c r="M5633" s="5"/>
      <c r="N5633" s="5"/>
      <c r="O5633" s="5"/>
      <c r="P5633" s="5"/>
      <c r="Q5633" s="5"/>
      <c r="R5633" s="5"/>
      <c r="S5633" s="5"/>
    </row>
    <row r="5634">
      <c r="A5634" s="5">
        <f>IFERROR(__xludf.DUMMYFUNCTION("""COMPUTED_VALUE"""),2141.0)</f>
        <v>2141</v>
      </c>
      <c r="B5634" s="5" t="str">
        <f>IFERROR(__xludf.DUMMYFUNCTION("""COMPUTED_VALUE"""),"هیأت")</f>
        <v>هیأت</v>
      </c>
      <c r="C5634" s="5" t="str">
        <f>IFERROR(__xludf.DUMMYFUNCTION("""COMPUTED_VALUE"""),"مهد قرآن")</f>
        <v>مهد قرآن</v>
      </c>
      <c r="D5634" s="5" t="str">
        <f>IFERROR(__xludf.DUMMYFUNCTION("""COMPUTED_VALUE"""),"اصفهان")</f>
        <v>اصفهان</v>
      </c>
      <c r="E5634" s="5" t="str">
        <f>IFERROR(__xludf.DUMMYFUNCTION("""COMPUTED_VALUE"""),"آران وبیدگل")</f>
        <v>آران وبیدگل</v>
      </c>
      <c r="F5634" s="5"/>
      <c r="G5634" s="5">
        <f>IFERROR(__xludf.DUMMYFUNCTION("""COMPUTED_VALUE"""),1.0)</f>
        <v>1</v>
      </c>
      <c r="H5634" s="6" t="str">
        <f>IFERROR(__xludf.DUMMYFUNCTION("""COMPUTED_VALUE"""),"https://www.instagram.com/mahdehghoran_ab")</f>
        <v>https://www.instagram.com/mahdehghoran_ab</v>
      </c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</row>
    <row r="5635">
      <c r="A5635" s="5">
        <f>IFERROR(__xludf.DUMMYFUNCTION("""COMPUTED_VALUE"""),15473.0)</f>
        <v>15473</v>
      </c>
      <c r="B5635" s="5" t="str">
        <f>IFERROR(__xludf.DUMMYFUNCTION("""COMPUTED_VALUE"""),"هیأت")</f>
        <v>هیأت</v>
      </c>
      <c r="C5635" s="5" t="str">
        <f>IFERROR(__xludf.DUMMYFUNCTION("""COMPUTED_VALUE"""),"جنت الحسین (ع)")</f>
        <v>جنت الحسین (ع)</v>
      </c>
      <c r="D5635" s="5" t="str">
        <f>IFERROR(__xludf.DUMMYFUNCTION("""COMPUTED_VALUE"""),"اصفهان")</f>
        <v>اصفهان</v>
      </c>
      <c r="E5635" s="5" t="str">
        <f>IFERROR(__xludf.DUMMYFUNCTION("""COMPUTED_VALUE"""),"خمینی شهر")</f>
        <v>خمینی شهر</v>
      </c>
      <c r="F5635" s="5"/>
      <c r="G5635" s="5"/>
      <c r="H5635" s="6" t="str">
        <f>IFERROR(__xludf.DUMMYFUNCTION("""COMPUTED_VALUE"""),"https://www.instagram.com/janat_esfahan")</f>
        <v>https://www.instagram.com/janat_esfahan</v>
      </c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</row>
    <row r="5636">
      <c r="A5636" s="5">
        <f>IFERROR(__xludf.DUMMYFUNCTION("""COMPUTED_VALUE"""),17665.0)</f>
        <v>17665</v>
      </c>
      <c r="B5636" s="5" t="str">
        <f>IFERROR(__xludf.DUMMYFUNCTION("""COMPUTED_VALUE"""),"هیأت")</f>
        <v>هیأت</v>
      </c>
      <c r="C5636" s="5" t="str">
        <f>IFERROR(__xludf.DUMMYFUNCTION("""COMPUTED_VALUE"""),"مجمع فرهنگی اسلامی شهید دکتر مفتح")</f>
        <v>مجمع فرهنگی اسلامی شهید دکتر مفتح</v>
      </c>
      <c r="D5636" s="5" t="str">
        <f>IFERROR(__xludf.DUMMYFUNCTION("""COMPUTED_VALUE"""),"اصفهان")</f>
        <v>اصفهان</v>
      </c>
      <c r="E5636" s="5" t="str">
        <f>IFERROR(__xludf.DUMMYFUNCTION("""COMPUTED_VALUE"""),"اصفهان")</f>
        <v>اصفهان</v>
      </c>
      <c r="F5636" s="5"/>
      <c r="G5636" s="5"/>
      <c r="H5636" s="6" t="str">
        <f>IFERROR(__xludf.DUMMYFUNCTION("""COMPUTED_VALUE"""),"https://www.instagram.com/mofattehmedia")</f>
        <v>https://www.instagram.com/mofattehmedia</v>
      </c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</row>
    <row r="5637">
      <c r="A5637" s="5">
        <f>IFERROR(__xludf.DUMMYFUNCTION("""COMPUTED_VALUE"""),17728.0)</f>
        <v>17728</v>
      </c>
      <c r="B5637" s="5" t="str">
        <f>IFERROR(__xludf.DUMMYFUNCTION("""COMPUTED_VALUE"""),"هیأت")</f>
        <v>هیأت</v>
      </c>
      <c r="C5637" s="5" t="str">
        <f>IFERROR(__xludf.DUMMYFUNCTION("""COMPUTED_VALUE"""),"مسجد امام جعفرصادق(ع)")</f>
        <v>مسجد امام جعفرصادق(ع)</v>
      </c>
      <c r="D5637" s="5" t="str">
        <f>IFERROR(__xludf.DUMMYFUNCTION("""COMPUTED_VALUE"""),"اصفهان")</f>
        <v>اصفهان</v>
      </c>
      <c r="E5637" s="5" t="str">
        <f>IFERROR(__xludf.DUMMYFUNCTION("""COMPUTED_VALUE"""),"داران")</f>
        <v>داران</v>
      </c>
      <c r="F5637" s="5"/>
      <c r="G5637" s="5"/>
      <c r="H5637" s="5"/>
      <c r="I5637" s="5"/>
      <c r="J5637" s="6" t="str">
        <f>IFERROR(__xludf.DUMMYFUNCTION("""COMPUTED_VALUE"""),"https://eitaa.com/hejs_m")</f>
        <v>https://eitaa.com/hejs_m</v>
      </c>
      <c r="K5637" s="5"/>
      <c r="L5637" s="5"/>
      <c r="M5637" s="5"/>
      <c r="N5637" s="5"/>
      <c r="O5637" s="5"/>
      <c r="P5637" s="5"/>
      <c r="Q5637" s="5"/>
      <c r="R5637" s="5"/>
      <c r="S5637" s="5"/>
    </row>
    <row r="5638">
      <c r="A5638" s="5">
        <f>IFERROR(__xludf.DUMMYFUNCTION("""COMPUTED_VALUE"""),17899.0)</f>
        <v>17899</v>
      </c>
      <c r="B5638" s="5" t="str">
        <f>IFERROR(__xludf.DUMMYFUNCTION("""COMPUTED_VALUE"""),"هیأت")</f>
        <v>هیأت</v>
      </c>
      <c r="C5638" s="5" t="str">
        <f>IFERROR(__xludf.DUMMYFUNCTION("""COMPUTED_VALUE"""),"حضرت امام حسن عسکری(ع)")</f>
        <v>حضرت امام حسن عسکری(ع)</v>
      </c>
      <c r="D5638" s="5" t="str">
        <f>IFERROR(__xludf.DUMMYFUNCTION("""COMPUTED_VALUE"""),"اصفهان")</f>
        <v>اصفهان</v>
      </c>
      <c r="E5638" s="5" t="str">
        <f>IFERROR(__xludf.DUMMYFUNCTION("""COMPUTED_VALUE"""),"اصفهان")</f>
        <v>اصفهان</v>
      </c>
      <c r="F5638" s="5"/>
      <c r="G5638" s="5"/>
      <c r="H5638" s="6" t="str">
        <f>IFERROR(__xludf.DUMMYFUNCTION("""COMPUTED_VALUE"""),"https://www.instagram.com/heyat_emamhasanaskari")</f>
        <v>https://www.instagram.com/heyat_emamhasanaskari</v>
      </c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</row>
    <row r="5639">
      <c r="A5639" s="5">
        <f>IFERROR(__xludf.DUMMYFUNCTION("""COMPUTED_VALUE"""),17934.0)</f>
        <v>17934</v>
      </c>
      <c r="B5639" s="5" t="str">
        <f>IFERROR(__xludf.DUMMYFUNCTION("""COMPUTED_VALUE"""),"هیأت")</f>
        <v>هیأت</v>
      </c>
      <c r="C5639" s="5" t="str">
        <f>IFERROR(__xludf.DUMMYFUNCTION("""COMPUTED_VALUE"""),"حسینیه فاطمیون")</f>
        <v>حسینیه فاطمیون</v>
      </c>
      <c r="D5639" s="5" t="str">
        <f>IFERROR(__xludf.DUMMYFUNCTION("""COMPUTED_VALUE"""),"اصفهان")</f>
        <v>اصفهان</v>
      </c>
      <c r="E5639" s="5" t="str">
        <f>IFERROR(__xludf.DUMMYFUNCTION("""COMPUTED_VALUE"""),"آران وبیدگل")</f>
        <v>آران وبیدگل</v>
      </c>
      <c r="F5639" s="5" t="str">
        <f>IFERROR(__xludf.DUMMYFUNCTION("""COMPUTED_VALUE"""),"ابوزیدآباد")</f>
        <v>ابوزیدآباد</v>
      </c>
      <c r="G5639" s="5"/>
      <c r="H5639" s="6" t="str">
        <f>IFERROR(__xludf.DUMMYFUNCTION("""COMPUTED_VALUE"""),"https://www.instagram.com/fatemiyoon83")</f>
        <v>https://www.instagram.com/fatemiyoon83</v>
      </c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</row>
    <row r="5640">
      <c r="A5640" s="5">
        <f>IFERROR(__xludf.DUMMYFUNCTION("""COMPUTED_VALUE"""),17935.0)</f>
        <v>17935</v>
      </c>
      <c r="B5640" s="5" t="str">
        <f>IFERROR(__xludf.DUMMYFUNCTION("""COMPUTED_VALUE"""),"هیأت")</f>
        <v>هیأت</v>
      </c>
      <c r="C5640" s="5" t="str">
        <f>IFERROR(__xludf.DUMMYFUNCTION("""COMPUTED_VALUE"""),"فدائیان زینب (س)")</f>
        <v>فدائیان زینب (س)</v>
      </c>
      <c r="D5640" s="5" t="str">
        <f>IFERROR(__xludf.DUMMYFUNCTION("""COMPUTED_VALUE"""),"اصفهان")</f>
        <v>اصفهان</v>
      </c>
      <c r="E5640" s="5" t="str">
        <f>IFERROR(__xludf.DUMMYFUNCTION("""COMPUTED_VALUE"""),"خمینی شهر")</f>
        <v>خمینی شهر</v>
      </c>
      <c r="F5640" s="5"/>
      <c r="G5640" s="5"/>
      <c r="H5640" s="5"/>
      <c r="I5640" s="5"/>
      <c r="J5640" s="6" t="str">
        <f>IFERROR(__xludf.DUMMYFUNCTION("""COMPUTED_VALUE"""),"https://eitaa.com/fadaian_zeynab69")</f>
        <v>https://eitaa.com/fadaian_zeynab69</v>
      </c>
      <c r="K5640" s="5"/>
      <c r="L5640" s="5"/>
      <c r="M5640" s="5"/>
      <c r="N5640" s="5"/>
      <c r="O5640" s="5"/>
      <c r="P5640" s="5"/>
      <c r="Q5640" s="5"/>
      <c r="R5640" s="5"/>
      <c r="S5640" s="5"/>
    </row>
    <row r="5641">
      <c r="A5641" s="5">
        <f>IFERROR(__xludf.DUMMYFUNCTION("""COMPUTED_VALUE"""),17936.0)</f>
        <v>17936</v>
      </c>
      <c r="B5641" s="5" t="str">
        <f>IFERROR(__xludf.DUMMYFUNCTION("""COMPUTED_VALUE"""),"هیأت")</f>
        <v>هیأت</v>
      </c>
      <c r="C5641" s="5" t="str">
        <f>IFERROR(__xludf.DUMMYFUNCTION("""COMPUTED_VALUE"""),"متوسلین به قاسم بن الحسن (ع)")</f>
        <v>متوسلین به قاسم بن الحسن (ع)</v>
      </c>
      <c r="D5641" s="5" t="str">
        <f>IFERROR(__xludf.DUMMYFUNCTION("""COMPUTED_VALUE"""),"اصفهان")</f>
        <v>اصفهان</v>
      </c>
      <c r="E5641" s="5" t="str">
        <f>IFERROR(__xludf.DUMMYFUNCTION("""COMPUTED_VALUE"""),"خور و بیابانک")</f>
        <v>خور و بیابانک</v>
      </c>
      <c r="F5641" s="5"/>
      <c r="G5641" s="5">
        <f>IFERROR(__xludf.DUMMYFUNCTION("""COMPUTED_VALUE"""),1.0)</f>
        <v>1</v>
      </c>
      <c r="H5641" s="6" t="str">
        <f>IFERROR(__xludf.DUMMYFUNCTION("""COMPUTED_VALUE"""),"https://www.instagram.com/h.ghasemebnlhasan_sp")</f>
        <v>https://www.instagram.com/h.ghasemebnlhasan_sp</v>
      </c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</row>
    <row r="5642">
      <c r="A5642" s="5">
        <f>IFERROR(__xludf.DUMMYFUNCTION("""COMPUTED_VALUE"""),17937.0)</f>
        <v>17937</v>
      </c>
      <c r="B5642" s="5" t="str">
        <f>IFERROR(__xludf.DUMMYFUNCTION("""COMPUTED_VALUE"""),"هیأت")</f>
        <v>هیأت</v>
      </c>
      <c r="C5642" s="5" t="str">
        <f>IFERROR(__xludf.DUMMYFUNCTION("""COMPUTED_VALUE"""),"مکتب الحسین(ع)")</f>
        <v>مکتب الحسین(ع)</v>
      </c>
      <c r="D5642" s="5" t="str">
        <f>IFERROR(__xludf.DUMMYFUNCTION("""COMPUTED_VALUE"""),"اصفهان")</f>
        <v>اصفهان</v>
      </c>
      <c r="E5642" s="5" t="str">
        <f>IFERROR(__xludf.DUMMYFUNCTION("""COMPUTED_VALUE"""),"شهرضا")</f>
        <v>شهرضا</v>
      </c>
      <c r="F5642" s="5"/>
      <c r="G5642" s="5"/>
      <c r="H5642" s="6" t="str">
        <f>IFERROR(__xludf.DUMMYFUNCTION("""COMPUTED_VALUE"""),"https://www.instagram.com/maktab_hosein.shahreza")</f>
        <v>https://www.instagram.com/maktab_hosein.shahreza</v>
      </c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</row>
    <row r="5643">
      <c r="A5643" s="5">
        <f>IFERROR(__xludf.DUMMYFUNCTION("""COMPUTED_VALUE"""),18056.0)</f>
        <v>18056</v>
      </c>
      <c r="B5643" s="5" t="str">
        <f>IFERROR(__xludf.DUMMYFUNCTION("""COMPUTED_VALUE"""),"هیأت")</f>
        <v>هیأت</v>
      </c>
      <c r="C5643" s="5" t="str">
        <f>IFERROR(__xludf.DUMMYFUNCTION("""COMPUTED_VALUE"""),"عاشقان حضرت ابوالفضل(ع)")</f>
        <v>عاشقان حضرت ابوالفضل(ع)</v>
      </c>
      <c r="D5643" s="5" t="str">
        <f>IFERROR(__xludf.DUMMYFUNCTION("""COMPUTED_VALUE"""),"اصفهان")</f>
        <v>اصفهان</v>
      </c>
      <c r="E5643" s="5" t="str">
        <f>IFERROR(__xludf.DUMMYFUNCTION("""COMPUTED_VALUE"""),"نجف آباد")</f>
        <v>نجف آباد</v>
      </c>
      <c r="F5643" s="5"/>
      <c r="G5643" s="5"/>
      <c r="H5643" s="6" t="str">
        <f>IFERROR(__xludf.DUMMYFUNCTION("""COMPUTED_VALUE"""),"https://www.instagram.com/asheghan.abalfazl")</f>
        <v>https://www.instagram.com/asheghan.abalfazl</v>
      </c>
      <c r="I5643" s="6" t="str">
        <f>IFERROR(__xludf.DUMMYFUNCTION("""COMPUTED_VALUE"""),"https://t.me/asheghanabalfazlll")</f>
        <v>https://t.me/asheghanabalfazlll</v>
      </c>
      <c r="J5643" s="5"/>
      <c r="K5643" s="5"/>
      <c r="L5643" s="5"/>
      <c r="M5643" s="5"/>
      <c r="N5643" s="5"/>
      <c r="O5643" s="5"/>
      <c r="P5643" s="5"/>
      <c r="Q5643" s="5"/>
      <c r="R5643" s="5"/>
      <c r="S5643" s="5"/>
    </row>
    <row r="5644">
      <c r="A5644" s="5">
        <f>IFERROR(__xludf.DUMMYFUNCTION("""COMPUTED_VALUE"""),18059.0)</f>
        <v>18059</v>
      </c>
      <c r="B5644" s="5" t="str">
        <f>IFERROR(__xludf.DUMMYFUNCTION("""COMPUTED_VALUE"""),"هیأت")</f>
        <v>هیأت</v>
      </c>
      <c r="C5644" s="5" t="str">
        <f>IFERROR(__xludf.DUMMYFUNCTION("""COMPUTED_VALUE"""),"نورالحسین (ع)")</f>
        <v>نورالحسین (ع)</v>
      </c>
      <c r="D5644" s="5" t="str">
        <f>IFERROR(__xludf.DUMMYFUNCTION("""COMPUTED_VALUE"""),"اصفهان")</f>
        <v>اصفهان</v>
      </c>
      <c r="E5644" s="5" t="str">
        <f>IFERROR(__xludf.DUMMYFUNCTION("""COMPUTED_VALUE"""),"درچه پیاز")</f>
        <v>درچه پیاز</v>
      </c>
      <c r="F5644" s="5"/>
      <c r="G5644" s="5"/>
      <c r="H5644" s="6" t="str">
        <f>IFERROR(__xludf.DUMMYFUNCTION("""COMPUTED_VALUE"""),"https://www.instagram.com/noorolhoseyn")</f>
        <v>https://www.instagram.com/noorolhoseyn</v>
      </c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</row>
    <row r="5645">
      <c r="A5645" s="5">
        <f>IFERROR(__xludf.DUMMYFUNCTION("""COMPUTED_VALUE"""),18060.0)</f>
        <v>18060</v>
      </c>
      <c r="B5645" s="5" t="str">
        <f>IFERROR(__xludf.DUMMYFUNCTION("""COMPUTED_VALUE"""),"هیأت داش آموزی")</f>
        <v>هیأت داش آموزی</v>
      </c>
      <c r="C5645" s="5" t="str">
        <f>IFERROR(__xludf.DUMMYFUNCTION("""COMPUTED_VALUE"""),"انصارالمهدی (عج)")</f>
        <v>انصارالمهدی (عج)</v>
      </c>
      <c r="D5645" s="5" t="str">
        <f>IFERROR(__xludf.DUMMYFUNCTION("""COMPUTED_VALUE"""),"اصفهان")</f>
        <v>اصفهان</v>
      </c>
      <c r="E5645" s="5" t="str">
        <f>IFERROR(__xludf.DUMMYFUNCTION("""COMPUTED_VALUE"""),"شهرضا")</f>
        <v>شهرضا</v>
      </c>
      <c r="F5645" s="5"/>
      <c r="G5645" s="5">
        <f>IFERROR(__xludf.DUMMYFUNCTION("""COMPUTED_VALUE"""),1.0)</f>
        <v>1</v>
      </c>
      <c r="H5645" s="6" t="str">
        <f>IFERROR(__xludf.DUMMYFUNCTION("""COMPUTED_VALUE"""),"https://www.instagram.com/ansaralmahdi_sh")</f>
        <v>https://www.instagram.com/ansaralmahdi_sh</v>
      </c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</row>
    <row r="5646">
      <c r="A5646" s="5">
        <f>IFERROR(__xludf.DUMMYFUNCTION("""COMPUTED_VALUE"""),18067.0)</f>
        <v>18067</v>
      </c>
      <c r="B5646" s="5" t="str">
        <f>IFERROR(__xludf.DUMMYFUNCTION("""COMPUTED_VALUE"""),"هیأت")</f>
        <v>هیأت</v>
      </c>
      <c r="C5646" s="5" t="str">
        <f>IFERROR(__xludf.DUMMYFUNCTION("""COMPUTED_VALUE"""),"پنج تن آل عبا (ع)")</f>
        <v>پنج تن آل عبا (ع)</v>
      </c>
      <c r="D5646" s="5" t="str">
        <f>IFERROR(__xludf.DUMMYFUNCTION("""COMPUTED_VALUE"""),"اصفهان")</f>
        <v>اصفهان</v>
      </c>
      <c r="E5646" s="5" t="str">
        <f>IFERROR(__xludf.DUMMYFUNCTION("""COMPUTED_VALUE"""),"خمینی شهر")</f>
        <v>خمینی شهر</v>
      </c>
      <c r="F5646" s="5"/>
      <c r="G5646" s="5"/>
      <c r="H5646" s="5"/>
      <c r="I5646" s="5"/>
      <c r="J5646" s="6" t="str">
        <f>IFERROR(__xludf.DUMMYFUNCTION("""COMPUTED_VALUE"""),"https://eitaa.com/panjtanallaba")</f>
        <v>https://eitaa.com/panjtanallaba</v>
      </c>
      <c r="K5646" s="5"/>
      <c r="L5646" s="5"/>
      <c r="M5646" s="5"/>
      <c r="N5646" s="5"/>
      <c r="O5646" s="5"/>
      <c r="P5646" s="5"/>
      <c r="Q5646" s="5"/>
      <c r="R5646" s="5"/>
      <c r="S5646" s="5"/>
    </row>
    <row r="5647">
      <c r="A5647" s="5">
        <f>IFERROR(__xludf.DUMMYFUNCTION("""COMPUTED_VALUE"""),18070.0)</f>
        <v>18070</v>
      </c>
      <c r="B5647" s="5" t="str">
        <f>IFERROR(__xludf.DUMMYFUNCTION("""COMPUTED_VALUE"""),"هیأت کانون")</f>
        <v>هیأت کانون</v>
      </c>
      <c r="C5647" s="5" t="str">
        <f>IFERROR(__xludf.DUMMYFUNCTION("""COMPUTED_VALUE""")," نسل انقلاب")</f>
        <v> نسل انقلاب</v>
      </c>
      <c r="D5647" s="5" t="str">
        <f>IFERROR(__xludf.DUMMYFUNCTION("""COMPUTED_VALUE"""),"اصفهان")</f>
        <v>اصفهان</v>
      </c>
      <c r="E5647" s="5" t="str">
        <f>IFERROR(__xludf.DUMMYFUNCTION("""COMPUTED_VALUE"""),"نائین")</f>
        <v>نائین</v>
      </c>
      <c r="F5647" s="5"/>
      <c r="G5647" s="5">
        <f>IFERROR(__xludf.DUMMYFUNCTION("""COMPUTED_VALUE"""),1.0)</f>
        <v>1</v>
      </c>
      <c r="H5647" s="6" t="str">
        <f>IFERROR(__xludf.DUMMYFUNCTION("""COMPUTED_VALUE"""),"https://www.instagram.com/naslenghelab")</f>
        <v>https://www.instagram.com/naslenghelab</v>
      </c>
      <c r="I5647" s="6" t="str">
        <f>IFERROR(__xludf.DUMMYFUNCTION("""COMPUTED_VALUE"""),"https://t.me/jahadefarhangi313")</f>
        <v>https://t.me/jahadefarhangi313</v>
      </c>
      <c r="J5647" s="5"/>
      <c r="K5647" s="5"/>
      <c r="L5647" s="5"/>
      <c r="M5647" s="5"/>
      <c r="N5647" s="5"/>
      <c r="O5647" s="5"/>
      <c r="P5647" s="5"/>
      <c r="Q5647" s="5"/>
      <c r="R5647" s="5"/>
      <c r="S5647" s="5"/>
    </row>
    <row r="5648">
      <c r="A5648" s="5">
        <f>IFERROR(__xludf.DUMMYFUNCTION("""COMPUTED_VALUE"""),18574.0)</f>
        <v>18574</v>
      </c>
      <c r="B5648" s="5" t="str">
        <f>IFERROR(__xludf.DUMMYFUNCTION("""COMPUTED_VALUE"""),"هیأت")</f>
        <v>هیأت</v>
      </c>
      <c r="C5648" s="5" t="str">
        <f>IFERROR(__xludf.DUMMYFUNCTION("""COMPUTED_VALUE"""),"جنت الماوی")</f>
        <v>جنت الماوی</v>
      </c>
      <c r="D5648" s="5" t="str">
        <f>IFERROR(__xludf.DUMMYFUNCTION("""COMPUTED_VALUE"""),"اصفهان")</f>
        <v>اصفهان</v>
      </c>
      <c r="E5648" s="5" t="str">
        <f>IFERROR(__xludf.DUMMYFUNCTION("""COMPUTED_VALUE"""),"اصفهان")</f>
        <v>اصفهان</v>
      </c>
      <c r="F5648" s="5"/>
      <c r="G5648" s="5">
        <f>IFERROR(__xludf.DUMMYFUNCTION("""COMPUTED_VALUE"""),1.0)</f>
        <v>1</v>
      </c>
      <c r="H5648" s="5"/>
      <c r="I5648" s="5"/>
      <c r="J5648" s="6" t="str">
        <f>IFERROR(__xludf.DUMMYFUNCTION("""COMPUTED_VALUE"""),"https://eitaa.com/jannatolmava")</f>
        <v>https://eitaa.com/jannatolmava</v>
      </c>
      <c r="K5648" s="5"/>
      <c r="L5648" s="5"/>
      <c r="M5648" s="5"/>
      <c r="N5648" s="5"/>
      <c r="O5648" s="5"/>
      <c r="P5648" s="5"/>
      <c r="Q5648" s="5"/>
      <c r="R5648" s="5"/>
      <c r="S5648" s="5"/>
    </row>
    <row r="5649">
      <c r="A5649" s="5">
        <f>IFERROR(__xludf.DUMMYFUNCTION("""COMPUTED_VALUE"""),18576.0)</f>
        <v>18576</v>
      </c>
      <c r="B5649" s="5" t="str">
        <f>IFERROR(__xludf.DUMMYFUNCTION("""COMPUTED_VALUE"""),"هیأت")</f>
        <v>هیأت</v>
      </c>
      <c r="C5649" s="5" t="str">
        <f>IFERROR(__xludf.DUMMYFUNCTION("""COMPUTED_VALUE"""),"حضرت زهرای اطهر(س)")</f>
        <v>حضرت زهرای اطهر(س)</v>
      </c>
      <c r="D5649" s="5" t="str">
        <f>IFERROR(__xludf.DUMMYFUNCTION("""COMPUTED_VALUE"""),"اصفهان")</f>
        <v>اصفهان</v>
      </c>
      <c r="E5649" s="5" t="str">
        <f>IFERROR(__xludf.DUMMYFUNCTION("""COMPUTED_VALUE"""),"اصفهان")</f>
        <v>اصفهان</v>
      </c>
      <c r="F5649" s="5"/>
      <c r="G5649" s="5">
        <f>IFERROR(__xludf.DUMMYFUNCTION("""COMPUTED_VALUE"""),1.0)</f>
        <v>1</v>
      </c>
      <c r="H5649" s="6" t="str">
        <f>IFERROR(__xludf.DUMMYFUNCTION("""COMPUTED_VALUE"""),"https://www.instagram.com/masjedefatemieh")</f>
        <v>https://www.instagram.com/masjedefatemieh</v>
      </c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</row>
    <row r="5650">
      <c r="A5650" s="5">
        <f>IFERROR(__xludf.DUMMYFUNCTION("""COMPUTED_VALUE"""),18579.0)</f>
        <v>18579</v>
      </c>
      <c r="B5650" s="5" t="str">
        <f>IFERROR(__xludf.DUMMYFUNCTION("""COMPUTED_VALUE"""),"هیأت")</f>
        <v>هیأت</v>
      </c>
      <c r="C5650" s="5" t="str">
        <f>IFERROR(__xludf.DUMMYFUNCTION("""COMPUTED_VALUE"""),"حضرت حجت بن الحسن(عج)")</f>
        <v>حضرت حجت بن الحسن(عج)</v>
      </c>
      <c r="D5650" s="5" t="str">
        <f>IFERROR(__xludf.DUMMYFUNCTION("""COMPUTED_VALUE"""),"اصفهان")</f>
        <v>اصفهان</v>
      </c>
      <c r="E5650" s="5" t="str">
        <f>IFERROR(__xludf.DUMMYFUNCTION("""COMPUTED_VALUE"""),"اصفهان")</f>
        <v>اصفهان</v>
      </c>
      <c r="F5650" s="5"/>
      <c r="G5650" s="5">
        <f>IFERROR(__xludf.DUMMYFUNCTION("""COMPUTED_VALUE"""),1.0)</f>
        <v>1</v>
      </c>
      <c r="H5650" s="5"/>
      <c r="I5650" s="5"/>
      <c r="J5650" s="6" t="str">
        <f>IFERROR(__xludf.DUMMYFUNCTION("""COMPUTED_VALUE"""),"https://eitaa.com/bicheragh118")</f>
        <v>https://eitaa.com/bicheragh118</v>
      </c>
      <c r="K5650" s="5"/>
      <c r="L5650" s="5"/>
      <c r="M5650" s="5"/>
      <c r="N5650" s="5"/>
      <c r="O5650" s="5"/>
      <c r="P5650" s="5"/>
      <c r="Q5650" s="5"/>
      <c r="R5650" s="5"/>
      <c r="S5650" s="5"/>
    </row>
    <row r="5651">
      <c r="A5651" s="5">
        <f>IFERROR(__xludf.DUMMYFUNCTION("""COMPUTED_VALUE"""),18608.0)</f>
        <v>18608</v>
      </c>
      <c r="B5651" s="5" t="str">
        <f>IFERROR(__xludf.DUMMYFUNCTION("""COMPUTED_VALUE"""),"هیأت")</f>
        <v>هیأت</v>
      </c>
      <c r="C5651" s="5" t="str">
        <f>IFERROR(__xludf.DUMMYFUNCTION("""COMPUTED_VALUE"""),"منادیان کربلا")</f>
        <v>منادیان کربلا</v>
      </c>
      <c r="D5651" s="5" t="str">
        <f>IFERROR(__xludf.DUMMYFUNCTION("""COMPUTED_VALUE"""),"اصفهان")</f>
        <v>اصفهان</v>
      </c>
      <c r="E5651" s="5" t="str">
        <f>IFERROR(__xludf.DUMMYFUNCTION("""COMPUTED_VALUE"""),"اصفهان")</f>
        <v>اصفهان</v>
      </c>
      <c r="F5651" s="5"/>
      <c r="G5651" s="5"/>
      <c r="H5651" s="6" t="str">
        <f>IFERROR(__xludf.DUMMYFUNCTION("""COMPUTED_VALUE"""),"https://www.instagram.com/monadiankarbala")</f>
        <v>https://www.instagram.com/monadiankarbala</v>
      </c>
      <c r="I5651" s="6" t="str">
        <f>IFERROR(__xludf.DUMMYFUNCTION("""COMPUTED_VALUE"""),"https://t.me/monadiyankarbala110")</f>
        <v>https://t.me/monadiyankarbala110</v>
      </c>
      <c r="J5651" s="5"/>
      <c r="K5651" s="5"/>
      <c r="L5651" s="5"/>
      <c r="M5651" s="5"/>
      <c r="N5651" s="5"/>
      <c r="O5651" s="5"/>
      <c r="P5651" s="5"/>
      <c r="Q5651" s="5"/>
      <c r="R5651" s="5"/>
      <c r="S5651" s="5"/>
    </row>
    <row r="5652">
      <c r="A5652" s="5">
        <f>IFERROR(__xludf.DUMMYFUNCTION("""COMPUTED_VALUE"""),18609.0)</f>
        <v>18609</v>
      </c>
      <c r="B5652" s="5" t="str">
        <f>IFERROR(__xludf.DUMMYFUNCTION("""COMPUTED_VALUE"""),"هیأت")</f>
        <v>هیأت</v>
      </c>
      <c r="C5652" s="5" t="str">
        <f>IFERROR(__xludf.DUMMYFUNCTION("""COMPUTED_VALUE"""),"باب الجواد")</f>
        <v>باب الجواد</v>
      </c>
      <c r="D5652" s="5" t="str">
        <f>IFERROR(__xludf.DUMMYFUNCTION("""COMPUTED_VALUE"""),"اصفهان")</f>
        <v>اصفهان</v>
      </c>
      <c r="E5652" s="5" t="str">
        <f>IFERROR(__xludf.DUMMYFUNCTION("""COMPUTED_VALUE"""),"اصفهان")</f>
        <v>اصفهان</v>
      </c>
      <c r="F5652" s="5"/>
      <c r="G5652" s="5">
        <f>IFERROR(__xludf.DUMMYFUNCTION("""COMPUTED_VALUE"""),1.0)</f>
        <v>1</v>
      </c>
      <c r="H5652" s="6" t="str">
        <f>IFERROR(__xludf.DUMMYFUNCTION("""COMPUTED_VALUE"""),"https://www.instagram.com/bab_al_javad")</f>
        <v>https://www.instagram.com/bab_al_javad</v>
      </c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</row>
    <row r="5653">
      <c r="A5653" s="5">
        <f>IFERROR(__xludf.DUMMYFUNCTION("""COMPUTED_VALUE"""),18612.0)</f>
        <v>18612</v>
      </c>
      <c r="B5653" s="5" t="str">
        <f>IFERROR(__xludf.DUMMYFUNCTION("""COMPUTED_VALUE"""),"هیأت")</f>
        <v>هیأت</v>
      </c>
      <c r="C5653" s="5" t="str">
        <f>IFERROR(__xludf.DUMMYFUNCTION("""COMPUTED_VALUE"""),"فاطمیون")</f>
        <v>فاطمیون</v>
      </c>
      <c r="D5653" s="5" t="str">
        <f>IFERROR(__xludf.DUMMYFUNCTION("""COMPUTED_VALUE"""),"اصفهان")</f>
        <v>اصفهان</v>
      </c>
      <c r="E5653" s="5" t="str">
        <f>IFERROR(__xludf.DUMMYFUNCTION("""COMPUTED_VALUE"""),"شهرضا")</f>
        <v>شهرضا</v>
      </c>
      <c r="F5653" s="5"/>
      <c r="G5653" s="5"/>
      <c r="H5653" s="5"/>
      <c r="I5653" s="5"/>
      <c r="J5653" s="6" t="str">
        <f>IFERROR(__xludf.DUMMYFUNCTION("""COMPUTED_VALUE"""),"https://eitaa.com/fatemioneshahreza")</f>
        <v>https://eitaa.com/fatemioneshahreza</v>
      </c>
      <c r="K5653" s="5"/>
      <c r="L5653" s="5"/>
      <c r="M5653" s="5"/>
      <c r="N5653" s="5"/>
      <c r="O5653" s="5"/>
      <c r="P5653" s="5"/>
      <c r="Q5653" s="5"/>
      <c r="R5653" s="5"/>
      <c r="S5653" s="5"/>
    </row>
    <row r="5654">
      <c r="A5654" s="5">
        <f>IFERROR(__xludf.DUMMYFUNCTION("""COMPUTED_VALUE"""),18613.0)</f>
        <v>18613</v>
      </c>
      <c r="B5654" s="5" t="str">
        <f>IFERROR(__xludf.DUMMYFUNCTION("""COMPUTED_VALUE"""),"هیأت")</f>
        <v>هیأت</v>
      </c>
      <c r="C5654" s="5" t="str">
        <f>IFERROR(__xludf.DUMMYFUNCTION("""COMPUTED_VALUE"""),"رهروان ولایت کانون فرهنگی هنری امام خمینی(ره)")</f>
        <v>رهروان ولایت کانون فرهنگی هنری امام خمینی(ره)</v>
      </c>
      <c r="D5654" s="5" t="str">
        <f>IFERROR(__xludf.DUMMYFUNCTION("""COMPUTED_VALUE"""),"اصفهان")</f>
        <v>اصفهان</v>
      </c>
      <c r="E5654" s="5" t="str">
        <f>IFERROR(__xludf.DUMMYFUNCTION("""COMPUTED_VALUE"""),"فلاورجان")</f>
        <v>فلاورجان</v>
      </c>
      <c r="F5654" s="5"/>
      <c r="G5654" s="5"/>
      <c r="H5654" s="6" t="str">
        <f>IFERROR(__xludf.DUMMYFUNCTION("""COMPUTED_VALUE"""),"https://www.instagram.com/kanoon.emam")</f>
        <v>https://www.instagram.com/kanoon.emam</v>
      </c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</row>
    <row r="5655">
      <c r="A5655" s="5">
        <f>IFERROR(__xludf.DUMMYFUNCTION("""COMPUTED_VALUE"""),18614.0)</f>
        <v>18614</v>
      </c>
      <c r="B5655" s="5" t="str">
        <f>IFERROR(__xludf.DUMMYFUNCTION("""COMPUTED_VALUE"""),"هیأت")</f>
        <v>هیأت</v>
      </c>
      <c r="C5655" s="5" t="str">
        <f>IFERROR(__xludf.DUMMYFUNCTION("""COMPUTED_VALUE"""),"یازینب(س)")</f>
        <v>یازینب(س)</v>
      </c>
      <c r="D5655" s="5" t="str">
        <f>IFERROR(__xludf.DUMMYFUNCTION("""COMPUTED_VALUE"""),"اصفهان")</f>
        <v>اصفهان</v>
      </c>
      <c r="E5655" s="5" t="str">
        <f>IFERROR(__xludf.DUMMYFUNCTION("""COMPUTED_VALUE"""),"گلپایگان")</f>
        <v>گلپایگان</v>
      </c>
      <c r="F5655" s="5"/>
      <c r="G5655" s="5"/>
      <c r="H5655" s="5"/>
      <c r="I5655" s="5"/>
      <c r="J5655" s="6" t="str">
        <f>IFERROR(__xludf.DUMMYFUNCTION("""COMPUTED_VALUE"""),"https://eitaa.com/yazeinab_golpa")</f>
        <v>https://eitaa.com/yazeinab_golpa</v>
      </c>
      <c r="K5655" s="5"/>
      <c r="L5655" s="5"/>
      <c r="M5655" s="5"/>
      <c r="N5655" s="5"/>
      <c r="O5655" s="5"/>
      <c r="P5655" s="5"/>
      <c r="Q5655" s="5"/>
      <c r="R5655" s="5"/>
      <c r="S5655" s="5"/>
    </row>
    <row r="5656">
      <c r="A5656" s="5">
        <f>IFERROR(__xludf.DUMMYFUNCTION("""COMPUTED_VALUE"""),18616.0)</f>
        <v>18616</v>
      </c>
      <c r="B5656" s="5" t="str">
        <f>IFERROR(__xludf.DUMMYFUNCTION("""COMPUTED_VALUE"""),"هیأت")</f>
        <v>هیأت</v>
      </c>
      <c r="C5656" s="5" t="str">
        <f>IFERROR(__xludf.DUMMYFUNCTION("""COMPUTED_VALUE"""),"محبان الائمه (ع)")</f>
        <v>محبان الائمه (ع)</v>
      </c>
      <c r="D5656" s="5" t="str">
        <f>IFERROR(__xludf.DUMMYFUNCTION("""COMPUTED_VALUE"""),"اصفهان")</f>
        <v>اصفهان</v>
      </c>
      <c r="E5656" s="5" t="str">
        <f>IFERROR(__xludf.DUMMYFUNCTION("""COMPUTED_VALUE"""),"نائین")</f>
        <v>نائین</v>
      </c>
      <c r="F5656" s="5"/>
      <c r="G5656" s="5"/>
      <c r="H5656" s="6" t="str">
        <f>IFERROR(__xludf.DUMMYFUNCTION("""COMPUTED_VALUE"""),"https://www.instagram.com/mohebanalaeme_naein")</f>
        <v>https://www.instagram.com/mohebanalaeme_naein</v>
      </c>
      <c r="I5656" s="6" t="str">
        <f>IFERROR(__xludf.DUMMYFUNCTION("""COMPUTED_VALUE"""),"https://t.me/mohebban_naein")</f>
        <v>https://t.me/mohebban_naein</v>
      </c>
      <c r="J5656" s="6" t="str">
        <f>IFERROR(__xludf.DUMMYFUNCTION("""COMPUTED_VALUE"""),"https://eitaa.com/mohebban_naein")</f>
        <v>https://eitaa.com/mohebban_naein</v>
      </c>
      <c r="K5656" s="5"/>
      <c r="L5656" s="5"/>
      <c r="M5656" s="5"/>
      <c r="N5656" s="5"/>
      <c r="O5656" s="5"/>
      <c r="P5656" s="5"/>
      <c r="Q5656" s="5"/>
      <c r="R5656" s="5"/>
      <c r="S5656" s="5"/>
    </row>
    <row r="5657">
      <c r="A5657" s="5">
        <f>IFERROR(__xludf.DUMMYFUNCTION("""COMPUTED_VALUE"""),18620.0)</f>
        <v>18620</v>
      </c>
      <c r="B5657" s="5" t="str">
        <f>IFERROR(__xludf.DUMMYFUNCTION("""COMPUTED_VALUE"""),"هیأت")</f>
        <v>هیأت</v>
      </c>
      <c r="C5657" s="5" t="str">
        <f>IFERROR(__xludf.DUMMYFUNCTION("""COMPUTED_VALUE"""),"ریحانه النبی (س)")</f>
        <v>ریحانه النبی (س)</v>
      </c>
      <c r="D5657" s="5" t="str">
        <f>IFERROR(__xludf.DUMMYFUNCTION("""COMPUTED_VALUE"""),"اصفهان")</f>
        <v>اصفهان</v>
      </c>
      <c r="E5657" s="5" t="str">
        <f>IFERROR(__xludf.DUMMYFUNCTION("""COMPUTED_VALUE"""),"داران")</f>
        <v>داران</v>
      </c>
      <c r="F5657" s="5"/>
      <c r="G5657" s="5">
        <f>IFERROR(__xludf.DUMMYFUNCTION("""COMPUTED_VALUE"""),1.0)</f>
        <v>1</v>
      </c>
      <c r="H5657" s="6" t="str">
        <f>IFERROR(__xludf.DUMMYFUNCTION("""COMPUTED_VALUE"""),"https://www.instagram.com/maktab_alzahra_daran")</f>
        <v>https://www.instagram.com/maktab_alzahra_daran</v>
      </c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</row>
    <row r="5658">
      <c r="A5658" s="5">
        <f>IFERROR(__xludf.DUMMYFUNCTION("""COMPUTED_VALUE"""),18622.0)</f>
        <v>18622</v>
      </c>
      <c r="B5658" s="5" t="str">
        <f>IFERROR(__xludf.DUMMYFUNCTION("""COMPUTED_VALUE"""),"هیأت")</f>
        <v>هیأت</v>
      </c>
      <c r="C5658" s="5" t="str">
        <f>IFERROR(__xludf.DUMMYFUNCTION("""COMPUTED_VALUE"""),"بنی فاطمه (س)")</f>
        <v>بنی فاطمه (س)</v>
      </c>
      <c r="D5658" s="5" t="str">
        <f>IFERROR(__xludf.DUMMYFUNCTION("""COMPUTED_VALUE"""),"اصفهان")</f>
        <v>اصفهان</v>
      </c>
      <c r="E5658" s="5" t="str">
        <f>IFERROR(__xludf.DUMMYFUNCTION("""COMPUTED_VALUE"""),"فولادشهر")</f>
        <v>فولادشهر</v>
      </c>
      <c r="F5658" s="5"/>
      <c r="G5658" s="5">
        <f>IFERROR(__xludf.DUMMYFUNCTION("""COMPUTED_VALUE"""),1.0)</f>
        <v>1</v>
      </c>
      <c r="H5658" s="6" t="str">
        <f>IFERROR(__xludf.DUMMYFUNCTION("""COMPUTED_VALUE"""),"https://www.instagram.com/heyatbanifateme_foladshahr")</f>
        <v>https://www.instagram.com/heyatbanifateme_foladshahr</v>
      </c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</row>
    <row r="5659">
      <c r="A5659" s="5">
        <f>IFERROR(__xludf.DUMMYFUNCTION("""COMPUTED_VALUE"""),18623.0)</f>
        <v>18623</v>
      </c>
      <c r="B5659" s="5" t="str">
        <f>IFERROR(__xludf.DUMMYFUNCTION("""COMPUTED_VALUE"""),"هیأت")</f>
        <v>هیأت</v>
      </c>
      <c r="C5659" s="5" t="str">
        <f>IFERROR(__xludf.DUMMYFUNCTION("""COMPUTED_VALUE"""),"رایه الزهرا (س)")</f>
        <v>رایه الزهرا (س)</v>
      </c>
      <c r="D5659" s="5" t="str">
        <f>IFERROR(__xludf.DUMMYFUNCTION("""COMPUTED_VALUE"""),"اصفهان")</f>
        <v>اصفهان</v>
      </c>
      <c r="E5659" s="5" t="str">
        <f>IFERROR(__xludf.DUMMYFUNCTION("""COMPUTED_VALUE"""),"زرین شهر")</f>
        <v>زرین شهر</v>
      </c>
      <c r="F5659" s="5"/>
      <c r="G5659" s="5"/>
      <c r="H5659" s="6" t="str">
        <f>IFERROR(__xludf.DUMMYFUNCTION("""COMPUTED_VALUE"""),"https://www.instagram.com/raayatozzahra")</f>
        <v>https://www.instagram.com/raayatozzahra</v>
      </c>
      <c r="I5659" s="6" t="str">
        <f>IFERROR(__xludf.DUMMYFUNCTION("""COMPUTED_VALUE"""),"https://t.me/Raayatozzahra")</f>
        <v>https://t.me/Raayatozzahra</v>
      </c>
      <c r="J5659" s="6" t="str">
        <f>IFERROR(__xludf.DUMMYFUNCTION("""COMPUTED_VALUE"""),"https://eitaa.com/raayatozzahra1")</f>
        <v>https://eitaa.com/raayatozzahra1</v>
      </c>
      <c r="K5659" s="5"/>
      <c r="L5659" s="5"/>
      <c r="M5659" s="5"/>
      <c r="N5659" s="5"/>
      <c r="O5659" s="5"/>
      <c r="P5659" s="5"/>
      <c r="Q5659" s="5"/>
      <c r="R5659" s="5"/>
      <c r="S5659" s="5"/>
    </row>
    <row r="5660">
      <c r="A5660" s="5">
        <f>IFERROR(__xludf.DUMMYFUNCTION("""COMPUTED_VALUE"""),18624.0)</f>
        <v>18624</v>
      </c>
      <c r="B5660" s="5" t="str">
        <f>IFERROR(__xludf.DUMMYFUNCTION("""COMPUTED_VALUE"""),"هیأت")</f>
        <v>هیأت</v>
      </c>
      <c r="C5660" s="5" t="str">
        <f>IFERROR(__xludf.DUMMYFUNCTION("""COMPUTED_VALUE"""),"روضه الزینب (س)")</f>
        <v>روضه الزینب (س)</v>
      </c>
      <c r="D5660" s="5" t="str">
        <f>IFERROR(__xludf.DUMMYFUNCTION("""COMPUTED_VALUE"""),"اصفهان")</f>
        <v>اصفهان</v>
      </c>
      <c r="E5660" s="5" t="str">
        <f>IFERROR(__xludf.DUMMYFUNCTION("""COMPUTED_VALUE"""),"زرین شهر")</f>
        <v>زرین شهر</v>
      </c>
      <c r="F5660" s="5"/>
      <c r="G5660" s="5"/>
      <c r="H5660" s="6" t="str">
        <f>IFERROR(__xludf.DUMMYFUNCTION("""COMPUTED_VALUE"""),"https://www.instagram.com/rozatolzeinabb")</f>
        <v>https://www.instagram.com/rozatolzeinabb</v>
      </c>
      <c r="I5660" s="6" t="str">
        <f>IFERROR(__xludf.DUMMYFUNCTION("""COMPUTED_VALUE"""),"https://t.me/rozatolzeinabb")</f>
        <v>https://t.me/rozatolzeinabb</v>
      </c>
      <c r="J5660" s="5"/>
      <c r="K5660" s="5"/>
      <c r="L5660" s="5"/>
      <c r="M5660" s="5"/>
      <c r="N5660" s="5"/>
      <c r="O5660" s="5"/>
      <c r="P5660" s="5"/>
      <c r="Q5660" s="5"/>
      <c r="R5660" s="5"/>
      <c r="S5660" s="5"/>
    </row>
    <row r="5661">
      <c r="A5661" s="5">
        <f>IFERROR(__xludf.DUMMYFUNCTION("""COMPUTED_VALUE"""),18625.0)</f>
        <v>18625</v>
      </c>
      <c r="B5661" s="5" t="str">
        <f>IFERROR(__xludf.DUMMYFUNCTION("""COMPUTED_VALUE"""),"هیأت")</f>
        <v>هیأت</v>
      </c>
      <c r="C5661" s="5" t="str">
        <f>IFERROR(__xludf.DUMMYFUNCTION("""COMPUTED_VALUE"""),"امام رضا (ع)")</f>
        <v>امام رضا (ع)</v>
      </c>
      <c r="D5661" s="5" t="str">
        <f>IFERROR(__xludf.DUMMYFUNCTION("""COMPUTED_VALUE"""),"اصفهان")</f>
        <v>اصفهان</v>
      </c>
      <c r="E5661" s="5" t="str">
        <f>IFERROR(__xludf.DUMMYFUNCTION("""COMPUTED_VALUE"""),"لنجان")</f>
        <v>لنجان</v>
      </c>
      <c r="F5661" s="5"/>
      <c r="G5661" s="5"/>
      <c r="H5661" s="6" t="str">
        <f>IFERROR(__xludf.DUMMYFUNCTION("""COMPUTED_VALUE"""),"https://www.instagram.com/inst_imamreza_lenjan")</f>
        <v>https://www.instagram.com/inst_imamreza_lenjan</v>
      </c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</row>
    <row r="5662">
      <c r="A5662" s="5">
        <f>IFERROR(__xludf.DUMMYFUNCTION("""COMPUTED_VALUE"""),18627.0)</f>
        <v>18627</v>
      </c>
      <c r="B5662" s="5" t="str">
        <f>IFERROR(__xludf.DUMMYFUNCTION("""COMPUTED_VALUE"""),"هیأت")</f>
        <v>هیأت</v>
      </c>
      <c r="C5662" s="5" t="str">
        <f>IFERROR(__xludf.DUMMYFUNCTION("""COMPUTED_VALUE"""),"اباعبدالله الحسین(ع)")</f>
        <v>اباعبدالله الحسین(ع)</v>
      </c>
      <c r="D5662" s="5" t="str">
        <f>IFERROR(__xludf.DUMMYFUNCTION("""COMPUTED_VALUE"""),"اصفهان")</f>
        <v>اصفهان</v>
      </c>
      <c r="E5662" s="5" t="str">
        <f>IFERROR(__xludf.DUMMYFUNCTION("""COMPUTED_VALUE"""),"زرین شهر")</f>
        <v>زرین شهر</v>
      </c>
      <c r="F5662" s="5"/>
      <c r="G5662" s="5"/>
      <c r="H5662" s="6" t="str">
        <f>IFERROR(__xludf.DUMMYFUNCTION("""COMPUTED_VALUE"""),"https://www.instagram.com/heyat_masjed_jame")</f>
        <v>https://www.instagram.com/heyat_masjed_jame</v>
      </c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</row>
    <row r="5663">
      <c r="A5663" s="5">
        <f>IFERROR(__xludf.DUMMYFUNCTION("""COMPUTED_VALUE"""),18628.0)</f>
        <v>18628</v>
      </c>
      <c r="B5663" s="5" t="str">
        <f>IFERROR(__xludf.DUMMYFUNCTION("""COMPUTED_VALUE"""),"هیأت")</f>
        <v>هیأت</v>
      </c>
      <c r="C5663" s="5" t="str">
        <f>IFERROR(__xludf.DUMMYFUNCTION("""COMPUTED_VALUE"""),"مکتب العباس(ع)")</f>
        <v>مکتب العباس(ع)</v>
      </c>
      <c r="D5663" s="5" t="str">
        <f>IFERROR(__xludf.DUMMYFUNCTION("""COMPUTED_VALUE"""),"اصفهان")</f>
        <v>اصفهان</v>
      </c>
      <c r="E5663" s="5" t="str">
        <f>IFERROR(__xludf.DUMMYFUNCTION("""COMPUTED_VALUE"""),"زرین شهر")</f>
        <v>زرین شهر</v>
      </c>
      <c r="F5663" s="5"/>
      <c r="G5663" s="5"/>
      <c r="H5663" s="5"/>
      <c r="I5663" s="5"/>
      <c r="J5663" s="6" t="str">
        <f>IFERROR(__xludf.DUMMYFUNCTION("""COMPUTED_VALUE"""),"https://eitaa.com/maktabolabas_118")</f>
        <v>https://eitaa.com/maktabolabas_118</v>
      </c>
      <c r="K5663" s="5"/>
      <c r="L5663" s="5"/>
      <c r="M5663" s="5"/>
      <c r="N5663" s="5"/>
      <c r="O5663" s="5"/>
      <c r="P5663" s="5"/>
      <c r="Q5663" s="5"/>
      <c r="R5663" s="5"/>
      <c r="S5663" s="5"/>
    </row>
    <row r="5664">
      <c r="A5664" s="5">
        <f>IFERROR(__xludf.DUMMYFUNCTION("""COMPUTED_VALUE"""),18631.0)</f>
        <v>18631</v>
      </c>
      <c r="B5664" s="5" t="str">
        <f>IFERROR(__xludf.DUMMYFUNCTION("""COMPUTED_VALUE"""),"هیأت")</f>
        <v>هیأت</v>
      </c>
      <c r="C5664" s="5" t="str">
        <f>IFERROR(__xludf.DUMMYFUNCTION("""COMPUTED_VALUE"""),"متوسلین به اهل بیت رسول الله(ص)")</f>
        <v>متوسلین به اهل بیت رسول الله(ص)</v>
      </c>
      <c r="D5664" s="5" t="str">
        <f>IFERROR(__xludf.DUMMYFUNCTION("""COMPUTED_VALUE"""),"اصفهان")</f>
        <v>اصفهان</v>
      </c>
      <c r="E5664" s="5" t="str">
        <f>IFERROR(__xludf.DUMMYFUNCTION("""COMPUTED_VALUE"""),"زرین شهر")</f>
        <v>زرین شهر</v>
      </c>
      <c r="F5664" s="5"/>
      <c r="G5664" s="5"/>
      <c r="H5664" s="5"/>
      <c r="I5664" s="5"/>
      <c r="J5664" s="6" t="str">
        <f>IFERROR(__xludf.DUMMYFUNCTION("""COMPUTED_VALUE"""),"https://eitaa.com/sahebalzaman_313")</f>
        <v>https://eitaa.com/sahebalzaman_313</v>
      </c>
      <c r="K5664" s="5"/>
      <c r="L5664" s="5"/>
      <c r="M5664" s="5"/>
      <c r="N5664" s="5"/>
      <c r="O5664" s="5"/>
      <c r="P5664" s="5"/>
      <c r="Q5664" s="5"/>
      <c r="R5664" s="5"/>
      <c r="S5664" s="5"/>
    </row>
    <row r="5665">
      <c r="A5665" s="5">
        <f>IFERROR(__xludf.DUMMYFUNCTION("""COMPUTED_VALUE"""),18708.0)</f>
        <v>18708</v>
      </c>
      <c r="B5665" s="5" t="str">
        <f>IFERROR(__xludf.DUMMYFUNCTION("""COMPUTED_VALUE"""),"هیأت")</f>
        <v>هیأت</v>
      </c>
      <c r="C5665" s="5" t="str">
        <f>IFERROR(__xludf.DUMMYFUNCTION("""COMPUTED_VALUE"""),"قاسم بن الحسن (ع) (دانش آموزی)")</f>
        <v>قاسم بن الحسن (ع) (دانش آموزی)</v>
      </c>
      <c r="D5665" s="5" t="str">
        <f>IFERROR(__xludf.DUMMYFUNCTION("""COMPUTED_VALUE"""),"اصفهان")</f>
        <v>اصفهان</v>
      </c>
      <c r="E5665" s="5" t="str">
        <f>IFERROR(__xludf.DUMMYFUNCTION("""COMPUTED_VALUE"""),"سمیرم")</f>
        <v>سمیرم</v>
      </c>
      <c r="F5665" s="5"/>
      <c r="G5665" s="5"/>
      <c r="H5665" s="6" t="str">
        <f>IFERROR(__xludf.DUMMYFUNCTION("""COMPUTED_VALUE"""),"https://www.instagram.com/qasem_ibn_hasan")</f>
        <v>https://www.instagram.com/qasem_ibn_hasan</v>
      </c>
      <c r="I5665" s="5"/>
      <c r="J5665" s="6" t="str">
        <f>IFERROR(__xludf.DUMMYFUNCTION("""COMPUTED_VALUE"""),"https://eitaa.com/Qasem_ibn_Hasan")</f>
        <v>https://eitaa.com/Qasem_ibn_Hasan</v>
      </c>
      <c r="K5665" s="5"/>
      <c r="L5665" s="5"/>
      <c r="M5665" s="5"/>
      <c r="N5665" s="5"/>
      <c r="O5665" s="5"/>
      <c r="P5665" s="5"/>
      <c r="Q5665" s="5"/>
      <c r="R5665" s="5"/>
      <c r="S5665" s="5"/>
    </row>
    <row r="5666">
      <c r="A5666" s="5">
        <f>IFERROR(__xludf.DUMMYFUNCTION("""COMPUTED_VALUE"""),18728.0)</f>
        <v>18728</v>
      </c>
      <c r="B5666" s="5" t="str">
        <f>IFERROR(__xludf.DUMMYFUNCTION("""COMPUTED_VALUE"""),"هیأت")</f>
        <v>هیأت</v>
      </c>
      <c r="C5666" s="5" t="str">
        <f>IFERROR(__xludf.DUMMYFUNCTION("""COMPUTED_VALUE"""),"علمدار")</f>
        <v>علمدار</v>
      </c>
      <c r="D5666" s="5" t="str">
        <f>IFERROR(__xludf.DUMMYFUNCTION("""COMPUTED_VALUE"""),"اصفهان")</f>
        <v>اصفهان</v>
      </c>
      <c r="E5666" s="5" t="str">
        <f>IFERROR(__xludf.DUMMYFUNCTION("""COMPUTED_VALUE"""),"نجف آباد")</f>
        <v>نجف آباد</v>
      </c>
      <c r="F5666" s="5"/>
      <c r="G5666" s="5">
        <f>IFERROR(__xludf.DUMMYFUNCTION("""COMPUTED_VALUE"""),1.0)</f>
        <v>1</v>
      </c>
      <c r="H5666" s="6" t="str">
        <f>IFERROR(__xludf.DUMMYFUNCTION("""COMPUTED_VALUE"""),"https://www.instagram.com/heyat_alamdar_99")</f>
        <v>https://www.instagram.com/heyat_alamdar_99</v>
      </c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</row>
    <row r="5667">
      <c r="A5667" s="5">
        <f>IFERROR(__xludf.DUMMYFUNCTION("""COMPUTED_VALUE"""),18729.0)</f>
        <v>18729</v>
      </c>
      <c r="B5667" s="5" t="str">
        <f>IFERROR(__xludf.DUMMYFUNCTION("""COMPUTED_VALUE"""),"هیأت")</f>
        <v>هیأت</v>
      </c>
      <c r="C5667" s="5" t="str">
        <f>IFERROR(__xludf.DUMMYFUNCTION("""COMPUTED_VALUE"""),"یاوران بقیه الله (عج)")</f>
        <v>یاوران بقیه الله (عج)</v>
      </c>
      <c r="D5667" s="5" t="str">
        <f>IFERROR(__xludf.DUMMYFUNCTION("""COMPUTED_VALUE"""),"اصفهان")</f>
        <v>اصفهان</v>
      </c>
      <c r="E5667" s="5" t="str">
        <f>IFERROR(__xludf.DUMMYFUNCTION("""COMPUTED_VALUE"""),"نجف آباد")</f>
        <v>نجف آباد</v>
      </c>
      <c r="F5667" s="5"/>
      <c r="G5667" s="5"/>
      <c r="H5667" s="5"/>
      <c r="I5667" s="5"/>
      <c r="J5667" s="6" t="str">
        <f>IFERROR(__xludf.DUMMYFUNCTION("""COMPUTED_VALUE"""),"https://eitaa.com/NJF313")</f>
        <v>https://eitaa.com/NJF313</v>
      </c>
      <c r="K5667" s="5"/>
      <c r="L5667" s="5"/>
      <c r="M5667" s="5"/>
      <c r="N5667" s="5"/>
      <c r="O5667" s="5"/>
      <c r="P5667" s="5"/>
      <c r="Q5667" s="5"/>
      <c r="R5667" s="5"/>
      <c r="S5667" s="5"/>
    </row>
    <row r="5668">
      <c r="A5668" s="5">
        <f>IFERROR(__xludf.DUMMYFUNCTION("""COMPUTED_VALUE"""),18733.0)</f>
        <v>18733</v>
      </c>
      <c r="B5668" s="5" t="str">
        <f>IFERROR(__xludf.DUMMYFUNCTION("""COMPUTED_VALUE"""),"هیأت")</f>
        <v>هیأت</v>
      </c>
      <c r="C5668" s="5" t="str">
        <f>IFERROR(__xludf.DUMMYFUNCTION("""COMPUTED_VALUE"""),"زینبیون")</f>
        <v>زینبیون</v>
      </c>
      <c r="D5668" s="5" t="str">
        <f>IFERROR(__xludf.DUMMYFUNCTION("""COMPUTED_VALUE"""),"اصفهان")</f>
        <v>اصفهان</v>
      </c>
      <c r="E5668" s="5" t="str">
        <f>IFERROR(__xludf.DUMMYFUNCTION("""COMPUTED_VALUE"""),"کاشان")</f>
        <v>کاشان</v>
      </c>
      <c r="F5668" s="5"/>
      <c r="G5668" s="5"/>
      <c r="H5668" s="6" t="str">
        <f>IFERROR(__xludf.DUMMYFUNCTION("""COMPUTED_VALUE"""),"https://www.instagram.com/zeynabioon_kashan/")</f>
        <v>https://www.instagram.com/zeynabioon_kashan/</v>
      </c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</row>
    <row r="5669">
      <c r="A5669" s="5">
        <f>IFERROR(__xludf.DUMMYFUNCTION("""COMPUTED_VALUE"""),18734.0)</f>
        <v>18734</v>
      </c>
      <c r="B5669" s="5" t="str">
        <f>IFERROR(__xludf.DUMMYFUNCTION("""COMPUTED_VALUE"""),"هیأت")</f>
        <v>هیأت</v>
      </c>
      <c r="C5669" s="5" t="str">
        <f>IFERROR(__xludf.DUMMYFUNCTION("""COMPUTED_VALUE"""),"جنت الشهدا")</f>
        <v>جنت الشهدا</v>
      </c>
      <c r="D5669" s="5" t="str">
        <f>IFERROR(__xludf.DUMMYFUNCTION("""COMPUTED_VALUE"""),"اصفهان")</f>
        <v>اصفهان</v>
      </c>
      <c r="E5669" s="5" t="str">
        <f>IFERROR(__xludf.DUMMYFUNCTION("""COMPUTED_VALUE"""),"کاشان")</f>
        <v>کاشان</v>
      </c>
      <c r="F5669" s="5"/>
      <c r="G5669" s="5"/>
      <c r="H5669" s="5"/>
      <c r="I5669" s="5"/>
      <c r="J5669" s="6" t="str">
        <f>IFERROR(__xludf.DUMMYFUNCTION("""COMPUTED_VALUE"""),"https://eitaa.com/jannat_shohada")</f>
        <v>https://eitaa.com/jannat_shohada</v>
      </c>
      <c r="K5669" s="5"/>
      <c r="L5669" s="5"/>
      <c r="M5669" s="5"/>
      <c r="N5669" s="5"/>
      <c r="O5669" s="5"/>
      <c r="P5669" s="5"/>
      <c r="Q5669" s="5"/>
      <c r="R5669" s="5"/>
      <c r="S5669" s="5"/>
    </row>
    <row r="5670">
      <c r="A5670" s="5">
        <f>IFERROR(__xludf.DUMMYFUNCTION("""COMPUTED_VALUE"""),18737.0)</f>
        <v>18737</v>
      </c>
      <c r="B5670" s="5" t="str">
        <f>IFERROR(__xludf.DUMMYFUNCTION("""COMPUTED_VALUE"""),"هیأت")</f>
        <v>هیأت</v>
      </c>
      <c r="C5670" s="5" t="str">
        <f>IFERROR(__xludf.DUMMYFUNCTION("""COMPUTED_VALUE"""),"بیت الرباب (س)")</f>
        <v>بیت الرباب (س)</v>
      </c>
      <c r="D5670" s="5" t="str">
        <f>IFERROR(__xludf.DUMMYFUNCTION("""COMPUTED_VALUE"""),"اصفهان")</f>
        <v>اصفهان</v>
      </c>
      <c r="E5670" s="5" t="str">
        <f>IFERROR(__xludf.DUMMYFUNCTION("""COMPUTED_VALUE"""),"کاشان")</f>
        <v>کاشان</v>
      </c>
      <c r="F5670" s="5"/>
      <c r="G5670" s="5"/>
      <c r="H5670" s="6" t="str">
        <f>IFERROR(__xludf.DUMMYFUNCTION("""COMPUTED_VALUE"""),"https://www.instagram.com/forat.info/")</f>
        <v>https://www.instagram.com/forat.info/</v>
      </c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</row>
    <row r="5671">
      <c r="A5671" s="5">
        <f>IFERROR(__xludf.DUMMYFUNCTION("""COMPUTED_VALUE"""),18887.0)</f>
        <v>18887</v>
      </c>
      <c r="B5671" s="5" t="str">
        <f>IFERROR(__xludf.DUMMYFUNCTION("""COMPUTED_VALUE"""),"هیأت")</f>
        <v>هیأت</v>
      </c>
      <c r="C5671" s="5" t="str">
        <f>IFERROR(__xludf.DUMMYFUNCTION("""COMPUTED_VALUE"""),"حضرت فاطمه الزهرا (س) (خواهران)")</f>
        <v>حضرت فاطمه الزهرا (س) (خواهران)</v>
      </c>
      <c r="D5671" s="5" t="str">
        <f>IFERROR(__xludf.DUMMYFUNCTION("""COMPUTED_VALUE"""),"اصفهان")</f>
        <v>اصفهان</v>
      </c>
      <c r="E5671" s="5" t="str">
        <f>IFERROR(__xludf.DUMMYFUNCTION("""COMPUTED_VALUE"""),"اصفهان")</f>
        <v>اصفهان</v>
      </c>
      <c r="F5671" s="5"/>
      <c r="G5671" s="5"/>
      <c r="H5671" s="6" t="str">
        <f>IFERROR(__xludf.DUMMYFUNCTION("""COMPUTED_VALUE"""),"https://www.instagram.com/yazahra_isf/")</f>
        <v>https://www.instagram.com/yazahra_isf/</v>
      </c>
      <c r="I5671" s="5"/>
      <c r="J5671" s="6" t="str">
        <f>IFERROR(__xludf.DUMMYFUNCTION("""COMPUTED_VALUE"""),"https://eitaa.com/yazahra_esf")</f>
        <v>https://eitaa.com/yazahra_esf</v>
      </c>
      <c r="K5671" s="5"/>
      <c r="L5671" s="5"/>
      <c r="M5671" s="5"/>
      <c r="N5671" s="5"/>
      <c r="O5671" s="5"/>
      <c r="P5671" s="5"/>
      <c r="Q5671" s="5"/>
      <c r="R5671" s="5"/>
      <c r="S5671" s="5"/>
    </row>
    <row r="5672">
      <c r="A5672" s="5">
        <f>IFERROR(__xludf.DUMMYFUNCTION("""COMPUTED_VALUE"""),18888.0)</f>
        <v>18888</v>
      </c>
      <c r="B5672" s="5" t="str">
        <f>IFERROR(__xludf.DUMMYFUNCTION("""COMPUTED_VALUE"""),"هیأت")</f>
        <v>هیأت</v>
      </c>
      <c r="C5672" s="5" t="str">
        <f>IFERROR(__xludf.DUMMYFUNCTION("""COMPUTED_VALUE"""),"ریحانه النبی (س)")</f>
        <v>ریحانه النبی (س)</v>
      </c>
      <c r="D5672" s="5" t="str">
        <f>IFERROR(__xludf.DUMMYFUNCTION("""COMPUTED_VALUE"""),"اصفهان")</f>
        <v>اصفهان</v>
      </c>
      <c r="E5672" s="5" t="str">
        <f>IFERROR(__xludf.DUMMYFUNCTION("""COMPUTED_VALUE"""),"اصفهان")</f>
        <v>اصفهان</v>
      </c>
      <c r="F5672" s="5"/>
      <c r="G5672" s="5"/>
      <c r="H5672" s="5"/>
      <c r="I5672" s="5"/>
      <c r="J5672" s="6" t="str">
        <f>IFERROR(__xludf.DUMMYFUNCTION("""COMPUTED_VALUE"""),"https://eitaa.com/reyhanatonnabi")</f>
        <v>https://eitaa.com/reyhanatonnabi</v>
      </c>
      <c r="K5672" s="5"/>
      <c r="L5672" s="5"/>
      <c r="M5672" s="5"/>
      <c r="N5672" s="5"/>
      <c r="O5672" s="5"/>
      <c r="P5672" s="5"/>
      <c r="Q5672" s="5"/>
      <c r="R5672" s="5"/>
      <c r="S5672" s="5"/>
    </row>
    <row r="5673">
      <c r="A5673" s="5">
        <f>IFERROR(__xludf.DUMMYFUNCTION("""COMPUTED_VALUE"""),18890.0)</f>
        <v>18890</v>
      </c>
      <c r="B5673" s="5" t="str">
        <f>IFERROR(__xludf.DUMMYFUNCTION("""COMPUTED_VALUE"""),"هیأت")</f>
        <v>هیأت</v>
      </c>
      <c r="C5673" s="5" t="str">
        <f>IFERROR(__xludf.DUMMYFUNCTION("""COMPUTED_VALUE"""),"کوثریه")</f>
        <v>کوثریه</v>
      </c>
      <c r="D5673" s="5" t="str">
        <f>IFERROR(__xludf.DUMMYFUNCTION("""COMPUTED_VALUE"""),"اصفهان")</f>
        <v>اصفهان</v>
      </c>
      <c r="E5673" s="5" t="str">
        <f>IFERROR(__xludf.DUMMYFUNCTION("""COMPUTED_VALUE"""),"اصفهان")</f>
        <v>اصفهان</v>
      </c>
      <c r="F5673" s="5"/>
      <c r="G5673" s="5"/>
      <c r="H5673" s="5"/>
      <c r="I5673" s="5"/>
      <c r="J5673" s="6" t="str">
        <f>IFERROR(__xludf.DUMMYFUNCTION("""COMPUTED_VALUE"""),"https://eitaa.com/Kousariye_channel")</f>
        <v>https://eitaa.com/Kousariye_channel</v>
      </c>
      <c r="K5673" s="5"/>
      <c r="L5673" s="5"/>
      <c r="M5673" s="5"/>
      <c r="N5673" s="5"/>
      <c r="O5673" s="5"/>
      <c r="P5673" s="5"/>
      <c r="Q5673" s="5"/>
      <c r="R5673" s="5"/>
      <c r="S5673" s="5"/>
    </row>
    <row r="5674">
      <c r="A5674" s="5">
        <f>IFERROR(__xludf.DUMMYFUNCTION("""COMPUTED_VALUE"""),18891.0)</f>
        <v>18891</v>
      </c>
      <c r="B5674" s="5" t="str">
        <f>IFERROR(__xludf.DUMMYFUNCTION("""COMPUTED_VALUE"""),"هیأت")</f>
        <v>هیأت</v>
      </c>
      <c r="C5674" s="5" t="str">
        <f>IFERROR(__xludf.DUMMYFUNCTION("""COMPUTED_VALUE"""),"نرجس خاتون")</f>
        <v>نرجس خاتون</v>
      </c>
      <c r="D5674" s="5" t="str">
        <f>IFERROR(__xludf.DUMMYFUNCTION("""COMPUTED_VALUE"""),"اصفهان")</f>
        <v>اصفهان</v>
      </c>
      <c r="E5674" s="5" t="str">
        <f>IFERROR(__xludf.DUMMYFUNCTION("""COMPUTED_VALUE"""),"اصفهان")</f>
        <v>اصفهان</v>
      </c>
      <c r="F5674" s="5"/>
      <c r="G5674" s="5"/>
      <c r="H5674" s="5"/>
      <c r="I5674" s="5"/>
      <c r="J5674" s="6" t="str">
        <f>IFERROR(__xludf.DUMMYFUNCTION("""COMPUTED_VALUE"""),"https://eitaa.com/narjes_khatoon59")</f>
        <v>https://eitaa.com/narjes_khatoon59</v>
      </c>
      <c r="K5674" s="5"/>
      <c r="L5674" s="5"/>
      <c r="M5674" s="5"/>
      <c r="N5674" s="5"/>
      <c r="O5674" s="5"/>
      <c r="P5674" s="5"/>
      <c r="Q5674" s="5"/>
      <c r="R5674" s="5"/>
      <c r="S5674" s="5"/>
    </row>
    <row r="5675">
      <c r="A5675" s="5">
        <f>IFERROR(__xludf.DUMMYFUNCTION("""COMPUTED_VALUE"""),18892.0)</f>
        <v>18892</v>
      </c>
      <c r="B5675" s="5" t="str">
        <f>IFERROR(__xludf.DUMMYFUNCTION("""COMPUTED_VALUE"""),"هیأت")</f>
        <v>هیأت</v>
      </c>
      <c r="C5675" s="5" t="str">
        <f>IFERROR(__xludf.DUMMYFUNCTION("""COMPUTED_VALUE"""),"یاران مهدی(عج)")</f>
        <v>یاران مهدی(عج)</v>
      </c>
      <c r="D5675" s="5" t="str">
        <f>IFERROR(__xludf.DUMMYFUNCTION("""COMPUTED_VALUE"""),"اصفهان")</f>
        <v>اصفهان</v>
      </c>
      <c r="E5675" s="5" t="str">
        <f>IFERROR(__xludf.DUMMYFUNCTION("""COMPUTED_VALUE"""),"لنجان")</f>
        <v>لنجان</v>
      </c>
      <c r="F5675" s="5"/>
      <c r="G5675" s="5"/>
      <c r="H5675" s="6" t="str">
        <f>IFERROR(__xludf.DUMMYFUNCTION("""COMPUTED_VALUE"""),"https://www.instagram.com/yaran_mehdi1400")</f>
        <v>https://www.instagram.com/yaran_mehdi1400</v>
      </c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</row>
    <row r="5676">
      <c r="A5676" s="5">
        <f>IFERROR(__xludf.DUMMYFUNCTION("""COMPUTED_VALUE"""),18893.0)</f>
        <v>18893</v>
      </c>
      <c r="B5676" s="5" t="str">
        <f>IFERROR(__xludf.DUMMYFUNCTION("""COMPUTED_VALUE"""),"هیأت")</f>
        <v>هیأت</v>
      </c>
      <c r="C5676" s="5" t="str">
        <f>IFERROR(__xludf.DUMMYFUNCTION("""COMPUTED_VALUE"""),"مکتب الزهرا (س)")</f>
        <v>مکتب الزهرا (س)</v>
      </c>
      <c r="D5676" s="5" t="str">
        <f>IFERROR(__xludf.DUMMYFUNCTION("""COMPUTED_VALUE"""),"اصفهان")</f>
        <v>اصفهان</v>
      </c>
      <c r="E5676" s="5" t="str">
        <f>IFERROR(__xludf.DUMMYFUNCTION("""COMPUTED_VALUE"""),"اصفهان")</f>
        <v>اصفهان</v>
      </c>
      <c r="F5676" s="5"/>
      <c r="G5676" s="5">
        <f>IFERROR(__xludf.DUMMYFUNCTION("""COMPUTED_VALUE"""),1.0)</f>
        <v>1</v>
      </c>
      <c r="H5676" s="6" t="str">
        <f>IFERROR(__xludf.DUMMYFUNCTION("""COMPUTED_VALUE"""),"https://www.instagram.com/maktabazzahra")</f>
        <v>https://www.instagram.com/maktabazzahra</v>
      </c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</row>
    <row r="5677">
      <c r="A5677" s="5">
        <f>IFERROR(__xludf.DUMMYFUNCTION("""COMPUTED_VALUE"""),18997.0)</f>
        <v>18997</v>
      </c>
      <c r="B5677" s="5" t="str">
        <f>IFERROR(__xludf.DUMMYFUNCTION("""COMPUTED_VALUE"""),"هیأت")</f>
        <v>هیأت</v>
      </c>
      <c r="C5677" s="5" t="str">
        <f>IFERROR(__xludf.DUMMYFUNCTION("""COMPUTED_VALUE"""),"عترت فاطمه(س) (خواهران)")</f>
        <v>عترت فاطمه(س) (خواهران)</v>
      </c>
      <c r="D5677" s="5" t="str">
        <f>IFERROR(__xludf.DUMMYFUNCTION("""COMPUTED_VALUE"""),"اصفهان")</f>
        <v>اصفهان</v>
      </c>
      <c r="E5677" s="5" t="str">
        <f>IFERROR(__xludf.DUMMYFUNCTION("""COMPUTED_VALUE"""),"دولت آباد")</f>
        <v>دولت آباد</v>
      </c>
      <c r="F5677" s="5"/>
      <c r="G5677" s="5"/>
      <c r="H5677" s="6" t="str">
        <f>IFERROR(__xludf.DUMMYFUNCTION("""COMPUTED_VALUE"""),"https://www.instagram.com/fatemieh1375")</f>
        <v>https://www.instagram.com/fatemieh1375</v>
      </c>
      <c r="I5677" s="6" t="str">
        <f>IFERROR(__xludf.DUMMYFUNCTION("""COMPUTED_VALUE"""),"https://t.me/fatemieh1375")</f>
        <v>https://t.me/fatemieh1375</v>
      </c>
      <c r="J5677" s="5"/>
      <c r="K5677" s="5"/>
      <c r="L5677" s="5"/>
      <c r="M5677" s="5"/>
      <c r="N5677" s="5"/>
      <c r="O5677" s="5"/>
      <c r="P5677" s="5"/>
      <c r="Q5677" s="5"/>
      <c r="R5677" s="5"/>
      <c r="S5677" s="5"/>
    </row>
    <row r="5678">
      <c r="A5678" s="5">
        <f>IFERROR(__xludf.DUMMYFUNCTION("""COMPUTED_VALUE"""),19073.0)</f>
        <v>19073</v>
      </c>
      <c r="B5678" s="5" t="str">
        <f>IFERROR(__xludf.DUMMYFUNCTION("""COMPUTED_VALUE"""),"هیأت")</f>
        <v>هیأت</v>
      </c>
      <c r="C5678" s="5" t="str">
        <f>IFERROR(__xludf.DUMMYFUNCTION("""COMPUTED_VALUE"""),"سلالة النبی (دانش آموزی)")</f>
        <v>سلالة النبی (دانش آموزی)</v>
      </c>
      <c r="D5678" s="5" t="str">
        <f>IFERROR(__xludf.DUMMYFUNCTION("""COMPUTED_VALUE"""),"اصفهان")</f>
        <v>اصفهان</v>
      </c>
      <c r="E5678" s="5" t="str">
        <f>IFERROR(__xludf.DUMMYFUNCTION("""COMPUTED_VALUE"""),"اصفهان")</f>
        <v>اصفهان</v>
      </c>
      <c r="F5678" s="5"/>
      <c r="G5678" s="5"/>
      <c r="H5678" s="5"/>
      <c r="I5678" s="5"/>
      <c r="J5678" s="6" t="str">
        <f>IFERROR(__xludf.DUMMYFUNCTION("""COMPUTED_VALUE"""),"https://eitaa.com/Heyatsolalatonabi")</f>
        <v>https://eitaa.com/Heyatsolalatonabi</v>
      </c>
      <c r="K5678" s="5"/>
      <c r="L5678" s="5"/>
      <c r="M5678" s="5"/>
      <c r="N5678" s="5"/>
      <c r="O5678" s="5"/>
      <c r="P5678" s="5"/>
      <c r="Q5678" s="5"/>
      <c r="R5678" s="5"/>
      <c r="S5678" s="5"/>
    </row>
    <row r="5679">
      <c r="A5679" s="5">
        <f>IFERROR(__xludf.DUMMYFUNCTION("""COMPUTED_VALUE"""),19162.0)</f>
        <v>19162</v>
      </c>
      <c r="B5679" s="5" t="str">
        <f>IFERROR(__xludf.DUMMYFUNCTION("""COMPUTED_VALUE"""),"هیأت")</f>
        <v>هیأت</v>
      </c>
      <c r="C5679" s="5" t="str">
        <f>IFERROR(__xludf.DUMMYFUNCTION("""COMPUTED_VALUE"""),"پیروان ام البنین(س) غرب اصفهان")</f>
        <v>پیروان ام البنین(س) غرب اصفهان</v>
      </c>
      <c r="D5679" s="5" t="str">
        <f>IFERROR(__xludf.DUMMYFUNCTION("""COMPUTED_VALUE"""),"اصفهان")</f>
        <v>اصفهان</v>
      </c>
      <c r="E5679" s="5" t="str">
        <f>IFERROR(__xludf.DUMMYFUNCTION("""COMPUTED_VALUE"""),"اصفهان")</f>
        <v>اصفهان</v>
      </c>
      <c r="F5679" s="5"/>
      <c r="G5679" s="5"/>
      <c r="H5679" s="6" t="str">
        <f>IFERROR(__xludf.DUMMYFUNCTION("""COMPUTED_VALUE"""),"https://www.instagram.com/hpmahdi2")</f>
        <v>https://www.instagram.com/hpmahdi2</v>
      </c>
      <c r="I5679" s="5"/>
      <c r="J5679" s="6" t="str">
        <f>IFERROR(__xludf.DUMMYFUNCTION("""COMPUTED_VALUE"""),"https://eitaa.com/hpmahdi2")</f>
        <v>https://eitaa.com/hpmahdi2</v>
      </c>
      <c r="K5679" s="5"/>
      <c r="L5679" s="5"/>
      <c r="M5679" s="5"/>
      <c r="N5679" s="5"/>
      <c r="O5679" s="5"/>
      <c r="P5679" s="5"/>
      <c r="Q5679" s="5"/>
      <c r="R5679" s="5"/>
      <c r="S5679" s="5"/>
    </row>
    <row r="5680">
      <c r="A5680" s="5">
        <f>IFERROR(__xludf.DUMMYFUNCTION("""COMPUTED_VALUE"""),19424.0)</f>
        <v>19424</v>
      </c>
      <c r="B5680" s="5" t="str">
        <f>IFERROR(__xludf.DUMMYFUNCTION("""COMPUTED_VALUE"""),"هیأت")</f>
        <v>هیأت</v>
      </c>
      <c r="C5680" s="5" t="str">
        <f>IFERROR(__xludf.DUMMYFUNCTION("""COMPUTED_VALUE"""),"آل یاسین")</f>
        <v>آل یاسین</v>
      </c>
      <c r="D5680" s="5" t="str">
        <f>IFERROR(__xludf.DUMMYFUNCTION("""COMPUTED_VALUE"""),"اصفهان")</f>
        <v>اصفهان</v>
      </c>
      <c r="E5680" s="5" t="str">
        <f>IFERROR(__xludf.DUMMYFUNCTION("""COMPUTED_VALUE"""),"اصفهان")</f>
        <v>اصفهان</v>
      </c>
      <c r="F5680" s="5"/>
      <c r="G5680" s="5"/>
      <c r="H5680" s="6" t="str">
        <f>IFERROR(__xludf.DUMMYFUNCTION("""COMPUTED_VALUE"""),"https://www.instagram.com/aleyasin_page")</f>
        <v>https://www.instagram.com/aleyasin_page</v>
      </c>
      <c r="I5680" s="5"/>
      <c r="J5680" s="6" t="str">
        <f>IFERROR(__xludf.DUMMYFUNCTION("""COMPUTED_VALUE"""),"https://eitaa.com/aleyasin_channel")</f>
        <v>https://eitaa.com/aleyasin_channel</v>
      </c>
      <c r="K5680" s="5"/>
      <c r="L5680" s="5"/>
      <c r="M5680" s="5"/>
      <c r="N5680" s="5"/>
      <c r="O5680" s="5"/>
      <c r="P5680" s="5"/>
      <c r="Q5680" s="5"/>
      <c r="R5680" s="5"/>
      <c r="S5680" s="5"/>
    </row>
    <row r="5681">
      <c r="A5681" s="5">
        <f>IFERROR(__xludf.DUMMYFUNCTION("""COMPUTED_VALUE"""),19439.0)</f>
        <v>19439</v>
      </c>
      <c r="B5681" s="5" t="str">
        <f>IFERROR(__xludf.DUMMYFUNCTION("""COMPUTED_VALUE"""),"هیأت")</f>
        <v>هیأت</v>
      </c>
      <c r="C5681" s="5" t="str">
        <f>IFERROR(__xludf.DUMMYFUNCTION("""COMPUTED_VALUE"""),"صاحب الزمان(عج)")</f>
        <v>صاحب الزمان(عج)</v>
      </c>
      <c r="D5681" s="5" t="str">
        <f>IFERROR(__xludf.DUMMYFUNCTION("""COMPUTED_VALUE"""),"اصفهان")</f>
        <v>اصفهان</v>
      </c>
      <c r="E5681" s="5" t="str">
        <f>IFERROR(__xludf.DUMMYFUNCTION("""COMPUTED_VALUE"""),"اصفهان")</f>
        <v>اصفهان</v>
      </c>
      <c r="F5681" s="5"/>
      <c r="G5681" s="5">
        <f>IFERROR(__xludf.DUMMYFUNCTION("""COMPUTED_VALUE"""),1.0)</f>
        <v>1</v>
      </c>
      <c r="H5681" s="5"/>
      <c r="I5681" s="6" t="str">
        <f>IFERROR(__xludf.DUMMYFUNCTION("""COMPUTED_VALUE"""),"https://t.me/Nodbeh_SahebAzzaman")</f>
        <v>https://t.me/Nodbeh_SahebAzzaman</v>
      </c>
      <c r="J5681" s="5"/>
      <c r="K5681" s="5"/>
      <c r="L5681" s="5"/>
      <c r="M5681" s="5"/>
      <c r="N5681" s="5"/>
      <c r="O5681" s="5"/>
      <c r="P5681" s="5"/>
      <c r="Q5681" s="5"/>
      <c r="R5681" s="5"/>
      <c r="S5681" s="5"/>
    </row>
    <row r="5682">
      <c r="A5682" s="5">
        <f>IFERROR(__xludf.DUMMYFUNCTION("""COMPUTED_VALUE"""),19469.0)</f>
        <v>19469</v>
      </c>
      <c r="B5682" s="5" t="str">
        <f>IFERROR(__xludf.DUMMYFUNCTION("""COMPUTED_VALUE"""),"هیأت")</f>
        <v>هیأت</v>
      </c>
      <c r="C5682" s="5" t="str">
        <f>IFERROR(__xludf.DUMMYFUNCTION("""COMPUTED_VALUE"""),"هیأت مهدیه")</f>
        <v>هیأت مهدیه</v>
      </c>
      <c r="D5682" s="5" t="str">
        <f>IFERROR(__xludf.DUMMYFUNCTION("""COMPUTED_VALUE"""),"اصفهان")</f>
        <v>اصفهان</v>
      </c>
      <c r="E5682" s="5" t="str">
        <f>IFERROR(__xludf.DUMMYFUNCTION("""COMPUTED_VALUE"""),"اصفهان")</f>
        <v>اصفهان</v>
      </c>
      <c r="F5682" s="5"/>
      <c r="G5682" s="5"/>
      <c r="H5682" s="5"/>
      <c r="I5682" s="5"/>
      <c r="J5682" s="6" t="str">
        <f>IFERROR(__xludf.DUMMYFUNCTION("""COMPUTED_VALUE"""),"https://eitaa.com/mahdiehisf")</f>
        <v>https://eitaa.com/mahdiehisf</v>
      </c>
      <c r="K5682" s="5"/>
      <c r="L5682" s="5"/>
      <c r="M5682" s="5"/>
      <c r="N5682" s="5"/>
      <c r="O5682" s="5"/>
      <c r="P5682" s="5"/>
      <c r="Q5682" s="5"/>
      <c r="R5682" s="5"/>
      <c r="S5682" s="5"/>
    </row>
    <row r="5683">
      <c r="A5683" s="5">
        <f>IFERROR(__xludf.DUMMYFUNCTION("""COMPUTED_VALUE"""),19569.0)</f>
        <v>19569</v>
      </c>
      <c r="B5683" s="5" t="str">
        <f>IFERROR(__xludf.DUMMYFUNCTION("""COMPUTED_VALUE"""),"هیأت")</f>
        <v>هیأت</v>
      </c>
      <c r="C5683" s="5" t="str">
        <f>IFERROR(__xludf.DUMMYFUNCTION("""COMPUTED_VALUE"""),"محبان امام سجاد(ع) (مجموعه فرهنگی مسجد النبی گل محمدی)")</f>
        <v>محبان امام سجاد(ع) (مجموعه فرهنگی مسجد النبی گل محمدی)</v>
      </c>
      <c r="D5683" s="5" t="str">
        <f>IFERROR(__xludf.DUMMYFUNCTION("""COMPUTED_VALUE"""),"اصفهان")</f>
        <v>اصفهان</v>
      </c>
      <c r="E5683" s="5" t="str">
        <f>IFERROR(__xludf.DUMMYFUNCTION("""COMPUTED_VALUE"""),"اصفهان")</f>
        <v>اصفهان</v>
      </c>
      <c r="F5683" s="5"/>
      <c r="G5683" s="5">
        <f>IFERROR(__xludf.DUMMYFUNCTION("""COMPUTED_VALUE"""),1.0)</f>
        <v>1</v>
      </c>
      <c r="H5683" s="5"/>
      <c r="I5683" s="6" t="str">
        <f>IFERROR(__xludf.DUMMYFUNCTION("""COMPUTED_VALUE"""),"https://t.me/alnabigolmohammadi")</f>
        <v>https://t.me/alnabigolmohammadi</v>
      </c>
      <c r="J5683" s="5"/>
      <c r="K5683" s="5"/>
      <c r="L5683" s="5"/>
      <c r="M5683" s="5"/>
      <c r="N5683" s="5"/>
      <c r="O5683" s="5"/>
      <c r="P5683" s="5"/>
      <c r="Q5683" s="5"/>
      <c r="R5683" s="5"/>
      <c r="S5683" s="5"/>
    </row>
    <row r="5684">
      <c r="A5684" s="5">
        <f>IFERROR(__xludf.DUMMYFUNCTION("""COMPUTED_VALUE"""),19579.0)</f>
        <v>19579</v>
      </c>
      <c r="B5684" s="5" t="str">
        <f>IFERROR(__xludf.DUMMYFUNCTION("""COMPUTED_VALUE"""),"هیأت")</f>
        <v>هیأت</v>
      </c>
      <c r="C5684" s="5" t="str">
        <f>IFERROR(__xludf.DUMMYFUNCTION("""COMPUTED_VALUE"""),"محفل محبان امیرالمومنین (ع")</f>
        <v>محفل محبان امیرالمومنین (ع</v>
      </c>
      <c r="D5684" s="5" t="str">
        <f>IFERROR(__xludf.DUMMYFUNCTION("""COMPUTED_VALUE"""),"اصفهان")</f>
        <v>اصفهان</v>
      </c>
      <c r="E5684" s="5" t="str">
        <f>IFERROR(__xludf.DUMMYFUNCTION("""COMPUTED_VALUE"""),"نجف آباد")</f>
        <v>نجف آباد</v>
      </c>
      <c r="F5684" s="5"/>
      <c r="G5684" s="5">
        <f>IFERROR(__xludf.DUMMYFUNCTION("""COMPUTED_VALUE"""),1.0)</f>
        <v>1</v>
      </c>
      <c r="H5684" s="6" t="str">
        <f>IFERROR(__xludf.DUMMYFUNCTION("""COMPUTED_VALUE"""),"https://www.instagram.com/mahdienajafabad")</f>
        <v>https://www.instagram.com/mahdienajafabad</v>
      </c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</row>
    <row r="5685">
      <c r="A5685" s="5">
        <f>IFERROR(__xludf.DUMMYFUNCTION("""COMPUTED_VALUE"""),19591.0)</f>
        <v>19591</v>
      </c>
      <c r="B5685" s="5" t="str">
        <f>IFERROR(__xludf.DUMMYFUNCTION("""COMPUTED_VALUE"""),"هیأت")</f>
        <v>هیأت</v>
      </c>
      <c r="C5685" s="5" t="str">
        <f>IFERROR(__xludf.DUMMYFUNCTION("""COMPUTED_VALUE"""),"محفل محبان امیرالمومنین (ع)")</f>
        <v>محفل محبان امیرالمومنین (ع)</v>
      </c>
      <c r="D5685" s="5" t="str">
        <f>IFERROR(__xludf.DUMMYFUNCTION("""COMPUTED_VALUE"""),"اصفهان")</f>
        <v>اصفهان</v>
      </c>
      <c r="E5685" s="5" t="str">
        <f>IFERROR(__xludf.DUMMYFUNCTION("""COMPUTED_VALUE"""),"اصفهان")</f>
        <v>اصفهان</v>
      </c>
      <c r="F5685" s="5"/>
      <c r="G5685" s="5"/>
      <c r="H5685" s="5"/>
      <c r="I5685" s="5"/>
      <c r="J5685" s="6" t="str">
        <f>IFERROR(__xludf.DUMMYFUNCTION("""COMPUTED_VALUE"""),"https://eitaa.com/mohebban_amiralmumeninn")</f>
        <v>https://eitaa.com/mohebban_amiralmumeninn</v>
      </c>
      <c r="K5685" s="5"/>
      <c r="L5685" s="5"/>
      <c r="M5685" s="5"/>
      <c r="N5685" s="5"/>
      <c r="O5685" s="5"/>
      <c r="P5685" s="5"/>
      <c r="Q5685" s="5"/>
      <c r="R5685" s="5"/>
      <c r="S5685" s="5"/>
    </row>
    <row r="5686">
      <c r="A5686" s="5">
        <f>IFERROR(__xludf.DUMMYFUNCTION("""COMPUTED_VALUE"""),19600.0)</f>
        <v>19600</v>
      </c>
      <c r="B5686" s="5" t="str">
        <f>IFERROR(__xludf.DUMMYFUNCTION("""COMPUTED_VALUE"""),"هیأت")</f>
        <v>هیأت</v>
      </c>
      <c r="C5686" s="5" t="str">
        <f>IFERROR(__xludf.DUMMYFUNCTION("""COMPUTED_VALUE"""),"مکتب الزهراء (جنوب غرب اصفهان)")</f>
        <v>مکتب الزهراء (جنوب غرب اصفهان)</v>
      </c>
      <c r="D5686" s="5" t="str">
        <f>IFERROR(__xludf.DUMMYFUNCTION("""COMPUTED_VALUE"""),"اصفهان")</f>
        <v>اصفهان</v>
      </c>
      <c r="E5686" s="5" t="str">
        <f>IFERROR(__xludf.DUMMYFUNCTION("""COMPUTED_VALUE"""),"اصفهان")</f>
        <v>اصفهان</v>
      </c>
      <c r="F5686" s="5"/>
      <c r="G5686" s="5"/>
      <c r="H5686" s="5"/>
      <c r="I5686" s="5"/>
      <c r="J5686" s="6" t="str">
        <f>IFERROR(__xludf.DUMMYFUNCTION("""COMPUTED_VALUE"""),"https://eitaa.com/maktab_azahra")</f>
        <v>https://eitaa.com/maktab_azahra</v>
      </c>
      <c r="K5686" s="5"/>
      <c r="L5686" s="5"/>
      <c r="M5686" s="5"/>
      <c r="N5686" s="5"/>
      <c r="O5686" s="5"/>
      <c r="P5686" s="5"/>
      <c r="Q5686" s="5"/>
      <c r="R5686" s="5"/>
      <c r="S5686" s="5"/>
    </row>
    <row r="5687">
      <c r="A5687" s="5">
        <f>IFERROR(__xludf.DUMMYFUNCTION("""COMPUTED_VALUE"""),19614.0)</f>
        <v>19614</v>
      </c>
      <c r="B5687" s="5" t="str">
        <f>IFERROR(__xludf.DUMMYFUNCTION("""COMPUTED_VALUE"""),"هیأت")</f>
        <v>هیأت</v>
      </c>
      <c r="C5687" s="5" t="str">
        <f>IFERROR(__xludf.DUMMYFUNCTION("""COMPUTED_VALUE"""),"انصارالحسین (ع)")</f>
        <v>انصارالحسین (ع)</v>
      </c>
      <c r="D5687" s="5" t="str">
        <f>IFERROR(__xludf.DUMMYFUNCTION("""COMPUTED_VALUE"""),"اصفهان")</f>
        <v>اصفهان</v>
      </c>
      <c r="E5687" s="5" t="str">
        <f>IFERROR(__xludf.DUMMYFUNCTION("""COMPUTED_VALUE"""),"مبارکه")</f>
        <v>مبارکه</v>
      </c>
      <c r="F5687" s="5"/>
      <c r="G5687" s="5">
        <f>IFERROR(__xludf.DUMMYFUNCTION("""COMPUTED_VALUE"""),1.0)</f>
        <v>1</v>
      </c>
      <c r="H5687" s="6" t="str">
        <f>IFERROR(__xludf.DUMMYFUNCTION("""COMPUTED_VALUE"""),"https://www.instagram.com/ansar_housein")</f>
        <v>https://www.instagram.com/ansar_housein</v>
      </c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</row>
    <row r="5688">
      <c r="A5688" s="5">
        <f>IFERROR(__xludf.DUMMYFUNCTION("""COMPUTED_VALUE"""),19617.0)</f>
        <v>19617</v>
      </c>
      <c r="B5688" s="5" t="str">
        <f>IFERROR(__xludf.DUMMYFUNCTION("""COMPUTED_VALUE"""),"هیأت")</f>
        <v>هیأت</v>
      </c>
      <c r="C5688" s="5" t="str">
        <f>IFERROR(__xludf.DUMMYFUNCTION("""COMPUTED_VALUE"""),"بقیه الله (عج)")</f>
        <v>بقیه الله (عج)</v>
      </c>
      <c r="D5688" s="5" t="str">
        <f>IFERROR(__xludf.DUMMYFUNCTION("""COMPUTED_VALUE"""),"اصفهان")</f>
        <v>اصفهان</v>
      </c>
      <c r="E5688" s="5" t="str">
        <f>IFERROR(__xludf.DUMMYFUNCTION("""COMPUTED_VALUE"""),"نائین")</f>
        <v>نائین</v>
      </c>
      <c r="F5688" s="5"/>
      <c r="G5688" s="5">
        <f>IFERROR(__xludf.DUMMYFUNCTION("""COMPUTED_VALUE"""),1.0)</f>
        <v>1</v>
      </c>
      <c r="H5688" s="6" t="str">
        <f>IFERROR(__xludf.DUMMYFUNCTION("""COMPUTED_VALUE"""),"https://www.instagram.com/baghiatallah.info")</f>
        <v>https://www.instagram.com/baghiatallah.info</v>
      </c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</row>
    <row r="5689">
      <c r="A5689" s="5">
        <f>IFERROR(__xludf.DUMMYFUNCTION("""COMPUTED_VALUE"""),19646.0)</f>
        <v>19646</v>
      </c>
      <c r="B5689" s="5" t="str">
        <f>IFERROR(__xludf.DUMMYFUNCTION("""COMPUTED_VALUE"""),"هیأت")</f>
        <v>هیأت</v>
      </c>
      <c r="C5689" s="5" t="str">
        <f>IFERROR(__xludf.DUMMYFUNCTION("""COMPUTED_VALUE"""),"قاسم بن الحسن (ع)")</f>
        <v>قاسم بن الحسن (ع)</v>
      </c>
      <c r="D5689" s="5" t="str">
        <f>IFERROR(__xludf.DUMMYFUNCTION("""COMPUTED_VALUE"""),"اصفهان")</f>
        <v>اصفهان</v>
      </c>
      <c r="E5689" s="5" t="str">
        <f>IFERROR(__xludf.DUMMYFUNCTION("""COMPUTED_VALUE"""),"نجف آباد")</f>
        <v>نجف آباد</v>
      </c>
      <c r="F5689" s="5"/>
      <c r="G5689" s="5"/>
      <c r="H5689" s="5"/>
      <c r="I5689" s="5"/>
      <c r="J5689" s="6" t="str">
        <f>IFERROR(__xludf.DUMMYFUNCTION("""COMPUTED_VALUE"""),"https://eitaa.com/Qasimson")</f>
        <v>https://eitaa.com/Qasimson</v>
      </c>
      <c r="K5689" s="5"/>
      <c r="L5689" s="5"/>
      <c r="M5689" s="5"/>
      <c r="N5689" s="5"/>
      <c r="O5689" s="5"/>
      <c r="P5689" s="5"/>
      <c r="Q5689" s="5"/>
      <c r="R5689" s="5"/>
      <c r="S5689" s="5"/>
    </row>
    <row r="5690">
      <c r="A5690" s="5">
        <f>IFERROR(__xludf.DUMMYFUNCTION("""COMPUTED_VALUE"""),19662.0)</f>
        <v>19662</v>
      </c>
      <c r="B5690" s="5" t="str">
        <f>IFERROR(__xludf.DUMMYFUNCTION("""COMPUTED_VALUE"""),"هیأت")</f>
        <v>هیأت</v>
      </c>
      <c r="C5690" s="5" t="str">
        <f>IFERROR(__xludf.DUMMYFUNCTION("""COMPUTED_VALUE"""),"فاطمیه(س)")</f>
        <v>فاطمیه(س)</v>
      </c>
      <c r="D5690" s="5" t="str">
        <f>IFERROR(__xludf.DUMMYFUNCTION("""COMPUTED_VALUE"""),"اصفهان")</f>
        <v>اصفهان</v>
      </c>
      <c r="E5690" s="5" t="str">
        <f>IFERROR(__xludf.DUMMYFUNCTION("""COMPUTED_VALUE"""),"خوانسار")</f>
        <v>خوانسار</v>
      </c>
      <c r="F5690" s="5"/>
      <c r="G5690" s="5"/>
      <c r="H5690" s="6" t="str">
        <f>IFERROR(__xludf.DUMMYFUNCTION("""COMPUTED_VALUE"""),"https://www.instagram.com/fatemiekhansar")</f>
        <v>https://www.instagram.com/fatemiekhansar</v>
      </c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</row>
    <row r="5691">
      <c r="A5691" s="5">
        <f>IFERROR(__xludf.DUMMYFUNCTION("""COMPUTED_VALUE"""),19663.0)</f>
        <v>19663</v>
      </c>
      <c r="B5691" s="5" t="str">
        <f>IFERROR(__xludf.DUMMYFUNCTION("""COMPUTED_VALUE"""),"هیأت")</f>
        <v>هیأت</v>
      </c>
      <c r="C5691" s="5" t="str">
        <f>IFERROR(__xludf.DUMMYFUNCTION("""COMPUTED_VALUE"""),"منتظران مهدی")</f>
        <v>منتظران مهدی</v>
      </c>
      <c r="D5691" s="5" t="str">
        <f>IFERROR(__xludf.DUMMYFUNCTION("""COMPUTED_VALUE"""),"اصفهان")</f>
        <v>اصفهان</v>
      </c>
      <c r="E5691" s="5" t="str">
        <f>IFERROR(__xludf.DUMMYFUNCTION("""COMPUTED_VALUE"""),"خوانسار")</f>
        <v>خوانسار</v>
      </c>
      <c r="F5691" s="5"/>
      <c r="G5691" s="5">
        <f>IFERROR(__xludf.DUMMYFUNCTION("""COMPUTED_VALUE"""),1.0)</f>
        <v>1</v>
      </c>
      <c r="H5691" s="6" t="str">
        <f>IFERROR(__xludf.DUMMYFUNCTION("""COMPUTED_VALUE"""),"https://www.instagram.com/montazeran.mahdi.s313")</f>
        <v>https://www.instagram.com/montazeran.mahdi.s313</v>
      </c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</row>
    <row r="5692">
      <c r="A5692" s="5">
        <f>IFERROR(__xludf.DUMMYFUNCTION("""COMPUTED_VALUE"""),19694.0)</f>
        <v>19694</v>
      </c>
      <c r="B5692" s="5" t="str">
        <f>IFERROR(__xludf.DUMMYFUNCTION("""COMPUTED_VALUE"""),"هیأت")</f>
        <v>هیأت</v>
      </c>
      <c r="C5692" s="5" t="str">
        <f>IFERROR(__xludf.DUMMYFUNCTION("""COMPUTED_VALUE"""),"مسجد حضرت سجاد(ع)")</f>
        <v>مسجد حضرت سجاد(ع)</v>
      </c>
      <c r="D5692" s="5" t="str">
        <f>IFERROR(__xludf.DUMMYFUNCTION("""COMPUTED_VALUE"""),"اصفهان")</f>
        <v>اصفهان</v>
      </c>
      <c r="E5692" s="5" t="str">
        <f>IFERROR(__xludf.DUMMYFUNCTION("""COMPUTED_VALUE"""),"نائین")</f>
        <v>نائین</v>
      </c>
      <c r="F5692" s="5"/>
      <c r="G5692" s="5"/>
      <c r="H5692" s="5"/>
      <c r="I5692" s="5"/>
      <c r="J5692" s="6" t="str">
        <f>IFERROR(__xludf.DUMMYFUNCTION("""COMPUTED_VALUE"""),"https://eitaa.com/masjedsajjad_naein")</f>
        <v>https://eitaa.com/masjedsajjad_naein</v>
      </c>
      <c r="K5692" s="5"/>
      <c r="L5692" s="5"/>
      <c r="M5692" s="5"/>
      <c r="N5692" s="5"/>
      <c r="O5692" s="5"/>
      <c r="P5692" s="5"/>
      <c r="Q5692" s="5"/>
      <c r="R5692" s="5"/>
      <c r="S5692" s="5"/>
    </row>
    <row r="5693">
      <c r="A5693" s="5">
        <f>IFERROR(__xludf.DUMMYFUNCTION("""COMPUTED_VALUE"""),19778.0)</f>
        <v>19778</v>
      </c>
      <c r="B5693" s="5" t="str">
        <f>IFERROR(__xludf.DUMMYFUNCTION("""COMPUTED_VALUE"""),"هیأت")</f>
        <v>هیأت</v>
      </c>
      <c r="C5693" s="5" t="str">
        <f>IFERROR(__xludf.DUMMYFUNCTION("""COMPUTED_VALUE"""),"جوانان بنی هاشم (ع)")</f>
        <v>جوانان بنی هاشم (ع)</v>
      </c>
      <c r="D5693" s="5" t="str">
        <f>IFERROR(__xludf.DUMMYFUNCTION("""COMPUTED_VALUE"""),"اصفهان")</f>
        <v>اصفهان</v>
      </c>
      <c r="E5693" s="5" t="str">
        <f>IFERROR(__xludf.DUMMYFUNCTION("""COMPUTED_VALUE"""),"سمیرم")</f>
        <v>سمیرم</v>
      </c>
      <c r="F5693" s="5"/>
      <c r="G5693" s="5"/>
      <c r="H5693" s="6" t="str">
        <f>IFERROR(__xludf.DUMMYFUNCTION("""COMPUTED_VALUE"""),"https://www.instagram.com/heyat_javanan_banihashem1385")</f>
        <v>https://www.instagram.com/heyat_javanan_banihashem1385</v>
      </c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</row>
    <row r="5694">
      <c r="A5694" s="5">
        <f>IFERROR(__xludf.DUMMYFUNCTION("""COMPUTED_VALUE"""),19779.0)</f>
        <v>19779</v>
      </c>
      <c r="B5694" s="5" t="str">
        <f>IFERROR(__xludf.DUMMYFUNCTION("""COMPUTED_VALUE"""),"هیأت")</f>
        <v>هیأت</v>
      </c>
      <c r="C5694" s="5" t="str">
        <f>IFERROR(__xludf.DUMMYFUNCTION("""COMPUTED_VALUE"""),"عشاق الحسین(ع)")</f>
        <v>عشاق الحسین(ع)</v>
      </c>
      <c r="D5694" s="5" t="str">
        <f>IFERROR(__xludf.DUMMYFUNCTION("""COMPUTED_VALUE"""),"اصفهان")</f>
        <v>اصفهان</v>
      </c>
      <c r="E5694" s="5" t="str">
        <f>IFERROR(__xludf.DUMMYFUNCTION("""COMPUTED_VALUE"""),"سمیرم")</f>
        <v>سمیرم</v>
      </c>
      <c r="F5694" s="5"/>
      <c r="G5694" s="5">
        <f>IFERROR(__xludf.DUMMYFUNCTION("""COMPUTED_VALUE"""),1.0)</f>
        <v>1</v>
      </c>
      <c r="H5694" s="6" t="str">
        <f>IFERROR(__xludf.DUMMYFUNCTION("""COMPUTED_VALUE"""),"https://www.instagram.com/oshagholhosain")</f>
        <v>https://www.instagram.com/oshagholhosain</v>
      </c>
      <c r="I5694" s="6" t="str">
        <f>IFERROR(__xludf.DUMMYFUNCTION("""COMPUTED_VALUE"""),"https://t.me/heiatoshagh")</f>
        <v>https://t.me/heiatoshagh</v>
      </c>
      <c r="J5694" s="5"/>
      <c r="K5694" s="5"/>
      <c r="L5694" s="5"/>
      <c r="M5694" s="5"/>
      <c r="N5694" s="5"/>
      <c r="O5694" s="5"/>
      <c r="P5694" s="5"/>
      <c r="Q5694" s="5"/>
      <c r="R5694" s="5"/>
      <c r="S5694" s="5"/>
    </row>
    <row r="5695">
      <c r="A5695" s="5">
        <f>IFERROR(__xludf.DUMMYFUNCTION("""COMPUTED_VALUE"""),19785.0)</f>
        <v>19785</v>
      </c>
      <c r="B5695" s="5" t="str">
        <f>IFERROR(__xludf.DUMMYFUNCTION("""COMPUTED_VALUE"""),"هیأت")</f>
        <v>هیأت</v>
      </c>
      <c r="C5695" s="5" t="str">
        <f>IFERROR(__xludf.DUMMYFUNCTION("""COMPUTED_VALUE"""),"محبان المهدی (عج)")</f>
        <v>محبان المهدی (عج)</v>
      </c>
      <c r="D5695" s="5" t="str">
        <f>IFERROR(__xludf.DUMMYFUNCTION("""COMPUTED_VALUE"""),"اصفهان")</f>
        <v>اصفهان</v>
      </c>
      <c r="E5695" s="5" t="str">
        <f>IFERROR(__xludf.DUMMYFUNCTION("""COMPUTED_VALUE"""),"گلپایگان")</f>
        <v>گلپایگان</v>
      </c>
      <c r="F5695" s="5"/>
      <c r="G5695" s="5">
        <f>IFERROR(__xludf.DUMMYFUNCTION("""COMPUTED_VALUE"""),1.0)</f>
        <v>1</v>
      </c>
      <c r="H5695" s="5"/>
      <c r="I5695" s="5"/>
      <c r="J5695" s="6" t="str">
        <f>IFERROR(__xludf.DUMMYFUNCTION("""COMPUTED_VALUE"""),"https://eitaa.com/moheban_almahdi_ag")</f>
        <v>https://eitaa.com/moheban_almahdi_ag</v>
      </c>
      <c r="K5695" s="5"/>
      <c r="L5695" s="5"/>
      <c r="M5695" s="5"/>
      <c r="N5695" s="5"/>
      <c r="O5695" s="5"/>
      <c r="P5695" s="5"/>
      <c r="Q5695" s="5"/>
      <c r="R5695" s="5"/>
      <c r="S5695" s="5"/>
    </row>
    <row r="5696">
      <c r="A5696" s="5">
        <f>IFERROR(__xludf.DUMMYFUNCTION("""COMPUTED_VALUE"""),19786.0)</f>
        <v>19786</v>
      </c>
      <c r="B5696" s="5" t="str">
        <f>IFERROR(__xludf.DUMMYFUNCTION("""COMPUTED_VALUE"""),"هیأت")</f>
        <v>هیأت</v>
      </c>
      <c r="C5696" s="5" t="str">
        <f>IFERROR(__xludf.DUMMYFUNCTION("""COMPUTED_VALUE"""),"ال طه")</f>
        <v>ال طه</v>
      </c>
      <c r="D5696" s="5" t="str">
        <f>IFERROR(__xludf.DUMMYFUNCTION("""COMPUTED_VALUE"""),"اصفهان")</f>
        <v>اصفهان</v>
      </c>
      <c r="E5696" s="5" t="str">
        <f>IFERROR(__xludf.DUMMYFUNCTION("""COMPUTED_VALUE"""),"شاهین شهر")</f>
        <v>شاهین شهر</v>
      </c>
      <c r="F5696" s="5"/>
      <c r="G5696" s="5"/>
      <c r="H5696" s="5"/>
      <c r="I5696" s="5"/>
      <c r="J5696" s="6" t="str">
        <f>IFERROR(__xludf.DUMMYFUNCTION("""COMPUTED_VALUE"""),"https://eitaa.com/Aletaha_heyat")</f>
        <v>https://eitaa.com/Aletaha_heyat</v>
      </c>
      <c r="K5696" s="5"/>
      <c r="L5696" s="5"/>
      <c r="M5696" s="5"/>
      <c r="N5696" s="5"/>
      <c r="O5696" s="5"/>
      <c r="P5696" s="5"/>
      <c r="Q5696" s="5"/>
      <c r="R5696" s="5"/>
      <c r="S5696" s="5"/>
    </row>
    <row r="5697">
      <c r="A5697" s="5">
        <f>IFERROR(__xludf.DUMMYFUNCTION("""COMPUTED_VALUE"""),19787.0)</f>
        <v>19787</v>
      </c>
      <c r="B5697" s="5" t="str">
        <f>IFERROR(__xludf.DUMMYFUNCTION("""COMPUTED_VALUE"""),"هیأت")</f>
        <v>هیأت</v>
      </c>
      <c r="C5697" s="5" t="str">
        <f>IFERROR(__xludf.DUMMYFUNCTION("""COMPUTED_VALUE"""),"عقیق")</f>
        <v>عقیق</v>
      </c>
      <c r="D5697" s="5" t="str">
        <f>IFERROR(__xludf.DUMMYFUNCTION("""COMPUTED_VALUE"""),"اصفهان")</f>
        <v>اصفهان</v>
      </c>
      <c r="E5697" s="5" t="str">
        <f>IFERROR(__xludf.DUMMYFUNCTION("""COMPUTED_VALUE"""),"خمینی شهر")</f>
        <v>خمینی شهر</v>
      </c>
      <c r="F5697" s="5"/>
      <c r="G5697" s="5"/>
      <c r="H5697" s="5"/>
      <c r="I5697" s="5"/>
      <c r="J5697" s="6" t="str">
        <f>IFERROR(__xludf.DUMMYFUNCTION("""COMPUTED_VALUE"""),"https://eitaa.com/aghigh_ir")</f>
        <v>https://eitaa.com/aghigh_ir</v>
      </c>
      <c r="K5697" s="5"/>
      <c r="L5697" s="5"/>
      <c r="M5697" s="5"/>
      <c r="N5697" s="5"/>
      <c r="O5697" s="5"/>
      <c r="P5697" s="5"/>
      <c r="Q5697" s="5"/>
      <c r="R5697" s="5"/>
      <c r="S5697" s="5"/>
    </row>
    <row r="5698">
      <c r="A5698" s="5">
        <f>IFERROR(__xludf.DUMMYFUNCTION("""COMPUTED_VALUE"""),19788.0)</f>
        <v>19788</v>
      </c>
      <c r="B5698" s="5" t="str">
        <f>IFERROR(__xludf.DUMMYFUNCTION("""COMPUTED_VALUE"""),"هیأت")</f>
        <v>هیأت</v>
      </c>
      <c r="C5698" s="5" t="str">
        <f>IFERROR(__xludf.DUMMYFUNCTION("""COMPUTED_VALUE"""),"هیأت چهارده معصوم مسجد جامع ادریان")</f>
        <v>هیأت چهارده معصوم مسجد جامع ادریان</v>
      </c>
      <c r="D5698" s="5" t="str">
        <f>IFERROR(__xludf.DUMMYFUNCTION("""COMPUTED_VALUE"""),"اصفهان")</f>
        <v>اصفهان</v>
      </c>
      <c r="E5698" s="5" t="str">
        <f>IFERROR(__xludf.DUMMYFUNCTION("""COMPUTED_VALUE"""),"خمینی شهر")</f>
        <v>خمینی شهر</v>
      </c>
      <c r="F5698" s="5"/>
      <c r="G5698" s="5"/>
      <c r="H5698" s="6" t="str">
        <f>IFERROR(__xludf.DUMMYFUNCTION("""COMPUTED_VALUE"""),"https://www.instagram.com/14masoum_1349")</f>
        <v>https://www.instagram.com/14masoum_1349</v>
      </c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</row>
    <row r="5699">
      <c r="A5699" s="5">
        <f>IFERROR(__xludf.DUMMYFUNCTION("""COMPUTED_VALUE"""),19789.0)</f>
        <v>19789</v>
      </c>
      <c r="B5699" s="5" t="str">
        <f>IFERROR(__xludf.DUMMYFUNCTION("""COMPUTED_VALUE"""),"هیأت")</f>
        <v>هیأت</v>
      </c>
      <c r="C5699" s="5" t="str">
        <f>IFERROR(__xludf.DUMMYFUNCTION("""COMPUTED_VALUE"""),"آل یس")</f>
        <v>آل یس</v>
      </c>
      <c r="D5699" s="5" t="str">
        <f>IFERROR(__xludf.DUMMYFUNCTION("""COMPUTED_VALUE"""),"اصفهان")</f>
        <v>اصفهان</v>
      </c>
      <c r="E5699" s="5" t="str">
        <f>IFERROR(__xludf.DUMMYFUNCTION("""COMPUTED_VALUE"""),"شاهین شهر")</f>
        <v>شاهین شهر</v>
      </c>
      <c r="F5699" s="5"/>
      <c r="G5699" s="5"/>
      <c r="H5699" s="6" t="str">
        <f>IFERROR(__xludf.DUMMYFUNCTION("""COMPUTED_VALUE"""),"https://www.instagram.com/heyat_alyasin")</f>
        <v>https://www.instagram.com/heyat_alyasin</v>
      </c>
      <c r="I5699" s="6" t="str">
        <f>IFERROR(__xludf.DUMMYFUNCTION("""COMPUTED_VALUE"""),"https://t.me/heyat_Alyasin")</f>
        <v>https://t.me/heyat_Alyasin</v>
      </c>
      <c r="J5699" s="5"/>
      <c r="K5699" s="5"/>
      <c r="L5699" s="5"/>
      <c r="M5699" s="5"/>
      <c r="N5699" s="5"/>
      <c r="O5699" s="5"/>
      <c r="P5699" s="5"/>
      <c r="Q5699" s="5"/>
      <c r="R5699" s="5"/>
      <c r="S5699" s="5"/>
    </row>
    <row r="5700">
      <c r="A5700" s="5">
        <f>IFERROR(__xludf.DUMMYFUNCTION("""COMPUTED_VALUE"""),19790.0)</f>
        <v>19790</v>
      </c>
      <c r="B5700" s="5" t="str">
        <f>IFERROR(__xludf.DUMMYFUNCTION("""COMPUTED_VALUE"""),"هیأت")</f>
        <v>هیأت</v>
      </c>
      <c r="C5700" s="5" t="str">
        <f>IFERROR(__xludf.DUMMYFUNCTION("""COMPUTED_VALUE"""),"علویون")</f>
        <v>علویون</v>
      </c>
      <c r="D5700" s="5" t="str">
        <f>IFERROR(__xludf.DUMMYFUNCTION("""COMPUTED_VALUE"""),"اصفهان")</f>
        <v>اصفهان</v>
      </c>
      <c r="E5700" s="5" t="str">
        <f>IFERROR(__xludf.DUMMYFUNCTION("""COMPUTED_VALUE"""),"شاهین شهر")</f>
        <v>شاهین شهر</v>
      </c>
      <c r="F5700" s="5"/>
      <c r="G5700" s="5"/>
      <c r="H5700" s="6" t="str">
        <f>IFERROR(__xludf.DUMMYFUNCTION("""COMPUTED_VALUE"""),"https://www.instagram.com/alavioonshahinshahr_noja")</f>
        <v>https://www.instagram.com/alavioonshahinshahr_noja</v>
      </c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</row>
    <row r="5701">
      <c r="A5701" s="5">
        <f>IFERROR(__xludf.DUMMYFUNCTION("""COMPUTED_VALUE"""),19857.0)</f>
        <v>19857</v>
      </c>
      <c r="B5701" s="5" t="str">
        <f>IFERROR(__xludf.DUMMYFUNCTION("""COMPUTED_VALUE"""),"هیأت")</f>
        <v>هیأت</v>
      </c>
      <c r="C5701" s="5" t="str">
        <f>IFERROR(__xludf.DUMMYFUNCTION("""COMPUTED_VALUE"""),"جنت الرقیه (س)")</f>
        <v>جنت الرقیه (س)</v>
      </c>
      <c r="D5701" s="5" t="str">
        <f>IFERROR(__xludf.DUMMYFUNCTION("""COMPUTED_VALUE"""),"اصفهان")</f>
        <v>اصفهان</v>
      </c>
      <c r="E5701" s="5" t="str">
        <f>IFERROR(__xludf.DUMMYFUNCTION("""COMPUTED_VALUE"""),"کاشان")</f>
        <v>کاشان</v>
      </c>
      <c r="F5701" s="5"/>
      <c r="G5701" s="5"/>
      <c r="H5701" s="5"/>
      <c r="I5701" s="5"/>
      <c r="J5701" s="6" t="str">
        <f>IFERROR(__xludf.DUMMYFUNCTION("""COMPUTED_VALUE"""),"https://eitaa.com/jannatolroghayekashan315")</f>
        <v>https://eitaa.com/jannatolroghayekashan315</v>
      </c>
      <c r="K5701" s="5"/>
      <c r="L5701" s="5"/>
      <c r="M5701" s="5"/>
      <c r="N5701" s="5"/>
      <c r="O5701" s="5"/>
      <c r="P5701" s="5"/>
      <c r="Q5701" s="5"/>
      <c r="R5701" s="5"/>
      <c r="S5701" s="5"/>
    </row>
    <row r="5702">
      <c r="A5702" s="5">
        <f>IFERROR(__xludf.DUMMYFUNCTION("""COMPUTED_VALUE"""),19864.0)</f>
        <v>19864</v>
      </c>
      <c r="B5702" s="5" t="str">
        <f>IFERROR(__xludf.DUMMYFUNCTION("""COMPUTED_VALUE"""),"هیأت")</f>
        <v>هیأت</v>
      </c>
      <c r="C5702" s="5" t="str">
        <f>IFERROR(__xludf.DUMMYFUNCTION("""COMPUTED_VALUE"""),"حسینی نخل")</f>
        <v>حسینی نخل</v>
      </c>
      <c r="D5702" s="5" t="str">
        <f>IFERROR(__xludf.DUMMYFUNCTION("""COMPUTED_VALUE"""),"اصفهان")</f>
        <v>اصفهان</v>
      </c>
      <c r="E5702" s="5" t="str">
        <f>IFERROR(__xludf.DUMMYFUNCTION("""COMPUTED_VALUE"""),"کاشان")</f>
        <v>کاشان</v>
      </c>
      <c r="F5702" s="5"/>
      <c r="G5702" s="5"/>
      <c r="H5702" s="6" t="str">
        <f>IFERROR(__xludf.DUMMYFUNCTION("""COMPUTED_VALUE"""),"https://www.instagram.com/nakhlekashan/")</f>
        <v>https://www.instagram.com/nakhlekashan/</v>
      </c>
      <c r="I5702" s="6" t="str">
        <f>IFERROR(__xludf.DUMMYFUNCTION("""COMPUTED_VALUE"""),"https://t.me/nakhlekashan")</f>
        <v>https://t.me/nakhlekashan</v>
      </c>
      <c r="J5702" s="6" t="str">
        <f>IFERROR(__xludf.DUMMYFUNCTION("""COMPUTED_VALUE"""),"https://eitaa.com/nakhlekashan")</f>
        <v>https://eitaa.com/nakhlekashan</v>
      </c>
      <c r="K5702" s="5"/>
      <c r="L5702" s="5"/>
      <c r="M5702" s="5"/>
      <c r="N5702" s="5"/>
      <c r="O5702" s="5"/>
      <c r="P5702" s="5"/>
      <c r="Q5702" s="5"/>
      <c r="R5702" s="5"/>
      <c r="S5702" s="5"/>
    </row>
    <row r="5703">
      <c r="A5703" s="5">
        <f>IFERROR(__xludf.DUMMYFUNCTION("""COMPUTED_VALUE"""),19867.0)</f>
        <v>19867</v>
      </c>
      <c r="B5703" s="5" t="str">
        <f>IFERROR(__xludf.DUMMYFUNCTION("""COMPUTED_VALUE"""),"هیأت")</f>
        <v>هیأت</v>
      </c>
      <c r="C5703" s="5" t="str">
        <f>IFERROR(__xludf.DUMMYFUNCTION("""COMPUTED_VALUE"""),"یافاطمه الزهرا (س)")</f>
        <v>یافاطمه الزهرا (س)</v>
      </c>
      <c r="D5703" s="5" t="str">
        <f>IFERROR(__xludf.DUMMYFUNCTION("""COMPUTED_VALUE"""),"اصفهان")</f>
        <v>اصفهان</v>
      </c>
      <c r="E5703" s="5" t="str">
        <f>IFERROR(__xludf.DUMMYFUNCTION("""COMPUTED_VALUE"""),"کاشان")</f>
        <v>کاشان</v>
      </c>
      <c r="F5703" s="5"/>
      <c r="G5703" s="5"/>
      <c r="H5703" s="6" t="str">
        <f>IFERROR(__xludf.DUMMYFUNCTION("""COMPUTED_VALUE"""),"https://www.instagram.com/heyatefatemezahra/")</f>
        <v>https://www.instagram.com/heyatefatemezahra/</v>
      </c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</row>
    <row r="5704">
      <c r="A5704" s="5">
        <f>IFERROR(__xludf.DUMMYFUNCTION("""COMPUTED_VALUE"""),19962.0)</f>
        <v>19962</v>
      </c>
      <c r="B5704" s="5" t="str">
        <f>IFERROR(__xludf.DUMMYFUNCTION("""COMPUTED_VALUE"""),"هیأت")</f>
        <v>هیأت</v>
      </c>
      <c r="C5704" s="5" t="str">
        <f>IFERROR(__xludf.DUMMYFUNCTION("""COMPUTED_VALUE"""),"متوسلین به حضرت زهرا(س)")</f>
        <v>متوسلین به حضرت زهرا(س)</v>
      </c>
      <c r="D5704" s="5" t="str">
        <f>IFERROR(__xludf.DUMMYFUNCTION("""COMPUTED_VALUE"""),"اصفهان")</f>
        <v>اصفهان</v>
      </c>
      <c r="E5704" s="5" t="str">
        <f>IFERROR(__xludf.DUMMYFUNCTION("""COMPUTED_VALUE"""),"سمیرم")</f>
        <v>سمیرم</v>
      </c>
      <c r="F5704" s="5"/>
      <c r="G5704" s="5"/>
      <c r="H5704" s="5"/>
      <c r="I5704" s="5"/>
      <c r="J5704" s="6" t="str">
        <f>IFERROR(__xludf.DUMMYFUNCTION("""COMPUTED_VALUE"""),"https://eitaa.com/Najvaye_lea")</f>
        <v>https://eitaa.com/Najvaye_lea</v>
      </c>
      <c r="K5704" s="5"/>
      <c r="L5704" s="5"/>
      <c r="M5704" s="5"/>
      <c r="N5704" s="5"/>
      <c r="O5704" s="5"/>
      <c r="P5704" s="5"/>
      <c r="Q5704" s="5"/>
      <c r="R5704" s="5"/>
      <c r="S5704" s="5"/>
    </row>
    <row r="5705">
      <c r="A5705" s="5">
        <f>IFERROR(__xludf.DUMMYFUNCTION("""COMPUTED_VALUE"""),20129.0)</f>
        <v>20129</v>
      </c>
      <c r="B5705" s="5" t="str">
        <f>IFERROR(__xludf.DUMMYFUNCTION("""COMPUTED_VALUE"""),"هیأت")</f>
        <v>هیأت</v>
      </c>
      <c r="C5705" s="5" t="str">
        <f>IFERROR(__xludf.DUMMYFUNCTION("""COMPUTED_VALUE"""),"جوانان فدائیان حسین (ع) (امیدان حسین) (هیات کودک و نوجوان آقای نریمانی)")</f>
        <v>جوانان فدائیان حسین (ع) (امیدان حسین) (هیات کودک و نوجوان آقای نریمانی)</v>
      </c>
      <c r="D5705" s="5" t="str">
        <f>IFERROR(__xludf.DUMMYFUNCTION("""COMPUTED_VALUE"""),"اصفهان")</f>
        <v>اصفهان</v>
      </c>
      <c r="E5705" s="5" t="str">
        <f>IFERROR(__xludf.DUMMYFUNCTION("""COMPUTED_VALUE"""),"اصفهان")</f>
        <v>اصفهان</v>
      </c>
      <c r="F5705" s="5"/>
      <c r="G5705" s="5"/>
      <c r="H5705" s="5"/>
      <c r="I5705" s="6" t="str">
        <f>IFERROR(__xludf.DUMMYFUNCTION("""COMPUTED_VALUE"""),"https://t.me/fadaeianhoseinir")</f>
        <v>https://t.me/fadaeianhoseinir</v>
      </c>
      <c r="J5705" s="6" t="str">
        <f>IFERROR(__xludf.DUMMYFUNCTION("""COMPUTED_VALUE"""),"https://eitaa.com/fadaeianhoseinir")</f>
        <v>https://eitaa.com/fadaeianhoseinir</v>
      </c>
      <c r="K5705" s="5"/>
      <c r="L5705" s="5"/>
      <c r="M5705" s="5"/>
      <c r="N5705" s="5"/>
      <c r="O5705" s="5"/>
      <c r="P5705" s="5"/>
      <c r="Q5705" s="5"/>
      <c r="R5705" s="5"/>
      <c r="S5705" s="5"/>
    </row>
    <row r="5706">
      <c r="A5706" s="5">
        <f>IFERROR(__xludf.DUMMYFUNCTION("""COMPUTED_VALUE"""),20132.0)</f>
        <v>20132</v>
      </c>
      <c r="B5706" s="5" t="str">
        <f>IFERROR(__xludf.DUMMYFUNCTION("""COMPUTED_VALUE"""),"هیأت")</f>
        <v>هیأت</v>
      </c>
      <c r="C5706" s="5" t="str">
        <f>IFERROR(__xludf.DUMMYFUNCTION("""COMPUTED_VALUE"""),"رزمندگان اسلام / پیروان عترت (خواهران)")</f>
        <v>رزمندگان اسلام / پیروان عترت (خواهران)</v>
      </c>
      <c r="D5706" s="5" t="str">
        <f>IFERROR(__xludf.DUMMYFUNCTION("""COMPUTED_VALUE"""),"اصفهان")</f>
        <v>اصفهان</v>
      </c>
      <c r="E5706" s="5" t="str">
        <f>IFERROR(__xludf.DUMMYFUNCTION("""COMPUTED_VALUE"""),"اردستان")</f>
        <v>اردستان</v>
      </c>
      <c r="F5706" s="5"/>
      <c r="G5706" s="5"/>
      <c r="H5706" s="5"/>
      <c r="I5706" s="5"/>
      <c r="J5706" s="6" t="str">
        <f>IFERROR(__xludf.DUMMYFUNCTION("""COMPUTED_VALUE"""),"https://eitaa.com/peyrovan_etrat")</f>
        <v>https://eitaa.com/peyrovan_etrat</v>
      </c>
      <c r="K5706" s="5"/>
      <c r="L5706" s="5"/>
      <c r="M5706" s="5"/>
      <c r="N5706" s="5"/>
      <c r="O5706" s="5"/>
      <c r="P5706" s="5"/>
      <c r="Q5706" s="5"/>
      <c r="R5706" s="5"/>
      <c r="S5706" s="5"/>
    </row>
    <row r="5707">
      <c r="A5707" s="5">
        <f>IFERROR(__xludf.DUMMYFUNCTION("""COMPUTED_VALUE"""),20183.0)</f>
        <v>20183</v>
      </c>
      <c r="B5707" s="5" t="str">
        <f>IFERROR(__xludf.DUMMYFUNCTION("""COMPUTED_VALUE"""),"هیأت")</f>
        <v>هیأت</v>
      </c>
      <c r="C5707" s="5" t="str">
        <f>IFERROR(__xludf.DUMMYFUNCTION("""COMPUTED_VALUE"""),"مجموعه فرهنگی سائلین الزهرا (س) مسجد مهدیه")</f>
        <v>مجموعه فرهنگی سائلین الزهرا (س) مسجد مهدیه</v>
      </c>
      <c r="D5707" s="5" t="str">
        <f>IFERROR(__xludf.DUMMYFUNCTION("""COMPUTED_VALUE"""),"اصفهان")</f>
        <v>اصفهان</v>
      </c>
      <c r="E5707" s="5" t="str">
        <f>IFERROR(__xludf.DUMMYFUNCTION("""COMPUTED_VALUE"""),"نجف آباد")</f>
        <v>نجف آباد</v>
      </c>
      <c r="F5707" s="5"/>
      <c r="G5707" s="5"/>
      <c r="H5707" s="5"/>
      <c r="I5707" s="5"/>
      <c r="J5707" s="6" t="str">
        <f>IFERROR(__xludf.DUMMYFUNCTION("""COMPUTED_VALUE"""),"https://eitaa.com/SAELIN_ZAHRA")</f>
        <v>https://eitaa.com/SAELIN_ZAHRA</v>
      </c>
      <c r="K5707" s="5"/>
      <c r="L5707" s="5"/>
      <c r="M5707" s="5"/>
      <c r="N5707" s="5"/>
      <c r="O5707" s="5"/>
      <c r="P5707" s="5"/>
      <c r="Q5707" s="5"/>
      <c r="R5707" s="5"/>
      <c r="S5707" s="5"/>
    </row>
    <row r="5708">
      <c r="A5708" s="5">
        <f>IFERROR(__xludf.DUMMYFUNCTION("""COMPUTED_VALUE"""),20194.0)</f>
        <v>20194</v>
      </c>
      <c r="B5708" s="5" t="str">
        <f>IFERROR(__xludf.DUMMYFUNCTION("""COMPUTED_VALUE"""),"هیأت")</f>
        <v>هیأت</v>
      </c>
      <c r="C5708" s="5" t="str">
        <f>IFERROR(__xludf.DUMMYFUNCTION("""COMPUTED_VALUE"""),"حضرت اباالفضل (ع) (حسینیه روستای مزرعه امام)")</f>
        <v>حضرت اباالفضل (ع) (حسینیه روستای مزرعه امام)</v>
      </c>
      <c r="D5708" s="5" t="str">
        <f>IFERROR(__xludf.DUMMYFUNCTION("""COMPUTED_VALUE"""),"اصفهان")</f>
        <v>اصفهان</v>
      </c>
      <c r="E5708" s="5" t="str">
        <f>IFERROR(__xludf.DUMMYFUNCTION("""COMPUTED_VALUE"""),"نائین")</f>
        <v>نائین</v>
      </c>
      <c r="F5708" s="5"/>
      <c r="G5708" s="5">
        <f>IFERROR(__xludf.DUMMYFUNCTION("""COMPUTED_VALUE"""),1.0)</f>
        <v>1</v>
      </c>
      <c r="H5708" s="6" t="str">
        <f>IFERROR(__xludf.DUMMYFUNCTION("""COMPUTED_VALUE"""),"https://www.instagram.com/me_heyat")</f>
        <v>https://www.instagram.com/me_heyat</v>
      </c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</row>
    <row r="5709">
      <c r="A5709" s="5">
        <f>IFERROR(__xludf.DUMMYFUNCTION("""COMPUTED_VALUE"""),20206.0)</f>
        <v>20206</v>
      </c>
      <c r="B5709" s="5" t="str">
        <f>IFERROR(__xludf.DUMMYFUNCTION("""COMPUTED_VALUE"""),"هیأت")</f>
        <v>هیأت</v>
      </c>
      <c r="C5709" s="5" t="str">
        <f>IFERROR(__xludf.DUMMYFUNCTION("""COMPUTED_VALUE"""),"مرکز مدرس اصفهان (خواهران)")</f>
        <v>مرکز مدرس اصفهان (خواهران)</v>
      </c>
      <c r="D5709" s="5" t="str">
        <f>IFERROR(__xludf.DUMMYFUNCTION("""COMPUTED_VALUE"""),"اصفهان")</f>
        <v>اصفهان</v>
      </c>
      <c r="E5709" s="5" t="str">
        <f>IFERROR(__xludf.DUMMYFUNCTION("""COMPUTED_VALUE"""),"اصفهان")</f>
        <v>اصفهان</v>
      </c>
      <c r="F5709" s="5"/>
      <c r="G5709" s="5"/>
      <c r="H5709" s="6" t="str">
        <f>IFERROR(__xludf.DUMMYFUNCTION("""COMPUTED_VALUE"""),"https://www.instagram.com/markaz_modaresw")</f>
        <v>https://www.instagram.com/markaz_modaresw</v>
      </c>
      <c r="I5709" s="5"/>
      <c r="J5709" s="6" t="str">
        <f>IFERROR(__xludf.DUMMYFUNCTION("""COMPUTED_VALUE"""),"https://eitaa.com/markazmodaresw")</f>
        <v>https://eitaa.com/markazmodaresw</v>
      </c>
      <c r="K5709" s="5"/>
      <c r="L5709" s="5"/>
      <c r="M5709" s="5"/>
      <c r="N5709" s="5"/>
      <c r="O5709" s="5"/>
      <c r="P5709" s="5"/>
      <c r="Q5709" s="5"/>
      <c r="R5709" s="5"/>
      <c r="S5709" s="5"/>
    </row>
    <row r="5710">
      <c r="A5710" s="5">
        <f>IFERROR(__xludf.DUMMYFUNCTION("""COMPUTED_VALUE"""),20237.0)</f>
        <v>20237</v>
      </c>
      <c r="B5710" s="5" t="str">
        <f>IFERROR(__xludf.DUMMYFUNCTION("""COMPUTED_VALUE"""),"هیأت")</f>
        <v>هیأت</v>
      </c>
      <c r="C5710" s="5" t="str">
        <f>IFERROR(__xludf.DUMMYFUNCTION("""COMPUTED_VALUE"""),"فاطمیه (س)")</f>
        <v>فاطمیه (س)</v>
      </c>
      <c r="D5710" s="5" t="str">
        <f>IFERROR(__xludf.DUMMYFUNCTION("""COMPUTED_VALUE"""),"اصفهان")</f>
        <v>اصفهان</v>
      </c>
      <c r="E5710" s="5" t="str">
        <f>IFERROR(__xludf.DUMMYFUNCTION("""COMPUTED_VALUE"""),"خمینی شهر")</f>
        <v>خمینی شهر</v>
      </c>
      <c r="F5710" s="5"/>
      <c r="G5710" s="5"/>
      <c r="H5710" s="5"/>
      <c r="I5710" s="5"/>
      <c r="J5710" s="6" t="str">
        <f>IFERROR(__xludf.DUMMYFUNCTION("""COMPUTED_VALUE"""),"https://eitaa.com/fatemeih_adaryan_213")</f>
        <v>https://eitaa.com/fatemeih_adaryan_213</v>
      </c>
      <c r="K5710" s="5"/>
      <c r="L5710" s="5"/>
      <c r="M5710" s="5"/>
      <c r="N5710" s="5"/>
      <c r="O5710" s="5"/>
      <c r="P5710" s="5"/>
      <c r="Q5710" s="5"/>
      <c r="R5710" s="5"/>
      <c r="S5710" s="5"/>
    </row>
    <row r="5711">
      <c r="A5711" s="5">
        <f>IFERROR(__xludf.DUMMYFUNCTION("""COMPUTED_VALUE"""),20245.0)</f>
        <v>20245</v>
      </c>
      <c r="B5711" s="5" t="str">
        <f>IFERROR(__xludf.DUMMYFUNCTION("""COMPUTED_VALUE"""),"هیأت")</f>
        <v>هیأت</v>
      </c>
      <c r="C5711" s="5" t="str">
        <f>IFERROR(__xludf.DUMMYFUNCTION("""COMPUTED_VALUE"""),"محبان الزهرا(س)")</f>
        <v>محبان الزهرا(س)</v>
      </c>
      <c r="D5711" s="5" t="str">
        <f>IFERROR(__xludf.DUMMYFUNCTION("""COMPUTED_VALUE"""),"اصفهان")</f>
        <v>اصفهان</v>
      </c>
      <c r="E5711" s="5" t="str">
        <f>IFERROR(__xludf.DUMMYFUNCTION("""COMPUTED_VALUE"""),"خمینی شهر")</f>
        <v>خمینی شهر</v>
      </c>
      <c r="F5711" s="5"/>
      <c r="G5711" s="5">
        <f>IFERROR(__xludf.DUMMYFUNCTION("""COMPUTED_VALUE"""),1.0)</f>
        <v>1</v>
      </c>
      <c r="H5711" s="6" t="str">
        <f>IFERROR(__xludf.DUMMYFUNCTION("""COMPUTED_VALUE"""),"https://www.instagram.com/mohebanzahra110")</f>
        <v>https://www.instagram.com/mohebanzahra110</v>
      </c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</row>
    <row r="5712">
      <c r="A5712" s="5">
        <f>IFERROR(__xludf.DUMMYFUNCTION("""COMPUTED_VALUE"""),20247.0)</f>
        <v>20247</v>
      </c>
      <c r="B5712" s="5" t="str">
        <f>IFERROR(__xludf.DUMMYFUNCTION("""COMPUTED_VALUE"""),"هیأت")</f>
        <v>هیأت</v>
      </c>
      <c r="C5712" s="5" t="str">
        <f>IFERROR(__xludf.DUMMYFUNCTION("""COMPUTED_VALUE"""),"آل طه")</f>
        <v>آل طه</v>
      </c>
      <c r="D5712" s="5" t="str">
        <f>IFERROR(__xludf.DUMMYFUNCTION("""COMPUTED_VALUE"""),"اصفهان")</f>
        <v>اصفهان</v>
      </c>
      <c r="E5712" s="5" t="str">
        <f>IFERROR(__xludf.DUMMYFUNCTION("""COMPUTED_VALUE"""),"اصفهان")</f>
        <v>اصفهان</v>
      </c>
      <c r="F5712" s="5"/>
      <c r="G5712" s="5"/>
      <c r="H5712" s="6" t="str">
        <f>IFERROR(__xludf.DUMMYFUNCTION("""COMPUTED_VALUE"""),"https://www.instagram.com/karim_al_taha118")</f>
        <v>https://www.instagram.com/karim_al_taha118</v>
      </c>
      <c r="I5712" s="6" t="str">
        <f>IFERROR(__xludf.DUMMYFUNCTION("""COMPUTED_VALUE"""),"https://t.me/karim_ale_tahaa")</f>
        <v>https://t.me/karim_ale_tahaa</v>
      </c>
      <c r="J5712" s="6" t="str">
        <f>IFERROR(__xludf.DUMMYFUNCTION("""COMPUTED_VALUE"""),"https://eitaa.com/karime_al_taha")</f>
        <v>https://eitaa.com/karime_al_taha</v>
      </c>
      <c r="K5712" s="5"/>
      <c r="L5712" s="5"/>
      <c r="M5712" s="5"/>
      <c r="N5712" s="5"/>
      <c r="O5712" s="5"/>
      <c r="P5712" s="5"/>
      <c r="Q5712" s="5"/>
      <c r="R5712" s="5"/>
      <c r="S5712" s="5"/>
    </row>
    <row r="5713">
      <c r="A5713" s="5">
        <f>IFERROR(__xludf.DUMMYFUNCTION("""COMPUTED_VALUE"""),20252.0)</f>
        <v>20252</v>
      </c>
      <c r="B5713" s="5" t="str">
        <f>IFERROR(__xludf.DUMMYFUNCTION("""COMPUTED_VALUE"""),"هیأت")</f>
        <v>هیأت</v>
      </c>
      <c r="C5713" s="5" t="str">
        <f>IFERROR(__xludf.DUMMYFUNCTION("""COMPUTED_VALUE"""),"طلوع")</f>
        <v>طلوع</v>
      </c>
      <c r="D5713" s="5" t="str">
        <f>IFERROR(__xludf.DUMMYFUNCTION("""COMPUTED_VALUE"""),"اصفهان")</f>
        <v>اصفهان</v>
      </c>
      <c r="E5713" s="5" t="str">
        <f>IFERROR(__xludf.DUMMYFUNCTION("""COMPUTED_VALUE"""),"اصفهان")</f>
        <v>اصفهان</v>
      </c>
      <c r="F5713" s="5"/>
      <c r="G5713" s="5">
        <f>IFERROR(__xludf.DUMMYFUNCTION("""COMPUTED_VALUE"""),1.0)</f>
        <v>1</v>
      </c>
      <c r="H5713" s="5"/>
      <c r="I5713" s="5"/>
      <c r="J5713" s="6" t="str">
        <f>IFERROR(__xludf.DUMMYFUNCTION("""COMPUTED_VALUE"""),"https://eitaa.com/heyatTolou")</f>
        <v>https://eitaa.com/heyatTolou</v>
      </c>
      <c r="K5713" s="5"/>
      <c r="L5713" s="5"/>
      <c r="M5713" s="5"/>
      <c r="N5713" s="5"/>
      <c r="O5713" s="5"/>
      <c r="P5713" s="5"/>
      <c r="Q5713" s="5"/>
      <c r="R5713" s="5"/>
      <c r="S5713" s="5"/>
    </row>
    <row r="5714">
      <c r="A5714" s="5">
        <f>IFERROR(__xludf.DUMMYFUNCTION("""COMPUTED_VALUE"""),20328.0)</f>
        <v>20328</v>
      </c>
      <c r="B5714" s="5" t="str">
        <f>IFERROR(__xludf.DUMMYFUNCTION("""COMPUTED_VALUE"""),"هیأت")</f>
        <v>هیأت</v>
      </c>
      <c r="C5714" s="5" t="str">
        <f>IFERROR(__xludf.DUMMYFUNCTION("""COMPUTED_VALUE"""),"محبان مهدی(عج)")</f>
        <v>محبان مهدی(عج)</v>
      </c>
      <c r="D5714" s="5" t="str">
        <f>IFERROR(__xludf.DUMMYFUNCTION("""COMPUTED_VALUE"""),"اصفهان")</f>
        <v>اصفهان</v>
      </c>
      <c r="E5714" s="5" t="str">
        <f>IFERROR(__xludf.DUMMYFUNCTION("""COMPUTED_VALUE"""),"اصفهان")</f>
        <v>اصفهان</v>
      </c>
      <c r="F5714" s="5"/>
      <c r="G5714" s="5"/>
      <c r="H5714" s="6" t="str">
        <f>IFERROR(__xludf.DUMMYFUNCTION("""COMPUTED_VALUE"""),"https://www.instagram.com/moheban_all_mahdi")</f>
        <v>https://www.instagram.com/moheban_all_mahdi</v>
      </c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</row>
    <row r="5715">
      <c r="A5715" s="5">
        <f>IFERROR(__xludf.DUMMYFUNCTION("""COMPUTED_VALUE"""),20345.0)</f>
        <v>20345</v>
      </c>
      <c r="B5715" s="5" t="str">
        <f>IFERROR(__xludf.DUMMYFUNCTION("""COMPUTED_VALUE"""),"هیأت")</f>
        <v>هیأت</v>
      </c>
      <c r="C5715" s="5" t="str">
        <f>IFERROR(__xludf.DUMMYFUNCTION("""COMPUTED_VALUE"""),"قرانی حضرت علی اصغر(ع)")</f>
        <v>قرانی حضرت علی اصغر(ع)</v>
      </c>
      <c r="D5715" s="5" t="str">
        <f>IFERROR(__xludf.DUMMYFUNCTION("""COMPUTED_VALUE"""),"اصفهان")</f>
        <v>اصفهان</v>
      </c>
      <c r="E5715" s="5" t="str">
        <f>IFERROR(__xludf.DUMMYFUNCTION("""COMPUTED_VALUE"""),"اصفهان")</f>
        <v>اصفهان</v>
      </c>
      <c r="F5715" s="5"/>
      <c r="G5715" s="5"/>
      <c r="H5715" s="6" t="str">
        <f>IFERROR(__xludf.DUMMYFUNCTION("""COMPUTED_VALUE"""),"https://www.instagram.com/_heiat_hazrataliasghar")</f>
        <v>https://www.instagram.com/_heiat_hazrataliasghar</v>
      </c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</row>
    <row r="5716">
      <c r="A5716" s="5">
        <f>IFERROR(__xludf.DUMMYFUNCTION("""COMPUTED_VALUE"""),20348.0)</f>
        <v>20348</v>
      </c>
      <c r="B5716" s="5" t="str">
        <f>IFERROR(__xludf.DUMMYFUNCTION("""COMPUTED_VALUE"""),"هیأت")</f>
        <v>هیأت</v>
      </c>
      <c r="C5716" s="5" t="str">
        <f>IFERROR(__xludf.DUMMYFUNCTION("""COMPUTED_VALUE"""),"ام ابیها (س)")</f>
        <v>ام ابیها (س)</v>
      </c>
      <c r="D5716" s="5" t="str">
        <f>IFERROR(__xludf.DUMMYFUNCTION("""COMPUTED_VALUE"""),"اصفهان")</f>
        <v>اصفهان</v>
      </c>
      <c r="E5716" s="5" t="str">
        <f>IFERROR(__xludf.DUMMYFUNCTION("""COMPUTED_VALUE"""),"اصفهان")</f>
        <v>اصفهان</v>
      </c>
      <c r="F5716" s="5"/>
      <c r="G5716" s="5">
        <f>IFERROR(__xludf.DUMMYFUNCTION("""COMPUTED_VALUE"""),1.0)</f>
        <v>1</v>
      </c>
      <c r="H5716" s="6" t="str">
        <f>IFERROR(__xludf.DUMMYFUNCTION("""COMPUTED_VALUE"""),"https://www.instagram.com/heyat_ommeabiha_esf")</f>
        <v>https://www.instagram.com/heyat_ommeabiha_esf</v>
      </c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</row>
    <row r="5717">
      <c r="A5717" s="5">
        <f>IFERROR(__xludf.DUMMYFUNCTION("""COMPUTED_VALUE"""),20357.0)</f>
        <v>20357</v>
      </c>
      <c r="B5717" s="5" t="str">
        <f>IFERROR(__xludf.DUMMYFUNCTION("""COMPUTED_VALUE"""),"هیأت")</f>
        <v>هیأت</v>
      </c>
      <c r="C5717" s="5" t="str">
        <f>IFERROR(__xludf.DUMMYFUNCTION("""COMPUTED_VALUE"""),"ام البنین (س)")</f>
        <v>ام البنین (س)</v>
      </c>
      <c r="D5717" s="5" t="str">
        <f>IFERROR(__xludf.DUMMYFUNCTION("""COMPUTED_VALUE"""),"اصفهان")</f>
        <v>اصفهان</v>
      </c>
      <c r="E5717" s="5" t="str">
        <f>IFERROR(__xludf.DUMMYFUNCTION("""COMPUTED_VALUE"""),"خمینی شهر")</f>
        <v>خمینی شهر</v>
      </c>
      <c r="F5717" s="5"/>
      <c r="G5717" s="5"/>
      <c r="H5717" s="5"/>
      <c r="I5717" s="5"/>
      <c r="J5717" s="6" t="str">
        <f>IFERROR(__xludf.DUMMYFUNCTION("""COMPUTED_VALUE"""),"https://eitaa.com/Beit_ol_abas_khomeinishahr")</f>
        <v>https://eitaa.com/Beit_ol_abas_khomeinishahr</v>
      </c>
      <c r="K5717" s="5"/>
      <c r="L5717" s="5"/>
      <c r="M5717" s="5"/>
      <c r="N5717" s="5"/>
      <c r="O5717" s="5"/>
      <c r="P5717" s="5"/>
      <c r="Q5717" s="5"/>
      <c r="R5717" s="5"/>
      <c r="S5717" s="5"/>
    </row>
    <row r="5718">
      <c r="A5718" s="5">
        <f>IFERROR(__xludf.DUMMYFUNCTION("""COMPUTED_VALUE"""),20361.0)</f>
        <v>20361</v>
      </c>
      <c r="B5718" s="5" t="str">
        <f>IFERROR(__xludf.DUMMYFUNCTION("""COMPUTED_VALUE"""),"هیأت")</f>
        <v>هیأت</v>
      </c>
      <c r="C5718" s="5" t="str">
        <f>IFERROR(__xludf.DUMMYFUNCTION("""COMPUTED_VALUE"""),"فاطمه الزهرا (س)")</f>
        <v>فاطمه الزهرا (س)</v>
      </c>
      <c r="D5718" s="5" t="str">
        <f>IFERROR(__xludf.DUMMYFUNCTION("""COMPUTED_VALUE"""),"اصفهان")</f>
        <v>اصفهان</v>
      </c>
      <c r="E5718" s="5" t="str">
        <f>IFERROR(__xludf.DUMMYFUNCTION("""COMPUTED_VALUE"""),"زرین شهر")</f>
        <v>زرین شهر</v>
      </c>
      <c r="F5718" s="5"/>
      <c r="G5718" s="5"/>
      <c r="H5718" s="6" t="str">
        <f>IFERROR(__xludf.DUMMYFUNCTION("""COMPUTED_VALUE"""),"https://www.instagram.com/hazratezahra_zarinshahr")</f>
        <v>https://www.instagram.com/hazratezahra_zarinshahr</v>
      </c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</row>
    <row r="5719">
      <c r="A5719" s="5">
        <f>IFERROR(__xludf.DUMMYFUNCTION("""COMPUTED_VALUE"""),20386.0)</f>
        <v>20386</v>
      </c>
      <c r="B5719" s="5" t="str">
        <f>IFERROR(__xludf.DUMMYFUNCTION("""COMPUTED_VALUE"""),"هیأت")</f>
        <v>هیأت</v>
      </c>
      <c r="C5719" s="5" t="str">
        <f>IFERROR(__xludf.DUMMYFUNCTION("""COMPUTED_VALUE"""),"سلالة النبی (ص)")</f>
        <v>سلالة النبی (ص)</v>
      </c>
      <c r="D5719" s="5" t="str">
        <f>IFERROR(__xludf.DUMMYFUNCTION("""COMPUTED_VALUE"""),"اصفهان")</f>
        <v>اصفهان</v>
      </c>
      <c r="E5719" s="5" t="str">
        <f>IFERROR(__xludf.DUMMYFUNCTION("""COMPUTED_VALUE"""),"اصفهان")</f>
        <v>اصفهان</v>
      </c>
      <c r="F5719" s="5"/>
      <c r="G5719" s="5"/>
      <c r="H5719" s="5"/>
      <c r="I5719" s="5"/>
      <c r="J5719" s="6" t="str">
        <f>IFERROR(__xludf.DUMMYFUNCTION("""COMPUTED_VALUE"""),"https://eitaa.com/Heyatsolalatonabi")</f>
        <v>https://eitaa.com/Heyatsolalatonabi</v>
      </c>
      <c r="K5719" s="5"/>
      <c r="L5719" s="5"/>
      <c r="M5719" s="5"/>
      <c r="N5719" s="5"/>
      <c r="O5719" s="5"/>
      <c r="P5719" s="5"/>
      <c r="Q5719" s="5"/>
      <c r="R5719" s="5"/>
      <c r="S5719" s="5"/>
    </row>
    <row r="5720">
      <c r="A5720" s="5">
        <f>IFERROR(__xludf.DUMMYFUNCTION("""COMPUTED_VALUE"""),20392.0)</f>
        <v>20392</v>
      </c>
      <c r="B5720" s="5" t="str">
        <f>IFERROR(__xludf.DUMMYFUNCTION("""COMPUTED_VALUE"""),"هیأت")</f>
        <v>هیأت</v>
      </c>
      <c r="C5720" s="5" t="str">
        <f>IFERROR(__xludf.DUMMYFUNCTION("""COMPUTED_VALUE"""),"منتظران حضرت مهدی(عج)")</f>
        <v>منتظران حضرت مهدی(عج)</v>
      </c>
      <c r="D5720" s="5" t="str">
        <f>IFERROR(__xludf.DUMMYFUNCTION("""COMPUTED_VALUE"""),"اصفهان")</f>
        <v>اصفهان</v>
      </c>
      <c r="E5720" s="5" t="str">
        <f>IFERROR(__xludf.DUMMYFUNCTION("""COMPUTED_VALUE"""),"لنجان")</f>
        <v>لنجان</v>
      </c>
      <c r="F5720" s="5"/>
      <c r="G5720" s="5"/>
      <c r="H5720" s="6" t="str">
        <f>IFERROR(__xludf.DUMMYFUNCTION("""COMPUTED_VALUE"""),"https://www.instagram.com/montazeranlenjan313")</f>
        <v>https://www.instagram.com/montazeranlenjan313</v>
      </c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</row>
    <row r="5721">
      <c r="A5721" s="5">
        <f>IFERROR(__xludf.DUMMYFUNCTION("""COMPUTED_VALUE"""),20411.0)</f>
        <v>20411</v>
      </c>
      <c r="B5721" s="5" t="str">
        <f>IFERROR(__xludf.DUMMYFUNCTION("""COMPUTED_VALUE"""),"هیأت")</f>
        <v>هیأت</v>
      </c>
      <c r="C5721" s="5" t="str">
        <f>IFERROR(__xludf.DUMMYFUNCTION("""COMPUTED_VALUE"""),"حضرت ابوالفضل(ع)")</f>
        <v>حضرت ابوالفضل(ع)</v>
      </c>
      <c r="D5721" s="5" t="str">
        <f>IFERROR(__xludf.DUMMYFUNCTION("""COMPUTED_VALUE"""),"اصفهان")</f>
        <v>اصفهان</v>
      </c>
      <c r="E5721" s="5" t="str">
        <f>IFERROR(__xludf.DUMMYFUNCTION("""COMPUTED_VALUE"""),"کوهپایه")</f>
        <v>کوهپایه</v>
      </c>
      <c r="F5721" s="5"/>
      <c r="G5721" s="5">
        <f>IFERROR(__xludf.DUMMYFUNCTION("""COMPUTED_VALUE"""),1.0)</f>
        <v>1</v>
      </c>
      <c r="H5721" s="6" t="str">
        <f>IFERROR(__xludf.DUMMYFUNCTION("""COMPUTED_VALUE"""),"https://www.instagram.com/abolfazlabbas_esf")</f>
        <v>https://www.instagram.com/abolfazlabbas_esf</v>
      </c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</row>
    <row r="5722">
      <c r="A5722" s="5">
        <f>IFERROR(__xludf.DUMMYFUNCTION("""COMPUTED_VALUE"""),20485.0)</f>
        <v>20485</v>
      </c>
      <c r="B5722" s="5" t="str">
        <f>IFERROR(__xludf.DUMMYFUNCTION("""COMPUTED_VALUE"""),"هیأت")</f>
        <v>هیأت</v>
      </c>
      <c r="C5722" s="5" t="str">
        <f>IFERROR(__xludf.DUMMYFUNCTION("""COMPUTED_VALUE"""),"رزمندگان اسلام درچه")</f>
        <v>رزمندگان اسلام درچه</v>
      </c>
      <c r="D5722" s="5" t="str">
        <f>IFERROR(__xludf.DUMMYFUNCTION("""COMPUTED_VALUE"""),"اصفهان")</f>
        <v>اصفهان</v>
      </c>
      <c r="E5722" s="5" t="str">
        <f>IFERROR(__xludf.DUMMYFUNCTION("""COMPUTED_VALUE"""),"درچه پیاز")</f>
        <v>درچه پیاز</v>
      </c>
      <c r="F5722" s="5"/>
      <c r="G5722" s="5"/>
      <c r="H5722" s="6" t="str">
        <f>IFERROR(__xludf.DUMMYFUNCTION("""COMPUTED_VALUE"""),"https://www.instagram.com/hytrzmndgnslmjnwb")</f>
        <v>https://www.instagram.com/hytrzmndgnslmjnwb</v>
      </c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</row>
    <row r="5723">
      <c r="A5723" s="5">
        <f>IFERROR(__xludf.DUMMYFUNCTION("""COMPUTED_VALUE"""),20485.0)</f>
        <v>20485</v>
      </c>
      <c r="B5723" s="5" t="str">
        <f>IFERROR(__xludf.DUMMYFUNCTION("""COMPUTED_VALUE"""),"هیأت")</f>
        <v>هیأت</v>
      </c>
      <c r="C5723" s="5" t="str">
        <f>IFERROR(__xludf.DUMMYFUNCTION("""COMPUTED_VALUE"""),"عشاق المهدی")</f>
        <v>عشاق المهدی</v>
      </c>
      <c r="D5723" s="5" t="str">
        <f>IFERROR(__xludf.DUMMYFUNCTION("""COMPUTED_VALUE"""),"اصفهان")</f>
        <v>اصفهان</v>
      </c>
      <c r="E5723" s="5" t="str">
        <f>IFERROR(__xludf.DUMMYFUNCTION("""COMPUTED_VALUE"""),"لنجان")</f>
        <v>لنجان</v>
      </c>
      <c r="F5723" s="5"/>
      <c r="G5723" s="5"/>
      <c r="H5723" s="6" t="str">
        <f>IFERROR(__xludf.DUMMYFUNCTION("""COMPUTED_VALUE"""),"https://www.instagram.com/oshaghalmahdii")</f>
        <v>https://www.instagram.com/oshaghalmahdii</v>
      </c>
      <c r="I5723" s="5"/>
      <c r="J5723" s="6" t="str">
        <f>IFERROR(__xludf.DUMMYFUNCTION("""COMPUTED_VALUE"""),"https://eitaa.com/yousefi_original")</f>
        <v>https://eitaa.com/yousefi_original</v>
      </c>
      <c r="K5723" s="5"/>
      <c r="L5723" s="5"/>
      <c r="M5723" s="5"/>
      <c r="N5723" s="5"/>
      <c r="O5723" s="5"/>
      <c r="P5723" s="5"/>
      <c r="Q5723" s="5"/>
      <c r="R5723" s="5"/>
      <c r="S5723" s="5"/>
    </row>
    <row r="5724">
      <c r="A5724" s="5">
        <f>IFERROR(__xludf.DUMMYFUNCTION("""COMPUTED_VALUE"""),20486.0)</f>
        <v>20486</v>
      </c>
      <c r="B5724" s="5" t="str">
        <f>IFERROR(__xludf.DUMMYFUNCTION("""COMPUTED_VALUE"""),"هیأت")</f>
        <v>هیأت</v>
      </c>
      <c r="C5724" s="5" t="str">
        <f>IFERROR(__xludf.DUMMYFUNCTION("""COMPUTED_VALUE"""),"میثاق الله")</f>
        <v>میثاق الله</v>
      </c>
      <c r="D5724" s="5" t="str">
        <f>IFERROR(__xludf.DUMMYFUNCTION("""COMPUTED_VALUE"""),"اصفهان")</f>
        <v>اصفهان</v>
      </c>
      <c r="E5724" s="5" t="str">
        <f>IFERROR(__xludf.DUMMYFUNCTION("""COMPUTED_VALUE"""),"اصفهان")</f>
        <v>اصفهان</v>
      </c>
      <c r="F5724" s="5"/>
      <c r="G5724" s="5"/>
      <c r="H5724" s="6" t="str">
        <f>IFERROR(__xludf.DUMMYFUNCTION("""COMPUTED_VALUE"""),"https://www.instagram.com/misaqalah")</f>
        <v>https://www.instagram.com/misaqalah</v>
      </c>
      <c r="I5724" s="6" t="str">
        <f>IFERROR(__xludf.DUMMYFUNCTION("""COMPUTED_VALUE"""),"https://t.me/misaqalah")</f>
        <v>https://t.me/misaqalah</v>
      </c>
      <c r="J5724" s="5"/>
      <c r="K5724" s="5"/>
      <c r="L5724" s="5"/>
      <c r="M5724" s="5"/>
      <c r="N5724" s="5"/>
      <c r="O5724" s="5"/>
      <c r="P5724" s="5"/>
      <c r="Q5724" s="5"/>
      <c r="R5724" s="5"/>
      <c r="S5724" s="5"/>
    </row>
    <row r="5725">
      <c r="A5725" s="5">
        <f>IFERROR(__xludf.DUMMYFUNCTION("""COMPUTED_VALUE"""),20519.0)</f>
        <v>20519</v>
      </c>
      <c r="B5725" s="5" t="str">
        <f>IFERROR(__xludf.DUMMYFUNCTION("""COMPUTED_VALUE"""),"هیأت")</f>
        <v>هیأت</v>
      </c>
      <c r="C5725" s="5" t="str">
        <f>IFERROR(__xludf.DUMMYFUNCTION("""COMPUTED_VALUE"""),"خادم الشهدا (دانشگاه فرهنگیان شهید باهنر)")</f>
        <v>خادم الشهدا (دانشگاه فرهنگیان شهید باهنر)</v>
      </c>
      <c r="D5725" s="5" t="str">
        <f>IFERROR(__xludf.DUMMYFUNCTION("""COMPUTED_VALUE"""),"اصفهان")</f>
        <v>اصفهان</v>
      </c>
      <c r="E5725" s="5" t="str">
        <f>IFERROR(__xludf.DUMMYFUNCTION("""COMPUTED_VALUE"""),"اصفهان")</f>
        <v>اصفهان</v>
      </c>
      <c r="F5725" s="5"/>
      <c r="G5725" s="5"/>
      <c r="H5725" s="5"/>
      <c r="I5725" s="5"/>
      <c r="J5725" s="6" t="str">
        <f>IFERROR(__xludf.DUMMYFUNCTION("""COMPUTED_VALUE"""),"https://eitaa.com/khadem_bahonar")</f>
        <v>https://eitaa.com/khadem_bahonar</v>
      </c>
      <c r="K5725" s="5"/>
      <c r="L5725" s="5"/>
      <c r="M5725" s="5"/>
      <c r="N5725" s="5"/>
      <c r="O5725" s="5"/>
      <c r="P5725" s="5"/>
      <c r="Q5725" s="5"/>
      <c r="R5725" s="5"/>
      <c r="S5725" s="5"/>
    </row>
    <row r="5726">
      <c r="A5726" s="5">
        <f>IFERROR(__xludf.DUMMYFUNCTION("""COMPUTED_VALUE"""),20537.0)</f>
        <v>20537</v>
      </c>
      <c r="B5726" s="5" t="str">
        <f>IFERROR(__xludf.DUMMYFUNCTION("""COMPUTED_VALUE"""),"هیأت")</f>
        <v>هیأت</v>
      </c>
      <c r="C5726" s="5" t="str">
        <f>IFERROR(__xludf.DUMMYFUNCTION("""COMPUTED_VALUE"""),"رزمندگان اسلام (محبان اهل بیت)")</f>
        <v>رزمندگان اسلام (محبان اهل بیت)</v>
      </c>
      <c r="D5726" s="5" t="str">
        <f>IFERROR(__xludf.DUMMYFUNCTION("""COMPUTED_VALUE"""),"اصفهان")</f>
        <v>اصفهان</v>
      </c>
      <c r="E5726" s="5" t="str">
        <f>IFERROR(__xludf.DUMMYFUNCTION("""COMPUTED_VALUE"""),"اصفهان")</f>
        <v>اصفهان</v>
      </c>
      <c r="F5726" s="5"/>
      <c r="G5726" s="5"/>
      <c r="H5726" s="6" t="str">
        <f>IFERROR(__xludf.DUMMYFUNCTION("""COMPUTED_VALUE"""),"https://www.instagram.com/h.razmandegan")</f>
        <v>https://www.instagram.com/h.razmandegan</v>
      </c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</row>
    <row r="5727">
      <c r="A5727" s="5">
        <f>IFERROR(__xludf.DUMMYFUNCTION("""COMPUTED_VALUE"""),20658.0)</f>
        <v>20658</v>
      </c>
      <c r="B5727" s="5" t="str">
        <f>IFERROR(__xludf.DUMMYFUNCTION("""COMPUTED_VALUE"""),"هیأت")</f>
        <v>هیأت</v>
      </c>
      <c r="C5727" s="5" t="str">
        <f>IFERROR(__xludf.DUMMYFUNCTION("""COMPUTED_VALUE"""),"منتظران مهدی(عج) انجمن اسلامی دانش آموزان")</f>
        <v>منتظران مهدی(عج) انجمن اسلامی دانش آموزان</v>
      </c>
      <c r="D5727" s="5" t="str">
        <f>IFERROR(__xludf.DUMMYFUNCTION("""COMPUTED_VALUE"""),"اصفهان")</f>
        <v>اصفهان</v>
      </c>
      <c r="E5727" s="5" t="str">
        <f>IFERROR(__xludf.DUMMYFUNCTION("""COMPUTED_VALUE"""),"داران")</f>
        <v>داران</v>
      </c>
      <c r="F5727" s="5"/>
      <c r="G5727" s="5"/>
      <c r="H5727" s="6" t="str">
        <f>IFERROR(__xludf.DUMMYFUNCTION("""COMPUTED_VALUE"""),"https://www.instagram.com/montazran.esf")</f>
        <v>https://www.instagram.com/montazran.esf</v>
      </c>
      <c r="I5727" s="5"/>
      <c r="J5727" s="6" t="str">
        <f>IFERROR(__xludf.DUMMYFUNCTION("""COMPUTED_VALUE"""),"https://eitaa.com/Montazeran_esf")</f>
        <v>https://eitaa.com/Montazeran_esf</v>
      </c>
      <c r="K5727" s="5"/>
      <c r="L5727" s="5"/>
      <c r="M5727" s="5"/>
      <c r="N5727" s="5"/>
      <c r="O5727" s="5"/>
      <c r="P5727" s="5"/>
      <c r="Q5727" s="5"/>
      <c r="R5727" s="5"/>
      <c r="S5727" s="5"/>
    </row>
    <row r="5728">
      <c r="A5728" s="5">
        <f>IFERROR(__xludf.DUMMYFUNCTION("""COMPUTED_VALUE"""),20692.0)</f>
        <v>20692</v>
      </c>
      <c r="B5728" s="5" t="str">
        <f>IFERROR(__xludf.DUMMYFUNCTION("""COMPUTED_VALUE"""),"هیأت")</f>
        <v>هیأت</v>
      </c>
      <c r="C5728" s="5" t="str">
        <f>IFERROR(__xludf.DUMMYFUNCTION("""COMPUTED_VALUE"""),"حضرت فاطمه الزهرا (س)")</f>
        <v>حضرت فاطمه الزهرا (س)</v>
      </c>
      <c r="D5728" s="5" t="str">
        <f>IFERROR(__xludf.DUMMYFUNCTION("""COMPUTED_VALUE"""),"اصفهان")</f>
        <v>اصفهان</v>
      </c>
      <c r="E5728" s="5" t="str">
        <f>IFERROR(__xludf.DUMMYFUNCTION("""COMPUTED_VALUE"""),"قهدریجان")</f>
        <v>قهدریجان</v>
      </c>
      <c r="F5728" s="5"/>
      <c r="G5728" s="5">
        <f>IFERROR(__xludf.DUMMYFUNCTION("""COMPUTED_VALUE"""),1.0)</f>
        <v>1</v>
      </c>
      <c r="H5728" s="6" t="str">
        <f>IFERROR(__xludf.DUMMYFUNCTION("""COMPUTED_VALUE"""),"https://www.instagram.com/heyat_hazrat_zahra1")</f>
        <v>https://www.instagram.com/heyat_hazrat_zahra1</v>
      </c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</row>
    <row r="5729">
      <c r="A5729" s="5">
        <f>IFERROR(__xludf.DUMMYFUNCTION("""COMPUTED_VALUE"""),20758.0)</f>
        <v>20758</v>
      </c>
      <c r="B5729" s="5" t="str">
        <f>IFERROR(__xludf.DUMMYFUNCTION("""COMPUTED_VALUE"""),"هیأت")</f>
        <v>هیأت</v>
      </c>
      <c r="C5729" s="5" t="str">
        <f>IFERROR(__xludf.DUMMYFUNCTION("""COMPUTED_VALUE"""),"فرهنگی تربیتی جهادی فاطمیون")</f>
        <v>فرهنگی تربیتی جهادی فاطمیون</v>
      </c>
      <c r="D5729" s="5" t="str">
        <f>IFERROR(__xludf.DUMMYFUNCTION("""COMPUTED_VALUE"""),"اصفهان")</f>
        <v>اصفهان</v>
      </c>
      <c r="E5729" s="5" t="str">
        <f>IFERROR(__xludf.DUMMYFUNCTION("""COMPUTED_VALUE"""),"خمینی شهر")</f>
        <v>خمینی شهر</v>
      </c>
      <c r="F5729" s="5"/>
      <c r="G5729" s="5"/>
      <c r="H5729" s="6" t="str">
        <f>IFERROR(__xludf.DUMMYFUNCTION("""COMPUTED_VALUE"""),"https://www.instagram.com/mahfel_ashk_213")</f>
        <v>https://www.instagram.com/mahfel_ashk_213</v>
      </c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</row>
    <row r="5730">
      <c r="A5730" s="5">
        <f>IFERROR(__xludf.DUMMYFUNCTION("""COMPUTED_VALUE"""),20762.0)</f>
        <v>20762</v>
      </c>
      <c r="B5730" s="5" t="str">
        <f>IFERROR(__xludf.DUMMYFUNCTION("""COMPUTED_VALUE"""),"هیأت")</f>
        <v>هیأت</v>
      </c>
      <c r="C5730" s="5" t="str">
        <f>IFERROR(__xludf.DUMMYFUNCTION("""COMPUTED_VALUE"""),"عاشورائیان")</f>
        <v>عاشورائیان</v>
      </c>
      <c r="D5730" s="5" t="str">
        <f>IFERROR(__xludf.DUMMYFUNCTION("""COMPUTED_VALUE"""),"اصفهان")</f>
        <v>اصفهان</v>
      </c>
      <c r="E5730" s="5" t="str">
        <f>IFERROR(__xludf.DUMMYFUNCTION("""COMPUTED_VALUE"""),"لنجان")</f>
        <v>لنجان</v>
      </c>
      <c r="F5730" s="5"/>
      <c r="G5730" s="5"/>
      <c r="H5730" s="6" t="str">
        <f>IFERROR(__xludf.DUMMYFUNCTION("""COMPUTED_VALUE"""),"https://www.instagram.com/ashouraiyan_313")</f>
        <v>https://www.instagram.com/ashouraiyan_313</v>
      </c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</row>
    <row r="5731">
      <c r="A5731" s="5">
        <f>IFERROR(__xludf.DUMMYFUNCTION("""COMPUTED_VALUE"""),20767.0)</f>
        <v>20767</v>
      </c>
      <c r="B5731" s="5" t="str">
        <f>IFERROR(__xludf.DUMMYFUNCTION("""COMPUTED_VALUE"""),"هیأت")</f>
        <v>هیأت</v>
      </c>
      <c r="C5731" s="5" t="str">
        <f>IFERROR(__xludf.DUMMYFUNCTION("""COMPUTED_VALUE"""),"رزمندگان اسلام")</f>
        <v>رزمندگان اسلام</v>
      </c>
      <c r="D5731" s="5" t="str">
        <f>IFERROR(__xludf.DUMMYFUNCTION("""COMPUTED_VALUE"""),"اصفهان")</f>
        <v>اصفهان</v>
      </c>
      <c r="E5731" s="5" t="str">
        <f>IFERROR(__xludf.DUMMYFUNCTION("""COMPUTED_VALUE"""),"نجف آباد")</f>
        <v>نجف آباد</v>
      </c>
      <c r="F5731" s="5"/>
      <c r="G5731" s="5">
        <f>IFERROR(__xludf.DUMMYFUNCTION("""COMPUTED_VALUE"""),1.0)</f>
        <v>1</v>
      </c>
      <c r="H5731" s="6" t="str">
        <f>IFERROR(__xludf.DUMMYFUNCTION("""COMPUTED_VALUE"""),"https://www.instagram.com/gol_heyaat")</f>
        <v>https://www.instagram.com/gol_heyaat</v>
      </c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</row>
    <row r="5732">
      <c r="A5732" s="5">
        <f>IFERROR(__xludf.DUMMYFUNCTION("""COMPUTED_VALUE"""),20771.0)</f>
        <v>20771</v>
      </c>
      <c r="B5732" s="5" t="str">
        <f>IFERROR(__xludf.DUMMYFUNCTION("""COMPUTED_VALUE"""),"هیأت")</f>
        <v>هیأت</v>
      </c>
      <c r="C5732" s="5" t="str">
        <f>IFERROR(__xludf.DUMMYFUNCTION("""COMPUTED_VALUE"""),"انصارالمهدی (عج)")</f>
        <v>انصارالمهدی (عج)</v>
      </c>
      <c r="D5732" s="5" t="str">
        <f>IFERROR(__xludf.DUMMYFUNCTION("""COMPUTED_VALUE"""),"اصفهان")</f>
        <v>اصفهان</v>
      </c>
      <c r="E5732" s="5" t="str">
        <f>IFERROR(__xludf.DUMMYFUNCTION("""COMPUTED_VALUE"""),"نائین")</f>
        <v>نائین</v>
      </c>
      <c r="F5732" s="5"/>
      <c r="G5732" s="5"/>
      <c r="H5732" s="5"/>
      <c r="I5732" s="5"/>
      <c r="J5732" s="6" t="str">
        <f>IFERROR(__xludf.DUMMYFUNCTION("""COMPUTED_VALUE"""),"https://eitaa.com/sorood_ansaralmahdy")</f>
        <v>https://eitaa.com/sorood_ansaralmahdy</v>
      </c>
      <c r="K5732" s="5"/>
      <c r="L5732" s="5"/>
      <c r="M5732" s="5"/>
      <c r="N5732" s="5"/>
      <c r="O5732" s="5"/>
      <c r="P5732" s="5"/>
      <c r="Q5732" s="5"/>
      <c r="R5732" s="5"/>
      <c r="S5732" s="5"/>
    </row>
    <row r="5733">
      <c r="A5733" s="5">
        <f>IFERROR(__xludf.DUMMYFUNCTION("""COMPUTED_VALUE"""),20772.0)</f>
        <v>20772</v>
      </c>
      <c r="B5733" s="5" t="str">
        <f>IFERROR(__xludf.DUMMYFUNCTION("""COMPUTED_VALUE"""),"هیأت")</f>
        <v>هیأت</v>
      </c>
      <c r="C5733" s="5" t="str">
        <f>IFERROR(__xludf.DUMMYFUNCTION("""COMPUTED_VALUE"""),"خادم المهدی")</f>
        <v>خادم المهدی</v>
      </c>
      <c r="D5733" s="5" t="str">
        <f>IFERROR(__xludf.DUMMYFUNCTION("""COMPUTED_VALUE"""),"اصفهان")</f>
        <v>اصفهان</v>
      </c>
      <c r="E5733" s="5" t="str">
        <f>IFERROR(__xludf.DUMMYFUNCTION("""COMPUTED_VALUE"""),"فلاورجان")</f>
        <v>فلاورجان</v>
      </c>
      <c r="F5733" s="5"/>
      <c r="G5733" s="5"/>
      <c r="H5733" s="6" t="str">
        <f>IFERROR(__xludf.DUMMYFUNCTION("""COMPUTED_VALUE"""),"https://www.instagram.com/khadem.almahd")</f>
        <v>https://www.instagram.com/khadem.almahd</v>
      </c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</row>
    <row r="5734">
      <c r="A5734" s="5">
        <f>IFERROR(__xludf.DUMMYFUNCTION("""COMPUTED_VALUE"""),20773.0)</f>
        <v>20773</v>
      </c>
      <c r="B5734" s="5" t="str">
        <f>IFERROR(__xludf.DUMMYFUNCTION("""COMPUTED_VALUE"""),"هیأت")</f>
        <v>هیأت</v>
      </c>
      <c r="C5734" s="5" t="str">
        <f>IFERROR(__xludf.DUMMYFUNCTION("""COMPUTED_VALUE"""),"خادمین حضرت زهرا (س)")</f>
        <v>خادمین حضرت زهرا (س)</v>
      </c>
      <c r="D5734" s="5" t="str">
        <f>IFERROR(__xludf.DUMMYFUNCTION("""COMPUTED_VALUE"""),"اصفهان")</f>
        <v>اصفهان</v>
      </c>
      <c r="E5734" s="5" t="str">
        <f>IFERROR(__xludf.DUMMYFUNCTION("""COMPUTED_VALUE"""),"فلاورجان")</f>
        <v>فلاورجان</v>
      </c>
      <c r="F5734" s="5"/>
      <c r="G5734" s="5"/>
      <c r="H5734" s="6" t="str">
        <f>IFERROR(__xludf.DUMMYFUNCTION("""COMPUTED_VALUE"""),"https://www.instagram.com/khademm_alzahra")</f>
        <v>https://www.instagram.com/khademm_alzahra</v>
      </c>
      <c r="I5734" s="5"/>
      <c r="J5734" s="5"/>
      <c r="K5734" s="5"/>
      <c r="L5734" s="5"/>
      <c r="M5734" s="5"/>
      <c r="N5734" s="5"/>
      <c r="O5734" s="5"/>
      <c r="P5734" s="5"/>
      <c r="Q5734" s="5"/>
      <c r="R5734" s="5"/>
      <c r="S5734" s="5"/>
    </row>
    <row r="5735">
      <c r="A5735" s="5">
        <f>IFERROR(__xludf.DUMMYFUNCTION("""COMPUTED_VALUE"""),20776.0)</f>
        <v>20776</v>
      </c>
      <c r="B5735" s="5" t="str">
        <f>IFERROR(__xludf.DUMMYFUNCTION("""COMPUTED_VALUE"""),"هیأت")</f>
        <v>هیأت</v>
      </c>
      <c r="C5735" s="5" t="str">
        <f>IFERROR(__xludf.DUMMYFUNCTION("""COMPUTED_VALUE"""),"عشاق المهدی (عج) روستای یزدل")</f>
        <v>عشاق المهدی (عج) روستای یزدل</v>
      </c>
      <c r="D5735" s="5" t="str">
        <f>IFERROR(__xludf.DUMMYFUNCTION("""COMPUTED_VALUE"""),"اصفهان")</f>
        <v>اصفهان</v>
      </c>
      <c r="E5735" s="5" t="str">
        <f>IFERROR(__xludf.DUMMYFUNCTION("""COMPUTED_VALUE"""),"آران وبیدگل")</f>
        <v>آران وبیدگل</v>
      </c>
      <c r="F5735" s="5"/>
      <c r="G5735" s="5"/>
      <c r="H5735" s="5"/>
      <c r="I5735" s="5"/>
      <c r="J5735" s="6" t="str">
        <f>IFERROR(__xludf.DUMMYFUNCTION("""COMPUTED_VALUE"""),"https://eitaa.com/oshagh_yazdel")</f>
        <v>https://eitaa.com/oshagh_yazdel</v>
      </c>
      <c r="K5735" s="5"/>
      <c r="L5735" s="5"/>
      <c r="M5735" s="5"/>
      <c r="N5735" s="5"/>
      <c r="O5735" s="5"/>
      <c r="P5735" s="5"/>
      <c r="Q5735" s="5"/>
      <c r="R5735" s="5"/>
      <c r="S5735" s="5"/>
    </row>
    <row r="5736">
      <c r="A5736" s="5">
        <f>IFERROR(__xludf.DUMMYFUNCTION("""COMPUTED_VALUE"""),20778.0)</f>
        <v>20778</v>
      </c>
      <c r="B5736" s="5" t="str">
        <f>IFERROR(__xludf.DUMMYFUNCTION("""COMPUTED_VALUE"""),"هیأت")</f>
        <v>هیأت</v>
      </c>
      <c r="C5736" s="5" t="str">
        <f>IFERROR(__xludf.DUMMYFUNCTION("""COMPUTED_VALUE"""),"کریمه اهل بیت")</f>
        <v>کریمه اهل بیت</v>
      </c>
      <c r="D5736" s="5" t="str">
        <f>IFERROR(__xludf.DUMMYFUNCTION("""COMPUTED_VALUE"""),"اصفهان")</f>
        <v>اصفهان</v>
      </c>
      <c r="E5736" s="5" t="str">
        <f>IFERROR(__xludf.DUMMYFUNCTION("""COMPUTED_VALUE"""),"فریدن")</f>
        <v>فریدن</v>
      </c>
      <c r="F5736" s="5"/>
      <c r="G5736" s="5"/>
      <c r="H5736" s="6" t="str">
        <f>IFERROR(__xludf.DUMMYFUNCTION("""COMPUTED_VALUE"""),"https://www.instagram.com/mohebine_karime_ahlebeyt")</f>
        <v>https://www.instagram.com/mohebine_karime_ahlebeyt</v>
      </c>
      <c r="I5736" s="6" t="str">
        <f>IFERROR(__xludf.DUMMYFUNCTION("""COMPUTED_VALUE"""),"https://t.me/mohebin_karime_ahl")</f>
        <v>https://t.me/mohebin_karime_ahl</v>
      </c>
      <c r="J5736" s="5"/>
      <c r="K5736" s="5"/>
      <c r="L5736" s="5"/>
      <c r="M5736" s="5"/>
      <c r="N5736" s="5"/>
      <c r="O5736" s="5"/>
      <c r="P5736" s="5"/>
      <c r="Q5736" s="5"/>
      <c r="R5736" s="5"/>
      <c r="S5736" s="5"/>
    </row>
    <row r="5737">
      <c r="A5737" s="5">
        <f>IFERROR(__xludf.DUMMYFUNCTION("""COMPUTED_VALUE"""),20779.0)</f>
        <v>20779</v>
      </c>
      <c r="B5737" s="5" t="str">
        <f>IFERROR(__xludf.DUMMYFUNCTION("""COMPUTED_VALUE"""),"هیأت")</f>
        <v>هیأت</v>
      </c>
      <c r="C5737" s="5" t="str">
        <f>IFERROR(__xludf.DUMMYFUNCTION("""COMPUTED_VALUE"""),"زینبیون")</f>
        <v>زینبیون</v>
      </c>
      <c r="D5737" s="5" t="str">
        <f>IFERROR(__xludf.DUMMYFUNCTION("""COMPUTED_VALUE"""),"اصفهان")</f>
        <v>اصفهان</v>
      </c>
      <c r="E5737" s="5" t="str">
        <f>IFERROR(__xludf.DUMMYFUNCTION("""COMPUTED_VALUE"""),"فریدن")</f>
        <v>فریدن</v>
      </c>
      <c r="F5737" s="5"/>
      <c r="G5737" s="5">
        <f>IFERROR(__xludf.DUMMYFUNCTION("""COMPUTED_VALUE"""),1.0)</f>
        <v>1</v>
      </c>
      <c r="H5737" s="6" t="str">
        <f>IFERROR(__xludf.DUMMYFUNCTION("""COMPUTED_VALUE"""),"https://www.instagram.com/zeynabion.daran")</f>
        <v>https://www.instagram.com/zeynabion.daran</v>
      </c>
      <c r="I5737" s="6" t="str">
        <f>IFERROR(__xludf.DUMMYFUNCTION("""COMPUTED_VALUE"""),"https://t.me/zeynabiondaran")</f>
        <v>https://t.me/zeynabiondaran</v>
      </c>
      <c r="J5737" s="5"/>
      <c r="K5737" s="5"/>
      <c r="L5737" s="5"/>
      <c r="M5737" s="5"/>
      <c r="N5737" s="5"/>
      <c r="O5737" s="5"/>
      <c r="P5737" s="5"/>
      <c r="Q5737" s="5"/>
      <c r="R5737" s="5"/>
      <c r="S5737" s="5"/>
    </row>
    <row r="5738">
      <c r="A5738" s="5">
        <f>IFERROR(__xludf.DUMMYFUNCTION("""COMPUTED_VALUE"""),20780.0)</f>
        <v>20780</v>
      </c>
      <c r="B5738" s="5" t="str">
        <f>IFERROR(__xludf.DUMMYFUNCTION("""COMPUTED_VALUE"""),"هیأت")</f>
        <v>هیأت</v>
      </c>
      <c r="C5738" s="5" t="str">
        <f>IFERROR(__xludf.DUMMYFUNCTION("""COMPUTED_VALUE"""),"انصارالحسین(ع)")</f>
        <v>انصارالحسین(ع)</v>
      </c>
      <c r="D5738" s="5" t="str">
        <f>IFERROR(__xludf.DUMMYFUNCTION("""COMPUTED_VALUE"""),"اصفهان")</f>
        <v>اصفهان</v>
      </c>
      <c r="E5738" s="5" t="str">
        <f>IFERROR(__xludf.DUMMYFUNCTION("""COMPUTED_VALUE"""),"فریدن")</f>
        <v>فریدن</v>
      </c>
      <c r="F5738" s="5"/>
      <c r="G5738" s="5"/>
      <c r="H5738" s="6" t="str">
        <f>IFERROR(__xludf.DUMMYFUNCTION("""COMPUTED_VALUE"""),"https://www.instagram.com/ansar_alhosein_daran")</f>
        <v>https://www.instagram.com/ansar_alhosein_daran</v>
      </c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</row>
    <row r="5739">
      <c r="A5739" s="5">
        <f>IFERROR(__xludf.DUMMYFUNCTION("""COMPUTED_VALUE"""),20781.0)</f>
        <v>20781</v>
      </c>
      <c r="B5739" s="5" t="str">
        <f>IFERROR(__xludf.DUMMYFUNCTION("""COMPUTED_VALUE"""),"هیأت")</f>
        <v>هیأت</v>
      </c>
      <c r="C5739" s="5" t="str">
        <f>IFERROR(__xludf.DUMMYFUNCTION("""COMPUTED_VALUE"""),"عاشقان ولایت")</f>
        <v>عاشقان ولایت</v>
      </c>
      <c r="D5739" s="5" t="str">
        <f>IFERROR(__xludf.DUMMYFUNCTION("""COMPUTED_VALUE"""),"اصفهان")</f>
        <v>اصفهان</v>
      </c>
      <c r="E5739" s="5" t="str">
        <f>IFERROR(__xludf.DUMMYFUNCTION("""COMPUTED_VALUE"""),"نائین")</f>
        <v>نائین</v>
      </c>
      <c r="F5739" s="5"/>
      <c r="G5739" s="5">
        <f>IFERROR(__xludf.DUMMYFUNCTION("""COMPUTED_VALUE"""),1.0)</f>
        <v>1</v>
      </c>
      <c r="H5739" s="6" t="str">
        <f>IFERROR(__xludf.DUMMYFUNCTION("""COMPUTED_VALUE"""),"https://www.instagram.com/a_velayat_live")</f>
        <v>https://www.instagram.com/a_velayat_live</v>
      </c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</row>
    <row r="5740">
      <c r="A5740" s="5">
        <f>IFERROR(__xludf.DUMMYFUNCTION("""COMPUTED_VALUE"""),20784.0)</f>
        <v>20784</v>
      </c>
      <c r="B5740" s="5" t="str">
        <f>IFERROR(__xludf.DUMMYFUNCTION("""COMPUTED_VALUE"""),"هیأت")</f>
        <v>هیأت</v>
      </c>
      <c r="C5740" s="5" t="str">
        <f>IFERROR(__xludf.DUMMYFUNCTION("""COMPUTED_VALUE"""),"شهدای گمنام")</f>
        <v>شهدای گمنام</v>
      </c>
      <c r="D5740" s="5" t="str">
        <f>IFERROR(__xludf.DUMMYFUNCTION("""COMPUTED_VALUE"""),"اصفهان")</f>
        <v>اصفهان</v>
      </c>
      <c r="E5740" s="5" t="str">
        <f>IFERROR(__xludf.DUMMYFUNCTION("""COMPUTED_VALUE"""),"آران وبیدگل")</f>
        <v>آران وبیدگل</v>
      </c>
      <c r="F5740" s="5"/>
      <c r="G5740" s="5"/>
      <c r="H5740" s="6" t="str">
        <f>IFERROR(__xludf.DUMMYFUNCTION("""COMPUTED_VALUE"""),"https://www.instagram.com/pgomnam/")</f>
        <v>https://www.instagram.com/pgomnam/</v>
      </c>
      <c r="I5740" s="5"/>
      <c r="J5740" s="6" t="str">
        <f>IFERROR(__xludf.DUMMYFUNCTION("""COMPUTED_VALUE"""),"https://eitaa.com/pgomnam")</f>
        <v>https://eitaa.com/pgomnam</v>
      </c>
      <c r="K5740" s="5"/>
      <c r="L5740" s="5"/>
      <c r="M5740" s="5"/>
      <c r="N5740" s="5"/>
      <c r="O5740" s="5"/>
      <c r="P5740" s="5"/>
      <c r="Q5740" s="5"/>
      <c r="R5740" s="5"/>
      <c r="S5740" s="5"/>
    </row>
    <row r="5741">
      <c r="A5741" s="5">
        <f>IFERROR(__xludf.DUMMYFUNCTION("""COMPUTED_VALUE"""),20790.0)</f>
        <v>20790</v>
      </c>
      <c r="B5741" s="5" t="str">
        <f>IFERROR(__xludf.DUMMYFUNCTION("""COMPUTED_VALUE"""),"هیأت")</f>
        <v>هیأت</v>
      </c>
      <c r="C5741" s="5" t="str">
        <f>IFERROR(__xludf.DUMMYFUNCTION("""COMPUTED_VALUE"""),"مرکز فرهنگی رواق")</f>
        <v>مرکز فرهنگی رواق</v>
      </c>
      <c r="D5741" s="5" t="str">
        <f>IFERROR(__xludf.DUMMYFUNCTION("""COMPUTED_VALUE"""),"اصفهان")</f>
        <v>اصفهان</v>
      </c>
      <c r="E5741" s="5" t="str">
        <f>IFERROR(__xludf.DUMMYFUNCTION("""COMPUTED_VALUE"""),"اصفهان")</f>
        <v>اصفهان</v>
      </c>
      <c r="F5741" s="5"/>
      <c r="G5741" s="5">
        <f>IFERROR(__xludf.DUMMYFUNCTION("""COMPUTED_VALUE"""),1.0)</f>
        <v>1</v>
      </c>
      <c r="H5741" s="6" t="str">
        <f>IFERROR(__xludf.DUMMYFUNCTION("""COMPUTED_VALUE"""),"https://www.instagram.com/m_ravaagh")</f>
        <v>https://www.instagram.com/m_ravaagh</v>
      </c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</row>
    <row r="5742">
      <c r="A5742" s="5">
        <f>IFERROR(__xludf.DUMMYFUNCTION("""COMPUTED_VALUE"""),20791.0)</f>
        <v>20791</v>
      </c>
      <c r="B5742" s="5" t="str">
        <f>IFERROR(__xludf.DUMMYFUNCTION("""COMPUTED_VALUE"""),"هیأت")</f>
        <v>هیأت</v>
      </c>
      <c r="C5742" s="5" t="str">
        <f>IFERROR(__xludf.DUMMYFUNCTION("""COMPUTED_VALUE"""),"میثاق با شهیدان")</f>
        <v>میثاق با شهیدان</v>
      </c>
      <c r="D5742" s="5" t="str">
        <f>IFERROR(__xludf.DUMMYFUNCTION("""COMPUTED_VALUE"""),"اصفهان")</f>
        <v>اصفهان</v>
      </c>
      <c r="E5742" s="5" t="str">
        <f>IFERROR(__xludf.DUMMYFUNCTION("""COMPUTED_VALUE"""),"نطنز")</f>
        <v>نطنز</v>
      </c>
      <c r="F5742" s="5"/>
      <c r="G5742" s="5"/>
      <c r="H5742" s="6" t="str">
        <f>IFERROR(__xludf.DUMMYFUNCTION("""COMPUTED_VALUE"""),"https://www.instagram.com/misagh_shahidan")</f>
        <v>https://www.instagram.com/misagh_shahidan</v>
      </c>
      <c r="I5742" s="5"/>
      <c r="J5742" s="6" t="str">
        <f>IFERROR(__xludf.DUMMYFUNCTION("""COMPUTED_VALUE"""),"https://eitaa.com/misagh_shahidan")</f>
        <v>https://eitaa.com/misagh_shahidan</v>
      </c>
      <c r="K5742" s="5"/>
      <c r="L5742" s="5"/>
      <c r="M5742" s="5"/>
      <c r="N5742" s="5"/>
      <c r="O5742" s="5"/>
      <c r="P5742" s="5"/>
      <c r="Q5742" s="5"/>
      <c r="R5742" s="5"/>
      <c r="S5742" s="5"/>
    </row>
    <row r="5743">
      <c r="A5743" s="5">
        <f>IFERROR(__xludf.DUMMYFUNCTION("""COMPUTED_VALUE"""),20793.0)</f>
        <v>20793</v>
      </c>
      <c r="B5743" s="5" t="str">
        <f>IFERROR(__xludf.DUMMYFUNCTION("""COMPUTED_VALUE"""),"هیأت")</f>
        <v>هیأت</v>
      </c>
      <c r="C5743" s="5" t="str">
        <f>IFERROR(__xludf.DUMMYFUNCTION("""COMPUTED_VALUE"""),"عاشقان ولایت")</f>
        <v>عاشقان ولایت</v>
      </c>
      <c r="D5743" s="5" t="str">
        <f>IFERROR(__xludf.DUMMYFUNCTION("""COMPUTED_VALUE"""),"اصفهان")</f>
        <v>اصفهان</v>
      </c>
      <c r="E5743" s="5" t="str">
        <f>IFERROR(__xludf.DUMMYFUNCTION("""COMPUTED_VALUE"""),"نطنز")</f>
        <v>نطنز</v>
      </c>
      <c r="F5743" s="5"/>
      <c r="G5743" s="5"/>
      <c r="H5743" s="5"/>
      <c r="I5743" s="5"/>
      <c r="J5743" s="6" t="str">
        <f>IFERROR(__xludf.DUMMYFUNCTION("""COMPUTED_VALUE"""),"https://eitaa.com/asheghan_velayat_ntz")</f>
        <v>https://eitaa.com/asheghan_velayat_ntz</v>
      </c>
      <c r="K5743" s="5"/>
      <c r="L5743" s="5"/>
      <c r="M5743" s="5"/>
      <c r="N5743" s="5"/>
      <c r="O5743" s="5"/>
      <c r="P5743" s="5"/>
      <c r="Q5743" s="5"/>
      <c r="R5743" s="5"/>
      <c r="S5743" s="5"/>
    </row>
    <row r="5744">
      <c r="A5744" s="5">
        <f>IFERROR(__xludf.DUMMYFUNCTION("""COMPUTED_VALUE"""),20829.0)</f>
        <v>20829</v>
      </c>
      <c r="B5744" s="5" t="str">
        <f>IFERROR(__xludf.DUMMYFUNCTION("""COMPUTED_VALUE"""),"هیأت")</f>
        <v>هیأت</v>
      </c>
      <c r="C5744" s="5" t="str">
        <f>IFERROR(__xludf.DUMMYFUNCTION("""COMPUTED_VALUE"""),"ثارالله (ع)")</f>
        <v>ثارالله (ع)</v>
      </c>
      <c r="D5744" s="5" t="str">
        <f>IFERROR(__xludf.DUMMYFUNCTION("""COMPUTED_VALUE"""),"اصفهان")</f>
        <v>اصفهان</v>
      </c>
      <c r="E5744" s="5" t="str">
        <f>IFERROR(__xludf.DUMMYFUNCTION("""COMPUTED_VALUE"""),"خمینی شهر")</f>
        <v>خمینی شهر</v>
      </c>
      <c r="F5744" s="5"/>
      <c r="G5744" s="5"/>
      <c r="H5744" s="5"/>
      <c r="I5744" s="5"/>
      <c r="J5744" s="6" t="str">
        <f>IFERROR(__xludf.DUMMYFUNCTION("""COMPUTED_VALUE"""),"https://eitaa.com/sarala551")</f>
        <v>https://eitaa.com/sarala551</v>
      </c>
      <c r="K5744" s="5"/>
      <c r="L5744" s="5"/>
      <c r="M5744" s="5"/>
      <c r="N5744" s="5"/>
      <c r="O5744" s="5"/>
      <c r="P5744" s="5"/>
      <c r="Q5744" s="5"/>
      <c r="R5744" s="5"/>
      <c r="S5744" s="5"/>
    </row>
    <row r="5745">
      <c r="A5745" s="5">
        <f>IFERROR(__xludf.DUMMYFUNCTION("""COMPUTED_VALUE"""),20830.0)</f>
        <v>20830</v>
      </c>
      <c r="B5745" s="5" t="str">
        <f>IFERROR(__xludf.DUMMYFUNCTION("""COMPUTED_VALUE"""),"هیأت")</f>
        <v>هیأت</v>
      </c>
      <c r="C5745" s="5" t="str">
        <f>IFERROR(__xludf.DUMMYFUNCTION("""COMPUTED_VALUE"""),"محبان حضرت زهرا (س)")</f>
        <v>محبان حضرت زهرا (س)</v>
      </c>
      <c r="D5745" s="5" t="str">
        <f>IFERROR(__xludf.DUMMYFUNCTION("""COMPUTED_VALUE"""),"اصفهان")</f>
        <v>اصفهان</v>
      </c>
      <c r="E5745" s="5" t="str">
        <f>IFERROR(__xludf.DUMMYFUNCTION("""COMPUTED_VALUE"""),"خمینی شهر")</f>
        <v>خمینی شهر</v>
      </c>
      <c r="F5745" s="5"/>
      <c r="G5745" s="5"/>
      <c r="H5745" s="6" t="str">
        <f>IFERROR(__xludf.DUMMYFUNCTION("""COMPUTED_VALUE"""),"https://www.instagram.com/h_mohebbane_h_zahra135")</f>
        <v>https://www.instagram.com/h_mohebbane_h_zahra135</v>
      </c>
      <c r="I5745" s="5"/>
      <c r="J5745" s="6" t="str">
        <f>IFERROR(__xludf.DUMMYFUNCTION("""COMPUTED_VALUE"""),"https://eitaa.com/h_mohebbane_h_zahra135")</f>
        <v>https://eitaa.com/h_mohebbane_h_zahra135</v>
      </c>
      <c r="K5745" s="5"/>
      <c r="L5745" s="5"/>
      <c r="M5745" s="5"/>
      <c r="N5745" s="5"/>
      <c r="O5745" s="5"/>
      <c r="P5745" s="5"/>
      <c r="Q5745" s="5"/>
      <c r="R5745" s="5"/>
      <c r="S5745" s="5"/>
    </row>
    <row r="5746">
      <c r="A5746" s="5">
        <f>IFERROR(__xludf.DUMMYFUNCTION("""COMPUTED_VALUE"""),20831.0)</f>
        <v>20831</v>
      </c>
      <c r="B5746" s="5" t="str">
        <f>IFERROR(__xludf.DUMMYFUNCTION("""COMPUTED_VALUE"""),"هیأت")</f>
        <v>هیأت</v>
      </c>
      <c r="C5746" s="5" t="str">
        <f>IFERROR(__xludf.DUMMYFUNCTION("""COMPUTED_VALUE"""),"عاشقان روح الله")</f>
        <v>عاشقان روح الله</v>
      </c>
      <c r="D5746" s="5" t="str">
        <f>IFERROR(__xludf.DUMMYFUNCTION("""COMPUTED_VALUE"""),"اصفهان")</f>
        <v>اصفهان</v>
      </c>
      <c r="E5746" s="5" t="str">
        <f>IFERROR(__xludf.DUMMYFUNCTION("""COMPUTED_VALUE"""),"خمینی شهر")</f>
        <v>خمینی شهر</v>
      </c>
      <c r="F5746" s="5"/>
      <c r="G5746" s="5">
        <f>IFERROR(__xludf.DUMMYFUNCTION("""COMPUTED_VALUE"""),1.0)</f>
        <v>1</v>
      </c>
      <c r="H5746" s="6" t="str">
        <f>IFERROR(__xludf.DUMMYFUNCTION("""COMPUTED_VALUE"""),"https://www.instagram.com/heiat_asheghane_rohollah")</f>
        <v>https://www.instagram.com/heiat_asheghane_rohollah</v>
      </c>
      <c r="I5746" s="6" t="str">
        <f>IFERROR(__xludf.DUMMYFUNCTION("""COMPUTED_VALUE"""),"https://t.me/heiat_Asheghane_rohollah")</f>
        <v>https://t.me/heiat_Asheghane_rohollah</v>
      </c>
      <c r="J5746" s="5"/>
      <c r="K5746" s="5"/>
      <c r="L5746" s="5"/>
      <c r="M5746" s="5"/>
      <c r="N5746" s="5"/>
      <c r="O5746" s="5"/>
      <c r="P5746" s="5"/>
      <c r="Q5746" s="5"/>
      <c r="R5746" s="5"/>
      <c r="S5746" s="5"/>
    </row>
    <row r="5747">
      <c r="A5747" s="5">
        <f>IFERROR(__xludf.DUMMYFUNCTION("""COMPUTED_VALUE"""),20878.0)</f>
        <v>20878</v>
      </c>
      <c r="B5747" s="5" t="str">
        <f>IFERROR(__xludf.DUMMYFUNCTION("""COMPUTED_VALUE"""),"هیأت")</f>
        <v>هیأت</v>
      </c>
      <c r="C5747" s="5" t="str">
        <f>IFERROR(__xludf.DUMMYFUNCTION("""COMPUTED_VALUE"""),"امام صادق(ع)")</f>
        <v>امام صادق(ع)</v>
      </c>
      <c r="D5747" s="5" t="str">
        <f>IFERROR(__xludf.DUMMYFUNCTION("""COMPUTED_VALUE"""),"اصفهان")</f>
        <v>اصفهان</v>
      </c>
      <c r="E5747" s="5" t="str">
        <f>IFERROR(__xludf.DUMMYFUNCTION("""COMPUTED_VALUE"""),"اصفهان")</f>
        <v>اصفهان</v>
      </c>
      <c r="F5747" s="5"/>
      <c r="G5747" s="5"/>
      <c r="H5747" s="6" t="str">
        <f>IFERROR(__xludf.DUMMYFUNCTION("""COMPUTED_VALUE"""),"https://www.instagram.com/hejs_m")</f>
        <v>https://www.instagram.com/hejs_m</v>
      </c>
      <c r="I5747" s="6" t="str">
        <f>IFERROR(__xludf.DUMMYFUNCTION("""COMPUTED_VALUE"""),"https://t.me/hejs_m")</f>
        <v>https://t.me/hejs_m</v>
      </c>
      <c r="J5747" s="5"/>
      <c r="K5747" s="5"/>
      <c r="L5747" s="5"/>
      <c r="M5747" s="5"/>
      <c r="N5747" s="5"/>
      <c r="O5747" s="5"/>
      <c r="P5747" s="5"/>
      <c r="Q5747" s="5"/>
      <c r="R5747" s="5"/>
      <c r="S5747" s="5"/>
    </row>
    <row r="5748">
      <c r="A5748" s="5">
        <f>IFERROR(__xludf.DUMMYFUNCTION("""COMPUTED_VALUE"""),20896.0)</f>
        <v>20896</v>
      </c>
      <c r="B5748" s="5" t="str">
        <f>IFERROR(__xludf.DUMMYFUNCTION("""COMPUTED_VALUE"""),"هیأت")</f>
        <v>هیأت</v>
      </c>
      <c r="C5748" s="5" t="str">
        <f>IFERROR(__xludf.DUMMYFUNCTION("""COMPUTED_VALUE"""),"انصارالمهدی (عج)")</f>
        <v>انصارالمهدی (عج)</v>
      </c>
      <c r="D5748" s="5" t="str">
        <f>IFERROR(__xludf.DUMMYFUNCTION("""COMPUTED_VALUE"""),"اصفهان")</f>
        <v>اصفهان</v>
      </c>
      <c r="E5748" s="5" t="str">
        <f>IFERROR(__xludf.DUMMYFUNCTION("""COMPUTED_VALUE"""),"اصفهان")</f>
        <v>اصفهان</v>
      </c>
      <c r="F5748" s="5"/>
      <c r="G5748" s="5">
        <f>IFERROR(__xludf.DUMMYFUNCTION("""COMPUTED_VALUE"""),1.0)</f>
        <v>1</v>
      </c>
      <c r="H5748" s="6" t="str">
        <f>IFERROR(__xludf.DUMMYFUNCTION("""COMPUTED_VALUE"""),"https://www.instagram.com/ansarolmahdi137")</f>
        <v>https://www.instagram.com/ansarolmahdi137</v>
      </c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</row>
    <row r="5749">
      <c r="A5749" s="5">
        <f>IFERROR(__xludf.DUMMYFUNCTION("""COMPUTED_VALUE"""),21036.0)</f>
        <v>21036</v>
      </c>
      <c r="B5749" s="5" t="str">
        <f>IFERROR(__xludf.DUMMYFUNCTION("""COMPUTED_VALUE"""),"هیأت")</f>
        <v>هیأت</v>
      </c>
      <c r="C5749" s="5" t="str">
        <f>IFERROR(__xludf.DUMMYFUNCTION("""COMPUTED_VALUE"""),"هیات الزهرا (س)")</f>
        <v>هیات الزهرا (س)</v>
      </c>
      <c r="D5749" s="5" t="str">
        <f>IFERROR(__xludf.DUMMYFUNCTION("""COMPUTED_VALUE"""),"اصفهان")</f>
        <v>اصفهان</v>
      </c>
      <c r="E5749" s="5" t="str">
        <f>IFERROR(__xludf.DUMMYFUNCTION("""COMPUTED_VALUE"""),"گلپایگان")</f>
        <v>گلپایگان</v>
      </c>
      <c r="F5749" s="5"/>
      <c r="G5749" s="5"/>
      <c r="H5749" s="5"/>
      <c r="I5749" s="5"/>
      <c r="J5749" s="6" t="str">
        <f>IFERROR(__xludf.DUMMYFUNCTION("""COMPUTED_VALUE"""),"https://eitaa.com/heyatallzahra")</f>
        <v>https://eitaa.com/heyatallzahra</v>
      </c>
      <c r="K5749" s="5"/>
      <c r="L5749" s="5"/>
      <c r="M5749" s="5"/>
      <c r="N5749" s="5"/>
      <c r="O5749" s="5"/>
      <c r="P5749" s="5"/>
      <c r="Q5749" s="5"/>
      <c r="R5749" s="5"/>
      <c r="S5749" s="5"/>
    </row>
    <row r="5750">
      <c r="A5750" s="5">
        <f>IFERROR(__xludf.DUMMYFUNCTION("""COMPUTED_VALUE"""),21268.0)</f>
        <v>21268</v>
      </c>
      <c r="B5750" s="5" t="str">
        <f>IFERROR(__xludf.DUMMYFUNCTION("""COMPUTED_VALUE"""),"هیأت")</f>
        <v>هیأت</v>
      </c>
      <c r="C5750" s="5" t="str">
        <f>IFERROR(__xludf.DUMMYFUNCTION("""COMPUTED_VALUE"""),"حضرت علی اصغر (ع) (خواهران)")</f>
        <v>حضرت علی اصغر (ع) (خواهران)</v>
      </c>
      <c r="D5750" s="5" t="str">
        <f>IFERROR(__xludf.DUMMYFUNCTION("""COMPUTED_VALUE"""),"اصفهان")</f>
        <v>اصفهان</v>
      </c>
      <c r="E5750" s="5" t="str">
        <f>IFERROR(__xludf.DUMMYFUNCTION("""COMPUTED_VALUE"""),"لنجان")</f>
        <v>لنجان</v>
      </c>
      <c r="F5750" s="5"/>
      <c r="G5750" s="5"/>
      <c r="H5750" s="6" t="str">
        <f>IFERROR(__xludf.DUMMYFUNCTION("""COMPUTED_VALUE"""),"https://www.instagram.com/mahale_paeen_kachooeiyeh")</f>
        <v>https://www.instagram.com/mahale_paeen_kachooeiyeh</v>
      </c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</row>
    <row r="5751">
      <c r="A5751" s="5">
        <f>IFERROR(__xludf.DUMMYFUNCTION("""COMPUTED_VALUE"""),21321.0)</f>
        <v>21321</v>
      </c>
      <c r="B5751" s="5" t="str">
        <f>IFERROR(__xludf.DUMMYFUNCTION("""COMPUTED_VALUE"""),"هیأت")</f>
        <v>هیأت</v>
      </c>
      <c r="C5751" s="5" t="str">
        <f>IFERROR(__xludf.DUMMYFUNCTION("""COMPUTED_VALUE"""),"غریب مدینه")</f>
        <v>غریب مدینه</v>
      </c>
      <c r="D5751" s="5" t="str">
        <f>IFERROR(__xludf.DUMMYFUNCTION("""COMPUTED_VALUE"""),"اصفهان")</f>
        <v>اصفهان</v>
      </c>
      <c r="E5751" s="5" t="str">
        <f>IFERROR(__xludf.DUMMYFUNCTION("""COMPUTED_VALUE"""),"مبارکه")</f>
        <v>مبارکه</v>
      </c>
      <c r="F5751" s="5"/>
      <c r="G5751" s="5"/>
      <c r="H5751" s="6" t="str">
        <f>IFERROR(__xludf.DUMMYFUNCTION("""COMPUTED_VALUE"""),"https://www.instagram.com/ghariibemadine.118")</f>
        <v>https://www.instagram.com/ghariibemadine.118</v>
      </c>
      <c r="I5751" s="6" t="str">
        <f>IFERROR(__xludf.DUMMYFUNCTION("""COMPUTED_VALUE"""),"https://t.me/ghriibemadine_118")</f>
        <v>https://t.me/ghriibemadine_118</v>
      </c>
      <c r="J5751" s="6" t="str">
        <f>IFERROR(__xludf.DUMMYFUNCTION("""COMPUTED_VALUE"""),"https://eitaa.com/ghriibemadine_118")</f>
        <v>https://eitaa.com/ghriibemadine_118</v>
      </c>
      <c r="K5751" s="5"/>
      <c r="L5751" s="5"/>
      <c r="M5751" s="5"/>
      <c r="N5751" s="5"/>
      <c r="O5751" s="5"/>
      <c r="P5751" s="5"/>
      <c r="Q5751" s="5"/>
      <c r="R5751" s="5"/>
      <c r="S5751" s="5"/>
    </row>
    <row r="5752">
      <c r="A5752" s="5">
        <f>IFERROR(__xludf.DUMMYFUNCTION("""COMPUTED_VALUE"""),21404.0)</f>
        <v>21404</v>
      </c>
      <c r="B5752" s="5" t="str">
        <f>IFERROR(__xludf.DUMMYFUNCTION("""COMPUTED_VALUE"""),"هیأت")</f>
        <v>هیأت</v>
      </c>
      <c r="C5752" s="5" t="str">
        <f>IFERROR(__xludf.DUMMYFUNCTION("""COMPUTED_VALUE"""),"متوسلین به شهدای کربلای معلی")</f>
        <v>متوسلین به شهدای کربلای معلی</v>
      </c>
      <c r="D5752" s="5" t="str">
        <f>IFERROR(__xludf.DUMMYFUNCTION("""COMPUTED_VALUE"""),"اصفهان")</f>
        <v>اصفهان</v>
      </c>
      <c r="E5752" s="5" t="str">
        <f>IFERROR(__xludf.DUMMYFUNCTION("""COMPUTED_VALUE"""),"برخوار")</f>
        <v>برخوار</v>
      </c>
      <c r="F5752" s="5"/>
      <c r="G5752" s="5"/>
      <c r="H5752" s="6" t="str">
        <f>IFERROR(__xludf.DUMMYFUNCTION("""COMPUTED_VALUE"""),"https://www.instagram.com/heiat1349_ir")</f>
        <v>https://www.instagram.com/heiat1349_ir</v>
      </c>
      <c r="I5752" s="6" t="str">
        <f>IFERROR(__xludf.DUMMYFUNCTION("""COMPUTED_VALUE"""),"https://t.me/heiat1349_ir")</f>
        <v>https://t.me/heiat1349_ir</v>
      </c>
      <c r="J5752" s="6" t="str">
        <f>IFERROR(__xludf.DUMMYFUNCTION("""COMPUTED_VALUE"""),"https://eitaa.com/heiat1349_ir")</f>
        <v>https://eitaa.com/heiat1349_ir</v>
      </c>
      <c r="K5752" s="5"/>
      <c r="L5752" s="5"/>
      <c r="M5752" s="5"/>
      <c r="N5752" s="5"/>
      <c r="O5752" s="5"/>
      <c r="P5752" s="5"/>
      <c r="Q5752" s="5"/>
      <c r="R5752" s="5"/>
      <c r="S5752" s="5"/>
    </row>
    <row r="5753">
      <c r="A5753" s="5">
        <f>IFERROR(__xludf.DUMMYFUNCTION("""COMPUTED_VALUE"""),21405.0)</f>
        <v>21405</v>
      </c>
      <c r="B5753" s="5" t="str">
        <f>IFERROR(__xludf.DUMMYFUNCTION("""COMPUTED_VALUE"""),"هیأت")</f>
        <v>هیأت</v>
      </c>
      <c r="C5753" s="5" t="str">
        <f>IFERROR(__xludf.DUMMYFUNCTION("""COMPUTED_VALUE"""),"کانون فرهنگی آیت اله میرجلال الدین جشوقان")</f>
        <v>کانون فرهنگی آیت اله میرجلال الدین جشوقان</v>
      </c>
      <c r="D5753" s="5" t="str">
        <f>IFERROR(__xludf.DUMMYFUNCTION("""COMPUTED_VALUE"""),"اصفهان")</f>
        <v>اصفهان</v>
      </c>
      <c r="E5753" s="5" t="str">
        <f>IFERROR(__xludf.DUMMYFUNCTION("""COMPUTED_VALUE"""),"کوهپایه")</f>
        <v>کوهپایه</v>
      </c>
      <c r="F5753" s="5"/>
      <c r="G5753" s="5"/>
      <c r="H5753" s="5"/>
      <c r="I5753" s="6" t="str">
        <f>IFERROR(__xludf.DUMMYFUNCTION("""COMPUTED_VALUE"""),"https://t.me/kanoonmirjalal")</f>
        <v>https://t.me/kanoonmirjalal</v>
      </c>
      <c r="J5753" s="6" t="str">
        <f>IFERROR(__xludf.DUMMYFUNCTION("""COMPUTED_VALUE"""),"https://eitaa.com/mirjalaljeshvaghan")</f>
        <v>https://eitaa.com/mirjalaljeshvaghan</v>
      </c>
      <c r="K5753" s="5"/>
      <c r="L5753" s="5"/>
      <c r="M5753" s="5"/>
      <c r="N5753" s="5"/>
      <c r="O5753" s="5"/>
      <c r="P5753" s="5"/>
      <c r="Q5753" s="5"/>
      <c r="R5753" s="5"/>
      <c r="S5753" s="5"/>
    </row>
    <row r="5754">
      <c r="A5754" s="5">
        <f>IFERROR(__xludf.DUMMYFUNCTION("""COMPUTED_VALUE"""),21406.0)</f>
        <v>21406</v>
      </c>
      <c r="B5754" s="5" t="str">
        <f>IFERROR(__xludf.DUMMYFUNCTION("""COMPUTED_VALUE"""),"هیأت")</f>
        <v>هیأت</v>
      </c>
      <c r="C5754" s="5" t="str">
        <f>IFERROR(__xludf.DUMMYFUNCTION("""COMPUTED_VALUE"""),"محبان امیرالمومنین (ع)")</f>
        <v>محبان امیرالمومنین (ع)</v>
      </c>
      <c r="D5754" s="5" t="str">
        <f>IFERROR(__xludf.DUMMYFUNCTION("""COMPUTED_VALUE"""),"اصفهان")</f>
        <v>اصفهان</v>
      </c>
      <c r="E5754" s="5" t="str">
        <f>IFERROR(__xludf.DUMMYFUNCTION("""COMPUTED_VALUE"""),"فریدن")</f>
        <v>فریدن</v>
      </c>
      <c r="F5754" s="5"/>
      <c r="G5754" s="5"/>
      <c r="H5754" s="6" t="str">
        <f>IFERROR(__xludf.DUMMYFUNCTION("""COMPUTED_VALUE"""),"https://www.instagram.com/heyet_amiralmomenin_damane")</f>
        <v>https://www.instagram.com/heyet_amiralmomenin_damane</v>
      </c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</row>
    <row r="5755">
      <c r="A5755" s="5">
        <f>IFERROR(__xludf.DUMMYFUNCTION("""COMPUTED_VALUE"""),21472.0)</f>
        <v>21472</v>
      </c>
      <c r="B5755" s="5" t="str">
        <f>IFERROR(__xludf.DUMMYFUNCTION("""COMPUTED_VALUE"""),"هیأت")</f>
        <v>هیأت</v>
      </c>
      <c r="C5755" s="5" t="str">
        <f>IFERROR(__xludf.DUMMYFUNCTION("""COMPUTED_VALUE"""),"انصارالمهدی (عج) مرکز مدرس اصفهان (برادران)")</f>
        <v>انصارالمهدی (عج) مرکز مدرس اصفهان (برادران)</v>
      </c>
      <c r="D5755" s="5" t="str">
        <f>IFERROR(__xludf.DUMMYFUNCTION("""COMPUTED_VALUE"""),"اصفهان")</f>
        <v>اصفهان</v>
      </c>
      <c r="E5755" s="5" t="str">
        <f>IFERROR(__xludf.DUMMYFUNCTION("""COMPUTED_VALUE"""),"اصفهان")</f>
        <v>اصفهان</v>
      </c>
      <c r="F5755" s="5"/>
      <c r="G5755" s="5"/>
      <c r="H5755" s="6" t="str">
        <f>IFERROR(__xludf.DUMMYFUNCTION("""COMPUTED_VALUE"""),"https://www.instagram.com/markazmodares")</f>
        <v>https://www.instagram.com/markazmodares</v>
      </c>
      <c r="I5755" s="5"/>
      <c r="J5755" s="6" t="str">
        <f>IFERROR(__xludf.DUMMYFUNCTION("""COMPUTED_VALUE"""),"https://eitaa.com/markazmodares")</f>
        <v>https://eitaa.com/markazmodares</v>
      </c>
      <c r="K5755" s="5"/>
      <c r="L5755" s="5"/>
      <c r="M5755" s="5"/>
      <c r="N5755" s="5"/>
      <c r="O5755" s="5"/>
      <c r="P5755" s="5"/>
      <c r="Q5755" s="5"/>
      <c r="R5755" s="5"/>
      <c r="S5755" s="5"/>
    </row>
    <row r="5756">
      <c r="A5756" s="5">
        <f>IFERROR(__xludf.DUMMYFUNCTION("""COMPUTED_VALUE"""),21474.0)</f>
        <v>21474</v>
      </c>
      <c r="B5756" s="5" t="str">
        <f>IFERROR(__xludf.DUMMYFUNCTION("""COMPUTED_VALUE"""),"هیأت")</f>
        <v>هیأت</v>
      </c>
      <c r="C5756" s="5" t="str">
        <f>IFERROR(__xludf.DUMMYFUNCTION("""COMPUTED_VALUE"""),"شهدای گمنام")</f>
        <v>شهدای گمنام</v>
      </c>
      <c r="D5756" s="5" t="str">
        <f>IFERROR(__xludf.DUMMYFUNCTION("""COMPUTED_VALUE"""),"اصفهان")</f>
        <v>اصفهان</v>
      </c>
      <c r="E5756" s="5" t="str">
        <f>IFERROR(__xludf.DUMMYFUNCTION("""COMPUTED_VALUE"""),"دهاقان")</f>
        <v>دهاقان</v>
      </c>
      <c r="F5756" s="5"/>
      <c r="G5756" s="5"/>
      <c r="H5756" s="6" t="str">
        <f>IFERROR(__xludf.DUMMYFUNCTION("""COMPUTED_VALUE"""),"https://www.instagram.com/shohadagomnam_dehaghan")</f>
        <v>https://www.instagram.com/shohadagomnam_dehaghan</v>
      </c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</row>
    <row r="5757">
      <c r="A5757" s="5">
        <f>IFERROR(__xludf.DUMMYFUNCTION("""COMPUTED_VALUE"""),21475.0)</f>
        <v>21475</v>
      </c>
      <c r="B5757" s="5" t="str">
        <f>IFERROR(__xludf.DUMMYFUNCTION("""COMPUTED_VALUE"""),"هیأت")</f>
        <v>هیأت</v>
      </c>
      <c r="C5757" s="5" t="str">
        <f>IFERROR(__xludf.DUMMYFUNCTION("""COMPUTED_VALUE"""),"انصارالمهدی (عج)")</f>
        <v>انصارالمهدی (عج)</v>
      </c>
      <c r="D5757" s="5" t="str">
        <f>IFERROR(__xludf.DUMMYFUNCTION("""COMPUTED_VALUE"""),"اصفهان")</f>
        <v>اصفهان</v>
      </c>
      <c r="E5757" s="5" t="str">
        <f>IFERROR(__xludf.DUMMYFUNCTION("""COMPUTED_VALUE"""),"لنجان")</f>
        <v>لنجان</v>
      </c>
      <c r="F5757" s="5"/>
      <c r="G5757" s="5"/>
      <c r="H5757" s="6" t="str">
        <f>IFERROR(__xludf.DUMMYFUNCTION("""COMPUTED_VALUE"""),"https://www.instagram.com/heyaat.ansar1375")</f>
        <v>https://www.instagram.com/heyaat.ansar1375</v>
      </c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</row>
    <row r="5758">
      <c r="A5758" s="5">
        <f>IFERROR(__xludf.DUMMYFUNCTION("""COMPUTED_VALUE"""),21476.0)</f>
        <v>21476</v>
      </c>
      <c r="B5758" s="5" t="str">
        <f>IFERROR(__xludf.DUMMYFUNCTION("""COMPUTED_VALUE"""),"هیأت")</f>
        <v>هیأت</v>
      </c>
      <c r="C5758" s="5" t="str">
        <f>IFERROR(__xludf.DUMMYFUNCTION("""COMPUTED_VALUE"""),"آل یاسین / انصارالمهدی(ع)")</f>
        <v>آل یاسین / انصارالمهدی(ع)</v>
      </c>
      <c r="D5758" s="5" t="str">
        <f>IFERROR(__xludf.DUMMYFUNCTION("""COMPUTED_VALUE"""),"اصفهان")</f>
        <v>اصفهان</v>
      </c>
      <c r="E5758" s="5" t="str">
        <f>IFERROR(__xludf.DUMMYFUNCTION("""COMPUTED_VALUE"""),"نجف آباد")</f>
        <v>نجف آباد</v>
      </c>
      <c r="F5758" s="5"/>
      <c r="G5758" s="5"/>
      <c r="H5758" s="6" t="str">
        <f>IFERROR(__xludf.DUMMYFUNCTION("""COMPUTED_VALUE"""),"https://www.instagram.com/al.yasin.ir")</f>
        <v>https://www.instagram.com/al.yasin.ir</v>
      </c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</row>
    <row r="5759">
      <c r="A5759" s="5">
        <f>IFERROR(__xludf.DUMMYFUNCTION("""COMPUTED_VALUE"""),21477.0)</f>
        <v>21477</v>
      </c>
      <c r="B5759" s="5" t="str">
        <f>IFERROR(__xludf.DUMMYFUNCTION("""COMPUTED_VALUE"""),"هیأت")</f>
        <v>هیأت</v>
      </c>
      <c r="C5759" s="5" t="str">
        <f>IFERROR(__xludf.DUMMYFUNCTION("""COMPUTED_VALUE"""),"مکتب الصادق (ع)")</f>
        <v>مکتب الصادق (ع)</v>
      </c>
      <c r="D5759" s="5" t="str">
        <f>IFERROR(__xludf.DUMMYFUNCTION("""COMPUTED_VALUE"""),"اصفهان")</f>
        <v>اصفهان</v>
      </c>
      <c r="E5759" s="5" t="str">
        <f>IFERROR(__xludf.DUMMYFUNCTION("""COMPUTED_VALUE"""),"آران وبیدگل")</f>
        <v>آران وبیدگل</v>
      </c>
      <c r="F5759" s="5"/>
      <c r="G5759" s="5">
        <f>IFERROR(__xludf.DUMMYFUNCTION("""COMPUTED_VALUE"""),1.0)</f>
        <v>1</v>
      </c>
      <c r="H5759" s="6" t="str">
        <f>IFERROR(__xludf.DUMMYFUNCTION("""COMPUTED_VALUE"""),"https://www.instagram.com/maktabossadegh94/")</f>
        <v>https://www.instagram.com/maktabossadegh94/</v>
      </c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</row>
    <row r="5760">
      <c r="A5760" s="5">
        <f>IFERROR(__xludf.DUMMYFUNCTION("""COMPUTED_VALUE"""),21478.0)</f>
        <v>21478</v>
      </c>
      <c r="B5760" s="5" t="str">
        <f>IFERROR(__xludf.DUMMYFUNCTION("""COMPUTED_VALUE"""),"هیأت")</f>
        <v>هیأت</v>
      </c>
      <c r="C5760" s="5" t="str">
        <f>IFERROR(__xludf.DUMMYFUNCTION("""COMPUTED_VALUE"""),"هیات حسینی سلمقان")</f>
        <v>هیات حسینی سلمقان</v>
      </c>
      <c r="D5760" s="5" t="str">
        <f>IFERROR(__xludf.DUMMYFUNCTION("""COMPUTED_VALUE"""),"اصفهان")</f>
        <v>اصفهان</v>
      </c>
      <c r="E5760" s="5" t="str">
        <f>IFERROR(__xludf.DUMMYFUNCTION("""COMPUTED_VALUE"""),"آران وبیدگل")</f>
        <v>آران وبیدگل</v>
      </c>
      <c r="F5760" s="5"/>
      <c r="G5760" s="5"/>
      <c r="H5760" s="6" t="str">
        <f>IFERROR(__xludf.DUMMYFUNCTION("""COMPUTED_VALUE"""),"https://www.instagram.com/salmaghan_bidgol")</f>
        <v>https://www.instagram.com/salmaghan_bidgol</v>
      </c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</row>
    <row r="5761">
      <c r="A5761" s="5">
        <f>IFERROR(__xludf.DUMMYFUNCTION("""COMPUTED_VALUE"""),21480.0)</f>
        <v>21480</v>
      </c>
      <c r="B5761" s="5" t="str">
        <f>IFERROR(__xludf.DUMMYFUNCTION("""COMPUTED_VALUE"""),"هیأت")</f>
        <v>هیأت</v>
      </c>
      <c r="C5761" s="5" t="str">
        <f>IFERROR(__xludf.DUMMYFUNCTION("""COMPUTED_VALUE"""),"رهروان ولایت")</f>
        <v>رهروان ولایت</v>
      </c>
      <c r="D5761" s="5" t="str">
        <f>IFERROR(__xludf.DUMMYFUNCTION("""COMPUTED_VALUE"""),"اصفهان")</f>
        <v>اصفهان</v>
      </c>
      <c r="E5761" s="5" t="str">
        <f>IFERROR(__xludf.DUMMYFUNCTION("""COMPUTED_VALUE"""),"شاهین شهر و میمه")</f>
        <v>شاهین شهر و میمه</v>
      </c>
      <c r="F5761" s="5"/>
      <c r="G5761" s="5">
        <f>IFERROR(__xludf.DUMMYFUNCTION("""COMPUTED_VALUE"""),1.0)</f>
        <v>1</v>
      </c>
      <c r="H5761" s="6" t="str">
        <f>IFERROR(__xludf.DUMMYFUNCTION("""COMPUTED_VALUE"""),"https://www.instagram.com/soroud_rahrovane_velayat")</f>
        <v>https://www.instagram.com/soroud_rahrovane_velayat</v>
      </c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</row>
    <row r="5762">
      <c r="A5762" s="5">
        <f>IFERROR(__xludf.DUMMYFUNCTION("""COMPUTED_VALUE"""),21481.0)</f>
        <v>21481</v>
      </c>
      <c r="B5762" s="5" t="str">
        <f>IFERROR(__xludf.DUMMYFUNCTION("""COMPUTED_VALUE"""),"هیأت")</f>
        <v>هیأت</v>
      </c>
      <c r="C5762" s="5" t="str">
        <f>IFERROR(__xludf.DUMMYFUNCTION("""COMPUTED_VALUE"""),"حضرت اباالفضل العباس (ع) روستای قائم آباد")</f>
        <v>حضرت اباالفضل العباس (ع) روستای قائم آباد</v>
      </c>
      <c r="D5762" s="5" t="str">
        <f>IFERROR(__xludf.DUMMYFUNCTION("""COMPUTED_VALUE"""),"اصفهان")</f>
        <v>اصفهان</v>
      </c>
      <c r="E5762" s="5" t="str">
        <f>IFERROR(__xludf.DUMMYFUNCTION("""COMPUTED_VALUE"""),"بوئین میاندشت")</f>
        <v>بوئین میاندشت</v>
      </c>
      <c r="F5762" s="5"/>
      <c r="G5762" s="5">
        <f>IFERROR(__xludf.DUMMYFUNCTION("""COMPUTED_VALUE"""),1.0)</f>
        <v>1</v>
      </c>
      <c r="H5762" s="6" t="str">
        <f>IFERROR(__xludf.DUMMYFUNCTION("""COMPUTED_VALUE"""),"https://www.instagram.com/heiat_abolfazelabas")</f>
        <v>https://www.instagram.com/heiat_abolfazelabas</v>
      </c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/>
    </row>
    <row r="5763">
      <c r="A5763" s="5">
        <f>IFERROR(__xludf.DUMMYFUNCTION("""COMPUTED_VALUE"""),21482.0)</f>
        <v>21482</v>
      </c>
      <c r="B5763" s="5" t="str">
        <f>IFERROR(__xludf.DUMMYFUNCTION("""COMPUTED_VALUE"""),"هیأت")</f>
        <v>هیأت</v>
      </c>
      <c r="C5763" s="5" t="str">
        <f>IFERROR(__xludf.DUMMYFUNCTION("""COMPUTED_VALUE"""),"حضرت ابوالفضل العباس(ع) بازار")</f>
        <v>حضرت ابوالفضل العباس(ع) بازار</v>
      </c>
      <c r="D5763" s="5" t="str">
        <f>IFERROR(__xludf.DUMMYFUNCTION("""COMPUTED_VALUE"""),"اصفهان")</f>
        <v>اصفهان</v>
      </c>
      <c r="E5763" s="5" t="str">
        <f>IFERROR(__xludf.DUMMYFUNCTION("""COMPUTED_VALUE"""),"بوئین میاندشت")</f>
        <v>بوئین میاندشت</v>
      </c>
      <c r="F5763" s="5"/>
      <c r="G5763" s="5">
        <f>IFERROR(__xludf.DUMMYFUNCTION("""COMPUTED_VALUE"""),1.0)</f>
        <v>1</v>
      </c>
      <c r="H5763" s="6" t="str">
        <f>IFERROR(__xludf.DUMMYFUNCTION("""COMPUTED_VALUE"""),"https://www.instagram.com/hazrat.abolfazl_bm")</f>
        <v>https://www.instagram.com/hazrat.abolfazl_bm</v>
      </c>
      <c r="I5763" s="6" t="str">
        <f>IFERROR(__xludf.DUMMYFUNCTION("""COMPUTED_VALUE"""),"https://t.me/Abolfazl_b_bm")</f>
        <v>https://t.me/Abolfazl_b_bm</v>
      </c>
      <c r="J5763" s="5"/>
      <c r="K5763" s="5"/>
      <c r="L5763" s="5"/>
      <c r="M5763" s="5"/>
      <c r="N5763" s="5"/>
      <c r="O5763" s="5"/>
      <c r="P5763" s="5"/>
      <c r="Q5763" s="5"/>
      <c r="R5763" s="5"/>
      <c r="S5763" s="5"/>
    </row>
    <row r="5764">
      <c r="A5764" s="5">
        <f>IFERROR(__xludf.DUMMYFUNCTION("""COMPUTED_VALUE"""),21602.0)</f>
        <v>21602</v>
      </c>
      <c r="B5764" s="5" t="str">
        <f>IFERROR(__xludf.DUMMYFUNCTION("""COMPUTED_VALUE"""),"هیأت")</f>
        <v>هیأت</v>
      </c>
      <c r="C5764" s="5" t="str">
        <f>IFERROR(__xludf.DUMMYFUNCTION("""COMPUTED_VALUE"""),"مجموعه فرهنگی مسجدالنبی (ص) / محبان امام سجاد (ع)")</f>
        <v>مجموعه فرهنگی مسجدالنبی (ص) / محبان امام سجاد (ع)</v>
      </c>
      <c r="D5764" s="5" t="str">
        <f>IFERROR(__xludf.DUMMYFUNCTION("""COMPUTED_VALUE"""),"اصفهان")</f>
        <v>اصفهان</v>
      </c>
      <c r="E5764" s="5" t="str">
        <f>IFERROR(__xludf.DUMMYFUNCTION("""COMPUTED_VALUE"""),"اصفهان")</f>
        <v>اصفهان</v>
      </c>
      <c r="F5764" s="5"/>
      <c r="G5764" s="5"/>
      <c r="H5764" s="6" t="str">
        <f>IFERROR(__xludf.DUMMYFUNCTION("""COMPUTED_VALUE"""),"https://www.instagram.com/nojavan_sayeban")</f>
        <v>https://www.instagram.com/nojavan_sayeban</v>
      </c>
      <c r="I5764" s="5"/>
      <c r="J5764" s="6" t="str">
        <f>IFERROR(__xludf.DUMMYFUNCTION("""COMPUTED_VALUE"""),"https://eitaa.com/nojavan_sayeban")</f>
        <v>https://eitaa.com/nojavan_sayeban</v>
      </c>
      <c r="K5764" s="5"/>
      <c r="L5764" s="5"/>
      <c r="M5764" s="5"/>
      <c r="N5764" s="5"/>
      <c r="O5764" s="5"/>
      <c r="P5764" s="5"/>
      <c r="Q5764" s="5"/>
      <c r="R5764" s="5"/>
      <c r="S5764" s="5"/>
    </row>
    <row r="5765">
      <c r="A5765" s="5">
        <f>IFERROR(__xludf.DUMMYFUNCTION("""COMPUTED_VALUE"""),21762.0)</f>
        <v>21762</v>
      </c>
      <c r="B5765" s="5" t="str">
        <f>IFERROR(__xludf.DUMMYFUNCTION("""COMPUTED_VALUE"""),"هیأت")</f>
        <v>هیأت</v>
      </c>
      <c r="C5765" s="5" t="str">
        <f>IFERROR(__xludf.DUMMYFUNCTION("""COMPUTED_VALUE"""),"محبان اهل بیت(ع)")</f>
        <v>محبان اهل بیت(ع)</v>
      </c>
      <c r="D5765" s="5" t="str">
        <f>IFERROR(__xludf.DUMMYFUNCTION("""COMPUTED_VALUE"""),"اصفهان")</f>
        <v>اصفهان</v>
      </c>
      <c r="E5765" s="5" t="str">
        <f>IFERROR(__xludf.DUMMYFUNCTION("""COMPUTED_VALUE"""),"فلاورجان")</f>
        <v>فلاورجان</v>
      </c>
      <c r="F5765" s="5"/>
      <c r="G5765" s="5">
        <f>IFERROR(__xludf.DUMMYFUNCTION("""COMPUTED_VALUE"""),1.0)</f>
        <v>1</v>
      </c>
      <c r="H5765" s="6" t="str">
        <f>IFERROR(__xludf.DUMMYFUNCTION("""COMPUTED_VALUE"""),"https://www.instagram.com/h.mohebban_ahlebayt")</f>
        <v>https://www.instagram.com/h.mohebban_ahlebayt</v>
      </c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</row>
    <row r="5766">
      <c r="A5766" s="5">
        <f>IFERROR(__xludf.DUMMYFUNCTION("""COMPUTED_VALUE"""),21764.0)</f>
        <v>21764</v>
      </c>
      <c r="B5766" s="5" t="str">
        <f>IFERROR(__xludf.DUMMYFUNCTION("""COMPUTED_VALUE"""),"هیأت")</f>
        <v>هیأت</v>
      </c>
      <c r="C5766" s="5" t="str">
        <f>IFERROR(__xludf.DUMMYFUNCTION("""COMPUTED_VALUE"""),"فاطمه الزهرا (س)")</f>
        <v>فاطمه الزهرا (س)</v>
      </c>
      <c r="D5766" s="5" t="str">
        <f>IFERROR(__xludf.DUMMYFUNCTION("""COMPUTED_VALUE"""),"اصفهان")</f>
        <v>اصفهان</v>
      </c>
      <c r="E5766" s="5" t="str">
        <f>IFERROR(__xludf.DUMMYFUNCTION("""COMPUTED_VALUE"""),"فلاورجان")</f>
        <v>فلاورجان</v>
      </c>
      <c r="F5766" s="5"/>
      <c r="G5766" s="5"/>
      <c r="H5766" s="6" t="str">
        <f>IFERROR(__xludf.DUMMYFUNCTION("""COMPUTED_VALUE"""),"https://www.instagram.com/heyathazratzahra")</f>
        <v>https://www.instagram.com/heyathazratzahra</v>
      </c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</row>
    <row r="5767">
      <c r="A5767" s="5">
        <f>IFERROR(__xludf.DUMMYFUNCTION("""COMPUTED_VALUE"""),21765.0)</f>
        <v>21765</v>
      </c>
      <c r="B5767" s="5" t="str">
        <f>IFERROR(__xludf.DUMMYFUNCTION("""COMPUTED_VALUE"""),"هیأت")</f>
        <v>هیأت</v>
      </c>
      <c r="C5767" s="5" t="str">
        <f>IFERROR(__xludf.DUMMYFUNCTION("""COMPUTED_VALUE"""),"بنی الزهرا (س)")</f>
        <v>بنی الزهرا (س)</v>
      </c>
      <c r="D5767" s="5" t="str">
        <f>IFERROR(__xludf.DUMMYFUNCTION("""COMPUTED_VALUE"""),"اصفهان")</f>
        <v>اصفهان</v>
      </c>
      <c r="E5767" s="5" t="str">
        <f>IFERROR(__xludf.DUMMYFUNCTION("""COMPUTED_VALUE"""),"اصفهان")</f>
        <v>اصفهان</v>
      </c>
      <c r="F5767" s="5"/>
      <c r="G5767" s="5"/>
      <c r="H5767" s="5"/>
      <c r="I5767" s="6" t="str">
        <f>IFERROR(__xludf.DUMMYFUNCTION("""COMPUTED_VALUE"""),"https://t.me/heyatebanifatameh")</f>
        <v>https://t.me/heyatebanifatameh</v>
      </c>
      <c r="J5767" s="5"/>
      <c r="K5767" s="5"/>
      <c r="L5767" s="5"/>
      <c r="M5767" s="5"/>
      <c r="N5767" s="5"/>
      <c r="O5767" s="5"/>
      <c r="P5767" s="5"/>
      <c r="Q5767" s="5"/>
      <c r="R5767" s="5"/>
      <c r="S5767" s="5"/>
    </row>
    <row r="5768">
      <c r="A5768" s="5">
        <f>IFERROR(__xludf.DUMMYFUNCTION("""COMPUTED_VALUE"""),21767.0)</f>
        <v>21767</v>
      </c>
      <c r="B5768" s="5" t="str">
        <f>IFERROR(__xludf.DUMMYFUNCTION("""COMPUTED_VALUE"""),"هیأت")</f>
        <v>هیأت</v>
      </c>
      <c r="C5768" s="5" t="str">
        <f>IFERROR(__xludf.DUMMYFUNCTION("""COMPUTED_VALUE"""),"صاحب الزمان (عج)")</f>
        <v>صاحب الزمان (عج)</v>
      </c>
      <c r="D5768" s="5" t="str">
        <f>IFERROR(__xludf.DUMMYFUNCTION("""COMPUTED_VALUE"""),"اصفهان")</f>
        <v>اصفهان</v>
      </c>
      <c r="E5768" s="5" t="str">
        <f>IFERROR(__xludf.DUMMYFUNCTION("""COMPUTED_VALUE"""),"فریدن")</f>
        <v>فریدن</v>
      </c>
      <c r="F5768" s="5"/>
      <c r="G5768" s="5"/>
      <c r="H5768" s="6" t="str">
        <f>IFERROR(__xludf.DUMMYFUNCTION("""COMPUTED_VALUE"""),"https://www.instagram.com/sahebazaman_a")</f>
        <v>https://www.instagram.com/sahebazaman_a</v>
      </c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</row>
    <row r="5769">
      <c r="A5769" s="5">
        <f>IFERROR(__xludf.DUMMYFUNCTION("""COMPUTED_VALUE"""),21768.0)</f>
        <v>21768</v>
      </c>
      <c r="B5769" s="5" t="str">
        <f>IFERROR(__xludf.DUMMYFUNCTION("""COMPUTED_VALUE"""),"هیأت")</f>
        <v>هیأت</v>
      </c>
      <c r="C5769" s="5" t="str">
        <f>IFERROR(__xludf.DUMMYFUNCTION("""COMPUTED_VALUE"""),"فدائیان مهدی (عج)")</f>
        <v>فدائیان مهدی (عج)</v>
      </c>
      <c r="D5769" s="5" t="str">
        <f>IFERROR(__xludf.DUMMYFUNCTION("""COMPUTED_VALUE"""),"اصفهان")</f>
        <v>اصفهان</v>
      </c>
      <c r="E5769" s="5" t="str">
        <f>IFERROR(__xludf.DUMMYFUNCTION("""COMPUTED_VALUE"""),"فلاورجان")</f>
        <v>فلاورجان</v>
      </c>
      <c r="F5769" s="5"/>
      <c r="G5769" s="5"/>
      <c r="H5769" s="6" t="str">
        <f>IFERROR(__xludf.DUMMYFUNCTION("""COMPUTED_VALUE"""),"https://www.instagram.com/fadaeiane_mahdi")</f>
        <v>https://www.instagram.com/fadaeiane_mahdi</v>
      </c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</row>
    <row r="5770">
      <c r="A5770" s="5">
        <f>IFERROR(__xludf.DUMMYFUNCTION("""COMPUTED_VALUE"""),21769.0)</f>
        <v>21769</v>
      </c>
      <c r="B5770" s="5" t="str">
        <f>IFERROR(__xludf.DUMMYFUNCTION("""COMPUTED_VALUE"""),"هیأت")</f>
        <v>هیأت</v>
      </c>
      <c r="C5770" s="5" t="str">
        <f>IFERROR(__xludf.DUMMYFUNCTION("""COMPUTED_VALUE"""),"فاطمیون ملک شهر")</f>
        <v>فاطمیون ملک شهر</v>
      </c>
      <c r="D5770" s="5" t="str">
        <f>IFERROR(__xludf.DUMMYFUNCTION("""COMPUTED_VALUE"""),"اصفهان")</f>
        <v>اصفهان</v>
      </c>
      <c r="E5770" s="5" t="str">
        <f>IFERROR(__xludf.DUMMYFUNCTION("""COMPUTED_VALUE"""),"اصفهان")</f>
        <v>اصفهان</v>
      </c>
      <c r="F5770" s="5"/>
      <c r="G5770" s="5"/>
      <c r="H5770" s="6" t="str">
        <f>IFERROR(__xludf.DUMMYFUNCTION("""COMPUTED_VALUE"""),"https://www.instagram.com/fatemiyonmalekshahr")</f>
        <v>https://www.instagram.com/fatemiyonmalekshahr</v>
      </c>
      <c r="I5770" s="5"/>
      <c r="J5770" s="6" t="str">
        <f>IFERROR(__xludf.DUMMYFUNCTION("""COMPUTED_VALUE"""),"https://eitaa.com/fatemiyonmalekshahr")</f>
        <v>https://eitaa.com/fatemiyonmalekshahr</v>
      </c>
      <c r="K5770" s="5"/>
      <c r="L5770" s="5"/>
      <c r="M5770" s="5"/>
      <c r="N5770" s="5"/>
      <c r="O5770" s="5"/>
      <c r="P5770" s="5"/>
      <c r="Q5770" s="5"/>
      <c r="R5770" s="5"/>
      <c r="S5770" s="5"/>
    </row>
    <row r="5771">
      <c r="A5771" s="5">
        <f>IFERROR(__xludf.DUMMYFUNCTION("""COMPUTED_VALUE"""),21780.0)</f>
        <v>21780</v>
      </c>
      <c r="B5771" s="5" t="str">
        <f>IFERROR(__xludf.DUMMYFUNCTION("""COMPUTED_VALUE"""),"هیأت")</f>
        <v>هیأت</v>
      </c>
      <c r="C5771" s="5" t="str">
        <f>IFERROR(__xludf.DUMMYFUNCTION("""COMPUTED_VALUE"""),"انصارالمهدی (عج)")</f>
        <v>انصارالمهدی (عج)</v>
      </c>
      <c r="D5771" s="5" t="str">
        <f>IFERROR(__xludf.DUMMYFUNCTION("""COMPUTED_VALUE"""),"اصفهان")</f>
        <v>اصفهان</v>
      </c>
      <c r="E5771" s="5" t="str">
        <f>IFERROR(__xludf.DUMMYFUNCTION("""COMPUTED_VALUE"""),"شهرضا")</f>
        <v>شهرضا</v>
      </c>
      <c r="F5771" s="5"/>
      <c r="G5771" s="5"/>
      <c r="H5771" s="5"/>
      <c r="I5771" s="5"/>
      <c r="J5771" s="6" t="str">
        <f>IFERROR(__xludf.DUMMYFUNCTION("""COMPUTED_VALUE"""),"https://eitaa.com/Ansar_al_Mahdi_72")</f>
        <v>https://eitaa.com/Ansar_al_Mahdi_72</v>
      </c>
      <c r="K5771" s="5"/>
      <c r="L5771" s="5"/>
      <c r="M5771" s="5"/>
      <c r="N5771" s="5"/>
      <c r="O5771" s="5"/>
      <c r="P5771" s="5"/>
      <c r="Q5771" s="5"/>
      <c r="R5771" s="5"/>
      <c r="S5771" s="5"/>
    </row>
    <row r="5772">
      <c r="A5772" s="5">
        <f>IFERROR(__xludf.DUMMYFUNCTION("""COMPUTED_VALUE"""),21781.0)</f>
        <v>21781</v>
      </c>
      <c r="B5772" s="5" t="str">
        <f>IFERROR(__xludf.DUMMYFUNCTION("""COMPUTED_VALUE"""),"هیأت")</f>
        <v>هیأت</v>
      </c>
      <c r="C5772" s="5" t="str">
        <f>IFERROR(__xludf.DUMMYFUNCTION("""COMPUTED_VALUE"""),"علمدار")</f>
        <v>علمدار</v>
      </c>
      <c r="D5772" s="5" t="str">
        <f>IFERROR(__xludf.DUMMYFUNCTION("""COMPUTED_VALUE"""),"اصفهان")</f>
        <v>اصفهان</v>
      </c>
      <c r="E5772" s="5" t="str">
        <f>IFERROR(__xludf.DUMMYFUNCTION("""COMPUTED_VALUE"""),"مبارکه")</f>
        <v>مبارکه</v>
      </c>
      <c r="F5772" s="5"/>
      <c r="G5772" s="5"/>
      <c r="H5772" s="6" t="str">
        <f>IFERROR(__xludf.DUMMYFUNCTION("""COMPUTED_VALUE"""),"https://www.instagram.com/alamdar_345")</f>
        <v>https://www.instagram.com/alamdar_345</v>
      </c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</row>
    <row r="5773">
      <c r="A5773" s="5">
        <f>IFERROR(__xludf.DUMMYFUNCTION("""COMPUTED_VALUE"""),21790.0)</f>
        <v>21790</v>
      </c>
      <c r="B5773" s="5" t="str">
        <f>IFERROR(__xludf.DUMMYFUNCTION("""COMPUTED_VALUE"""),"هیأت")</f>
        <v>هیأت</v>
      </c>
      <c r="C5773" s="5" t="str">
        <f>IFERROR(__xludf.DUMMYFUNCTION("""COMPUTED_VALUE""")," لبیک یاحسین (ع)")</f>
        <v> لبیک یاحسین (ع)</v>
      </c>
      <c r="D5773" s="5" t="str">
        <f>IFERROR(__xludf.DUMMYFUNCTION("""COMPUTED_VALUE"""),"اصفهان")</f>
        <v>اصفهان</v>
      </c>
      <c r="E5773" s="5" t="str">
        <f>IFERROR(__xludf.DUMMYFUNCTION("""COMPUTED_VALUE"""),"اصفهان")</f>
        <v>اصفهان</v>
      </c>
      <c r="F5773" s="5"/>
      <c r="G5773" s="5"/>
      <c r="H5773" s="6" t="str">
        <f>IFERROR(__xludf.DUMMYFUNCTION("""COMPUTED_VALUE"""),"https://www.instagram.com/labaykyaahossein")</f>
        <v>https://www.instagram.com/labaykyaahossein</v>
      </c>
      <c r="I5773" s="6" t="str">
        <f>IFERROR(__xludf.DUMMYFUNCTION("""COMPUTED_VALUE"""),"https://t.me/labaykyaahossein")</f>
        <v>https://t.me/labaykyaahossein</v>
      </c>
      <c r="J5773" s="5"/>
      <c r="K5773" s="5"/>
      <c r="L5773" s="5"/>
      <c r="M5773" s="5"/>
      <c r="N5773" s="5"/>
      <c r="O5773" s="5"/>
      <c r="P5773" s="5"/>
      <c r="Q5773" s="5"/>
      <c r="R5773" s="5"/>
      <c r="S5773" s="5"/>
    </row>
    <row r="5774">
      <c r="A5774" s="5">
        <f>IFERROR(__xludf.DUMMYFUNCTION("""COMPUTED_VALUE"""),21794.0)</f>
        <v>21794</v>
      </c>
      <c r="B5774" s="5" t="str">
        <f>IFERROR(__xludf.DUMMYFUNCTION("""COMPUTED_VALUE"""),"هیأت")</f>
        <v>هیأت</v>
      </c>
      <c r="C5774" s="5" t="str">
        <f>IFERROR(__xludf.DUMMYFUNCTION("""COMPUTED_VALUE"""),"ریحانه الحسین (ع)")</f>
        <v>ریحانه الحسین (ع)</v>
      </c>
      <c r="D5774" s="5" t="str">
        <f>IFERROR(__xludf.DUMMYFUNCTION("""COMPUTED_VALUE"""),"اصفهان")</f>
        <v>اصفهان</v>
      </c>
      <c r="E5774" s="5" t="str">
        <f>IFERROR(__xludf.DUMMYFUNCTION("""COMPUTED_VALUE"""),"اصفهان")</f>
        <v>اصفهان</v>
      </c>
      <c r="F5774" s="5"/>
      <c r="G5774" s="5"/>
      <c r="H5774" s="5"/>
      <c r="I5774" s="6" t="str">
        <f>IFERROR(__xludf.DUMMYFUNCTION("""COMPUTED_VALUE"""),"https://t.me/reyhanatolhossein_channel")</f>
        <v>https://t.me/reyhanatolhossein_channel</v>
      </c>
      <c r="J5774" s="5"/>
      <c r="K5774" s="5"/>
      <c r="L5774" s="5"/>
      <c r="M5774" s="5"/>
      <c r="N5774" s="5"/>
      <c r="O5774" s="5"/>
      <c r="P5774" s="5"/>
      <c r="Q5774" s="5"/>
      <c r="R5774" s="5"/>
      <c r="S5774" s="5"/>
    </row>
    <row r="5775">
      <c r="A5775" s="5">
        <f>IFERROR(__xludf.DUMMYFUNCTION("""COMPUTED_VALUE"""),21795.0)</f>
        <v>21795</v>
      </c>
      <c r="B5775" s="5" t="str">
        <f>IFERROR(__xludf.DUMMYFUNCTION("""COMPUTED_VALUE"""),"هیأت")</f>
        <v>هیأت</v>
      </c>
      <c r="C5775" s="5" t="str">
        <f>IFERROR(__xludf.DUMMYFUNCTION("""COMPUTED_VALUE"""),"ائمه اطهار(ع)")</f>
        <v>ائمه اطهار(ع)</v>
      </c>
      <c r="D5775" s="5" t="str">
        <f>IFERROR(__xludf.DUMMYFUNCTION("""COMPUTED_VALUE"""),"اصفهان")</f>
        <v>اصفهان</v>
      </c>
      <c r="E5775" s="5" t="str">
        <f>IFERROR(__xludf.DUMMYFUNCTION("""COMPUTED_VALUE"""),"بهارستان")</f>
        <v>بهارستان</v>
      </c>
      <c r="F5775" s="5"/>
      <c r="G5775" s="5"/>
      <c r="H5775" s="5"/>
      <c r="I5775" s="5"/>
      <c r="J5775" s="6" t="str">
        <f>IFERROR(__xludf.DUMMYFUNCTION("""COMPUTED_VALUE"""),"https://eitaa.com/aemeatthar")</f>
        <v>https://eitaa.com/aemeatthar</v>
      </c>
      <c r="K5775" s="5"/>
      <c r="L5775" s="5"/>
      <c r="M5775" s="5"/>
      <c r="N5775" s="5"/>
      <c r="O5775" s="5"/>
      <c r="P5775" s="5"/>
      <c r="Q5775" s="5"/>
      <c r="R5775" s="5"/>
      <c r="S5775" s="5"/>
    </row>
    <row r="5776">
      <c r="A5776" s="5">
        <f>IFERROR(__xludf.DUMMYFUNCTION("""COMPUTED_VALUE"""),21796.0)</f>
        <v>21796</v>
      </c>
      <c r="B5776" s="5" t="str">
        <f>IFERROR(__xludf.DUMMYFUNCTION("""COMPUTED_VALUE"""),"هیأت")</f>
        <v>هیأت</v>
      </c>
      <c r="C5776" s="5" t="str">
        <f>IFERROR(__xludf.DUMMYFUNCTION("""COMPUTED_VALUE"""),"حیدری جلال آباد")</f>
        <v>حیدری جلال آباد</v>
      </c>
      <c r="D5776" s="5" t="str">
        <f>IFERROR(__xludf.DUMMYFUNCTION("""COMPUTED_VALUE"""),"اصفهان")</f>
        <v>اصفهان</v>
      </c>
      <c r="E5776" s="5" t="str">
        <f>IFERROR(__xludf.DUMMYFUNCTION("""COMPUTED_VALUE"""),"آران وبیدگل")</f>
        <v>آران وبیدگل</v>
      </c>
      <c r="F5776" s="5"/>
      <c r="G5776" s="5">
        <f>IFERROR(__xludf.DUMMYFUNCTION("""COMPUTED_VALUE"""),1.0)</f>
        <v>1</v>
      </c>
      <c r="H5776" s="6" t="str">
        <f>IFERROR(__xludf.DUMMYFUNCTION("""COMPUTED_VALUE"""),"https://www.instagram.com/heydari_jalalabad_bidgol")</f>
        <v>https://www.instagram.com/heydari_jalalabad_bidgol</v>
      </c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</row>
    <row r="5777">
      <c r="A5777" s="5">
        <f>IFERROR(__xludf.DUMMYFUNCTION("""COMPUTED_VALUE"""),21832.0)</f>
        <v>21832</v>
      </c>
      <c r="B5777" s="5" t="str">
        <f>IFERROR(__xludf.DUMMYFUNCTION("""COMPUTED_VALUE"""),"هیأت")</f>
        <v>هیأت</v>
      </c>
      <c r="C5777" s="5" t="str">
        <f>IFERROR(__xludf.DUMMYFUNCTION("""COMPUTED_VALUE"""),"روضه الحسین (ع)")</f>
        <v>روضه الحسین (ع)</v>
      </c>
      <c r="D5777" s="5" t="str">
        <f>IFERROR(__xludf.DUMMYFUNCTION("""COMPUTED_VALUE"""),"اصفهان")</f>
        <v>اصفهان</v>
      </c>
      <c r="E5777" s="5" t="str">
        <f>IFERROR(__xludf.DUMMYFUNCTION("""COMPUTED_VALUE"""),"اصفهان")</f>
        <v>اصفهان</v>
      </c>
      <c r="F5777" s="5"/>
      <c r="G5777" s="5"/>
      <c r="H5777" s="6" t="str">
        <f>IFERROR(__xludf.DUMMYFUNCTION("""COMPUTED_VALUE"""),"https://www.instagram.com/rozatolhossein_ir")</f>
        <v>https://www.instagram.com/rozatolhossein_ir</v>
      </c>
      <c r="I5777" s="6" t="str">
        <f>IFERROR(__xludf.DUMMYFUNCTION("""COMPUTED_VALUE"""),"https://t.me/rozatolhossein_ir")</f>
        <v>https://t.me/rozatolhossein_ir</v>
      </c>
      <c r="J5777" s="5"/>
      <c r="K5777" s="5"/>
      <c r="L5777" s="5"/>
      <c r="M5777" s="5"/>
      <c r="N5777" s="5"/>
      <c r="O5777" s="5"/>
      <c r="P5777" s="5"/>
      <c r="Q5777" s="5"/>
      <c r="R5777" s="5"/>
      <c r="S5777" s="5"/>
    </row>
    <row r="5778">
      <c r="A5778" s="5">
        <f>IFERROR(__xludf.DUMMYFUNCTION("""COMPUTED_VALUE"""),21834.0)</f>
        <v>21834</v>
      </c>
      <c r="B5778" s="5" t="str">
        <f>IFERROR(__xludf.DUMMYFUNCTION("""COMPUTED_VALUE"""),"هیأت")</f>
        <v>هیأت</v>
      </c>
      <c r="C5778" s="5" t="str">
        <f>IFERROR(__xludf.DUMMYFUNCTION("""COMPUTED_VALUE"""),"مسجد المهدی(عج)")</f>
        <v>مسجد المهدی(عج)</v>
      </c>
      <c r="D5778" s="5" t="str">
        <f>IFERROR(__xludf.DUMMYFUNCTION("""COMPUTED_VALUE"""),"اصفهان")</f>
        <v>اصفهان</v>
      </c>
      <c r="E5778" s="5" t="str">
        <f>IFERROR(__xludf.DUMMYFUNCTION("""COMPUTED_VALUE"""),"لنجان")</f>
        <v>لنجان</v>
      </c>
      <c r="F5778" s="5"/>
      <c r="G5778" s="5"/>
      <c r="H5778" s="5"/>
      <c r="I5778" s="5"/>
      <c r="J5778" s="6" t="str">
        <f>IFERROR(__xludf.DUMMYFUNCTION("""COMPUTED_VALUE"""),"https://eitaa.com/masjedalmahde")</f>
        <v>https://eitaa.com/masjedalmahde</v>
      </c>
      <c r="K5778" s="5"/>
      <c r="L5778" s="5"/>
      <c r="M5778" s="5"/>
      <c r="N5778" s="5"/>
      <c r="O5778" s="5"/>
      <c r="P5778" s="5"/>
      <c r="Q5778" s="5"/>
      <c r="R5778" s="5"/>
      <c r="S5778" s="5"/>
    </row>
    <row r="5779">
      <c r="A5779" s="5">
        <f>IFERROR(__xludf.DUMMYFUNCTION("""COMPUTED_VALUE"""),21835.0)</f>
        <v>21835</v>
      </c>
      <c r="B5779" s="5" t="str">
        <f>IFERROR(__xludf.DUMMYFUNCTION("""COMPUTED_VALUE"""),"هیأت")</f>
        <v>هیأت</v>
      </c>
      <c r="C5779" s="5" t="str">
        <f>IFERROR(__xludf.DUMMYFUNCTION("""COMPUTED_VALUE"""),"آل یاسین")</f>
        <v>آل یاسین</v>
      </c>
      <c r="D5779" s="5" t="str">
        <f>IFERROR(__xludf.DUMMYFUNCTION("""COMPUTED_VALUE"""),"اصفهان")</f>
        <v>اصفهان</v>
      </c>
      <c r="E5779" s="5" t="str">
        <f>IFERROR(__xludf.DUMMYFUNCTION("""COMPUTED_VALUE"""),"شاهین شهر و میمه")</f>
        <v>شاهین شهر و میمه</v>
      </c>
      <c r="F5779" s="5"/>
      <c r="G5779" s="5"/>
      <c r="H5779" s="5"/>
      <c r="I5779" s="5"/>
      <c r="J5779" s="6" t="str">
        <f>IFERROR(__xludf.DUMMYFUNCTION("""COMPUTED_VALUE"""),"https://eitaa.com/aleyasin_channel")</f>
        <v>https://eitaa.com/aleyasin_channel</v>
      </c>
      <c r="K5779" s="5"/>
      <c r="L5779" s="5"/>
      <c r="M5779" s="5"/>
      <c r="N5779" s="5"/>
      <c r="O5779" s="5"/>
      <c r="P5779" s="5"/>
      <c r="Q5779" s="5"/>
      <c r="R5779" s="5"/>
      <c r="S5779" s="5"/>
    </row>
    <row r="5780">
      <c r="A5780" s="5">
        <f>IFERROR(__xludf.DUMMYFUNCTION("""COMPUTED_VALUE"""),21836.0)</f>
        <v>21836</v>
      </c>
      <c r="B5780" s="5" t="str">
        <f>IFERROR(__xludf.DUMMYFUNCTION("""COMPUTED_VALUE"""),"هیأت")</f>
        <v>هیأت</v>
      </c>
      <c r="C5780" s="5" t="str">
        <f>IFERROR(__xludf.DUMMYFUNCTION("""COMPUTED_VALUE"""),"مکتب امام جعفرصادق (ع)")</f>
        <v>مکتب امام جعفرصادق (ع)</v>
      </c>
      <c r="D5780" s="5" t="str">
        <f>IFERROR(__xludf.DUMMYFUNCTION("""COMPUTED_VALUE"""),"اصفهان")</f>
        <v>اصفهان</v>
      </c>
      <c r="E5780" s="5" t="str">
        <f>IFERROR(__xludf.DUMMYFUNCTION("""COMPUTED_VALUE"""),"اصفهان")</f>
        <v>اصفهان</v>
      </c>
      <c r="F5780" s="5"/>
      <c r="G5780" s="5"/>
      <c r="H5780" s="6" t="str">
        <f>IFERROR(__xludf.DUMMYFUNCTION("""COMPUTED_VALUE"""),"https://www.instagram.com/heyat.emam.jafar_sadegh")</f>
        <v>https://www.instagram.com/heyat.emam.jafar_sadegh</v>
      </c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</row>
    <row r="5781">
      <c r="A5781" s="5">
        <f>IFERROR(__xludf.DUMMYFUNCTION("""COMPUTED_VALUE"""),21837.0)</f>
        <v>21837</v>
      </c>
      <c r="B5781" s="5" t="str">
        <f>IFERROR(__xludf.DUMMYFUNCTION("""COMPUTED_VALUE"""),"هیأت")</f>
        <v>هیأت</v>
      </c>
      <c r="C5781" s="5" t="str">
        <f>IFERROR(__xludf.DUMMYFUNCTION("""COMPUTED_VALUE"""),"کوثریه")</f>
        <v>کوثریه</v>
      </c>
      <c r="D5781" s="5" t="str">
        <f>IFERROR(__xludf.DUMMYFUNCTION("""COMPUTED_VALUE"""),"اصفهان")</f>
        <v>اصفهان</v>
      </c>
      <c r="E5781" s="5" t="str">
        <f>IFERROR(__xludf.DUMMYFUNCTION("""COMPUTED_VALUE"""),"لنجان")</f>
        <v>لنجان</v>
      </c>
      <c r="F5781" s="5"/>
      <c r="G5781" s="5"/>
      <c r="H5781" s="5"/>
      <c r="I5781" s="5"/>
      <c r="J5781" s="6" t="str">
        <f>IFERROR(__xludf.DUMMYFUNCTION("""COMPUTED_VALUE"""),"https://eitaa.com/Kousariye_channel")</f>
        <v>https://eitaa.com/Kousariye_channel</v>
      </c>
      <c r="K5781" s="5"/>
      <c r="L5781" s="5"/>
      <c r="M5781" s="5"/>
      <c r="N5781" s="5"/>
      <c r="O5781" s="5"/>
      <c r="P5781" s="5"/>
      <c r="Q5781" s="5"/>
      <c r="R5781" s="5"/>
      <c r="S5781" s="5"/>
    </row>
    <row r="5782">
      <c r="A5782" s="5">
        <f>IFERROR(__xludf.DUMMYFUNCTION("""COMPUTED_VALUE"""),22072.0)</f>
        <v>22072</v>
      </c>
      <c r="B5782" s="5" t="str">
        <f>IFERROR(__xludf.DUMMYFUNCTION("""COMPUTED_VALUE"""),"هیأت")</f>
        <v>هیأت</v>
      </c>
      <c r="C5782" s="5" t="str">
        <f>IFERROR(__xludf.DUMMYFUNCTION("""COMPUTED_VALUE"""),"حضرت رقیه")</f>
        <v>حضرت رقیه</v>
      </c>
      <c r="D5782" s="5" t="str">
        <f>IFERROR(__xludf.DUMMYFUNCTION("""COMPUTED_VALUE"""),"اصفهان")</f>
        <v>اصفهان</v>
      </c>
      <c r="E5782" s="5" t="str">
        <f>IFERROR(__xludf.DUMMYFUNCTION("""COMPUTED_VALUE"""),"لنجان")</f>
        <v>لنجان</v>
      </c>
      <c r="F5782" s="5"/>
      <c r="G5782" s="5"/>
      <c r="H5782" s="6" t="str">
        <f>IFERROR(__xludf.DUMMYFUNCTION("""COMPUTED_VALUE"""),"https://www.instagram.com/roghayehkhaton315")</f>
        <v>https://www.instagram.com/roghayehkhaton315</v>
      </c>
      <c r="I5782" s="6" t="str">
        <f>IFERROR(__xludf.DUMMYFUNCTION("""COMPUTED_VALUE"""),"https://t.me/roghayehkhaatoon_315")</f>
        <v>https://t.me/roghayehkhaatoon_315</v>
      </c>
      <c r="J5782" s="5"/>
      <c r="K5782" s="5"/>
      <c r="L5782" s="5"/>
      <c r="M5782" s="5"/>
      <c r="N5782" s="5"/>
      <c r="O5782" s="5"/>
      <c r="P5782" s="5"/>
      <c r="Q5782" s="5"/>
      <c r="R5782" s="5"/>
      <c r="S5782" s="5"/>
    </row>
    <row r="5783">
      <c r="A5783" s="5">
        <f>IFERROR(__xludf.DUMMYFUNCTION("""COMPUTED_VALUE"""),22243.0)</f>
        <v>22243</v>
      </c>
      <c r="B5783" s="5" t="str">
        <f>IFERROR(__xludf.DUMMYFUNCTION("""COMPUTED_VALUE"""),"هیأت")</f>
        <v>هیأت</v>
      </c>
      <c r="C5783" s="5" t="str">
        <f>IFERROR(__xludf.DUMMYFUNCTION("""COMPUTED_VALUE"""),"منتظران صاحب الزمان (عج)")</f>
        <v>منتظران صاحب الزمان (عج)</v>
      </c>
      <c r="D5783" s="5" t="str">
        <f>IFERROR(__xludf.DUMMYFUNCTION("""COMPUTED_VALUE"""),"اصفهان")</f>
        <v>اصفهان</v>
      </c>
      <c r="E5783" s="5" t="str">
        <f>IFERROR(__xludf.DUMMYFUNCTION("""COMPUTED_VALUE"""),"اصفهان")</f>
        <v>اصفهان</v>
      </c>
      <c r="F5783" s="5"/>
      <c r="G5783" s="5"/>
      <c r="H5783" s="5"/>
      <c r="I5783" s="5"/>
      <c r="J5783" s="6" t="str">
        <f>IFERROR(__xludf.DUMMYFUNCTION("""COMPUTED_VALUE"""),"https://eitaa.com/montazeran_isf")</f>
        <v>https://eitaa.com/montazeran_isf</v>
      </c>
      <c r="K5783" s="5"/>
      <c r="L5783" s="5"/>
      <c r="M5783" s="5"/>
      <c r="N5783" s="5"/>
      <c r="O5783" s="5"/>
      <c r="P5783" s="5"/>
      <c r="Q5783" s="5"/>
      <c r="R5783" s="5"/>
      <c r="S5783" s="5"/>
    </row>
    <row r="5784">
      <c r="A5784" s="5">
        <f>IFERROR(__xludf.DUMMYFUNCTION("""COMPUTED_VALUE"""),22267.0)</f>
        <v>22267</v>
      </c>
      <c r="B5784" s="5" t="str">
        <f>IFERROR(__xludf.DUMMYFUNCTION("""COMPUTED_VALUE"""),"هیأت")</f>
        <v>هیأت</v>
      </c>
      <c r="C5784" s="5" t="str">
        <f>IFERROR(__xludf.DUMMYFUNCTION("""COMPUTED_VALUE"""),"انصارالحیدر (ع)")</f>
        <v>انصارالحیدر (ع)</v>
      </c>
      <c r="D5784" s="5" t="str">
        <f>IFERROR(__xludf.DUMMYFUNCTION("""COMPUTED_VALUE"""),"اصفهان")</f>
        <v>اصفهان</v>
      </c>
      <c r="E5784" s="5" t="str">
        <f>IFERROR(__xludf.DUMMYFUNCTION("""COMPUTED_VALUE"""),"نائین")</f>
        <v>نائین</v>
      </c>
      <c r="F5784" s="5"/>
      <c r="G5784" s="5">
        <f>IFERROR(__xludf.DUMMYFUNCTION("""COMPUTED_VALUE"""),1.0)</f>
        <v>1</v>
      </c>
      <c r="H5784" s="6" t="str">
        <f>IFERROR(__xludf.DUMMYFUNCTION("""COMPUTED_VALUE"""),"https://www.instagram.com/h_ansarolheydar")</f>
        <v>https://www.instagram.com/h_ansarolheydar</v>
      </c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</row>
    <row r="5785">
      <c r="A5785" s="5">
        <f>IFERROR(__xludf.DUMMYFUNCTION("""COMPUTED_VALUE"""),22270.0)</f>
        <v>22270</v>
      </c>
      <c r="B5785" s="5" t="str">
        <f>IFERROR(__xludf.DUMMYFUNCTION("""COMPUTED_VALUE"""),"هیأت")</f>
        <v>هیأت</v>
      </c>
      <c r="C5785" s="5" t="str">
        <f>IFERROR(__xludf.DUMMYFUNCTION("""COMPUTED_VALUE"""),"مسجد الزهرا (س)")</f>
        <v>مسجد الزهرا (س)</v>
      </c>
      <c r="D5785" s="5" t="str">
        <f>IFERROR(__xludf.DUMMYFUNCTION("""COMPUTED_VALUE"""),"اصفهان")</f>
        <v>اصفهان</v>
      </c>
      <c r="E5785" s="5" t="str">
        <f>IFERROR(__xludf.DUMMYFUNCTION("""COMPUTED_VALUE"""),"نائین")</f>
        <v>نائین</v>
      </c>
      <c r="F5785" s="5"/>
      <c r="G5785" s="5">
        <f>IFERROR(__xludf.DUMMYFUNCTION("""COMPUTED_VALUE"""),1.0)</f>
        <v>1</v>
      </c>
      <c r="H5785" s="6" t="str">
        <f>IFERROR(__xludf.DUMMYFUNCTION("""COMPUTED_VALUE"""),"https://www.instagram.com/masjed.alzahra.naein")</f>
        <v>https://www.instagram.com/masjed.alzahra.naein</v>
      </c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</row>
    <row r="5786">
      <c r="A5786" s="5">
        <f>IFERROR(__xludf.DUMMYFUNCTION("""COMPUTED_VALUE"""),22271.0)</f>
        <v>22271</v>
      </c>
      <c r="B5786" s="5" t="str">
        <f>IFERROR(__xludf.DUMMYFUNCTION("""COMPUTED_VALUE"""),"هیأت")</f>
        <v>هیأت</v>
      </c>
      <c r="C5786" s="5" t="str">
        <f>IFERROR(__xludf.DUMMYFUNCTION("""COMPUTED_VALUE"""),"محبان حضرت علی (ع)")</f>
        <v>محبان حضرت علی (ع)</v>
      </c>
      <c r="D5786" s="5" t="str">
        <f>IFERROR(__xludf.DUMMYFUNCTION("""COMPUTED_VALUE"""),"اصفهان")</f>
        <v>اصفهان</v>
      </c>
      <c r="E5786" s="5" t="str">
        <f>IFERROR(__xludf.DUMMYFUNCTION("""COMPUTED_VALUE"""),"اصفهان")</f>
        <v>اصفهان</v>
      </c>
      <c r="F5786" s="5"/>
      <c r="G5786" s="5"/>
      <c r="H5786" s="6" t="str">
        <f>IFERROR(__xludf.DUMMYFUNCTION("""COMPUTED_VALUE"""),"https://www.instagram.com/mohebban_amiralmumenin")</f>
        <v>https://www.instagram.com/mohebban_amiralmumenin</v>
      </c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</row>
    <row r="5787">
      <c r="A5787" s="5">
        <f>IFERROR(__xludf.DUMMYFUNCTION("""COMPUTED_VALUE"""),23056.0)</f>
        <v>23056</v>
      </c>
      <c r="B5787" s="5" t="str">
        <f>IFERROR(__xludf.DUMMYFUNCTION("""COMPUTED_VALUE"""),"هیأت")</f>
        <v>هیأت</v>
      </c>
      <c r="C5787" s="5" t="str">
        <f>IFERROR(__xludf.DUMMYFUNCTION("""COMPUTED_VALUE"""),"امام زاده باب المراد حضرت قاسم بن امام هادی (ع)")</f>
        <v>امام زاده باب المراد حضرت قاسم بن امام هادی (ع)</v>
      </c>
      <c r="D5787" s="5" t="str">
        <f>IFERROR(__xludf.DUMMYFUNCTION("""COMPUTED_VALUE"""),"اصفهان")</f>
        <v>اصفهان</v>
      </c>
      <c r="E5787" s="5" t="str">
        <f>IFERROR(__xludf.DUMMYFUNCTION("""COMPUTED_VALUE"""),"آران وبیدگل")</f>
        <v>آران وبیدگل</v>
      </c>
      <c r="F5787" s="5"/>
      <c r="G5787" s="5"/>
      <c r="H5787" s="6" t="str">
        <f>IFERROR(__xludf.DUMMYFUNCTION("""COMPUTED_VALUE"""),"https://www.instagram.com/heyatehazrateghasem")</f>
        <v>https://www.instagram.com/heyatehazrateghasem</v>
      </c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</row>
    <row r="5788">
      <c r="A5788" s="5">
        <f>IFERROR(__xludf.DUMMYFUNCTION("""COMPUTED_VALUE"""),23058.0)</f>
        <v>23058</v>
      </c>
      <c r="B5788" s="5" t="str">
        <f>IFERROR(__xludf.DUMMYFUNCTION("""COMPUTED_VALUE"""),"هیأت")</f>
        <v>هیأت</v>
      </c>
      <c r="C5788" s="5" t="str">
        <f>IFERROR(__xludf.DUMMYFUNCTION("""COMPUTED_VALUE"""),"حرم حضرت زینب (س)")</f>
        <v>حرم حضرت زینب (س)</v>
      </c>
      <c r="D5788" s="5" t="str">
        <f>IFERROR(__xludf.DUMMYFUNCTION("""COMPUTED_VALUE"""),"اصفهان")</f>
        <v>اصفهان</v>
      </c>
      <c r="E5788" s="5" t="str">
        <f>IFERROR(__xludf.DUMMYFUNCTION("""COMPUTED_VALUE"""),"اصفهان")</f>
        <v>اصفهان</v>
      </c>
      <c r="F5788" s="5"/>
      <c r="G5788" s="5"/>
      <c r="H5788" s="6" t="str">
        <f>IFERROR(__xludf.DUMMYFUNCTION("""COMPUTED_VALUE"""),"https://www.instagram.com/haramzeinabieh")</f>
        <v>https://www.instagram.com/haramzeinabieh</v>
      </c>
      <c r="I5788" s="6" t="str">
        <f>IFERROR(__xludf.DUMMYFUNCTION("""COMPUTED_VALUE"""),"https://t.me/haramzeinabie")</f>
        <v>https://t.me/haramzeinabie</v>
      </c>
      <c r="J5788" s="6" t="str">
        <f>IFERROR(__xludf.DUMMYFUNCTION("""COMPUTED_VALUE"""),"https://eitaa.com/haramzeinabie")</f>
        <v>https://eitaa.com/haramzeinabie</v>
      </c>
      <c r="K5788" s="5"/>
      <c r="L5788" s="5"/>
      <c r="M5788" s="5"/>
      <c r="N5788" s="5"/>
      <c r="O5788" s="5"/>
      <c r="P5788" s="5"/>
      <c r="Q5788" s="5"/>
      <c r="R5788" s="5"/>
      <c r="S5788" s="5"/>
    </row>
    <row r="5789">
      <c r="A5789" s="5">
        <f>IFERROR(__xludf.DUMMYFUNCTION("""COMPUTED_VALUE"""),23059.0)</f>
        <v>23059</v>
      </c>
      <c r="B5789" s="5" t="str">
        <f>IFERROR(__xludf.DUMMYFUNCTION("""COMPUTED_VALUE"""),"هیأت")</f>
        <v>هیأت</v>
      </c>
      <c r="C5789" s="5" t="str">
        <f>IFERROR(__xludf.DUMMYFUNCTION("""COMPUTED_VALUE"""),"آل محمد (ص)")</f>
        <v>آل محمد (ص)</v>
      </c>
      <c r="D5789" s="5" t="str">
        <f>IFERROR(__xludf.DUMMYFUNCTION("""COMPUTED_VALUE"""),"اصفهان")</f>
        <v>اصفهان</v>
      </c>
      <c r="E5789" s="5" t="str">
        <f>IFERROR(__xludf.DUMMYFUNCTION("""COMPUTED_VALUE"""),"اصفهان")</f>
        <v>اصفهان</v>
      </c>
      <c r="F5789" s="5"/>
      <c r="G5789" s="5"/>
      <c r="H5789" s="6" t="str">
        <f>IFERROR(__xludf.DUMMYFUNCTION("""COMPUTED_VALUE"""),"https://www.instagram.com/almohammadbm")</f>
        <v>https://www.instagram.com/almohammadbm</v>
      </c>
      <c r="I5789" s="6" t="str">
        <f>IFERROR(__xludf.DUMMYFUNCTION("""COMPUTED_VALUE"""),"https://t.me/almohammadbm")</f>
        <v>https://t.me/almohammadbm</v>
      </c>
      <c r="J5789" s="5"/>
      <c r="K5789" s="5"/>
      <c r="L5789" s="5"/>
      <c r="M5789" s="5"/>
      <c r="N5789" s="5"/>
      <c r="O5789" s="5"/>
      <c r="P5789" s="5"/>
      <c r="Q5789" s="5"/>
      <c r="R5789" s="5"/>
      <c r="S5789" s="5"/>
    </row>
    <row r="5790">
      <c r="A5790" s="5">
        <f>IFERROR(__xludf.DUMMYFUNCTION("""COMPUTED_VALUE"""),23063.0)</f>
        <v>23063</v>
      </c>
      <c r="B5790" s="5" t="str">
        <f>IFERROR(__xludf.DUMMYFUNCTION("""COMPUTED_VALUE"""),"هیأت")</f>
        <v>هیأت</v>
      </c>
      <c r="C5790" s="5" t="str">
        <f>IFERROR(__xludf.DUMMYFUNCTION("""COMPUTED_VALUE"""),"فاطمیون")</f>
        <v>فاطمیون</v>
      </c>
      <c r="D5790" s="5" t="str">
        <f>IFERROR(__xludf.DUMMYFUNCTION("""COMPUTED_VALUE"""),"اصفهان")</f>
        <v>اصفهان</v>
      </c>
      <c r="E5790" s="5" t="str">
        <f>IFERROR(__xludf.DUMMYFUNCTION("""COMPUTED_VALUE"""),"آران وبیدگل")</f>
        <v>آران وبیدگل</v>
      </c>
      <c r="F5790" s="5"/>
      <c r="G5790" s="5"/>
      <c r="H5790" s="5"/>
      <c r="I5790" s="5"/>
      <c r="J5790" s="6" t="str">
        <f>IFERROR(__xludf.DUMMYFUNCTION("""COMPUTED_VALUE"""),"https://eitaa.com/tashkoidiniabozydabad")</f>
        <v>https://eitaa.com/tashkoidiniabozydabad</v>
      </c>
      <c r="K5790" s="5"/>
      <c r="L5790" s="5"/>
      <c r="M5790" s="5"/>
      <c r="N5790" s="5"/>
      <c r="O5790" s="5"/>
      <c r="P5790" s="5"/>
      <c r="Q5790" s="5"/>
      <c r="R5790" s="5"/>
      <c r="S5790" s="5"/>
    </row>
    <row r="5791">
      <c r="A5791" s="5">
        <f>IFERROR(__xludf.DUMMYFUNCTION("""COMPUTED_VALUE"""),23066.0)</f>
        <v>23066</v>
      </c>
      <c r="B5791" s="5" t="str">
        <f>IFERROR(__xludf.DUMMYFUNCTION("""COMPUTED_VALUE"""),"هیأت")</f>
        <v>هیأت</v>
      </c>
      <c r="C5791" s="5" t="str">
        <f>IFERROR(__xludf.DUMMYFUNCTION("""COMPUTED_VALUE"""),"امام زمان(عج)")</f>
        <v>امام زمان(عج)</v>
      </c>
      <c r="D5791" s="5" t="str">
        <f>IFERROR(__xludf.DUMMYFUNCTION("""COMPUTED_VALUE"""),"اصفهان")</f>
        <v>اصفهان</v>
      </c>
      <c r="E5791" s="5" t="str">
        <f>IFERROR(__xludf.DUMMYFUNCTION("""COMPUTED_VALUE"""),"آران وبیدگل")</f>
        <v>آران وبیدگل</v>
      </c>
      <c r="F5791" s="5"/>
      <c r="G5791" s="5">
        <f>IFERROR(__xludf.DUMMYFUNCTION("""COMPUTED_VALUE"""),1.0)</f>
        <v>1</v>
      </c>
      <c r="H5791" s="6" t="str">
        <f>IFERROR(__xludf.DUMMYFUNCTION("""COMPUTED_VALUE"""),"https://www.instagram.com/kanoon.emamzaman")</f>
        <v>https://www.instagram.com/kanoon.emamzaman</v>
      </c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</row>
    <row r="5792">
      <c r="A5792" s="5">
        <f>IFERROR(__xludf.DUMMYFUNCTION("""COMPUTED_VALUE"""),23067.0)</f>
        <v>23067</v>
      </c>
      <c r="B5792" s="5" t="str">
        <f>IFERROR(__xludf.DUMMYFUNCTION("""COMPUTED_VALUE"""),"هیأت")</f>
        <v>هیأت</v>
      </c>
      <c r="C5792" s="5" t="str">
        <f>IFERROR(__xludf.DUMMYFUNCTION("""COMPUTED_VALUE"""),"ابالفضل(ع)")</f>
        <v>ابالفضل(ع)</v>
      </c>
      <c r="D5792" s="5" t="str">
        <f>IFERROR(__xludf.DUMMYFUNCTION("""COMPUTED_VALUE"""),"اصفهان")</f>
        <v>اصفهان</v>
      </c>
      <c r="E5792" s="5" t="str">
        <f>IFERROR(__xludf.DUMMYFUNCTION("""COMPUTED_VALUE"""),"آران وبیدگل")</f>
        <v>آران وبیدگل</v>
      </c>
      <c r="F5792" s="5"/>
      <c r="G5792" s="5"/>
      <c r="H5792" s="5"/>
      <c r="I5792" s="6" t="str">
        <f>IFERROR(__xludf.DUMMYFUNCTION("""COMPUTED_VALUE"""),"https://t.me/atashsagha")</f>
        <v>https://t.me/atashsagha</v>
      </c>
      <c r="J5792" s="5"/>
      <c r="K5792" s="5"/>
      <c r="L5792" s="5"/>
      <c r="M5792" s="5"/>
      <c r="N5792" s="5"/>
      <c r="O5792" s="5"/>
      <c r="P5792" s="5"/>
      <c r="Q5792" s="5"/>
      <c r="R5792" s="5"/>
      <c r="S5792" s="5"/>
    </row>
    <row r="5793">
      <c r="A5793" s="5">
        <f>IFERROR(__xludf.DUMMYFUNCTION("""COMPUTED_VALUE"""),23069.0)</f>
        <v>23069</v>
      </c>
      <c r="B5793" s="5" t="str">
        <f>IFERROR(__xludf.DUMMYFUNCTION("""COMPUTED_VALUE"""),"هیأت")</f>
        <v>هیأت</v>
      </c>
      <c r="C5793" s="5" t="str">
        <f>IFERROR(__xludf.DUMMYFUNCTION("""COMPUTED_VALUE"""),"قاسم بن الحسن (ع)")</f>
        <v>قاسم بن الحسن (ع)</v>
      </c>
      <c r="D5793" s="5" t="str">
        <f>IFERROR(__xludf.DUMMYFUNCTION("""COMPUTED_VALUE"""),"اصفهان")</f>
        <v>اصفهان</v>
      </c>
      <c r="E5793" s="5" t="str">
        <f>IFERROR(__xludf.DUMMYFUNCTION("""COMPUTED_VALUE"""),"آران وبیدگل")</f>
        <v>آران وبیدگل</v>
      </c>
      <c r="F5793" s="5"/>
      <c r="G5793" s="5"/>
      <c r="H5793" s="5"/>
      <c r="I5793" s="6" t="str">
        <f>IFERROR(__xludf.DUMMYFUNCTION("""COMPUTED_VALUE"""),"https://t.me/Ya_Ghasem_ebnelHasan")</f>
        <v>https://t.me/Ya_Ghasem_ebnelHasan</v>
      </c>
      <c r="J5793" s="5"/>
      <c r="K5793" s="5"/>
      <c r="L5793" s="5"/>
      <c r="M5793" s="5"/>
      <c r="N5793" s="5"/>
      <c r="O5793" s="5"/>
      <c r="P5793" s="5"/>
      <c r="Q5793" s="5"/>
      <c r="R5793" s="5"/>
      <c r="S5793" s="5"/>
    </row>
    <row r="5794">
      <c r="A5794" s="5">
        <f>IFERROR(__xludf.DUMMYFUNCTION("""COMPUTED_VALUE"""),23070.0)</f>
        <v>23070</v>
      </c>
      <c r="B5794" s="5" t="str">
        <f>IFERROR(__xludf.DUMMYFUNCTION("""COMPUTED_VALUE"""),"هیأت")</f>
        <v>هیأت</v>
      </c>
      <c r="C5794" s="5" t="str">
        <f>IFERROR(__xludf.DUMMYFUNCTION("""COMPUTED_VALUE"""),"جوادالائمه(ع)")</f>
        <v>جوادالائمه(ع)</v>
      </c>
      <c r="D5794" s="5" t="str">
        <f>IFERROR(__xludf.DUMMYFUNCTION("""COMPUTED_VALUE"""),"اصفهان")</f>
        <v>اصفهان</v>
      </c>
      <c r="E5794" s="5" t="str">
        <f>IFERROR(__xludf.DUMMYFUNCTION("""COMPUTED_VALUE"""),"آران وبیدگل")</f>
        <v>آران وبیدگل</v>
      </c>
      <c r="F5794" s="5"/>
      <c r="G5794" s="5"/>
      <c r="H5794" s="6" t="str">
        <f>IFERROR(__xludf.DUMMYFUNCTION("""COMPUTED_VALUE"""),"https://www.instagram.com/javad_ol_aeme14")</f>
        <v>https://www.instagram.com/javad_ol_aeme14</v>
      </c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</row>
    <row r="5795">
      <c r="A5795" s="5">
        <f>IFERROR(__xludf.DUMMYFUNCTION("""COMPUTED_VALUE"""),23073.0)</f>
        <v>23073</v>
      </c>
      <c r="B5795" s="5" t="str">
        <f>IFERROR(__xludf.DUMMYFUNCTION("""COMPUTED_VALUE"""),"هیأت")</f>
        <v>هیأت</v>
      </c>
      <c r="C5795" s="5" t="str">
        <f>IFERROR(__xludf.DUMMYFUNCTION("""COMPUTED_VALUE"""),"حسینیه  محله سلمقان")</f>
        <v>حسینیه  محله سلمقان</v>
      </c>
      <c r="D5795" s="5" t="str">
        <f>IFERROR(__xludf.DUMMYFUNCTION("""COMPUTED_VALUE"""),"اصفهان")</f>
        <v>اصفهان</v>
      </c>
      <c r="E5795" s="5" t="str">
        <f>IFERROR(__xludf.DUMMYFUNCTION("""COMPUTED_VALUE"""),"آران وبیدگل")</f>
        <v>آران وبیدگل</v>
      </c>
      <c r="F5795" s="5"/>
      <c r="G5795" s="5"/>
      <c r="H5795" s="5"/>
      <c r="I5795" s="5"/>
      <c r="J5795" s="6" t="str">
        <f>IFERROR(__xludf.DUMMYFUNCTION("""COMPUTED_VALUE"""),"https://eitaa.com/hyatsalmghanbidghol")</f>
        <v>https://eitaa.com/hyatsalmghanbidghol</v>
      </c>
      <c r="K5795" s="5"/>
      <c r="L5795" s="5"/>
      <c r="M5795" s="5"/>
      <c r="N5795" s="5"/>
      <c r="O5795" s="5"/>
      <c r="P5795" s="5"/>
      <c r="Q5795" s="5"/>
      <c r="R5795" s="5"/>
      <c r="S5795" s="5"/>
    </row>
    <row r="5796">
      <c r="A5796" s="5">
        <f>IFERROR(__xludf.DUMMYFUNCTION("""COMPUTED_VALUE"""),23075.0)</f>
        <v>23075</v>
      </c>
      <c r="B5796" s="5" t="str">
        <f>IFERROR(__xludf.DUMMYFUNCTION("""COMPUTED_VALUE"""),"هیأت")</f>
        <v>هیأت</v>
      </c>
      <c r="C5796" s="5" t="str">
        <f>IFERROR(__xludf.DUMMYFUNCTION("""COMPUTED_VALUE"""),"منتظران ظهور")</f>
        <v>منتظران ظهور</v>
      </c>
      <c r="D5796" s="5" t="str">
        <f>IFERROR(__xludf.DUMMYFUNCTION("""COMPUTED_VALUE"""),"اصفهان")</f>
        <v>اصفهان</v>
      </c>
      <c r="E5796" s="5" t="str">
        <f>IFERROR(__xludf.DUMMYFUNCTION("""COMPUTED_VALUE"""),"برخوار")</f>
        <v>برخوار</v>
      </c>
      <c r="F5796" s="5"/>
      <c r="G5796" s="5"/>
      <c r="H5796" s="6" t="str">
        <f>IFERROR(__xludf.DUMMYFUNCTION("""COMPUTED_VALUE"""),"https://www.instagram.com/heyat_montazeran_zohour")</f>
        <v>https://www.instagram.com/heyat_montazeran_zohour</v>
      </c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</row>
    <row r="5797">
      <c r="A5797" s="5">
        <f>IFERROR(__xludf.DUMMYFUNCTION("""COMPUTED_VALUE"""),23078.0)</f>
        <v>23078</v>
      </c>
      <c r="B5797" s="5" t="str">
        <f>IFERROR(__xludf.DUMMYFUNCTION("""COMPUTED_VALUE"""),"هیأت")</f>
        <v>هیأت</v>
      </c>
      <c r="C5797" s="5" t="str">
        <f>IFERROR(__xludf.DUMMYFUNCTION("""COMPUTED_VALUE"""),"اباعبدالله الحسین (ع)")</f>
        <v>اباعبدالله الحسین (ع)</v>
      </c>
      <c r="D5797" s="5" t="str">
        <f>IFERROR(__xludf.DUMMYFUNCTION("""COMPUTED_VALUE"""),"اصفهان")</f>
        <v>اصفهان</v>
      </c>
      <c r="E5797" s="5" t="str">
        <f>IFERROR(__xludf.DUMMYFUNCTION("""COMPUTED_VALUE"""),"چادگان")</f>
        <v>چادگان</v>
      </c>
      <c r="F5797" s="5"/>
      <c r="G5797" s="5"/>
      <c r="H5797" s="6" t="str">
        <f>IFERROR(__xludf.DUMMYFUNCTION("""COMPUTED_VALUE"""),"https://www.instagram.com/abaabdelah.ir")</f>
        <v>https://www.instagram.com/abaabdelah.ir</v>
      </c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</row>
    <row r="5798">
      <c r="A5798" s="5">
        <f>IFERROR(__xludf.DUMMYFUNCTION("""COMPUTED_VALUE"""),23079.0)</f>
        <v>23079</v>
      </c>
      <c r="B5798" s="5" t="str">
        <f>IFERROR(__xludf.DUMMYFUNCTION("""COMPUTED_VALUE"""),"هیأت")</f>
        <v>هیأت</v>
      </c>
      <c r="C5798" s="5" t="str">
        <f>IFERROR(__xludf.DUMMYFUNCTION("""COMPUTED_VALUE"""),"مسجد جامع")</f>
        <v>مسجد جامع</v>
      </c>
      <c r="D5798" s="5" t="str">
        <f>IFERROR(__xludf.DUMMYFUNCTION("""COMPUTED_VALUE"""),"اصفهان")</f>
        <v>اصفهان</v>
      </c>
      <c r="E5798" s="5" t="str">
        <f>IFERROR(__xludf.DUMMYFUNCTION("""COMPUTED_VALUE"""),"چادگان")</f>
        <v>چادگان</v>
      </c>
      <c r="F5798" s="5"/>
      <c r="G5798" s="5"/>
      <c r="H5798" s="6" t="str">
        <f>IFERROR(__xludf.DUMMYFUNCTION("""COMPUTED_VALUE"""),"https://www.instagram.com/masjedjameesfahan110")</f>
        <v>https://www.instagram.com/masjedjameesfahan110</v>
      </c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</row>
    <row r="5799">
      <c r="A5799" s="5">
        <f>IFERROR(__xludf.DUMMYFUNCTION("""COMPUTED_VALUE"""),23082.0)</f>
        <v>23082</v>
      </c>
      <c r="B5799" s="5" t="str">
        <f>IFERROR(__xludf.DUMMYFUNCTION("""COMPUTED_VALUE"""),"هیأت")</f>
        <v>هیأت</v>
      </c>
      <c r="C5799" s="5" t="str">
        <f>IFERROR(__xludf.DUMMYFUNCTION("""COMPUTED_VALUE"""),"شهدای کربلا")</f>
        <v>شهدای کربلا</v>
      </c>
      <c r="D5799" s="5" t="str">
        <f>IFERROR(__xludf.DUMMYFUNCTION("""COMPUTED_VALUE"""),"اصفهان")</f>
        <v>اصفهان</v>
      </c>
      <c r="E5799" s="5" t="str">
        <f>IFERROR(__xludf.DUMMYFUNCTION("""COMPUTED_VALUE"""),"خمینی شهر")</f>
        <v>خمینی شهر</v>
      </c>
      <c r="F5799" s="5"/>
      <c r="G5799" s="5"/>
      <c r="H5799" s="6" t="str">
        <f>IFERROR(__xludf.DUMMYFUNCTION("""COMPUTED_VALUE"""),"https://www.instagram.com/heyat_shohada_khajoo")</f>
        <v>https://www.instagram.com/heyat_shohada_khajoo</v>
      </c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</row>
    <row r="5800">
      <c r="A5800" s="5">
        <f>IFERROR(__xludf.DUMMYFUNCTION("""COMPUTED_VALUE"""),23083.0)</f>
        <v>23083</v>
      </c>
      <c r="B5800" s="5" t="str">
        <f>IFERROR(__xludf.DUMMYFUNCTION("""COMPUTED_VALUE"""),"هیأت")</f>
        <v>هیأت</v>
      </c>
      <c r="C5800" s="5" t="str">
        <f>IFERROR(__xludf.DUMMYFUNCTION("""COMPUTED_VALUE"""),"علی بن موسی الرضا (ع)")</f>
        <v>علی بن موسی الرضا (ع)</v>
      </c>
      <c r="D5800" s="5" t="str">
        <f>IFERROR(__xludf.DUMMYFUNCTION("""COMPUTED_VALUE"""),"اصفهان")</f>
        <v>اصفهان</v>
      </c>
      <c r="E5800" s="5" t="str">
        <f>IFERROR(__xludf.DUMMYFUNCTION("""COMPUTED_VALUE"""),"خمینی شهر")</f>
        <v>خمینی شهر</v>
      </c>
      <c r="F5800" s="5"/>
      <c r="G5800" s="5"/>
      <c r="H5800" s="6" t="str">
        <f>IFERROR(__xludf.DUMMYFUNCTION("""COMPUTED_VALUE"""),"https://www.instagram.com/emamreza88888")</f>
        <v>https://www.instagram.com/emamreza88888</v>
      </c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</row>
    <row r="5801">
      <c r="A5801" s="5">
        <f>IFERROR(__xludf.DUMMYFUNCTION("""COMPUTED_VALUE"""),23088.0)</f>
        <v>23088</v>
      </c>
      <c r="B5801" s="5" t="str">
        <f>IFERROR(__xludf.DUMMYFUNCTION("""COMPUTED_VALUE"""),"هیأت")</f>
        <v>هیأت</v>
      </c>
      <c r="C5801" s="5" t="str">
        <f>IFERROR(__xludf.DUMMYFUNCTION("""COMPUTED_VALUE"""),"فاطمیون")</f>
        <v>فاطمیون</v>
      </c>
      <c r="D5801" s="5" t="str">
        <f>IFERROR(__xludf.DUMMYFUNCTION("""COMPUTED_VALUE"""),"اصفهان")</f>
        <v>اصفهان</v>
      </c>
      <c r="E5801" s="5" t="str">
        <f>IFERROR(__xludf.DUMMYFUNCTION("""COMPUTED_VALUE"""),"دهاقان")</f>
        <v>دهاقان</v>
      </c>
      <c r="F5801" s="5"/>
      <c r="G5801" s="5"/>
      <c r="H5801" s="6" t="str">
        <f>IFERROR(__xludf.DUMMYFUNCTION("""COMPUTED_VALUE"""),"https://www.instagram.com/fatemiyonesff.ir")</f>
        <v>https://www.instagram.com/fatemiyonesff.ir</v>
      </c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</row>
    <row r="5802">
      <c r="A5802" s="5">
        <f>IFERROR(__xludf.DUMMYFUNCTION("""COMPUTED_VALUE"""),23094.0)</f>
        <v>23094</v>
      </c>
      <c r="B5802" s="5" t="str">
        <f>IFERROR(__xludf.DUMMYFUNCTION("""COMPUTED_VALUE"""),"هیأت")</f>
        <v>هیأت</v>
      </c>
      <c r="C5802" s="5" t="str">
        <f>IFERROR(__xludf.DUMMYFUNCTION("""COMPUTED_VALUE"""),"انصار الحسین (ع)")</f>
        <v>انصار الحسین (ع)</v>
      </c>
      <c r="D5802" s="5" t="str">
        <f>IFERROR(__xludf.DUMMYFUNCTION("""COMPUTED_VALUE"""),"اصفهان")</f>
        <v>اصفهان</v>
      </c>
      <c r="E5802" s="5" t="str">
        <f>IFERROR(__xludf.DUMMYFUNCTION("""COMPUTED_VALUE"""),"شهرضا")</f>
        <v>شهرضا</v>
      </c>
      <c r="F5802" s="5"/>
      <c r="G5802" s="5"/>
      <c r="H5802" s="6" t="str">
        <f>IFERROR(__xludf.DUMMYFUNCTION("""COMPUTED_VALUE"""),"https://www.instagram.com/ansarolhosein_shahreza")</f>
        <v>https://www.instagram.com/ansarolhosein_shahreza</v>
      </c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</row>
    <row r="5803">
      <c r="A5803" s="5">
        <f>IFERROR(__xludf.DUMMYFUNCTION("""COMPUTED_VALUE"""),23095.0)</f>
        <v>23095</v>
      </c>
      <c r="B5803" s="5" t="str">
        <f>IFERROR(__xludf.DUMMYFUNCTION("""COMPUTED_VALUE"""),"هیأت")</f>
        <v>هیأت</v>
      </c>
      <c r="C5803" s="5" t="str">
        <f>IFERROR(__xludf.DUMMYFUNCTION("""COMPUTED_VALUE"""),"فاطمیون")</f>
        <v>فاطمیون</v>
      </c>
      <c r="D5803" s="5" t="str">
        <f>IFERROR(__xludf.DUMMYFUNCTION("""COMPUTED_VALUE"""),"اصفهان")</f>
        <v>اصفهان</v>
      </c>
      <c r="E5803" s="5" t="str">
        <f>IFERROR(__xludf.DUMMYFUNCTION("""COMPUTED_VALUE"""),"فلاورجان")</f>
        <v>فلاورجان</v>
      </c>
      <c r="F5803" s="5"/>
      <c r="G5803" s="5">
        <f>IFERROR(__xludf.DUMMYFUNCTION("""COMPUTED_VALUE"""),1.0)</f>
        <v>1</v>
      </c>
      <c r="H5803" s="5"/>
      <c r="I5803" s="6" t="str">
        <f>IFERROR(__xludf.DUMMYFUNCTION("""COMPUTED_VALUE"""),"https://t.me/fatemiyoon1391")</f>
        <v>https://t.me/fatemiyoon1391</v>
      </c>
      <c r="J5803" s="5"/>
      <c r="K5803" s="5"/>
      <c r="L5803" s="5"/>
      <c r="M5803" s="5"/>
      <c r="N5803" s="5"/>
      <c r="O5803" s="5"/>
      <c r="P5803" s="5"/>
      <c r="Q5803" s="5"/>
      <c r="R5803" s="5"/>
      <c r="S5803" s="5"/>
    </row>
    <row r="5804">
      <c r="A5804" s="5">
        <f>IFERROR(__xludf.DUMMYFUNCTION("""COMPUTED_VALUE"""),23096.0)</f>
        <v>23096</v>
      </c>
      <c r="B5804" s="5" t="str">
        <f>IFERROR(__xludf.DUMMYFUNCTION("""COMPUTED_VALUE"""),"هیأت")</f>
        <v>هیأت</v>
      </c>
      <c r="C5804" s="5" t="str">
        <f>IFERROR(__xludf.DUMMYFUNCTION("""COMPUTED_VALUE"""),"مرکز نیکوکاری حضرت ابالفضل(ع)")</f>
        <v>مرکز نیکوکاری حضرت ابالفضل(ع)</v>
      </c>
      <c r="D5804" s="5" t="str">
        <f>IFERROR(__xludf.DUMMYFUNCTION("""COMPUTED_VALUE"""),"اصفهان")</f>
        <v>اصفهان</v>
      </c>
      <c r="E5804" s="5" t="str">
        <f>IFERROR(__xludf.DUMMYFUNCTION("""COMPUTED_VALUE"""),"فلاورجان")</f>
        <v>فلاورجان</v>
      </c>
      <c r="F5804" s="5"/>
      <c r="G5804" s="5">
        <f>IFERROR(__xludf.DUMMYFUNCTION("""COMPUTED_VALUE"""),1.0)</f>
        <v>1</v>
      </c>
      <c r="H5804" s="6" t="str">
        <f>IFERROR(__xludf.DUMMYFUNCTION("""COMPUTED_VALUE"""),"https://www.instagram.com/anjomankheyriyeabolfazl")</f>
        <v>https://www.instagram.com/anjomankheyriyeabolfazl</v>
      </c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</row>
    <row r="5805">
      <c r="A5805" s="5">
        <f>IFERROR(__xludf.DUMMYFUNCTION("""COMPUTED_VALUE"""),23097.0)</f>
        <v>23097</v>
      </c>
      <c r="B5805" s="5" t="str">
        <f>IFERROR(__xludf.DUMMYFUNCTION("""COMPUTED_VALUE"""),"هیأت")</f>
        <v>هیأت</v>
      </c>
      <c r="C5805" s="5" t="str">
        <f>IFERROR(__xludf.DUMMYFUNCTION("""COMPUTED_VALUE"""),"مرکز نیکوکاری امام حسین(ع) مجموعه بزرگ جهادی")</f>
        <v>مرکز نیکوکاری امام حسین(ع) مجموعه بزرگ جهادی</v>
      </c>
      <c r="D5805" s="5" t="str">
        <f>IFERROR(__xludf.DUMMYFUNCTION("""COMPUTED_VALUE"""),"اصفهان")</f>
        <v>اصفهان</v>
      </c>
      <c r="E5805" s="5" t="str">
        <f>IFERROR(__xludf.DUMMYFUNCTION("""COMPUTED_VALUE"""),"فلاورجان")</f>
        <v>فلاورجان</v>
      </c>
      <c r="F5805" s="5"/>
      <c r="G5805" s="5"/>
      <c r="H5805" s="6" t="str">
        <f>IFERROR(__xludf.DUMMYFUNCTION("""COMPUTED_VALUE"""),"https://www.instagram.com/imamhosein_com")</f>
        <v>https://www.instagram.com/imamhosein_com</v>
      </c>
      <c r="I5805" s="6" t="str">
        <f>IFERROR(__xludf.DUMMYFUNCTION("""COMPUTED_VALUE"""),"https://t.me/imamhosein_com")</f>
        <v>https://t.me/imamhosein_com</v>
      </c>
      <c r="J5805" s="6" t="str">
        <f>IFERROR(__xludf.DUMMYFUNCTION("""COMPUTED_VALUE"""),"https://eitaa.com/imamhoseincharity_com")</f>
        <v>https://eitaa.com/imamhoseincharity_com</v>
      </c>
      <c r="K5805" s="5"/>
      <c r="L5805" s="5"/>
      <c r="M5805" s="5"/>
      <c r="N5805" s="5"/>
      <c r="O5805" s="5"/>
      <c r="P5805" s="5"/>
      <c r="Q5805" s="5"/>
      <c r="R5805" s="5"/>
      <c r="S5805" s="5"/>
    </row>
    <row r="5806">
      <c r="A5806" s="5">
        <f>IFERROR(__xludf.DUMMYFUNCTION("""COMPUTED_VALUE"""),23099.0)</f>
        <v>23099</v>
      </c>
      <c r="B5806" s="5" t="str">
        <f>IFERROR(__xludf.DUMMYFUNCTION("""COMPUTED_VALUE"""),"هیأت")</f>
        <v>هیأت</v>
      </c>
      <c r="C5806" s="5" t="str">
        <f>IFERROR(__xludf.DUMMYFUNCTION("""COMPUTED_VALUE"""),"حضرت اباالفضل (ع)")</f>
        <v>حضرت اباالفضل (ع)</v>
      </c>
      <c r="D5806" s="5" t="str">
        <f>IFERROR(__xludf.DUMMYFUNCTION("""COMPUTED_VALUE"""),"اصفهان")</f>
        <v>اصفهان</v>
      </c>
      <c r="E5806" s="5" t="str">
        <f>IFERROR(__xludf.DUMMYFUNCTION("""COMPUTED_VALUE"""),"مبارکه")</f>
        <v>مبارکه</v>
      </c>
      <c r="F5806" s="5"/>
      <c r="G5806" s="5"/>
      <c r="H5806" s="6" t="str">
        <f>IFERROR(__xludf.DUMMYFUNCTION("""COMPUTED_VALUE"""),"https://www.instagram.com/hoseineh_hazrat_abalfazl")</f>
        <v>https://www.instagram.com/hoseineh_hazrat_abalfazl</v>
      </c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</row>
    <row r="5807">
      <c r="A5807" s="5">
        <f>IFERROR(__xludf.DUMMYFUNCTION("""COMPUTED_VALUE"""),23100.0)</f>
        <v>23100</v>
      </c>
      <c r="B5807" s="5" t="str">
        <f>IFERROR(__xludf.DUMMYFUNCTION("""COMPUTED_VALUE"""),"هیأت")</f>
        <v>هیأت</v>
      </c>
      <c r="C5807" s="5" t="str">
        <f>IFERROR(__xludf.DUMMYFUNCTION("""COMPUTED_VALUE"""),"سجادیه")</f>
        <v>سجادیه</v>
      </c>
      <c r="D5807" s="5" t="str">
        <f>IFERROR(__xludf.DUMMYFUNCTION("""COMPUTED_VALUE"""),"اصفهان")</f>
        <v>اصفهان</v>
      </c>
      <c r="E5807" s="5" t="str">
        <f>IFERROR(__xludf.DUMMYFUNCTION("""COMPUTED_VALUE"""),"کاشان")</f>
        <v>کاشان</v>
      </c>
      <c r="F5807" s="5"/>
      <c r="G5807" s="5"/>
      <c r="H5807" s="6" t="str">
        <f>IFERROR(__xludf.DUMMYFUNCTION("""COMPUTED_VALUE"""),"https://www.instagram.com/heyat.sajadiye.kashan")</f>
        <v>https://www.instagram.com/heyat.sajadiye.kashan</v>
      </c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</row>
    <row r="5808">
      <c r="A5808" s="5">
        <f>IFERROR(__xludf.DUMMYFUNCTION("""COMPUTED_VALUE"""),23102.0)</f>
        <v>23102</v>
      </c>
      <c r="B5808" s="5" t="str">
        <f>IFERROR(__xludf.DUMMYFUNCTION("""COMPUTED_VALUE"""),"هیأت")</f>
        <v>هیأت</v>
      </c>
      <c r="C5808" s="5" t="str">
        <f>IFERROR(__xludf.DUMMYFUNCTION("""COMPUTED_VALUE"""),"مکتب الزهرا (س)")</f>
        <v>مکتب الزهرا (س)</v>
      </c>
      <c r="D5808" s="5" t="str">
        <f>IFERROR(__xludf.DUMMYFUNCTION("""COMPUTED_VALUE"""),"اصفهان")</f>
        <v>اصفهان</v>
      </c>
      <c r="E5808" s="5" t="str">
        <f>IFERROR(__xludf.DUMMYFUNCTION("""COMPUTED_VALUE"""),"گلپایگان")</f>
        <v>گلپایگان</v>
      </c>
      <c r="F5808" s="5"/>
      <c r="G5808" s="5">
        <f>IFERROR(__xludf.DUMMYFUNCTION("""COMPUTED_VALUE"""),1.0)</f>
        <v>1</v>
      </c>
      <c r="H5808" s="6" t="str">
        <f>IFERROR(__xludf.DUMMYFUNCTION("""COMPUTED_VALUE"""),"https://www.instagram.com/maktabazzahra201")</f>
        <v>https://www.instagram.com/maktabazzahra201</v>
      </c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</row>
    <row r="5809">
      <c r="A5809" s="5">
        <f>IFERROR(__xludf.DUMMYFUNCTION("""COMPUTED_VALUE"""),23104.0)</f>
        <v>23104</v>
      </c>
      <c r="B5809" s="5" t="str">
        <f>IFERROR(__xludf.DUMMYFUNCTION("""COMPUTED_VALUE"""),"هیأت")</f>
        <v>هیأت</v>
      </c>
      <c r="C5809" s="5" t="str">
        <f>IFERROR(__xludf.DUMMYFUNCTION("""COMPUTED_VALUE"""),"حضرت علی اصغر امام حسین(ع)")</f>
        <v>حضرت علی اصغر امام حسین(ع)</v>
      </c>
      <c r="D5809" s="5" t="str">
        <f>IFERROR(__xludf.DUMMYFUNCTION("""COMPUTED_VALUE"""),"اصفهان")</f>
        <v>اصفهان</v>
      </c>
      <c r="E5809" s="5" t="str">
        <f>IFERROR(__xludf.DUMMYFUNCTION("""COMPUTED_VALUE"""),"گلپایگان")</f>
        <v>گلپایگان</v>
      </c>
      <c r="F5809" s="5"/>
      <c r="G5809" s="5">
        <f>IFERROR(__xludf.DUMMYFUNCTION("""COMPUTED_VALUE"""),1.0)</f>
        <v>1</v>
      </c>
      <c r="H5809" s="6" t="str">
        <f>IFERROR(__xludf.DUMMYFUNCTION("""COMPUTED_VALUE"""),"https://www.instagram.com/heyat_hazrataliasghar")</f>
        <v>https://www.instagram.com/heyat_hazrataliasghar</v>
      </c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</row>
    <row r="5810">
      <c r="A5810" s="5">
        <f>IFERROR(__xludf.DUMMYFUNCTION("""COMPUTED_VALUE"""),23105.0)</f>
        <v>23105</v>
      </c>
      <c r="B5810" s="5" t="str">
        <f>IFERROR(__xludf.DUMMYFUNCTION("""COMPUTED_VALUE"""),"هیأت")</f>
        <v>هیأت</v>
      </c>
      <c r="C5810" s="5" t="str">
        <f>IFERROR(__xludf.DUMMYFUNCTION("""COMPUTED_VALUE"""),"عشاق الحسین(ع)")</f>
        <v>عشاق الحسین(ع)</v>
      </c>
      <c r="D5810" s="5" t="str">
        <f>IFERROR(__xludf.DUMMYFUNCTION("""COMPUTED_VALUE"""),"اصفهان")</f>
        <v>اصفهان</v>
      </c>
      <c r="E5810" s="5" t="str">
        <f>IFERROR(__xludf.DUMMYFUNCTION("""COMPUTED_VALUE"""),"مبارکه")</f>
        <v>مبارکه</v>
      </c>
      <c r="F5810" s="5"/>
      <c r="G5810" s="5">
        <f>IFERROR(__xludf.DUMMYFUNCTION("""COMPUTED_VALUE"""),1.0)</f>
        <v>1</v>
      </c>
      <c r="H5810" s="6" t="str">
        <f>IFERROR(__xludf.DUMMYFUNCTION("""COMPUTED_VALUE"""),"https://www.instagram.com/oshagholhossein_mobarake")</f>
        <v>https://www.instagram.com/oshagholhossein_mobarake</v>
      </c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</row>
    <row r="5811">
      <c r="A5811" s="5">
        <f>IFERROR(__xludf.DUMMYFUNCTION("""COMPUTED_VALUE"""),23108.0)</f>
        <v>23108</v>
      </c>
      <c r="B5811" s="5" t="str">
        <f>IFERROR(__xludf.DUMMYFUNCTION("""COMPUTED_VALUE"""),"هیأت")</f>
        <v>هیأت</v>
      </c>
      <c r="C5811" s="5" t="str">
        <f>IFERROR(__xludf.DUMMYFUNCTION("""COMPUTED_VALUE"""),"ستاد عتبات")</f>
        <v>ستاد عتبات</v>
      </c>
      <c r="D5811" s="5" t="str">
        <f>IFERROR(__xludf.DUMMYFUNCTION("""COMPUTED_VALUE"""),"اصفهان")</f>
        <v>اصفهان</v>
      </c>
      <c r="E5811" s="5" t="str">
        <f>IFERROR(__xludf.DUMMYFUNCTION("""COMPUTED_VALUE"""),"نائین")</f>
        <v>نائین</v>
      </c>
      <c r="F5811" s="5"/>
      <c r="G5811" s="5"/>
      <c r="H5811" s="6" t="str">
        <f>IFERROR(__xludf.DUMMYFUNCTION("""COMPUTED_VALUE"""),"https://www.instagram.com/isfahan.atabat")</f>
        <v>https://www.instagram.com/isfahan.atabat</v>
      </c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</row>
    <row r="5812">
      <c r="A5812" s="5">
        <f>IFERROR(__xludf.DUMMYFUNCTION("""COMPUTED_VALUE"""),23109.0)</f>
        <v>23109</v>
      </c>
      <c r="B5812" s="5" t="str">
        <f>IFERROR(__xludf.DUMMYFUNCTION("""COMPUTED_VALUE"""),"هیأت")</f>
        <v>هیأت</v>
      </c>
      <c r="C5812" s="5" t="str">
        <f>IFERROR(__xludf.DUMMYFUNCTION("""COMPUTED_VALUE"""),"حضرت جوادالائمه (ع)")</f>
        <v>حضرت جوادالائمه (ع)</v>
      </c>
      <c r="D5812" s="5" t="str">
        <f>IFERROR(__xludf.DUMMYFUNCTION("""COMPUTED_VALUE"""),"اصفهان")</f>
        <v>اصفهان</v>
      </c>
      <c r="E5812" s="5" t="str">
        <f>IFERROR(__xludf.DUMMYFUNCTION("""COMPUTED_VALUE"""),"نائین")</f>
        <v>نائین</v>
      </c>
      <c r="F5812" s="5"/>
      <c r="G5812" s="5">
        <f>IFERROR(__xludf.DUMMYFUNCTION("""COMPUTED_VALUE"""),1.0)</f>
        <v>1</v>
      </c>
      <c r="H5812" s="6" t="str">
        <f>IFERROR(__xludf.DUMMYFUNCTION("""COMPUTED_VALUE"""),"https://www.instagram.com/movkebnaein")</f>
        <v>https://www.instagram.com/movkebnaein</v>
      </c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</row>
    <row r="5813">
      <c r="A5813" s="5">
        <f>IFERROR(__xludf.DUMMYFUNCTION("""COMPUTED_VALUE"""),23110.0)</f>
        <v>23110</v>
      </c>
      <c r="B5813" s="5" t="str">
        <f>IFERROR(__xludf.DUMMYFUNCTION("""COMPUTED_VALUE"""),"هیأت")</f>
        <v>هیأت</v>
      </c>
      <c r="C5813" s="5" t="str">
        <f>IFERROR(__xludf.DUMMYFUNCTION("""COMPUTED_VALUE"""),"رزمندگان")</f>
        <v>رزمندگان</v>
      </c>
      <c r="D5813" s="5" t="str">
        <f>IFERROR(__xludf.DUMMYFUNCTION("""COMPUTED_VALUE"""),"اصفهان")</f>
        <v>اصفهان</v>
      </c>
      <c r="E5813" s="5" t="str">
        <f>IFERROR(__xludf.DUMMYFUNCTION("""COMPUTED_VALUE"""),"نجف آباد")</f>
        <v>نجف آباد</v>
      </c>
      <c r="F5813" s="5"/>
      <c r="G5813" s="5"/>
      <c r="H5813" s="6" t="str">
        <f>IFERROR(__xludf.DUMMYFUNCTION("""COMPUTED_VALUE"""),"https://www.instagram.com/njfheyat")</f>
        <v>https://www.instagram.com/njfheyat</v>
      </c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</row>
    <row r="5814">
      <c r="A5814" s="5">
        <f>IFERROR(__xludf.DUMMYFUNCTION("""COMPUTED_VALUE"""),23111.0)</f>
        <v>23111</v>
      </c>
      <c r="B5814" s="5" t="str">
        <f>IFERROR(__xludf.DUMMYFUNCTION("""COMPUTED_VALUE"""),"هیأت")</f>
        <v>هیأت</v>
      </c>
      <c r="C5814" s="5" t="str">
        <f>IFERROR(__xludf.DUMMYFUNCTION("""COMPUTED_VALUE"""),"حسینیه حضرت اباالفضل")</f>
        <v>حسینیه حضرت اباالفضل</v>
      </c>
      <c r="D5814" s="5" t="str">
        <f>IFERROR(__xludf.DUMMYFUNCTION("""COMPUTED_VALUE"""),"اصفهان")</f>
        <v>اصفهان</v>
      </c>
      <c r="E5814" s="5" t="str">
        <f>IFERROR(__xludf.DUMMYFUNCTION("""COMPUTED_VALUE"""),"نطنز")</f>
        <v>نطنز</v>
      </c>
      <c r="F5814" s="5"/>
      <c r="G5814" s="5">
        <f>IFERROR(__xludf.DUMMYFUNCTION("""COMPUTED_VALUE"""),1.0)</f>
        <v>1</v>
      </c>
      <c r="H5814" s="6" t="str">
        <f>IFERROR(__xludf.DUMMYFUNCTION("""COMPUTED_VALUE"""),"https://www.instagram.com/natanz.markaz.heyateabolfazl")</f>
        <v>https://www.instagram.com/natanz.markaz.heyateabolfazl</v>
      </c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</row>
    <row r="5815">
      <c r="A5815" s="5">
        <f>IFERROR(__xludf.DUMMYFUNCTION("""COMPUTED_VALUE"""),23112.0)</f>
        <v>23112</v>
      </c>
      <c r="B5815" s="5" t="str">
        <f>IFERROR(__xludf.DUMMYFUNCTION("""COMPUTED_VALUE"""),"هیأت")</f>
        <v>هیأت</v>
      </c>
      <c r="C5815" s="5" t="str">
        <f>IFERROR(__xludf.DUMMYFUNCTION("""COMPUTED_VALUE"""),"منتظران ظهور")</f>
        <v>منتظران ظهور</v>
      </c>
      <c r="D5815" s="5" t="str">
        <f>IFERROR(__xludf.DUMMYFUNCTION("""COMPUTED_VALUE"""),"اصفهان")</f>
        <v>اصفهان</v>
      </c>
      <c r="E5815" s="5" t="str">
        <f>IFERROR(__xludf.DUMMYFUNCTION("""COMPUTED_VALUE"""),"نطنز")</f>
        <v>نطنز</v>
      </c>
      <c r="F5815" s="5"/>
      <c r="G5815" s="5">
        <f>IFERROR(__xludf.DUMMYFUNCTION("""COMPUTED_VALUE"""),1.0)</f>
        <v>1</v>
      </c>
      <c r="H5815" s="6" t="str">
        <f>IFERROR(__xludf.DUMMYFUNCTION("""COMPUTED_VALUE"""),"https://www.instagram.com/montazeraniha313")</f>
        <v>https://www.instagram.com/montazeraniha313</v>
      </c>
      <c r="I5815" s="6" t="str">
        <f>IFERROR(__xludf.DUMMYFUNCTION("""COMPUTED_VALUE"""),"https://t.me/montazeraniha313")</f>
        <v>https://t.me/montazeraniha313</v>
      </c>
      <c r="J5815" s="5"/>
      <c r="K5815" s="5"/>
      <c r="L5815" s="5"/>
      <c r="M5815" s="5"/>
      <c r="N5815" s="5"/>
      <c r="O5815" s="5"/>
      <c r="P5815" s="5"/>
      <c r="Q5815" s="5"/>
      <c r="R5815" s="5"/>
      <c r="S5815" s="5"/>
    </row>
    <row r="5816">
      <c r="A5816" s="5">
        <f>IFERROR(__xludf.DUMMYFUNCTION("""COMPUTED_VALUE"""),23188.0)</f>
        <v>23188</v>
      </c>
      <c r="B5816" s="5" t="str">
        <f>IFERROR(__xludf.DUMMYFUNCTION("""COMPUTED_VALUE"""),"هیأت دانشجویی")</f>
        <v>هیأت دانشجویی</v>
      </c>
      <c r="C5816" s="5" t="str">
        <f>IFERROR(__xludf.DUMMYFUNCTION("""COMPUTED_VALUE"""),"هیات رزمندگان")</f>
        <v>هیات رزمندگان</v>
      </c>
      <c r="D5816" s="5" t="str">
        <f>IFERROR(__xludf.DUMMYFUNCTION("""COMPUTED_VALUE"""),"اصفهان")</f>
        <v>اصفهان</v>
      </c>
      <c r="E5816" s="5" t="str">
        <f>IFERROR(__xludf.DUMMYFUNCTION("""COMPUTED_VALUE"""),"لنجان")</f>
        <v>لنجان</v>
      </c>
      <c r="F5816" s="5"/>
      <c r="G5816" s="5"/>
      <c r="H5816" s="5"/>
      <c r="I5816" s="5"/>
      <c r="J5816" s="6" t="str">
        <f>IFERROR(__xludf.DUMMYFUNCTION("""COMPUTED_VALUE"""),"https://eitaa.com/BSJ_LENJAN_STUDENTS")</f>
        <v>https://eitaa.com/BSJ_LENJAN_STUDENTS</v>
      </c>
      <c r="K5816" s="5"/>
      <c r="L5816" s="5"/>
      <c r="M5816" s="5"/>
      <c r="N5816" s="5"/>
      <c r="O5816" s="5"/>
      <c r="P5816" s="5"/>
      <c r="Q5816" s="5"/>
      <c r="R5816" s="5"/>
      <c r="S5816" s="5"/>
    </row>
    <row r="5817">
      <c r="A5817" s="5">
        <f>IFERROR(__xludf.DUMMYFUNCTION("""COMPUTED_VALUE"""),23259.0)</f>
        <v>23259</v>
      </c>
      <c r="B5817" s="5" t="str">
        <f>IFERROR(__xludf.DUMMYFUNCTION("""COMPUTED_VALUE"""),"هیأت")</f>
        <v>هیأت</v>
      </c>
      <c r="C5817" s="5" t="str">
        <f>IFERROR(__xludf.DUMMYFUNCTION("""COMPUTED_VALUE"""),"مهتدون")</f>
        <v>مهتدون</v>
      </c>
      <c r="D5817" s="5" t="str">
        <f>IFERROR(__xludf.DUMMYFUNCTION("""COMPUTED_VALUE"""),"اصفهان")</f>
        <v>اصفهان</v>
      </c>
      <c r="E5817" s="5" t="str">
        <f>IFERROR(__xludf.DUMMYFUNCTION("""COMPUTED_VALUE"""),"کاشان")</f>
        <v>کاشان</v>
      </c>
      <c r="F5817" s="5"/>
      <c r="G5817" s="5"/>
      <c r="H5817" s="5"/>
      <c r="I5817" s="5"/>
      <c r="J5817" s="6" t="str">
        <f>IFERROR(__xludf.DUMMYFUNCTION("""COMPUTED_VALUE"""),"https://eitaa.com/muhtadoun")</f>
        <v>https://eitaa.com/muhtadoun</v>
      </c>
      <c r="K5817" s="5"/>
      <c r="L5817" s="5"/>
      <c r="M5817" s="5"/>
      <c r="N5817" s="5"/>
      <c r="O5817" s="5"/>
      <c r="P5817" s="5"/>
      <c r="Q5817" s="5"/>
      <c r="R5817" s="5"/>
      <c r="S5817" s="5"/>
    </row>
    <row r="5818">
      <c r="A5818" s="5">
        <f>IFERROR(__xludf.DUMMYFUNCTION("""COMPUTED_VALUE"""),23260.0)</f>
        <v>23260</v>
      </c>
      <c r="B5818" s="5" t="str">
        <f>IFERROR(__xludf.DUMMYFUNCTION("""COMPUTED_VALUE"""),"هیأت")</f>
        <v>هیأت</v>
      </c>
      <c r="C5818" s="5" t="str">
        <f>IFERROR(__xludf.DUMMYFUNCTION("""COMPUTED_VALUE"""),"خادمین امام رضا(ع)")</f>
        <v>خادمین امام رضا(ع)</v>
      </c>
      <c r="D5818" s="5" t="str">
        <f>IFERROR(__xludf.DUMMYFUNCTION("""COMPUTED_VALUE"""),"اصفهان")</f>
        <v>اصفهان</v>
      </c>
      <c r="E5818" s="5" t="str">
        <f>IFERROR(__xludf.DUMMYFUNCTION("""COMPUTED_VALUE"""),"کاشان")</f>
        <v>کاشان</v>
      </c>
      <c r="F5818" s="5"/>
      <c r="G5818" s="5"/>
      <c r="H5818" s="6" t="str">
        <f>IFERROR(__xludf.DUMMYFUNCTION("""COMPUTED_VALUE"""),"https://www.instagram.com/ahoahoo_nojavan/")</f>
        <v>https://www.instagram.com/ahoahoo_nojavan/</v>
      </c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</row>
    <row r="5819">
      <c r="A5819" s="5">
        <f>IFERROR(__xludf.DUMMYFUNCTION("""COMPUTED_VALUE"""),23467.0)</f>
        <v>23467</v>
      </c>
      <c r="B5819" s="5" t="str">
        <f>IFERROR(__xludf.DUMMYFUNCTION("""COMPUTED_VALUE"""),"هیأت")</f>
        <v>هیأت</v>
      </c>
      <c r="C5819" s="5" t="str">
        <f>IFERROR(__xludf.DUMMYFUNCTION("""COMPUTED_VALUE"""),"علی بن موسی الرضا")</f>
        <v>علی بن موسی الرضا</v>
      </c>
      <c r="D5819" s="5" t="str">
        <f>IFERROR(__xludf.DUMMYFUNCTION("""COMPUTED_VALUE"""),"اصفهان")</f>
        <v>اصفهان</v>
      </c>
      <c r="E5819" s="5" t="str">
        <f>IFERROR(__xludf.DUMMYFUNCTION("""COMPUTED_VALUE"""),"لنجان")</f>
        <v>لنجان</v>
      </c>
      <c r="F5819" s="5"/>
      <c r="G5819" s="5"/>
      <c r="H5819" s="5"/>
      <c r="I5819" s="5"/>
      <c r="J5819" s="6" t="str">
        <f>IFERROR(__xludf.DUMMYFUNCTION("""COMPUTED_VALUE"""),"https://eitaa.com/sayyedmahdi8")</f>
        <v>https://eitaa.com/sayyedmahdi8</v>
      </c>
      <c r="K5819" s="5"/>
      <c r="L5819" s="5"/>
      <c r="M5819" s="5"/>
      <c r="N5819" s="5"/>
      <c r="O5819" s="5"/>
      <c r="P5819" s="5"/>
      <c r="Q5819" s="5"/>
      <c r="R5819" s="5"/>
      <c r="S5819" s="5"/>
    </row>
    <row r="5820">
      <c r="A5820" s="5">
        <f>IFERROR(__xludf.DUMMYFUNCTION("""COMPUTED_VALUE"""),23468.0)</f>
        <v>23468</v>
      </c>
      <c r="B5820" s="5" t="str">
        <f>IFERROR(__xludf.DUMMYFUNCTION("""COMPUTED_VALUE"""),"هیأت")</f>
        <v>هیأت</v>
      </c>
      <c r="C5820" s="5" t="str">
        <f>IFERROR(__xludf.DUMMYFUNCTION("""COMPUTED_VALUE"""),"فاطمه الزهرا (س)")</f>
        <v>فاطمه الزهرا (س)</v>
      </c>
      <c r="D5820" s="5" t="str">
        <f>IFERROR(__xludf.DUMMYFUNCTION("""COMPUTED_VALUE"""),"اصفهان")</f>
        <v>اصفهان</v>
      </c>
      <c r="E5820" s="5" t="str">
        <f>IFERROR(__xludf.DUMMYFUNCTION("""COMPUTED_VALUE"""),"لنجان")</f>
        <v>لنجان</v>
      </c>
      <c r="F5820" s="5"/>
      <c r="G5820" s="5"/>
      <c r="H5820" s="6" t="str">
        <f>IFERROR(__xludf.DUMMYFUNCTION("""COMPUTED_VALUE"""),"https://www.instagram.com/fatemion_com")</f>
        <v>https://www.instagram.com/fatemion_com</v>
      </c>
      <c r="I5820" s="5"/>
      <c r="J5820" s="6" t="str">
        <f>IFERROR(__xludf.DUMMYFUNCTION("""COMPUTED_VALUE"""),"https://eitaa.com/fatemion_com")</f>
        <v>https://eitaa.com/fatemion_com</v>
      </c>
      <c r="K5820" s="5"/>
      <c r="L5820" s="5"/>
      <c r="M5820" s="5"/>
      <c r="N5820" s="5"/>
      <c r="O5820" s="5"/>
      <c r="P5820" s="5"/>
      <c r="Q5820" s="5"/>
      <c r="R5820" s="5"/>
      <c r="S5820" s="5"/>
    </row>
    <row r="5821">
      <c r="A5821" s="5">
        <f>IFERROR(__xludf.DUMMYFUNCTION("""COMPUTED_VALUE"""),23470.0)</f>
        <v>23470</v>
      </c>
      <c r="B5821" s="5" t="str">
        <f>IFERROR(__xludf.DUMMYFUNCTION("""COMPUTED_VALUE"""),"هیأت")</f>
        <v>هیأت</v>
      </c>
      <c r="C5821" s="5" t="str">
        <f>IFERROR(__xludf.DUMMYFUNCTION("""COMPUTED_VALUE"""),"صدیقه طاهره (س)")</f>
        <v>صدیقه طاهره (س)</v>
      </c>
      <c r="D5821" s="5" t="str">
        <f>IFERROR(__xludf.DUMMYFUNCTION("""COMPUTED_VALUE"""),"اصفهان")</f>
        <v>اصفهان</v>
      </c>
      <c r="E5821" s="5" t="str">
        <f>IFERROR(__xludf.DUMMYFUNCTION("""COMPUTED_VALUE"""),"لنجان")</f>
        <v>لنجان</v>
      </c>
      <c r="F5821" s="5"/>
      <c r="G5821" s="5"/>
      <c r="H5821" s="6" t="str">
        <f>IFERROR(__xludf.DUMMYFUNCTION("""COMPUTED_VALUE"""),"https://www.instagram.com/mokeb_sedighe_tahere/")</f>
        <v>https://www.instagram.com/mokeb_sedighe_tahere/</v>
      </c>
      <c r="I5821" s="5"/>
      <c r="J5821" s="6" t="str">
        <f>IFERROR(__xludf.DUMMYFUNCTION("""COMPUTED_VALUE"""),"https://eitaa.com/mokeb_sedighe_tahere")</f>
        <v>https://eitaa.com/mokeb_sedighe_tahere</v>
      </c>
      <c r="K5821" s="5"/>
      <c r="L5821" s="5"/>
      <c r="M5821" s="5"/>
      <c r="N5821" s="5"/>
      <c r="O5821" s="5"/>
      <c r="P5821" s="5"/>
      <c r="Q5821" s="5"/>
      <c r="R5821" s="5"/>
      <c r="S5821" s="5"/>
    </row>
    <row r="5822">
      <c r="A5822" s="5">
        <f>IFERROR(__xludf.DUMMYFUNCTION("""COMPUTED_VALUE"""),23471.0)</f>
        <v>23471</v>
      </c>
      <c r="B5822" s="5" t="str">
        <f>IFERROR(__xludf.DUMMYFUNCTION("""COMPUTED_VALUE"""),"هیأت")</f>
        <v>هیأت</v>
      </c>
      <c r="C5822" s="5" t="str">
        <f>IFERROR(__xludf.DUMMYFUNCTION("""COMPUTED_VALUE"""),"پیروان عترت (خواهران)")</f>
        <v>پیروان عترت (خواهران)</v>
      </c>
      <c r="D5822" s="5" t="str">
        <f>IFERROR(__xludf.DUMMYFUNCTION("""COMPUTED_VALUE"""),"اصفهان")</f>
        <v>اصفهان</v>
      </c>
      <c r="E5822" s="5" t="str">
        <f>IFERROR(__xludf.DUMMYFUNCTION("""COMPUTED_VALUE"""),"مبارکه")</f>
        <v>مبارکه</v>
      </c>
      <c r="F5822" s="5"/>
      <c r="G5822" s="5"/>
      <c r="H5822" s="5"/>
      <c r="I5822" s="5"/>
      <c r="J5822" s="6" t="str">
        <f>IFERROR(__xludf.DUMMYFUNCTION("""COMPUTED_VALUE"""),"https://eitaa.com/peyrovan_etrat")</f>
        <v>https://eitaa.com/peyrovan_etrat</v>
      </c>
      <c r="K5822" s="5"/>
      <c r="L5822" s="5"/>
      <c r="M5822" s="5"/>
      <c r="N5822" s="5"/>
      <c r="O5822" s="5"/>
      <c r="P5822" s="5"/>
      <c r="Q5822" s="5"/>
      <c r="R5822" s="5"/>
      <c r="S5822" s="5"/>
    </row>
    <row r="5823">
      <c r="A5823" s="5">
        <f>IFERROR(__xludf.DUMMYFUNCTION("""COMPUTED_VALUE"""),23515.0)</f>
        <v>23515</v>
      </c>
      <c r="B5823" s="5" t="str">
        <f>IFERROR(__xludf.DUMMYFUNCTION("""COMPUTED_VALUE"""),"هیأت خانگی")</f>
        <v>هیأت خانگی</v>
      </c>
      <c r="C5823" s="5" t="str">
        <f>IFERROR(__xludf.DUMMYFUNCTION("""COMPUTED_VALUE"""),"انصار فاطمه")</f>
        <v>انصار فاطمه</v>
      </c>
      <c r="D5823" s="5" t="str">
        <f>IFERROR(__xludf.DUMMYFUNCTION("""COMPUTED_VALUE"""),"اصفهان")</f>
        <v>اصفهان</v>
      </c>
      <c r="E5823" s="5" t="str">
        <f>IFERROR(__xludf.DUMMYFUNCTION("""COMPUTED_VALUE"""),"اصفهان")</f>
        <v>اصفهان</v>
      </c>
      <c r="F5823" s="5"/>
      <c r="G5823" s="5">
        <f>IFERROR(__xludf.DUMMYFUNCTION("""COMPUTED_VALUE"""),1.0)</f>
        <v>1</v>
      </c>
      <c r="H5823" s="6" t="str">
        <f>IFERROR(__xludf.DUMMYFUNCTION("""COMPUTED_VALUE"""),"https://www.instagram.com/ansare_fatemeh")</f>
        <v>https://www.instagram.com/ansare_fatemeh</v>
      </c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</row>
    <row r="5824">
      <c r="A5824" s="5">
        <f>IFERROR(__xludf.DUMMYFUNCTION("""COMPUTED_VALUE"""),23594.0)</f>
        <v>23594</v>
      </c>
      <c r="B5824" s="5" t="str">
        <f>IFERROR(__xludf.DUMMYFUNCTION("""COMPUTED_VALUE"""),"هیأت")</f>
        <v>هیأت</v>
      </c>
      <c r="C5824" s="5" t="str">
        <f>IFERROR(__xludf.DUMMYFUNCTION("""COMPUTED_VALUE"""),"زهراییان")</f>
        <v>زهراییان</v>
      </c>
      <c r="D5824" s="5" t="str">
        <f>IFERROR(__xludf.DUMMYFUNCTION("""COMPUTED_VALUE"""),"اصفهان")</f>
        <v>اصفهان</v>
      </c>
      <c r="E5824" s="5" t="str">
        <f>IFERROR(__xludf.DUMMYFUNCTION("""COMPUTED_VALUE"""),"شهرضا")</f>
        <v>شهرضا</v>
      </c>
      <c r="F5824" s="5"/>
      <c r="G5824" s="5">
        <f>IFERROR(__xludf.DUMMYFUNCTION("""COMPUTED_VALUE"""),1.0)</f>
        <v>1</v>
      </c>
      <c r="H5824" s="6" t="str">
        <f>IFERROR(__xludf.DUMMYFUNCTION("""COMPUTED_VALUE"""),"https://www.instagram.com/zahraun.esf")</f>
        <v>https://www.instagram.com/zahraun.esf</v>
      </c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</row>
    <row r="5825">
      <c r="A5825" s="5">
        <f>IFERROR(__xludf.DUMMYFUNCTION("""COMPUTED_VALUE"""),23615.0)</f>
        <v>23615</v>
      </c>
      <c r="B5825" s="5" t="str">
        <f>IFERROR(__xludf.DUMMYFUNCTION("""COMPUTED_VALUE"""),"هیأت")</f>
        <v>هیأت</v>
      </c>
      <c r="C5825" s="5" t="str">
        <f>IFERROR(__xludf.DUMMYFUNCTION("""COMPUTED_VALUE"""),"محفل انس با امام زمان")</f>
        <v>محفل انس با امام زمان</v>
      </c>
      <c r="D5825" s="5" t="str">
        <f>IFERROR(__xludf.DUMMYFUNCTION("""COMPUTED_VALUE"""),"اصفهان")</f>
        <v>اصفهان</v>
      </c>
      <c r="E5825" s="5" t="str">
        <f>IFERROR(__xludf.DUMMYFUNCTION("""COMPUTED_VALUE"""),"اصفهان")</f>
        <v>اصفهان</v>
      </c>
      <c r="F5825" s="5"/>
      <c r="G5825" s="5">
        <f>IFERROR(__xludf.DUMMYFUNCTION("""COMPUTED_VALUE"""),1.0)</f>
        <v>1</v>
      </c>
      <c r="H5825" s="6" t="str">
        <f>IFERROR(__xludf.DUMMYFUNCTION("""COMPUTED_VALUE"""),"https://www.instagram.com/onsbamahdi")</f>
        <v>https://www.instagram.com/onsbamahdi</v>
      </c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</row>
    <row r="5826">
      <c r="A5826" s="5">
        <f>IFERROR(__xludf.DUMMYFUNCTION("""COMPUTED_VALUE"""),23618.0)</f>
        <v>23618</v>
      </c>
      <c r="B5826" s="5" t="str">
        <f>IFERROR(__xludf.DUMMYFUNCTION("""COMPUTED_VALUE"""),"هیأت")</f>
        <v>هیأت</v>
      </c>
      <c r="C5826" s="5" t="str">
        <f>IFERROR(__xludf.DUMMYFUNCTION("""COMPUTED_VALUE"""),"جوانان حضرت علی اکبر(ع)")</f>
        <v>جوانان حضرت علی اکبر(ع)</v>
      </c>
      <c r="D5826" s="5" t="str">
        <f>IFERROR(__xludf.DUMMYFUNCTION("""COMPUTED_VALUE"""),"اصفهان")</f>
        <v>اصفهان</v>
      </c>
      <c r="E5826" s="5" t="str">
        <f>IFERROR(__xludf.DUMMYFUNCTION("""COMPUTED_VALUE"""),"بوئین میاندشت")</f>
        <v>بوئین میاندشت</v>
      </c>
      <c r="F5826" s="5"/>
      <c r="G5826" s="5">
        <f>IFERROR(__xludf.DUMMYFUNCTION("""COMPUTED_VALUE"""),1.0)</f>
        <v>1</v>
      </c>
      <c r="H5826" s="6" t="str">
        <f>IFERROR(__xludf.DUMMYFUNCTION("""COMPUTED_VALUE"""),"https://www.instagram.com/jvananaliakbar_1390")</f>
        <v>https://www.instagram.com/jvananaliakbar_1390</v>
      </c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</row>
    <row r="5827">
      <c r="A5827" s="5">
        <f>IFERROR(__xludf.DUMMYFUNCTION("""COMPUTED_VALUE"""),23723.0)</f>
        <v>23723</v>
      </c>
      <c r="B5827" s="5" t="str">
        <f>IFERROR(__xludf.DUMMYFUNCTION("""COMPUTED_VALUE"""),"هیأت")</f>
        <v>هیأت</v>
      </c>
      <c r="C5827" s="5" t="str">
        <f>IFERROR(__xludf.DUMMYFUNCTION("""COMPUTED_VALUE"""),"سفیرالحسین (ع)")</f>
        <v>سفیرالحسین (ع)</v>
      </c>
      <c r="D5827" s="5" t="str">
        <f>IFERROR(__xludf.DUMMYFUNCTION("""COMPUTED_VALUE"""),"اصفهان")</f>
        <v>اصفهان</v>
      </c>
      <c r="E5827" s="5" t="str">
        <f>IFERROR(__xludf.DUMMYFUNCTION("""COMPUTED_VALUE"""),"خمینی شهر")</f>
        <v>خمینی شهر</v>
      </c>
      <c r="F5827" s="5"/>
      <c r="G5827" s="5">
        <f>IFERROR(__xludf.DUMMYFUNCTION("""COMPUTED_VALUE"""),1.0)</f>
        <v>1</v>
      </c>
      <c r="H5827" s="6" t="str">
        <f>IFERROR(__xludf.DUMMYFUNCTION("""COMPUTED_VALUE"""),"https://www.instagram.com/heyatsafir110")</f>
        <v>https://www.instagram.com/heyatsafir110</v>
      </c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</row>
    <row r="5828">
      <c r="A5828" s="5">
        <f>IFERROR(__xludf.DUMMYFUNCTION("""COMPUTED_VALUE"""),23736.0)</f>
        <v>23736</v>
      </c>
      <c r="B5828" s="5" t="str">
        <f>IFERROR(__xludf.DUMMYFUNCTION("""COMPUTED_VALUE"""),"هیأت")</f>
        <v>هیأت</v>
      </c>
      <c r="C5828" s="5" t="str">
        <f>IFERROR(__xludf.DUMMYFUNCTION("""COMPUTED_VALUE"""),"کانون معارف زهرا (س)")</f>
        <v>کانون معارف زهرا (س)</v>
      </c>
      <c r="D5828" s="5" t="str">
        <f>IFERROR(__xludf.DUMMYFUNCTION("""COMPUTED_VALUE"""),"اصفهان")</f>
        <v>اصفهان</v>
      </c>
      <c r="E5828" s="5" t="str">
        <f>IFERROR(__xludf.DUMMYFUNCTION("""COMPUTED_VALUE"""),"اصفهان")</f>
        <v>اصفهان</v>
      </c>
      <c r="F5828" s="5"/>
      <c r="G5828" s="5"/>
      <c r="H5828" s="6" t="str">
        <f>IFERROR(__xludf.DUMMYFUNCTION("""COMPUTED_VALUE"""),"https://www.instagram.com/kanoonmaaref")</f>
        <v>https://www.instagram.com/kanoonmaaref</v>
      </c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</row>
    <row r="5829">
      <c r="A5829" s="5">
        <f>IFERROR(__xludf.DUMMYFUNCTION("""COMPUTED_VALUE"""),23741.0)</f>
        <v>23741</v>
      </c>
      <c r="B5829" s="5" t="str">
        <f>IFERROR(__xludf.DUMMYFUNCTION("""COMPUTED_VALUE"""),"هیأت")</f>
        <v>هیأت</v>
      </c>
      <c r="C5829" s="5" t="str">
        <f>IFERROR(__xludf.DUMMYFUNCTION("""COMPUTED_VALUE"""),"انصارالمهدی (عج)")</f>
        <v>انصارالمهدی (عج)</v>
      </c>
      <c r="D5829" s="5" t="str">
        <f>IFERROR(__xludf.DUMMYFUNCTION("""COMPUTED_VALUE"""),"اصفهان")</f>
        <v>اصفهان</v>
      </c>
      <c r="E5829" s="5" t="str">
        <f>IFERROR(__xludf.DUMMYFUNCTION("""COMPUTED_VALUE"""),"اصفهان")</f>
        <v>اصفهان</v>
      </c>
      <c r="F5829" s="5"/>
      <c r="G5829" s="5"/>
      <c r="H5829" s="5"/>
      <c r="I5829" s="5"/>
      <c r="J5829" s="6" t="str">
        <f>IFERROR(__xludf.DUMMYFUNCTION("""COMPUTED_VALUE"""),"https://eitaa.com/ansaralmahdi1")</f>
        <v>https://eitaa.com/ansaralmahdi1</v>
      </c>
      <c r="K5829" s="5"/>
      <c r="L5829" s="5"/>
      <c r="M5829" s="5"/>
      <c r="N5829" s="5"/>
      <c r="O5829" s="5"/>
      <c r="P5829" s="5"/>
      <c r="Q5829" s="5"/>
      <c r="R5829" s="5"/>
      <c r="S5829" s="5"/>
    </row>
    <row r="5830">
      <c r="A5830" s="5">
        <f>IFERROR(__xludf.DUMMYFUNCTION("""COMPUTED_VALUE"""),23747.0)</f>
        <v>23747</v>
      </c>
      <c r="B5830" s="5" t="str">
        <f>IFERROR(__xludf.DUMMYFUNCTION("""COMPUTED_VALUE"""),"هیأت")</f>
        <v>هیأت</v>
      </c>
      <c r="C5830" s="5" t="str">
        <f>IFERROR(__xludf.DUMMYFUNCTION("""COMPUTED_VALUE"""),"حضرت عباس")</f>
        <v>حضرت عباس</v>
      </c>
      <c r="D5830" s="5" t="str">
        <f>IFERROR(__xludf.DUMMYFUNCTION("""COMPUTED_VALUE"""),"اصفهان")</f>
        <v>اصفهان</v>
      </c>
      <c r="E5830" s="5" t="str">
        <f>IFERROR(__xludf.DUMMYFUNCTION("""COMPUTED_VALUE"""),"نطنز")</f>
        <v>نطنز</v>
      </c>
      <c r="F5830" s="5"/>
      <c r="G5830" s="5"/>
      <c r="H5830" s="6" t="str">
        <f>IFERROR(__xludf.DUMMYFUNCTION("""COMPUTED_VALUE"""),"https://www.instagram.com/shabihkhaniiran")</f>
        <v>https://www.instagram.com/shabihkhaniiran</v>
      </c>
      <c r="I5830" s="5"/>
      <c r="J5830" s="6" t="str">
        <f>IFERROR(__xludf.DUMMYFUNCTION("""COMPUTED_VALUE"""),"https://eitaa.com/shabihkhaniiran")</f>
        <v>https://eitaa.com/shabihkhaniiran</v>
      </c>
      <c r="K5830" s="5"/>
      <c r="L5830" s="5"/>
      <c r="M5830" s="5"/>
      <c r="N5830" s="5"/>
      <c r="O5830" s="5"/>
      <c r="P5830" s="5"/>
      <c r="Q5830" s="5"/>
      <c r="R5830" s="5"/>
      <c r="S5830" s="5"/>
    </row>
    <row r="5831">
      <c r="A5831" s="5">
        <f>IFERROR(__xludf.DUMMYFUNCTION("""COMPUTED_VALUE"""),23909.0)</f>
        <v>23909</v>
      </c>
      <c r="B5831" s="5" t="str">
        <f>IFERROR(__xludf.DUMMYFUNCTION("""COMPUTED_VALUE"""),"هیأت")</f>
        <v>هیأت</v>
      </c>
      <c r="C5831" s="5" t="str">
        <f>IFERROR(__xludf.DUMMYFUNCTION("""COMPUTED_VALUE"""),"رزمندگان - انصار المهدی (عج)")</f>
        <v>رزمندگان - انصار المهدی (عج)</v>
      </c>
      <c r="D5831" s="5" t="str">
        <f>IFERROR(__xludf.DUMMYFUNCTION("""COMPUTED_VALUE"""),"اصفهان")</f>
        <v>اصفهان</v>
      </c>
      <c r="E5831" s="5" t="str">
        <f>IFERROR(__xludf.DUMMYFUNCTION("""COMPUTED_VALUE"""),"خمینی شهر")</f>
        <v>خمینی شهر</v>
      </c>
      <c r="F5831" s="5"/>
      <c r="G5831" s="5"/>
      <c r="H5831" s="5"/>
      <c r="I5831" s="5"/>
      <c r="J5831" s="6" t="str">
        <f>IFERROR(__xludf.DUMMYFUNCTION("""COMPUTED_VALUE"""),"https://eitaa.com/mokbansaralmahdi")</f>
        <v>https://eitaa.com/mokbansaralmahdi</v>
      </c>
      <c r="K5831" s="5"/>
      <c r="L5831" s="5"/>
      <c r="M5831" s="5"/>
      <c r="N5831" s="5"/>
      <c r="O5831" s="5"/>
      <c r="P5831" s="5"/>
      <c r="Q5831" s="5"/>
      <c r="R5831" s="5"/>
      <c r="S5831" s="5"/>
    </row>
    <row r="5832">
      <c r="A5832" s="5">
        <f>IFERROR(__xludf.DUMMYFUNCTION("""COMPUTED_VALUE"""),23910.0)</f>
        <v>23910</v>
      </c>
      <c r="B5832" s="5" t="str">
        <f>IFERROR(__xludf.DUMMYFUNCTION("""COMPUTED_VALUE"""),"هیأت")</f>
        <v>هیأت</v>
      </c>
      <c r="C5832" s="5" t="str">
        <f>IFERROR(__xludf.DUMMYFUNCTION("""COMPUTED_VALUE"""),"مکتب القرآن")</f>
        <v>مکتب القرآن</v>
      </c>
      <c r="D5832" s="5" t="str">
        <f>IFERROR(__xludf.DUMMYFUNCTION("""COMPUTED_VALUE"""),"اصفهان")</f>
        <v>اصفهان</v>
      </c>
      <c r="E5832" s="5" t="str">
        <f>IFERROR(__xludf.DUMMYFUNCTION("""COMPUTED_VALUE"""),"شهرضا")</f>
        <v>شهرضا</v>
      </c>
      <c r="F5832" s="5"/>
      <c r="G5832" s="5">
        <f>IFERROR(__xludf.DUMMYFUNCTION("""COMPUTED_VALUE"""),1.0)</f>
        <v>1</v>
      </c>
      <c r="H5832" s="6" t="str">
        <f>IFERROR(__xludf.DUMMYFUNCTION("""COMPUTED_VALUE"""),"https://www.instagram.com/isfmaktabq")</f>
        <v>https://www.instagram.com/isfmaktabq</v>
      </c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</row>
    <row r="5833">
      <c r="A5833" s="5">
        <f>IFERROR(__xludf.DUMMYFUNCTION("""COMPUTED_VALUE"""),23912.0)</f>
        <v>23912</v>
      </c>
      <c r="B5833" s="5" t="str">
        <f>IFERROR(__xludf.DUMMYFUNCTION("""COMPUTED_VALUE"""),"هیأت")</f>
        <v>هیأت</v>
      </c>
      <c r="C5833" s="5" t="str">
        <f>IFERROR(__xludf.DUMMYFUNCTION("""COMPUTED_VALUE"""),"فاطمه الزهرا (س)")</f>
        <v>فاطمه الزهرا (س)</v>
      </c>
      <c r="D5833" s="5" t="str">
        <f>IFERROR(__xludf.DUMMYFUNCTION("""COMPUTED_VALUE"""),"اصفهان")</f>
        <v>اصفهان</v>
      </c>
      <c r="E5833" s="5" t="str">
        <f>IFERROR(__xludf.DUMMYFUNCTION("""COMPUTED_VALUE"""),"نجف آباد")</f>
        <v>نجف آباد</v>
      </c>
      <c r="F5833" s="5"/>
      <c r="G5833" s="5">
        <f>IFERROR(__xludf.DUMMYFUNCTION("""COMPUTED_VALUE"""),1.0)</f>
        <v>1</v>
      </c>
      <c r="H5833" s="6" t="str">
        <f>IFERROR(__xludf.DUMMYFUNCTION("""COMPUTED_VALUE"""),"https://www.instagram.com/heyathazratfatemehzahra")</f>
        <v>https://www.instagram.com/heyathazratfatemehzahra</v>
      </c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</row>
    <row r="5834">
      <c r="A5834" s="5">
        <f>IFERROR(__xludf.DUMMYFUNCTION("""COMPUTED_VALUE"""),23913.0)</f>
        <v>23913</v>
      </c>
      <c r="B5834" s="5" t="str">
        <f>IFERROR(__xludf.DUMMYFUNCTION("""COMPUTED_VALUE"""),"هیأت")</f>
        <v>هیأت</v>
      </c>
      <c r="C5834" s="5" t="str">
        <f>IFERROR(__xludf.DUMMYFUNCTION("""COMPUTED_VALUE"""),"رزمندگان")</f>
        <v>رزمندگان</v>
      </c>
      <c r="D5834" s="5" t="str">
        <f>IFERROR(__xludf.DUMMYFUNCTION("""COMPUTED_VALUE"""),"اصفهان")</f>
        <v>اصفهان</v>
      </c>
      <c r="E5834" s="5" t="str">
        <f>IFERROR(__xludf.DUMMYFUNCTION("""COMPUTED_VALUE"""),"نجف آباد")</f>
        <v>نجف آباد</v>
      </c>
      <c r="F5834" s="5"/>
      <c r="G5834" s="5"/>
      <c r="H5834" s="6" t="str">
        <f>IFERROR(__xludf.DUMMYFUNCTION("""COMPUTED_VALUE"""),"https://www.instagram.com/heyat.razmandegan_njf")</f>
        <v>https://www.instagram.com/heyat.razmandegan_njf</v>
      </c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</row>
    <row r="5835">
      <c r="A5835" s="5">
        <f>IFERROR(__xludf.DUMMYFUNCTION("""COMPUTED_VALUE"""),23978.0)</f>
        <v>23978</v>
      </c>
      <c r="B5835" s="5" t="str">
        <f>IFERROR(__xludf.DUMMYFUNCTION("""COMPUTED_VALUE"""),"هیأت")</f>
        <v>هیأت</v>
      </c>
      <c r="C5835" s="5" t="str">
        <f>IFERROR(__xludf.DUMMYFUNCTION("""COMPUTED_VALUE"""),"ابالفضلی")</f>
        <v>ابالفضلی</v>
      </c>
      <c r="D5835" s="5" t="str">
        <f>IFERROR(__xludf.DUMMYFUNCTION("""COMPUTED_VALUE"""),"اصفهان")</f>
        <v>اصفهان</v>
      </c>
      <c r="E5835" s="5" t="str">
        <f>IFERROR(__xludf.DUMMYFUNCTION("""COMPUTED_VALUE"""),"آران وبیدگل")</f>
        <v>آران وبیدگل</v>
      </c>
      <c r="F5835" s="5"/>
      <c r="G5835" s="5"/>
      <c r="H5835" s="6" t="str">
        <f>IFERROR(__xludf.DUMMYFUNCTION("""COMPUTED_VALUE"""),"https://www.instagram.com/heyat_abalfazliaran")</f>
        <v>https://www.instagram.com/heyat_abalfazliaran</v>
      </c>
      <c r="I5835" s="5"/>
      <c r="J5835" s="6" t="str">
        <f>IFERROR(__xludf.DUMMYFUNCTION("""COMPUTED_VALUE"""),"https://eitaa.com/heyat_abalfazliaran")</f>
        <v>https://eitaa.com/heyat_abalfazliaran</v>
      </c>
      <c r="K5835" s="5"/>
      <c r="L5835" s="5"/>
      <c r="M5835" s="5"/>
      <c r="N5835" s="5"/>
      <c r="O5835" s="5"/>
      <c r="P5835" s="5"/>
      <c r="Q5835" s="5"/>
      <c r="R5835" s="5"/>
      <c r="S5835" s="5"/>
    </row>
    <row r="5836">
      <c r="A5836" s="5">
        <f>IFERROR(__xludf.DUMMYFUNCTION("""COMPUTED_VALUE"""),23980.0)</f>
        <v>23980</v>
      </c>
      <c r="B5836" s="5" t="str">
        <f>IFERROR(__xludf.DUMMYFUNCTION("""COMPUTED_VALUE"""),"هیأت")</f>
        <v>هیأت</v>
      </c>
      <c r="C5836" s="5" t="str">
        <f>IFERROR(__xludf.DUMMYFUNCTION("""COMPUTED_VALUE"""),"فاطمه الزهرا (س)")</f>
        <v>فاطمه الزهرا (س)</v>
      </c>
      <c r="D5836" s="5" t="str">
        <f>IFERROR(__xludf.DUMMYFUNCTION("""COMPUTED_VALUE"""),"اصفهان")</f>
        <v>اصفهان</v>
      </c>
      <c r="E5836" s="5" t="str">
        <f>IFERROR(__xludf.DUMMYFUNCTION("""COMPUTED_VALUE"""),"شاهین شهر و میمه")</f>
        <v>شاهین شهر و میمه</v>
      </c>
      <c r="F5836" s="5"/>
      <c r="G5836" s="5"/>
      <c r="H5836" s="6" t="str">
        <f>IFERROR(__xludf.DUMMYFUNCTION("""COMPUTED_VALUE"""),"https://www.instagram.com/heyat_fatemehzahra_ss")</f>
        <v>https://www.instagram.com/heyat_fatemehzahra_ss</v>
      </c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</row>
    <row r="5837">
      <c r="A5837" s="5">
        <f>IFERROR(__xludf.DUMMYFUNCTION("""COMPUTED_VALUE"""),23982.0)</f>
        <v>23982</v>
      </c>
      <c r="B5837" s="5" t="str">
        <f>IFERROR(__xludf.DUMMYFUNCTION("""COMPUTED_VALUE"""),"هیأت")</f>
        <v>هیأت</v>
      </c>
      <c r="C5837" s="5" t="str">
        <f>IFERROR(__xludf.DUMMYFUNCTION("""COMPUTED_VALUE"""),"ابالفضل(ع)")</f>
        <v>ابالفضل(ع)</v>
      </c>
      <c r="D5837" s="5" t="str">
        <f>IFERROR(__xludf.DUMMYFUNCTION("""COMPUTED_VALUE"""),"اصفهان")</f>
        <v>اصفهان</v>
      </c>
      <c r="E5837" s="5" t="str">
        <f>IFERROR(__xludf.DUMMYFUNCTION("""COMPUTED_VALUE"""),"کاشان")</f>
        <v>کاشان</v>
      </c>
      <c r="F5837" s="5"/>
      <c r="G5837" s="5"/>
      <c r="H5837" s="6" t="str">
        <f>IFERROR(__xludf.DUMMYFUNCTION("""COMPUTED_VALUE"""),"https://www.instagram.com/abolfazl_finkashan")</f>
        <v>https://www.instagram.com/abolfazl_finkashan</v>
      </c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</row>
    <row r="5838">
      <c r="A5838" s="5">
        <f>IFERROR(__xludf.DUMMYFUNCTION("""COMPUTED_VALUE"""),24130.0)</f>
        <v>24130</v>
      </c>
      <c r="B5838" s="5" t="str">
        <f>IFERROR(__xludf.DUMMYFUNCTION("""COMPUTED_VALUE"""),"هیأت")</f>
        <v>هیأت</v>
      </c>
      <c r="C5838" s="5" t="str">
        <f>IFERROR(__xludf.DUMMYFUNCTION("""COMPUTED_VALUE"""),"محبین حضرت زهرا (س)")</f>
        <v>محبین حضرت زهرا (س)</v>
      </c>
      <c r="D5838" s="5" t="str">
        <f>IFERROR(__xludf.DUMMYFUNCTION("""COMPUTED_VALUE"""),"اصفهان")</f>
        <v>اصفهان</v>
      </c>
      <c r="E5838" s="5" t="str">
        <f>IFERROR(__xludf.DUMMYFUNCTION("""COMPUTED_VALUE"""),"اصفهان")</f>
        <v>اصفهان</v>
      </c>
      <c r="F5838" s="5"/>
      <c r="G5838" s="5"/>
      <c r="H5838" s="5"/>
      <c r="I5838" s="5"/>
      <c r="J5838" s="6" t="str">
        <f>IFERROR(__xludf.DUMMYFUNCTION("""COMPUTED_VALUE"""),"https://eitaa.com/mohedinzahra")</f>
        <v>https://eitaa.com/mohedinzahra</v>
      </c>
      <c r="K5838" s="5"/>
      <c r="L5838" s="5"/>
      <c r="M5838" s="5"/>
      <c r="N5838" s="5"/>
      <c r="O5838" s="5"/>
      <c r="P5838" s="5"/>
      <c r="Q5838" s="5"/>
      <c r="R5838" s="5"/>
      <c r="S5838" s="5"/>
    </row>
    <row r="5839">
      <c r="A5839" s="5">
        <f>IFERROR(__xludf.DUMMYFUNCTION("""COMPUTED_VALUE"""),24211.0)</f>
        <v>24211</v>
      </c>
      <c r="B5839" s="5" t="str">
        <f>IFERROR(__xludf.DUMMYFUNCTION("""COMPUTED_VALUE"""),"هیأت")</f>
        <v>هیأت</v>
      </c>
      <c r="C5839" s="5" t="str">
        <f>IFERROR(__xludf.DUMMYFUNCTION("""COMPUTED_VALUE"""),"محبان حضرت زهرا (س) افجد")</f>
        <v>محبان حضرت زهرا (س) افجد</v>
      </c>
      <c r="D5839" s="5" t="str">
        <f>IFERROR(__xludf.DUMMYFUNCTION("""COMPUTED_VALUE"""),"اصفهان")</f>
        <v>اصفهان</v>
      </c>
      <c r="E5839" s="5" t="str">
        <f>IFERROR(__xludf.DUMMYFUNCTION("""COMPUTED_VALUE"""),"فلاورجان")</f>
        <v>فلاورجان</v>
      </c>
      <c r="F5839" s="5"/>
      <c r="G5839" s="5"/>
      <c r="H5839" s="6" t="str">
        <f>IFERROR(__xludf.DUMMYFUNCTION("""COMPUTED_VALUE"""),"https://www.instagram.com/mohebbane_hazrate_zahra")</f>
        <v>https://www.instagram.com/mohebbane_hazrate_zahra</v>
      </c>
      <c r="I5839" s="6" t="str">
        <f>IFERROR(__xludf.DUMMYFUNCTION("""COMPUTED_VALUE"""),"https://t.me/ahlekasa")</f>
        <v>https://t.me/ahlekasa</v>
      </c>
      <c r="J5839" s="5"/>
      <c r="K5839" s="5"/>
      <c r="L5839" s="5"/>
      <c r="M5839" s="5"/>
      <c r="N5839" s="5"/>
      <c r="O5839" s="5"/>
      <c r="P5839" s="5"/>
      <c r="Q5839" s="5"/>
      <c r="R5839" s="5"/>
      <c r="S5839" s="5"/>
    </row>
    <row r="5840">
      <c r="A5840" s="5">
        <f>IFERROR(__xludf.DUMMYFUNCTION("""COMPUTED_VALUE"""),24212.0)</f>
        <v>24212</v>
      </c>
      <c r="B5840" s="5" t="str">
        <f>IFERROR(__xludf.DUMMYFUNCTION("""COMPUTED_VALUE"""),"هیأت")</f>
        <v>هیأت</v>
      </c>
      <c r="C5840" s="5" t="str">
        <f>IFERROR(__xludf.DUMMYFUNCTION("""COMPUTED_VALUE"""),"عزاداران جوانان بنی هاشم")</f>
        <v>عزاداران جوانان بنی هاشم</v>
      </c>
      <c r="D5840" s="5" t="str">
        <f>IFERROR(__xludf.DUMMYFUNCTION("""COMPUTED_VALUE"""),"اصفهان")</f>
        <v>اصفهان</v>
      </c>
      <c r="E5840" s="5" t="str">
        <f>IFERROR(__xludf.DUMMYFUNCTION("""COMPUTED_VALUE"""),"نجف آباد")</f>
        <v>نجف آباد</v>
      </c>
      <c r="F5840" s="5"/>
      <c r="G5840" s="5"/>
      <c r="H5840" s="6" t="str">
        <f>IFERROR(__xludf.DUMMYFUNCTION("""COMPUTED_VALUE"""),"https://www.instagram.com/javanan360")</f>
        <v>https://www.instagram.com/javanan360</v>
      </c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</row>
    <row r="5841">
      <c r="A5841" s="5">
        <f>IFERROR(__xludf.DUMMYFUNCTION("""COMPUTED_VALUE"""),24248.0)</f>
        <v>24248</v>
      </c>
      <c r="B5841" s="5" t="str">
        <f>IFERROR(__xludf.DUMMYFUNCTION("""COMPUTED_VALUE"""),"هیأت")</f>
        <v>هیأت</v>
      </c>
      <c r="C5841" s="5" t="str">
        <f>IFERROR(__xludf.DUMMYFUNCTION("""COMPUTED_VALUE"""),"حضرت ابوالفضل العباس (ع)")</f>
        <v>حضرت ابوالفضل العباس (ع)</v>
      </c>
      <c r="D5841" s="5" t="str">
        <f>IFERROR(__xludf.DUMMYFUNCTION("""COMPUTED_VALUE"""),"اصفهان")</f>
        <v>اصفهان</v>
      </c>
      <c r="E5841" s="5" t="str">
        <f>IFERROR(__xludf.DUMMYFUNCTION("""COMPUTED_VALUE"""),"آران وبیدگل")</f>
        <v>آران وبیدگل</v>
      </c>
      <c r="F5841" s="5"/>
      <c r="G5841" s="5"/>
      <c r="H5841" s="6" t="str">
        <f>IFERROR(__xludf.DUMMYFUNCTION("""COMPUTED_VALUE"""),"https://www.instagram.com/heyat_abalfazly_aran")</f>
        <v>https://www.instagram.com/heyat_abalfazly_aran</v>
      </c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</row>
    <row r="5842">
      <c r="A5842" s="5">
        <f>IFERROR(__xludf.DUMMYFUNCTION("""COMPUTED_VALUE"""),24422.0)</f>
        <v>24422</v>
      </c>
      <c r="B5842" s="5" t="str">
        <f>IFERROR(__xludf.DUMMYFUNCTION("""COMPUTED_VALUE"""),"هیأت")</f>
        <v>هیأت</v>
      </c>
      <c r="C5842" s="5" t="str">
        <f>IFERROR(__xludf.DUMMYFUNCTION("""COMPUTED_VALUE"""),"ثارالله (ع)")</f>
        <v>ثارالله (ع)</v>
      </c>
      <c r="D5842" s="5" t="str">
        <f>IFERROR(__xludf.DUMMYFUNCTION("""COMPUTED_VALUE"""),"اصفهان")</f>
        <v>اصفهان</v>
      </c>
      <c r="E5842" s="5" t="str">
        <f>IFERROR(__xludf.DUMMYFUNCTION("""COMPUTED_VALUE"""),"تیران و کرون")</f>
        <v>تیران و کرون</v>
      </c>
      <c r="F5842" s="5"/>
      <c r="G5842" s="5"/>
      <c r="H5842" s="6" t="str">
        <f>IFERROR(__xludf.DUMMYFUNCTION("""COMPUTED_VALUE"""),"https://www.instagram.com/tiransarallah")</f>
        <v>https://www.instagram.com/tiransarallah</v>
      </c>
      <c r="I5842" s="6" t="str">
        <f>IFERROR(__xludf.DUMMYFUNCTION("""COMPUTED_VALUE"""),"https://t.me/tiran_sarallah")</f>
        <v>https://t.me/tiran_sarallah</v>
      </c>
      <c r="J5842" s="5"/>
      <c r="K5842" s="5"/>
      <c r="L5842" s="5"/>
      <c r="M5842" s="5"/>
      <c r="N5842" s="5"/>
      <c r="O5842" s="5"/>
      <c r="P5842" s="5"/>
      <c r="Q5842" s="5"/>
      <c r="R5842" s="5"/>
      <c r="S5842" s="5"/>
    </row>
    <row r="5843">
      <c r="A5843" s="5">
        <f>IFERROR(__xludf.DUMMYFUNCTION("""COMPUTED_VALUE"""),24533.0)</f>
        <v>24533</v>
      </c>
      <c r="B5843" s="5" t="str">
        <f>IFERROR(__xludf.DUMMYFUNCTION("""COMPUTED_VALUE"""),"هیأت")</f>
        <v>هیأت</v>
      </c>
      <c r="C5843" s="5" t="str">
        <f>IFERROR(__xludf.DUMMYFUNCTION("""COMPUTED_VALUE"""),"موسسه و بنیاد ملی بینش مطهر")</f>
        <v>موسسه و بنیاد ملی بینش مطهر</v>
      </c>
      <c r="D5843" s="5" t="str">
        <f>IFERROR(__xludf.DUMMYFUNCTION("""COMPUTED_VALUE"""),"اصفهان")</f>
        <v>اصفهان</v>
      </c>
      <c r="E5843" s="5" t="str">
        <f>IFERROR(__xludf.DUMMYFUNCTION("""COMPUTED_VALUE"""),"اصفهان")</f>
        <v>اصفهان</v>
      </c>
      <c r="F5843" s="5"/>
      <c r="G5843" s="5"/>
      <c r="H5843" s="5"/>
      <c r="I5843" s="5"/>
      <c r="J5843" s="6" t="str">
        <f>IFERROR(__xludf.DUMMYFUNCTION("""COMPUTED_VALUE"""),"https://eitaa.com/bineshmotahar")</f>
        <v>https://eitaa.com/bineshmotahar</v>
      </c>
      <c r="K5843" s="5"/>
      <c r="L5843" s="5"/>
      <c r="M5843" s="5"/>
      <c r="N5843" s="5"/>
      <c r="O5843" s="5"/>
      <c r="P5843" s="5"/>
      <c r="Q5843" s="5"/>
      <c r="R5843" s="5"/>
      <c r="S5843" s="5"/>
    </row>
    <row r="5844">
      <c r="A5844" s="5">
        <f>IFERROR(__xludf.DUMMYFUNCTION("""COMPUTED_VALUE"""),24537.0)</f>
        <v>24537</v>
      </c>
      <c r="B5844" s="5" t="str">
        <f>IFERROR(__xludf.DUMMYFUNCTION("""COMPUTED_VALUE"""),"هیأت")</f>
        <v>هیأت</v>
      </c>
      <c r="C5844" s="5" t="str">
        <f>IFERROR(__xludf.DUMMYFUNCTION("""COMPUTED_VALUE"""),"رزمندگان اسلام")</f>
        <v>رزمندگان اسلام</v>
      </c>
      <c r="D5844" s="5" t="str">
        <f>IFERROR(__xludf.DUMMYFUNCTION("""COMPUTED_VALUE"""),"اصفهان")</f>
        <v>اصفهان</v>
      </c>
      <c r="E5844" s="5" t="str">
        <f>IFERROR(__xludf.DUMMYFUNCTION("""COMPUTED_VALUE"""),"فریدونشهر")</f>
        <v>فریدونشهر</v>
      </c>
      <c r="F5844" s="5"/>
      <c r="G5844" s="5"/>
      <c r="H5844" s="6" t="str">
        <f>IFERROR(__xludf.DUMMYFUNCTION("""COMPUTED_VALUE"""),"https://www.instagram.com/h.razmandeganfereydunshahr/")</f>
        <v>https://www.instagram.com/h.razmandeganfereydunshahr/</v>
      </c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</row>
    <row r="5845">
      <c r="A5845" s="5">
        <f>IFERROR(__xludf.DUMMYFUNCTION("""COMPUTED_VALUE"""),24560.0)</f>
        <v>24560</v>
      </c>
      <c r="B5845" s="5" t="str">
        <f>IFERROR(__xludf.DUMMYFUNCTION("""COMPUTED_VALUE"""),"هیأت")</f>
        <v>هیأت</v>
      </c>
      <c r="C5845" s="5" t="str">
        <f>IFERROR(__xludf.DUMMYFUNCTION("""COMPUTED_VALUE"""),"موسسه قرآنی تسنیم لنجان")</f>
        <v>موسسه قرآنی تسنیم لنجان</v>
      </c>
      <c r="D5845" s="5" t="str">
        <f>IFERROR(__xludf.DUMMYFUNCTION("""COMPUTED_VALUE"""),"اصفهان")</f>
        <v>اصفهان</v>
      </c>
      <c r="E5845" s="5" t="str">
        <f>IFERROR(__xludf.DUMMYFUNCTION("""COMPUTED_VALUE"""),"اصفهان")</f>
        <v>اصفهان</v>
      </c>
      <c r="F5845" s="5"/>
      <c r="G5845" s="5">
        <f>IFERROR(__xludf.DUMMYFUNCTION("""COMPUTED_VALUE"""),1.0)</f>
        <v>1</v>
      </c>
      <c r="H5845" s="6" t="str">
        <f>IFERROR(__xludf.DUMMYFUNCTION("""COMPUTED_VALUE"""),"https://www.instagram.com/tasnimlenjan")</f>
        <v>https://www.instagram.com/tasnimlenjan</v>
      </c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</row>
    <row r="5846">
      <c r="A5846" s="5">
        <f>IFERROR(__xludf.DUMMYFUNCTION("""COMPUTED_VALUE"""),24568.0)</f>
        <v>24568</v>
      </c>
      <c r="B5846" s="5" t="str">
        <f>IFERROR(__xludf.DUMMYFUNCTION("""COMPUTED_VALUE"""),"هیأت")</f>
        <v>هیأت</v>
      </c>
      <c r="C5846" s="5" t="str">
        <f>IFERROR(__xludf.DUMMYFUNCTION("""COMPUTED_VALUE"""),"ریحانه النبی (س)")</f>
        <v>ریحانه النبی (س)</v>
      </c>
      <c r="D5846" s="5" t="str">
        <f>IFERROR(__xludf.DUMMYFUNCTION("""COMPUTED_VALUE"""),"اصفهان")</f>
        <v>اصفهان</v>
      </c>
      <c r="E5846" s="5" t="str">
        <f>IFERROR(__xludf.DUMMYFUNCTION("""COMPUTED_VALUE"""),"شاهین شهر و میمه")</f>
        <v>شاهین شهر و میمه</v>
      </c>
      <c r="F5846" s="5"/>
      <c r="G5846" s="5">
        <f>IFERROR(__xludf.DUMMYFUNCTION("""COMPUTED_VALUE"""),1.0)</f>
        <v>1</v>
      </c>
      <c r="H5846" s="6" t="str">
        <f>IFERROR(__xludf.DUMMYFUNCTION("""COMPUTED_VALUE"""),"https://www.instagram.com/reyhaneh.esfahan")</f>
        <v>https://www.instagram.com/reyhaneh.esfahan</v>
      </c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</row>
    <row r="5847">
      <c r="A5847" s="5">
        <f>IFERROR(__xludf.DUMMYFUNCTION("""COMPUTED_VALUE"""),24615.0)</f>
        <v>24615</v>
      </c>
      <c r="B5847" s="5" t="str">
        <f>IFERROR(__xludf.DUMMYFUNCTION("""COMPUTED_VALUE"""),"هیأت")</f>
        <v>هیأت</v>
      </c>
      <c r="C5847" s="5" t="str">
        <f>IFERROR(__xludf.DUMMYFUNCTION("""COMPUTED_VALUE"""),"معظم روضه العباس (ع)")</f>
        <v>معظم روضه العباس (ع)</v>
      </c>
      <c r="D5847" s="5" t="str">
        <f>IFERROR(__xludf.DUMMYFUNCTION("""COMPUTED_VALUE"""),"اصفهان")</f>
        <v>اصفهان</v>
      </c>
      <c r="E5847" s="5" t="str">
        <f>IFERROR(__xludf.DUMMYFUNCTION("""COMPUTED_VALUE"""),"تیران و کرون")</f>
        <v>تیران و کرون</v>
      </c>
      <c r="F5847" s="5"/>
      <c r="G5847" s="5">
        <f>IFERROR(__xludf.DUMMYFUNCTION("""COMPUTED_VALUE"""),1.0)</f>
        <v>1</v>
      </c>
      <c r="H5847" s="6" t="str">
        <f>IFERROR(__xludf.DUMMYFUNCTION("""COMPUTED_VALUE"""),"https://www.instagram.com/zokhrolhossein")</f>
        <v>https://www.instagram.com/zokhrolhossein</v>
      </c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</row>
    <row r="5848">
      <c r="A5848" s="5">
        <f>IFERROR(__xludf.DUMMYFUNCTION("""COMPUTED_VALUE"""),24620.0)</f>
        <v>24620</v>
      </c>
      <c r="B5848" s="5" t="str">
        <f>IFERROR(__xludf.DUMMYFUNCTION("""COMPUTED_VALUE"""),"هیأت")</f>
        <v>هیأت</v>
      </c>
      <c r="C5848" s="5" t="str">
        <f>IFERROR(__xludf.DUMMYFUNCTION("""COMPUTED_VALUE"""),"حضرت سجاد (ع)")</f>
        <v>حضرت سجاد (ع)</v>
      </c>
      <c r="D5848" s="5" t="str">
        <f>IFERROR(__xludf.DUMMYFUNCTION("""COMPUTED_VALUE"""),"اصفهان")</f>
        <v>اصفهان</v>
      </c>
      <c r="E5848" s="5" t="str">
        <f>IFERROR(__xludf.DUMMYFUNCTION("""COMPUTED_VALUE"""),"اصفهان")</f>
        <v>اصفهان</v>
      </c>
      <c r="F5848" s="5"/>
      <c r="G5848" s="5"/>
      <c r="H5848" s="6" t="str">
        <f>IFERROR(__xludf.DUMMYFUNCTION("""COMPUTED_VALUE"""),"https://www.instagram.com/heyat_hazratsajjad.esfahan")</f>
        <v>https://www.instagram.com/heyat_hazratsajjad.esfahan</v>
      </c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</row>
    <row r="5849">
      <c r="A5849" s="5">
        <f>IFERROR(__xludf.DUMMYFUNCTION("""COMPUTED_VALUE"""),24638.0)</f>
        <v>24638</v>
      </c>
      <c r="B5849" s="5" t="str">
        <f>IFERROR(__xludf.DUMMYFUNCTION("""COMPUTED_VALUE"""),"هیأت")</f>
        <v>هیأت</v>
      </c>
      <c r="C5849" s="5" t="str">
        <f>IFERROR(__xludf.DUMMYFUNCTION("""COMPUTED_VALUE"""),"حضرت علی اکبر(ع)")</f>
        <v>حضرت علی اکبر(ع)</v>
      </c>
      <c r="D5849" s="5" t="str">
        <f>IFERROR(__xludf.DUMMYFUNCTION("""COMPUTED_VALUE"""),"اصفهان")</f>
        <v>اصفهان</v>
      </c>
      <c r="E5849" s="5" t="str">
        <f>IFERROR(__xludf.DUMMYFUNCTION("""COMPUTED_VALUE"""),"دهاقان")</f>
        <v>دهاقان</v>
      </c>
      <c r="F5849" s="5"/>
      <c r="G5849" s="5">
        <f>IFERROR(__xludf.DUMMYFUNCTION("""COMPUTED_VALUE"""),1.0)</f>
        <v>1</v>
      </c>
      <c r="H5849" s="6" t="str">
        <f>IFERROR(__xludf.DUMMYFUNCTION("""COMPUTED_VALUE"""),"https://www.instagram.com/heyate_h_ali_akbar")</f>
        <v>https://www.instagram.com/heyate_h_ali_akbar</v>
      </c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</row>
    <row r="5850">
      <c r="A5850" s="5">
        <f>IFERROR(__xludf.DUMMYFUNCTION("""COMPUTED_VALUE"""),24649.0)</f>
        <v>24649</v>
      </c>
      <c r="B5850" s="5" t="str">
        <f>IFERROR(__xludf.DUMMYFUNCTION("""COMPUTED_VALUE"""),"هیأت")</f>
        <v>هیأت</v>
      </c>
      <c r="C5850" s="5" t="str">
        <f>IFERROR(__xludf.DUMMYFUNCTION("""COMPUTED_VALUE"""),"کانون فرهنگی مهدویت و آینده پژوهی")</f>
        <v>کانون فرهنگی مهدویت و آینده پژوهی</v>
      </c>
      <c r="D5850" s="5" t="str">
        <f>IFERROR(__xludf.DUMMYFUNCTION("""COMPUTED_VALUE"""),"اصفهان")</f>
        <v>اصفهان</v>
      </c>
      <c r="E5850" s="5" t="str">
        <f>IFERROR(__xludf.DUMMYFUNCTION("""COMPUTED_VALUE"""),"فلاورجان")</f>
        <v>فلاورجان</v>
      </c>
      <c r="F5850" s="5"/>
      <c r="G5850" s="5"/>
      <c r="H5850" s="6" t="str">
        <f>IFERROR(__xludf.DUMMYFUNCTION("""COMPUTED_VALUE"""),"https://www.instagram.com/mahdaviat_isf")</f>
        <v>https://www.instagram.com/mahdaviat_isf</v>
      </c>
      <c r="I5850" s="5"/>
      <c r="J5850" s="6" t="str">
        <f>IFERROR(__xludf.DUMMYFUNCTION("""COMPUTED_VALUE"""),"https://eitaa.com/bonyadmahdaviatesf")</f>
        <v>https://eitaa.com/bonyadmahdaviatesf</v>
      </c>
      <c r="K5850" s="5"/>
      <c r="L5850" s="5"/>
      <c r="M5850" s="5"/>
      <c r="N5850" s="5"/>
      <c r="O5850" s="5"/>
      <c r="P5850" s="5"/>
      <c r="Q5850" s="5"/>
      <c r="R5850" s="5"/>
      <c r="S5850" s="5"/>
    </row>
    <row r="5851">
      <c r="A5851" s="5">
        <f>IFERROR(__xludf.DUMMYFUNCTION("""COMPUTED_VALUE"""),24651.0)</f>
        <v>24651</v>
      </c>
      <c r="B5851" s="5" t="str">
        <f>IFERROR(__xludf.DUMMYFUNCTION("""COMPUTED_VALUE"""),"هیأت")</f>
        <v>هیأت</v>
      </c>
      <c r="C5851" s="5" t="str">
        <f>IFERROR(__xludf.DUMMYFUNCTION("""COMPUTED_VALUE"""),"آل یاسین")</f>
        <v>آل یاسین</v>
      </c>
      <c r="D5851" s="5" t="str">
        <f>IFERROR(__xludf.DUMMYFUNCTION("""COMPUTED_VALUE"""),"اصفهان")</f>
        <v>اصفهان</v>
      </c>
      <c r="E5851" s="5" t="str">
        <f>IFERROR(__xludf.DUMMYFUNCTION("""COMPUTED_VALUE"""),"برخوار")</f>
        <v>برخوار</v>
      </c>
      <c r="F5851" s="5"/>
      <c r="G5851" s="5"/>
      <c r="H5851" s="5"/>
      <c r="I5851" s="6" t="str">
        <f>IFERROR(__xludf.DUMMYFUNCTION("""COMPUTED_VALUE"""),"https://t.me/aleyasinnj")</f>
        <v>https://t.me/aleyasinnj</v>
      </c>
      <c r="J5851" s="5"/>
      <c r="K5851" s="5"/>
      <c r="L5851" s="5"/>
      <c r="M5851" s="5"/>
      <c r="N5851" s="5"/>
      <c r="O5851" s="5"/>
      <c r="P5851" s="5"/>
      <c r="Q5851" s="5"/>
      <c r="R5851" s="5"/>
      <c r="S5851" s="5"/>
    </row>
    <row r="5852">
      <c r="A5852" s="5">
        <f>IFERROR(__xludf.DUMMYFUNCTION("""COMPUTED_VALUE"""),24687.0)</f>
        <v>24687</v>
      </c>
      <c r="B5852" s="5" t="str">
        <f>IFERROR(__xludf.DUMMYFUNCTION("""COMPUTED_VALUE"""),"هیأت")</f>
        <v>هیأت</v>
      </c>
      <c r="C5852" s="5" t="str">
        <f>IFERROR(__xludf.DUMMYFUNCTION("""COMPUTED_VALUE"""),"فاطمیه")</f>
        <v>فاطمیه</v>
      </c>
      <c r="D5852" s="5" t="str">
        <f>IFERROR(__xludf.DUMMYFUNCTION("""COMPUTED_VALUE"""),"اصفهان")</f>
        <v>اصفهان</v>
      </c>
      <c r="E5852" s="5" t="str">
        <f>IFERROR(__xludf.DUMMYFUNCTION("""COMPUTED_VALUE"""),"سمیرم")</f>
        <v>سمیرم</v>
      </c>
      <c r="F5852" s="5"/>
      <c r="G5852" s="5"/>
      <c r="H5852" s="5"/>
      <c r="I5852" s="5"/>
      <c r="J5852" s="6" t="str">
        <f>IFERROR(__xludf.DUMMYFUNCTION("""COMPUTED_VALUE"""),"https://eitaa.com/FatemiyehESF")</f>
        <v>https://eitaa.com/FatemiyehESF</v>
      </c>
      <c r="K5852" s="5"/>
      <c r="L5852" s="5"/>
      <c r="M5852" s="5"/>
      <c r="N5852" s="5"/>
      <c r="O5852" s="5"/>
      <c r="P5852" s="5"/>
      <c r="Q5852" s="5"/>
      <c r="R5852" s="5"/>
      <c r="S5852" s="5"/>
    </row>
    <row r="5853">
      <c r="A5853" s="5">
        <f>IFERROR(__xludf.DUMMYFUNCTION("""COMPUTED_VALUE"""),24692.0)</f>
        <v>24692</v>
      </c>
      <c r="B5853" s="5" t="str">
        <f>IFERROR(__xludf.DUMMYFUNCTION("""COMPUTED_VALUE"""),"هیأت")</f>
        <v>هیأت</v>
      </c>
      <c r="C5853" s="5" t="str">
        <f>IFERROR(__xludf.DUMMYFUNCTION("""COMPUTED_VALUE"""),"علویون")</f>
        <v>علویون</v>
      </c>
      <c r="D5853" s="5" t="str">
        <f>IFERROR(__xludf.DUMMYFUNCTION("""COMPUTED_VALUE"""),"اصفهان")</f>
        <v>اصفهان</v>
      </c>
      <c r="E5853" s="5" t="str">
        <f>IFERROR(__xludf.DUMMYFUNCTION("""COMPUTED_VALUE"""),"سمیرم")</f>
        <v>سمیرم</v>
      </c>
      <c r="F5853" s="5"/>
      <c r="G5853" s="5"/>
      <c r="H5853" s="6" t="str">
        <f>IFERROR(__xludf.DUMMYFUNCTION("""COMPUTED_VALUE"""),"https://www.instagram.com/heyate_alavioon110")</f>
        <v>https://www.instagram.com/heyate_alavioon110</v>
      </c>
      <c r="I5853" s="6" t="str">
        <f>IFERROR(__xludf.DUMMYFUNCTION("""COMPUTED_VALUE"""),"https://t.me/heyate_alavioon110")</f>
        <v>https://t.me/heyate_alavioon110</v>
      </c>
      <c r="J5853" s="5"/>
      <c r="K5853" s="5"/>
      <c r="L5853" s="5"/>
      <c r="M5853" s="5"/>
      <c r="N5853" s="5"/>
      <c r="O5853" s="5"/>
      <c r="P5853" s="5"/>
      <c r="Q5853" s="5"/>
      <c r="R5853" s="5"/>
      <c r="S5853" s="5"/>
    </row>
    <row r="5854">
      <c r="A5854" s="5">
        <f>IFERROR(__xludf.DUMMYFUNCTION("""COMPUTED_VALUE"""),24726.0)</f>
        <v>24726</v>
      </c>
      <c r="B5854" s="5" t="str">
        <f>IFERROR(__xludf.DUMMYFUNCTION("""COMPUTED_VALUE"""),"هیأت")</f>
        <v>هیأت</v>
      </c>
      <c r="C5854" s="5" t="str">
        <f>IFERROR(__xludf.DUMMYFUNCTION("""COMPUTED_VALUE"""),"حبیب بن مظاهر")</f>
        <v>حبیب بن مظاهر</v>
      </c>
      <c r="D5854" s="5" t="str">
        <f>IFERROR(__xludf.DUMMYFUNCTION("""COMPUTED_VALUE"""),"اصفهان")</f>
        <v>اصفهان</v>
      </c>
      <c r="E5854" s="5" t="str">
        <f>IFERROR(__xludf.DUMMYFUNCTION("""COMPUTED_VALUE"""),"برخوار")</f>
        <v>برخوار</v>
      </c>
      <c r="F5854" s="5"/>
      <c r="G5854" s="5">
        <f>IFERROR(__xludf.DUMMYFUNCTION("""COMPUTED_VALUE"""),1.0)</f>
        <v>1</v>
      </c>
      <c r="H5854" s="6" t="str">
        <f>IFERROR(__xludf.DUMMYFUNCTION("""COMPUTED_VALUE"""),"https://www.instagram.com/habib_ebneh_mazaher")</f>
        <v>https://www.instagram.com/habib_ebneh_mazaher</v>
      </c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</row>
    <row r="5855">
      <c r="A5855" s="5">
        <f>IFERROR(__xludf.DUMMYFUNCTION("""COMPUTED_VALUE"""),24766.0)</f>
        <v>24766</v>
      </c>
      <c r="B5855" s="5" t="str">
        <f>IFERROR(__xludf.DUMMYFUNCTION("""COMPUTED_VALUE"""),"هیأت")</f>
        <v>هیأت</v>
      </c>
      <c r="C5855" s="5" t="str">
        <f>IFERROR(__xludf.DUMMYFUNCTION("""COMPUTED_VALUE"""),"محبین حضرت زهرا (س)")</f>
        <v>محبین حضرت زهرا (س)</v>
      </c>
      <c r="D5855" s="5" t="str">
        <f>IFERROR(__xludf.DUMMYFUNCTION("""COMPUTED_VALUE"""),"اصفهان")</f>
        <v>اصفهان</v>
      </c>
      <c r="E5855" s="5" t="str">
        <f>IFERROR(__xludf.DUMMYFUNCTION("""COMPUTED_VALUE"""),"خور و بیابانک")</f>
        <v>خور و بیابانک</v>
      </c>
      <c r="F5855" s="5"/>
      <c r="G5855" s="5"/>
      <c r="H5855" s="6" t="str">
        <f>IFERROR(__xludf.DUMMYFUNCTION("""COMPUTED_VALUE"""),"https://www.instagram.com/mohebinhazratzahra")</f>
        <v>https://www.instagram.com/mohebinhazratzahra</v>
      </c>
      <c r="I5855" s="5"/>
      <c r="J5855" s="6" t="str">
        <f>IFERROR(__xludf.DUMMYFUNCTION("""COMPUTED_VALUE"""),"https://eitaa.com/mohebinhazratzahra")</f>
        <v>https://eitaa.com/mohebinhazratzahra</v>
      </c>
      <c r="K5855" s="5"/>
      <c r="L5855" s="5"/>
      <c r="M5855" s="5"/>
      <c r="N5855" s="5"/>
      <c r="O5855" s="5"/>
      <c r="P5855" s="5"/>
      <c r="Q5855" s="5"/>
      <c r="R5855" s="5"/>
      <c r="S5855" s="5"/>
    </row>
    <row r="5856">
      <c r="A5856" s="5">
        <f>IFERROR(__xludf.DUMMYFUNCTION("""COMPUTED_VALUE"""),24779.0)</f>
        <v>24779</v>
      </c>
      <c r="B5856" s="5" t="str">
        <f>IFERROR(__xludf.DUMMYFUNCTION("""COMPUTED_VALUE"""),"هیأت")</f>
        <v>هیأت</v>
      </c>
      <c r="C5856" s="5" t="str">
        <f>IFERROR(__xludf.DUMMYFUNCTION("""COMPUTED_VALUE"""),"مهدویون")</f>
        <v>مهدویون</v>
      </c>
      <c r="D5856" s="5" t="str">
        <f>IFERROR(__xludf.DUMMYFUNCTION("""COMPUTED_VALUE"""),"اصفهان")</f>
        <v>اصفهان</v>
      </c>
      <c r="E5856" s="5" t="str">
        <f>IFERROR(__xludf.DUMMYFUNCTION("""COMPUTED_VALUE"""),"اصفهان")</f>
        <v>اصفهان</v>
      </c>
      <c r="F5856" s="5"/>
      <c r="G5856" s="5"/>
      <c r="H5856" s="6" t="str">
        <f>IFERROR(__xludf.DUMMYFUNCTION("""COMPUTED_VALUE"""),"https://www.instagram.com/mahdaviyoon_esf")</f>
        <v>https://www.instagram.com/mahdaviyoon_esf</v>
      </c>
      <c r="I5856" s="5"/>
      <c r="J5856" s="6" t="str">
        <f>IFERROR(__xludf.DUMMYFUNCTION("""COMPUTED_VALUE"""),"https://eitaa.com/mahdaviyoon_esf")</f>
        <v>https://eitaa.com/mahdaviyoon_esf</v>
      </c>
      <c r="K5856" s="5"/>
      <c r="L5856" s="5"/>
      <c r="M5856" s="5"/>
      <c r="N5856" s="5"/>
      <c r="O5856" s="5"/>
      <c r="P5856" s="5"/>
      <c r="Q5856" s="5"/>
      <c r="R5856" s="5"/>
      <c r="S5856" s="5"/>
    </row>
    <row r="5857">
      <c r="A5857" s="5">
        <f>IFERROR(__xludf.DUMMYFUNCTION("""COMPUTED_VALUE"""),24787.0)</f>
        <v>24787</v>
      </c>
      <c r="B5857" s="5" t="str">
        <f>IFERROR(__xludf.DUMMYFUNCTION("""COMPUTED_VALUE"""),"هیأت")</f>
        <v>هیأت</v>
      </c>
      <c r="C5857" s="5" t="str">
        <f>IFERROR(__xludf.DUMMYFUNCTION("""COMPUTED_VALUE"""),"فاطمیون")</f>
        <v>فاطمیون</v>
      </c>
      <c r="D5857" s="5" t="str">
        <f>IFERROR(__xludf.DUMMYFUNCTION("""COMPUTED_VALUE"""),"اصفهان")</f>
        <v>اصفهان</v>
      </c>
      <c r="E5857" s="5" t="str">
        <f>IFERROR(__xludf.DUMMYFUNCTION("""COMPUTED_VALUE"""),"شاهین شهر و میمه")</f>
        <v>شاهین شهر و میمه</v>
      </c>
      <c r="F5857" s="5"/>
      <c r="G5857" s="5">
        <f>IFERROR(__xludf.DUMMYFUNCTION("""COMPUTED_VALUE"""),1.0)</f>
        <v>1</v>
      </c>
      <c r="H5857" s="6" t="str">
        <f>IFERROR(__xludf.DUMMYFUNCTION("""COMPUTED_VALUE"""),"https://www.instagram.com/fatemyoun_esfahan")</f>
        <v>https://www.instagram.com/fatemyoun_esfahan</v>
      </c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</row>
    <row r="5858">
      <c r="A5858" s="5">
        <f>IFERROR(__xludf.DUMMYFUNCTION("""COMPUTED_VALUE"""),24795.0)</f>
        <v>24795</v>
      </c>
      <c r="B5858" s="5" t="str">
        <f>IFERROR(__xludf.DUMMYFUNCTION("""COMPUTED_VALUE"""),"هیأت")</f>
        <v>هیأت</v>
      </c>
      <c r="C5858" s="5" t="str">
        <f>IFERROR(__xludf.DUMMYFUNCTION("""COMPUTED_VALUE"""),"محبین حضرت فاطمه (س)")</f>
        <v>محبین حضرت فاطمه (س)</v>
      </c>
      <c r="D5858" s="5" t="str">
        <f>IFERROR(__xludf.DUMMYFUNCTION("""COMPUTED_VALUE"""),"اصفهان")</f>
        <v>اصفهان</v>
      </c>
      <c r="E5858" s="5" t="str">
        <f>IFERROR(__xludf.DUMMYFUNCTION("""COMPUTED_VALUE"""),"لنجان")</f>
        <v>لنجان</v>
      </c>
      <c r="F5858" s="5"/>
      <c r="G5858" s="5"/>
      <c r="H5858" s="5"/>
      <c r="I5858" s="5"/>
      <c r="J5858" s="6" t="str">
        <f>IFERROR(__xludf.DUMMYFUNCTION("""COMPUTED_VALUE"""),"https://eitaa.com/mohedinzahra")</f>
        <v>https://eitaa.com/mohedinzahra</v>
      </c>
      <c r="K5858" s="5"/>
      <c r="L5858" s="5"/>
      <c r="M5858" s="5"/>
      <c r="N5858" s="5"/>
      <c r="O5858" s="5"/>
      <c r="P5858" s="5"/>
      <c r="Q5858" s="5"/>
      <c r="R5858" s="5"/>
      <c r="S5858" s="5"/>
    </row>
    <row r="5859">
      <c r="A5859" s="5">
        <f>IFERROR(__xludf.DUMMYFUNCTION("""COMPUTED_VALUE"""),24802.0)</f>
        <v>24802</v>
      </c>
      <c r="B5859" s="5" t="str">
        <f>IFERROR(__xludf.DUMMYFUNCTION("""COMPUTED_VALUE"""),"هیأت")</f>
        <v>هیأت</v>
      </c>
      <c r="C5859" s="5" t="str">
        <f>IFERROR(__xludf.DUMMYFUNCTION("""COMPUTED_VALUE"""),"فاطمیه")</f>
        <v>فاطمیه</v>
      </c>
      <c r="D5859" s="5" t="str">
        <f>IFERROR(__xludf.DUMMYFUNCTION("""COMPUTED_VALUE"""),"اصفهان")</f>
        <v>اصفهان</v>
      </c>
      <c r="E5859" s="5" t="str">
        <f>IFERROR(__xludf.DUMMYFUNCTION("""COMPUTED_VALUE"""),"برخوار")</f>
        <v>برخوار</v>
      </c>
      <c r="F5859" s="5"/>
      <c r="G5859" s="5"/>
      <c r="H5859" s="6" t="str">
        <f>IFERROR(__xludf.DUMMYFUNCTION("""COMPUTED_VALUE"""),"https://www.instagram.com/fatemiye.isfahan")</f>
        <v>https://www.instagram.com/fatemiye.isfahan</v>
      </c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</row>
    <row r="5860">
      <c r="A5860" s="5">
        <f>IFERROR(__xludf.DUMMYFUNCTION("""COMPUTED_VALUE"""),24807.0)</f>
        <v>24807</v>
      </c>
      <c r="B5860" s="5" t="str">
        <f>IFERROR(__xludf.DUMMYFUNCTION("""COMPUTED_VALUE"""),"هیأت")</f>
        <v>هیأت</v>
      </c>
      <c r="C5860" s="5" t="str">
        <f>IFERROR(__xludf.DUMMYFUNCTION("""COMPUTED_VALUE"""),"فاطمیه سر کوچه آران")</f>
        <v>فاطمیه سر کوچه آران</v>
      </c>
      <c r="D5860" s="5" t="str">
        <f>IFERROR(__xludf.DUMMYFUNCTION("""COMPUTED_VALUE"""),"اصفهان")</f>
        <v>اصفهان</v>
      </c>
      <c r="E5860" s="5" t="str">
        <f>IFERROR(__xludf.DUMMYFUNCTION("""COMPUTED_VALUE"""),"آران وبیدگل")</f>
        <v>آران وبیدگل</v>
      </c>
      <c r="F5860" s="5"/>
      <c r="G5860" s="5"/>
      <c r="H5860" s="6" t="str">
        <f>IFERROR(__xludf.DUMMYFUNCTION("""COMPUTED_VALUE"""),"https://www.instagram.com/heyat_fatemiye_aran")</f>
        <v>https://www.instagram.com/heyat_fatemiye_aran</v>
      </c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</row>
    <row r="5861">
      <c r="A5861" s="5">
        <f>IFERROR(__xludf.DUMMYFUNCTION("""COMPUTED_VALUE"""),24876.0)</f>
        <v>24876</v>
      </c>
      <c r="B5861" s="5" t="str">
        <f>IFERROR(__xludf.DUMMYFUNCTION("""COMPUTED_VALUE"""),"هیأت")</f>
        <v>هیأت</v>
      </c>
      <c r="C5861" s="5" t="str">
        <f>IFERROR(__xludf.DUMMYFUNCTION("""COMPUTED_VALUE"""),"جوانان بنی هاشم (ع)")</f>
        <v>جوانان بنی هاشم (ع)</v>
      </c>
      <c r="D5861" s="5" t="str">
        <f>IFERROR(__xludf.DUMMYFUNCTION("""COMPUTED_VALUE"""),"اصفهان")</f>
        <v>اصفهان</v>
      </c>
      <c r="E5861" s="5" t="str">
        <f>IFERROR(__xludf.DUMMYFUNCTION("""COMPUTED_VALUE"""),"اصفهان")</f>
        <v>اصفهان</v>
      </c>
      <c r="F5861" s="5"/>
      <c r="G5861" s="5">
        <f>IFERROR(__xludf.DUMMYFUNCTION("""COMPUTED_VALUE"""),1.0)</f>
        <v>1</v>
      </c>
      <c r="H5861" s="6" t="str">
        <f>IFERROR(__xludf.DUMMYFUNCTION("""COMPUTED_VALUE"""),"https://www.instagram.com/abalfazle_al_abbas")</f>
        <v>https://www.instagram.com/abalfazle_al_abbas</v>
      </c>
      <c r="I5861" s="6" t="str">
        <f>IFERROR(__xludf.DUMMYFUNCTION("""COMPUTED_VALUE"""),"https://t.me/abalfazle_al_abbas")</f>
        <v>https://t.me/abalfazle_al_abbas</v>
      </c>
      <c r="J5861" s="5"/>
      <c r="K5861" s="5"/>
      <c r="L5861" s="5"/>
      <c r="M5861" s="5"/>
      <c r="N5861" s="5"/>
      <c r="O5861" s="5"/>
      <c r="P5861" s="5"/>
      <c r="Q5861" s="5"/>
      <c r="R5861" s="5"/>
      <c r="S5861" s="5"/>
    </row>
    <row r="5862">
      <c r="A5862" s="5">
        <f>IFERROR(__xludf.DUMMYFUNCTION("""COMPUTED_VALUE"""),24900.0)</f>
        <v>24900</v>
      </c>
      <c r="B5862" s="5" t="str">
        <f>IFERROR(__xludf.DUMMYFUNCTION("""COMPUTED_VALUE"""),"هیأت")</f>
        <v>هیأت</v>
      </c>
      <c r="C5862" s="5" t="str">
        <f>IFERROR(__xludf.DUMMYFUNCTION("""COMPUTED_VALUE"""),"یازهرا (س)")</f>
        <v>یازهرا (س)</v>
      </c>
      <c r="D5862" s="5" t="str">
        <f>IFERROR(__xludf.DUMMYFUNCTION("""COMPUTED_VALUE"""),"اصفهان")</f>
        <v>اصفهان</v>
      </c>
      <c r="E5862" s="5" t="str">
        <f>IFERROR(__xludf.DUMMYFUNCTION("""COMPUTED_VALUE"""),"اصفهان")</f>
        <v>اصفهان</v>
      </c>
      <c r="F5862" s="5"/>
      <c r="G5862" s="5"/>
      <c r="H5862" s="5"/>
      <c r="I5862" s="5"/>
      <c r="J5862" s="6" t="str">
        <f>IFERROR(__xludf.DUMMYFUNCTION("""COMPUTED_VALUE"""),"https://eitaa.com/yazahra_isfahan")</f>
        <v>https://eitaa.com/yazahra_isfahan</v>
      </c>
      <c r="K5862" s="5"/>
      <c r="L5862" s="5"/>
      <c r="M5862" s="5"/>
      <c r="N5862" s="5"/>
      <c r="O5862" s="5"/>
      <c r="P5862" s="5"/>
      <c r="Q5862" s="5"/>
      <c r="R5862" s="5"/>
      <c r="S5862" s="5"/>
    </row>
    <row r="5863">
      <c r="A5863" s="5">
        <f>IFERROR(__xludf.DUMMYFUNCTION("""COMPUTED_VALUE"""),24954.0)</f>
        <v>24954</v>
      </c>
      <c r="B5863" s="5" t="str">
        <f>IFERROR(__xludf.DUMMYFUNCTION("""COMPUTED_VALUE"""),"هیأت")</f>
        <v>هیأت</v>
      </c>
      <c r="C5863" s="5" t="str">
        <f>IFERROR(__xludf.DUMMYFUNCTION("""COMPUTED_VALUE"""),"محبان حضرت زهرا (س)")</f>
        <v>محبان حضرت زهرا (س)</v>
      </c>
      <c r="D5863" s="5" t="str">
        <f>IFERROR(__xludf.DUMMYFUNCTION("""COMPUTED_VALUE"""),"اصفهان")</f>
        <v>اصفهان</v>
      </c>
      <c r="E5863" s="5" t="str">
        <f>IFERROR(__xludf.DUMMYFUNCTION("""COMPUTED_VALUE"""),"اصفهان")</f>
        <v>اصفهان</v>
      </c>
      <c r="F5863" s="5"/>
      <c r="G5863" s="5"/>
      <c r="H5863" s="6" t="str">
        <f>IFERROR(__xludf.DUMMYFUNCTION("""COMPUTED_VALUE"""),"https://www.instagram.com/moheban_alzahra135")</f>
        <v>https://www.instagram.com/moheban_alzahra135</v>
      </c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</row>
    <row r="5864">
      <c r="A5864" s="5">
        <f>IFERROR(__xludf.DUMMYFUNCTION("""COMPUTED_VALUE"""),25024.0)</f>
        <v>25024</v>
      </c>
      <c r="B5864" s="5" t="str">
        <f>IFERROR(__xludf.DUMMYFUNCTION("""COMPUTED_VALUE"""),"هیأت")</f>
        <v>هیأت</v>
      </c>
      <c r="C5864" s="5" t="str">
        <f>IFERROR(__xludf.DUMMYFUNCTION("""COMPUTED_VALUE"""),"محفل لثارات الحسین (ع)")</f>
        <v>محفل لثارات الحسین (ع)</v>
      </c>
      <c r="D5864" s="5" t="str">
        <f>IFERROR(__xludf.DUMMYFUNCTION("""COMPUTED_VALUE"""),"اصفهان")</f>
        <v>اصفهان</v>
      </c>
      <c r="E5864" s="5" t="str">
        <f>IFERROR(__xludf.DUMMYFUNCTION("""COMPUTED_VALUE"""),"اصفهان")</f>
        <v>اصفهان</v>
      </c>
      <c r="F5864" s="5"/>
      <c r="G5864" s="5"/>
      <c r="H5864" s="6" t="str">
        <f>IFERROR(__xludf.DUMMYFUNCTION("""COMPUTED_VALUE"""),"https://www.instagram.com/haiat_lasarat_alhossin")</f>
        <v>https://www.instagram.com/haiat_lasarat_alhossin</v>
      </c>
      <c r="I5864" s="5"/>
      <c r="J5864" s="6" t="str">
        <f>IFERROR(__xludf.DUMMYFUNCTION("""COMPUTED_VALUE"""),"https://eitaa.com/Lasarat_Alhossinir")</f>
        <v>https://eitaa.com/Lasarat_Alhossinir</v>
      </c>
      <c r="K5864" s="5"/>
      <c r="L5864" s="5"/>
      <c r="M5864" s="5"/>
      <c r="N5864" s="5"/>
      <c r="O5864" s="5"/>
      <c r="P5864" s="5"/>
      <c r="Q5864" s="5"/>
      <c r="R5864" s="5"/>
      <c r="S5864" s="5"/>
    </row>
    <row r="5865">
      <c r="A5865" s="5">
        <f>IFERROR(__xludf.DUMMYFUNCTION("""COMPUTED_VALUE"""),25061.0)</f>
        <v>25061</v>
      </c>
      <c r="B5865" s="5" t="str">
        <f>IFERROR(__xludf.DUMMYFUNCTION("""COMPUTED_VALUE"""),"هیأت")</f>
        <v>هیأت</v>
      </c>
      <c r="C5865" s="5" t="str">
        <f>IFERROR(__xludf.DUMMYFUNCTION("""COMPUTED_VALUE"""),"مجموعه فرهنگی آفاق")</f>
        <v>مجموعه فرهنگی آفاق</v>
      </c>
      <c r="D5865" s="5" t="str">
        <f>IFERROR(__xludf.DUMMYFUNCTION("""COMPUTED_VALUE"""),"اصفهان")</f>
        <v>اصفهان</v>
      </c>
      <c r="E5865" s="5" t="str">
        <f>IFERROR(__xludf.DUMMYFUNCTION("""COMPUTED_VALUE"""),"خمینی شهر")</f>
        <v>خمینی شهر</v>
      </c>
      <c r="F5865" s="5"/>
      <c r="G5865" s="5">
        <f>IFERROR(__xludf.DUMMYFUNCTION("""COMPUTED_VALUE"""),1.0)</f>
        <v>1</v>
      </c>
      <c r="H5865" s="5"/>
      <c r="I5865" s="5"/>
      <c r="J5865" s="6" t="str">
        <f>IFERROR(__xludf.DUMMYFUNCTION("""COMPUTED_VALUE"""),"https://eitaa.com/Afagh_aci")</f>
        <v>https://eitaa.com/Afagh_aci</v>
      </c>
      <c r="K5865" s="5"/>
      <c r="L5865" s="5"/>
      <c r="M5865" s="5"/>
      <c r="N5865" s="5"/>
      <c r="O5865" s="5"/>
      <c r="P5865" s="5"/>
      <c r="Q5865" s="5"/>
      <c r="R5865" s="5"/>
      <c r="S5865" s="5"/>
    </row>
    <row r="5866">
      <c r="A5866" s="5">
        <f>IFERROR(__xludf.DUMMYFUNCTION("""COMPUTED_VALUE"""),25081.0)</f>
        <v>25081</v>
      </c>
      <c r="B5866" s="5" t="str">
        <f>IFERROR(__xludf.DUMMYFUNCTION("""COMPUTED_VALUE"""),"هیأت")</f>
        <v>هیأت</v>
      </c>
      <c r="C5866" s="5" t="str">
        <f>IFERROR(__xludf.DUMMYFUNCTION("""COMPUTED_VALUE"""),"جنت الحسین (ع)")</f>
        <v>جنت الحسین (ع)</v>
      </c>
      <c r="D5866" s="5" t="str">
        <f>IFERROR(__xludf.DUMMYFUNCTION("""COMPUTED_VALUE"""),"اصفهان")</f>
        <v>اصفهان</v>
      </c>
      <c r="E5866" s="5" t="str">
        <f>IFERROR(__xludf.DUMMYFUNCTION("""COMPUTED_VALUE"""),"مبارکه")</f>
        <v>مبارکه</v>
      </c>
      <c r="F5866" s="5"/>
      <c r="G5866" s="5"/>
      <c r="H5866" s="6" t="str">
        <f>IFERROR(__xludf.DUMMYFUNCTION("""COMPUTED_VALUE"""),"https://www.instagram.com/janatalhosein_esf")</f>
        <v>https://www.instagram.com/janatalhosein_esf</v>
      </c>
      <c r="I5866" s="6" t="str">
        <f>IFERROR(__xludf.DUMMYFUNCTION("""COMPUTED_VALUE"""),"https://t.me/janatalhosein")</f>
        <v>https://t.me/janatalhosein</v>
      </c>
      <c r="J5866" s="5"/>
      <c r="K5866" s="5"/>
      <c r="L5866" s="5"/>
      <c r="M5866" s="5"/>
      <c r="N5866" s="5"/>
      <c r="O5866" s="5"/>
      <c r="P5866" s="5"/>
      <c r="Q5866" s="5"/>
      <c r="R5866" s="5"/>
      <c r="S5866" s="5"/>
    </row>
    <row r="5867">
      <c r="A5867" s="5">
        <f>IFERROR(__xludf.DUMMYFUNCTION("""COMPUTED_VALUE"""),25082.0)</f>
        <v>25082</v>
      </c>
      <c r="B5867" s="5" t="str">
        <f>IFERROR(__xludf.DUMMYFUNCTION("""COMPUTED_VALUE"""),"هیأت")</f>
        <v>هیأت</v>
      </c>
      <c r="C5867" s="5" t="str">
        <f>IFERROR(__xludf.DUMMYFUNCTION("""COMPUTED_VALUE"""),"عشاق المهدی (عج)")</f>
        <v>عشاق المهدی (عج)</v>
      </c>
      <c r="D5867" s="5" t="str">
        <f>IFERROR(__xludf.DUMMYFUNCTION("""COMPUTED_VALUE"""),"اصفهان")</f>
        <v>اصفهان</v>
      </c>
      <c r="E5867" s="5" t="str">
        <f>IFERROR(__xludf.DUMMYFUNCTION("""COMPUTED_VALUE"""),"مبارکه")</f>
        <v>مبارکه</v>
      </c>
      <c r="F5867" s="5"/>
      <c r="G5867" s="5"/>
      <c r="H5867" s="6" t="str">
        <f>IFERROR(__xludf.DUMMYFUNCTION("""COMPUTED_VALUE"""),"https://www.instagram.com/oshaghalmahdi_ag")</f>
        <v>https://www.instagram.com/oshaghalmahdi_ag</v>
      </c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</row>
    <row r="5868">
      <c r="A5868" s="5">
        <f>IFERROR(__xludf.DUMMYFUNCTION("""COMPUTED_VALUE"""),25085.0)</f>
        <v>25085</v>
      </c>
      <c r="B5868" s="5" t="str">
        <f>IFERROR(__xludf.DUMMYFUNCTION("""COMPUTED_VALUE"""),"هیأت")</f>
        <v>هیأت</v>
      </c>
      <c r="C5868" s="5" t="str">
        <f>IFERROR(__xludf.DUMMYFUNCTION("""COMPUTED_VALUE"""),"موسسه شهید چمران / آسمان")</f>
        <v>موسسه شهید چمران / آسمان</v>
      </c>
      <c r="D5868" s="5" t="str">
        <f>IFERROR(__xludf.DUMMYFUNCTION("""COMPUTED_VALUE"""),"اصفهان")</f>
        <v>اصفهان</v>
      </c>
      <c r="E5868" s="5" t="str">
        <f>IFERROR(__xludf.DUMMYFUNCTION("""COMPUTED_VALUE"""),"اصفهان")</f>
        <v>اصفهان</v>
      </c>
      <c r="F5868" s="5"/>
      <c r="G5868" s="5"/>
      <c r="H5868" s="5"/>
      <c r="I5868" s="5"/>
      <c r="J5868" s="6" t="str">
        <f>IFERROR(__xludf.DUMMYFUNCTION("""COMPUTED_VALUE"""),"https://eitaa.com/heiataseman")</f>
        <v>https://eitaa.com/heiataseman</v>
      </c>
      <c r="K5868" s="5"/>
      <c r="L5868" s="5"/>
      <c r="M5868" s="5"/>
      <c r="N5868" s="5"/>
      <c r="O5868" s="5"/>
      <c r="P5868" s="5"/>
      <c r="Q5868" s="5"/>
      <c r="R5868" s="5"/>
      <c r="S5868" s="5"/>
    </row>
    <row r="5869">
      <c r="A5869" s="5">
        <f>IFERROR(__xludf.DUMMYFUNCTION("""COMPUTED_VALUE"""),25086.0)</f>
        <v>25086</v>
      </c>
      <c r="B5869" s="5" t="str">
        <f>IFERROR(__xludf.DUMMYFUNCTION("""COMPUTED_VALUE"""),"هیأت")</f>
        <v>هیأت</v>
      </c>
      <c r="C5869" s="5" t="str">
        <f>IFERROR(__xludf.DUMMYFUNCTION("""COMPUTED_VALUE"""),"محبان الزهرا (س)")</f>
        <v>محبان الزهرا (س)</v>
      </c>
      <c r="D5869" s="5" t="str">
        <f>IFERROR(__xludf.DUMMYFUNCTION("""COMPUTED_VALUE"""),"اصفهان")</f>
        <v>اصفهان</v>
      </c>
      <c r="E5869" s="5" t="str">
        <f>IFERROR(__xludf.DUMMYFUNCTION("""COMPUTED_VALUE"""),"اصفهان")</f>
        <v>اصفهان</v>
      </c>
      <c r="F5869" s="5"/>
      <c r="G5869" s="5"/>
      <c r="H5869" s="5"/>
      <c r="I5869" s="5"/>
      <c r="J5869" s="6" t="str">
        <f>IFERROR(__xludf.DUMMYFUNCTION("""COMPUTED_VALUE"""),"https://eitaa.com/mohebbanozzahra")</f>
        <v>https://eitaa.com/mohebbanozzahra</v>
      </c>
      <c r="K5869" s="5"/>
      <c r="L5869" s="5"/>
      <c r="M5869" s="5"/>
      <c r="N5869" s="5"/>
      <c r="O5869" s="5"/>
      <c r="P5869" s="5"/>
      <c r="Q5869" s="5"/>
      <c r="R5869" s="5"/>
      <c r="S5869" s="5"/>
    </row>
    <row r="5870">
      <c r="A5870" s="5">
        <f>IFERROR(__xludf.DUMMYFUNCTION("""COMPUTED_VALUE"""),25199.0)</f>
        <v>25199</v>
      </c>
      <c r="B5870" s="5" t="str">
        <f>IFERROR(__xludf.DUMMYFUNCTION("""COMPUTED_VALUE"""),"هیأت")</f>
        <v>هیأت</v>
      </c>
      <c r="C5870" s="5" t="str">
        <f>IFERROR(__xludf.DUMMYFUNCTION("""COMPUTED_VALUE"""),"حضرت حجت بن الحسن (عج)")</f>
        <v>حضرت حجت بن الحسن (عج)</v>
      </c>
      <c r="D5870" s="5" t="str">
        <f>IFERROR(__xludf.DUMMYFUNCTION("""COMPUTED_VALUE"""),"اصفهان")</f>
        <v>اصفهان</v>
      </c>
      <c r="E5870" s="5" t="str">
        <f>IFERROR(__xludf.DUMMYFUNCTION("""COMPUTED_VALUE"""),"فلاورجان")</f>
        <v>فلاورجان</v>
      </c>
      <c r="F5870" s="5"/>
      <c r="G5870" s="5"/>
      <c r="H5870" s="5" t="str">
        <f>IFERROR(__xludf.DUMMYFUNCTION("""COMPUTED_VALUE"""),"https://www.instagram.com/heyat_hazrate_hojat_bafgh\")</f>
        <v>https://www.instagram.com/heyat_hazrate_hojat_bafgh\</v>
      </c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</row>
    <row r="5871">
      <c r="A5871" s="5">
        <f>IFERROR(__xludf.DUMMYFUNCTION("""COMPUTED_VALUE"""),25393.0)</f>
        <v>25393</v>
      </c>
      <c r="B5871" s="5" t="str">
        <f>IFERROR(__xludf.DUMMYFUNCTION("""COMPUTED_VALUE"""),"هیأت")</f>
        <v>هیأت</v>
      </c>
      <c r="C5871" s="5" t="str">
        <f>IFERROR(__xludf.DUMMYFUNCTION("""COMPUTED_VALUE"""),"مکتب الحسن")</f>
        <v>مکتب الحسن</v>
      </c>
      <c r="D5871" s="5" t="str">
        <f>IFERROR(__xludf.DUMMYFUNCTION("""COMPUTED_VALUE"""),"اصفهان")</f>
        <v>اصفهان</v>
      </c>
      <c r="E5871" s="5" t="str">
        <f>IFERROR(__xludf.DUMMYFUNCTION("""COMPUTED_VALUE"""),"اصفهان")</f>
        <v>اصفهان</v>
      </c>
      <c r="F5871" s="5"/>
      <c r="G5871" s="5">
        <f>IFERROR(__xludf.DUMMYFUNCTION("""COMPUTED_VALUE"""),1.0)</f>
        <v>1</v>
      </c>
      <c r="H5871" s="6" t="str">
        <f>IFERROR(__xludf.DUMMYFUNCTION("""COMPUTED_VALUE"""),"https://www.instagram.com/maktab_al_hasan_esf")</f>
        <v>https://www.instagram.com/maktab_al_hasan_esf</v>
      </c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</row>
    <row r="5872">
      <c r="A5872" s="5">
        <f>IFERROR(__xludf.DUMMYFUNCTION("""COMPUTED_VALUE"""),25395.0)</f>
        <v>25395</v>
      </c>
      <c r="B5872" s="5" t="str">
        <f>IFERROR(__xludf.DUMMYFUNCTION("""COMPUTED_VALUE"""),"هیأت")</f>
        <v>هیأت</v>
      </c>
      <c r="C5872" s="5" t="str">
        <f>IFERROR(__xludf.DUMMYFUNCTION("""COMPUTED_VALUE"""),"منتظران ظهور")</f>
        <v>منتظران ظهور</v>
      </c>
      <c r="D5872" s="5" t="str">
        <f>IFERROR(__xludf.DUMMYFUNCTION("""COMPUTED_VALUE"""),"اصفهان")</f>
        <v>اصفهان</v>
      </c>
      <c r="E5872" s="5" t="str">
        <f>IFERROR(__xludf.DUMMYFUNCTION("""COMPUTED_VALUE"""),"اصفهان")</f>
        <v>اصفهان</v>
      </c>
      <c r="F5872" s="5"/>
      <c r="G5872" s="5"/>
      <c r="H5872" s="6" t="str">
        <f>IFERROR(__xludf.DUMMYFUNCTION("""COMPUTED_VALUE"""),"https://www.instagram.com/montazeranzohoorgarmaseh")</f>
        <v>https://www.instagram.com/montazeranzohoorgarmaseh</v>
      </c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</row>
    <row r="5873">
      <c r="A5873" s="5">
        <f>IFERROR(__xludf.DUMMYFUNCTION("""COMPUTED_VALUE"""),25396.0)</f>
        <v>25396</v>
      </c>
      <c r="B5873" s="5" t="str">
        <f>IFERROR(__xludf.DUMMYFUNCTION("""COMPUTED_VALUE"""),"هیأت")</f>
        <v>هیأت</v>
      </c>
      <c r="C5873" s="5" t="str">
        <f>IFERROR(__xludf.DUMMYFUNCTION("""COMPUTED_VALUE"""),"سه شنبه های مهدوی")</f>
        <v>سه شنبه های مهدوی</v>
      </c>
      <c r="D5873" s="5" t="str">
        <f>IFERROR(__xludf.DUMMYFUNCTION("""COMPUTED_VALUE"""),"اصفهان")</f>
        <v>اصفهان</v>
      </c>
      <c r="E5873" s="5" t="str">
        <f>IFERROR(__xludf.DUMMYFUNCTION("""COMPUTED_VALUE"""),"اصفهان")</f>
        <v>اصفهان</v>
      </c>
      <c r="F5873" s="5"/>
      <c r="G5873" s="5">
        <f>IFERROR(__xludf.DUMMYFUNCTION("""COMPUTED_VALUE"""),1.0)</f>
        <v>1</v>
      </c>
      <c r="H5873" s="6" t="str">
        <f>IFERROR(__xludf.DUMMYFUNCTION("""COMPUTED_VALUE"""),"https://www.instagram.com/seshanbemahdavi_ui")</f>
        <v>https://www.instagram.com/seshanbemahdavi_ui</v>
      </c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</row>
    <row r="5874">
      <c r="A5874" s="5">
        <f>IFERROR(__xludf.DUMMYFUNCTION("""COMPUTED_VALUE"""),25397.0)</f>
        <v>25397</v>
      </c>
      <c r="B5874" s="5" t="str">
        <f>IFERROR(__xludf.DUMMYFUNCTION("""COMPUTED_VALUE"""),"هیأت")</f>
        <v>هیأت</v>
      </c>
      <c r="C5874" s="5" t="str">
        <f>IFERROR(__xludf.DUMMYFUNCTION("""COMPUTED_VALUE"""),"حضرت زینب (س)")</f>
        <v>حضرت زینب (س)</v>
      </c>
      <c r="D5874" s="5" t="str">
        <f>IFERROR(__xludf.DUMMYFUNCTION("""COMPUTED_VALUE"""),"اصفهان")</f>
        <v>اصفهان</v>
      </c>
      <c r="E5874" s="5" t="str">
        <f>IFERROR(__xludf.DUMMYFUNCTION("""COMPUTED_VALUE"""),"فلاورجان")</f>
        <v>فلاورجان</v>
      </c>
      <c r="F5874" s="5"/>
      <c r="G5874" s="5"/>
      <c r="H5874" s="6" t="str">
        <f>IFERROR(__xludf.DUMMYFUNCTION("""COMPUTED_VALUE"""),"https://www.instagram.com/heyatzeynab.ir")</f>
        <v>https://www.instagram.com/heyatzeynab.ir</v>
      </c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</row>
    <row r="5875">
      <c r="A5875" s="5">
        <f>IFERROR(__xludf.DUMMYFUNCTION("""COMPUTED_VALUE"""),25398.0)</f>
        <v>25398</v>
      </c>
      <c r="B5875" s="5" t="str">
        <f>IFERROR(__xludf.DUMMYFUNCTION("""COMPUTED_VALUE"""),"هیأت")</f>
        <v>هیأت</v>
      </c>
      <c r="C5875" s="5" t="str">
        <f>IFERROR(__xludf.DUMMYFUNCTION("""COMPUTED_VALUE"""),"فدائیان حضرت زهرا (س)")</f>
        <v>فدائیان حضرت زهرا (س)</v>
      </c>
      <c r="D5875" s="5" t="str">
        <f>IFERROR(__xludf.DUMMYFUNCTION("""COMPUTED_VALUE"""),"اصفهان")</f>
        <v>اصفهان</v>
      </c>
      <c r="E5875" s="5" t="str">
        <f>IFERROR(__xludf.DUMMYFUNCTION("""COMPUTED_VALUE"""),"اصفهان")</f>
        <v>اصفهان</v>
      </c>
      <c r="F5875" s="5"/>
      <c r="G5875" s="5"/>
      <c r="H5875" s="6" t="str">
        <f>IFERROR(__xludf.DUMMYFUNCTION("""COMPUTED_VALUE"""),"https://www.instagram.com/fadaeyanezahra")</f>
        <v>https://www.instagram.com/fadaeyanezahra</v>
      </c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</row>
    <row r="5876">
      <c r="A5876" s="5">
        <f>IFERROR(__xludf.DUMMYFUNCTION("""COMPUTED_VALUE"""),25758.0)</f>
        <v>25758</v>
      </c>
      <c r="B5876" s="5" t="str">
        <f>IFERROR(__xludf.DUMMYFUNCTION("""COMPUTED_VALUE"""),"هیأت دانشجویی")</f>
        <v>هیأت دانشجویی</v>
      </c>
      <c r="C5876" s="5" t="str">
        <f>IFERROR(__xludf.DUMMYFUNCTION("""COMPUTED_VALUE"""),"هنر اصفهان (حضرت علی اکبر (ع) )")</f>
        <v>هنر اصفهان (حضرت علی اکبر (ع) )</v>
      </c>
      <c r="D5876" s="5" t="str">
        <f>IFERROR(__xludf.DUMMYFUNCTION("""COMPUTED_VALUE"""),"اصفهان")</f>
        <v>اصفهان</v>
      </c>
      <c r="E5876" s="5" t="str">
        <f>IFERROR(__xludf.DUMMYFUNCTION("""COMPUTED_VALUE"""),"اصفهان")</f>
        <v>اصفهان</v>
      </c>
      <c r="F5876" s="5"/>
      <c r="G5876" s="5"/>
      <c r="H5876" s="6" t="str">
        <f>IFERROR(__xludf.DUMMYFUNCTION("""COMPUTED_VALUE"""),"https://www.instagram.com/heyathonarisf")</f>
        <v>https://www.instagram.com/heyathonarisf</v>
      </c>
      <c r="I5876" s="6" t="str">
        <f>IFERROR(__xludf.DUMMYFUNCTION("""COMPUTED_VALUE"""),"https://t.me/heyathonarisf")</f>
        <v>https://t.me/heyathonarisf</v>
      </c>
      <c r="J5876" s="6" t="str">
        <f>IFERROR(__xludf.DUMMYFUNCTION("""COMPUTED_VALUE"""),"https://eitaa.com/heyathonarisf")</f>
        <v>https://eitaa.com/heyathonarisf</v>
      </c>
      <c r="K5876" s="5"/>
      <c r="L5876" s="5"/>
      <c r="M5876" s="5"/>
      <c r="N5876" s="5"/>
      <c r="O5876" s="5"/>
      <c r="P5876" s="5"/>
      <c r="Q5876" s="5"/>
      <c r="R5876" s="5"/>
      <c r="S5876" s="5"/>
    </row>
    <row r="5877">
      <c r="A5877" s="5">
        <f>IFERROR(__xludf.DUMMYFUNCTION("""COMPUTED_VALUE"""),25765.0)</f>
        <v>25765</v>
      </c>
      <c r="B5877" s="5" t="str">
        <f>IFERROR(__xludf.DUMMYFUNCTION("""COMPUTED_VALUE"""),"هیأت")</f>
        <v>هیأت</v>
      </c>
      <c r="C5877" s="5" t="str">
        <f>IFERROR(__xludf.DUMMYFUNCTION("""COMPUTED_VALUE"""),"شهدای گمنام")</f>
        <v>شهدای گمنام</v>
      </c>
      <c r="D5877" s="5" t="str">
        <f>IFERROR(__xludf.DUMMYFUNCTION("""COMPUTED_VALUE"""),"اصفهان")</f>
        <v>اصفهان</v>
      </c>
      <c r="E5877" s="5" t="str">
        <f>IFERROR(__xludf.DUMMYFUNCTION("""COMPUTED_VALUE"""),"اصفهان")</f>
        <v>اصفهان</v>
      </c>
      <c r="F5877" s="5"/>
      <c r="G5877" s="5"/>
      <c r="H5877" s="6" t="str">
        <f>IFERROR(__xludf.DUMMYFUNCTION("""COMPUTED_VALUE"""),"https://instagram.com/gomnam_ui")</f>
        <v>https://instagram.com/gomnam_ui</v>
      </c>
      <c r="I5877" s="6" t="str">
        <f>IFERROR(__xludf.DUMMYFUNCTION("""COMPUTED_VALUE"""),"https://t.me/gomnam_ui")</f>
        <v>https://t.me/gomnam_ui</v>
      </c>
      <c r="J5877" s="6" t="str">
        <f>IFERROR(__xludf.DUMMYFUNCTION("""COMPUTED_VALUE"""),"https://eitaa.com/gomnam_ui")</f>
        <v>https://eitaa.com/gomnam_ui</v>
      </c>
      <c r="K5877" s="5"/>
      <c r="L5877" s="5"/>
      <c r="M5877" s="5"/>
      <c r="N5877" s="5"/>
      <c r="O5877" s="5"/>
      <c r="P5877" s="5"/>
      <c r="Q5877" s="5"/>
      <c r="R5877" s="5"/>
      <c r="S5877" s="5"/>
    </row>
    <row r="5878">
      <c r="A5878" s="5">
        <f>IFERROR(__xludf.DUMMYFUNCTION("""COMPUTED_VALUE"""),25810.0)</f>
        <v>25810</v>
      </c>
      <c r="B5878" s="5" t="str">
        <f>IFERROR(__xludf.DUMMYFUNCTION("""COMPUTED_VALUE"""),"هیأت")</f>
        <v>هیأت</v>
      </c>
      <c r="C5878" s="5" t="str">
        <f>IFERROR(__xludf.DUMMYFUNCTION("""COMPUTED_VALUE"""),"مرکز فرهنگی انصارالمهدی (عج)")</f>
        <v>مرکز فرهنگی انصارالمهدی (عج)</v>
      </c>
      <c r="D5878" s="5" t="str">
        <f>IFERROR(__xludf.DUMMYFUNCTION("""COMPUTED_VALUE"""),"اصفهان")</f>
        <v>اصفهان</v>
      </c>
      <c r="E5878" s="5" t="str">
        <f>IFERROR(__xludf.DUMMYFUNCTION("""COMPUTED_VALUE"""),"اصفهان")</f>
        <v>اصفهان</v>
      </c>
      <c r="F5878" s="5"/>
      <c r="G5878" s="5"/>
      <c r="H5878" s="5"/>
      <c r="I5878" s="5"/>
      <c r="J5878" s="6" t="str">
        <f>IFERROR(__xludf.DUMMYFUNCTION("""COMPUTED_VALUE"""),"https://eitaa.com/markaz_ansar")</f>
        <v>https://eitaa.com/markaz_ansar</v>
      </c>
      <c r="K5878" s="5"/>
      <c r="L5878" s="5"/>
      <c r="M5878" s="5"/>
      <c r="N5878" s="5"/>
      <c r="O5878" s="5"/>
      <c r="P5878" s="5"/>
      <c r="Q5878" s="5"/>
      <c r="R5878" s="5"/>
      <c r="S5878" s="5"/>
    </row>
    <row r="5879">
      <c r="A5879" s="5">
        <f>IFERROR(__xludf.DUMMYFUNCTION("""COMPUTED_VALUE"""),25811.0)</f>
        <v>25811</v>
      </c>
      <c r="B5879" s="5" t="str">
        <f>IFERROR(__xludf.DUMMYFUNCTION("""COMPUTED_VALUE"""),"هیأت")</f>
        <v>هیأت</v>
      </c>
      <c r="C5879" s="5" t="str">
        <f>IFERROR(__xludf.DUMMYFUNCTION("""COMPUTED_VALUE"""),"مجموعه فرهنگی مهدقرآن / طرح نور")</f>
        <v>مجموعه فرهنگی مهدقرآن / طرح نور</v>
      </c>
      <c r="D5879" s="5" t="str">
        <f>IFERROR(__xludf.DUMMYFUNCTION("""COMPUTED_VALUE"""),"اصفهان")</f>
        <v>اصفهان</v>
      </c>
      <c r="E5879" s="5" t="str">
        <f>IFERROR(__xludf.DUMMYFUNCTION("""COMPUTED_VALUE"""),"خور و بیابانک")</f>
        <v>خور و بیابانک</v>
      </c>
      <c r="F5879" s="5"/>
      <c r="G5879" s="5"/>
      <c r="H5879" s="5"/>
      <c r="I5879" s="5"/>
      <c r="J5879" s="6" t="str">
        <f>IFERROR(__xludf.DUMMYFUNCTION("""COMPUTED_VALUE"""),"https://eitaa.com/Mahd_quran_Lahoor")</f>
        <v>https://eitaa.com/Mahd_quran_Lahoor</v>
      </c>
      <c r="K5879" s="5"/>
      <c r="L5879" s="5"/>
      <c r="M5879" s="5"/>
      <c r="N5879" s="5"/>
      <c r="O5879" s="5"/>
      <c r="P5879" s="5"/>
      <c r="Q5879" s="5"/>
      <c r="R5879" s="5"/>
      <c r="S5879" s="5"/>
    </row>
    <row r="5880">
      <c r="A5880" s="5">
        <f>IFERROR(__xludf.DUMMYFUNCTION("""COMPUTED_VALUE"""),25821.0)</f>
        <v>25821</v>
      </c>
      <c r="B5880" s="5" t="str">
        <f>IFERROR(__xludf.DUMMYFUNCTION("""COMPUTED_VALUE"""),"هیأت")</f>
        <v>هیأت</v>
      </c>
      <c r="C5880" s="5" t="str">
        <f>IFERROR(__xludf.DUMMYFUNCTION("""COMPUTED_VALUE"""),"علی بن ابیطالب (ع)")</f>
        <v>علی بن ابیطالب (ع)</v>
      </c>
      <c r="D5880" s="5" t="str">
        <f>IFERROR(__xludf.DUMMYFUNCTION("""COMPUTED_VALUE"""),"اصفهان")</f>
        <v>اصفهان</v>
      </c>
      <c r="E5880" s="5" t="str">
        <f>IFERROR(__xludf.DUMMYFUNCTION("""COMPUTED_VALUE"""),"تیران و کرون")</f>
        <v>تیران و کرون</v>
      </c>
      <c r="F5880" s="5"/>
      <c r="G5880" s="5"/>
      <c r="H5880" s="6" t="str">
        <f>IFERROR(__xludf.DUMMYFUNCTION("""COMPUTED_VALUE"""),"https://www.instagram.com/heyate_aliebn_abitaleb")</f>
        <v>https://www.instagram.com/heyate_aliebn_abitaleb</v>
      </c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</row>
    <row r="5881">
      <c r="A5881" s="5">
        <f>IFERROR(__xludf.DUMMYFUNCTION("""COMPUTED_VALUE"""),25907.0)</f>
        <v>25907</v>
      </c>
      <c r="B5881" s="5" t="str">
        <f>IFERROR(__xludf.DUMMYFUNCTION("""COMPUTED_VALUE"""),"هیأت")</f>
        <v>هیأت</v>
      </c>
      <c r="C5881" s="5" t="str">
        <f>IFERROR(__xludf.DUMMYFUNCTION("""COMPUTED_VALUE"""),"حضرت علی اصغر (ع)")</f>
        <v>حضرت علی اصغر (ع)</v>
      </c>
      <c r="D5881" s="5" t="str">
        <f>IFERROR(__xludf.DUMMYFUNCTION("""COMPUTED_VALUE"""),"اصفهان")</f>
        <v>اصفهان</v>
      </c>
      <c r="E5881" s="5" t="str">
        <f>IFERROR(__xludf.DUMMYFUNCTION("""COMPUTED_VALUE"""),"فریدن")</f>
        <v>فریدن</v>
      </c>
      <c r="F5881" s="5"/>
      <c r="G5881" s="5"/>
      <c r="H5881" s="6" t="str">
        <f>IFERROR(__xludf.DUMMYFUNCTION("""COMPUTED_VALUE"""),"https://www.instagram.com/rasane_aliasghar1390")</f>
        <v>https://www.instagram.com/rasane_aliasghar1390</v>
      </c>
      <c r="I5881" s="5"/>
      <c r="J5881" s="6" t="str">
        <f>IFERROR(__xludf.DUMMYFUNCTION("""COMPUTED_VALUE"""),"https://eitaa.com/Rasane_Aliasghar313")</f>
        <v>https://eitaa.com/Rasane_Aliasghar313</v>
      </c>
      <c r="K5881" s="5"/>
      <c r="L5881" s="5"/>
      <c r="M5881" s="5"/>
      <c r="N5881" s="5"/>
      <c r="O5881" s="5"/>
      <c r="P5881" s="5"/>
      <c r="Q5881" s="5"/>
      <c r="R5881" s="5"/>
      <c r="S5881" s="5"/>
    </row>
    <row r="5882">
      <c r="A5882" s="5">
        <f>IFERROR(__xludf.DUMMYFUNCTION("""COMPUTED_VALUE"""),25924.0)</f>
        <v>25924</v>
      </c>
      <c r="B5882" s="5" t="str">
        <f>IFERROR(__xludf.DUMMYFUNCTION("""COMPUTED_VALUE"""),"هیأت")</f>
        <v>هیأت</v>
      </c>
      <c r="C5882" s="5" t="str">
        <f>IFERROR(__xludf.DUMMYFUNCTION("""COMPUTED_VALUE"""),"حضرت جوادالائمه")</f>
        <v>حضرت جوادالائمه</v>
      </c>
      <c r="D5882" s="5" t="str">
        <f>IFERROR(__xludf.DUMMYFUNCTION("""COMPUTED_VALUE"""),"اصفهان")</f>
        <v>اصفهان</v>
      </c>
      <c r="E5882" s="5" t="str">
        <f>IFERROR(__xludf.DUMMYFUNCTION("""COMPUTED_VALUE"""),"اصفهان")</f>
        <v>اصفهان</v>
      </c>
      <c r="F5882" s="5"/>
      <c r="G5882" s="5"/>
      <c r="H5882" s="6" t="str">
        <f>IFERROR(__xludf.DUMMYFUNCTION("""COMPUTED_VALUE"""),"https://www.instagram.com/hvamjavadolaemmeh")</f>
        <v>https://www.instagram.com/hvamjavadolaemmeh</v>
      </c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</row>
    <row r="5883">
      <c r="A5883" s="5">
        <f>IFERROR(__xludf.DUMMYFUNCTION("""COMPUTED_VALUE"""),25924.0)</f>
        <v>25924</v>
      </c>
      <c r="B5883" s="5" t="str">
        <f>IFERROR(__xludf.DUMMYFUNCTION("""COMPUTED_VALUE"""),"هیأت")</f>
        <v>هیأت</v>
      </c>
      <c r="C5883" s="5" t="str">
        <f>IFERROR(__xludf.DUMMYFUNCTION("""COMPUTED_VALUE"""),"حضرت جوادالائمه")</f>
        <v>حضرت جوادالائمه</v>
      </c>
      <c r="D5883" s="5" t="str">
        <f>IFERROR(__xludf.DUMMYFUNCTION("""COMPUTED_VALUE"""),"اصفهان")</f>
        <v>اصفهان</v>
      </c>
      <c r="E5883" s="5" t="str">
        <f>IFERROR(__xludf.DUMMYFUNCTION("""COMPUTED_VALUE"""),"اصفهان")</f>
        <v>اصفهان</v>
      </c>
      <c r="F5883" s="5" t="str">
        <f>IFERROR(__xludf.DUMMYFUNCTION("""COMPUTED_VALUE""")," ")</f>
        <v> </v>
      </c>
      <c r="G5883" s="5"/>
      <c r="H5883" s="5"/>
      <c r="I5883" s="5"/>
      <c r="J5883" s="6" t="str">
        <f>IFERROR(__xludf.DUMMYFUNCTION("""COMPUTED_VALUE"""),"https://eitaa.com/emamjavadhasanabadiha")</f>
        <v>https://eitaa.com/emamjavadhasanabadiha</v>
      </c>
      <c r="K5883" s="5"/>
      <c r="L5883" s="5"/>
      <c r="M5883" s="5"/>
      <c r="N5883" s="5"/>
      <c r="O5883" s="5"/>
      <c r="P5883" s="5"/>
      <c r="Q5883" s="5"/>
      <c r="R5883" s="5"/>
      <c r="S5883" s="5"/>
    </row>
    <row r="5884">
      <c r="A5884" s="5">
        <f>IFERROR(__xludf.DUMMYFUNCTION("""COMPUTED_VALUE"""),25938.0)</f>
        <v>25938</v>
      </c>
      <c r="B5884" s="5" t="str">
        <f>IFERROR(__xludf.DUMMYFUNCTION("""COMPUTED_VALUE"""),"هیأت")</f>
        <v>هیأت</v>
      </c>
      <c r="C5884" s="5" t="str">
        <f>IFERROR(__xludf.DUMMYFUNCTION("""COMPUTED_VALUE"""),"قمربنی هاشم ع)")</f>
        <v>قمربنی هاشم ع)</v>
      </c>
      <c r="D5884" s="5" t="str">
        <f>IFERROR(__xludf.DUMMYFUNCTION("""COMPUTED_VALUE"""),"اصفهان")</f>
        <v>اصفهان</v>
      </c>
      <c r="E5884" s="5" t="str">
        <f>IFERROR(__xludf.DUMMYFUNCTION("""COMPUTED_VALUE"""),"مبارکه")</f>
        <v>مبارکه</v>
      </c>
      <c r="F5884" s="5"/>
      <c r="G5884" s="5"/>
      <c r="H5884" s="6" t="str">
        <f>IFERROR(__xludf.DUMMYFUNCTION("""COMPUTED_VALUE"""),"https://www.instagram.com/holaghghamarbanihashemheyat")</f>
        <v>https://www.instagram.com/holaghghamarbanihashemheyat</v>
      </c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</row>
    <row r="5885">
      <c r="A5885" s="5">
        <f>IFERROR(__xludf.DUMMYFUNCTION("""COMPUTED_VALUE"""),25953.0)</f>
        <v>25953</v>
      </c>
      <c r="B5885" s="5" t="str">
        <f>IFERROR(__xludf.DUMMYFUNCTION("""COMPUTED_VALUE"""),"هیأت")</f>
        <v>هیأت</v>
      </c>
      <c r="C5885" s="5" t="str">
        <f>IFERROR(__xludf.DUMMYFUNCTION("""COMPUTED_VALUE"""),"سبحان")</f>
        <v>سبحان</v>
      </c>
      <c r="D5885" s="5" t="str">
        <f>IFERROR(__xludf.DUMMYFUNCTION("""COMPUTED_VALUE"""),"اصفهان")</f>
        <v>اصفهان</v>
      </c>
      <c r="E5885" s="5" t="str">
        <f>IFERROR(__xludf.DUMMYFUNCTION("""COMPUTED_VALUE"""),"اصفهان")</f>
        <v>اصفهان</v>
      </c>
      <c r="F5885" s="5"/>
      <c r="G5885" s="5"/>
      <c r="H5885" s="5"/>
      <c r="I5885" s="5"/>
      <c r="J5885" s="6" t="str">
        <f>IFERROR(__xludf.DUMMYFUNCTION("""COMPUTED_VALUE"""),"https://eitaa.com/sobhaniha")</f>
        <v>https://eitaa.com/sobhaniha</v>
      </c>
      <c r="K5885" s="5"/>
      <c r="L5885" s="5"/>
      <c r="M5885" s="5"/>
      <c r="N5885" s="5"/>
      <c r="O5885" s="5"/>
      <c r="P5885" s="5"/>
      <c r="Q5885" s="5"/>
      <c r="R5885" s="5"/>
      <c r="S5885" s="5"/>
    </row>
    <row r="5886">
      <c r="A5886" s="5">
        <f>IFERROR(__xludf.DUMMYFUNCTION("""COMPUTED_VALUE"""),25953.0)</f>
        <v>25953</v>
      </c>
      <c r="B5886" s="5" t="str">
        <f>IFERROR(__xludf.DUMMYFUNCTION("""COMPUTED_VALUE"""),"هیأت")</f>
        <v>هیأت</v>
      </c>
      <c r="C5886" s="5" t="str">
        <f>IFERROR(__xludf.DUMMYFUNCTION("""COMPUTED_VALUE"""),"سبحان")</f>
        <v>سبحان</v>
      </c>
      <c r="D5886" s="5" t="str">
        <f>IFERROR(__xludf.DUMMYFUNCTION("""COMPUTED_VALUE"""),"اصفهان")</f>
        <v>اصفهان</v>
      </c>
      <c r="E5886" s="5" t="str">
        <f>IFERROR(__xludf.DUMMYFUNCTION("""COMPUTED_VALUE"""),"اصفهان")</f>
        <v>اصفهان</v>
      </c>
      <c r="F5886" s="5"/>
      <c r="G5886" s="5"/>
      <c r="H5886" s="5"/>
      <c r="I5886" s="5"/>
      <c r="J5886" s="6" t="str">
        <f>IFERROR(__xludf.DUMMYFUNCTION("""COMPUTED_VALUE"""),"https://eitaa.com/sobhaniha")</f>
        <v>https://eitaa.com/sobhaniha</v>
      </c>
      <c r="K5886" s="5"/>
      <c r="L5886" s="5"/>
      <c r="M5886" s="5"/>
      <c r="N5886" s="5"/>
      <c r="O5886" s="5"/>
      <c r="P5886" s="5"/>
      <c r="Q5886" s="5"/>
      <c r="R5886" s="5"/>
      <c r="S5886" s="5"/>
    </row>
    <row r="5887">
      <c r="A5887" s="5">
        <f>IFERROR(__xludf.DUMMYFUNCTION("""COMPUTED_VALUE"""),26149.0)</f>
        <v>26149</v>
      </c>
      <c r="B5887" s="5" t="str">
        <f>IFERROR(__xludf.DUMMYFUNCTION("""COMPUTED_VALUE"""),"هیأت")</f>
        <v>هیأت</v>
      </c>
      <c r="C5887" s="5" t="str">
        <f>IFERROR(__xludf.DUMMYFUNCTION("""COMPUTED_VALUE"""),"فدائیان حضرت زهرا (س)")</f>
        <v>فدائیان حضرت زهرا (س)</v>
      </c>
      <c r="D5887" s="5" t="str">
        <f>IFERROR(__xludf.DUMMYFUNCTION("""COMPUTED_VALUE"""),"اصفهان")</f>
        <v>اصفهان</v>
      </c>
      <c r="E5887" s="5" t="str">
        <f>IFERROR(__xludf.DUMMYFUNCTION("""COMPUTED_VALUE"""),"اصفهان")</f>
        <v>اصفهان</v>
      </c>
      <c r="F5887" s="5"/>
      <c r="G5887" s="5"/>
      <c r="H5887" s="6" t="str">
        <f>IFERROR(__xludf.DUMMYFUNCTION("""COMPUTED_VALUE"""),"https://www.instagram.com/fadaiyanzahra")</f>
        <v>https://www.instagram.com/fadaiyanzahra</v>
      </c>
      <c r="I5887" s="6" t="str">
        <f>IFERROR(__xludf.DUMMYFUNCTION("""COMPUTED_VALUE"""),"https://t.me/fadaiyanzahra")</f>
        <v>https://t.me/fadaiyanzahra</v>
      </c>
      <c r="J5887" s="5"/>
      <c r="K5887" s="5"/>
      <c r="L5887" s="5"/>
      <c r="M5887" s="5"/>
      <c r="N5887" s="5"/>
      <c r="O5887" s="5"/>
      <c r="P5887" s="5"/>
      <c r="Q5887" s="5"/>
      <c r="R5887" s="5"/>
      <c r="S5887" s="5"/>
    </row>
    <row r="5888">
      <c r="A5888" s="5">
        <f>IFERROR(__xludf.DUMMYFUNCTION("""COMPUTED_VALUE"""),26155.0)</f>
        <v>26155</v>
      </c>
      <c r="B5888" s="5" t="str">
        <f>IFERROR(__xludf.DUMMYFUNCTION("""COMPUTED_VALUE"""),"هیأت")</f>
        <v>هیأت</v>
      </c>
      <c r="C5888" s="5" t="str">
        <f>IFERROR(__xludf.DUMMYFUNCTION("""COMPUTED_VALUE"""),"عقیله العرب (س)")</f>
        <v>عقیله العرب (س)</v>
      </c>
      <c r="D5888" s="5" t="str">
        <f>IFERROR(__xludf.DUMMYFUNCTION("""COMPUTED_VALUE"""),"اصفهان")</f>
        <v>اصفهان</v>
      </c>
      <c r="E5888" s="5" t="str">
        <f>IFERROR(__xludf.DUMMYFUNCTION("""COMPUTED_VALUE"""),"مبارکه")</f>
        <v>مبارکه</v>
      </c>
      <c r="F5888" s="5"/>
      <c r="G5888" s="5">
        <f>IFERROR(__xludf.DUMMYFUNCTION("""COMPUTED_VALUE"""),1.0)</f>
        <v>1</v>
      </c>
      <c r="H5888" s="5"/>
      <c r="I5888" s="6" t="str">
        <f>IFERROR(__xludf.DUMMYFUNCTION("""COMPUTED_VALUE"""),"https://t.me/jabalossabr69")</f>
        <v>https://t.me/jabalossabr69</v>
      </c>
      <c r="J5888" s="5"/>
      <c r="K5888" s="5"/>
      <c r="L5888" s="5"/>
      <c r="M5888" s="5"/>
      <c r="N5888" s="5"/>
      <c r="O5888" s="5"/>
      <c r="P5888" s="5"/>
      <c r="Q5888" s="5"/>
      <c r="R5888" s="5"/>
      <c r="S5888" s="5"/>
    </row>
    <row r="5889">
      <c r="A5889" s="5">
        <f>IFERROR(__xludf.DUMMYFUNCTION("""COMPUTED_VALUE"""),26217.0)</f>
        <v>26217</v>
      </c>
      <c r="B5889" s="5" t="str">
        <f>IFERROR(__xludf.DUMMYFUNCTION("""COMPUTED_VALUE"""),"هیأت")</f>
        <v>هیأت</v>
      </c>
      <c r="C5889" s="5" t="str">
        <f>IFERROR(__xludf.DUMMYFUNCTION("""COMPUTED_VALUE"""),"رزمندگان اسلام")</f>
        <v>رزمندگان اسلام</v>
      </c>
      <c r="D5889" s="5" t="str">
        <f>IFERROR(__xludf.DUMMYFUNCTION("""COMPUTED_VALUE"""),"اصفهان")</f>
        <v>اصفهان</v>
      </c>
      <c r="E5889" s="5" t="str">
        <f>IFERROR(__xludf.DUMMYFUNCTION("""COMPUTED_VALUE"""),"اصفهان")</f>
        <v>اصفهان</v>
      </c>
      <c r="F5889" s="5"/>
      <c r="G5889" s="5"/>
      <c r="H5889" s="6" t="str">
        <f>IFERROR(__xludf.DUMMYFUNCTION("""COMPUTED_VALUE"""),"https://www.instagram.com/razmandeganeslam/")</f>
        <v>https://www.instagram.com/razmandeganeslam/</v>
      </c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</row>
    <row r="5890">
      <c r="A5890" s="5">
        <f>IFERROR(__xludf.DUMMYFUNCTION("""COMPUTED_VALUE"""),26217.0)</f>
        <v>26217</v>
      </c>
      <c r="B5890" s="5" t="str">
        <f>IFERROR(__xludf.DUMMYFUNCTION("""COMPUTED_VALUE"""),"هیأت")</f>
        <v>هیأت</v>
      </c>
      <c r="C5890" s="5" t="str">
        <f>IFERROR(__xludf.DUMMYFUNCTION("""COMPUTED_VALUE"""),"رزمندگان اسلام")</f>
        <v>رزمندگان اسلام</v>
      </c>
      <c r="D5890" s="5" t="str">
        <f>IFERROR(__xludf.DUMMYFUNCTION("""COMPUTED_VALUE"""),"اصفهان")</f>
        <v>اصفهان</v>
      </c>
      <c r="E5890" s="5" t="str">
        <f>IFERROR(__xludf.DUMMYFUNCTION("""COMPUTED_VALUE"""),"اصفهان")</f>
        <v>اصفهان</v>
      </c>
      <c r="F5890" s="5"/>
      <c r="G5890" s="5"/>
      <c r="H5890" s="5"/>
      <c r="I5890" s="5"/>
      <c r="J5890" s="6" t="str">
        <f>IFERROR(__xludf.DUMMYFUNCTION("""COMPUTED_VALUE"""),"https://eitaa.com/heyat_razmande")</f>
        <v>https://eitaa.com/heyat_razmande</v>
      </c>
      <c r="K5890" s="5"/>
      <c r="L5890" s="5"/>
      <c r="M5890" s="5"/>
      <c r="N5890" s="5"/>
      <c r="O5890" s="5"/>
      <c r="P5890" s="5"/>
      <c r="Q5890" s="5"/>
      <c r="R5890" s="5"/>
      <c r="S5890" s="5"/>
    </row>
    <row r="5891">
      <c r="A5891" s="5">
        <f>IFERROR(__xludf.DUMMYFUNCTION("""COMPUTED_VALUE"""),26277.0)</f>
        <v>26277</v>
      </c>
      <c r="B5891" s="5" t="str">
        <f>IFERROR(__xludf.DUMMYFUNCTION("""COMPUTED_VALUE"""),"هیأت")</f>
        <v>هیأت</v>
      </c>
      <c r="C5891" s="5" t="str">
        <f>IFERROR(__xludf.DUMMYFUNCTION("""COMPUTED_VALUE"""),"نوجوانان امام رضایی (ع)")</f>
        <v>نوجوانان امام رضایی (ع)</v>
      </c>
      <c r="D5891" s="5" t="str">
        <f>IFERROR(__xludf.DUMMYFUNCTION("""COMPUTED_VALUE"""),"اصفهان")</f>
        <v>اصفهان</v>
      </c>
      <c r="E5891" s="5" t="str">
        <f>IFERROR(__xludf.DUMMYFUNCTION("""COMPUTED_VALUE"""),"فریدن")</f>
        <v>فریدن</v>
      </c>
      <c r="F5891" s="5"/>
      <c r="G5891" s="5"/>
      <c r="H5891" s="6" t="str">
        <f>IFERROR(__xludf.DUMMYFUNCTION("""COMPUTED_VALUE"""),"https://www.instagram.com/javananemamreza")</f>
        <v>https://www.instagram.com/javananemamreza</v>
      </c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</row>
    <row r="5892">
      <c r="A5892" s="5">
        <f>IFERROR(__xludf.DUMMYFUNCTION("""COMPUTED_VALUE"""),26277.0)</f>
        <v>26277</v>
      </c>
      <c r="B5892" s="5" t="str">
        <f>IFERROR(__xludf.DUMMYFUNCTION("""COMPUTED_VALUE"""),"هیأت")</f>
        <v>هیأت</v>
      </c>
      <c r="C5892" s="5" t="str">
        <f>IFERROR(__xludf.DUMMYFUNCTION("""COMPUTED_VALUE"""),"نوجوانان امام رضایی (ع)")</f>
        <v>نوجوانان امام رضایی (ع)</v>
      </c>
      <c r="D5892" s="5" t="str">
        <f>IFERROR(__xludf.DUMMYFUNCTION("""COMPUTED_VALUE"""),"اصفهان")</f>
        <v>اصفهان</v>
      </c>
      <c r="E5892" s="5" t="str">
        <f>IFERROR(__xludf.DUMMYFUNCTION("""COMPUTED_VALUE"""),"فریدن")</f>
        <v>فریدن</v>
      </c>
      <c r="F5892" s="5"/>
      <c r="G5892" s="5"/>
      <c r="H5892" s="6" t="str">
        <f>IFERROR(__xludf.DUMMYFUNCTION("""COMPUTED_VALUE"""),"https://www.instagram.com/javananemamreza/")</f>
        <v>https://www.instagram.com/javananemamreza/</v>
      </c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</row>
    <row r="5893">
      <c r="A5893" s="5">
        <f>IFERROR(__xludf.DUMMYFUNCTION("""COMPUTED_VALUE"""),26284.0)</f>
        <v>26284</v>
      </c>
      <c r="B5893" s="5" t="str">
        <f>IFERROR(__xludf.DUMMYFUNCTION("""COMPUTED_VALUE"""),"هیأت")</f>
        <v>هیأت</v>
      </c>
      <c r="C5893" s="5" t="str">
        <f>IFERROR(__xludf.DUMMYFUNCTION("""COMPUTED_VALUE"""),"هیات موکب حضرت ابوابفضل العباس (ع)")</f>
        <v>هیات موکب حضرت ابوابفضل العباس (ع)</v>
      </c>
      <c r="D5893" s="5" t="str">
        <f>IFERROR(__xludf.DUMMYFUNCTION("""COMPUTED_VALUE"""),"اصفهان")</f>
        <v>اصفهان</v>
      </c>
      <c r="E5893" s="5" t="str">
        <f>IFERROR(__xludf.DUMMYFUNCTION("""COMPUTED_VALUE"""),"نطنز")</f>
        <v>نطنز</v>
      </c>
      <c r="F5893" s="5"/>
      <c r="G5893" s="5"/>
      <c r="H5893" s="5"/>
      <c r="I5893" s="5"/>
      <c r="J5893" s="6" t="str">
        <f>IFERROR(__xludf.DUMMYFUNCTION("""COMPUTED_VALUE"""),"https://eitaa.com/mokeb_133")</f>
        <v>https://eitaa.com/mokeb_133</v>
      </c>
      <c r="K5893" s="5"/>
      <c r="L5893" s="5"/>
      <c r="M5893" s="5"/>
      <c r="N5893" s="5"/>
      <c r="O5893" s="5"/>
      <c r="P5893" s="5"/>
      <c r="Q5893" s="5"/>
      <c r="R5893" s="5"/>
      <c r="S5893" s="5"/>
    </row>
    <row r="5894">
      <c r="A5894" s="5">
        <f>IFERROR(__xludf.DUMMYFUNCTION("""COMPUTED_VALUE"""),26293.0)</f>
        <v>26293</v>
      </c>
      <c r="B5894" s="5" t="str">
        <f>IFERROR(__xludf.DUMMYFUNCTION("""COMPUTED_VALUE"""),"هیأت دانش آموزی ")</f>
        <v>هیأت دانش آموزی </v>
      </c>
      <c r="C5894" s="5" t="str">
        <f>IFERROR(__xludf.DUMMYFUNCTION("""COMPUTED_VALUE"""),"آسمان نجف ")</f>
        <v>آسمان نجف </v>
      </c>
      <c r="D5894" s="5" t="str">
        <f>IFERROR(__xludf.DUMMYFUNCTION("""COMPUTED_VALUE"""),"اصفهان")</f>
        <v>اصفهان</v>
      </c>
      <c r="E5894" s="5" t="str">
        <f>IFERROR(__xludf.DUMMYFUNCTION("""COMPUTED_VALUE"""),"اصفهان")</f>
        <v>اصفهان</v>
      </c>
      <c r="F5894" s="5"/>
      <c r="G5894" s="5"/>
      <c r="H5894" s="5"/>
      <c r="I5894" s="5"/>
      <c r="J5894" s="6" t="str">
        <f>IFERROR(__xludf.DUMMYFUNCTION("""COMPUTED_VALUE"""),"https://eitaa.com/Aseman_Najaf")</f>
        <v>https://eitaa.com/Aseman_Najaf</v>
      </c>
      <c r="K5894" s="5"/>
      <c r="L5894" s="5"/>
      <c r="M5894" s="5"/>
      <c r="N5894" s="5"/>
      <c r="O5894" s="5"/>
      <c r="P5894" s="5"/>
      <c r="Q5894" s="5"/>
      <c r="R5894" s="5"/>
      <c r="S5894" s="5"/>
    </row>
    <row r="5895">
      <c r="A5895" s="5">
        <f>IFERROR(__xludf.DUMMYFUNCTION("""COMPUTED_VALUE"""),26293.0)</f>
        <v>26293</v>
      </c>
      <c r="B5895" s="5" t="str">
        <f>IFERROR(__xludf.DUMMYFUNCTION("""COMPUTED_VALUE"""),"هیأت")</f>
        <v>هیأت</v>
      </c>
      <c r="C5895" s="5" t="str">
        <f>IFERROR(__xludf.DUMMYFUNCTION("""COMPUTED_VALUE"""),"دانش آموزی آسمان نجف")</f>
        <v>دانش آموزی آسمان نجف</v>
      </c>
      <c r="D5895" s="5" t="str">
        <f>IFERROR(__xludf.DUMMYFUNCTION("""COMPUTED_VALUE"""),"اصفهان")</f>
        <v>اصفهان</v>
      </c>
      <c r="E5895" s="5" t="str">
        <f>IFERROR(__xludf.DUMMYFUNCTION("""COMPUTED_VALUE"""),"اصفهان")</f>
        <v>اصفهان</v>
      </c>
      <c r="F5895" s="5"/>
      <c r="G5895" s="5"/>
      <c r="H5895" s="5"/>
      <c r="I5895" s="5"/>
      <c r="J5895" s="6" t="str">
        <f>IFERROR(__xludf.DUMMYFUNCTION("""COMPUTED_VALUE"""),"https://eitaa.com/Aseman_Najaf")</f>
        <v>https://eitaa.com/Aseman_Najaf</v>
      </c>
      <c r="K5895" s="5"/>
      <c r="L5895" s="5"/>
      <c r="M5895" s="5"/>
      <c r="N5895" s="5"/>
      <c r="O5895" s="5"/>
      <c r="P5895" s="5"/>
      <c r="Q5895" s="5"/>
      <c r="R5895" s="5"/>
      <c r="S5895" s="5"/>
    </row>
    <row r="5896">
      <c r="A5896" s="5">
        <f>IFERROR(__xludf.DUMMYFUNCTION("""COMPUTED_VALUE"""),26301.0)</f>
        <v>26301</v>
      </c>
      <c r="B5896" s="5" t="str">
        <f>IFERROR(__xludf.DUMMYFUNCTION("""COMPUTED_VALUE"""),"هیأت")</f>
        <v>هیأت</v>
      </c>
      <c r="C5896" s="5" t="str">
        <f>IFERROR(__xludf.DUMMYFUNCTION("""COMPUTED_VALUE"""),"چهارده معصوم (ع)")</f>
        <v>چهارده معصوم (ع)</v>
      </c>
      <c r="D5896" s="5" t="str">
        <f>IFERROR(__xludf.DUMMYFUNCTION("""COMPUTED_VALUE"""),"اصفهان")</f>
        <v>اصفهان</v>
      </c>
      <c r="E5896" s="5" t="str">
        <f>IFERROR(__xludf.DUMMYFUNCTION("""COMPUTED_VALUE"""),"فریدن")</f>
        <v>فریدن</v>
      </c>
      <c r="F5896" s="5"/>
      <c r="G5896" s="5"/>
      <c r="H5896" s="6" t="str">
        <f>IFERROR(__xludf.DUMMYFUNCTION("""COMPUTED_VALUE"""),"https://www.instagram.com/heyat_paeindarvazeh")</f>
        <v>https://www.instagram.com/heyat_paeindarvazeh</v>
      </c>
      <c r="I5896" s="5"/>
      <c r="J5896" s="5"/>
      <c r="K5896" s="5"/>
      <c r="L5896" s="5"/>
      <c r="M5896" s="5"/>
      <c r="N5896" s="5"/>
      <c r="O5896" s="5"/>
      <c r="P5896" s="5"/>
      <c r="Q5896" s="5"/>
      <c r="R5896" s="5"/>
      <c r="S5896" s="5"/>
    </row>
    <row r="5897">
      <c r="A5897" s="5">
        <f>IFERROR(__xludf.DUMMYFUNCTION("""COMPUTED_VALUE"""),26301.0)</f>
        <v>26301</v>
      </c>
      <c r="B5897" s="5" t="str">
        <f>IFERROR(__xludf.DUMMYFUNCTION("""COMPUTED_VALUE"""),"هیأت")</f>
        <v>هیأت</v>
      </c>
      <c r="C5897" s="5" t="str">
        <f>IFERROR(__xludf.DUMMYFUNCTION("""COMPUTED_VALUE"""),"چهارده معصوم (ع)")</f>
        <v>چهارده معصوم (ع)</v>
      </c>
      <c r="D5897" s="5" t="str">
        <f>IFERROR(__xludf.DUMMYFUNCTION("""COMPUTED_VALUE"""),"اصفهان")</f>
        <v>اصفهان</v>
      </c>
      <c r="E5897" s="5" t="str">
        <f>IFERROR(__xludf.DUMMYFUNCTION("""COMPUTED_VALUE"""),"فریدن")</f>
        <v>فریدن</v>
      </c>
      <c r="F5897" s="5" t="str">
        <f>IFERROR(__xludf.DUMMYFUNCTION("""COMPUTED_VALUE"""),"شهرستان داران ")</f>
        <v>شهرستان داران </v>
      </c>
      <c r="G5897" s="5"/>
      <c r="H5897" s="6" t="str">
        <f>IFERROR(__xludf.DUMMYFUNCTION("""COMPUTED_VALUE"""),"https://www.instagram.com/heyat14masom.daran/")</f>
        <v>https://www.instagram.com/heyat14masom.daran/</v>
      </c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</row>
    <row r="5898">
      <c r="A5898" s="5">
        <f>IFERROR(__xludf.DUMMYFUNCTION("""COMPUTED_VALUE"""),26320.0)</f>
        <v>26320</v>
      </c>
      <c r="B5898" s="5" t="str">
        <f>IFERROR(__xludf.DUMMYFUNCTION("""COMPUTED_VALUE"""),"هیأت")</f>
        <v>هیأت</v>
      </c>
      <c r="C5898" s="5" t="str">
        <f>IFERROR(__xludf.DUMMYFUNCTION("""COMPUTED_VALUE"""),"حسینی پامنار")</f>
        <v>حسینی پامنار</v>
      </c>
      <c r="D5898" s="5" t="str">
        <f>IFERROR(__xludf.DUMMYFUNCTION("""COMPUTED_VALUE"""),"اصفهان")</f>
        <v>اصفهان</v>
      </c>
      <c r="E5898" s="5" t="str">
        <f>IFERROR(__xludf.DUMMYFUNCTION("""COMPUTED_VALUE"""),"اصفهان")</f>
        <v>اصفهان</v>
      </c>
      <c r="F5898" s="5"/>
      <c r="G5898" s="5"/>
      <c r="H5898" s="6" t="str">
        <f>IFERROR(__xludf.DUMMYFUNCTION("""COMPUTED_VALUE"""),"https://www.instagram.com/pamenar.esf")</f>
        <v>https://www.instagram.com/pamenar.esf</v>
      </c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</row>
    <row r="5899">
      <c r="A5899" s="5">
        <f>IFERROR(__xludf.DUMMYFUNCTION("""COMPUTED_VALUE"""),26320.0)</f>
        <v>26320</v>
      </c>
      <c r="B5899" s="5" t="str">
        <f>IFERROR(__xludf.DUMMYFUNCTION("""COMPUTED_VALUE"""),"هیأت")</f>
        <v>هیأت</v>
      </c>
      <c r="C5899" s="5" t="str">
        <f>IFERROR(__xludf.DUMMYFUNCTION("""COMPUTED_VALUE"""),"حسینی پامنار")</f>
        <v>حسینی پامنار</v>
      </c>
      <c r="D5899" s="5" t="str">
        <f>IFERROR(__xludf.DUMMYFUNCTION("""COMPUTED_VALUE"""),"اصفهان")</f>
        <v>اصفهان</v>
      </c>
      <c r="E5899" s="5" t="str">
        <f>IFERROR(__xludf.DUMMYFUNCTION("""COMPUTED_VALUE"""),"اصفهان")</f>
        <v>اصفهان</v>
      </c>
      <c r="F5899" s="5"/>
      <c r="G5899" s="5"/>
      <c r="H5899" s="6" t="str">
        <f>IFERROR(__xludf.DUMMYFUNCTION("""COMPUTED_VALUE"""),"https://www.instagram.com/pamenar.esf/")</f>
        <v>https://www.instagram.com/pamenar.esf/</v>
      </c>
      <c r="I5899" s="5"/>
      <c r="J5899" s="5"/>
      <c r="K5899" s="5"/>
      <c r="L5899" s="5"/>
      <c r="M5899" s="5"/>
      <c r="N5899" s="5"/>
      <c r="O5899" s="5"/>
      <c r="P5899" s="5"/>
      <c r="Q5899" s="5"/>
      <c r="R5899" s="5"/>
      <c r="S5899" s="5"/>
    </row>
    <row r="5900">
      <c r="A5900" s="5">
        <f>IFERROR(__xludf.DUMMYFUNCTION("""COMPUTED_VALUE"""),26322.0)</f>
        <v>26322</v>
      </c>
      <c r="B5900" s="5" t="str">
        <f>IFERROR(__xludf.DUMMYFUNCTION("""COMPUTED_VALUE"""),"هیأت")</f>
        <v>هیأت</v>
      </c>
      <c r="C5900" s="5" t="str">
        <f>IFERROR(__xludf.DUMMYFUNCTION("""COMPUTED_VALUE"""),"علمدار")</f>
        <v>علمدار</v>
      </c>
      <c r="D5900" s="5" t="str">
        <f>IFERROR(__xludf.DUMMYFUNCTION("""COMPUTED_VALUE"""),"اصفهان")</f>
        <v>اصفهان</v>
      </c>
      <c r="E5900" s="5" t="str">
        <f>IFERROR(__xludf.DUMMYFUNCTION("""COMPUTED_VALUE"""),"تیران و کرون")</f>
        <v>تیران و کرون</v>
      </c>
      <c r="F5900" s="5"/>
      <c r="G5900" s="5"/>
      <c r="H5900" s="6" t="str">
        <f>IFERROR(__xludf.DUMMYFUNCTION("""COMPUTED_VALUE"""),"https://www.instagram.com/alamdar_tiran/")</f>
        <v>https://www.instagram.com/alamdar_tiran/</v>
      </c>
      <c r="I5900" s="5"/>
      <c r="J5900" s="6" t="str">
        <f>IFERROR(__xludf.DUMMYFUNCTION("""COMPUTED_VALUE"""),"https://eitaa.com/alamdar_tiran")</f>
        <v>https://eitaa.com/alamdar_tiran</v>
      </c>
      <c r="K5900" s="5"/>
      <c r="L5900" s="5"/>
      <c r="M5900" s="5"/>
      <c r="N5900" s="5"/>
      <c r="O5900" s="5"/>
      <c r="P5900" s="5"/>
      <c r="Q5900" s="5"/>
      <c r="R5900" s="5"/>
      <c r="S5900" s="5"/>
    </row>
    <row r="5901">
      <c r="A5901" s="5">
        <f>IFERROR(__xludf.DUMMYFUNCTION("""COMPUTED_VALUE"""),26322.0)</f>
        <v>26322</v>
      </c>
      <c r="B5901" s="5" t="str">
        <f>IFERROR(__xludf.DUMMYFUNCTION("""COMPUTED_VALUE"""),"هیأت")</f>
        <v>هیأت</v>
      </c>
      <c r="C5901" s="5" t="str">
        <f>IFERROR(__xludf.DUMMYFUNCTION("""COMPUTED_VALUE"""),"علمدار")</f>
        <v>علمدار</v>
      </c>
      <c r="D5901" s="5" t="str">
        <f>IFERROR(__xludf.DUMMYFUNCTION("""COMPUTED_VALUE"""),"اصفهان")</f>
        <v>اصفهان</v>
      </c>
      <c r="E5901" s="5" t="str">
        <f>IFERROR(__xludf.DUMMYFUNCTION("""COMPUTED_VALUE"""),"تیران و کرون")</f>
        <v>تیران و کرون</v>
      </c>
      <c r="F5901" s="5"/>
      <c r="G5901" s="5"/>
      <c r="H5901" s="5"/>
      <c r="I5901" s="5"/>
      <c r="J5901" s="6" t="str">
        <f>IFERROR(__xludf.DUMMYFUNCTION("""COMPUTED_VALUE"""),"https://eitaa.com/alamdar_345")</f>
        <v>https://eitaa.com/alamdar_345</v>
      </c>
      <c r="K5901" s="5"/>
      <c r="L5901" s="5"/>
      <c r="M5901" s="5"/>
      <c r="N5901" s="5"/>
      <c r="O5901" s="5"/>
      <c r="P5901" s="5"/>
      <c r="Q5901" s="5"/>
      <c r="R5901" s="5"/>
      <c r="S5901" s="5"/>
    </row>
    <row r="5902">
      <c r="A5902" s="5">
        <f>IFERROR(__xludf.DUMMYFUNCTION("""COMPUTED_VALUE"""),26395.0)</f>
        <v>26395</v>
      </c>
      <c r="B5902" s="5" t="str">
        <f>IFERROR(__xludf.DUMMYFUNCTION("""COMPUTED_VALUE"""),"هیأت")</f>
        <v>هیأت</v>
      </c>
      <c r="C5902" s="5" t="str">
        <f>IFERROR(__xludf.DUMMYFUNCTION("""COMPUTED_VALUE"""),"مجموعه فرهنگی آینه")</f>
        <v>مجموعه فرهنگی آینه</v>
      </c>
      <c r="D5902" s="5" t="str">
        <f>IFERROR(__xludf.DUMMYFUNCTION("""COMPUTED_VALUE"""),"اصفهان")</f>
        <v>اصفهان</v>
      </c>
      <c r="E5902" s="5" t="str">
        <f>IFERROR(__xludf.DUMMYFUNCTION("""COMPUTED_VALUE"""),"اصفهان")</f>
        <v>اصفهان</v>
      </c>
      <c r="F5902" s="5"/>
      <c r="G5902" s="5"/>
      <c r="H5902" s="6" t="str">
        <f>IFERROR(__xludf.DUMMYFUNCTION("""COMPUTED_VALUE"""),"https://www.instagram.com/ayene.ir")</f>
        <v>https://www.instagram.com/ayene.ir</v>
      </c>
      <c r="I5902" s="5"/>
      <c r="J5902" s="6" t="str">
        <f>IFERROR(__xludf.DUMMYFUNCTION("""COMPUTED_VALUE"""),"https://eitaa.com/ayene_ir")</f>
        <v>https://eitaa.com/ayene_ir</v>
      </c>
      <c r="K5902" s="5"/>
      <c r="L5902" s="5"/>
      <c r="M5902" s="5"/>
      <c r="N5902" s="5"/>
      <c r="O5902" s="5"/>
      <c r="P5902" s="5"/>
      <c r="Q5902" s="5"/>
      <c r="R5902" s="5"/>
      <c r="S5902" s="5"/>
    </row>
    <row r="5903">
      <c r="A5903" s="5">
        <f>IFERROR(__xludf.DUMMYFUNCTION("""COMPUTED_VALUE"""),26395.0)</f>
        <v>26395</v>
      </c>
      <c r="B5903" s="5" t="str">
        <f>IFERROR(__xludf.DUMMYFUNCTION("""COMPUTED_VALUE"""),"هیأت")</f>
        <v>هیأت</v>
      </c>
      <c r="C5903" s="5" t="str">
        <f>IFERROR(__xludf.DUMMYFUNCTION("""COMPUTED_VALUE"""),"مجموعه فرهنگی آینه")</f>
        <v>مجموعه فرهنگی آینه</v>
      </c>
      <c r="D5903" s="5" t="str">
        <f>IFERROR(__xludf.DUMMYFUNCTION("""COMPUTED_VALUE"""),"اصفهان")</f>
        <v>اصفهان</v>
      </c>
      <c r="E5903" s="5" t="str">
        <f>IFERROR(__xludf.DUMMYFUNCTION("""COMPUTED_VALUE"""),"اصفهان")</f>
        <v>اصفهان</v>
      </c>
      <c r="F5903" s="5"/>
      <c r="G5903" s="5"/>
      <c r="H5903" s="6" t="str">
        <f>IFERROR(__xludf.DUMMYFUNCTION("""COMPUTED_VALUE"""),"https://www.instagram.com/ayene.ir/")</f>
        <v>https://www.instagram.com/ayene.ir/</v>
      </c>
      <c r="I5903" s="5"/>
      <c r="J5903" s="6" t="str">
        <f>IFERROR(__xludf.DUMMYFUNCTION("""COMPUTED_VALUE"""),"https://eitaa.com/ayene_ir")</f>
        <v>https://eitaa.com/ayene_ir</v>
      </c>
      <c r="K5903" s="5"/>
      <c r="L5903" s="5"/>
      <c r="M5903" s="5"/>
      <c r="N5903" s="5"/>
      <c r="O5903" s="5"/>
      <c r="P5903" s="5"/>
      <c r="Q5903" s="5"/>
      <c r="R5903" s="5"/>
      <c r="S5903" s="5"/>
    </row>
    <row r="5904">
      <c r="A5904" s="5">
        <f>IFERROR(__xludf.DUMMYFUNCTION("""COMPUTED_VALUE"""),26645.0)</f>
        <v>26645</v>
      </c>
      <c r="B5904" s="5" t="str">
        <f>IFERROR(__xludf.DUMMYFUNCTION("""COMPUTED_VALUE"""),"هیأت بانوان ")</f>
        <v>هیأت بانوان </v>
      </c>
      <c r="C5904" s="5" t="str">
        <f>IFERROR(__xludf.DUMMYFUNCTION("""COMPUTED_VALUE"""),"فدائیان حسین (ع)")</f>
        <v>فدائیان حسین (ع)</v>
      </c>
      <c r="D5904" s="5" t="str">
        <f>IFERROR(__xludf.DUMMYFUNCTION("""COMPUTED_VALUE"""),"اصفهان")</f>
        <v>اصفهان</v>
      </c>
      <c r="E5904" s="5" t="str">
        <f>IFERROR(__xludf.DUMMYFUNCTION("""COMPUTED_VALUE"""),"اصفهان")</f>
        <v>اصفهان</v>
      </c>
      <c r="F5904" s="5"/>
      <c r="G5904" s="5"/>
      <c r="H5904" s="6" t="str">
        <f>IFERROR(__xludf.DUMMYFUNCTION("""COMPUTED_VALUE"""),"https://instagram.com/banovanfadaeianhosein")</f>
        <v>https://instagram.com/banovanfadaeianhosein</v>
      </c>
      <c r="I5904" s="6" t="str">
        <f>IFERROR(__xludf.DUMMYFUNCTION("""COMPUTED_VALUE"""),"https://t.me/banovanfadaeianhosein")</f>
        <v>https://t.me/banovanfadaeianhosein</v>
      </c>
      <c r="J5904" s="6" t="str">
        <f>IFERROR(__xludf.DUMMYFUNCTION("""COMPUTED_VALUE"""),"https://eitaa.com/banovanfadaeianhosein")</f>
        <v>https://eitaa.com/banovanfadaeianhosein</v>
      </c>
      <c r="K5904" s="5"/>
      <c r="L5904" s="5"/>
      <c r="M5904" s="5"/>
      <c r="N5904" s="5"/>
      <c r="O5904" s="5"/>
      <c r="P5904" s="5"/>
      <c r="Q5904" s="5"/>
      <c r="R5904" s="5"/>
      <c r="S5904" s="5"/>
    </row>
    <row r="5905">
      <c r="A5905" s="5">
        <f>IFERROR(__xludf.DUMMYFUNCTION("""COMPUTED_VALUE"""),26645.0)</f>
        <v>26645</v>
      </c>
      <c r="B5905" s="5" t="str">
        <f>IFERROR(__xludf.DUMMYFUNCTION("""COMPUTED_VALUE"""),"هیأت")</f>
        <v>هیأت</v>
      </c>
      <c r="C5905" s="5" t="str">
        <f>IFERROR(__xludf.DUMMYFUNCTION("""COMPUTED_VALUE"""),"فدائیان حسین (ع) بانوان")</f>
        <v>فدائیان حسین (ع) بانوان</v>
      </c>
      <c r="D5905" s="5" t="str">
        <f>IFERROR(__xludf.DUMMYFUNCTION("""COMPUTED_VALUE"""),"اصفهان")</f>
        <v>اصفهان</v>
      </c>
      <c r="E5905" s="5" t="str">
        <f>IFERROR(__xludf.DUMMYFUNCTION("""COMPUTED_VALUE"""),"اصفهان")</f>
        <v>اصفهان</v>
      </c>
      <c r="F5905" s="5"/>
      <c r="G5905" s="5"/>
      <c r="H5905" s="6" t="str">
        <f>IFERROR(__xludf.DUMMYFUNCTION("""COMPUTED_VALUE"""),"https://www.instagram.com/banovanfadaeianhosein")</f>
        <v>https://www.instagram.com/banovanfadaeianhosein</v>
      </c>
      <c r="I5905" s="6" t="str">
        <f>IFERROR(__xludf.DUMMYFUNCTION("""COMPUTED_VALUE"""),"https://t.me/banovanfadaeianhosein")</f>
        <v>https://t.me/banovanfadaeianhosein</v>
      </c>
      <c r="J5905" s="6" t="str">
        <f>IFERROR(__xludf.DUMMYFUNCTION("""COMPUTED_VALUE"""),"https://eitaa.com/banovanfadaeianhosein")</f>
        <v>https://eitaa.com/banovanfadaeianhosein</v>
      </c>
      <c r="K5905" s="5"/>
      <c r="L5905" s="5"/>
      <c r="M5905" s="5"/>
      <c r="N5905" s="5"/>
      <c r="O5905" s="5"/>
      <c r="P5905" s="5"/>
      <c r="Q5905" s="5"/>
      <c r="R5905" s="5"/>
      <c r="S5905" s="5"/>
    </row>
    <row r="5906">
      <c r="A5906" s="5">
        <f>IFERROR(__xludf.DUMMYFUNCTION("""COMPUTED_VALUE"""),26692.0)</f>
        <v>26692</v>
      </c>
      <c r="B5906" s="5" t="str">
        <f>IFERROR(__xludf.DUMMYFUNCTION("""COMPUTED_VALUE"""),"هیأت")</f>
        <v>هیأت</v>
      </c>
      <c r="C5906" s="5" t="str">
        <f>IFERROR(__xludf.DUMMYFUNCTION("""COMPUTED_VALUE"""),"حضرت زهرا (س)")</f>
        <v>حضرت زهرا (س)</v>
      </c>
      <c r="D5906" s="5" t="str">
        <f>IFERROR(__xludf.DUMMYFUNCTION("""COMPUTED_VALUE"""),"اصفهان")</f>
        <v>اصفهان</v>
      </c>
      <c r="E5906" s="5" t="str">
        <f>IFERROR(__xludf.DUMMYFUNCTION("""COMPUTED_VALUE"""),"اصفهان")</f>
        <v>اصفهان</v>
      </c>
      <c r="F5906" s="5"/>
      <c r="G5906" s="5"/>
      <c r="H5906" s="6" t="str">
        <f>IFERROR(__xludf.DUMMYFUNCTION("""COMPUTED_VALUE"""),"https://www.instagram.com/heiat_hazratzahra_esf/")</f>
        <v>https://www.instagram.com/heiat_hazratzahra_esf/</v>
      </c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</row>
    <row r="5907">
      <c r="A5907" s="5">
        <f>IFERROR(__xludf.DUMMYFUNCTION("""COMPUTED_VALUE"""),26698.0)</f>
        <v>26698</v>
      </c>
      <c r="B5907" s="5" t="str">
        <f>IFERROR(__xludf.DUMMYFUNCTION("""COMPUTED_VALUE"""),"هیأت")</f>
        <v>هیأت</v>
      </c>
      <c r="C5907" s="5" t="str">
        <f>IFERROR(__xludf.DUMMYFUNCTION("""COMPUTED_VALUE"""),"منتظران گل نرگس")</f>
        <v>منتظران گل نرگس</v>
      </c>
      <c r="D5907" s="5" t="str">
        <f>IFERROR(__xludf.DUMMYFUNCTION("""COMPUTED_VALUE"""),"اصفهان")</f>
        <v>اصفهان</v>
      </c>
      <c r="E5907" s="5" t="str">
        <f>IFERROR(__xludf.DUMMYFUNCTION("""COMPUTED_VALUE"""),"اصفهان")</f>
        <v>اصفهان</v>
      </c>
      <c r="F5907" s="5"/>
      <c r="G5907" s="5"/>
      <c r="H5907" s="6" t="str">
        <f>IFERROR(__xludf.DUMMYFUNCTION("""COMPUTED_VALUE"""),"https://www.instagram.com/montazeran_majazi/")</f>
        <v>https://www.instagram.com/montazeran_majazi/</v>
      </c>
      <c r="I5907" s="5"/>
      <c r="J5907" s="6" t="str">
        <f>IFERROR(__xludf.DUMMYFUNCTION("""COMPUTED_VALUE"""),"https://eitaa.com/montazeran_majazi")</f>
        <v>https://eitaa.com/montazeran_majazi</v>
      </c>
      <c r="K5907" s="5"/>
      <c r="L5907" s="5"/>
      <c r="M5907" s="5"/>
      <c r="N5907" s="5"/>
      <c r="O5907" s="5"/>
      <c r="P5907" s="5"/>
      <c r="Q5907" s="5"/>
      <c r="R5907" s="5"/>
      <c r="S5907" s="5"/>
    </row>
    <row r="5908">
      <c r="A5908" s="5">
        <f>IFERROR(__xludf.DUMMYFUNCTION("""COMPUTED_VALUE"""),26699.0)</f>
        <v>26699</v>
      </c>
      <c r="B5908" s="5" t="str">
        <f>IFERROR(__xludf.DUMMYFUNCTION("""COMPUTED_VALUE"""),"هیأت")</f>
        <v>هیأت</v>
      </c>
      <c r="C5908" s="5" t="str">
        <f>IFERROR(__xludf.DUMMYFUNCTION("""COMPUTED_VALUE"""),"یازینب")</f>
        <v>یازینب</v>
      </c>
      <c r="D5908" s="5" t="str">
        <f>IFERROR(__xludf.DUMMYFUNCTION("""COMPUTED_VALUE"""),"اصفهان")</f>
        <v>اصفهان</v>
      </c>
      <c r="E5908" s="5" t="str">
        <f>IFERROR(__xludf.DUMMYFUNCTION("""COMPUTED_VALUE"""),"اصفهان")</f>
        <v>اصفهان</v>
      </c>
      <c r="F5908" s="5"/>
      <c r="G5908" s="5"/>
      <c r="H5908" s="5"/>
      <c r="I5908" s="5"/>
      <c r="J5908" s="6" t="str">
        <f>IFERROR(__xludf.DUMMYFUNCTION("""COMPUTED_VALUE"""),"https://eitaa.com/yazeinab1380esf")</f>
        <v>https://eitaa.com/yazeinab1380esf</v>
      </c>
      <c r="K5908" s="5"/>
      <c r="L5908" s="5"/>
      <c r="M5908" s="5"/>
      <c r="N5908" s="5"/>
      <c r="O5908" s="5"/>
      <c r="P5908" s="5"/>
      <c r="Q5908" s="5"/>
      <c r="R5908" s="5"/>
      <c r="S5908" s="5"/>
    </row>
    <row r="5909">
      <c r="A5909" s="5">
        <f>IFERROR(__xludf.DUMMYFUNCTION("""COMPUTED_VALUE"""),26723.0)</f>
        <v>26723</v>
      </c>
      <c r="B5909" s="5" t="str">
        <f>IFERROR(__xludf.DUMMYFUNCTION("""COMPUTED_VALUE"""),"هیأت")</f>
        <v>هیأت</v>
      </c>
      <c r="C5909" s="5" t="str">
        <f>IFERROR(__xludf.DUMMYFUNCTION("""COMPUTED_VALUE"""),"کانون و موسسه قرآن و عترت")</f>
        <v>کانون و موسسه قرآن و عترت</v>
      </c>
      <c r="D5909" s="5" t="str">
        <f>IFERROR(__xludf.DUMMYFUNCTION("""COMPUTED_VALUE"""),"اصفهان")</f>
        <v>اصفهان</v>
      </c>
      <c r="E5909" s="5" t="str">
        <f>IFERROR(__xludf.DUMMYFUNCTION("""COMPUTED_VALUE"""),"اصفهان")</f>
        <v>اصفهان</v>
      </c>
      <c r="F5909" s="5"/>
      <c r="G5909" s="5"/>
      <c r="H5909" s="5"/>
      <c r="I5909" s="5"/>
      <c r="J5909" s="6" t="str">
        <f>IFERROR(__xludf.DUMMYFUNCTION("""COMPUTED_VALUE"""),"https://eitaa.com/kanon_Quran_ui")</f>
        <v>https://eitaa.com/kanon_Quran_ui</v>
      </c>
      <c r="K5909" s="5"/>
      <c r="L5909" s="5"/>
      <c r="M5909" s="5"/>
      <c r="N5909" s="5"/>
      <c r="O5909" s="5"/>
      <c r="P5909" s="5"/>
      <c r="Q5909" s="5"/>
      <c r="R5909" s="5"/>
      <c r="S5909" s="5"/>
    </row>
    <row r="5910">
      <c r="A5910" s="5">
        <f>IFERROR(__xludf.DUMMYFUNCTION("""COMPUTED_VALUE"""),26759.0)</f>
        <v>26759</v>
      </c>
      <c r="B5910" s="5" t="str">
        <f>IFERROR(__xludf.DUMMYFUNCTION("""COMPUTED_VALUE"""),"هیأت")</f>
        <v>هیأت</v>
      </c>
      <c r="C5910" s="5" t="str">
        <f>IFERROR(__xludf.DUMMYFUNCTION("""COMPUTED_VALUE"""),"محبان المهدی (عج)")</f>
        <v>محبان المهدی (عج)</v>
      </c>
      <c r="D5910" s="5" t="str">
        <f>IFERROR(__xludf.DUMMYFUNCTION("""COMPUTED_VALUE"""),"اصفهان")</f>
        <v>اصفهان</v>
      </c>
      <c r="E5910" s="5" t="str">
        <f>IFERROR(__xludf.DUMMYFUNCTION("""COMPUTED_VALUE"""),"فلاورجان")</f>
        <v>فلاورجان</v>
      </c>
      <c r="F5910" s="5" t="str">
        <f>IFERROR(__xludf.DUMMYFUNCTION("""COMPUTED_VALUE""")," مسجد بقیه الله")</f>
        <v> مسجد بقیه الله</v>
      </c>
      <c r="G5910" s="5"/>
      <c r="H5910" s="6" t="str">
        <f>IFERROR(__xludf.DUMMYFUNCTION("""COMPUTED_VALUE"""),"https://www.instagram.com/mohebbanalmahdi_ir")</f>
        <v>https://www.instagram.com/mohebbanalmahdi_ir</v>
      </c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</row>
    <row r="5911">
      <c r="A5911" s="5">
        <f>IFERROR(__xludf.DUMMYFUNCTION("""COMPUTED_VALUE"""),27128.0)</f>
        <v>27128</v>
      </c>
      <c r="B5911" s="5" t="str">
        <f>IFERROR(__xludf.DUMMYFUNCTION("""COMPUTED_VALUE"""),"هیأت")</f>
        <v>هیأت</v>
      </c>
      <c r="C5911" s="5" t="str">
        <f>IFERROR(__xludf.DUMMYFUNCTION("""COMPUTED_VALUE"""),"محبین قائم آل محمد محله دارالسلام")</f>
        <v>محبین قائم آل محمد محله دارالسلام</v>
      </c>
      <c r="D5911" s="5" t="str">
        <f>IFERROR(__xludf.DUMMYFUNCTION("""COMPUTED_VALUE"""),"اصفهان")</f>
        <v>اصفهان</v>
      </c>
      <c r="E5911" s="5" t="str">
        <f>IFERROR(__xludf.DUMMYFUNCTION("""COMPUTED_VALUE"""),"اصفهان")</f>
        <v>اصفهان</v>
      </c>
      <c r="F5911" s="5"/>
      <c r="G5911" s="5"/>
      <c r="H5911" s="5"/>
      <c r="I5911" s="5"/>
      <c r="J5911" s="6" t="str">
        <f>IFERROR(__xludf.DUMMYFUNCTION("""COMPUTED_VALUE"""),"https://eitaa.com/MohebinDarosalam")</f>
        <v>https://eitaa.com/MohebinDarosalam</v>
      </c>
      <c r="K5911" s="5"/>
      <c r="L5911" s="5"/>
      <c r="M5911" s="5"/>
      <c r="N5911" s="5"/>
      <c r="O5911" s="5"/>
      <c r="P5911" s="5"/>
      <c r="Q5911" s="5"/>
      <c r="R5911" s="5"/>
      <c r="S5911" s="5"/>
    </row>
    <row r="5912">
      <c r="A5912" s="5">
        <f>IFERROR(__xludf.DUMMYFUNCTION("""COMPUTED_VALUE"""),27130.0)</f>
        <v>27130</v>
      </c>
      <c r="B5912" s="5" t="str">
        <f>IFERROR(__xludf.DUMMYFUNCTION("""COMPUTED_VALUE"""),"هیأت")</f>
        <v>هیأت</v>
      </c>
      <c r="C5912" s="5" t="str">
        <f>IFERROR(__xludf.DUMMYFUNCTION("""COMPUTED_VALUE"""),"پنج تن آل عبا (ع)")</f>
        <v>پنج تن آل عبا (ع)</v>
      </c>
      <c r="D5912" s="5" t="str">
        <f>IFERROR(__xludf.DUMMYFUNCTION("""COMPUTED_VALUE"""),"اصفهان")</f>
        <v>اصفهان</v>
      </c>
      <c r="E5912" s="5" t="str">
        <f>IFERROR(__xludf.DUMMYFUNCTION("""COMPUTED_VALUE"""),"اصفهان")</f>
        <v>اصفهان</v>
      </c>
      <c r="F5912" s="5"/>
      <c r="G5912" s="5"/>
      <c r="H5912" s="6" t="str">
        <f>IFERROR(__xludf.DUMMYFUNCTION("""COMPUTED_VALUE"""),"https://www.instagram.com/heyat_panjtan_aleaba")</f>
        <v>https://www.instagram.com/heyat_panjtan_aleaba</v>
      </c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</row>
    <row r="5913">
      <c r="A5913" s="5">
        <f>IFERROR(__xludf.DUMMYFUNCTION("""COMPUTED_VALUE"""),27131.0)</f>
        <v>27131</v>
      </c>
      <c r="B5913" s="5" t="str">
        <f>IFERROR(__xludf.DUMMYFUNCTION("""COMPUTED_VALUE"""),"هیأت")</f>
        <v>هیأت</v>
      </c>
      <c r="C5913" s="5" t="str">
        <f>IFERROR(__xludf.DUMMYFUNCTION("""COMPUTED_VALUE"""),"انصارالمهدی2")</f>
        <v>انصارالمهدی2</v>
      </c>
      <c r="D5913" s="5" t="str">
        <f>IFERROR(__xludf.DUMMYFUNCTION("""COMPUTED_VALUE"""),"اصفهان")</f>
        <v>اصفهان</v>
      </c>
      <c r="E5913" s="5" t="str">
        <f>IFERROR(__xludf.DUMMYFUNCTION("""COMPUTED_VALUE"""),"اصفهان")</f>
        <v>اصفهان</v>
      </c>
      <c r="F5913" s="5"/>
      <c r="G5913" s="5"/>
      <c r="H5913" s="5"/>
      <c r="I5913" s="5"/>
      <c r="J5913" s="6" t="str">
        <f>IFERROR(__xludf.DUMMYFUNCTION("""COMPUTED_VALUE"""),"https://eitaa.com/ansarandarzgo")</f>
        <v>https://eitaa.com/ansarandarzgo</v>
      </c>
      <c r="K5913" s="5"/>
      <c r="L5913" s="5"/>
      <c r="M5913" s="5"/>
      <c r="N5913" s="5"/>
      <c r="O5913" s="5"/>
      <c r="P5913" s="5"/>
      <c r="Q5913" s="5"/>
      <c r="R5913" s="5"/>
      <c r="S5913" s="5"/>
    </row>
    <row r="5914">
      <c r="A5914" s="5">
        <f>IFERROR(__xludf.DUMMYFUNCTION("""COMPUTED_VALUE"""),27132.0)</f>
        <v>27132</v>
      </c>
      <c r="B5914" s="5" t="str">
        <f>IFERROR(__xludf.DUMMYFUNCTION("""COMPUTED_VALUE"""),"هیأت")</f>
        <v>هیأت</v>
      </c>
      <c r="C5914" s="5" t="str">
        <f>IFERROR(__xludf.DUMMYFUNCTION("""COMPUTED_VALUE"""),"راه نشان (حسینیه هنر اصفهان)")</f>
        <v>راه نشان (حسینیه هنر اصفهان)</v>
      </c>
      <c r="D5914" s="5" t="str">
        <f>IFERROR(__xludf.DUMMYFUNCTION("""COMPUTED_VALUE"""),"اصفهان")</f>
        <v>اصفهان</v>
      </c>
      <c r="E5914" s="5" t="str">
        <f>IFERROR(__xludf.DUMMYFUNCTION("""COMPUTED_VALUE"""),"اصفهان")</f>
        <v>اصفهان</v>
      </c>
      <c r="F5914" s="5"/>
      <c r="G5914" s="5"/>
      <c r="H5914" s="5"/>
      <c r="I5914" s="6" t="str">
        <f>IFERROR(__xludf.DUMMYFUNCTION("""COMPUTED_VALUE"""),"https://t.me/hhonar_org")</f>
        <v>https://t.me/hhonar_org</v>
      </c>
      <c r="J5914" s="6" t="str">
        <f>IFERROR(__xludf.DUMMYFUNCTION("""COMPUTED_VALUE"""),"https://eitaa.com/hhonar_ir")</f>
        <v>https://eitaa.com/hhonar_ir</v>
      </c>
      <c r="K5914" s="5"/>
      <c r="L5914" s="5"/>
      <c r="M5914" s="5"/>
      <c r="N5914" s="5"/>
      <c r="O5914" s="5"/>
      <c r="P5914" s="5"/>
      <c r="Q5914" s="5"/>
      <c r="R5914" s="5"/>
      <c r="S5914" s="5"/>
    </row>
    <row r="5915">
      <c r="A5915" s="5">
        <f>IFERROR(__xludf.DUMMYFUNCTION("""COMPUTED_VALUE"""),27133.0)</f>
        <v>27133</v>
      </c>
      <c r="B5915" s="5" t="str">
        <f>IFERROR(__xludf.DUMMYFUNCTION("""COMPUTED_VALUE"""),"هیأت")</f>
        <v>هیأت</v>
      </c>
      <c r="C5915" s="5" t="str">
        <f>IFERROR(__xludf.DUMMYFUNCTION("""COMPUTED_VALUE"""),"شباب الجنت")</f>
        <v>شباب الجنت</v>
      </c>
      <c r="D5915" s="5" t="str">
        <f>IFERROR(__xludf.DUMMYFUNCTION("""COMPUTED_VALUE"""),"اصفهان")</f>
        <v>اصفهان</v>
      </c>
      <c r="E5915" s="5" t="str">
        <f>IFERROR(__xludf.DUMMYFUNCTION("""COMPUTED_VALUE"""),"اصفهان")</f>
        <v>اصفهان</v>
      </c>
      <c r="F5915" s="5"/>
      <c r="G5915" s="5">
        <f>IFERROR(__xludf.DUMMYFUNCTION("""COMPUTED_VALUE"""),1.0)</f>
        <v>1</v>
      </c>
      <c r="H5915" s="6" t="str">
        <f>IFERROR(__xludf.DUMMYFUNCTION("""COMPUTED_VALUE"""),"https://www.instagram.com/shababaljaneh")</f>
        <v>https://www.instagram.com/shababaljaneh</v>
      </c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</row>
    <row r="5916">
      <c r="A5916" s="5">
        <f>IFERROR(__xludf.DUMMYFUNCTION("""COMPUTED_VALUE"""),27134.0)</f>
        <v>27134</v>
      </c>
      <c r="B5916" s="5" t="str">
        <f>IFERROR(__xludf.DUMMYFUNCTION("""COMPUTED_VALUE"""),"هیأت")</f>
        <v>هیأت</v>
      </c>
      <c r="C5916" s="5" t="str">
        <f>IFERROR(__xludf.DUMMYFUNCTION("""COMPUTED_VALUE"""),"بنی فاطمه")</f>
        <v>بنی فاطمه</v>
      </c>
      <c r="D5916" s="5" t="str">
        <f>IFERROR(__xludf.DUMMYFUNCTION("""COMPUTED_VALUE"""),"اصفهان")</f>
        <v>اصفهان</v>
      </c>
      <c r="E5916" s="5" t="str">
        <f>IFERROR(__xludf.DUMMYFUNCTION("""COMPUTED_VALUE"""),"اصفهان")</f>
        <v>اصفهان</v>
      </c>
      <c r="F5916" s="5"/>
      <c r="G5916" s="5"/>
      <c r="H5916" s="5"/>
      <c r="I5916" s="6" t="str">
        <f>IFERROR(__xludf.DUMMYFUNCTION("""COMPUTED_VALUE"""),"https://t.me/heyatebanifatameh")</f>
        <v>https://t.me/heyatebanifatameh</v>
      </c>
      <c r="J5916" s="6" t="str">
        <f>IFERROR(__xludf.DUMMYFUNCTION("""COMPUTED_VALUE"""),"https://eitaa.com/heyatebanifatameh")</f>
        <v>https://eitaa.com/heyatebanifatameh</v>
      </c>
      <c r="K5916" s="5"/>
      <c r="L5916" s="5"/>
      <c r="M5916" s="5"/>
      <c r="N5916" s="5"/>
      <c r="O5916" s="5"/>
      <c r="P5916" s="5"/>
      <c r="Q5916" s="5"/>
      <c r="R5916" s="5"/>
      <c r="S5916" s="5"/>
    </row>
    <row r="5917">
      <c r="A5917" s="5">
        <f>IFERROR(__xludf.DUMMYFUNCTION("""COMPUTED_VALUE"""),27135.0)</f>
        <v>27135</v>
      </c>
      <c r="B5917" s="5" t="str">
        <f>IFERROR(__xludf.DUMMYFUNCTION("""COMPUTED_VALUE"""),"هیأت")</f>
        <v>هیأت</v>
      </c>
      <c r="C5917" s="5" t="str">
        <f>IFERROR(__xludf.DUMMYFUNCTION("""COMPUTED_VALUE"""),"متوسلین به حضرت علی اصغر (ع)")</f>
        <v>متوسلین به حضرت علی اصغر (ع)</v>
      </c>
      <c r="D5917" s="5" t="str">
        <f>IFERROR(__xludf.DUMMYFUNCTION("""COMPUTED_VALUE"""),"اصفهان")</f>
        <v>اصفهان</v>
      </c>
      <c r="E5917" s="5" t="str">
        <f>IFERROR(__xludf.DUMMYFUNCTION("""COMPUTED_VALUE"""),"خور و بیابانک")</f>
        <v>خور و بیابانک</v>
      </c>
      <c r="F5917" s="5"/>
      <c r="G5917" s="5"/>
      <c r="H5917" s="6" t="str">
        <f>IFERROR(__xludf.DUMMYFUNCTION("""COMPUTED_VALUE"""),"https://www.instagram.com/heiat.aliasghar.galougah")</f>
        <v>https://www.instagram.com/heiat.aliasghar.galougah</v>
      </c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</row>
    <row r="5918">
      <c r="A5918" s="5">
        <f>IFERROR(__xludf.DUMMYFUNCTION("""COMPUTED_VALUE"""),27138.0)</f>
        <v>27138</v>
      </c>
      <c r="B5918" s="5" t="str">
        <f>IFERROR(__xludf.DUMMYFUNCTION("""COMPUTED_VALUE"""),"هیأت")</f>
        <v>هیأت</v>
      </c>
      <c r="C5918" s="5" t="str">
        <f>IFERROR(__xludf.DUMMYFUNCTION("""COMPUTED_VALUE"""),"مهدویه")</f>
        <v>مهدویه</v>
      </c>
      <c r="D5918" s="5" t="str">
        <f>IFERROR(__xludf.DUMMYFUNCTION("""COMPUTED_VALUE"""),"اصفهان")</f>
        <v>اصفهان</v>
      </c>
      <c r="E5918" s="5" t="str">
        <f>IFERROR(__xludf.DUMMYFUNCTION("""COMPUTED_VALUE"""),"خور و بیابانک")</f>
        <v>خور و بیابانک</v>
      </c>
      <c r="F5918" s="5"/>
      <c r="G5918" s="5"/>
      <c r="H5918" s="5"/>
      <c r="I5918" s="5"/>
      <c r="J5918" s="6" t="str">
        <f>IFERROR(__xludf.DUMMYFUNCTION("""COMPUTED_VALUE"""),"https://eitaa.com/mahdaviye_isf")</f>
        <v>https://eitaa.com/mahdaviye_isf</v>
      </c>
      <c r="K5918" s="5"/>
      <c r="L5918" s="5"/>
      <c r="M5918" s="5"/>
      <c r="N5918" s="5"/>
      <c r="O5918" s="5"/>
      <c r="P5918" s="5"/>
      <c r="Q5918" s="5"/>
      <c r="R5918" s="5"/>
      <c r="S5918" s="5"/>
    </row>
    <row r="5919">
      <c r="A5919" s="5">
        <f>IFERROR(__xludf.DUMMYFUNCTION("""COMPUTED_VALUE"""),27139.0)</f>
        <v>27139</v>
      </c>
      <c r="B5919" s="5" t="str">
        <f>IFERROR(__xludf.DUMMYFUNCTION("""COMPUTED_VALUE"""),"هیأت")</f>
        <v>هیأت</v>
      </c>
      <c r="C5919" s="5" t="str">
        <f>IFERROR(__xludf.DUMMYFUNCTION("""COMPUTED_VALUE"""),"حضرت ابوالفضل (ع)")</f>
        <v>حضرت ابوالفضل (ع)</v>
      </c>
      <c r="D5919" s="5" t="str">
        <f>IFERROR(__xludf.DUMMYFUNCTION("""COMPUTED_VALUE"""),"اصفهان")</f>
        <v>اصفهان</v>
      </c>
      <c r="E5919" s="5" t="str">
        <f>IFERROR(__xludf.DUMMYFUNCTION("""COMPUTED_VALUE"""),"اصفهان")</f>
        <v>اصفهان</v>
      </c>
      <c r="F5919" s="5"/>
      <c r="G5919" s="5"/>
      <c r="H5919" s="6" t="str">
        <f>IFERROR(__xludf.DUMMYFUNCTION("""COMPUTED_VALUE"""),"https://www.instagram.com/emamolmontazar_masjed")</f>
        <v>https://www.instagram.com/emamolmontazar_masjed</v>
      </c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</row>
    <row r="5920">
      <c r="A5920" s="5">
        <f>IFERROR(__xludf.DUMMYFUNCTION("""COMPUTED_VALUE"""),27140.0)</f>
        <v>27140</v>
      </c>
      <c r="B5920" s="5" t="str">
        <f>IFERROR(__xludf.DUMMYFUNCTION("""COMPUTED_VALUE"""),"هیأت")</f>
        <v>هیأت</v>
      </c>
      <c r="C5920" s="5" t="str">
        <f>IFERROR(__xludf.DUMMYFUNCTION("""COMPUTED_VALUE"""),"شیفتگان امام حسین (ع) _ شرق اصفهان")</f>
        <v>شیفتگان امام حسین (ع) _ شرق اصفهان</v>
      </c>
      <c r="D5920" s="5" t="str">
        <f>IFERROR(__xludf.DUMMYFUNCTION("""COMPUTED_VALUE"""),"اصفهان")</f>
        <v>اصفهان</v>
      </c>
      <c r="E5920" s="5" t="str">
        <f>IFERROR(__xludf.DUMMYFUNCTION("""COMPUTED_VALUE"""),"اصفهان")</f>
        <v>اصفهان</v>
      </c>
      <c r="F5920" s="5"/>
      <c r="G5920" s="5"/>
      <c r="H5920" s="6" t="str">
        <f>IFERROR(__xludf.DUMMYFUNCTION("""COMPUTED_VALUE"""),"https://www.instagram.com/shiftegan_128")</f>
        <v>https://www.instagram.com/shiftegan_128</v>
      </c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</row>
    <row r="5921">
      <c r="A5921" s="5">
        <f>IFERROR(__xludf.DUMMYFUNCTION("""COMPUTED_VALUE"""),27142.0)</f>
        <v>27142</v>
      </c>
      <c r="B5921" s="5" t="str">
        <f>IFERROR(__xludf.DUMMYFUNCTION("""COMPUTED_VALUE"""),"هیأت")</f>
        <v>هیأت</v>
      </c>
      <c r="C5921" s="5" t="str">
        <f>IFERROR(__xludf.DUMMYFUNCTION("""COMPUTED_VALUE"""),"مرواریدهای شهر (جامعه زینب (س))")</f>
        <v>مرواریدهای شهر (جامعه زینب (س))</v>
      </c>
      <c r="D5921" s="5" t="str">
        <f>IFERROR(__xludf.DUMMYFUNCTION("""COMPUTED_VALUE"""),"اصفهان")</f>
        <v>اصفهان</v>
      </c>
      <c r="E5921" s="5" t="str">
        <f>IFERROR(__xludf.DUMMYFUNCTION("""COMPUTED_VALUE"""),"اصفهان")</f>
        <v>اصفهان</v>
      </c>
      <c r="F5921" s="5"/>
      <c r="G5921" s="5"/>
      <c r="H5921" s="5"/>
      <c r="I5921" s="5"/>
      <c r="J5921" s="6" t="str">
        <f>IFERROR(__xludf.DUMMYFUNCTION("""COMPUTED_VALUE"""),"https://eitaa.com/morvaridhayeshaahr")</f>
        <v>https://eitaa.com/morvaridhayeshaahr</v>
      </c>
      <c r="K5921" s="5"/>
      <c r="L5921" s="5"/>
      <c r="M5921" s="5"/>
      <c r="N5921" s="5"/>
      <c r="O5921" s="5"/>
      <c r="P5921" s="5"/>
      <c r="Q5921" s="5"/>
      <c r="R5921" s="5"/>
      <c r="S5921" s="5"/>
    </row>
    <row r="5922">
      <c r="A5922" s="5">
        <f>IFERROR(__xludf.DUMMYFUNCTION("""COMPUTED_VALUE"""),27145.0)</f>
        <v>27145</v>
      </c>
      <c r="B5922" s="5" t="str">
        <f>IFERROR(__xludf.DUMMYFUNCTION("""COMPUTED_VALUE"""),"هیأت")</f>
        <v>هیأت</v>
      </c>
      <c r="C5922" s="5" t="str">
        <f>IFERROR(__xludf.DUMMYFUNCTION("""COMPUTED_VALUE"""),"منتظران ظهور")</f>
        <v>منتظران ظهور</v>
      </c>
      <c r="D5922" s="5" t="str">
        <f>IFERROR(__xludf.DUMMYFUNCTION("""COMPUTED_VALUE"""),"اصفهان")</f>
        <v>اصفهان</v>
      </c>
      <c r="E5922" s="5" t="str">
        <f>IFERROR(__xludf.DUMMYFUNCTION("""COMPUTED_VALUE"""),"فریدن")</f>
        <v>فریدن</v>
      </c>
      <c r="F5922" s="5"/>
      <c r="G5922" s="5"/>
      <c r="H5922" s="6" t="str">
        <f>IFERROR(__xludf.DUMMYFUNCTION("""COMPUTED_VALUE"""),"https://www.instagram.com/montazeranzohuor_313")</f>
        <v>https://www.instagram.com/montazeranzohuor_313</v>
      </c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</row>
    <row r="5923">
      <c r="A5923" s="5">
        <f>IFERROR(__xludf.DUMMYFUNCTION("""COMPUTED_VALUE"""),27147.0)</f>
        <v>27147</v>
      </c>
      <c r="B5923" s="5" t="str">
        <f>IFERROR(__xludf.DUMMYFUNCTION("""COMPUTED_VALUE"""),"هیأت")</f>
        <v>هیأت</v>
      </c>
      <c r="C5923" s="5" t="str">
        <f>IFERROR(__xludf.DUMMYFUNCTION("""COMPUTED_VALUE"""),"بیت الزهرا (س)")</f>
        <v>بیت الزهرا (س)</v>
      </c>
      <c r="D5923" s="5" t="str">
        <f>IFERROR(__xludf.DUMMYFUNCTION("""COMPUTED_VALUE"""),"اصفهان")</f>
        <v>اصفهان</v>
      </c>
      <c r="E5923" s="5" t="str">
        <f>IFERROR(__xludf.DUMMYFUNCTION("""COMPUTED_VALUE"""),"فریدن")</f>
        <v>فریدن</v>
      </c>
      <c r="F5923" s="5"/>
      <c r="G5923" s="5"/>
      <c r="H5923" s="5"/>
      <c r="I5923" s="5"/>
      <c r="J5923" s="6" t="str">
        <f>IFERROR(__xludf.DUMMYFUNCTION("""COMPUTED_VALUE"""),"https://eitaa.com/beytozahra_esfahan")</f>
        <v>https://eitaa.com/beytozahra_esfahan</v>
      </c>
      <c r="K5923" s="5"/>
      <c r="L5923" s="5"/>
      <c r="M5923" s="5"/>
      <c r="N5923" s="5"/>
      <c r="O5923" s="5"/>
      <c r="P5923" s="5"/>
      <c r="Q5923" s="5"/>
      <c r="R5923" s="5"/>
      <c r="S5923" s="5"/>
    </row>
    <row r="5924">
      <c r="A5924" s="5">
        <f>IFERROR(__xludf.DUMMYFUNCTION("""COMPUTED_VALUE"""),27149.0)</f>
        <v>27149</v>
      </c>
      <c r="B5924" s="5" t="str">
        <f>IFERROR(__xludf.DUMMYFUNCTION("""COMPUTED_VALUE"""),"هیأت")</f>
        <v>هیأت</v>
      </c>
      <c r="C5924" s="5" t="str">
        <f>IFERROR(__xludf.DUMMYFUNCTION("""COMPUTED_VALUE"""),"مرکز آموزش مداحی")</f>
        <v>مرکز آموزش مداحی</v>
      </c>
      <c r="D5924" s="5" t="str">
        <f>IFERROR(__xludf.DUMMYFUNCTION("""COMPUTED_VALUE"""),"اصفهان")</f>
        <v>اصفهان</v>
      </c>
      <c r="E5924" s="5" t="str">
        <f>IFERROR(__xludf.DUMMYFUNCTION("""COMPUTED_VALUE"""),"فلاورجان")</f>
        <v>فلاورجان</v>
      </c>
      <c r="F5924" s="5"/>
      <c r="G5924" s="5"/>
      <c r="H5924" s="5"/>
      <c r="I5924" s="5"/>
      <c r="J5924" s="6" t="str">
        <f>IFERROR(__xludf.DUMMYFUNCTION("""COMPUTED_VALUE"""),"https://eitaa.com/maddahanesf")</f>
        <v>https://eitaa.com/maddahanesf</v>
      </c>
      <c r="K5924" s="5"/>
      <c r="L5924" s="5"/>
      <c r="M5924" s="5"/>
      <c r="N5924" s="5"/>
      <c r="O5924" s="5"/>
      <c r="P5924" s="5"/>
      <c r="Q5924" s="5"/>
      <c r="R5924" s="5"/>
      <c r="S5924" s="5"/>
    </row>
    <row r="5925">
      <c r="A5925" s="5">
        <f>IFERROR(__xludf.DUMMYFUNCTION("""COMPUTED_VALUE"""),27153.0)</f>
        <v>27153</v>
      </c>
      <c r="B5925" s="5" t="str">
        <f>IFERROR(__xludf.DUMMYFUNCTION("""COMPUTED_VALUE"""),"هیأت")</f>
        <v>هیأت</v>
      </c>
      <c r="C5925" s="5" t="str">
        <f>IFERROR(__xludf.DUMMYFUNCTION("""COMPUTED_VALUE"""),"محبان  امام حسن مجتبی (ع)")</f>
        <v>محبان  امام حسن مجتبی (ع)</v>
      </c>
      <c r="D5925" s="5" t="str">
        <f>IFERROR(__xludf.DUMMYFUNCTION("""COMPUTED_VALUE"""),"اصفهان")</f>
        <v>اصفهان</v>
      </c>
      <c r="E5925" s="5" t="str">
        <f>IFERROR(__xludf.DUMMYFUNCTION("""COMPUTED_VALUE"""),"دهاقان")</f>
        <v>دهاقان</v>
      </c>
      <c r="F5925" s="5"/>
      <c r="G5925" s="5"/>
      <c r="H5925" s="5"/>
      <c r="I5925" s="5"/>
      <c r="J5925" s="6" t="str">
        <f>IFERROR(__xludf.DUMMYFUNCTION("""COMPUTED_VALUE"""),"https://eitaa.com/moheban_emamhasan")</f>
        <v>https://eitaa.com/moheban_emamhasan</v>
      </c>
      <c r="K5925" s="5"/>
      <c r="L5925" s="5"/>
      <c r="M5925" s="5"/>
      <c r="N5925" s="5"/>
      <c r="O5925" s="5"/>
      <c r="P5925" s="5"/>
      <c r="Q5925" s="5"/>
      <c r="R5925" s="5"/>
      <c r="S5925" s="5"/>
    </row>
    <row r="5926">
      <c r="A5926" s="5">
        <f>IFERROR(__xludf.DUMMYFUNCTION("""COMPUTED_VALUE"""),27154.0)</f>
        <v>27154</v>
      </c>
      <c r="B5926" s="5" t="str">
        <f>IFERROR(__xludf.DUMMYFUNCTION("""COMPUTED_VALUE"""),"هیأت")</f>
        <v>هیأت</v>
      </c>
      <c r="C5926" s="5" t="str">
        <f>IFERROR(__xludf.DUMMYFUNCTION("""COMPUTED_VALUE"""),"انصار العباس (ع)")</f>
        <v>انصار العباس (ع)</v>
      </c>
      <c r="D5926" s="5" t="str">
        <f>IFERROR(__xludf.DUMMYFUNCTION("""COMPUTED_VALUE"""),"اصفهان")</f>
        <v>اصفهان</v>
      </c>
      <c r="E5926" s="5" t="str">
        <f>IFERROR(__xludf.DUMMYFUNCTION("""COMPUTED_VALUE"""),"نطنز")</f>
        <v>نطنز</v>
      </c>
      <c r="F5926" s="5"/>
      <c r="G5926" s="5"/>
      <c r="H5926" s="6" t="str">
        <f>IFERROR(__xludf.DUMMYFUNCTION("""COMPUTED_VALUE"""),"https://www.instagram.com/h_ansaralabbas_p")</f>
        <v>https://www.instagram.com/h_ansaralabbas_p</v>
      </c>
      <c r="I5926" s="5"/>
      <c r="J5926" s="6" t="str">
        <f>IFERROR(__xludf.DUMMYFUNCTION("""COMPUTED_VALUE"""),"https://eitaa.com/h_ansaralabbas_p")</f>
        <v>https://eitaa.com/h_ansaralabbas_p</v>
      </c>
      <c r="K5926" s="5"/>
      <c r="L5926" s="5"/>
      <c r="M5926" s="5"/>
      <c r="N5926" s="5"/>
      <c r="O5926" s="5"/>
      <c r="P5926" s="5"/>
      <c r="Q5926" s="5"/>
      <c r="R5926" s="5"/>
      <c r="S5926" s="5"/>
    </row>
    <row r="5927">
      <c r="A5927" s="5">
        <f>IFERROR(__xludf.DUMMYFUNCTION("""COMPUTED_VALUE"""),27157.0)</f>
        <v>27157</v>
      </c>
      <c r="B5927" s="5" t="str">
        <f>IFERROR(__xludf.DUMMYFUNCTION("""COMPUTED_VALUE"""),"هیأت")</f>
        <v>هیأت</v>
      </c>
      <c r="C5927" s="5" t="str">
        <f>IFERROR(__xludf.DUMMYFUNCTION("""COMPUTED_VALUE"""),"نورالهدی")</f>
        <v>نورالهدی</v>
      </c>
      <c r="D5927" s="5" t="str">
        <f>IFERROR(__xludf.DUMMYFUNCTION("""COMPUTED_VALUE"""),"اصفهان")</f>
        <v>اصفهان</v>
      </c>
      <c r="E5927" s="5" t="str">
        <f>IFERROR(__xludf.DUMMYFUNCTION("""COMPUTED_VALUE"""),"تیران و کرون")</f>
        <v>تیران و کرون</v>
      </c>
      <c r="F5927" s="5"/>
      <c r="G5927" s="5"/>
      <c r="H5927" s="6" t="str">
        <f>IFERROR(__xludf.DUMMYFUNCTION("""COMPUTED_VALUE"""),"https://www.instagram.com/noralhoda_sorod")</f>
        <v>https://www.instagram.com/noralhoda_sorod</v>
      </c>
      <c r="I5927" s="5"/>
      <c r="J5927" s="6" t="str">
        <f>IFERROR(__xludf.DUMMYFUNCTION("""COMPUTED_VALUE"""),"https://eitaa.com/noralhoda_sorod")</f>
        <v>https://eitaa.com/noralhoda_sorod</v>
      </c>
      <c r="K5927" s="5"/>
      <c r="L5927" s="5"/>
      <c r="M5927" s="5"/>
      <c r="N5927" s="5"/>
      <c r="O5927" s="5"/>
      <c r="P5927" s="5"/>
      <c r="Q5927" s="5"/>
      <c r="R5927" s="5"/>
      <c r="S5927" s="5"/>
    </row>
    <row r="5928">
      <c r="A5928" s="5">
        <f>IFERROR(__xludf.DUMMYFUNCTION("""COMPUTED_VALUE"""),27158.0)</f>
        <v>27158</v>
      </c>
      <c r="B5928" s="5" t="str">
        <f>IFERROR(__xludf.DUMMYFUNCTION("""COMPUTED_VALUE"""),"هیأت")</f>
        <v>هیأت</v>
      </c>
      <c r="C5928" s="5" t="str">
        <f>IFERROR(__xludf.DUMMYFUNCTION("""COMPUTED_VALUE"""),"عاشقان حضرت مهدی (عج)/هیات مذهبی شهرستان تیران و کرون")</f>
        <v>عاشقان حضرت مهدی (عج)/هیات مذهبی شهرستان تیران و کرون</v>
      </c>
      <c r="D5928" s="5" t="str">
        <f>IFERROR(__xludf.DUMMYFUNCTION("""COMPUTED_VALUE"""),"اصفهان")</f>
        <v>اصفهان</v>
      </c>
      <c r="E5928" s="5" t="str">
        <f>IFERROR(__xludf.DUMMYFUNCTION("""COMPUTED_VALUE"""),"تیران و کرون")</f>
        <v>تیران و کرون</v>
      </c>
      <c r="F5928" s="5"/>
      <c r="G5928" s="5"/>
      <c r="H5928" s="5"/>
      <c r="I5928" s="5"/>
      <c r="J5928" s="6" t="str">
        <f>IFERROR(__xludf.DUMMYFUNCTION("""COMPUTED_VALUE"""),"https://eitaa.com/asheghanemahdi_chanel")</f>
        <v>https://eitaa.com/asheghanemahdi_chanel</v>
      </c>
      <c r="K5928" s="5"/>
      <c r="L5928" s="5"/>
      <c r="M5928" s="5"/>
      <c r="N5928" s="5"/>
      <c r="O5928" s="5"/>
      <c r="P5928" s="5"/>
      <c r="Q5928" s="5"/>
      <c r="R5928" s="5"/>
      <c r="S5928" s="5"/>
    </row>
    <row r="5929">
      <c r="A5929" s="5">
        <f>IFERROR(__xludf.DUMMYFUNCTION("""COMPUTED_VALUE"""),27160.0)</f>
        <v>27160</v>
      </c>
      <c r="B5929" s="5" t="str">
        <f>IFERROR(__xludf.DUMMYFUNCTION("""COMPUTED_VALUE"""),"هیأت")</f>
        <v>هیأت</v>
      </c>
      <c r="C5929" s="5" t="str">
        <f>IFERROR(__xludf.DUMMYFUNCTION("""COMPUTED_VALUE"""),"حسینی نخل کاشان")</f>
        <v>حسینی نخل کاشان</v>
      </c>
      <c r="D5929" s="5" t="str">
        <f>IFERROR(__xludf.DUMMYFUNCTION("""COMPUTED_VALUE"""),"اصفهان")</f>
        <v>اصفهان</v>
      </c>
      <c r="E5929" s="5" t="str">
        <f>IFERROR(__xludf.DUMMYFUNCTION("""COMPUTED_VALUE"""),"کاشان")</f>
        <v>کاشان</v>
      </c>
      <c r="F5929" s="5"/>
      <c r="G5929" s="5"/>
      <c r="H5929" s="6" t="str">
        <f>IFERROR(__xludf.DUMMYFUNCTION("""COMPUTED_VALUE"""),"https://www.instagram.com/nakhlekashan")</f>
        <v>https://www.instagram.com/nakhlekashan</v>
      </c>
      <c r="I5929" s="6" t="str">
        <f>IFERROR(__xludf.DUMMYFUNCTION("""COMPUTED_VALUE"""),"https://t.me/nakhlekashan")</f>
        <v>https://t.me/nakhlekashan</v>
      </c>
      <c r="J5929" s="6" t="str">
        <f>IFERROR(__xludf.DUMMYFUNCTION("""COMPUTED_VALUE"""),"https://eitaa.com/nakhlekashan")</f>
        <v>https://eitaa.com/nakhlekashan</v>
      </c>
      <c r="K5929" s="5"/>
      <c r="L5929" s="5"/>
      <c r="M5929" s="5"/>
      <c r="N5929" s="5"/>
      <c r="O5929" s="5"/>
      <c r="P5929" s="5"/>
      <c r="Q5929" s="5"/>
      <c r="R5929" s="5"/>
      <c r="S5929" s="5"/>
    </row>
    <row r="5930">
      <c r="A5930" s="5">
        <f>IFERROR(__xludf.DUMMYFUNCTION("""COMPUTED_VALUE"""),27161.0)</f>
        <v>27161</v>
      </c>
      <c r="B5930" s="5" t="str">
        <f>IFERROR(__xludf.DUMMYFUNCTION("""COMPUTED_VALUE"""),"هیأت")</f>
        <v>هیأت</v>
      </c>
      <c r="C5930" s="5" t="str">
        <f>IFERROR(__xludf.DUMMYFUNCTION("""COMPUTED_VALUE"""),"جوانان امام حسن مجتبی (ع)")</f>
        <v>جوانان امام حسن مجتبی (ع)</v>
      </c>
      <c r="D5930" s="5" t="str">
        <f>IFERROR(__xludf.DUMMYFUNCTION("""COMPUTED_VALUE"""),"اصفهان")</f>
        <v>اصفهان</v>
      </c>
      <c r="E5930" s="5" t="str">
        <f>IFERROR(__xludf.DUMMYFUNCTION("""COMPUTED_VALUE"""),"کاشان")</f>
        <v>کاشان</v>
      </c>
      <c r="F5930" s="5"/>
      <c r="G5930" s="5"/>
      <c r="H5930" s="6" t="str">
        <f>IFERROR(__xludf.DUMMYFUNCTION("""COMPUTED_VALUE"""),"https://www.instagram.com/javanan_emamhasan")</f>
        <v>https://www.instagram.com/javanan_emamhasan</v>
      </c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</row>
    <row r="5931">
      <c r="A5931" s="5">
        <f>IFERROR(__xludf.DUMMYFUNCTION("""COMPUTED_VALUE"""),27162.0)</f>
        <v>27162</v>
      </c>
      <c r="B5931" s="5" t="str">
        <f>IFERROR(__xludf.DUMMYFUNCTION("""COMPUTED_VALUE"""),"هیأت")</f>
        <v>هیأت</v>
      </c>
      <c r="C5931" s="5" t="str">
        <f>IFERROR(__xludf.DUMMYFUNCTION("""COMPUTED_VALUE"""),"مذهبی زینبیه کاشان")</f>
        <v>مذهبی زینبیه کاشان</v>
      </c>
      <c r="D5931" s="5" t="str">
        <f>IFERROR(__xludf.DUMMYFUNCTION("""COMPUTED_VALUE"""),"اصفهان")</f>
        <v>اصفهان</v>
      </c>
      <c r="E5931" s="5" t="str">
        <f>IFERROR(__xludf.DUMMYFUNCTION("""COMPUTED_VALUE"""),"کاشان")</f>
        <v>کاشان</v>
      </c>
      <c r="F5931" s="5"/>
      <c r="G5931" s="5"/>
      <c r="H5931" s="6" t="str">
        <f>IFERROR(__xludf.DUMMYFUNCTION("""COMPUTED_VALUE"""),"https://www.instagram.com/zeynabie.kashan")</f>
        <v>https://www.instagram.com/zeynabie.kashan</v>
      </c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</row>
    <row r="5932">
      <c r="A5932" s="5">
        <f>IFERROR(__xludf.DUMMYFUNCTION("""COMPUTED_VALUE"""),27163.0)</f>
        <v>27163</v>
      </c>
      <c r="B5932" s="5" t="str">
        <f>IFERROR(__xludf.DUMMYFUNCTION("""COMPUTED_VALUE"""),"هیأت")</f>
        <v>هیأت</v>
      </c>
      <c r="C5932" s="5" t="str">
        <f>IFERROR(__xludf.DUMMYFUNCTION("""COMPUTED_VALUE"""),"حسینی محله ده قمصر")</f>
        <v>حسینی محله ده قمصر</v>
      </c>
      <c r="D5932" s="5" t="str">
        <f>IFERROR(__xludf.DUMMYFUNCTION("""COMPUTED_VALUE"""),"اصفهان")</f>
        <v>اصفهان</v>
      </c>
      <c r="E5932" s="5" t="str">
        <f>IFERROR(__xludf.DUMMYFUNCTION("""COMPUTED_VALUE"""),"کاشان")</f>
        <v>کاشان</v>
      </c>
      <c r="F5932" s="5"/>
      <c r="G5932" s="5"/>
      <c r="H5932" s="6" t="str">
        <f>IFERROR(__xludf.DUMMYFUNCTION("""COMPUTED_VALUE"""),"https://www.instagram.com/heyat_hosini_qamsar")</f>
        <v>https://www.instagram.com/heyat_hosini_qamsar</v>
      </c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</row>
    <row r="5933">
      <c r="A5933" s="5">
        <f>IFERROR(__xludf.DUMMYFUNCTION("""COMPUTED_VALUE"""),27167.0)</f>
        <v>27167</v>
      </c>
      <c r="B5933" s="5" t="str">
        <f>IFERROR(__xludf.DUMMYFUNCTION("""COMPUTED_VALUE"""),"هیأت")</f>
        <v>هیأت</v>
      </c>
      <c r="C5933" s="5" t="str">
        <f>IFERROR(__xludf.DUMMYFUNCTION("""COMPUTED_VALUE"""),"ریحانه الحسین")</f>
        <v>ریحانه الحسین</v>
      </c>
      <c r="D5933" s="5" t="str">
        <f>IFERROR(__xludf.DUMMYFUNCTION("""COMPUTED_VALUE"""),"اصفهان")</f>
        <v>اصفهان</v>
      </c>
      <c r="E5933" s="5" t="str">
        <f>IFERROR(__xludf.DUMMYFUNCTION("""COMPUTED_VALUE"""),"مبارکه")</f>
        <v>مبارکه</v>
      </c>
      <c r="F5933" s="5"/>
      <c r="G5933" s="5"/>
      <c r="H5933" s="5"/>
      <c r="I5933" s="5"/>
      <c r="J5933" s="6" t="str">
        <f>IFERROR(__xludf.DUMMYFUNCTION("""COMPUTED_VALUE"""),"https://eitaa.com/hiatrihaneh")</f>
        <v>https://eitaa.com/hiatrihaneh</v>
      </c>
      <c r="K5933" s="5"/>
      <c r="L5933" s="5"/>
      <c r="M5933" s="5"/>
      <c r="N5933" s="5"/>
      <c r="O5933" s="5"/>
      <c r="P5933" s="5"/>
      <c r="Q5933" s="5"/>
      <c r="R5933" s="5"/>
      <c r="S5933" s="5"/>
    </row>
    <row r="5934">
      <c r="A5934" s="5">
        <f>IFERROR(__xludf.DUMMYFUNCTION("""COMPUTED_VALUE"""),27168.0)</f>
        <v>27168</v>
      </c>
      <c r="B5934" s="5" t="str">
        <f>IFERROR(__xludf.DUMMYFUNCTION("""COMPUTED_VALUE"""),"هیأت")</f>
        <v>هیأت</v>
      </c>
      <c r="C5934" s="5" t="str">
        <f>IFERROR(__xludf.DUMMYFUNCTION("""COMPUTED_VALUE"""),"جان نثاران حضرت علی اصغر (ع)")</f>
        <v>جان نثاران حضرت علی اصغر (ع)</v>
      </c>
      <c r="D5934" s="5" t="str">
        <f>IFERROR(__xludf.DUMMYFUNCTION("""COMPUTED_VALUE"""),"اصفهان")</f>
        <v>اصفهان</v>
      </c>
      <c r="E5934" s="5" t="str">
        <f>IFERROR(__xludf.DUMMYFUNCTION("""COMPUTED_VALUE"""),"شهرضا")</f>
        <v>شهرضا</v>
      </c>
      <c r="F5934" s="5"/>
      <c r="G5934" s="5"/>
      <c r="H5934" s="6" t="str">
        <f>IFERROR(__xludf.DUMMYFUNCTION("""COMPUTED_VALUE"""),"https://www.instagram.com/h.ali.asghar.shz")</f>
        <v>https://www.instagram.com/h.ali.asghar.shz</v>
      </c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</row>
    <row r="5935">
      <c r="A5935" s="5">
        <f>IFERROR(__xludf.DUMMYFUNCTION("""COMPUTED_VALUE"""),27170.0)</f>
        <v>27170</v>
      </c>
      <c r="B5935" s="5" t="str">
        <f>IFERROR(__xludf.DUMMYFUNCTION("""COMPUTED_VALUE"""),"هیأت")</f>
        <v>هیأت</v>
      </c>
      <c r="C5935" s="5" t="str">
        <f>IFERROR(__xludf.DUMMYFUNCTION("""COMPUTED_VALUE"""),"ستاد مردمی احیاگران غدیر شهرضا")</f>
        <v>ستاد مردمی احیاگران غدیر شهرضا</v>
      </c>
      <c r="D5935" s="5" t="str">
        <f>IFERROR(__xludf.DUMMYFUNCTION("""COMPUTED_VALUE"""),"اصفهان")</f>
        <v>اصفهان</v>
      </c>
      <c r="E5935" s="5" t="str">
        <f>IFERROR(__xludf.DUMMYFUNCTION("""COMPUTED_VALUE"""),"شهرضا")</f>
        <v>شهرضا</v>
      </c>
      <c r="F5935" s="5"/>
      <c r="G5935" s="5"/>
      <c r="H5935" s="5"/>
      <c r="I5935" s="5"/>
      <c r="J5935" s="6" t="str">
        <f>IFERROR(__xludf.DUMMYFUNCTION("""COMPUTED_VALUE"""),"https://eitaa.com/setadghadirshahreza")</f>
        <v>https://eitaa.com/setadghadirshahreza</v>
      </c>
      <c r="K5935" s="5"/>
      <c r="L5935" s="5"/>
      <c r="M5935" s="5"/>
      <c r="N5935" s="5"/>
      <c r="O5935" s="5"/>
      <c r="P5935" s="5"/>
      <c r="Q5935" s="5"/>
      <c r="R5935" s="5"/>
      <c r="S5935" s="5"/>
    </row>
    <row r="5936">
      <c r="A5936" s="5">
        <f>IFERROR(__xludf.DUMMYFUNCTION("""COMPUTED_VALUE"""),27172.0)</f>
        <v>27172</v>
      </c>
      <c r="B5936" s="5" t="str">
        <f>IFERROR(__xludf.DUMMYFUNCTION("""COMPUTED_VALUE"""),"هیأت")</f>
        <v>هیأت</v>
      </c>
      <c r="C5936" s="5" t="str">
        <f>IFERROR(__xludf.DUMMYFUNCTION("""COMPUTED_VALUE"""),"امام حسن مجتبی (ع)")</f>
        <v>امام حسن مجتبی (ع)</v>
      </c>
      <c r="D5936" s="5" t="str">
        <f>IFERROR(__xludf.DUMMYFUNCTION("""COMPUTED_VALUE"""),"اصفهان")</f>
        <v>اصفهان</v>
      </c>
      <c r="E5936" s="5" t="str">
        <f>IFERROR(__xludf.DUMMYFUNCTION("""COMPUTED_VALUE"""),"شهرضا")</f>
        <v>شهرضا</v>
      </c>
      <c r="F5936" s="5"/>
      <c r="G5936" s="5"/>
      <c r="H5936" s="6" t="str">
        <f>IFERROR(__xludf.DUMMYFUNCTION("""COMPUTED_VALUE"""),"https://www.instagram.com/emam_hasan_mojtaba_sh")</f>
        <v>https://www.instagram.com/emam_hasan_mojtaba_sh</v>
      </c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</row>
    <row r="5937">
      <c r="A5937" s="5">
        <f>IFERROR(__xludf.DUMMYFUNCTION("""COMPUTED_VALUE"""),27177.0)</f>
        <v>27177</v>
      </c>
      <c r="B5937" s="5" t="str">
        <f>IFERROR(__xludf.DUMMYFUNCTION("""COMPUTED_VALUE"""),"هیأت")</f>
        <v>هیأت</v>
      </c>
      <c r="C5937" s="5" t="str">
        <f>IFERROR(__xludf.DUMMYFUNCTION("""COMPUTED_VALUE"""),"قمر بنی هاشم")</f>
        <v>قمر بنی هاشم</v>
      </c>
      <c r="D5937" s="5" t="str">
        <f>IFERROR(__xludf.DUMMYFUNCTION("""COMPUTED_VALUE"""),"اصفهان")</f>
        <v>اصفهان</v>
      </c>
      <c r="E5937" s="5" t="str">
        <f>IFERROR(__xludf.DUMMYFUNCTION("""COMPUTED_VALUE"""),"خمینی شهر")</f>
        <v>خمینی شهر</v>
      </c>
      <c r="F5937" s="5"/>
      <c r="G5937" s="5"/>
      <c r="H5937" s="6" t="str">
        <f>IFERROR(__xludf.DUMMYFUNCTION("""COMPUTED_VALUE"""),"https://www.instagram.com/ghamarebanihashem133a")</f>
        <v>https://www.instagram.com/ghamarebanihashem133a</v>
      </c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</row>
    <row r="5938">
      <c r="A5938" s="5">
        <f>IFERROR(__xludf.DUMMYFUNCTION("""COMPUTED_VALUE"""),27178.0)</f>
        <v>27178</v>
      </c>
      <c r="B5938" s="5" t="str">
        <f>IFERROR(__xludf.DUMMYFUNCTION("""COMPUTED_VALUE"""),"هیأت")</f>
        <v>هیأت</v>
      </c>
      <c r="C5938" s="5" t="str">
        <f>IFERROR(__xludf.DUMMYFUNCTION("""COMPUTED_VALUE"""),"محبان امام حسین (ع)")</f>
        <v>محبان امام حسین (ع)</v>
      </c>
      <c r="D5938" s="5" t="str">
        <f>IFERROR(__xludf.DUMMYFUNCTION("""COMPUTED_VALUE"""),"اصفهان")</f>
        <v>اصفهان</v>
      </c>
      <c r="E5938" s="5" t="str">
        <f>IFERROR(__xludf.DUMMYFUNCTION("""COMPUTED_VALUE"""),"خمینی شهر")</f>
        <v>خمینی شهر</v>
      </c>
      <c r="F5938" s="5"/>
      <c r="G5938" s="5"/>
      <c r="H5938" s="6" t="str">
        <f>IFERROR(__xludf.DUMMYFUNCTION("""COMPUTED_VALUE"""),"https://www.instagram.com/deehagh")</f>
        <v>https://www.instagram.com/deehagh</v>
      </c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</row>
    <row r="5939">
      <c r="A5939" s="5">
        <f>IFERROR(__xludf.DUMMYFUNCTION("""COMPUTED_VALUE"""),27179.0)</f>
        <v>27179</v>
      </c>
      <c r="B5939" s="5" t="str">
        <f>IFERROR(__xludf.DUMMYFUNCTION("""COMPUTED_VALUE"""),"هیأت")</f>
        <v>هیأت</v>
      </c>
      <c r="C5939" s="5" t="str">
        <f>IFERROR(__xludf.DUMMYFUNCTION("""COMPUTED_VALUE"""),"حضرت قاسم بن الحسن (ع)")</f>
        <v>حضرت قاسم بن الحسن (ع)</v>
      </c>
      <c r="D5939" s="5" t="str">
        <f>IFERROR(__xludf.DUMMYFUNCTION("""COMPUTED_VALUE"""),"اصفهان")</f>
        <v>اصفهان</v>
      </c>
      <c r="E5939" s="5" t="str">
        <f>IFERROR(__xludf.DUMMYFUNCTION("""COMPUTED_VALUE"""),"خمینی شهر")</f>
        <v>خمینی شهر</v>
      </c>
      <c r="F5939" s="5"/>
      <c r="G5939" s="5"/>
      <c r="H5939" s="6" t="str">
        <f>IFERROR(__xludf.DUMMYFUNCTION("""COMPUTED_VALUE"""),"https://www.instagram.com/heiat_ghasem_arisman")</f>
        <v>https://www.instagram.com/heiat_ghasem_arisman</v>
      </c>
      <c r="I5939" s="6" t="str">
        <f>IFERROR(__xludf.DUMMYFUNCTION("""COMPUTED_VALUE"""),"https://t.me/kheirieghasem")</f>
        <v>https://t.me/kheirieghasem</v>
      </c>
      <c r="J5939" s="5"/>
      <c r="K5939" s="5"/>
      <c r="L5939" s="5"/>
      <c r="M5939" s="5"/>
      <c r="N5939" s="5"/>
      <c r="O5939" s="5"/>
      <c r="P5939" s="5"/>
      <c r="Q5939" s="5"/>
      <c r="R5939" s="5"/>
      <c r="S5939" s="5"/>
    </row>
    <row r="5940">
      <c r="A5940" s="5">
        <f>IFERROR(__xludf.DUMMYFUNCTION("""COMPUTED_VALUE"""),27180.0)</f>
        <v>27180</v>
      </c>
      <c r="B5940" s="5" t="str">
        <f>IFERROR(__xludf.DUMMYFUNCTION("""COMPUTED_VALUE"""),"هیأت")</f>
        <v>هیأت</v>
      </c>
      <c r="C5940" s="5" t="str">
        <f>IFERROR(__xludf.DUMMYFUNCTION("""COMPUTED_VALUE"""),"عاشقان ثارالله رزمندگان اسلام")</f>
        <v>عاشقان ثارالله رزمندگان اسلام</v>
      </c>
      <c r="D5940" s="5" t="str">
        <f>IFERROR(__xludf.DUMMYFUNCTION("""COMPUTED_VALUE"""),"اصفهان")</f>
        <v>اصفهان</v>
      </c>
      <c r="E5940" s="5" t="str">
        <f>IFERROR(__xludf.DUMMYFUNCTION("""COMPUTED_VALUE"""),"شاهین شهر")</f>
        <v>شاهین شهر</v>
      </c>
      <c r="F5940" s="5"/>
      <c r="G5940" s="5">
        <f>IFERROR(__xludf.DUMMYFUNCTION("""COMPUTED_VALUE"""),1.0)</f>
        <v>1</v>
      </c>
      <c r="H5940" s="6" t="str">
        <f>IFERROR(__xludf.DUMMYFUNCTION("""COMPUTED_VALUE"""),"https://www.instagram.com/heiat_razmandegan_shoshtar")</f>
        <v>https://www.instagram.com/heiat_razmandegan_shoshtar</v>
      </c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</row>
    <row r="5941">
      <c r="A5941" s="5">
        <f>IFERROR(__xludf.DUMMYFUNCTION("""COMPUTED_VALUE"""),27182.0)</f>
        <v>27182</v>
      </c>
      <c r="B5941" s="5" t="str">
        <f>IFERROR(__xludf.DUMMYFUNCTION("""COMPUTED_VALUE"""),"هیأت")</f>
        <v>هیأت</v>
      </c>
      <c r="C5941" s="5" t="str">
        <f>IFERROR(__xludf.DUMMYFUNCTION("""COMPUTED_VALUE"""),"منتظران ظهور شهر گلدشت")</f>
        <v>منتظران ظهور شهر گلدشت</v>
      </c>
      <c r="D5941" s="5" t="str">
        <f>IFERROR(__xludf.DUMMYFUNCTION("""COMPUTED_VALUE"""),"اصفهان")</f>
        <v>اصفهان</v>
      </c>
      <c r="E5941" s="5" t="str">
        <f>IFERROR(__xludf.DUMMYFUNCTION("""COMPUTED_VALUE"""),"نجف آباد")</f>
        <v>نجف آباد</v>
      </c>
      <c r="F5941" s="5"/>
      <c r="G5941" s="5"/>
      <c r="H5941" s="6" t="str">
        <f>IFERROR(__xludf.DUMMYFUNCTION("""COMPUTED_VALUE"""),"https://www.instagram.com/gol_nodbeh2")</f>
        <v>https://www.instagram.com/gol_nodbeh2</v>
      </c>
      <c r="I5941" s="5"/>
      <c r="J5941" s="6" t="str">
        <f>IFERROR(__xludf.DUMMYFUNCTION("""COMPUTED_VALUE"""),"https://eitaa.com/Gol_Nodbeh")</f>
        <v>https://eitaa.com/Gol_Nodbeh</v>
      </c>
      <c r="K5941" s="5"/>
      <c r="L5941" s="5"/>
      <c r="M5941" s="5"/>
      <c r="N5941" s="5"/>
      <c r="O5941" s="5"/>
      <c r="P5941" s="5"/>
      <c r="Q5941" s="5"/>
      <c r="R5941" s="5"/>
      <c r="S5941" s="5"/>
    </row>
    <row r="5942">
      <c r="A5942" s="5">
        <f>IFERROR(__xludf.DUMMYFUNCTION("""COMPUTED_VALUE"""),27186.0)</f>
        <v>27186</v>
      </c>
      <c r="B5942" s="5" t="str">
        <f>IFERROR(__xludf.DUMMYFUNCTION("""COMPUTED_VALUE"""),"هیأت")</f>
        <v>هیأت</v>
      </c>
      <c r="C5942" s="5" t="str">
        <f>IFERROR(__xludf.DUMMYFUNCTION("""COMPUTED_VALUE"""),"اباالفضلی کوی فخارخانه")</f>
        <v>اباالفضلی کوی فخارخانه</v>
      </c>
      <c r="D5942" s="5" t="str">
        <f>IFERROR(__xludf.DUMMYFUNCTION("""COMPUTED_VALUE"""),"اصفهان")</f>
        <v>اصفهان</v>
      </c>
      <c r="E5942" s="5" t="str">
        <f>IFERROR(__xludf.DUMMYFUNCTION("""COMPUTED_VALUE"""),"آران وبیدگل")</f>
        <v>آران وبیدگل</v>
      </c>
      <c r="F5942" s="5"/>
      <c r="G5942" s="5"/>
      <c r="H5942" s="6" t="str">
        <f>IFERROR(__xludf.DUMMYFUNCTION("""COMPUTED_VALUE"""),"https://www.instagram.com/heyat_abolfazl_fakharkhane")</f>
        <v>https://www.instagram.com/heyat_abolfazl_fakharkhane</v>
      </c>
      <c r="I5942" s="6" t="str">
        <f>IFERROR(__xludf.DUMMYFUNCTION("""COMPUTED_VALUE"""),"https://t.me/heiatfakharkhane")</f>
        <v>https://t.me/heiatfakharkhane</v>
      </c>
      <c r="J5942" s="5"/>
      <c r="K5942" s="5"/>
      <c r="L5942" s="5"/>
      <c r="M5942" s="5"/>
      <c r="N5942" s="5"/>
      <c r="O5942" s="5"/>
      <c r="P5942" s="5"/>
      <c r="Q5942" s="5"/>
      <c r="R5942" s="5"/>
      <c r="S5942" s="5"/>
    </row>
    <row r="5943">
      <c r="A5943" s="5">
        <f>IFERROR(__xludf.DUMMYFUNCTION("""COMPUTED_VALUE"""),27187.0)</f>
        <v>27187</v>
      </c>
      <c r="B5943" s="5" t="str">
        <f>IFERROR(__xludf.DUMMYFUNCTION("""COMPUTED_VALUE"""),"هیأت")</f>
        <v>هیأت</v>
      </c>
      <c r="C5943" s="5" t="str">
        <f>IFERROR(__xludf.DUMMYFUNCTION("""COMPUTED_VALUE"""),"رزمندگان اسلام آران وبیدگل")</f>
        <v>رزمندگان اسلام آران وبیدگل</v>
      </c>
      <c r="D5943" s="5" t="str">
        <f>IFERROR(__xludf.DUMMYFUNCTION("""COMPUTED_VALUE"""),"اصفهان")</f>
        <v>اصفهان</v>
      </c>
      <c r="E5943" s="5" t="str">
        <f>IFERROR(__xludf.DUMMYFUNCTION("""COMPUTED_VALUE"""),"آران وبیدگل")</f>
        <v>آران وبیدگل</v>
      </c>
      <c r="F5943" s="5"/>
      <c r="G5943" s="5"/>
      <c r="H5943" s="5"/>
      <c r="I5943" s="5"/>
      <c r="J5943" s="6" t="str">
        <f>IFERROR(__xludf.DUMMYFUNCTION("""COMPUTED_VALUE"""),"https://eitaa.com/heyatrazmandeganab")</f>
        <v>https://eitaa.com/heyatrazmandeganab</v>
      </c>
      <c r="K5943" s="5"/>
      <c r="L5943" s="5"/>
      <c r="M5943" s="5"/>
      <c r="N5943" s="5"/>
      <c r="O5943" s="5"/>
      <c r="P5943" s="5"/>
      <c r="Q5943" s="5"/>
      <c r="R5943" s="5"/>
      <c r="S5943" s="5"/>
    </row>
    <row r="5944">
      <c r="A5944" s="5">
        <f>IFERROR(__xludf.DUMMYFUNCTION("""COMPUTED_VALUE"""),27188.0)</f>
        <v>27188</v>
      </c>
      <c r="B5944" s="5" t="str">
        <f>IFERROR(__xludf.DUMMYFUNCTION("""COMPUTED_VALUE"""),"هیأت")</f>
        <v>هیأت</v>
      </c>
      <c r="C5944" s="5" t="str">
        <f>IFERROR(__xludf.DUMMYFUNCTION("""COMPUTED_VALUE"""),"قمربنی هاشم (ع) روستای کاغذی")</f>
        <v>قمربنی هاشم (ع) روستای کاغذی</v>
      </c>
      <c r="D5944" s="5" t="str">
        <f>IFERROR(__xludf.DUMMYFUNCTION("""COMPUTED_VALUE"""),"اصفهان")</f>
        <v>اصفهان</v>
      </c>
      <c r="E5944" s="5" t="str">
        <f>IFERROR(__xludf.DUMMYFUNCTION("""COMPUTED_VALUE"""),"آران وبیدگل")</f>
        <v>آران وبیدگل</v>
      </c>
      <c r="F5944" s="5"/>
      <c r="G5944" s="5"/>
      <c r="H5944" s="5"/>
      <c r="I5944" s="5"/>
      <c r="J5944" s="6" t="str">
        <f>IFERROR(__xludf.DUMMYFUNCTION("""COMPUTED_VALUE"""),"https://eitaa.com/ghamarbaniihashem")</f>
        <v>https://eitaa.com/ghamarbaniihashem</v>
      </c>
      <c r="K5944" s="5"/>
      <c r="L5944" s="5"/>
      <c r="M5944" s="5"/>
      <c r="N5944" s="5"/>
      <c r="O5944" s="5"/>
      <c r="P5944" s="5"/>
      <c r="Q5944" s="5"/>
      <c r="R5944" s="5"/>
      <c r="S5944" s="5"/>
    </row>
    <row r="5945">
      <c r="A5945" s="5">
        <f>IFERROR(__xludf.DUMMYFUNCTION("""COMPUTED_VALUE"""),27189.0)</f>
        <v>27189</v>
      </c>
      <c r="B5945" s="5" t="str">
        <f>IFERROR(__xludf.DUMMYFUNCTION("""COMPUTED_VALUE"""),"هیأت")</f>
        <v>هیأت</v>
      </c>
      <c r="C5945" s="5" t="str">
        <f>IFERROR(__xludf.DUMMYFUNCTION("""COMPUTED_VALUE"""),"سید الشهدا")</f>
        <v>سید الشهدا</v>
      </c>
      <c r="D5945" s="5" t="str">
        <f>IFERROR(__xludf.DUMMYFUNCTION("""COMPUTED_VALUE"""),"اصفهان")</f>
        <v>اصفهان</v>
      </c>
      <c r="E5945" s="5" t="str">
        <f>IFERROR(__xludf.DUMMYFUNCTION("""COMPUTED_VALUE"""),"آران وبیدگل")</f>
        <v>آران وبیدگل</v>
      </c>
      <c r="F5945" s="5"/>
      <c r="G5945" s="5"/>
      <c r="H5945" s="6" t="str">
        <f>IFERROR(__xludf.DUMMYFUNCTION("""COMPUTED_VALUE"""),"https://www.instagram.com/hosseinian_ghaletaki")</f>
        <v>https://www.instagram.com/hosseinian_ghaletaki</v>
      </c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</row>
    <row r="5946">
      <c r="A5946" s="5">
        <f>IFERROR(__xludf.DUMMYFUNCTION("""COMPUTED_VALUE"""),27191.0)</f>
        <v>27191</v>
      </c>
      <c r="B5946" s="5" t="str">
        <f>IFERROR(__xludf.DUMMYFUNCTION("""COMPUTED_VALUE"""),"هیأت")</f>
        <v>هیأت</v>
      </c>
      <c r="C5946" s="5" t="str">
        <f>IFERROR(__xludf.DUMMYFUNCTION("""COMPUTED_VALUE"""),"مهدیه ولی عصر")</f>
        <v>مهدیه ولی عصر</v>
      </c>
      <c r="D5946" s="5" t="str">
        <f>IFERROR(__xludf.DUMMYFUNCTION("""COMPUTED_VALUE"""),"اصفهان")</f>
        <v>اصفهان</v>
      </c>
      <c r="E5946" s="5" t="str">
        <f>IFERROR(__xludf.DUMMYFUNCTION("""COMPUTED_VALUE"""),"آران وبیدگل")</f>
        <v>آران وبیدگل</v>
      </c>
      <c r="F5946" s="5"/>
      <c r="G5946" s="5"/>
      <c r="H5946" s="6" t="str">
        <f>IFERROR(__xludf.DUMMYFUNCTION("""COMPUTED_VALUE"""),"https://www.instagram.com/valiasriya")</f>
        <v>https://www.instagram.com/valiasriya</v>
      </c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</row>
    <row r="5947">
      <c r="A5947" s="5">
        <f>IFERROR(__xludf.DUMMYFUNCTION("""COMPUTED_VALUE"""),27193.0)</f>
        <v>27193</v>
      </c>
      <c r="B5947" s="5" t="str">
        <f>IFERROR(__xludf.DUMMYFUNCTION("""COMPUTED_VALUE"""),"هیأت")</f>
        <v>هیأت</v>
      </c>
      <c r="C5947" s="5" t="str">
        <f>IFERROR(__xludf.DUMMYFUNCTION("""COMPUTED_VALUE"""),"انسیه الحورا")</f>
        <v>انسیه الحورا</v>
      </c>
      <c r="D5947" s="5" t="str">
        <f>IFERROR(__xludf.DUMMYFUNCTION("""COMPUTED_VALUE"""),"اصفهان ")</f>
        <v>اصفهان </v>
      </c>
      <c r="E5947" s="5" t="str">
        <f>IFERROR(__xludf.DUMMYFUNCTION("""COMPUTED_VALUE"""),"برخوار")</f>
        <v>برخوار</v>
      </c>
      <c r="F5947" s="5"/>
      <c r="G5947" s="5">
        <f>IFERROR(__xludf.DUMMYFUNCTION("""COMPUTED_VALUE"""),1.0)</f>
        <v>1</v>
      </c>
      <c r="H5947" s="6" t="str">
        <f>IFERROR(__xludf.DUMMYFUNCTION("""COMPUTED_VALUE"""),"https://www.instagram.com/ensiatalhaora135")</f>
        <v>https://www.instagram.com/ensiatalhaora135</v>
      </c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</row>
    <row r="5948">
      <c r="A5948" s="5">
        <f>IFERROR(__xludf.DUMMYFUNCTION("""COMPUTED_VALUE"""),27194.0)</f>
        <v>27194</v>
      </c>
      <c r="B5948" s="5" t="str">
        <f>IFERROR(__xludf.DUMMYFUNCTION("""COMPUTED_VALUE"""),"هیأت")</f>
        <v>هیأت</v>
      </c>
      <c r="C5948" s="5" t="str">
        <f>IFERROR(__xludf.DUMMYFUNCTION("""COMPUTED_VALUE"""),"رهروان ولایت")</f>
        <v>رهروان ولایت</v>
      </c>
      <c r="D5948" s="5" t="str">
        <f>IFERROR(__xludf.DUMMYFUNCTION("""COMPUTED_VALUE"""),"اصفهان ")</f>
        <v>اصفهان </v>
      </c>
      <c r="E5948" s="5" t="str">
        <f>IFERROR(__xludf.DUMMYFUNCTION("""COMPUTED_VALUE"""),"برخوار")</f>
        <v>برخوار</v>
      </c>
      <c r="F5948" s="5"/>
      <c r="G5948" s="5"/>
      <c r="H5948" s="6" t="str">
        <f>IFERROR(__xludf.DUMMYFUNCTION("""COMPUTED_VALUE"""),"https://www.instagram.com/rahrovanvelayat1380")</f>
        <v>https://www.instagram.com/rahrovanvelayat1380</v>
      </c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</row>
    <row r="5949">
      <c r="A5949" s="5">
        <f>IFERROR(__xludf.DUMMYFUNCTION("""COMPUTED_VALUE"""),27196.0)</f>
        <v>27196</v>
      </c>
      <c r="B5949" s="5" t="str">
        <f>IFERROR(__xludf.DUMMYFUNCTION("""COMPUTED_VALUE"""),"هیأت")</f>
        <v>هیأت</v>
      </c>
      <c r="C5949" s="5" t="str">
        <f>IFERROR(__xludf.DUMMYFUNCTION("""COMPUTED_VALUE"""),"مجموعه فرهنگی رسانه ای رویش")</f>
        <v>مجموعه فرهنگی رسانه ای رویش</v>
      </c>
      <c r="D5949" s="5" t="str">
        <f>IFERROR(__xludf.DUMMYFUNCTION("""COMPUTED_VALUE"""),"اصفهان ")</f>
        <v>اصفهان </v>
      </c>
      <c r="E5949" s="5" t="str">
        <f>IFERROR(__xludf.DUMMYFUNCTION("""COMPUTED_VALUE"""),"برخوار")</f>
        <v>برخوار</v>
      </c>
      <c r="F5949" s="5"/>
      <c r="G5949" s="5"/>
      <c r="H5949" s="6" t="str">
        <f>IFERROR(__xludf.DUMMYFUNCTION("""COMPUTED_VALUE"""),"https://www.instagram.com/rouyesh_ir")</f>
        <v>https://www.instagram.com/rouyesh_ir</v>
      </c>
      <c r="I5949" s="5"/>
      <c r="J5949" s="6" t="str">
        <f>IFERROR(__xludf.DUMMYFUNCTION("""COMPUTED_VALUE"""),"https://eitaa.com/m_rouyesh_ir")</f>
        <v>https://eitaa.com/m_rouyesh_ir</v>
      </c>
      <c r="K5949" s="5"/>
      <c r="L5949" s="5"/>
      <c r="M5949" s="5"/>
      <c r="N5949" s="5"/>
      <c r="O5949" s="5"/>
      <c r="P5949" s="5"/>
      <c r="Q5949" s="5"/>
      <c r="R5949" s="5"/>
      <c r="S5949" s="5"/>
    </row>
    <row r="5950">
      <c r="A5950" s="5">
        <f>IFERROR(__xludf.DUMMYFUNCTION("""COMPUTED_VALUE"""),27197.0)</f>
        <v>27197</v>
      </c>
      <c r="B5950" s="5" t="str">
        <f>IFERROR(__xludf.DUMMYFUNCTION("""COMPUTED_VALUE"""),"هیأت")</f>
        <v>هیأت</v>
      </c>
      <c r="C5950" s="5" t="str">
        <f>IFERROR(__xludf.DUMMYFUNCTION("""COMPUTED_VALUE"""),"صدیقه کبری")</f>
        <v>صدیقه کبری</v>
      </c>
      <c r="D5950" s="5" t="str">
        <f>IFERROR(__xludf.DUMMYFUNCTION("""COMPUTED_VALUE"""),"اصفهان ")</f>
        <v>اصفهان </v>
      </c>
      <c r="E5950" s="5" t="str">
        <f>IFERROR(__xludf.DUMMYFUNCTION("""COMPUTED_VALUE"""),"برخوار")</f>
        <v>برخوار</v>
      </c>
      <c r="F5950" s="5"/>
      <c r="G5950" s="5"/>
      <c r="H5950" s="6" t="str">
        <f>IFERROR(__xludf.DUMMYFUNCTION("""COMPUTED_VALUE"""),"https://www.instagram.com/sadighehkobra")</f>
        <v>https://www.instagram.com/sadighehkobra</v>
      </c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</row>
    <row r="5951">
      <c r="A5951" s="5">
        <f>IFERROR(__xludf.DUMMYFUNCTION("""COMPUTED_VALUE"""),27198.0)</f>
        <v>27198</v>
      </c>
      <c r="B5951" s="5" t="str">
        <f>IFERROR(__xludf.DUMMYFUNCTION("""COMPUTED_VALUE"""),"هیأت")</f>
        <v>هیأت</v>
      </c>
      <c r="C5951" s="5" t="str">
        <f>IFERROR(__xludf.DUMMYFUNCTION("""COMPUTED_VALUE"""),"خانوادگی زهرائیان (خانواده کتابی)")</f>
        <v>خانوادگی زهرائیان (خانواده کتابی)</v>
      </c>
      <c r="D5951" s="5" t="str">
        <f>IFERROR(__xludf.DUMMYFUNCTION("""COMPUTED_VALUE"""),"اصفهان ")</f>
        <v>اصفهان </v>
      </c>
      <c r="E5951" s="5" t="str">
        <f>IFERROR(__xludf.DUMMYFUNCTION("""COMPUTED_VALUE"""),"برخوار")</f>
        <v>برخوار</v>
      </c>
      <c r="F5951" s="5"/>
      <c r="G5951" s="5"/>
      <c r="H5951" s="5"/>
      <c r="I5951" s="5"/>
      <c r="J5951" s="6" t="str">
        <f>IFERROR(__xludf.DUMMYFUNCTION("""COMPUTED_VALUE"""),"https://eitaa.com/zahraeyoon_esf")</f>
        <v>https://eitaa.com/zahraeyoon_esf</v>
      </c>
      <c r="K5951" s="5"/>
      <c r="L5951" s="5"/>
      <c r="M5951" s="5"/>
      <c r="N5951" s="5"/>
      <c r="O5951" s="5"/>
      <c r="P5951" s="5"/>
      <c r="Q5951" s="5"/>
      <c r="R5951" s="5"/>
      <c r="S5951" s="5"/>
    </row>
    <row r="5952">
      <c r="A5952" s="5">
        <f>IFERROR(__xludf.DUMMYFUNCTION("""COMPUTED_VALUE"""),27199.0)</f>
        <v>27199</v>
      </c>
      <c r="B5952" s="5" t="str">
        <f>IFERROR(__xludf.DUMMYFUNCTION("""COMPUTED_VALUE"""),"هیأت")</f>
        <v>هیأت</v>
      </c>
      <c r="C5952" s="5" t="str">
        <f>IFERROR(__xludf.DUMMYFUNCTION("""COMPUTED_VALUE"""),"رهروان شهدا")</f>
        <v>رهروان شهدا</v>
      </c>
      <c r="D5952" s="5" t="str">
        <f>IFERROR(__xludf.DUMMYFUNCTION("""COMPUTED_VALUE"""),"اصفهان ")</f>
        <v>اصفهان </v>
      </c>
      <c r="E5952" s="5" t="str">
        <f>IFERROR(__xludf.DUMMYFUNCTION("""COMPUTED_VALUE"""),"برخوار")</f>
        <v>برخوار</v>
      </c>
      <c r="F5952" s="5"/>
      <c r="G5952" s="5"/>
      <c r="H5952" s="6" t="str">
        <f>IFERROR(__xludf.DUMMYFUNCTION("""COMPUTED_VALUE"""),"https://www.instagram.com/rahrovanshohada.isf")</f>
        <v>https://www.instagram.com/rahrovanshohada.isf</v>
      </c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</row>
    <row r="5953">
      <c r="A5953" s="5">
        <f>IFERROR(__xludf.DUMMYFUNCTION("""COMPUTED_VALUE"""),27203.0)</f>
        <v>27203</v>
      </c>
      <c r="B5953" s="5" t="str">
        <f>IFERROR(__xludf.DUMMYFUNCTION("""COMPUTED_VALUE"""),"هیأت")</f>
        <v>هیأت</v>
      </c>
      <c r="C5953" s="5" t="str">
        <f>IFERROR(__xludf.DUMMYFUNCTION("""COMPUTED_VALUE"""),"ثارالله هیات رزمندگان اسلام")</f>
        <v>ثارالله هیات رزمندگان اسلام</v>
      </c>
      <c r="D5953" s="5" t="str">
        <f>IFERROR(__xludf.DUMMYFUNCTION("""COMPUTED_VALUE"""),"اصفهان ")</f>
        <v>اصفهان </v>
      </c>
      <c r="E5953" s="5" t="str">
        <f>IFERROR(__xludf.DUMMYFUNCTION("""COMPUTED_VALUE"""),"بوئین میاندشت")</f>
        <v>بوئین میاندشت</v>
      </c>
      <c r="F5953" s="5"/>
      <c r="G5953" s="5"/>
      <c r="H5953" s="6" t="str">
        <f>IFERROR(__xludf.DUMMYFUNCTION("""COMPUTED_VALUE"""),"https://www.instagram.com/heiat_saralah_ir")</f>
        <v>https://www.instagram.com/heiat_saralah_ir</v>
      </c>
      <c r="I5953" s="5"/>
      <c r="J5953" s="6" t="str">
        <f>IFERROR(__xludf.DUMMYFUNCTION("""COMPUTED_VALUE"""),"https://eitaa.com/heyat_saralah_ir")</f>
        <v>https://eitaa.com/heyat_saralah_ir</v>
      </c>
      <c r="K5953" s="5"/>
      <c r="L5953" s="5"/>
      <c r="M5953" s="5"/>
      <c r="N5953" s="5"/>
      <c r="O5953" s="5"/>
      <c r="P5953" s="5"/>
      <c r="Q5953" s="5"/>
      <c r="R5953" s="5"/>
      <c r="S5953" s="5"/>
    </row>
    <row r="5954">
      <c r="A5954" s="5">
        <f>IFERROR(__xludf.DUMMYFUNCTION("""COMPUTED_VALUE"""),27975.0)</f>
        <v>27975</v>
      </c>
      <c r="B5954" s="5" t="str">
        <f>IFERROR(__xludf.DUMMYFUNCTION("""COMPUTED_VALUE"""),"هیأت")</f>
        <v>هیأت</v>
      </c>
      <c r="C5954" s="5" t="str">
        <f>IFERROR(__xludf.DUMMYFUNCTION("""COMPUTED_VALUE"""),"حسینی آران")</f>
        <v>حسینی آران</v>
      </c>
      <c r="D5954" s="5" t="str">
        <f>IFERROR(__xludf.DUMMYFUNCTION("""COMPUTED_VALUE"""),"اصفهان ")</f>
        <v>اصفهان </v>
      </c>
      <c r="E5954" s="5" t="str">
        <f>IFERROR(__xludf.DUMMYFUNCTION("""COMPUTED_VALUE"""),"آران وبیدگل")</f>
        <v>آران وبیدگل</v>
      </c>
      <c r="F5954" s="5"/>
      <c r="G5954" s="5"/>
      <c r="H5954" s="6" t="str">
        <f>IFERROR(__xludf.DUMMYFUNCTION("""COMPUTED_VALUE"""),"https://www.instagram.com/heyat.hosseini.aran")</f>
        <v>https://www.instagram.com/heyat.hosseini.aran</v>
      </c>
      <c r="I5954" s="5"/>
      <c r="J5954" s="6" t="str">
        <f>IFERROR(__xludf.DUMMYFUNCTION("""COMPUTED_VALUE"""),"https://eitaa.com/heyathosseiniaran")</f>
        <v>https://eitaa.com/heyathosseiniaran</v>
      </c>
      <c r="K5954" s="5"/>
      <c r="L5954" s="5"/>
      <c r="M5954" s="5"/>
      <c r="N5954" s="5"/>
      <c r="O5954" s="5"/>
      <c r="P5954" s="5"/>
      <c r="Q5954" s="5"/>
      <c r="R5954" s="5"/>
      <c r="S5954" s="5"/>
    </row>
    <row r="5955">
      <c r="A5955" s="5">
        <f>IFERROR(__xludf.DUMMYFUNCTION("""COMPUTED_VALUE"""),27978.0)</f>
        <v>27978</v>
      </c>
      <c r="B5955" s="5" t="str">
        <f>IFERROR(__xludf.DUMMYFUNCTION("""COMPUTED_VALUE"""),"هیأت")</f>
        <v>هیأت</v>
      </c>
      <c r="C5955" s="5" t="str">
        <f>IFERROR(__xludf.DUMMYFUNCTION("""COMPUTED_VALUE"""),"غدیریه دیانی")</f>
        <v>غدیریه دیانی</v>
      </c>
      <c r="D5955" s="5" t="str">
        <f>IFERROR(__xludf.DUMMYFUNCTION("""COMPUTED_VALUE"""),"اصفهان ")</f>
        <v>اصفهان </v>
      </c>
      <c r="E5955" s="5" t="str">
        <f>IFERROR(__xludf.DUMMYFUNCTION("""COMPUTED_VALUE"""),"اصفهان ")</f>
        <v>اصفهان </v>
      </c>
      <c r="F5955" s="5"/>
      <c r="G5955" s="5"/>
      <c r="H5955" s="5"/>
      <c r="I5955" s="6" t="str">
        <f>IFERROR(__xludf.DUMMYFUNCTION("""COMPUTED_VALUE"""),"https://t.me/Ghadiriyeh_dayani")</f>
        <v>https://t.me/Ghadiriyeh_dayani</v>
      </c>
      <c r="J5955" s="5"/>
      <c r="K5955" s="5"/>
      <c r="L5955" s="5"/>
      <c r="M5955" s="5"/>
      <c r="N5955" s="5"/>
      <c r="O5955" s="5"/>
      <c r="P5955" s="5"/>
      <c r="Q5955" s="5"/>
      <c r="R5955" s="5"/>
      <c r="S5955" s="5"/>
    </row>
    <row r="5956">
      <c r="A5956" s="5">
        <f>IFERROR(__xludf.DUMMYFUNCTION("""COMPUTED_VALUE"""),27981.0)</f>
        <v>27981</v>
      </c>
      <c r="B5956" s="5" t="str">
        <f>IFERROR(__xludf.DUMMYFUNCTION("""COMPUTED_VALUE"""),"هیأت")</f>
        <v>هیأت</v>
      </c>
      <c r="C5956" s="5" t="str">
        <f>IFERROR(__xludf.DUMMYFUNCTION("""COMPUTED_VALUE"""),"منتظران گل نرگس روستای پوده")</f>
        <v>منتظران گل نرگس روستای پوده</v>
      </c>
      <c r="D5956" s="5" t="str">
        <f>IFERROR(__xludf.DUMMYFUNCTION("""COMPUTED_VALUE"""),"اصفهان ")</f>
        <v>اصفهان </v>
      </c>
      <c r="E5956" s="5" t="str">
        <f>IFERROR(__xludf.DUMMYFUNCTION("""COMPUTED_VALUE"""),"دهاقان")</f>
        <v>دهاقان</v>
      </c>
      <c r="F5956" s="5"/>
      <c r="G5956" s="5"/>
      <c r="H5956" s="5"/>
      <c r="I5956" s="5"/>
      <c r="J5956" s="6" t="str">
        <f>IFERROR(__xludf.DUMMYFUNCTION("""COMPUTED_VALUE"""),"https://eitaa.com/montazeran_majazi")</f>
        <v>https://eitaa.com/montazeran_majazi</v>
      </c>
      <c r="K5956" s="5"/>
      <c r="L5956" s="5"/>
      <c r="M5956" s="5"/>
      <c r="N5956" s="5"/>
      <c r="O5956" s="5"/>
      <c r="P5956" s="5"/>
      <c r="Q5956" s="5"/>
      <c r="R5956" s="5"/>
      <c r="S5956" s="5"/>
    </row>
    <row r="5957">
      <c r="A5957" s="5">
        <f>IFERROR(__xludf.DUMMYFUNCTION("""COMPUTED_VALUE"""),27982.0)</f>
        <v>27982</v>
      </c>
      <c r="B5957" s="5" t="str">
        <f>IFERROR(__xludf.DUMMYFUNCTION("""COMPUTED_VALUE"""),"هیأت")</f>
        <v>هیأت</v>
      </c>
      <c r="C5957" s="5" t="str">
        <f>IFERROR(__xludf.DUMMYFUNCTION("""COMPUTED_VALUE"""),"یاوران ولایت")</f>
        <v>یاوران ولایت</v>
      </c>
      <c r="D5957" s="5" t="str">
        <f>IFERROR(__xludf.DUMMYFUNCTION("""COMPUTED_VALUE"""),"اصفهان ")</f>
        <v>اصفهان </v>
      </c>
      <c r="E5957" s="5" t="str">
        <f>IFERROR(__xludf.DUMMYFUNCTION("""COMPUTED_VALUE"""),"اصفهان ")</f>
        <v>اصفهان </v>
      </c>
      <c r="F5957" s="5"/>
      <c r="G5957" s="5"/>
      <c r="H5957" s="5"/>
      <c r="I5957" s="5"/>
      <c r="J5957" s="6" t="str">
        <f>IFERROR(__xludf.DUMMYFUNCTION("""COMPUTED_VALUE"""),"https://eitaa.com/yavaranvelayat_ir")</f>
        <v>https://eitaa.com/yavaranvelayat_ir</v>
      </c>
      <c r="K5957" s="5"/>
      <c r="L5957" s="5"/>
      <c r="M5957" s="5"/>
      <c r="N5957" s="5"/>
      <c r="O5957" s="5"/>
      <c r="P5957" s="5"/>
      <c r="Q5957" s="5"/>
      <c r="R5957" s="5"/>
      <c r="S5957" s="5"/>
    </row>
    <row r="5958">
      <c r="A5958" s="5">
        <f>IFERROR(__xludf.DUMMYFUNCTION("""COMPUTED_VALUE"""),27990.0)</f>
        <v>27990</v>
      </c>
      <c r="B5958" s="5" t="str">
        <f>IFERROR(__xludf.DUMMYFUNCTION("""COMPUTED_VALUE"""),"هیأتدانشجویی")</f>
        <v>هیأتدانشجویی</v>
      </c>
      <c r="C5958" s="5" t="str">
        <f>IFERROR(__xludf.DUMMYFUNCTION("""COMPUTED_VALUE"""),"خادم الشهدا")</f>
        <v>خادم الشهدا</v>
      </c>
      <c r="D5958" s="5" t="str">
        <f>IFERROR(__xludf.DUMMYFUNCTION("""COMPUTED_VALUE"""),"اصفهان ")</f>
        <v>اصفهان </v>
      </c>
      <c r="E5958" s="5" t="str">
        <f>IFERROR(__xludf.DUMMYFUNCTION("""COMPUTED_VALUE"""),"اصفهان ")</f>
        <v>اصفهان </v>
      </c>
      <c r="F5958" s="5"/>
      <c r="G5958" s="5">
        <f>IFERROR(__xludf.DUMMYFUNCTION("""COMPUTED_VALUE"""),1.0)</f>
        <v>1</v>
      </c>
      <c r="H5958" s="6" t="str">
        <f>IFERROR(__xludf.DUMMYFUNCTION("""COMPUTED_VALUE"""),"https://www.instagram.com/khademoshohadaesf")</f>
        <v>https://www.instagram.com/khademoshohadaesf</v>
      </c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</row>
    <row r="5959">
      <c r="A5959" s="5">
        <f>IFERROR(__xludf.DUMMYFUNCTION("""COMPUTED_VALUE"""),28011.0)</f>
        <v>28011</v>
      </c>
      <c r="B5959" s="5" t="str">
        <f>IFERROR(__xludf.DUMMYFUNCTION("""COMPUTED_VALUE"""),"هیأت")</f>
        <v>هیأت</v>
      </c>
      <c r="C5959" s="5" t="str">
        <f>IFERROR(__xludf.DUMMYFUNCTION("""COMPUTED_VALUE"""),"مکتب الحسین (ع)")</f>
        <v>مکتب الحسین (ع)</v>
      </c>
      <c r="D5959" s="5" t="str">
        <f>IFERROR(__xludf.DUMMYFUNCTION("""COMPUTED_VALUE"""),"اصفهان ")</f>
        <v>اصفهان </v>
      </c>
      <c r="E5959" s="5" t="str">
        <f>IFERROR(__xludf.DUMMYFUNCTION("""COMPUTED_VALUE"""),"تیران و کرون")</f>
        <v>تیران و کرون</v>
      </c>
      <c r="F5959" s="5"/>
      <c r="G5959" s="5"/>
      <c r="H5959" s="6" t="str">
        <f>IFERROR(__xludf.DUMMYFUNCTION("""COMPUTED_VALUE"""),"https://www.instagram.com/yakarballa133")</f>
        <v>https://www.instagram.com/yakarballa133</v>
      </c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</row>
    <row r="5960">
      <c r="A5960" s="5">
        <f>IFERROR(__xludf.DUMMYFUNCTION("""COMPUTED_VALUE"""),28033.0)</f>
        <v>28033</v>
      </c>
      <c r="B5960" s="5" t="str">
        <f>IFERROR(__xludf.DUMMYFUNCTION("""COMPUTED_VALUE"""),"هیأت")</f>
        <v>هیأت</v>
      </c>
      <c r="C5960" s="5" t="str">
        <f>IFERROR(__xludf.DUMMYFUNCTION("""COMPUTED_VALUE"""),"رسانه جوانان شهرضا")</f>
        <v>رسانه جوانان شهرضا</v>
      </c>
      <c r="D5960" s="5" t="str">
        <f>IFERROR(__xludf.DUMMYFUNCTION("""COMPUTED_VALUE"""),"اصفهان ")</f>
        <v>اصفهان </v>
      </c>
      <c r="E5960" s="5" t="str">
        <f>IFERROR(__xludf.DUMMYFUNCTION("""COMPUTED_VALUE"""),"شهرضا")</f>
        <v>شهرضا</v>
      </c>
      <c r="F5960" s="5"/>
      <c r="G5960" s="5"/>
      <c r="H5960" s="6" t="str">
        <f>IFERROR(__xludf.DUMMYFUNCTION("""COMPUTED_VALUE"""),"https://www.instagram.com/javanan_heyati_shahrezaa/")</f>
        <v>https://www.instagram.com/javanan_heyati_shahrezaa/</v>
      </c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</row>
    <row r="5961">
      <c r="A5961" s="5">
        <f>IFERROR(__xludf.DUMMYFUNCTION("""COMPUTED_VALUE"""),28057.0)</f>
        <v>28057</v>
      </c>
      <c r="B5961" s="5" t="str">
        <f>IFERROR(__xludf.DUMMYFUNCTION("""COMPUTED_VALUE"""),"هیأت")</f>
        <v>هیأت</v>
      </c>
      <c r="C5961" s="5" t="str">
        <f>IFERROR(__xludf.DUMMYFUNCTION("""COMPUTED_VALUE"""),"کتاب الثقلین")</f>
        <v>کتاب الثقلین</v>
      </c>
      <c r="D5961" s="5" t="str">
        <f>IFERROR(__xludf.DUMMYFUNCTION("""COMPUTED_VALUE"""),"اصفهان ")</f>
        <v>اصفهان </v>
      </c>
      <c r="E5961" s="5" t="str">
        <f>IFERROR(__xludf.DUMMYFUNCTION("""COMPUTED_VALUE"""),"اصفهان")</f>
        <v>اصفهان</v>
      </c>
      <c r="F5961" s="5"/>
      <c r="G5961" s="5"/>
      <c r="H5961" s="5"/>
      <c r="I5961" s="5"/>
      <c r="J5961" s="6" t="str">
        <f>IFERROR(__xludf.DUMMYFUNCTION("""COMPUTED_VALUE"""),"https://eitaa.com/kottabsaghalain")</f>
        <v>https://eitaa.com/kottabsaghalain</v>
      </c>
      <c r="K5961" s="5"/>
      <c r="L5961" s="5"/>
      <c r="M5961" s="5"/>
      <c r="N5961" s="5"/>
      <c r="O5961" s="5"/>
      <c r="P5961" s="5"/>
      <c r="Q5961" s="5"/>
      <c r="R5961" s="5"/>
      <c r="S5961" s="5"/>
    </row>
    <row r="5962">
      <c r="A5962" s="5">
        <f>IFERROR(__xludf.DUMMYFUNCTION("""COMPUTED_VALUE"""),28092.0)</f>
        <v>28092</v>
      </c>
      <c r="B5962" s="5" t="str">
        <f>IFERROR(__xludf.DUMMYFUNCTION("""COMPUTED_VALUE"""),"هیأت")</f>
        <v>هیأت</v>
      </c>
      <c r="C5962" s="5" t="str">
        <f>IFERROR(__xludf.DUMMYFUNCTION("""COMPUTED_VALUE"""),"بیت العباس (ع)")</f>
        <v>بیت العباس (ع)</v>
      </c>
      <c r="D5962" s="5" t="str">
        <f>IFERROR(__xludf.DUMMYFUNCTION("""COMPUTED_VALUE"""),"اصفهان ")</f>
        <v>اصفهان </v>
      </c>
      <c r="E5962" s="5" t="str">
        <f>IFERROR(__xludf.DUMMYFUNCTION("""COMPUTED_VALUE"""),"نطنز")</f>
        <v>نطنز</v>
      </c>
      <c r="F5962" s="5"/>
      <c r="G5962" s="5"/>
      <c r="H5962" s="6" t="str">
        <f>IFERROR(__xludf.DUMMYFUNCTION("""COMPUTED_VALUE"""),"https://www.instagram.com/bytol.abas")</f>
        <v>https://www.instagram.com/bytol.abas</v>
      </c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</row>
    <row r="5963">
      <c r="A5963" s="5">
        <f>IFERROR(__xludf.DUMMYFUNCTION("""COMPUTED_VALUE"""),28096.0)</f>
        <v>28096</v>
      </c>
      <c r="B5963" s="5" t="str">
        <f>IFERROR(__xludf.DUMMYFUNCTION("""COMPUTED_VALUE"""),"هیأت")</f>
        <v>هیأت</v>
      </c>
      <c r="C5963" s="5" t="str">
        <f>IFERROR(__xludf.DUMMYFUNCTION("""COMPUTED_VALUE"""),"تعزیه خوانی باب الحوایج (ع)")</f>
        <v>تعزیه خوانی باب الحوایج (ع)</v>
      </c>
      <c r="D5963" s="5" t="str">
        <f>IFERROR(__xludf.DUMMYFUNCTION("""COMPUTED_VALUE"""),"اصفهان ")</f>
        <v>اصفهان </v>
      </c>
      <c r="E5963" s="5" t="str">
        <f>IFERROR(__xludf.DUMMYFUNCTION("""COMPUTED_VALUE"""),"خور و بیابانک")</f>
        <v>خور و بیابانک</v>
      </c>
      <c r="F5963" s="5"/>
      <c r="G5963" s="5"/>
      <c r="H5963" s="6" t="str">
        <f>IFERROR(__xludf.DUMMYFUNCTION("""COMPUTED_VALUE"""),"https://www.instagram.com/taziyeh.babalhavaej")</f>
        <v>https://www.instagram.com/taziyeh.babalhavaej</v>
      </c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</row>
    <row r="5964">
      <c r="A5964" s="5">
        <f>IFERROR(__xludf.DUMMYFUNCTION("""COMPUTED_VALUE"""),28098.0)</f>
        <v>28098</v>
      </c>
      <c r="B5964" s="5" t="str">
        <f>IFERROR(__xludf.DUMMYFUNCTION("""COMPUTED_VALUE"""),"هیأت")</f>
        <v>هیأت</v>
      </c>
      <c r="C5964" s="5" t="str">
        <f>IFERROR(__xludf.DUMMYFUNCTION("""COMPUTED_VALUE"""),"مصباح الهدی")</f>
        <v>مصباح الهدی</v>
      </c>
      <c r="D5964" s="5" t="str">
        <f>IFERROR(__xludf.DUMMYFUNCTION("""COMPUTED_VALUE"""),"اصفهان")</f>
        <v>اصفهان</v>
      </c>
      <c r="E5964" s="5" t="str">
        <f>IFERROR(__xludf.DUMMYFUNCTION("""COMPUTED_VALUE"""),"نائین")</f>
        <v>نائین</v>
      </c>
      <c r="F5964" s="5"/>
      <c r="G5964" s="5"/>
      <c r="H5964" s="6" t="str">
        <f>IFERROR(__xludf.DUMMYFUNCTION("""COMPUTED_VALUE"""),"https://www.instagram.com/heyat_mesbahalhoda")</f>
        <v>https://www.instagram.com/heyat_mesbahalhoda</v>
      </c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</row>
    <row r="5965">
      <c r="A5965" s="5">
        <f>IFERROR(__xludf.DUMMYFUNCTION("""COMPUTED_VALUE"""),28263.0)</f>
        <v>28263</v>
      </c>
      <c r="B5965" s="5" t="str">
        <f>IFERROR(__xludf.DUMMYFUNCTION("""COMPUTED_VALUE"""),"هیأت نوجوانان ")</f>
        <v>هیأت نوجوانان </v>
      </c>
      <c r="C5965" s="5" t="str">
        <f>IFERROR(__xludf.DUMMYFUNCTION("""COMPUTED_VALUE"""),"حضرت علی اکبر(ع)")</f>
        <v>حضرت علی اکبر(ع)</v>
      </c>
      <c r="D5965" s="5" t="str">
        <f>IFERROR(__xludf.DUMMYFUNCTION("""COMPUTED_VALUE"""),"اصفهان")</f>
        <v>اصفهان</v>
      </c>
      <c r="E5965" s="5" t="str">
        <f>IFERROR(__xludf.DUMMYFUNCTION("""COMPUTED_VALUE"""),"شاهین شهر")</f>
        <v>شاهین شهر</v>
      </c>
      <c r="F5965" s="5"/>
      <c r="G5965" s="5"/>
      <c r="H5965" s="6" t="str">
        <f>IFERROR(__xludf.DUMMYFUNCTION("""COMPUTED_VALUE"""),"https://www.instagram.com/heyat.javanane_aliakbar/")</f>
        <v>https://www.instagram.com/heyat.javanane_aliakbar/</v>
      </c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</row>
    <row r="5966">
      <c r="A5966" s="5">
        <f>IFERROR(__xludf.DUMMYFUNCTION("""COMPUTED_VALUE"""),28355.0)</f>
        <v>28355</v>
      </c>
      <c r="B5966" s="5" t="str">
        <f>IFERROR(__xludf.DUMMYFUNCTION("""COMPUTED_VALUE"""),"هیأت")</f>
        <v>هیأت</v>
      </c>
      <c r="C5966" s="5" t="str">
        <f>IFERROR(__xludf.DUMMYFUNCTION("""COMPUTED_VALUE"""),"علی اصغر")</f>
        <v>علی اصغر</v>
      </c>
      <c r="D5966" s="5" t="str">
        <f>IFERROR(__xludf.DUMMYFUNCTION("""COMPUTED_VALUE"""),"اصفهان")</f>
        <v>اصفهان</v>
      </c>
      <c r="E5966" s="5" t="str">
        <f>IFERROR(__xludf.DUMMYFUNCTION("""COMPUTED_VALUE"""),"نطنز")</f>
        <v>نطنز</v>
      </c>
      <c r="F5966" s="5"/>
      <c r="G5966" s="5"/>
      <c r="H5966" s="6" t="str">
        <f>IFERROR(__xludf.DUMMYFUNCTION("""COMPUTED_VALUE"""),"https://www.instagram.com/heiataliasghar/")</f>
        <v>https://www.instagram.com/heiataliasghar/</v>
      </c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</row>
    <row r="5967">
      <c r="A5967" s="5">
        <f>IFERROR(__xludf.DUMMYFUNCTION("""COMPUTED_VALUE"""),28382.0)</f>
        <v>28382</v>
      </c>
      <c r="B5967" s="5" t="str">
        <f>IFERROR(__xludf.DUMMYFUNCTION("""COMPUTED_VALUE"""),"هیأت")</f>
        <v>هیأت</v>
      </c>
      <c r="C5967" s="5" t="str">
        <f>IFERROR(__xludf.DUMMYFUNCTION("""COMPUTED_VALUE"""),"بانوان آل طاها")</f>
        <v>بانوان آل طاها</v>
      </c>
      <c r="D5967" s="5" t="str">
        <f>IFERROR(__xludf.DUMMYFUNCTION("""COMPUTED_VALUE"""),"اصفهان")</f>
        <v>اصفهان</v>
      </c>
      <c r="E5967" s="5" t="str">
        <f>IFERROR(__xludf.DUMMYFUNCTION("""COMPUTED_VALUE"""),"برخوار ")</f>
        <v>برخوار </v>
      </c>
      <c r="F5967" s="5"/>
      <c r="G5967" s="5"/>
      <c r="H5967" s="6" t="str">
        <f>IFERROR(__xludf.DUMMYFUNCTION("""COMPUTED_VALUE"""),"https://www.instagram.com/heyat_ale_taha/")</f>
        <v>https://www.instagram.com/heyat_ale_taha/</v>
      </c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</row>
    <row r="5968">
      <c r="A5968" s="5">
        <f>IFERROR(__xludf.DUMMYFUNCTION("""COMPUTED_VALUE"""),28411.0)</f>
        <v>28411</v>
      </c>
      <c r="B5968" s="5" t="str">
        <f>IFERROR(__xludf.DUMMYFUNCTION("""COMPUTED_VALUE"""),"هیأت دانش آموزی")</f>
        <v>هیأت دانش آموزی</v>
      </c>
      <c r="C5968" s="5" t="str">
        <f>IFERROR(__xludf.DUMMYFUNCTION("""COMPUTED_VALUE"""),"منتظران ظهور")</f>
        <v>منتظران ظهور</v>
      </c>
      <c r="D5968" s="5" t="str">
        <f>IFERROR(__xludf.DUMMYFUNCTION("""COMPUTED_VALUE"""),"اصفهان")</f>
        <v>اصفهان</v>
      </c>
      <c r="E5968" s="5" t="str">
        <f>IFERROR(__xludf.DUMMYFUNCTION("""COMPUTED_VALUE"""),"نائین")</f>
        <v>نائین</v>
      </c>
      <c r="F5968" s="5"/>
      <c r="G5968" s="5"/>
      <c r="H5968" s="6" t="str">
        <f>IFERROR(__xludf.DUMMYFUNCTION("""COMPUTED_VALUE"""),"https://www.instagram.com/montazeran_zohour1393/")</f>
        <v>https://www.instagram.com/montazeran_zohour1393/</v>
      </c>
      <c r="I5968" s="5"/>
      <c r="J5968" s="6" t="str">
        <f>IFERROR(__xludf.DUMMYFUNCTION("""COMPUTED_VALUE"""),"https://eitaa.com/montazeran_zohour1393")</f>
        <v>https://eitaa.com/montazeran_zohour1393</v>
      </c>
      <c r="K5968" s="5"/>
      <c r="L5968" s="5"/>
      <c r="M5968" s="5"/>
      <c r="N5968" s="5"/>
      <c r="O5968" s="5"/>
      <c r="P5968" s="5"/>
      <c r="Q5968" s="5"/>
      <c r="R5968" s="5"/>
      <c r="S5968" s="5"/>
    </row>
    <row r="5969">
      <c r="A5969" s="5">
        <f>IFERROR(__xludf.DUMMYFUNCTION("""COMPUTED_VALUE"""),28417.0)</f>
        <v>28417</v>
      </c>
      <c r="B5969" s="5" t="str">
        <f>IFERROR(__xludf.DUMMYFUNCTION("""COMPUTED_VALUE"""),"هیأت")</f>
        <v>هیأت</v>
      </c>
      <c r="C5969" s="5" t="str">
        <f>IFERROR(__xludf.DUMMYFUNCTION("""COMPUTED_VALUE"""),"قمربنی هاشم (ع) _ مسجد فاطمیه")</f>
        <v>قمربنی هاشم (ع) _ مسجد فاطمیه</v>
      </c>
      <c r="D5969" s="5" t="str">
        <f>IFERROR(__xludf.DUMMYFUNCTION("""COMPUTED_VALUE"""),"اصفهان")</f>
        <v>اصفهان</v>
      </c>
      <c r="E5969" s="5" t="str">
        <f>IFERROR(__xludf.DUMMYFUNCTION("""COMPUTED_VALUE"""),"برخوار")</f>
        <v>برخوار</v>
      </c>
      <c r="F5969" s="5"/>
      <c r="G5969" s="5"/>
      <c r="H5969" s="5"/>
      <c r="I5969" s="5"/>
      <c r="J5969" s="6" t="str">
        <f>IFERROR(__xludf.DUMMYFUNCTION("""COMPUTED_VALUE"""),"https://eitaa.com/kanoon_sagha")</f>
        <v>https://eitaa.com/kanoon_sagha</v>
      </c>
      <c r="K5969" s="5"/>
      <c r="L5969" s="5"/>
      <c r="M5969" s="5"/>
      <c r="N5969" s="5"/>
      <c r="O5969" s="5"/>
      <c r="P5969" s="5"/>
      <c r="Q5969" s="5"/>
      <c r="R5969" s="5"/>
      <c r="S5969" s="5"/>
    </row>
    <row r="5970">
      <c r="A5970" s="5">
        <f>IFERROR(__xludf.DUMMYFUNCTION("""COMPUTED_VALUE"""),28484.0)</f>
        <v>28484</v>
      </c>
      <c r="B5970" s="5" t="str">
        <f>IFERROR(__xludf.DUMMYFUNCTION("""COMPUTED_VALUE"""),"هیأت")</f>
        <v>هیأت</v>
      </c>
      <c r="C5970" s="5" t="str">
        <f>IFERROR(__xludf.DUMMYFUNCTION("""COMPUTED_VALUE"""),"محبان الحسین (ع)")</f>
        <v>محبان الحسین (ع)</v>
      </c>
      <c r="D5970" s="5" t="str">
        <f>IFERROR(__xludf.DUMMYFUNCTION("""COMPUTED_VALUE"""),"اصفهان")</f>
        <v>اصفهان</v>
      </c>
      <c r="E5970" s="5" t="str">
        <f>IFERROR(__xludf.DUMMYFUNCTION("""COMPUTED_VALUE"""),"خور و بیابانک")</f>
        <v>خور و بیابانک</v>
      </c>
      <c r="F5970" s="5"/>
      <c r="G5970" s="5"/>
      <c r="H5970" s="6" t="str">
        <f>IFERROR(__xludf.DUMMYFUNCTION("""COMPUTED_VALUE"""),"https://www.instagram.com/mohebanhosein_esf/")</f>
        <v>https://www.instagram.com/mohebanhosein_esf/</v>
      </c>
      <c r="I5970" s="6" t="str">
        <f>IFERROR(__xludf.DUMMYFUNCTION("""COMPUTED_VALUE"""),"https://t.me/mohebanhosein_esf")</f>
        <v>https://t.me/mohebanhosein_esf</v>
      </c>
      <c r="J5970" s="5"/>
      <c r="K5970" s="5"/>
      <c r="L5970" s="5"/>
      <c r="M5970" s="5"/>
      <c r="N5970" s="5"/>
      <c r="O5970" s="5"/>
      <c r="P5970" s="5"/>
      <c r="Q5970" s="5"/>
      <c r="R5970" s="5"/>
      <c r="S5970" s="5"/>
    </row>
    <row r="5971">
      <c r="A5971" s="5">
        <f>IFERROR(__xludf.DUMMYFUNCTION("""COMPUTED_VALUE"""),28601.0)</f>
        <v>28601</v>
      </c>
      <c r="B5971" s="5" t="str">
        <f>IFERROR(__xludf.DUMMYFUNCTION("""COMPUTED_VALUE"""),"هیأت")</f>
        <v>هیأت</v>
      </c>
      <c r="C5971" s="5" t="str">
        <f>IFERROR(__xludf.DUMMYFUNCTION("""COMPUTED_VALUE"""),"جوانان علی اکبر امام حسین ")</f>
        <v>جوانان علی اکبر امام حسین </v>
      </c>
      <c r="D5971" s="5" t="str">
        <f>IFERROR(__xludf.DUMMYFUNCTION("""COMPUTED_VALUE"""),"اصفهان")</f>
        <v>اصفهان</v>
      </c>
      <c r="E5971" s="5" t="str">
        <f>IFERROR(__xludf.DUMMYFUNCTION("""COMPUTED_VALUE"""),"سمیرم")</f>
        <v>سمیرم</v>
      </c>
      <c r="F5971" s="5" t="str">
        <f>IFERROR(__xludf.DUMMYFUNCTION("""COMPUTED_VALUE"""),"کوی امام سمیرم")</f>
        <v>کوی امام سمیرم</v>
      </c>
      <c r="G5971" s="5"/>
      <c r="H5971" s="6" t="str">
        <f>IFERROR(__xludf.DUMMYFUNCTION("""COMPUTED_VALUE"""),"https://www.instagram.com/heyatejavananaliakbar/")</f>
        <v>https://www.instagram.com/heyatejavananaliakbar/</v>
      </c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</row>
    <row r="5972">
      <c r="A5972" s="5">
        <f>IFERROR(__xludf.DUMMYFUNCTION("""COMPUTED_VALUE"""),28647.0)</f>
        <v>28647</v>
      </c>
      <c r="B5972" s="5" t="str">
        <f>IFERROR(__xludf.DUMMYFUNCTION("""COMPUTED_VALUE"""),"هیأت")</f>
        <v>هیأت</v>
      </c>
      <c r="C5972" s="5" t="str">
        <f>IFERROR(__xludf.DUMMYFUNCTION("""COMPUTED_VALUE"""),"جوانان متوسلین به قمربنی هاشم (ع) چاهملک")</f>
        <v>جوانان متوسلین به قمربنی هاشم (ع) چاهملک</v>
      </c>
      <c r="D5972" s="5" t="str">
        <f>IFERROR(__xludf.DUMMYFUNCTION("""COMPUTED_VALUE"""),"اصفهان")</f>
        <v>اصفهان</v>
      </c>
      <c r="E5972" s="5" t="str">
        <f>IFERROR(__xludf.DUMMYFUNCTION("""COMPUTED_VALUE"""),"خور و بیابانک")</f>
        <v>خور و بیابانک</v>
      </c>
      <c r="F5972" s="5"/>
      <c r="G5972" s="5"/>
      <c r="H5972" s="6" t="str">
        <f>IFERROR(__xludf.DUMMYFUNCTION("""COMPUTED_VALUE"""),"https://www.instagram.com/ya_abolfzl.1342/")</f>
        <v>https://www.instagram.com/ya_abolfzl.1342/</v>
      </c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</row>
    <row r="5973">
      <c r="A5973" s="5">
        <f>IFERROR(__xludf.DUMMYFUNCTION("""COMPUTED_VALUE"""),28649.0)</f>
        <v>28649</v>
      </c>
      <c r="B5973" s="5" t="str">
        <f>IFERROR(__xludf.DUMMYFUNCTION("""COMPUTED_VALUE"""),"هیأت")</f>
        <v>هیأت</v>
      </c>
      <c r="C5973" s="5" t="str">
        <f>IFERROR(__xludf.DUMMYFUNCTION("""COMPUTED_VALUE"""),"حضرت ابا عبدالحسین (ع)")</f>
        <v>حضرت ابا عبدالحسین (ع)</v>
      </c>
      <c r="D5973" s="5" t="str">
        <f>IFERROR(__xludf.DUMMYFUNCTION("""COMPUTED_VALUE"""),"اصفهان")</f>
        <v>اصفهان</v>
      </c>
      <c r="E5973" s="5" t="str">
        <f>IFERROR(__xludf.DUMMYFUNCTION("""COMPUTED_VALUE"""),"خور و بیابانک")</f>
        <v>خور و بیابانک</v>
      </c>
      <c r="F5973" s="5"/>
      <c r="G5973" s="5"/>
      <c r="H5973" s="6" t="str">
        <f>IFERROR(__xludf.DUMMYFUNCTION("""COMPUTED_VALUE"""),"https://www.instagram.com/heyat_abaabdeallhalhossein/")</f>
        <v>https://www.instagram.com/heyat_abaabdeallhalhossein/</v>
      </c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</row>
    <row r="5974">
      <c r="A5974" s="5">
        <f>IFERROR(__xludf.DUMMYFUNCTION("""COMPUTED_VALUE"""),28661.0)</f>
        <v>28661</v>
      </c>
      <c r="B5974" s="5" t="str">
        <f>IFERROR(__xludf.DUMMYFUNCTION("""COMPUTED_VALUE"""),"هیأت")</f>
        <v>هیأت</v>
      </c>
      <c r="C5974" s="5" t="str">
        <f>IFERROR(__xludf.DUMMYFUNCTION("""COMPUTED_VALUE"""),"مکتب الرقیه (س)")</f>
        <v>مکتب الرقیه (س)</v>
      </c>
      <c r="D5974" s="5" t="str">
        <f>IFERROR(__xludf.DUMMYFUNCTION("""COMPUTED_VALUE"""),"اصفهان ")</f>
        <v>اصفهان </v>
      </c>
      <c r="E5974" s="5" t="str">
        <f>IFERROR(__xludf.DUMMYFUNCTION("""COMPUTED_VALUE"""),"شاهین شهر")</f>
        <v>شاهین شهر</v>
      </c>
      <c r="F5974" s="5" t="str">
        <f>IFERROR(__xludf.DUMMYFUNCTION("""COMPUTED_VALUE"""),"دیزیچه")</f>
        <v>دیزیچه</v>
      </c>
      <c r="G5974" s="5"/>
      <c r="H5974" s="6" t="str">
        <f>IFERROR(__xludf.DUMMYFUNCTION("""COMPUTED_VALUE"""),"https://www.instagram.com/p/DHTowlDRE2D/")</f>
        <v>https://www.instagram.com/p/DHTowlDRE2D/</v>
      </c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</row>
    <row r="5975">
      <c r="A5975" s="5">
        <f>IFERROR(__xludf.DUMMYFUNCTION("""COMPUTED_VALUE"""),28744.0)</f>
        <v>28744</v>
      </c>
      <c r="B5975" s="5" t="str">
        <f>IFERROR(__xludf.DUMMYFUNCTION("""COMPUTED_VALUE"""),"هیأت")</f>
        <v>هیأت</v>
      </c>
      <c r="C5975" s="5" t="str">
        <f>IFERROR(__xludf.DUMMYFUNCTION("""COMPUTED_VALUE"""),"خدام الحسین ")</f>
        <v>خدام الحسین </v>
      </c>
      <c r="D5975" s="5" t="str">
        <f>IFERROR(__xludf.DUMMYFUNCTION("""COMPUTED_VALUE"""),"اصفهان ")</f>
        <v>اصفهان </v>
      </c>
      <c r="E5975" s="5" t="str">
        <f>IFERROR(__xludf.DUMMYFUNCTION("""COMPUTED_VALUE"""),"شاهین شهر")</f>
        <v>شاهین شهر</v>
      </c>
      <c r="F5975" s="5"/>
      <c r="G5975" s="5">
        <f>IFERROR(__xludf.DUMMYFUNCTION("""COMPUTED_VALUE"""),1.0)</f>
        <v>1</v>
      </c>
      <c r="H5975" s="6" t="str">
        <f>IFERROR(__xludf.DUMMYFUNCTION("""COMPUTED_VALUE"""),"https://www.instagram.com/khodam_al_hossein/")</f>
        <v>https://www.instagram.com/khodam_al_hossein/</v>
      </c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</row>
    <row r="5976">
      <c r="A5976" s="5">
        <f>IFERROR(__xludf.DUMMYFUNCTION("""COMPUTED_VALUE"""),28799.0)</f>
        <v>28799</v>
      </c>
      <c r="B5976" s="5" t="str">
        <f>IFERROR(__xludf.DUMMYFUNCTION("""COMPUTED_VALUE"""),"هیأت")</f>
        <v>هیأت</v>
      </c>
      <c r="C5976" s="5" t="str">
        <f>IFERROR(__xludf.DUMMYFUNCTION("""COMPUTED_VALUE"""),"حضرت ابوالفضل")</f>
        <v>حضرت ابوالفضل</v>
      </c>
      <c r="D5976" s="5" t="str">
        <f>IFERROR(__xludf.DUMMYFUNCTION("""COMPUTED_VALUE"""),"اصفهان ")</f>
        <v>اصفهان </v>
      </c>
      <c r="E5976" s="5" t="str">
        <f>IFERROR(__xludf.DUMMYFUNCTION("""COMPUTED_VALUE"""),"خور و بیابانک")</f>
        <v>خور و بیابانک</v>
      </c>
      <c r="F5976" s="5"/>
      <c r="G5976" s="5"/>
      <c r="H5976" s="5"/>
      <c r="I5976" s="5"/>
      <c r="J5976" s="6" t="str">
        <f>IFERROR(__xludf.DUMMYFUNCTION("""COMPUTED_VALUE"""),"https://eitaa.com/heyathazratabalfazl")</f>
        <v>https://eitaa.com/heyathazratabalfazl</v>
      </c>
      <c r="K5976" s="5"/>
      <c r="L5976" s="5"/>
      <c r="M5976" s="5"/>
      <c r="N5976" s="5"/>
      <c r="O5976" s="5"/>
      <c r="P5976" s="5"/>
      <c r="Q5976" s="5"/>
      <c r="R5976" s="5"/>
      <c r="S5976" s="5"/>
    </row>
    <row r="5977">
      <c r="A5977" s="5">
        <f>IFERROR(__xludf.DUMMYFUNCTION("""COMPUTED_VALUE"""),28843.0)</f>
        <v>28843</v>
      </c>
      <c r="B5977" s="5" t="str">
        <f>IFERROR(__xludf.DUMMYFUNCTION("""COMPUTED_VALUE"""),"هیأت")</f>
        <v>هیأت</v>
      </c>
      <c r="C5977" s="5" t="str">
        <f>IFERROR(__xludf.DUMMYFUNCTION("""COMPUTED_VALUE"""),"صاحب الزمان (عج)")</f>
        <v>صاحب الزمان (عج)</v>
      </c>
      <c r="D5977" s="5" t="str">
        <f>IFERROR(__xludf.DUMMYFUNCTION("""COMPUTED_VALUE"""),"اصفهان ")</f>
        <v>اصفهان </v>
      </c>
      <c r="E5977" s="5" t="str">
        <f>IFERROR(__xludf.DUMMYFUNCTION("""COMPUTED_VALUE"""),"برخوار")</f>
        <v>برخوار</v>
      </c>
      <c r="F5977" s="5"/>
      <c r="G5977" s="5"/>
      <c r="H5977" s="5"/>
      <c r="I5977" s="5"/>
      <c r="J5977" s="6" t="str">
        <f>IFERROR(__xludf.DUMMYFUNCTION("""COMPUTED_VALUE"""),"https://eitaa.com/sahebzamanesfahan")</f>
        <v>https://eitaa.com/sahebzamanesfahan</v>
      </c>
      <c r="K5977" s="5"/>
      <c r="L5977" s="5"/>
      <c r="M5977" s="5"/>
      <c r="N5977" s="5"/>
      <c r="O5977" s="5"/>
      <c r="P5977" s="5"/>
      <c r="Q5977" s="5"/>
      <c r="R5977" s="5"/>
      <c r="S5977" s="5"/>
    </row>
    <row r="5978">
      <c r="A5978" s="5">
        <f>IFERROR(__xludf.DUMMYFUNCTION("""COMPUTED_VALUE"""),28895.0)</f>
        <v>28895</v>
      </c>
      <c r="B5978" s="5" t="str">
        <f>IFERROR(__xludf.DUMMYFUNCTION("""COMPUTED_VALUE"""),"هیأت")</f>
        <v>هیأت</v>
      </c>
      <c r="C5978" s="5" t="str">
        <f>IFERROR(__xludf.DUMMYFUNCTION("""COMPUTED_VALUE"""),"حضرت ابوالفضل(ع)")</f>
        <v>حضرت ابوالفضل(ع)</v>
      </c>
      <c r="D5978" s="5" t="str">
        <f>IFERROR(__xludf.DUMMYFUNCTION("""COMPUTED_VALUE"""),"اصفهان ")</f>
        <v>اصفهان </v>
      </c>
      <c r="E5978" s="5" t="str">
        <f>IFERROR(__xludf.DUMMYFUNCTION("""COMPUTED_VALUE"""),"شهرضا")</f>
        <v>شهرضا</v>
      </c>
      <c r="F5978" s="5"/>
      <c r="G5978" s="5"/>
      <c r="H5978" s="6" t="str">
        <f>IFERROR(__xludf.DUMMYFUNCTION("""COMPUTED_VALUE"""),"https://www.instagram.com/heatabaalfazlshahreza")</f>
        <v>https://www.instagram.com/heatabaalfazlshahreza</v>
      </c>
      <c r="I5978" s="6" t="str">
        <f>IFERROR(__xludf.DUMMYFUNCTION("""COMPUTED_VALUE"""),"https://t.me/bashahreza")</f>
        <v>https://t.me/bashahreza</v>
      </c>
      <c r="J5978" s="5"/>
      <c r="K5978" s="5"/>
      <c r="L5978" s="5"/>
      <c r="M5978" s="5"/>
      <c r="N5978" s="5"/>
      <c r="O5978" s="5"/>
      <c r="P5978" s="5"/>
      <c r="Q5978" s="5"/>
      <c r="R5978" s="5"/>
      <c r="S5978" s="5"/>
    </row>
    <row r="5979">
      <c r="A5979" s="5">
        <f>IFERROR(__xludf.DUMMYFUNCTION("""COMPUTED_VALUE"""),28923.0)</f>
        <v>28923</v>
      </c>
      <c r="B5979" s="5" t="str">
        <f>IFERROR(__xludf.DUMMYFUNCTION("""COMPUTED_VALUE"""),"هیأت")</f>
        <v>هیأت</v>
      </c>
      <c r="C5979" s="5" t="str">
        <f>IFERROR(__xludf.DUMMYFUNCTION("""COMPUTED_VALUE"""),"علوی")</f>
        <v>علوی</v>
      </c>
      <c r="D5979" s="5" t="str">
        <f>IFERROR(__xludf.DUMMYFUNCTION("""COMPUTED_VALUE"""),"اصفهان ")</f>
        <v>اصفهان </v>
      </c>
      <c r="E5979" s="5" t="str">
        <f>IFERROR(__xludf.DUMMYFUNCTION("""COMPUTED_VALUE"""),"اصفهان ")</f>
        <v>اصفهان </v>
      </c>
      <c r="F5979" s="5"/>
      <c r="G5979" s="5"/>
      <c r="H5979" s="6" t="str">
        <f>IFERROR(__xludf.DUMMYFUNCTION("""COMPUTED_VALUE"""),"https://www.instagram.com/alav_i313")</f>
        <v>https://www.instagram.com/alav_i313</v>
      </c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</row>
    <row r="5980">
      <c r="A5980" s="5">
        <f>IFERROR(__xludf.DUMMYFUNCTION("""COMPUTED_VALUE"""),28982.0)</f>
        <v>28982</v>
      </c>
      <c r="B5980" s="5" t="str">
        <f>IFERROR(__xludf.DUMMYFUNCTION("""COMPUTED_VALUE"""),"هیأت")</f>
        <v>هیأت</v>
      </c>
      <c r="C5980" s="5" t="str">
        <f>IFERROR(__xludf.DUMMYFUNCTION("""COMPUTED_VALUE"""),"حضرت محمد رسول الله(س)")</f>
        <v>حضرت محمد رسول الله(س)</v>
      </c>
      <c r="D5980" s="5" t="str">
        <f>IFERROR(__xludf.DUMMYFUNCTION("""COMPUTED_VALUE"""),"اصفهان ")</f>
        <v>اصفهان </v>
      </c>
      <c r="E5980" s="5" t="str">
        <f>IFERROR(__xludf.DUMMYFUNCTION("""COMPUTED_VALUE"""),"شهرضا")</f>
        <v>شهرضا</v>
      </c>
      <c r="F5980" s="5"/>
      <c r="G5980" s="5"/>
      <c r="H5980" s="6" t="str">
        <f>IFERROR(__xludf.DUMMYFUNCTION("""COMPUTED_VALUE"""),"https://www.instagram.com/mohammad_rasoolallah_")</f>
        <v>https://www.instagram.com/mohammad_rasoolallah_</v>
      </c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</row>
    <row r="5981">
      <c r="A5981" s="5">
        <f>IFERROR(__xludf.DUMMYFUNCTION("""COMPUTED_VALUE"""),29033.0)</f>
        <v>29033</v>
      </c>
      <c r="B5981" s="5" t="str">
        <f>IFERROR(__xludf.DUMMYFUNCTION("""COMPUTED_VALUE"""),"هیأت")</f>
        <v>هیأت</v>
      </c>
      <c r="C5981" s="5" t="str">
        <f>IFERROR(__xludf.DUMMYFUNCTION("""COMPUTED_VALUE"""),"حضرت ابوالفضل دستگرد")</f>
        <v>حضرت ابوالفضل دستگرد</v>
      </c>
      <c r="D5981" s="5" t="str">
        <f>IFERROR(__xludf.DUMMYFUNCTION("""COMPUTED_VALUE"""),"اصفهان ")</f>
        <v>اصفهان </v>
      </c>
      <c r="E5981" s="5" t="str">
        <f>IFERROR(__xludf.DUMMYFUNCTION("""COMPUTED_VALUE"""),"برخوار")</f>
        <v>برخوار</v>
      </c>
      <c r="F5981" s="5"/>
      <c r="G5981" s="5"/>
      <c r="H5981" s="6" t="str">
        <f>IFERROR(__xludf.DUMMYFUNCTION("""COMPUTED_VALUE"""),"https://www.instagram.com/mosque_abalfazl_dastgerd")</f>
        <v>https://www.instagram.com/mosque_abalfazl_dastgerd</v>
      </c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</row>
    <row r="5982">
      <c r="A5982" s="5">
        <f>IFERROR(__xludf.DUMMYFUNCTION("""COMPUTED_VALUE"""),29081.0)</f>
        <v>29081</v>
      </c>
      <c r="B5982" s="5" t="str">
        <f>IFERROR(__xludf.DUMMYFUNCTION("""COMPUTED_VALUE"""),"هیأت")</f>
        <v>هیأت</v>
      </c>
      <c r="C5982" s="5" t="str">
        <f>IFERROR(__xludf.DUMMYFUNCTION("""COMPUTED_VALUE"""),"حضرت مهدی (عج)")</f>
        <v>حضرت مهدی (عج)</v>
      </c>
      <c r="D5982" s="5" t="str">
        <f>IFERROR(__xludf.DUMMYFUNCTION("""COMPUTED_VALUE"""),"اصفهان ")</f>
        <v>اصفهان </v>
      </c>
      <c r="E5982" s="5" t="str">
        <f>IFERROR(__xludf.DUMMYFUNCTION("""COMPUTED_VALUE"""),"خمینی شهر")</f>
        <v>خمینی شهر</v>
      </c>
      <c r="F5982" s="5"/>
      <c r="G5982" s="5"/>
      <c r="H5982" s="6" t="str">
        <f>IFERROR(__xludf.DUMMYFUNCTION("""COMPUTED_VALUE"""),"https://www.instagram.com/leva.olmahdi")</f>
        <v>https://www.instagram.com/leva.olmahdi</v>
      </c>
      <c r="I5982" s="5"/>
      <c r="J5982" s="6" t="str">
        <f>IFERROR(__xludf.DUMMYFUNCTION("""COMPUTED_VALUE"""),"https://eitaa.com/leva135")</f>
        <v>https://eitaa.com/leva135</v>
      </c>
      <c r="K5982" s="5"/>
      <c r="L5982" s="5"/>
      <c r="M5982" s="5"/>
      <c r="N5982" s="5"/>
      <c r="O5982" s="5"/>
      <c r="P5982" s="5"/>
      <c r="Q5982" s="5"/>
      <c r="R5982" s="5"/>
      <c r="S5982" s="5"/>
    </row>
    <row r="5983">
      <c r="A5983" s="5">
        <f>IFERROR(__xludf.DUMMYFUNCTION("""COMPUTED_VALUE"""),29093.0)</f>
        <v>29093</v>
      </c>
      <c r="B5983" s="5" t="str">
        <f>IFERROR(__xludf.DUMMYFUNCTION("""COMPUTED_VALUE"""),"هیأت")</f>
        <v>هیأت</v>
      </c>
      <c r="C5983" s="5" t="str">
        <f>IFERROR(__xludf.DUMMYFUNCTION("""COMPUTED_VALUE"""),"قمربنی هاشم")</f>
        <v>قمربنی هاشم</v>
      </c>
      <c r="D5983" s="5" t="str">
        <f>IFERROR(__xludf.DUMMYFUNCTION("""COMPUTED_VALUE"""),"اصفهان ")</f>
        <v>اصفهان </v>
      </c>
      <c r="E5983" s="5" t="str">
        <f>IFERROR(__xludf.DUMMYFUNCTION("""COMPUTED_VALUE"""),"فلاورجان")</f>
        <v>فلاورجان</v>
      </c>
      <c r="F5983" s="5"/>
      <c r="G5983" s="5"/>
      <c r="H5983" s="6" t="str">
        <f>IFERROR(__xludf.DUMMYFUNCTION("""COMPUTED_VALUE"""),"https://www.instagram.com/ghamar_bani_hashem_dara")</f>
        <v>https://www.instagram.com/ghamar_bani_hashem_dara</v>
      </c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</row>
    <row r="5984">
      <c r="A5984" s="5">
        <f>IFERROR(__xludf.DUMMYFUNCTION("""COMPUTED_VALUE"""),29159.0)</f>
        <v>29159</v>
      </c>
      <c r="B5984" s="5" t="str">
        <f>IFERROR(__xludf.DUMMYFUNCTION("""COMPUTED_VALUE"""),"هیأت")</f>
        <v>هیأت</v>
      </c>
      <c r="C5984" s="5" t="str">
        <f>IFERROR(__xludf.DUMMYFUNCTION("""COMPUTED_VALUE"""),"لوای ثارالله (ع)")</f>
        <v>لوای ثارالله (ع)</v>
      </c>
      <c r="D5984" s="5" t="str">
        <f>IFERROR(__xludf.DUMMYFUNCTION("""COMPUTED_VALUE"""),"اصفهان ")</f>
        <v>اصفهان </v>
      </c>
      <c r="E5984" s="5" t="str">
        <f>IFERROR(__xludf.DUMMYFUNCTION("""COMPUTED_VALUE"""),"نطنز")</f>
        <v>نطنز</v>
      </c>
      <c r="F5984" s="5"/>
      <c r="G5984" s="5"/>
      <c r="H5984" s="6" t="str">
        <f>IFERROR(__xludf.DUMMYFUNCTION("""COMPUTED_VALUE"""),"https://www.instagram.com/sarallahesfahan")</f>
        <v>https://www.instagram.com/sarallahesfahan</v>
      </c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/>
    </row>
    <row r="5985">
      <c r="A5985" s="5">
        <f>IFERROR(__xludf.DUMMYFUNCTION("""COMPUTED_VALUE"""),29166.0)</f>
        <v>29166</v>
      </c>
      <c r="B5985" s="5" t="str">
        <f>IFERROR(__xludf.DUMMYFUNCTION("""COMPUTED_VALUE"""),"هیأت")</f>
        <v>هیأت</v>
      </c>
      <c r="C5985" s="5" t="str">
        <f>IFERROR(__xludf.DUMMYFUNCTION("""COMPUTED_VALUE"""),"ثارالله (ع)")</f>
        <v>ثارالله (ع)</v>
      </c>
      <c r="D5985" s="5" t="str">
        <f>IFERROR(__xludf.DUMMYFUNCTION("""COMPUTED_VALUE"""),"اصفهان ")</f>
        <v>اصفهان </v>
      </c>
      <c r="E5985" s="5" t="str">
        <f>IFERROR(__xludf.DUMMYFUNCTION("""COMPUTED_VALUE"""),"تیران و کرون")</f>
        <v>تیران و کرون</v>
      </c>
      <c r="F5985" s="5"/>
      <c r="G5985" s="5"/>
      <c r="H5985" s="6" t="str">
        <f>IFERROR(__xludf.DUMMYFUNCTION("""COMPUTED_VALUE"""),"https://www.instagram.com/sarallah_isf")</f>
        <v>https://www.instagram.com/sarallah_isf</v>
      </c>
      <c r="I5985" s="5"/>
      <c r="J5985" s="6" t="str">
        <f>IFERROR(__xludf.DUMMYFUNCTION("""COMPUTED_VALUE"""),"https://eitaa.com/heyat_saralah")</f>
        <v>https://eitaa.com/heyat_saralah</v>
      </c>
      <c r="K5985" s="5"/>
      <c r="L5985" s="5"/>
      <c r="M5985" s="5"/>
      <c r="N5985" s="5"/>
      <c r="O5985" s="5"/>
      <c r="P5985" s="5"/>
      <c r="Q5985" s="5"/>
      <c r="R5985" s="5"/>
      <c r="S5985" s="5"/>
    </row>
    <row r="5986">
      <c r="A5986" s="5">
        <f>IFERROR(__xludf.DUMMYFUNCTION("""COMPUTED_VALUE"""),29262.0)</f>
        <v>29262</v>
      </c>
      <c r="B5986" s="5" t="str">
        <f>IFERROR(__xludf.DUMMYFUNCTION("""COMPUTED_VALUE"""),"خیریه")</f>
        <v>خیریه</v>
      </c>
      <c r="C5986" s="5" t="str">
        <f>IFERROR(__xludf.DUMMYFUNCTION("""COMPUTED_VALUE"""),"مجموعه مهر ثامن")</f>
        <v>مجموعه مهر ثامن</v>
      </c>
      <c r="D5986" s="5" t="str">
        <f>IFERROR(__xludf.DUMMYFUNCTION("""COMPUTED_VALUE"""),"اصفهان ")</f>
        <v>اصفهان </v>
      </c>
      <c r="E5986" s="5" t="str">
        <f>IFERROR(__xludf.DUMMYFUNCTION("""COMPUTED_VALUE"""),"اصفهان ")</f>
        <v>اصفهان </v>
      </c>
      <c r="F5986" s="5"/>
      <c r="G5986" s="5"/>
      <c r="H5986" s="6" t="str">
        <f>IFERROR(__xludf.DUMMYFUNCTION("""COMPUTED_VALUE"""),"https://www.instagram.com/mehre_samen")</f>
        <v>https://www.instagram.com/mehre_samen</v>
      </c>
      <c r="I5986" s="5"/>
      <c r="J5986" s="5"/>
      <c r="K5986" s="5"/>
      <c r="L5986" s="5"/>
      <c r="M5986" s="5"/>
      <c r="N5986" s="5"/>
      <c r="O5986" s="5"/>
      <c r="P5986" s="5"/>
      <c r="Q5986" s="5"/>
      <c r="R5986" s="5"/>
      <c r="S5986" s="5"/>
    </row>
    <row r="5987">
      <c r="A5987" s="5">
        <f>IFERROR(__xludf.DUMMYFUNCTION("""COMPUTED_VALUE"""),29265.0)</f>
        <v>29265</v>
      </c>
      <c r="B5987" s="5" t="str">
        <f>IFERROR(__xludf.DUMMYFUNCTION("""COMPUTED_VALUE"""),"هیأت")</f>
        <v>هیأت</v>
      </c>
      <c r="C5987" s="5" t="str">
        <f>IFERROR(__xludf.DUMMYFUNCTION("""COMPUTED_VALUE"""),"سیدالشهدا")</f>
        <v>سیدالشهدا</v>
      </c>
      <c r="D5987" s="5" t="str">
        <f>IFERROR(__xludf.DUMMYFUNCTION("""COMPUTED_VALUE"""),"اصفهان ")</f>
        <v>اصفهان </v>
      </c>
      <c r="E5987" s="5" t="str">
        <f>IFERROR(__xludf.DUMMYFUNCTION("""COMPUTED_VALUE"""),"اصفهان ")</f>
        <v>اصفهان </v>
      </c>
      <c r="F5987" s="5"/>
      <c r="G5987" s="5"/>
      <c r="H5987" s="6" t="str">
        <f>IFERROR(__xludf.DUMMYFUNCTION("""COMPUTED_VALUE"""),"https://www.instagram.com/hoseiniyeh_seyed_shohada")</f>
        <v>https://www.instagram.com/hoseiniyeh_seyed_shohada</v>
      </c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</row>
    <row r="5988">
      <c r="A5988" s="5">
        <f>IFERROR(__xludf.DUMMYFUNCTION("""COMPUTED_VALUE"""),29267.0)</f>
        <v>29267</v>
      </c>
      <c r="B5988" s="5" t="str">
        <f>IFERROR(__xludf.DUMMYFUNCTION("""COMPUTED_VALUE"""),"هیأت")</f>
        <v>هیأت</v>
      </c>
      <c r="C5988" s="5" t="str">
        <f>IFERROR(__xludf.DUMMYFUNCTION("""COMPUTED_VALUE"""),"جوانان حضرت علی اکبر")</f>
        <v>جوانان حضرت علی اکبر</v>
      </c>
      <c r="D5988" s="5" t="str">
        <f>IFERROR(__xludf.DUMMYFUNCTION("""COMPUTED_VALUE"""),"اصفهان ")</f>
        <v>اصفهان </v>
      </c>
      <c r="E5988" s="5" t="str">
        <f>IFERROR(__xludf.DUMMYFUNCTION("""COMPUTED_VALUE"""),"اصفهان ")</f>
        <v>اصفهان </v>
      </c>
      <c r="F5988" s="5"/>
      <c r="G5988" s="5"/>
      <c r="H5988" s="6" t="str">
        <f>IFERROR(__xludf.DUMMYFUNCTION("""COMPUTED_VALUE"""),"https://www.instagram.com/heyyate_hazrate_aliakbar")</f>
        <v>https://www.instagram.com/heyyate_hazrate_aliakbar</v>
      </c>
      <c r="I5988" s="6" t="str">
        <f>IFERROR(__xludf.DUMMYFUNCTION("""COMPUTED_VALUE"""),"https://t.me/heyataliakbarbostan4")</f>
        <v>https://t.me/heyataliakbarbostan4</v>
      </c>
      <c r="J5988" s="5"/>
      <c r="K5988" s="5"/>
      <c r="L5988" s="5"/>
      <c r="M5988" s="5"/>
      <c r="N5988" s="5"/>
      <c r="O5988" s="5"/>
      <c r="P5988" s="5"/>
      <c r="Q5988" s="5"/>
      <c r="R5988" s="5"/>
      <c r="S5988" s="5"/>
    </row>
    <row r="5989">
      <c r="A5989" s="5">
        <f>IFERROR(__xludf.DUMMYFUNCTION("""COMPUTED_VALUE"""),29272.0)</f>
        <v>29272</v>
      </c>
      <c r="B5989" s="5" t="str">
        <f>IFERROR(__xludf.DUMMYFUNCTION("""COMPUTED_VALUE"""),"هیأت")</f>
        <v>هیأت</v>
      </c>
      <c r="C5989" s="5" t="str">
        <f>IFERROR(__xludf.DUMMYFUNCTION("""COMPUTED_VALUE"""),"مسجد الرضا")</f>
        <v>مسجد الرضا</v>
      </c>
      <c r="D5989" s="5" t="str">
        <f>IFERROR(__xludf.DUMMYFUNCTION("""COMPUTED_VALUE"""),"اصفهان ")</f>
        <v>اصفهان </v>
      </c>
      <c r="E5989" s="5" t="str">
        <f>IFERROR(__xludf.DUMMYFUNCTION("""COMPUTED_VALUE"""),"اردستان")</f>
        <v>اردستان</v>
      </c>
      <c r="F5989" s="5"/>
      <c r="G5989" s="5">
        <f>IFERROR(__xludf.DUMMYFUNCTION("""COMPUTED_VALUE"""),1.0)</f>
        <v>1</v>
      </c>
      <c r="H5989" s="6" t="str">
        <f>IFERROR(__xludf.DUMMYFUNCTION("""COMPUTED_VALUE"""),"https://www.instagram.com/masjedalrezaesfahan")</f>
        <v>https://www.instagram.com/masjedalrezaesfahan</v>
      </c>
      <c r="I5989" s="6" t="str">
        <f>IFERROR(__xludf.DUMMYFUNCTION("""COMPUTED_VALUE"""),"https://t.me/MasjedAlrezaEsfahan")</f>
        <v>https://t.me/MasjedAlrezaEsfahan</v>
      </c>
      <c r="J5989" s="5"/>
      <c r="K5989" s="5"/>
      <c r="L5989" s="5"/>
      <c r="M5989" s="5"/>
      <c r="N5989" s="5"/>
      <c r="O5989" s="5"/>
      <c r="P5989" s="5"/>
      <c r="Q5989" s="5"/>
      <c r="R5989" s="5"/>
      <c r="S5989" s="5"/>
    </row>
    <row r="5990">
      <c r="A5990" s="5">
        <f>IFERROR(__xludf.DUMMYFUNCTION("""COMPUTED_VALUE"""),29276.0)</f>
        <v>29276</v>
      </c>
      <c r="B5990" s="5" t="str">
        <f>IFERROR(__xludf.DUMMYFUNCTION("""COMPUTED_VALUE"""),"هیأت")</f>
        <v>هیأت</v>
      </c>
      <c r="C5990" s="5" t="str">
        <f>IFERROR(__xludf.DUMMYFUNCTION("""COMPUTED_VALUE"""),"فاطمیون شاهین شهر")</f>
        <v>فاطمیون شاهین شهر</v>
      </c>
      <c r="D5990" s="5" t="str">
        <f>IFERROR(__xludf.DUMMYFUNCTION("""COMPUTED_VALUE"""),"اصفهان ")</f>
        <v>اصفهان </v>
      </c>
      <c r="E5990" s="5" t="str">
        <f>IFERROR(__xludf.DUMMYFUNCTION("""COMPUTED_VALUE"""),"شاهین شهر")</f>
        <v>شاهین شهر</v>
      </c>
      <c r="F5990" s="5"/>
      <c r="G5990" s="5">
        <f>IFERROR(__xludf.DUMMYFUNCTION("""COMPUTED_VALUE"""),1.0)</f>
        <v>1</v>
      </c>
      <c r="H5990" s="6" t="str">
        <f>IFERROR(__xludf.DUMMYFUNCTION("""COMPUTED_VALUE"""),"https://www.instagram.com/fatemiyon_info")</f>
        <v>https://www.instagram.com/fatemiyon_info</v>
      </c>
      <c r="I5990" s="6" t="str">
        <f>IFERROR(__xludf.DUMMYFUNCTION("""COMPUTED_VALUE"""),"https://t.me/Fatemiyon_info")</f>
        <v>https://t.me/Fatemiyon_info</v>
      </c>
      <c r="J5990" s="5"/>
      <c r="K5990" s="5"/>
      <c r="L5990" s="5"/>
      <c r="M5990" s="5"/>
      <c r="N5990" s="5"/>
      <c r="O5990" s="5"/>
      <c r="P5990" s="5"/>
      <c r="Q5990" s="5"/>
      <c r="R5990" s="5"/>
      <c r="S5990" s="5"/>
    </row>
    <row r="5991">
      <c r="A5991" s="5">
        <f>IFERROR(__xludf.DUMMYFUNCTION("""COMPUTED_VALUE"""),29278.0)</f>
        <v>29278</v>
      </c>
      <c r="B5991" s="5" t="str">
        <f>IFERROR(__xludf.DUMMYFUNCTION("""COMPUTED_VALUE"""),"هیأت")</f>
        <v>هیأت</v>
      </c>
      <c r="C5991" s="5" t="str">
        <f>IFERROR(__xludf.DUMMYFUNCTION("""COMPUTED_VALUE"""),"حضرت ابوالفضل (ع) سفیدشهر")</f>
        <v>حضرت ابوالفضل (ع) سفیدشهر</v>
      </c>
      <c r="D5991" s="5" t="str">
        <f>IFERROR(__xludf.DUMMYFUNCTION("""COMPUTED_VALUE"""),"اصفهان ")</f>
        <v>اصفهان </v>
      </c>
      <c r="E5991" s="5" t="str">
        <f>IFERROR(__xludf.DUMMYFUNCTION("""COMPUTED_VALUE"""),"آران وبیدگل")</f>
        <v>آران وبیدگل</v>
      </c>
      <c r="F5991" s="5"/>
      <c r="G5991" s="5"/>
      <c r="H5991" s="6" t="str">
        <f>IFERROR(__xludf.DUMMYFUNCTION("""COMPUTED_VALUE"""),"https://www.instagram.com/yaabalfazl.ir")</f>
        <v>https://www.instagram.com/yaabalfazl.ir</v>
      </c>
      <c r="I5991" s="5"/>
      <c r="J5991" s="6" t="str">
        <f>IFERROR(__xludf.DUMMYFUNCTION("""COMPUTED_VALUE"""),"https://eitaa.com/yaabalfazl_1325")</f>
        <v>https://eitaa.com/yaabalfazl_1325</v>
      </c>
      <c r="K5991" s="5"/>
      <c r="L5991" s="5"/>
      <c r="M5991" s="5"/>
      <c r="N5991" s="5"/>
      <c r="O5991" s="5"/>
      <c r="P5991" s="5"/>
      <c r="Q5991" s="5"/>
      <c r="R5991" s="5"/>
      <c r="S5991" s="5"/>
    </row>
    <row r="5992">
      <c r="A5992" s="5">
        <f>IFERROR(__xludf.DUMMYFUNCTION("""COMPUTED_VALUE"""),29279.0)</f>
        <v>29279</v>
      </c>
      <c r="B5992" s="5" t="str">
        <f>IFERROR(__xludf.DUMMYFUNCTION("""COMPUTED_VALUE"""),"هیأت")</f>
        <v>هیأت</v>
      </c>
      <c r="C5992" s="5" t="str">
        <f>IFERROR(__xludf.DUMMYFUNCTION("""COMPUTED_VALUE"""),"ام ابیها (س)")</f>
        <v>ام ابیها (س)</v>
      </c>
      <c r="D5992" s="5" t="str">
        <f>IFERROR(__xludf.DUMMYFUNCTION("""COMPUTED_VALUE"""),"اصفهان ")</f>
        <v>اصفهان </v>
      </c>
      <c r="E5992" s="5" t="str">
        <f>IFERROR(__xludf.DUMMYFUNCTION("""COMPUTED_VALUE"""),"لنجان")</f>
        <v>لنجان</v>
      </c>
      <c r="F5992" s="5"/>
      <c r="G5992" s="5"/>
      <c r="H5992" s="6" t="str">
        <f>IFERROR(__xludf.DUMMYFUNCTION("""COMPUTED_VALUE"""),"https://www.instagram.com/omeabiha.esf/")</f>
        <v>https://www.instagram.com/omeabiha.esf/</v>
      </c>
      <c r="I5992" s="6" t="str">
        <f>IFERROR(__xludf.DUMMYFUNCTION("""COMPUTED_VALUE"""),"https://t.me/omeAbiha110")</f>
        <v>https://t.me/omeAbiha110</v>
      </c>
      <c r="J5992" s="5"/>
      <c r="K5992" s="5"/>
      <c r="L5992" s="5"/>
      <c r="M5992" s="5"/>
      <c r="N5992" s="5"/>
      <c r="O5992" s="5"/>
      <c r="P5992" s="5"/>
      <c r="Q5992" s="5"/>
      <c r="R5992" s="5"/>
      <c r="S5992" s="5"/>
    </row>
    <row r="5993">
      <c r="A5993" s="5">
        <f>IFERROR(__xludf.DUMMYFUNCTION("""COMPUTED_VALUE"""),29281.0)</f>
        <v>29281</v>
      </c>
      <c r="B5993" s="5" t="str">
        <f>IFERROR(__xludf.DUMMYFUNCTION("""COMPUTED_VALUE"""),"هیأت")</f>
        <v>هیأت</v>
      </c>
      <c r="C5993" s="5" t="str">
        <f>IFERROR(__xludf.DUMMYFUNCTION("""COMPUTED_VALUE"""),"حجت ابن الحسن العسکری عج")</f>
        <v>حجت ابن الحسن العسکری عج</v>
      </c>
      <c r="D5993" s="5" t="str">
        <f>IFERROR(__xludf.DUMMYFUNCTION("""COMPUTED_VALUE"""),"اصفهان ")</f>
        <v>اصفهان </v>
      </c>
      <c r="E5993" s="5" t="str">
        <f>IFERROR(__xludf.DUMMYFUNCTION("""COMPUTED_VALUE"""),"نیک آباد")</f>
        <v>نیک آباد</v>
      </c>
      <c r="F5993" s="5"/>
      <c r="G5993" s="5"/>
      <c r="H5993" s="6" t="str">
        <f>IFERROR(__xludf.DUMMYFUNCTION("""COMPUTED_VALUE"""),"https://www.instagram.com/hojjatebnalhasankhansar")</f>
        <v>https://www.instagram.com/hojjatebnalhasankhansar</v>
      </c>
      <c r="I5993" s="6" t="str">
        <f>IFERROR(__xludf.DUMMYFUNCTION("""COMPUTED_VALUE"""),"https://t.me/Hojjat_ebn_alhasan_khansar")</f>
        <v>https://t.me/Hojjat_ebn_alhasan_khansar</v>
      </c>
      <c r="J5993" s="5"/>
      <c r="K5993" s="5"/>
      <c r="L5993" s="5"/>
      <c r="M5993" s="5"/>
      <c r="N5993" s="5"/>
      <c r="O5993" s="5"/>
      <c r="P5993" s="5"/>
      <c r="Q5993" s="5"/>
      <c r="R5993" s="5"/>
      <c r="S5993" s="5"/>
    </row>
    <row r="5994">
      <c r="A5994" s="5">
        <f>IFERROR(__xludf.DUMMYFUNCTION("""COMPUTED_VALUE"""),29438.0)</f>
        <v>29438</v>
      </c>
      <c r="B5994" s="5" t="str">
        <f>IFERROR(__xludf.DUMMYFUNCTION("""COMPUTED_VALUE"""),"هیأت")</f>
        <v>هیأت</v>
      </c>
      <c r="C5994" s="5" t="str">
        <f>IFERROR(__xludf.DUMMYFUNCTION("""COMPUTED_VALUE"""),"یاسین سده")</f>
        <v>یاسین سده</v>
      </c>
      <c r="D5994" s="5" t="str">
        <f>IFERROR(__xludf.DUMMYFUNCTION("""COMPUTED_VALUE"""),"اصفهان ")</f>
        <v>اصفهان </v>
      </c>
      <c r="E5994" s="5" t="str">
        <f>IFERROR(__xludf.DUMMYFUNCTION("""COMPUTED_VALUE"""),"لنجان")</f>
        <v>لنجان</v>
      </c>
      <c r="F5994" s="5"/>
      <c r="G5994" s="5"/>
      <c r="H5994" s="5"/>
      <c r="I5994" s="5"/>
      <c r="J5994" s="6" t="str">
        <f>IFERROR(__xludf.DUMMYFUNCTION("""COMPUTED_VALUE"""),"https://eitaa.com/yasinsedehlenjan")</f>
        <v>https://eitaa.com/yasinsedehlenjan</v>
      </c>
      <c r="K5994" s="5"/>
      <c r="L5994" s="5"/>
      <c r="M5994" s="5"/>
      <c r="N5994" s="5"/>
      <c r="O5994" s="5"/>
      <c r="P5994" s="5"/>
      <c r="Q5994" s="5"/>
      <c r="R5994" s="5"/>
      <c r="S5994" s="5"/>
    </row>
    <row r="5995">
      <c r="A5995" s="5">
        <f>IFERROR(__xludf.DUMMYFUNCTION("""COMPUTED_VALUE"""),29472.0)</f>
        <v>29472</v>
      </c>
      <c r="B5995" s="5" t="str">
        <f>IFERROR(__xludf.DUMMYFUNCTION("""COMPUTED_VALUE"""),"هیأت")</f>
        <v>هیأت</v>
      </c>
      <c r="C5995" s="5" t="str">
        <f>IFERROR(__xludf.DUMMYFUNCTION("""COMPUTED_VALUE"""),"مجمع فدائیان حضرت زهرا (س) فاطمیون اصفهان")</f>
        <v>مجمع فدائیان حضرت زهرا (س) فاطمیون اصفهان</v>
      </c>
      <c r="D5995" s="5" t="str">
        <f>IFERROR(__xludf.DUMMYFUNCTION("""COMPUTED_VALUE"""),"اصفهان ")</f>
        <v>اصفهان </v>
      </c>
      <c r="E5995" s="5" t="str">
        <f>IFERROR(__xludf.DUMMYFUNCTION("""COMPUTED_VALUE"""),"اصفهان ")</f>
        <v>اصفهان </v>
      </c>
      <c r="F5995" s="5"/>
      <c r="G5995" s="5"/>
      <c r="H5995" s="5"/>
      <c r="I5995" s="5"/>
      <c r="J5995" s="6" t="str">
        <f>IFERROR(__xludf.DUMMYFUNCTION("""COMPUTED_VALUE"""),"https://eitaa.com/fatemiyonesff")</f>
        <v>https://eitaa.com/fatemiyonesff</v>
      </c>
      <c r="K5995" s="5"/>
      <c r="L5995" s="5"/>
      <c r="M5995" s="5"/>
      <c r="N5995" s="5"/>
      <c r="O5995" s="5"/>
      <c r="P5995" s="5"/>
      <c r="Q5995" s="5"/>
      <c r="R5995" s="5"/>
      <c r="S5995" s="5"/>
    </row>
    <row r="5996">
      <c r="A5996" s="5">
        <f>IFERROR(__xludf.DUMMYFUNCTION("""COMPUTED_VALUE"""),29526.0)</f>
        <v>29526</v>
      </c>
      <c r="B5996" s="5" t="str">
        <f>IFERROR(__xludf.DUMMYFUNCTION("""COMPUTED_VALUE"""),"هیأت")</f>
        <v>هیأت</v>
      </c>
      <c r="C5996" s="5" t="str">
        <f>IFERROR(__xludf.DUMMYFUNCTION("""COMPUTED_VALUE"""),"باب الرحمه")</f>
        <v>باب الرحمه</v>
      </c>
      <c r="D5996" s="5" t="str">
        <f>IFERROR(__xludf.DUMMYFUNCTION("""COMPUTED_VALUE"""),"اصفهان ")</f>
        <v>اصفهان </v>
      </c>
      <c r="E5996" s="5" t="str">
        <f>IFERROR(__xludf.DUMMYFUNCTION("""COMPUTED_VALUE"""),"اصفهان ")</f>
        <v>اصفهان </v>
      </c>
      <c r="F5996" s="5"/>
      <c r="G5996" s="5"/>
      <c r="H5996" s="6" t="str">
        <f>IFERROR(__xludf.DUMMYFUNCTION("""COMPUTED_VALUE"""),"https://www.instagram.com/alaviyoonisf")</f>
        <v>https://www.instagram.com/alaviyoonisf</v>
      </c>
      <c r="I5996" s="6" t="str">
        <f>IFERROR(__xludf.DUMMYFUNCTION("""COMPUTED_VALUE"""),"https://t.me/Alaviyoonisf")</f>
        <v>https://t.me/Alaviyoonisf</v>
      </c>
      <c r="J5996" s="5"/>
      <c r="K5996" s="5"/>
      <c r="L5996" s="5"/>
      <c r="M5996" s="5"/>
      <c r="N5996" s="5"/>
      <c r="O5996" s="5"/>
      <c r="P5996" s="5"/>
      <c r="Q5996" s="5"/>
      <c r="R5996" s="5"/>
      <c r="S5996" s="5"/>
    </row>
    <row r="5997">
      <c r="A5997" s="5">
        <f>IFERROR(__xludf.DUMMYFUNCTION("""COMPUTED_VALUE"""),29542.0)</f>
        <v>29542</v>
      </c>
      <c r="B5997" s="5" t="str">
        <f>IFERROR(__xludf.DUMMYFUNCTION("""COMPUTED_VALUE"""),"هیأت")</f>
        <v>هیأت</v>
      </c>
      <c r="C5997" s="5" t="str">
        <f>IFERROR(__xludf.DUMMYFUNCTION("""COMPUTED_VALUE"""),"حضرت علی اصغر (ع)")</f>
        <v>حضرت علی اصغر (ع)</v>
      </c>
      <c r="D5997" s="5" t="str">
        <f>IFERROR(__xludf.DUMMYFUNCTION("""COMPUTED_VALUE"""),"اصفهان ")</f>
        <v>اصفهان </v>
      </c>
      <c r="E5997" s="5" t="str">
        <f>IFERROR(__xludf.DUMMYFUNCTION("""COMPUTED_VALUE"""),"خور و بیابانک")</f>
        <v>خور و بیابانک</v>
      </c>
      <c r="F5997" s="5"/>
      <c r="G5997" s="5"/>
      <c r="H5997" s="5"/>
      <c r="I5997" s="5"/>
      <c r="J5997" s="6" t="str">
        <f>IFERROR(__xludf.DUMMYFUNCTION("""COMPUTED_VALUE"""),"https://eitaa.com/pm_aliasghar")</f>
        <v>https://eitaa.com/pm_aliasghar</v>
      </c>
      <c r="K5997" s="5"/>
      <c r="L5997" s="5"/>
      <c r="M5997" s="5"/>
      <c r="N5997" s="5"/>
      <c r="O5997" s="5"/>
      <c r="P5997" s="5"/>
      <c r="Q5997" s="5"/>
      <c r="R5997" s="5"/>
      <c r="S5997" s="5"/>
    </row>
    <row r="5998">
      <c r="A5998" s="5">
        <f>IFERROR(__xludf.DUMMYFUNCTION("""COMPUTED_VALUE"""),29586.0)</f>
        <v>29586</v>
      </c>
      <c r="B5998" s="5" t="str">
        <f>IFERROR(__xludf.DUMMYFUNCTION("""COMPUTED_VALUE"""),"هیأت")</f>
        <v>هیأت</v>
      </c>
      <c r="C5998" s="5" t="str">
        <f>IFERROR(__xludf.DUMMYFUNCTION("""COMPUTED_VALUE"""),"رایحه ی حرم _ حسینیه سیار کانون مداحان فلاورجان")</f>
        <v>رایحه ی حرم _ حسینیه سیار کانون مداحان فلاورجان</v>
      </c>
      <c r="D5998" s="5" t="str">
        <f>IFERROR(__xludf.DUMMYFUNCTION("""COMPUTED_VALUE"""),"اصفهان ")</f>
        <v>اصفهان </v>
      </c>
      <c r="E5998" s="5" t="str">
        <f>IFERROR(__xludf.DUMMYFUNCTION("""COMPUTED_VALUE"""),"فلاورجان")</f>
        <v>فلاورجان</v>
      </c>
      <c r="F5998" s="5"/>
      <c r="G5998" s="5"/>
      <c r="H5998" s="5"/>
      <c r="I5998" s="5"/>
      <c r="J5998" s="6" t="str">
        <f>IFERROR(__xludf.DUMMYFUNCTION("""COMPUTED_VALUE"""),"https://eitaa.com/madahanfalavarjan")</f>
        <v>https://eitaa.com/madahanfalavarjan</v>
      </c>
      <c r="K5998" s="5"/>
      <c r="L5998" s="5"/>
      <c r="M5998" s="5"/>
      <c r="N5998" s="5"/>
      <c r="O5998" s="5"/>
      <c r="P5998" s="5"/>
      <c r="Q5998" s="5"/>
      <c r="R5998" s="5"/>
      <c r="S5998" s="5"/>
    </row>
    <row r="5999">
      <c r="A5999" s="5">
        <f>IFERROR(__xludf.DUMMYFUNCTION("""COMPUTED_VALUE"""),29643.0)</f>
        <v>29643</v>
      </c>
      <c r="B5999" s="5" t="str">
        <f>IFERROR(__xludf.DUMMYFUNCTION("""COMPUTED_VALUE"""),"هیأت")</f>
        <v>هیأت</v>
      </c>
      <c r="C5999" s="5" t="str">
        <f>IFERROR(__xludf.DUMMYFUNCTION("""COMPUTED_VALUE"""),"مجموعه فرهنگی رواق")</f>
        <v>مجموعه فرهنگی رواق</v>
      </c>
      <c r="D5999" s="5" t="str">
        <f>IFERROR(__xludf.DUMMYFUNCTION("""COMPUTED_VALUE"""),"اصفهان ")</f>
        <v>اصفهان </v>
      </c>
      <c r="E5999" s="5" t="str">
        <f>IFERROR(__xludf.DUMMYFUNCTION("""COMPUTED_VALUE"""),"اصفهان ")</f>
        <v>اصفهان </v>
      </c>
      <c r="F5999" s="5"/>
      <c r="G5999" s="5"/>
      <c r="H5999" s="5"/>
      <c r="I5999" s="5"/>
      <c r="J5999" s="6" t="str">
        <f>IFERROR(__xludf.DUMMYFUNCTION("""COMPUTED_VALUE"""),"https://eitaa.com/m_ravaagh")</f>
        <v>https://eitaa.com/m_ravaagh</v>
      </c>
      <c r="K5999" s="5"/>
      <c r="L5999" s="5"/>
      <c r="M5999" s="5"/>
      <c r="N5999" s="5"/>
      <c r="O5999" s="5"/>
      <c r="P5999" s="5"/>
      <c r="Q5999" s="5"/>
      <c r="R5999" s="5"/>
      <c r="S5999" s="5"/>
    </row>
    <row r="6000">
      <c r="A6000" s="5">
        <f>IFERROR(__xludf.DUMMYFUNCTION("""COMPUTED_VALUE"""),29745.0)</f>
        <v>29745</v>
      </c>
      <c r="B6000" s="5" t="str">
        <f>IFERROR(__xludf.DUMMYFUNCTION("""COMPUTED_VALUE"""),"هیأت")</f>
        <v>هیأت</v>
      </c>
      <c r="C6000" s="5" t="str">
        <f>IFERROR(__xludf.DUMMYFUNCTION("""COMPUTED_VALUE"""),"جنت الزهرا (س) خیابان شیخ آباد")</f>
        <v>جنت الزهرا (س) خیابان شیخ آباد</v>
      </c>
      <c r="D6000" s="5" t="str">
        <f>IFERROR(__xludf.DUMMYFUNCTION("""COMPUTED_VALUE"""),"اصفهان ")</f>
        <v>اصفهان </v>
      </c>
      <c r="E6000" s="5" t="str">
        <f>IFERROR(__xludf.DUMMYFUNCTION("""COMPUTED_VALUE"""),"مبارکه")</f>
        <v>مبارکه</v>
      </c>
      <c r="F6000" s="5"/>
      <c r="G6000" s="5"/>
      <c r="H6000" s="5"/>
      <c r="I6000" s="5"/>
      <c r="J6000" s="6" t="str">
        <f>IFERROR(__xludf.DUMMYFUNCTION("""COMPUTED_VALUE"""),"https://eitaa.com/janatalzahra_s")</f>
        <v>https://eitaa.com/janatalzahra_s</v>
      </c>
      <c r="K6000" s="5"/>
      <c r="L6000" s="5"/>
      <c r="M6000" s="5"/>
      <c r="N6000" s="5"/>
      <c r="O6000" s="5"/>
      <c r="P6000" s="5"/>
      <c r="Q6000" s="5"/>
      <c r="R6000" s="5"/>
      <c r="S6000" s="5"/>
    </row>
    <row r="6001">
      <c r="A6001" s="5">
        <f>IFERROR(__xludf.DUMMYFUNCTION("""COMPUTED_VALUE"""),29746.0)</f>
        <v>29746</v>
      </c>
      <c r="B6001" s="5" t="str">
        <f>IFERROR(__xludf.DUMMYFUNCTION("""COMPUTED_VALUE"""),"هیأت")</f>
        <v>هیأت</v>
      </c>
      <c r="C6001" s="5" t="str">
        <f>IFERROR(__xludf.DUMMYFUNCTION("""COMPUTED_VALUE"""),"حوزه علمیه طالخونچه")</f>
        <v>حوزه علمیه طالخونچه</v>
      </c>
      <c r="D6001" s="5" t="str">
        <f>IFERROR(__xludf.DUMMYFUNCTION("""COMPUTED_VALUE"""),"اصفهان ")</f>
        <v>اصفهان </v>
      </c>
      <c r="E6001" s="5" t="str">
        <f>IFERROR(__xludf.DUMMYFUNCTION("""COMPUTED_VALUE"""),"مبارکه")</f>
        <v>مبارکه</v>
      </c>
      <c r="F6001" s="5"/>
      <c r="G6001" s="5"/>
      <c r="H6001" s="6" t="str">
        <f>IFERROR(__xludf.DUMMYFUNCTION("""COMPUTED_VALUE"""),"https://www.instagram.com/e_talkhoncheh")</f>
        <v>https://www.instagram.com/e_talkhoncheh</v>
      </c>
      <c r="I6001" s="6" t="str">
        <f>IFERROR(__xludf.DUMMYFUNCTION("""COMPUTED_VALUE"""),"https://t.me/E_Talkhooncheh")</f>
        <v>https://t.me/E_Talkhooncheh</v>
      </c>
      <c r="J6001" s="6" t="str">
        <f>IFERROR(__xludf.DUMMYFUNCTION("""COMPUTED_VALUE"""),"https://eitaa.com/E_Talkhoncheh")</f>
        <v>https://eitaa.com/E_Talkhoncheh</v>
      </c>
      <c r="K6001" s="5"/>
      <c r="L6001" s="5"/>
      <c r="M6001" s="5"/>
      <c r="N6001" s="5"/>
      <c r="O6001" s="5"/>
      <c r="P6001" s="5"/>
      <c r="Q6001" s="5"/>
      <c r="R6001" s="5"/>
      <c r="S6001" s="5"/>
    </row>
    <row r="6002">
      <c r="A6002" s="5">
        <f>IFERROR(__xludf.DUMMYFUNCTION("""COMPUTED_VALUE"""),29766.0)</f>
        <v>29766</v>
      </c>
      <c r="B6002" s="5" t="str">
        <f>IFERROR(__xludf.DUMMYFUNCTION("""COMPUTED_VALUE"""),"هیأت")</f>
        <v>هیأت</v>
      </c>
      <c r="C6002" s="5" t="str">
        <f>IFERROR(__xludf.DUMMYFUNCTION("""COMPUTED_VALUE"""),"انصارالمهدی شمال اصفهان")</f>
        <v>انصارالمهدی شمال اصفهان</v>
      </c>
      <c r="D6002" s="5" t="str">
        <f>IFERROR(__xludf.DUMMYFUNCTION("""COMPUTED_VALUE"""),"اصفهان ")</f>
        <v>اصفهان </v>
      </c>
      <c r="E6002" s="5" t="str">
        <f>IFERROR(__xludf.DUMMYFUNCTION("""COMPUTED_VALUE"""),"اصفهان ")</f>
        <v>اصفهان </v>
      </c>
      <c r="F6002" s="5"/>
      <c r="G6002" s="5"/>
      <c r="H6002" s="6" t="str">
        <f>IFERROR(__xludf.DUMMYFUNCTION("""COMPUTED_VALUE"""),"https://www.instagram.com/ansaralmahdi313esf110")</f>
        <v>https://www.instagram.com/ansaralmahdi313esf110</v>
      </c>
      <c r="I6002" s="5"/>
      <c r="J6002" s="5"/>
      <c r="K6002" s="5"/>
      <c r="L6002" s="5"/>
      <c r="M6002" s="5"/>
      <c r="N6002" s="5"/>
      <c r="O6002" s="5"/>
      <c r="P6002" s="5"/>
      <c r="Q6002" s="5"/>
      <c r="R6002" s="5"/>
      <c r="S6002" s="5"/>
    </row>
    <row r="6003">
      <c r="A6003" s="5">
        <f>IFERROR(__xludf.DUMMYFUNCTION("""COMPUTED_VALUE"""),29767.0)</f>
        <v>29767</v>
      </c>
      <c r="B6003" s="5" t="str">
        <f>IFERROR(__xludf.DUMMYFUNCTION("""COMPUTED_VALUE"""),"هیأت")</f>
        <v>هیأت</v>
      </c>
      <c r="C6003" s="5" t="str">
        <f>IFERROR(__xludf.DUMMYFUNCTION("""COMPUTED_VALUE"""),"انصارالمهدی (عج)")</f>
        <v>انصارالمهدی (عج)</v>
      </c>
      <c r="D6003" s="5" t="str">
        <f>IFERROR(__xludf.DUMMYFUNCTION("""COMPUTED_VALUE"""),"اصفهان ")</f>
        <v>اصفهان </v>
      </c>
      <c r="E6003" s="5" t="str">
        <f>IFERROR(__xludf.DUMMYFUNCTION("""COMPUTED_VALUE"""),"خمینی شهر")</f>
        <v>خمینی شهر</v>
      </c>
      <c r="F6003" s="5"/>
      <c r="G6003" s="5">
        <f>IFERROR(__xludf.DUMMYFUNCTION("""COMPUTED_VALUE"""),1.0)</f>
        <v>1</v>
      </c>
      <c r="H6003" s="6" t="str">
        <f>IFERROR(__xludf.DUMMYFUNCTION("""COMPUTED_VALUE"""),"https://www.instagram.com/ansar_almahdi_esfahan")</f>
        <v>https://www.instagram.com/ansar_almahdi_esfahan</v>
      </c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</row>
    <row r="6004">
      <c r="A6004" s="5">
        <f>IFERROR(__xludf.DUMMYFUNCTION("""COMPUTED_VALUE"""),29971.0)</f>
        <v>29971</v>
      </c>
      <c r="B6004" s="5" t="str">
        <f>IFERROR(__xludf.DUMMYFUNCTION("""COMPUTED_VALUE"""),"هیأت")</f>
        <v>هیأت</v>
      </c>
      <c r="C6004" s="5" t="str">
        <f>IFERROR(__xludf.DUMMYFUNCTION("""COMPUTED_VALUE"""),"علی بن موسی الرضا (ع)")</f>
        <v>علی بن موسی الرضا (ع)</v>
      </c>
      <c r="D6004" s="5" t="str">
        <f>IFERROR(__xludf.DUMMYFUNCTION("""COMPUTED_VALUE"""),"اصفهان ")</f>
        <v>اصفهان </v>
      </c>
      <c r="E6004" s="5" t="str">
        <f>IFERROR(__xludf.DUMMYFUNCTION("""COMPUTED_VALUE"""),"لنجان")</f>
        <v>لنجان</v>
      </c>
      <c r="F6004" s="5"/>
      <c r="G6004" s="5"/>
      <c r="H6004" s="5"/>
      <c r="I6004" s="5"/>
      <c r="J6004" s="6" t="str">
        <f>IFERROR(__xludf.DUMMYFUNCTION("""COMPUTED_VALUE"""),"https://eitaa.com/sayyedmahdi8")</f>
        <v>https://eitaa.com/sayyedmahdi8</v>
      </c>
      <c r="K6004" s="5"/>
      <c r="L6004" s="5"/>
      <c r="M6004" s="5"/>
      <c r="N6004" s="5"/>
      <c r="O6004" s="5"/>
      <c r="P6004" s="5"/>
      <c r="Q6004" s="5"/>
      <c r="R6004" s="5"/>
      <c r="S6004" s="5"/>
    </row>
    <row r="6005">
      <c r="A6005" s="5">
        <f>IFERROR(__xludf.DUMMYFUNCTION("""COMPUTED_VALUE"""),30078.0)</f>
        <v>30078</v>
      </c>
      <c r="B6005" s="5" t="str">
        <f>IFERROR(__xludf.DUMMYFUNCTION("""COMPUTED_VALUE"""),"هیأت")</f>
        <v>هیأت</v>
      </c>
      <c r="C6005" s="5" t="str">
        <f>IFERROR(__xludf.DUMMYFUNCTION("""COMPUTED_VALUE"""),"متوسلین به حضرت رقیه (س)")</f>
        <v>متوسلین به حضرت رقیه (س)</v>
      </c>
      <c r="D6005" s="5" t="str">
        <f>IFERROR(__xludf.DUMMYFUNCTION("""COMPUTED_VALUE"""),"اصفهان ")</f>
        <v>اصفهان </v>
      </c>
      <c r="E6005" s="5" t="str">
        <f>IFERROR(__xludf.DUMMYFUNCTION("""COMPUTED_VALUE"""),"لنجان")</f>
        <v>لنجان</v>
      </c>
      <c r="F6005" s="5"/>
      <c r="G6005" s="5"/>
      <c r="H6005" s="6" t="str">
        <f>IFERROR(__xludf.DUMMYFUNCTION("""COMPUTED_VALUE"""),"https://www.instagram.com/heyaatroghaye")</f>
        <v>https://www.instagram.com/heyaatroghaye</v>
      </c>
      <c r="I6005" s="5"/>
      <c r="J6005" s="6" t="str">
        <f>IFERROR(__xludf.DUMMYFUNCTION("""COMPUTED_VALUE"""),"https://eitaa.com/HeyatRoghaye")</f>
        <v>https://eitaa.com/HeyatRoghaye</v>
      </c>
      <c r="K6005" s="5"/>
      <c r="L6005" s="5"/>
      <c r="M6005" s="5"/>
      <c r="N6005" s="5"/>
      <c r="O6005" s="5"/>
      <c r="P6005" s="5"/>
      <c r="Q6005" s="5"/>
      <c r="R6005" s="5"/>
      <c r="S6005" s="5"/>
    </row>
    <row r="6006">
      <c r="A6006" s="5">
        <f>IFERROR(__xludf.DUMMYFUNCTION("""COMPUTED_VALUE"""),30080.0)</f>
        <v>30080</v>
      </c>
      <c r="B6006" s="5" t="str">
        <f>IFERROR(__xludf.DUMMYFUNCTION("""COMPUTED_VALUE"""),"هیأت")</f>
        <v>هیأت</v>
      </c>
      <c r="C6006" s="5" t="str">
        <f>IFERROR(__xludf.DUMMYFUNCTION("""COMPUTED_VALUE"""),"حضرت اباعبدالله الحسین (ع)")</f>
        <v>حضرت اباعبدالله الحسین (ع)</v>
      </c>
      <c r="D6006" s="5" t="str">
        <f>IFERROR(__xludf.DUMMYFUNCTION("""COMPUTED_VALUE"""),"اصفهان ")</f>
        <v>اصفهان </v>
      </c>
      <c r="E6006" s="5" t="str">
        <f>IFERROR(__xludf.DUMMYFUNCTION("""COMPUTED_VALUE"""),"هرند")</f>
        <v>هرند</v>
      </c>
      <c r="F6006" s="5"/>
      <c r="G6006" s="5">
        <f>IFERROR(__xludf.DUMMYFUNCTION("""COMPUTED_VALUE"""),1.0)</f>
        <v>1</v>
      </c>
      <c r="H6006" s="6" t="str">
        <f>IFERROR(__xludf.DUMMYFUNCTION("""COMPUTED_VALUE"""),"https://www.instagram.com/abaabdelah.darahbid")</f>
        <v>https://www.instagram.com/abaabdelah.darahbid</v>
      </c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</row>
    <row r="6007">
      <c r="A6007" s="5">
        <f>IFERROR(__xludf.DUMMYFUNCTION("""COMPUTED_VALUE"""),30081.0)</f>
        <v>30081</v>
      </c>
      <c r="B6007" s="5" t="str">
        <f>IFERROR(__xludf.DUMMYFUNCTION("""COMPUTED_VALUE"""),"هیأت")</f>
        <v>هیأت</v>
      </c>
      <c r="C6007" s="5" t="str">
        <f>IFERROR(__xludf.DUMMYFUNCTION("""COMPUTED_VALUE"""),"علی بن ابیطالب (ع)")</f>
        <v>علی بن ابیطالب (ع)</v>
      </c>
      <c r="D6007" s="5" t="str">
        <f>IFERROR(__xludf.DUMMYFUNCTION("""COMPUTED_VALUE"""),"اصفهان ")</f>
        <v>اصفهان </v>
      </c>
      <c r="E6007" s="5" t="str">
        <f>IFERROR(__xludf.DUMMYFUNCTION("""COMPUTED_VALUE"""),"آران وبیدگل")</f>
        <v>آران وبیدگل</v>
      </c>
      <c r="F6007" s="5"/>
      <c r="G6007" s="5">
        <f>IFERROR(__xludf.DUMMYFUNCTION("""COMPUTED_VALUE"""),1.0)</f>
        <v>1</v>
      </c>
      <c r="H6007" s="6" t="str">
        <f>IFERROR(__xludf.DUMMYFUNCTION("""COMPUTED_VALUE"""),"https://www.instagram.com/hiataliebneabitaleb")</f>
        <v>https://www.instagram.com/hiataliebneabitaleb</v>
      </c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</row>
    <row r="6008">
      <c r="A6008" s="5">
        <f>IFERROR(__xludf.DUMMYFUNCTION("""COMPUTED_VALUE"""),30105.0)</f>
        <v>30105</v>
      </c>
      <c r="B6008" s="5" t="str">
        <f>IFERROR(__xludf.DUMMYFUNCTION("""COMPUTED_VALUE"""),"هیأت")</f>
        <v>هیأت</v>
      </c>
      <c r="C6008" s="5" t="str">
        <f>IFERROR(__xludf.DUMMYFUNCTION("""COMPUTED_VALUE"""),"جوانان حضرت علی اکبر")</f>
        <v>جوانان حضرت علی اکبر</v>
      </c>
      <c r="D6008" s="5" t="str">
        <f>IFERROR(__xludf.DUMMYFUNCTION("""COMPUTED_VALUE"""),"اصفهان ")</f>
        <v>اصفهان </v>
      </c>
      <c r="E6008" s="5" t="str">
        <f>IFERROR(__xludf.DUMMYFUNCTION("""COMPUTED_VALUE"""),"اصفهان ")</f>
        <v>اصفهان </v>
      </c>
      <c r="F6008" s="5"/>
      <c r="G6008" s="5"/>
      <c r="H6008" s="5"/>
      <c r="I6008" s="5"/>
      <c r="J6008" s="6" t="str">
        <f>IFERROR(__xludf.DUMMYFUNCTION("""COMPUTED_VALUE"""),"https://eitaa.com/h_h_aliakbar_a")</f>
        <v>https://eitaa.com/h_h_aliakbar_a</v>
      </c>
      <c r="K6008" s="5"/>
      <c r="L6008" s="5"/>
      <c r="M6008" s="5"/>
      <c r="N6008" s="5"/>
      <c r="O6008" s="5"/>
      <c r="P6008" s="5"/>
      <c r="Q6008" s="5"/>
      <c r="R6008" s="5"/>
      <c r="S6008" s="5"/>
    </row>
    <row r="6009">
      <c r="A6009" s="5">
        <f>IFERROR(__xludf.DUMMYFUNCTION("""COMPUTED_VALUE"""),30106.0)</f>
        <v>30106</v>
      </c>
      <c r="B6009" s="5" t="str">
        <f>IFERROR(__xludf.DUMMYFUNCTION("""COMPUTED_VALUE"""),"هیأت")</f>
        <v>هیأت</v>
      </c>
      <c r="C6009" s="5" t="str">
        <f>IFERROR(__xludf.DUMMYFUNCTION("""COMPUTED_VALUE"""),"امام حسن مجتبی (ع)")</f>
        <v>امام حسن مجتبی (ع)</v>
      </c>
      <c r="D6009" s="5" t="str">
        <f>IFERROR(__xludf.DUMMYFUNCTION("""COMPUTED_VALUE"""),"اصفهان ")</f>
        <v>اصفهان </v>
      </c>
      <c r="E6009" s="5" t="str">
        <f>IFERROR(__xludf.DUMMYFUNCTION("""COMPUTED_VALUE"""),"اصفهان ")</f>
        <v>اصفهان </v>
      </c>
      <c r="F6009" s="5"/>
      <c r="G6009" s="5"/>
      <c r="H6009" s="6" t="str">
        <f>IFERROR(__xludf.DUMMYFUNCTION("""COMPUTED_VALUE"""),"https://www.instagram.com/heyateimamhasan")</f>
        <v>https://www.instagram.com/heyateimamhasan</v>
      </c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</row>
    <row r="6010">
      <c r="A6010" s="5">
        <f>IFERROR(__xludf.DUMMYFUNCTION("""COMPUTED_VALUE"""),30125.0)</f>
        <v>30125</v>
      </c>
      <c r="B6010" s="5" t="str">
        <f>IFERROR(__xludf.DUMMYFUNCTION("""COMPUTED_VALUE"""),"هیأت")</f>
        <v>هیأت</v>
      </c>
      <c r="C6010" s="5" t="str">
        <f>IFERROR(__xludf.DUMMYFUNCTION("""COMPUTED_VALUE"""),"یاوران مهدی")</f>
        <v>یاوران مهدی</v>
      </c>
      <c r="D6010" s="5" t="str">
        <f>IFERROR(__xludf.DUMMYFUNCTION("""COMPUTED_VALUE"""),"اصفهان ")</f>
        <v>اصفهان </v>
      </c>
      <c r="E6010" s="5" t="str">
        <f>IFERROR(__xludf.DUMMYFUNCTION("""COMPUTED_VALUE"""),"نجف آباد")</f>
        <v>نجف آباد</v>
      </c>
      <c r="F6010" s="5"/>
      <c r="G6010" s="5">
        <f>IFERROR(__xludf.DUMMYFUNCTION("""COMPUTED_VALUE"""),1.0)</f>
        <v>1</v>
      </c>
      <c r="H6010" s="6" t="str">
        <f>IFERROR(__xludf.DUMMYFUNCTION("""COMPUTED_VALUE"""),"https://www.instagram.com/yavaranmahdi12")</f>
        <v>https://www.instagram.com/yavaranmahdi12</v>
      </c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</row>
    <row r="6011">
      <c r="A6011" s="5">
        <f>IFERROR(__xludf.DUMMYFUNCTION("""COMPUTED_VALUE"""),30128.0)</f>
        <v>30128</v>
      </c>
      <c r="B6011" s="5" t="str">
        <f>IFERROR(__xludf.DUMMYFUNCTION("""COMPUTED_VALUE"""),"هیأت")</f>
        <v>هیأت</v>
      </c>
      <c r="C6011" s="5" t="str">
        <f>IFERROR(__xludf.DUMMYFUNCTION("""COMPUTED_VALUE"""),"احباب الرضا")</f>
        <v>احباب الرضا</v>
      </c>
      <c r="D6011" s="5" t="str">
        <f>IFERROR(__xludf.DUMMYFUNCTION("""COMPUTED_VALUE"""),"اصفهان ")</f>
        <v>اصفهان </v>
      </c>
      <c r="E6011" s="5" t="str">
        <f>IFERROR(__xludf.DUMMYFUNCTION("""COMPUTED_VALUE"""),"اصفهان ")</f>
        <v>اصفهان </v>
      </c>
      <c r="F6011" s="5"/>
      <c r="G6011" s="5"/>
      <c r="H6011" s="6" t="str">
        <f>IFERROR(__xludf.DUMMYFUNCTION("""COMPUTED_VALUE"""),"https://www.instagram.com/ahbabborreza/")</f>
        <v>https://www.instagram.com/ahbabborreza/</v>
      </c>
      <c r="I6011" s="6" t="str">
        <f>IFERROR(__xludf.DUMMYFUNCTION("""COMPUTED_VALUE"""),"https://t.me/ahbabborreza")</f>
        <v>https://t.me/ahbabborreza</v>
      </c>
      <c r="J6011" s="5"/>
      <c r="K6011" s="5"/>
      <c r="L6011" s="5"/>
      <c r="M6011" s="5"/>
      <c r="N6011" s="5"/>
      <c r="O6011" s="5"/>
      <c r="P6011" s="5"/>
      <c r="Q6011" s="5"/>
      <c r="R6011" s="5"/>
      <c r="S6011" s="5"/>
    </row>
    <row r="6012">
      <c r="A6012" s="5">
        <f>IFERROR(__xludf.DUMMYFUNCTION("""COMPUTED_VALUE"""),30131.0)</f>
        <v>30131</v>
      </c>
      <c r="B6012" s="5" t="str">
        <f>IFERROR(__xludf.DUMMYFUNCTION("""COMPUTED_VALUE"""),"هیأت")</f>
        <v>هیأت</v>
      </c>
      <c r="C6012" s="5" t="str">
        <f>IFERROR(__xludf.DUMMYFUNCTION("""COMPUTED_VALUE"""),"عاشقان ولایت نایین")</f>
        <v>عاشقان ولایت نایین</v>
      </c>
      <c r="D6012" s="5" t="str">
        <f>IFERROR(__xludf.DUMMYFUNCTION("""COMPUTED_VALUE"""),"اصفهان ")</f>
        <v>اصفهان </v>
      </c>
      <c r="E6012" s="5" t="str">
        <f>IFERROR(__xludf.DUMMYFUNCTION("""COMPUTED_VALUE"""),"نائین")</f>
        <v>نائین</v>
      </c>
      <c r="F6012" s="5"/>
      <c r="G6012" s="5">
        <f>IFERROR(__xludf.DUMMYFUNCTION("""COMPUTED_VALUE"""),1.0)</f>
        <v>1</v>
      </c>
      <c r="H6012" s="6" t="str">
        <f>IFERROR(__xludf.DUMMYFUNCTION("""COMPUTED_VALUE"""),"https://www.instagram.com/asheghanevelayat94")</f>
        <v>https://www.instagram.com/asheghanevelayat94</v>
      </c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</row>
    <row r="6013">
      <c r="A6013" s="5">
        <f>IFERROR(__xludf.DUMMYFUNCTION("""COMPUTED_VALUE"""),30135.0)</f>
        <v>30135</v>
      </c>
      <c r="B6013" s="5" t="str">
        <f>IFERROR(__xludf.DUMMYFUNCTION("""COMPUTED_VALUE"""),"هیأت")</f>
        <v>هیأت</v>
      </c>
      <c r="C6013" s="5" t="str">
        <f>IFERROR(__xludf.DUMMYFUNCTION("""COMPUTED_VALUE"""),"حضرت علی اصغر (ع) خیابان چهارسوق")</f>
        <v>حضرت علی اصغر (ع) خیابان چهارسوق</v>
      </c>
      <c r="D6013" s="5" t="str">
        <f>IFERROR(__xludf.DUMMYFUNCTION("""COMPUTED_VALUE"""),"اصفهان ")</f>
        <v>اصفهان </v>
      </c>
      <c r="E6013" s="5" t="str">
        <f>IFERROR(__xludf.DUMMYFUNCTION("""COMPUTED_VALUE"""),"آران وبیدگل")</f>
        <v>آران وبیدگل</v>
      </c>
      <c r="F6013" s="5"/>
      <c r="G6013" s="5"/>
      <c r="H6013" s="6" t="str">
        <f>IFERROR(__xludf.DUMMYFUNCTION("""COMPUTED_VALUE"""),"https://www.instagram.com/aliasghariaran")</f>
        <v>https://www.instagram.com/aliasghariaran</v>
      </c>
      <c r="I6013" s="5"/>
      <c r="J6013" s="6" t="str">
        <f>IFERROR(__xludf.DUMMYFUNCTION("""COMPUTED_VALUE"""),"https://eitaa.com/chaharsogh_aran")</f>
        <v>https://eitaa.com/chaharsogh_aran</v>
      </c>
      <c r="K6013" s="5"/>
      <c r="L6013" s="5"/>
      <c r="M6013" s="5"/>
      <c r="N6013" s="5"/>
      <c r="O6013" s="5"/>
      <c r="P6013" s="5"/>
      <c r="Q6013" s="5"/>
      <c r="R6013" s="5"/>
      <c r="S6013" s="5"/>
    </row>
    <row r="6014">
      <c r="A6014" s="5">
        <f>IFERROR(__xludf.DUMMYFUNCTION("""COMPUTED_VALUE"""),30136.0)</f>
        <v>30136</v>
      </c>
      <c r="B6014" s="5" t="str">
        <f>IFERROR(__xludf.DUMMYFUNCTION("""COMPUTED_VALUE"""),"هیأت")</f>
        <v>هیأت</v>
      </c>
      <c r="C6014" s="5" t="str">
        <f>IFERROR(__xludf.DUMMYFUNCTION("""COMPUTED_VALUE"""),"فدائیان علی اکبر (ع)")</f>
        <v>فدائیان علی اکبر (ع)</v>
      </c>
      <c r="D6014" s="5" t="str">
        <f>IFERROR(__xludf.DUMMYFUNCTION("""COMPUTED_VALUE"""),"اصفهان ")</f>
        <v>اصفهان </v>
      </c>
      <c r="E6014" s="5" t="str">
        <f>IFERROR(__xludf.DUMMYFUNCTION("""COMPUTED_VALUE"""),"سمیرم")</f>
        <v>سمیرم</v>
      </c>
      <c r="F6014" s="5"/>
      <c r="G6014" s="5"/>
      <c r="H6014" s="5"/>
      <c r="I6014" s="5"/>
      <c r="J6014" s="6" t="str">
        <f>IFERROR(__xludf.DUMMYFUNCTION("""COMPUTED_VALUE"""),"https://eitaa.com/mahfelaliakbar")</f>
        <v>https://eitaa.com/mahfelaliakbar</v>
      </c>
      <c r="K6014" s="5"/>
      <c r="L6014" s="5"/>
      <c r="M6014" s="5"/>
      <c r="N6014" s="5"/>
      <c r="O6014" s="5"/>
      <c r="P6014" s="5"/>
      <c r="Q6014" s="5"/>
      <c r="R6014" s="5"/>
      <c r="S6014" s="5"/>
    </row>
    <row r="6015">
      <c r="A6015" s="5">
        <f>IFERROR(__xludf.DUMMYFUNCTION("""COMPUTED_VALUE"""),30149.0)</f>
        <v>30149</v>
      </c>
      <c r="B6015" s="5" t="str">
        <f>IFERROR(__xludf.DUMMYFUNCTION("""COMPUTED_VALUE"""),"هیأت")</f>
        <v>هیأت</v>
      </c>
      <c r="C6015" s="5" t="str">
        <f>IFERROR(__xludf.DUMMYFUNCTION("""COMPUTED_VALUE"""),"امام حسن مجتبی (ع)")</f>
        <v>امام حسن مجتبی (ع)</v>
      </c>
      <c r="D6015" s="5" t="str">
        <f>IFERROR(__xludf.DUMMYFUNCTION("""COMPUTED_VALUE"""),"اصفهان ")</f>
        <v>اصفهان </v>
      </c>
      <c r="E6015" s="5" t="str">
        <f>IFERROR(__xludf.DUMMYFUNCTION("""COMPUTED_VALUE"""),"شهرضا")</f>
        <v>شهرضا</v>
      </c>
      <c r="F6015" s="5"/>
      <c r="G6015" s="5">
        <f>IFERROR(__xludf.DUMMYFUNCTION("""COMPUTED_VALUE"""),1.0)</f>
        <v>1</v>
      </c>
      <c r="H6015" s="6" t="str">
        <f>IFERROR(__xludf.DUMMYFUNCTION("""COMPUTED_VALUE"""),"https://www.instagram.com/heyate_emam_hasan_mojtaba.esf")</f>
        <v>https://www.instagram.com/heyate_emam_hasan_mojtaba.esf</v>
      </c>
      <c r="I6015" s="5"/>
      <c r="J6015" s="5"/>
      <c r="K6015" s="5"/>
      <c r="L6015" s="5"/>
      <c r="M6015" s="5"/>
      <c r="N6015" s="5"/>
      <c r="O6015" s="5"/>
      <c r="P6015" s="5"/>
      <c r="Q6015" s="5"/>
      <c r="R6015" s="5"/>
      <c r="S6015" s="5"/>
    </row>
    <row r="6016">
      <c r="A6016" s="5">
        <f>IFERROR(__xludf.DUMMYFUNCTION("""COMPUTED_VALUE"""),30152.0)</f>
        <v>30152</v>
      </c>
      <c r="B6016" s="5" t="str">
        <f>IFERROR(__xludf.DUMMYFUNCTION("""COMPUTED_VALUE"""),"هیأت")</f>
        <v>هیأت</v>
      </c>
      <c r="C6016" s="5" t="str">
        <f>IFERROR(__xludf.DUMMYFUNCTION("""COMPUTED_VALUE"""),"کانون فرهنگی هنری شیفتگان امام ره")</f>
        <v>کانون فرهنگی هنری شیفتگان امام ره</v>
      </c>
      <c r="D6016" s="5" t="str">
        <f>IFERROR(__xludf.DUMMYFUNCTION("""COMPUTED_VALUE"""),"اصفهان ")</f>
        <v>اصفهان </v>
      </c>
      <c r="E6016" s="5" t="str">
        <f>IFERROR(__xludf.DUMMYFUNCTION("""COMPUTED_VALUE"""),"اصفهان ")</f>
        <v>اصفهان </v>
      </c>
      <c r="F6016" s="5"/>
      <c r="G6016" s="5"/>
      <c r="H6016" s="5"/>
      <c r="I6016" s="5"/>
      <c r="J6016" s="6" t="str">
        <f>IFERROR(__xludf.DUMMYFUNCTION("""COMPUTED_VALUE"""),"https://eitaa.com/shiftegan_emam")</f>
        <v>https://eitaa.com/shiftegan_emam</v>
      </c>
      <c r="K6016" s="5"/>
      <c r="L6016" s="5"/>
      <c r="M6016" s="5"/>
      <c r="N6016" s="5"/>
      <c r="O6016" s="5"/>
      <c r="P6016" s="5"/>
      <c r="Q6016" s="5"/>
      <c r="R6016" s="5"/>
      <c r="S6016" s="5"/>
    </row>
    <row r="6017">
      <c r="A6017" s="5">
        <f>IFERROR(__xludf.DUMMYFUNCTION("""COMPUTED_VALUE"""),30154.0)</f>
        <v>30154</v>
      </c>
      <c r="B6017" s="5" t="str">
        <f>IFERROR(__xludf.DUMMYFUNCTION("""COMPUTED_VALUE"""),"هیأت")</f>
        <v>هیأت</v>
      </c>
      <c r="C6017" s="5" t="str">
        <f>IFERROR(__xludf.DUMMYFUNCTION("""COMPUTED_VALUE"""),"رزمندگان اصفهان")</f>
        <v>رزمندگان اصفهان</v>
      </c>
      <c r="D6017" s="5" t="str">
        <f>IFERROR(__xludf.DUMMYFUNCTION("""COMPUTED_VALUE"""),"اصفهان ")</f>
        <v>اصفهان </v>
      </c>
      <c r="E6017" s="5" t="str">
        <f>IFERROR(__xludf.DUMMYFUNCTION("""COMPUTED_VALUE"""),"اصفهان ")</f>
        <v>اصفهان </v>
      </c>
      <c r="F6017" s="5"/>
      <c r="G6017" s="5"/>
      <c r="H6017" s="6" t="str">
        <f>IFERROR(__xludf.DUMMYFUNCTION("""COMPUTED_VALUE"""),"https://www.instagram.com/razmandeh_com")</f>
        <v>https://www.instagram.com/razmandeh_com</v>
      </c>
      <c r="I6017" s="5"/>
      <c r="J6017" s="5"/>
      <c r="K6017" s="5"/>
      <c r="L6017" s="5"/>
      <c r="M6017" s="5"/>
      <c r="N6017" s="5"/>
      <c r="O6017" s="5"/>
      <c r="P6017" s="5"/>
      <c r="Q6017" s="5"/>
      <c r="R6017" s="5"/>
      <c r="S6017" s="5"/>
    </row>
    <row r="6018">
      <c r="A6018" s="5">
        <f>IFERROR(__xludf.DUMMYFUNCTION("""COMPUTED_VALUE"""),30155.0)</f>
        <v>30155</v>
      </c>
      <c r="B6018" s="5" t="str">
        <f>IFERROR(__xludf.DUMMYFUNCTION("""COMPUTED_VALUE"""),"هیأت")</f>
        <v>هیأت</v>
      </c>
      <c r="C6018" s="5" t="str">
        <f>IFERROR(__xludf.DUMMYFUNCTION("""COMPUTED_VALUE"""),"مجمع سائلین الزهرا")</f>
        <v>مجمع سائلین الزهرا</v>
      </c>
      <c r="D6018" s="5" t="str">
        <f>IFERROR(__xludf.DUMMYFUNCTION("""COMPUTED_VALUE"""),"اصفهان ")</f>
        <v>اصفهان </v>
      </c>
      <c r="E6018" s="5" t="str">
        <f>IFERROR(__xludf.DUMMYFUNCTION("""COMPUTED_VALUE"""),"نجف آباد")</f>
        <v>نجف آباد</v>
      </c>
      <c r="F6018" s="5"/>
      <c r="G6018" s="5"/>
      <c r="H6018" s="6" t="str">
        <f>IFERROR(__xludf.DUMMYFUNCTION("""COMPUTED_VALUE"""),"https://www.instagram.com/saelin18")</f>
        <v>https://www.instagram.com/saelin18</v>
      </c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</row>
    <row r="6019">
      <c r="A6019" s="5">
        <f>IFERROR(__xludf.DUMMYFUNCTION("""COMPUTED_VALUE"""),30157.0)</f>
        <v>30157</v>
      </c>
      <c r="B6019" s="5" t="str">
        <f>IFERROR(__xludf.DUMMYFUNCTION("""COMPUTED_VALUE"""),"هیأت")</f>
        <v>هیأت</v>
      </c>
      <c r="C6019" s="5" t="str">
        <f>IFERROR(__xludf.DUMMYFUNCTION("""COMPUTED_VALUE"""),"قاسم ابن الحسن")</f>
        <v>قاسم ابن الحسن</v>
      </c>
      <c r="D6019" s="5" t="str">
        <f>IFERROR(__xludf.DUMMYFUNCTION("""COMPUTED_VALUE"""),"اصفهان ")</f>
        <v>اصفهان </v>
      </c>
      <c r="E6019" s="5" t="str">
        <f>IFERROR(__xludf.DUMMYFUNCTION("""COMPUTED_VALUE"""),"برخوار")</f>
        <v>برخوار</v>
      </c>
      <c r="F6019" s="5"/>
      <c r="G6019" s="5">
        <f>IFERROR(__xludf.DUMMYFUNCTION("""COMPUTED_VALUE"""),1.0)</f>
        <v>1</v>
      </c>
      <c r="H6019" s="6" t="str">
        <f>IFERROR(__xludf.DUMMYFUNCTION("""COMPUTED_VALUE"""),"https://www.instagram.com/ghasem_ebneel_hassan")</f>
        <v>https://www.instagram.com/ghasem_ebneel_hassan</v>
      </c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</row>
    <row r="6020">
      <c r="A6020" s="5">
        <f>IFERROR(__xludf.DUMMYFUNCTION("""COMPUTED_VALUE"""),30159.0)</f>
        <v>30159</v>
      </c>
      <c r="B6020" s="5" t="str">
        <f>IFERROR(__xludf.DUMMYFUNCTION("""COMPUTED_VALUE"""),"هیأت")</f>
        <v>هیأت</v>
      </c>
      <c r="C6020" s="5" t="str">
        <f>IFERROR(__xludf.DUMMYFUNCTION("""COMPUTED_VALUE"""),"مهد قران کریم")</f>
        <v>مهد قران کریم</v>
      </c>
      <c r="D6020" s="5" t="str">
        <f>IFERROR(__xludf.DUMMYFUNCTION("""COMPUTED_VALUE"""),"اصفهان ")</f>
        <v>اصفهان </v>
      </c>
      <c r="E6020" s="5" t="str">
        <f>IFERROR(__xludf.DUMMYFUNCTION("""COMPUTED_VALUE"""),"دهاقان")</f>
        <v>دهاقان</v>
      </c>
      <c r="F6020" s="5"/>
      <c r="G6020" s="5"/>
      <c r="H6020" s="5"/>
      <c r="I6020" s="5"/>
      <c r="J6020" s="6" t="str">
        <f>IFERROR(__xludf.DUMMYFUNCTION("""COMPUTED_VALUE"""),"https://eitaa.com/Mahd_quran_esfahan")</f>
        <v>https://eitaa.com/Mahd_quran_esfahan</v>
      </c>
      <c r="K6020" s="5"/>
      <c r="L6020" s="5"/>
      <c r="M6020" s="5"/>
      <c r="N6020" s="5"/>
      <c r="O6020" s="5"/>
      <c r="P6020" s="5"/>
      <c r="Q6020" s="5"/>
      <c r="R6020" s="5"/>
      <c r="S6020" s="5"/>
    </row>
    <row r="6021">
      <c r="A6021" s="5">
        <f>IFERROR(__xludf.DUMMYFUNCTION("""COMPUTED_VALUE"""),30161.0)</f>
        <v>30161</v>
      </c>
      <c r="B6021" s="5" t="str">
        <f>IFERROR(__xludf.DUMMYFUNCTION("""COMPUTED_VALUE"""),"هیأت")</f>
        <v>هیأت</v>
      </c>
      <c r="C6021" s="5" t="str">
        <f>IFERROR(__xludf.DUMMYFUNCTION("""COMPUTED_VALUE"""),"تشکل جامعه زینب (س) اصفهان گروه مرواریدهای شهر")</f>
        <v>تشکل جامعه زینب (س) اصفهان گروه مرواریدهای شهر</v>
      </c>
      <c r="D6021" s="5" t="str">
        <f>IFERROR(__xludf.DUMMYFUNCTION("""COMPUTED_VALUE"""),"اصفهان ")</f>
        <v>اصفهان </v>
      </c>
      <c r="E6021" s="5" t="str">
        <f>IFERROR(__xludf.DUMMYFUNCTION("""COMPUTED_VALUE"""),"اصفهان ")</f>
        <v>اصفهان </v>
      </c>
      <c r="F6021" s="5"/>
      <c r="G6021" s="5"/>
      <c r="H6021" s="5"/>
      <c r="I6021" s="5"/>
      <c r="J6021" s="6" t="str">
        <f>IFERROR(__xludf.DUMMYFUNCTION("""COMPUTED_VALUE"""),"https://eitaa.com/jameezeinab")</f>
        <v>https://eitaa.com/jameezeinab</v>
      </c>
      <c r="K6021" s="5"/>
      <c r="L6021" s="5"/>
      <c r="M6021" s="5"/>
      <c r="N6021" s="5"/>
      <c r="O6021" s="5"/>
      <c r="P6021" s="5"/>
      <c r="Q6021" s="5"/>
      <c r="R6021" s="5"/>
      <c r="S6021" s="5"/>
    </row>
    <row r="6022">
      <c r="A6022" s="5">
        <f>IFERROR(__xludf.DUMMYFUNCTION("""COMPUTED_VALUE"""),30219.0)</f>
        <v>30219</v>
      </c>
      <c r="B6022" s="5" t="str">
        <f>IFERROR(__xludf.DUMMYFUNCTION("""COMPUTED_VALUE"""),"هیأت")</f>
        <v>هیأت</v>
      </c>
      <c r="C6022" s="5" t="str">
        <f>IFERROR(__xludf.DUMMYFUNCTION("""COMPUTED_VALUE"""),"جوانان فاطمیون")</f>
        <v>جوانان فاطمیون</v>
      </c>
      <c r="D6022" s="5" t="str">
        <f>IFERROR(__xludf.DUMMYFUNCTION("""COMPUTED_VALUE"""),"اصفهان ")</f>
        <v>اصفهان </v>
      </c>
      <c r="E6022" s="5" t="str">
        <f>IFERROR(__xludf.DUMMYFUNCTION("""COMPUTED_VALUE"""),"داران")</f>
        <v>داران</v>
      </c>
      <c r="F6022" s="5"/>
      <c r="G6022" s="5"/>
      <c r="H6022" s="5"/>
      <c r="I6022" s="5"/>
      <c r="J6022" s="6" t="str">
        <f>IFERROR(__xludf.DUMMYFUNCTION("""COMPUTED_VALUE"""),"https://eitaa.com/fatemyoon")</f>
        <v>https://eitaa.com/fatemyoon</v>
      </c>
      <c r="K6022" s="5"/>
      <c r="L6022" s="5"/>
      <c r="M6022" s="5"/>
      <c r="N6022" s="5"/>
      <c r="O6022" s="5"/>
      <c r="P6022" s="5"/>
      <c r="Q6022" s="5"/>
      <c r="R6022" s="5"/>
      <c r="S6022" s="5"/>
    </row>
    <row r="6023">
      <c r="A6023" s="5">
        <f>IFERROR(__xludf.DUMMYFUNCTION("""COMPUTED_VALUE"""),30222.0)</f>
        <v>30222</v>
      </c>
      <c r="B6023" s="5" t="str">
        <f>IFERROR(__xludf.DUMMYFUNCTION("""COMPUTED_VALUE"""),"هیأت")</f>
        <v>هیأت</v>
      </c>
      <c r="C6023" s="5" t="str">
        <f>IFERROR(__xludf.DUMMYFUNCTION("""COMPUTED_VALUE"""),"امام زین العابدین (ع)")</f>
        <v>امام زین العابدین (ع)</v>
      </c>
      <c r="D6023" s="5" t="str">
        <f>IFERROR(__xludf.DUMMYFUNCTION("""COMPUTED_VALUE"""),"اصفهان ")</f>
        <v>اصفهان </v>
      </c>
      <c r="E6023" s="5" t="str">
        <f>IFERROR(__xludf.DUMMYFUNCTION("""COMPUTED_VALUE"""),"اصفهان ")</f>
        <v>اصفهان </v>
      </c>
      <c r="F6023" s="5"/>
      <c r="G6023" s="5">
        <f>IFERROR(__xludf.DUMMYFUNCTION("""COMPUTED_VALUE"""),1.0)</f>
        <v>1</v>
      </c>
      <c r="H6023" s="6" t="str">
        <f>IFERROR(__xludf.DUMMYFUNCTION("""COMPUTED_VALUE"""),"https://www.instagram.com/hezeinolabedin")</f>
        <v>https://www.instagram.com/hezeinolabedin</v>
      </c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</row>
    <row r="6024">
      <c r="A6024" s="5">
        <f>IFERROR(__xludf.DUMMYFUNCTION("""COMPUTED_VALUE"""),30229.0)</f>
        <v>30229</v>
      </c>
      <c r="B6024" s="5" t="str">
        <f>IFERROR(__xludf.DUMMYFUNCTION("""COMPUTED_VALUE"""),"هیأت")</f>
        <v>هیأت</v>
      </c>
      <c r="C6024" s="5" t="str">
        <f>IFERROR(__xludf.DUMMYFUNCTION("""COMPUTED_VALUE"""),"مجموعه فرهنگی رضوان")</f>
        <v>مجموعه فرهنگی رضوان</v>
      </c>
      <c r="D6024" s="5" t="str">
        <f>IFERROR(__xludf.DUMMYFUNCTION("""COMPUTED_VALUE"""),"اصفهان ")</f>
        <v>اصفهان </v>
      </c>
      <c r="E6024" s="5" t="str">
        <f>IFERROR(__xludf.DUMMYFUNCTION("""COMPUTED_VALUE"""),"اصفهان ")</f>
        <v>اصفهان </v>
      </c>
      <c r="F6024" s="5"/>
      <c r="G6024" s="5"/>
      <c r="H6024" s="6" t="str">
        <f>IFERROR(__xludf.DUMMYFUNCTION("""COMPUTED_VALUE"""),"https://www.instagram.com/rezvanir110")</f>
        <v>https://www.instagram.com/rezvanir110</v>
      </c>
      <c r="I6024" s="6" t="str">
        <f>IFERROR(__xludf.DUMMYFUNCTION("""COMPUTED_VALUE"""),"https://t.me/rezvanir110")</f>
        <v>https://t.me/rezvanir110</v>
      </c>
      <c r="J6024" s="6" t="str">
        <f>IFERROR(__xludf.DUMMYFUNCTION("""COMPUTED_VALUE"""),"https://eitaa.com/rezvanir")</f>
        <v>https://eitaa.com/rezvanir</v>
      </c>
      <c r="K6024" s="5"/>
      <c r="L6024" s="5"/>
      <c r="M6024" s="5"/>
      <c r="N6024" s="5"/>
      <c r="O6024" s="5"/>
      <c r="P6024" s="5"/>
      <c r="Q6024" s="5"/>
      <c r="R6024" s="5"/>
      <c r="S6024" s="5"/>
    </row>
    <row r="6025">
      <c r="A6025" s="5">
        <f>IFERROR(__xludf.DUMMYFUNCTION("""COMPUTED_VALUE"""),30230.0)</f>
        <v>30230</v>
      </c>
      <c r="B6025" s="5" t="str">
        <f>IFERROR(__xludf.DUMMYFUNCTION("""COMPUTED_VALUE"""),"هیأت")</f>
        <v>هیأت</v>
      </c>
      <c r="C6025" s="5" t="str">
        <f>IFERROR(__xludf.DUMMYFUNCTION("""COMPUTED_VALUE"""),"حضرت ابوالفضل(ع)")</f>
        <v>حضرت ابوالفضل(ع)</v>
      </c>
      <c r="D6025" s="5" t="str">
        <f>IFERROR(__xludf.DUMMYFUNCTION("""COMPUTED_VALUE"""),"اصفهان ")</f>
        <v>اصفهان </v>
      </c>
      <c r="E6025" s="5" t="str">
        <f>IFERROR(__xludf.DUMMYFUNCTION("""COMPUTED_VALUE"""),"دهاقان")</f>
        <v>دهاقان</v>
      </c>
      <c r="F6025" s="5"/>
      <c r="G6025" s="5"/>
      <c r="H6025" s="5"/>
      <c r="I6025" s="5"/>
      <c r="J6025" s="6" t="str">
        <f>IFERROR(__xludf.DUMMYFUNCTION("""COMPUTED_VALUE"""),"https://eitaa.com/almdar_karbala_133")</f>
        <v>https://eitaa.com/almdar_karbala_133</v>
      </c>
      <c r="K6025" s="5"/>
      <c r="L6025" s="5"/>
      <c r="M6025" s="5"/>
      <c r="N6025" s="5"/>
      <c r="O6025" s="5"/>
      <c r="P6025" s="5"/>
      <c r="Q6025" s="5"/>
      <c r="R6025" s="5"/>
      <c r="S6025" s="5"/>
    </row>
    <row r="6026">
      <c r="A6026" s="5">
        <f>IFERROR(__xludf.DUMMYFUNCTION("""COMPUTED_VALUE"""),30231.0)</f>
        <v>30231</v>
      </c>
      <c r="B6026" s="5" t="str">
        <f>IFERROR(__xludf.DUMMYFUNCTION("""COMPUTED_VALUE"""),"هیأت")</f>
        <v>هیأت</v>
      </c>
      <c r="C6026" s="5" t="str">
        <f>IFERROR(__xludf.DUMMYFUNCTION("""COMPUTED_VALUE"""),"مهدیه بادرود")</f>
        <v>مهدیه بادرود</v>
      </c>
      <c r="D6026" s="5" t="str">
        <f>IFERROR(__xludf.DUMMYFUNCTION("""COMPUTED_VALUE"""),"اصفهان ")</f>
        <v>اصفهان </v>
      </c>
      <c r="E6026" s="5" t="str">
        <f>IFERROR(__xludf.DUMMYFUNCTION("""COMPUTED_VALUE"""),"نطنز")</f>
        <v>نطنز</v>
      </c>
      <c r="F6026" s="5"/>
      <c r="G6026" s="5"/>
      <c r="H6026" s="6" t="str">
        <f>IFERROR(__xludf.DUMMYFUNCTION("""COMPUTED_VALUE"""),"https://www.instagram.com/mahdiye_badrood/")</f>
        <v>https://www.instagram.com/mahdiye_badrood/</v>
      </c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</row>
    <row r="6027">
      <c r="A6027" s="5">
        <f>IFERROR(__xludf.DUMMYFUNCTION("""COMPUTED_VALUE"""),30232.0)</f>
        <v>30232</v>
      </c>
      <c r="B6027" s="5" t="str">
        <f>IFERROR(__xludf.DUMMYFUNCTION("""COMPUTED_VALUE"""),"هیأت")</f>
        <v>هیأت</v>
      </c>
      <c r="C6027" s="5" t="str">
        <f>IFERROR(__xludf.DUMMYFUNCTION("""COMPUTED_VALUE"""),"صاحب الزمان (عج) روستای آرتیجان")</f>
        <v>صاحب الزمان (عج) روستای آرتیجان</v>
      </c>
      <c r="D6027" s="5" t="str">
        <f>IFERROR(__xludf.DUMMYFUNCTION("""COMPUTED_VALUE"""),"اصفهان ")</f>
        <v>اصفهان </v>
      </c>
      <c r="E6027" s="5" t="str">
        <f>IFERROR(__xludf.DUMMYFUNCTION("""COMPUTED_VALUE"""),"بوئین میاندشت")</f>
        <v>بوئین میاندشت</v>
      </c>
      <c r="F6027" s="5"/>
      <c r="G6027" s="5"/>
      <c r="H6027" s="6" t="str">
        <f>IFERROR(__xludf.DUMMYFUNCTION("""COMPUTED_VALUE"""),"https://www.instagram.com/heyat_saheb_zaman_313")</f>
        <v>https://www.instagram.com/heyat_saheb_zaman_313</v>
      </c>
      <c r="I6027" s="5"/>
      <c r="J6027" s="5"/>
      <c r="K6027" s="5"/>
      <c r="L6027" s="5"/>
      <c r="M6027" s="5"/>
      <c r="N6027" s="5"/>
      <c r="O6027" s="5"/>
      <c r="P6027" s="5"/>
      <c r="Q6027" s="5"/>
      <c r="R6027" s="5"/>
      <c r="S6027" s="5"/>
    </row>
    <row r="6028">
      <c r="A6028" s="5">
        <f>IFERROR(__xludf.DUMMYFUNCTION("""COMPUTED_VALUE"""),30233.0)</f>
        <v>30233</v>
      </c>
      <c r="B6028" s="5" t="str">
        <f>IFERROR(__xludf.DUMMYFUNCTION("""COMPUTED_VALUE"""),"هیأت")</f>
        <v>هیأت</v>
      </c>
      <c r="C6028" s="5" t="str">
        <f>IFERROR(__xludf.DUMMYFUNCTION("""COMPUTED_VALUE"""),"موسسه فرهنگی تبلیغی عفیفه")</f>
        <v>موسسه فرهنگی تبلیغی عفیفه</v>
      </c>
      <c r="D6028" s="5" t="str">
        <f>IFERROR(__xludf.DUMMYFUNCTION("""COMPUTED_VALUE"""),"اصفهان ")</f>
        <v>اصفهان </v>
      </c>
      <c r="E6028" s="5" t="str">
        <f>IFERROR(__xludf.DUMMYFUNCTION("""COMPUTED_VALUE"""),"خمینی شهر")</f>
        <v>خمینی شهر</v>
      </c>
      <c r="F6028" s="5"/>
      <c r="G6028" s="5"/>
      <c r="H6028" s="5"/>
      <c r="I6028" s="5"/>
      <c r="J6028" s="6" t="str">
        <f>IFERROR(__xludf.DUMMYFUNCTION("""COMPUTED_VALUE"""),"https://eitaa.com/BanovaneAfifeh")</f>
        <v>https://eitaa.com/BanovaneAfifeh</v>
      </c>
      <c r="K6028" s="5"/>
      <c r="L6028" s="5"/>
      <c r="M6028" s="5"/>
      <c r="N6028" s="5"/>
      <c r="O6028" s="5"/>
      <c r="P6028" s="5"/>
      <c r="Q6028" s="5"/>
      <c r="R6028" s="5"/>
      <c r="S6028" s="5"/>
    </row>
    <row r="6029">
      <c r="A6029" s="5">
        <f>IFERROR(__xludf.DUMMYFUNCTION("""COMPUTED_VALUE"""),30236.0)</f>
        <v>30236</v>
      </c>
      <c r="B6029" s="5" t="str">
        <f>IFERROR(__xludf.DUMMYFUNCTION("""COMPUTED_VALUE"""),"هیأت")</f>
        <v>هیأت</v>
      </c>
      <c r="C6029" s="5" t="str">
        <f>IFERROR(__xludf.DUMMYFUNCTION("""COMPUTED_VALUE"""),"عزاداران مسجدامام محمدباقر یزدانشهر")</f>
        <v>عزاداران مسجدامام محمدباقر یزدانشهر</v>
      </c>
      <c r="D6029" s="5" t="str">
        <f>IFERROR(__xludf.DUMMYFUNCTION("""COMPUTED_VALUE"""),"اصفهان ")</f>
        <v>اصفهان </v>
      </c>
      <c r="E6029" s="5" t="str">
        <f>IFERROR(__xludf.DUMMYFUNCTION("""COMPUTED_VALUE"""),"نجف آباد")</f>
        <v>نجف آباد</v>
      </c>
      <c r="F6029" s="5"/>
      <c r="G6029" s="5"/>
      <c r="H6029" s="6" t="str">
        <f>IFERROR(__xludf.DUMMYFUNCTION("""COMPUTED_VALUE"""),"https://www.instagram.com/masjed_embgh")</f>
        <v>https://www.instagram.com/masjed_embgh</v>
      </c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</row>
    <row r="6030">
      <c r="A6030" s="5">
        <f>IFERROR(__xludf.DUMMYFUNCTION("""COMPUTED_VALUE"""),30237.0)</f>
        <v>30237</v>
      </c>
      <c r="B6030" s="5" t="str">
        <f>IFERROR(__xludf.DUMMYFUNCTION("""COMPUTED_VALUE"""),"هیأت")</f>
        <v>هیأت</v>
      </c>
      <c r="C6030" s="5" t="str">
        <f>IFERROR(__xludf.DUMMYFUNCTION("""COMPUTED_VALUE"""),"فاطمه الزهرا (س)")</f>
        <v>فاطمه الزهرا (س)</v>
      </c>
      <c r="D6030" s="5" t="str">
        <f>IFERROR(__xludf.DUMMYFUNCTION("""COMPUTED_VALUE"""),"اصفهان ")</f>
        <v>اصفهان </v>
      </c>
      <c r="E6030" s="5" t="str">
        <f>IFERROR(__xludf.DUMMYFUNCTION("""COMPUTED_VALUE"""),"اصفهان ")</f>
        <v>اصفهان </v>
      </c>
      <c r="F6030" s="5"/>
      <c r="G6030" s="5">
        <f>IFERROR(__xludf.DUMMYFUNCTION("""COMPUTED_VALUE"""),1.0)</f>
        <v>1</v>
      </c>
      <c r="H6030" s="6" t="str">
        <f>IFERROR(__xludf.DUMMYFUNCTION("""COMPUTED_VALUE"""),"https://www.instagram.com/mokebzahraii")</f>
        <v>https://www.instagram.com/mokebzahraii</v>
      </c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</row>
    <row r="6031">
      <c r="A6031" s="5">
        <f>IFERROR(__xludf.DUMMYFUNCTION("""COMPUTED_VALUE"""),30238.0)</f>
        <v>30238</v>
      </c>
      <c r="B6031" s="5" t="str">
        <f>IFERROR(__xludf.DUMMYFUNCTION("""COMPUTED_VALUE"""),"هیأت")</f>
        <v>هیأت</v>
      </c>
      <c r="C6031" s="5" t="str">
        <f>IFERROR(__xludf.DUMMYFUNCTION("""COMPUTED_VALUE"""),"هیت متوسلین به حضرت ابوالفضل")</f>
        <v>هیت متوسلین به حضرت ابوالفضل</v>
      </c>
      <c r="D6031" s="5" t="str">
        <f>IFERROR(__xludf.DUMMYFUNCTION("""COMPUTED_VALUE"""),"اصفهان ")</f>
        <v>اصفهان </v>
      </c>
      <c r="E6031" s="5" t="str">
        <f>IFERROR(__xludf.DUMMYFUNCTION("""COMPUTED_VALUE"""),"جرقویه")</f>
        <v>جرقویه</v>
      </c>
      <c r="F6031" s="5"/>
      <c r="G6031" s="5">
        <f>IFERROR(__xludf.DUMMYFUNCTION("""COMPUTED_VALUE"""),1.0)</f>
        <v>1</v>
      </c>
      <c r="H6031" s="6" t="str">
        <f>IFERROR(__xludf.DUMMYFUNCTION("""COMPUTED_VALUE"""),"https://www.instagram.com/motevaslinhazratabolfazl")</f>
        <v>https://www.instagram.com/motevaslinhazratabolfazl</v>
      </c>
      <c r="I6031" s="5"/>
      <c r="J6031" s="5"/>
      <c r="K6031" s="5"/>
      <c r="L6031" s="5"/>
      <c r="M6031" s="5"/>
      <c r="N6031" s="5"/>
      <c r="O6031" s="5"/>
      <c r="P6031" s="5"/>
      <c r="Q6031" s="5"/>
      <c r="R6031" s="5"/>
      <c r="S6031" s="5"/>
    </row>
    <row r="6032">
      <c r="A6032" s="5">
        <f>IFERROR(__xludf.DUMMYFUNCTION("""COMPUTED_VALUE"""),30239.0)</f>
        <v>30239</v>
      </c>
      <c r="B6032" s="5" t="str">
        <f>IFERROR(__xludf.DUMMYFUNCTION("""COMPUTED_VALUE"""),"هیأت")</f>
        <v>هیأت</v>
      </c>
      <c r="C6032" s="5" t="str">
        <f>IFERROR(__xludf.DUMMYFUNCTION("""COMPUTED_VALUE"""),"باب الحوایج حضرت علی اصغر (ع)")</f>
        <v>باب الحوایج حضرت علی اصغر (ع)</v>
      </c>
      <c r="D6032" s="5" t="str">
        <f>IFERROR(__xludf.DUMMYFUNCTION("""COMPUTED_VALUE"""),"اصفهان ")</f>
        <v>اصفهان </v>
      </c>
      <c r="E6032" s="5" t="str">
        <f>IFERROR(__xludf.DUMMYFUNCTION("""COMPUTED_VALUE"""),"هرند")</f>
        <v>هرند</v>
      </c>
      <c r="F6032" s="5"/>
      <c r="G6032" s="5"/>
      <c r="H6032" s="5"/>
      <c r="I6032" s="5"/>
      <c r="J6032" s="6" t="str">
        <f>IFERROR(__xludf.DUMMYFUNCTION("""COMPUTED_VALUE"""),"https://eitaa.com/Ali_asghar_razie")</f>
        <v>https://eitaa.com/Ali_asghar_razie</v>
      </c>
      <c r="K6032" s="5"/>
      <c r="L6032" s="5"/>
      <c r="M6032" s="5"/>
      <c r="N6032" s="5"/>
      <c r="O6032" s="5"/>
      <c r="P6032" s="5"/>
      <c r="Q6032" s="5"/>
      <c r="R6032" s="5"/>
      <c r="S6032" s="5"/>
    </row>
    <row r="6033">
      <c r="A6033" s="5">
        <f>IFERROR(__xludf.DUMMYFUNCTION("""COMPUTED_VALUE"""),30243.0)</f>
        <v>30243</v>
      </c>
      <c r="B6033" s="5" t="str">
        <f>IFERROR(__xludf.DUMMYFUNCTION("""COMPUTED_VALUE"""),"هیأت")</f>
        <v>هیأت</v>
      </c>
      <c r="C6033" s="5" t="str">
        <f>IFERROR(__xludf.DUMMYFUNCTION("""COMPUTED_VALUE"""),"هیات جوانان جوادالا ئمه روستای قفر")</f>
        <v>هیات جوانان جوادالا ئمه روستای قفر</v>
      </c>
      <c r="D6033" s="5" t="str">
        <f>IFERROR(__xludf.DUMMYFUNCTION("""COMPUTED_VALUE"""),"اصفهان ")</f>
        <v>اصفهان </v>
      </c>
      <c r="E6033" s="5" t="str">
        <f>IFERROR(__xludf.DUMMYFUNCTION("""COMPUTED_VALUE"""),"فریدن")</f>
        <v>فریدن</v>
      </c>
      <c r="F6033" s="5"/>
      <c r="G6033" s="5"/>
      <c r="H6033" s="6" t="str">
        <f>IFERROR(__xludf.DUMMYFUNCTION("""COMPUTED_VALUE"""),"https://www.instagram.com/heiatjavadolaemme")</f>
        <v>https://www.instagram.com/heiatjavadolaemme</v>
      </c>
      <c r="I6033" s="5"/>
      <c r="J6033" s="5"/>
      <c r="K6033" s="5"/>
      <c r="L6033" s="5"/>
      <c r="M6033" s="5"/>
      <c r="N6033" s="5"/>
      <c r="O6033" s="5"/>
      <c r="P6033" s="5"/>
      <c r="Q6033" s="5"/>
      <c r="R6033" s="5"/>
      <c r="S6033" s="5"/>
    </row>
    <row r="6034">
      <c r="A6034" s="5">
        <f>IFERROR(__xludf.DUMMYFUNCTION("""COMPUTED_VALUE"""),30244.0)</f>
        <v>30244</v>
      </c>
      <c r="B6034" s="5" t="str">
        <f>IFERROR(__xludf.DUMMYFUNCTION("""COMPUTED_VALUE"""),"هیأت")</f>
        <v>هیأت</v>
      </c>
      <c r="C6034" s="5" t="str">
        <f>IFERROR(__xludf.DUMMYFUNCTION("""COMPUTED_VALUE"""),"باب الحوایج (ع)")</f>
        <v>باب الحوایج (ع)</v>
      </c>
      <c r="D6034" s="5" t="str">
        <f>IFERROR(__xludf.DUMMYFUNCTION("""COMPUTED_VALUE"""),"اصفهان ")</f>
        <v>اصفهان </v>
      </c>
      <c r="E6034" s="5" t="str">
        <f>IFERROR(__xludf.DUMMYFUNCTION("""COMPUTED_VALUE"""),"داران")</f>
        <v>داران</v>
      </c>
      <c r="F6034" s="5"/>
      <c r="G6034" s="5"/>
      <c r="H6034" s="5"/>
      <c r="I6034" s="5"/>
      <c r="J6034" s="6" t="str">
        <f>IFERROR(__xludf.DUMMYFUNCTION("""COMPUTED_VALUE"""),"https://eitaa.com/bablhavaej")</f>
        <v>https://eitaa.com/bablhavaej</v>
      </c>
      <c r="K6034" s="5"/>
      <c r="L6034" s="5"/>
      <c r="M6034" s="5"/>
      <c r="N6034" s="5"/>
      <c r="O6034" s="5"/>
      <c r="P6034" s="5"/>
      <c r="Q6034" s="5"/>
      <c r="R6034" s="5"/>
      <c r="S6034" s="5"/>
    </row>
    <row r="6035">
      <c r="A6035" s="5">
        <f>IFERROR(__xludf.DUMMYFUNCTION("""COMPUTED_VALUE"""),30245.0)</f>
        <v>30245</v>
      </c>
      <c r="B6035" s="5" t="str">
        <f>IFERROR(__xludf.DUMMYFUNCTION("""COMPUTED_VALUE"""),"هیأت")</f>
        <v>هیأت</v>
      </c>
      <c r="C6035" s="5" t="str">
        <f>IFERROR(__xludf.DUMMYFUNCTION("""COMPUTED_VALUE"""),"انصارالزهرا")</f>
        <v>انصارالزهرا</v>
      </c>
      <c r="D6035" s="5" t="str">
        <f>IFERROR(__xludf.DUMMYFUNCTION("""COMPUTED_VALUE"""),"اصفهان ")</f>
        <v>اصفهان </v>
      </c>
      <c r="E6035" s="5" t="str">
        <f>IFERROR(__xludf.DUMMYFUNCTION("""COMPUTED_VALUE"""),"مبارکه")</f>
        <v>مبارکه</v>
      </c>
      <c r="F6035" s="5"/>
      <c r="G6035" s="5"/>
      <c r="H6035" s="5"/>
      <c r="I6035" s="5"/>
      <c r="J6035" s="6" t="str">
        <f>IFERROR(__xludf.DUMMYFUNCTION("""COMPUTED_VALUE"""),"https://eitaa.com/ansar_zahra_info")</f>
        <v>https://eitaa.com/ansar_zahra_info</v>
      </c>
      <c r="K6035" s="5"/>
      <c r="L6035" s="5"/>
      <c r="M6035" s="5"/>
      <c r="N6035" s="5"/>
      <c r="O6035" s="5"/>
      <c r="P6035" s="5"/>
      <c r="Q6035" s="5"/>
      <c r="R6035" s="5"/>
      <c r="S6035" s="5"/>
    </row>
    <row r="6036">
      <c r="A6036" s="5">
        <f>IFERROR(__xludf.DUMMYFUNCTION("""COMPUTED_VALUE"""),30322.0)</f>
        <v>30322</v>
      </c>
      <c r="B6036" s="5" t="str">
        <f>IFERROR(__xludf.DUMMYFUNCTION("""COMPUTED_VALUE"""),"هیأت")</f>
        <v>هیأت</v>
      </c>
      <c r="C6036" s="5" t="str">
        <f>IFERROR(__xludf.DUMMYFUNCTION("""COMPUTED_VALUE"""),"جوادالائمه(ع)")</f>
        <v>جوادالائمه(ع)</v>
      </c>
      <c r="D6036" s="5" t="str">
        <f>IFERROR(__xludf.DUMMYFUNCTION("""COMPUTED_VALUE"""),"اصفهان ")</f>
        <v>اصفهان </v>
      </c>
      <c r="E6036" s="5" t="str">
        <f>IFERROR(__xludf.DUMMYFUNCTION("""COMPUTED_VALUE"""),"مبارکه")</f>
        <v>مبارکه</v>
      </c>
      <c r="F6036" s="5"/>
      <c r="G6036" s="5"/>
      <c r="H6036" s="5"/>
      <c r="I6036" s="5"/>
      <c r="J6036" s="6" t="str">
        <f>IFERROR(__xludf.DUMMYFUNCTION("""COMPUTED_VALUE"""),"https://eitaa.com/kanonjavadalaeme")</f>
        <v>https://eitaa.com/kanonjavadalaeme</v>
      </c>
      <c r="K6036" s="5"/>
      <c r="L6036" s="5"/>
      <c r="M6036" s="5"/>
      <c r="N6036" s="5"/>
      <c r="O6036" s="5"/>
      <c r="P6036" s="5"/>
      <c r="Q6036" s="5"/>
      <c r="R6036" s="5"/>
      <c r="S6036" s="5"/>
    </row>
    <row r="6037">
      <c r="A6037" s="5">
        <f>IFERROR(__xludf.DUMMYFUNCTION("""COMPUTED_VALUE"""),30384.0)</f>
        <v>30384</v>
      </c>
      <c r="B6037" s="5" t="str">
        <f>IFERROR(__xludf.DUMMYFUNCTION("""COMPUTED_VALUE"""),"هیأت دانش آموزی")</f>
        <v>هیأت دانش آموزی</v>
      </c>
      <c r="C6037" s="5" t="str">
        <f>IFERROR(__xludf.DUMMYFUNCTION("""COMPUTED_VALUE"""),"مجتمع فرهنگی قطره های باران (نونهالان - کودکان - نوجوانان)")</f>
        <v>مجتمع فرهنگی قطره های باران (نونهالان - کودکان - نوجوانان)</v>
      </c>
      <c r="D6037" s="5" t="str">
        <f>IFERROR(__xludf.DUMMYFUNCTION("""COMPUTED_VALUE"""),"اصفهان ")</f>
        <v>اصفهان </v>
      </c>
      <c r="E6037" s="5" t="str">
        <f>IFERROR(__xludf.DUMMYFUNCTION("""COMPUTED_VALUE"""),"اصفهان ")</f>
        <v>اصفهان </v>
      </c>
      <c r="F6037" s="5"/>
      <c r="G6037" s="5"/>
      <c r="H6037" s="5"/>
      <c r="I6037" s="5"/>
      <c r="J6037" s="6" t="str">
        <f>IFERROR(__xludf.DUMMYFUNCTION("""COMPUTED_VALUE"""),"https://eitaa.com/ghatrehayebarani")</f>
        <v>https://eitaa.com/ghatrehayebarani</v>
      </c>
      <c r="K6037" s="5"/>
      <c r="L6037" s="5"/>
      <c r="M6037" s="5"/>
      <c r="N6037" s="5"/>
      <c r="O6037" s="5"/>
      <c r="P6037" s="5"/>
      <c r="Q6037" s="5"/>
      <c r="R6037" s="5"/>
      <c r="S6037" s="5"/>
    </row>
    <row r="6038">
      <c r="A6038" s="5">
        <f>IFERROR(__xludf.DUMMYFUNCTION("""COMPUTED_VALUE"""),30629.0)</f>
        <v>30629</v>
      </c>
      <c r="B6038" s="5" t="str">
        <f>IFERROR(__xludf.DUMMYFUNCTION("""COMPUTED_VALUE"""),"هیأت")</f>
        <v>هیأت</v>
      </c>
      <c r="C6038" s="5" t="str">
        <f>IFERROR(__xludf.DUMMYFUNCTION("""COMPUTED_VALUE"""),"قمربنی هاشم (ع) قهه")</f>
        <v>قمربنی هاشم (ع) قهه</v>
      </c>
      <c r="D6038" s="5" t="str">
        <f>IFERROR(__xludf.DUMMYFUNCTION("""COMPUTED_VALUE"""),"اصفهان ")</f>
        <v>اصفهان </v>
      </c>
      <c r="E6038" s="5" t="str">
        <f>IFERROR(__xludf.DUMMYFUNCTION("""COMPUTED_VALUE"""),"دهاقان")</f>
        <v>دهاقان</v>
      </c>
      <c r="F6038" s="5"/>
      <c r="G6038" s="5"/>
      <c r="H6038" s="6" t="str">
        <f>IFERROR(__xludf.DUMMYFUNCTION("""COMPUTED_VALUE"""),"https://www.instagram.com/heyat_ghamarbani_hashem_ghaheh")</f>
        <v>https://www.instagram.com/heyat_ghamarbani_hashem_ghaheh</v>
      </c>
      <c r="I6038" s="5"/>
      <c r="J6038" s="6" t="str">
        <f>IFERROR(__xludf.DUMMYFUNCTION("""COMPUTED_VALUE"""),"https://eitaa.com/heyat_ghamarbani_hashem_ghaheh")</f>
        <v>https://eitaa.com/heyat_ghamarbani_hashem_ghaheh</v>
      </c>
      <c r="K6038" s="5"/>
      <c r="L6038" s="5"/>
      <c r="M6038" s="5"/>
      <c r="N6038" s="5"/>
      <c r="O6038" s="5"/>
      <c r="P6038" s="5"/>
      <c r="Q6038" s="5"/>
      <c r="R6038" s="5"/>
      <c r="S6038" s="5"/>
    </row>
    <row r="6039">
      <c r="A6039" s="5">
        <f>IFERROR(__xludf.DUMMYFUNCTION("""COMPUTED_VALUE"""),30631.0)</f>
        <v>30631</v>
      </c>
      <c r="B6039" s="5" t="str">
        <f>IFERROR(__xludf.DUMMYFUNCTION("""COMPUTED_VALUE"""),"هیأت")</f>
        <v>هیأت</v>
      </c>
      <c r="C6039" s="5" t="str">
        <f>IFERROR(__xludf.DUMMYFUNCTION("""COMPUTED_VALUE"""),"ثارالله (ع)")</f>
        <v>ثارالله (ع)</v>
      </c>
      <c r="D6039" s="5" t="str">
        <f>IFERROR(__xludf.DUMMYFUNCTION("""COMPUTED_VALUE"""),"اصفهان ")</f>
        <v>اصفهان </v>
      </c>
      <c r="E6039" s="5" t="str">
        <f>IFERROR(__xludf.DUMMYFUNCTION("""COMPUTED_VALUE"""),"رضوانشهر")</f>
        <v>رضوانشهر</v>
      </c>
      <c r="F6039" s="5"/>
      <c r="G6039" s="5">
        <f>IFERROR(__xludf.DUMMYFUNCTION("""COMPUTED_VALUE"""),1.0)</f>
        <v>1</v>
      </c>
      <c r="H6039" s="6" t="str">
        <f>IFERROR(__xludf.DUMMYFUNCTION("""COMPUTED_VALUE"""),"https://www.instagram.com/hiat_sarallah")</f>
        <v>https://www.instagram.com/hiat_sarallah</v>
      </c>
      <c r="I6039" s="6" t="str">
        <f>IFERROR(__xludf.DUMMYFUNCTION("""COMPUTED_VALUE"""),"https://t.me/hiat_sarallah")</f>
        <v>https://t.me/hiat_sarallah</v>
      </c>
      <c r="J6039" s="6" t="str">
        <f>IFERROR(__xludf.DUMMYFUNCTION("""COMPUTED_VALUE"""),"https://Eitaa.com/hiat_sarallah")</f>
        <v>https://Eitaa.com/hiat_sarallah</v>
      </c>
      <c r="K6039" s="5"/>
      <c r="L6039" s="5"/>
      <c r="M6039" s="5"/>
      <c r="N6039" s="5"/>
      <c r="O6039" s="5"/>
      <c r="P6039" s="5"/>
      <c r="Q6039" s="5"/>
      <c r="R6039" s="5"/>
      <c r="S6039" s="5"/>
    </row>
    <row r="6040">
      <c r="A6040" s="5">
        <f>IFERROR(__xludf.DUMMYFUNCTION("""COMPUTED_VALUE"""),30660.0)</f>
        <v>30660</v>
      </c>
      <c r="B6040" s="5" t="str">
        <f>IFERROR(__xludf.DUMMYFUNCTION("""COMPUTED_VALUE"""),"هیأت")</f>
        <v>هیأت</v>
      </c>
      <c r="C6040" s="5" t="str">
        <f>IFERROR(__xludf.DUMMYFUNCTION("""COMPUTED_VALUE"""),"ثارالله خوانسار")</f>
        <v>ثارالله خوانسار</v>
      </c>
      <c r="D6040" s="5" t="str">
        <f>IFERROR(__xludf.DUMMYFUNCTION("""COMPUTED_VALUE"""),"اصفهان ")</f>
        <v>اصفهان </v>
      </c>
      <c r="E6040" s="5" t="str">
        <f>IFERROR(__xludf.DUMMYFUNCTION("""COMPUTED_VALUE"""),"خوانسار")</f>
        <v>خوانسار</v>
      </c>
      <c r="F6040" s="5"/>
      <c r="G6040" s="5">
        <f>IFERROR(__xludf.DUMMYFUNCTION("""COMPUTED_VALUE"""),1.0)</f>
        <v>1</v>
      </c>
      <c r="H6040" s="6" t="str">
        <f>IFERROR(__xludf.DUMMYFUNCTION("""COMPUTED_VALUE"""),"https://Instagram.com/hiat_sarallah")</f>
        <v>https://Instagram.com/hiat_sarallah</v>
      </c>
      <c r="I6040" s="6" t="str">
        <f>IFERROR(__xludf.DUMMYFUNCTION("""COMPUTED_VALUE"""),"https://t.me/hiat_sarallah")</f>
        <v>https://t.me/hiat_sarallah</v>
      </c>
      <c r="J6040" s="6" t="str">
        <f>IFERROR(__xludf.DUMMYFUNCTION("""COMPUTED_VALUE"""),"https://Eitaa.com/hiat_sarallah")</f>
        <v>https://Eitaa.com/hiat_sarallah</v>
      </c>
      <c r="K6040" s="5"/>
      <c r="L6040" s="5"/>
      <c r="M6040" s="5"/>
      <c r="N6040" s="5"/>
      <c r="O6040" s="5"/>
      <c r="P6040" s="5"/>
      <c r="Q6040" s="5"/>
      <c r="R6040" s="5"/>
      <c r="S6040" s="5"/>
    </row>
    <row r="6041">
      <c r="A6041" s="5">
        <f>IFERROR(__xludf.DUMMYFUNCTION("""COMPUTED_VALUE"""),30719.0)</f>
        <v>30719</v>
      </c>
      <c r="B6041" s="5" t="str">
        <f>IFERROR(__xludf.DUMMYFUNCTION("""COMPUTED_VALUE"""),"هیآت")</f>
        <v>هیآت</v>
      </c>
      <c r="C6041" s="5" t="str">
        <f>IFERROR(__xludf.DUMMYFUNCTION("""COMPUTED_VALUE"""),"حضرت محمد هلال(ع)")</f>
        <v>حضرت محمد هلال(ع)</v>
      </c>
      <c r="D6041" s="5" t="str">
        <f>IFERROR(__xludf.DUMMYFUNCTION("""COMPUTED_VALUE"""),"اصفهان ")</f>
        <v>اصفهان </v>
      </c>
      <c r="E6041" s="5" t="str">
        <f>IFERROR(__xludf.DUMMYFUNCTION("""COMPUTED_VALUE"""),"آران وبیدگل")</f>
        <v>آران وبیدگل</v>
      </c>
      <c r="F6041" s="5"/>
      <c r="G6041" s="5"/>
      <c r="H6041" s="6" t="str">
        <f>IFERROR(__xludf.DUMMYFUNCTION("""COMPUTED_VALUE"""),"https://www.instagram.com/helalali_holy_shrine")</f>
        <v>https://www.instagram.com/helalali_holy_shrine</v>
      </c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</row>
    <row r="6042">
      <c r="A6042" s="5">
        <f>IFERROR(__xludf.DUMMYFUNCTION("""COMPUTED_VALUE"""),30720.0)</f>
        <v>30720</v>
      </c>
      <c r="B6042" s="5" t="str">
        <f>IFERROR(__xludf.DUMMYFUNCTION("""COMPUTED_VALUE"""),"هیآت")</f>
        <v>هیآت</v>
      </c>
      <c r="C6042" s="5" t="str">
        <f>IFERROR(__xludf.DUMMYFUNCTION("""COMPUTED_VALUE"""),"رضوی")</f>
        <v>رضوی</v>
      </c>
      <c r="D6042" s="5" t="str">
        <f>IFERROR(__xludf.DUMMYFUNCTION("""COMPUTED_VALUE"""),"اصفهان ")</f>
        <v>اصفهان </v>
      </c>
      <c r="E6042" s="5" t="str">
        <f>IFERROR(__xludf.DUMMYFUNCTION("""COMPUTED_VALUE"""),"اصفهان ")</f>
        <v>اصفهان </v>
      </c>
      <c r="F6042" s="5"/>
      <c r="G6042" s="5"/>
      <c r="H6042" s="6" t="str">
        <f>IFERROR(__xludf.DUMMYFUNCTION("""COMPUTED_VALUE"""),"https://www.instagram.com/razavi_esf")</f>
        <v>https://www.instagram.com/razavi_esf</v>
      </c>
      <c r="I6042" s="5"/>
      <c r="J6042" s="5"/>
      <c r="K6042" s="5"/>
      <c r="L6042" s="5"/>
      <c r="M6042" s="5"/>
      <c r="N6042" s="5"/>
      <c r="O6042" s="5"/>
      <c r="P6042" s="5"/>
      <c r="Q6042" s="5"/>
      <c r="R6042" s="5"/>
      <c r="S6042" s="5"/>
    </row>
    <row r="6043">
      <c r="A6043" s="5">
        <f>IFERROR(__xludf.DUMMYFUNCTION("""COMPUTED_VALUE"""),30722.0)</f>
        <v>30722</v>
      </c>
      <c r="B6043" s="5" t="str">
        <f>IFERROR(__xludf.DUMMYFUNCTION("""COMPUTED_VALUE"""),"هیأت دانشجویی")</f>
        <v>هیأت دانشجویی</v>
      </c>
      <c r="C6043" s="5" t="str">
        <f>IFERROR(__xludf.DUMMYFUNCTION("""COMPUTED_VALUE"""),"زوارالزهرا(س) / حضرت علی اصغر(ع)")</f>
        <v>زوارالزهرا(س) / حضرت علی اصغر(ع)</v>
      </c>
      <c r="D6043" s="5" t="str">
        <f>IFERROR(__xludf.DUMMYFUNCTION("""COMPUTED_VALUE"""),"اصفهان ")</f>
        <v>اصفهان </v>
      </c>
      <c r="E6043" s="5" t="str">
        <f>IFERROR(__xludf.DUMMYFUNCTION("""COMPUTED_VALUE"""),"اصفهان ")</f>
        <v>اصفهان </v>
      </c>
      <c r="F6043" s="5"/>
      <c r="G6043" s="5"/>
      <c r="H6043" s="6" t="str">
        <f>IFERROR(__xludf.DUMMYFUNCTION("""COMPUTED_VALUE"""),"https://www.instagram.com/zovaralzahraesf")</f>
        <v>https://www.instagram.com/zovaralzahraesf</v>
      </c>
      <c r="I6043" s="6" t="str">
        <f>IFERROR(__xludf.DUMMYFUNCTION("""COMPUTED_VALUE"""),"https://t.me/zovaralzahraesf")</f>
        <v>https://t.me/zovaralzahraesf</v>
      </c>
      <c r="J6043" s="6" t="str">
        <f>IFERROR(__xludf.DUMMYFUNCTION("""COMPUTED_VALUE"""),"https://eitaa.com/zovaralzahraesf")</f>
        <v>https://eitaa.com/zovaralzahraesf</v>
      </c>
      <c r="K6043" s="5"/>
      <c r="L6043" s="5"/>
      <c r="M6043" s="5"/>
      <c r="N6043" s="5"/>
      <c r="O6043" s="5"/>
      <c r="P6043" s="5"/>
      <c r="Q6043" s="5"/>
      <c r="R6043" s="5"/>
      <c r="S6043" s="5"/>
    </row>
    <row r="6044">
      <c r="A6044" s="5">
        <f>IFERROR(__xludf.DUMMYFUNCTION("""COMPUTED_VALUE"""),30729.0)</f>
        <v>30729</v>
      </c>
      <c r="B6044" s="5" t="str">
        <f>IFERROR(__xludf.DUMMYFUNCTION("""COMPUTED_VALUE"""),"هیأت")</f>
        <v>هیأت</v>
      </c>
      <c r="C6044" s="5" t="str">
        <f>IFERROR(__xludf.DUMMYFUNCTION("""COMPUTED_VALUE"""),"مرکز فرهنگی آینه ، هیات رواق الحسین (ع)")</f>
        <v>مرکز فرهنگی آینه ، هیات رواق الحسین (ع)</v>
      </c>
      <c r="D6044" s="5" t="str">
        <f>IFERROR(__xludf.DUMMYFUNCTION("""COMPUTED_VALUE"""),"اصفهان ")</f>
        <v>اصفهان </v>
      </c>
      <c r="E6044" s="5" t="str">
        <f>IFERROR(__xludf.DUMMYFUNCTION("""COMPUTED_VALUE"""),"اصفهان ")</f>
        <v>اصفهان </v>
      </c>
      <c r="F6044" s="5"/>
      <c r="G6044" s="5"/>
      <c r="H6044" s="5"/>
      <c r="I6044" s="5"/>
      <c r="J6044" s="6" t="str">
        <f>IFERROR(__xludf.DUMMYFUNCTION("""COMPUTED_VALUE"""),"https://eitaa.com/ravagholhosein")</f>
        <v>https://eitaa.com/ravagholhosein</v>
      </c>
      <c r="K6044" s="5"/>
      <c r="L6044" s="5"/>
      <c r="M6044" s="5"/>
      <c r="N6044" s="5"/>
      <c r="O6044" s="5"/>
      <c r="P6044" s="5"/>
      <c r="Q6044" s="5"/>
      <c r="R6044" s="5"/>
      <c r="S6044" s="5"/>
    </row>
    <row r="6045">
      <c r="A6045" s="5">
        <f>IFERROR(__xludf.DUMMYFUNCTION("""COMPUTED_VALUE"""),30731.0)</f>
        <v>30731</v>
      </c>
      <c r="B6045" s="5" t="str">
        <f>IFERROR(__xludf.DUMMYFUNCTION("""COMPUTED_VALUE"""),"هیأت")</f>
        <v>هیأت</v>
      </c>
      <c r="C6045" s="5" t="str">
        <f>IFERROR(__xludf.DUMMYFUNCTION("""COMPUTED_VALUE"""),"امام رضا (ع)")</f>
        <v>امام رضا (ع)</v>
      </c>
      <c r="D6045" s="5" t="str">
        <f>IFERROR(__xludf.DUMMYFUNCTION("""COMPUTED_VALUE"""),"اصفهان ")</f>
        <v>اصفهان </v>
      </c>
      <c r="E6045" s="5" t="str">
        <f>IFERROR(__xludf.DUMMYFUNCTION("""COMPUTED_VALUE"""),"لنجان")</f>
        <v>لنجان</v>
      </c>
      <c r="F6045" s="5"/>
      <c r="G6045" s="5"/>
      <c r="H6045" s="6" t="str">
        <f>IFERROR(__xludf.DUMMYFUNCTION("""COMPUTED_VALUE"""),"https://www.instagram.com/darolkhadem.ir")</f>
        <v>https://www.instagram.com/darolkhadem.ir</v>
      </c>
      <c r="I6045" s="5"/>
      <c r="J6045" s="6" t="str">
        <f>IFERROR(__xludf.DUMMYFUNCTION("""COMPUTED_VALUE"""),"https://eitaa.com/mokeb_emamreza")</f>
        <v>https://eitaa.com/mokeb_emamreza</v>
      </c>
      <c r="K6045" s="5"/>
      <c r="L6045" s="5"/>
      <c r="M6045" s="5"/>
      <c r="N6045" s="5"/>
      <c r="O6045" s="5"/>
      <c r="P6045" s="5"/>
      <c r="Q6045" s="5"/>
      <c r="R6045" s="5"/>
      <c r="S6045" s="5"/>
    </row>
    <row r="6046">
      <c r="A6046" s="5">
        <f>IFERROR(__xludf.DUMMYFUNCTION("""COMPUTED_VALUE"""),30893.0)</f>
        <v>30893</v>
      </c>
      <c r="B6046" s="5" t="str">
        <f>IFERROR(__xludf.DUMMYFUNCTION("""COMPUTED_VALUE"""),"هیأت")</f>
        <v>هیأت</v>
      </c>
      <c r="C6046" s="5" t="str">
        <f>IFERROR(__xludf.DUMMYFUNCTION("""COMPUTED_VALUE"""),"متوسلین حضرت زهرا (س)")</f>
        <v>متوسلین حضرت زهرا (س)</v>
      </c>
      <c r="D6046" s="5" t="str">
        <f>IFERROR(__xludf.DUMMYFUNCTION("""COMPUTED_VALUE"""),"اصفهان ")</f>
        <v>اصفهان </v>
      </c>
      <c r="E6046" s="5" t="str">
        <f>IFERROR(__xludf.DUMMYFUNCTION("""COMPUTED_VALUE"""),"شاهین شهر")</f>
        <v>شاهین شهر</v>
      </c>
      <c r="F6046" s="5"/>
      <c r="G6046" s="5"/>
      <c r="H6046" s="6" t="str">
        <f>IFERROR(__xludf.DUMMYFUNCTION("""COMPUTED_VALUE"""),"https://www.instagram.com/yazahra_esf")</f>
        <v>https://www.instagram.com/yazahra_esf</v>
      </c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</row>
    <row r="6047">
      <c r="A6047" s="5">
        <f>IFERROR(__xludf.DUMMYFUNCTION("""COMPUTED_VALUE"""),30909.0)</f>
        <v>30909</v>
      </c>
      <c r="B6047" s="5" t="str">
        <f>IFERROR(__xludf.DUMMYFUNCTION("""COMPUTED_VALUE"""),"هیأت")</f>
        <v>هیأت</v>
      </c>
      <c r="C6047" s="5" t="str">
        <f>IFERROR(__xludf.DUMMYFUNCTION("""COMPUTED_VALUE"""),"حضرت رقیه")</f>
        <v>حضرت رقیه</v>
      </c>
      <c r="D6047" s="5" t="str">
        <f>IFERROR(__xludf.DUMMYFUNCTION("""COMPUTED_VALUE"""),"اصفهان ")</f>
        <v>اصفهان </v>
      </c>
      <c r="E6047" s="5" t="str">
        <f>IFERROR(__xludf.DUMMYFUNCTION("""COMPUTED_VALUE"""),"سمیرم")</f>
        <v>سمیرم</v>
      </c>
      <c r="F6047" s="5"/>
      <c r="G6047" s="5">
        <f>IFERROR(__xludf.DUMMYFUNCTION("""COMPUTED_VALUE"""),1.0)</f>
        <v>1</v>
      </c>
      <c r="H6047" s="6" t="str">
        <f>IFERROR(__xludf.DUMMYFUNCTION("""COMPUTED_VALUE"""),"https://www.instagram.com/heyate_hazrate_roqayeh")</f>
        <v>https://www.instagram.com/heyate_hazrate_roqayeh</v>
      </c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</row>
    <row r="6048">
      <c r="A6048" s="5">
        <f>IFERROR(__xludf.DUMMYFUNCTION("""COMPUTED_VALUE"""),30910.0)</f>
        <v>30910</v>
      </c>
      <c r="B6048" s="5" t="str">
        <f>IFERROR(__xludf.DUMMYFUNCTION("""COMPUTED_VALUE"""),"هیأت")</f>
        <v>هیأت</v>
      </c>
      <c r="C6048" s="5" t="str">
        <f>IFERROR(__xludf.DUMMYFUNCTION("""COMPUTED_VALUE"""),"شاهزاده قاسم بن الحسن (ع)")</f>
        <v>شاهزاده قاسم بن الحسن (ع)</v>
      </c>
      <c r="D6048" s="5" t="str">
        <f>IFERROR(__xludf.DUMMYFUNCTION("""COMPUTED_VALUE"""),"اصفهان ")</f>
        <v>اصفهان </v>
      </c>
      <c r="E6048" s="5" t="str">
        <f>IFERROR(__xludf.DUMMYFUNCTION("""COMPUTED_VALUE"""),"خور و بیابانک")</f>
        <v>خور و بیابانک</v>
      </c>
      <c r="F6048" s="5"/>
      <c r="G6048" s="5"/>
      <c r="H6048" s="6" t="str">
        <f>IFERROR(__xludf.DUMMYFUNCTION("""COMPUTED_VALUE"""),"https://www.instagram.com/nava.shahzadeh")</f>
        <v>https://www.instagram.com/nava.shahzadeh</v>
      </c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</row>
    <row r="6049">
      <c r="A6049" s="5">
        <f>IFERROR(__xludf.DUMMYFUNCTION("""COMPUTED_VALUE"""),30911.0)</f>
        <v>30911</v>
      </c>
      <c r="B6049" s="5" t="str">
        <f>IFERROR(__xludf.DUMMYFUNCTION("""COMPUTED_VALUE"""),"هیأت")</f>
        <v>هیأت</v>
      </c>
      <c r="C6049" s="5" t="str">
        <f>IFERROR(__xludf.DUMMYFUNCTION("""COMPUTED_VALUE"""),"رقیه بنت الحسین")</f>
        <v>رقیه بنت الحسین</v>
      </c>
      <c r="D6049" s="5" t="str">
        <f>IFERROR(__xludf.DUMMYFUNCTION("""COMPUTED_VALUE"""),"اصفهان ")</f>
        <v>اصفهان </v>
      </c>
      <c r="E6049" s="5" t="str">
        <f>IFERROR(__xludf.DUMMYFUNCTION("""COMPUTED_VALUE"""),"خور و بیابانک")</f>
        <v>خور و بیابانک</v>
      </c>
      <c r="F6049" s="5"/>
      <c r="G6049" s="5"/>
      <c r="H6049" s="6" t="str">
        <f>IFERROR(__xludf.DUMMYFUNCTION("""COMPUTED_VALUE"""),"https://www.instagram.com/ho_ya_roghayeh315")</f>
        <v>https://www.instagram.com/ho_ya_roghayeh315</v>
      </c>
      <c r="I6049" s="6" t="str">
        <f>IFERROR(__xludf.DUMMYFUNCTION("""COMPUTED_VALUE"""),"https://t.me/ho_ya_roghayeh315")</f>
        <v>https://t.me/ho_ya_roghayeh315</v>
      </c>
      <c r="J6049" s="5"/>
      <c r="K6049" s="5"/>
      <c r="L6049" s="5"/>
      <c r="M6049" s="5"/>
      <c r="N6049" s="5"/>
      <c r="O6049" s="5"/>
      <c r="P6049" s="5"/>
      <c r="Q6049" s="5"/>
      <c r="R6049" s="5"/>
      <c r="S6049" s="5"/>
    </row>
    <row r="6050">
      <c r="A6050" s="5">
        <f>IFERROR(__xludf.DUMMYFUNCTION("""COMPUTED_VALUE"""),30918.0)</f>
        <v>30918</v>
      </c>
      <c r="B6050" s="5" t="str">
        <f>IFERROR(__xludf.DUMMYFUNCTION("""COMPUTED_VALUE"""),"هیأت")</f>
        <v>هیأت</v>
      </c>
      <c r="C6050" s="5" t="str">
        <f>IFERROR(__xludf.DUMMYFUNCTION("""COMPUTED_VALUE"""),"حضرت علی اصغر (ع)")</f>
        <v>حضرت علی اصغر (ع)</v>
      </c>
      <c r="D6050" s="5" t="str">
        <f>IFERROR(__xludf.DUMMYFUNCTION("""COMPUTED_VALUE"""),"اصفهان ")</f>
        <v>اصفهان </v>
      </c>
      <c r="E6050" s="5" t="str">
        <f>IFERROR(__xludf.DUMMYFUNCTION("""COMPUTED_VALUE"""),"مبارکه")</f>
        <v>مبارکه</v>
      </c>
      <c r="F6050" s="5"/>
      <c r="G6050" s="5"/>
      <c r="H6050" s="6" t="str">
        <f>IFERROR(__xludf.DUMMYFUNCTION("""COMPUTED_VALUE"""),"https://www.instagram.com/ali_asghar_heit/")</f>
        <v>https://www.instagram.com/ali_asghar_heit/</v>
      </c>
      <c r="I6050" s="6" t="str">
        <f>IFERROR(__xludf.DUMMYFUNCTION("""COMPUTED_VALUE"""),"https://t.me/Ali_Asghar1396")</f>
        <v>https://t.me/Ali_Asghar1396</v>
      </c>
      <c r="J6050" s="5"/>
      <c r="K6050" s="5"/>
      <c r="L6050" s="5"/>
      <c r="M6050" s="5"/>
      <c r="N6050" s="5"/>
      <c r="O6050" s="5"/>
      <c r="P6050" s="5"/>
      <c r="Q6050" s="5"/>
      <c r="R6050" s="5"/>
      <c r="S6050" s="5"/>
    </row>
    <row r="6051">
      <c r="A6051" s="5">
        <f>IFERROR(__xludf.DUMMYFUNCTION("""COMPUTED_VALUE"""),30919.0)</f>
        <v>30919</v>
      </c>
      <c r="B6051" s="5" t="str">
        <f>IFERROR(__xludf.DUMMYFUNCTION("""COMPUTED_VALUE"""),"هیأت")</f>
        <v>هیأت</v>
      </c>
      <c r="C6051" s="5" t="str">
        <f>IFERROR(__xludf.DUMMYFUNCTION("""COMPUTED_VALUE"""),"هیت جوادالائمه(ع)")</f>
        <v>هیت جوادالائمه(ع)</v>
      </c>
      <c r="D6051" s="5" t="str">
        <f>IFERROR(__xludf.DUMMYFUNCTION("""COMPUTED_VALUE"""),"اصفهان ")</f>
        <v>اصفهان </v>
      </c>
      <c r="E6051" s="5" t="str">
        <f>IFERROR(__xludf.DUMMYFUNCTION("""COMPUTED_VALUE"""),"شاهین شهر و میمه")</f>
        <v>شاهین شهر و میمه</v>
      </c>
      <c r="F6051" s="5"/>
      <c r="G6051" s="5"/>
      <c r="H6051" s="5"/>
      <c r="I6051" s="5"/>
      <c r="J6051" s="6" t="str">
        <f>IFERROR(__xludf.DUMMYFUNCTION("""COMPUTED_VALUE"""),"https://eitaa.com/emamjavadhasanabadiha")</f>
        <v>https://eitaa.com/emamjavadhasanabadiha</v>
      </c>
      <c r="K6051" s="5"/>
      <c r="L6051" s="5"/>
      <c r="M6051" s="5"/>
      <c r="N6051" s="5"/>
      <c r="O6051" s="5"/>
      <c r="P6051" s="5"/>
      <c r="Q6051" s="5"/>
      <c r="R6051" s="5"/>
      <c r="S6051" s="5"/>
    </row>
    <row r="6052">
      <c r="A6052" s="5">
        <f>IFERROR(__xludf.DUMMYFUNCTION("""COMPUTED_VALUE"""),30920.0)</f>
        <v>30920</v>
      </c>
      <c r="B6052" s="5" t="str">
        <f>IFERROR(__xludf.DUMMYFUNCTION("""COMPUTED_VALUE"""),"هیأت")</f>
        <v>هیأت</v>
      </c>
      <c r="C6052" s="5" t="str">
        <f>IFERROR(__xludf.DUMMYFUNCTION("""COMPUTED_VALUE"""),"فرهنگی مذهبی عاشورائیان جوزدان")</f>
        <v>فرهنگی مذهبی عاشورائیان جوزدان</v>
      </c>
      <c r="D6052" s="5" t="str">
        <f>IFERROR(__xludf.DUMMYFUNCTION("""COMPUTED_VALUE"""),"اصفهان ")</f>
        <v>اصفهان </v>
      </c>
      <c r="E6052" s="5" t="str">
        <f>IFERROR(__xludf.DUMMYFUNCTION("""COMPUTED_VALUE"""),"نجف آباد")</f>
        <v>نجف آباد</v>
      </c>
      <c r="F6052" s="5"/>
      <c r="G6052" s="5"/>
      <c r="H6052" s="6" t="str">
        <f>IFERROR(__xludf.DUMMYFUNCTION("""COMPUTED_VALUE"""),"https://www.instagram.com/ashouraiyanjuzdan")</f>
        <v>https://www.instagram.com/ashouraiyanjuzdan</v>
      </c>
      <c r="I6052" s="5"/>
      <c r="J6052" s="5"/>
      <c r="K6052" s="5"/>
      <c r="L6052" s="5"/>
      <c r="M6052" s="5"/>
      <c r="N6052" s="5"/>
      <c r="O6052" s="5"/>
      <c r="P6052" s="5"/>
      <c r="Q6052" s="5"/>
      <c r="R6052" s="5"/>
      <c r="S6052" s="5"/>
    </row>
    <row r="6053">
      <c r="A6053" s="5">
        <f>IFERROR(__xludf.DUMMYFUNCTION("""COMPUTED_VALUE"""),30925.0)</f>
        <v>30925</v>
      </c>
      <c r="B6053" s="5" t="str">
        <f>IFERROR(__xludf.DUMMYFUNCTION("""COMPUTED_VALUE"""),"هیأت")</f>
        <v>هیأت</v>
      </c>
      <c r="C6053" s="5" t="str">
        <f>IFERROR(__xludf.DUMMYFUNCTION("""COMPUTED_VALUE"""),"حضرت اباالفضل (ع)")</f>
        <v>حضرت اباالفضل (ع)</v>
      </c>
      <c r="D6053" s="5" t="str">
        <f>IFERROR(__xludf.DUMMYFUNCTION("""COMPUTED_VALUE"""),"اصفهان ")</f>
        <v>اصفهان </v>
      </c>
      <c r="E6053" s="5" t="str">
        <f>IFERROR(__xludf.DUMMYFUNCTION("""COMPUTED_VALUE"""),"آران وبیدگل")</f>
        <v>آران وبیدگل</v>
      </c>
      <c r="F6053" s="5"/>
      <c r="G6053" s="5"/>
      <c r="H6053" s="5"/>
      <c r="I6053" s="6" t="str">
        <f>IFERROR(__xludf.DUMMYFUNCTION("""COMPUTED_VALUE"""),"https://t.me/HeiatAbalfazl_esf")</f>
        <v>https://t.me/HeiatAbalfazl_esf</v>
      </c>
      <c r="J6053" s="5"/>
      <c r="K6053" s="5"/>
      <c r="L6053" s="5"/>
      <c r="M6053" s="5"/>
      <c r="N6053" s="5"/>
      <c r="O6053" s="5"/>
      <c r="P6053" s="5"/>
      <c r="Q6053" s="5"/>
      <c r="R6053" s="5"/>
      <c r="S6053" s="5"/>
    </row>
    <row r="6054">
      <c r="A6054" s="5">
        <f>IFERROR(__xludf.DUMMYFUNCTION("""COMPUTED_VALUE"""),30926.0)</f>
        <v>30926</v>
      </c>
      <c r="B6054" s="5" t="str">
        <f>IFERROR(__xludf.DUMMYFUNCTION("""COMPUTED_VALUE"""),"هیأت")</f>
        <v>هیأت</v>
      </c>
      <c r="C6054" s="5" t="str">
        <f>IFERROR(__xludf.DUMMYFUNCTION("""COMPUTED_VALUE"""),"هیات مذهبی ابا عبدالله الحسین کوی رهن")</f>
        <v>هیات مذهبی ابا عبدالله الحسین کوی رهن</v>
      </c>
      <c r="D6054" s="5" t="str">
        <f>IFERROR(__xludf.DUMMYFUNCTION("""COMPUTED_VALUE"""),"اصفهان ")</f>
        <v>اصفهان </v>
      </c>
      <c r="E6054" s="5" t="str">
        <f>IFERROR(__xludf.DUMMYFUNCTION("""COMPUTED_VALUE"""),"نطنز")</f>
        <v>نطنز</v>
      </c>
      <c r="F6054" s="5"/>
      <c r="G6054" s="5"/>
      <c r="H6054" s="6" t="str">
        <f>IFERROR(__xludf.DUMMYFUNCTION("""COMPUTED_VALUE"""),"https://www.instagram.com/heyat_abaabdeallhalhossein")</f>
        <v>https://www.instagram.com/heyat_abaabdeallhalhossein</v>
      </c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</row>
    <row r="6055">
      <c r="A6055" s="5">
        <f>IFERROR(__xludf.DUMMYFUNCTION("""COMPUTED_VALUE"""),30927.0)</f>
        <v>30927</v>
      </c>
      <c r="B6055" s="5" t="str">
        <f>IFERROR(__xludf.DUMMYFUNCTION("""COMPUTED_VALUE"""),"هیأت")</f>
        <v>هیأت</v>
      </c>
      <c r="C6055" s="5" t="str">
        <f>IFERROR(__xludf.DUMMYFUNCTION("""COMPUTED_VALUE"""),"رزمندگان اسلام (منطقه هفتصد دستگاه)")</f>
        <v>رزمندگان اسلام (منطقه هفتصد دستگاه)</v>
      </c>
      <c r="D6055" s="5" t="str">
        <f>IFERROR(__xludf.DUMMYFUNCTION("""COMPUTED_VALUE"""),"اصفهان ")</f>
        <v>اصفهان </v>
      </c>
      <c r="E6055" s="5" t="str">
        <f>IFERROR(__xludf.DUMMYFUNCTION("""COMPUTED_VALUE"""),"خمینی شهر")</f>
        <v>خمینی شهر</v>
      </c>
      <c r="F6055" s="5"/>
      <c r="G6055" s="5"/>
      <c r="H6055" s="6" t="str">
        <f>IFERROR(__xludf.DUMMYFUNCTION("""COMPUTED_VALUE"""),"https://www.instagram.com/razmandeganeslam")</f>
        <v>https://www.instagram.com/razmandeganeslam</v>
      </c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</row>
    <row r="6056">
      <c r="A6056" s="5">
        <f>IFERROR(__xludf.DUMMYFUNCTION("""COMPUTED_VALUE"""),30928.0)</f>
        <v>30928</v>
      </c>
      <c r="B6056" s="5" t="str">
        <f>IFERROR(__xludf.DUMMYFUNCTION("""COMPUTED_VALUE"""),"هیأت")</f>
        <v>هیأت</v>
      </c>
      <c r="C6056" s="5" t="str">
        <f>IFERROR(__xludf.DUMMYFUNCTION("""COMPUTED_VALUE"""),"مکتب الحیدر (ع)")</f>
        <v>مکتب الحیدر (ع)</v>
      </c>
      <c r="D6056" s="5" t="str">
        <f>IFERROR(__xludf.DUMMYFUNCTION("""COMPUTED_VALUE"""),"اصفهان ")</f>
        <v>اصفهان </v>
      </c>
      <c r="E6056" s="5" t="str">
        <f>IFERROR(__xludf.DUMMYFUNCTION("""COMPUTED_VALUE"""),"نجف آباد")</f>
        <v>نجف آباد</v>
      </c>
      <c r="F6056" s="5"/>
      <c r="G6056" s="5">
        <f>IFERROR(__xludf.DUMMYFUNCTION("""COMPUTED_VALUE"""),1.0)</f>
        <v>1</v>
      </c>
      <c r="H6056" s="6" t="str">
        <f>IFERROR(__xludf.DUMMYFUNCTION("""COMPUTED_VALUE"""),"https://www.instagram.com/maktabol_heydar")</f>
        <v>https://www.instagram.com/maktabol_heydar</v>
      </c>
      <c r="I6056" s="5"/>
      <c r="J6056" s="5"/>
      <c r="K6056" s="5"/>
      <c r="L6056" s="5"/>
      <c r="M6056" s="5"/>
      <c r="N6056" s="5"/>
      <c r="O6056" s="5"/>
      <c r="P6056" s="5"/>
      <c r="Q6056" s="5"/>
      <c r="R6056" s="5"/>
      <c r="S6056" s="5"/>
    </row>
    <row r="6057">
      <c r="A6057" s="5">
        <f>IFERROR(__xludf.DUMMYFUNCTION("""COMPUTED_VALUE"""),30987.0)</f>
        <v>30987</v>
      </c>
      <c r="B6057" s="5" t="str">
        <f>IFERROR(__xludf.DUMMYFUNCTION("""COMPUTED_VALUE"""),"هیأت")</f>
        <v>هیأت</v>
      </c>
      <c r="C6057" s="5" t="str">
        <f>IFERROR(__xludf.DUMMYFUNCTION("""COMPUTED_VALUE"""),"حضرت رقیه""س")</f>
        <v>حضرت رقیه"س</v>
      </c>
      <c r="D6057" s="5" t="str">
        <f>IFERROR(__xludf.DUMMYFUNCTION("""COMPUTED_VALUE"""),"اصفهان ")</f>
        <v>اصفهان </v>
      </c>
      <c r="E6057" s="5" t="str">
        <f>IFERROR(__xludf.DUMMYFUNCTION("""COMPUTED_VALUE"""),"نجف آباد")</f>
        <v>نجف آباد</v>
      </c>
      <c r="F6057" s="5"/>
      <c r="G6057" s="5"/>
      <c r="H6057" s="6" t="str">
        <f>IFERROR(__xludf.DUMMYFUNCTION("""COMPUTED_VALUE"""),"https://www.instagram.com/hazrat_roghaeh_esfahan")</f>
        <v>https://www.instagram.com/hazrat_roghaeh_esfahan</v>
      </c>
      <c r="I6057" s="5"/>
      <c r="J6057" s="5"/>
      <c r="K6057" s="5"/>
      <c r="L6057" s="5"/>
      <c r="M6057" s="5"/>
      <c r="N6057" s="5"/>
      <c r="O6057" s="5"/>
      <c r="P6057" s="5"/>
      <c r="Q6057" s="5"/>
      <c r="R6057" s="5"/>
      <c r="S6057" s="5"/>
    </row>
    <row r="6058">
      <c r="A6058" s="5">
        <f>IFERROR(__xludf.DUMMYFUNCTION("""COMPUTED_VALUE"""),31004.0)</f>
        <v>31004</v>
      </c>
      <c r="B6058" s="5" t="str">
        <f>IFERROR(__xludf.DUMMYFUNCTION("""COMPUTED_VALUE"""),"هیأت دانشجویی")</f>
        <v>هیأت دانشجویی</v>
      </c>
      <c r="C6058" s="5" t="str">
        <f>IFERROR(__xludf.DUMMYFUNCTION("""COMPUTED_VALUE"""),"قرآن و اهل بیت (ع)")</f>
        <v>قرآن و اهل بیت (ع)</v>
      </c>
      <c r="D6058" s="5" t="str">
        <f>IFERROR(__xludf.DUMMYFUNCTION("""COMPUTED_VALUE"""),"اصفهان ")</f>
        <v>اصفهان </v>
      </c>
      <c r="E6058" s="5" t="str">
        <f>IFERROR(__xludf.DUMMYFUNCTION("""COMPUTED_VALUE"""),"خمینی شهر")</f>
        <v>خمینی شهر</v>
      </c>
      <c r="F6058" s="5"/>
      <c r="G6058" s="5"/>
      <c r="H6058" s="5"/>
      <c r="I6058" s="5"/>
      <c r="J6058" s="6" t="str">
        <f>IFERROR(__xludf.DUMMYFUNCTION("""COMPUTED_VALUE"""),"https://eitaa.com/heyat_quran_ahlebeyt")</f>
        <v>https://eitaa.com/heyat_quran_ahlebeyt</v>
      </c>
      <c r="K6058" s="5"/>
      <c r="L6058" s="5"/>
      <c r="M6058" s="5"/>
      <c r="N6058" s="5"/>
      <c r="O6058" s="5"/>
      <c r="P6058" s="5"/>
      <c r="Q6058" s="5"/>
      <c r="R6058" s="5"/>
      <c r="S6058" s="5"/>
    </row>
    <row r="6059">
      <c r="A6059" s="5">
        <f>IFERROR(__xludf.DUMMYFUNCTION("""COMPUTED_VALUE"""),31025.0)</f>
        <v>31025</v>
      </c>
      <c r="B6059" s="5" t="str">
        <f>IFERROR(__xludf.DUMMYFUNCTION("""COMPUTED_VALUE"""),"هیأت")</f>
        <v>هیأت</v>
      </c>
      <c r="C6059" s="5" t="str">
        <f>IFERROR(__xludf.DUMMYFUNCTION("""COMPUTED_VALUE"""),"ریحانه الحسین (ع)")</f>
        <v>ریحانه الحسین (ع)</v>
      </c>
      <c r="D6059" s="5" t="str">
        <f>IFERROR(__xludf.DUMMYFUNCTION("""COMPUTED_VALUE"""),"اصفهان ")</f>
        <v>اصفهان </v>
      </c>
      <c r="E6059" s="5" t="str">
        <f>IFERROR(__xludf.DUMMYFUNCTION("""COMPUTED_VALUE"""),"اصفهان ")</f>
        <v>اصفهان </v>
      </c>
      <c r="F6059" s="5"/>
      <c r="G6059" s="5"/>
      <c r="H6059" s="5"/>
      <c r="I6059" s="5"/>
      <c r="J6059" s="6" t="str">
        <f>IFERROR(__xludf.DUMMYFUNCTION("""COMPUTED_VALUE"""),"https://eitaa.com/reyhanatollhosseinir")</f>
        <v>https://eitaa.com/reyhanatollhosseinir</v>
      </c>
      <c r="K6059" s="5"/>
      <c r="L6059" s="5"/>
      <c r="M6059" s="5"/>
      <c r="N6059" s="5"/>
      <c r="O6059" s="5"/>
      <c r="P6059" s="5"/>
      <c r="Q6059" s="5"/>
      <c r="R6059" s="5"/>
      <c r="S6059" s="5"/>
    </row>
    <row r="6060">
      <c r="A6060" s="5">
        <f>IFERROR(__xludf.DUMMYFUNCTION("""COMPUTED_VALUE"""),31049.0)</f>
        <v>31049</v>
      </c>
      <c r="B6060" s="5" t="str">
        <f>IFERROR(__xludf.DUMMYFUNCTION("""COMPUTED_VALUE"""),"هیأت")</f>
        <v>هیأت</v>
      </c>
      <c r="C6060" s="5" t="str">
        <f>IFERROR(__xludf.DUMMYFUNCTION("""COMPUTED_VALUE"""),"محبان علی بن ابیطالب(ع) روستای اردیب")</f>
        <v>محبان علی بن ابیطالب(ع) روستای اردیب</v>
      </c>
      <c r="D6060" s="5" t="str">
        <f>IFERROR(__xludf.DUMMYFUNCTION("""COMPUTED_VALUE"""),"اصفهان ")</f>
        <v>اصفهان </v>
      </c>
      <c r="E6060" s="5" t="str">
        <f>IFERROR(__xludf.DUMMYFUNCTION("""COMPUTED_VALUE"""),"خور و بیابانک")</f>
        <v>خور و بیابانک</v>
      </c>
      <c r="F6060" s="5"/>
      <c r="G6060" s="5"/>
      <c r="H6060" s="5"/>
      <c r="I6060" s="5"/>
      <c r="J6060" s="6" t="str">
        <f>IFERROR(__xludf.DUMMYFUNCTION("""COMPUTED_VALUE"""),"https://eitaa.com/mohibanaliibnabitalib110")</f>
        <v>https://eitaa.com/mohibanaliibnabitalib110</v>
      </c>
      <c r="K6060" s="5"/>
      <c r="L6060" s="5"/>
      <c r="M6060" s="5"/>
      <c r="N6060" s="5"/>
      <c r="O6060" s="5"/>
      <c r="P6060" s="5"/>
      <c r="Q6060" s="5"/>
      <c r="R6060" s="5"/>
      <c r="S6060" s="5"/>
    </row>
    <row r="6061">
      <c r="A6061" s="5">
        <f>IFERROR(__xludf.DUMMYFUNCTION("""COMPUTED_VALUE"""),31070.0)</f>
        <v>31070</v>
      </c>
      <c r="B6061" s="5" t="str">
        <f>IFERROR(__xludf.DUMMYFUNCTION("""COMPUTED_VALUE"""),"هیأت")</f>
        <v>هیأت</v>
      </c>
      <c r="C6061" s="5" t="str">
        <f>IFERROR(__xludf.DUMMYFUNCTION("""COMPUTED_VALUE"""),"محبین اباعبدالله الحسین (ع)")</f>
        <v>محبین اباعبدالله الحسین (ع)</v>
      </c>
      <c r="D6061" s="5" t="str">
        <f>IFERROR(__xludf.DUMMYFUNCTION("""COMPUTED_VALUE"""),"اصفهان ")</f>
        <v>اصفهان </v>
      </c>
      <c r="E6061" s="5" t="str">
        <f>IFERROR(__xludf.DUMMYFUNCTION("""COMPUTED_VALUE"""),"شاهین شهر")</f>
        <v>شاهین شهر</v>
      </c>
      <c r="F6061" s="5"/>
      <c r="G6061" s="5"/>
      <c r="H6061" s="6" t="str">
        <f>IFERROR(__xludf.DUMMYFUNCTION("""COMPUTED_VALUE"""),"https://www.instagram.com/mohebanhosein_esf")</f>
        <v>https://www.instagram.com/mohebanhosein_esf</v>
      </c>
      <c r="I6061" s="6" t="str">
        <f>IFERROR(__xludf.DUMMYFUNCTION("""COMPUTED_VALUE"""),"https://t.me/mohebanhosein_esf")</f>
        <v>https://t.me/mohebanhosein_esf</v>
      </c>
      <c r="J6061" s="5"/>
      <c r="K6061" s="5"/>
      <c r="L6061" s="5"/>
      <c r="M6061" s="5"/>
      <c r="N6061" s="5"/>
      <c r="O6061" s="5"/>
      <c r="P6061" s="5"/>
      <c r="Q6061" s="5"/>
      <c r="R6061" s="5"/>
      <c r="S6061" s="5"/>
    </row>
    <row r="6062">
      <c r="A6062" s="5">
        <f>IFERROR(__xludf.DUMMYFUNCTION("""COMPUTED_VALUE"""),31588.0)</f>
        <v>31588</v>
      </c>
      <c r="B6062" s="5" t="str">
        <f>IFERROR(__xludf.DUMMYFUNCTION("""COMPUTED_VALUE"""),"هیأت")</f>
        <v>هیأت</v>
      </c>
      <c r="C6062" s="5" t="str">
        <f>IFERROR(__xludf.DUMMYFUNCTION("""COMPUTED_VALUE"""),"منتظر ان مهدی")</f>
        <v>منتظر ان مهدی</v>
      </c>
      <c r="D6062" s="5" t="str">
        <f>IFERROR(__xludf.DUMMYFUNCTION("""COMPUTED_VALUE"""),"اصفهان ")</f>
        <v>اصفهان </v>
      </c>
      <c r="E6062" s="5" t="str">
        <f>IFERROR(__xludf.DUMMYFUNCTION("""COMPUTED_VALUE"""),"سمیرم")</f>
        <v>سمیرم</v>
      </c>
      <c r="F6062" s="5"/>
      <c r="G6062" s="5"/>
      <c r="H6062" s="5"/>
      <c r="I6062" s="5"/>
      <c r="J6062" s="6" t="str">
        <f>IFERROR(__xludf.DUMMYFUNCTION("""COMPUTED_VALUE"""),"https://eitaa.com/Montazeran_esf")</f>
        <v>https://eitaa.com/Montazeran_esf</v>
      </c>
      <c r="K6062" s="5"/>
      <c r="L6062" s="5"/>
      <c r="M6062" s="5"/>
      <c r="N6062" s="5"/>
      <c r="O6062" s="5"/>
      <c r="P6062" s="5"/>
      <c r="Q6062" s="5"/>
      <c r="R6062" s="5"/>
      <c r="S6062" s="5"/>
    </row>
    <row r="6063">
      <c r="A6063" s="5">
        <f>IFERROR(__xludf.DUMMYFUNCTION("""COMPUTED_VALUE"""),31589.0)</f>
        <v>31589</v>
      </c>
      <c r="B6063" s="5" t="str">
        <f>IFERROR(__xludf.DUMMYFUNCTION("""COMPUTED_VALUE"""),"هیأت")</f>
        <v>هیأت</v>
      </c>
      <c r="C6063" s="5" t="str">
        <f>IFERROR(__xludf.DUMMYFUNCTION("""COMPUTED_VALUE"""),"حضرت علی اصغر")</f>
        <v>حضرت علی اصغر</v>
      </c>
      <c r="D6063" s="5" t="str">
        <f>IFERROR(__xludf.DUMMYFUNCTION("""COMPUTED_VALUE"""),"اصفهان ")</f>
        <v>اصفهان </v>
      </c>
      <c r="E6063" s="5" t="str">
        <f>IFERROR(__xludf.DUMMYFUNCTION("""COMPUTED_VALUE"""),"برخوار")</f>
        <v>برخوار</v>
      </c>
      <c r="F6063" s="5"/>
      <c r="G6063" s="5">
        <f>IFERROR(__xludf.DUMMYFUNCTION("""COMPUTED_VALUE"""),1.0)</f>
        <v>1</v>
      </c>
      <c r="H6063" s="6" t="str">
        <f>IFERROR(__xludf.DUMMYFUNCTION("""COMPUTED_VALUE"""),"https://www.instagram.com/heiataliasghar")</f>
        <v>https://www.instagram.com/heiataliasghar</v>
      </c>
      <c r="I6063" s="5"/>
      <c r="J6063" s="5"/>
      <c r="K6063" s="5"/>
      <c r="L6063" s="5"/>
      <c r="M6063" s="5"/>
      <c r="N6063" s="5"/>
      <c r="O6063" s="5"/>
      <c r="P6063" s="5"/>
      <c r="Q6063" s="5"/>
      <c r="R6063" s="5"/>
      <c r="S6063" s="5"/>
    </row>
    <row r="6064">
      <c r="A6064" s="5">
        <f>IFERROR(__xludf.DUMMYFUNCTION("""COMPUTED_VALUE"""),31591.0)</f>
        <v>31591</v>
      </c>
      <c r="B6064" s="5" t="str">
        <f>IFERROR(__xludf.DUMMYFUNCTION("""COMPUTED_VALUE"""),"هیأت")</f>
        <v>هیأت</v>
      </c>
      <c r="C6064" s="5" t="str">
        <f>IFERROR(__xludf.DUMMYFUNCTION("""COMPUTED_VALUE"""),"سادات بنی الزهرا")</f>
        <v>سادات بنی الزهرا</v>
      </c>
      <c r="D6064" s="5" t="str">
        <f>IFERROR(__xludf.DUMMYFUNCTION("""COMPUTED_VALUE"""),"اصفهان ")</f>
        <v>اصفهان </v>
      </c>
      <c r="E6064" s="5" t="str">
        <f>IFERROR(__xludf.DUMMYFUNCTION("""COMPUTED_VALUE"""),"دهاقان")</f>
        <v>دهاقان</v>
      </c>
      <c r="F6064" s="5"/>
      <c r="G6064" s="5"/>
      <c r="H6064" s="6" t="str">
        <f>IFERROR(__xludf.DUMMYFUNCTION("""COMPUTED_VALUE"""),"https://www.instagram.com/bane_zzahra")</f>
        <v>https://www.instagram.com/bane_zzahra</v>
      </c>
      <c r="I6064" s="5"/>
      <c r="J6064" s="5"/>
      <c r="K6064" s="5"/>
      <c r="L6064" s="5"/>
      <c r="M6064" s="5"/>
      <c r="N6064" s="5"/>
      <c r="O6064" s="5"/>
      <c r="P6064" s="5"/>
      <c r="Q6064" s="5"/>
      <c r="R6064" s="5"/>
      <c r="S6064" s="5"/>
    </row>
    <row r="6065">
      <c r="A6065" s="5">
        <f>IFERROR(__xludf.DUMMYFUNCTION("""COMPUTED_VALUE"""),31593.0)</f>
        <v>31593</v>
      </c>
      <c r="B6065" s="5" t="str">
        <f>IFERROR(__xludf.DUMMYFUNCTION("""COMPUTED_VALUE"""),"هیأت")</f>
        <v>هیأت</v>
      </c>
      <c r="C6065" s="5" t="str">
        <f>IFERROR(__xludf.DUMMYFUNCTION("""COMPUTED_VALUE"""),"هیات جوانان علی اکبر امام حسین کوی امام سمیرم")</f>
        <v>هیات جوانان علی اکبر امام حسین کوی امام سمیرم</v>
      </c>
      <c r="D6065" s="5" t="str">
        <f>IFERROR(__xludf.DUMMYFUNCTION("""COMPUTED_VALUE"""),"اصفهان ")</f>
        <v>اصفهان </v>
      </c>
      <c r="E6065" s="5" t="str">
        <f>IFERROR(__xludf.DUMMYFUNCTION("""COMPUTED_VALUE"""),"سمیرم")</f>
        <v>سمیرم</v>
      </c>
      <c r="F6065" s="5"/>
      <c r="G6065" s="5"/>
      <c r="H6065" s="6" t="str">
        <f>IFERROR(__xludf.DUMMYFUNCTION("""COMPUTED_VALUE"""),"https://www.instagram.com/heyaat_javananaliakbar")</f>
        <v>https://www.instagram.com/heyaat_javananaliakbar</v>
      </c>
      <c r="I6065" s="5"/>
      <c r="J6065" s="5"/>
      <c r="K6065" s="5"/>
      <c r="L6065" s="5"/>
      <c r="M6065" s="5"/>
      <c r="N6065" s="5"/>
      <c r="O6065" s="5"/>
      <c r="P6065" s="5"/>
      <c r="Q6065" s="5"/>
      <c r="R6065" s="5"/>
      <c r="S6065" s="5"/>
    </row>
    <row r="6066">
      <c r="A6066" s="5">
        <f>IFERROR(__xludf.DUMMYFUNCTION("""COMPUTED_VALUE"""),31595.0)</f>
        <v>31595</v>
      </c>
      <c r="B6066" s="5" t="str">
        <f>IFERROR(__xludf.DUMMYFUNCTION("""COMPUTED_VALUE"""),"هیأت")</f>
        <v>هیأت</v>
      </c>
      <c r="C6066" s="5" t="str">
        <f>IFERROR(__xludf.DUMMYFUNCTION("""COMPUTED_VALUE"""),"محبان اهل البیت")</f>
        <v>محبان اهل البیت</v>
      </c>
      <c r="D6066" s="5" t="str">
        <f>IFERROR(__xludf.DUMMYFUNCTION("""COMPUTED_VALUE"""),"اصفهان ")</f>
        <v>اصفهان </v>
      </c>
      <c r="E6066" s="5" t="str">
        <f>IFERROR(__xludf.DUMMYFUNCTION("""COMPUTED_VALUE"""),"برخوار")</f>
        <v>برخوار</v>
      </c>
      <c r="F6066" s="5"/>
      <c r="G6066" s="5"/>
      <c r="H6066" s="6" t="str">
        <f>IFERROR(__xludf.DUMMYFUNCTION("""COMPUTED_VALUE"""),"https://www.instagram.com/mohebaneahlebeyt")</f>
        <v>https://www.instagram.com/mohebaneahlebeyt</v>
      </c>
      <c r="I6066" s="5"/>
      <c r="J6066" s="6" t="str">
        <f>IFERROR(__xludf.DUMMYFUNCTION("""COMPUTED_VALUE"""),"https://eitaa.com/mohebanahlebeyt8")</f>
        <v>https://eitaa.com/mohebanahlebeyt8</v>
      </c>
      <c r="K6066" s="5"/>
      <c r="L6066" s="5"/>
      <c r="M6066" s="5"/>
      <c r="N6066" s="5"/>
      <c r="O6066" s="5"/>
      <c r="P6066" s="5"/>
      <c r="Q6066" s="5"/>
      <c r="R6066" s="5"/>
      <c r="S6066" s="5"/>
    </row>
    <row r="6067">
      <c r="A6067" s="5">
        <f>IFERROR(__xludf.DUMMYFUNCTION("""COMPUTED_VALUE"""),31665.0)</f>
        <v>31665</v>
      </c>
      <c r="B6067" s="5" t="str">
        <f>IFERROR(__xludf.DUMMYFUNCTION("""COMPUTED_VALUE"""),"هیأت")</f>
        <v>هیأت</v>
      </c>
      <c r="C6067" s="5" t="str">
        <f>IFERROR(__xludf.DUMMYFUNCTION("""COMPUTED_VALUE"""),"رایه الزهرا (س)")</f>
        <v>رایه الزهرا (س)</v>
      </c>
      <c r="D6067" s="5" t="str">
        <f>IFERROR(__xludf.DUMMYFUNCTION("""COMPUTED_VALUE"""),"اصفهان ")</f>
        <v>اصفهان </v>
      </c>
      <c r="E6067" s="5" t="str">
        <f>IFERROR(__xludf.DUMMYFUNCTION("""COMPUTED_VALUE"""),"سده لنجان")</f>
        <v>سده لنجان</v>
      </c>
      <c r="F6067" s="5"/>
      <c r="G6067" s="5"/>
      <c r="H6067" s="5"/>
      <c r="I6067" s="5"/>
      <c r="J6067" s="6" t="str">
        <f>IFERROR(__xludf.DUMMYFUNCTION("""COMPUTED_VALUE"""),"https://eitaa.com/raayatozzahra1")</f>
        <v>https://eitaa.com/raayatozzahra1</v>
      </c>
      <c r="K6067" s="5"/>
      <c r="L6067" s="5"/>
      <c r="M6067" s="5"/>
      <c r="N6067" s="5"/>
      <c r="O6067" s="5"/>
      <c r="P6067" s="5"/>
      <c r="Q6067" s="5"/>
      <c r="R6067" s="5"/>
      <c r="S6067" s="5"/>
    </row>
    <row r="6068">
      <c r="A6068" s="5">
        <f>IFERROR(__xludf.DUMMYFUNCTION("""COMPUTED_VALUE"""),31666.0)</f>
        <v>31666</v>
      </c>
      <c r="B6068" s="5" t="str">
        <f>IFERROR(__xludf.DUMMYFUNCTION("""COMPUTED_VALUE"""),"مداح")</f>
        <v>مداح</v>
      </c>
      <c r="C6068" s="5" t="str">
        <f>IFERROR(__xludf.DUMMYFUNCTION("""COMPUTED_VALUE"""),"موسی بن جعفر (ع)")</f>
        <v>موسی بن جعفر (ع)</v>
      </c>
      <c r="D6068" s="5" t="str">
        <f>IFERROR(__xludf.DUMMYFUNCTION("""COMPUTED_VALUE"""),"اصفهان ")</f>
        <v>اصفهان </v>
      </c>
      <c r="E6068" s="5" t="str">
        <f>IFERROR(__xludf.DUMMYFUNCTION("""COMPUTED_VALUE"""),"فلاورجان")</f>
        <v>فلاورجان</v>
      </c>
      <c r="F6068" s="5"/>
      <c r="G6068" s="5">
        <f>IFERROR(__xludf.DUMMYFUNCTION("""COMPUTED_VALUE"""),1.0)</f>
        <v>1</v>
      </c>
      <c r="H6068" s="6" t="str">
        <f>IFERROR(__xludf.DUMMYFUNCTION("""COMPUTED_VALUE"""),"https://www.instagram.com/musabnejafar.esf")</f>
        <v>https://www.instagram.com/musabnejafar.esf</v>
      </c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</row>
    <row r="6069">
      <c r="A6069" s="5">
        <f>IFERROR(__xludf.DUMMYFUNCTION("""COMPUTED_VALUE"""),31723.0)</f>
        <v>31723</v>
      </c>
      <c r="B6069" s="5" t="str">
        <f>IFERROR(__xludf.DUMMYFUNCTION("""COMPUTED_VALUE"""),"هیأت")</f>
        <v>هیأت</v>
      </c>
      <c r="C6069" s="5" t="str">
        <f>IFERROR(__xludf.DUMMYFUNCTION("""COMPUTED_VALUE"""),"حضرت ابالفضل(ع)")</f>
        <v>حضرت ابالفضل(ع)</v>
      </c>
      <c r="D6069" s="5" t="str">
        <f>IFERROR(__xludf.DUMMYFUNCTION("""COMPUTED_VALUE"""),"اصفهان ")</f>
        <v>اصفهان </v>
      </c>
      <c r="E6069" s="5" t="str">
        <f>IFERROR(__xludf.DUMMYFUNCTION("""COMPUTED_VALUE"""),"اصفهان ")</f>
        <v>اصفهان </v>
      </c>
      <c r="F6069" s="5"/>
      <c r="G6069" s="5"/>
      <c r="H6069" s="6" t="str">
        <f>IFERROR(__xludf.DUMMYFUNCTION("""COMPUTED_VALUE"""),"https://www.instagram.com/heiatabalfazl_esf.ir")</f>
        <v>https://www.instagram.com/heiatabalfazl_esf.ir</v>
      </c>
      <c r="I6069" s="5"/>
      <c r="J6069" s="5"/>
      <c r="K6069" s="5"/>
      <c r="L6069" s="5"/>
      <c r="M6069" s="5"/>
      <c r="N6069" s="5"/>
      <c r="O6069" s="5"/>
      <c r="P6069" s="5"/>
      <c r="Q6069" s="5"/>
      <c r="R6069" s="5"/>
      <c r="S6069" s="5"/>
    </row>
    <row r="6070">
      <c r="A6070" s="5">
        <f>IFERROR(__xludf.DUMMYFUNCTION("""COMPUTED_VALUE"""),31724.0)</f>
        <v>31724</v>
      </c>
      <c r="B6070" s="5" t="str">
        <f>IFERROR(__xludf.DUMMYFUNCTION("""COMPUTED_VALUE"""),"هیأت")</f>
        <v>هیأت</v>
      </c>
      <c r="C6070" s="5" t="str">
        <f>IFERROR(__xludf.DUMMYFUNCTION("""COMPUTED_VALUE"""),"فرهنگی مذهبی ابوالفضل العباس")</f>
        <v>فرهنگی مذهبی ابوالفضل العباس</v>
      </c>
      <c r="D6070" s="5" t="str">
        <f>IFERROR(__xludf.DUMMYFUNCTION("""COMPUTED_VALUE"""),"اصفهان ")</f>
        <v>اصفهان </v>
      </c>
      <c r="E6070" s="5" t="str">
        <f>IFERROR(__xludf.DUMMYFUNCTION("""COMPUTED_VALUE"""),"سده لنجان")</f>
        <v>سده لنجان</v>
      </c>
      <c r="F6070" s="5"/>
      <c r="G6070" s="5"/>
      <c r="H6070" s="6" t="str">
        <f>IFERROR(__xludf.DUMMYFUNCTION("""COMPUTED_VALUE"""),"https://www.instagram.com/heiat_abolfazleabas")</f>
        <v>https://www.instagram.com/heiat_abolfazleabas</v>
      </c>
      <c r="I6070" s="5"/>
      <c r="J6070" s="6" t="str">
        <f>IFERROR(__xludf.DUMMYFUNCTION("""COMPUTED_VALUE"""),"https://eitaa.com/AbaalFazlalAbbas133")</f>
        <v>https://eitaa.com/AbaalFazlalAbbas133</v>
      </c>
      <c r="K6070" s="5"/>
      <c r="L6070" s="5"/>
      <c r="M6070" s="5"/>
      <c r="N6070" s="5"/>
      <c r="O6070" s="5"/>
      <c r="P6070" s="5"/>
      <c r="Q6070" s="5"/>
      <c r="R6070" s="5"/>
      <c r="S6070" s="5"/>
    </row>
    <row r="6071">
      <c r="A6071" s="5">
        <f>IFERROR(__xludf.DUMMYFUNCTION("""COMPUTED_VALUE"""),31733.0)</f>
        <v>31733</v>
      </c>
      <c r="B6071" s="5" t="str">
        <f>IFERROR(__xludf.DUMMYFUNCTION("""COMPUTED_VALUE"""),"هیأت خانگی")</f>
        <v>هیأت خانگی</v>
      </c>
      <c r="C6071" s="5" t="str">
        <f>IFERROR(__xludf.DUMMYFUNCTION("""COMPUTED_VALUE"""),"هیات خونگی مکتب الزهرا")</f>
        <v>هیات خونگی مکتب الزهرا</v>
      </c>
      <c r="D6071" s="5" t="str">
        <f>IFERROR(__xludf.DUMMYFUNCTION("""COMPUTED_VALUE"""),"اصفهان ")</f>
        <v>اصفهان </v>
      </c>
      <c r="E6071" s="5" t="str">
        <f>IFERROR(__xludf.DUMMYFUNCTION("""COMPUTED_VALUE"""),"اصفهان ")</f>
        <v>اصفهان </v>
      </c>
      <c r="F6071" s="5"/>
      <c r="G6071" s="5"/>
      <c r="H6071" s="6" t="str">
        <f>IFERROR(__xludf.DUMMYFUNCTION("""COMPUTED_VALUE"""),"https://www.instagram.com/maktab_az_zahra")</f>
        <v>https://www.instagram.com/maktab_az_zahra</v>
      </c>
      <c r="I6071" s="5"/>
      <c r="J6071" s="5"/>
      <c r="K6071" s="5"/>
      <c r="L6071" s="5"/>
      <c r="M6071" s="5"/>
      <c r="N6071" s="5"/>
      <c r="O6071" s="5"/>
      <c r="P6071" s="5"/>
      <c r="Q6071" s="5"/>
      <c r="R6071" s="5"/>
      <c r="S6071" s="5"/>
    </row>
    <row r="6072">
      <c r="A6072" s="5">
        <f>IFERROR(__xludf.DUMMYFUNCTION("""COMPUTED_VALUE"""),31747.0)</f>
        <v>31747</v>
      </c>
      <c r="B6072" s="5" t="str">
        <f>IFERROR(__xludf.DUMMYFUNCTION("""COMPUTED_VALUE"""),"هیأت")</f>
        <v>هیأت</v>
      </c>
      <c r="C6072" s="5" t="str">
        <f>IFERROR(__xludf.DUMMYFUNCTION("""COMPUTED_VALUE"""),"شاهزاده علی اکبر")</f>
        <v>شاهزاده علی اکبر</v>
      </c>
      <c r="D6072" s="5" t="str">
        <f>IFERROR(__xludf.DUMMYFUNCTION("""COMPUTED_VALUE"""),"اصفهان ")</f>
        <v>اصفهان </v>
      </c>
      <c r="E6072" s="5" t="str">
        <f>IFERROR(__xludf.DUMMYFUNCTION("""COMPUTED_VALUE"""),"اصفهان ")</f>
        <v>اصفهان </v>
      </c>
      <c r="F6072" s="5"/>
      <c r="G6072" s="5"/>
      <c r="H6072" s="6" t="str">
        <f>IFERROR(__xludf.DUMMYFUNCTION("""COMPUTED_VALUE"""),"https://www.instagram.com/shahzadeh_aliakbar")</f>
        <v>https://www.instagram.com/shahzadeh_aliakbar</v>
      </c>
      <c r="I6072" s="6" t="str">
        <f>IFERROR(__xludf.DUMMYFUNCTION("""COMPUTED_VALUE"""),"https://t.me/MahdiyeFateme")</f>
        <v>https://t.me/MahdiyeFateme</v>
      </c>
      <c r="J6072" s="5"/>
      <c r="K6072" s="5"/>
      <c r="L6072" s="5"/>
      <c r="M6072" s="5"/>
      <c r="N6072" s="5"/>
      <c r="O6072" s="5"/>
      <c r="P6072" s="5"/>
      <c r="Q6072" s="5"/>
      <c r="R6072" s="5"/>
      <c r="S6072" s="5"/>
    </row>
    <row r="6073">
      <c r="A6073" s="5">
        <f>IFERROR(__xludf.DUMMYFUNCTION("""COMPUTED_VALUE"""),31792.0)</f>
        <v>31792</v>
      </c>
      <c r="B6073" s="5" t="str">
        <f>IFERROR(__xludf.DUMMYFUNCTION("""COMPUTED_VALUE"""),"هیأت")</f>
        <v>هیأت</v>
      </c>
      <c r="C6073" s="5" t="str">
        <f>IFERROR(__xludf.DUMMYFUNCTION("""COMPUTED_VALUE"""),"عشاق الحسین (ع)")</f>
        <v>عشاق الحسین (ع)</v>
      </c>
      <c r="D6073" s="5" t="str">
        <f>IFERROR(__xludf.DUMMYFUNCTION("""COMPUTED_VALUE"""),"اصفهان ")</f>
        <v>اصفهان </v>
      </c>
      <c r="E6073" s="5" t="str">
        <f>IFERROR(__xludf.DUMMYFUNCTION("""COMPUTED_VALUE"""),"اصفهان ")</f>
        <v>اصفهان </v>
      </c>
      <c r="F6073" s="5"/>
      <c r="G6073" s="5"/>
      <c r="H6073" s="5"/>
      <c r="I6073" s="5"/>
      <c r="J6073" s="6" t="str">
        <f>IFERROR(__xludf.DUMMYFUNCTION("""COMPUTED_VALUE"""),"https://eitaa.com/heiatoshagh")</f>
        <v>https://eitaa.com/heiatoshagh</v>
      </c>
      <c r="K6073" s="5"/>
      <c r="L6073" s="5"/>
      <c r="M6073" s="5"/>
      <c r="N6073" s="5"/>
      <c r="O6073" s="5"/>
      <c r="P6073" s="5"/>
      <c r="Q6073" s="5"/>
      <c r="R6073" s="5"/>
      <c r="S6073" s="5"/>
    </row>
    <row r="6074">
      <c r="A6074" s="5">
        <f>IFERROR(__xludf.DUMMYFUNCTION("""COMPUTED_VALUE"""),31801.0)</f>
        <v>31801</v>
      </c>
      <c r="B6074" s="5" t="str">
        <f>IFERROR(__xludf.DUMMYFUNCTION("""COMPUTED_VALUE"""),"هیأت")</f>
        <v>هیأت</v>
      </c>
      <c r="C6074" s="5" t="str">
        <f>IFERROR(__xludf.DUMMYFUNCTION("""COMPUTED_VALUE"""),"سیدالشهدا (ع)")</f>
        <v>سیدالشهدا (ع)</v>
      </c>
      <c r="D6074" s="5" t="str">
        <f>IFERROR(__xludf.DUMMYFUNCTION("""COMPUTED_VALUE"""),"اصفهان ")</f>
        <v>اصفهان </v>
      </c>
      <c r="E6074" s="5" t="str">
        <f>IFERROR(__xludf.DUMMYFUNCTION("""COMPUTED_VALUE"""),"خمینی شهر")</f>
        <v>خمینی شهر</v>
      </c>
      <c r="F6074" s="5"/>
      <c r="G6074" s="5"/>
      <c r="H6074" s="6" t="str">
        <f>IFERROR(__xludf.DUMMYFUNCTION("""COMPUTED_VALUE"""),"https://www.instagram.com/h_q_seyedalshohda")</f>
        <v>https://www.instagram.com/h_q_seyedalshohda</v>
      </c>
      <c r="I6074" s="6" t="str">
        <f>IFERROR(__xludf.DUMMYFUNCTION("""COMPUTED_VALUE"""),"https://t.me/Heiatghoran")</f>
        <v>https://t.me/Heiatghoran</v>
      </c>
      <c r="J6074" s="5"/>
      <c r="K6074" s="5"/>
      <c r="L6074" s="5"/>
      <c r="M6074" s="5"/>
      <c r="N6074" s="5"/>
      <c r="O6074" s="5"/>
      <c r="P6074" s="5"/>
      <c r="Q6074" s="5"/>
      <c r="R6074" s="5"/>
      <c r="S6074" s="5"/>
    </row>
    <row r="6075">
      <c r="A6075" s="5">
        <f>IFERROR(__xludf.DUMMYFUNCTION("""COMPUTED_VALUE"""),31854.0)</f>
        <v>31854</v>
      </c>
      <c r="B6075" s="5" t="str">
        <f>IFERROR(__xludf.DUMMYFUNCTION("""COMPUTED_VALUE"""),"هیأت")</f>
        <v>هیأت</v>
      </c>
      <c r="C6075" s="5" t="str">
        <f>IFERROR(__xludf.DUMMYFUNCTION("""COMPUTED_VALUE"""),"هیات بقیه الله دستگردخیار")</f>
        <v>هیات بقیه الله دستگردخیار</v>
      </c>
      <c r="D6075" s="5" t="str">
        <f>IFERROR(__xludf.DUMMYFUNCTION("""COMPUTED_VALUE"""),"اصفهان ")</f>
        <v>اصفهان </v>
      </c>
      <c r="E6075" s="5" t="str">
        <f>IFERROR(__xludf.DUMMYFUNCTION("""COMPUTED_VALUE"""),"دولت آباد")</f>
        <v>دولت آباد</v>
      </c>
      <c r="F6075" s="5"/>
      <c r="G6075" s="5"/>
      <c r="H6075" s="6" t="str">
        <f>IFERROR(__xludf.DUMMYFUNCTION("""COMPUTED_VALUE"""),"https://www.instagram.com/hballah82")</f>
        <v>https://www.instagram.com/hballah82</v>
      </c>
      <c r="I6075" s="5"/>
      <c r="J6075" s="5"/>
      <c r="K6075" s="5"/>
      <c r="L6075" s="5"/>
      <c r="M6075" s="5"/>
      <c r="N6075" s="5"/>
      <c r="O6075" s="5"/>
      <c r="P6075" s="5"/>
      <c r="Q6075" s="5"/>
      <c r="R6075" s="5"/>
      <c r="S6075" s="5"/>
    </row>
    <row r="6076">
      <c r="A6076" s="5">
        <f>IFERROR(__xludf.DUMMYFUNCTION("""COMPUTED_VALUE"""),31889.0)</f>
        <v>31889</v>
      </c>
      <c r="B6076" s="5" t="str">
        <f>IFERROR(__xludf.DUMMYFUNCTION("""COMPUTED_VALUE"""),"هیأت")</f>
        <v>هیأت</v>
      </c>
      <c r="C6076" s="5" t="str">
        <f>IFERROR(__xludf.DUMMYFUNCTION("""COMPUTED_VALUE"""),"حضرت علی اکبر (ع)")</f>
        <v>حضرت علی اکبر (ع)</v>
      </c>
      <c r="D6076" s="5" t="str">
        <f>IFERROR(__xludf.DUMMYFUNCTION("""COMPUTED_VALUE"""),"اصفهان ")</f>
        <v>اصفهان </v>
      </c>
      <c r="E6076" s="5" t="str">
        <f>IFERROR(__xludf.DUMMYFUNCTION("""COMPUTED_VALUE"""),"اصفهان ")</f>
        <v>اصفهان </v>
      </c>
      <c r="F6076" s="5"/>
      <c r="G6076" s="5"/>
      <c r="H6076" s="5"/>
      <c r="I6076" s="5"/>
      <c r="J6076" s="6" t="str">
        <f>IFERROR(__xludf.DUMMYFUNCTION("""COMPUTED_VALUE"""),"https://eitaa.com/heyat_hazrat_ali_akbar")</f>
        <v>https://eitaa.com/heyat_hazrat_ali_akbar</v>
      </c>
      <c r="K6076" s="5"/>
      <c r="L6076" s="5"/>
      <c r="M6076" s="5"/>
      <c r="N6076" s="5"/>
      <c r="O6076" s="5"/>
      <c r="P6076" s="5"/>
      <c r="Q6076" s="5"/>
      <c r="R6076" s="5"/>
      <c r="S6076" s="5"/>
    </row>
    <row r="6077">
      <c r="A6077" s="5">
        <f>IFERROR(__xludf.DUMMYFUNCTION("""COMPUTED_VALUE"""),31905.0)</f>
        <v>31905</v>
      </c>
      <c r="B6077" s="5" t="str">
        <f>IFERROR(__xludf.DUMMYFUNCTION("""COMPUTED_VALUE"""),"هیأت")</f>
        <v>هیأت</v>
      </c>
      <c r="C6077" s="5" t="str">
        <f>IFERROR(__xludf.DUMMYFUNCTION("""COMPUTED_VALUE"""),"امام رئوف")</f>
        <v>امام رئوف</v>
      </c>
      <c r="D6077" s="5" t="str">
        <f>IFERROR(__xludf.DUMMYFUNCTION("""COMPUTED_VALUE"""),"اصفهان ")</f>
        <v>اصفهان </v>
      </c>
      <c r="E6077" s="5" t="str">
        <f>IFERROR(__xludf.DUMMYFUNCTION("""COMPUTED_VALUE"""),"خمینی شهر")</f>
        <v>خمینی شهر</v>
      </c>
      <c r="F6077" s="5"/>
      <c r="G6077" s="5"/>
      <c r="H6077" s="6" t="str">
        <f>IFERROR(__xludf.DUMMYFUNCTION("""COMPUTED_VALUE"""),"https://www.instagram.com/emam.rauf")</f>
        <v>https://www.instagram.com/emam.rauf</v>
      </c>
      <c r="I6077" s="6" t="str">
        <f>IFERROR(__xludf.DUMMYFUNCTION("""COMPUTED_VALUE"""),"https://t.me/emamrauf")</f>
        <v>https://t.me/emamrauf</v>
      </c>
      <c r="J6077" s="5"/>
      <c r="K6077" s="5"/>
      <c r="L6077" s="5"/>
      <c r="M6077" s="5"/>
      <c r="N6077" s="5"/>
      <c r="O6077" s="5"/>
      <c r="P6077" s="5"/>
      <c r="Q6077" s="5"/>
      <c r="R6077" s="5"/>
      <c r="S6077" s="5"/>
    </row>
    <row r="6078">
      <c r="A6078" s="5">
        <f>IFERROR(__xludf.DUMMYFUNCTION("""COMPUTED_VALUE"""),31928.0)</f>
        <v>31928</v>
      </c>
      <c r="B6078" s="5" t="str">
        <f>IFERROR(__xludf.DUMMYFUNCTION("""COMPUTED_VALUE"""),"هیأت")</f>
        <v>هیأت</v>
      </c>
      <c r="C6078" s="5" t="str">
        <f>IFERROR(__xludf.DUMMYFUNCTION("""COMPUTED_VALUE"""),"عاشقان اباعبدالله الحسین")</f>
        <v>عاشقان اباعبدالله الحسین</v>
      </c>
      <c r="D6078" s="5" t="str">
        <f>IFERROR(__xludf.DUMMYFUNCTION("""COMPUTED_VALUE"""),"اصفهان ")</f>
        <v>اصفهان </v>
      </c>
      <c r="E6078" s="5" t="str">
        <f>IFERROR(__xludf.DUMMYFUNCTION("""COMPUTED_VALUE"""),"اصفهان ")</f>
        <v>اصفهان </v>
      </c>
      <c r="F6078" s="5"/>
      <c r="G6078" s="5"/>
      <c r="H6078" s="5"/>
      <c r="I6078" s="5"/>
      <c r="J6078" s="6" t="str">
        <f>IFERROR(__xludf.DUMMYFUNCTION("""COMPUTED_VALUE"""),"https://eitaa.com/alhadiashagan")</f>
        <v>https://eitaa.com/alhadiashagan</v>
      </c>
      <c r="K6078" s="5"/>
      <c r="L6078" s="5"/>
      <c r="M6078" s="5"/>
      <c r="N6078" s="5"/>
      <c r="O6078" s="5"/>
      <c r="P6078" s="5"/>
      <c r="Q6078" s="5"/>
      <c r="R6078" s="5"/>
      <c r="S6078" s="5"/>
    </row>
    <row r="6079">
      <c r="A6079" s="5">
        <f>IFERROR(__xludf.DUMMYFUNCTION("""COMPUTED_VALUE"""),32024.0)</f>
        <v>32024</v>
      </c>
      <c r="B6079" s="5" t="str">
        <f>IFERROR(__xludf.DUMMYFUNCTION("""COMPUTED_VALUE"""),"هیأت")</f>
        <v>هیأت</v>
      </c>
      <c r="C6079" s="5" t="str">
        <f>IFERROR(__xludf.DUMMYFUNCTION("""COMPUTED_VALUE"""),"لوالحسین (ع)")</f>
        <v>لوالحسین (ع)</v>
      </c>
      <c r="D6079" s="5" t="str">
        <f>IFERROR(__xludf.DUMMYFUNCTION("""COMPUTED_VALUE"""),"اصفهان ")</f>
        <v>اصفهان </v>
      </c>
      <c r="E6079" s="5" t="str">
        <f>IFERROR(__xludf.DUMMYFUNCTION("""COMPUTED_VALUE"""),"اصفهان ")</f>
        <v>اصفهان </v>
      </c>
      <c r="F6079" s="5"/>
      <c r="G6079" s="5"/>
      <c r="H6079" s="6" t="str">
        <f>IFERROR(__xludf.DUMMYFUNCTION("""COMPUTED_VALUE"""),"https://www.instagram.com/leva_info")</f>
        <v>https://www.instagram.com/leva_info</v>
      </c>
      <c r="I6079" s="5"/>
      <c r="J6079" s="6" t="str">
        <f>IFERROR(__xludf.DUMMYFUNCTION("""COMPUTED_VALUE"""),"https://eitaa.com/leva_info")</f>
        <v>https://eitaa.com/leva_info</v>
      </c>
      <c r="K6079" s="5"/>
      <c r="L6079" s="5"/>
      <c r="M6079" s="5"/>
      <c r="N6079" s="5"/>
      <c r="O6079" s="5"/>
      <c r="P6079" s="5"/>
      <c r="Q6079" s="5"/>
      <c r="R6079" s="5"/>
      <c r="S6079" s="5"/>
    </row>
    <row r="6080">
      <c r="A6080" s="5">
        <f>IFERROR(__xludf.DUMMYFUNCTION("""COMPUTED_VALUE"""),32101.0)</f>
        <v>32101</v>
      </c>
      <c r="B6080" s="5" t="str">
        <f>IFERROR(__xludf.DUMMYFUNCTION("""COMPUTED_VALUE"""),"هیأت")</f>
        <v>هیأت</v>
      </c>
      <c r="C6080" s="5" t="str">
        <f>IFERROR(__xludf.DUMMYFUNCTION("""COMPUTED_VALUE"""),"قاسم بن الحسن (ع)")</f>
        <v>قاسم بن الحسن (ع)</v>
      </c>
      <c r="D6080" s="5" t="str">
        <f>IFERROR(__xludf.DUMMYFUNCTION("""COMPUTED_VALUE"""),"اصفهان ")</f>
        <v>اصفهان </v>
      </c>
      <c r="E6080" s="5" t="str">
        <f>IFERROR(__xludf.DUMMYFUNCTION("""COMPUTED_VALUE"""),"سمیرم")</f>
        <v>سمیرم</v>
      </c>
      <c r="F6080" s="5"/>
      <c r="G6080" s="5"/>
      <c r="H6080" s="6" t="str">
        <f>IFERROR(__xludf.DUMMYFUNCTION("""COMPUTED_VALUE"""),"https://www.instagram.com/heyatghasem201")</f>
        <v>https://www.instagram.com/heyatghasem201</v>
      </c>
      <c r="I6080" s="6" t="str">
        <f>IFERROR(__xludf.DUMMYFUNCTION("""COMPUTED_VALUE"""),"https://t.me/hghasem201")</f>
        <v>https://t.me/hghasem201</v>
      </c>
      <c r="J6080" s="6" t="str">
        <f>IFERROR(__xludf.DUMMYFUNCTION("""COMPUTED_VALUE"""),"https://eitaa.com/hqasem201")</f>
        <v>https://eitaa.com/hqasem201</v>
      </c>
      <c r="K6080" s="5"/>
      <c r="L6080" s="5"/>
      <c r="M6080" s="5"/>
      <c r="N6080" s="5"/>
      <c r="O6080" s="5"/>
      <c r="P6080" s="5"/>
      <c r="Q6080" s="5"/>
      <c r="R6080" s="5"/>
      <c r="S6080" s="5"/>
    </row>
    <row r="6081">
      <c r="A6081" s="5">
        <f>IFERROR(__xludf.DUMMYFUNCTION("""COMPUTED_VALUE"""),32126.0)</f>
        <v>32126</v>
      </c>
      <c r="B6081" s="5" t="str">
        <f>IFERROR(__xludf.DUMMYFUNCTION("""COMPUTED_VALUE"""),"هیأت")</f>
        <v>هیأت</v>
      </c>
      <c r="C6081" s="5" t="str">
        <f>IFERROR(__xludf.DUMMYFUNCTION("""COMPUTED_VALUE"""),"رزمندگان")</f>
        <v>رزمندگان</v>
      </c>
      <c r="D6081" s="5" t="str">
        <f>IFERROR(__xludf.DUMMYFUNCTION("""COMPUTED_VALUE"""),"اصفهان ")</f>
        <v>اصفهان </v>
      </c>
      <c r="E6081" s="5" t="str">
        <f>IFERROR(__xludf.DUMMYFUNCTION("""COMPUTED_VALUE"""),"نجف آباد")</f>
        <v>نجف آباد</v>
      </c>
      <c r="F6081" s="5"/>
      <c r="G6081" s="5"/>
      <c r="H6081" s="6" t="str">
        <f>IFERROR(__xludf.DUMMYFUNCTION("""COMPUTED_VALUE"""),"https://www.instagram.com/esfheyat")</f>
        <v>https://www.instagram.com/esfheyat</v>
      </c>
      <c r="I6081" s="5"/>
      <c r="J6081" s="6" t="str">
        <f>IFERROR(__xludf.DUMMYFUNCTION("""COMPUTED_VALUE"""),"https://eitaa.com/esfheyat_ir")</f>
        <v>https://eitaa.com/esfheyat_ir</v>
      </c>
      <c r="K6081" s="5"/>
      <c r="L6081" s="5"/>
      <c r="M6081" s="5"/>
      <c r="N6081" s="5"/>
      <c r="O6081" s="5"/>
      <c r="P6081" s="5"/>
      <c r="Q6081" s="5"/>
      <c r="R6081" s="5"/>
      <c r="S6081" s="5"/>
    </row>
    <row r="6082">
      <c r="A6082" s="5">
        <f>IFERROR(__xludf.DUMMYFUNCTION("""COMPUTED_VALUE"""),32147.0)</f>
        <v>32147</v>
      </c>
      <c r="B6082" s="5" t="str">
        <f>IFERROR(__xludf.DUMMYFUNCTION("""COMPUTED_VALUE"""),"هیأت")</f>
        <v>هیأت</v>
      </c>
      <c r="C6082" s="5" t="str">
        <f>IFERROR(__xludf.DUMMYFUNCTION("""COMPUTED_VALUE"""),"هیات الزهرا (س)")</f>
        <v>هیات الزهرا (س)</v>
      </c>
      <c r="D6082" s="5" t="str">
        <f>IFERROR(__xludf.DUMMYFUNCTION("""COMPUTED_VALUE"""),"اصفهان ")</f>
        <v>اصفهان </v>
      </c>
      <c r="E6082" s="5" t="str">
        <f>IFERROR(__xludf.DUMMYFUNCTION("""COMPUTED_VALUE"""),"اصفهان ")</f>
        <v>اصفهان </v>
      </c>
      <c r="F6082" s="5"/>
      <c r="G6082" s="5"/>
      <c r="H6082" s="6" t="str">
        <f>IFERROR(__xludf.DUMMYFUNCTION("""COMPUTED_VALUE"""),"https://www.instagram.com/yazahra_isfahan")</f>
        <v>https://www.instagram.com/yazahra_isfahan</v>
      </c>
      <c r="I6082" s="6" t="str">
        <f>IFERROR(__xludf.DUMMYFUNCTION("""COMPUTED_VALUE"""),"https://t.me/yazahra_isfahan")</f>
        <v>https://t.me/yazahra_isfahan</v>
      </c>
      <c r="J6082" s="6" t="str">
        <f>IFERROR(__xludf.DUMMYFUNCTION("""COMPUTED_VALUE"""),"https://eitaa.com/yazahra_isfahan")</f>
        <v>https://eitaa.com/yazahra_isfahan</v>
      </c>
      <c r="K6082" s="5"/>
      <c r="L6082" s="5"/>
      <c r="M6082" s="5"/>
      <c r="N6082" s="5"/>
      <c r="O6082" s="5"/>
      <c r="P6082" s="5"/>
      <c r="Q6082" s="5"/>
      <c r="R6082" s="5"/>
      <c r="S6082" s="5"/>
    </row>
    <row r="6083">
      <c r="A6083" s="5">
        <f>IFERROR(__xludf.DUMMYFUNCTION("""COMPUTED_VALUE"""),32150.0)</f>
        <v>32150</v>
      </c>
      <c r="B6083" s="5" t="str">
        <f>IFERROR(__xludf.DUMMYFUNCTION("""COMPUTED_VALUE"""),"هیأت")</f>
        <v>هیأت</v>
      </c>
      <c r="C6083" s="5" t="str">
        <f>IFERROR(__xludf.DUMMYFUNCTION("""COMPUTED_VALUE"""),"روضه الزینب")</f>
        <v>روضه الزینب</v>
      </c>
      <c r="D6083" s="5" t="str">
        <f>IFERROR(__xludf.DUMMYFUNCTION("""COMPUTED_VALUE"""),"اصفهان ")</f>
        <v>اصفهان </v>
      </c>
      <c r="E6083" s="5" t="str">
        <f>IFERROR(__xludf.DUMMYFUNCTION("""COMPUTED_VALUE"""),"اصفهان ")</f>
        <v>اصفهان </v>
      </c>
      <c r="F6083" s="5"/>
      <c r="G6083" s="5"/>
      <c r="H6083" s="6" t="str">
        <f>IFERROR(__xludf.DUMMYFUNCTION("""COMPUTED_VALUE"""),"https://www.instagram.com/maajar.69/")</f>
        <v>https://www.instagram.com/maajar.69/</v>
      </c>
      <c r="I6083" s="6" t="str">
        <f>IFERROR(__xludf.DUMMYFUNCTION("""COMPUTED_VALUE"""),"https://t.me/maajar_69")</f>
        <v>https://t.me/maajar_69</v>
      </c>
      <c r="J6083" s="5"/>
      <c r="K6083" s="5"/>
      <c r="L6083" s="5"/>
      <c r="M6083" s="5"/>
      <c r="N6083" s="5"/>
      <c r="O6083" s="5"/>
      <c r="P6083" s="5"/>
      <c r="Q6083" s="5"/>
      <c r="R6083" s="5"/>
      <c r="S6083" s="5"/>
    </row>
    <row r="6084">
      <c r="A6084" s="5">
        <f>IFERROR(__xludf.DUMMYFUNCTION("""COMPUTED_VALUE"""),32156.0)</f>
        <v>32156</v>
      </c>
      <c r="B6084" s="5" t="str">
        <f>IFERROR(__xludf.DUMMYFUNCTION("""COMPUTED_VALUE"""),"هیأت")</f>
        <v>هیأت</v>
      </c>
      <c r="C6084" s="5" t="str">
        <f>IFERROR(__xludf.DUMMYFUNCTION("""COMPUTED_VALUE"""),"جوادالائمه (ع)")</f>
        <v>جوادالائمه (ع)</v>
      </c>
      <c r="D6084" s="5" t="str">
        <f>IFERROR(__xludf.DUMMYFUNCTION("""COMPUTED_VALUE"""),"اصفهان ")</f>
        <v>اصفهان </v>
      </c>
      <c r="E6084" s="5" t="str">
        <f>IFERROR(__xludf.DUMMYFUNCTION("""COMPUTED_VALUE"""),"اصفهان ")</f>
        <v>اصفهان </v>
      </c>
      <c r="F6084" s="5"/>
      <c r="G6084" s="5"/>
      <c r="H6084" s="6" t="str">
        <f>IFERROR(__xludf.DUMMYFUNCTION("""COMPUTED_VALUE"""),"https://www.instagram.com/heyat_javadolaeme")</f>
        <v>https://www.instagram.com/heyat_javadolaeme</v>
      </c>
      <c r="I6084" s="5"/>
      <c r="J6084" s="5"/>
      <c r="K6084" s="5"/>
      <c r="L6084" s="5"/>
      <c r="M6084" s="5"/>
      <c r="N6084" s="5"/>
      <c r="O6084" s="5"/>
      <c r="P6084" s="5"/>
      <c r="Q6084" s="5"/>
      <c r="R6084" s="5"/>
      <c r="S6084" s="5"/>
    </row>
    <row r="6085">
      <c r="A6085" s="5">
        <f>IFERROR(__xludf.DUMMYFUNCTION("""COMPUTED_VALUE"""),32165.0)</f>
        <v>32165</v>
      </c>
      <c r="B6085" s="5" t="str">
        <f>IFERROR(__xludf.DUMMYFUNCTION("""COMPUTED_VALUE"""),"هیأت")</f>
        <v>هیأت</v>
      </c>
      <c r="C6085" s="5" t="str">
        <f>IFERROR(__xludf.DUMMYFUNCTION("""COMPUTED_VALUE"""),"محبان الزینب (س)")</f>
        <v>محبان الزینب (س)</v>
      </c>
      <c r="D6085" s="5" t="str">
        <f>IFERROR(__xludf.DUMMYFUNCTION("""COMPUTED_VALUE"""),"اصفهان ")</f>
        <v>اصفهان </v>
      </c>
      <c r="E6085" s="5" t="str">
        <f>IFERROR(__xludf.DUMMYFUNCTION("""COMPUTED_VALUE"""),"اصفهان ")</f>
        <v>اصفهان </v>
      </c>
      <c r="F6085" s="5"/>
      <c r="G6085" s="5"/>
      <c r="H6085" s="6" t="str">
        <f>IFERROR(__xludf.DUMMYFUNCTION("""COMPUTED_VALUE"""),"https://www.instagram.com/mohebanzeinab")</f>
        <v>https://www.instagram.com/mohebanzeinab</v>
      </c>
      <c r="I6085" s="6" t="str">
        <f>IFERROR(__xludf.DUMMYFUNCTION("""COMPUTED_VALUE"""),"https://t.me/mohebanzeinab")</f>
        <v>https://t.me/mohebanzeinab</v>
      </c>
      <c r="J6085" s="6" t="str">
        <f>IFERROR(__xludf.DUMMYFUNCTION("""COMPUTED_VALUE"""),"https://eitaa.com/mohebanzeinab")</f>
        <v>https://eitaa.com/mohebanzeinab</v>
      </c>
      <c r="K6085" s="5"/>
      <c r="L6085" s="5"/>
      <c r="M6085" s="5"/>
      <c r="N6085" s="5"/>
      <c r="O6085" s="5"/>
      <c r="P6085" s="5"/>
      <c r="Q6085" s="5"/>
      <c r="R6085" s="5"/>
      <c r="S6085" s="5"/>
    </row>
    <row r="6086">
      <c r="A6086" s="5">
        <f>IFERROR(__xludf.DUMMYFUNCTION("""COMPUTED_VALUE"""),32191.0)</f>
        <v>32191</v>
      </c>
      <c r="B6086" s="5" t="str">
        <f>IFERROR(__xludf.DUMMYFUNCTION("""COMPUTED_VALUE"""),"هیأت")</f>
        <v>هیأت</v>
      </c>
      <c r="C6086" s="5" t="str">
        <f>IFERROR(__xludf.DUMMYFUNCTION("""COMPUTED_VALUE"""),"حسین جان (ع)")</f>
        <v>حسین جان (ع)</v>
      </c>
      <c r="D6086" s="5" t="str">
        <f>IFERROR(__xludf.DUMMYFUNCTION("""COMPUTED_VALUE"""),"اصفهان ")</f>
        <v>اصفهان </v>
      </c>
      <c r="E6086" s="5" t="str">
        <f>IFERROR(__xludf.DUMMYFUNCTION("""COMPUTED_VALUE"""),"اصفهان ")</f>
        <v>اصفهان </v>
      </c>
      <c r="F6086" s="5"/>
      <c r="G6086" s="5"/>
      <c r="H6086" s="6" t="str">
        <f>IFERROR(__xludf.DUMMYFUNCTION("""COMPUTED_VALUE"""),"https://www.instagram.com/hoseinjan_128")</f>
        <v>https://www.instagram.com/hoseinjan_128</v>
      </c>
      <c r="I6086" s="6" t="str">
        <f>IFERROR(__xludf.DUMMYFUNCTION("""COMPUTED_VALUE"""),"https://t.me/hoseinjan_128")</f>
        <v>https://t.me/hoseinjan_128</v>
      </c>
      <c r="J6086" s="6" t="str">
        <f>IFERROR(__xludf.DUMMYFUNCTION("""COMPUTED_VALUE"""),"https://eitaa.org/hoseinjan_128")</f>
        <v>https://eitaa.org/hoseinjan_128</v>
      </c>
      <c r="K6086" s="5"/>
      <c r="L6086" s="5"/>
      <c r="M6086" s="5"/>
      <c r="N6086" s="5"/>
      <c r="O6086" s="5"/>
      <c r="P6086" s="5"/>
      <c r="Q6086" s="5"/>
      <c r="R6086" s="5"/>
      <c r="S6086" s="5"/>
    </row>
    <row r="6087">
      <c r="A6087" s="5">
        <f>IFERROR(__xludf.DUMMYFUNCTION("""COMPUTED_VALUE"""),32201.0)</f>
        <v>32201</v>
      </c>
      <c r="B6087" s="5" t="str">
        <f>IFERROR(__xludf.DUMMYFUNCTION("""COMPUTED_VALUE"""),"هیأت")</f>
        <v>هیأت</v>
      </c>
      <c r="C6087" s="5" t="str">
        <f>IFERROR(__xludf.DUMMYFUNCTION("""COMPUTED_VALUE"""),"کانون شمس الشموس رضوی")</f>
        <v>کانون شمس الشموس رضوی</v>
      </c>
      <c r="D6087" s="5" t="str">
        <f>IFERROR(__xludf.DUMMYFUNCTION("""COMPUTED_VALUE"""),"اصفهان ")</f>
        <v>اصفهان </v>
      </c>
      <c r="E6087" s="5" t="str">
        <f>IFERROR(__xludf.DUMMYFUNCTION("""COMPUTED_VALUE"""),"اصفهان ")</f>
        <v>اصفهان </v>
      </c>
      <c r="F6087" s="5"/>
      <c r="G6087" s="5"/>
      <c r="H6087" s="6" t="str">
        <f>IFERROR(__xludf.DUMMYFUNCTION("""COMPUTED_VALUE"""),"https://www.instagram.com/shamsalshomous")</f>
        <v>https://www.instagram.com/shamsalshomous</v>
      </c>
      <c r="I6087" s="5"/>
      <c r="J6087" s="6" t="str">
        <f>IFERROR(__xludf.DUMMYFUNCTION("""COMPUTED_VALUE"""),"https://eitaa.com/shamsalshomous")</f>
        <v>https://eitaa.com/shamsalshomous</v>
      </c>
      <c r="K6087" s="5"/>
      <c r="L6087" s="5"/>
      <c r="M6087" s="5"/>
      <c r="N6087" s="5"/>
      <c r="O6087" s="5"/>
      <c r="P6087" s="5"/>
      <c r="Q6087" s="5"/>
      <c r="R6087" s="5"/>
      <c r="S6087" s="5"/>
    </row>
    <row r="6088">
      <c r="A6088" s="5">
        <f>IFERROR(__xludf.DUMMYFUNCTION("""COMPUTED_VALUE"""),32204.0)</f>
        <v>32204</v>
      </c>
      <c r="B6088" s="5" t="str">
        <f>IFERROR(__xludf.DUMMYFUNCTION("""COMPUTED_VALUE"""),"هیأت")</f>
        <v>هیأت</v>
      </c>
      <c r="C6088" s="5" t="str">
        <f>IFERROR(__xludf.DUMMYFUNCTION("""COMPUTED_VALUE"""),"مسجد امام رضا (ع)")</f>
        <v>مسجد امام رضا (ع)</v>
      </c>
      <c r="D6088" s="5" t="str">
        <f>IFERROR(__xludf.DUMMYFUNCTION("""COMPUTED_VALUE"""),"اصفهان ")</f>
        <v>اصفهان </v>
      </c>
      <c r="E6088" s="5" t="str">
        <f>IFERROR(__xludf.DUMMYFUNCTION("""COMPUTED_VALUE"""),"اصفهان ")</f>
        <v>اصفهان </v>
      </c>
      <c r="F6088" s="5"/>
      <c r="G6088" s="5"/>
      <c r="H6088" s="5"/>
      <c r="I6088" s="6" t="str">
        <f>IFERROR(__xludf.DUMMYFUNCTION("""COMPUTED_VALUE"""),"https://t.me/masjedlemjir")</f>
        <v>https://t.me/masjedlemjir</v>
      </c>
      <c r="J6088" s="6" t="str">
        <f>IFERROR(__xludf.DUMMYFUNCTION("""COMPUTED_VALUE"""),"https://eitaa.com/masjedlemjir")</f>
        <v>https://eitaa.com/masjedlemjir</v>
      </c>
      <c r="K6088" s="5"/>
      <c r="L6088" s="5"/>
      <c r="M6088" s="5"/>
      <c r="N6088" s="5"/>
      <c r="O6088" s="5"/>
      <c r="P6088" s="5"/>
      <c r="Q6088" s="5"/>
      <c r="R6088" s="5"/>
      <c r="S6088" s="5"/>
    </row>
    <row r="6089">
      <c r="A6089" s="5">
        <f>IFERROR(__xludf.DUMMYFUNCTION("""COMPUTED_VALUE"""),32207.0)</f>
        <v>32207</v>
      </c>
      <c r="B6089" s="5" t="str">
        <f>IFERROR(__xludf.DUMMYFUNCTION("""COMPUTED_VALUE"""),"هیأت")</f>
        <v>هیأت</v>
      </c>
      <c r="C6089" s="5" t="str">
        <f>IFERROR(__xludf.DUMMYFUNCTION("""COMPUTED_VALUE"""),"مسجد امیرالمومنین (ع)")</f>
        <v>مسجد امیرالمومنین (ع)</v>
      </c>
      <c r="D6089" s="5" t="str">
        <f>IFERROR(__xludf.DUMMYFUNCTION("""COMPUTED_VALUE"""),"اصفهان ")</f>
        <v>اصفهان </v>
      </c>
      <c r="E6089" s="5" t="str">
        <f>IFERROR(__xludf.DUMMYFUNCTION("""COMPUTED_VALUE"""),"اصفهان ")</f>
        <v>اصفهان </v>
      </c>
      <c r="F6089" s="5"/>
      <c r="G6089" s="5"/>
      <c r="H6089" s="6" t="str">
        <f>IFERROR(__xludf.DUMMYFUNCTION("""COMPUTED_VALUE"""),"https://www.instagram.com/masjedali/")</f>
        <v>https://www.instagram.com/masjedali/</v>
      </c>
      <c r="I6089" s="6" t="str">
        <f>IFERROR(__xludf.DUMMYFUNCTION("""COMPUTED_VALUE"""),"https://t.me/masjedamiralmomnin")</f>
        <v>https://t.me/masjedamiralmomnin</v>
      </c>
      <c r="J6089" s="5"/>
      <c r="K6089" s="5"/>
      <c r="L6089" s="5"/>
      <c r="M6089" s="5"/>
      <c r="N6089" s="5"/>
      <c r="O6089" s="5"/>
      <c r="P6089" s="5"/>
      <c r="Q6089" s="5"/>
      <c r="R6089" s="5"/>
      <c r="S6089" s="5"/>
    </row>
    <row r="6090">
      <c r="A6090" s="5">
        <f>IFERROR(__xludf.DUMMYFUNCTION("""COMPUTED_VALUE"""),32213.0)</f>
        <v>32213</v>
      </c>
      <c r="B6090" s="5" t="str">
        <f>IFERROR(__xludf.DUMMYFUNCTION("""COMPUTED_VALUE"""),"هیأت")</f>
        <v>هیأت</v>
      </c>
      <c r="C6090" s="5" t="str">
        <f>IFERROR(__xludf.DUMMYFUNCTION("""COMPUTED_VALUE"""),"محبان حضرت مهدی (عج)")</f>
        <v>محبان حضرت مهدی (عج)</v>
      </c>
      <c r="D6090" s="5" t="str">
        <f>IFERROR(__xludf.DUMMYFUNCTION("""COMPUTED_VALUE"""),"اصفهان ")</f>
        <v>اصفهان </v>
      </c>
      <c r="E6090" s="5" t="str">
        <f>IFERROR(__xludf.DUMMYFUNCTION("""COMPUTED_VALUE"""),"اصفهان ")</f>
        <v>اصفهان </v>
      </c>
      <c r="F6090" s="5"/>
      <c r="G6090" s="5"/>
      <c r="H6090" s="5"/>
      <c r="I6090" s="5"/>
      <c r="J6090" s="6" t="str">
        <f>IFERROR(__xludf.DUMMYFUNCTION("""COMPUTED_VALUE"""),"https://eitaa.com/mooheban_mahdi")</f>
        <v>https://eitaa.com/mooheban_mahdi</v>
      </c>
      <c r="K6090" s="5"/>
      <c r="L6090" s="5"/>
      <c r="M6090" s="5"/>
      <c r="N6090" s="5"/>
      <c r="O6090" s="5"/>
      <c r="P6090" s="5"/>
      <c r="Q6090" s="5"/>
      <c r="R6090" s="5"/>
      <c r="S6090" s="5"/>
    </row>
    <row r="6091">
      <c r="A6091" s="5">
        <f>IFERROR(__xludf.DUMMYFUNCTION("""COMPUTED_VALUE"""),32214.0)</f>
        <v>32214</v>
      </c>
      <c r="B6091" s="5" t="str">
        <f>IFERROR(__xludf.DUMMYFUNCTION("""COMPUTED_VALUE"""),"هیأت")</f>
        <v>هیأت</v>
      </c>
      <c r="C6091" s="5" t="str">
        <f>IFERROR(__xludf.DUMMYFUNCTION("""COMPUTED_VALUE"""),"سیدالساجدین (ع)")</f>
        <v>سیدالساجدین (ع)</v>
      </c>
      <c r="D6091" s="5" t="str">
        <f>IFERROR(__xludf.DUMMYFUNCTION("""COMPUTED_VALUE"""),"اصفهان ")</f>
        <v>اصفهان </v>
      </c>
      <c r="E6091" s="5" t="str">
        <f>IFERROR(__xludf.DUMMYFUNCTION("""COMPUTED_VALUE"""),"اصفهان ")</f>
        <v>اصفهان </v>
      </c>
      <c r="F6091" s="5"/>
      <c r="G6091" s="5"/>
      <c r="H6091" s="6" t="str">
        <f>IFERROR(__xludf.DUMMYFUNCTION("""COMPUTED_VALUE"""),"https://www.instagram.com/sayyedosajedin")</f>
        <v>https://www.instagram.com/sayyedosajedin</v>
      </c>
      <c r="I6091" s="5"/>
      <c r="J6091" s="5"/>
      <c r="K6091" s="5"/>
      <c r="L6091" s="5"/>
      <c r="M6091" s="5"/>
      <c r="N6091" s="5"/>
      <c r="O6091" s="5"/>
      <c r="P6091" s="5"/>
      <c r="Q6091" s="5"/>
      <c r="R6091" s="5"/>
      <c r="S6091" s="5"/>
    </row>
    <row r="6092">
      <c r="A6092" s="5">
        <f>IFERROR(__xludf.DUMMYFUNCTION("""COMPUTED_VALUE"""),32222.0)</f>
        <v>32222</v>
      </c>
      <c r="B6092" s="5" t="str">
        <f>IFERROR(__xludf.DUMMYFUNCTION("""COMPUTED_VALUE"""),"هیأت")</f>
        <v>هیأت</v>
      </c>
      <c r="C6092" s="5" t="str">
        <f>IFERROR(__xludf.DUMMYFUNCTION("""COMPUTED_VALUE"""),"دارالسلام")</f>
        <v>دارالسلام</v>
      </c>
      <c r="D6092" s="5" t="str">
        <f>IFERROR(__xludf.DUMMYFUNCTION("""COMPUTED_VALUE"""),"اصفهان ")</f>
        <v>اصفهان </v>
      </c>
      <c r="E6092" s="5" t="str">
        <f>IFERROR(__xludf.DUMMYFUNCTION("""COMPUTED_VALUE"""),"اصفهان ")</f>
        <v>اصفهان </v>
      </c>
      <c r="F6092" s="5"/>
      <c r="G6092" s="5"/>
      <c r="H6092" s="5"/>
      <c r="I6092" s="5"/>
      <c r="J6092" s="6" t="str">
        <f>IFERROR(__xludf.DUMMYFUNCTION("""COMPUTED_VALUE"""),"https://eitaa.com/m_darosalam")</f>
        <v>https://eitaa.com/m_darosalam</v>
      </c>
      <c r="K6092" s="5"/>
      <c r="L6092" s="5"/>
      <c r="M6092" s="5"/>
      <c r="N6092" s="5"/>
      <c r="O6092" s="5"/>
      <c r="P6092" s="5"/>
      <c r="Q6092" s="5"/>
      <c r="R6092" s="5"/>
      <c r="S6092" s="5"/>
    </row>
    <row r="6093">
      <c r="A6093" s="5">
        <f>IFERROR(__xludf.DUMMYFUNCTION("""COMPUTED_VALUE"""),32251.0)</f>
        <v>32251</v>
      </c>
      <c r="B6093" s="5" t="str">
        <f>IFERROR(__xludf.DUMMYFUNCTION("""COMPUTED_VALUE"""),"هیأت")</f>
        <v>هیأت</v>
      </c>
      <c r="C6093" s="5" t="str">
        <f>IFERROR(__xludf.DUMMYFUNCTION("""COMPUTED_VALUE"""),"غریب مدینه")</f>
        <v>غریب مدینه</v>
      </c>
      <c r="D6093" s="5" t="str">
        <f>IFERROR(__xludf.DUMMYFUNCTION("""COMPUTED_VALUE"""),"اصفهان ")</f>
        <v>اصفهان </v>
      </c>
      <c r="E6093" s="5" t="str">
        <f>IFERROR(__xludf.DUMMYFUNCTION("""COMPUTED_VALUE"""),"مبارکه")</f>
        <v>مبارکه</v>
      </c>
      <c r="F6093" s="5"/>
      <c r="G6093" s="5"/>
      <c r="H6093" s="5"/>
      <c r="I6093" s="5"/>
      <c r="J6093" s="6" t="str">
        <f>IFERROR(__xludf.DUMMYFUNCTION("""COMPUTED_VALUE"""),"https://eitaa.com/gharibmadine1")</f>
        <v>https://eitaa.com/gharibmadine1</v>
      </c>
      <c r="K6093" s="5"/>
      <c r="L6093" s="5"/>
      <c r="M6093" s="5"/>
      <c r="N6093" s="5"/>
      <c r="O6093" s="5"/>
      <c r="P6093" s="5"/>
      <c r="Q6093" s="5"/>
      <c r="R6093" s="5"/>
      <c r="S6093" s="5"/>
    </row>
    <row r="6094">
      <c r="A6094" s="5">
        <f>IFERROR(__xludf.DUMMYFUNCTION("""COMPUTED_VALUE"""),32264.0)</f>
        <v>32264</v>
      </c>
      <c r="B6094" s="5" t="str">
        <f>IFERROR(__xludf.DUMMYFUNCTION("""COMPUTED_VALUE"""),"هیأت")</f>
        <v>هیأت</v>
      </c>
      <c r="C6094" s="5" t="str">
        <f>IFERROR(__xludf.DUMMYFUNCTION("""COMPUTED_VALUE"""),"محبین الزهرا حوزه علمیه")</f>
        <v>محبین الزهرا حوزه علمیه</v>
      </c>
      <c r="D6094" s="5" t="str">
        <f>IFERROR(__xludf.DUMMYFUNCTION("""COMPUTED_VALUE"""),"اصفهان ")</f>
        <v>اصفهان </v>
      </c>
      <c r="E6094" s="5" t="str">
        <f>IFERROR(__xludf.DUMMYFUNCTION("""COMPUTED_VALUE"""),"اصفهان ")</f>
        <v>اصفهان </v>
      </c>
      <c r="F6094" s="5"/>
      <c r="G6094" s="5"/>
      <c r="H6094" s="6" t="str">
        <f>IFERROR(__xludf.DUMMYFUNCTION("""COMPUTED_VALUE"""),"https://www.instagram.com/mohebin_azahra/")</f>
        <v>https://www.instagram.com/mohebin_azahra/</v>
      </c>
      <c r="I6094" s="5"/>
      <c r="J6094" s="5"/>
      <c r="K6094" s="5"/>
      <c r="L6094" s="5"/>
      <c r="M6094" s="5"/>
      <c r="N6094" s="5"/>
      <c r="O6094" s="5"/>
      <c r="P6094" s="5"/>
      <c r="Q6094" s="5"/>
      <c r="R6094" s="5"/>
      <c r="S6094" s="5"/>
    </row>
    <row r="6095">
      <c r="A6095" s="5">
        <f>IFERROR(__xludf.DUMMYFUNCTION("""COMPUTED_VALUE"""),32279.0)</f>
        <v>32279</v>
      </c>
      <c r="B6095" s="5" t="str">
        <f>IFERROR(__xludf.DUMMYFUNCTION("""COMPUTED_VALUE"""),"هیأت")</f>
        <v>هیأت</v>
      </c>
      <c r="C6095" s="5" t="str">
        <f>IFERROR(__xludf.DUMMYFUNCTION("""COMPUTED_VALUE"""),"چهارده معصوم")</f>
        <v>چهارده معصوم</v>
      </c>
      <c r="D6095" s="5" t="str">
        <f>IFERROR(__xludf.DUMMYFUNCTION("""COMPUTED_VALUE"""),"اصفهان ")</f>
        <v>اصفهان </v>
      </c>
      <c r="E6095" s="5" t="str">
        <f>IFERROR(__xludf.DUMMYFUNCTION("""COMPUTED_VALUE"""),"اصفهان ")</f>
        <v>اصفهان </v>
      </c>
      <c r="F6095" s="5"/>
      <c r="G6095" s="5">
        <f>IFERROR(__xludf.DUMMYFUNCTION("""COMPUTED_VALUE"""),1.0)</f>
        <v>1</v>
      </c>
      <c r="H6095" s="6" t="str">
        <f>IFERROR(__xludf.DUMMYFUNCTION("""COMPUTED_VALUE"""),"https://www.instagram.com/14masoume_sfahan/")</f>
        <v>https://www.instagram.com/14masoume_sfahan/</v>
      </c>
      <c r="I6095" s="5"/>
      <c r="J6095" s="5"/>
      <c r="K6095" s="5"/>
      <c r="L6095" s="5"/>
      <c r="M6095" s="5"/>
      <c r="N6095" s="5"/>
      <c r="O6095" s="5"/>
      <c r="P6095" s="5"/>
      <c r="Q6095" s="5"/>
      <c r="R6095" s="5"/>
      <c r="S6095" s="5"/>
    </row>
    <row r="6096">
      <c r="A6096" s="5">
        <f>IFERROR(__xludf.DUMMYFUNCTION("""COMPUTED_VALUE"""),32282.0)</f>
        <v>32282</v>
      </c>
      <c r="B6096" s="5" t="str">
        <f>IFERROR(__xludf.DUMMYFUNCTION("""COMPUTED_VALUE"""),"هیأت")</f>
        <v>هیأت</v>
      </c>
      <c r="C6096" s="5" t="str">
        <f>IFERROR(__xludf.DUMMYFUNCTION("""COMPUTED_VALUE"""),"جوادالائمه (ع)")</f>
        <v>جوادالائمه (ع)</v>
      </c>
      <c r="D6096" s="5" t="str">
        <f>IFERROR(__xludf.DUMMYFUNCTION("""COMPUTED_VALUE"""),"اصفهان ")</f>
        <v>اصفهان </v>
      </c>
      <c r="E6096" s="5" t="str">
        <f>IFERROR(__xludf.DUMMYFUNCTION("""COMPUTED_VALUE"""),"اصفهان ")</f>
        <v>اصفهان </v>
      </c>
      <c r="F6096" s="5"/>
      <c r="G6096" s="5"/>
      <c r="H6096" s="6" t="str">
        <f>IFERROR(__xludf.DUMMYFUNCTION("""COMPUTED_VALUE"""),"https://www.instagram.com/javad_alaemeh_ir/")</f>
        <v>https://www.instagram.com/javad_alaemeh_ir/</v>
      </c>
      <c r="I6096" s="5"/>
      <c r="J6096" s="6" t="str">
        <f>IFERROR(__xludf.DUMMYFUNCTION("""COMPUTED_VALUE"""),"https://eitaa.com/javad_alaemeh_ir")</f>
        <v>https://eitaa.com/javad_alaemeh_ir</v>
      </c>
      <c r="K6096" s="5"/>
      <c r="L6096" s="5"/>
      <c r="M6096" s="5"/>
      <c r="N6096" s="5"/>
      <c r="O6096" s="5"/>
      <c r="P6096" s="5"/>
      <c r="Q6096" s="5"/>
      <c r="R6096" s="5"/>
      <c r="S6096" s="5"/>
    </row>
    <row r="6097">
      <c r="A6097" s="5">
        <f>IFERROR(__xludf.DUMMYFUNCTION("""COMPUTED_VALUE"""),32283.0)</f>
        <v>32283</v>
      </c>
      <c r="B6097" s="5" t="str">
        <f>IFERROR(__xludf.DUMMYFUNCTION("""COMPUTED_VALUE"""),"هیأت")</f>
        <v>هیأت</v>
      </c>
      <c r="C6097" s="5" t="str">
        <f>IFERROR(__xludf.DUMMYFUNCTION("""COMPUTED_VALUE"""),"ثقلین")</f>
        <v>ثقلین</v>
      </c>
      <c r="D6097" s="5" t="str">
        <f>IFERROR(__xludf.DUMMYFUNCTION("""COMPUTED_VALUE"""),"اصفهان ")</f>
        <v>اصفهان </v>
      </c>
      <c r="E6097" s="5" t="str">
        <f>IFERROR(__xludf.DUMMYFUNCTION("""COMPUTED_VALUE"""),"اصفهان ")</f>
        <v>اصفهان </v>
      </c>
      <c r="F6097" s="5"/>
      <c r="G6097" s="5"/>
      <c r="H6097" s="6" t="str">
        <f>IFERROR(__xludf.DUMMYFUNCTION("""COMPUTED_VALUE"""),"https://www.instagram.com/saghalain_isf/")</f>
        <v>https://www.instagram.com/saghalain_isf/</v>
      </c>
      <c r="I6097" s="5"/>
      <c r="J6097" s="6" t="str">
        <f>IFERROR(__xludf.DUMMYFUNCTION("""COMPUTED_VALUE"""),"https://eitaa.com/saghalain_isf")</f>
        <v>https://eitaa.com/saghalain_isf</v>
      </c>
      <c r="K6097" s="5"/>
      <c r="L6097" s="5"/>
      <c r="M6097" s="5"/>
      <c r="N6097" s="5"/>
      <c r="O6097" s="5"/>
      <c r="P6097" s="5"/>
      <c r="Q6097" s="5"/>
      <c r="R6097" s="5"/>
      <c r="S6097" s="5"/>
    </row>
    <row r="6098">
      <c r="A6098" s="5">
        <f>IFERROR(__xludf.DUMMYFUNCTION("""COMPUTED_VALUE"""),32286.0)</f>
        <v>32286</v>
      </c>
      <c r="B6098" s="5" t="str">
        <f>IFERROR(__xludf.DUMMYFUNCTION("""COMPUTED_VALUE"""),"هیأت")</f>
        <v>هیأت</v>
      </c>
      <c r="C6098" s="5" t="str">
        <f>IFERROR(__xludf.DUMMYFUNCTION("""COMPUTED_VALUE"""),"کریمه اهل بیت (س)")</f>
        <v>کریمه اهل بیت (س)</v>
      </c>
      <c r="D6098" s="5" t="str">
        <f>IFERROR(__xludf.DUMMYFUNCTION("""COMPUTED_VALUE"""),"اصفهان ")</f>
        <v>اصفهان </v>
      </c>
      <c r="E6098" s="5" t="str">
        <f>IFERROR(__xludf.DUMMYFUNCTION("""COMPUTED_VALUE"""),"اصفهان ")</f>
        <v>اصفهان </v>
      </c>
      <c r="F6098" s="5"/>
      <c r="G6098" s="5"/>
      <c r="H6098" s="6" t="str">
        <f>IFERROR(__xludf.DUMMYFUNCTION("""COMPUTED_VALUE"""),"https://www.instagram.com/heiatkarimeh.esfahan/")</f>
        <v>https://www.instagram.com/heiatkarimeh.esfahan/</v>
      </c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</row>
    <row r="6099">
      <c r="A6099" s="5">
        <f>IFERROR(__xludf.DUMMYFUNCTION("""COMPUTED_VALUE"""),32287.0)</f>
        <v>32287</v>
      </c>
      <c r="B6099" s="5" t="str">
        <f>IFERROR(__xludf.DUMMYFUNCTION("""COMPUTED_VALUE"""),"هیأت")</f>
        <v>هیأت</v>
      </c>
      <c r="C6099" s="5" t="str">
        <f>IFERROR(__xludf.DUMMYFUNCTION("""COMPUTED_VALUE"""),"قاسم بن الحسن (ع)")</f>
        <v>قاسم بن الحسن (ع)</v>
      </c>
      <c r="D6099" s="5" t="str">
        <f>IFERROR(__xludf.DUMMYFUNCTION("""COMPUTED_VALUE"""),"اصفهان ")</f>
        <v>اصفهان </v>
      </c>
      <c r="E6099" s="5" t="str">
        <f>IFERROR(__xludf.DUMMYFUNCTION("""COMPUTED_VALUE"""),"اصفهان ")</f>
        <v>اصفهان </v>
      </c>
      <c r="F6099" s="5"/>
      <c r="G6099" s="5"/>
      <c r="H6099" s="6" t="str">
        <f>IFERROR(__xludf.DUMMYFUNCTION("""COMPUTED_VALUE"""),"https://www.instagram.com/heyatghasem201")</f>
        <v>https://www.instagram.com/heyatghasem201</v>
      </c>
      <c r="I6099" s="6" t="str">
        <f>IFERROR(__xludf.DUMMYFUNCTION("""COMPUTED_VALUE"""),"https://t.me/hghasem201")</f>
        <v>https://t.me/hghasem201</v>
      </c>
      <c r="J6099" s="6" t="str">
        <f>IFERROR(__xludf.DUMMYFUNCTION("""COMPUTED_VALUE"""),"https://eitaa.com/hqasem201")</f>
        <v>https://eitaa.com/hqasem201</v>
      </c>
      <c r="K6099" s="5"/>
      <c r="L6099" s="5"/>
      <c r="M6099" s="5"/>
      <c r="N6099" s="5"/>
      <c r="O6099" s="5"/>
      <c r="P6099" s="5"/>
      <c r="Q6099" s="5"/>
      <c r="R6099" s="5"/>
      <c r="S6099" s="5"/>
    </row>
    <row r="6100">
      <c r="A6100" s="5">
        <f>IFERROR(__xludf.DUMMYFUNCTION("""COMPUTED_VALUE"""),32288.0)</f>
        <v>32288</v>
      </c>
      <c r="B6100" s="5" t="str">
        <f>IFERROR(__xludf.DUMMYFUNCTION("""COMPUTED_VALUE"""),"هیأت")</f>
        <v>هیأت</v>
      </c>
      <c r="C6100" s="5" t="str">
        <f>IFERROR(__xludf.DUMMYFUNCTION("""COMPUTED_VALUE"""),"روضه الحسن (ع)")</f>
        <v>روضه الحسن (ع)</v>
      </c>
      <c r="D6100" s="5" t="str">
        <f>IFERROR(__xludf.DUMMYFUNCTION("""COMPUTED_VALUE"""),"اصفهان ")</f>
        <v>اصفهان </v>
      </c>
      <c r="E6100" s="5" t="str">
        <f>IFERROR(__xludf.DUMMYFUNCTION("""COMPUTED_VALUE"""),"اصفهان ")</f>
        <v>اصفهان </v>
      </c>
      <c r="F6100" s="5"/>
      <c r="G6100" s="5"/>
      <c r="H6100" s="6" t="str">
        <f>IFERROR(__xludf.DUMMYFUNCTION("""COMPUTED_VALUE"""),"https://www.instagram.com/bicheragh118/")</f>
        <v>https://www.instagram.com/bicheragh118/</v>
      </c>
      <c r="I6100" s="6" t="str">
        <f>IFERROR(__xludf.DUMMYFUNCTION("""COMPUTED_VALUE"""),"https://t.me/bicheragh118")</f>
        <v>https://t.me/bicheragh118</v>
      </c>
      <c r="J6100" s="5"/>
      <c r="K6100" s="5"/>
      <c r="L6100" s="5"/>
      <c r="M6100" s="5"/>
      <c r="N6100" s="5"/>
      <c r="O6100" s="5"/>
      <c r="P6100" s="5"/>
      <c r="Q6100" s="5"/>
      <c r="R6100" s="5"/>
      <c r="S6100" s="5"/>
    </row>
    <row r="6101">
      <c r="A6101" s="5">
        <f>IFERROR(__xludf.DUMMYFUNCTION("""COMPUTED_VALUE"""),32292.0)</f>
        <v>32292</v>
      </c>
      <c r="B6101" s="5" t="str">
        <f>IFERROR(__xludf.DUMMYFUNCTION("""COMPUTED_VALUE"""),"هیأت")</f>
        <v>هیأت</v>
      </c>
      <c r="C6101" s="5" t="str">
        <f>IFERROR(__xludf.DUMMYFUNCTION("""COMPUTED_VALUE"""),"محفل فدائیان حضرت علی اکبر (ع)")</f>
        <v>محفل فدائیان حضرت علی اکبر (ع)</v>
      </c>
      <c r="D6101" s="5" t="str">
        <f>IFERROR(__xludf.DUMMYFUNCTION("""COMPUTED_VALUE"""),"اصفهان ")</f>
        <v>اصفهان </v>
      </c>
      <c r="E6101" s="5" t="str">
        <f>IFERROR(__xludf.DUMMYFUNCTION("""COMPUTED_VALUE"""),"برخوار")</f>
        <v>برخوار</v>
      </c>
      <c r="F6101" s="5" t="str">
        <f>IFERROR(__xludf.DUMMYFUNCTION("""COMPUTED_VALUE"""),"دولت اباد ")</f>
        <v>دولت اباد </v>
      </c>
      <c r="G6101" s="5"/>
      <c r="H6101" s="5"/>
      <c r="I6101" s="5"/>
      <c r="J6101" s="6" t="str">
        <f>IFERROR(__xludf.DUMMYFUNCTION("""COMPUTED_VALUE"""),"https://eitaa.com/mahfelaliakbar")</f>
        <v>https://eitaa.com/mahfelaliakbar</v>
      </c>
      <c r="K6101" s="5"/>
      <c r="L6101" s="5"/>
      <c r="M6101" s="5"/>
      <c r="N6101" s="5"/>
      <c r="O6101" s="5"/>
      <c r="P6101" s="5"/>
      <c r="Q6101" s="5"/>
      <c r="R6101" s="5"/>
      <c r="S6101" s="5"/>
    </row>
    <row r="6102">
      <c r="A6102" s="5">
        <f>IFERROR(__xludf.DUMMYFUNCTION("""COMPUTED_VALUE"""),32295.0)</f>
        <v>32295</v>
      </c>
      <c r="B6102" s="5" t="str">
        <f>IFERROR(__xludf.DUMMYFUNCTION("""COMPUTED_VALUE"""),"هیأت")</f>
        <v>هیأت</v>
      </c>
      <c r="C6102" s="5" t="str">
        <f>IFERROR(__xludf.DUMMYFUNCTION("""COMPUTED_VALUE"""),"ثامن الحجج (ع)")</f>
        <v>ثامن الحجج (ع)</v>
      </c>
      <c r="D6102" s="5" t="str">
        <f>IFERROR(__xludf.DUMMYFUNCTION("""COMPUTED_VALUE"""),"اصفهان ")</f>
        <v>اصفهان </v>
      </c>
      <c r="E6102" s="5" t="str">
        <f>IFERROR(__xludf.DUMMYFUNCTION("""COMPUTED_VALUE"""),"اصفهان ")</f>
        <v>اصفهان </v>
      </c>
      <c r="F6102" s="5"/>
      <c r="G6102" s="5"/>
      <c r="H6102" s="6" t="str">
        <f>IFERROR(__xludf.DUMMYFUNCTION("""COMPUTED_VALUE"""),"https://www.instagram.com/samenolhojj/reels/")</f>
        <v>https://www.instagram.com/samenolhojj/reels/</v>
      </c>
      <c r="I6102" s="5"/>
      <c r="J6102" s="5"/>
      <c r="K6102" s="5"/>
      <c r="L6102" s="5"/>
      <c r="M6102" s="5"/>
      <c r="N6102" s="5"/>
      <c r="O6102" s="5"/>
      <c r="P6102" s="5"/>
      <c r="Q6102" s="5"/>
      <c r="R6102" s="5"/>
      <c r="S6102" s="5"/>
    </row>
    <row r="6103">
      <c r="A6103" s="5">
        <f>IFERROR(__xludf.DUMMYFUNCTION("""COMPUTED_VALUE"""),32297.0)</f>
        <v>32297</v>
      </c>
      <c r="B6103" s="5" t="str">
        <f>IFERROR(__xludf.DUMMYFUNCTION("""COMPUTED_VALUE"""),"هیأت")</f>
        <v>هیأت</v>
      </c>
      <c r="C6103" s="5" t="str">
        <f>IFERROR(__xludf.DUMMYFUNCTION("""COMPUTED_VALUE"""),"حضرت زینب (س)")</f>
        <v>حضرت زینب (س)</v>
      </c>
      <c r="D6103" s="5" t="str">
        <f>IFERROR(__xludf.DUMMYFUNCTION("""COMPUTED_VALUE"""),"اصفهان ")</f>
        <v>اصفهان </v>
      </c>
      <c r="E6103" s="5" t="str">
        <f>IFERROR(__xludf.DUMMYFUNCTION("""COMPUTED_VALUE"""),"خمینی شهر ")</f>
        <v>خمینی شهر </v>
      </c>
      <c r="F6103" s="5" t="str">
        <f>IFERROR(__xludf.DUMMYFUNCTION("""COMPUTED_VALUE"""),"درچه پیاز")</f>
        <v>درچه پیاز</v>
      </c>
      <c r="G6103" s="5"/>
      <c r="H6103" s="6" t="str">
        <f>IFERROR(__xludf.DUMMYFUNCTION("""COMPUTED_VALUE"""),"https://www.instagram.com/heat_alsiedah_zeinab/")</f>
        <v>https://www.instagram.com/heat_alsiedah_zeinab/</v>
      </c>
      <c r="I6103" s="5"/>
      <c r="J6103" s="6" t="str">
        <f>IFERROR(__xludf.DUMMYFUNCTION("""COMPUTED_VALUE"""),"https://eitaa.com/hazratezeinab3")</f>
        <v>https://eitaa.com/hazratezeinab3</v>
      </c>
      <c r="K6103" s="5"/>
      <c r="L6103" s="5"/>
      <c r="M6103" s="5"/>
      <c r="N6103" s="5"/>
      <c r="O6103" s="5"/>
      <c r="P6103" s="5"/>
      <c r="Q6103" s="5"/>
      <c r="R6103" s="5"/>
      <c r="S6103" s="5"/>
    </row>
    <row r="6104">
      <c r="A6104" s="5">
        <f>IFERROR(__xludf.DUMMYFUNCTION("""COMPUTED_VALUE"""),32348.0)</f>
        <v>32348</v>
      </c>
      <c r="B6104" s="5" t="str">
        <f>IFERROR(__xludf.DUMMYFUNCTION("""COMPUTED_VALUE"""),"هیأت دانشجویی")</f>
        <v>هیأت دانشجویی</v>
      </c>
      <c r="C6104" s="5" t="str">
        <f>IFERROR(__xludf.DUMMYFUNCTION("""COMPUTED_VALUE"""),"ثار الله")</f>
        <v>ثار الله</v>
      </c>
      <c r="D6104" s="5" t="str">
        <f>IFERROR(__xludf.DUMMYFUNCTION("""COMPUTED_VALUE"""),"اصفهان ")</f>
        <v>اصفهان </v>
      </c>
      <c r="E6104" s="5" t="str">
        <f>IFERROR(__xludf.DUMMYFUNCTION("""COMPUTED_VALUE"""),"اصفهان")</f>
        <v>اصفهان</v>
      </c>
      <c r="F6104" s="5"/>
      <c r="G6104" s="5"/>
      <c r="H6104" s="6" t="str">
        <f>IFERROR(__xludf.DUMMYFUNCTION("""COMPUTED_VALUE"""),"https://www.instagram.com/sarallahmui/")</f>
        <v>https://www.instagram.com/sarallahmui/</v>
      </c>
      <c r="I6104" s="6" t="str">
        <f>IFERROR(__xludf.DUMMYFUNCTION("""COMPUTED_VALUE"""),"https://t.me/sarallahmui")</f>
        <v>https://t.me/sarallahmui</v>
      </c>
      <c r="J6104" s="5"/>
      <c r="K6104" s="5"/>
      <c r="L6104" s="5"/>
      <c r="M6104" s="5"/>
      <c r="N6104" s="5"/>
      <c r="O6104" s="5"/>
      <c r="P6104" s="5"/>
      <c r="Q6104" s="5"/>
      <c r="R6104" s="5"/>
      <c r="S6104" s="5"/>
    </row>
    <row r="6105">
      <c r="A6105" s="5">
        <f>IFERROR(__xludf.DUMMYFUNCTION("""COMPUTED_VALUE"""),32380.0)</f>
        <v>32380</v>
      </c>
      <c r="B6105" s="5" t="str">
        <f>IFERROR(__xludf.DUMMYFUNCTION("""COMPUTED_VALUE"""),"هیأت")</f>
        <v>هیأت</v>
      </c>
      <c r="C6105" s="5" t="str">
        <f>IFERROR(__xludf.DUMMYFUNCTION("""COMPUTED_VALUE"""),"کانون خدمت رضوی")</f>
        <v>کانون خدمت رضوی</v>
      </c>
      <c r="D6105" s="5" t="str">
        <f>IFERROR(__xludf.DUMMYFUNCTION("""COMPUTED_VALUE"""),"اصفهان ")</f>
        <v>اصفهان </v>
      </c>
      <c r="E6105" s="5" t="str">
        <f>IFERROR(__xludf.DUMMYFUNCTION("""COMPUTED_VALUE"""),"شهرضا")</f>
        <v>شهرضا</v>
      </c>
      <c r="F6105" s="5"/>
      <c r="G6105" s="5"/>
      <c r="H6105" s="6" t="str">
        <f>IFERROR(__xludf.DUMMYFUNCTION("""COMPUTED_VALUE"""),"https://www.instagram.com/k.kh.r_shahrezaa/")</f>
        <v>https://www.instagram.com/k.kh.r_shahrezaa/</v>
      </c>
      <c r="I6105" s="5"/>
      <c r="J6105" s="5"/>
      <c r="K6105" s="5"/>
      <c r="L6105" s="5"/>
      <c r="M6105" s="5"/>
      <c r="N6105" s="5"/>
      <c r="O6105" s="5"/>
      <c r="P6105" s="5"/>
      <c r="Q6105" s="5"/>
      <c r="R6105" s="5"/>
      <c r="S6105" s="5"/>
    </row>
    <row r="6106">
      <c r="A6106" s="5">
        <f>IFERROR(__xludf.DUMMYFUNCTION("""COMPUTED_VALUE"""),32387.0)</f>
        <v>32387</v>
      </c>
      <c r="B6106" s="5" t="str">
        <f>IFERROR(__xludf.DUMMYFUNCTION("""COMPUTED_VALUE"""),"هیأت")</f>
        <v>هیأت</v>
      </c>
      <c r="C6106" s="5" t="str">
        <f>IFERROR(__xludf.DUMMYFUNCTION("""COMPUTED_VALUE"""),"متوسلین به چهارده معصوم")</f>
        <v>متوسلین به چهارده معصوم</v>
      </c>
      <c r="D6106" s="5" t="str">
        <f>IFERROR(__xludf.DUMMYFUNCTION("""COMPUTED_VALUE"""),"اصفهان ")</f>
        <v>اصفهان </v>
      </c>
      <c r="E6106" s="5" t="str">
        <f>IFERROR(__xludf.DUMMYFUNCTION("""COMPUTED_VALUE"""),"کوهپایه")</f>
        <v>کوهپایه</v>
      </c>
      <c r="F6106" s="5"/>
      <c r="G6106" s="5"/>
      <c r="H6106" s="6" t="str">
        <f>IFERROR(__xludf.DUMMYFUNCTION("""COMPUTED_VALUE"""),"https://www.instagram.com/h14maasom")</f>
        <v>https://www.instagram.com/h14maasom</v>
      </c>
      <c r="I6106" s="6" t="str">
        <f>IFERROR(__xludf.DUMMYFUNCTION("""COMPUTED_VALUE"""),"https://t.me/h14maasom")</f>
        <v>https://t.me/h14maasom</v>
      </c>
      <c r="J6106" s="5"/>
      <c r="K6106" s="5"/>
      <c r="L6106" s="5"/>
      <c r="M6106" s="5"/>
      <c r="N6106" s="5"/>
      <c r="O6106" s="5"/>
      <c r="P6106" s="5"/>
      <c r="Q6106" s="5"/>
      <c r="R6106" s="5"/>
      <c r="S6106" s="5"/>
    </row>
    <row r="6107">
      <c r="A6107" s="5">
        <f>IFERROR(__xludf.DUMMYFUNCTION("""COMPUTED_VALUE"""),32428.0)</f>
        <v>32428</v>
      </c>
      <c r="B6107" s="5" t="str">
        <f>IFERROR(__xludf.DUMMYFUNCTION("""COMPUTED_VALUE"""),"هیأت")</f>
        <v>هیأت</v>
      </c>
      <c r="C6107" s="5" t="str">
        <f>IFERROR(__xludf.DUMMYFUNCTION("""COMPUTED_VALUE"""),"قمربنی هاشم (ع) ")</f>
        <v>قمربنی هاشم (ع) </v>
      </c>
      <c r="D6107" s="5" t="str">
        <f>IFERROR(__xludf.DUMMYFUNCTION("""COMPUTED_VALUE"""),"اصفهان ")</f>
        <v>اصفهان </v>
      </c>
      <c r="E6107" s="5" t="str">
        <f>IFERROR(__xludf.DUMMYFUNCTION("""COMPUTED_VALUE"""),"فریدن")</f>
        <v>فریدن</v>
      </c>
      <c r="F6107" s="5" t="str">
        <f>IFERROR(__xludf.DUMMYFUNCTION("""COMPUTED_VALUE"""),"روستای ننادگان")</f>
        <v>روستای ننادگان</v>
      </c>
      <c r="G6107" s="5"/>
      <c r="H6107" s="6" t="str">
        <f>IFERROR(__xludf.DUMMYFUNCTION("""COMPUTED_VALUE"""),"https://www.instagram.com/heiat_ghamare_bani_hashem/")</f>
        <v>https://www.instagram.com/heiat_ghamare_bani_hashem/</v>
      </c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</row>
    <row r="6108">
      <c r="A6108" s="5">
        <f>IFERROR(__xludf.DUMMYFUNCTION("""COMPUTED_VALUE"""),32439.0)</f>
        <v>32439</v>
      </c>
      <c r="B6108" s="5" t="str">
        <f>IFERROR(__xludf.DUMMYFUNCTION("""COMPUTED_VALUE"""),"هیأت")</f>
        <v>هیأت</v>
      </c>
      <c r="C6108" s="5" t="str">
        <f>IFERROR(__xludf.DUMMYFUNCTION("""COMPUTED_VALUE"""),"حضرت علی اکبر (ع)
")</f>
        <v>حضرت علی اکبر (ع)
</v>
      </c>
      <c r="D6108" s="5" t="str">
        <f>IFERROR(__xludf.DUMMYFUNCTION("""COMPUTED_VALUE"""),"اصفهان ")</f>
        <v>اصفهان </v>
      </c>
      <c r="E6108" s="5" t="str">
        <f>IFERROR(__xludf.DUMMYFUNCTION("""COMPUTED_VALUE"""),"شهرضا")</f>
        <v>شهرضا</v>
      </c>
      <c r="F6108" s="5"/>
      <c r="G6108" s="5"/>
      <c r="H6108" s="6" t="str">
        <f>IFERROR(__xludf.DUMMYFUNCTION("""COMPUTED_VALUE"""),"https://www.instagram.com/heyaat_ali_akbar_alamat/")</f>
        <v>https://www.instagram.com/heyaat_ali_akbar_alamat/</v>
      </c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</row>
    <row r="6109">
      <c r="A6109" s="5">
        <f>IFERROR(__xludf.DUMMYFUNCTION("""COMPUTED_VALUE"""),32441.0)</f>
        <v>32441</v>
      </c>
      <c r="B6109" s="5" t="str">
        <f>IFERROR(__xludf.DUMMYFUNCTION("""COMPUTED_VALUE"""),"هیأت")</f>
        <v>هیأت</v>
      </c>
      <c r="C6109" s="5" t="str">
        <f>IFERROR(__xludf.DUMMYFUNCTION("""COMPUTED_VALUE"""),"مرکز فرهنگی قدس")</f>
        <v>مرکز فرهنگی قدس</v>
      </c>
      <c r="D6109" s="5" t="str">
        <f>IFERROR(__xludf.DUMMYFUNCTION("""COMPUTED_VALUE"""),"اصفهان ")</f>
        <v>اصفهان </v>
      </c>
      <c r="E6109" s="5" t="str">
        <f>IFERROR(__xludf.DUMMYFUNCTION("""COMPUTED_VALUE"""),"اصفهان ")</f>
        <v>اصفهان </v>
      </c>
      <c r="F6109" s="5"/>
      <c r="G6109" s="5"/>
      <c r="H6109" s="6" t="str">
        <f>IFERROR(__xludf.DUMMYFUNCTION("""COMPUTED_VALUE"""),"https://www.instagram.com/qodsian_com/")</f>
        <v>https://www.instagram.com/qodsian_com/</v>
      </c>
      <c r="I6109" s="5"/>
      <c r="J6109" s="6" t="str">
        <f>IFERROR(__xludf.DUMMYFUNCTION("""COMPUTED_VALUE"""),"https://eitaa.com/qodsian_com")</f>
        <v>https://eitaa.com/qodsian_com</v>
      </c>
      <c r="K6109" s="5"/>
      <c r="L6109" s="5"/>
      <c r="M6109" s="5"/>
      <c r="N6109" s="5"/>
      <c r="O6109" s="5"/>
      <c r="P6109" s="5"/>
      <c r="Q6109" s="5"/>
      <c r="R6109" s="5"/>
      <c r="S6109" s="5"/>
    </row>
    <row r="6110">
      <c r="A6110" s="5">
        <f>IFERROR(__xludf.DUMMYFUNCTION("""COMPUTED_VALUE"""),32453.0)</f>
        <v>32453</v>
      </c>
      <c r="B6110" s="5" t="str">
        <f>IFERROR(__xludf.DUMMYFUNCTION("""COMPUTED_VALUE"""),"هیأت")</f>
        <v>هیأت</v>
      </c>
      <c r="C6110" s="5" t="str">
        <f>IFERROR(__xludf.DUMMYFUNCTION("""COMPUTED_VALUE"""),"مجموعه فرهنگی عاشوراییان")</f>
        <v>مجموعه فرهنگی عاشوراییان</v>
      </c>
      <c r="D6110" s="5" t="str">
        <f>IFERROR(__xludf.DUMMYFUNCTION("""COMPUTED_VALUE"""),"اصفهان ")</f>
        <v>اصفهان </v>
      </c>
      <c r="E6110" s="5" t="str">
        <f>IFERROR(__xludf.DUMMYFUNCTION("""COMPUTED_VALUE"""),"اصفهان ")</f>
        <v>اصفهان </v>
      </c>
      <c r="F6110" s="5"/>
      <c r="G6110" s="5"/>
      <c r="H6110" s="6" t="str">
        <f>IFERROR(__xludf.DUMMYFUNCTION("""COMPUTED_VALUE"""),"https://www.instagram.com/ashouraiyan")</f>
        <v>https://www.instagram.com/ashouraiyan</v>
      </c>
      <c r="I6110" s="5"/>
      <c r="J6110" s="6" t="str">
        <f>IFERROR(__xludf.DUMMYFUNCTION("""COMPUTED_VALUE"""),"https://eitaa.com/ashouraiyan_ir")</f>
        <v>https://eitaa.com/ashouraiyan_ir</v>
      </c>
      <c r="K6110" s="5"/>
      <c r="L6110" s="5"/>
      <c r="M6110" s="5"/>
      <c r="N6110" s="5"/>
      <c r="O6110" s="5"/>
      <c r="P6110" s="5"/>
      <c r="Q6110" s="5"/>
      <c r="R6110" s="5"/>
      <c r="S6110" s="5"/>
    </row>
    <row r="6111">
      <c r="A6111" s="5">
        <f>IFERROR(__xludf.DUMMYFUNCTION("""COMPUTED_VALUE"""),32469.0)</f>
        <v>32469</v>
      </c>
      <c r="B6111" s="5" t="str">
        <f>IFERROR(__xludf.DUMMYFUNCTION("""COMPUTED_VALUE"""),"هیأت")</f>
        <v>هیأت</v>
      </c>
      <c r="C6111" s="5" t="str">
        <f>IFERROR(__xludf.DUMMYFUNCTION("""COMPUTED_VALUE"""),"موکب انصارالمهدی (عج)")</f>
        <v>موکب انصارالمهدی (عج)</v>
      </c>
      <c r="D6111" s="5" t="str">
        <f>IFERROR(__xludf.DUMMYFUNCTION("""COMPUTED_VALUE"""),"اصفهان ")</f>
        <v>اصفهان </v>
      </c>
      <c r="E6111" s="5" t="str">
        <f>IFERROR(__xludf.DUMMYFUNCTION("""COMPUTED_VALUE"""),"اصفهان ")</f>
        <v>اصفهان </v>
      </c>
      <c r="F6111" s="5"/>
      <c r="G6111" s="5">
        <f>IFERROR(__xludf.DUMMYFUNCTION("""COMPUTED_VALUE"""),1.0)</f>
        <v>1</v>
      </c>
      <c r="H6111" s="6" t="str">
        <f>IFERROR(__xludf.DUMMYFUNCTION("""COMPUTED_VALUE"""),"https://www.instagram.com/nahno_ansarolmahdi/")</f>
        <v>https://www.instagram.com/nahno_ansarolmahdi/</v>
      </c>
      <c r="I6111" s="6" t="str">
        <f>IFERROR(__xludf.DUMMYFUNCTION("""COMPUTED_VALUE"""),"https://t.me/heyateansarolmahdi313")</f>
        <v>https://t.me/heyateansarolmahdi313</v>
      </c>
      <c r="J6111" s="5"/>
      <c r="K6111" s="5"/>
      <c r="L6111" s="5"/>
      <c r="M6111" s="5"/>
      <c r="N6111" s="5"/>
      <c r="O6111" s="5"/>
      <c r="P6111" s="5"/>
      <c r="Q6111" s="5"/>
      <c r="R6111" s="5"/>
      <c r="S6111" s="5"/>
    </row>
    <row r="6112">
      <c r="A6112" s="5">
        <f>IFERROR(__xludf.DUMMYFUNCTION("""COMPUTED_VALUE"""),32611.0)</f>
        <v>32611</v>
      </c>
      <c r="B6112" s="5" t="str">
        <f>IFERROR(__xludf.DUMMYFUNCTION("""COMPUTED_VALUE"""),"هیأت")</f>
        <v>هیأت</v>
      </c>
      <c r="C6112" s="5" t="str">
        <f>IFERROR(__xludf.DUMMYFUNCTION("""COMPUTED_VALUE"""),"محبین الزهرا (س)
")</f>
        <v>محبین الزهرا (س)
</v>
      </c>
      <c r="D6112" s="5" t="str">
        <f>IFERROR(__xludf.DUMMYFUNCTION("""COMPUTED_VALUE"""),"اصفهان ")</f>
        <v>اصفهان </v>
      </c>
      <c r="E6112" s="5" t="str">
        <f>IFERROR(__xludf.DUMMYFUNCTION("""COMPUTED_VALUE"""),"مبارکه ")</f>
        <v>مبارکه </v>
      </c>
      <c r="F6112" s="5"/>
      <c r="G6112" s="5"/>
      <c r="H6112" s="6" t="str">
        <f>IFERROR(__xludf.DUMMYFUNCTION("""COMPUTED_VALUE"""),"https://www.instagram.com/mohebin_zahra135/")</f>
        <v>https://www.instagram.com/mohebin_zahra135/</v>
      </c>
      <c r="I6112" s="5"/>
      <c r="J6112" s="6" t="str">
        <f>IFERROR(__xludf.DUMMYFUNCTION("""COMPUTED_VALUE"""),"https://eitaa.com/mohebin_zahra135")</f>
        <v>https://eitaa.com/mohebin_zahra135</v>
      </c>
      <c r="K6112" s="5"/>
      <c r="L6112" s="5"/>
      <c r="M6112" s="5"/>
      <c r="N6112" s="5"/>
      <c r="O6112" s="5"/>
      <c r="P6112" s="5"/>
      <c r="Q6112" s="5"/>
      <c r="R6112" s="5"/>
      <c r="S6112" s="5"/>
    </row>
    <row r="6113">
      <c r="A6113" s="5">
        <f>IFERROR(__xludf.DUMMYFUNCTION("""COMPUTED_VALUE"""),32612.0)</f>
        <v>32612</v>
      </c>
      <c r="B6113" s="5" t="str">
        <f>IFERROR(__xludf.DUMMYFUNCTION("""COMPUTED_VALUE"""),"هیأت")</f>
        <v>هیأت</v>
      </c>
      <c r="C6113" s="5" t="str">
        <f>IFERROR(__xludf.DUMMYFUNCTION("""COMPUTED_VALUE"""),"مکتب الزهرا (س)")</f>
        <v>مکتب الزهرا (س)</v>
      </c>
      <c r="D6113" s="5" t="str">
        <f>IFERROR(__xludf.DUMMYFUNCTION("""COMPUTED_VALUE"""),"اصفهان ")</f>
        <v>اصفهان </v>
      </c>
      <c r="E6113" s="5" t="str">
        <f>IFERROR(__xludf.DUMMYFUNCTION("""COMPUTED_VALUE"""),"گلپایگان")</f>
        <v>گلپایگان</v>
      </c>
      <c r="F6113" s="5"/>
      <c r="G6113" s="5"/>
      <c r="H6113" s="6" t="str">
        <f>IFERROR(__xludf.DUMMYFUNCTION("""COMPUTED_VALUE"""),"https://www.instagram.com/hmzg.ir/")</f>
        <v>https://www.instagram.com/hmzg.ir/</v>
      </c>
      <c r="I6113" s="5"/>
      <c r="J6113" s="5"/>
      <c r="K6113" s="5"/>
      <c r="L6113" s="5"/>
      <c r="M6113" s="5"/>
      <c r="N6113" s="5"/>
      <c r="O6113" s="5"/>
      <c r="P6113" s="5"/>
      <c r="Q6113" s="5"/>
      <c r="R6113" s="5"/>
      <c r="S6113" s="5"/>
    </row>
    <row r="6114">
      <c r="A6114" s="5">
        <f>IFERROR(__xludf.DUMMYFUNCTION("""COMPUTED_VALUE"""),32615.0)</f>
        <v>32615</v>
      </c>
      <c r="B6114" s="5" t="str">
        <f>IFERROR(__xludf.DUMMYFUNCTION("""COMPUTED_VALUE"""),"هیأت")</f>
        <v>هیأت</v>
      </c>
      <c r="C6114" s="5" t="str">
        <f>IFERROR(__xludf.DUMMYFUNCTION("""COMPUTED_VALUE"""),"صاحب الزمان (عج)")</f>
        <v>صاحب الزمان (عج)</v>
      </c>
      <c r="D6114" s="5" t="str">
        <f>IFERROR(__xludf.DUMMYFUNCTION("""COMPUTED_VALUE"""),"اصفهان ")</f>
        <v>اصفهان </v>
      </c>
      <c r="E6114" s="5" t="str">
        <f>IFERROR(__xludf.DUMMYFUNCTION("""COMPUTED_VALUE"""),"اصفهان ")</f>
        <v>اصفهان </v>
      </c>
      <c r="F6114" s="5"/>
      <c r="G6114" s="5"/>
      <c r="H6114" s="5"/>
      <c r="I6114" s="5"/>
      <c r="J6114" s="6" t="str">
        <f>IFERROR(__xludf.DUMMYFUNCTION("""COMPUTED_VALUE"""),"https://eitaa.com/sahebazzaman313_1402")</f>
        <v>https://eitaa.com/sahebazzaman313_1402</v>
      </c>
      <c r="K6114" s="5"/>
      <c r="L6114" s="5"/>
      <c r="M6114" s="5"/>
      <c r="N6114" s="5"/>
      <c r="O6114" s="5"/>
      <c r="P6114" s="5"/>
      <c r="Q6114" s="5"/>
      <c r="R6114" s="5"/>
      <c r="S6114" s="5"/>
    </row>
    <row r="6115">
      <c r="A6115" s="5">
        <f>IFERROR(__xludf.DUMMYFUNCTION("""COMPUTED_VALUE"""),32616.0)</f>
        <v>32616</v>
      </c>
      <c r="B6115" s="5" t="str">
        <f>IFERROR(__xludf.DUMMYFUNCTION("""COMPUTED_VALUE"""),"هیأت")</f>
        <v>هیأت</v>
      </c>
      <c r="C6115" s="5" t="str">
        <f>IFERROR(__xludf.DUMMYFUNCTION("""COMPUTED_VALUE"""),"مکتب الحسین (ع)")</f>
        <v>مکتب الحسین (ع)</v>
      </c>
      <c r="D6115" s="5" t="str">
        <f>IFERROR(__xludf.DUMMYFUNCTION("""COMPUTED_VALUE"""),"اصفهان ")</f>
        <v>اصفهان </v>
      </c>
      <c r="E6115" s="5" t="str">
        <f>IFERROR(__xludf.DUMMYFUNCTION("""COMPUTED_VALUE"""),"شاهین شهر و میمه ")</f>
        <v>شاهین شهر و میمه </v>
      </c>
      <c r="F6115" s="5" t="str">
        <f>IFERROR(__xludf.DUMMYFUNCTION("""COMPUTED_VALUE"""),"شاهین شهر ")</f>
        <v>شاهین شهر </v>
      </c>
      <c r="G6115" s="5"/>
      <c r="H6115" s="6" t="str">
        <f>IFERROR(__xludf.DUMMYFUNCTION("""COMPUTED_VALUE"""),"https://www.instagram.com/maktabolhossein313")</f>
        <v>https://www.instagram.com/maktabolhossein313</v>
      </c>
      <c r="I6115" s="5"/>
      <c r="J6115" s="6" t="str">
        <f>IFERROR(__xludf.DUMMYFUNCTION("""COMPUTED_VALUE"""),"https://eitaa.com/maktabolhossein313")</f>
        <v>https://eitaa.com/maktabolhossein313</v>
      </c>
      <c r="K6115" s="5"/>
      <c r="L6115" s="5"/>
      <c r="M6115" s="5"/>
      <c r="N6115" s="5"/>
      <c r="O6115" s="5"/>
      <c r="P6115" s="5"/>
      <c r="Q6115" s="5"/>
      <c r="R6115" s="5"/>
      <c r="S6115" s="5"/>
    </row>
    <row r="6116">
      <c r="A6116" s="5">
        <f>IFERROR(__xludf.DUMMYFUNCTION("""COMPUTED_VALUE"""),32678.0)</f>
        <v>32678</v>
      </c>
      <c r="B6116" s="5" t="str">
        <f>IFERROR(__xludf.DUMMYFUNCTION("""COMPUTED_VALUE"""),"هیأت")</f>
        <v>هیأت</v>
      </c>
      <c r="C6116" s="5" t="str">
        <f>IFERROR(__xludf.DUMMYFUNCTION("""COMPUTED_VALUE"""),"هیأت الشهید")</f>
        <v>هیأت الشهید</v>
      </c>
      <c r="D6116" s="5" t="str">
        <f>IFERROR(__xludf.DUMMYFUNCTION("""COMPUTED_VALUE"""),"اصفهان ")</f>
        <v>اصفهان </v>
      </c>
      <c r="E6116" s="5" t="str">
        <f>IFERROR(__xludf.DUMMYFUNCTION("""COMPUTED_VALUE"""),"شهرضا")</f>
        <v>شهرضا</v>
      </c>
      <c r="F6116" s="5"/>
      <c r="G6116" s="5"/>
      <c r="H6116" s="6" t="str">
        <f>IFERROR(__xludf.DUMMYFUNCTION("""COMPUTED_VALUE"""),"https://www.instagram.com/heyat_al_shahid")</f>
        <v>https://www.instagram.com/heyat_al_shahid</v>
      </c>
      <c r="I6116" s="5"/>
      <c r="J6116" s="6" t="str">
        <f>IFERROR(__xludf.DUMMYFUNCTION("""COMPUTED_VALUE"""),"https://eitaa.com/heyat_Al_shahid_shahreza")</f>
        <v>https://eitaa.com/heyat_Al_shahid_shahreza</v>
      </c>
      <c r="K6116" s="5"/>
      <c r="L6116" s="5"/>
      <c r="M6116" s="5"/>
      <c r="N6116" s="5"/>
      <c r="O6116" s="5"/>
      <c r="P6116" s="5"/>
      <c r="Q6116" s="5"/>
      <c r="R6116" s="5"/>
      <c r="S6116" s="5"/>
    </row>
    <row r="6117">
      <c r="A6117" s="5">
        <f>IFERROR(__xludf.DUMMYFUNCTION("""COMPUTED_VALUE"""),32760.0)</f>
        <v>32760</v>
      </c>
      <c r="B6117" s="5" t="str">
        <f>IFERROR(__xludf.DUMMYFUNCTION("""COMPUTED_VALUE"""),"هیأت")</f>
        <v>هیأت</v>
      </c>
      <c r="C6117" s="5" t="str">
        <f>IFERROR(__xludf.DUMMYFUNCTION("""COMPUTED_VALUE"""),"قمربنی هاشم (ع)")</f>
        <v>قمربنی هاشم (ع)</v>
      </c>
      <c r="D6117" s="5" t="str">
        <f>IFERROR(__xludf.DUMMYFUNCTION("""COMPUTED_VALUE"""),"اصفهان ")</f>
        <v>اصفهان </v>
      </c>
      <c r="E6117" s="5" t="str">
        <f>IFERROR(__xludf.DUMMYFUNCTION("""COMPUTED_VALUE"""),"سمیرم ")</f>
        <v>سمیرم </v>
      </c>
      <c r="F6117" s="5" t="str">
        <f>IFERROR(__xludf.DUMMYFUNCTION("""COMPUTED_VALUE"""),"روستای حنا")</f>
        <v>روستای حنا</v>
      </c>
      <c r="G6117" s="5"/>
      <c r="H6117" s="6" t="str">
        <f>IFERROR(__xludf.DUMMYFUNCTION("""COMPUTED_VALUE"""),"https://www.instagram.com/qamare.bani.hashem/")</f>
        <v>https://www.instagram.com/qamare.bani.hashem/</v>
      </c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</row>
    <row r="6118">
      <c r="A6118" s="5">
        <f>IFERROR(__xludf.DUMMYFUNCTION("""COMPUTED_VALUE"""),32791.0)</f>
        <v>32791</v>
      </c>
      <c r="B6118" s="5" t="str">
        <f>IFERROR(__xludf.DUMMYFUNCTION("""COMPUTED_VALUE"""),"هیأت")</f>
        <v>هیأت</v>
      </c>
      <c r="C6118" s="5" t="str">
        <f>IFERROR(__xludf.DUMMYFUNCTION("""COMPUTED_VALUE"""),"ام البنین (س)")</f>
        <v>ام البنین (س)</v>
      </c>
      <c r="D6118" s="5" t="str">
        <f>IFERROR(__xludf.DUMMYFUNCTION("""COMPUTED_VALUE"""),"اصفهان ")</f>
        <v>اصفهان </v>
      </c>
      <c r="E6118" s="5" t="str">
        <f>IFERROR(__xludf.DUMMYFUNCTION("""COMPUTED_VALUE"""),"سمرم")</f>
        <v>سمرم</v>
      </c>
      <c r="F6118" s="5"/>
      <c r="G6118" s="5"/>
      <c r="H6118" s="5"/>
      <c r="I6118" s="5"/>
      <c r="J6118" s="6" t="str">
        <f>IFERROR(__xludf.DUMMYFUNCTION("""COMPUTED_VALUE"""),"https://eitaa.com/omolbanin_98")</f>
        <v>https://eitaa.com/omolbanin_98</v>
      </c>
      <c r="K6118" s="5"/>
      <c r="L6118" s="5"/>
      <c r="M6118" s="5"/>
      <c r="N6118" s="5"/>
      <c r="O6118" s="5"/>
      <c r="P6118" s="5"/>
      <c r="Q6118" s="5"/>
      <c r="R6118" s="5"/>
      <c r="S6118" s="5"/>
    </row>
    <row r="6119">
      <c r="A6119" s="5">
        <f>IFERROR(__xludf.DUMMYFUNCTION("""COMPUTED_VALUE"""),32826.0)</f>
        <v>32826</v>
      </c>
      <c r="B6119" s="5" t="str">
        <f>IFERROR(__xludf.DUMMYFUNCTION("""COMPUTED_VALUE"""),"هیأت")</f>
        <v>هیأت</v>
      </c>
      <c r="C6119" s="5" t="str">
        <f>IFERROR(__xludf.DUMMYFUNCTION("""COMPUTED_VALUE"""),"خادم الشهدا")</f>
        <v>خادم الشهدا</v>
      </c>
      <c r="D6119" s="5" t="str">
        <f>IFERROR(__xludf.DUMMYFUNCTION("""COMPUTED_VALUE"""),"اصفهان ")</f>
        <v>اصفهان </v>
      </c>
      <c r="E6119" s="5" t="str">
        <f>IFERROR(__xludf.DUMMYFUNCTION("""COMPUTED_VALUE"""),"خمینی شهر
")</f>
        <v>خمینی شهر
</v>
      </c>
      <c r="F6119" s="5"/>
      <c r="G6119" s="5"/>
      <c r="H6119" s="6" t="str">
        <f>IFERROR(__xludf.DUMMYFUNCTION("""COMPUTED_VALUE"""),"https://www.instagram.com/khshohada_ir1")</f>
        <v>https://www.instagram.com/khshohada_ir1</v>
      </c>
      <c r="I6119" s="5"/>
      <c r="J6119" s="6" t="str">
        <f>IFERROR(__xludf.DUMMYFUNCTION("""COMPUTED_VALUE"""),"https://eitaa.com/khshohada_ir")</f>
        <v>https://eitaa.com/khshohada_ir</v>
      </c>
      <c r="K6119" s="5"/>
      <c r="L6119" s="5"/>
      <c r="M6119" s="5"/>
      <c r="N6119" s="5"/>
      <c r="O6119" s="5"/>
      <c r="P6119" s="5"/>
      <c r="Q6119" s="5"/>
      <c r="R6119" s="5"/>
      <c r="S6119" s="5"/>
    </row>
    <row r="6120">
      <c r="A6120" s="5">
        <f>IFERROR(__xludf.DUMMYFUNCTION("""COMPUTED_VALUE"""),32827.0)</f>
        <v>32827</v>
      </c>
      <c r="B6120" s="5" t="str">
        <f>IFERROR(__xludf.DUMMYFUNCTION("""COMPUTED_VALUE"""),"هیأت دانش آموزی")</f>
        <v>هیأت دانش آموزی</v>
      </c>
      <c r="C6120" s="5" t="str">
        <f>IFERROR(__xludf.DUMMYFUNCTION("""COMPUTED_VALUE"""),"تربت")</f>
        <v>تربت</v>
      </c>
      <c r="D6120" s="5" t="str">
        <f>IFERROR(__xludf.DUMMYFUNCTION("""COMPUTED_VALUE"""),"اصفهان ")</f>
        <v>اصفهان </v>
      </c>
      <c r="E6120" s="5" t="str">
        <f>IFERROR(__xludf.DUMMYFUNCTION("""COMPUTED_VALUE"""),"خمینی شهر ")</f>
        <v>خمینی شهر </v>
      </c>
      <c r="F6120" s="5"/>
      <c r="G6120" s="5"/>
      <c r="H6120" s="5"/>
      <c r="I6120" s="5"/>
      <c r="J6120" s="6" t="str">
        <f>IFERROR(__xludf.DUMMYFUNCTION("""COMPUTED_VALUE"""),"https://eitaa.com/pesaranefahmide")</f>
        <v>https://eitaa.com/pesaranefahmide</v>
      </c>
      <c r="K6120" s="5"/>
      <c r="L6120" s="5"/>
      <c r="M6120" s="5"/>
      <c r="N6120" s="5"/>
      <c r="O6120" s="5"/>
      <c r="P6120" s="5"/>
      <c r="Q6120" s="5"/>
      <c r="R6120" s="5"/>
      <c r="S6120" s="5"/>
    </row>
    <row r="6121">
      <c r="A6121" s="5">
        <f>IFERROR(__xludf.DUMMYFUNCTION("""COMPUTED_VALUE"""),32828.0)</f>
        <v>32828</v>
      </c>
      <c r="B6121" s="5" t="str">
        <f>IFERROR(__xludf.DUMMYFUNCTION("""COMPUTED_VALUE"""),"هیأت")</f>
        <v>هیأت</v>
      </c>
      <c r="C6121" s="5" t="str">
        <f>IFERROR(__xludf.DUMMYFUNCTION("""COMPUTED_VALUE"""),"مجموعه شهید مطهری")</f>
        <v>مجموعه شهید مطهری</v>
      </c>
      <c r="D6121" s="5" t="str">
        <f>IFERROR(__xludf.DUMMYFUNCTION("""COMPUTED_VALUE"""),"اصفهان ")</f>
        <v>اصفهان </v>
      </c>
      <c r="E6121" s="5" t="str">
        <f>IFERROR(__xludf.DUMMYFUNCTION("""COMPUTED_VALUE"""),"خمینی شهر
")</f>
        <v>خمینی شهر
</v>
      </c>
      <c r="F6121" s="5"/>
      <c r="G6121" s="5"/>
      <c r="H6121" s="6" t="str">
        <f>IFERROR(__xludf.DUMMYFUNCTION("""COMPUTED_VALUE"""),"https://www.instagram.com/ostad_motahary/")</f>
        <v>https://www.instagram.com/ostad_motahary/</v>
      </c>
      <c r="I6121" s="5"/>
      <c r="J6121" s="6" t="str">
        <f>IFERROR(__xludf.DUMMYFUNCTION("""COMPUTED_VALUE"""),"https://eitaa.com/ostad_motahary")</f>
        <v>https://eitaa.com/ostad_motahary</v>
      </c>
      <c r="K6121" s="5"/>
      <c r="L6121" s="5"/>
      <c r="M6121" s="5"/>
      <c r="N6121" s="5"/>
      <c r="O6121" s="5"/>
      <c r="P6121" s="5"/>
      <c r="Q6121" s="5"/>
      <c r="R6121" s="5"/>
      <c r="S6121" s="5"/>
    </row>
    <row r="6122">
      <c r="A6122" s="5">
        <f>IFERROR(__xludf.DUMMYFUNCTION("""COMPUTED_VALUE"""),32829.0)</f>
        <v>32829</v>
      </c>
      <c r="B6122" s="5" t="str">
        <f>IFERROR(__xludf.DUMMYFUNCTION("""COMPUTED_VALUE"""),"هیأت")</f>
        <v>هیأت</v>
      </c>
      <c r="C6122" s="5" t="str">
        <f>IFERROR(__xludf.DUMMYFUNCTION("""COMPUTED_VALUE"""),"دارالقرآن رضوی")</f>
        <v>دارالقرآن رضوی</v>
      </c>
      <c r="D6122" s="5" t="str">
        <f>IFERROR(__xludf.DUMMYFUNCTION("""COMPUTED_VALUE"""),"اصفهان ")</f>
        <v>اصفهان </v>
      </c>
      <c r="E6122" s="5" t="str">
        <f>IFERROR(__xludf.DUMMYFUNCTION("""COMPUTED_VALUE"""),"خمینی شهر
")</f>
        <v>خمینی شهر
</v>
      </c>
      <c r="F6122" s="5"/>
      <c r="G6122" s="5"/>
      <c r="H6122" s="5"/>
      <c r="I6122" s="5"/>
      <c r="J6122" s="6" t="str">
        <f>IFERROR(__xludf.DUMMYFUNCTION("""COMPUTED_VALUE"""),"https://eitaa.com/aqrkhomeinishahr")</f>
        <v>https://eitaa.com/aqrkhomeinishahr</v>
      </c>
      <c r="K6122" s="5"/>
      <c r="L6122" s="5"/>
      <c r="M6122" s="5"/>
      <c r="N6122" s="5"/>
      <c r="O6122" s="5"/>
      <c r="P6122" s="5"/>
      <c r="Q6122" s="5"/>
      <c r="R6122" s="5"/>
      <c r="S6122" s="5"/>
    </row>
    <row r="6123">
      <c r="A6123" s="5">
        <f>IFERROR(__xludf.DUMMYFUNCTION("""COMPUTED_VALUE"""),32830.0)</f>
        <v>32830</v>
      </c>
      <c r="B6123" s="5" t="str">
        <f>IFERROR(__xludf.DUMMYFUNCTION("""COMPUTED_VALUE"""),"هیأت")</f>
        <v>هیأت</v>
      </c>
      <c r="C6123" s="5" t="str">
        <f>IFERROR(__xludf.DUMMYFUNCTION("""COMPUTED_VALUE"""),"لبیک")</f>
        <v>لبیک</v>
      </c>
      <c r="D6123" s="5" t="str">
        <f>IFERROR(__xludf.DUMMYFUNCTION("""COMPUTED_VALUE"""),"اصفهان ")</f>
        <v>اصفهان </v>
      </c>
      <c r="E6123" s="5" t="str">
        <f>IFERROR(__xludf.DUMMYFUNCTION("""COMPUTED_VALUE"""),"خمینی شهر
")</f>
        <v>خمینی شهر
</v>
      </c>
      <c r="F6123" s="5"/>
      <c r="G6123" s="5"/>
      <c r="H6123" s="6" t="str">
        <f>IFERROR(__xludf.DUMMYFUNCTION("""COMPUTED_VALUE"""),"https://www.instagram.com/heiat_labbayk/")</f>
        <v>https://www.instagram.com/heiat_labbayk/</v>
      </c>
      <c r="I6123" s="6" t="str">
        <f>IFERROR(__xludf.DUMMYFUNCTION("""COMPUTED_VALUE"""),"https://t.me/Heiat_Labbayk")</f>
        <v>https://t.me/Heiat_Labbayk</v>
      </c>
      <c r="J6123" s="6" t="str">
        <f>IFERROR(__xludf.DUMMYFUNCTION("""COMPUTED_VALUE"""),"https://eitaa.com/Heiat_Labbayk")</f>
        <v>https://eitaa.com/Heiat_Labbayk</v>
      </c>
      <c r="K6123" s="5"/>
      <c r="L6123" s="5"/>
      <c r="M6123" s="5"/>
      <c r="N6123" s="5"/>
      <c r="O6123" s="5"/>
      <c r="P6123" s="5"/>
      <c r="Q6123" s="5"/>
      <c r="R6123" s="5"/>
      <c r="S6123" s="5"/>
    </row>
    <row r="6124">
      <c r="A6124" s="5">
        <f>IFERROR(__xludf.DUMMYFUNCTION("""COMPUTED_VALUE"""),32831.0)</f>
        <v>32831</v>
      </c>
      <c r="B6124" s="5" t="str">
        <f>IFERROR(__xludf.DUMMYFUNCTION("""COMPUTED_VALUE"""),"هیأت")</f>
        <v>هیأت</v>
      </c>
      <c r="C6124" s="5" t="str">
        <f>IFERROR(__xludf.DUMMYFUNCTION("""COMPUTED_VALUE"""),"مسجد علی بن ابیطالب")</f>
        <v>مسجد علی بن ابیطالب</v>
      </c>
      <c r="D6124" s="5" t="str">
        <f>IFERROR(__xludf.DUMMYFUNCTION("""COMPUTED_VALUE"""),"اصفهان ")</f>
        <v>اصفهان </v>
      </c>
      <c r="E6124" s="5" t="str">
        <f>IFERROR(__xludf.DUMMYFUNCTION("""COMPUTED_VALUE"""),"خمینی شهر
")</f>
        <v>خمینی شهر
</v>
      </c>
      <c r="F6124" s="5"/>
      <c r="G6124" s="5"/>
      <c r="H6124" s="5"/>
      <c r="I6124" s="5"/>
      <c r="J6124" s="6" t="str">
        <f>IFERROR(__xludf.DUMMYFUNCTION("""COMPUTED_VALUE"""),"https://eitaa.com/heyat_kh")</f>
        <v>https://eitaa.com/heyat_kh</v>
      </c>
      <c r="K6124" s="5"/>
      <c r="L6124" s="5"/>
      <c r="M6124" s="5"/>
      <c r="N6124" s="5"/>
      <c r="O6124" s="5"/>
      <c r="P6124" s="5"/>
      <c r="Q6124" s="5"/>
      <c r="R6124" s="5"/>
      <c r="S6124" s="5"/>
    </row>
    <row r="6125">
      <c r="A6125" s="5">
        <f>IFERROR(__xludf.DUMMYFUNCTION("""COMPUTED_VALUE"""),32832.0)</f>
        <v>32832</v>
      </c>
      <c r="B6125" s="5" t="str">
        <f>IFERROR(__xludf.DUMMYFUNCTION("""COMPUTED_VALUE"""),"هیأت")</f>
        <v>هیأت</v>
      </c>
      <c r="C6125" s="5" t="str">
        <f>IFERROR(__xludf.DUMMYFUNCTION("""COMPUTED_VALUE"""),"	مصباح ")</f>
        <v>	مصباح </v>
      </c>
      <c r="D6125" s="5" t="str">
        <f>IFERROR(__xludf.DUMMYFUNCTION("""COMPUTED_VALUE"""),"اصفهان ")</f>
        <v>اصفهان </v>
      </c>
      <c r="E6125" s="5" t="str">
        <f>IFERROR(__xludf.DUMMYFUNCTION("""COMPUTED_VALUE"""),"خمینی شهر
")</f>
        <v>خمینی شهر
</v>
      </c>
      <c r="F6125" s="5" t="str">
        <f>IFERROR(__xludf.DUMMYFUNCTION("""COMPUTED_VALUE"""),"محله آدریان")</f>
        <v>محله آدریان</v>
      </c>
      <c r="G6125" s="5"/>
      <c r="H6125" s="6" t="str">
        <f>IFERROR(__xludf.DUMMYFUNCTION("""COMPUTED_VALUE"""),"https://www.instagram.com/Mesbah315.esf")</f>
        <v>https://www.instagram.com/Mesbah315.esf</v>
      </c>
      <c r="I6125" s="6" t="str">
        <f>IFERROR(__xludf.DUMMYFUNCTION("""COMPUTED_VALUE"""),"https://t.me/heyatsf")</f>
        <v>https://t.me/heyatsf</v>
      </c>
      <c r="J6125" s="6" t="str">
        <f>IFERROR(__xludf.DUMMYFUNCTION("""COMPUTED_VALUE"""),"https://eitaa.com/heyatsf315")</f>
        <v>https://eitaa.com/heyatsf315</v>
      </c>
      <c r="K6125" s="5"/>
      <c r="L6125" s="5"/>
      <c r="M6125" s="5"/>
      <c r="N6125" s="5"/>
      <c r="O6125" s="5"/>
      <c r="P6125" s="5"/>
      <c r="Q6125" s="5"/>
      <c r="R6125" s="5"/>
      <c r="S6125" s="5"/>
    </row>
    <row r="6126">
      <c r="A6126" s="5">
        <f>IFERROR(__xludf.DUMMYFUNCTION("""COMPUTED_VALUE"""),32833.0)</f>
        <v>32833</v>
      </c>
      <c r="B6126" s="5" t="str">
        <f>IFERROR(__xludf.DUMMYFUNCTION("""COMPUTED_VALUE"""),"هیأت")</f>
        <v>هیأت</v>
      </c>
      <c r="C6126" s="5" t="str">
        <f>IFERROR(__xludf.DUMMYFUNCTION("""COMPUTED_VALUE"""),"ذکرالرحمه")</f>
        <v>ذکرالرحمه</v>
      </c>
      <c r="D6126" s="5" t="str">
        <f>IFERROR(__xludf.DUMMYFUNCTION("""COMPUTED_VALUE"""),"اصفهان ")</f>
        <v>اصفهان </v>
      </c>
      <c r="E6126" s="5" t="str">
        <f>IFERROR(__xludf.DUMMYFUNCTION("""COMPUTED_VALUE"""),"خمینی شهر
")</f>
        <v>خمینی شهر
</v>
      </c>
      <c r="F6126" s="5"/>
      <c r="G6126" s="5"/>
      <c r="H6126" s="6" t="str">
        <f>IFERROR(__xludf.DUMMYFUNCTION("""COMPUTED_VALUE"""),"https://www.instagram.com/kanun.zekr/")</f>
        <v>https://www.instagram.com/kanun.zekr/</v>
      </c>
      <c r="I6126" s="5"/>
      <c r="J6126" s="6" t="str">
        <f>IFERROR(__xludf.DUMMYFUNCTION("""COMPUTED_VALUE"""),"https://eitaa.com/kanuonzekr")</f>
        <v>https://eitaa.com/kanuonzekr</v>
      </c>
      <c r="K6126" s="5"/>
      <c r="L6126" s="5"/>
      <c r="M6126" s="5"/>
      <c r="N6126" s="5"/>
      <c r="O6126" s="5"/>
      <c r="P6126" s="5"/>
      <c r="Q6126" s="5"/>
      <c r="R6126" s="5"/>
      <c r="S6126" s="5"/>
    </row>
    <row r="6127">
      <c r="A6127" s="5">
        <f>IFERROR(__xludf.DUMMYFUNCTION("""COMPUTED_VALUE"""),32834.0)</f>
        <v>32834</v>
      </c>
      <c r="B6127" s="5" t="str">
        <f>IFERROR(__xludf.DUMMYFUNCTION("""COMPUTED_VALUE"""),"هیأت")</f>
        <v>هیأت</v>
      </c>
      <c r="C6127" s="5" t="str">
        <f>IFERROR(__xludf.DUMMYFUNCTION("""COMPUTED_VALUE"""),"مکتب الرضا (ع)")</f>
        <v>مکتب الرضا (ع)</v>
      </c>
      <c r="D6127" s="5" t="str">
        <f>IFERROR(__xludf.DUMMYFUNCTION("""COMPUTED_VALUE"""),"اصفهان ")</f>
        <v>اصفهان </v>
      </c>
      <c r="E6127" s="5" t="str">
        <f>IFERROR(__xludf.DUMMYFUNCTION("""COMPUTED_VALUE"""),"خمینی شهر
")</f>
        <v>خمینی شهر
</v>
      </c>
      <c r="F6127" s="5"/>
      <c r="G6127" s="5"/>
      <c r="H6127" s="6" t="str">
        <f>IFERROR(__xludf.DUMMYFUNCTION("""COMPUTED_VALUE"""),"https://www.instagram.com/maktab_alreza1379/")</f>
        <v>https://www.instagram.com/maktab_alreza1379/</v>
      </c>
      <c r="I6127" s="6" t="str">
        <f>IFERROR(__xludf.DUMMYFUNCTION("""COMPUTED_VALUE"""),"https://t.me/maktab_alreza")</f>
        <v>https://t.me/maktab_alreza</v>
      </c>
      <c r="J6127" s="5"/>
      <c r="K6127" s="5"/>
      <c r="L6127" s="5"/>
      <c r="M6127" s="5"/>
      <c r="N6127" s="5"/>
      <c r="O6127" s="5"/>
      <c r="P6127" s="5"/>
      <c r="Q6127" s="5"/>
      <c r="R6127" s="5"/>
      <c r="S6127" s="5"/>
    </row>
    <row r="6128">
      <c r="A6128" s="5">
        <f>IFERROR(__xludf.DUMMYFUNCTION("""COMPUTED_VALUE"""),32836.0)</f>
        <v>32836</v>
      </c>
      <c r="B6128" s="5" t="str">
        <f>IFERROR(__xludf.DUMMYFUNCTION("""COMPUTED_VALUE"""),"هیأت")</f>
        <v>هیأت</v>
      </c>
      <c r="C6128" s="5" t="str">
        <f>IFERROR(__xludf.DUMMYFUNCTION("""COMPUTED_VALUE"""),"مکتب الصادق (ع)")</f>
        <v>مکتب الصادق (ع)</v>
      </c>
      <c r="D6128" s="5" t="str">
        <f>IFERROR(__xludf.DUMMYFUNCTION("""COMPUTED_VALUE"""),"اصفهان ")</f>
        <v>اصفهان </v>
      </c>
      <c r="E6128" s="5" t="str">
        <f>IFERROR(__xludf.DUMMYFUNCTION("""COMPUTED_VALUE"""),"خمینی شهر
")</f>
        <v>خمینی شهر
</v>
      </c>
      <c r="F6128" s="5"/>
      <c r="G6128" s="5"/>
      <c r="H6128" s="6" t="str">
        <f>IFERROR(__xludf.DUMMYFUNCTION("""COMPUTED_VALUE"""),"https://www.instagram.com/maktabo_ssadegh/")</f>
        <v>https://www.instagram.com/maktabo_ssadegh/</v>
      </c>
      <c r="I6128" s="5"/>
      <c r="J6128" s="6" t="str">
        <f>IFERROR(__xludf.DUMMYFUNCTION("""COMPUTED_VALUE"""),"https://eitaa.com/maktabo_ssadegh")</f>
        <v>https://eitaa.com/maktabo_ssadegh</v>
      </c>
      <c r="K6128" s="5"/>
      <c r="L6128" s="5"/>
      <c r="M6128" s="5"/>
      <c r="N6128" s="5"/>
      <c r="O6128" s="5"/>
      <c r="P6128" s="5"/>
      <c r="Q6128" s="5"/>
      <c r="R6128" s="5"/>
      <c r="S6128" s="5"/>
    </row>
    <row r="6129">
      <c r="A6129" s="5">
        <f>IFERROR(__xludf.DUMMYFUNCTION("""COMPUTED_VALUE"""),32916.0)</f>
        <v>32916</v>
      </c>
      <c r="B6129" s="5" t="str">
        <f>IFERROR(__xludf.DUMMYFUNCTION("""COMPUTED_VALUE"""),"هیأت")</f>
        <v>هیأت</v>
      </c>
      <c r="C6129" s="5" t="str">
        <f>IFERROR(__xludf.DUMMYFUNCTION("""COMPUTED_VALUE"""),"پاتوق دختران آفتاب")</f>
        <v>پاتوق دختران آفتاب</v>
      </c>
      <c r="D6129" s="5" t="str">
        <f>IFERROR(__xludf.DUMMYFUNCTION("""COMPUTED_VALUE"""),"اصفهان ")</f>
        <v>اصفهان </v>
      </c>
      <c r="E6129" s="5" t="str">
        <f>IFERROR(__xludf.DUMMYFUNCTION("""COMPUTED_VALUE"""),"اصفهان ")</f>
        <v>اصفهان </v>
      </c>
      <c r="F6129" s="5"/>
      <c r="G6129" s="5"/>
      <c r="H6129" s="6" t="str">
        <f>IFERROR(__xludf.DUMMYFUNCTION("""COMPUTED_VALUE"""),"https://www.instagram.com/patogh2khtarane/")</f>
        <v>https://www.instagram.com/patogh2khtarane/</v>
      </c>
      <c r="I6129" s="5"/>
      <c r="J6129" s="6" t="str">
        <f>IFERROR(__xludf.DUMMYFUNCTION("""COMPUTED_VALUE"""),"https://eitaa.com/patogh2khtaran")</f>
        <v>https://eitaa.com/patogh2khtaran</v>
      </c>
      <c r="K6129" s="5"/>
      <c r="L6129" s="5"/>
      <c r="M6129" s="5"/>
      <c r="N6129" s="5"/>
      <c r="O6129" s="5"/>
      <c r="P6129" s="5"/>
      <c r="Q6129" s="5"/>
      <c r="R6129" s="5"/>
      <c r="S6129" s="5"/>
    </row>
    <row r="6130">
      <c r="A6130" s="5">
        <f>IFERROR(__xludf.DUMMYFUNCTION("""COMPUTED_VALUE"""),33009.0)</f>
        <v>33009</v>
      </c>
      <c r="B6130" s="5" t="str">
        <f>IFERROR(__xludf.DUMMYFUNCTION("""COMPUTED_VALUE"""),"هیأت دانشجویی")</f>
        <v>هیأت دانشجویی</v>
      </c>
      <c r="C6130" s="5" t="str">
        <f>IFERROR(__xludf.DUMMYFUNCTION("""COMPUTED_VALUE"""),"دانشجویی شهدای گمنام دانشگاه اصفهان")</f>
        <v>دانشجویی شهدای گمنام دانشگاه اصفهان</v>
      </c>
      <c r="D6130" s="5" t="str">
        <f>IFERROR(__xludf.DUMMYFUNCTION("""COMPUTED_VALUE"""),"اصفهان ")</f>
        <v>اصفهان </v>
      </c>
      <c r="E6130" s="5" t="str">
        <f>IFERROR(__xludf.DUMMYFUNCTION("""COMPUTED_VALUE"""),"اصفهان ")</f>
        <v>اصفهان </v>
      </c>
      <c r="F6130" s="5"/>
      <c r="G6130" s="5"/>
      <c r="H6130" s="6" t="str">
        <f>IFERROR(__xludf.DUMMYFUNCTION("""COMPUTED_VALUE"""),"https://www.instagram.com/gomnam_ui")</f>
        <v>https://www.instagram.com/gomnam_ui</v>
      </c>
      <c r="I6130" s="6" t="str">
        <f>IFERROR(__xludf.DUMMYFUNCTION("""COMPUTED_VALUE"""),"https://t.me/gomnam_uisf")</f>
        <v>https://t.me/gomnam_uisf</v>
      </c>
      <c r="J6130" s="6" t="str">
        <f>IFERROR(__xludf.DUMMYFUNCTION("""COMPUTED_VALUE"""),"https://eitaa.com/gomnam_ui")</f>
        <v>https://eitaa.com/gomnam_ui</v>
      </c>
      <c r="K6130" s="5"/>
      <c r="L6130" s="5"/>
      <c r="M6130" s="5"/>
      <c r="N6130" s="5"/>
      <c r="O6130" s="5"/>
      <c r="P6130" s="5"/>
      <c r="Q6130" s="5"/>
      <c r="R6130" s="5"/>
      <c r="S6130" s="5"/>
    </row>
    <row r="6131">
      <c r="A6131" s="5">
        <f>IFERROR(__xludf.DUMMYFUNCTION("""COMPUTED_VALUE"""),33009.0)</f>
        <v>33009</v>
      </c>
      <c r="B6131" s="5" t="str">
        <f>IFERROR(__xludf.DUMMYFUNCTION("""COMPUTED_VALUE"""),"هیأت دانشجویی")</f>
        <v>هیأت دانشجویی</v>
      </c>
      <c r="C6131" s="5" t="str">
        <f>IFERROR(__xludf.DUMMYFUNCTION("""COMPUTED_VALUE"""),"شهدای گمنام دانشگاه اصفهان")</f>
        <v>شهدای گمنام دانشگاه اصفهان</v>
      </c>
      <c r="D6131" s="5" t="str">
        <f>IFERROR(__xludf.DUMMYFUNCTION("""COMPUTED_VALUE"""),"اصفهان ")</f>
        <v>اصفهان </v>
      </c>
      <c r="E6131" s="5" t="str">
        <f>IFERROR(__xludf.DUMMYFUNCTION("""COMPUTED_VALUE"""),"اصفهان ")</f>
        <v>اصفهان </v>
      </c>
      <c r="F6131" s="5"/>
      <c r="G6131" s="5"/>
      <c r="H6131" s="6" t="str">
        <f>IFERROR(__xludf.DUMMYFUNCTION("""COMPUTED_VALUE"""),"https://www.instagram.com/gomnam_ui/")</f>
        <v>https://www.instagram.com/gomnam_ui/</v>
      </c>
      <c r="I6131" s="6" t="str">
        <f>IFERROR(__xludf.DUMMYFUNCTION("""COMPUTED_VALUE"""),"https://t.me/gomnam_ui")</f>
        <v>https://t.me/gomnam_ui</v>
      </c>
      <c r="J6131" s="6" t="str">
        <f>IFERROR(__xludf.DUMMYFUNCTION("""COMPUTED_VALUE"""),"https://eitaa.com/gomnam_ui")</f>
        <v>https://eitaa.com/gomnam_ui</v>
      </c>
      <c r="K6131" s="5"/>
      <c r="L6131" s="5"/>
      <c r="M6131" s="5"/>
      <c r="N6131" s="5"/>
      <c r="O6131" s="5"/>
      <c r="P6131" s="5"/>
      <c r="Q6131" s="5"/>
      <c r="R6131" s="5"/>
      <c r="S6131" s="5"/>
    </row>
    <row r="6132">
      <c r="A6132" s="5">
        <f>IFERROR(__xludf.DUMMYFUNCTION("""COMPUTED_VALUE"""),33010.0)</f>
        <v>33010</v>
      </c>
      <c r="B6132" s="5" t="str">
        <f>IFERROR(__xludf.DUMMYFUNCTION("""COMPUTED_VALUE"""),"هیأت دانشجویی")</f>
        <v>هیأت دانشجویی</v>
      </c>
      <c r="C6132" s="5" t="str">
        <f>IFERROR(__xludf.DUMMYFUNCTION("""COMPUTED_VALUE"""),"دانشجویی مسجد دانشگاه صنعتی")</f>
        <v>دانشجویی مسجد دانشگاه صنعتی</v>
      </c>
      <c r="D6132" s="5" t="str">
        <f>IFERROR(__xludf.DUMMYFUNCTION("""COMPUTED_VALUE"""),"اصفهان ")</f>
        <v>اصفهان </v>
      </c>
      <c r="E6132" s="5" t="str">
        <f>IFERROR(__xludf.DUMMYFUNCTION("""COMPUTED_VALUE"""),"اصفهان ")</f>
        <v>اصفهان </v>
      </c>
      <c r="F6132" s="5"/>
      <c r="G6132" s="5"/>
      <c r="H6132" s="6" t="str">
        <f>IFERROR(__xludf.DUMMYFUNCTION("""COMPUTED_VALUE"""),"https://www.instagram.com/masjed_iut")</f>
        <v>https://www.instagram.com/masjed_iut</v>
      </c>
      <c r="I6132" s="6" t="str">
        <f>IFERROR(__xludf.DUMMYFUNCTION("""COMPUTED_VALUE"""),"https://t.me/masjed_iut")</f>
        <v>https://t.me/masjed_iut</v>
      </c>
      <c r="J6132" s="6" t="str">
        <f>IFERROR(__xludf.DUMMYFUNCTION("""COMPUTED_VALUE"""),"https://eitaa.com/masjed_iut")</f>
        <v>https://eitaa.com/masjed_iut</v>
      </c>
      <c r="K6132" s="5"/>
      <c r="L6132" s="5"/>
      <c r="M6132" s="5"/>
      <c r="N6132" s="5"/>
      <c r="O6132" s="5"/>
      <c r="P6132" s="5"/>
      <c r="Q6132" s="5"/>
      <c r="R6132" s="5"/>
      <c r="S6132" s="5"/>
    </row>
    <row r="6133">
      <c r="A6133" s="5">
        <f>IFERROR(__xludf.DUMMYFUNCTION("""COMPUTED_VALUE"""),33011.0)</f>
        <v>33011</v>
      </c>
      <c r="B6133" s="5" t="str">
        <f>IFERROR(__xludf.DUMMYFUNCTION("""COMPUTED_VALUE"""),"هیأت")</f>
        <v>هیأت</v>
      </c>
      <c r="C6133" s="5" t="str">
        <f>IFERROR(__xludf.DUMMYFUNCTION("""COMPUTED_VALUE"""),"روضه العباس (ع)")</f>
        <v>روضه العباس (ع)</v>
      </c>
      <c r="D6133" s="5" t="str">
        <f>IFERROR(__xludf.DUMMYFUNCTION("""COMPUTED_VALUE"""),"اصفهان ")</f>
        <v>اصفهان </v>
      </c>
      <c r="E6133" s="5" t="str">
        <f>IFERROR(__xludf.DUMMYFUNCTION("""COMPUTED_VALUE"""),"اردستان")</f>
        <v>اردستان</v>
      </c>
      <c r="F6133" s="5"/>
      <c r="G6133" s="5"/>
      <c r="H6133" s="6" t="str">
        <f>IFERROR(__xludf.DUMMYFUNCTION("""COMPUTED_VALUE"""),"https://www.instagram.com/rozato_labbas133")</f>
        <v>https://www.instagram.com/rozato_labbas133</v>
      </c>
      <c r="I6133" s="5"/>
      <c r="J6133" s="6" t="str">
        <f>IFERROR(__xludf.DUMMYFUNCTION("""COMPUTED_VALUE"""),"https://eitaa.com/rozatolabbas1")</f>
        <v>https://eitaa.com/rozatolabbas1</v>
      </c>
      <c r="K6133" s="5"/>
      <c r="L6133" s="5"/>
      <c r="M6133" s="5"/>
      <c r="N6133" s="5"/>
      <c r="O6133" s="5"/>
      <c r="P6133" s="5"/>
      <c r="Q6133" s="5"/>
      <c r="R6133" s="5"/>
      <c r="S6133" s="5"/>
    </row>
    <row r="6134">
      <c r="A6134" s="5">
        <f>IFERROR(__xludf.DUMMYFUNCTION("""COMPUTED_VALUE"""),33013.0)</f>
        <v>33013</v>
      </c>
      <c r="B6134" s="5" t="str">
        <f>IFERROR(__xludf.DUMMYFUNCTION("""COMPUTED_VALUE"""),"هیأت نوجوانان")</f>
        <v>هیأت نوجوانان</v>
      </c>
      <c r="C6134" s="5" t="str">
        <f>IFERROR(__xludf.DUMMYFUNCTION("""COMPUTED_VALUE"""),"تبیان ، متوسلین حضرت مهدی (عج)")</f>
        <v>تبیان ، متوسلین حضرت مهدی (عج)</v>
      </c>
      <c r="D6134" s="5" t="str">
        <f>IFERROR(__xludf.DUMMYFUNCTION("""COMPUTED_VALUE"""),"اصفهان ")</f>
        <v>اصفهان </v>
      </c>
      <c r="E6134" s="5" t="str">
        <f>IFERROR(__xludf.DUMMYFUNCTION("""COMPUTED_VALUE"""),"گلپایگان")</f>
        <v>گلپایگان</v>
      </c>
      <c r="F6134" s="5" t="str">
        <f>IFERROR(__xludf.DUMMYFUNCTION("""COMPUTED_VALUE"""),"گوگد ")</f>
        <v>گوگد </v>
      </c>
      <c r="G6134" s="5"/>
      <c r="H6134" s="6" t="str">
        <f>IFERROR(__xludf.DUMMYFUNCTION("""COMPUTED_VALUE"""),"https://www.instagram.com/heyat_javanan14/reels/")</f>
        <v>https://www.instagram.com/heyat_javanan14/reels/</v>
      </c>
      <c r="I6134" s="6" t="str">
        <f>IFERROR(__xludf.DUMMYFUNCTION("""COMPUTED_VALUE"""),"https://t.me/ALMAHDI1360")</f>
        <v>https://t.me/ALMAHDI1360</v>
      </c>
      <c r="J6134" s="5"/>
      <c r="K6134" s="5"/>
      <c r="L6134" s="5"/>
      <c r="M6134" s="5"/>
      <c r="N6134" s="5"/>
      <c r="O6134" s="5"/>
      <c r="P6134" s="5"/>
      <c r="Q6134" s="5"/>
      <c r="R6134" s="5"/>
      <c r="S6134" s="5"/>
    </row>
    <row r="6135">
      <c r="A6135" s="5">
        <f>IFERROR(__xludf.DUMMYFUNCTION("""COMPUTED_VALUE"""),33016.0)</f>
        <v>33016</v>
      </c>
      <c r="B6135" s="5" t="str">
        <f>IFERROR(__xludf.DUMMYFUNCTION("""COMPUTED_VALUE"""),"هیأت")</f>
        <v>هیأت</v>
      </c>
      <c r="C6135" s="5" t="str">
        <f>IFERROR(__xludf.DUMMYFUNCTION("""COMPUTED_VALUE"""),"متوسلین به سیدالشهدا (ع)
")</f>
        <v>متوسلین به سیدالشهدا (ع)
</v>
      </c>
      <c r="D6135" s="5" t="str">
        <f>IFERROR(__xludf.DUMMYFUNCTION("""COMPUTED_VALUE"""),"اصفهان ")</f>
        <v>اصفهان </v>
      </c>
      <c r="E6135" s="5" t="str">
        <f>IFERROR(__xludf.DUMMYFUNCTION("""COMPUTED_VALUE"""),"هرند ")</f>
        <v>هرند </v>
      </c>
      <c r="F6135" s="5"/>
      <c r="G6135" s="5">
        <f>IFERROR(__xludf.DUMMYFUNCTION("""COMPUTED_VALUE"""),1.0)</f>
        <v>1</v>
      </c>
      <c r="H6135" s="6" t="str">
        <f>IFERROR(__xludf.DUMMYFUNCTION("""COMPUTED_VALUE"""),"https://www.instagram.com/motevaselin_mashha/")</f>
        <v>https://www.instagram.com/motevaselin_mashha/</v>
      </c>
      <c r="I6135" s="6" t="str">
        <f>IFERROR(__xludf.DUMMYFUNCTION("""COMPUTED_VALUE"""),"https://t.me/Motevaselin_mashhad")</f>
        <v>https://t.me/Motevaselin_mashhad</v>
      </c>
      <c r="J6135" s="5"/>
      <c r="K6135" s="5"/>
      <c r="L6135" s="5"/>
      <c r="M6135" s="5"/>
      <c r="N6135" s="5"/>
      <c r="O6135" s="5"/>
      <c r="P6135" s="5"/>
      <c r="Q6135" s="5"/>
      <c r="R6135" s="5"/>
      <c r="S6135" s="5"/>
    </row>
    <row r="6136">
      <c r="A6136" s="5">
        <f>IFERROR(__xludf.DUMMYFUNCTION("""COMPUTED_VALUE"""),33017.0)</f>
        <v>33017</v>
      </c>
      <c r="B6136" s="5" t="str">
        <f>IFERROR(__xludf.DUMMYFUNCTION("""COMPUTED_VALUE"""),"هیأت")</f>
        <v>هیأت</v>
      </c>
      <c r="C6136" s="5" t="str">
        <f>IFERROR(__xludf.DUMMYFUNCTION("""COMPUTED_VALUE"""),"خادم الحسن و الحسین (ع)
")</f>
        <v>خادم الحسن و الحسین (ع)
</v>
      </c>
      <c r="D6136" s="5" t="str">
        <f>IFERROR(__xludf.DUMMYFUNCTION("""COMPUTED_VALUE"""),"اصفهان ")</f>
        <v>اصفهان </v>
      </c>
      <c r="E6136" s="5" t="str">
        <f>IFERROR(__xludf.DUMMYFUNCTION("""COMPUTED_VALUE"""),"هرند ")</f>
        <v>هرند </v>
      </c>
      <c r="F6136" s="5"/>
      <c r="G6136" s="5"/>
      <c r="H6136" s="6" t="str">
        <f>IFERROR(__xludf.DUMMYFUNCTION("""COMPUTED_VALUE"""),"https://www.instagram.com/khademo_lhasan_valhosein/")</f>
        <v>https://www.instagram.com/khademo_lhasan_valhosein/</v>
      </c>
      <c r="I6136" s="6" t="str">
        <f>IFERROR(__xludf.DUMMYFUNCTION("""COMPUTED_VALUE"""),"https://t.me/khademo_lhasan_valhosein")</f>
        <v>https://t.me/khademo_lhasan_valhosein</v>
      </c>
      <c r="J6136" s="5"/>
      <c r="K6136" s="5"/>
      <c r="L6136" s="5"/>
      <c r="M6136" s="5"/>
      <c r="N6136" s="5"/>
      <c r="O6136" s="5"/>
      <c r="P6136" s="5"/>
      <c r="Q6136" s="5"/>
      <c r="R6136" s="5"/>
      <c r="S6136" s="5"/>
    </row>
    <row r="6137">
      <c r="A6137" s="5">
        <f>IFERROR(__xludf.DUMMYFUNCTION("""COMPUTED_VALUE"""),33018.0)</f>
        <v>33018</v>
      </c>
      <c r="B6137" s="5" t="str">
        <f>IFERROR(__xludf.DUMMYFUNCTION("""COMPUTED_VALUE"""),"هیأت")</f>
        <v>هیأت</v>
      </c>
      <c r="C6137" s="5" t="str">
        <f>IFERROR(__xludf.DUMMYFUNCTION("""COMPUTED_VALUE"""),"حضرت اباالفضل (ع)
")</f>
        <v>حضرت اباالفضل (ع)
</v>
      </c>
      <c r="D6137" s="5" t="str">
        <f>IFERROR(__xludf.DUMMYFUNCTION("""COMPUTED_VALUE"""),"اصفهان ")</f>
        <v>اصفهان </v>
      </c>
      <c r="E6137" s="5" t="str">
        <f>IFERROR(__xludf.DUMMYFUNCTION("""COMPUTED_VALUE"""),"هرند ")</f>
        <v>هرند </v>
      </c>
      <c r="F6137" s="5"/>
      <c r="G6137" s="5"/>
      <c r="H6137" s="6" t="str">
        <f>IFERROR(__xludf.DUMMYFUNCTION("""COMPUTED_VALUE"""),"https://www.instagram.com/heyat.abalfazl.harand/")</f>
        <v>https://www.instagram.com/heyat.abalfazl.harand/</v>
      </c>
      <c r="I6137" s="6" t="str">
        <f>IFERROR(__xludf.DUMMYFUNCTION("""COMPUTED_VALUE"""),"https://t.me/harandheatabalfazlabas")</f>
        <v>https://t.me/harandheatabalfazlabas</v>
      </c>
      <c r="J6137" s="5"/>
      <c r="K6137" s="5"/>
      <c r="L6137" s="5"/>
      <c r="M6137" s="5"/>
      <c r="N6137" s="5"/>
      <c r="O6137" s="5"/>
      <c r="P6137" s="5"/>
      <c r="Q6137" s="5"/>
      <c r="R6137" s="5"/>
      <c r="S6137" s="5"/>
    </row>
    <row r="6138">
      <c r="A6138" s="5">
        <f>IFERROR(__xludf.DUMMYFUNCTION("""COMPUTED_VALUE"""),33105.0)</f>
        <v>33105</v>
      </c>
      <c r="B6138" s="5" t="str">
        <f>IFERROR(__xludf.DUMMYFUNCTION("""COMPUTED_VALUE"""),"هیأت")</f>
        <v>هیأت</v>
      </c>
      <c r="C6138" s="5" t="str">
        <f>IFERROR(__xludf.DUMMYFUNCTION("""COMPUTED_VALUE"""),"دارالسلام")</f>
        <v>دارالسلام</v>
      </c>
      <c r="D6138" s="5" t="str">
        <f>IFERROR(__xludf.DUMMYFUNCTION("""COMPUTED_VALUE"""),"اصفهان ")</f>
        <v>اصفهان </v>
      </c>
      <c r="E6138" s="5" t="str">
        <f>IFERROR(__xludf.DUMMYFUNCTION("""COMPUTED_VALUE"""),"اصفهان ")</f>
        <v>اصفهان </v>
      </c>
      <c r="F6138" s="5"/>
      <c r="G6138" s="5"/>
      <c r="H6138" s="6" t="str">
        <f>IFERROR(__xludf.DUMMYFUNCTION("""COMPUTED_VALUE"""),"https://www.instagram.com/mf_darosalam/")</f>
        <v>https://www.instagram.com/mf_darosalam/</v>
      </c>
      <c r="I6138" s="6" t="str">
        <f>IFERROR(__xludf.DUMMYFUNCTION("""COMPUTED_VALUE"""),"https://t.me/m_darosalam")</f>
        <v>https://t.me/m_darosalam</v>
      </c>
      <c r="J6138" s="6" t="str">
        <f>IFERROR(__xludf.DUMMYFUNCTION("""COMPUTED_VALUE"""),"https://eitaa.com/m_darosalam")</f>
        <v>https://eitaa.com/m_darosalam</v>
      </c>
      <c r="K6138" s="5"/>
      <c r="L6138" s="5"/>
      <c r="M6138" s="5"/>
      <c r="N6138" s="5"/>
      <c r="O6138" s="5"/>
      <c r="P6138" s="5"/>
      <c r="Q6138" s="5"/>
      <c r="R6138" s="5"/>
      <c r="S6138" s="5"/>
    </row>
    <row r="6139">
      <c r="A6139" s="5">
        <f>IFERROR(__xludf.DUMMYFUNCTION("""COMPUTED_VALUE"""),33152.0)</f>
        <v>33152</v>
      </c>
      <c r="B6139" s="5" t="str">
        <f>IFERROR(__xludf.DUMMYFUNCTION("""COMPUTED_VALUE"""),"هیأت")</f>
        <v>هیأت</v>
      </c>
      <c r="C6139" s="5" t="str">
        <f>IFERROR(__xludf.DUMMYFUNCTION("""COMPUTED_VALUE"""),"فدائیان حضرت علی اصغر (ع")</f>
        <v>فدائیان حضرت علی اصغر (ع</v>
      </c>
      <c r="D6139" s="5" t="str">
        <f>IFERROR(__xludf.DUMMYFUNCTION("""COMPUTED_VALUE"""),"اصفهان ")</f>
        <v>اصفهان </v>
      </c>
      <c r="E6139" s="5" t="str">
        <f>IFERROR(__xludf.DUMMYFUNCTION("""COMPUTED_VALUE"""),"اصفهان")</f>
        <v>اصفهان</v>
      </c>
      <c r="F6139" s="5"/>
      <c r="G6139" s="5">
        <f>IFERROR(__xludf.DUMMYFUNCTION("""COMPUTED_VALUE"""),1.0)</f>
        <v>1</v>
      </c>
      <c r="H6139" s="6" t="str">
        <f>IFERROR(__xludf.DUMMYFUNCTION("""COMPUTED_VALUE"""),"https://www.instagram.com/ya_aliasghar.ir/")</f>
        <v>https://www.instagram.com/ya_aliasghar.ir/</v>
      </c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</row>
    <row r="6140">
      <c r="A6140" s="5">
        <f>IFERROR(__xludf.DUMMYFUNCTION("""COMPUTED_VALUE"""),33224.0)</f>
        <v>33224</v>
      </c>
      <c r="B6140" s="5" t="str">
        <f>IFERROR(__xludf.DUMMYFUNCTION("""COMPUTED_VALUE"""),"هیأت")</f>
        <v>هیأت</v>
      </c>
      <c r="C6140" s="5" t="str">
        <f>IFERROR(__xludf.DUMMYFUNCTION("""COMPUTED_VALUE"""),"پایگاه حضرت مریم (س) ")</f>
        <v>پایگاه حضرت مریم (س) </v>
      </c>
      <c r="D6140" s="5" t="str">
        <f>IFERROR(__xludf.DUMMYFUNCTION("""COMPUTED_VALUE"""),"اصفهان ")</f>
        <v>اصفهان </v>
      </c>
      <c r="E6140" s="5" t="str">
        <f>IFERROR(__xludf.DUMMYFUNCTION("""COMPUTED_VALUE"""),"برخوار ")</f>
        <v>برخوار </v>
      </c>
      <c r="F6140" s="5"/>
      <c r="G6140" s="5"/>
      <c r="H6140" s="5"/>
      <c r="I6140" s="5"/>
      <c r="J6140" s="6" t="str">
        <f>IFERROR(__xludf.DUMMYFUNCTION("""COMPUTED_VALUE"""),"https://eitaa.com/roze_borkhar")</f>
        <v>https://eitaa.com/roze_borkhar</v>
      </c>
      <c r="K6140" s="5"/>
      <c r="L6140" s="5"/>
      <c r="M6140" s="5"/>
      <c r="N6140" s="5"/>
      <c r="O6140" s="5"/>
      <c r="P6140" s="5"/>
      <c r="Q6140" s="5"/>
      <c r="R6140" s="5"/>
      <c r="S6140" s="5"/>
    </row>
    <row r="6141">
      <c r="A6141" s="5">
        <f>IFERROR(__xludf.DUMMYFUNCTION("""COMPUTED_VALUE"""),33225.0)</f>
        <v>33225</v>
      </c>
      <c r="B6141" s="5" t="str">
        <f>IFERROR(__xludf.DUMMYFUNCTION("""COMPUTED_VALUE"""),"هیأت")</f>
        <v>هیأت</v>
      </c>
      <c r="C6141" s="5" t="str">
        <f>IFERROR(__xludf.DUMMYFUNCTION("""COMPUTED_VALUE"""),"محبان الائمه (ع)
")</f>
        <v>محبان الائمه (ع)
</v>
      </c>
      <c r="D6141" s="5" t="str">
        <f>IFERROR(__xludf.DUMMYFUNCTION("""COMPUTED_VALUE"""),"اصفهان ")</f>
        <v>اصفهان </v>
      </c>
      <c r="E6141" s="5" t="str">
        <f>IFERROR(__xludf.DUMMYFUNCTION("""COMPUTED_VALUE"""),"اصفهان ")</f>
        <v>اصفهان </v>
      </c>
      <c r="F6141" s="5"/>
      <c r="G6141" s="5"/>
      <c r="H6141" s="6" t="str">
        <f>IFERROR(__xludf.DUMMYFUNCTION("""COMPUTED_VALUE"""),"https://www.instagram.com/moheban70")</f>
        <v>https://www.instagram.com/moheban70</v>
      </c>
      <c r="I6141" s="5"/>
      <c r="J6141" s="6" t="str">
        <f>IFERROR(__xludf.DUMMYFUNCTION("""COMPUTED_VALUE"""),"https://eitaa.com/moheban70")</f>
        <v>https://eitaa.com/moheban70</v>
      </c>
      <c r="K6141" s="5"/>
      <c r="L6141" s="5"/>
      <c r="M6141" s="5"/>
      <c r="N6141" s="5"/>
      <c r="O6141" s="5"/>
      <c r="P6141" s="5"/>
      <c r="Q6141" s="5"/>
      <c r="R6141" s="5"/>
      <c r="S6141" s="5"/>
    </row>
    <row r="6142">
      <c r="A6142" s="5">
        <f>IFERROR(__xludf.DUMMYFUNCTION("""COMPUTED_VALUE"""),33227.0)</f>
        <v>33227</v>
      </c>
      <c r="B6142" s="5" t="str">
        <f>IFERROR(__xludf.DUMMYFUNCTION("""COMPUTED_VALUE"""),"هیأت")</f>
        <v>هیأت</v>
      </c>
      <c r="C6142" s="5" t="str">
        <f>IFERROR(__xludf.DUMMYFUNCTION("""COMPUTED_VALUE""")," ریحانة النبی (س)")</f>
        <v> ریحانة النبی (س)</v>
      </c>
      <c r="D6142" s="5" t="str">
        <f>IFERROR(__xludf.DUMMYFUNCTION("""COMPUTED_VALUE"""),"اصفهان ")</f>
        <v>اصفهان </v>
      </c>
      <c r="E6142" s="5" t="str">
        <f>IFERROR(__xludf.DUMMYFUNCTION("""COMPUTED_VALUE"""),"گلپایگان")</f>
        <v>گلپایگان</v>
      </c>
      <c r="F6142" s="5"/>
      <c r="G6142" s="5"/>
      <c r="H6142" s="5"/>
      <c r="I6142" s="5"/>
      <c r="J6142" s="6" t="str">
        <f>IFERROR(__xludf.DUMMYFUNCTION("""COMPUTED_VALUE"""),"https://eitaa.com/reyhaneh_info")</f>
        <v>https://eitaa.com/reyhaneh_info</v>
      </c>
      <c r="K6142" s="5"/>
      <c r="L6142" s="5"/>
      <c r="M6142" s="5"/>
      <c r="N6142" s="5"/>
      <c r="O6142" s="5"/>
      <c r="P6142" s="5"/>
      <c r="Q6142" s="5"/>
      <c r="R6142" s="5"/>
      <c r="S6142" s="5"/>
    </row>
    <row r="6143">
      <c r="A6143" s="5">
        <f>IFERROR(__xludf.DUMMYFUNCTION("""COMPUTED_VALUE"""),33228.0)</f>
        <v>33228</v>
      </c>
      <c r="B6143" s="5" t="str">
        <f>IFERROR(__xludf.DUMMYFUNCTION("""COMPUTED_VALUE"""),"هیأت بانوان")</f>
        <v>هیأت بانوان</v>
      </c>
      <c r="C6143" s="5" t="str">
        <f>IFERROR(__xludf.DUMMYFUNCTION("""COMPUTED_VALUE"""),"سراج ")</f>
        <v>سراج </v>
      </c>
      <c r="D6143" s="5" t="str">
        <f>IFERROR(__xludf.DUMMYFUNCTION("""COMPUTED_VALUE"""),"اصفهان")</f>
        <v>اصفهان</v>
      </c>
      <c r="E6143" s="5" t="str">
        <f>IFERROR(__xludf.DUMMYFUNCTION("""COMPUTED_VALUE"""),"گلپایگان")</f>
        <v>گلپایگان</v>
      </c>
      <c r="F6143" s="5" t="str">
        <f>IFERROR(__xludf.DUMMYFUNCTION("""COMPUTED_VALUE"""),"روستای رباط سرخ ")</f>
        <v>روستای رباط سرخ </v>
      </c>
      <c r="G6143" s="5"/>
      <c r="H6143" s="6" t="str">
        <f>IFERROR(__xludf.DUMMYFUNCTION("""COMPUTED_VALUE"""),"https://www.instagram.com/seraj_media")</f>
        <v>https://www.instagram.com/seraj_media</v>
      </c>
      <c r="I6143" s="5"/>
      <c r="J6143" s="6" t="str">
        <f>IFERROR(__xludf.DUMMYFUNCTION("""COMPUTED_VALUE"""),"https://eitaa.com/heyatseraj")</f>
        <v>https://eitaa.com/heyatseraj</v>
      </c>
      <c r="K6143" s="5"/>
      <c r="L6143" s="5"/>
      <c r="M6143" s="5"/>
      <c r="N6143" s="5"/>
      <c r="O6143" s="5"/>
      <c r="P6143" s="5"/>
      <c r="Q6143" s="5"/>
      <c r="R6143" s="5"/>
      <c r="S6143" s="5"/>
    </row>
    <row r="6144">
      <c r="A6144" s="5"/>
      <c r="B6144" s="5" t="str">
        <f>IFERROR(__xludf.DUMMYFUNCTION("""COMPUTED_VALUE"""),"هیأت")</f>
        <v>هیأت</v>
      </c>
      <c r="C6144" s="5" t="str">
        <f>IFERROR(__xludf.DUMMYFUNCTION("""COMPUTED_VALUE"""),"الزهرا (سَلام اللّٰه عَلَیها)")</f>
        <v>الزهرا (سَلام اللّٰه عَلَیها)</v>
      </c>
      <c r="D6144" s="5" t="str">
        <f>IFERROR(__xludf.DUMMYFUNCTION("""COMPUTED_VALUE"""),"اصفهان ")</f>
        <v>اصفهان </v>
      </c>
      <c r="E6144" s="5" t="str">
        <f>IFERROR(__xludf.DUMMYFUNCTION("""COMPUTED_VALUE"""),"گلپایگان")</f>
        <v>گلپایگان</v>
      </c>
      <c r="F6144" s="5"/>
      <c r="G6144" s="5"/>
      <c r="H6144" s="6" t="str">
        <f>IFERROR(__xludf.DUMMYFUNCTION("""COMPUTED_VALUE"""),"https://www.instagram.com/heyatallzahra/")</f>
        <v>https://www.instagram.com/heyatallzahra/</v>
      </c>
      <c r="I6144" s="6" t="str">
        <f>IFERROR(__xludf.DUMMYFUNCTION("""COMPUTED_VALUE"""),"https://t.me/heyatallzahra")</f>
        <v>https://t.me/heyatallzahra</v>
      </c>
      <c r="J6144" s="6" t="str">
        <f>IFERROR(__xludf.DUMMYFUNCTION("""COMPUTED_VALUE"""),"https://eitaa.com/heyatalzahragolpa")</f>
        <v>https://eitaa.com/heyatalzahragolpa</v>
      </c>
      <c r="K6144" s="5"/>
      <c r="L6144" s="5"/>
      <c r="M6144" s="5"/>
      <c r="N6144" s="5"/>
      <c r="O6144" s="5"/>
      <c r="P6144" s="5"/>
      <c r="Q6144" s="5"/>
      <c r="R6144" s="5"/>
      <c r="S6144" s="5"/>
    </row>
    <row r="6145">
      <c r="A6145" s="5"/>
      <c r="B6145" s="5" t="str">
        <f>IFERROR(__xludf.DUMMYFUNCTION("""COMPUTED_VALUE"""),"هیأت")</f>
        <v>هیأت</v>
      </c>
      <c r="C6145" s="5" t="str">
        <f>IFERROR(__xludf.DUMMYFUNCTION("""COMPUTED_VALUE"""),"انسیه الحورا")</f>
        <v>انسیه الحورا</v>
      </c>
      <c r="D6145" s="5" t="str">
        <f>IFERROR(__xludf.DUMMYFUNCTION("""COMPUTED_VALUE"""),"اصفهان ")</f>
        <v>اصفهان </v>
      </c>
      <c r="E6145" s="5"/>
      <c r="F6145" s="5"/>
      <c r="G6145" s="5"/>
      <c r="H6145" s="6" t="str">
        <f>IFERROR(__xludf.DUMMYFUNCTION("""COMPUTED_VALUE"""),"https://www.instagram.com/ensiatolhaoraa")</f>
        <v>https://www.instagram.com/ensiatolhaoraa</v>
      </c>
      <c r="I6145" s="5"/>
      <c r="J6145" s="6" t="str">
        <f>IFERROR(__xludf.DUMMYFUNCTION("""COMPUTED_VALUE"""),"https://eitaa.com/ensiatalhora")</f>
        <v>https://eitaa.com/ensiatalhora</v>
      </c>
      <c r="K6145" s="5"/>
      <c r="L6145" s="5"/>
      <c r="M6145" s="5"/>
      <c r="N6145" s="5"/>
      <c r="O6145" s="5"/>
      <c r="P6145" s="5"/>
      <c r="Q6145" s="5"/>
      <c r="R6145" s="5"/>
      <c r="S6145" s="5"/>
    </row>
    <row r="6146">
      <c r="A6146" s="5"/>
      <c r="B6146" s="5" t="str">
        <f>IFERROR(__xludf.DUMMYFUNCTION("""COMPUTED_VALUE"""),"هیأت")</f>
        <v>هیأت</v>
      </c>
      <c r="C6146" s="5" t="str">
        <f>IFERROR(__xludf.DUMMYFUNCTION("""COMPUTED_VALUE"""),"انصارالحسین (ع)")</f>
        <v>انصارالحسین (ع)</v>
      </c>
      <c r="D6146" s="5" t="str">
        <f>IFERROR(__xludf.DUMMYFUNCTION("""COMPUTED_VALUE"""),"اصفهان ")</f>
        <v>اصفهان </v>
      </c>
      <c r="E6146" s="5" t="str">
        <f>IFERROR(__xludf.DUMMYFUNCTION("""COMPUTED_VALUE"""),"اصفهان ")</f>
        <v>اصفهان </v>
      </c>
      <c r="F6146" s="5"/>
      <c r="G6146" s="5"/>
      <c r="H6146" s="6" t="str">
        <f>IFERROR(__xludf.DUMMYFUNCTION("""COMPUTED_VALUE"""),"https://www.instagram.com/ansarolhossein.esf")</f>
        <v>https://www.instagram.com/ansarolhossein.esf</v>
      </c>
      <c r="I6146" s="5"/>
      <c r="J6146" s="6" t="str">
        <f>IFERROR(__xludf.DUMMYFUNCTION("""COMPUTED_VALUE"""),"https://eitaa.com/ansarolhossein_esf")</f>
        <v>https://eitaa.com/ansarolhossein_esf</v>
      </c>
      <c r="K6146" s="5"/>
      <c r="L6146" s="5"/>
      <c r="M6146" s="5"/>
      <c r="N6146" s="5"/>
      <c r="O6146" s="5"/>
      <c r="P6146" s="5"/>
      <c r="Q6146" s="5"/>
      <c r="R6146" s="5"/>
      <c r="S6146" s="5"/>
    </row>
    <row r="6147">
      <c r="A6147" s="5"/>
      <c r="B6147" s="5" t="str">
        <f>IFERROR(__xludf.DUMMYFUNCTION("""COMPUTED_VALUE"""),"هیأت")</f>
        <v>هیأت</v>
      </c>
      <c r="C6147" s="5" t="str">
        <f>IFERROR(__xludf.DUMMYFUNCTION("""COMPUTED_VALUE"""),"حیدریون")</f>
        <v>حیدریون</v>
      </c>
      <c r="D6147" s="5" t="str">
        <f>IFERROR(__xludf.DUMMYFUNCTION("""COMPUTED_VALUE"""),"اصفهان")</f>
        <v>اصفهان</v>
      </c>
      <c r="E6147" s="5" t="str">
        <f>IFERROR(__xludf.DUMMYFUNCTION("""COMPUTED_VALUE"""),"اصفهان")</f>
        <v>اصفهان</v>
      </c>
      <c r="F6147" s="5"/>
      <c r="G6147" s="5"/>
      <c r="H6147" s="6" t="str">
        <f>IFERROR(__xludf.DUMMYFUNCTION("""COMPUTED_VALUE"""),"https://www.instagram.com/heydariioon")</f>
        <v>https://www.instagram.com/heydariioon</v>
      </c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</row>
    <row r="6148">
      <c r="A6148" s="5"/>
      <c r="B6148" s="5" t="str">
        <f>IFERROR(__xludf.DUMMYFUNCTION("""COMPUTED_VALUE"""),"هیأت")</f>
        <v>هیأت</v>
      </c>
      <c r="C6148" s="5" t="str">
        <f>IFERROR(__xludf.DUMMYFUNCTION("""COMPUTED_VALUE"""),"خادم الشهدا")</f>
        <v>خادم الشهدا</v>
      </c>
      <c r="D6148" s="5" t="str">
        <f>IFERROR(__xludf.DUMMYFUNCTION("""COMPUTED_VALUE"""),"اصفهان")</f>
        <v>اصفهان</v>
      </c>
      <c r="E6148" s="5" t="str">
        <f>IFERROR(__xludf.DUMMYFUNCTION("""COMPUTED_VALUE"""),"خمینی شهر")</f>
        <v>خمینی شهر</v>
      </c>
      <c r="F6148" s="5"/>
      <c r="G6148" s="5"/>
      <c r="H6148" s="5"/>
      <c r="I6148" s="5"/>
      <c r="J6148" s="6" t="str">
        <f>IFERROR(__xludf.DUMMYFUNCTION("""COMPUTED_VALUE"""),"https://eitaa.com/khshohada_ir")</f>
        <v>https://eitaa.com/khshohada_ir</v>
      </c>
      <c r="K6148" s="5"/>
      <c r="L6148" s="5"/>
      <c r="M6148" s="5"/>
      <c r="N6148" s="5"/>
      <c r="O6148" s="5"/>
      <c r="P6148" s="5"/>
      <c r="Q6148" s="5"/>
      <c r="R6148" s="5"/>
      <c r="S6148" s="5"/>
    </row>
    <row r="6149">
      <c r="A6149" s="5"/>
      <c r="B6149" s="5" t="str">
        <f>IFERROR(__xludf.DUMMYFUNCTION("""COMPUTED_VALUE"""),"هیأت خانوادگی")</f>
        <v>هیأت خانوادگی</v>
      </c>
      <c r="C6149" s="5" t="str">
        <f>IFERROR(__xludf.DUMMYFUNCTION("""COMPUTED_VALUE"""),"دارالعشق")</f>
        <v>دارالعشق</v>
      </c>
      <c r="D6149" s="5" t="str">
        <f>IFERROR(__xludf.DUMMYFUNCTION("""COMPUTED_VALUE"""),"اصفهان ")</f>
        <v>اصفهان </v>
      </c>
      <c r="E6149" s="5" t="str">
        <f>IFERROR(__xludf.DUMMYFUNCTION("""COMPUTED_VALUE"""),"اصفهان ")</f>
        <v>اصفهان </v>
      </c>
      <c r="F6149" s="5"/>
      <c r="G6149" s="5"/>
      <c r="H6149" s="6" t="str">
        <f>IFERROR(__xludf.DUMMYFUNCTION("""COMPUTED_VALUE"""),"https://www.instagram.com/heyat_daroleshgh/")</f>
        <v>https://www.instagram.com/heyat_daroleshgh/</v>
      </c>
      <c r="I6149" s="5"/>
      <c r="J6149" s="6" t="str">
        <f>IFERROR(__xludf.DUMMYFUNCTION("""COMPUTED_VALUE"""),"https://eitaa.com/heyat_daroleshgh")</f>
        <v>https://eitaa.com/heyat_daroleshgh</v>
      </c>
      <c r="K6149" s="5"/>
      <c r="L6149" s="5"/>
      <c r="M6149" s="5"/>
      <c r="N6149" s="5"/>
      <c r="O6149" s="5"/>
      <c r="P6149" s="5"/>
      <c r="Q6149" s="5"/>
      <c r="R6149" s="5"/>
      <c r="S6149" s="5"/>
    </row>
    <row r="6150">
      <c r="A6150" s="5"/>
      <c r="B6150" s="5" t="str">
        <f>IFERROR(__xludf.DUMMYFUNCTION("""COMPUTED_VALUE"""),"هیأت")</f>
        <v>هیأت</v>
      </c>
      <c r="C6150" s="5" t="str">
        <f>IFERROR(__xludf.DUMMYFUNCTION("""COMPUTED_VALUE"""),"دلسوختگان")</f>
        <v>دلسوختگان</v>
      </c>
      <c r="D6150" s="5" t="str">
        <f>IFERROR(__xludf.DUMMYFUNCTION("""COMPUTED_VALUE"""),"اصفهان")</f>
        <v>اصفهان</v>
      </c>
      <c r="E6150" s="5" t="str">
        <f>IFERROR(__xludf.DUMMYFUNCTION("""COMPUTED_VALUE"""),"اصفهان")</f>
        <v>اصفهان</v>
      </c>
      <c r="F6150" s="5"/>
      <c r="G6150" s="5"/>
      <c r="H6150" s="6" t="str">
        <f>IFERROR(__xludf.DUMMYFUNCTION("""COMPUTED_VALUE"""),"https://www.instagram.com/delsuokhtegan/")</f>
        <v>https://www.instagram.com/delsuokhtegan/</v>
      </c>
      <c r="I6150" s="5"/>
      <c r="J6150" s="5"/>
      <c r="K6150" s="5"/>
      <c r="L6150" s="5"/>
      <c r="M6150" s="5"/>
      <c r="N6150" s="5"/>
      <c r="O6150" s="5"/>
      <c r="P6150" s="5"/>
      <c r="Q6150" s="5"/>
      <c r="R6150" s="5"/>
      <c r="S6150" s="5"/>
    </row>
    <row r="6151">
      <c r="A6151" s="5"/>
      <c r="B6151" s="5" t="str">
        <f>IFERROR(__xludf.DUMMYFUNCTION("""COMPUTED_VALUE"""),"هیأت")</f>
        <v>هیأت</v>
      </c>
      <c r="C6151" s="5" t="str">
        <f>IFERROR(__xludf.DUMMYFUNCTION("""COMPUTED_VALUE"""),"رزمندگان جنوب غرب (قرارگاه شهید ردانی پور)")</f>
        <v>رزمندگان جنوب غرب (قرارگاه شهید ردانی پور)</v>
      </c>
      <c r="D6151" s="5" t="str">
        <f>IFERROR(__xludf.DUMMYFUNCTION("""COMPUTED_VALUE"""),"اصفهان")</f>
        <v>اصفهان</v>
      </c>
      <c r="E6151" s="5" t="str">
        <f>IFERROR(__xludf.DUMMYFUNCTION("""COMPUTED_VALUE"""),"اصفهان")</f>
        <v>اصفهان</v>
      </c>
      <c r="F6151" s="5"/>
      <c r="G6151" s="5"/>
      <c r="H6151" s="6" t="str">
        <f>IFERROR(__xludf.DUMMYFUNCTION("""COMPUTED_VALUE"""),"https://www.instagram.com/hytrzmndgnslmjnwb/")</f>
        <v>https://www.instagram.com/hytrzmndgnslmjnwb/</v>
      </c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</row>
    <row r="6152">
      <c r="A6152" s="5"/>
      <c r="B6152" s="5" t="str">
        <f>IFERROR(__xludf.DUMMYFUNCTION("""COMPUTED_VALUE"""),"هیأت")</f>
        <v>هیأت</v>
      </c>
      <c r="C6152" s="5" t="str">
        <f>IFERROR(__xludf.DUMMYFUNCTION("""COMPUTED_VALUE"""),"رواق الحسین")</f>
        <v>رواق الحسین</v>
      </c>
      <c r="D6152" s="5" t="str">
        <f>IFERROR(__xludf.DUMMYFUNCTION("""COMPUTED_VALUE"""),"اصفهان")</f>
        <v>اصفهان</v>
      </c>
      <c r="E6152" s="5" t="str">
        <f>IFERROR(__xludf.DUMMYFUNCTION("""COMPUTED_VALUE"""),"اصفهان")</f>
        <v>اصفهان</v>
      </c>
      <c r="F6152" s="5"/>
      <c r="G6152" s="5"/>
      <c r="H6152" s="6" t="str">
        <f>IFERROR(__xludf.DUMMYFUNCTION("""COMPUTED_VALUE"""),"https://www.instagram.com/ravagholhosein/")</f>
        <v>https://www.instagram.com/ravagholhosein/</v>
      </c>
      <c r="I6152" s="6" t="str">
        <f>IFERROR(__xludf.DUMMYFUNCTION("""COMPUTED_VALUE"""),"https://t.me/ravagholhosein")</f>
        <v>https://t.me/ravagholhosein</v>
      </c>
      <c r="J6152" s="6" t="str">
        <f>IFERROR(__xludf.DUMMYFUNCTION("""COMPUTED_VALUE"""),"https://eitaa.com/ravagholhosein")</f>
        <v>https://eitaa.com/ravagholhosein</v>
      </c>
      <c r="K6152" s="5"/>
      <c r="L6152" s="5"/>
      <c r="M6152" s="5"/>
      <c r="N6152" s="5"/>
      <c r="O6152" s="5"/>
      <c r="P6152" s="5"/>
      <c r="Q6152" s="5"/>
      <c r="R6152" s="5"/>
      <c r="S6152" s="5"/>
    </row>
    <row r="6153">
      <c r="A6153" s="5"/>
      <c r="B6153" s="5" t="str">
        <f>IFERROR(__xludf.DUMMYFUNCTION("""COMPUTED_VALUE"""),"هیأت")</f>
        <v>هیأت</v>
      </c>
      <c r="C6153" s="5" t="str">
        <f>IFERROR(__xludf.DUMMYFUNCTION("""COMPUTED_VALUE"""),"شهزاده علی اکبر")</f>
        <v>شهزاده علی اکبر</v>
      </c>
      <c r="D6153" s="5" t="str">
        <f>IFERROR(__xludf.DUMMYFUNCTION("""COMPUTED_VALUE"""),"اصفهان")</f>
        <v>اصفهان</v>
      </c>
      <c r="E6153" s="5" t="str">
        <f>IFERROR(__xludf.DUMMYFUNCTION("""COMPUTED_VALUE"""),"کاشان")</f>
        <v>کاشان</v>
      </c>
      <c r="F6153" s="5" t="str">
        <f>IFERROR(__xludf.DUMMYFUNCTION("""COMPUTED_VALUE"""),"استرک")</f>
        <v>استرک</v>
      </c>
      <c r="G6153" s="5"/>
      <c r="H6153" s="6" t="str">
        <f>IFERROR(__xludf.DUMMYFUNCTION("""COMPUTED_VALUE"""),"https://www.instagram.com/heyataliakbar_estark")</f>
        <v>https://www.instagram.com/heyataliakbar_estark</v>
      </c>
      <c r="I6153" s="6" t="str">
        <f>IFERROR(__xludf.DUMMYFUNCTION("""COMPUTED_VALUE"""),"https://t.me/aliakbarestark")</f>
        <v>https://t.me/aliakbarestark</v>
      </c>
      <c r="J6153" s="5"/>
      <c r="K6153" s="5"/>
      <c r="L6153" s="5"/>
      <c r="M6153" s="5"/>
      <c r="N6153" s="5"/>
      <c r="O6153" s="5"/>
      <c r="P6153" s="5"/>
      <c r="Q6153" s="5"/>
      <c r="R6153" s="5"/>
      <c r="S6153" s="5"/>
    </row>
    <row r="6154">
      <c r="A6154" s="5"/>
      <c r="B6154" s="5" t="str">
        <f>IFERROR(__xludf.DUMMYFUNCTION("""COMPUTED_VALUE"""),"هیأت")</f>
        <v>هیأت</v>
      </c>
      <c r="C6154" s="5" t="str">
        <f>IFERROR(__xludf.DUMMYFUNCTION("""COMPUTED_VALUE"""),"فاطمیه")</f>
        <v>فاطمیه</v>
      </c>
      <c r="D6154" s="5" t="str">
        <f>IFERROR(__xludf.DUMMYFUNCTION("""COMPUTED_VALUE"""),"اصفهان")</f>
        <v>اصفهان</v>
      </c>
      <c r="E6154" s="5" t="str">
        <f>IFERROR(__xludf.DUMMYFUNCTION("""COMPUTED_VALUE"""),"کاشان")</f>
        <v>کاشان</v>
      </c>
      <c r="F6154" s="5"/>
      <c r="G6154" s="5"/>
      <c r="H6154" s="6" t="str">
        <f>IFERROR(__xludf.DUMMYFUNCTION("""COMPUTED_VALUE"""),"https://www.instagram.com/fatemye_kashan/")</f>
        <v>https://www.instagram.com/fatemye_kashan/</v>
      </c>
      <c r="I6154" s="6" t="str">
        <f>IFERROR(__xludf.DUMMYFUNCTION("""COMPUTED_VALUE"""),"https://t.me/fatemye_kashan")</f>
        <v>https://t.me/fatemye_kashan</v>
      </c>
      <c r="J6154" s="5"/>
      <c r="K6154" s="5"/>
      <c r="L6154" s="5"/>
      <c r="M6154" s="5"/>
      <c r="N6154" s="5"/>
      <c r="O6154" s="5"/>
      <c r="P6154" s="5"/>
      <c r="Q6154" s="5"/>
      <c r="R6154" s="5"/>
      <c r="S6154" s="5"/>
    </row>
    <row r="6155">
      <c r="A6155" s="5"/>
      <c r="B6155" s="5" t="str">
        <f>IFERROR(__xludf.DUMMYFUNCTION("""COMPUTED_VALUE"""),"هیأت")</f>
        <v>هیأت</v>
      </c>
      <c r="C6155" s="5" t="str">
        <f>IFERROR(__xludf.DUMMYFUNCTION("""COMPUTED_VALUE"""),"فاطمیون")</f>
        <v>فاطمیون</v>
      </c>
      <c r="D6155" s="5" t="str">
        <f>IFERROR(__xludf.DUMMYFUNCTION("""COMPUTED_VALUE"""),"اصفهان")</f>
        <v>اصفهان</v>
      </c>
      <c r="E6155" s="5" t="str">
        <f>IFERROR(__xludf.DUMMYFUNCTION("""COMPUTED_VALUE"""),"محمودآباد")</f>
        <v>محمودآباد</v>
      </c>
      <c r="F6155" s="5"/>
      <c r="G6155" s="5"/>
      <c r="H6155" s="6" t="str">
        <f>IFERROR(__xludf.DUMMYFUNCTION("""COMPUTED_VALUE"""),"https://www.instagram.com/fatemiyun_mahmoodabad/")</f>
        <v>https://www.instagram.com/fatemiyun_mahmoodabad/</v>
      </c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</row>
    <row r="6156">
      <c r="A6156" s="5"/>
      <c r="B6156" s="5" t="str">
        <f>IFERROR(__xludf.DUMMYFUNCTION("""COMPUTED_VALUE"""),"هیأت")</f>
        <v>هیأت</v>
      </c>
      <c r="C6156" s="5" t="str">
        <f>IFERROR(__xludf.DUMMYFUNCTION("""COMPUTED_VALUE"""),"فدائیان حسین")</f>
        <v>فدائیان حسین</v>
      </c>
      <c r="D6156" s="5" t="str">
        <f>IFERROR(__xludf.DUMMYFUNCTION("""COMPUTED_VALUE"""),"اصفهان")</f>
        <v>اصفهان</v>
      </c>
      <c r="E6156" s="5" t="str">
        <f>IFERROR(__xludf.DUMMYFUNCTION("""COMPUTED_VALUE"""),"اصفهان")</f>
        <v>اصفهان</v>
      </c>
      <c r="F6156" s="5"/>
      <c r="G6156" s="5"/>
      <c r="H6156" s="6" t="str">
        <f>IFERROR(__xludf.DUMMYFUNCTION("""COMPUTED_VALUE"""),"https://www.instagram.com/fadaeianhoseinir/")</f>
        <v>https://www.instagram.com/fadaeianhoseinir/</v>
      </c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</row>
    <row r="6157">
      <c r="A6157" s="5"/>
      <c r="B6157" s="5" t="str">
        <f>IFERROR(__xludf.DUMMYFUNCTION("""COMPUTED_VALUE"""),"هیأت")</f>
        <v>هیأت</v>
      </c>
      <c r="C6157" s="5" t="str">
        <f>IFERROR(__xludf.DUMMYFUNCTION("""COMPUTED_VALUE"""),"محبان حضرت زهرا (س)")</f>
        <v>محبان حضرت زهرا (س)</v>
      </c>
      <c r="D6157" s="5" t="str">
        <f>IFERROR(__xludf.DUMMYFUNCTION("""COMPUTED_VALUE"""),"اصفهان")</f>
        <v>اصفهان</v>
      </c>
      <c r="E6157" s="5" t="str">
        <f>IFERROR(__xludf.DUMMYFUNCTION("""COMPUTED_VALUE"""),"خوراسگان")</f>
        <v>خوراسگان</v>
      </c>
      <c r="F6157" s="5"/>
      <c r="G6157" s="5">
        <f>IFERROR(__xludf.DUMMYFUNCTION("""COMPUTED_VALUE"""),1.0)</f>
        <v>1</v>
      </c>
      <c r="H6157" s="6" t="str">
        <f>IFERROR(__xludf.DUMMYFUNCTION("""COMPUTED_VALUE"""),"https://www.instagram.com/mohebanozahra_90/")</f>
        <v>https://www.instagram.com/mohebanozahra_90/</v>
      </c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</row>
    <row r="6158">
      <c r="A6158" s="5"/>
      <c r="B6158" s="5" t="str">
        <f>IFERROR(__xludf.DUMMYFUNCTION("""COMPUTED_VALUE"""),"هیأت")</f>
        <v>هیأت</v>
      </c>
      <c r="C6158" s="5" t="str">
        <f>IFERROR(__xludf.DUMMYFUNCTION("""COMPUTED_VALUE"""),"محبین اهل بیت(ع)")</f>
        <v>محبین اهل بیت(ع)</v>
      </c>
      <c r="D6158" s="5" t="str">
        <f>IFERROR(__xludf.DUMMYFUNCTION("""COMPUTED_VALUE"""),"اصفهان")</f>
        <v>اصفهان</v>
      </c>
      <c r="E6158" s="5" t="str">
        <f>IFERROR(__xludf.DUMMYFUNCTION("""COMPUTED_VALUE"""),"خمینی شهر")</f>
        <v>خمینی شهر</v>
      </c>
      <c r="F6158" s="5"/>
      <c r="G6158" s="5"/>
      <c r="H6158" s="6" t="str">
        <f>IFERROR(__xludf.DUMMYFUNCTION("""COMPUTED_VALUE"""),"https://www.instagram.com/mohben_ahle_bet")</f>
        <v>https://www.instagram.com/mohben_ahle_bet</v>
      </c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</row>
    <row r="6159">
      <c r="A6159" s="5"/>
      <c r="B6159" s="5" t="str">
        <f>IFERROR(__xludf.DUMMYFUNCTION("""COMPUTED_VALUE"""),"مداح")</f>
        <v>مداح</v>
      </c>
      <c r="C6159" s="5" t="str">
        <f>IFERROR(__xludf.DUMMYFUNCTION("""COMPUTED_VALUE"""),"محمد عطایی نیا")</f>
        <v>محمد عطایی نیا</v>
      </c>
      <c r="D6159" s="5" t="str">
        <f>IFERROR(__xludf.DUMMYFUNCTION("""COMPUTED_VALUE"""),"اصفهان")</f>
        <v>اصفهان</v>
      </c>
      <c r="E6159" s="5" t="str">
        <f>IFERROR(__xludf.DUMMYFUNCTION("""COMPUTED_VALUE"""),"اصفهان")</f>
        <v>اصفهان</v>
      </c>
      <c r="F6159" s="5"/>
      <c r="G6159" s="5"/>
      <c r="H6159" s="6" t="str">
        <f>IFERROR(__xludf.DUMMYFUNCTION("""COMPUTED_VALUE"""),"https://www.instagram.com/mohammad_ataieniya216/")</f>
        <v>https://www.instagram.com/mohammad_ataieniya216/</v>
      </c>
      <c r="I6159" s="6" t="str">
        <f>IFERROR(__xludf.DUMMYFUNCTION("""COMPUTED_VALUE"""),"https://t.me/K_ataieniya315")</f>
        <v>https://t.me/K_ataieniya315</v>
      </c>
      <c r="J6159" s="5"/>
      <c r="K6159" s="5"/>
      <c r="L6159" s="5"/>
      <c r="M6159" s="5"/>
      <c r="N6159" s="5"/>
      <c r="O6159" s="5"/>
      <c r="P6159" s="5"/>
      <c r="Q6159" s="5"/>
      <c r="R6159" s="5"/>
      <c r="S6159" s="5"/>
    </row>
    <row r="6160">
      <c r="A6160" s="5"/>
      <c r="B6160" s="5" t="str">
        <f>IFERROR(__xludf.DUMMYFUNCTION("""COMPUTED_VALUE"""),"هیأت")</f>
        <v>هیأت</v>
      </c>
      <c r="C6160" s="5" t="str">
        <f>IFERROR(__xludf.DUMMYFUNCTION("""COMPUTED_VALUE"""),"یوسف زهرا")</f>
        <v>یوسف زهرا</v>
      </c>
      <c r="D6160" s="5" t="str">
        <f>IFERROR(__xludf.DUMMYFUNCTION("""COMPUTED_VALUE"""),"اصفهان")</f>
        <v>اصفهان</v>
      </c>
      <c r="E6160" s="5"/>
      <c r="F6160" s="5"/>
      <c r="G6160" s="5"/>
      <c r="H6160" s="6" t="str">
        <f>IFERROR(__xludf.DUMMYFUNCTION("""COMPUTED_VALUE"""),"https://www.instagram.com/h.yusofezahra/")</f>
        <v>https://www.instagram.com/h.yusofezahra/</v>
      </c>
      <c r="I6160" s="5"/>
      <c r="J6160" s="6" t="str">
        <f>IFERROR(__xludf.DUMMYFUNCTION("""COMPUTED_VALUE"""),"https://eitaa.com/yusofe_zahra")</f>
        <v>https://eitaa.com/yusofe_zahra</v>
      </c>
      <c r="K6160" s="5"/>
      <c r="L6160" s="5"/>
      <c r="M6160" s="5"/>
      <c r="N6160" s="5"/>
      <c r="O6160" s="5"/>
      <c r="P6160" s="5"/>
      <c r="Q6160" s="5"/>
      <c r="R6160" s="5"/>
      <c r="S6160" s="5"/>
    </row>
    <row r="6161">
      <c r="A6161" s="5"/>
      <c r="B6161" s="5" t="str">
        <f>IFERROR(__xludf.DUMMYFUNCTION("""COMPUTED_VALUE"""),"هیأت")</f>
        <v>هیأت</v>
      </c>
      <c r="C6161" s="5" t="str">
        <f>IFERROR(__xludf.DUMMYFUNCTION("""COMPUTED_VALUE"""),"مکتب الزهرا (س)")</f>
        <v>مکتب الزهرا (س)</v>
      </c>
      <c r="D6161" s="5" t="str">
        <f>IFERROR(__xludf.DUMMYFUNCTION("""COMPUTED_VALUE"""),"اصفهان")</f>
        <v>اصفهان</v>
      </c>
      <c r="E6161" s="5" t="str">
        <f>IFERROR(__xludf.DUMMYFUNCTION("""COMPUTED_VALUE"""),"اصفهان")</f>
        <v>اصفهان</v>
      </c>
      <c r="F6161" s="5"/>
      <c r="G6161" s="5"/>
      <c r="H6161" s="6" t="str">
        <f>IFERROR(__xludf.DUMMYFUNCTION("""COMPUTED_VALUE"""),"https://www.instagram.com/pelak69_ir/")</f>
        <v>https://www.instagram.com/pelak69_ir/</v>
      </c>
      <c r="I6161" s="6" t="str">
        <f>IFERROR(__xludf.DUMMYFUNCTION("""COMPUTED_VALUE"""),"https://t.me/pelak69_ir")</f>
        <v>https://t.me/pelak69_ir</v>
      </c>
      <c r="J6161" s="6" t="str">
        <f>IFERROR(__xludf.DUMMYFUNCTION("""COMPUTED_VALUE"""),"https://eitaa.com/pelak69_ir")</f>
        <v>https://eitaa.com/pelak69_ir</v>
      </c>
      <c r="K6161" s="5"/>
      <c r="L6161" s="5"/>
      <c r="M6161" s="5"/>
      <c r="N6161" s="5"/>
      <c r="O6161" s="5"/>
      <c r="P6161" s="5"/>
      <c r="Q6161" s="5"/>
      <c r="R6161" s="5"/>
      <c r="S6161" s="5"/>
    </row>
    <row r="6162">
      <c r="A6162" s="5"/>
      <c r="B6162" s="5" t="str">
        <f>IFERROR(__xludf.DUMMYFUNCTION("""COMPUTED_VALUE"""),"هیأت")</f>
        <v>هیأت</v>
      </c>
      <c r="C6162" s="5" t="str">
        <f>IFERROR(__xludf.DUMMYFUNCTION("""COMPUTED_VALUE"""),"الرضا")</f>
        <v>الرضا</v>
      </c>
      <c r="D6162" s="5" t="str">
        <f>IFERROR(__xludf.DUMMYFUNCTION("""COMPUTED_VALUE"""),"اصفهان")</f>
        <v>اصفهان</v>
      </c>
      <c r="E6162" s="5" t="str">
        <f>IFERROR(__xludf.DUMMYFUNCTION("""COMPUTED_VALUE"""),"نائین")</f>
        <v>نائین</v>
      </c>
      <c r="F6162" s="5" t="str">
        <f>IFERROR(__xludf.DUMMYFUNCTION("""COMPUTED_VALUE"""),"مزرعه امام")</f>
        <v>مزرعه امام</v>
      </c>
      <c r="G6162" s="5"/>
      <c r="H6162" s="6" t="str">
        <f>IFERROR(__xludf.DUMMYFUNCTION("""COMPUTED_VALUE"""),"https://www.instagram.com/heyat.alreza")</f>
        <v>https://www.instagram.com/heyat.alreza</v>
      </c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</row>
    <row r="6163">
      <c r="A6163" s="5"/>
      <c r="B6163" s="5" t="str">
        <f>IFERROR(__xludf.DUMMYFUNCTION("""COMPUTED_VALUE"""),"هیأت")</f>
        <v>هیأت</v>
      </c>
      <c r="C6163" s="5" t="str">
        <f>IFERROR(__xludf.DUMMYFUNCTION("""COMPUTED_VALUE"""),"جنت المجتبی")</f>
        <v>جنت المجتبی</v>
      </c>
      <c r="D6163" s="5" t="str">
        <f>IFERROR(__xludf.DUMMYFUNCTION("""COMPUTED_VALUE"""),"اصفهان")</f>
        <v>اصفهان</v>
      </c>
      <c r="E6163" s="5" t="str">
        <f>IFERROR(__xludf.DUMMYFUNCTION("""COMPUTED_VALUE"""),"کاشان")</f>
        <v>کاشان</v>
      </c>
      <c r="F6163" s="5"/>
      <c r="G6163" s="5"/>
      <c r="H6163" s="6" t="str">
        <f>IFERROR(__xludf.DUMMYFUNCTION("""COMPUTED_VALUE"""),"https://www.instagram.com/jannat_al_mojtaba/")</f>
        <v>https://www.instagram.com/jannat_al_mojtaba/</v>
      </c>
      <c r="I6163" s="5"/>
      <c r="J6163" s="6" t="str">
        <f>IFERROR(__xludf.DUMMYFUNCTION("""COMPUTED_VALUE"""),"https://eitaa.com/jannat_al_mojtaba")</f>
        <v>https://eitaa.com/jannat_al_mojtaba</v>
      </c>
      <c r="K6163" s="5"/>
      <c r="L6163" s="5"/>
      <c r="M6163" s="5"/>
      <c r="N6163" s="5"/>
      <c r="O6163" s="5"/>
      <c r="P6163" s="5"/>
      <c r="Q6163" s="5"/>
      <c r="R6163" s="5"/>
      <c r="S6163" s="5"/>
    </row>
    <row r="6164">
      <c r="A6164" s="5"/>
      <c r="B6164" s="5" t="str">
        <f>IFERROR(__xludf.DUMMYFUNCTION("""COMPUTED_VALUE"""),"هیأت")</f>
        <v>هیأت</v>
      </c>
      <c r="C6164" s="5" t="str">
        <f>IFERROR(__xludf.DUMMYFUNCTION("""COMPUTED_VALUE"""),"ابوالفضل(ع)")</f>
        <v>ابوالفضل(ع)</v>
      </c>
      <c r="D6164" s="5" t="str">
        <f>IFERROR(__xludf.DUMMYFUNCTION("""COMPUTED_VALUE"""),"اصفهان")</f>
        <v>اصفهان</v>
      </c>
      <c r="E6164" s="5" t="str">
        <f>IFERROR(__xludf.DUMMYFUNCTION("""COMPUTED_VALUE"""),"کاشان")</f>
        <v>کاشان</v>
      </c>
      <c r="F6164" s="5"/>
      <c r="G6164" s="5"/>
      <c r="H6164" s="6" t="str">
        <f>IFERROR(__xludf.DUMMYFUNCTION("""COMPUTED_VALUE"""),"https://www.instagram.com/heyat_abolfazl_saresang/")</f>
        <v>https://www.instagram.com/heyat_abolfazl_saresang/</v>
      </c>
      <c r="I6164" s="6" t="str">
        <f>IFERROR(__xludf.DUMMYFUNCTION("""COMPUTED_VALUE"""),"https://t.me/saresang")</f>
        <v>https://t.me/saresang</v>
      </c>
      <c r="J6164" s="5"/>
      <c r="K6164" s="5"/>
      <c r="L6164" s="5"/>
      <c r="M6164" s="5"/>
      <c r="N6164" s="5"/>
      <c r="O6164" s="5"/>
      <c r="P6164" s="5"/>
      <c r="Q6164" s="5"/>
      <c r="R6164" s="5"/>
      <c r="S6164" s="5"/>
    </row>
    <row r="6165">
      <c r="A6165" s="5"/>
      <c r="B6165" s="5" t="str">
        <f>IFERROR(__xludf.DUMMYFUNCTION("""COMPUTED_VALUE"""),"هیأت")</f>
        <v>هیأت</v>
      </c>
      <c r="C6165" s="5" t="str">
        <f>IFERROR(__xludf.DUMMYFUNCTION("""COMPUTED_VALUE"""),"باب الحوائج")</f>
        <v>باب الحوائج</v>
      </c>
      <c r="D6165" s="5" t="str">
        <f>IFERROR(__xludf.DUMMYFUNCTION("""COMPUTED_VALUE"""),"اصفهان")</f>
        <v>اصفهان</v>
      </c>
      <c r="E6165" s="5" t="str">
        <f>IFERROR(__xludf.DUMMYFUNCTION("""COMPUTED_VALUE"""),"کاشان")</f>
        <v>کاشان</v>
      </c>
      <c r="F6165" s="5" t="str">
        <f>IFERROR(__xludf.DUMMYFUNCTION("""COMPUTED_VALUE"""),"برزک")</f>
        <v>برزک</v>
      </c>
      <c r="G6165" s="5"/>
      <c r="H6165" s="6" t="str">
        <f>IFERROR(__xludf.DUMMYFUNCTION("""COMPUTED_VALUE"""),"https://www.instagram.com/babalhavaeg_barzok/")</f>
        <v>https://www.instagram.com/babalhavaeg_barzok/</v>
      </c>
      <c r="I6165" s="5"/>
      <c r="J6165" s="6" t="str">
        <f>IFERROR(__xludf.DUMMYFUNCTION("""COMPUTED_VALUE"""),"https://eitaa.com/babalhavaeg_barzok")</f>
        <v>https://eitaa.com/babalhavaeg_barzok</v>
      </c>
      <c r="K6165" s="5"/>
      <c r="L6165" s="5"/>
      <c r="M6165" s="5"/>
      <c r="N6165" s="5"/>
      <c r="O6165" s="5"/>
      <c r="P6165" s="5"/>
      <c r="Q6165" s="5"/>
      <c r="R6165" s="5"/>
      <c r="S6165" s="5"/>
    </row>
    <row r="6166">
      <c r="A6166" s="5"/>
      <c r="B6166" s="5" t="str">
        <f>IFERROR(__xludf.DUMMYFUNCTION("""COMPUTED_VALUE"""),"هیأت")</f>
        <v>هیأت</v>
      </c>
      <c r="C6166" s="5" t="str">
        <f>IFERROR(__xludf.DUMMYFUNCTION("""COMPUTED_VALUE"""),"مسلم بن عقیل")</f>
        <v>مسلم بن عقیل</v>
      </c>
      <c r="D6166" s="5" t="str">
        <f>IFERROR(__xludf.DUMMYFUNCTION("""COMPUTED_VALUE"""),"اصفهان")</f>
        <v>اصفهان</v>
      </c>
      <c r="E6166" s="5" t="str">
        <f>IFERROR(__xludf.DUMMYFUNCTION("""COMPUTED_VALUE"""),"کاشان")</f>
        <v>کاشان</v>
      </c>
      <c r="F6166" s="5"/>
      <c r="G6166" s="5"/>
      <c r="H6166" s="6" t="str">
        <f>IFERROR(__xludf.DUMMYFUNCTION("""COMPUTED_VALUE"""),"http://instagram.com/safiralhossein/")</f>
        <v>http://instagram.com/safiralhossein/</v>
      </c>
      <c r="I6166" s="6" t="str">
        <f>IFERROR(__xludf.DUMMYFUNCTION("""COMPUTED_VALUE"""),"https://t.me/safiralhossain")</f>
        <v>https://t.me/safiralhossain</v>
      </c>
      <c r="J6166" s="5"/>
      <c r="K6166" s="5"/>
      <c r="L6166" s="5"/>
      <c r="M6166" s="5"/>
      <c r="N6166" s="5"/>
      <c r="O6166" s="5"/>
      <c r="P6166" s="5"/>
      <c r="Q6166" s="5"/>
      <c r="R6166" s="5"/>
      <c r="S6166" s="5"/>
    </row>
    <row r="6167">
      <c r="A6167" s="5"/>
      <c r="B6167" s="5" t="str">
        <f>IFERROR(__xludf.DUMMYFUNCTION("""COMPUTED_VALUE"""),"هیأت")</f>
        <v>هیأت</v>
      </c>
      <c r="C6167" s="5" t="str">
        <f>IFERROR(__xludf.DUMMYFUNCTION("""COMPUTED_VALUE"""),"متحده چهارده معصوم")</f>
        <v>متحده چهارده معصوم</v>
      </c>
      <c r="D6167" s="5" t="str">
        <f>IFERROR(__xludf.DUMMYFUNCTION("""COMPUTED_VALUE"""),"اصفهان")</f>
        <v>اصفهان</v>
      </c>
      <c r="E6167" s="5" t="str">
        <f>IFERROR(__xludf.DUMMYFUNCTION("""COMPUTED_VALUE"""),"کاشان")</f>
        <v>کاشان</v>
      </c>
      <c r="F6167" s="5"/>
      <c r="G6167" s="5"/>
      <c r="H6167" s="6" t="str">
        <f>IFERROR(__xludf.DUMMYFUNCTION("""COMPUTED_VALUE"""),"https://www.instagram.com/14masoomkashan/")</f>
        <v>https://www.instagram.com/14masoomkashan/</v>
      </c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</row>
    <row r="6168">
      <c r="A6168" s="5"/>
      <c r="B6168" s="5" t="str">
        <f>IFERROR(__xludf.DUMMYFUNCTION("""COMPUTED_VALUE"""),"موکب")</f>
        <v>موکب</v>
      </c>
      <c r="C6168" s="5" t="str">
        <f>IFERROR(__xludf.DUMMYFUNCTION("""COMPUTED_VALUE"""),"وارثان شهید اردهال")</f>
        <v>وارثان شهید اردهال</v>
      </c>
      <c r="D6168" s="5" t="str">
        <f>IFERROR(__xludf.DUMMYFUNCTION("""COMPUTED_VALUE"""),"اصفهان")</f>
        <v>اصفهان</v>
      </c>
      <c r="E6168" s="5" t="str">
        <f>IFERROR(__xludf.DUMMYFUNCTION("""COMPUTED_VALUE"""),"کاشان")</f>
        <v>کاشان</v>
      </c>
      <c r="F6168" s="5" t="str">
        <f>IFERROR(__xludf.DUMMYFUNCTION("""COMPUTED_VALUE"""),"فین")</f>
        <v>فین</v>
      </c>
      <c r="G6168" s="5"/>
      <c r="H6168" s="6" t="str">
        <f>IFERROR(__xludf.DUMMYFUNCTION("""COMPUTED_VALUE"""),"https://www.instagram.com/mokebefin/")</f>
        <v>https://www.instagram.com/mokebefin/</v>
      </c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</row>
    <row r="6169">
      <c r="A6169" s="5"/>
      <c r="B6169" s="5" t="str">
        <f>IFERROR(__xludf.DUMMYFUNCTION("""COMPUTED_VALUE"""),"هیأت")</f>
        <v>هیأت</v>
      </c>
      <c r="C6169" s="5" t="str">
        <f>IFERROR(__xludf.DUMMYFUNCTION("""COMPUTED_VALUE"""),"جنت الرقیه")</f>
        <v>جنت الرقیه</v>
      </c>
      <c r="D6169" s="5" t="str">
        <f>IFERROR(__xludf.DUMMYFUNCTION("""COMPUTED_VALUE"""),"اصفهان")</f>
        <v>اصفهان</v>
      </c>
      <c r="E6169" s="5" t="str">
        <f>IFERROR(__xludf.DUMMYFUNCTION("""COMPUTED_VALUE"""),"کاشان")</f>
        <v>کاشان</v>
      </c>
      <c r="F6169" s="5"/>
      <c r="G6169" s="5"/>
      <c r="H6169" s="6" t="str">
        <f>IFERROR(__xludf.DUMMYFUNCTION("""COMPUTED_VALUE"""),"https://www.instagram.com/jannatroghayekashan315/")</f>
        <v>https://www.instagram.com/jannatroghayekashan315/</v>
      </c>
      <c r="I6169" s="6" t="str">
        <f>IFERROR(__xludf.DUMMYFUNCTION("""COMPUTED_VALUE"""),"https://t.me/jannatolroghayekashan315")</f>
        <v>https://t.me/jannatolroghayekashan315</v>
      </c>
      <c r="J6169" s="6" t="str">
        <f>IFERROR(__xludf.DUMMYFUNCTION("""COMPUTED_VALUE"""),"https://eitaa.com/jannatolroghayekashan315")</f>
        <v>https://eitaa.com/jannatolroghayekashan315</v>
      </c>
      <c r="K6169" s="5"/>
      <c r="L6169" s="5"/>
      <c r="M6169" s="5"/>
      <c r="N6169" s="5"/>
      <c r="O6169" s="5"/>
      <c r="P6169" s="5"/>
      <c r="Q6169" s="5"/>
      <c r="R6169" s="5"/>
      <c r="S6169" s="5"/>
    </row>
    <row r="6170">
      <c r="A6170" s="5"/>
      <c r="B6170" s="5" t="str">
        <f>IFERROR(__xludf.DUMMYFUNCTION("""COMPUTED_VALUE"""),"هیأت")</f>
        <v>هیأت</v>
      </c>
      <c r="C6170" s="5" t="str">
        <f>IFERROR(__xludf.DUMMYFUNCTION("""COMPUTED_VALUE"""),"مهتدون")</f>
        <v>مهتدون</v>
      </c>
      <c r="D6170" s="5" t="str">
        <f>IFERROR(__xludf.DUMMYFUNCTION("""COMPUTED_VALUE"""),"اصفهان")</f>
        <v>اصفهان</v>
      </c>
      <c r="E6170" s="5" t="str">
        <f>IFERROR(__xludf.DUMMYFUNCTION("""COMPUTED_VALUE"""),"کاشان")</f>
        <v>کاشان</v>
      </c>
      <c r="F6170" s="5"/>
      <c r="G6170" s="5"/>
      <c r="H6170" s="6" t="str">
        <f>IFERROR(__xludf.DUMMYFUNCTION("""COMPUTED_VALUE"""),"https://www.instagram.com/_mohtadoun_/")</f>
        <v>https://www.instagram.com/_mohtadoun_/</v>
      </c>
      <c r="I6170" s="6" t="str">
        <f>IFERROR(__xludf.DUMMYFUNCTION("""COMPUTED_VALUE"""),"https://t.me/mohtadoun")</f>
        <v>https://t.me/mohtadoun</v>
      </c>
      <c r="J6170" s="5"/>
      <c r="K6170" s="5"/>
      <c r="L6170" s="5"/>
      <c r="M6170" s="5"/>
      <c r="N6170" s="5"/>
      <c r="O6170" s="5"/>
      <c r="P6170" s="5"/>
      <c r="Q6170" s="5"/>
      <c r="R6170" s="5"/>
      <c r="S6170" s="5"/>
    </row>
    <row r="6171">
      <c r="A6171" s="5"/>
      <c r="B6171" s="5" t="str">
        <f>IFERROR(__xludf.DUMMYFUNCTION("""COMPUTED_VALUE"""),"هیأت")</f>
        <v>هیأت</v>
      </c>
      <c r="C6171" s="5" t="str">
        <f>IFERROR(__xludf.DUMMYFUNCTION("""COMPUTED_VALUE"""),"جنة الزهرا سلام اللّه علیها")</f>
        <v>جنة الزهرا سلام اللّه علیها</v>
      </c>
      <c r="D6171" s="5" t="str">
        <f>IFERROR(__xludf.DUMMYFUNCTION("""COMPUTED_VALUE"""),"اصفهان")</f>
        <v>اصفهان</v>
      </c>
      <c r="E6171" s="5" t="str">
        <f>IFERROR(__xludf.DUMMYFUNCTION("""COMPUTED_VALUE"""),"آران و بیدگل")</f>
        <v>آران و بیدگل</v>
      </c>
      <c r="F6171" s="5"/>
      <c r="G6171" s="5"/>
      <c r="H6171" s="6" t="str">
        <f>IFERROR(__xludf.DUMMYFUNCTION("""COMPUTED_VALUE"""),"https://www.instagram.com/jannatol_zahra/")</f>
        <v>https://www.instagram.com/jannatol_zahra/</v>
      </c>
      <c r="I6171" s="6" t="str">
        <f>IFERROR(__xludf.DUMMYFUNCTION("""COMPUTED_VALUE"""),"https://t.me/janatol_zahra_AranandBidgol")</f>
        <v>https://t.me/janatol_zahra_AranandBidgol</v>
      </c>
      <c r="J6171" s="5"/>
      <c r="K6171" s="5"/>
      <c r="L6171" s="5"/>
      <c r="M6171" s="5"/>
      <c r="N6171" s="5"/>
      <c r="O6171" s="5"/>
      <c r="P6171" s="5"/>
      <c r="Q6171" s="5"/>
      <c r="R6171" s="5"/>
      <c r="S6171" s="5"/>
    </row>
    <row r="6172">
      <c r="A6172" s="5"/>
      <c r="B6172" s="5" t="str">
        <f>IFERROR(__xludf.DUMMYFUNCTION("""COMPUTED_VALUE"""),"هیأت")</f>
        <v>هیأت</v>
      </c>
      <c r="C6172" s="5" t="str">
        <f>IFERROR(__xludf.DUMMYFUNCTION("""COMPUTED_VALUE"""),"روضة العبّاس علیه السلام")</f>
        <v>روضة العبّاس علیه السلام</v>
      </c>
      <c r="D6172" s="5" t="str">
        <f>IFERROR(__xludf.DUMMYFUNCTION("""COMPUTED_VALUE"""),"اصفهان")</f>
        <v>اصفهان</v>
      </c>
      <c r="E6172" s="5" t="str">
        <f>IFERROR(__xludf.DUMMYFUNCTION("""COMPUTED_VALUE"""),"کاشان")</f>
        <v>کاشان</v>
      </c>
      <c r="F6172" s="5" t="str">
        <f>IFERROR(__xludf.DUMMYFUNCTION("""COMPUTED_VALUE"""),"نوش آباد")</f>
        <v>نوش آباد</v>
      </c>
      <c r="G6172" s="5"/>
      <c r="H6172" s="6" t="str">
        <f>IFERROR(__xludf.DUMMYFUNCTION("""COMPUTED_VALUE"""),"https://www.instagram.com/rozatolabbas_noushabad/")</f>
        <v>https://www.instagram.com/rozatolabbas_noushabad/</v>
      </c>
      <c r="I6172" s="6" t="str">
        <f>IFERROR(__xludf.DUMMYFUNCTION("""COMPUTED_VALUE"""),"https://t.me/rozatolabbas_noushabad")</f>
        <v>https://t.me/rozatolabbas_noushabad</v>
      </c>
      <c r="J6172" s="6" t="str">
        <f>IFERROR(__xludf.DUMMYFUNCTION("""COMPUTED_VALUE"""),"https://eitaa.com/rozatolabbas_noushabad")</f>
        <v>https://eitaa.com/rozatolabbas_noushabad</v>
      </c>
      <c r="K6172" s="5"/>
      <c r="L6172" s="5"/>
      <c r="M6172" s="5"/>
      <c r="N6172" s="5"/>
      <c r="O6172" s="5"/>
      <c r="P6172" s="5"/>
      <c r="Q6172" s="5"/>
      <c r="R6172" s="5"/>
      <c r="S6172" s="5"/>
    </row>
    <row r="6173">
      <c r="A6173" s="5"/>
      <c r="B6173" s="5" t="str">
        <f>IFERROR(__xludf.DUMMYFUNCTION("""COMPUTED_VALUE"""),"هیأت")</f>
        <v>هیأت</v>
      </c>
      <c r="C6173" s="5" t="str">
        <f>IFERROR(__xludf.DUMMYFUNCTION("""COMPUTED_VALUE"""),"شاهزاده علی اکبر")</f>
        <v>شاهزاده علی اکبر</v>
      </c>
      <c r="D6173" s="5" t="str">
        <f>IFERROR(__xludf.DUMMYFUNCTION("""COMPUTED_VALUE"""),"اصفهان")</f>
        <v>اصفهان</v>
      </c>
      <c r="E6173" s="5" t="str">
        <f>IFERROR(__xludf.DUMMYFUNCTION("""COMPUTED_VALUE"""),"کاشان")</f>
        <v>کاشان</v>
      </c>
      <c r="F6173" s="5"/>
      <c r="G6173" s="5"/>
      <c r="H6173" s="6" t="str">
        <f>IFERROR(__xludf.DUMMYFUNCTION("""COMPUTED_VALUE"""),"https://www.instagram.com/aliakbarpamenar/")</f>
        <v>https://www.instagram.com/aliakbarpamenar/</v>
      </c>
      <c r="I6173" s="6" t="str">
        <f>IFERROR(__xludf.DUMMYFUNCTION("""COMPUTED_VALUE"""),"https://t.me/hazrat_aliakbr")</f>
        <v>https://t.me/hazrat_aliakbr</v>
      </c>
      <c r="J6173" s="5"/>
      <c r="K6173" s="5"/>
      <c r="L6173" s="5"/>
      <c r="M6173" s="5"/>
      <c r="N6173" s="5"/>
      <c r="O6173" s="5"/>
      <c r="P6173" s="5"/>
      <c r="Q6173" s="5"/>
      <c r="R6173" s="5"/>
      <c r="S6173" s="5"/>
    </row>
    <row r="6174">
      <c r="A6174" s="5"/>
      <c r="B6174" s="5" t="str">
        <f>IFERROR(__xludf.DUMMYFUNCTION("""COMPUTED_VALUE"""),"هیأت")</f>
        <v>هیأت</v>
      </c>
      <c r="C6174" s="5" t="str">
        <f>IFERROR(__xludf.DUMMYFUNCTION("""COMPUTED_VALUE"""),"انصارالحسن کاشان")</f>
        <v>انصارالحسن کاشان</v>
      </c>
      <c r="D6174" s="5" t="str">
        <f>IFERROR(__xludf.DUMMYFUNCTION("""COMPUTED_VALUE"""),"اصفهان")</f>
        <v>اصفهان</v>
      </c>
      <c r="E6174" s="5" t="str">
        <f>IFERROR(__xludf.DUMMYFUNCTION("""COMPUTED_VALUE"""),"کاشان")</f>
        <v>کاشان</v>
      </c>
      <c r="F6174" s="5"/>
      <c r="G6174" s="5"/>
      <c r="H6174" s="6" t="str">
        <f>IFERROR(__xludf.DUMMYFUNCTION("""COMPUTED_VALUE"""),"https://www.instagram.com/ansarhasan_resane/")</f>
        <v>https://www.instagram.com/ansarhasan_resane/</v>
      </c>
      <c r="I6174" s="5"/>
      <c r="J6174" s="5"/>
      <c r="K6174" s="5"/>
      <c r="L6174" s="5"/>
      <c r="M6174" s="5"/>
      <c r="N6174" s="5"/>
      <c r="O6174" s="5"/>
      <c r="P6174" s="5"/>
      <c r="Q6174" s="5"/>
      <c r="R6174" s="5"/>
      <c r="S6174" s="5"/>
    </row>
    <row r="6175">
      <c r="A6175" s="5"/>
      <c r="B6175" s="5" t="str">
        <f>IFERROR(__xludf.DUMMYFUNCTION("""COMPUTED_VALUE"""),"هیأت")</f>
        <v>هیأت</v>
      </c>
      <c r="C6175" s="5" t="str">
        <f>IFERROR(__xludf.DUMMYFUNCTION("""COMPUTED_VALUE"""),"حضرت ابوالفضل")</f>
        <v>حضرت ابوالفضل</v>
      </c>
      <c r="D6175" s="5" t="str">
        <f>IFERROR(__xludf.DUMMYFUNCTION("""COMPUTED_VALUE"""),"اصفهان")</f>
        <v>اصفهان</v>
      </c>
      <c r="E6175" s="5" t="str">
        <f>IFERROR(__xludf.DUMMYFUNCTION("""COMPUTED_VALUE"""),"کاشان")</f>
        <v>کاشان</v>
      </c>
      <c r="F6175" s="5"/>
      <c r="G6175" s="5"/>
      <c r="H6175" s="6" t="str">
        <f>IFERROR(__xludf.DUMMYFUNCTION("""COMPUTED_VALUE"""),"https://www.instagram.com/alamdar_kashan/")</f>
        <v>https://www.instagram.com/alamdar_kashan/</v>
      </c>
      <c r="I6175" s="6" t="str">
        <f>IFERROR(__xludf.DUMMYFUNCTION("""COMPUTED_VALUE"""),"https://t.me/alamdarkashan")</f>
        <v>https://t.me/alamdarkashan</v>
      </c>
      <c r="J6175" s="6" t="str">
        <f>IFERROR(__xludf.DUMMYFUNCTION("""COMPUTED_VALUE"""),"https://eitaa.com/Alamdarkashan")</f>
        <v>https://eitaa.com/Alamdarkashan</v>
      </c>
      <c r="K6175" s="5"/>
      <c r="L6175" s="5"/>
      <c r="M6175" s="5"/>
      <c r="N6175" s="5"/>
      <c r="O6175" s="5"/>
      <c r="P6175" s="5"/>
      <c r="Q6175" s="5"/>
      <c r="R6175" s="5"/>
      <c r="S6175" s="5"/>
    </row>
    <row r="6176">
      <c r="A6176" s="5"/>
      <c r="B6176" s="5" t="str">
        <f>IFERROR(__xludf.DUMMYFUNCTION("""COMPUTED_VALUE"""),"هیأت")</f>
        <v>هیأت</v>
      </c>
      <c r="C6176" s="5" t="str">
        <f>IFERROR(__xludf.DUMMYFUNCTION("""COMPUTED_VALUE"""),"حسینی")</f>
        <v>حسینی</v>
      </c>
      <c r="D6176" s="5" t="str">
        <f>IFERROR(__xludf.DUMMYFUNCTION("""COMPUTED_VALUE"""),"اصفهان")</f>
        <v>اصفهان</v>
      </c>
      <c r="E6176" s="5" t="str">
        <f>IFERROR(__xludf.DUMMYFUNCTION("""COMPUTED_VALUE"""),"کاشان")</f>
        <v>کاشان</v>
      </c>
      <c r="F6176" s="5" t="str">
        <f>IFERROR(__xludf.DUMMYFUNCTION("""COMPUTED_VALUE"""),"نوش آباد")</f>
        <v>نوش آباد</v>
      </c>
      <c r="G6176" s="5"/>
      <c r="H6176" s="6" t="str">
        <f>IFERROR(__xludf.DUMMYFUNCTION("""COMPUTED_VALUE"""),"https://www.instagram.com/hosseininoushabad/")</f>
        <v>https://www.instagram.com/hosseininoushabad/</v>
      </c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</row>
    <row r="6177">
      <c r="A6177" s="5"/>
      <c r="B6177" s="5" t="str">
        <f>IFERROR(__xludf.DUMMYFUNCTION("""COMPUTED_VALUE"""),"هیأت")</f>
        <v>هیأت</v>
      </c>
      <c r="C6177" s="5" t="str">
        <f>IFERROR(__xludf.DUMMYFUNCTION("""COMPUTED_VALUE"""),"یاعباس ع")</f>
        <v>یاعباس ع</v>
      </c>
      <c r="D6177" s="5" t="str">
        <f>IFERROR(__xludf.DUMMYFUNCTION("""COMPUTED_VALUE"""),"اصفهان")</f>
        <v>اصفهان</v>
      </c>
      <c r="E6177" s="5" t="str">
        <f>IFERROR(__xludf.DUMMYFUNCTION("""COMPUTED_VALUE"""),"آران و بیدگل")</f>
        <v>آران و بیدگل</v>
      </c>
      <c r="F6177" s="5"/>
      <c r="G6177" s="5"/>
      <c r="H6177" s="6" t="str">
        <f>IFERROR(__xludf.DUMMYFUNCTION("""COMPUTED_VALUE"""),"https://www.instagram.com/ya_abbas82/")</f>
        <v>https://www.instagram.com/ya_abbas82/</v>
      </c>
      <c r="I6177" s="6" t="str">
        <f>IFERROR(__xludf.DUMMYFUNCTION("""COMPUTED_VALUE"""),"https://t.me/ya_abbas_82")</f>
        <v>https://t.me/ya_abbas_82</v>
      </c>
      <c r="J6177" s="5"/>
      <c r="K6177" s="5"/>
      <c r="L6177" s="5"/>
      <c r="M6177" s="5"/>
      <c r="N6177" s="5"/>
      <c r="O6177" s="5"/>
      <c r="P6177" s="5"/>
      <c r="Q6177" s="5"/>
      <c r="R6177" s="5"/>
      <c r="S6177" s="5"/>
    </row>
    <row r="6178">
      <c r="A6178" s="5"/>
      <c r="B6178" s="5" t="str">
        <f>IFERROR(__xludf.DUMMYFUNCTION("""COMPUTED_VALUE"""),"هیأت")</f>
        <v>هیأت</v>
      </c>
      <c r="C6178" s="5" t="str">
        <f>IFERROR(__xludf.DUMMYFUNCTION("""COMPUTED_VALUE"""),"شاهزاده علی اصغر(علیه السلام)")</f>
        <v>شاهزاده علی اصغر(علیه السلام)</v>
      </c>
      <c r="D6178" s="5" t="str">
        <f>IFERROR(__xludf.DUMMYFUNCTION("""COMPUTED_VALUE"""),"اصفهان")</f>
        <v>اصفهان</v>
      </c>
      <c r="E6178" s="5" t="str">
        <f>IFERROR(__xludf.DUMMYFUNCTION("""COMPUTED_VALUE"""),"کاشان")</f>
        <v>کاشان</v>
      </c>
      <c r="F6178" s="5"/>
      <c r="G6178" s="5"/>
      <c r="H6178" s="6" t="str">
        <f>IFERROR(__xludf.DUMMYFUNCTION("""COMPUTED_VALUE"""),"https://www.instagram.com/shahzade.aliasghar.kashan_1401/")</f>
        <v>https://www.instagram.com/shahzade.aliasghar.kashan_1401/</v>
      </c>
      <c r="I6178" s="6" t="str">
        <f>IFERROR(__xludf.DUMMYFUNCTION("""COMPUTED_VALUE"""),"https://t.me/shahzadehaliasgharkashan")</f>
        <v>https://t.me/shahzadehaliasgharkashan</v>
      </c>
      <c r="J6178" s="5"/>
      <c r="K6178" s="5"/>
      <c r="L6178" s="5"/>
      <c r="M6178" s="5"/>
      <c r="N6178" s="5"/>
      <c r="O6178" s="5"/>
      <c r="P6178" s="5"/>
      <c r="Q6178" s="5"/>
      <c r="R6178" s="5"/>
      <c r="S6178" s="5"/>
    </row>
    <row r="6179">
      <c r="A6179" s="5"/>
      <c r="B6179" s="5" t="str">
        <f>IFERROR(__xludf.DUMMYFUNCTION("""COMPUTED_VALUE"""),"هیأت")</f>
        <v>هیأت</v>
      </c>
      <c r="C6179" s="5" t="str">
        <f>IFERROR(__xludf.DUMMYFUNCTION("""COMPUTED_VALUE"""),"عاشـــورائیان")</f>
        <v>عاشـــورائیان</v>
      </c>
      <c r="D6179" s="5" t="str">
        <f>IFERROR(__xludf.DUMMYFUNCTION("""COMPUTED_VALUE"""),"اصفهان")</f>
        <v>اصفهان</v>
      </c>
      <c r="E6179" s="5" t="str">
        <f>IFERROR(__xludf.DUMMYFUNCTION("""COMPUTED_VALUE"""),"کاشان")</f>
        <v>کاشان</v>
      </c>
      <c r="F6179" s="5" t="str">
        <f>IFERROR(__xludf.DUMMYFUNCTION("""COMPUTED_VALUE"""),"نوش آباد")</f>
        <v>نوش آباد</v>
      </c>
      <c r="G6179" s="5"/>
      <c r="H6179" s="6" t="str">
        <f>IFERROR(__xludf.DUMMYFUNCTION("""COMPUTED_VALUE"""),"https://www.instagram.com/ashooraiyan69/")</f>
        <v>https://www.instagram.com/ashooraiyan69/</v>
      </c>
      <c r="I6179" s="6" t="str">
        <f>IFERROR(__xludf.DUMMYFUNCTION("""COMPUTED_VALUE"""),"https://t.me/ashooraiyan69")</f>
        <v>https://t.me/ashooraiyan69</v>
      </c>
      <c r="J6179" s="5"/>
      <c r="K6179" s="5"/>
      <c r="L6179" s="5"/>
      <c r="M6179" s="5"/>
      <c r="N6179" s="5"/>
      <c r="O6179" s="5"/>
      <c r="P6179" s="5"/>
      <c r="Q6179" s="5"/>
      <c r="R6179" s="5"/>
      <c r="S6179" s="5"/>
    </row>
    <row r="6180">
      <c r="A6180" s="5"/>
      <c r="B6180" s="5" t="str">
        <f>IFERROR(__xludf.DUMMYFUNCTION("""COMPUTED_VALUE"""),"مداح")</f>
        <v>مداح</v>
      </c>
      <c r="C6180" s="5" t="str">
        <f>IFERROR(__xludf.DUMMYFUNCTION("""COMPUTED_VALUE"""),"سید رضا نریمانی")</f>
        <v>سید رضا نریمانی</v>
      </c>
      <c r="D6180" s="5" t="str">
        <f>IFERROR(__xludf.DUMMYFUNCTION("""COMPUTED_VALUE"""),"اصفهان")</f>
        <v>اصفهان</v>
      </c>
      <c r="E6180" s="5" t="str">
        <f>IFERROR(__xludf.DUMMYFUNCTION("""COMPUTED_VALUE"""),"اصفهان")</f>
        <v>اصفهان</v>
      </c>
      <c r="F6180" s="5"/>
      <c r="G6180" s="5"/>
      <c r="H6180" s="6" t="str">
        <f>IFERROR(__xludf.DUMMYFUNCTION("""COMPUTED_VALUE"""),"https://www.instagram.com/seyedrezanarimanifan")</f>
        <v>https://www.instagram.com/seyedrezanarimanifan</v>
      </c>
      <c r="I6180" s="6" t="str">
        <f>IFERROR(__xludf.DUMMYFUNCTION("""COMPUTED_VALUE"""),"https://t.me/fadaeianhoseinir")</f>
        <v>https://t.me/fadaeianhoseinir</v>
      </c>
      <c r="J6180" s="6" t="str">
        <f>IFERROR(__xludf.DUMMYFUNCTION("""COMPUTED_VALUE"""),"https://eitaa.com/seyedrezanarimani")</f>
        <v>https://eitaa.com/seyedrezanarimani</v>
      </c>
      <c r="K6180" s="5"/>
      <c r="L6180" s="5"/>
      <c r="M6180" s="5"/>
      <c r="N6180" s="5"/>
      <c r="O6180" s="5"/>
      <c r="P6180" s="5"/>
      <c r="Q6180" s="5"/>
      <c r="R6180" s="5"/>
      <c r="S6180" s="5"/>
    </row>
    <row r="6181">
      <c r="A6181" s="5"/>
      <c r="B6181" s="5"/>
      <c r="C6181" s="5" t="str">
        <f>IFERROR(__xludf.DUMMYFUNCTION("""COMPUTED_VALUE"""),"خیمه گاه آران و بیدگل")</f>
        <v>خیمه گاه آران و بیدگل</v>
      </c>
      <c r="D6181" s="5" t="str">
        <f>IFERROR(__xludf.DUMMYFUNCTION("""COMPUTED_VALUE"""),"اصفهان")</f>
        <v>اصفهان</v>
      </c>
      <c r="E6181" s="5" t="str">
        <f>IFERROR(__xludf.DUMMYFUNCTION("""COMPUTED_VALUE"""),"آران و بیدگل")</f>
        <v>آران و بیدگل</v>
      </c>
      <c r="F6181" s="5"/>
      <c r="G6181" s="5"/>
      <c r="H6181" s="5"/>
      <c r="I6181" s="5"/>
      <c r="J6181" s="6" t="str">
        <f>IFERROR(__xludf.DUMMYFUNCTION("""COMPUTED_VALUE"""),"https://eitaa.com/kheymegah")</f>
        <v>https://eitaa.com/kheymegah</v>
      </c>
      <c r="K6181" s="5"/>
      <c r="L6181" s="5"/>
      <c r="M6181" s="5"/>
      <c r="N6181" s="5"/>
      <c r="O6181" s="5"/>
      <c r="P6181" s="5"/>
      <c r="Q6181" s="5"/>
      <c r="R6181" s="5"/>
      <c r="S6181" s="5"/>
    </row>
    <row r="6182">
      <c r="A6182" s="5"/>
      <c r="B6182" s="5" t="str">
        <f>IFERROR(__xludf.DUMMYFUNCTION("""COMPUTED_VALUE"""),"هیأت")</f>
        <v>هیأت</v>
      </c>
      <c r="C6182" s="5" t="str">
        <f>IFERROR(__xludf.DUMMYFUNCTION("""COMPUTED_VALUE"""),"هیأت کشتی استان اصفهان")</f>
        <v>هیأت کشتی استان اصفهان</v>
      </c>
      <c r="D6182" s="5" t="str">
        <f>IFERROR(__xludf.DUMMYFUNCTION("""COMPUTED_VALUE"""),"اصفهان")</f>
        <v>اصفهان</v>
      </c>
      <c r="E6182" s="5" t="str">
        <f>IFERROR(__xludf.DUMMYFUNCTION("""COMPUTED_VALUE"""),"اصفهان")</f>
        <v>اصفهان</v>
      </c>
      <c r="F6182" s="5"/>
      <c r="G6182" s="5"/>
      <c r="H6182" s="5"/>
      <c r="I6182" s="5"/>
      <c r="J6182" s="6" t="str">
        <f>IFERROR(__xludf.DUMMYFUNCTION("""COMPUTED_VALUE"""),"https://eitaa.com/isf_wr")</f>
        <v>https://eitaa.com/isf_wr</v>
      </c>
      <c r="K6182" s="5"/>
      <c r="L6182" s="5"/>
      <c r="M6182" s="5"/>
      <c r="N6182" s="5"/>
      <c r="O6182" s="5"/>
      <c r="P6182" s="5"/>
      <c r="Q6182" s="5"/>
      <c r="R6182" s="5"/>
      <c r="S6182" s="5"/>
    </row>
    <row r="6183">
      <c r="A6183" s="5"/>
      <c r="B6183" s="5" t="str">
        <f>IFERROR(__xludf.DUMMYFUNCTION("""COMPUTED_VALUE"""),"حسینیه")</f>
        <v>حسینیه</v>
      </c>
      <c r="C6183" s="5" t="str">
        <f>IFERROR(__xludf.DUMMYFUNCTION("""COMPUTED_VALUE"""),"حسینیه و یادمان شهدای نجف آباد (درجوارمزارشهیدمحسن‌حججی)")</f>
        <v>حسینیه و یادمان شهدای نجف آباد (درجوارمزارشهیدمحسن‌حججی)</v>
      </c>
      <c r="D6183" s="5" t="str">
        <f>IFERROR(__xludf.DUMMYFUNCTION("""COMPUTED_VALUE"""),"اصفهان")</f>
        <v>اصفهان</v>
      </c>
      <c r="E6183" s="5" t="str">
        <f>IFERROR(__xludf.DUMMYFUNCTION("""COMPUTED_VALUE"""),"نجف آباد")</f>
        <v>نجف آباد</v>
      </c>
      <c r="F6183" s="5"/>
      <c r="G6183" s="5"/>
      <c r="H6183" s="5"/>
      <c r="I6183" s="5"/>
      <c r="J6183" s="6" t="str">
        <f>IFERROR(__xludf.DUMMYFUNCTION("""COMPUTED_VALUE"""),"https://eitaa.com/yadmanshohada")</f>
        <v>https://eitaa.com/yadmanshohada</v>
      </c>
      <c r="K6183" s="5"/>
      <c r="L6183" s="5"/>
      <c r="M6183" s="5"/>
      <c r="N6183" s="5"/>
      <c r="O6183" s="5"/>
      <c r="P6183" s="5"/>
      <c r="Q6183" s="5"/>
      <c r="R6183" s="5"/>
      <c r="S6183" s="5"/>
    </row>
    <row r="6184">
      <c r="A6184" s="5"/>
      <c r="B6184" s="5" t="str">
        <f>IFERROR(__xludf.DUMMYFUNCTION("""COMPUTED_VALUE"""),"هیأت")</f>
        <v>هیأت</v>
      </c>
      <c r="C6184" s="5" t="str">
        <f>IFERROR(__xludf.DUMMYFUNCTION("""COMPUTED_VALUE"""),"کربلا")</f>
        <v>کربلا</v>
      </c>
      <c r="D6184" s="5" t="str">
        <f>IFERROR(__xludf.DUMMYFUNCTION("""COMPUTED_VALUE"""),"اصفهان")</f>
        <v>اصفهان</v>
      </c>
      <c r="E6184" s="5" t="str">
        <f>IFERROR(__xludf.DUMMYFUNCTION("""COMPUTED_VALUE"""),"اصفهان")</f>
        <v>اصفهان</v>
      </c>
      <c r="F6184" s="5"/>
      <c r="G6184" s="5"/>
      <c r="H6184" s="5"/>
      <c r="I6184" s="5"/>
      <c r="J6184" s="6" t="str">
        <f>IFERROR(__xludf.DUMMYFUNCTION("""COMPUTED_VALUE"""),"https://eitaa.com/karbalayebaran")</f>
        <v>https://eitaa.com/karbalayebaran</v>
      </c>
      <c r="K6184" s="5"/>
      <c r="L6184" s="5"/>
      <c r="M6184" s="5"/>
      <c r="N6184" s="5"/>
      <c r="O6184" s="5"/>
      <c r="P6184" s="5"/>
      <c r="Q6184" s="5"/>
      <c r="R6184" s="5"/>
      <c r="S6184" s="5"/>
    </row>
    <row r="6185">
      <c r="A6185" s="5"/>
      <c r="B6185" s="5" t="str">
        <f>IFERROR(__xludf.DUMMYFUNCTION("""COMPUTED_VALUE"""),"موکب")</f>
        <v>موکب</v>
      </c>
      <c r="C6185" s="5" t="str">
        <f>IFERROR(__xludf.DUMMYFUNCTION("""COMPUTED_VALUE"""),"امامزاده ولی بن موسی الکاظم علیه السلام راوند")</f>
        <v>امامزاده ولی بن موسی الکاظم علیه السلام راوند</v>
      </c>
      <c r="D6185" s="5" t="str">
        <f>IFERROR(__xludf.DUMMYFUNCTION("""COMPUTED_VALUE"""),"اصفهان")</f>
        <v>اصفهان</v>
      </c>
      <c r="E6185" s="5" t="str">
        <f>IFERROR(__xludf.DUMMYFUNCTION("""COMPUTED_VALUE"""),"راوند")</f>
        <v>راوند</v>
      </c>
      <c r="F6185" s="5"/>
      <c r="G6185" s="5"/>
      <c r="H6185" s="5"/>
      <c r="I6185" s="5"/>
      <c r="J6185" s="6" t="str">
        <f>IFERROR(__xludf.DUMMYFUNCTION("""COMPUTED_VALUE"""),"https://eitaa.com/mokabvaliebnmosa")</f>
        <v>https://eitaa.com/mokabvaliebnmosa</v>
      </c>
      <c r="K6185" s="5"/>
      <c r="L6185" s="5"/>
      <c r="M6185" s="5"/>
      <c r="N6185" s="5"/>
      <c r="O6185" s="5"/>
      <c r="P6185" s="5"/>
      <c r="Q6185" s="5"/>
      <c r="R6185" s="5"/>
      <c r="S6185" s="5"/>
    </row>
    <row r="6186">
      <c r="A6186" s="5"/>
      <c r="B6186" s="5" t="str">
        <f>IFERROR(__xludf.DUMMYFUNCTION("""COMPUTED_VALUE"""),"هیأت")</f>
        <v>هیأت</v>
      </c>
      <c r="C6186" s="5" t="str">
        <f>IFERROR(__xludf.DUMMYFUNCTION("""COMPUTED_VALUE"""),"انصارالحسین‌علیه‌السلام‌روستای‌قهی")</f>
        <v>انصارالحسین‌علیه‌السلام‌روستای‌قهی</v>
      </c>
      <c r="D6186" s="5" t="str">
        <f>IFERROR(__xludf.DUMMYFUNCTION("""COMPUTED_VALUE"""),"اصفهان")</f>
        <v>اصفهان</v>
      </c>
      <c r="E6186" s="5" t="str">
        <f>IFERROR(__xludf.DUMMYFUNCTION("""COMPUTED_VALUE"""),"هرند")</f>
        <v>هرند</v>
      </c>
      <c r="F6186" s="5"/>
      <c r="G6186" s="5"/>
      <c r="H6186" s="5"/>
      <c r="I6186" s="5"/>
      <c r="J6186" s="6" t="str">
        <f>IFERROR(__xludf.DUMMYFUNCTION("""COMPUTED_VALUE"""),"https://eitaa.com/ansar313ghehi")</f>
        <v>https://eitaa.com/ansar313ghehi</v>
      </c>
      <c r="K6186" s="5"/>
      <c r="L6186" s="5"/>
      <c r="M6186" s="5"/>
      <c r="N6186" s="5"/>
      <c r="O6186" s="5"/>
      <c r="P6186" s="5"/>
      <c r="Q6186" s="5"/>
      <c r="R6186" s="5"/>
      <c r="S6186" s="5"/>
    </row>
    <row r="6187">
      <c r="A6187" s="5"/>
      <c r="B6187" s="5" t="str">
        <f>IFERROR(__xludf.DUMMYFUNCTION("""COMPUTED_VALUE"""),"هیأت")</f>
        <v>هیأت</v>
      </c>
      <c r="C6187" s="5" t="str">
        <f>IFERROR(__xludf.DUMMYFUNCTION("""COMPUTED_VALUE"""),"رزمی کاران شهدا")</f>
        <v>رزمی کاران شهدا</v>
      </c>
      <c r="D6187" s="5" t="str">
        <f>IFERROR(__xludf.DUMMYFUNCTION("""COMPUTED_VALUE"""),"اصفهان")</f>
        <v>اصفهان</v>
      </c>
      <c r="E6187" s="5" t="str">
        <f>IFERROR(__xludf.DUMMYFUNCTION("""COMPUTED_VALUE"""),"نجف آباد")</f>
        <v>نجف آباد</v>
      </c>
      <c r="F6187" s="5"/>
      <c r="G6187" s="5"/>
      <c r="H6187" s="5"/>
      <c r="I6187" s="5"/>
      <c r="J6187" s="6" t="str">
        <f>IFERROR(__xludf.DUMMYFUNCTION("""COMPUTED_VALUE"""),"https://eitaa.com/razmikaraneshohada")</f>
        <v>https://eitaa.com/razmikaraneshohada</v>
      </c>
      <c r="K6187" s="5"/>
      <c r="L6187" s="5"/>
      <c r="M6187" s="5"/>
      <c r="N6187" s="5"/>
      <c r="O6187" s="5"/>
      <c r="P6187" s="5"/>
      <c r="Q6187" s="5"/>
      <c r="R6187" s="5"/>
      <c r="S6187" s="5"/>
    </row>
    <row r="6188">
      <c r="A6188" s="5"/>
      <c r="B6188" s="5" t="str">
        <f>IFERROR(__xludf.DUMMYFUNCTION("""COMPUTED_VALUE"""),"موکب")</f>
        <v>موکب</v>
      </c>
      <c r="C6188" s="5" t="str">
        <f>IFERROR(__xludf.DUMMYFUNCTION("""COMPUTED_VALUE"""),"حضرت علی بن باقر")</f>
        <v>حضرت علی بن باقر</v>
      </c>
      <c r="D6188" s="5" t="str">
        <f>IFERROR(__xludf.DUMMYFUNCTION("""COMPUTED_VALUE"""),"اصفهان")</f>
        <v>اصفهان</v>
      </c>
      <c r="E6188" s="5" t="str">
        <f>IFERROR(__xludf.DUMMYFUNCTION("""COMPUTED_VALUE"""),"کاشان")</f>
        <v>کاشان</v>
      </c>
      <c r="F6188" s="5"/>
      <c r="G6188" s="5"/>
      <c r="H6188" s="6" t="str">
        <f>IFERROR(__xludf.DUMMYFUNCTION("""COMPUTED_VALUE"""),"https://www.instagram.com/mokab_kashan")</f>
        <v>https://www.instagram.com/mokab_kashan</v>
      </c>
      <c r="I6188" s="5"/>
      <c r="J6188" s="6" t="str">
        <f>IFERROR(__xludf.DUMMYFUNCTION("""COMPUTED_VALUE"""),"https://eitaa.com/mokab_kashan")</f>
        <v>https://eitaa.com/mokab_kashan</v>
      </c>
      <c r="K6188" s="5"/>
      <c r="L6188" s="5"/>
      <c r="M6188" s="5"/>
      <c r="N6188" s="5"/>
      <c r="O6188" s="5"/>
      <c r="P6188" s="5"/>
      <c r="Q6188" s="5"/>
      <c r="R6188" s="5"/>
      <c r="S6188" s="5"/>
    </row>
    <row r="6189">
      <c r="A6189" s="5"/>
      <c r="B6189" s="5" t="str">
        <f>IFERROR(__xludf.DUMMYFUNCTION("""COMPUTED_VALUE"""),"هیأت")</f>
        <v>هیأت</v>
      </c>
      <c r="C6189" s="5" t="str">
        <f>IFERROR(__xludf.DUMMYFUNCTION("""COMPUTED_VALUE"""),"حسینی نوش آباد")</f>
        <v>حسینی نوش آباد</v>
      </c>
      <c r="D6189" s="5" t="str">
        <f>IFERROR(__xludf.DUMMYFUNCTION("""COMPUTED_VALUE"""),"اصفهان")</f>
        <v>اصفهان</v>
      </c>
      <c r="E6189" s="5" t="str">
        <f>IFERROR(__xludf.DUMMYFUNCTION("""COMPUTED_VALUE"""),"کاشان")</f>
        <v>کاشان</v>
      </c>
      <c r="F6189" s="5" t="str">
        <f>IFERROR(__xludf.DUMMYFUNCTION("""COMPUTED_VALUE"""),"نوش آباد")</f>
        <v>نوش آباد</v>
      </c>
      <c r="G6189" s="5"/>
      <c r="H6189" s="5"/>
      <c r="I6189" s="5"/>
      <c r="J6189" s="6" t="str">
        <f>IFERROR(__xludf.DUMMYFUNCTION("""COMPUTED_VALUE"""),"https://eitaa.com/hosseinynooshabad")</f>
        <v>https://eitaa.com/hosseinynooshabad</v>
      </c>
      <c r="K6189" s="5"/>
      <c r="L6189" s="5"/>
      <c r="M6189" s="5"/>
      <c r="N6189" s="5"/>
      <c r="O6189" s="5"/>
      <c r="P6189" s="5"/>
      <c r="Q6189" s="5"/>
      <c r="R6189" s="5"/>
      <c r="S6189" s="5"/>
    </row>
    <row r="6190">
      <c r="A6190" s="5"/>
      <c r="B6190" s="5" t="str">
        <f>IFERROR(__xludf.DUMMYFUNCTION("""COMPUTED_VALUE"""),"هیأت")</f>
        <v>هیأت</v>
      </c>
      <c r="C6190" s="5" t="str">
        <f>IFERROR(__xludf.DUMMYFUNCTION("""COMPUTED_VALUE"""),"حسین جان علیه السلام ")</f>
        <v>حسین جان علیه السلام </v>
      </c>
      <c r="D6190" s="5" t="str">
        <f>IFERROR(__xludf.DUMMYFUNCTION("""COMPUTED_VALUE"""),"اصفهان")</f>
        <v>اصفهان</v>
      </c>
      <c r="E6190" s="5" t="str">
        <f>IFERROR(__xludf.DUMMYFUNCTION("""COMPUTED_VALUE"""),"اصفهان")</f>
        <v>اصفهان</v>
      </c>
      <c r="F6190" s="5"/>
      <c r="G6190" s="5"/>
      <c r="H6190" s="5"/>
      <c r="I6190" s="5"/>
      <c r="J6190" s="6" t="str">
        <f>IFERROR(__xludf.DUMMYFUNCTION("""COMPUTED_VALUE"""),"https://eitaa.com/hoseinjan_128")</f>
        <v>https://eitaa.com/hoseinjan_128</v>
      </c>
      <c r="K6190" s="5"/>
      <c r="L6190" s="5"/>
      <c r="M6190" s="5"/>
      <c r="N6190" s="5"/>
      <c r="O6190" s="5"/>
      <c r="P6190" s="5"/>
      <c r="Q6190" s="5"/>
      <c r="R6190" s="5"/>
      <c r="S6190" s="5"/>
    </row>
    <row r="6191">
      <c r="A6191" s="5"/>
      <c r="B6191" s="5" t="str">
        <f>IFERROR(__xludf.DUMMYFUNCTION("""COMPUTED_VALUE"""),"هیأت")</f>
        <v>هیأت</v>
      </c>
      <c r="C6191" s="5" t="str">
        <f>IFERROR(__xludf.DUMMYFUNCTION("""COMPUTED_VALUE"""),"باب الجواد")</f>
        <v>باب الجواد</v>
      </c>
      <c r="D6191" s="5" t="str">
        <f>IFERROR(__xludf.DUMMYFUNCTION("""COMPUTED_VALUE"""),"اصفهان")</f>
        <v>اصفهان</v>
      </c>
      <c r="E6191" s="5" t="str">
        <f>IFERROR(__xludf.DUMMYFUNCTION("""COMPUTED_VALUE"""),"اصفهان")</f>
        <v>اصفهان</v>
      </c>
      <c r="F6191" s="5"/>
      <c r="G6191" s="5"/>
      <c r="H6191" s="5"/>
      <c r="I6191" s="5"/>
      <c r="J6191" s="6" t="str">
        <f>IFERROR(__xludf.DUMMYFUNCTION("""COMPUTED_VALUE"""),"https://eitaa.com/bab_al_javad")</f>
        <v>https://eitaa.com/bab_al_javad</v>
      </c>
      <c r="K6191" s="5"/>
      <c r="L6191" s="5"/>
      <c r="M6191" s="5"/>
      <c r="N6191" s="5"/>
      <c r="O6191" s="5"/>
      <c r="P6191" s="5"/>
      <c r="Q6191" s="5"/>
      <c r="R6191" s="5"/>
      <c r="S6191" s="5"/>
    </row>
    <row r="6192">
      <c r="A6192" s="5"/>
      <c r="B6192" s="5" t="str">
        <f>IFERROR(__xludf.DUMMYFUNCTION("""COMPUTED_VALUE"""),"هیأت")</f>
        <v>هیأت</v>
      </c>
      <c r="C6192" s="5" t="str">
        <f>IFERROR(__xludf.DUMMYFUNCTION("""COMPUTED_VALUE"""),"شهدا و رزمندگان فاطمیون اصفهان متوسلین به حضرت زهرا ")</f>
        <v>شهدا و رزمندگان فاطمیون اصفهان متوسلین به حضرت زهرا </v>
      </c>
      <c r="D6192" s="5" t="str">
        <f>IFERROR(__xludf.DUMMYFUNCTION("""COMPUTED_VALUE"""),"اصفهان")</f>
        <v>اصفهان</v>
      </c>
      <c r="E6192" s="5" t="str">
        <f>IFERROR(__xludf.DUMMYFUNCTION("""COMPUTED_VALUE"""),"اصفهان")</f>
        <v>اصفهان</v>
      </c>
      <c r="F6192" s="5"/>
      <c r="G6192" s="5"/>
      <c r="H6192" s="5"/>
      <c r="I6192" s="5"/>
      <c r="J6192" s="6" t="str">
        <f>IFERROR(__xludf.DUMMYFUNCTION("""COMPUTED_VALUE"""),"https://eitaa.com/fatemiyoun_esfahan")</f>
        <v>https://eitaa.com/fatemiyoun_esfahan</v>
      </c>
      <c r="K6192" s="5"/>
      <c r="L6192" s="5"/>
      <c r="M6192" s="5"/>
      <c r="N6192" s="5"/>
      <c r="O6192" s="5"/>
      <c r="P6192" s="5"/>
      <c r="Q6192" s="5"/>
      <c r="R6192" s="5"/>
      <c r="S6192" s="5"/>
    </row>
    <row r="6193">
      <c r="A6193" s="5"/>
      <c r="B6193" s="5" t="str">
        <f>IFERROR(__xludf.DUMMYFUNCTION("""COMPUTED_VALUE"""),"هیأت")</f>
        <v>هیأت</v>
      </c>
      <c r="C6193" s="5" t="str">
        <f>IFERROR(__xludf.DUMMYFUNCTION("""COMPUTED_VALUE"""),"فرهنگی مذهبی خادم المهدی عج")</f>
        <v>فرهنگی مذهبی خادم المهدی عج</v>
      </c>
      <c r="D6193" s="5" t="str">
        <f>IFERROR(__xludf.DUMMYFUNCTION("""COMPUTED_VALUE"""),"اصفهان")</f>
        <v>اصفهان</v>
      </c>
      <c r="E6193" s="5" t="str">
        <f>IFERROR(__xludf.DUMMYFUNCTION("""COMPUTED_VALUE"""),"فلاورجان")</f>
        <v>فلاورجان</v>
      </c>
      <c r="F6193" s="5"/>
      <c r="G6193" s="5"/>
      <c r="H6193" s="5"/>
      <c r="I6193" s="5"/>
      <c r="J6193" s="6" t="str">
        <f>IFERROR(__xludf.DUMMYFUNCTION("""COMPUTED_VALUE"""),"https://eitaa.com/javanan_khadem_almahdi")</f>
        <v>https://eitaa.com/javanan_khadem_almahdi</v>
      </c>
      <c r="K6193" s="5"/>
      <c r="L6193" s="5"/>
      <c r="M6193" s="5"/>
      <c r="N6193" s="5"/>
      <c r="O6193" s="5"/>
      <c r="P6193" s="5"/>
      <c r="Q6193" s="5"/>
      <c r="R6193" s="5"/>
      <c r="S6193" s="5"/>
    </row>
    <row r="6194">
      <c r="A6194" s="5"/>
      <c r="B6194" s="5" t="str">
        <f>IFERROR(__xludf.DUMMYFUNCTION("""COMPUTED_VALUE"""),"هیأت")</f>
        <v>هیأت</v>
      </c>
      <c r="C6194" s="5" t="str">
        <f>IFERROR(__xludf.DUMMYFUNCTION("""COMPUTED_VALUE"""),"حسینی مختص آباد بیدگل")</f>
        <v>حسینی مختص آباد بیدگل</v>
      </c>
      <c r="D6194" s="5" t="str">
        <f>IFERROR(__xludf.DUMMYFUNCTION("""COMPUTED_VALUE"""),"اصفهان")</f>
        <v>اصفهان</v>
      </c>
      <c r="E6194" s="5" t="str">
        <f>IFERROR(__xludf.DUMMYFUNCTION("""COMPUTED_VALUE"""),"آران و بیدگل")</f>
        <v>آران و بیدگل</v>
      </c>
      <c r="F6194" s="5"/>
      <c r="G6194" s="5"/>
      <c r="H6194" s="5"/>
      <c r="I6194" s="5"/>
      <c r="J6194" s="6" t="str">
        <f>IFERROR(__xludf.DUMMYFUNCTION("""COMPUTED_VALUE"""),"https://eitaa.com/hosseini_mokhtasabad")</f>
        <v>https://eitaa.com/hosseini_mokhtasabad</v>
      </c>
      <c r="K6194" s="5"/>
      <c r="L6194" s="5"/>
      <c r="M6194" s="5"/>
      <c r="N6194" s="5"/>
      <c r="O6194" s="5"/>
      <c r="P6194" s="5"/>
      <c r="Q6194" s="5"/>
      <c r="R6194" s="5"/>
      <c r="S6194" s="5"/>
    </row>
    <row r="6195">
      <c r="A6195" s="5"/>
      <c r="B6195" s="5" t="str">
        <f>IFERROR(__xludf.DUMMYFUNCTION("""COMPUTED_VALUE"""),"حسینیه")</f>
        <v>حسینیه</v>
      </c>
      <c r="C6195" s="5" t="str">
        <f>IFERROR(__xludf.DUMMYFUNCTION("""COMPUTED_VALUE"""),"احمدیه آزران")</f>
        <v>احمدیه آزران</v>
      </c>
      <c r="D6195" s="5" t="str">
        <f>IFERROR(__xludf.DUMMYFUNCTION("""COMPUTED_VALUE"""),"اصفهان")</f>
        <v>اصفهان</v>
      </c>
      <c r="E6195" s="5" t="str">
        <f>IFERROR(__xludf.DUMMYFUNCTION("""COMPUTED_VALUE"""),"کاشان")</f>
        <v>کاشان</v>
      </c>
      <c r="F6195" s="5"/>
      <c r="G6195" s="5"/>
      <c r="H6195" s="5"/>
      <c r="I6195" s="5"/>
      <c r="J6195" s="6" t="str">
        <f>IFERROR(__xludf.DUMMYFUNCTION("""COMPUTED_VALUE"""),"https://eitaa.com/hoseiniye_ahmadiye")</f>
        <v>https://eitaa.com/hoseiniye_ahmadiye</v>
      </c>
      <c r="K6195" s="5"/>
      <c r="L6195" s="5"/>
      <c r="M6195" s="5"/>
      <c r="N6195" s="5"/>
      <c r="O6195" s="5"/>
      <c r="P6195" s="5"/>
      <c r="Q6195" s="5"/>
      <c r="R6195" s="5"/>
      <c r="S6195" s="5"/>
    </row>
    <row r="6196">
      <c r="A6196" s="5"/>
      <c r="B6196" s="5" t="str">
        <f>IFERROR(__xludf.DUMMYFUNCTION("""COMPUTED_VALUE"""),"هیأت")</f>
        <v>هیأت</v>
      </c>
      <c r="C6196" s="5" t="str">
        <f>IFERROR(__xludf.DUMMYFUNCTION("""COMPUTED_VALUE"""),"محبان امام رضا میمه")</f>
        <v>محبان امام رضا میمه</v>
      </c>
      <c r="D6196" s="5" t="str">
        <f>IFERROR(__xludf.DUMMYFUNCTION("""COMPUTED_VALUE"""),"اصفهان")</f>
        <v>اصفهان</v>
      </c>
      <c r="E6196" s="5" t="str">
        <f>IFERROR(__xludf.DUMMYFUNCTION("""COMPUTED_VALUE"""),"اصفهان")</f>
        <v>اصفهان</v>
      </c>
      <c r="F6196" s="5"/>
      <c r="G6196" s="5"/>
      <c r="H6196" s="5"/>
      <c r="I6196" s="5"/>
      <c r="J6196" s="6" t="str">
        <f>IFERROR(__xludf.DUMMYFUNCTION("""COMPUTED_VALUE"""),"https://eitaa.com/meymechannel")</f>
        <v>https://eitaa.com/meymechannel</v>
      </c>
      <c r="K6196" s="5"/>
      <c r="L6196" s="5"/>
      <c r="M6196" s="5"/>
      <c r="N6196" s="5"/>
      <c r="O6196" s="5"/>
      <c r="P6196" s="5"/>
      <c r="Q6196" s="5"/>
      <c r="R6196" s="5"/>
      <c r="S6196" s="5"/>
    </row>
    <row r="6197">
      <c r="A6197" s="5"/>
      <c r="B6197" s="5" t="str">
        <f>IFERROR(__xludf.DUMMYFUNCTION("""COMPUTED_VALUE"""),"هیأت")</f>
        <v>هیأت</v>
      </c>
      <c r="C6197" s="5" t="str">
        <f>IFERROR(__xludf.DUMMYFUNCTION("""COMPUTED_VALUE"""),"متوسلین به شهدای کربلای معلی")</f>
        <v>متوسلین به شهدای کربلای معلی</v>
      </c>
      <c r="D6197" s="5" t="str">
        <f>IFERROR(__xludf.DUMMYFUNCTION("""COMPUTED_VALUE"""),"اصفهان")</f>
        <v>اصفهان</v>
      </c>
      <c r="E6197" s="5" t="str">
        <f>IFERROR(__xludf.DUMMYFUNCTION("""COMPUTED_VALUE"""),"اصفهان")</f>
        <v>اصفهان</v>
      </c>
      <c r="F6197" s="5"/>
      <c r="G6197" s="5"/>
      <c r="H6197" s="5"/>
      <c r="I6197" s="5"/>
      <c r="J6197" s="6" t="str">
        <f>IFERROR(__xludf.DUMMYFUNCTION("""COMPUTED_VALUE"""),"https://eitaa.com/heiat1349_ir")</f>
        <v>https://eitaa.com/heiat1349_ir</v>
      </c>
      <c r="K6197" s="5"/>
      <c r="L6197" s="5"/>
      <c r="M6197" s="5"/>
      <c r="N6197" s="5"/>
      <c r="O6197" s="5"/>
      <c r="P6197" s="5"/>
      <c r="Q6197" s="5"/>
      <c r="R6197" s="5"/>
      <c r="S6197" s="5"/>
    </row>
    <row r="6198">
      <c r="A6198" s="5"/>
      <c r="B6198" s="5" t="str">
        <f>IFERROR(__xludf.DUMMYFUNCTION("""COMPUTED_VALUE"""),"موکب")</f>
        <v>موکب</v>
      </c>
      <c r="C6198" s="5" t="str">
        <f>IFERROR(__xludf.DUMMYFUNCTION("""COMPUTED_VALUE"""),"بقیه الله عجل الله")</f>
        <v>بقیه الله عجل الله</v>
      </c>
      <c r="D6198" s="5" t="str">
        <f>IFERROR(__xludf.DUMMYFUNCTION("""COMPUTED_VALUE"""),"اصفهان")</f>
        <v>اصفهان</v>
      </c>
      <c r="E6198" s="5" t="str">
        <f>IFERROR(__xludf.DUMMYFUNCTION("""COMPUTED_VALUE"""),"اصفهان")</f>
        <v>اصفهان</v>
      </c>
      <c r="F6198" s="5"/>
      <c r="G6198" s="5"/>
      <c r="H6198" s="5"/>
      <c r="I6198" s="5"/>
      <c r="J6198" s="6" t="str">
        <f>IFERROR(__xludf.DUMMYFUNCTION("""COMPUTED_VALUE"""),"https://eitaa.com/Mokeb_esf")</f>
        <v>https://eitaa.com/Mokeb_esf</v>
      </c>
      <c r="K6198" s="5"/>
      <c r="L6198" s="5"/>
      <c r="M6198" s="5"/>
      <c r="N6198" s="5"/>
      <c r="O6198" s="5"/>
      <c r="P6198" s="5"/>
      <c r="Q6198" s="5"/>
      <c r="R6198" s="5"/>
      <c r="S6198" s="5"/>
    </row>
    <row r="6199">
      <c r="A6199" s="5"/>
      <c r="B6199" s="5" t="str">
        <f>IFERROR(__xludf.DUMMYFUNCTION("""COMPUTED_VALUE"""),"هیأت")</f>
        <v>هیأت</v>
      </c>
      <c r="C6199" s="5" t="str">
        <f>IFERROR(__xludf.DUMMYFUNCTION("""COMPUTED_VALUE"""),"مبارکه سجادیه")</f>
        <v>مبارکه سجادیه</v>
      </c>
      <c r="D6199" s="5" t="str">
        <f>IFERROR(__xludf.DUMMYFUNCTION("""COMPUTED_VALUE"""),"اصفهان")</f>
        <v>اصفهان</v>
      </c>
      <c r="E6199" s="5" t="str">
        <f>IFERROR(__xludf.DUMMYFUNCTION("""COMPUTED_VALUE"""),"راوند")</f>
        <v>راوند</v>
      </c>
      <c r="F6199" s="5"/>
      <c r="G6199" s="5"/>
      <c r="H6199" s="5"/>
      <c r="I6199" s="5"/>
      <c r="J6199" s="6" t="str">
        <f>IFERROR(__xludf.DUMMYFUNCTION("""COMPUTED_VALUE"""),"https://eitaa.com/sajjadie_ravand")</f>
        <v>https://eitaa.com/sajjadie_ravand</v>
      </c>
      <c r="K6199" s="5"/>
      <c r="L6199" s="5"/>
      <c r="M6199" s="5"/>
      <c r="N6199" s="5"/>
      <c r="O6199" s="5"/>
      <c r="P6199" s="5"/>
      <c r="Q6199" s="5"/>
      <c r="R6199" s="5"/>
      <c r="S6199" s="5"/>
    </row>
    <row r="6200">
      <c r="A6200" s="5"/>
      <c r="B6200" s="5" t="str">
        <f>IFERROR(__xludf.DUMMYFUNCTION("""COMPUTED_VALUE"""),"حسینیه")</f>
        <v>حسینیه</v>
      </c>
      <c r="C6200" s="5" t="str">
        <f>IFERROR(__xludf.DUMMYFUNCTION("""COMPUTED_VALUE"""),"اصفهانیها")</f>
        <v>اصفهانیها</v>
      </c>
      <c r="D6200" s="5" t="str">
        <f>IFERROR(__xludf.DUMMYFUNCTION("""COMPUTED_VALUE"""),"اصفهان")</f>
        <v>اصفهان</v>
      </c>
      <c r="E6200" s="5" t="str">
        <f>IFERROR(__xludf.DUMMYFUNCTION("""COMPUTED_VALUE"""),"اصفهان")</f>
        <v>اصفهان</v>
      </c>
      <c r="F6200" s="5"/>
      <c r="G6200" s="5"/>
      <c r="H6200" s="5"/>
      <c r="I6200" s="5"/>
      <c r="J6200" s="6" t="str">
        <f>IFERROR(__xludf.DUMMYFUNCTION("""COMPUTED_VALUE"""),"https://eitaa.com/hoseiniyeh_esfahaniha")</f>
        <v>https://eitaa.com/hoseiniyeh_esfahaniha</v>
      </c>
      <c r="K6200" s="5"/>
      <c r="L6200" s="5"/>
      <c r="M6200" s="5"/>
      <c r="N6200" s="5"/>
      <c r="O6200" s="5"/>
      <c r="P6200" s="5"/>
      <c r="Q6200" s="5"/>
      <c r="R6200" s="5"/>
      <c r="S6200" s="5"/>
    </row>
    <row r="6201">
      <c r="A6201" s="5"/>
      <c r="B6201" s="5" t="str">
        <f>IFERROR(__xludf.DUMMYFUNCTION("""COMPUTED_VALUE"""),"موکب")</f>
        <v>موکب</v>
      </c>
      <c r="C6201" s="5" t="str">
        <f>IFERROR(__xludf.DUMMYFUNCTION("""COMPUTED_VALUE"""),"مولی الموحدین خدام امیر المومنین")</f>
        <v>مولی الموحدین خدام امیر المومنین</v>
      </c>
      <c r="D6201" s="5" t="str">
        <f>IFERROR(__xludf.DUMMYFUNCTION("""COMPUTED_VALUE"""),"اصفهان")</f>
        <v>اصفهان</v>
      </c>
      <c r="E6201" s="5" t="str">
        <f>IFERROR(__xludf.DUMMYFUNCTION("""COMPUTED_VALUE"""),"خوانسار")</f>
        <v>خوانسار</v>
      </c>
      <c r="F6201" s="5"/>
      <c r="G6201" s="5"/>
      <c r="H6201" s="5"/>
      <c r="I6201" s="5"/>
      <c r="J6201" s="6" t="str">
        <f>IFERROR(__xludf.DUMMYFUNCTION("""COMPUTED_VALUE"""),"https://eitaa.com/molalmovahden")</f>
        <v>https://eitaa.com/molalmovahden</v>
      </c>
      <c r="K6201" s="5"/>
      <c r="L6201" s="5"/>
      <c r="M6201" s="5"/>
      <c r="N6201" s="5"/>
      <c r="O6201" s="5"/>
      <c r="P6201" s="5"/>
      <c r="Q6201" s="5"/>
      <c r="R6201" s="5"/>
      <c r="S6201" s="5"/>
    </row>
    <row r="6202">
      <c r="A6202" s="5"/>
      <c r="B6202" s="5" t="str">
        <f>IFERROR(__xludf.DUMMYFUNCTION("""COMPUTED_VALUE"""),"هیأت")</f>
        <v>هیأت</v>
      </c>
      <c r="C6202" s="5" t="str">
        <f>IFERROR(__xludf.DUMMYFUNCTION("""COMPUTED_VALUE"""),"یوسف زهرا")</f>
        <v>یوسف زهرا</v>
      </c>
      <c r="D6202" s="5" t="str">
        <f>IFERROR(__xludf.DUMMYFUNCTION("""COMPUTED_VALUE"""),"اصفهان")</f>
        <v>اصفهان</v>
      </c>
      <c r="E6202" s="5" t="str">
        <f>IFERROR(__xludf.DUMMYFUNCTION("""COMPUTED_VALUE"""),"اصفهان")</f>
        <v>اصفهان</v>
      </c>
      <c r="F6202" s="5"/>
      <c r="G6202" s="5"/>
      <c r="H6202" s="5"/>
      <c r="I6202" s="5"/>
      <c r="J6202" s="6" t="str">
        <f>IFERROR(__xludf.DUMMYFUNCTION("""COMPUTED_VALUE"""),"https://eitaa.com/mokeb_yousef_Zahra")</f>
        <v>https://eitaa.com/mokeb_yousef_Zahra</v>
      </c>
      <c r="K6202" s="5"/>
      <c r="L6202" s="5"/>
      <c r="M6202" s="5"/>
      <c r="N6202" s="5"/>
      <c r="O6202" s="5"/>
      <c r="P6202" s="5"/>
      <c r="Q6202" s="5"/>
      <c r="R6202" s="5"/>
      <c r="S6202" s="5"/>
    </row>
    <row r="6203">
      <c r="A6203" s="5"/>
      <c r="B6203" s="5" t="str">
        <f>IFERROR(__xludf.DUMMYFUNCTION("""COMPUTED_VALUE"""),"هیأت")</f>
        <v>هیأت</v>
      </c>
      <c r="C6203" s="5" t="str">
        <f>IFERROR(__xludf.DUMMYFUNCTION("""COMPUTED_VALUE"""),"فرهنگی عشاق الحسن ")</f>
        <v>فرهنگی عشاق الحسن </v>
      </c>
      <c r="D6203" s="5" t="str">
        <f>IFERROR(__xludf.DUMMYFUNCTION("""COMPUTED_VALUE"""),"اصفهان")</f>
        <v>اصفهان</v>
      </c>
      <c r="E6203" s="5" t="str">
        <f>IFERROR(__xludf.DUMMYFUNCTION("""COMPUTED_VALUE"""),"کاشان")</f>
        <v>کاشان</v>
      </c>
      <c r="F6203" s="5"/>
      <c r="G6203" s="5"/>
      <c r="H6203" s="5"/>
      <c r="I6203" s="5"/>
      <c r="J6203" s="6" t="str">
        <f>IFERROR(__xludf.DUMMYFUNCTION("""COMPUTED_VALUE"""),"https://eitaa.com/oshagh_al_hasan")</f>
        <v>https://eitaa.com/oshagh_al_hasan</v>
      </c>
      <c r="K6203" s="5"/>
      <c r="L6203" s="5"/>
      <c r="M6203" s="5"/>
      <c r="N6203" s="5"/>
      <c r="O6203" s="5"/>
      <c r="P6203" s="5"/>
      <c r="Q6203" s="5"/>
      <c r="R6203" s="5"/>
      <c r="S6203" s="5"/>
    </row>
    <row r="6204">
      <c r="A6204" s="5"/>
      <c r="B6204" s="5" t="str">
        <f>IFERROR(__xludf.DUMMYFUNCTION("""COMPUTED_VALUE"""),"موکب")</f>
        <v>موکب</v>
      </c>
      <c r="C6204" s="5" t="str">
        <f>IFERROR(__xludf.DUMMYFUNCTION("""COMPUTED_VALUE"""),"امام حسین کربلا شهر قهدریجان")</f>
        <v>امام حسین کربلا شهر قهدریجان</v>
      </c>
      <c r="D6204" s="5" t="str">
        <f>IFERROR(__xludf.DUMMYFUNCTION("""COMPUTED_VALUE"""),"اصفهان")</f>
        <v>اصفهان</v>
      </c>
      <c r="E6204" s="5" t="str">
        <f>IFERROR(__xludf.DUMMYFUNCTION("""COMPUTED_VALUE"""),"قهدریجان")</f>
        <v>قهدریجان</v>
      </c>
      <c r="F6204" s="5"/>
      <c r="G6204" s="5"/>
      <c r="H6204" s="5"/>
      <c r="I6204" s="5"/>
      <c r="J6204" s="6" t="str">
        <f>IFERROR(__xludf.DUMMYFUNCTION("""COMPUTED_VALUE"""),"https://eitaa.com/mokeb_ghahderijan")</f>
        <v>https://eitaa.com/mokeb_ghahderijan</v>
      </c>
      <c r="K6204" s="5"/>
      <c r="L6204" s="5"/>
      <c r="M6204" s="5"/>
      <c r="N6204" s="5"/>
      <c r="O6204" s="5"/>
      <c r="P6204" s="5"/>
      <c r="Q6204" s="5"/>
      <c r="R6204" s="5"/>
      <c r="S6204" s="5"/>
    </row>
    <row r="6205">
      <c r="A6205" s="5"/>
      <c r="B6205" s="5" t="str">
        <f>IFERROR(__xludf.DUMMYFUNCTION("""COMPUTED_VALUE"""),"هیأت")</f>
        <v>هیأت</v>
      </c>
      <c r="C6205" s="5" t="str">
        <f>IFERROR(__xludf.DUMMYFUNCTION("""COMPUTED_VALUE"""),"خیمه سبز حسینی زواره")</f>
        <v>خیمه سبز حسینی زواره</v>
      </c>
      <c r="D6205" s="5" t="str">
        <f>IFERROR(__xludf.DUMMYFUNCTION("""COMPUTED_VALUE"""),"اصفهان")</f>
        <v>اصفهان</v>
      </c>
      <c r="E6205" s="5" t="str">
        <f>IFERROR(__xludf.DUMMYFUNCTION("""COMPUTED_VALUE"""),"اردستان")</f>
        <v>اردستان</v>
      </c>
      <c r="F6205" s="5"/>
      <c r="G6205" s="5"/>
      <c r="H6205" s="5"/>
      <c r="I6205" s="5"/>
      <c r="J6205" s="6" t="str">
        <f>IFERROR(__xludf.DUMMYFUNCTION("""COMPUTED_VALUE"""),"https://eitaa.com/kheymehsabzhoseini")</f>
        <v>https://eitaa.com/kheymehsabzhoseini</v>
      </c>
      <c r="K6205" s="5"/>
      <c r="L6205" s="5"/>
      <c r="M6205" s="5"/>
      <c r="N6205" s="5"/>
      <c r="O6205" s="5"/>
      <c r="P6205" s="5"/>
      <c r="Q6205" s="5"/>
      <c r="R6205" s="5"/>
      <c r="S6205" s="5"/>
    </row>
    <row r="6206">
      <c r="A6206" s="5"/>
      <c r="B6206" s="5" t="str">
        <f>IFERROR(__xludf.DUMMYFUNCTION("""COMPUTED_VALUE"""),"هیأت")</f>
        <v>هیأت</v>
      </c>
      <c r="C6206" s="5" t="str">
        <f>IFERROR(__xludf.DUMMYFUNCTION("""COMPUTED_VALUE"""),"حضرت ابوالفضل راوند")</f>
        <v>حضرت ابوالفضل راوند</v>
      </c>
      <c r="D6206" s="5" t="str">
        <f>IFERROR(__xludf.DUMMYFUNCTION("""COMPUTED_VALUE"""),"اصفهان")</f>
        <v>اصفهان</v>
      </c>
      <c r="E6206" s="5" t="str">
        <f>IFERROR(__xludf.DUMMYFUNCTION("""COMPUTED_VALUE"""),"راوند")</f>
        <v>راوند</v>
      </c>
      <c r="F6206" s="5"/>
      <c r="G6206" s="5"/>
      <c r="H6206" s="5"/>
      <c r="I6206" s="5"/>
      <c r="J6206" s="6" t="str">
        <f>IFERROR(__xludf.DUMMYFUNCTION("""COMPUTED_VALUE"""),"https://eitaa.com/tekieravand")</f>
        <v>https://eitaa.com/tekieravand</v>
      </c>
      <c r="K6206" s="5"/>
      <c r="L6206" s="5"/>
      <c r="M6206" s="5"/>
      <c r="N6206" s="5"/>
      <c r="O6206" s="5"/>
      <c r="P6206" s="5"/>
      <c r="Q6206" s="5"/>
      <c r="R6206" s="5"/>
      <c r="S6206" s="5"/>
    </row>
    <row r="6207">
      <c r="A6207" s="5"/>
      <c r="B6207" s="5" t="str">
        <f>IFERROR(__xludf.DUMMYFUNCTION("""COMPUTED_VALUE"""),"موکب")</f>
        <v>موکب</v>
      </c>
      <c r="C6207" s="5" t="str">
        <f>IFERROR(__xludf.DUMMYFUNCTION("""COMPUTED_VALUE"""),"حضرت زینب (س)")</f>
        <v>حضرت زینب (س)</v>
      </c>
      <c r="D6207" s="5" t="str">
        <f>IFERROR(__xludf.DUMMYFUNCTION("""COMPUTED_VALUE"""),"اصفهان")</f>
        <v>اصفهان</v>
      </c>
      <c r="E6207" s="5" t="str">
        <f>IFERROR(__xludf.DUMMYFUNCTION("""COMPUTED_VALUE"""),"اصفهان")</f>
        <v>اصفهان</v>
      </c>
      <c r="F6207" s="5"/>
      <c r="G6207" s="5"/>
      <c r="H6207" s="5"/>
      <c r="I6207" s="5"/>
      <c r="J6207" s="6" t="str">
        <f>IFERROR(__xludf.DUMMYFUNCTION("""COMPUTED_VALUE"""),"https://eitaa.com/mokebzeynab")</f>
        <v>https://eitaa.com/mokebzeynab</v>
      </c>
      <c r="K6207" s="5"/>
      <c r="L6207" s="5"/>
      <c r="M6207" s="5"/>
      <c r="N6207" s="5"/>
      <c r="O6207" s="5"/>
      <c r="P6207" s="5"/>
      <c r="Q6207" s="5"/>
      <c r="R6207" s="5"/>
      <c r="S6207" s="5"/>
    </row>
    <row r="6208">
      <c r="A6208" s="5"/>
      <c r="B6208" s="5" t="str">
        <f>IFERROR(__xludf.DUMMYFUNCTION("""COMPUTED_VALUE"""),"هیأت")</f>
        <v>هیأت</v>
      </c>
      <c r="C6208" s="5" t="str">
        <f>IFERROR(__xludf.DUMMYFUNCTION("""COMPUTED_VALUE"""),"چهارده معصوم روستای ویدوجا")</f>
        <v>چهارده معصوم روستای ویدوجا</v>
      </c>
      <c r="D6208" s="5" t="str">
        <f>IFERROR(__xludf.DUMMYFUNCTION("""COMPUTED_VALUE"""),"اصفهان")</f>
        <v>اصفهان</v>
      </c>
      <c r="E6208" s="5" t="str">
        <f>IFERROR(__xludf.DUMMYFUNCTION("""COMPUTED_VALUE"""),"کاشان")</f>
        <v>کاشان</v>
      </c>
      <c r="F6208" s="5"/>
      <c r="G6208" s="5"/>
      <c r="H6208" s="5"/>
      <c r="I6208" s="5"/>
      <c r="J6208" s="6" t="str">
        <f>IFERROR(__xludf.DUMMYFUNCTION("""COMPUTED_VALUE"""),"https://eitaa.com/heyat_14masoum_viduja")</f>
        <v>https://eitaa.com/heyat_14masoum_viduja</v>
      </c>
      <c r="K6208" s="5"/>
      <c r="L6208" s="5"/>
      <c r="M6208" s="5"/>
      <c r="N6208" s="5"/>
      <c r="O6208" s="5"/>
      <c r="P6208" s="5"/>
      <c r="Q6208" s="5"/>
      <c r="R6208" s="5"/>
      <c r="S6208" s="5"/>
    </row>
    <row r="6209">
      <c r="A6209" s="5"/>
      <c r="B6209" s="5" t="str">
        <f>IFERROR(__xludf.DUMMYFUNCTION("""COMPUTED_VALUE"""),"هیأت")</f>
        <v>هیأت</v>
      </c>
      <c r="C6209" s="5" t="str">
        <f>IFERROR(__xludf.DUMMYFUNCTION("""COMPUTED_VALUE"""),"شیفتگان حسینی")</f>
        <v>شیفتگان حسینی</v>
      </c>
      <c r="D6209" s="5" t="str">
        <f>IFERROR(__xludf.DUMMYFUNCTION("""COMPUTED_VALUE"""),"اصفهان")</f>
        <v>اصفهان</v>
      </c>
      <c r="E6209" s="5" t="str">
        <f>IFERROR(__xludf.DUMMYFUNCTION("""COMPUTED_VALUE"""),"وزوان")</f>
        <v>وزوان</v>
      </c>
      <c r="F6209" s="5"/>
      <c r="G6209" s="5"/>
      <c r="H6209" s="5"/>
      <c r="I6209" s="5"/>
      <c r="J6209" s="6" t="str">
        <f>IFERROR(__xludf.DUMMYFUNCTION("""COMPUTED_VALUE"""),"https://eitaa.com/shifteganvazvan")</f>
        <v>https://eitaa.com/shifteganvazvan</v>
      </c>
      <c r="K6209" s="5"/>
      <c r="L6209" s="5"/>
      <c r="M6209" s="5"/>
      <c r="N6209" s="5"/>
      <c r="O6209" s="5"/>
      <c r="P6209" s="5"/>
      <c r="Q6209" s="5"/>
      <c r="R6209" s="5"/>
      <c r="S6209" s="5"/>
    </row>
    <row r="6210">
      <c r="A6210" s="5"/>
      <c r="B6210" s="5" t="str">
        <f>IFERROR(__xludf.DUMMYFUNCTION("""COMPUTED_VALUE"""),"هیأت")</f>
        <v>هیأت</v>
      </c>
      <c r="C6210" s="5" t="str">
        <f>IFERROR(__xludf.DUMMYFUNCTION("""COMPUTED_VALUE"""),"انصار المهدی ")</f>
        <v>انصار المهدی </v>
      </c>
      <c r="D6210" s="5" t="str">
        <f>IFERROR(__xludf.DUMMYFUNCTION("""COMPUTED_VALUE"""),"اصفهان")</f>
        <v>اصفهان</v>
      </c>
      <c r="E6210" s="5" t="str">
        <f>IFERROR(__xludf.DUMMYFUNCTION("""COMPUTED_VALUE"""),"شاهین شهر")</f>
        <v>شاهین شهر</v>
      </c>
      <c r="F6210" s="5"/>
      <c r="G6210" s="5"/>
      <c r="H6210" s="5"/>
      <c r="I6210" s="5"/>
      <c r="J6210" s="6" t="str">
        <f>IFERROR(__xludf.DUMMYFUNCTION("""COMPUTED_VALUE"""),"https://eitaa.com/ansaralmahdishahinshahr")</f>
        <v>https://eitaa.com/ansaralmahdishahinshahr</v>
      </c>
      <c r="K6210" s="5"/>
      <c r="L6210" s="5"/>
      <c r="M6210" s="5"/>
      <c r="N6210" s="5"/>
      <c r="O6210" s="5"/>
      <c r="P6210" s="5"/>
      <c r="Q6210" s="5"/>
      <c r="R6210" s="5"/>
      <c r="S6210" s="5"/>
    </row>
    <row r="6211">
      <c r="A6211" s="5"/>
      <c r="B6211" s="5" t="str">
        <f>IFERROR(__xludf.DUMMYFUNCTION("""COMPUTED_VALUE"""),"هیأت")</f>
        <v>هیأت</v>
      </c>
      <c r="C6211" s="5" t="str">
        <f>IFERROR(__xludf.DUMMYFUNCTION("""COMPUTED_VALUE"""),"حضرت ابوالفضل روستای خم پیچ")</f>
        <v>حضرت ابوالفضل روستای خم پیچ</v>
      </c>
      <c r="D6211" s="5" t="str">
        <f>IFERROR(__xludf.DUMMYFUNCTION("""COMPUTED_VALUE"""),"اصفهان")</f>
        <v>اصفهان</v>
      </c>
      <c r="E6211" s="5" t="str">
        <f>IFERROR(__xludf.DUMMYFUNCTION("""COMPUTED_VALUE"""),"گلپایگان")</f>
        <v>گلپایگان</v>
      </c>
      <c r="F6211" s="5"/>
      <c r="G6211" s="5"/>
      <c r="H6211" s="5"/>
      <c r="I6211" s="5"/>
      <c r="J6211" s="6" t="str">
        <f>IFERROR(__xludf.DUMMYFUNCTION("""COMPUTED_VALUE"""),"https://eitaa.com/hheiatekhompich")</f>
        <v>https://eitaa.com/hheiatekhompich</v>
      </c>
      <c r="K6211" s="5"/>
      <c r="L6211" s="5"/>
      <c r="M6211" s="5"/>
      <c r="N6211" s="5"/>
      <c r="O6211" s="5"/>
      <c r="P6211" s="5"/>
      <c r="Q6211" s="5"/>
      <c r="R6211" s="5"/>
      <c r="S6211" s="5"/>
    </row>
    <row r="6212">
      <c r="A6212" s="5"/>
      <c r="B6212" s="5" t="str">
        <f>IFERROR(__xludf.DUMMYFUNCTION("""COMPUTED_VALUE"""),"هیأت بانوان")</f>
        <v>هیأت بانوان</v>
      </c>
      <c r="C6212" s="5" t="str">
        <f>IFERROR(__xludf.DUMMYFUNCTION("""COMPUTED_VALUE"""),"کانال هیئت حضرت موسی ابن جعفر علیهم السلام")</f>
        <v>کانال هیئت حضرت موسی ابن جعفر علیهم السلام</v>
      </c>
      <c r="D6212" s="5" t="str">
        <f>IFERROR(__xludf.DUMMYFUNCTION("""COMPUTED_VALUE"""),"اصفهان")</f>
        <v>اصفهان</v>
      </c>
      <c r="E6212" s="5" t="str">
        <f>IFERROR(__xludf.DUMMYFUNCTION("""COMPUTED_VALUE"""),"اصفهان")</f>
        <v>اصفهان</v>
      </c>
      <c r="F6212" s="5"/>
      <c r="G6212" s="5"/>
      <c r="H6212" s="5"/>
      <c r="I6212" s="5"/>
      <c r="J6212" s="6" t="str">
        <f>IFERROR(__xludf.DUMMYFUNCTION("""COMPUTED_VALUE"""),"https://eitaa.com/heyate_mosabnejafar")</f>
        <v>https://eitaa.com/heyate_mosabnejafar</v>
      </c>
      <c r="K6212" s="5"/>
      <c r="L6212" s="5"/>
      <c r="M6212" s="5"/>
      <c r="N6212" s="5"/>
      <c r="O6212" s="5"/>
      <c r="P6212" s="5"/>
      <c r="Q6212" s="5"/>
      <c r="R6212" s="5"/>
      <c r="S6212" s="5"/>
    </row>
    <row r="6213">
      <c r="A6213" s="5"/>
      <c r="B6213" s="5" t="str">
        <f>IFERROR(__xludf.DUMMYFUNCTION("""COMPUTED_VALUE"""),"هیأت جوانان")</f>
        <v>هیأت جوانان</v>
      </c>
      <c r="C6213" s="5" t="str">
        <f>IFERROR(__xludf.DUMMYFUNCTION("""COMPUTED_VALUE"""),"قاسم بن الحسن (ع)")</f>
        <v>قاسم بن الحسن (ع)</v>
      </c>
      <c r="D6213" s="5" t="str">
        <f>IFERROR(__xludf.DUMMYFUNCTION("""COMPUTED_VALUE"""),"اصفهان")</f>
        <v>اصفهان</v>
      </c>
      <c r="E6213" s="5" t="str">
        <f>IFERROR(__xludf.DUMMYFUNCTION("""COMPUTED_VALUE"""),"کاشان")</f>
        <v>کاشان</v>
      </c>
      <c r="F6213" s="5"/>
      <c r="G6213" s="5"/>
      <c r="H6213" s="5"/>
      <c r="I6213" s="5"/>
      <c r="J6213" s="6" t="str">
        <f>IFERROR(__xludf.DUMMYFUNCTION("""COMPUTED_VALUE"""),"https://eitaa.com/JavananeGhasem")</f>
        <v>https://eitaa.com/JavananeGhasem</v>
      </c>
      <c r="K6213" s="5"/>
      <c r="L6213" s="5"/>
      <c r="M6213" s="5"/>
      <c r="N6213" s="5"/>
      <c r="O6213" s="5"/>
      <c r="P6213" s="5"/>
      <c r="Q6213" s="5"/>
      <c r="R6213" s="5"/>
      <c r="S6213" s="5"/>
    </row>
    <row r="6214">
      <c r="A6214" s="5"/>
      <c r="B6214" s="5" t="str">
        <f>IFERROR(__xludf.DUMMYFUNCTION("""COMPUTED_VALUE"""),"موکب ")</f>
        <v>موکب </v>
      </c>
      <c r="C6214" s="5" t="str">
        <f>IFERROR(__xludf.DUMMYFUNCTION("""COMPUTED_VALUE"""),"بقیه الله الاعظم ")</f>
        <v>بقیه الله الاعظم </v>
      </c>
      <c r="D6214" s="5" t="str">
        <f>IFERROR(__xludf.DUMMYFUNCTION("""COMPUTED_VALUE"""),"اصفهان")</f>
        <v>اصفهان</v>
      </c>
      <c r="E6214" s="5" t="str">
        <f>IFERROR(__xludf.DUMMYFUNCTION("""COMPUTED_VALUE"""),"زواره")</f>
        <v>زواره</v>
      </c>
      <c r="F6214" s="5"/>
      <c r="G6214" s="5"/>
      <c r="H6214" s="5"/>
      <c r="I6214" s="5"/>
      <c r="J6214" s="6" t="str">
        <f>IFERROR(__xludf.DUMMYFUNCTION("""COMPUTED_VALUE"""),"https://eitaa.com/mowkebbaqiyyatollah")</f>
        <v>https://eitaa.com/mowkebbaqiyyatollah</v>
      </c>
      <c r="K6214" s="5"/>
      <c r="L6214" s="5"/>
      <c r="M6214" s="5"/>
      <c r="N6214" s="5"/>
      <c r="O6214" s="5"/>
      <c r="P6214" s="5"/>
      <c r="Q6214" s="5"/>
      <c r="R6214" s="5"/>
      <c r="S6214" s="5"/>
    </row>
    <row r="6215">
      <c r="A6215" s="5"/>
      <c r="B6215" s="5" t="str">
        <f>IFERROR(__xludf.DUMMYFUNCTION("""COMPUTED_VALUE"""),"هیأت دانش آموزی")</f>
        <v>هیأت دانش آموزی</v>
      </c>
      <c r="C6215" s="5" t="str">
        <f>IFERROR(__xludf.DUMMYFUNCTION("""COMPUTED_VALUE"""),"امیدان حسین")</f>
        <v>امیدان حسین</v>
      </c>
      <c r="D6215" s="5" t="str">
        <f>IFERROR(__xludf.DUMMYFUNCTION("""COMPUTED_VALUE"""),"اصفهان")</f>
        <v>اصفهان</v>
      </c>
      <c r="E6215" s="5" t="str">
        <f>IFERROR(__xludf.DUMMYFUNCTION("""COMPUTED_VALUE"""),"اصفهان")</f>
        <v>اصفهان</v>
      </c>
      <c r="F6215" s="5"/>
      <c r="G6215" s="5"/>
      <c r="H6215" s="5"/>
      <c r="I6215" s="5"/>
      <c r="J6215" s="6" t="str">
        <f>IFERROR(__xludf.DUMMYFUNCTION("""COMPUTED_VALUE"""),"https://eitaa.com/omidanhosein")</f>
        <v>https://eitaa.com/omidanhosein</v>
      </c>
      <c r="K6215" s="5"/>
      <c r="L6215" s="5"/>
      <c r="M6215" s="5"/>
      <c r="N6215" s="5"/>
      <c r="O6215" s="5"/>
      <c r="P6215" s="5"/>
      <c r="Q6215" s="5"/>
      <c r="R6215" s="5"/>
      <c r="S6215" s="5"/>
    </row>
    <row r="6216">
      <c r="A6216" s="5"/>
      <c r="B6216" s="5" t="str">
        <f>IFERROR(__xludf.DUMMYFUNCTION("""COMPUTED_VALUE"""),"هیأت")</f>
        <v>هیأت</v>
      </c>
      <c r="C6216" s="5" t="str">
        <f>IFERROR(__xludf.DUMMYFUNCTION("""COMPUTED_VALUE"""),"راه شهدا تا ظهور")</f>
        <v>راه شهدا تا ظهور</v>
      </c>
      <c r="D6216" s="5" t="str">
        <f>IFERROR(__xludf.DUMMYFUNCTION("""COMPUTED_VALUE"""),"اصفهان")</f>
        <v>اصفهان</v>
      </c>
      <c r="E6216" s="5" t="str">
        <f>IFERROR(__xludf.DUMMYFUNCTION("""COMPUTED_VALUE"""),"اصفهان")</f>
        <v>اصفهان</v>
      </c>
      <c r="F6216" s="5"/>
      <c r="G6216" s="5"/>
      <c r="H6216" s="5"/>
      <c r="I6216" s="5"/>
      <c r="J6216" s="6" t="str">
        <f>IFERROR(__xludf.DUMMYFUNCTION("""COMPUTED_VALUE"""),"https://eitaa.com/rhshohada")</f>
        <v>https://eitaa.com/rhshohada</v>
      </c>
      <c r="K6216" s="5"/>
      <c r="L6216" s="5"/>
      <c r="M6216" s="5"/>
      <c r="N6216" s="5"/>
      <c r="O6216" s="5"/>
      <c r="P6216" s="5"/>
      <c r="Q6216" s="5"/>
      <c r="R6216" s="5"/>
      <c r="S6216" s="5"/>
    </row>
    <row r="6217">
      <c r="A6217" s="5"/>
      <c r="B6217" s="5" t="str">
        <f>IFERROR(__xludf.DUMMYFUNCTION("""COMPUTED_VALUE"""),"حسینیه")</f>
        <v>حسینیه</v>
      </c>
      <c r="C6217" s="5" t="str">
        <f>IFERROR(__xludf.DUMMYFUNCTION("""COMPUTED_VALUE"""),"نائینی ها")</f>
        <v>نائینی ها</v>
      </c>
      <c r="D6217" s="5" t="str">
        <f>IFERROR(__xludf.DUMMYFUNCTION("""COMPUTED_VALUE"""),"اصفهان")</f>
        <v>اصفهان</v>
      </c>
      <c r="E6217" s="5" t="str">
        <f>IFERROR(__xludf.DUMMYFUNCTION("""COMPUTED_VALUE"""),"نائین")</f>
        <v>نائین</v>
      </c>
      <c r="F6217" s="5"/>
      <c r="G6217" s="5"/>
      <c r="H6217" s="5"/>
      <c r="I6217" s="5"/>
      <c r="J6217" s="6" t="str">
        <f>IFERROR(__xludf.DUMMYFUNCTION("""COMPUTED_VALUE"""),"https://eitaa.com/hoseinieh_naeiniha")</f>
        <v>https://eitaa.com/hoseinieh_naeiniha</v>
      </c>
      <c r="K6217" s="5"/>
      <c r="L6217" s="5"/>
      <c r="M6217" s="5"/>
      <c r="N6217" s="5"/>
      <c r="O6217" s="5"/>
      <c r="P6217" s="5"/>
      <c r="Q6217" s="5"/>
      <c r="R6217" s="5"/>
      <c r="S6217" s="5"/>
    </row>
    <row r="6218">
      <c r="A6218" s="5"/>
      <c r="B6218" s="5" t="str">
        <f>IFERROR(__xludf.DUMMYFUNCTION("""COMPUTED_VALUE"""),"هیأت")</f>
        <v>هیأت</v>
      </c>
      <c r="C6218" s="5" t="str">
        <f>IFERROR(__xludf.DUMMYFUNCTION("""COMPUTED_VALUE"""),"بنی فاطمه علیهم السلام درچه")</f>
        <v>بنی فاطمه علیهم السلام درچه</v>
      </c>
      <c r="D6218" s="5" t="str">
        <f>IFERROR(__xludf.DUMMYFUNCTION("""COMPUTED_VALUE"""),"اصفهان")</f>
        <v>اصفهان</v>
      </c>
      <c r="E6218" s="5" t="str">
        <f>IFERROR(__xludf.DUMMYFUNCTION("""COMPUTED_VALUE"""),"درچه")</f>
        <v>درچه</v>
      </c>
      <c r="F6218" s="5"/>
      <c r="G6218" s="5"/>
      <c r="H6218" s="5"/>
      <c r="I6218" s="5"/>
      <c r="J6218" s="6" t="str">
        <f>IFERROR(__xludf.DUMMYFUNCTION("""COMPUTED_VALUE"""),"https://eitaa.com/heiat_banifatemeh")</f>
        <v>https://eitaa.com/heiat_banifatemeh</v>
      </c>
      <c r="K6218" s="5"/>
      <c r="L6218" s="5"/>
      <c r="M6218" s="5"/>
      <c r="N6218" s="5"/>
      <c r="O6218" s="5"/>
      <c r="P6218" s="5"/>
      <c r="Q6218" s="5"/>
      <c r="R6218" s="5"/>
      <c r="S6218" s="5"/>
    </row>
    <row r="6219">
      <c r="A6219" s="5"/>
      <c r="B6219" s="5" t="str">
        <f>IFERROR(__xludf.DUMMYFUNCTION("""COMPUTED_VALUE"""),"حسینیه")</f>
        <v>حسینیه</v>
      </c>
      <c r="C6219" s="5" t="str">
        <f>IFERROR(__xludf.DUMMYFUNCTION("""COMPUTED_VALUE"""),"ریحانه الحسین (ع)")</f>
        <v>ریحانه الحسین (ع)</v>
      </c>
      <c r="D6219" s="5" t="str">
        <f>IFERROR(__xludf.DUMMYFUNCTION("""COMPUTED_VALUE"""),"اصفهان")</f>
        <v>اصفهان</v>
      </c>
      <c r="E6219" s="5" t="str">
        <f>IFERROR(__xludf.DUMMYFUNCTION("""COMPUTED_VALUE"""),"اصفهان")</f>
        <v>اصفهان</v>
      </c>
      <c r="F6219" s="5"/>
      <c r="G6219" s="5"/>
      <c r="H6219" s="5"/>
      <c r="I6219" s="5"/>
      <c r="J6219" s="6" t="str">
        <f>IFERROR(__xludf.DUMMYFUNCTION("""COMPUTED_VALUE"""),"https://eitaa.com/reyhanatolhossein_channell")</f>
        <v>https://eitaa.com/reyhanatolhossein_channell</v>
      </c>
      <c r="K6219" s="5"/>
      <c r="L6219" s="5"/>
      <c r="M6219" s="5"/>
      <c r="N6219" s="5"/>
      <c r="O6219" s="5"/>
      <c r="P6219" s="5"/>
      <c r="Q6219" s="5"/>
      <c r="R6219" s="5"/>
      <c r="S6219" s="5"/>
    </row>
    <row r="6220">
      <c r="A6220" s="5"/>
      <c r="B6220" s="5" t="str">
        <f>IFERROR(__xludf.DUMMYFUNCTION("""COMPUTED_VALUE"""),"هیأت دخترانه")</f>
        <v>هیأت دخترانه</v>
      </c>
      <c r="C6220" s="5" t="str">
        <f>IFERROR(__xludf.DUMMYFUNCTION("""COMPUTED_VALUE"""),"هیأت دخترانه بنت الهدی ")</f>
        <v>هیأت دخترانه بنت الهدی </v>
      </c>
      <c r="D6220" s="5" t="str">
        <f>IFERROR(__xludf.DUMMYFUNCTION("""COMPUTED_VALUE"""),"اصفهان")</f>
        <v>اصفهان</v>
      </c>
      <c r="E6220" s="5" t="str">
        <f>IFERROR(__xludf.DUMMYFUNCTION("""COMPUTED_VALUE"""),"کاشان")</f>
        <v>کاشان</v>
      </c>
      <c r="F6220" s="5"/>
      <c r="G6220" s="5"/>
      <c r="H6220" s="5"/>
      <c r="I6220" s="5"/>
      <c r="J6220" s="6" t="str">
        <f>IFERROR(__xludf.DUMMYFUNCTION("""COMPUTED_VALUE"""),"https://eitaa.com/bentolhoda_kashan")</f>
        <v>https://eitaa.com/bentolhoda_kashan</v>
      </c>
      <c r="K6220" s="5"/>
      <c r="L6220" s="5"/>
      <c r="M6220" s="5"/>
      <c r="N6220" s="5"/>
      <c r="O6220" s="5"/>
      <c r="P6220" s="5"/>
      <c r="Q6220" s="5"/>
      <c r="R6220" s="5"/>
      <c r="S6220" s="5"/>
    </row>
    <row r="6221">
      <c r="A6221" s="5"/>
      <c r="B6221" s="5" t="str">
        <f>IFERROR(__xludf.DUMMYFUNCTION("""COMPUTED_VALUE"""),"حسینیه")</f>
        <v>حسینیه</v>
      </c>
      <c r="C6221" s="5" t="str">
        <f>IFERROR(__xludf.DUMMYFUNCTION("""COMPUTED_VALUE"""),"مرکزی آذرخواران جرقویه اصفهان")</f>
        <v>مرکزی آذرخواران جرقویه اصفهان</v>
      </c>
      <c r="D6221" s="5" t="str">
        <f>IFERROR(__xludf.DUMMYFUNCTION("""COMPUTED_VALUE"""),"اصفهان")</f>
        <v>اصفهان</v>
      </c>
      <c r="E6221" s="5" t="str">
        <f>IFERROR(__xludf.DUMMYFUNCTION("""COMPUTED_VALUE"""),"اصفهان")</f>
        <v>اصفهان</v>
      </c>
      <c r="F6221" s="5"/>
      <c r="G6221" s="5"/>
      <c r="H6221" s="5"/>
      <c r="I6221" s="5"/>
      <c r="J6221" s="6" t="str">
        <f>IFERROR(__xludf.DUMMYFUNCTION("""COMPUTED_VALUE"""),"https://eitaa.com/hosinazar")</f>
        <v>https://eitaa.com/hosinazar</v>
      </c>
      <c r="K6221" s="5"/>
      <c r="L6221" s="5"/>
      <c r="M6221" s="5"/>
      <c r="N6221" s="5"/>
      <c r="O6221" s="5"/>
      <c r="P6221" s="5"/>
      <c r="Q6221" s="5"/>
      <c r="R6221" s="5"/>
      <c r="S6221" s="5"/>
    </row>
    <row r="6222">
      <c r="A6222" s="5"/>
      <c r="B6222" s="5" t="str">
        <f>IFERROR(__xludf.DUMMYFUNCTION("""COMPUTED_VALUE"""),"موکب")</f>
        <v>موکب</v>
      </c>
      <c r="C6222" s="5" t="str">
        <f>IFERROR(__xludf.DUMMYFUNCTION("""COMPUTED_VALUE"""),"سید الشهدا")</f>
        <v>سید الشهدا</v>
      </c>
      <c r="D6222" s="5" t="str">
        <f>IFERROR(__xludf.DUMMYFUNCTION("""COMPUTED_VALUE"""),"اصفهان")</f>
        <v>اصفهان</v>
      </c>
      <c r="E6222" s="5" t="str">
        <f>IFERROR(__xludf.DUMMYFUNCTION("""COMPUTED_VALUE"""),"راوند")</f>
        <v>راوند</v>
      </c>
      <c r="F6222" s="5"/>
      <c r="G6222" s="5"/>
      <c r="H6222" s="5"/>
      <c r="I6222" s="5"/>
      <c r="J6222" s="6" t="str">
        <f>IFERROR(__xludf.DUMMYFUNCTION("""COMPUTED_VALUE"""),"https://eitaa.com/mokeb_seyed_shohada128")</f>
        <v>https://eitaa.com/mokeb_seyed_shohada128</v>
      </c>
      <c r="K6222" s="5"/>
      <c r="L6222" s="5"/>
      <c r="M6222" s="5"/>
      <c r="N6222" s="5"/>
      <c r="O6222" s="5"/>
      <c r="P6222" s="5"/>
      <c r="Q6222" s="5"/>
      <c r="R6222" s="5"/>
      <c r="S6222" s="5"/>
    </row>
    <row r="6223">
      <c r="A6223" s="5"/>
      <c r="B6223" s="5" t="str">
        <f>IFERROR(__xludf.DUMMYFUNCTION("""COMPUTED_VALUE"""),"هیأت")</f>
        <v>هیأت</v>
      </c>
      <c r="C6223" s="5" t="str">
        <f>IFERROR(__xludf.DUMMYFUNCTION("""COMPUTED_VALUE"""),"حضرت زینب (س)")</f>
        <v>حضرت زینب (س)</v>
      </c>
      <c r="D6223" s="5" t="str">
        <f>IFERROR(__xludf.DUMMYFUNCTION("""COMPUTED_VALUE"""),"اصفهان")</f>
        <v>اصفهان</v>
      </c>
      <c r="E6223" s="5" t="str">
        <f>IFERROR(__xludf.DUMMYFUNCTION("""COMPUTED_VALUE"""),"کرسگان")</f>
        <v>کرسگان</v>
      </c>
      <c r="F6223" s="5"/>
      <c r="G6223" s="5"/>
      <c r="H6223" s="5"/>
      <c r="I6223" s="5"/>
      <c r="J6223" s="6" t="str">
        <f>IFERROR(__xludf.DUMMYFUNCTION("""COMPUTED_VALUE"""),"https://eitaa.com/heyat_hazrat_zeynab_s")</f>
        <v>https://eitaa.com/heyat_hazrat_zeynab_s</v>
      </c>
      <c r="K6223" s="5"/>
      <c r="L6223" s="5"/>
      <c r="M6223" s="5"/>
      <c r="N6223" s="5"/>
      <c r="O6223" s="5"/>
      <c r="P6223" s="5"/>
      <c r="Q6223" s="5"/>
      <c r="R6223" s="5"/>
      <c r="S6223" s="5"/>
    </row>
    <row r="6224">
      <c r="A6224" s="5"/>
      <c r="B6224" s="5" t="str">
        <f>IFERROR(__xludf.DUMMYFUNCTION("""COMPUTED_VALUE"""),"هیأت")</f>
        <v>هیأت</v>
      </c>
      <c r="C6224" s="5" t="str">
        <f>IFERROR(__xludf.DUMMYFUNCTION("""COMPUTED_VALUE"""),"آل یاسین")</f>
        <v>آل یاسین</v>
      </c>
      <c r="D6224" s="5" t="str">
        <f>IFERROR(__xludf.DUMMYFUNCTION("""COMPUTED_VALUE"""),"قم")</f>
        <v>قم</v>
      </c>
      <c r="E6224" s="5" t="str">
        <f>IFERROR(__xludf.DUMMYFUNCTION("""COMPUTED_VALUE"""),"قم")</f>
        <v>قم</v>
      </c>
      <c r="F6224" s="5"/>
      <c r="G6224" s="5">
        <f>IFERROR(__xludf.DUMMYFUNCTION("""COMPUTED_VALUE"""),1.0)</f>
        <v>1</v>
      </c>
      <c r="H6224" s="6" t="str">
        <f>IFERROR(__xludf.DUMMYFUNCTION("""COMPUTED_VALUE"""),"https://www.instagram.com/ziarat_nahieh/")</f>
        <v>https://www.instagram.com/ziarat_nahieh/</v>
      </c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/>
    </row>
    <row r="6225">
      <c r="A6225" s="5"/>
      <c r="B6225" s="5" t="str">
        <f>IFERROR(__xludf.DUMMYFUNCTION("""COMPUTED_VALUE"""),"هیأت")</f>
        <v>هیأت</v>
      </c>
      <c r="C6225" s="5" t="str">
        <f>IFERROR(__xludf.DUMMYFUNCTION("""COMPUTED_VALUE"""),"ابناءالحیدر")</f>
        <v>ابناءالحیدر</v>
      </c>
      <c r="D6225" s="5" t="str">
        <f>IFERROR(__xludf.DUMMYFUNCTION("""COMPUTED_VALUE"""),"قم")</f>
        <v>قم</v>
      </c>
      <c r="E6225" s="5" t="str">
        <f>IFERROR(__xludf.DUMMYFUNCTION("""COMPUTED_VALUE"""),"قم")</f>
        <v>قم</v>
      </c>
      <c r="F6225" s="5"/>
      <c r="G6225" s="5">
        <f>IFERROR(__xludf.DUMMYFUNCTION("""COMPUTED_VALUE"""),1.0)</f>
        <v>1</v>
      </c>
      <c r="H6225" s="6" t="str">
        <f>IFERROR(__xludf.DUMMYFUNCTION("""COMPUTED_VALUE"""),"https://www.instagram.com/abna.heydar_110/")</f>
        <v>https://www.instagram.com/abna.heydar_110/</v>
      </c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</row>
    <row r="6226">
      <c r="A6226" s="5"/>
      <c r="B6226" s="5" t="str">
        <f>IFERROR(__xludf.DUMMYFUNCTION("""COMPUTED_VALUE"""),"هیأت")</f>
        <v>هیأت</v>
      </c>
      <c r="C6226" s="5" t="str">
        <f>IFERROR(__xludf.DUMMYFUNCTION("""COMPUTED_VALUE"""),"اخت الرضا")</f>
        <v>اخت الرضا</v>
      </c>
      <c r="D6226" s="5" t="str">
        <f>IFERROR(__xludf.DUMMYFUNCTION("""COMPUTED_VALUE"""),"قم")</f>
        <v>قم</v>
      </c>
      <c r="E6226" s="5" t="str">
        <f>IFERROR(__xludf.DUMMYFUNCTION("""COMPUTED_VALUE"""),"قم")</f>
        <v>قم</v>
      </c>
      <c r="F6226" s="5"/>
      <c r="G6226" s="5">
        <f>IFERROR(__xludf.DUMMYFUNCTION("""COMPUTED_VALUE"""),1.0)</f>
        <v>1</v>
      </c>
      <c r="H6226" s="6" t="str">
        <f>IFERROR(__xludf.DUMMYFUNCTION("""COMPUTED_VALUE"""),"https://www.instagram.com/okht.al.reza/")</f>
        <v>https://www.instagram.com/okht.al.reza/</v>
      </c>
      <c r="I6226" s="6" t="str">
        <f>IFERROR(__xludf.DUMMYFUNCTION("""COMPUTED_VALUE"""),"https://t.me/okhtalreza")</f>
        <v>https://t.me/okhtalreza</v>
      </c>
      <c r="J6226" s="5"/>
      <c r="K6226" s="5"/>
      <c r="L6226" s="5"/>
      <c r="M6226" s="5"/>
      <c r="N6226" s="5"/>
      <c r="O6226" s="5"/>
      <c r="P6226" s="5"/>
      <c r="Q6226" s="5"/>
      <c r="R6226" s="5"/>
      <c r="S6226" s="5"/>
    </row>
    <row r="6227">
      <c r="A6227" s="5"/>
      <c r="B6227" s="5" t="str">
        <f>IFERROR(__xludf.DUMMYFUNCTION("""COMPUTED_VALUE"""),"هیأت")</f>
        <v>هیأت</v>
      </c>
      <c r="C6227" s="5" t="str">
        <f>IFERROR(__xludf.DUMMYFUNCTION("""COMPUTED_VALUE"""),"الزهراء")</f>
        <v>الزهراء</v>
      </c>
      <c r="D6227" s="5" t="str">
        <f>IFERROR(__xludf.DUMMYFUNCTION("""COMPUTED_VALUE"""),"قم")</f>
        <v>قم</v>
      </c>
      <c r="E6227" s="5" t="str">
        <f>IFERROR(__xludf.DUMMYFUNCTION("""COMPUTED_VALUE"""),"قم")</f>
        <v>قم</v>
      </c>
      <c r="F6227" s="5"/>
      <c r="G6227" s="5">
        <f>IFERROR(__xludf.DUMMYFUNCTION("""COMPUTED_VALUE"""),1.0)</f>
        <v>1</v>
      </c>
      <c r="H6227" s="6" t="str">
        <f>IFERROR(__xludf.DUMMYFUNCTION("""COMPUTED_VALUE"""),"https://www.instagram.com/masjedazzahra_qom/")</f>
        <v>https://www.instagram.com/masjedazzahra_qom/</v>
      </c>
      <c r="I6227" s="5"/>
      <c r="J6227" s="6" t="str">
        <f>IFERROR(__xludf.DUMMYFUNCTION("""COMPUTED_VALUE"""),"eitaa.com/masjedazzahra_qom")</f>
        <v>eitaa.com/masjedazzahra_qom</v>
      </c>
      <c r="K6227" s="5"/>
      <c r="L6227" s="5"/>
      <c r="M6227" s="5"/>
      <c r="N6227" s="5"/>
      <c r="O6227" s="5"/>
      <c r="P6227" s="5"/>
      <c r="Q6227" s="5"/>
      <c r="R6227" s="5"/>
      <c r="S6227" s="5"/>
    </row>
    <row r="6228">
      <c r="A6228" s="5"/>
      <c r="B6228" s="5" t="str">
        <f>IFERROR(__xludf.DUMMYFUNCTION("""COMPUTED_VALUE"""),"هیأت")</f>
        <v>هیأت</v>
      </c>
      <c r="C6228" s="5" t="str">
        <f>IFERROR(__xludf.DUMMYFUNCTION("""COMPUTED_VALUE"""),"الشهدا")</f>
        <v>الشهدا</v>
      </c>
      <c r="D6228" s="5" t="str">
        <f>IFERROR(__xludf.DUMMYFUNCTION("""COMPUTED_VALUE"""),"قم")</f>
        <v>قم</v>
      </c>
      <c r="E6228" s="5" t="str">
        <f>IFERROR(__xludf.DUMMYFUNCTION("""COMPUTED_VALUE"""),"قم")</f>
        <v>قم</v>
      </c>
      <c r="F6228" s="5"/>
      <c r="G6228" s="5">
        <f>IFERROR(__xludf.DUMMYFUNCTION("""COMPUTED_VALUE"""),1.0)</f>
        <v>1</v>
      </c>
      <c r="H6228" s="6" t="str">
        <f>IFERROR(__xludf.DUMMYFUNCTION("""COMPUTED_VALUE"""),"https://www.instagram.com/heyat__alshohada/")</f>
        <v>https://www.instagram.com/heyat__alshohada/</v>
      </c>
      <c r="I6228" s="6" t="str">
        <f>IFERROR(__xludf.DUMMYFUNCTION("""COMPUTED_VALUE"""),"https://eitaa.com/heyatashohada")</f>
        <v>https://eitaa.com/heyatashohada</v>
      </c>
      <c r="J6228" s="5"/>
      <c r="K6228" s="5"/>
      <c r="L6228" s="5"/>
      <c r="M6228" s="5"/>
      <c r="N6228" s="5"/>
      <c r="O6228" s="5"/>
      <c r="P6228" s="5"/>
      <c r="Q6228" s="5"/>
      <c r="R6228" s="5"/>
      <c r="S6228" s="5"/>
    </row>
    <row r="6229">
      <c r="A6229" s="5"/>
      <c r="B6229" s="5" t="str">
        <f>IFERROR(__xludf.DUMMYFUNCTION("""COMPUTED_VALUE"""),"هیأت")</f>
        <v>هیأت</v>
      </c>
      <c r="C6229" s="5" t="str">
        <f>IFERROR(__xludf.DUMMYFUNCTION("""COMPUTED_VALUE"""),"المتمسکین بالقرآن و العترة")</f>
        <v>المتمسکین بالقرآن و العترة</v>
      </c>
      <c r="D6229" s="5" t="str">
        <f>IFERROR(__xludf.DUMMYFUNCTION("""COMPUTED_VALUE"""),"قم")</f>
        <v>قم</v>
      </c>
      <c r="E6229" s="5" t="str">
        <f>IFERROR(__xludf.DUMMYFUNCTION("""COMPUTED_VALUE"""),"قم")</f>
        <v>قم</v>
      </c>
      <c r="F6229" s="5"/>
      <c r="G6229" s="5">
        <f>IFERROR(__xludf.DUMMYFUNCTION("""COMPUTED_VALUE"""),1.0)</f>
        <v>1</v>
      </c>
      <c r="H6229" s="6" t="str">
        <f>IFERROR(__xludf.DUMMYFUNCTION("""COMPUTED_VALUE"""),"https://www.instagram.com/motemasekin/")</f>
        <v>https://www.instagram.com/motemasekin/</v>
      </c>
      <c r="I6229" s="6" t="str">
        <f>IFERROR(__xludf.DUMMYFUNCTION("""COMPUTED_VALUE"""),"https://telegram.me/motemasekin")</f>
        <v>https://telegram.me/motemasekin</v>
      </c>
      <c r="J6229" s="5"/>
      <c r="K6229" s="5"/>
      <c r="L6229" s="5"/>
      <c r="M6229" s="5"/>
      <c r="N6229" s="5"/>
      <c r="O6229" s="5"/>
      <c r="P6229" s="5"/>
      <c r="Q6229" s="5"/>
      <c r="R6229" s="5"/>
      <c r="S6229" s="5"/>
    </row>
    <row r="6230">
      <c r="A6230" s="5"/>
      <c r="B6230" s="5" t="str">
        <f>IFERROR(__xludf.DUMMYFUNCTION("""COMPUTED_VALUE"""),"هیأت")</f>
        <v>هیأت</v>
      </c>
      <c r="C6230" s="5" t="str">
        <f>IFERROR(__xludf.DUMMYFUNCTION("""COMPUTED_VALUE"""),"الهادی")</f>
        <v>الهادی</v>
      </c>
      <c r="D6230" s="5" t="str">
        <f>IFERROR(__xludf.DUMMYFUNCTION("""COMPUTED_VALUE"""),"قم")</f>
        <v>قم</v>
      </c>
      <c r="E6230" s="5" t="str">
        <f>IFERROR(__xludf.DUMMYFUNCTION("""COMPUTED_VALUE"""),"قم")</f>
        <v>قم</v>
      </c>
      <c r="F6230" s="5"/>
      <c r="G6230" s="5">
        <f>IFERROR(__xludf.DUMMYFUNCTION("""COMPUTED_VALUE"""),1.0)</f>
        <v>1</v>
      </c>
      <c r="H6230" s="6" t="str">
        <f>IFERROR(__xludf.DUMMYFUNCTION("""COMPUTED_VALUE"""),"https://www.instagram.com/heyatolhadi_qom/")</f>
        <v>https://www.instagram.com/heyatolhadi_qom/</v>
      </c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</row>
    <row r="6231">
      <c r="A6231" s="5">
        <f>IFERROR(__xludf.DUMMYFUNCTION("""COMPUTED_VALUE"""),19299.0)</f>
        <v>19299</v>
      </c>
      <c r="B6231" s="5" t="str">
        <f>IFERROR(__xludf.DUMMYFUNCTION("""COMPUTED_VALUE"""),"هیأت")</f>
        <v>هیأت</v>
      </c>
      <c r="C6231" s="5" t="str">
        <f>IFERROR(__xludf.DUMMYFUNCTION("""COMPUTED_VALUE"""),"الهادی (ع)")</f>
        <v>الهادی (ع)</v>
      </c>
      <c r="D6231" s="5" t="str">
        <f>IFERROR(__xludf.DUMMYFUNCTION("""COMPUTED_VALUE"""),"قم")</f>
        <v>قم</v>
      </c>
      <c r="E6231" s="5" t="str">
        <f>IFERROR(__xludf.DUMMYFUNCTION("""COMPUTED_VALUE"""),"قم")</f>
        <v>قم</v>
      </c>
      <c r="F6231" s="5"/>
      <c r="G6231" s="5">
        <f>IFERROR(__xludf.DUMMYFUNCTION("""COMPUTED_VALUE"""),1.0)</f>
        <v>1</v>
      </c>
      <c r="H6231" s="6" t="str">
        <f>IFERROR(__xludf.DUMMYFUNCTION("""COMPUTED_VALUE"""),"https://www.instagram.com/heyatolhadi_qom/")</f>
        <v>https://www.instagram.com/heyatolhadi_qom/</v>
      </c>
      <c r="I6231" s="6" t="str">
        <f>IFERROR(__xludf.DUMMYFUNCTION("""COMPUTED_VALUE"""),"t.me/heyatolhadiqom")</f>
        <v>t.me/heyatolhadiqom</v>
      </c>
      <c r="J6231" s="5"/>
      <c r="K6231" s="5"/>
      <c r="L6231" s="5"/>
      <c r="M6231" s="5"/>
      <c r="N6231" s="5"/>
      <c r="O6231" s="5"/>
      <c r="P6231" s="5"/>
      <c r="Q6231" s="5"/>
      <c r="R6231" s="5"/>
      <c r="S6231" s="5"/>
    </row>
    <row r="6232">
      <c r="A6232" s="5"/>
      <c r="B6232" s="5" t="str">
        <f>IFERROR(__xludf.DUMMYFUNCTION("""COMPUTED_VALUE"""),"هیأت")</f>
        <v>هیأت</v>
      </c>
      <c r="C6232" s="5" t="str">
        <f>IFERROR(__xludf.DUMMYFUNCTION("""COMPUTED_VALUE"""),"امام حسن مجتبی (ع)")</f>
        <v>امام حسن مجتبی (ع)</v>
      </c>
      <c r="D6232" s="5" t="str">
        <f>IFERROR(__xludf.DUMMYFUNCTION("""COMPUTED_VALUE"""),"قم")</f>
        <v>قم</v>
      </c>
      <c r="E6232" s="5" t="str">
        <f>IFERROR(__xludf.DUMMYFUNCTION("""COMPUTED_VALUE"""),"قم")</f>
        <v>قم</v>
      </c>
      <c r="F6232" s="5"/>
      <c r="G6232" s="5">
        <f>IFERROR(__xludf.DUMMYFUNCTION("""COMPUTED_VALUE"""),1.0)</f>
        <v>1</v>
      </c>
      <c r="H6232" s="6" t="str">
        <f>IFERROR(__xludf.DUMMYFUNCTION("""COMPUTED_VALUE"""),"https://www.instagram.com/heiat_imamhasan/")</f>
        <v>https://www.instagram.com/heiat_imamhasan/</v>
      </c>
      <c r="I6232" s="5"/>
      <c r="J6232" s="6" t="str">
        <f>IFERROR(__xludf.DUMMYFUNCTION("""COMPUTED_VALUE"""),"https://eitaa.com/heiat_imamhasan")</f>
        <v>https://eitaa.com/heiat_imamhasan</v>
      </c>
      <c r="K6232" s="5"/>
      <c r="L6232" s="5"/>
      <c r="M6232" s="5"/>
      <c r="N6232" s="5"/>
      <c r="O6232" s="5"/>
      <c r="P6232" s="5"/>
      <c r="Q6232" s="5"/>
      <c r="R6232" s="5"/>
      <c r="S6232" s="5"/>
    </row>
    <row r="6233">
      <c r="A6233" s="5"/>
      <c r="B6233" s="5" t="str">
        <f>IFERROR(__xludf.DUMMYFUNCTION("""COMPUTED_VALUE"""),"حسینیه")</f>
        <v>حسینیه</v>
      </c>
      <c r="C6233" s="5" t="str">
        <f>IFERROR(__xludf.DUMMYFUNCTION("""COMPUTED_VALUE"""),"امیرالمومنین")</f>
        <v>امیرالمومنین</v>
      </c>
      <c r="D6233" s="5" t="str">
        <f>IFERROR(__xludf.DUMMYFUNCTION("""COMPUTED_VALUE"""),"قم")</f>
        <v>قم</v>
      </c>
      <c r="E6233" s="5" t="str">
        <f>IFERROR(__xludf.DUMMYFUNCTION("""COMPUTED_VALUE"""),"قم")</f>
        <v>قم</v>
      </c>
      <c r="F6233" s="5"/>
      <c r="G6233" s="5">
        <f>IFERROR(__xludf.DUMMYFUNCTION("""COMPUTED_VALUE"""),1.0)</f>
        <v>1</v>
      </c>
      <c r="H6233" s="6" t="str">
        <f>IFERROR(__xludf.DUMMYFUNCTION("""COMPUTED_VALUE"""),"https://www.instagram.com/hoseyniyeh_qom/")</f>
        <v>https://www.instagram.com/hoseyniyeh_qom/</v>
      </c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</row>
    <row r="6234">
      <c r="A6234" s="5"/>
      <c r="B6234" s="5" t="str">
        <f>IFERROR(__xludf.DUMMYFUNCTION("""COMPUTED_VALUE"""),"هیأت")</f>
        <v>هیأت</v>
      </c>
      <c r="C6234" s="5" t="str">
        <f>IFERROR(__xludf.DUMMYFUNCTION("""COMPUTED_VALUE"""),"انصارالزهراء")</f>
        <v>انصارالزهراء</v>
      </c>
      <c r="D6234" s="5" t="str">
        <f>IFERROR(__xludf.DUMMYFUNCTION("""COMPUTED_VALUE"""),"قم")</f>
        <v>قم</v>
      </c>
      <c r="E6234" s="5" t="str">
        <f>IFERROR(__xludf.DUMMYFUNCTION("""COMPUTED_VALUE"""),"قم")</f>
        <v>قم</v>
      </c>
      <c r="F6234" s="5"/>
      <c r="G6234" s="5">
        <f>IFERROR(__xludf.DUMMYFUNCTION("""COMPUTED_VALUE"""),1.0)</f>
        <v>1</v>
      </c>
      <c r="H6234" s="6" t="str">
        <f>IFERROR(__xludf.DUMMYFUNCTION("""COMPUTED_VALUE"""),"https://www.instagram.com/ansar_alzahra1421/")</f>
        <v>https://www.instagram.com/ansar_alzahra1421/</v>
      </c>
      <c r="I6234" s="5"/>
      <c r="J6234" s="5"/>
      <c r="K6234" s="5"/>
      <c r="L6234" s="5"/>
      <c r="M6234" s="5"/>
      <c r="N6234" s="5"/>
      <c r="O6234" s="5"/>
      <c r="P6234" s="5"/>
      <c r="Q6234" s="5"/>
      <c r="R6234" s="5"/>
      <c r="S6234" s="5"/>
    </row>
    <row r="6235">
      <c r="A6235" s="5">
        <f>IFERROR(__xludf.DUMMYFUNCTION("""COMPUTED_VALUE"""),30753.0)</f>
        <v>30753</v>
      </c>
      <c r="B6235" s="5" t="str">
        <f>IFERROR(__xludf.DUMMYFUNCTION("""COMPUTED_VALUE"""),"مسجد هیأت")</f>
        <v>مسجد هیأت</v>
      </c>
      <c r="C6235" s="5" t="str">
        <f>IFERROR(__xludf.DUMMYFUNCTION("""COMPUTED_VALUE"""),"انصارالمهدی (عج)")</f>
        <v>انصارالمهدی (عج)</v>
      </c>
      <c r="D6235" s="5" t="str">
        <f>IFERROR(__xludf.DUMMYFUNCTION("""COMPUTED_VALUE"""),"قم")</f>
        <v>قم</v>
      </c>
      <c r="E6235" s="5" t="str">
        <f>IFERROR(__xludf.DUMMYFUNCTION("""COMPUTED_VALUE"""),"قم")</f>
        <v>قم</v>
      </c>
      <c r="F6235" s="5"/>
      <c r="G6235" s="5">
        <f>IFERROR(__xludf.DUMMYFUNCTION("""COMPUTED_VALUE"""),1.0)</f>
        <v>1</v>
      </c>
      <c r="H6235" s="6" t="str">
        <f>IFERROR(__xludf.DUMMYFUNCTION("""COMPUTED_VALUE"""),"https://www.instagram.com/ansarolmahdiqom/")</f>
        <v>https://www.instagram.com/ansarolmahdiqom/</v>
      </c>
      <c r="I6235" s="6" t="str">
        <f>IFERROR(__xludf.DUMMYFUNCTION("""COMPUTED_VALUE"""),"t.me/ansarolmahdiqom")</f>
        <v>t.me/ansarolmahdiqom</v>
      </c>
      <c r="J6235" s="5"/>
      <c r="K6235" s="5"/>
      <c r="L6235" s="5"/>
      <c r="M6235" s="5"/>
      <c r="N6235" s="5"/>
      <c r="O6235" s="5"/>
      <c r="P6235" s="5"/>
      <c r="Q6235" s="5"/>
      <c r="R6235" s="5"/>
      <c r="S6235" s="5"/>
    </row>
    <row r="6236">
      <c r="A6236" s="5"/>
      <c r="B6236" s="5" t="str">
        <f>IFERROR(__xludf.DUMMYFUNCTION("""COMPUTED_VALUE"""),"هیأت")</f>
        <v>هیأت</v>
      </c>
      <c r="C6236" s="5" t="str">
        <f>IFERROR(__xludf.DUMMYFUNCTION("""COMPUTED_VALUE"""),"باب الحسین")</f>
        <v>باب الحسین</v>
      </c>
      <c r="D6236" s="5" t="str">
        <f>IFERROR(__xludf.DUMMYFUNCTION("""COMPUTED_VALUE"""),"قم")</f>
        <v>قم</v>
      </c>
      <c r="E6236" s="5" t="str">
        <f>IFERROR(__xludf.DUMMYFUNCTION("""COMPUTED_VALUE"""),"قم")</f>
        <v>قم</v>
      </c>
      <c r="F6236" s="5"/>
      <c r="G6236" s="5">
        <f>IFERROR(__xludf.DUMMYFUNCTION("""COMPUTED_VALUE"""),1.0)</f>
        <v>1</v>
      </c>
      <c r="H6236" s="6" t="str">
        <f>IFERROR(__xludf.DUMMYFUNCTION("""COMPUTED_VALUE"""),"https://www.instagram.com/babolhoseinqom/")</f>
        <v>https://www.instagram.com/babolhoseinqom/</v>
      </c>
      <c r="I6236" s="6" t="str">
        <f>IFERROR(__xludf.DUMMYFUNCTION("""COMPUTED_VALUE"""),"https://t.me/babolhoseinqom")</f>
        <v>https://t.me/babolhoseinqom</v>
      </c>
      <c r="J6236" s="5"/>
      <c r="K6236" s="5"/>
      <c r="L6236" s="5"/>
      <c r="M6236" s="5"/>
      <c r="N6236" s="5"/>
      <c r="O6236" s="5"/>
      <c r="P6236" s="5"/>
      <c r="Q6236" s="5"/>
      <c r="R6236" s="5"/>
      <c r="S6236" s="5"/>
    </row>
    <row r="6237">
      <c r="A6237" s="5"/>
      <c r="B6237" s="5" t="str">
        <f>IFERROR(__xludf.DUMMYFUNCTION("""COMPUTED_VALUE"""),"هیأت")</f>
        <v>هیأت</v>
      </c>
      <c r="C6237" s="5" t="str">
        <f>IFERROR(__xludf.DUMMYFUNCTION("""COMPUTED_VALUE"""),"باب المراد")</f>
        <v>باب المراد</v>
      </c>
      <c r="D6237" s="5" t="str">
        <f>IFERROR(__xludf.DUMMYFUNCTION("""COMPUTED_VALUE"""),"قم")</f>
        <v>قم</v>
      </c>
      <c r="E6237" s="5" t="str">
        <f>IFERROR(__xludf.DUMMYFUNCTION("""COMPUTED_VALUE"""),"قم")</f>
        <v>قم</v>
      </c>
      <c r="F6237" s="5"/>
      <c r="G6237" s="5">
        <f>IFERROR(__xludf.DUMMYFUNCTION("""COMPUTED_VALUE"""),1.0)</f>
        <v>1</v>
      </c>
      <c r="H6237" s="6" t="str">
        <f>IFERROR(__xludf.DUMMYFUNCTION("""COMPUTED_VALUE"""),"https://www.instagram.com/heiatbabalmorad/")</f>
        <v>https://www.instagram.com/heiatbabalmorad/</v>
      </c>
      <c r="I6237" s="6" t="str">
        <f>IFERROR(__xludf.DUMMYFUNCTION("""COMPUTED_VALUE"""),"https://t.me/heiat_babalmorad")</f>
        <v>https://t.me/heiat_babalmorad</v>
      </c>
      <c r="J6237" s="5"/>
      <c r="K6237" s="5"/>
      <c r="L6237" s="5"/>
      <c r="M6237" s="5"/>
      <c r="N6237" s="5"/>
      <c r="O6237" s="5"/>
      <c r="P6237" s="5"/>
      <c r="Q6237" s="5"/>
      <c r="R6237" s="5"/>
      <c r="S6237" s="5"/>
    </row>
    <row r="6238">
      <c r="A6238" s="5"/>
      <c r="B6238" s="5" t="str">
        <f>IFERROR(__xludf.DUMMYFUNCTION("""COMPUTED_VALUE"""),"هیأت")</f>
        <v>هیأت</v>
      </c>
      <c r="C6238" s="5" t="str">
        <f>IFERROR(__xludf.DUMMYFUNCTION("""COMPUTED_VALUE"""),"بيت الزهراء")</f>
        <v>بيت الزهراء</v>
      </c>
      <c r="D6238" s="5" t="str">
        <f>IFERROR(__xludf.DUMMYFUNCTION("""COMPUTED_VALUE"""),"قم")</f>
        <v>قم</v>
      </c>
      <c r="E6238" s="5" t="str">
        <f>IFERROR(__xludf.DUMMYFUNCTION("""COMPUTED_VALUE"""),"قم")</f>
        <v>قم</v>
      </c>
      <c r="F6238" s="5"/>
      <c r="G6238" s="5">
        <f>IFERROR(__xludf.DUMMYFUNCTION("""COMPUTED_VALUE"""),1.0)</f>
        <v>1</v>
      </c>
      <c r="H6238" s="6" t="str">
        <f>IFERROR(__xludf.DUMMYFUNCTION("""COMPUTED_VALUE"""),"https://www.instagram.com/beyt_alzzahra/")</f>
        <v>https://www.instagram.com/beyt_alzzahra/</v>
      </c>
      <c r="I6238" s="6" t="str">
        <f>IFERROR(__xludf.DUMMYFUNCTION("""COMPUTED_VALUE"""),"https://t.me/Beyt_alzzahra")</f>
        <v>https://t.me/Beyt_alzzahra</v>
      </c>
      <c r="J6238" s="5"/>
      <c r="K6238" s="5"/>
      <c r="L6238" s="5"/>
      <c r="M6238" s="5"/>
      <c r="N6238" s="5"/>
      <c r="O6238" s="5"/>
      <c r="P6238" s="5"/>
      <c r="Q6238" s="5"/>
      <c r="R6238" s="5"/>
      <c r="S6238" s="5"/>
    </row>
    <row r="6239">
      <c r="A6239" s="5">
        <f>IFERROR(__xludf.DUMMYFUNCTION("""COMPUTED_VALUE"""),28095.0)</f>
        <v>28095</v>
      </c>
      <c r="B6239" s="5" t="str">
        <f>IFERROR(__xludf.DUMMYFUNCTION("""COMPUTED_VALUE"""),"هیأت")</f>
        <v>هیأت</v>
      </c>
      <c r="C6239" s="5" t="str">
        <f>IFERROR(__xludf.DUMMYFUNCTION("""COMPUTED_VALUE"""),"بیت الرضا (ع)")</f>
        <v>بیت الرضا (ع)</v>
      </c>
      <c r="D6239" s="5" t="str">
        <f>IFERROR(__xludf.DUMMYFUNCTION("""COMPUTED_VALUE"""),"قم")</f>
        <v>قم</v>
      </c>
      <c r="E6239" s="5" t="str">
        <f>IFERROR(__xludf.DUMMYFUNCTION("""COMPUTED_VALUE"""),"قم")</f>
        <v>قم</v>
      </c>
      <c r="F6239" s="5"/>
      <c r="G6239" s="5">
        <f>IFERROR(__xludf.DUMMYFUNCTION("""COMPUTED_VALUE"""),1.0)</f>
        <v>1</v>
      </c>
      <c r="H6239" s="6" t="str">
        <f>IFERROR(__xludf.DUMMYFUNCTION("""COMPUTED_VALUE"""),"https://www.instagram.com/beytoalreza/")</f>
        <v>https://www.instagram.com/beytoalreza/</v>
      </c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</row>
    <row r="6240">
      <c r="A6240" s="5"/>
      <c r="B6240" s="5" t="str">
        <f>IFERROR(__xludf.DUMMYFUNCTION("""COMPUTED_VALUE"""),"هیأت")</f>
        <v>هیأت</v>
      </c>
      <c r="C6240" s="5" t="str">
        <f>IFERROR(__xludf.DUMMYFUNCTION("""COMPUTED_VALUE"""),"بیت الرقیه")</f>
        <v>بیت الرقیه</v>
      </c>
      <c r="D6240" s="5" t="str">
        <f>IFERROR(__xludf.DUMMYFUNCTION("""COMPUTED_VALUE"""),"قم")</f>
        <v>قم</v>
      </c>
      <c r="E6240" s="5" t="str">
        <f>IFERROR(__xludf.DUMMYFUNCTION("""COMPUTED_VALUE"""),"قم")</f>
        <v>قم</v>
      </c>
      <c r="F6240" s="5"/>
      <c r="G6240" s="5">
        <f>IFERROR(__xludf.DUMMYFUNCTION("""COMPUTED_VALUE"""),1.0)</f>
        <v>1</v>
      </c>
      <c r="H6240" s="6" t="str">
        <f>IFERROR(__xludf.DUMMYFUNCTION("""COMPUTED_VALUE"""),"https://www.instagram.com/beitorooghaieh.qom/")</f>
        <v>https://www.instagram.com/beitorooghaieh.qom/</v>
      </c>
      <c r="I6240" s="6" t="str">
        <f>IFERROR(__xludf.DUMMYFUNCTION("""COMPUTED_VALUE"""),"https://t.me/beitorooghaieh")</f>
        <v>https://t.me/beitorooghaieh</v>
      </c>
      <c r="J6240" s="5"/>
      <c r="K6240" s="5"/>
      <c r="L6240" s="5"/>
      <c r="M6240" s="5"/>
      <c r="N6240" s="5"/>
      <c r="O6240" s="5"/>
      <c r="P6240" s="5"/>
      <c r="Q6240" s="5"/>
      <c r="R6240" s="5"/>
      <c r="S6240" s="5"/>
    </row>
    <row r="6241">
      <c r="A6241" s="5">
        <f>IFERROR(__xludf.DUMMYFUNCTION("""COMPUTED_VALUE"""),26642.0)</f>
        <v>26642</v>
      </c>
      <c r="B6241" s="5" t="str">
        <f>IFERROR(__xludf.DUMMYFUNCTION("""COMPUTED_VALUE"""),"هیأت")</f>
        <v>هیأت</v>
      </c>
      <c r="C6241" s="5" t="str">
        <f>IFERROR(__xludf.DUMMYFUNCTION("""COMPUTED_VALUE"""),"بیرق شریف کفیل الزینب (س)")</f>
        <v>بیرق شریف کفیل الزینب (س)</v>
      </c>
      <c r="D6241" s="5" t="str">
        <f>IFERROR(__xludf.DUMMYFUNCTION("""COMPUTED_VALUE"""),"قم")</f>
        <v>قم</v>
      </c>
      <c r="E6241" s="5" t="str">
        <f>IFERROR(__xludf.DUMMYFUNCTION("""COMPUTED_VALUE"""),"قم")</f>
        <v>قم</v>
      </c>
      <c r="F6241" s="5"/>
      <c r="G6241" s="5">
        <f>IFERROR(__xludf.DUMMYFUNCTION("""COMPUTED_VALUE"""),1.0)</f>
        <v>1</v>
      </c>
      <c r="H6241" s="6" t="str">
        <f>IFERROR(__xludf.DUMMYFUNCTION("""COMPUTED_VALUE"""),"https://www.instagram.com/kafilozzeynab_qom/")</f>
        <v>https://www.instagram.com/kafilozzeynab_qom/</v>
      </c>
      <c r="I6241" s="6" t="str">
        <f>IFERROR(__xludf.DUMMYFUNCTION("""COMPUTED_VALUE"""),"t.me/kafilozeynab")</f>
        <v>t.me/kafilozeynab</v>
      </c>
      <c r="J6241" s="5"/>
      <c r="K6241" s="5"/>
      <c r="L6241" s="5"/>
      <c r="M6241" s="5"/>
      <c r="N6241" s="5"/>
      <c r="O6241" s="5"/>
      <c r="P6241" s="5"/>
      <c r="Q6241" s="5"/>
      <c r="R6241" s="5"/>
      <c r="S6241" s="5"/>
    </row>
    <row r="6242">
      <c r="A6242" s="5"/>
      <c r="B6242" s="5" t="str">
        <f>IFERROR(__xludf.DUMMYFUNCTION("""COMPUTED_VALUE"""),"مسجد")</f>
        <v>مسجد</v>
      </c>
      <c r="C6242" s="5" t="str">
        <f>IFERROR(__xludf.DUMMYFUNCTION("""COMPUTED_VALUE"""),"تولیت")</f>
        <v>تولیت</v>
      </c>
      <c r="D6242" s="5" t="str">
        <f>IFERROR(__xludf.DUMMYFUNCTION("""COMPUTED_VALUE"""),"قم")</f>
        <v>قم</v>
      </c>
      <c r="E6242" s="5" t="str">
        <f>IFERROR(__xludf.DUMMYFUNCTION("""COMPUTED_VALUE"""),"قم")</f>
        <v>قم</v>
      </c>
      <c r="F6242" s="5"/>
      <c r="G6242" s="5">
        <f>IFERROR(__xludf.DUMMYFUNCTION("""COMPUTED_VALUE"""),1.0)</f>
        <v>1</v>
      </c>
      <c r="H6242" s="6" t="str">
        <f>IFERROR(__xludf.DUMMYFUNCTION("""COMPUTED_VALUE"""),"https://www.instagram.com/masjed_toliat/")</f>
        <v>https://www.instagram.com/masjed_toliat/</v>
      </c>
      <c r="I6242" s="5"/>
      <c r="J6242" s="6" t="str">
        <f>IFERROR(__xludf.DUMMYFUNCTION("""COMPUTED_VALUE"""),"https://eitaa.com/masjed_toliat")</f>
        <v>https://eitaa.com/masjed_toliat</v>
      </c>
      <c r="K6242" s="5"/>
      <c r="L6242" s="5"/>
      <c r="M6242" s="5"/>
      <c r="N6242" s="5"/>
      <c r="O6242" s="5"/>
      <c r="P6242" s="5"/>
      <c r="Q6242" s="5"/>
      <c r="R6242" s="5"/>
      <c r="S6242" s="5"/>
    </row>
    <row r="6243">
      <c r="A6243" s="5"/>
      <c r="B6243" s="5" t="str">
        <f>IFERROR(__xludf.DUMMYFUNCTION("""COMPUTED_VALUE"""),"محسنیه")</f>
        <v>محسنیه</v>
      </c>
      <c r="C6243" s="5" t="str">
        <f>IFERROR(__xludf.DUMMYFUNCTION("""COMPUTED_VALUE"""),"ثامن الائمه")</f>
        <v>ثامن الائمه</v>
      </c>
      <c r="D6243" s="5" t="str">
        <f>IFERROR(__xludf.DUMMYFUNCTION("""COMPUTED_VALUE"""),"قم")</f>
        <v>قم</v>
      </c>
      <c r="E6243" s="5" t="str">
        <f>IFERROR(__xludf.DUMMYFUNCTION("""COMPUTED_VALUE"""),"قم")</f>
        <v>قم</v>
      </c>
      <c r="F6243" s="5"/>
      <c r="G6243" s="5">
        <f>IFERROR(__xludf.DUMMYFUNCTION("""COMPUTED_VALUE"""),1.0)</f>
        <v>1</v>
      </c>
      <c r="H6243" s="6" t="str">
        <f>IFERROR(__xludf.DUMMYFUNCTION("""COMPUTED_VALUE"""),"https://www.instagram.com/mohsenieh_samen/")</f>
        <v>https://www.instagram.com/mohsenieh_samen/</v>
      </c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</row>
    <row r="6244">
      <c r="A6244" s="5"/>
      <c r="B6244" s="5" t="str">
        <f>IFERROR(__xludf.DUMMYFUNCTION("""COMPUTED_VALUE"""),"هیأت")</f>
        <v>هیأت</v>
      </c>
      <c r="C6244" s="5" t="str">
        <f>IFERROR(__xludf.DUMMYFUNCTION("""COMPUTED_VALUE"""),"جنت الرقیه")</f>
        <v>جنت الرقیه</v>
      </c>
      <c r="D6244" s="5" t="str">
        <f>IFERROR(__xludf.DUMMYFUNCTION("""COMPUTED_VALUE"""),"قم")</f>
        <v>قم</v>
      </c>
      <c r="E6244" s="5" t="str">
        <f>IFERROR(__xludf.DUMMYFUNCTION("""COMPUTED_VALUE"""),"قم")</f>
        <v>قم</v>
      </c>
      <c r="F6244" s="5"/>
      <c r="G6244" s="5">
        <f>IFERROR(__xludf.DUMMYFUNCTION("""COMPUTED_VALUE"""),1.0)</f>
        <v>1</v>
      </c>
      <c r="H6244" s="6" t="str">
        <f>IFERROR(__xludf.DUMMYFUNCTION("""COMPUTED_VALUE"""),"https://www.instagram.com/jannatalroghaye315/")</f>
        <v>https://www.instagram.com/jannatalroghaye315/</v>
      </c>
      <c r="I6244" s="6" t="str">
        <f>IFERROR(__xludf.DUMMYFUNCTION("""COMPUTED_VALUE"""),"https://t.me/jannatalroghayeqom")</f>
        <v>https://t.me/jannatalroghayeqom</v>
      </c>
      <c r="J6244" s="5"/>
      <c r="K6244" s="5"/>
      <c r="L6244" s="5"/>
      <c r="M6244" s="5"/>
      <c r="N6244" s="5"/>
      <c r="O6244" s="5"/>
      <c r="P6244" s="5"/>
      <c r="Q6244" s="5"/>
      <c r="R6244" s="5"/>
      <c r="S6244" s="5"/>
    </row>
    <row r="6245">
      <c r="A6245" s="5"/>
      <c r="B6245" s="5" t="str">
        <f>IFERROR(__xludf.DUMMYFUNCTION("""COMPUTED_VALUE"""),"مداح")</f>
        <v>مداح</v>
      </c>
      <c r="C6245" s="5" t="str">
        <f>IFERROR(__xludf.DUMMYFUNCTION("""COMPUTED_VALUE"""),"جواد رضایی")</f>
        <v>جواد رضایی</v>
      </c>
      <c r="D6245" s="5" t="str">
        <f>IFERROR(__xludf.DUMMYFUNCTION("""COMPUTED_VALUE"""),"قم")</f>
        <v>قم</v>
      </c>
      <c r="E6245" s="5" t="str">
        <f>IFERROR(__xludf.DUMMYFUNCTION("""COMPUTED_VALUE"""),"قم")</f>
        <v>قم</v>
      </c>
      <c r="F6245" s="5"/>
      <c r="G6245" s="5">
        <f>IFERROR(__xludf.DUMMYFUNCTION("""COMPUTED_VALUE"""),1.0)</f>
        <v>1</v>
      </c>
      <c r="H6245" s="6" t="str">
        <f>IFERROR(__xludf.DUMMYFUNCTION("""COMPUTED_VALUE"""),"https://www.instagram.com/javad_rezaei313.313/")</f>
        <v>https://www.instagram.com/javad_rezaei313.313/</v>
      </c>
      <c r="I6245" s="6" t="str">
        <f>IFERROR(__xludf.DUMMYFUNCTION("""COMPUTED_VALUE"""),"https://t.me/miadgah_313")</f>
        <v>https://t.me/miadgah_313</v>
      </c>
      <c r="J6245" s="6" t="str">
        <f>IFERROR(__xludf.DUMMYFUNCTION("""COMPUTED_VALUE"""),"https://eitaa.com/javadrezaei3")</f>
        <v>https://eitaa.com/javadrezaei3</v>
      </c>
      <c r="K6245" s="5"/>
      <c r="L6245" s="5"/>
      <c r="M6245" s="5"/>
      <c r="N6245" s="5"/>
      <c r="O6245" s="5"/>
      <c r="P6245" s="5"/>
      <c r="Q6245" s="5"/>
      <c r="R6245" s="5"/>
      <c r="S6245" s="5"/>
    </row>
    <row r="6246">
      <c r="A6246" s="5"/>
      <c r="B6246" s="5" t="str">
        <f>IFERROR(__xludf.DUMMYFUNCTION("""COMPUTED_VALUE"""),"هیأت")</f>
        <v>هیأت</v>
      </c>
      <c r="C6246" s="5" t="str">
        <f>IFERROR(__xludf.DUMMYFUNCTION("""COMPUTED_VALUE"""),"جوادالائمه")</f>
        <v>جوادالائمه</v>
      </c>
      <c r="D6246" s="5" t="str">
        <f>IFERROR(__xludf.DUMMYFUNCTION("""COMPUTED_VALUE"""),"قم")</f>
        <v>قم</v>
      </c>
      <c r="E6246" s="5" t="str">
        <f>IFERROR(__xludf.DUMMYFUNCTION("""COMPUTED_VALUE"""),"قم")</f>
        <v>قم</v>
      </c>
      <c r="F6246" s="5"/>
      <c r="G6246" s="5">
        <f>IFERROR(__xludf.DUMMYFUNCTION("""COMPUTED_VALUE"""),1.0)</f>
        <v>1</v>
      </c>
      <c r="H6246" s="6" t="str">
        <f>IFERROR(__xludf.DUMMYFUNCTION("""COMPUTED_VALUE"""),"https://www.instagram.com/javadalaima_qom/")</f>
        <v>https://www.instagram.com/javadalaima_qom/</v>
      </c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</row>
    <row r="6247">
      <c r="A6247" s="5"/>
      <c r="B6247" s="5" t="str">
        <f>IFERROR(__xludf.DUMMYFUNCTION("""COMPUTED_VALUE"""),"هیأت")</f>
        <v>هیأت</v>
      </c>
      <c r="C6247" s="5" t="str">
        <f>IFERROR(__xludf.DUMMYFUNCTION("""COMPUTED_VALUE"""),"جوانان امام جعفر صادق")</f>
        <v>جوانان امام جعفر صادق</v>
      </c>
      <c r="D6247" s="5" t="str">
        <f>IFERROR(__xludf.DUMMYFUNCTION("""COMPUTED_VALUE"""),"قم")</f>
        <v>قم</v>
      </c>
      <c r="E6247" s="5" t="str">
        <f>IFERROR(__xludf.DUMMYFUNCTION("""COMPUTED_VALUE"""),"قم")</f>
        <v>قم</v>
      </c>
      <c r="F6247" s="5"/>
      <c r="G6247" s="5">
        <f>IFERROR(__xludf.DUMMYFUNCTION("""COMPUTED_VALUE"""),1.0)</f>
        <v>1</v>
      </c>
      <c r="H6247" s="6" t="str">
        <f>IFERROR(__xludf.DUMMYFUNCTION("""COMPUTED_VALUE"""),"https://www.instagram.com/imamsadegh_qom/")</f>
        <v>https://www.instagram.com/imamsadegh_qom/</v>
      </c>
      <c r="I6247" s="6" t="str">
        <f>IFERROR(__xludf.DUMMYFUNCTION("""COMPUTED_VALUE"""),"https://t.me/imamsadegh_qom")</f>
        <v>https://t.me/imamsadegh_qom</v>
      </c>
      <c r="J6247" s="5"/>
      <c r="K6247" s="5"/>
      <c r="L6247" s="5"/>
      <c r="M6247" s="5"/>
      <c r="N6247" s="5"/>
      <c r="O6247" s="5"/>
      <c r="P6247" s="5"/>
      <c r="Q6247" s="5"/>
      <c r="R6247" s="5"/>
      <c r="S6247" s="5"/>
    </row>
    <row r="6248">
      <c r="A6248" s="5"/>
      <c r="B6248" s="5" t="str">
        <f>IFERROR(__xludf.DUMMYFUNCTION("""COMPUTED_VALUE"""),"هیأت")</f>
        <v>هیأت</v>
      </c>
      <c r="C6248" s="5" t="str">
        <f>IFERROR(__xludf.DUMMYFUNCTION("""COMPUTED_VALUE"""),"حسن ابن الحیدر")</f>
        <v>حسن ابن الحیدر</v>
      </c>
      <c r="D6248" s="5" t="str">
        <f>IFERROR(__xludf.DUMMYFUNCTION("""COMPUTED_VALUE"""),"قم")</f>
        <v>قم</v>
      </c>
      <c r="E6248" s="5" t="str">
        <f>IFERROR(__xludf.DUMMYFUNCTION("""COMPUTED_VALUE"""),"قم")</f>
        <v>قم</v>
      </c>
      <c r="F6248" s="5"/>
      <c r="G6248" s="5">
        <f>IFERROR(__xludf.DUMMYFUNCTION("""COMPUTED_VALUE"""),1.0)</f>
        <v>1</v>
      </c>
      <c r="H6248" s="6" t="str">
        <f>IFERROR(__xludf.DUMMYFUNCTION("""COMPUTED_VALUE"""),"https://www.instagram.com/hassan_ebn_heidar/")</f>
        <v>https://www.instagram.com/hassan_ebn_heidar/</v>
      </c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</row>
    <row r="6249">
      <c r="A6249" s="5">
        <f>IFERROR(__xludf.DUMMYFUNCTION("""COMPUTED_VALUE"""),32673.0)</f>
        <v>32673</v>
      </c>
      <c r="B6249" s="5" t="str">
        <f>IFERROR(__xludf.DUMMYFUNCTION("""COMPUTED_VALUE"""),"هیأت")</f>
        <v>هیأت</v>
      </c>
      <c r="C6249" s="5" t="str">
        <f>IFERROR(__xludf.DUMMYFUNCTION("""COMPUTED_VALUE"""),"حسینیه کودک")</f>
        <v>حسینیه کودک</v>
      </c>
      <c r="D6249" s="5" t="str">
        <f>IFERROR(__xludf.DUMMYFUNCTION("""COMPUTED_VALUE"""),"قم")</f>
        <v>قم</v>
      </c>
      <c r="E6249" s="5" t="str">
        <f>IFERROR(__xludf.DUMMYFUNCTION("""COMPUTED_VALUE"""),"قم")</f>
        <v>قم</v>
      </c>
      <c r="F6249" s="5"/>
      <c r="G6249" s="5">
        <f>IFERROR(__xludf.DUMMYFUNCTION("""COMPUTED_VALUE"""),1.0)</f>
        <v>1</v>
      </c>
      <c r="H6249" s="6" t="str">
        <f>IFERROR(__xludf.DUMMYFUNCTION("""COMPUTED_VALUE"""),"https://www.instagram.com/hoseinie_koodak/")</f>
        <v>https://www.instagram.com/hoseinie_koodak/</v>
      </c>
      <c r="I6249" s="5"/>
      <c r="J6249" s="6" t="str">
        <f>IFERROR(__xludf.DUMMYFUNCTION("""COMPUTED_VALUE"""),"https://eitaa.com/hoseiniekoodak")</f>
        <v>https://eitaa.com/hoseiniekoodak</v>
      </c>
      <c r="K6249" s="5"/>
      <c r="L6249" s="5"/>
      <c r="M6249" s="5"/>
      <c r="N6249" s="5"/>
      <c r="O6249" s="5"/>
      <c r="P6249" s="5"/>
      <c r="Q6249" s="5"/>
      <c r="R6249" s="5"/>
      <c r="S6249" s="5"/>
    </row>
    <row r="6250">
      <c r="A6250" s="5"/>
      <c r="B6250" s="5" t="str">
        <f>IFERROR(__xludf.DUMMYFUNCTION("""COMPUTED_VALUE"""),"هیأت")</f>
        <v>هیأت</v>
      </c>
      <c r="C6250" s="5" t="str">
        <f>IFERROR(__xludf.DUMMYFUNCTION("""COMPUTED_VALUE"""),"حضرت علی اکبر (ع)")</f>
        <v>حضرت علی اکبر (ع)</v>
      </c>
      <c r="D6250" s="5" t="str">
        <f>IFERROR(__xludf.DUMMYFUNCTION("""COMPUTED_VALUE"""),"قم")</f>
        <v>قم</v>
      </c>
      <c r="E6250" s="5" t="str">
        <f>IFERROR(__xludf.DUMMYFUNCTION("""COMPUTED_VALUE"""),"قم")</f>
        <v>قم</v>
      </c>
      <c r="F6250" s="5"/>
      <c r="G6250" s="5">
        <f>IFERROR(__xludf.DUMMYFUNCTION("""COMPUTED_VALUE"""),1.0)</f>
        <v>1</v>
      </c>
      <c r="H6250" s="6" t="str">
        <f>IFERROR(__xludf.DUMMYFUNCTION("""COMPUTED_VALUE"""),"https://www.instagram.com/heyataliakbarr/")</f>
        <v>https://www.instagram.com/heyataliakbarr/</v>
      </c>
      <c r="I6250" s="5"/>
      <c r="J6250" s="6" t="str">
        <f>IFERROR(__xludf.DUMMYFUNCTION("""COMPUTED_VALUE"""),"https://eitaa.com/ali_e_akbar_pardisan")</f>
        <v>https://eitaa.com/ali_e_akbar_pardisan</v>
      </c>
      <c r="K6250" s="5"/>
      <c r="L6250" s="5"/>
      <c r="M6250" s="5"/>
      <c r="N6250" s="5"/>
      <c r="O6250" s="5"/>
      <c r="P6250" s="5"/>
      <c r="Q6250" s="5"/>
      <c r="R6250" s="5"/>
      <c r="S6250" s="5"/>
    </row>
    <row r="6251">
      <c r="A6251" s="5">
        <f>IFERROR(__xludf.DUMMYFUNCTION("""COMPUTED_VALUE"""),32883.0)</f>
        <v>32883</v>
      </c>
      <c r="B6251" s="5" t="str">
        <f>IFERROR(__xludf.DUMMYFUNCTION("""COMPUTED_VALUE"""),"هیأت")</f>
        <v>هیأت</v>
      </c>
      <c r="C6251" s="5" t="str">
        <f>IFERROR(__xludf.DUMMYFUNCTION("""COMPUTED_VALUE"""),"حضرت فاطمه الزهرا (س)")</f>
        <v>حضرت فاطمه الزهرا (س)</v>
      </c>
      <c r="D6251" s="5" t="str">
        <f>IFERROR(__xludf.DUMMYFUNCTION("""COMPUTED_VALUE"""),"قم")</f>
        <v>قم</v>
      </c>
      <c r="E6251" s="5" t="str">
        <f>IFERROR(__xludf.DUMMYFUNCTION("""COMPUTED_VALUE"""),"قم")</f>
        <v>قم</v>
      </c>
      <c r="F6251" s="5"/>
      <c r="G6251" s="5">
        <f>IFERROR(__xludf.DUMMYFUNCTION("""COMPUTED_VALUE"""),1.0)</f>
        <v>1</v>
      </c>
      <c r="H6251" s="6" t="str">
        <f>IFERROR(__xludf.DUMMYFUNCTION("""COMPUTED_VALUE"""),"https://www.instagram.com/heyat_alzahraaqom/")</f>
        <v>https://www.instagram.com/heyat_alzahraaqom/</v>
      </c>
      <c r="I6251" s="5"/>
      <c r="J6251" s="6" t="str">
        <f>IFERROR(__xludf.DUMMYFUNCTION("""COMPUTED_VALUE"""),"https://eitaa.com/hfatemealzahra")</f>
        <v>https://eitaa.com/hfatemealzahra</v>
      </c>
      <c r="K6251" s="5"/>
      <c r="L6251" s="5"/>
      <c r="M6251" s="5"/>
      <c r="N6251" s="5"/>
      <c r="O6251" s="5"/>
      <c r="P6251" s="5"/>
      <c r="Q6251" s="5"/>
      <c r="R6251" s="5"/>
      <c r="S6251" s="5"/>
    </row>
    <row r="6252">
      <c r="A6252" s="5"/>
      <c r="B6252" s="5" t="str">
        <f>IFERROR(__xludf.DUMMYFUNCTION("""COMPUTED_VALUE"""),"هیأت")</f>
        <v>هیأت</v>
      </c>
      <c r="C6252" s="5" t="str">
        <f>IFERROR(__xludf.DUMMYFUNCTION("""COMPUTED_VALUE"""),"حضرت فاطمه زهرا")</f>
        <v>حضرت فاطمه زهرا</v>
      </c>
      <c r="D6252" s="5" t="str">
        <f>IFERROR(__xludf.DUMMYFUNCTION("""COMPUTED_VALUE"""),"قم")</f>
        <v>قم</v>
      </c>
      <c r="E6252" s="5" t="str">
        <f>IFERROR(__xludf.DUMMYFUNCTION("""COMPUTED_VALUE"""),"قم")</f>
        <v>قم</v>
      </c>
      <c r="F6252" s="5"/>
      <c r="G6252" s="5">
        <f>IFERROR(__xludf.DUMMYFUNCTION("""COMPUTED_VALUE"""),1.0)</f>
        <v>1</v>
      </c>
      <c r="H6252" s="6" t="str">
        <f>IFERROR(__xludf.DUMMYFUNCTION("""COMPUTED_VALUE"""),"https://www.instagram.com/heyate_fatemeh_zahra/")</f>
        <v>https://www.instagram.com/heyate_fatemeh_zahra/</v>
      </c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</row>
    <row r="6253">
      <c r="A6253" s="5"/>
      <c r="B6253" s="5" t="str">
        <f>IFERROR(__xludf.DUMMYFUNCTION("""COMPUTED_VALUE"""),"هیأت")</f>
        <v>هیأت</v>
      </c>
      <c r="C6253" s="5" t="str">
        <f>IFERROR(__xludf.DUMMYFUNCTION("""COMPUTED_VALUE"""),"حیدریون")</f>
        <v>حیدریون</v>
      </c>
      <c r="D6253" s="5" t="str">
        <f>IFERROR(__xludf.DUMMYFUNCTION("""COMPUTED_VALUE"""),"قم")</f>
        <v>قم</v>
      </c>
      <c r="E6253" s="5" t="str">
        <f>IFERROR(__xludf.DUMMYFUNCTION("""COMPUTED_VALUE"""),"قم")</f>
        <v>قم</v>
      </c>
      <c r="F6253" s="5"/>
      <c r="G6253" s="5">
        <f>IFERROR(__xludf.DUMMYFUNCTION("""COMPUTED_VALUE"""),1.0)</f>
        <v>1</v>
      </c>
      <c r="H6253" s="6" t="str">
        <f>IFERROR(__xludf.DUMMYFUNCTION("""COMPUTED_VALUE"""),"https://www.instagram.com/heidariun_qom/")</f>
        <v>https://www.instagram.com/heidariun_qom/</v>
      </c>
      <c r="I6253" s="6" t="str">
        <f>IFERROR(__xludf.DUMMYFUNCTION("""COMPUTED_VALUE"""),"https://t.me/heidariun_qom")</f>
        <v>https://t.me/heidariun_qom</v>
      </c>
      <c r="J6253" s="5"/>
      <c r="K6253" s="5"/>
      <c r="L6253" s="5"/>
      <c r="M6253" s="5"/>
      <c r="N6253" s="5"/>
      <c r="O6253" s="5"/>
      <c r="P6253" s="5"/>
      <c r="Q6253" s="5"/>
      <c r="R6253" s="5"/>
      <c r="S6253" s="5"/>
    </row>
    <row r="6254">
      <c r="A6254" s="5"/>
      <c r="B6254" s="5" t="str">
        <f>IFERROR(__xludf.DUMMYFUNCTION("""COMPUTED_VALUE"""),"هیأت")</f>
        <v>هیأت</v>
      </c>
      <c r="C6254" s="5" t="str">
        <f>IFERROR(__xludf.DUMMYFUNCTION("""COMPUTED_VALUE"""),"خادم الحسین")</f>
        <v>خادم الحسین</v>
      </c>
      <c r="D6254" s="5" t="str">
        <f>IFERROR(__xludf.DUMMYFUNCTION("""COMPUTED_VALUE"""),"قم")</f>
        <v>قم</v>
      </c>
      <c r="E6254" s="5" t="str">
        <f>IFERROR(__xludf.DUMMYFUNCTION("""COMPUTED_VALUE"""),"قم")</f>
        <v>قم</v>
      </c>
      <c r="F6254" s="5"/>
      <c r="G6254" s="5">
        <f>IFERROR(__xludf.DUMMYFUNCTION("""COMPUTED_VALUE"""),1.0)</f>
        <v>1</v>
      </c>
      <c r="H6254" s="6" t="str">
        <f>IFERROR(__xludf.DUMMYFUNCTION("""COMPUTED_VALUE"""),"https://www.instagram.com/heyat_khademalhossein/")</f>
        <v>https://www.instagram.com/heyat_khademalhossein/</v>
      </c>
      <c r="I6254" s="6" t="str">
        <f>IFERROR(__xludf.DUMMYFUNCTION("""COMPUTED_VALUE"""),"https://t.me/heyat_khademalhossein")</f>
        <v>https://t.me/heyat_khademalhossein</v>
      </c>
      <c r="J6254" s="5"/>
      <c r="K6254" s="5"/>
      <c r="L6254" s="5"/>
      <c r="M6254" s="5"/>
      <c r="N6254" s="5"/>
      <c r="O6254" s="5"/>
      <c r="P6254" s="5"/>
      <c r="Q6254" s="5"/>
      <c r="R6254" s="5"/>
      <c r="S6254" s="5"/>
    </row>
    <row r="6255">
      <c r="A6255" s="5"/>
      <c r="B6255" s="5" t="str">
        <f>IFERROR(__xludf.DUMMYFUNCTION("""COMPUTED_VALUE"""),"هیأت")</f>
        <v>هیأت</v>
      </c>
      <c r="C6255" s="5" t="str">
        <f>IFERROR(__xludf.DUMMYFUNCTION("""COMPUTED_VALUE"""),"خادم الرقیه")</f>
        <v>خادم الرقیه</v>
      </c>
      <c r="D6255" s="5" t="str">
        <f>IFERROR(__xludf.DUMMYFUNCTION("""COMPUTED_VALUE"""),"قم")</f>
        <v>قم</v>
      </c>
      <c r="E6255" s="5" t="str">
        <f>IFERROR(__xludf.DUMMYFUNCTION("""COMPUTED_VALUE"""),"قم")</f>
        <v>قم</v>
      </c>
      <c r="F6255" s="5"/>
      <c r="G6255" s="5">
        <f>IFERROR(__xludf.DUMMYFUNCTION("""COMPUTED_VALUE"""),1.0)</f>
        <v>1</v>
      </c>
      <c r="H6255" s="6" t="str">
        <f>IFERROR(__xludf.DUMMYFUNCTION("""COMPUTED_VALUE"""),"https://www.instagram.com/khadem_alroghaye315/")</f>
        <v>https://www.instagram.com/khadem_alroghaye315/</v>
      </c>
      <c r="I6255" s="6" t="str">
        <f>IFERROR(__xludf.DUMMYFUNCTION("""COMPUTED_VALUE"""),"https://t.me/khadem_alroghaye315")</f>
        <v>https://t.me/khadem_alroghaye315</v>
      </c>
      <c r="J6255" s="5"/>
      <c r="K6255" s="5"/>
      <c r="L6255" s="5"/>
      <c r="M6255" s="5"/>
      <c r="N6255" s="5"/>
      <c r="O6255" s="5"/>
      <c r="P6255" s="5"/>
      <c r="Q6255" s="5"/>
      <c r="R6255" s="5"/>
      <c r="S6255" s="5"/>
    </row>
    <row r="6256">
      <c r="A6256" s="5"/>
      <c r="B6256" s="5" t="str">
        <f>IFERROR(__xludf.DUMMYFUNCTION("""COMPUTED_VALUE"""),"هیأت")</f>
        <v>هیأت</v>
      </c>
      <c r="C6256" s="5" t="str">
        <f>IFERROR(__xludf.DUMMYFUNCTION("""COMPUTED_VALUE"""),"خادم الزهرا")</f>
        <v>خادم الزهرا</v>
      </c>
      <c r="D6256" s="5" t="str">
        <f>IFERROR(__xludf.DUMMYFUNCTION("""COMPUTED_VALUE"""),"قم")</f>
        <v>قم</v>
      </c>
      <c r="E6256" s="5" t="str">
        <f>IFERROR(__xludf.DUMMYFUNCTION("""COMPUTED_VALUE"""),"قم")</f>
        <v>قم</v>
      </c>
      <c r="F6256" s="5"/>
      <c r="G6256" s="5">
        <f>IFERROR(__xludf.DUMMYFUNCTION("""COMPUTED_VALUE"""),1.0)</f>
        <v>1</v>
      </c>
      <c r="H6256" s="6" t="str">
        <f>IFERROR(__xludf.DUMMYFUNCTION("""COMPUTED_VALUE"""),"https://www.instagram.com/khademozahraqom/")</f>
        <v>https://www.instagram.com/khademozahraqom/</v>
      </c>
      <c r="I6256" s="6" t="str">
        <f>IFERROR(__xludf.DUMMYFUNCTION("""COMPUTED_VALUE"""),"https://t.me/khademozahraqom")</f>
        <v>https://t.me/khademozahraqom</v>
      </c>
      <c r="J6256" s="5"/>
      <c r="K6256" s="5"/>
      <c r="L6256" s="5"/>
      <c r="M6256" s="5"/>
      <c r="N6256" s="5"/>
      <c r="O6256" s="5"/>
      <c r="P6256" s="5"/>
      <c r="Q6256" s="5"/>
      <c r="R6256" s="5"/>
      <c r="S6256" s="5"/>
    </row>
    <row r="6257">
      <c r="A6257" s="5"/>
      <c r="B6257" s="5" t="str">
        <f>IFERROR(__xludf.DUMMYFUNCTION("""COMPUTED_VALUE"""),"هیأت")</f>
        <v>هیأت</v>
      </c>
      <c r="C6257" s="5" t="str">
        <f>IFERROR(__xludf.DUMMYFUNCTION("""COMPUTED_VALUE"""),"خادم المهدی")</f>
        <v>خادم المهدی</v>
      </c>
      <c r="D6257" s="5" t="str">
        <f>IFERROR(__xludf.DUMMYFUNCTION("""COMPUTED_VALUE"""),"قم")</f>
        <v>قم</v>
      </c>
      <c r="E6257" s="5" t="str">
        <f>IFERROR(__xludf.DUMMYFUNCTION("""COMPUTED_VALUE"""),"قم")</f>
        <v>قم</v>
      </c>
      <c r="F6257" s="5"/>
      <c r="G6257" s="5">
        <f>IFERROR(__xludf.DUMMYFUNCTION("""COMPUTED_VALUE"""),1.0)</f>
        <v>1</v>
      </c>
      <c r="H6257" s="6" t="str">
        <f>IFERROR(__xludf.DUMMYFUNCTION("""COMPUTED_VALUE"""),"https://www.instagram.com/khadem_almahdy/")</f>
        <v>https://www.instagram.com/khadem_almahdy/</v>
      </c>
      <c r="I6257" s="6" t="str">
        <f>IFERROR(__xludf.DUMMYFUNCTION("""COMPUTED_VALUE"""),"https://t.me/khadem_almahdy")</f>
        <v>https://t.me/khadem_almahdy</v>
      </c>
      <c r="J6257" s="6" t="str">
        <f>IFERROR(__xludf.DUMMYFUNCTION("""COMPUTED_VALUE"""),"https://eitaa.com/khaadem_almahdy")</f>
        <v>https://eitaa.com/khaadem_almahdy</v>
      </c>
      <c r="K6257" s="5"/>
      <c r="L6257" s="5"/>
      <c r="M6257" s="5"/>
      <c r="N6257" s="5"/>
      <c r="O6257" s="5"/>
      <c r="P6257" s="5"/>
      <c r="Q6257" s="5"/>
      <c r="R6257" s="5"/>
      <c r="S6257" s="5"/>
    </row>
    <row r="6258">
      <c r="A6258" s="5">
        <f>IFERROR(__xludf.DUMMYFUNCTION("""COMPUTED_VALUE"""),31465.0)</f>
        <v>31465</v>
      </c>
      <c r="B6258" s="5" t="str">
        <f>IFERROR(__xludf.DUMMYFUNCTION("""COMPUTED_VALUE"""),"هیأت")</f>
        <v>هیأت</v>
      </c>
      <c r="C6258" s="5" t="str">
        <f>IFERROR(__xludf.DUMMYFUNCTION("""COMPUTED_VALUE"""),"خادمان المهدی")</f>
        <v>خادمان المهدی</v>
      </c>
      <c r="D6258" s="5" t="str">
        <f>IFERROR(__xludf.DUMMYFUNCTION("""COMPUTED_VALUE"""),"قم")</f>
        <v>قم</v>
      </c>
      <c r="E6258" s="5" t="str">
        <f>IFERROR(__xludf.DUMMYFUNCTION("""COMPUTED_VALUE"""),"قم")</f>
        <v>قم</v>
      </c>
      <c r="F6258" s="5"/>
      <c r="G6258" s="5">
        <f>IFERROR(__xludf.DUMMYFUNCTION("""COMPUTED_VALUE"""),1.0)</f>
        <v>1</v>
      </c>
      <c r="H6258" s="6" t="str">
        <f>IFERROR(__xludf.DUMMYFUNCTION("""COMPUTED_VALUE"""),"https://www.instagram.com/khadem_al_mahdi_ir/")</f>
        <v>https://www.instagram.com/khadem_al_mahdi_ir/</v>
      </c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</row>
    <row r="6259">
      <c r="A6259" s="5"/>
      <c r="B6259" s="5" t="str">
        <f>IFERROR(__xludf.DUMMYFUNCTION("""COMPUTED_VALUE"""),"هیأت")</f>
        <v>هیأت</v>
      </c>
      <c r="C6259" s="5" t="str">
        <f>IFERROR(__xludf.DUMMYFUNCTION("""COMPUTED_VALUE"""),"خدام الشهداء")</f>
        <v>خدام الشهداء</v>
      </c>
      <c r="D6259" s="5" t="str">
        <f>IFERROR(__xludf.DUMMYFUNCTION("""COMPUTED_VALUE"""),"قم")</f>
        <v>قم</v>
      </c>
      <c r="E6259" s="5" t="str">
        <f>IFERROR(__xludf.DUMMYFUNCTION("""COMPUTED_VALUE"""),"قم")</f>
        <v>قم</v>
      </c>
      <c r="F6259" s="5"/>
      <c r="G6259" s="5">
        <f>IFERROR(__xludf.DUMMYFUNCTION("""COMPUTED_VALUE"""),1.0)</f>
        <v>1</v>
      </c>
      <c r="H6259" s="6" t="str">
        <f>IFERROR(__xludf.DUMMYFUNCTION("""COMPUTED_VALUE"""),"https://www.instagram.com/khademoshohadaqom")</f>
        <v>https://www.instagram.com/khademoshohadaqom</v>
      </c>
      <c r="I6259" s="6" t="str">
        <f>IFERROR(__xludf.DUMMYFUNCTION("""COMPUTED_VALUE"""),"https://t.me/khademoshohadaqom")</f>
        <v>https://t.me/khademoshohadaqom</v>
      </c>
      <c r="J6259" s="6" t="str">
        <f>IFERROR(__xludf.DUMMYFUNCTION("""COMPUTED_VALUE"""),"https://eitaa.com/khademoshohadaqom")</f>
        <v>https://eitaa.com/khademoshohadaqom</v>
      </c>
      <c r="K6259" s="5"/>
      <c r="L6259" s="5"/>
      <c r="M6259" s="5"/>
      <c r="N6259" s="5"/>
      <c r="O6259" s="5"/>
      <c r="P6259" s="5"/>
      <c r="Q6259" s="5"/>
      <c r="R6259" s="5"/>
      <c r="S6259" s="5"/>
    </row>
    <row r="6260">
      <c r="A6260" s="5"/>
      <c r="B6260" s="5" t="str">
        <f>IFERROR(__xludf.DUMMYFUNCTION("""COMPUTED_VALUE"""),"هیأت")</f>
        <v>هیأت</v>
      </c>
      <c r="C6260" s="5" t="str">
        <f>IFERROR(__xludf.DUMMYFUNCTION("""COMPUTED_VALUE"""),"خیمه گاه سیدالشهداء")</f>
        <v>خیمه گاه سیدالشهداء</v>
      </c>
      <c r="D6260" s="5" t="str">
        <f>IFERROR(__xludf.DUMMYFUNCTION("""COMPUTED_VALUE"""),"قم")</f>
        <v>قم</v>
      </c>
      <c r="E6260" s="5" t="str">
        <f>IFERROR(__xludf.DUMMYFUNCTION("""COMPUTED_VALUE"""),"قم")</f>
        <v>قم</v>
      </c>
      <c r="F6260" s="5"/>
      <c r="G6260" s="5">
        <f>IFERROR(__xludf.DUMMYFUNCTION("""COMPUTED_VALUE"""),1.0)</f>
        <v>1</v>
      </c>
      <c r="H6260" s="6" t="str">
        <f>IFERROR(__xludf.DUMMYFUNCTION("""COMPUTED_VALUE"""),"https://www.instagram.com/kheimegah_qom/")</f>
        <v>https://www.instagram.com/kheimegah_qom/</v>
      </c>
      <c r="I6260" s="5"/>
      <c r="J6260" s="5"/>
      <c r="K6260" s="5"/>
      <c r="L6260" s="5"/>
      <c r="M6260" s="5"/>
      <c r="N6260" s="5"/>
      <c r="O6260" s="5"/>
      <c r="P6260" s="5"/>
      <c r="Q6260" s="5"/>
      <c r="R6260" s="5"/>
      <c r="S6260" s="5"/>
    </row>
    <row r="6261">
      <c r="A6261" s="5">
        <f>IFERROR(__xludf.DUMMYFUNCTION("""COMPUTED_VALUE"""),26151.0)</f>
        <v>26151</v>
      </c>
      <c r="B6261" s="5" t="str">
        <f>IFERROR(__xludf.DUMMYFUNCTION("""COMPUTED_VALUE"""),"هیأت")</f>
        <v>هیأت</v>
      </c>
      <c r="C6261" s="5" t="str">
        <f>IFERROR(__xludf.DUMMYFUNCTION("""COMPUTED_VALUE"""),"دمعة رقیه (س)")</f>
        <v>دمعة رقیه (س)</v>
      </c>
      <c r="D6261" s="5" t="str">
        <f>IFERROR(__xludf.DUMMYFUNCTION("""COMPUTED_VALUE"""),"قم")</f>
        <v>قم</v>
      </c>
      <c r="E6261" s="5" t="str">
        <f>IFERROR(__xludf.DUMMYFUNCTION("""COMPUTED_VALUE"""),"قم")</f>
        <v>قم</v>
      </c>
      <c r="F6261" s="5"/>
      <c r="G6261" s="5">
        <f>IFERROR(__xludf.DUMMYFUNCTION("""COMPUTED_VALUE"""),1.0)</f>
        <v>1</v>
      </c>
      <c r="H6261" s="6" t="str">
        <f>IFERROR(__xludf.DUMMYFUNCTION("""COMPUTED_VALUE"""),"https://www.instagram.com/bokaa315/")</f>
        <v>https://www.instagram.com/bokaa315/</v>
      </c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</row>
    <row r="6262">
      <c r="A6262" s="5"/>
      <c r="B6262" s="5" t="str">
        <f>IFERROR(__xludf.DUMMYFUNCTION("""COMPUTED_VALUE"""),"هیأت")</f>
        <v>هیأت</v>
      </c>
      <c r="C6262" s="5" t="str">
        <f>IFERROR(__xludf.DUMMYFUNCTION("""COMPUTED_VALUE"""),"رایة الحسین")</f>
        <v>رایة الحسین</v>
      </c>
      <c r="D6262" s="5" t="str">
        <f>IFERROR(__xludf.DUMMYFUNCTION("""COMPUTED_VALUE"""),"قم")</f>
        <v>قم</v>
      </c>
      <c r="E6262" s="5" t="str">
        <f>IFERROR(__xludf.DUMMYFUNCTION("""COMPUTED_VALUE"""),"قم")</f>
        <v>قم</v>
      </c>
      <c r="F6262" s="5"/>
      <c r="G6262" s="5">
        <f>IFERROR(__xludf.DUMMYFUNCTION("""COMPUTED_VALUE"""),1.0)</f>
        <v>1</v>
      </c>
      <c r="H6262" s="6" t="str">
        <f>IFERROR(__xludf.DUMMYFUNCTION("""COMPUTED_VALUE"""),"https://www.instagram.com/rayatalhosein_ir/")</f>
        <v>https://www.instagram.com/rayatalhosein_ir/</v>
      </c>
      <c r="I6262" s="6" t="str">
        <f>IFERROR(__xludf.DUMMYFUNCTION("""COMPUTED_VALUE"""),"https://t.me/rayatalhosein_ir")</f>
        <v>https://t.me/rayatalhosein_ir</v>
      </c>
      <c r="J6262" s="5"/>
      <c r="K6262" s="5"/>
      <c r="L6262" s="5"/>
      <c r="M6262" s="5"/>
      <c r="N6262" s="5"/>
      <c r="O6262" s="5"/>
      <c r="P6262" s="5"/>
      <c r="Q6262" s="5"/>
      <c r="R6262" s="5"/>
      <c r="S6262" s="5"/>
    </row>
    <row r="6263">
      <c r="A6263" s="5">
        <f>IFERROR(__xludf.DUMMYFUNCTION("""COMPUTED_VALUE"""),24714.0)</f>
        <v>24714</v>
      </c>
      <c r="B6263" s="5" t="str">
        <f>IFERROR(__xludf.DUMMYFUNCTION("""COMPUTED_VALUE"""),"هیأت")</f>
        <v>هیأت</v>
      </c>
      <c r="C6263" s="5" t="str">
        <f>IFERROR(__xludf.DUMMYFUNCTION("""COMPUTED_VALUE"""),"رایه الحسین (ع)")</f>
        <v>رایه الحسین (ع)</v>
      </c>
      <c r="D6263" s="5" t="str">
        <f>IFERROR(__xludf.DUMMYFUNCTION("""COMPUTED_VALUE"""),"قم")</f>
        <v>قم</v>
      </c>
      <c r="E6263" s="5" t="str">
        <f>IFERROR(__xludf.DUMMYFUNCTION("""COMPUTED_VALUE"""),"قم")</f>
        <v>قم</v>
      </c>
      <c r="F6263" s="5"/>
      <c r="G6263" s="5">
        <f>IFERROR(__xludf.DUMMYFUNCTION("""COMPUTED_VALUE"""),1.0)</f>
        <v>1</v>
      </c>
      <c r="H6263" s="5"/>
      <c r="I6263" s="5"/>
      <c r="J6263" s="6" t="str">
        <f>IFERROR(__xludf.DUMMYFUNCTION("""COMPUTED_VALUE"""),"https://eitaa.com/rayatalhosein_ir")</f>
        <v>https://eitaa.com/rayatalhosein_ir</v>
      </c>
      <c r="K6263" s="5"/>
      <c r="L6263" s="5"/>
      <c r="M6263" s="5"/>
      <c r="N6263" s="5"/>
      <c r="O6263" s="5"/>
      <c r="P6263" s="5"/>
      <c r="Q6263" s="5"/>
      <c r="R6263" s="5"/>
      <c r="S6263" s="5"/>
    </row>
    <row r="6264">
      <c r="A6264" s="5"/>
      <c r="B6264" s="5" t="str">
        <f>IFERROR(__xludf.DUMMYFUNCTION("""COMPUTED_VALUE"""),"هیأت")</f>
        <v>هیأت</v>
      </c>
      <c r="C6264" s="5" t="str">
        <f>IFERROR(__xludf.DUMMYFUNCTION("""COMPUTED_VALUE"""),"رقیه بنت الحسین (ع)")</f>
        <v>رقیه بنت الحسین (ع)</v>
      </c>
      <c r="D6264" s="5" t="str">
        <f>IFERROR(__xludf.DUMMYFUNCTION("""COMPUTED_VALUE"""),"قم")</f>
        <v>قم</v>
      </c>
      <c r="E6264" s="5" t="str">
        <f>IFERROR(__xludf.DUMMYFUNCTION("""COMPUTED_VALUE"""),"قم")</f>
        <v>قم</v>
      </c>
      <c r="F6264" s="5"/>
      <c r="G6264" s="5">
        <f>IFERROR(__xludf.DUMMYFUNCTION("""COMPUTED_VALUE"""),1.0)</f>
        <v>1</v>
      </c>
      <c r="H6264" s="6" t="str">
        <f>IFERROR(__xludf.DUMMYFUNCTION("""COMPUTED_VALUE"""),"https://www.instagram.com/roghaye_bentol_hoseinn/")</f>
        <v>https://www.instagram.com/roghaye_bentol_hoseinn/</v>
      </c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</row>
    <row r="6265">
      <c r="A6265" s="5">
        <f>IFERROR(__xludf.DUMMYFUNCTION("""COMPUTED_VALUE"""),11107.0)</f>
        <v>11107</v>
      </c>
      <c r="B6265" s="5" t="str">
        <f>IFERROR(__xludf.DUMMYFUNCTION("""COMPUTED_VALUE"""),"هیأت")</f>
        <v>هیأت</v>
      </c>
      <c r="C6265" s="5" t="str">
        <f>IFERROR(__xludf.DUMMYFUNCTION("""COMPUTED_VALUE"""),"رهروان امام و شهدا")</f>
        <v>رهروان امام و شهدا</v>
      </c>
      <c r="D6265" s="5" t="str">
        <f>IFERROR(__xludf.DUMMYFUNCTION("""COMPUTED_VALUE"""),"قم")</f>
        <v>قم</v>
      </c>
      <c r="E6265" s="5" t="str">
        <f>IFERROR(__xludf.DUMMYFUNCTION("""COMPUTED_VALUE"""),"قم")</f>
        <v>قم</v>
      </c>
      <c r="F6265" s="5"/>
      <c r="G6265" s="5">
        <f>IFERROR(__xludf.DUMMYFUNCTION("""COMPUTED_VALUE"""),1.0)</f>
        <v>1</v>
      </c>
      <c r="H6265" s="6" t="str">
        <f>IFERROR(__xludf.DUMMYFUNCTION("""COMPUTED_VALUE"""),"https://www.instagram.com/rahrovanshohada_qom/")</f>
        <v>https://www.instagram.com/rahrovanshohada_qom/</v>
      </c>
      <c r="I6265" s="6" t="str">
        <f>IFERROR(__xludf.DUMMYFUNCTION("""COMPUTED_VALUE"""),"t.me/rahrovanshoohada")</f>
        <v>t.me/rahrovanshoohada</v>
      </c>
      <c r="J6265" s="5"/>
      <c r="K6265" s="5"/>
      <c r="L6265" s="5"/>
      <c r="M6265" s="5"/>
      <c r="N6265" s="5"/>
      <c r="O6265" s="5"/>
      <c r="P6265" s="5"/>
      <c r="Q6265" s="5"/>
      <c r="R6265" s="5"/>
      <c r="S6265" s="5"/>
    </row>
    <row r="6266">
      <c r="A6266" s="5"/>
      <c r="B6266" s="5" t="str">
        <f>IFERROR(__xludf.DUMMYFUNCTION("""COMPUTED_VALUE"""),"هیأت")</f>
        <v>هیأت</v>
      </c>
      <c r="C6266" s="5" t="str">
        <f>IFERROR(__xludf.DUMMYFUNCTION("""COMPUTED_VALUE"""),"روضة الزینب")</f>
        <v>روضة الزینب</v>
      </c>
      <c r="D6266" s="5" t="str">
        <f>IFERROR(__xludf.DUMMYFUNCTION("""COMPUTED_VALUE"""),"قم")</f>
        <v>قم</v>
      </c>
      <c r="E6266" s="5" t="str">
        <f>IFERROR(__xludf.DUMMYFUNCTION("""COMPUTED_VALUE"""),"قم")</f>
        <v>قم</v>
      </c>
      <c r="F6266" s="5"/>
      <c r="G6266" s="5">
        <f>IFERROR(__xludf.DUMMYFUNCTION("""COMPUTED_VALUE"""),1.0)</f>
        <v>1</v>
      </c>
      <c r="H6266" s="6" t="str">
        <f>IFERROR(__xludf.DUMMYFUNCTION("""COMPUTED_VALUE"""),"https://www.instagram.com/rovzatozzeinab/")</f>
        <v>https://www.instagram.com/rovzatozzeinab/</v>
      </c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</row>
    <row r="6267">
      <c r="A6267" s="5"/>
      <c r="B6267" s="5" t="str">
        <f>IFERROR(__xludf.DUMMYFUNCTION("""COMPUTED_VALUE"""),"هیأت")</f>
        <v>هیأت</v>
      </c>
      <c r="C6267" s="5" t="str">
        <f>IFERROR(__xludf.DUMMYFUNCTION("""COMPUTED_VALUE"""),"روضة العباس")</f>
        <v>روضة العباس</v>
      </c>
      <c r="D6267" s="5" t="str">
        <f>IFERROR(__xludf.DUMMYFUNCTION("""COMPUTED_VALUE"""),"قم")</f>
        <v>قم</v>
      </c>
      <c r="E6267" s="5" t="str">
        <f>IFERROR(__xludf.DUMMYFUNCTION("""COMPUTED_VALUE"""),"قم")</f>
        <v>قم</v>
      </c>
      <c r="F6267" s="5"/>
      <c r="G6267" s="5">
        <f>IFERROR(__xludf.DUMMYFUNCTION("""COMPUTED_VALUE"""),1.0)</f>
        <v>1</v>
      </c>
      <c r="H6267" s="6" t="str">
        <f>IFERROR(__xludf.DUMMYFUNCTION("""COMPUTED_VALUE"""),"https://www.instagram.com/rozeh_alabas133/")</f>
        <v>https://www.instagram.com/rozeh_alabas133/</v>
      </c>
      <c r="I6267" s="6" t="str">
        <f>IFERROR(__xludf.DUMMYFUNCTION("""COMPUTED_VALUE"""),"https://t.me/rozeh_alabas133")</f>
        <v>https://t.me/rozeh_alabas133</v>
      </c>
      <c r="J6267" s="5"/>
      <c r="K6267" s="5"/>
      <c r="L6267" s="5"/>
      <c r="M6267" s="5"/>
      <c r="N6267" s="5"/>
      <c r="O6267" s="5"/>
      <c r="P6267" s="5"/>
      <c r="Q6267" s="5"/>
      <c r="R6267" s="5"/>
      <c r="S6267" s="5"/>
    </row>
    <row r="6268">
      <c r="A6268" s="5"/>
      <c r="B6268" s="5" t="str">
        <f>IFERROR(__xludf.DUMMYFUNCTION("""COMPUTED_VALUE"""),"هیأت")</f>
        <v>هیأت</v>
      </c>
      <c r="C6268" s="5" t="str">
        <f>IFERROR(__xludf.DUMMYFUNCTION("""COMPUTED_VALUE"""),"روضه الرقیه")</f>
        <v>روضه الرقیه</v>
      </c>
      <c r="D6268" s="5" t="str">
        <f>IFERROR(__xludf.DUMMYFUNCTION("""COMPUTED_VALUE"""),"قم")</f>
        <v>قم</v>
      </c>
      <c r="E6268" s="5" t="str">
        <f>IFERROR(__xludf.DUMMYFUNCTION("""COMPUTED_VALUE"""),"قم")</f>
        <v>قم</v>
      </c>
      <c r="F6268" s="5"/>
      <c r="G6268" s="5">
        <f>IFERROR(__xludf.DUMMYFUNCTION("""COMPUTED_VALUE"""),1.0)</f>
        <v>1</v>
      </c>
      <c r="H6268" s="6" t="str">
        <f>IFERROR(__xludf.DUMMYFUNCTION("""COMPUTED_VALUE"""),"https://www.instagram.com/reyhane__info/")</f>
        <v>https://www.instagram.com/reyhane__info/</v>
      </c>
      <c r="I6268" s="6" t="str">
        <f>IFERROR(__xludf.DUMMYFUNCTION("""COMPUTED_VALUE"""),"https://t.me/heyat_rozat_al_roghaye")</f>
        <v>https://t.me/heyat_rozat_al_roghaye</v>
      </c>
      <c r="J6268" s="5"/>
      <c r="K6268" s="5"/>
      <c r="L6268" s="5"/>
      <c r="M6268" s="5"/>
      <c r="N6268" s="5"/>
      <c r="O6268" s="5"/>
      <c r="P6268" s="5"/>
      <c r="Q6268" s="5"/>
      <c r="R6268" s="5"/>
      <c r="S6268" s="5"/>
    </row>
    <row r="6269">
      <c r="A6269" s="5">
        <f>IFERROR(__xludf.DUMMYFUNCTION("""COMPUTED_VALUE"""),27543.0)</f>
        <v>27543</v>
      </c>
      <c r="B6269" s="5" t="str">
        <f>IFERROR(__xludf.DUMMYFUNCTION("""COMPUTED_VALUE"""),"هیأت")</f>
        <v>هیأت</v>
      </c>
      <c r="C6269" s="5" t="str">
        <f>IFERROR(__xludf.DUMMYFUNCTION("""COMPUTED_VALUE"""),"روضه الشهدا")</f>
        <v>روضه الشهدا</v>
      </c>
      <c r="D6269" s="5" t="str">
        <f>IFERROR(__xludf.DUMMYFUNCTION("""COMPUTED_VALUE"""),"قم")</f>
        <v>قم</v>
      </c>
      <c r="E6269" s="5" t="str">
        <f>IFERROR(__xludf.DUMMYFUNCTION("""COMPUTED_VALUE"""),"قم")</f>
        <v>قم</v>
      </c>
      <c r="F6269" s="5"/>
      <c r="G6269" s="5">
        <f>IFERROR(__xludf.DUMMYFUNCTION("""COMPUTED_VALUE"""),1.0)</f>
        <v>1</v>
      </c>
      <c r="H6269" s="6" t="str">
        <f>IFERROR(__xludf.DUMMYFUNCTION("""COMPUTED_VALUE"""),"https://www.instagram.com/rshohada/")</f>
        <v>https://www.instagram.com/rshohada/</v>
      </c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</row>
    <row r="6270">
      <c r="A6270" s="5"/>
      <c r="B6270" s="5" t="str">
        <f>IFERROR(__xludf.DUMMYFUNCTION("""COMPUTED_VALUE"""),"هیأت")</f>
        <v>هیأت</v>
      </c>
      <c r="C6270" s="5" t="str">
        <f>IFERROR(__xludf.DUMMYFUNCTION("""COMPUTED_VALUE"""),"زوارالزهرا")</f>
        <v>زوارالزهرا</v>
      </c>
      <c r="D6270" s="5" t="str">
        <f>IFERROR(__xludf.DUMMYFUNCTION("""COMPUTED_VALUE"""),"قم")</f>
        <v>قم</v>
      </c>
      <c r="E6270" s="5" t="str">
        <f>IFERROR(__xludf.DUMMYFUNCTION("""COMPUTED_VALUE"""),"قم")</f>
        <v>قم</v>
      </c>
      <c r="F6270" s="5"/>
      <c r="G6270" s="5">
        <f>IFERROR(__xludf.DUMMYFUNCTION("""COMPUTED_VALUE"""),1.0)</f>
        <v>1</v>
      </c>
      <c r="H6270" s="6" t="str">
        <f>IFERROR(__xludf.DUMMYFUNCTION("""COMPUTED_VALUE"""),"https://www.instagram.com/zavaralzahra/")</f>
        <v>https://www.instagram.com/zavaralzahra/</v>
      </c>
      <c r="I6270" s="6" t="str">
        <f>IFERROR(__xludf.DUMMYFUNCTION("""COMPUTED_VALUE"""),"https://t.me/zavaralzahra")</f>
        <v>https://t.me/zavaralzahra</v>
      </c>
      <c r="J6270" s="5"/>
      <c r="K6270" s="5"/>
      <c r="L6270" s="5"/>
      <c r="M6270" s="5"/>
      <c r="N6270" s="5"/>
      <c r="O6270" s="5"/>
      <c r="P6270" s="5"/>
      <c r="Q6270" s="5"/>
      <c r="R6270" s="5"/>
      <c r="S6270" s="5"/>
    </row>
    <row r="6271">
      <c r="A6271" s="5"/>
      <c r="B6271" s="5" t="str">
        <f>IFERROR(__xludf.DUMMYFUNCTION("""COMPUTED_VALUE"""),"هیأت")</f>
        <v>هیأت</v>
      </c>
      <c r="C6271" s="5" t="str">
        <f>IFERROR(__xludf.DUMMYFUNCTION("""COMPUTED_VALUE"""),"زینبیون")</f>
        <v>زینبیون</v>
      </c>
      <c r="D6271" s="5" t="str">
        <f>IFERROR(__xludf.DUMMYFUNCTION("""COMPUTED_VALUE"""),"قم")</f>
        <v>قم</v>
      </c>
      <c r="E6271" s="5" t="str">
        <f>IFERROR(__xludf.DUMMYFUNCTION("""COMPUTED_VALUE"""),"قم")</f>
        <v>قم</v>
      </c>
      <c r="F6271" s="5"/>
      <c r="G6271" s="5">
        <f>IFERROR(__xludf.DUMMYFUNCTION("""COMPUTED_VALUE"""),1.0)</f>
        <v>1</v>
      </c>
      <c r="H6271" s="6" t="str">
        <f>IFERROR(__xludf.DUMMYFUNCTION("""COMPUTED_VALUE"""),"https://www.instagram.com/zeynabion_qom")</f>
        <v>https://www.instagram.com/zeynabion_qom</v>
      </c>
      <c r="I6271" s="6" t="str">
        <f>IFERROR(__xludf.DUMMYFUNCTION("""COMPUTED_VALUE"""),"https://t.me/zeynabion_qom")</f>
        <v>https://t.me/zeynabion_qom</v>
      </c>
      <c r="J6271" s="5"/>
      <c r="K6271" s="5"/>
      <c r="L6271" s="5"/>
      <c r="M6271" s="5"/>
      <c r="N6271" s="5"/>
      <c r="O6271" s="5"/>
      <c r="P6271" s="5"/>
      <c r="Q6271" s="5"/>
      <c r="R6271" s="5"/>
      <c r="S6271" s="5"/>
    </row>
    <row r="6272">
      <c r="A6272" s="5">
        <f>IFERROR(__xludf.DUMMYFUNCTION("""COMPUTED_VALUE"""),11101.0)</f>
        <v>11101</v>
      </c>
      <c r="B6272" s="5" t="str">
        <f>IFERROR(__xludf.DUMMYFUNCTION("""COMPUTED_VALUE"""),"هیأت")</f>
        <v>هیأت</v>
      </c>
      <c r="C6272" s="5" t="str">
        <f>IFERROR(__xludf.DUMMYFUNCTION("""COMPUTED_VALUE"""),"زینبیون (مجتمع کوثر ولایت)")</f>
        <v>زینبیون (مجتمع کوثر ولایت)</v>
      </c>
      <c r="D6272" s="5" t="str">
        <f>IFERROR(__xludf.DUMMYFUNCTION("""COMPUTED_VALUE"""),"قم")</f>
        <v>قم</v>
      </c>
      <c r="E6272" s="5" t="str">
        <f>IFERROR(__xludf.DUMMYFUNCTION("""COMPUTED_VALUE"""),"قم")</f>
        <v>قم</v>
      </c>
      <c r="F6272" s="5"/>
      <c r="G6272" s="5">
        <f>IFERROR(__xludf.DUMMYFUNCTION("""COMPUTED_VALUE"""),1.0)</f>
        <v>1</v>
      </c>
      <c r="H6272" s="6" t="str">
        <f>IFERROR(__xludf.DUMMYFUNCTION("""COMPUTED_VALUE"""),"https://www.instagram.com/zeynabion.qom")</f>
        <v>https://www.instagram.com/zeynabion.qom</v>
      </c>
      <c r="I6272" s="5"/>
      <c r="J6272" s="5"/>
      <c r="K6272" s="5"/>
      <c r="L6272" s="5"/>
      <c r="M6272" s="5"/>
      <c r="N6272" s="5"/>
      <c r="O6272" s="5"/>
      <c r="P6272" s="5"/>
      <c r="Q6272" s="5"/>
      <c r="R6272" s="5"/>
      <c r="S6272" s="5"/>
    </row>
    <row r="6273">
      <c r="A6273" s="5">
        <f>IFERROR(__xludf.DUMMYFUNCTION("""COMPUTED_VALUE"""),29353.0)</f>
        <v>29353</v>
      </c>
      <c r="B6273" s="5" t="str">
        <f>IFERROR(__xludf.DUMMYFUNCTION("""COMPUTED_VALUE"""),"هیأت")</f>
        <v>هیأت</v>
      </c>
      <c r="C6273" s="5" t="str">
        <f>IFERROR(__xludf.DUMMYFUNCTION("""COMPUTED_VALUE"""),"سراج علوی")</f>
        <v>سراج علوی</v>
      </c>
      <c r="D6273" s="5" t="str">
        <f>IFERROR(__xludf.DUMMYFUNCTION("""COMPUTED_VALUE"""),"قم")</f>
        <v>قم</v>
      </c>
      <c r="E6273" s="5" t="str">
        <f>IFERROR(__xludf.DUMMYFUNCTION("""COMPUTED_VALUE"""),"قم")</f>
        <v>قم</v>
      </c>
      <c r="F6273" s="5"/>
      <c r="G6273" s="5">
        <f>IFERROR(__xludf.DUMMYFUNCTION("""COMPUTED_VALUE"""),1.0)</f>
        <v>1</v>
      </c>
      <c r="H6273" s="5"/>
      <c r="I6273" s="5"/>
      <c r="J6273" s="6" t="str">
        <f>IFERROR(__xludf.DUMMYFUNCTION("""COMPUTED_VALUE"""),"https://eitaa.com/serajalavi")</f>
        <v>https://eitaa.com/serajalavi</v>
      </c>
      <c r="K6273" s="5"/>
      <c r="L6273" s="5"/>
      <c r="M6273" s="5"/>
      <c r="N6273" s="5"/>
      <c r="O6273" s="5"/>
      <c r="P6273" s="5"/>
      <c r="Q6273" s="5"/>
      <c r="R6273" s="5"/>
      <c r="S6273" s="5"/>
    </row>
    <row r="6274">
      <c r="A6274" s="5"/>
      <c r="B6274" s="5" t="str">
        <f>IFERROR(__xludf.DUMMYFUNCTION("""COMPUTED_VALUE"""),"هیأت")</f>
        <v>هیأت</v>
      </c>
      <c r="C6274" s="5" t="str">
        <f>IFERROR(__xludf.DUMMYFUNCTION("""COMPUTED_VALUE"""),"سینه چاکان حضرت ابوالفضل")</f>
        <v>سینه چاکان حضرت ابوالفضل</v>
      </c>
      <c r="D6274" s="5" t="str">
        <f>IFERROR(__xludf.DUMMYFUNCTION("""COMPUTED_VALUE"""),"قم")</f>
        <v>قم</v>
      </c>
      <c r="E6274" s="5" t="str">
        <f>IFERROR(__xludf.DUMMYFUNCTION("""COMPUTED_VALUE"""),"قم")</f>
        <v>قم</v>
      </c>
      <c r="F6274" s="5"/>
      <c r="G6274" s="5">
        <f>IFERROR(__xludf.DUMMYFUNCTION("""COMPUTED_VALUE"""),1.0)</f>
        <v>1</v>
      </c>
      <c r="H6274" s="6" t="str">
        <f>IFERROR(__xludf.DUMMYFUNCTION("""COMPUTED_VALUE"""),"https://www.instagram.com/sine_chakan/")</f>
        <v>https://www.instagram.com/sine_chakan/</v>
      </c>
      <c r="I6274" s="6" t="str">
        <f>IFERROR(__xludf.DUMMYFUNCTION("""COMPUTED_VALUE"""),"https://t.me/sinechakanqom")</f>
        <v>https://t.me/sinechakanqom</v>
      </c>
      <c r="J6274" s="5"/>
      <c r="K6274" s="5"/>
      <c r="L6274" s="5"/>
      <c r="M6274" s="5"/>
      <c r="N6274" s="5"/>
      <c r="O6274" s="5"/>
      <c r="P6274" s="5"/>
      <c r="Q6274" s="5"/>
      <c r="R6274" s="5"/>
      <c r="S6274" s="5"/>
    </row>
    <row r="6275">
      <c r="A6275" s="5"/>
      <c r="B6275" s="5" t="str">
        <f>IFERROR(__xludf.DUMMYFUNCTION("""COMPUTED_VALUE"""),"هیأت")</f>
        <v>هیأت</v>
      </c>
      <c r="C6275" s="5" t="str">
        <f>IFERROR(__xludf.DUMMYFUNCTION("""COMPUTED_VALUE"""),"شباب الرقیه")</f>
        <v>شباب الرقیه</v>
      </c>
      <c r="D6275" s="5" t="str">
        <f>IFERROR(__xludf.DUMMYFUNCTION("""COMPUTED_VALUE"""),"قم")</f>
        <v>قم</v>
      </c>
      <c r="E6275" s="5" t="str">
        <f>IFERROR(__xludf.DUMMYFUNCTION("""COMPUTED_VALUE"""),"قم")</f>
        <v>قم</v>
      </c>
      <c r="F6275" s="5"/>
      <c r="G6275" s="5">
        <f>IFERROR(__xludf.DUMMYFUNCTION("""COMPUTED_VALUE"""),1.0)</f>
        <v>1</v>
      </c>
      <c r="H6275" s="6" t="str">
        <f>IFERROR(__xludf.DUMMYFUNCTION("""COMPUTED_VALUE"""),"https://www.instagram.com/shababalroqieh/")</f>
        <v>https://www.instagram.com/shababalroqieh/</v>
      </c>
      <c r="I6275" s="6" t="str">
        <f>IFERROR(__xludf.DUMMYFUNCTION("""COMPUTED_VALUE"""),"https://t.me/shababalroqieh")</f>
        <v>https://t.me/shababalroqieh</v>
      </c>
      <c r="J6275" s="5"/>
      <c r="K6275" s="5"/>
      <c r="L6275" s="5"/>
      <c r="M6275" s="5"/>
      <c r="N6275" s="5"/>
      <c r="O6275" s="5"/>
      <c r="P6275" s="5"/>
      <c r="Q6275" s="5"/>
      <c r="R6275" s="5"/>
      <c r="S6275" s="5"/>
    </row>
    <row r="6276">
      <c r="A6276" s="5"/>
      <c r="B6276" s="5" t="str">
        <f>IFERROR(__xludf.DUMMYFUNCTION("""COMPUTED_VALUE"""),"حسینیه")</f>
        <v>حسینیه</v>
      </c>
      <c r="C6276" s="5" t="str">
        <f>IFERROR(__xludf.DUMMYFUNCTION("""COMPUTED_VALUE"""),"شهدا")</f>
        <v>شهدا</v>
      </c>
      <c r="D6276" s="5" t="str">
        <f>IFERROR(__xludf.DUMMYFUNCTION("""COMPUTED_VALUE"""),"قم")</f>
        <v>قم</v>
      </c>
      <c r="E6276" s="5" t="str">
        <f>IFERROR(__xludf.DUMMYFUNCTION("""COMPUTED_VALUE"""),"قم")</f>
        <v>قم</v>
      </c>
      <c r="F6276" s="5"/>
      <c r="G6276" s="5">
        <f>IFERROR(__xludf.DUMMYFUNCTION("""COMPUTED_VALUE"""),1.0)</f>
        <v>1</v>
      </c>
      <c r="H6276" s="6" t="str">
        <f>IFERROR(__xludf.DUMMYFUNCTION("""COMPUTED_VALUE"""),"https://www.instagram.com/hoseinyeh_shohada/")</f>
        <v>https://www.instagram.com/hoseinyeh_shohada/</v>
      </c>
      <c r="I6276" s="6" t="str">
        <f>IFERROR(__xludf.DUMMYFUNCTION("""COMPUTED_VALUE"""),"https://t.me/hoseinyeh_shohada")</f>
        <v>https://t.me/hoseinyeh_shohada</v>
      </c>
      <c r="J6276" s="5"/>
      <c r="K6276" s="5"/>
      <c r="L6276" s="5"/>
      <c r="M6276" s="5"/>
      <c r="N6276" s="5"/>
      <c r="O6276" s="5"/>
      <c r="P6276" s="5"/>
      <c r="Q6276" s="5"/>
      <c r="R6276" s="5"/>
      <c r="S6276" s="5"/>
    </row>
    <row r="6277">
      <c r="A6277" s="5"/>
      <c r="B6277" s="5" t="str">
        <f>IFERROR(__xludf.DUMMYFUNCTION("""COMPUTED_VALUE"""),"هیأت")</f>
        <v>هیأت</v>
      </c>
      <c r="C6277" s="5" t="str">
        <f>IFERROR(__xludf.DUMMYFUNCTION("""COMPUTED_VALUE"""),"شهزاده قاسم ابن الحسن(ع)")</f>
        <v>شهزاده قاسم ابن الحسن(ع)</v>
      </c>
      <c r="D6277" s="5" t="str">
        <f>IFERROR(__xludf.DUMMYFUNCTION("""COMPUTED_VALUE"""),"قم")</f>
        <v>قم</v>
      </c>
      <c r="E6277" s="5" t="str">
        <f>IFERROR(__xludf.DUMMYFUNCTION("""COMPUTED_VALUE"""),"قم")</f>
        <v>قم</v>
      </c>
      <c r="F6277" s="5"/>
      <c r="G6277" s="5">
        <f>IFERROR(__xludf.DUMMYFUNCTION("""COMPUTED_VALUE"""),1.0)</f>
        <v>1</v>
      </c>
      <c r="H6277" s="6" t="str">
        <f>IFERROR(__xludf.DUMMYFUNCTION("""COMPUTED_VALUE"""),"https://www.instagram.com/shahzadeqasemqom/")</f>
        <v>https://www.instagram.com/shahzadeqasemqom/</v>
      </c>
      <c r="I6277" s="6" t="str">
        <f>IFERROR(__xludf.DUMMYFUNCTION("""COMPUTED_VALUE"""),"https://t.me/shahzadeQasemQom110")</f>
        <v>https://t.me/shahzadeQasemQom110</v>
      </c>
      <c r="J6277" s="5"/>
      <c r="K6277" s="5"/>
      <c r="L6277" s="5"/>
      <c r="M6277" s="5"/>
      <c r="N6277" s="5"/>
      <c r="O6277" s="5"/>
      <c r="P6277" s="5"/>
      <c r="Q6277" s="5"/>
      <c r="R6277" s="5"/>
      <c r="S6277" s="5"/>
    </row>
    <row r="6278">
      <c r="A6278" s="5"/>
      <c r="B6278" s="5" t="str">
        <f>IFERROR(__xludf.DUMMYFUNCTION("""COMPUTED_VALUE"""),"هیأت")</f>
        <v>هیأت</v>
      </c>
      <c r="C6278" s="5" t="str">
        <f>IFERROR(__xludf.DUMMYFUNCTION("""COMPUTED_VALUE"""),"صاحب الامر (ع)")</f>
        <v>صاحب الامر (ع)</v>
      </c>
      <c r="D6278" s="5" t="str">
        <f>IFERROR(__xludf.DUMMYFUNCTION("""COMPUTED_VALUE"""),"قم")</f>
        <v>قم</v>
      </c>
      <c r="E6278" s="5" t="str">
        <f>IFERROR(__xludf.DUMMYFUNCTION("""COMPUTED_VALUE"""),"قم")</f>
        <v>قم</v>
      </c>
      <c r="F6278" s="5"/>
      <c r="G6278" s="5">
        <f>IFERROR(__xludf.DUMMYFUNCTION("""COMPUTED_VALUE"""),1.0)</f>
        <v>1</v>
      </c>
      <c r="H6278" s="6" t="str">
        <f>IFERROR(__xludf.DUMMYFUNCTION("""COMPUTED_VALUE"""),"https://www.instagram.com/sahebolamr_313/")</f>
        <v>https://www.instagram.com/sahebolamr_313/</v>
      </c>
      <c r="I6278" s="5"/>
      <c r="J6278" s="5"/>
      <c r="K6278" s="5"/>
      <c r="L6278" s="5"/>
      <c r="M6278" s="5"/>
      <c r="N6278" s="5"/>
      <c r="O6278" s="5"/>
      <c r="P6278" s="5"/>
      <c r="Q6278" s="5"/>
      <c r="R6278" s="5"/>
      <c r="S6278" s="5"/>
    </row>
    <row r="6279">
      <c r="A6279" s="5"/>
      <c r="B6279" s="5" t="str">
        <f>IFERROR(__xludf.DUMMYFUNCTION("""COMPUTED_VALUE"""),"هیأت")</f>
        <v>هیأت</v>
      </c>
      <c r="C6279" s="5" t="str">
        <f>IFERROR(__xludf.DUMMYFUNCTION("""COMPUTED_VALUE"""),"عاشقان ثارالله")</f>
        <v>عاشقان ثارالله</v>
      </c>
      <c r="D6279" s="5" t="str">
        <f>IFERROR(__xludf.DUMMYFUNCTION("""COMPUTED_VALUE"""),"قم")</f>
        <v>قم</v>
      </c>
      <c r="E6279" s="5" t="str">
        <f>IFERROR(__xludf.DUMMYFUNCTION("""COMPUTED_VALUE"""),"قم")</f>
        <v>قم</v>
      </c>
      <c r="F6279" s="5"/>
      <c r="G6279" s="5">
        <f>IFERROR(__xludf.DUMMYFUNCTION("""COMPUTED_VALUE"""),1.0)</f>
        <v>1</v>
      </c>
      <c r="H6279" s="6" t="str">
        <f>IFERROR(__xludf.DUMMYFUNCTION("""COMPUTED_VALUE"""),"https://www.instagram.com/asheghan.sarallah.nerogah.qom/")</f>
        <v>https://www.instagram.com/asheghan.sarallah.nerogah.qom/</v>
      </c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</row>
    <row r="6280">
      <c r="A6280" s="5">
        <f>IFERROR(__xludf.DUMMYFUNCTION("""COMPUTED_VALUE"""),31986.0)</f>
        <v>31986</v>
      </c>
      <c r="B6280" s="5" t="str">
        <f>IFERROR(__xludf.DUMMYFUNCTION("""COMPUTED_VALUE"""),"هیأت")</f>
        <v>هیأت</v>
      </c>
      <c r="C6280" s="5" t="str">
        <f>IFERROR(__xludf.DUMMYFUNCTION("""COMPUTED_VALUE"""),"عاشقان صاحب الزمان (عج)")</f>
        <v>عاشقان صاحب الزمان (عج)</v>
      </c>
      <c r="D6280" s="5" t="str">
        <f>IFERROR(__xludf.DUMMYFUNCTION("""COMPUTED_VALUE"""),"قم")</f>
        <v>قم</v>
      </c>
      <c r="E6280" s="5" t="str">
        <f>IFERROR(__xludf.DUMMYFUNCTION("""COMPUTED_VALUE"""),"قم")</f>
        <v>قم</v>
      </c>
      <c r="F6280" s="5"/>
      <c r="G6280" s="5">
        <f>IFERROR(__xludf.DUMMYFUNCTION("""COMPUTED_VALUE"""),1.0)</f>
        <v>1</v>
      </c>
      <c r="H6280" s="6" t="str">
        <f>IFERROR(__xludf.DUMMYFUNCTION("""COMPUTED_VALUE"""),"https://www.instagram.com/ashegane_emamzaman_qom/")</f>
        <v>https://www.instagram.com/ashegane_emamzaman_qom/</v>
      </c>
      <c r="I6280" s="5"/>
      <c r="J6280" s="5"/>
      <c r="K6280" s="5"/>
      <c r="L6280" s="5"/>
      <c r="M6280" s="5"/>
      <c r="N6280" s="5"/>
      <c r="O6280" s="5"/>
      <c r="P6280" s="5"/>
      <c r="Q6280" s="5"/>
      <c r="R6280" s="5"/>
      <c r="S6280" s="5"/>
    </row>
    <row r="6281">
      <c r="A6281" s="5"/>
      <c r="B6281" s="5" t="str">
        <f>IFERROR(__xludf.DUMMYFUNCTION("""COMPUTED_VALUE"""),"هیأت")</f>
        <v>هیأت</v>
      </c>
      <c r="C6281" s="5" t="str">
        <f>IFERROR(__xludf.DUMMYFUNCTION("""COMPUTED_VALUE"""),"عاشورائیان")</f>
        <v>عاشورائیان</v>
      </c>
      <c r="D6281" s="5" t="str">
        <f>IFERROR(__xludf.DUMMYFUNCTION("""COMPUTED_VALUE"""),"قم")</f>
        <v>قم</v>
      </c>
      <c r="E6281" s="5" t="str">
        <f>IFERROR(__xludf.DUMMYFUNCTION("""COMPUTED_VALUE"""),"قم")</f>
        <v>قم</v>
      </c>
      <c r="F6281" s="5"/>
      <c r="G6281" s="5">
        <f>IFERROR(__xludf.DUMMYFUNCTION("""COMPUTED_VALUE"""),1.0)</f>
        <v>1</v>
      </c>
      <c r="H6281" s="6" t="str">
        <f>IFERROR(__xludf.DUMMYFUNCTION("""COMPUTED_VALUE"""),"https://www.instagram.com/heiate_ashooraeian_qom/")</f>
        <v>https://www.instagram.com/heiate_ashooraeian_qom/</v>
      </c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/>
    </row>
    <row r="6282">
      <c r="A6282" s="5"/>
      <c r="B6282" s="5" t="str">
        <f>IFERROR(__xludf.DUMMYFUNCTION("""COMPUTED_VALUE"""),"هیأت")</f>
        <v>هیأت</v>
      </c>
      <c r="C6282" s="5" t="str">
        <f>IFERROR(__xludf.DUMMYFUNCTION("""COMPUTED_VALUE"""),"عقیلة العرب")</f>
        <v>عقیلة العرب</v>
      </c>
      <c r="D6282" s="5" t="str">
        <f>IFERROR(__xludf.DUMMYFUNCTION("""COMPUTED_VALUE"""),"قم")</f>
        <v>قم</v>
      </c>
      <c r="E6282" s="5" t="str">
        <f>IFERROR(__xludf.DUMMYFUNCTION("""COMPUTED_VALUE"""),"قم")</f>
        <v>قم</v>
      </c>
      <c r="F6282" s="5"/>
      <c r="G6282" s="5">
        <f>IFERROR(__xludf.DUMMYFUNCTION("""COMPUTED_VALUE"""),1.0)</f>
        <v>1</v>
      </c>
      <c r="H6282" s="6" t="str">
        <f>IFERROR(__xludf.DUMMYFUNCTION("""COMPUTED_VALUE"""),"https://www.instagram.com/aghilatolarab.qom/")</f>
        <v>https://www.instagram.com/aghilatolarab.qom/</v>
      </c>
      <c r="I6282" s="6" t="str">
        <f>IFERROR(__xludf.DUMMYFUNCTION("""COMPUTED_VALUE"""),"https://t.me/yaaaaazeinab")</f>
        <v>https://t.me/yaaaaazeinab</v>
      </c>
      <c r="J6282" s="5"/>
      <c r="K6282" s="5"/>
      <c r="L6282" s="5"/>
      <c r="M6282" s="5"/>
      <c r="N6282" s="5"/>
      <c r="O6282" s="5"/>
      <c r="P6282" s="5"/>
      <c r="Q6282" s="5"/>
      <c r="R6282" s="5"/>
      <c r="S6282" s="5"/>
    </row>
    <row r="6283">
      <c r="A6283" s="5"/>
      <c r="B6283" s="5" t="str">
        <f>IFERROR(__xludf.DUMMYFUNCTION("""COMPUTED_VALUE"""),"هیأت")</f>
        <v>هیأت</v>
      </c>
      <c r="C6283" s="5" t="str">
        <f>IFERROR(__xludf.DUMMYFUNCTION("""COMPUTED_VALUE"""),"علم العباس")</f>
        <v>علم العباس</v>
      </c>
      <c r="D6283" s="5" t="str">
        <f>IFERROR(__xludf.DUMMYFUNCTION("""COMPUTED_VALUE"""),"قم")</f>
        <v>قم</v>
      </c>
      <c r="E6283" s="5" t="str">
        <f>IFERROR(__xludf.DUMMYFUNCTION("""COMPUTED_VALUE"""),"قم")</f>
        <v>قم</v>
      </c>
      <c r="F6283" s="5"/>
      <c r="G6283" s="5">
        <f>IFERROR(__xludf.DUMMYFUNCTION("""COMPUTED_VALUE"""),1.0)</f>
        <v>1</v>
      </c>
      <c r="H6283" s="6" t="str">
        <f>IFERROR(__xludf.DUMMYFUNCTION("""COMPUTED_VALUE"""),"https://www.instagram.com/alamolabas_qom/")</f>
        <v>https://www.instagram.com/alamolabas_qom/</v>
      </c>
      <c r="I6283" s="6" t="str">
        <f>IFERROR(__xludf.DUMMYFUNCTION("""COMPUTED_VALUE"""),"https://t.me/alamolabas_qom")</f>
        <v>https://t.me/alamolabas_qom</v>
      </c>
      <c r="J6283" s="5"/>
      <c r="K6283" s="5"/>
      <c r="L6283" s="5"/>
      <c r="M6283" s="5"/>
      <c r="N6283" s="5"/>
      <c r="O6283" s="5"/>
      <c r="P6283" s="5"/>
      <c r="Q6283" s="5"/>
      <c r="R6283" s="5"/>
      <c r="S6283" s="5"/>
    </row>
    <row r="6284">
      <c r="A6284" s="5"/>
      <c r="B6284" s="5" t="str">
        <f>IFERROR(__xludf.DUMMYFUNCTION("""COMPUTED_VALUE"""),"هیأت")</f>
        <v>هیأت</v>
      </c>
      <c r="C6284" s="5" t="str">
        <f>IFERROR(__xludf.DUMMYFUNCTION("""COMPUTED_VALUE"""),"علمدار")</f>
        <v>علمدار</v>
      </c>
      <c r="D6284" s="5" t="str">
        <f>IFERROR(__xludf.DUMMYFUNCTION("""COMPUTED_VALUE"""),"قم")</f>
        <v>قم</v>
      </c>
      <c r="E6284" s="5" t="str">
        <f>IFERROR(__xludf.DUMMYFUNCTION("""COMPUTED_VALUE"""),"قم")</f>
        <v>قم</v>
      </c>
      <c r="F6284" s="5"/>
      <c r="G6284" s="5">
        <f>IFERROR(__xludf.DUMMYFUNCTION("""COMPUTED_VALUE"""),1.0)</f>
        <v>1</v>
      </c>
      <c r="H6284" s="6" t="str">
        <f>IFERROR(__xludf.DUMMYFUNCTION("""COMPUTED_VALUE"""),"https://www.instagram.com/alamdarhossein_qom")</f>
        <v>https://www.instagram.com/alamdarhossein_qom</v>
      </c>
      <c r="I6284" s="6" t="str">
        <f>IFERROR(__xludf.DUMMYFUNCTION("""COMPUTED_VALUE"""),"https://t.me/alamdaar_qom")</f>
        <v>https://t.me/alamdaar_qom</v>
      </c>
      <c r="J6284" s="5"/>
      <c r="K6284" s="5"/>
      <c r="L6284" s="5"/>
      <c r="M6284" s="5"/>
      <c r="N6284" s="5"/>
      <c r="O6284" s="5"/>
      <c r="P6284" s="5"/>
      <c r="Q6284" s="5"/>
      <c r="R6284" s="5"/>
      <c r="S6284" s="5"/>
    </row>
    <row r="6285">
      <c r="A6285" s="5"/>
      <c r="B6285" s="5" t="str">
        <f>IFERROR(__xludf.DUMMYFUNCTION("""COMPUTED_VALUE"""),"هیأت")</f>
        <v>هیأت</v>
      </c>
      <c r="C6285" s="5" t="str">
        <f>IFERROR(__xludf.DUMMYFUNCTION("""COMPUTED_VALUE"""),"غریب مدینه")</f>
        <v>غریب مدینه</v>
      </c>
      <c r="D6285" s="5" t="str">
        <f>IFERROR(__xludf.DUMMYFUNCTION("""COMPUTED_VALUE"""),"قم")</f>
        <v>قم</v>
      </c>
      <c r="E6285" s="5" t="str">
        <f>IFERROR(__xludf.DUMMYFUNCTION("""COMPUTED_VALUE"""),"قم")</f>
        <v>قم</v>
      </c>
      <c r="F6285" s="5"/>
      <c r="G6285" s="5">
        <f>IFERROR(__xludf.DUMMYFUNCTION("""COMPUTED_VALUE"""),1.0)</f>
        <v>1</v>
      </c>
      <c r="H6285" s="6" t="str">
        <f>IFERROR(__xludf.DUMMYFUNCTION("""COMPUTED_VALUE"""),"https://www.instagram.com/ghmqom/")</f>
        <v>https://www.instagram.com/ghmqom/</v>
      </c>
      <c r="I6285" s="6" t="str">
        <f>IFERROR(__xludf.DUMMYFUNCTION("""COMPUTED_VALUE"""),"https://t.me/ghmqom")</f>
        <v>https://t.me/ghmqom</v>
      </c>
      <c r="J6285" s="5"/>
      <c r="K6285" s="5"/>
      <c r="L6285" s="5"/>
      <c r="M6285" s="5"/>
      <c r="N6285" s="5"/>
      <c r="O6285" s="5"/>
      <c r="P6285" s="5"/>
      <c r="Q6285" s="5"/>
      <c r="R6285" s="5"/>
      <c r="S6285" s="5"/>
    </row>
    <row r="6286">
      <c r="A6286" s="5"/>
      <c r="B6286" s="5" t="str">
        <f>IFERROR(__xludf.DUMMYFUNCTION("""COMPUTED_VALUE"""),"هیأت")</f>
        <v>هیأت</v>
      </c>
      <c r="C6286" s="5" t="str">
        <f>IFERROR(__xludf.DUMMYFUNCTION("""COMPUTED_VALUE"""),"فاطمیه")</f>
        <v>فاطمیه</v>
      </c>
      <c r="D6286" s="5" t="str">
        <f>IFERROR(__xludf.DUMMYFUNCTION("""COMPUTED_VALUE"""),"قم")</f>
        <v>قم</v>
      </c>
      <c r="E6286" s="5" t="str">
        <f>IFERROR(__xludf.DUMMYFUNCTION("""COMPUTED_VALUE"""),"قم")</f>
        <v>قم</v>
      </c>
      <c r="F6286" s="5"/>
      <c r="G6286" s="5">
        <f>IFERROR(__xludf.DUMMYFUNCTION("""COMPUTED_VALUE"""),1.0)</f>
        <v>1</v>
      </c>
      <c r="H6286" s="6" t="str">
        <f>IFERROR(__xludf.DUMMYFUNCTION("""COMPUTED_VALUE"""),"https://www.instagram.com/fatemiyeh_qom/")</f>
        <v>https://www.instagram.com/fatemiyeh_qom/</v>
      </c>
      <c r="I6286" s="5"/>
      <c r="J6286" s="5"/>
      <c r="K6286" s="5"/>
      <c r="L6286" s="5"/>
      <c r="M6286" s="5"/>
      <c r="N6286" s="5"/>
      <c r="O6286" s="5"/>
      <c r="P6286" s="5"/>
      <c r="Q6286" s="5"/>
      <c r="R6286" s="5"/>
      <c r="S6286" s="5"/>
    </row>
    <row r="6287">
      <c r="A6287" s="5"/>
      <c r="B6287" s="5" t="str">
        <f>IFERROR(__xludf.DUMMYFUNCTION("""COMPUTED_VALUE"""),"هیأت")</f>
        <v>هیأت</v>
      </c>
      <c r="C6287" s="5" t="str">
        <f>IFERROR(__xludf.DUMMYFUNCTION("""COMPUTED_VALUE"""),"فدائیان بی بی رقیه")</f>
        <v>فدائیان بی بی رقیه</v>
      </c>
      <c r="D6287" s="5" t="str">
        <f>IFERROR(__xludf.DUMMYFUNCTION("""COMPUTED_VALUE"""),"قم")</f>
        <v>قم</v>
      </c>
      <c r="E6287" s="5" t="str">
        <f>IFERROR(__xludf.DUMMYFUNCTION("""COMPUTED_VALUE"""),"قم")</f>
        <v>قم</v>
      </c>
      <c r="F6287" s="5"/>
      <c r="G6287" s="5">
        <f>IFERROR(__xludf.DUMMYFUNCTION("""COMPUTED_VALUE"""),1.0)</f>
        <v>1</v>
      </c>
      <c r="H6287" s="6" t="str">
        <f>IFERROR(__xludf.DUMMYFUNCTION("""COMPUTED_VALUE"""),"https://www.instagram.com/fadaeiyan.bibi/")</f>
        <v>https://www.instagram.com/fadaeiyan.bibi/</v>
      </c>
      <c r="I6287" s="5"/>
      <c r="J6287" s="5"/>
      <c r="K6287" s="5"/>
      <c r="L6287" s="5"/>
      <c r="M6287" s="5"/>
      <c r="N6287" s="5"/>
      <c r="O6287" s="5"/>
      <c r="P6287" s="5"/>
      <c r="Q6287" s="5"/>
      <c r="R6287" s="5"/>
      <c r="S6287" s="5"/>
    </row>
    <row r="6288">
      <c r="A6288" s="5"/>
      <c r="B6288" s="5" t="str">
        <f>IFERROR(__xludf.DUMMYFUNCTION("""COMPUTED_VALUE"""),"هیأت")</f>
        <v>هیأت</v>
      </c>
      <c r="C6288" s="5" t="str">
        <f>IFERROR(__xludf.DUMMYFUNCTION("""COMPUTED_VALUE"""),"فدائیان حضرت رقیه")</f>
        <v>فدائیان حضرت رقیه</v>
      </c>
      <c r="D6288" s="5" t="str">
        <f>IFERROR(__xludf.DUMMYFUNCTION("""COMPUTED_VALUE"""),"قم")</f>
        <v>قم</v>
      </c>
      <c r="E6288" s="5" t="str">
        <f>IFERROR(__xludf.DUMMYFUNCTION("""COMPUTED_VALUE"""),"قم")</f>
        <v>قم</v>
      </c>
      <c r="F6288" s="5"/>
      <c r="G6288" s="5">
        <f>IFERROR(__xludf.DUMMYFUNCTION("""COMPUTED_VALUE"""),1.0)</f>
        <v>1</v>
      </c>
      <c r="H6288" s="6" t="str">
        <f>IFERROR(__xludf.DUMMYFUNCTION("""COMPUTED_VALUE"""),"https://www.instagram.com/mahfel_fadaaeian/")</f>
        <v>https://www.instagram.com/mahfel_fadaaeian/</v>
      </c>
      <c r="I6288" s="6" t="str">
        <f>IFERROR(__xludf.DUMMYFUNCTION("""COMPUTED_VALUE"""),"https://t.me/mahfel_fadaeeian")</f>
        <v>https://t.me/mahfel_fadaeeian</v>
      </c>
      <c r="J6288" s="5"/>
      <c r="K6288" s="5"/>
      <c r="L6288" s="5"/>
      <c r="M6288" s="5"/>
      <c r="N6288" s="5"/>
      <c r="O6288" s="5"/>
      <c r="P6288" s="5"/>
      <c r="Q6288" s="5"/>
      <c r="R6288" s="5"/>
      <c r="S6288" s="5"/>
    </row>
    <row r="6289">
      <c r="A6289" s="5">
        <f>IFERROR(__xludf.DUMMYFUNCTION("""COMPUTED_VALUE"""),25135.0)</f>
        <v>25135</v>
      </c>
      <c r="B6289" s="5" t="str">
        <f>IFERROR(__xludf.DUMMYFUNCTION("""COMPUTED_VALUE"""),"هیأت")</f>
        <v>هیأت</v>
      </c>
      <c r="C6289" s="5" t="str">
        <f>IFERROR(__xludf.DUMMYFUNCTION("""COMPUTED_VALUE"""),"فقه و شهادت مدرسه علمیه معصومیه")</f>
        <v>فقه و شهادت مدرسه علمیه معصومیه</v>
      </c>
      <c r="D6289" s="5" t="str">
        <f>IFERROR(__xludf.DUMMYFUNCTION("""COMPUTED_VALUE"""),"قم")</f>
        <v>قم</v>
      </c>
      <c r="E6289" s="5" t="str">
        <f>IFERROR(__xludf.DUMMYFUNCTION("""COMPUTED_VALUE"""),"قم")</f>
        <v>قم</v>
      </c>
      <c r="F6289" s="5"/>
      <c r="G6289" s="5">
        <f>IFERROR(__xludf.DUMMYFUNCTION("""COMPUTED_VALUE"""),1.0)</f>
        <v>1</v>
      </c>
      <c r="H6289" s="5"/>
      <c r="I6289" s="5"/>
      <c r="J6289" s="6" t="str">
        <f>IFERROR(__xludf.DUMMYFUNCTION("""COMPUTED_VALUE"""),"https://eitaa.com/feghhoshahadat")</f>
        <v>https://eitaa.com/feghhoshahadat</v>
      </c>
      <c r="K6289" s="5"/>
      <c r="L6289" s="5"/>
      <c r="M6289" s="5"/>
      <c r="N6289" s="5"/>
      <c r="O6289" s="5"/>
      <c r="P6289" s="5"/>
      <c r="Q6289" s="5"/>
      <c r="R6289" s="5"/>
      <c r="S6289" s="5"/>
    </row>
    <row r="6290">
      <c r="A6290" s="5"/>
      <c r="B6290" s="5" t="str">
        <f>IFERROR(__xludf.DUMMYFUNCTION("""COMPUTED_VALUE"""),"هیأت")</f>
        <v>هیأت</v>
      </c>
      <c r="C6290" s="5" t="str">
        <f>IFERROR(__xludf.DUMMYFUNCTION("""COMPUTED_VALUE"""),"قاسم ابن الحسن (ع)")</f>
        <v>قاسم ابن الحسن (ع)</v>
      </c>
      <c r="D6290" s="5" t="str">
        <f>IFERROR(__xludf.DUMMYFUNCTION("""COMPUTED_VALUE"""),"قم")</f>
        <v>قم</v>
      </c>
      <c r="E6290" s="5" t="str">
        <f>IFERROR(__xludf.DUMMYFUNCTION("""COMPUTED_VALUE"""),"قم")</f>
        <v>قم</v>
      </c>
      <c r="F6290" s="5"/>
      <c r="G6290" s="5">
        <f>IFERROR(__xludf.DUMMYFUNCTION("""COMPUTED_VALUE"""),1.0)</f>
        <v>1</v>
      </c>
      <c r="H6290" s="6" t="str">
        <f>IFERROR(__xludf.DUMMYFUNCTION("""COMPUTED_VALUE"""),"https://www.instagram.com/qasemebnhasanqom/")</f>
        <v>https://www.instagram.com/qasemebnhasanqom/</v>
      </c>
      <c r="I6290" s="6" t="str">
        <f>IFERROR(__xludf.DUMMYFUNCTION("""COMPUTED_VALUE"""),"https://t.me/qasemebnhasanqom")</f>
        <v>https://t.me/qasemebnhasanqom</v>
      </c>
      <c r="J6290" s="5"/>
      <c r="K6290" s="5"/>
      <c r="L6290" s="5"/>
      <c r="M6290" s="5"/>
      <c r="N6290" s="5"/>
      <c r="O6290" s="5"/>
      <c r="P6290" s="5"/>
      <c r="Q6290" s="5"/>
      <c r="R6290" s="5"/>
      <c r="S6290" s="5"/>
    </row>
    <row r="6291">
      <c r="A6291" s="5"/>
      <c r="B6291" s="5" t="str">
        <f>IFERROR(__xludf.DUMMYFUNCTION("""COMPUTED_VALUE"""),"هیأت")</f>
        <v>هیأت</v>
      </c>
      <c r="C6291" s="5" t="str">
        <f>IFERROR(__xludf.DUMMYFUNCTION("""COMPUTED_VALUE"""),"قمر الحسین")</f>
        <v>قمر الحسین</v>
      </c>
      <c r="D6291" s="5" t="str">
        <f>IFERROR(__xludf.DUMMYFUNCTION("""COMPUTED_VALUE"""),"قم")</f>
        <v>قم</v>
      </c>
      <c r="E6291" s="5" t="str">
        <f>IFERROR(__xludf.DUMMYFUNCTION("""COMPUTED_VALUE"""),"قم")</f>
        <v>قم</v>
      </c>
      <c r="F6291" s="5"/>
      <c r="G6291" s="5">
        <f>IFERROR(__xludf.DUMMYFUNCTION("""COMPUTED_VALUE"""),1.0)</f>
        <v>1</v>
      </c>
      <c r="H6291" s="6" t="str">
        <f>IFERROR(__xludf.DUMMYFUNCTION("""COMPUTED_VALUE"""),"https://www.instagram.com/heyat_ghamar_alhosein/")</f>
        <v>https://www.instagram.com/heyat_ghamar_alhosein/</v>
      </c>
      <c r="I6291" s="6" t="str">
        <f>IFERROR(__xludf.DUMMYFUNCTION("""COMPUTED_VALUE"""),"https://t.me/ghamaralhosein")</f>
        <v>https://t.me/ghamaralhosein</v>
      </c>
      <c r="J6291" s="5"/>
      <c r="K6291" s="5"/>
      <c r="L6291" s="5"/>
      <c r="M6291" s="5"/>
      <c r="N6291" s="5"/>
      <c r="O6291" s="5"/>
      <c r="P6291" s="5"/>
      <c r="Q6291" s="5"/>
      <c r="R6291" s="5"/>
      <c r="S6291" s="5"/>
    </row>
    <row r="6292">
      <c r="A6292" s="5"/>
      <c r="B6292" s="5" t="str">
        <f>IFERROR(__xludf.DUMMYFUNCTION("""COMPUTED_VALUE"""),"هیأت")</f>
        <v>هیأت</v>
      </c>
      <c r="C6292" s="5" t="str">
        <f>IFERROR(__xludf.DUMMYFUNCTION("""COMPUTED_VALUE"""),"قمربنی هاشم (ع)")</f>
        <v>قمربنی هاشم (ع)</v>
      </c>
      <c r="D6292" s="5" t="str">
        <f>IFERROR(__xludf.DUMMYFUNCTION("""COMPUTED_VALUE"""),"قم")</f>
        <v>قم</v>
      </c>
      <c r="E6292" s="5" t="str">
        <f>IFERROR(__xludf.DUMMYFUNCTION("""COMPUTED_VALUE"""),"قم")</f>
        <v>قم</v>
      </c>
      <c r="F6292" s="5"/>
      <c r="G6292" s="5">
        <f>IFERROR(__xludf.DUMMYFUNCTION("""COMPUTED_VALUE"""),1.0)</f>
        <v>1</v>
      </c>
      <c r="H6292" s="6" t="str">
        <f>IFERROR(__xludf.DUMMYFUNCTION("""COMPUTED_VALUE"""),"https://www.instagram.com/ghamarbh/")</f>
        <v>https://www.instagram.com/ghamarbh/</v>
      </c>
      <c r="I6292" s="5"/>
      <c r="J6292" s="5"/>
      <c r="K6292" s="5"/>
      <c r="L6292" s="5"/>
      <c r="M6292" s="5"/>
      <c r="N6292" s="5"/>
      <c r="O6292" s="5"/>
      <c r="P6292" s="5"/>
      <c r="Q6292" s="5"/>
      <c r="R6292" s="5"/>
      <c r="S6292" s="5"/>
    </row>
    <row r="6293">
      <c r="A6293" s="5">
        <f>IFERROR(__xludf.DUMMYFUNCTION("""COMPUTED_VALUE"""),25334.0)</f>
        <v>25334</v>
      </c>
      <c r="B6293" s="5" t="str">
        <f>IFERROR(__xludf.DUMMYFUNCTION("""COMPUTED_VALUE"""),"هیأت")</f>
        <v>هیأت</v>
      </c>
      <c r="C6293" s="5" t="str">
        <f>IFERROR(__xludf.DUMMYFUNCTION("""COMPUTED_VALUE"""),"قمربنی هاشم (ع)")</f>
        <v>قمربنی هاشم (ع)</v>
      </c>
      <c r="D6293" s="5" t="str">
        <f>IFERROR(__xludf.DUMMYFUNCTION("""COMPUTED_VALUE"""),"قم")</f>
        <v>قم</v>
      </c>
      <c r="E6293" s="5" t="str">
        <f>IFERROR(__xludf.DUMMYFUNCTION("""COMPUTED_VALUE"""),"قم")</f>
        <v>قم</v>
      </c>
      <c r="F6293" s="5"/>
      <c r="G6293" s="5">
        <f>IFERROR(__xludf.DUMMYFUNCTION("""COMPUTED_VALUE"""),1.0)</f>
        <v>1</v>
      </c>
      <c r="H6293" s="5"/>
      <c r="I6293" s="5"/>
      <c r="J6293" s="6" t="str">
        <f>IFERROR(__xludf.DUMMYFUNCTION("""COMPUTED_VALUE"""),"https://eitaa.com/qamarbanihashemqom")</f>
        <v>https://eitaa.com/qamarbanihashemqom</v>
      </c>
      <c r="K6293" s="5"/>
      <c r="L6293" s="5"/>
      <c r="M6293" s="5"/>
      <c r="N6293" s="5"/>
      <c r="O6293" s="5"/>
      <c r="P6293" s="5"/>
      <c r="Q6293" s="5"/>
      <c r="R6293" s="5"/>
      <c r="S6293" s="5"/>
    </row>
    <row r="6294">
      <c r="A6294" s="5">
        <f>IFERROR(__xludf.DUMMYFUNCTION("""COMPUTED_VALUE"""),30605.0)</f>
        <v>30605</v>
      </c>
      <c r="B6294" s="5" t="str">
        <f>IFERROR(__xludf.DUMMYFUNCTION("""COMPUTED_VALUE"""),"هیأت")</f>
        <v>هیأت</v>
      </c>
      <c r="C6294" s="5" t="str">
        <f>IFERROR(__xludf.DUMMYFUNCTION("""COMPUTED_VALUE"""),"کریم اهل بیت")</f>
        <v>کریم اهل بیت</v>
      </c>
      <c r="D6294" s="5" t="str">
        <f>IFERROR(__xludf.DUMMYFUNCTION("""COMPUTED_VALUE"""),"قم")</f>
        <v>قم</v>
      </c>
      <c r="E6294" s="5" t="str">
        <f>IFERROR(__xludf.DUMMYFUNCTION("""COMPUTED_VALUE"""),"قم")</f>
        <v>قم</v>
      </c>
      <c r="F6294" s="5"/>
      <c r="G6294" s="5">
        <f>IFERROR(__xludf.DUMMYFUNCTION("""COMPUTED_VALUE"""),1.0)</f>
        <v>1</v>
      </c>
      <c r="H6294" s="5"/>
      <c r="I6294" s="5"/>
      <c r="J6294" s="6" t="str">
        <f>IFERROR(__xludf.DUMMYFUNCTION("""COMPUTED_VALUE"""),"https://eitaa.com/emam_hasan_jan")</f>
        <v>https://eitaa.com/emam_hasan_jan</v>
      </c>
      <c r="K6294" s="5"/>
      <c r="L6294" s="5"/>
      <c r="M6294" s="5"/>
      <c r="N6294" s="5"/>
      <c r="O6294" s="5"/>
      <c r="P6294" s="5"/>
      <c r="Q6294" s="5"/>
      <c r="R6294" s="5"/>
      <c r="S6294" s="5"/>
    </row>
    <row r="6295">
      <c r="A6295" s="5">
        <f>IFERROR(__xludf.DUMMYFUNCTION("""COMPUTED_VALUE"""),32116.0)</f>
        <v>32116</v>
      </c>
      <c r="B6295" s="5" t="str">
        <f>IFERROR(__xludf.DUMMYFUNCTION("""COMPUTED_VALUE"""),"هیأت")</f>
        <v>هیأت</v>
      </c>
      <c r="C6295" s="5" t="str">
        <f>IFERROR(__xludf.DUMMYFUNCTION("""COMPUTED_VALUE"""),"کریمه اهل بیت")</f>
        <v>کریمه اهل بیت</v>
      </c>
      <c r="D6295" s="5" t="str">
        <f>IFERROR(__xludf.DUMMYFUNCTION("""COMPUTED_VALUE"""),"قم")</f>
        <v>قم</v>
      </c>
      <c r="E6295" s="5" t="str">
        <f>IFERROR(__xludf.DUMMYFUNCTION("""COMPUTED_VALUE"""),"قم")</f>
        <v>قم</v>
      </c>
      <c r="F6295" s="5"/>
      <c r="G6295" s="5">
        <f>IFERROR(__xludf.DUMMYFUNCTION("""COMPUTED_VALUE"""),1.0)</f>
        <v>1</v>
      </c>
      <c r="H6295" s="6" t="str">
        <f>IFERROR(__xludf.DUMMYFUNCTION("""COMPUTED_VALUE"""),"https://www.instagram.com/h.karimeh/")</f>
        <v>https://www.instagram.com/h.karimeh/</v>
      </c>
      <c r="I6295" s="6" t="str">
        <f>IFERROR(__xludf.DUMMYFUNCTION("""COMPUTED_VALUE"""),"t.me/heiatkarimeh")</f>
        <v>t.me/heiatkarimeh</v>
      </c>
      <c r="J6295" s="5"/>
      <c r="K6295" s="5"/>
      <c r="L6295" s="5"/>
      <c r="M6295" s="5"/>
      <c r="N6295" s="5"/>
      <c r="O6295" s="5"/>
      <c r="P6295" s="5"/>
      <c r="Q6295" s="5"/>
      <c r="R6295" s="5"/>
      <c r="S6295" s="5"/>
    </row>
    <row r="6296">
      <c r="A6296" s="5"/>
      <c r="B6296" s="5" t="str">
        <f>IFERROR(__xludf.DUMMYFUNCTION("""COMPUTED_VALUE"""),"هیأت")</f>
        <v>هیأت</v>
      </c>
      <c r="C6296" s="5" t="str">
        <f>IFERROR(__xludf.DUMMYFUNCTION("""COMPUTED_VALUE"""),"کفیل الزینب")</f>
        <v>کفیل الزینب</v>
      </c>
      <c r="D6296" s="5" t="str">
        <f>IFERROR(__xludf.DUMMYFUNCTION("""COMPUTED_VALUE"""),"قم")</f>
        <v>قم</v>
      </c>
      <c r="E6296" s="5" t="str">
        <f>IFERROR(__xludf.DUMMYFUNCTION("""COMPUTED_VALUE"""),"قم")</f>
        <v>قم</v>
      </c>
      <c r="F6296" s="5" t="str">
        <f>IFERROR(__xludf.DUMMYFUNCTION("""COMPUTED_VALUE"""),"پردیسان")</f>
        <v>پردیسان</v>
      </c>
      <c r="G6296" s="5">
        <f>IFERROR(__xludf.DUMMYFUNCTION("""COMPUTED_VALUE"""),1.0)</f>
        <v>1</v>
      </c>
      <c r="H6296" s="6" t="str">
        <f>IFERROR(__xludf.DUMMYFUNCTION("""COMPUTED_VALUE"""),"https://www.instagram.com/kafil_zeynab_qom/")</f>
        <v>https://www.instagram.com/kafil_zeynab_qom/</v>
      </c>
      <c r="I6296" s="6" t="str">
        <f>IFERROR(__xludf.DUMMYFUNCTION("""COMPUTED_VALUE"""),"https://t.me/kafil_zeynab_qom/")</f>
        <v>https://t.me/kafil_zeynab_qom/</v>
      </c>
      <c r="J6296" s="5"/>
      <c r="K6296" s="5"/>
      <c r="L6296" s="5"/>
      <c r="M6296" s="5"/>
      <c r="N6296" s="5"/>
      <c r="O6296" s="5"/>
      <c r="P6296" s="5"/>
      <c r="Q6296" s="5"/>
      <c r="R6296" s="5"/>
      <c r="S6296" s="5"/>
    </row>
    <row r="6297">
      <c r="A6297" s="5"/>
      <c r="B6297" s="5" t="str">
        <f>IFERROR(__xludf.DUMMYFUNCTION("""COMPUTED_VALUE"""),"هیأت")</f>
        <v>هیأت</v>
      </c>
      <c r="C6297" s="5" t="str">
        <f>IFERROR(__xludf.DUMMYFUNCTION("""COMPUTED_VALUE"""),"مجانین الرقیه")</f>
        <v>مجانین الرقیه</v>
      </c>
      <c r="D6297" s="5" t="str">
        <f>IFERROR(__xludf.DUMMYFUNCTION("""COMPUTED_VALUE"""),"قم")</f>
        <v>قم</v>
      </c>
      <c r="E6297" s="5" t="str">
        <f>IFERROR(__xludf.DUMMYFUNCTION("""COMPUTED_VALUE"""),"قم")</f>
        <v>قم</v>
      </c>
      <c r="F6297" s="5"/>
      <c r="G6297" s="5">
        <f>IFERROR(__xludf.DUMMYFUNCTION("""COMPUTED_VALUE"""),1.0)</f>
        <v>1</v>
      </c>
      <c r="H6297" s="6" t="str">
        <f>IFERROR(__xludf.DUMMYFUNCTION("""COMPUTED_VALUE"""),"https://www.instagram.com/majanin_qom/")</f>
        <v>https://www.instagram.com/majanin_qom/</v>
      </c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</row>
    <row r="6298">
      <c r="A6298" s="5"/>
      <c r="B6298" s="5" t="str">
        <f>IFERROR(__xludf.DUMMYFUNCTION("""COMPUTED_VALUE"""),"هیأت")</f>
        <v>هیأت</v>
      </c>
      <c r="C6298" s="5" t="str">
        <f>IFERROR(__xludf.DUMMYFUNCTION("""COMPUTED_VALUE"""),"مجمع المنتظرین")</f>
        <v>مجمع المنتظرین</v>
      </c>
      <c r="D6298" s="5" t="str">
        <f>IFERROR(__xludf.DUMMYFUNCTION("""COMPUTED_VALUE"""),"قم")</f>
        <v>قم</v>
      </c>
      <c r="E6298" s="5" t="str">
        <f>IFERROR(__xludf.DUMMYFUNCTION("""COMPUTED_VALUE"""),"قم")</f>
        <v>قم</v>
      </c>
      <c r="F6298" s="5"/>
      <c r="G6298" s="5">
        <f>IFERROR(__xludf.DUMMYFUNCTION("""COMPUTED_VALUE"""),1.0)</f>
        <v>1</v>
      </c>
      <c r="H6298" s="6" t="str">
        <f>IFERROR(__xludf.DUMMYFUNCTION("""COMPUTED_VALUE"""),"https://www.instagram.com/almontazerin")</f>
        <v>https://www.instagram.com/almontazerin</v>
      </c>
      <c r="I6298" s="5"/>
      <c r="J6298" s="6" t="str">
        <f>IFERROR(__xludf.DUMMYFUNCTION("""COMPUTED_VALUE"""),"https://eitaa.com/almontazerin_ir")</f>
        <v>https://eitaa.com/almontazerin_ir</v>
      </c>
      <c r="K6298" s="5"/>
      <c r="L6298" s="5"/>
      <c r="M6298" s="5"/>
      <c r="N6298" s="5"/>
      <c r="O6298" s="5"/>
      <c r="P6298" s="5"/>
      <c r="Q6298" s="5"/>
      <c r="R6298" s="5"/>
      <c r="S6298" s="5"/>
    </row>
    <row r="6299">
      <c r="A6299" s="5"/>
      <c r="B6299" s="5" t="str">
        <f>IFERROR(__xludf.DUMMYFUNCTION("""COMPUTED_VALUE"""),"هیأت")</f>
        <v>هیأت</v>
      </c>
      <c r="C6299" s="5" t="str">
        <f>IFERROR(__xludf.DUMMYFUNCTION("""COMPUTED_VALUE"""),"مجمع جوانان کربلایی قم مقدسه")</f>
        <v>مجمع جوانان کربلایی قم مقدسه</v>
      </c>
      <c r="D6299" s="5" t="str">
        <f>IFERROR(__xludf.DUMMYFUNCTION("""COMPUTED_VALUE"""),"قم")</f>
        <v>قم</v>
      </c>
      <c r="E6299" s="5" t="str">
        <f>IFERROR(__xludf.DUMMYFUNCTION("""COMPUTED_VALUE"""),"قم")</f>
        <v>قم</v>
      </c>
      <c r="F6299" s="5"/>
      <c r="G6299" s="5">
        <f>IFERROR(__xludf.DUMMYFUNCTION("""COMPUTED_VALUE"""),1.0)</f>
        <v>1</v>
      </c>
      <c r="H6299" s="6" t="str">
        <f>IFERROR(__xludf.DUMMYFUNCTION("""COMPUTED_VALUE"""),"https://www.instagram.com/majmaa_javanan_karbalaii/")</f>
        <v>https://www.instagram.com/majmaa_javanan_karbalaii/</v>
      </c>
      <c r="I6299" s="6" t="str">
        <f>IFERROR(__xludf.DUMMYFUNCTION("""COMPUTED_VALUE"""),"https://t.me/majmaa_javanan_karbalaii")</f>
        <v>https://t.me/majmaa_javanan_karbalaii</v>
      </c>
      <c r="J6299" s="5"/>
      <c r="K6299" s="5"/>
      <c r="L6299" s="5"/>
      <c r="M6299" s="5"/>
      <c r="N6299" s="5"/>
      <c r="O6299" s="5"/>
      <c r="P6299" s="5"/>
      <c r="Q6299" s="5"/>
      <c r="R6299" s="5"/>
      <c r="S6299" s="5"/>
    </row>
    <row r="6300">
      <c r="A6300" s="5">
        <f>IFERROR(__xludf.DUMMYFUNCTION("""COMPUTED_VALUE"""),26791.0)</f>
        <v>26791</v>
      </c>
      <c r="B6300" s="5" t="str">
        <f>IFERROR(__xludf.DUMMYFUNCTION("""COMPUTED_VALUE"""),"هیأت")</f>
        <v>هیأت</v>
      </c>
      <c r="C6300" s="5" t="str">
        <f>IFERROR(__xludf.DUMMYFUNCTION("""COMPUTED_VALUE"""),"محبان اهل بیت (ع)")</f>
        <v>محبان اهل بیت (ع)</v>
      </c>
      <c r="D6300" s="5" t="str">
        <f>IFERROR(__xludf.DUMMYFUNCTION("""COMPUTED_VALUE"""),"قم")</f>
        <v>قم</v>
      </c>
      <c r="E6300" s="5" t="str">
        <f>IFERROR(__xludf.DUMMYFUNCTION("""COMPUTED_VALUE"""),"قم")</f>
        <v>قم</v>
      </c>
      <c r="F6300" s="5"/>
      <c r="G6300" s="5">
        <f>IFERROR(__xludf.DUMMYFUNCTION("""COMPUTED_VALUE"""),1.0)</f>
        <v>1</v>
      </c>
      <c r="H6300" s="5"/>
      <c r="I6300" s="5"/>
      <c r="J6300" s="6" t="str">
        <f>IFERROR(__xludf.DUMMYFUNCTION("""COMPUTED_VALUE"""),"https://eitaa.com/moheban4")</f>
        <v>https://eitaa.com/moheban4</v>
      </c>
      <c r="K6300" s="5"/>
      <c r="L6300" s="5"/>
      <c r="M6300" s="5"/>
      <c r="N6300" s="5"/>
      <c r="O6300" s="5"/>
      <c r="P6300" s="5"/>
      <c r="Q6300" s="5"/>
      <c r="R6300" s="5"/>
      <c r="S6300" s="5"/>
    </row>
    <row r="6301">
      <c r="A6301" s="5"/>
      <c r="B6301" s="5" t="str">
        <f>IFERROR(__xludf.DUMMYFUNCTION("""COMPUTED_VALUE"""),"هیأت")</f>
        <v>هیأت</v>
      </c>
      <c r="C6301" s="5" t="str">
        <f>IFERROR(__xludf.DUMMYFUNCTION("""COMPUTED_VALUE"""),"محبان ثارالله")</f>
        <v>محبان ثارالله</v>
      </c>
      <c r="D6301" s="5" t="str">
        <f>IFERROR(__xludf.DUMMYFUNCTION("""COMPUTED_VALUE"""),"قم")</f>
        <v>قم</v>
      </c>
      <c r="E6301" s="5" t="str">
        <f>IFERROR(__xludf.DUMMYFUNCTION("""COMPUTED_VALUE"""),"قم")</f>
        <v>قم</v>
      </c>
      <c r="F6301" s="5"/>
      <c r="G6301" s="5">
        <f>IFERROR(__xludf.DUMMYFUNCTION("""COMPUTED_VALUE"""),1.0)</f>
        <v>1</v>
      </c>
      <c r="H6301" s="6" t="str">
        <f>IFERROR(__xludf.DUMMYFUNCTION("""COMPUTED_VALUE"""),"https://www.instagram.com/moheban.sarallah_qom/")</f>
        <v>https://www.instagram.com/moheban.sarallah_qom/</v>
      </c>
      <c r="I6301" s="5"/>
      <c r="J6301" s="5"/>
      <c r="K6301" s="5"/>
      <c r="L6301" s="5"/>
      <c r="M6301" s="5"/>
      <c r="N6301" s="5"/>
      <c r="O6301" s="5"/>
      <c r="P6301" s="5"/>
      <c r="Q6301" s="5"/>
      <c r="R6301" s="5"/>
      <c r="S6301" s="5"/>
    </row>
    <row r="6302">
      <c r="A6302" s="5"/>
      <c r="B6302" s="5" t="str">
        <f>IFERROR(__xludf.DUMMYFUNCTION("""COMPUTED_VALUE"""),"هیأت")</f>
        <v>هیأت</v>
      </c>
      <c r="C6302" s="5" t="str">
        <f>IFERROR(__xludf.DUMMYFUNCTION("""COMPUTED_VALUE"""),"محبین اهل بیت")</f>
        <v>محبین اهل بیت</v>
      </c>
      <c r="D6302" s="5" t="str">
        <f>IFERROR(__xludf.DUMMYFUNCTION("""COMPUTED_VALUE"""),"قم")</f>
        <v>قم</v>
      </c>
      <c r="E6302" s="5" t="str">
        <f>IFERROR(__xludf.DUMMYFUNCTION("""COMPUTED_VALUE"""),"قم")</f>
        <v>قم</v>
      </c>
      <c r="F6302" s="5"/>
      <c r="G6302" s="5">
        <f>IFERROR(__xludf.DUMMYFUNCTION("""COMPUTED_VALUE"""),1.0)</f>
        <v>1</v>
      </c>
      <c r="H6302" s="6" t="str">
        <f>IFERROR(__xludf.DUMMYFUNCTION("""COMPUTED_VALUE"""),"https://www.instagram.com/mohebbin_com/")</f>
        <v>https://www.instagram.com/mohebbin_com/</v>
      </c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</row>
    <row r="6303">
      <c r="A6303" s="5"/>
      <c r="B6303" s="5" t="str">
        <f>IFERROR(__xludf.DUMMYFUNCTION("""COMPUTED_VALUE"""),"هیأت")</f>
        <v>هیأت</v>
      </c>
      <c r="C6303" s="5" t="str">
        <f>IFERROR(__xludf.DUMMYFUNCTION("""COMPUTED_VALUE"""),"محبین حضرت علی اکبر")</f>
        <v>محبین حضرت علی اکبر</v>
      </c>
      <c r="D6303" s="5" t="str">
        <f>IFERROR(__xludf.DUMMYFUNCTION("""COMPUTED_VALUE"""),"قم")</f>
        <v>قم</v>
      </c>
      <c r="E6303" s="5" t="str">
        <f>IFERROR(__xludf.DUMMYFUNCTION("""COMPUTED_VALUE"""),"قم")</f>
        <v>قم</v>
      </c>
      <c r="F6303" s="5"/>
      <c r="G6303" s="5">
        <f>IFERROR(__xludf.DUMMYFUNCTION("""COMPUTED_VALUE"""),1.0)</f>
        <v>1</v>
      </c>
      <c r="H6303" s="6" t="str">
        <f>IFERROR(__xludf.DUMMYFUNCTION("""COMPUTED_VALUE"""),"https://www.instagram.com/shahzade_aliakbarr/")</f>
        <v>https://www.instagram.com/shahzade_aliakbarr/</v>
      </c>
      <c r="I6303" s="5"/>
      <c r="J6303" s="6" t="str">
        <f>IFERROR(__xludf.DUMMYFUNCTION("""COMPUTED_VALUE"""),"https://eitaa.com/aliakbar_heyatt")</f>
        <v>https://eitaa.com/aliakbar_heyatt</v>
      </c>
      <c r="K6303" s="5"/>
      <c r="L6303" s="5"/>
      <c r="M6303" s="5"/>
      <c r="N6303" s="5"/>
      <c r="O6303" s="5"/>
      <c r="P6303" s="5"/>
      <c r="Q6303" s="5"/>
      <c r="R6303" s="5"/>
      <c r="S6303" s="5"/>
    </row>
    <row r="6304">
      <c r="A6304" s="5">
        <f>IFERROR(__xludf.DUMMYFUNCTION("""COMPUTED_VALUE"""),30594.0)</f>
        <v>30594</v>
      </c>
      <c r="B6304" s="5" t="str">
        <f>IFERROR(__xludf.DUMMYFUNCTION("""COMPUTED_VALUE"""),"هیأت")</f>
        <v>هیأت</v>
      </c>
      <c r="C6304" s="5" t="str">
        <f>IFERROR(__xludf.DUMMYFUNCTION("""COMPUTED_VALUE"""),"محبین حضرت معصومه")</f>
        <v>محبین حضرت معصومه</v>
      </c>
      <c r="D6304" s="5" t="str">
        <f>IFERROR(__xludf.DUMMYFUNCTION("""COMPUTED_VALUE"""),"قم")</f>
        <v>قم</v>
      </c>
      <c r="E6304" s="5" t="str">
        <f>IFERROR(__xludf.DUMMYFUNCTION("""COMPUTED_VALUE"""),"قم")</f>
        <v>قم</v>
      </c>
      <c r="F6304" s="5"/>
      <c r="G6304" s="5">
        <f>IFERROR(__xludf.DUMMYFUNCTION("""COMPUTED_VALUE"""),1.0)</f>
        <v>1</v>
      </c>
      <c r="H6304" s="6" t="str">
        <f>IFERROR(__xludf.DUMMYFUNCTION("""COMPUTED_VALUE"""),"https://www.instagram.com/mohebin.h.masomeh/")</f>
        <v>https://www.instagram.com/mohebin.h.masomeh/</v>
      </c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</row>
    <row r="6305">
      <c r="A6305" s="5">
        <f>IFERROR(__xludf.DUMMYFUNCTION("""COMPUTED_VALUE"""),10804.0)</f>
        <v>10804</v>
      </c>
      <c r="B6305" s="5" t="str">
        <f>IFERROR(__xludf.DUMMYFUNCTION("""COMPUTED_VALUE"""),"هیأت")</f>
        <v>هیأت</v>
      </c>
      <c r="C6305" s="5" t="str">
        <f>IFERROR(__xludf.DUMMYFUNCTION("""COMPUTED_VALUE"""),"محبین سیدالشهدا (ع)")</f>
        <v>محبین سیدالشهدا (ع)</v>
      </c>
      <c r="D6305" s="5" t="str">
        <f>IFERROR(__xludf.DUMMYFUNCTION("""COMPUTED_VALUE"""),"قم")</f>
        <v>قم</v>
      </c>
      <c r="E6305" s="5" t="str">
        <f>IFERROR(__xludf.DUMMYFUNCTION("""COMPUTED_VALUE"""),"قم")</f>
        <v>قم</v>
      </c>
      <c r="F6305" s="5"/>
      <c r="G6305" s="5">
        <f>IFERROR(__xludf.DUMMYFUNCTION("""COMPUTED_VALUE"""),1.0)</f>
        <v>1</v>
      </c>
      <c r="H6305" s="5"/>
      <c r="I6305" s="5"/>
      <c r="J6305" s="6" t="str">
        <f>IFERROR(__xludf.DUMMYFUNCTION("""COMPUTED_VALUE"""),"https://eitaa.com/mohebenseedashohad")</f>
        <v>https://eitaa.com/mohebenseedashohad</v>
      </c>
      <c r="K6305" s="5"/>
      <c r="L6305" s="5"/>
      <c r="M6305" s="5"/>
      <c r="N6305" s="5"/>
      <c r="O6305" s="5"/>
      <c r="P6305" s="5"/>
      <c r="Q6305" s="5"/>
      <c r="R6305" s="5"/>
      <c r="S6305" s="5"/>
    </row>
    <row r="6306">
      <c r="A6306" s="5"/>
      <c r="B6306" s="5" t="str">
        <f>IFERROR(__xludf.DUMMYFUNCTION("""COMPUTED_VALUE"""),"هیأت")</f>
        <v>هیأت</v>
      </c>
      <c r="C6306" s="5" t="str">
        <f>IFERROR(__xludf.DUMMYFUNCTION("""COMPUTED_VALUE"""),"محفل اشک انصارالحسین")</f>
        <v>محفل اشک انصارالحسین</v>
      </c>
      <c r="D6306" s="5" t="str">
        <f>IFERROR(__xludf.DUMMYFUNCTION("""COMPUTED_VALUE"""),"قم")</f>
        <v>قم</v>
      </c>
      <c r="E6306" s="5" t="str">
        <f>IFERROR(__xludf.DUMMYFUNCTION("""COMPUTED_VALUE"""),"قم")</f>
        <v>قم</v>
      </c>
      <c r="F6306" s="5"/>
      <c r="G6306" s="5">
        <f>IFERROR(__xludf.DUMMYFUNCTION("""COMPUTED_VALUE"""),1.0)</f>
        <v>1</v>
      </c>
      <c r="H6306" s="6" t="str">
        <f>IFERROR(__xludf.DUMMYFUNCTION("""COMPUTED_VALUE"""),"https://www.instagram.com/ansarhosein1437/")</f>
        <v>https://www.instagram.com/ansarhosein1437/</v>
      </c>
      <c r="I6306" s="5"/>
      <c r="J6306" s="6" t="str">
        <f>IFERROR(__xludf.DUMMYFUNCTION("""COMPUTED_VALUE"""),"https://eitaa.com/ansarhosein1437")</f>
        <v>https://eitaa.com/ansarhosein1437</v>
      </c>
      <c r="K6306" s="5"/>
      <c r="L6306" s="5"/>
      <c r="M6306" s="5"/>
      <c r="N6306" s="5"/>
      <c r="O6306" s="5"/>
      <c r="P6306" s="5"/>
      <c r="Q6306" s="5"/>
      <c r="R6306" s="5"/>
      <c r="S6306" s="5"/>
    </row>
    <row r="6307">
      <c r="A6307" s="5">
        <f>IFERROR(__xludf.DUMMYFUNCTION("""COMPUTED_VALUE"""),29062.0)</f>
        <v>29062</v>
      </c>
      <c r="B6307" s="5" t="str">
        <f>IFERROR(__xludf.DUMMYFUNCTION("""COMPUTED_VALUE"""),"هیأت")</f>
        <v>هیأت</v>
      </c>
      <c r="C6307" s="5" t="str">
        <f>IFERROR(__xludf.DUMMYFUNCTION("""COMPUTED_VALUE"""),"مریدان حضرت زینب")</f>
        <v>مریدان حضرت زینب</v>
      </c>
      <c r="D6307" s="5" t="str">
        <f>IFERROR(__xludf.DUMMYFUNCTION("""COMPUTED_VALUE"""),"قم")</f>
        <v>قم</v>
      </c>
      <c r="E6307" s="5" t="str">
        <f>IFERROR(__xludf.DUMMYFUNCTION("""COMPUTED_VALUE"""),"قم")</f>
        <v>قم</v>
      </c>
      <c r="F6307" s="5"/>
      <c r="G6307" s="5">
        <f>IFERROR(__xludf.DUMMYFUNCTION("""COMPUTED_VALUE"""),1.0)</f>
        <v>1</v>
      </c>
      <c r="H6307" s="6" t="str">
        <f>IFERROR(__xludf.DUMMYFUNCTION("""COMPUTED_VALUE"""),"https://www.instagram.com/moridane_zeynab/")</f>
        <v>https://www.instagram.com/moridane_zeynab/</v>
      </c>
      <c r="I6307" s="5"/>
      <c r="J6307" s="5"/>
      <c r="K6307" s="5"/>
      <c r="L6307" s="5"/>
      <c r="M6307" s="5"/>
      <c r="N6307" s="5"/>
      <c r="O6307" s="5"/>
      <c r="P6307" s="5"/>
      <c r="Q6307" s="5"/>
      <c r="R6307" s="5"/>
      <c r="S6307" s="5"/>
    </row>
    <row r="6308">
      <c r="A6308" s="5"/>
      <c r="B6308" s="5" t="str">
        <f>IFERROR(__xludf.DUMMYFUNCTION("""COMPUTED_VALUE"""),"هیأت")</f>
        <v>هیأت</v>
      </c>
      <c r="C6308" s="5" t="str">
        <f>IFERROR(__xludf.DUMMYFUNCTION("""COMPUTED_VALUE"""),"مصباح الهدی")</f>
        <v>مصباح الهدی</v>
      </c>
      <c r="D6308" s="5" t="str">
        <f>IFERROR(__xludf.DUMMYFUNCTION("""COMPUTED_VALUE"""),"قم")</f>
        <v>قم</v>
      </c>
      <c r="E6308" s="5" t="str">
        <f>IFERROR(__xludf.DUMMYFUNCTION("""COMPUTED_VALUE"""),"قم")</f>
        <v>قم</v>
      </c>
      <c r="F6308" s="5"/>
      <c r="G6308" s="5">
        <f>IFERROR(__xludf.DUMMYFUNCTION("""COMPUTED_VALUE"""),1.0)</f>
        <v>1</v>
      </c>
      <c r="H6308" s="6" t="str">
        <f>IFERROR(__xludf.DUMMYFUNCTION("""COMPUTED_VALUE"""),"https://www.instagram.com/mesbahalhoda_ir/")</f>
        <v>https://www.instagram.com/mesbahalhoda_ir/</v>
      </c>
      <c r="I6308" s="5"/>
      <c r="J6308" s="5"/>
      <c r="K6308" s="5"/>
      <c r="L6308" s="5"/>
      <c r="M6308" s="5"/>
      <c r="N6308" s="5"/>
      <c r="O6308" s="5"/>
      <c r="P6308" s="5"/>
      <c r="Q6308" s="5"/>
      <c r="R6308" s="5"/>
      <c r="S6308" s="5"/>
    </row>
    <row r="6309">
      <c r="A6309" s="5"/>
      <c r="B6309" s="5" t="str">
        <f>IFERROR(__xludf.DUMMYFUNCTION("""COMPUTED_VALUE"""),"هیأت")</f>
        <v>هیأت</v>
      </c>
      <c r="C6309" s="5" t="str">
        <f>IFERROR(__xludf.DUMMYFUNCTION("""COMPUTED_VALUE"""),"مکتب الزینب")</f>
        <v>مکتب الزینب</v>
      </c>
      <c r="D6309" s="5" t="str">
        <f>IFERROR(__xludf.DUMMYFUNCTION("""COMPUTED_VALUE"""),"قم")</f>
        <v>قم</v>
      </c>
      <c r="E6309" s="5" t="str">
        <f>IFERROR(__xludf.DUMMYFUNCTION("""COMPUTED_VALUE"""),"قم")</f>
        <v>قم</v>
      </c>
      <c r="F6309" s="5"/>
      <c r="G6309" s="5">
        <f>IFERROR(__xludf.DUMMYFUNCTION("""COMPUTED_VALUE"""),1.0)</f>
        <v>1</v>
      </c>
      <c r="H6309" s="6" t="str">
        <f>IFERROR(__xludf.DUMMYFUNCTION("""COMPUTED_VALUE"""),"https://www.instagram.com/maktab_69_zeynab/")</f>
        <v>https://www.instagram.com/maktab_69_zeynab/</v>
      </c>
      <c r="I6309" s="5"/>
      <c r="J6309" s="5"/>
      <c r="K6309" s="5"/>
      <c r="L6309" s="5"/>
      <c r="M6309" s="5"/>
      <c r="N6309" s="5"/>
      <c r="O6309" s="5"/>
      <c r="P6309" s="5"/>
      <c r="Q6309" s="5"/>
      <c r="R6309" s="5"/>
      <c r="S6309" s="5"/>
    </row>
    <row r="6310">
      <c r="A6310" s="5"/>
      <c r="B6310" s="5" t="str">
        <f>IFERROR(__xludf.DUMMYFUNCTION("""COMPUTED_VALUE"""),"هیأت")</f>
        <v>هیأت</v>
      </c>
      <c r="C6310" s="5" t="str">
        <f>IFERROR(__xludf.DUMMYFUNCTION("""COMPUTED_VALUE"""),"منتظران فرج")</f>
        <v>منتظران فرج</v>
      </c>
      <c r="D6310" s="5" t="str">
        <f>IFERROR(__xludf.DUMMYFUNCTION("""COMPUTED_VALUE"""),"قم")</f>
        <v>قم</v>
      </c>
      <c r="E6310" s="5" t="str">
        <f>IFERROR(__xludf.DUMMYFUNCTION("""COMPUTED_VALUE"""),"قم")</f>
        <v>قم</v>
      </c>
      <c r="F6310" s="5"/>
      <c r="G6310" s="5">
        <f>IFERROR(__xludf.DUMMYFUNCTION("""COMPUTED_VALUE"""),1.0)</f>
        <v>1</v>
      </c>
      <c r="H6310" s="6" t="str">
        <f>IFERROR(__xludf.DUMMYFUNCTION("""COMPUTED_VALUE"""),"https://www.instagram.com/montazeranfaraj.ir/")</f>
        <v>https://www.instagram.com/montazeranfaraj.ir/</v>
      </c>
      <c r="I6310" s="6" t="str">
        <f>IFERROR(__xludf.DUMMYFUNCTION("""COMPUTED_VALUE"""),"https://t.me/montazeranfaraj1389")</f>
        <v>https://t.me/montazeranfaraj1389</v>
      </c>
      <c r="J6310" s="5"/>
      <c r="K6310" s="5"/>
      <c r="L6310" s="5"/>
      <c r="M6310" s="5"/>
      <c r="N6310" s="5"/>
      <c r="O6310" s="5"/>
      <c r="P6310" s="5"/>
      <c r="Q6310" s="5"/>
      <c r="R6310" s="5"/>
      <c r="S6310" s="5"/>
    </row>
    <row r="6311">
      <c r="A6311" s="5">
        <f>IFERROR(__xludf.DUMMYFUNCTION("""COMPUTED_VALUE"""),25747.0)</f>
        <v>25747</v>
      </c>
      <c r="B6311" s="5" t="str">
        <f>IFERROR(__xludf.DUMMYFUNCTION("""COMPUTED_VALUE"""),"هیأت")</f>
        <v>هیأت</v>
      </c>
      <c r="C6311" s="5" t="str">
        <f>IFERROR(__xludf.DUMMYFUNCTION("""COMPUTED_VALUE"""),"منتظران مهدی")</f>
        <v>منتظران مهدی</v>
      </c>
      <c r="D6311" s="5" t="str">
        <f>IFERROR(__xludf.DUMMYFUNCTION("""COMPUTED_VALUE"""),"قم")</f>
        <v>قم</v>
      </c>
      <c r="E6311" s="5" t="str">
        <f>IFERROR(__xludf.DUMMYFUNCTION("""COMPUTED_VALUE"""),"قم")</f>
        <v>قم</v>
      </c>
      <c r="F6311" s="5"/>
      <c r="G6311" s="5">
        <f>IFERROR(__xludf.DUMMYFUNCTION("""COMPUTED_VALUE"""),1.0)</f>
        <v>1</v>
      </c>
      <c r="H6311" s="6" t="str">
        <f>IFERROR(__xludf.DUMMYFUNCTION("""COMPUTED_VALUE"""),"https://www.instagram.com/montazerane_mahdi_heyat")</f>
        <v>https://www.instagram.com/montazerane_mahdi_heyat</v>
      </c>
      <c r="I6311" s="5"/>
      <c r="J6311" s="6" t="str">
        <f>IFERROR(__xludf.DUMMYFUNCTION("""COMPUTED_VALUE"""),"https://eitaa.com/montazerane_mahdi_heyat")</f>
        <v>https://eitaa.com/montazerane_mahdi_heyat</v>
      </c>
      <c r="K6311" s="5"/>
      <c r="L6311" s="5"/>
      <c r="M6311" s="5"/>
      <c r="N6311" s="5"/>
      <c r="O6311" s="5"/>
      <c r="P6311" s="5"/>
      <c r="Q6311" s="5"/>
      <c r="R6311" s="5"/>
      <c r="S6311" s="5"/>
    </row>
    <row r="6312">
      <c r="A6312" s="5">
        <f>IFERROR(__xludf.DUMMYFUNCTION("""COMPUTED_VALUE"""),27529.0)</f>
        <v>27529</v>
      </c>
      <c r="B6312" s="5" t="str">
        <f>IFERROR(__xludf.DUMMYFUNCTION("""COMPUTED_VALUE"""),"هیأت")</f>
        <v>هیأت</v>
      </c>
      <c r="C6312" s="5" t="str">
        <f>IFERROR(__xludf.DUMMYFUNCTION("""COMPUTED_VALUE"""),"هم ناله با رقیه")</f>
        <v>هم ناله با رقیه</v>
      </c>
      <c r="D6312" s="5" t="str">
        <f>IFERROR(__xludf.DUMMYFUNCTION("""COMPUTED_VALUE"""),"قم")</f>
        <v>قم</v>
      </c>
      <c r="E6312" s="5" t="str">
        <f>IFERROR(__xludf.DUMMYFUNCTION("""COMPUTED_VALUE"""),"قم")</f>
        <v>قم</v>
      </c>
      <c r="F6312" s="5"/>
      <c r="G6312" s="5">
        <f>IFERROR(__xludf.DUMMYFUNCTION("""COMPUTED_VALUE"""),1.0)</f>
        <v>1</v>
      </c>
      <c r="H6312" s="6" t="str">
        <f>IFERROR(__xludf.DUMMYFUNCTION("""COMPUTED_VALUE"""),"https://www.instagram.com/ham.naleh.ba.roghayeh/")</f>
        <v>https://www.instagram.com/ham.naleh.ba.roghayeh/</v>
      </c>
      <c r="I6312" s="6" t="str">
        <f>IFERROR(__xludf.DUMMYFUNCTION("""COMPUTED_VALUE"""),"t.me/hamnaleh_baroghayeh")</f>
        <v>t.me/hamnaleh_baroghayeh</v>
      </c>
      <c r="J6312" s="5"/>
      <c r="K6312" s="5"/>
      <c r="L6312" s="5"/>
      <c r="M6312" s="5"/>
      <c r="N6312" s="5"/>
      <c r="O6312" s="5"/>
      <c r="P6312" s="5"/>
      <c r="Q6312" s="5"/>
      <c r="R6312" s="5"/>
      <c r="S6312" s="5"/>
    </row>
    <row r="6313">
      <c r="A6313" s="5"/>
      <c r="B6313" s="5" t="str">
        <f>IFERROR(__xludf.DUMMYFUNCTION("""COMPUTED_VALUE"""),"هیأت")</f>
        <v>هیأت</v>
      </c>
      <c r="C6313" s="5" t="str">
        <f>IFERROR(__xludf.DUMMYFUNCTION("""COMPUTED_VALUE"""),"یا رقیه")</f>
        <v>یا رقیه</v>
      </c>
      <c r="D6313" s="5" t="str">
        <f>IFERROR(__xludf.DUMMYFUNCTION("""COMPUTED_VALUE"""),"قم")</f>
        <v>قم</v>
      </c>
      <c r="E6313" s="5" t="str">
        <f>IFERROR(__xludf.DUMMYFUNCTION("""COMPUTED_VALUE"""),"قم")</f>
        <v>قم</v>
      </c>
      <c r="F6313" s="5"/>
      <c r="G6313" s="5">
        <f>IFERROR(__xludf.DUMMYFUNCTION("""COMPUTED_VALUE"""),1.0)</f>
        <v>1</v>
      </c>
      <c r="H6313" s="6" t="str">
        <f>IFERROR(__xludf.DUMMYFUNCTION("""COMPUTED_VALUE"""),"https://www.instagram.com/yaroghaiehe_ir/")</f>
        <v>https://www.instagram.com/yaroghaiehe_ir/</v>
      </c>
      <c r="I6313" s="6" t="str">
        <f>IFERROR(__xludf.DUMMYFUNCTION("""COMPUTED_VALUE"""),"https://t.me/yaroghaiehe_ir")</f>
        <v>https://t.me/yaroghaiehe_ir</v>
      </c>
      <c r="J6313" s="5"/>
      <c r="K6313" s="5"/>
      <c r="L6313" s="5"/>
      <c r="M6313" s="5"/>
      <c r="N6313" s="5"/>
      <c r="O6313" s="5"/>
      <c r="P6313" s="5"/>
      <c r="Q6313" s="5"/>
      <c r="R6313" s="5"/>
      <c r="S6313" s="5"/>
    </row>
    <row r="6314">
      <c r="A6314" s="5">
        <f>IFERROR(__xludf.DUMMYFUNCTION("""COMPUTED_VALUE"""),32120.0)</f>
        <v>32120</v>
      </c>
      <c r="B6314" s="5" t="str">
        <f>IFERROR(__xludf.DUMMYFUNCTION("""COMPUTED_VALUE"""),"هیأت")</f>
        <v>هیأت</v>
      </c>
      <c r="C6314" s="5" t="str">
        <f>IFERROR(__xludf.DUMMYFUNCTION("""COMPUTED_VALUE"""),"یا لثارات الحسین (ع)")</f>
        <v>یا لثارات الحسین (ع)</v>
      </c>
      <c r="D6314" s="5" t="str">
        <f>IFERROR(__xludf.DUMMYFUNCTION("""COMPUTED_VALUE"""),"قم")</f>
        <v>قم</v>
      </c>
      <c r="E6314" s="5" t="str">
        <f>IFERROR(__xludf.DUMMYFUNCTION("""COMPUTED_VALUE"""),"قم")</f>
        <v>قم</v>
      </c>
      <c r="F6314" s="5"/>
      <c r="G6314" s="5">
        <f>IFERROR(__xludf.DUMMYFUNCTION("""COMPUTED_VALUE"""),1.0)</f>
        <v>1</v>
      </c>
      <c r="H6314" s="6" t="str">
        <f>IFERROR(__xludf.DUMMYFUNCTION("""COMPUTED_VALUE"""),"https://www.instagram.com/r.yalesaratalhoseine_qom/")</f>
        <v>https://www.instagram.com/r.yalesaratalhoseine_qom/</v>
      </c>
      <c r="I6314" s="5"/>
      <c r="J6314" s="5"/>
      <c r="K6314" s="5"/>
      <c r="L6314" s="5"/>
      <c r="M6314" s="5"/>
      <c r="N6314" s="5"/>
      <c r="O6314" s="5"/>
      <c r="P6314" s="5"/>
      <c r="Q6314" s="5"/>
      <c r="R6314" s="5"/>
      <c r="S6314" s="5"/>
    </row>
    <row r="6315">
      <c r="A6315" s="5">
        <f>IFERROR(__xludf.DUMMYFUNCTION("""COMPUTED_VALUE"""),29456.0)</f>
        <v>29456</v>
      </c>
      <c r="B6315" s="5" t="str">
        <f>IFERROR(__xludf.DUMMYFUNCTION("""COMPUTED_VALUE"""),"هیأت")</f>
        <v>هیأت</v>
      </c>
      <c r="C6315" s="5" t="str">
        <f>IFERROR(__xludf.DUMMYFUNCTION("""COMPUTED_VALUE"""),"یاوران حضرت زینب (س)")</f>
        <v>یاوران حضرت زینب (س)</v>
      </c>
      <c r="D6315" s="5" t="str">
        <f>IFERROR(__xludf.DUMMYFUNCTION("""COMPUTED_VALUE"""),"قم")</f>
        <v>قم</v>
      </c>
      <c r="E6315" s="5" t="str">
        <f>IFERROR(__xludf.DUMMYFUNCTION("""COMPUTED_VALUE"""),"قم")</f>
        <v>قم</v>
      </c>
      <c r="F6315" s="5"/>
      <c r="G6315" s="5">
        <f>IFERROR(__xludf.DUMMYFUNCTION("""COMPUTED_VALUE"""),1.0)</f>
        <v>1</v>
      </c>
      <c r="H6315" s="6" t="str">
        <f>IFERROR(__xludf.DUMMYFUNCTION("""COMPUTED_VALUE"""),"https://www.instagram.com/yavaranzeinabqom/")</f>
        <v>https://www.instagram.com/yavaranzeinabqom/</v>
      </c>
      <c r="I6315" s="5"/>
      <c r="J6315" s="5"/>
      <c r="K6315" s="5"/>
      <c r="L6315" s="5"/>
      <c r="M6315" s="5"/>
      <c r="N6315" s="5"/>
      <c r="O6315" s="5"/>
      <c r="P6315" s="5"/>
      <c r="Q6315" s="5"/>
      <c r="R6315" s="5"/>
      <c r="S6315" s="5"/>
    </row>
    <row r="6316">
      <c r="A6316" s="5"/>
      <c r="B6316" s="5" t="str">
        <f>IFERROR(__xludf.DUMMYFUNCTION("""COMPUTED_VALUE"""),"حسنیه")</f>
        <v>حسنیه</v>
      </c>
      <c r="C6316" s="5" t="str">
        <f>IFERROR(__xludf.DUMMYFUNCTION("""COMPUTED_VALUE"""),"آل علی")</f>
        <v>آل علی</v>
      </c>
      <c r="D6316" s="5" t="str">
        <f>IFERROR(__xludf.DUMMYFUNCTION("""COMPUTED_VALUE"""),"قم")</f>
        <v>قم</v>
      </c>
      <c r="E6316" s="5" t="str">
        <f>IFERROR(__xludf.DUMMYFUNCTION("""COMPUTED_VALUE"""),"قم")</f>
        <v>قم</v>
      </c>
      <c r="F6316" s="5"/>
      <c r="G6316" s="5">
        <f>IFERROR(__xludf.DUMMYFUNCTION("""COMPUTED_VALUE"""),2.0)</f>
        <v>2</v>
      </c>
      <c r="H6316" s="6" t="str">
        <f>IFERROR(__xludf.DUMMYFUNCTION("""COMPUTED_VALUE"""),"https://www.instagram.com/aaleali.qom/")</f>
        <v>https://www.instagram.com/aaleali.qom/</v>
      </c>
      <c r="I6316" s="6" t="str">
        <f>IFERROR(__xludf.DUMMYFUNCTION("""COMPUTED_VALUE"""),"https://t.me/AaleAli")</f>
        <v>https://t.me/AaleAli</v>
      </c>
      <c r="J6316" s="5"/>
      <c r="K6316" s="5"/>
      <c r="L6316" s="5"/>
      <c r="M6316" s="5"/>
      <c r="N6316" s="5"/>
      <c r="O6316" s="5"/>
      <c r="P6316" s="5"/>
      <c r="Q6316" s="5"/>
      <c r="R6316" s="5"/>
      <c r="S6316" s="5"/>
    </row>
    <row r="6317">
      <c r="A6317" s="5"/>
      <c r="B6317" s="5" t="str">
        <f>IFERROR(__xludf.DUMMYFUNCTION("""COMPUTED_VALUE"""),"هیأت")</f>
        <v>هیأت</v>
      </c>
      <c r="C6317" s="5" t="str">
        <f>IFERROR(__xludf.DUMMYFUNCTION("""COMPUTED_VALUE"""),"أهالي الكاظمية")</f>
        <v>أهالي الكاظمية</v>
      </c>
      <c r="D6317" s="5" t="str">
        <f>IFERROR(__xludf.DUMMYFUNCTION("""COMPUTED_VALUE"""),"قم")</f>
        <v>قم</v>
      </c>
      <c r="E6317" s="5" t="str">
        <f>IFERROR(__xludf.DUMMYFUNCTION("""COMPUTED_VALUE"""),"قم")</f>
        <v>قم</v>
      </c>
      <c r="F6317" s="5"/>
      <c r="G6317" s="5">
        <f>IFERROR(__xludf.DUMMYFUNCTION("""COMPUTED_VALUE"""),2.0)</f>
        <v>2</v>
      </c>
      <c r="H6317" s="6" t="str">
        <f>IFERROR(__xludf.DUMMYFUNCTION("""COMPUTED_VALUE"""),"https://www.instagram.com/kadhimain_qom/")</f>
        <v>https://www.instagram.com/kadhimain_qom/</v>
      </c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</row>
    <row r="6318">
      <c r="A6318" s="5">
        <f>IFERROR(__xludf.DUMMYFUNCTION("""COMPUTED_VALUE"""),32127.0)</f>
        <v>32127</v>
      </c>
      <c r="B6318" s="5" t="str">
        <f>IFERROR(__xludf.DUMMYFUNCTION("""COMPUTED_VALUE"""),"هیأت")</f>
        <v>هیأت</v>
      </c>
      <c r="C6318" s="5" t="str">
        <f>IFERROR(__xludf.DUMMYFUNCTION("""COMPUTED_VALUE"""),"اباصالح")</f>
        <v>اباصالح</v>
      </c>
      <c r="D6318" s="5" t="str">
        <f>IFERROR(__xludf.DUMMYFUNCTION("""COMPUTED_VALUE"""),"قم")</f>
        <v>قم</v>
      </c>
      <c r="E6318" s="5" t="str">
        <f>IFERROR(__xludf.DUMMYFUNCTION("""COMPUTED_VALUE"""),"قم")</f>
        <v>قم</v>
      </c>
      <c r="F6318" s="5"/>
      <c r="G6318" s="5">
        <f>IFERROR(__xludf.DUMMYFUNCTION("""COMPUTED_VALUE"""),2.0)</f>
        <v>2</v>
      </c>
      <c r="H6318" s="5"/>
      <c r="I6318" s="5"/>
      <c r="J6318" s="6" t="str">
        <f>IFERROR(__xludf.DUMMYFUNCTION("""COMPUTED_VALUE"""),"https://eitaa.com/heyatabasalehqom")</f>
        <v>https://eitaa.com/heyatabasalehqom</v>
      </c>
      <c r="K6318" s="5"/>
      <c r="L6318" s="5"/>
      <c r="M6318" s="5"/>
      <c r="N6318" s="5"/>
      <c r="O6318" s="5"/>
      <c r="P6318" s="5"/>
      <c r="Q6318" s="5"/>
      <c r="R6318" s="5"/>
      <c r="S6318" s="5"/>
    </row>
    <row r="6319">
      <c r="A6319" s="5"/>
      <c r="B6319" s="5" t="str">
        <f>IFERROR(__xludf.DUMMYFUNCTION("""COMPUTED_VALUE"""),"هیأت")</f>
        <v>هیأت</v>
      </c>
      <c r="C6319" s="5" t="str">
        <f>IFERROR(__xludf.DUMMYFUNCTION("""COMPUTED_VALUE"""),"ابالایتام")</f>
        <v>ابالایتام</v>
      </c>
      <c r="D6319" s="5" t="str">
        <f>IFERROR(__xludf.DUMMYFUNCTION("""COMPUTED_VALUE"""),"قم")</f>
        <v>قم</v>
      </c>
      <c r="E6319" s="5" t="str">
        <f>IFERROR(__xludf.DUMMYFUNCTION("""COMPUTED_VALUE"""),"قم")</f>
        <v>قم</v>
      </c>
      <c r="F6319" s="5"/>
      <c r="G6319" s="5">
        <f>IFERROR(__xludf.DUMMYFUNCTION("""COMPUTED_VALUE"""),2.0)</f>
        <v>2</v>
      </c>
      <c r="H6319" s="6" t="str">
        <f>IFERROR(__xludf.DUMMYFUNCTION("""COMPUTED_VALUE"""),"https://www.instagram.com/heyat_abalaytam110/")</f>
        <v>https://www.instagram.com/heyat_abalaytam110/</v>
      </c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</row>
    <row r="6320">
      <c r="A6320" s="5">
        <f>IFERROR(__xludf.DUMMYFUNCTION("""COMPUTED_VALUE"""),24698.0)</f>
        <v>24698</v>
      </c>
      <c r="B6320" s="5" t="str">
        <f>IFERROR(__xludf.DUMMYFUNCTION("""COMPUTED_VALUE"""),"هیأت")</f>
        <v>هیأت</v>
      </c>
      <c r="C6320" s="5" t="str">
        <f>IFERROR(__xludf.DUMMYFUNCTION("""COMPUTED_VALUE"""),"ابالفضل العباس (ع)")</f>
        <v>ابالفضل العباس (ع)</v>
      </c>
      <c r="D6320" s="5" t="str">
        <f>IFERROR(__xludf.DUMMYFUNCTION("""COMPUTED_VALUE"""),"قم")</f>
        <v>قم</v>
      </c>
      <c r="E6320" s="5" t="str">
        <f>IFERROR(__xludf.DUMMYFUNCTION("""COMPUTED_VALUE"""),"قم")</f>
        <v>قم</v>
      </c>
      <c r="F6320" s="5"/>
      <c r="G6320" s="5">
        <f>IFERROR(__xludf.DUMMYFUNCTION("""COMPUTED_VALUE"""),2.0)</f>
        <v>2</v>
      </c>
      <c r="H6320" s="5"/>
      <c r="I6320" s="5"/>
      <c r="J6320" s="6" t="str">
        <f>IFERROR(__xludf.DUMMYFUNCTION("""COMPUTED_VALUE"""),"https://eitaa.com/ThedelegationofHazratAbulfazl")</f>
        <v>https://eitaa.com/ThedelegationofHazratAbulfazl</v>
      </c>
      <c r="K6320" s="5"/>
      <c r="L6320" s="5"/>
      <c r="M6320" s="5"/>
      <c r="N6320" s="5"/>
      <c r="O6320" s="5"/>
      <c r="P6320" s="5"/>
      <c r="Q6320" s="5"/>
      <c r="R6320" s="5"/>
      <c r="S6320" s="5"/>
    </row>
    <row r="6321">
      <c r="A6321" s="5"/>
      <c r="B6321" s="5" t="str">
        <f>IFERROR(__xludf.DUMMYFUNCTION("""COMPUTED_VALUE"""),"حسینیه")</f>
        <v>حسینیه</v>
      </c>
      <c r="C6321" s="5" t="str">
        <f>IFERROR(__xludf.DUMMYFUNCTION("""COMPUTED_VALUE"""),"الامام الحسن المجتبی")</f>
        <v>الامام الحسن المجتبی</v>
      </c>
      <c r="D6321" s="5" t="str">
        <f>IFERROR(__xludf.DUMMYFUNCTION("""COMPUTED_VALUE"""),"قم")</f>
        <v>قم</v>
      </c>
      <c r="E6321" s="5" t="str">
        <f>IFERROR(__xludf.DUMMYFUNCTION("""COMPUTED_VALUE"""),"قم")</f>
        <v>قم</v>
      </c>
      <c r="F6321" s="5"/>
      <c r="G6321" s="5">
        <f>IFERROR(__xludf.DUMMYFUNCTION("""COMPUTED_VALUE"""),2.0)</f>
        <v>2</v>
      </c>
      <c r="H6321" s="6" t="str">
        <f>IFERROR(__xludf.DUMMYFUNCTION("""COMPUTED_VALUE"""),"https://www.instagram.com/huseiniye.imam.hasan/")</f>
        <v>https://www.instagram.com/huseiniye.imam.hasan/</v>
      </c>
      <c r="I6321" s="5"/>
      <c r="J6321" s="5"/>
      <c r="K6321" s="5"/>
      <c r="L6321" s="5"/>
      <c r="M6321" s="5"/>
      <c r="N6321" s="5"/>
      <c r="O6321" s="5"/>
      <c r="P6321" s="5"/>
      <c r="Q6321" s="5"/>
      <c r="R6321" s="5"/>
      <c r="S6321" s="5"/>
    </row>
    <row r="6322">
      <c r="A6322" s="5"/>
      <c r="B6322" s="5" t="str">
        <f>IFERROR(__xludf.DUMMYFUNCTION("""COMPUTED_VALUE"""),"هیأت")</f>
        <v>هیأت</v>
      </c>
      <c r="C6322" s="5" t="str">
        <f>IFERROR(__xludf.DUMMYFUNCTION("""COMPUTED_VALUE"""),"الزهرا")</f>
        <v>الزهرا</v>
      </c>
      <c r="D6322" s="5" t="str">
        <f>IFERROR(__xludf.DUMMYFUNCTION("""COMPUTED_VALUE"""),"قم")</f>
        <v>قم</v>
      </c>
      <c r="E6322" s="5" t="str">
        <f>IFERROR(__xludf.DUMMYFUNCTION("""COMPUTED_VALUE"""),"قم")</f>
        <v>قم</v>
      </c>
      <c r="F6322" s="5"/>
      <c r="G6322" s="5">
        <f>IFERROR(__xludf.DUMMYFUNCTION("""COMPUTED_VALUE"""),2.0)</f>
        <v>2</v>
      </c>
      <c r="H6322" s="6" t="str">
        <f>IFERROR(__xludf.DUMMYFUNCTION("""COMPUTED_VALUE"""),"https://www.instagram.com/alzahra_qom/")</f>
        <v>https://www.instagram.com/alzahra_qom/</v>
      </c>
      <c r="I6322" s="6" t="str">
        <f>IFERROR(__xludf.DUMMYFUNCTION("""COMPUTED_VALUE"""),"https://t.me/al_zahra_com")</f>
        <v>https://t.me/al_zahra_com</v>
      </c>
      <c r="J6322" s="5"/>
      <c r="K6322" s="5"/>
      <c r="L6322" s="5"/>
      <c r="M6322" s="5"/>
      <c r="N6322" s="5"/>
      <c r="O6322" s="5"/>
      <c r="P6322" s="5"/>
      <c r="Q6322" s="5"/>
      <c r="R6322" s="5"/>
      <c r="S6322" s="5"/>
    </row>
    <row r="6323">
      <c r="A6323" s="5"/>
      <c r="B6323" s="5" t="str">
        <f>IFERROR(__xludf.DUMMYFUNCTION("""COMPUTED_VALUE"""),"حسینیه")</f>
        <v>حسینیه</v>
      </c>
      <c r="C6323" s="5" t="str">
        <f>IFERROR(__xludf.DUMMYFUNCTION("""COMPUTED_VALUE"""),"النجف الاشرف")</f>
        <v>النجف الاشرف</v>
      </c>
      <c r="D6323" s="5" t="str">
        <f>IFERROR(__xludf.DUMMYFUNCTION("""COMPUTED_VALUE"""),"قم")</f>
        <v>قم</v>
      </c>
      <c r="E6323" s="5" t="str">
        <f>IFERROR(__xludf.DUMMYFUNCTION("""COMPUTED_VALUE"""),"قم")</f>
        <v>قم</v>
      </c>
      <c r="F6323" s="5"/>
      <c r="G6323" s="5">
        <f>IFERROR(__xludf.DUMMYFUNCTION("""COMPUTED_VALUE"""),2.0)</f>
        <v>2</v>
      </c>
      <c r="H6323" s="6" t="str">
        <f>IFERROR(__xludf.DUMMYFUNCTION("""COMPUTED_VALUE"""),"https://www.instagram.com/h_alnajafiye/")</f>
        <v>https://www.instagram.com/h_alnajafiye/</v>
      </c>
      <c r="I6323" s="6" t="str">
        <f>IFERROR(__xludf.DUMMYFUNCTION("""COMPUTED_VALUE"""),"https://t.me/h_alnajafiye")</f>
        <v>https://t.me/h_alnajafiye</v>
      </c>
      <c r="J6323" s="5"/>
      <c r="K6323" s="6" t="str">
        <f>IFERROR(__xludf.DUMMYFUNCTION("""COMPUTED_VALUE"""),"https://www.youtube.com/@H.alnajafiye")</f>
        <v>https://www.youtube.com/@H.alnajafiye</v>
      </c>
      <c r="L6323" s="5"/>
      <c r="M6323" s="5"/>
      <c r="N6323" s="5"/>
      <c r="O6323" s="5"/>
      <c r="P6323" s="5"/>
      <c r="Q6323" s="5"/>
      <c r="R6323" s="5"/>
      <c r="S6323" s="5"/>
    </row>
    <row r="6324">
      <c r="A6324" s="5"/>
      <c r="B6324" s="5" t="str">
        <f>IFERROR(__xludf.DUMMYFUNCTION("""COMPUTED_VALUE"""),"حسنیه")</f>
        <v>حسنیه</v>
      </c>
      <c r="C6324" s="5" t="str">
        <f>IFERROR(__xludf.DUMMYFUNCTION("""COMPUTED_VALUE"""),"امام حسن مجتبی (ع)")</f>
        <v>امام حسن مجتبی (ع)</v>
      </c>
      <c r="D6324" s="5" t="str">
        <f>IFERROR(__xludf.DUMMYFUNCTION("""COMPUTED_VALUE"""),"قم")</f>
        <v>قم</v>
      </c>
      <c r="E6324" s="5" t="str">
        <f>IFERROR(__xludf.DUMMYFUNCTION("""COMPUTED_VALUE"""),"قم")</f>
        <v>قم</v>
      </c>
      <c r="F6324" s="5"/>
      <c r="G6324" s="5">
        <f>IFERROR(__xludf.DUMMYFUNCTION("""COMPUTED_VALUE"""),2.0)</f>
        <v>2</v>
      </c>
      <c r="H6324" s="6" t="str">
        <f>IFERROR(__xludf.DUMMYFUNCTION("""COMPUTED_VALUE"""),"https://www.instagram.com/hasanieh_qom/")</f>
        <v>https://www.instagram.com/hasanieh_qom/</v>
      </c>
      <c r="I6324" s="5"/>
      <c r="J6324" s="5"/>
      <c r="K6324" s="5"/>
      <c r="L6324" s="5"/>
      <c r="M6324" s="5"/>
      <c r="N6324" s="5"/>
      <c r="O6324" s="5"/>
      <c r="P6324" s="5"/>
      <c r="Q6324" s="5"/>
      <c r="R6324" s="5"/>
      <c r="S6324" s="5"/>
    </row>
    <row r="6325">
      <c r="A6325" s="5">
        <f>IFERROR(__xludf.DUMMYFUNCTION("""COMPUTED_VALUE"""),25519.0)</f>
        <v>25519</v>
      </c>
      <c r="B6325" s="5" t="str">
        <f>IFERROR(__xludf.DUMMYFUNCTION("""COMPUTED_VALUE"""),"هیأت")</f>
        <v>هیأت</v>
      </c>
      <c r="C6325" s="5" t="str">
        <f>IFERROR(__xludf.DUMMYFUNCTION("""COMPUTED_VALUE"""),"امام رضا")</f>
        <v>امام رضا</v>
      </c>
      <c r="D6325" s="5" t="str">
        <f>IFERROR(__xludf.DUMMYFUNCTION("""COMPUTED_VALUE"""),"قم")</f>
        <v>قم</v>
      </c>
      <c r="E6325" s="5" t="str">
        <f>IFERROR(__xludf.DUMMYFUNCTION("""COMPUTED_VALUE"""),"قم")</f>
        <v>قم</v>
      </c>
      <c r="F6325" s="5"/>
      <c r="G6325" s="5">
        <f>IFERROR(__xludf.DUMMYFUNCTION("""COMPUTED_VALUE"""),2.0)</f>
        <v>2</v>
      </c>
      <c r="H6325" s="6" t="str">
        <f>IFERROR(__xludf.DUMMYFUNCTION("""COMPUTED_VALUE"""),"https://www.instagram.com/heyat_emamreza.qom/")</f>
        <v>https://www.instagram.com/heyat_emamreza.qom/</v>
      </c>
      <c r="I6325" s="5"/>
      <c r="J6325" s="5"/>
      <c r="K6325" s="5"/>
      <c r="L6325" s="5"/>
      <c r="M6325" s="5"/>
      <c r="N6325" s="5"/>
      <c r="O6325" s="5"/>
      <c r="P6325" s="5"/>
      <c r="Q6325" s="5"/>
      <c r="R6325" s="5"/>
      <c r="S6325" s="5"/>
    </row>
    <row r="6326">
      <c r="A6326" s="5">
        <f>IFERROR(__xludf.DUMMYFUNCTION("""COMPUTED_VALUE"""),32211.0)</f>
        <v>32211</v>
      </c>
      <c r="B6326" s="5" t="str">
        <f>IFERROR(__xludf.DUMMYFUNCTION("""COMPUTED_VALUE"""),"هیأت")</f>
        <v>هیأت</v>
      </c>
      <c r="C6326" s="5" t="str">
        <f>IFERROR(__xludf.DUMMYFUNCTION("""COMPUTED_VALUE"""),"امام رضا")</f>
        <v>امام رضا</v>
      </c>
      <c r="D6326" s="5" t="str">
        <f>IFERROR(__xludf.DUMMYFUNCTION("""COMPUTED_VALUE"""),"قم")</f>
        <v>قم</v>
      </c>
      <c r="E6326" s="5" t="str">
        <f>IFERROR(__xludf.DUMMYFUNCTION("""COMPUTED_VALUE"""),"قم")</f>
        <v>قم</v>
      </c>
      <c r="F6326" s="5"/>
      <c r="G6326" s="5">
        <f>IFERROR(__xludf.DUMMYFUNCTION("""COMPUTED_VALUE"""),2.0)</f>
        <v>2</v>
      </c>
      <c r="H6326" s="6" t="str">
        <f>IFERROR(__xludf.DUMMYFUNCTION("""COMPUTED_VALUE"""),"https://www.instagram.com/heyatemamreza_qom/")</f>
        <v>https://www.instagram.com/heyatemamreza_qom/</v>
      </c>
      <c r="I6326" s="5"/>
      <c r="J6326" s="6" t="str">
        <f>IFERROR(__xludf.DUMMYFUNCTION("""COMPUTED_VALUE"""),"https://eitaa.com/Heyatemamreza_qom")</f>
        <v>https://eitaa.com/Heyatemamreza_qom</v>
      </c>
      <c r="K6326" s="5"/>
      <c r="L6326" s="5"/>
      <c r="M6326" s="5"/>
      <c r="N6326" s="5"/>
      <c r="O6326" s="5"/>
      <c r="P6326" s="5"/>
      <c r="Q6326" s="5"/>
      <c r="R6326" s="5"/>
      <c r="S6326" s="5"/>
    </row>
    <row r="6327">
      <c r="A6327" s="5">
        <f>IFERROR(__xludf.DUMMYFUNCTION("""COMPUTED_VALUE"""),10835.0)</f>
        <v>10835</v>
      </c>
      <c r="B6327" s="5" t="str">
        <f>IFERROR(__xludf.DUMMYFUNCTION("""COMPUTED_VALUE"""),"هیأت")</f>
        <v>هیأت</v>
      </c>
      <c r="C6327" s="5" t="str">
        <f>IFERROR(__xludf.DUMMYFUNCTION("""COMPUTED_VALUE"""),"امام مهدی")</f>
        <v>امام مهدی</v>
      </c>
      <c r="D6327" s="5" t="str">
        <f>IFERROR(__xludf.DUMMYFUNCTION("""COMPUTED_VALUE"""),"قم")</f>
        <v>قم</v>
      </c>
      <c r="E6327" s="5" t="str">
        <f>IFERROR(__xludf.DUMMYFUNCTION("""COMPUTED_VALUE"""),"قم")</f>
        <v>قم</v>
      </c>
      <c r="F6327" s="5"/>
      <c r="G6327" s="5">
        <f>IFERROR(__xludf.DUMMYFUNCTION("""COMPUTED_VALUE"""),2.0)</f>
        <v>2</v>
      </c>
      <c r="H6327" s="5"/>
      <c r="I6327" s="5"/>
      <c r="J6327" s="6" t="str">
        <f>IFERROR(__xludf.DUMMYFUNCTION("""COMPUTED_VALUE"""),"https://eitaa.com/hazrat_mahdi")</f>
        <v>https://eitaa.com/hazrat_mahdi</v>
      </c>
      <c r="K6327" s="5"/>
      <c r="L6327" s="5"/>
      <c r="M6327" s="5"/>
      <c r="N6327" s="5"/>
      <c r="O6327" s="5"/>
      <c r="P6327" s="5"/>
      <c r="Q6327" s="5"/>
      <c r="R6327" s="5"/>
      <c r="S6327" s="5"/>
    </row>
    <row r="6328">
      <c r="A6328" s="5">
        <f>IFERROR(__xludf.DUMMYFUNCTION("""COMPUTED_VALUE"""),32119.0)</f>
        <v>32119</v>
      </c>
      <c r="B6328" s="5" t="str">
        <f>IFERROR(__xludf.DUMMYFUNCTION("""COMPUTED_VALUE"""),"هیأت")</f>
        <v>هیأت</v>
      </c>
      <c r="C6328" s="5" t="str">
        <f>IFERROR(__xludf.DUMMYFUNCTION("""COMPUTED_VALUE"""),"امیر المومنین (ع)")</f>
        <v>امیر المومنین (ع)</v>
      </c>
      <c r="D6328" s="5" t="str">
        <f>IFERROR(__xludf.DUMMYFUNCTION("""COMPUTED_VALUE"""),"قم")</f>
        <v>قم</v>
      </c>
      <c r="E6328" s="5" t="str">
        <f>IFERROR(__xludf.DUMMYFUNCTION("""COMPUTED_VALUE"""),"قم")</f>
        <v>قم</v>
      </c>
      <c r="F6328" s="5"/>
      <c r="G6328" s="5">
        <f>IFERROR(__xludf.DUMMYFUNCTION("""COMPUTED_VALUE"""),2.0)</f>
        <v>2</v>
      </c>
      <c r="H6328" s="6" t="str">
        <f>IFERROR(__xludf.DUMMYFUNCTION("""COMPUTED_VALUE"""),"https://www.instagram.com/heyat_amiralmomenin_qom/")</f>
        <v>https://www.instagram.com/heyat_amiralmomenin_qom/</v>
      </c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</row>
    <row r="6329">
      <c r="A6329" s="5"/>
      <c r="B6329" s="5" t="str">
        <f>IFERROR(__xludf.DUMMYFUNCTION("""COMPUTED_VALUE"""),"هیأت")</f>
        <v>هیأت</v>
      </c>
      <c r="C6329" s="5" t="str">
        <f>IFERROR(__xludf.DUMMYFUNCTION("""COMPUTED_VALUE"""),"شبیه خوانی طفلان حضرت مسلم(ع)")</f>
        <v>شبیه خوانی طفلان حضرت مسلم(ع)</v>
      </c>
      <c r="D6329" s="5" t="str">
        <f>IFERROR(__xludf.DUMMYFUNCTION("""COMPUTED_VALUE"""),"قم")</f>
        <v>قم</v>
      </c>
      <c r="E6329" s="5" t="str">
        <f>IFERROR(__xludf.DUMMYFUNCTION("""COMPUTED_VALUE"""),"قم")</f>
        <v>قم</v>
      </c>
      <c r="F6329" s="5"/>
      <c r="G6329" s="5">
        <f>IFERROR(__xludf.DUMMYFUNCTION("""COMPUTED_VALUE"""),2.0)</f>
        <v>2</v>
      </c>
      <c r="H6329" s="5"/>
      <c r="I6329" s="5"/>
      <c r="J6329" s="6" t="str">
        <f>IFERROR(__xludf.DUMMYFUNCTION("""COMPUTED_VALUE"""),"https://eitaa.com/doteflanemoslem")</f>
        <v>https://eitaa.com/doteflanemoslem</v>
      </c>
      <c r="K6329" s="5"/>
      <c r="L6329" s="5"/>
      <c r="M6329" s="5"/>
      <c r="N6329" s="5"/>
      <c r="O6329" s="5"/>
      <c r="P6329" s="5"/>
      <c r="Q6329" s="5"/>
      <c r="R6329" s="5"/>
      <c r="S6329" s="5"/>
    </row>
    <row r="6330">
      <c r="A6330" s="5"/>
      <c r="B6330" s="5" t="str">
        <f>IFERROR(__xludf.DUMMYFUNCTION("""COMPUTED_VALUE"""),"هیأت")</f>
        <v>هیأت</v>
      </c>
      <c r="C6330" s="5" t="str">
        <f>IFERROR(__xludf.DUMMYFUNCTION("""COMPUTED_VALUE"""),"انصارالزهراء")</f>
        <v>انصارالزهراء</v>
      </c>
      <c r="D6330" s="5" t="str">
        <f>IFERROR(__xludf.DUMMYFUNCTION("""COMPUTED_VALUE"""),"قم")</f>
        <v>قم</v>
      </c>
      <c r="E6330" s="5" t="str">
        <f>IFERROR(__xludf.DUMMYFUNCTION("""COMPUTED_VALUE"""),"جعفریه")</f>
        <v>جعفریه</v>
      </c>
      <c r="F6330" s="5"/>
      <c r="G6330" s="5">
        <f>IFERROR(__xludf.DUMMYFUNCTION("""COMPUTED_VALUE"""),2.0)</f>
        <v>2</v>
      </c>
      <c r="H6330" s="6" t="str">
        <f>IFERROR(__xludf.DUMMYFUNCTION("""COMPUTED_VALUE"""),"https://www.instagram.com/ansaralzahra135/")</f>
        <v>https://www.instagram.com/ansaralzahra135/</v>
      </c>
      <c r="I6330" s="5"/>
      <c r="J6330" s="5"/>
      <c r="K6330" s="5"/>
      <c r="L6330" s="5"/>
      <c r="M6330" s="5"/>
      <c r="N6330" s="5"/>
      <c r="O6330" s="5"/>
      <c r="P6330" s="5"/>
      <c r="Q6330" s="5"/>
      <c r="R6330" s="5"/>
      <c r="S6330" s="5"/>
    </row>
    <row r="6331">
      <c r="A6331" s="5">
        <f>IFERROR(__xludf.DUMMYFUNCTION("""COMPUTED_VALUE"""),31875.0)</f>
        <v>31875</v>
      </c>
      <c r="B6331" s="5" t="str">
        <f>IFERROR(__xludf.DUMMYFUNCTION("""COMPUTED_VALUE"""),"هیأت")</f>
        <v>هیأت</v>
      </c>
      <c r="C6331" s="5" t="str">
        <f>IFERROR(__xludf.DUMMYFUNCTION("""COMPUTED_VALUE"""),"باب الحوایج (ع)")</f>
        <v>باب الحوایج (ع)</v>
      </c>
      <c r="D6331" s="5" t="str">
        <f>IFERROR(__xludf.DUMMYFUNCTION("""COMPUTED_VALUE"""),"قم")</f>
        <v>قم</v>
      </c>
      <c r="E6331" s="5" t="str">
        <f>IFERROR(__xludf.DUMMYFUNCTION("""COMPUTED_VALUE"""),"قم")</f>
        <v>قم</v>
      </c>
      <c r="F6331" s="5"/>
      <c r="G6331" s="5">
        <f>IFERROR(__xludf.DUMMYFUNCTION("""COMPUTED_VALUE"""),2.0)</f>
        <v>2</v>
      </c>
      <c r="H6331" s="6" t="str">
        <f>IFERROR(__xludf.DUMMYFUNCTION("""COMPUTED_VALUE"""),"https://www.instagram.com/hoseyniyeh_hamedani_ha/")</f>
        <v>https://www.instagram.com/hoseyniyeh_hamedani_ha/</v>
      </c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</row>
    <row r="6332">
      <c r="A6332" s="5"/>
      <c r="B6332" s="5" t="str">
        <f>IFERROR(__xludf.DUMMYFUNCTION("""COMPUTED_VALUE"""),"هیأت")</f>
        <v>هیأت</v>
      </c>
      <c r="C6332" s="5" t="str">
        <f>IFERROR(__xludf.DUMMYFUNCTION("""COMPUTED_VALUE"""),"بنی الزهرا")</f>
        <v>بنی الزهرا</v>
      </c>
      <c r="D6332" s="5" t="str">
        <f>IFERROR(__xludf.DUMMYFUNCTION("""COMPUTED_VALUE"""),"قم")</f>
        <v>قم</v>
      </c>
      <c r="E6332" s="5" t="str">
        <f>IFERROR(__xludf.DUMMYFUNCTION("""COMPUTED_VALUE"""),"قم")</f>
        <v>قم</v>
      </c>
      <c r="F6332" s="5"/>
      <c r="G6332" s="5">
        <f>IFERROR(__xludf.DUMMYFUNCTION("""COMPUTED_VALUE"""),2.0)</f>
        <v>2</v>
      </c>
      <c r="H6332" s="6" t="str">
        <f>IFERROR(__xludf.DUMMYFUNCTION("""COMPUTED_VALUE"""),"https://www.instagram.com/banealzahra_ir/")</f>
        <v>https://www.instagram.com/banealzahra_ir/</v>
      </c>
      <c r="I6332" s="5"/>
      <c r="J6332" s="6" t="str">
        <f>IFERROR(__xludf.DUMMYFUNCTION("""COMPUTED_VALUE"""),"https://eitaa.com/banealzahra_ir")</f>
        <v>https://eitaa.com/banealzahra_ir</v>
      </c>
      <c r="K6332" s="5"/>
      <c r="L6332" s="5"/>
      <c r="M6332" s="5"/>
      <c r="N6332" s="5"/>
      <c r="O6332" s="5"/>
      <c r="P6332" s="5"/>
      <c r="Q6332" s="5"/>
      <c r="R6332" s="5"/>
      <c r="S6332" s="5"/>
    </row>
    <row r="6333">
      <c r="A6333" s="5">
        <f>IFERROR(__xludf.DUMMYFUNCTION("""COMPUTED_VALUE"""),32904.0)</f>
        <v>32904</v>
      </c>
      <c r="B6333" s="5" t="str">
        <f>IFERROR(__xludf.DUMMYFUNCTION("""COMPUTED_VALUE"""),"هیأت")</f>
        <v>هیأت</v>
      </c>
      <c r="C6333" s="5" t="str">
        <f>IFERROR(__xludf.DUMMYFUNCTION("""COMPUTED_VALUE"""),"بهشت رضویه")</f>
        <v>بهشت رضویه</v>
      </c>
      <c r="D6333" s="5" t="str">
        <f>IFERROR(__xludf.DUMMYFUNCTION("""COMPUTED_VALUE"""),"قم")</f>
        <v>قم</v>
      </c>
      <c r="E6333" s="5" t="str">
        <f>IFERROR(__xludf.DUMMYFUNCTION("""COMPUTED_VALUE"""),"قم")</f>
        <v>قم</v>
      </c>
      <c r="F6333" s="5"/>
      <c r="G6333" s="5">
        <f>IFERROR(__xludf.DUMMYFUNCTION("""COMPUTED_VALUE"""),2.0)</f>
        <v>2</v>
      </c>
      <c r="H6333" s="5"/>
      <c r="I6333" s="5"/>
      <c r="J6333" s="6" t="str">
        <f>IFERROR(__xludf.DUMMYFUNCTION("""COMPUTED_VALUE"""),"https://eitaa.com/razaviekh8")</f>
        <v>https://eitaa.com/razaviekh8</v>
      </c>
      <c r="K6333" s="5"/>
      <c r="L6333" s="5"/>
      <c r="M6333" s="5"/>
      <c r="N6333" s="5"/>
      <c r="O6333" s="5"/>
      <c r="P6333" s="5"/>
      <c r="Q6333" s="5"/>
      <c r="R6333" s="5"/>
      <c r="S6333" s="5"/>
    </row>
    <row r="6334">
      <c r="A6334" s="5"/>
      <c r="B6334" s="5" t="str">
        <f>IFERROR(__xludf.DUMMYFUNCTION("""COMPUTED_VALUE"""),"حسینیه")</f>
        <v>حسینیه</v>
      </c>
      <c r="C6334" s="5" t="str">
        <f>IFERROR(__xludf.DUMMYFUNCTION("""COMPUTED_VALUE"""),"بیت السجاد")</f>
        <v>بیت السجاد</v>
      </c>
      <c r="D6334" s="5" t="str">
        <f>IFERROR(__xludf.DUMMYFUNCTION("""COMPUTED_VALUE"""),"قم")</f>
        <v>قم</v>
      </c>
      <c r="E6334" s="5" t="str">
        <f>IFERROR(__xludf.DUMMYFUNCTION("""COMPUTED_VALUE"""),"قم")</f>
        <v>قم</v>
      </c>
      <c r="F6334" s="5"/>
      <c r="G6334" s="5">
        <f>IFERROR(__xludf.DUMMYFUNCTION("""COMPUTED_VALUE"""),2.0)</f>
        <v>2</v>
      </c>
      <c r="H6334" s="6" t="str">
        <f>IFERROR(__xludf.DUMMYFUNCTION("""COMPUTED_VALUE"""),"https://www.instagram.com/beyt_al_sajjad_offical/")</f>
        <v>https://www.instagram.com/beyt_al_sajjad_offical/</v>
      </c>
      <c r="I6334" s="6" t="str">
        <f>IFERROR(__xludf.DUMMYFUNCTION("""COMPUTED_VALUE"""),"https://t.me/beyt_al_sajjad_offical")</f>
        <v>https://t.me/beyt_al_sajjad_offical</v>
      </c>
      <c r="J6334" s="5"/>
      <c r="K6334" s="5"/>
      <c r="L6334" s="5"/>
      <c r="M6334" s="5"/>
      <c r="N6334" s="5"/>
      <c r="O6334" s="5"/>
      <c r="P6334" s="5"/>
      <c r="Q6334" s="5"/>
      <c r="R6334" s="5"/>
      <c r="S6334" s="5"/>
    </row>
    <row r="6335">
      <c r="A6335" s="5"/>
      <c r="B6335" s="5" t="str">
        <f>IFERROR(__xludf.DUMMYFUNCTION("""COMPUTED_VALUE"""),"هیأت")</f>
        <v>هیأت</v>
      </c>
      <c r="C6335" s="5" t="str">
        <f>IFERROR(__xludf.DUMMYFUNCTION("""COMPUTED_VALUE"""),"تاسوعا")</f>
        <v>تاسوعا</v>
      </c>
      <c r="D6335" s="5" t="str">
        <f>IFERROR(__xludf.DUMMYFUNCTION("""COMPUTED_VALUE"""),"قم")</f>
        <v>قم</v>
      </c>
      <c r="E6335" s="5" t="str">
        <f>IFERROR(__xludf.DUMMYFUNCTION("""COMPUTED_VALUE"""),"قم")</f>
        <v>قم</v>
      </c>
      <c r="F6335" s="5"/>
      <c r="G6335" s="5">
        <f>IFERROR(__xludf.DUMMYFUNCTION("""COMPUTED_VALUE"""),2.0)</f>
        <v>2</v>
      </c>
      <c r="H6335" s="6" t="str">
        <f>IFERROR(__xludf.DUMMYFUNCTION("""COMPUTED_VALUE"""),"https://www.instagram.com/heyat_tasooa_qom/")</f>
        <v>https://www.instagram.com/heyat_tasooa_qom/</v>
      </c>
      <c r="I6335" s="5"/>
      <c r="J6335" s="6" t="str">
        <f>IFERROR(__xludf.DUMMYFUNCTION("""COMPUTED_VALUE"""),"https://eitaa.com/Heyat_tasooa")</f>
        <v>https://eitaa.com/Heyat_tasooa</v>
      </c>
      <c r="K6335" s="5"/>
      <c r="L6335" s="5"/>
      <c r="M6335" s="5"/>
      <c r="N6335" s="5"/>
      <c r="O6335" s="5"/>
      <c r="P6335" s="5"/>
      <c r="Q6335" s="5"/>
      <c r="R6335" s="5"/>
      <c r="S6335" s="5"/>
    </row>
    <row r="6336">
      <c r="A6336" s="5">
        <f>IFERROR(__xludf.DUMMYFUNCTION("""COMPUTED_VALUE"""),24222.0)</f>
        <v>24222</v>
      </c>
      <c r="B6336" s="5" t="str">
        <f>IFERROR(__xludf.DUMMYFUNCTION("""COMPUTED_VALUE"""),"هیأت")</f>
        <v>هیأت</v>
      </c>
      <c r="C6336" s="5" t="str">
        <f>IFERROR(__xludf.DUMMYFUNCTION("""COMPUTED_VALUE"""),"جنت الحسین(ع)")</f>
        <v>جنت الحسین(ع)</v>
      </c>
      <c r="D6336" s="5" t="str">
        <f>IFERROR(__xludf.DUMMYFUNCTION("""COMPUTED_VALUE"""),"قم")</f>
        <v>قم</v>
      </c>
      <c r="E6336" s="5" t="str">
        <f>IFERROR(__xludf.DUMMYFUNCTION("""COMPUTED_VALUE"""),"قم")</f>
        <v>قم</v>
      </c>
      <c r="F6336" s="5"/>
      <c r="G6336" s="5">
        <f>IFERROR(__xludf.DUMMYFUNCTION("""COMPUTED_VALUE"""),2.0)</f>
        <v>2</v>
      </c>
      <c r="H6336" s="6" t="str">
        <f>IFERROR(__xludf.DUMMYFUNCTION("""COMPUTED_VALUE"""),"https://www.instagram.com/jannatalhoseinqom/")</f>
        <v>https://www.instagram.com/jannatalhoseinqom/</v>
      </c>
      <c r="I6336" s="6" t="str">
        <f>IFERROR(__xludf.DUMMYFUNCTION("""COMPUTED_VALUE"""),"https://t.me/jannatalhoseinqom")</f>
        <v>https://t.me/jannatalhoseinqom</v>
      </c>
      <c r="J6336" s="5"/>
      <c r="K6336" s="5"/>
      <c r="L6336" s="5"/>
      <c r="M6336" s="5"/>
      <c r="N6336" s="5"/>
      <c r="O6336" s="5"/>
      <c r="P6336" s="5"/>
      <c r="Q6336" s="5"/>
      <c r="R6336" s="5"/>
      <c r="S6336" s="5"/>
    </row>
    <row r="6337">
      <c r="A6337" s="5">
        <f>IFERROR(__xludf.DUMMYFUNCTION("""COMPUTED_VALUE"""),32125.0)</f>
        <v>32125</v>
      </c>
      <c r="B6337" s="5" t="str">
        <f>IFERROR(__xludf.DUMMYFUNCTION("""COMPUTED_VALUE"""),"هیأت")</f>
        <v>هیأت</v>
      </c>
      <c r="C6337" s="5" t="str">
        <f>IFERROR(__xludf.DUMMYFUNCTION("""COMPUTED_VALUE"""),"جنت الرضا (ع)")</f>
        <v>جنت الرضا (ع)</v>
      </c>
      <c r="D6337" s="5" t="str">
        <f>IFERROR(__xludf.DUMMYFUNCTION("""COMPUTED_VALUE"""),"قم")</f>
        <v>قم</v>
      </c>
      <c r="E6337" s="5" t="str">
        <f>IFERROR(__xludf.DUMMYFUNCTION("""COMPUTED_VALUE"""),"قم")</f>
        <v>قم</v>
      </c>
      <c r="F6337" s="5"/>
      <c r="G6337" s="5">
        <f>IFERROR(__xludf.DUMMYFUNCTION("""COMPUTED_VALUE"""),2.0)</f>
        <v>2</v>
      </c>
      <c r="H6337" s="5"/>
      <c r="I6337" s="5"/>
      <c r="J6337" s="6" t="str">
        <f>IFERROR(__xludf.DUMMYFUNCTION("""COMPUTED_VALUE"""),"https://eitaa.com/jannatorreza401")</f>
        <v>https://eitaa.com/jannatorreza401</v>
      </c>
      <c r="K6337" s="5"/>
      <c r="L6337" s="5"/>
      <c r="M6337" s="5"/>
      <c r="N6337" s="5"/>
      <c r="O6337" s="5"/>
      <c r="P6337" s="5"/>
      <c r="Q6337" s="5"/>
      <c r="R6337" s="5"/>
      <c r="S6337" s="5"/>
    </row>
    <row r="6338">
      <c r="A6338" s="5"/>
      <c r="B6338" s="5" t="str">
        <f>IFERROR(__xludf.DUMMYFUNCTION("""COMPUTED_VALUE"""),"هیأت")</f>
        <v>هیأت</v>
      </c>
      <c r="C6338" s="5" t="str">
        <f>IFERROR(__xludf.DUMMYFUNCTION("""COMPUTED_VALUE"""),"جوانان قمربنی هاشم")</f>
        <v>جوانان قمربنی هاشم</v>
      </c>
      <c r="D6338" s="5" t="str">
        <f>IFERROR(__xludf.DUMMYFUNCTION("""COMPUTED_VALUE"""),"قم")</f>
        <v>قم</v>
      </c>
      <c r="E6338" s="5" t="str">
        <f>IFERROR(__xludf.DUMMYFUNCTION("""COMPUTED_VALUE"""),"قم")</f>
        <v>قم</v>
      </c>
      <c r="F6338" s="5"/>
      <c r="G6338" s="5">
        <f>IFERROR(__xludf.DUMMYFUNCTION("""COMPUTED_VALUE"""),2.0)</f>
        <v>2</v>
      </c>
      <c r="H6338" s="6" t="str">
        <f>IFERROR(__xludf.DUMMYFUNCTION("""COMPUTED_VALUE"""),"https://www.instagram.com/heiat_javanan_qom_1/")</f>
        <v>https://www.instagram.com/heiat_javanan_qom_1/</v>
      </c>
      <c r="I6338" s="5"/>
      <c r="J6338" s="6" t="str">
        <f>IFERROR(__xludf.DUMMYFUNCTION("""COMPUTED_VALUE"""),"https://eitaa.com/heiat_javanan_qom_1")</f>
        <v>https://eitaa.com/heiat_javanan_qom_1</v>
      </c>
      <c r="K6338" s="5"/>
      <c r="L6338" s="5"/>
      <c r="M6338" s="5"/>
      <c r="N6338" s="5"/>
      <c r="O6338" s="5"/>
      <c r="P6338" s="5"/>
      <c r="Q6338" s="5"/>
      <c r="R6338" s="5"/>
      <c r="S6338" s="5"/>
    </row>
    <row r="6339">
      <c r="A6339" s="5"/>
      <c r="B6339" s="5" t="str">
        <f>IFERROR(__xludf.DUMMYFUNCTION("""COMPUTED_VALUE"""),"هیأت")</f>
        <v>هیأت</v>
      </c>
      <c r="C6339" s="5" t="str">
        <f>IFERROR(__xludf.DUMMYFUNCTION("""COMPUTED_VALUE"""),"حــرم الـحـسن")</f>
        <v>حــرم الـحـسن</v>
      </c>
      <c r="D6339" s="5" t="str">
        <f>IFERROR(__xludf.DUMMYFUNCTION("""COMPUTED_VALUE"""),"قم")</f>
        <v>قم</v>
      </c>
      <c r="E6339" s="5" t="str">
        <f>IFERROR(__xludf.DUMMYFUNCTION("""COMPUTED_VALUE"""),"قم")</f>
        <v>قم</v>
      </c>
      <c r="F6339" s="5"/>
      <c r="G6339" s="5">
        <f>IFERROR(__xludf.DUMMYFUNCTION("""COMPUTED_VALUE"""),2.0)</f>
        <v>2</v>
      </c>
      <c r="H6339" s="6" t="str">
        <f>IFERROR(__xludf.DUMMYFUNCTION("""COMPUTED_VALUE"""),"https://www.instagram.com/haramolhasanqom1438/")</f>
        <v>https://www.instagram.com/haramolhasanqom1438/</v>
      </c>
      <c r="I6339" s="5"/>
      <c r="J6339" s="6" t="str">
        <f>IFERROR(__xludf.DUMMYFUNCTION("""COMPUTED_VALUE"""),"https://eitaa.com/haramolhasanqom")</f>
        <v>https://eitaa.com/haramolhasanqom</v>
      </c>
      <c r="K6339" s="5"/>
      <c r="L6339" s="5"/>
      <c r="M6339" s="5"/>
      <c r="N6339" s="5"/>
      <c r="O6339" s="5"/>
      <c r="P6339" s="5"/>
      <c r="Q6339" s="5"/>
      <c r="R6339" s="5"/>
      <c r="S6339" s="5"/>
    </row>
    <row r="6340">
      <c r="A6340" s="5"/>
      <c r="B6340" s="5" t="str">
        <f>IFERROR(__xludf.DUMMYFUNCTION("""COMPUTED_VALUE"""),"هیأت")</f>
        <v>هیأت</v>
      </c>
      <c r="C6340" s="5" t="str">
        <f>IFERROR(__xludf.DUMMYFUNCTION("""COMPUTED_VALUE"""),"حسینیه یخچال قاضی متوسلین به قمربنی هاشم")</f>
        <v>حسینیه یخچال قاضی متوسلین به قمربنی هاشم</v>
      </c>
      <c r="D6340" s="5" t="str">
        <f>IFERROR(__xludf.DUMMYFUNCTION("""COMPUTED_VALUE"""),"قم")</f>
        <v>قم</v>
      </c>
      <c r="E6340" s="5" t="str">
        <f>IFERROR(__xludf.DUMMYFUNCTION("""COMPUTED_VALUE"""),"قم")</f>
        <v>قم</v>
      </c>
      <c r="F6340" s="5"/>
      <c r="G6340" s="5">
        <f>IFERROR(__xludf.DUMMYFUNCTION("""COMPUTED_VALUE"""),2.0)</f>
        <v>2</v>
      </c>
      <c r="H6340" s="6" t="str">
        <f>IFERROR(__xludf.DUMMYFUNCTION("""COMPUTED_VALUE"""),"https://www.instagram.com/beitol_ahzan_fatemeh_zahra/")</f>
        <v>https://www.instagram.com/beitol_ahzan_fatemeh_zahra/</v>
      </c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</row>
    <row r="6341">
      <c r="A6341" s="5">
        <f>IFERROR(__xludf.DUMMYFUNCTION("""COMPUTED_VALUE"""),31850.0)</f>
        <v>31850</v>
      </c>
      <c r="B6341" s="5" t="str">
        <f>IFERROR(__xludf.DUMMYFUNCTION("""COMPUTED_VALUE"""),"هیأت")</f>
        <v>هیأت</v>
      </c>
      <c r="C6341" s="5" t="str">
        <f>IFERROR(__xludf.DUMMYFUNCTION("""COMPUTED_VALUE"""),"حضرت علی اصغر (ع)")</f>
        <v>حضرت علی اصغر (ع)</v>
      </c>
      <c r="D6341" s="5" t="str">
        <f>IFERROR(__xludf.DUMMYFUNCTION("""COMPUTED_VALUE"""),"قم")</f>
        <v>قم</v>
      </c>
      <c r="E6341" s="5" t="str">
        <f>IFERROR(__xludf.DUMMYFUNCTION("""COMPUTED_VALUE"""),"قم")</f>
        <v>قم</v>
      </c>
      <c r="F6341" s="5"/>
      <c r="G6341" s="5">
        <f>IFERROR(__xludf.DUMMYFUNCTION("""COMPUTED_VALUE"""),2.0)</f>
        <v>2</v>
      </c>
      <c r="H6341" s="6" t="str">
        <f>IFERROR(__xludf.DUMMYFUNCTION("""COMPUTED_VALUE"""),"https://www.instagram.com/heiate.aliasghar")</f>
        <v>https://www.instagram.com/heiate.aliasghar</v>
      </c>
      <c r="I6341" s="5"/>
      <c r="J6341" s="5"/>
      <c r="K6341" s="5" t="str">
        <f>IFERROR(__xludf.DUMMYFUNCTION("""COMPUTED_VALUE"""),"-")</f>
        <v>-</v>
      </c>
      <c r="L6341" s="6" t="str">
        <f>IFERROR(__xludf.DUMMYFUNCTION("""COMPUTED_VALUE"""),"heiataliasgharqom.ir")</f>
        <v>heiataliasgharqom.ir</v>
      </c>
      <c r="M6341" s="5"/>
      <c r="N6341" s="5"/>
      <c r="O6341" s="5"/>
      <c r="P6341" s="5"/>
      <c r="Q6341" s="5"/>
      <c r="R6341" s="5"/>
      <c r="S6341" s="5"/>
    </row>
    <row r="6342">
      <c r="A6342" s="5">
        <f>IFERROR(__xludf.DUMMYFUNCTION("""COMPUTED_VALUE"""),10861.0)</f>
        <v>10861</v>
      </c>
      <c r="B6342" s="5" t="str">
        <f>IFERROR(__xludf.DUMMYFUNCTION("""COMPUTED_VALUE"""),"هیأت")</f>
        <v>هیأت</v>
      </c>
      <c r="C6342" s="5" t="str">
        <f>IFERROR(__xludf.DUMMYFUNCTION("""COMPUTED_VALUE"""),"حضرت علی اکبر (ع)")</f>
        <v>حضرت علی اکبر (ع)</v>
      </c>
      <c r="D6342" s="5" t="str">
        <f>IFERROR(__xludf.DUMMYFUNCTION("""COMPUTED_VALUE"""),"قم")</f>
        <v>قم</v>
      </c>
      <c r="E6342" s="5" t="str">
        <f>IFERROR(__xludf.DUMMYFUNCTION("""COMPUTED_VALUE"""),"قم")</f>
        <v>قم</v>
      </c>
      <c r="F6342" s="5" t="str">
        <f>IFERROR(__xludf.DUMMYFUNCTION("""COMPUTED_VALUE"""),"مسجد المصطفی")</f>
        <v>مسجد المصطفی</v>
      </c>
      <c r="G6342" s="5">
        <f>IFERROR(__xludf.DUMMYFUNCTION("""COMPUTED_VALUE"""),2.0)</f>
        <v>2</v>
      </c>
      <c r="H6342" s="5"/>
      <c r="I6342" s="5"/>
      <c r="J6342" s="6" t="str">
        <f>IFERROR(__xludf.DUMMYFUNCTION("""COMPUTED_VALUE"""),"https://eitaa.com/Heyataliakbarqom")</f>
        <v>https://eitaa.com/Heyataliakbarqom</v>
      </c>
      <c r="K6342" s="5"/>
      <c r="L6342" s="5"/>
      <c r="M6342" s="5"/>
      <c r="N6342" s="5"/>
      <c r="O6342" s="5"/>
      <c r="P6342" s="5"/>
      <c r="Q6342" s="5"/>
      <c r="R6342" s="5"/>
      <c r="S6342" s="5"/>
    </row>
    <row r="6343">
      <c r="A6343" s="5">
        <f>IFERROR(__xludf.DUMMYFUNCTION("""COMPUTED_VALUE"""),31387.0)</f>
        <v>31387</v>
      </c>
      <c r="B6343" s="5" t="str">
        <f>IFERROR(__xludf.DUMMYFUNCTION("""COMPUTED_VALUE"""),"موکب")</f>
        <v>موکب</v>
      </c>
      <c r="C6343" s="5" t="str">
        <f>IFERROR(__xludf.DUMMYFUNCTION("""COMPUTED_VALUE"""),"حضرت علی اکبر (ع)")</f>
        <v>حضرت علی اکبر (ع)</v>
      </c>
      <c r="D6343" s="5" t="str">
        <f>IFERROR(__xludf.DUMMYFUNCTION("""COMPUTED_VALUE"""),"قم")</f>
        <v>قم</v>
      </c>
      <c r="E6343" s="5" t="str">
        <f>IFERROR(__xludf.DUMMYFUNCTION("""COMPUTED_VALUE"""),"قم")</f>
        <v>قم</v>
      </c>
      <c r="F6343" s="5"/>
      <c r="G6343" s="5">
        <f>IFERROR(__xludf.DUMMYFUNCTION("""COMPUTED_VALUE"""),2.0)</f>
        <v>2</v>
      </c>
      <c r="H6343" s="6" t="str">
        <f>IFERROR(__xludf.DUMMYFUNCTION("""COMPUTED_VALUE"""),"https://www.instagram.com/heyat_aliakbar_qom/")</f>
        <v>https://www.instagram.com/heyat_aliakbar_qom/</v>
      </c>
      <c r="I6343" s="6" t="str">
        <f>IFERROR(__xludf.DUMMYFUNCTION("""COMPUTED_VALUE"""),"t.me/heyat_aliakbar_qom")</f>
        <v>t.me/heyat_aliakbar_qom</v>
      </c>
      <c r="J6343" s="5"/>
      <c r="K6343" s="5"/>
      <c r="L6343" s="5"/>
      <c r="M6343" s="5"/>
      <c r="N6343" s="5"/>
      <c r="O6343" s="5"/>
      <c r="P6343" s="5"/>
      <c r="Q6343" s="5"/>
      <c r="R6343" s="5"/>
      <c r="S6343" s="5"/>
    </row>
    <row r="6344">
      <c r="A6344" s="5">
        <f>IFERROR(__xludf.DUMMYFUNCTION("""COMPUTED_VALUE"""),21640.0)</f>
        <v>21640</v>
      </c>
      <c r="B6344" s="5" t="str">
        <f>IFERROR(__xludf.DUMMYFUNCTION("""COMPUTED_VALUE"""),"هیأت")</f>
        <v>هیأت</v>
      </c>
      <c r="C6344" s="5" t="str">
        <f>IFERROR(__xludf.DUMMYFUNCTION("""COMPUTED_VALUE"""),"خادم الحسن (ع)")</f>
        <v>خادم الحسن (ع)</v>
      </c>
      <c r="D6344" s="5" t="str">
        <f>IFERROR(__xludf.DUMMYFUNCTION("""COMPUTED_VALUE"""),"قم")</f>
        <v>قم</v>
      </c>
      <c r="E6344" s="5" t="str">
        <f>IFERROR(__xludf.DUMMYFUNCTION("""COMPUTED_VALUE"""),"قم")</f>
        <v>قم</v>
      </c>
      <c r="F6344" s="5"/>
      <c r="G6344" s="5">
        <f>IFERROR(__xludf.DUMMYFUNCTION("""COMPUTED_VALUE"""),2.0)</f>
        <v>2</v>
      </c>
      <c r="H6344" s="6" t="str">
        <f>IFERROR(__xludf.DUMMYFUNCTION("""COMPUTED_VALUE"""),"https://www.instagram.com/khademalhasan_qom")</f>
        <v>https://www.instagram.com/khademalhasan_qom</v>
      </c>
      <c r="I6344" s="6" t="str">
        <f>IFERROR(__xludf.DUMMYFUNCTION("""COMPUTED_VALUE"""),"https://t.me/khademalhasan_qom")</f>
        <v>https://t.me/khademalhasan_qom</v>
      </c>
      <c r="J6344" s="6" t="str">
        <f>IFERROR(__xludf.DUMMYFUNCTION("""COMPUTED_VALUE"""),"https://eitaa.com/khademalhasan_qom")</f>
        <v>https://eitaa.com/khademalhasan_qom</v>
      </c>
      <c r="K6344" s="5" t="str">
        <f>IFERROR(__xludf.DUMMYFUNCTION("""COMPUTED_VALUE"""),"-")</f>
        <v>-</v>
      </c>
      <c r="L6344" s="6" t="str">
        <f>IFERROR(__xludf.DUMMYFUNCTION("""COMPUTED_VALUE"""),"https://heyat-khademalhasan.ir/")</f>
        <v>https://heyat-khademalhasan.ir/</v>
      </c>
      <c r="M6344" s="5"/>
      <c r="N6344" s="5"/>
      <c r="O6344" s="5"/>
      <c r="P6344" s="5"/>
      <c r="Q6344" s="5"/>
      <c r="R6344" s="5"/>
      <c r="S6344" s="5"/>
    </row>
    <row r="6345">
      <c r="A6345" s="5">
        <f>IFERROR(__xludf.DUMMYFUNCTION("""COMPUTED_VALUE"""),10908.0)</f>
        <v>10908</v>
      </c>
      <c r="B6345" s="5" t="str">
        <f>IFERROR(__xludf.DUMMYFUNCTION("""COMPUTED_VALUE"""),"هیأت")</f>
        <v>هیأت</v>
      </c>
      <c r="C6345" s="5" t="str">
        <f>IFERROR(__xludf.DUMMYFUNCTION("""COMPUTED_VALUE"""),"خادم الزهرا (س)")</f>
        <v>خادم الزهرا (س)</v>
      </c>
      <c r="D6345" s="5" t="str">
        <f>IFERROR(__xludf.DUMMYFUNCTION("""COMPUTED_VALUE"""),"قم")</f>
        <v>قم</v>
      </c>
      <c r="E6345" s="5" t="str">
        <f>IFERROR(__xludf.DUMMYFUNCTION("""COMPUTED_VALUE"""),"قم")</f>
        <v>قم</v>
      </c>
      <c r="F6345" s="5"/>
      <c r="G6345" s="5">
        <f>IFERROR(__xludf.DUMMYFUNCTION("""COMPUTED_VALUE"""),2.0)</f>
        <v>2</v>
      </c>
      <c r="H6345" s="6" t="str">
        <f>IFERROR(__xludf.DUMMYFUNCTION("""COMPUTED_VALUE"""),"https://www.instagram.com/khademozahra_qom/")</f>
        <v>https://www.instagram.com/khademozahra_qom/</v>
      </c>
      <c r="I6345" s="6" t="str">
        <f>IFERROR(__xludf.DUMMYFUNCTION("""COMPUTED_VALUE"""),"t.me/khademozahra_qom")</f>
        <v>t.me/khademozahra_qom</v>
      </c>
      <c r="J6345" s="5"/>
      <c r="K6345" s="5"/>
      <c r="L6345" s="5"/>
      <c r="M6345" s="5"/>
      <c r="N6345" s="5"/>
      <c r="O6345" s="5"/>
      <c r="P6345" s="5"/>
      <c r="Q6345" s="5"/>
      <c r="R6345" s="5"/>
      <c r="S6345" s="5"/>
    </row>
    <row r="6346">
      <c r="A6346" s="5"/>
      <c r="B6346" s="5" t="str">
        <f>IFERROR(__xludf.DUMMYFUNCTION("""COMPUTED_VALUE"""),"هیأت")</f>
        <v>هیأت</v>
      </c>
      <c r="C6346" s="5" t="str">
        <f>IFERROR(__xludf.DUMMYFUNCTION("""COMPUTED_VALUE"""),"خادمین حجت")</f>
        <v>خادمین حجت</v>
      </c>
      <c r="D6346" s="5" t="str">
        <f>IFERROR(__xludf.DUMMYFUNCTION("""COMPUTED_VALUE"""),"قم")</f>
        <v>قم</v>
      </c>
      <c r="E6346" s="5" t="str">
        <f>IFERROR(__xludf.DUMMYFUNCTION("""COMPUTED_VALUE"""),"قم")</f>
        <v>قم</v>
      </c>
      <c r="F6346" s="5"/>
      <c r="G6346" s="5">
        <f>IFERROR(__xludf.DUMMYFUNCTION("""COMPUTED_VALUE"""),2.0)</f>
        <v>2</v>
      </c>
      <c r="H6346" s="6" t="str">
        <f>IFERROR(__xludf.DUMMYFUNCTION("""COMPUTED_VALUE"""),"https://www.instagram.com/khademin_hojat/")</f>
        <v>https://www.instagram.com/khademin_hojat/</v>
      </c>
      <c r="I6346" s="6" t="str">
        <f>IFERROR(__xludf.DUMMYFUNCTION("""COMPUTED_VALUE"""),"https://t.me/khademin_hojat")</f>
        <v>https://t.me/khademin_hojat</v>
      </c>
      <c r="J6346" s="5"/>
      <c r="K6346" s="5"/>
      <c r="L6346" s="5"/>
      <c r="M6346" s="5"/>
      <c r="N6346" s="5"/>
      <c r="O6346" s="5"/>
      <c r="P6346" s="5"/>
      <c r="Q6346" s="5"/>
      <c r="R6346" s="5"/>
      <c r="S6346" s="5"/>
    </row>
    <row r="6347">
      <c r="A6347" s="5"/>
      <c r="B6347" s="5" t="str">
        <f>IFERROR(__xludf.DUMMYFUNCTION("""COMPUTED_VALUE"""),"هیأت")</f>
        <v>هیأت</v>
      </c>
      <c r="C6347" s="5" t="str">
        <f>IFERROR(__xludf.DUMMYFUNCTION("""COMPUTED_VALUE"""),"خدام امیرالمومنین")</f>
        <v>خدام امیرالمومنین</v>
      </c>
      <c r="D6347" s="5" t="str">
        <f>IFERROR(__xludf.DUMMYFUNCTION("""COMPUTED_VALUE"""),"قم")</f>
        <v>قم</v>
      </c>
      <c r="E6347" s="5" t="str">
        <f>IFERROR(__xludf.DUMMYFUNCTION("""COMPUTED_VALUE"""),"قم")</f>
        <v>قم</v>
      </c>
      <c r="F6347" s="5"/>
      <c r="G6347" s="5">
        <f>IFERROR(__xludf.DUMMYFUNCTION("""COMPUTED_VALUE"""),2.0)</f>
        <v>2</v>
      </c>
      <c r="H6347" s="6" t="str">
        <f>IFERROR(__xludf.DUMMYFUNCTION("""COMPUTED_VALUE"""),"https://www.instagram.com/k.a.almominin/")</f>
        <v>https://www.instagram.com/k.a.almominin/</v>
      </c>
      <c r="I6347" s="5"/>
      <c r="J6347" s="5"/>
      <c r="K6347" s="5"/>
      <c r="L6347" s="5"/>
      <c r="M6347" s="5"/>
      <c r="N6347" s="5"/>
      <c r="O6347" s="5"/>
      <c r="P6347" s="5"/>
      <c r="Q6347" s="5"/>
      <c r="R6347" s="5"/>
      <c r="S6347" s="5"/>
    </row>
    <row r="6348">
      <c r="A6348" s="5"/>
      <c r="B6348" s="5" t="str">
        <f>IFERROR(__xludf.DUMMYFUNCTION("""COMPUTED_VALUE"""),"هیأت")</f>
        <v>هیأت</v>
      </c>
      <c r="C6348" s="5" t="str">
        <f>IFERROR(__xludf.DUMMYFUNCTION("""COMPUTED_VALUE"""),"دخیل العباس")</f>
        <v>دخیل العباس</v>
      </c>
      <c r="D6348" s="5" t="str">
        <f>IFERROR(__xludf.DUMMYFUNCTION("""COMPUTED_VALUE"""),"قم")</f>
        <v>قم</v>
      </c>
      <c r="E6348" s="5" t="str">
        <f>IFERROR(__xludf.DUMMYFUNCTION("""COMPUTED_VALUE"""),"قم")</f>
        <v>قم</v>
      </c>
      <c r="F6348" s="5"/>
      <c r="G6348" s="5">
        <f>IFERROR(__xludf.DUMMYFUNCTION("""COMPUTED_VALUE"""),2.0)</f>
        <v>2</v>
      </c>
      <c r="H6348" s="6" t="str">
        <f>IFERROR(__xludf.DUMMYFUNCTION("""COMPUTED_VALUE"""),"https://www.instagram.com/dakhil_ol_abbas")</f>
        <v>https://www.instagram.com/dakhil_ol_abbas</v>
      </c>
      <c r="I6348" s="5"/>
      <c r="J6348" s="5"/>
      <c r="K6348" s="5"/>
      <c r="L6348" s="5"/>
      <c r="M6348" s="5"/>
      <c r="N6348" s="5"/>
      <c r="O6348" s="5"/>
      <c r="P6348" s="5"/>
      <c r="Q6348" s="5"/>
      <c r="R6348" s="5"/>
      <c r="S6348" s="5"/>
    </row>
    <row r="6349">
      <c r="A6349" s="5"/>
      <c r="B6349" s="5" t="str">
        <f>IFERROR(__xludf.DUMMYFUNCTION("""COMPUTED_VALUE"""),"هیأت")</f>
        <v>هیأت</v>
      </c>
      <c r="C6349" s="5" t="str">
        <f>IFERROR(__xludf.DUMMYFUNCTION("""COMPUTED_VALUE"""),"دلسوختگان زینب کبری(س)")</f>
        <v>دلسوختگان زینب کبری(س)</v>
      </c>
      <c r="D6349" s="5" t="str">
        <f>IFERROR(__xludf.DUMMYFUNCTION("""COMPUTED_VALUE"""),"قم")</f>
        <v>قم</v>
      </c>
      <c r="E6349" s="5" t="str">
        <f>IFERROR(__xludf.DUMMYFUNCTION("""COMPUTED_VALUE"""),"قم")</f>
        <v>قم</v>
      </c>
      <c r="F6349" s="5"/>
      <c r="G6349" s="5">
        <f>IFERROR(__xludf.DUMMYFUNCTION("""COMPUTED_VALUE"""),2.0)</f>
        <v>2</v>
      </c>
      <c r="H6349" s="6" t="str">
        <f>IFERROR(__xludf.DUMMYFUNCTION("""COMPUTED_VALUE"""),"https://www.instagram.com/delsukhteganeqom/")</f>
        <v>https://www.instagram.com/delsukhteganeqom/</v>
      </c>
      <c r="I6349" s="5"/>
      <c r="J6349" s="5"/>
      <c r="K6349" s="5"/>
      <c r="L6349" s="5"/>
      <c r="M6349" s="5"/>
      <c r="N6349" s="5"/>
      <c r="O6349" s="5"/>
      <c r="P6349" s="5"/>
      <c r="Q6349" s="5"/>
      <c r="R6349" s="5"/>
      <c r="S6349" s="5"/>
    </row>
    <row r="6350">
      <c r="A6350" s="5"/>
      <c r="B6350" s="5" t="str">
        <f>IFERROR(__xludf.DUMMYFUNCTION("""COMPUTED_VALUE"""),"هیأت")</f>
        <v>هیأت</v>
      </c>
      <c r="C6350" s="5" t="str">
        <f>IFERROR(__xludf.DUMMYFUNCTION("""COMPUTED_VALUE"""),"دمام زنان قاسم ابن الحسن")</f>
        <v>دمام زنان قاسم ابن الحسن</v>
      </c>
      <c r="D6350" s="5" t="str">
        <f>IFERROR(__xludf.DUMMYFUNCTION("""COMPUTED_VALUE"""),"قم")</f>
        <v>قم</v>
      </c>
      <c r="E6350" s="5" t="str">
        <f>IFERROR(__xludf.DUMMYFUNCTION("""COMPUTED_VALUE"""),"قم")</f>
        <v>قم</v>
      </c>
      <c r="F6350" s="5"/>
      <c r="G6350" s="5">
        <f>IFERROR(__xludf.DUMMYFUNCTION("""COMPUTED_VALUE"""),2.0)</f>
        <v>2</v>
      </c>
      <c r="H6350" s="6" t="str">
        <f>IFERROR(__xludf.DUMMYFUNCTION("""COMPUTED_VALUE"""),"https://www.instagram.com/dammam1401/")</f>
        <v>https://www.instagram.com/dammam1401/</v>
      </c>
      <c r="I6350" s="5"/>
      <c r="J6350" s="6" t="str">
        <f>IFERROR(__xludf.DUMMYFUNCTION("""COMPUTED_VALUE"""),"https://eitaa.com/dammam1401")</f>
        <v>https://eitaa.com/dammam1401</v>
      </c>
      <c r="K6350" s="5"/>
      <c r="L6350" s="5"/>
      <c r="M6350" s="5"/>
      <c r="N6350" s="5"/>
      <c r="O6350" s="5"/>
      <c r="P6350" s="5"/>
      <c r="Q6350" s="5"/>
      <c r="R6350" s="5"/>
      <c r="S6350" s="5"/>
    </row>
    <row r="6351">
      <c r="A6351" s="5"/>
      <c r="B6351" s="5" t="str">
        <f>IFERROR(__xludf.DUMMYFUNCTION("""COMPUTED_VALUE"""),"هیأت")</f>
        <v>هیأت</v>
      </c>
      <c r="C6351" s="5" t="str">
        <f>IFERROR(__xludf.DUMMYFUNCTION("""COMPUTED_VALUE"""),"راه فاطمه")</f>
        <v>راه فاطمه</v>
      </c>
      <c r="D6351" s="5" t="str">
        <f>IFERROR(__xludf.DUMMYFUNCTION("""COMPUTED_VALUE"""),"قم")</f>
        <v>قم</v>
      </c>
      <c r="E6351" s="5" t="str">
        <f>IFERROR(__xludf.DUMMYFUNCTION("""COMPUTED_VALUE"""),"قم")</f>
        <v>قم</v>
      </c>
      <c r="F6351" s="5"/>
      <c r="G6351" s="5">
        <f>IFERROR(__xludf.DUMMYFUNCTION("""COMPUTED_VALUE"""),2.0)</f>
        <v>2</v>
      </c>
      <c r="H6351" s="6" t="str">
        <f>IFERROR(__xludf.DUMMYFUNCTION("""COMPUTED_VALUE"""),"https://www.instagram.com/rahe_fatemeh/")</f>
        <v>https://www.instagram.com/rahe_fatemeh/</v>
      </c>
      <c r="I6351" s="5"/>
      <c r="J6351" s="5"/>
      <c r="K6351" s="5"/>
      <c r="L6351" s="5"/>
      <c r="M6351" s="5"/>
      <c r="N6351" s="5"/>
      <c r="O6351" s="5"/>
      <c r="P6351" s="5"/>
      <c r="Q6351" s="5"/>
      <c r="R6351" s="5"/>
      <c r="S6351" s="5"/>
    </row>
    <row r="6352">
      <c r="A6352" s="5"/>
      <c r="B6352" s="5" t="str">
        <f>IFERROR(__xludf.DUMMYFUNCTION("""COMPUTED_VALUE"""),"هیأت")</f>
        <v>هیأت</v>
      </c>
      <c r="C6352" s="5" t="str">
        <f>IFERROR(__xludf.DUMMYFUNCTION("""COMPUTED_VALUE"""),"رقیه سادات")</f>
        <v>رقیه سادات</v>
      </c>
      <c r="D6352" s="5" t="str">
        <f>IFERROR(__xludf.DUMMYFUNCTION("""COMPUTED_VALUE"""),"قم")</f>
        <v>قم</v>
      </c>
      <c r="E6352" s="5" t="str">
        <f>IFERROR(__xludf.DUMMYFUNCTION("""COMPUTED_VALUE"""),"قم")</f>
        <v>قم</v>
      </c>
      <c r="F6352" s="5"/>
      <c r="G6352" s="5">
        <f>IFERROR(__xludf.DUMMYFUNCTION("""COMPUTED_VALUE"""),2.0)</f>
        <v>2</v>
      </c>
      <c r="H6352" s="6" t="str">
        <f>IFERROR(__xludf.DUMMYFUNCTION("""COMPUTED_VALUE"""),"https://www.instagram.com/mahfel_roghaye_sadat_315/")</f>
        <v>https://www.instagram.com/mahfel_roghaye_sadat_315/</v>
      </c>
      <c r="I6352" s="5"/>
      <c r="J6352" s="5"/>
      <c r="K6352" s="5"/>
      <c r="L6352" s="5"/>
      <c r="M6352" s="5"/>
      <c r="N6352" s="5"/>
      <c r="O6352" s="5"/>
      <c r="P6352" s="5"/>
      <c r="Q6352" s="5"/>
      <c r="R6352" s="5"/>
      <c r="S6352" s="5"/>
    </row>
    <row r="6353">
      <c r="A6353" s="5">
        <f>IFERROR(__xludf.DUMMYFUNCTION("""COMPUTED_VALUE"""),27546.0)</f>
        <v>27546</v>
      </c>
      <c r="B6353" s="5" t="str">
        <f>IFERROR(__xludf.DUMMYFUNCTION("""COMPUTED_VALUE"""),"هیأت")</f>
        <v>هیأت</v>
      </c>
      <c r="C6353" s="5" t="str">
        <f>IFERROR(__xludf.DUMMYFUNCTION("""COMPUTED_VALUE"""),"روضه الزینب")</f>
        <v>روضه الزینب</v>
      </c>
      <c r="D6353" s="5" t="str">
        <f>IFERROR(__xludf.DUMMYFUNCTION("""COMPUTED_VALUE"""),"قم")</f>
        <v>قم</v>
      </c>
      <c r="E6353" s="5" t="str">
        <f>IFERROR(__xludf.DUMMYFUNCTION("""COMPUTED_VALUE"""),"قم")</f>
        <v>قم</v>
      </c>
      <c r="F6353" s="5"/>
      <c r="G6353" s="5">
        <f>IFERROR(__xludf.DUMMYFUNCTION("""COMPUTED_VALUE"""),2.0)</f>
        <v>2</v>
      </c>
      <c r="H6353" s="5"/>
      <c r="I6353" s="5"/>
      <c r="J6353" s="6" t="str">
        <f>IFERROR(__xludf.DUMMYFUNCTION("""COMPUTED_VALUE"""),"https://eitaa.com/rozatozinab")</f>
        <v>https://eitaa.com/rozatozinab</v>
      </c>
      <c r="K6353" s="5"/>
      <c r="L6353" s="5"/>
      <c r="M6353" s="5"/>
      <c r="N6353" s="5"/>
      <c r="O6353" s="5"/>
      <c r="P6353" s="5"/>
      <c r="Q6353" s="5"/>
      <c r="R6353" s="5"/>
      <c r="S6353" s="5"/>
    </row>
    <row r="6354">
      <c r="A6354" s="5">
        <f>IFERROR(__xludf.DUMMYFUNCTION("""COMPUTED_VALUE"""),30802.0)</f>
        <v>30802</v>
      </c>
      <c r="B6354" s="5" t="str">
        <f>IFERROR(__xludf.DUMMYFUNCTION("""COMPUTED_VALUE"""),"هیأت")</f>
        <v>هیأت</v>
      </c>
      <c r="C6354" s="5" t="str">
        <f>IFERROR(__xludf.DUMMYFUNCTION("""COMPUTED_VALUE"""),"سراج منیر")</f>
        <v>سراج منیر</v>
      </c>
      <c r="D6354" s="5" t="str">
        <f>IFERROR(__xludf.DUMMYFUNCTION("""COMPUTED_VALUE"""),"قم")</f>
        <v>قم</v>
      </c>
      <c r="E6354" s="5" t="str">
        <f>IFERROR(__xludf.DUMMYFUNCTION("""COMPUTED_VALUE"""),"قم")</f>
        <v>قم</v>
      </c>
      <c r="F6354" s="5"/>
      <c r="G6354" s="5">
        <f>IFERROR(__xludf.DUMMYFUNCTION("""COMPUTED_VALUE"""),2.0)</f>
        <v>2</v>
      </c>
      <c r="H6354" s="5"/>
      <c r="I6354" s="5"/>
      <c r="J6354" s="6" t="str">
        <f>IFERROR(__xludf.DUMMYFUNCTION("""COMPUTED_VALUE"""),"https://eitaa.com/qom14masoom")</f>
        <v>https://eitaa.com/qom14masoom</v>
      </c>
      <c r="K6354" s="5"/>
      <c r="L6354" s="5"/>
      <c r="M6354" s="5"/>
      <c r="N6354" s="5"/>
      <c r="O6354" s="5"/>
      <c r="P6354" s="5"/>
      <c r="Q6354" s="5"/>
      <c r="R6354" s="5"/>
      <c r="S6354" s="5"/>
    </row>
    <row r="6355">
      <c r="A6355" s="5"/>
      <c r="B6355" s="5" t="str">
        <f>IFERROR(__xludf.DUMMYFUNCTION("""COMPUTED_VALUE"""),"هیأت دانشجویی")</f>
        <v>هیأت دانشجویی</v>
      </c>
      <c r="C6355" s="5" t="str">
        <f>IFERROR(__xludf.DUMMYFUNCTION("""COMPUTED_VALUE"""),"شهدای گمنام دارالحدیث")</f>
        <v>شهدای گمنام دارالحدیث</v>
      </c>
      <c r="D6355" s="5" t="str">
        <f>IFERROR(__xludf.DUMMYFUNCTION("""COMPUTED_VALUE"""),"قم")</f>
        <v>قم</v>
      </c>
      <c r="E6355" s="5" t="str">
        <f>IFERROR(__xludf.DUMMYFUNCTION("""COMPUTED_VALUE"""),"قم")</f>
        <v>قم</v>
      </c>
      <c r="F6355" s="5"/>
      <c r="G6355" s="5">
        <f>IFERROR(__xludf.DUMMYFUNCTION("""COMPUTED_VALUE"""),2.0)</f>
        <v>2</v>
      </c>
      <c r="H6355" s="6" t="str">
        <f>IFERROR(__xludf.DUMMYFUNCTION("""COMPUTED_VALUE"""),"https://www.instagram.com/gomnam_darolhadith/")</f>
        <v>https://www.instagram.com/gomnam_darolhadith/</v>
      </c>
      <c r="I6355" s="5"/>
      <c r="J6355" s="6" t="str">
        <f>IFERROR(__xludf.DUMMYFUNCTION("""COMPUTED_VALUE"""),"https://eitaa.com/gomnam_darolhadith")</f>
        <v>https://eitaa.com/gomnam_darolhadith</v>
      </c>
      <c r="K6355" s="5"/>
      <c r="L6355" s="5"/>
      <c r="M6355" s="5"/>
      <c r="N6355" s="5"/>
      <c r="O6355" s="5"/>
      <c r="P6355" s="5"/>
      <c r="Q6355" s="5"/>
      <c r="R6355" s="5"/>
      <c r="S6355" s="5"/>
    </row>
    <row r="6356">
      <c r="A6356" s="5">
        <f>IFERROR(__xludf.DUMMYFUNCTION("""COMPUTED_VALUE"""),18823.0)</f>
        <v>18823</v>
      </c>
      <c r="B6356" s="5" t="str">
        <f>IFERROR(__xludf.DUMMYFUNCTION("""COMPUTED_VALUE"""),"هیأت دانشجویی")</f>
        <v>هیأت دانشجویی</v>
      </c>
      <c r="C6356" s="5" t="str">
        <f>IFERROR(__xludf.DUMMYFUNCTION("""COMPUTED_VALUE"""),"صاحب الزمان (عج)")</f>
        <v>صاحب الزمان (عج)</v>
      </c>
      <c r="D6356" s="5" t="str">
        <f>IFERROR(__xludf.DUMMYFUNCTION("""COMPUTED_VALUE"""),"قم")</f>
        <v>قم</v>
      </c>
      <c r="E6356" s="5" t="str">
        <f>IFERROR(__xludf.DUMMYFUNCTION("""COMPUTED_VALUE"""),"قم")</f>
        <v>قم</v>
      </c>
      <c r="F6356" s="5"/>
      <c r="G6356" s="5">
        <f>IFERROR(__xludf.DUMMYFUNCTION("""COMPUTED_VALUE"""),2.0)</f>
        <v>2</v>
      </c>
      <c r="H6356" s="5"/>
      <c r="I6356" s="5"/>
      <c r="J6356" s="6" t="str">
        <f>IFERROR(__xludf.DUMMYFUNCTION("""COMPUTED_VALUE"""),"https://eitaa.com/heyatkiau")</f>
        <v>https://eitaa.com/heyatkiau</v>
      </c>
      <c r="K6356" s="5"/>
      <c r="L6356" s="5"/>
      <c r="M6356" s="5"/>
      <c r="N6356" s="5"/>
      <c r="O6356" s="5"/>
      <c r="P6356" s="5"/>
      <c r="Q6356" s="5"/>
      <c r="R6356" s="5"/>
      <c r="S6356" s="5"/>
    </row>
    <row r="6357">
      <c r="A6357" s="5">
        <f>IFERROR(__xludf.DUMMYFUNCTION("""COMPUTED_VALUE"""),33209.0)</f>
        <v>33209</v>
      </c>
      <c r="B6357" s="5" t="str">
        <f>IFERROR(__xludf.DUMMYFUNCTION("""COMPUTED_VALUE"""),"هیأت")</f>
        <v>هیأت</v>
      </c>
      <c r="C6357" s="5" t="str">
        <f>IFERROR(__xludf.DUMMYFUNCTION("""COMPUTED_VALUE"""),"صاحب الفتح")</f>
        <v>صاحب الفتح</v>
      </c>
      <c r="D6357" s="5" t="str">
        <f>IFERROR(__xludf.DUMMYFUNCTION("""COMPUTED_VALUE"""),"قم")</f>
        <v>قم</v>
      </c>
      <c r="E6357" s="5" t="str">
        <f>IFERROR(__xludf.DUMMYFUNCTION("""COMPUTED_VALUE"""),"قم")</f>
        <v>قم</v>
      </c>
      <c r="F6357" s="5"/>
      <c r="G6357" s="5">
        <f>IFERROR(__xludf.DUMMYFUNCTION("""COMPUTED_VALUE"""),2.0)</f>
        <v>2</v>
      </c>
      <c r="H6357" s="5"/>
      <c r="I6357" s="5"/>
      <c r="J6357" s="6" t="str">
        <f>IFERROR(__xludf.DUMMYFUNCTION("""COMPUTED_VALUE"""),"https://eitaa.com/sahebalfath_ir")</f>
        <v>https://eitaa.com/sahebalfath_ir</v>
      </c>
      <c r="K6357" s="5"/>
      <c r="L6357" s="5"/>
      <c r="M6357" s="5"/>
      <c r="N6357" s="5"/>
      <c r="O6357" s="5"/>
      <c r="P6357" s="5"/>
      <c r="Q6357" s="5"/>
      <c r="R6357" s="5"/>
      <c r="S6357" s="5"/>
    </row>
    <row r="6358">
      <c r="A6358" s="5">
        <f>IFERROR(__xludf.DUMMYFUNCTION("""COMPUTED_VALUE"""),32436.0)</f>
        <v>32436</v>
      </c>
      <c r="B6358" s="5" t="str">
        <f>IFERROR(__xludf.DUMMYFUNCTION("""COMPUTED_VALUE"""),"هیأت")</f>
        <v>هیأت</v>
      </c>
      <c r="C6358" s="5" t="str">
        <f>IFERROR(__xludf.DUMMYFUNCTION("""COMPUTED_VALUE"""),"صاحبنا")</f>
        <v>صاحبنا</v>
      </c>
      <c r="D6358" s="5" t="str">
        <f>IFERROR(__xludf.DUMMYFUNCTION("""COMPUTED_VALUE"""),"قم")</f>
        <v>قم</v>
      </c>
      <c r="E6358" s="5" t="str">
        <f>IFERROR(__xludf.DUMMYFUNCTION("""COMPUTED_VALUE"""),"قم")</f>
        <v>قم</v>
      </c>
      <c r="F6358" s="5"/>
      <c r="G6358" s="5">
        <f>IFERROR(__xludf.DUMMYFUNCTION("""COMPUTED_VALUE"""),2.0)</f>
        <v>2</v>
      </c>
      <c r="H6358" s="5"/>
      <c r="I6358" s="5"/>
      <c r="J6358" s="6" t="str">
        <f>IFERROR(__xludf.DUMMYFUNCTION("""COMPUTED_VALUE"""),"https://eitaa.com/sahebona_ir")</f>
        <v>https://eitaa.com/sahebona_ir</v>
      </c>
      <c r="K6358" s="5"/>
      <c r="L6358" s="5"/>
      <c r="M6358" s="5"/>
      <c r="N6358" s="5"/>
      <c r="O6358" s="5"/>
      <c r="P6358" s="5"/>
      <c r="Q6358" s="5"/>
      <c r="R6358" s="5"/>
      <c r="S6358" s="5"/>
    </row>
    <row r="6359">
      <c r="A6359" s="5"/>
      <c r="B6359" s="5" t="str">
        <f>IFERROR(__xludf.DUMMYFUNCTION("""COMPUTED_VALUE"""),"هیأت")</f>
        <v>هیأت</v>
      </c>
      <c r="C6359" s="5" t="str">
        <f>IFERROR(__xludf.DUMMYFUNCTION("""COMPUTED_VALUE"""),"صراط الحیدر")</f>
        <v>صراط الحیدر</v>
      </c>
      <c r="D6359" s="5" t="str">
        <f>IFERROR(__xludf.DUMMYFUNCTION("""COMPUTED_VALUE"""),"قم")</f>
        <v>قم</v>
      </c>
      <c r="E6359" s="5" t="str">
        <f>IFERROR(__xludf.DUMMYFUNCTION("""COMPUTED_VALUE"""),"قم")</f>
        <v>قم</v>
      </c>
      <c r="F6359" s="5"/>
      <c r="G6359" s="5">
        <f>IFERROR(__xludf.DUMMYFUNCTION("""COMPUTED_VALUE"""),2.0)</f>
        <v>2</v>
      </c>
      <c r="H6359" s="6" t="str">
        <f>IFERROR(__xludf.DUMMYFUNCTION("""COMPUTED_VALUE"""),"https://www.instagram.com/serat_alheydar/")</f>
        <v>https://www.instagram.com/serat_alheydar/</v>
      </c>
      <c r="I6359" s="6" t="str">
        <f>IFERROR(__xludf.DUMMYFUNCTION("""COMPUTED_VALUE"""),"https://t.me/serat_alheydar")</f>
        <v>https://t.me/serat_alheydar</v>
      </c>
      <c r="J6359" s="5"/>
      <c r="K6359" s="5"/>
      <c r="L6359" s="5"/>
      <c r="M6359" s="5"/>
      <c r="N6359" s="5"/>
      <c r="O6359" s="5"/>
      <c r="P6359" s="5"/>
      <c r="Q6359" s="5"/>
      <c r="R6359" s="5"/>
      <c r="S6359" s="5"/>
    </row>
    <row r="6360">
      <c r="A6360" s="5">
        <f>IFERROR(__xludf.DUMMYFUNCTION("""COMPUTED_VALUE"""),10595.0)</f>
        <v>10595</v>
      </c>
      <c r="B6360" s="5" t="str">
        <f>IFERROR(__xludf.DUMMYFUNCTION("""COMPUTED_VALUE"""),"هیأت زنانه")</f>
        <v>هیأت زنانه</v>
      </c>
      <c r="C6360" s="5" t="str">
        <f>IFERROR(__xludf.DUMMYFUNCTION("""COMPUTED_VALUE"""),"عاشقان حضرت زهرا(س)")</f>
        <v>عاشقان حضرت زهرا(س)</v>
      </c>
      <c r="D6360" s="5" t="str">
        <f>IFERROR(__xludf.DUMMYFUNCTION("""COMPUTED_VALUE"""),"قم")</f>
        <v>قم</v>
      </c>
      <c r="E6360" s="5" t="str">
        <f>IFERROR(__xludf.DUMMYFUNCTION("""COMPUTED_VALUE"""),"قم")</f>
        <v>قم</v>
      </c>
      <c r="F6360" s="5"/>
      <c r="G6360" s="5">
        <f>IFERROR(__xludf.DUMMYFUNCTION("""COMPUTED_VALUE"""),2.0)</f>
        <v>2</v>
      </c>
      <c r="H6360" s="5"/>
      <c r="I6360" s="5"/>
      <c r="J6360" s="6" t="str">
        <f>IFERROR(__xludf.DUMMYFUNCTION("""COMPUTED_VALUE"""),"https://eitaa.com/asheghan_zahra")</f>
        <v>https://eitaa.com/asheghan_zahra</v>
      </c>
      <c r="K6360" s="5"/>
      <c r="L6360" s="5"/>
      <c r="M6360" s="5"/>
      <c r="N6360" s="5"/>
      <c r="O6360" s="5"/>
      <c r="P6360" s="5"/>
      <c r="Q6360" s="5"/>
      <c r="R6360" s="5"/>
      <c r="S6360" s="5"/>
    </row>
    <row r="6361">
      <c r="A6361" s="5">
        <f>IFERROR(__xludf.DUMMYFUNCTION("""COMPUTED_VALUE"""),31213.0)</f>
        <v>31213</v>
      </c>
      <c r="B6361" s="5" t="str">
        <f>IFERROR(__xludf.DUMMYFUNCTION("""COMPUTED_VALUE"""),"هیأت")</f>
        <v>هیأت</v>
      </c>
      <c r="C6361" s="5" t="str">
        <f>IFERROR(__xludf.DUMMYFUNCTION("""COMPUTED_VALUE"""),"عاشقان حضرت علی اکبر (ع)")</f>
        <v>عاشقان حضرت علی اکبر (ع)</v>
      </c>
      <c r="D6361" s="5" t="str">
        <f>IFERROR(__xludf.DUMMYFUNCTION("""COMPUTED_VALUE"""),"قم")</f>
        <v>قم</v>
      </c>
      <c r="E6361" s="5" t="str">
        <f>IFERROR(__xludf.DUMMYFUNCTION("""COMPUTED_VALUE"""),"قم")</f>
        <v>قم</v>
      </c>
      <c r="F6361" s="5"/>
      <c r="G6361" s="5">
        <f>IFERROR(__xludf.DUMMYFUNCTION("""COMPUTED_VALUE"""),2.0)</f>
        <v>2</v>
      </c>
      <c r="H6361" s="5"/>
      <c r="I6361" s="5"/>
      <c r="J6361" s="6" t="str">
        <f>IFERROR(__xludf.DUMMYFUNCTION("""COMPUTED_VALUE"""),"https://eitaa.com/asheghanaliakbar")</f>
        <v>https://eitaa.com/asheghanaliakbar</v>
      </c>
      <c r="K6361" s="5"/>
      <c r="L6361" s="5"/>
      <c r="M6361" s="5"/>
      <c r="N6361" s="5"/>
      <c r="O6361" s="5"/>
      <c r="P6361" s="5"/>
      <c r="Q6361" s="5"/>
      <c r="R6361" s="5"/>
      <c r="S6361" s="5"/>
    </row>
    <row r="6362">
      <c r="A6362" s="5">
        <f>IFERROR(__xludf.DUMMYFUNCTION("""COMPUTED_VALUE"""),10912.0)</f>
        <v>10912</v>
      </c>
      <c r="B6362" s="5" t="str">
        <f>IFERROR(__xludf.DUMMYFUNCTION("""COMPUTED_VALUE"""),"هیأت")</f>
        <v>هیأت</v>
      </c>
      <c r="C6362" s="5" t="str">
        <f>IFERROR(__xludf.DUMMYFUNCTION("""COMPUTED_VALUE"""),"علمدار کربلا")</f>
        <v>علمدار کربلا</v>
      </c>
      <c r="D6362" s="5" t="str">
        <f>IFERROR(__xludf.DUMMYFUNCTION("""COMPUTED_VALUE"""),"قم")</f>
        <v>قم</v>
      </c>
      <c r="E6362" s="5" t="str">
        <f>IFERROR(__xludf.DUMMYFUNCTION("""COMPUTED_VALUE"""),"قم")</f>
        <v>قم</v>
      </c>
      <c r="F6362" s="5"/>
      <c r="G6362" s="5">
        <f>IFERROR(__xludf.DUMMYFUNCTION("""COMPUTED_VALUE"""),2.0)</f>
        <v>2</v>
      </c>
      <c r="H6362" s="6" t="str">
        <f>IFERROR(__xludf.DUMMYFUNCTION("""COMPUTED_VALUE"""),"https://www.instagram.com/alamdar_qom79/")</f>
        <v>https://www.instagram.com/alamdar_qom79/</v>
      </c>
      <c r="I6362" s="5"/>
      <c r="J6362" s="6" t="str">
        <f>IFERROR(__xludf.DUMMYFUNCTION("""COMPUTED_VALUE"""),"eitaa.com/alamdar_qom79")</f>
        <v>eitaa.com/alamdar_qom79</v>
      </c>
      <c r="K6362" s="5"/>
      <c r="L6362" s="5"/>
      <c r="M6362" s="5"/>
      <c r="N6362" s="5"/>
      <c r="O6362" s="5"/>
      <c r="P6362" s="5"/>
      <c r="Q6362" s="5"/>
      <c r="R6362" s="5"/>
      <c r="S6362" s="5"/>
    </row>
    <row r="6363">
      <c r="A6363" s="5"/>
      <c r="B6363" s="5" t="str">
        <f>IFERROR(__xludf.DUMMYFUNCTION("""COMPUTED_VALUE"""),"هیأت")</f>
        <v>هیأت</v>
      </c>
      <c r="C6363" s="5" t="str">
        <f>IFERROR(__xludf.DUMMYFUNCTION("""COMPUTED_VALUE"""),"غریب سامراء")</f>
        <v>غریب سامراء</v>
      </c>
      <c r="D6363" s="5" t="str">
        <f>IFERROR(__xludf.DUMMYFUNCTION("""COMPUTED_VALUE"""),"قم")</f>
        <v>قم</v>
      </c>
      <c r="E6363" s="5" t="str">
        <f>IFERROR(__xludf.DUMMYFUNCTION("""COMPUTED_VALUE"""),"قم")</f>
        <v>قم</v>
      </c>
      <c r="F6363" s="5"/>
      <c r="G6363" s="5">
        <f>IFERROR(__xludf.DUMMYFUNCTION("""COMPUTED_VALUE"""),2.0)</f>
        <v>2</v>
      </c>
      <c r="H6363" s="6" t="str">
        <f>IFERROR(__xludf.DUMMYFUNCTION("""COMPUTED_VALUE"""),"https://www.instagram.com/gharibesamera20/")</f>
        <v>https://www.instagram.com/gharibesamera20/</v>
      </c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</row>
    <row r="6364">
      <c r="A6364" s="5">
        <f>IFERROR(__xludf.DUMMYFUNCTION("""COMPUTED_VALUE"""),31474.0)</f>
        <v>31474</v>
      </c>
      <c r="B6364" s="5" t="str">
        <f>IFERROR(__xludf.DUMMYFUNCTION("""COMPUTED_VALUE"""),"هیأت")</f>
        <v>هیأت</v>
      </c>
      <c r="C6364" s="5" t="str">
        <f>IFERROR(__xludf.DUMMYFUNCTION("""COMPUTED_VALUE"""),"فاطمه معصومه")</f>
        <v>فاطمه معصومه</v>
      </c>
      <c r="D6364" s="5" t="str">
        <f>IFERROR(__xludf.DUMMYFUNCTION("""COMPUTED_VALUE"""),"قم")</f>
        <v>قم</v>
      </c>
      <c r="E6364" s="5" t="str">
        <f>IFERROR(__xludf.DUMMYFUNCTION("""COMPUTED_VALUE"""),"قم")</f>
        <v>قم</v>
      </c>
      <c r="F6364" s="5"/>
      <c r="G6364" s="5">
        <f>IFERROR(__xludf.DUMMYFUNCTION("""COMPUTED_VALUE"""),2.0)</f>
        <v>2</v>
      </c>
      <c r="H6364" s="5" t="str">
        <f>IFERROR(__xludf.DUMMYFUNCTION("""COMPUTED_VALUE""")," ")</f>
        <v> </v>
      </c>
      <c r="I6364" s="5"/>
      <c r="J6364" s="6" t="str">
        <f>IFERROR(__xludf.DUMMYFUNCTION("""COMPUTED_VALUE"""),"https://eitaa.com/hazratemasome313")</f>
        <v>https://eitaa.com/hazratemasome313</v>
      </c>
      <c r="K6364" s="5"/>
      <c r="L6364" s="5"/>
      <c r="M6364" s="5"/>
      <c r="N6364" s="5"/>
      <c r="O6364" s="5"/>
      <c r="P6364" s="5"/>
      <c r="Q6364" s="5"/>
      <c r="R6364" s="5"/>
      <c r="S6364" s="5"/>
    </row>
    <row r="6365">
      <c r="A6365" s="5"/>
      <c r="B6365" s="5" t="str">
        <f>IFERROR(__xludf.DUMMYFUNCTION("""COMPUTED_VALUE"""),"هیأت")</f>
        <v>هیأت</v>
      </c>
      <c r="C6365" s="5" t="str">
        <f>IFERROR(__xludf.DUMMYFUNCTION("""COMPUTED_VALUE"""),"فاطمیون")</f>
        <v>فاطمیون</v>
      </c>
      <c r="D6365" s="5" t="str">
        <f>IFERROR(__xludf.DUMMYFUNCTION("""COMPUTED_VALUE"""),"قم")</f>
        <v>قم</v>
      </c>
      <c r="E6365" s="5" t="str">
        <f>IFERROR(__xludf.DUMMYFUNCTION("""COMPUTED_VALUE"""),"قم")</f>
        <v>قم</v>
      </c>
      <c r="F6365" s="5" t="str">
        <f>IFERROR(__xludf.DUMMYFUNCTION("""COMPUTED_VALUE"""),"باغ پنبه")</f>
        <v>باغ پنبه</v>
      </c>
      <c r="G6365" s="5">
        <f>IFERROR(__xludf.DUMMYFUNCTION("""COMPUTED_VALUE"""),2.0)</f>
        <v>2</v>
      </c>
      <c r="H6365" s="6" t="str">
        <f>IFERROR(__xludf.DUMMYFUNCTION("""COMPUTED_VALUE"""),"https://www.instagram.com/fatemiyoon_qom")</f>
        <v>https://www.instagram.com/fatemiyoon_qom</v>
      </c>
      <c r="I6365" s="6" t="str">
        <f>IFERROR(__xludf.DUMMYFUNCTION("""COMPUTED_VALUE"""),"https://eitaa.com/Fatemiyoon_Qom")</f>
        <v>https://eitaa.com/Fatemiyoon_Qom</v>
      </c>
      <c r="J6365" s="5"/>
      <c r="K6365" s="5"/>
      <c r="L6365" s="5"/>
      <c r="M6365" s="5"/>
      <c r="N6365" s="5"/>
      <c r="O6365" s="5"/>
      <c r="P6365" s="5"/>
      <c r="Q6365" s="5"/>
      <c r="R6365" s="5"/>
      <c r="S6365" s="5"/>
    </row>
    <row r="6366">
      <c r="A6366" s="5"/>
      <c r="B6366" s="5" t="str">
        <f>IFERROR(__xludf.DUMMYFUNCTION("""COMPUTED_VALUE"""),"هیأت")</f>
        <v>هیأت</v>
      </c>
      <c r="C6366" s="5" t="str">
        <f>IFERROR(__xludf.DUMMYFUNCTION("""COMPUTED_VALUE"""),"فدائیان حسین")</f>
        <v>فدائیان حسین</v>
      </c>
      <c r="D6366" s="5" t="str">
        <f>IFERROR(__xludf.DUMMYFUNCTION("""COMPUTED_VALUE"""),"قم")</f>
        <v>قم</v>
      </c>
      <c r="E6366" s="5" t="str">
        <f>IFERROR(__xludf.DUMMYFUNCTION("""COMPUTED_VALUE"""),"قم")</f>
        <v>قم</v>
      </c>
      <c r="F6366" s="5"/>
      <c r="G6366" s="5">
        <f>IFERROR(__xludf.DUMMYFUNCTION("""COMPUTED_VALUE"""),2.0)</f>
        <v>2</v>
      </c>
      <c r="H6366" s="6" t="str">
        <f>IFERROR(__xludf.DUMMYFUNCTION("""COMPUTED_VALUE"""),"https://www.instagram.com/fadaeianhosein_qom/")</f>
        <v>https://www.instagram.com/fadaeianhosein_qom/</v>
      </c>
      <c r="I6366" s="6" t="str">
        <f>IFERROR(__xludf.DUMMYFUNCTION("""COMPUTED_VALUE"""),"https://t.me/fadaeianhosein_qom/")</f>
        <v>https://t.me/fadaeianhosein_qom/</v>
      </c>
      <c r="J6366" s="6" t="str">
        <f>IFERROR(__xludf.DUMMYFUNCTION("""COMPUTED_VALUE"""),"https://eitaa.com/fadaeianhosein_qom")</f>
        <v>https://eitaa.com/fadaeianhosein_qom</v>
      </c>
      <c r="K6366" s="5"/>
      <c r="L6366" s="5"/>
      <c r="M6366" s="5"/>
      <c r="N6366" s="5"/>
      <c r="O6366" s="5"/>
      <c r="P6366" s="5"/>
      <c r="Q6366" s="5"/>
      <c r="R6366" s="5"/>
      <c r="S6366" s="5"/>
    </row>
    <row r="6367">
      <c r="A6367" s="5"/>
      <c r="B6367" s="5" t="str">
        <f>IFERROR(__xludf.DUMMYFUNCTION("""COMPUTED_VALUE"""),"هیأت")</f>
        <v>هیأت</v>
      </c>
      <c r="C6367" s="5" t="str">
        <f>IFERROR(__xludf.DUMMYFUNCTION("""COMPUTED_VALUE"""),"فدائیان فاطمه")</f>
        <v>فدائیان فاطمه</v>
      </c>
      <c r="D6367" s="5" t="str">
        <f>IFERROR(__xludf.DUMMYFUNCTION("""COMPUTED_VALUE"""),"قم")</f>
        <v>قم</v>
      </c>
      <c r="E6367" s="5" t="str">
        <f>IFERROR(__xludf.DUMMYFUNCTION("""COMPUTED_VALUE"""),"قم")</f>
        <v>قم</v>
      </c>
      <c r="F6367" s="5"/>
      <c r="G6367" s="5">
        <f>IFERROR(__xludf.DUMMYFUNCTION("""COMPUTED_VALUE"""),2.0)</f>
        <v>2</v>
      </c>
      <c r="H6367" s="6" t="str">
        <f>IFERROR(__xludf.DUMMYFUNCTION("""COMPUTED_VALUE"""),"https://www.instagram.com/fadaeyan_ir/")</f>
        <v>https://www.instagram.com/fadaeyan_ir/</v>
      </c>
      <c r="I6367" s="5"/>
      <c r="J6367" s="6" t="str">
        <f>IFERROR(__xludf.DUMMYFUNCTION("""COMPUTED_VALUE"""),"https://eitaa.com/fadaeyan_ir")</f>
        <v>https://eitaa.com/fadaeyan_ir</v>
      </c>
      <c r="K6367" s="5"/>
      <c r="L6367" s="5"/>
      <c r="M6367" s="5"/>
      <c r="N6367" s="5"/>
      <c r="O6367" s="5"/>
      <c r="P6367" s="5"/>
      <c r="Q6367" s="5"/>
      <c r="R6367" s="5"/>
      <c r="S6367" s="5"/>
    </row>
    <row r="6368">
      <c r="A6368" s="5"/>
      <c r="B6368" s="5" t="str">
        <f>IFERROR(__xludf.DUMMYFUNCTION("""COMPUTED_VALUE"""),"هیأت")</f>
        <v>هیأت</v>
      </c>
      <c r="C6368" s="5" t="str">
        <f>IFERROR(__xludf.DUMMYFUNCTION("""COMPUTED_VALUE"""),"قاسم ابن الحسن (ع)")</f>
        <v>قاسم ابن الحسن (ع)</v>
      </c>
      <c r="D6368" s="5" t="str">
        <f>IFERROR(__xludf.DUMMYFUNCTION("""COMPUTED_VALUE"""),"قم")</f>
        <v>قم</v>
      </c>
      <c r="E6368" s="5" t="str">
        <f>IFERROR(__xludf.DUMMYFUNCTION("""COMPUTED_VALUE"""),"قم")</f>
        <v>قم</v>
      </c>
      <c r="F6368" s="5" t="str">
        <f>IFERROR(__xludf.DUMMYFUNCTION("""COMPUTED_VALUE"""),"پردیسان")</f>
        <v>پردیسان</v>
      </c>
      <c r="G6368" s="5">
        <f>IFERROR(__xludf.DUMMYFUNCTION("""COMPUTED_VALUE"""),2.0)</f>
        <v>2</v>
      </c>
      <c r="H6368" s="6" t="str">
        <f>IFERROR(__xludf.DUMMYFUNCTION("""COMPUTED_VALUE"""),"https://www.instagram.com/qasim_bin_alhassan/")</f>
        <v>https://www.instagram.com/qasim_bin_alhassan/</v>
      </c>
      <c r="I6368" s="5"/>
      <c r="J6368" s="5"/>
      <c r="K6368" s="5"/>
      <c r="L6368" s="5"/>
      <c r="M6368" s="5"/>
      <c r="N6368" s="5"/>
      <c r="O6368" s="5"/>
      <c r="P6368" s="5"/>
      <c r="Q6368" s="5"/>
      <c r="R6368" s="5"/>
      <c r="S6368" s="5"/>
    </row>
    <row r="6369">
      <c r="A6369" s="5">
        <f>IFERROR(__xludf.DUMMYFUNCTION("""COMPUTED_VALUE"""),29556.0)</f>
        <v>29556</v>
      </c>
      <c r="B6369" s="5" t="str">
        <f>IFERROR(__xludf.DUMMYFUNCTION("""COMPUTED_VALUE"""),"هیأت")</f>
        <v>هیأت</v>
      </c>
      <c r="C6369" s="5" t="str">
        <f>IFERROR(__xludf.DUMMYFUNCTION("""COMPUTED_VALUE"""),"کانون حضرت زهرا_س_")</f>
        <v>کانون حضرت زهرا_س_</v>
      </c>
      <c r="D6369" s="5" t="str">
        <f>IFERROR(__xludf.DUMMYFUNCTION("""COMPUTED_VALUE"""),"قم")</f>
        <v>قم</v>
      </c>
      <c r="E6369" s="5" t="str">
        <f>IFERROR(__xludf.DUMMYFUNCTION("""COMPUTED_VALUE"""),"قم")</f>
        <v>قم</v>
      </c>
      <c r="F6369" s="5"/>
      <c r="G6369" s="5">
        <f>IFERROR(__xludf.DUMMYFUNCTION("""COMPUTED_VALUE"""),2.0)</f>
        <v>2</v>
      </c>
      <c r="H6369" s="5"/>
      <c r="I6369" s="5"/>
      <c r="J6369" s="6" t="str">
        <f>IFERROR(__xludf.DUMMYFUNCTION("""COMPUTED_VALUE"""),"https://eitaa.com/kalzahra_ir")</f>
        <v>https://eitaa.com/kalzahra_ir</v>
      </c>
      <c r="K6369" s="5"/>
      <c r="L6369" s="5"/>
      <c r="M6369" s="5"/>
      <c r="N6369" s="5"/>
      <c r="O6369" s="5"/>
      <c r="P6369" s="5"/>
      <c r="Q6369" s="5"/>
      <c r="R6369" s="5"/>
      <c r="S6369" s="5"/>
    </row>
    <row r="6370">
      <c r="A6370" s="5"/>
      <c r="B6370" s="5" t="str">
        <f>IFERROR(__xludf.DUMMYFUNCTION("""COMPUTED_VALUE"""),"حسینیه")</f>
        <v>حسینیه</v>
      </c>
      <c r="C6370" s="5" t="str">
        <f>IFERROR(__xludf.DUMMYFUNCTION("""COMPUTED_VALUE"""),"مادرِسادات حضرت فاطمةالزهرا سلام الله علیها")</f>
        <v>مادرِسادات حضرت فاطمةالزهرا سلام الله علیها</v>
      </c>
      <c r="D6370" s="5" t="str">
        <f>IFERROR(__xludf.DUMMYFUNCTION("""COMPUTED_VALUE"""),"قم")</f>
        <v>قم</v>
      </c>
      <c r="E6370" s="5" t="str">
        <f>IFERROR(__xludf.DUMMYFUNCTION("""COMPUTED_VALUE"""),"قم")</f>
        <v>قم</v>
      </c>
      <c r="F6370" s="5"/>
      <c r="G6370" s="5">
        <f>IFERROR(__xludf.DUMMYFUNCTION("""COMPUTED_VALUE"""),2.0)</f>
        <v>2</v>
      </c>
      <c r="H6370" s="5"/>
      <c r="I6370" s="5"/>
      <c r="J6370" s="6" t="str">
        <f>IFERROR(__xludf.DUMMYFUNCTION("""COMPUTED_VALUE"""),"https://eitaa.com/RozeMadareSadatt")</f>
        <v>https://eitaa.com/RozeMadareSadatt</v>
      </c>
      <c r="K6370" s="5"/>
      <c r="L6370" s="5"/>
      <c r="M6370" s="5"/>
      <c r="N6370" s="5"/>
      <c r="O6370" s="5"/>
      <c r="P6370" s="5"/>
      <c r="Q6370" s="5"/>
      <c r="R6370" s="5"/>
      <c r="S6370" s="5"/>
    </row>
    <row r="6371">
      <c r="A6371" s="5">
        <f>IFERROR(__xludf.DUMMYFUNCTION("""COMPUTED_VALUE"""),20727.0)</f>
        <v>20727</v>
      </c>
      <c r="B6371" s="5" t="str">
        <f>IFERROR(__xludf.DUMMYFUNCTION("""COMPUTED_VALUE"""),"هیأت")</f>
        <v>هیأت</v>
      </c>
      <c r="C6371" s="5" t="str">
        <f>IFERROR(__xludf.DUMMYFUNCTION("""COMPUTED_VALUE"""),"متوسلین به امام حسن عسکری (ع)")</f>
        <v>متوسلین به امام حسن عسکری (ع)</v>
      </c>
      <c r="D6371" s="5" t="str">
        <f>IFERROR(__xludf.DUMMYFUNCTION("""COMPUTED_VALUE"""),"قم")</f>
        <v>قم</v>
      </c>
      <c r="E6371" s="5" t="str">
        <f>IFERROR(__xludf.DUMMYFUNCTION("""COMPUTED_VALUE"""),"قم")</f>
        <v>قم</v>
      </c>
      <c r="F6371" s="5"/>
      <c r="G6371" s="5">
        <f>IFERROR(__xludf.DUMMYFUNCTION("""COMPUTED_VALUE"""),2.0)</f>
        <v>2</v>
      </c>
      <c r="H6371" s="5"/>
      <c r="I6371" s="5"/>
      <c r="J6371" s="6" t="str">
        <f>IFERROR(__xludf.DUMMYFUNCTION("""COMPUTED_VALUE"""),"https://eitaa.com/ABALmontazar")</f>
        <v>https://eitaa.com/ABALmontazar</v>
      </c>
      <c r="K6371" s="5"/>
      <c r="L6371" s="5"/>
      <c r="M6371" s="5"/>
      <c r="N6371" s="5"/>
      <c r="O6371" s="5"/>
      <c r="P6371" s="5"/>
      <c r="Q6371" s="5"/>
      <c r="R6371" s="5"/>
      <c r="S6371" s="5"/>
    </row>
    <row r="6372">
      <c r="A6372" s="5">
        <f>IFERROR(__xludf.DUMMYFUNCTION("""COMPUTED_VALUE"""),32468.0)</f>
        <v>32468</v>
      </c>
      <c r="B6372" s="5" t="str">
        <f>IFERROR(__xludf.DUMMYFUNCTION("""COMPUTED_VALUE"""),"هیأت")</f>
        <v>هیأت</v>
      </c>
      <c r="C6372" s="5" t="str">
        <f>IFERROR(__xludf.DUMMYFUNCTION("""COMPUTED_VALUE"""),"متوسلین به حضرت زهرا (س)")</f>
        <v>متوسلین به حضرت زهرا (س)</v>
      </c>
      <c r="D6372" s="5" t="str">
        <f>IFERROR(__xludf.DUMMYFUNCTION("""COMPUTED_VALUE"""),"قم")</f>
        <v>قم</v>
      </c>
      <c r="E6372" s="5" t="str">
        <f>IFERROR(__xludf.DUMMYFUNCTION("""COMPUTED_VALUE"""),"قم")</f>
        <v>قم</v>
      </c>
      <c r="F6372" s="5"/>
      <c r="G6372" s="5">
        <f>IFERROR(__xludf.DUMMYFUNCTION("""COMPUTED_VALUE"""),2.0)</f>
        <v>2</v>
      </c>
      <c r="H6372" s="5"/>
      <c r="I6372" s="5"/>
      <c r="J6372" s="6" t="str">
        <f>IFERROR(__xludf.DUMMYFUNCTION("""COMPUTED_VALUE"""),"https://eitaa.com/tazeyehqom")</f>
        <v>https://eitaa.com/tazeyehqom</v>
      </c>
      <c r="K6372" s="5"/>
      <c r="L6372" s="5"/>
      <c r="M6372" s="5"/>
      <c r="N6372" s="5"/>
      <c r="O6372" s="5"/>
      <c r="P6372" s="5"/>
      <c r="Q6372" s="5"/>
      <c r="R6372" s="5"/>
      <c r="S6372" s="5"/>
    </row>
    <row r="6373">
      <c r="A6373" s="5"/>
      <c r="B6373" s="5" t="str">
        <f>IFERROR(__xludf.DUMMYFUNCTION("""COMPUTED_VALUE"""),"هیأت")</f>
        <v>هیأت</v>
      </c>
      <c r="C6373" s="5" t="str">
        <f>IFERROR(__xludf.DUMMYFUNCTION("""COMPUTED_VALUE"""),"متوسلین به حضرت علی اکبر")</f>
        <v>متوسلین به حضرت علی اکبر</v>
      </c>
      <c r="D6373" s="5" t="str">
        <f>IFERROR(__xludf.DUMMYFUNCTION("""COMPUTED_VALUE"""),"قم")</f>
        <v>قم</v>
      </c>
      <c r="E6373" s="5" t="str">
        <f>IFERROR(__xludf.DUMMYFUNCTION("""COMPUTED_VALUE"""),"قم")</f>
        <v>قم</v>
      </c>
      <c r="F6373" s="5"/>
      <c r="G6373" s="5">
        <f>IFERROR(__xludf.DUMMYFUNCTION("""COMPUTED_VALUE"""),2.0)</f>
        <v>2</v>
      </c>
      <c r="H6373" s="6" t="str">
        <f>IFERROR(__xludf.DUMMYFUNCTION("""COMPUTED_VALUE"""),"https://www.instagram.com/motevaselin.aliakbar1392/")</f>
        <v>https://www.instagram.com/motevaselin.aliakbar1392/</v>
      </c>
      <c r="I6373" s="5"/>
      <c r="J6373" s="6" t="str">
        <f>IFERROR(__xludf.DUMMYFUNCTION("""COMPUTED_VALUE"""),"https://eitaa.com/motevaselinaliakbar")</f>
        <v>https://eitaa.com/motevaselinaliakbar</v>
      </c>
      <c r="K6373" s="5"/>
      <c r="L6373" s="5"/>
      <c r="M6373" s="5"/>
      <c r="N6373" s="5"/>
      <c r="O6373" s="5"/>
      <c r="P6373" s="5"/>
      <c r="Q6373" s="5"/>
      <c r="R6373" s="5"/>
      <c r="S6373" s="5"/>
    </row>
    <row r="6374">
      <c r="A6374" s="5">
        <f>IFERROR(__xludf.DUMMYFUNCTION("""COMPUTED_VALUE"""),25627.0)</f>
        <v>25627</v>
      </c>
      <c r="B6374" s="5" t="str">
        <f>IFERROR(__xludf.DUMMYFUNCTION("""COMPUTED_VALUE"""),"هیأت")</f>
        <v>هیأت</v>
      </c>
      <c r="C6374" s="5" t="str">
        <f>IFERROR(__xludf.DUMMYFUNCTION("""COMPUTED_VALUE"""),"متوسلین به صاحب الزمان (عج)")</f>
        <v>متوسلین به صاحب الزمان (عج)</v>
      </c>
      <c r="D6374" s="5" t="str">
        <f>IFERROR(__xludf.DUMMYFUNCTION("""COMPUTED_VALUE"""),"قم")</f>
        <v>قم</v>
      </c>
      <c r="E6374" s="5" t="str">
        <f>IFERROR(__xludf.DUMMYFUNCTION("""COMPUTED_VALUE"""),"قم")</f>
        <v>قم</v>
      </c>
      <c r="F6374" s="5"/>
      <c r="G6374" s="5">
        <f>IFERROR(__xludf.DUMMYFUNCTION("""COMPUTED_VALUE"""),2.0)</f>
        <v>2</v>
      </c>
      <c r="H6374" s="5"/>
      <c r="I6374" s="5"/>
      <c r="J6374" s="6" t="str">
        <f>IFERROR(__xludf.DUMMYFUNCTION("""COMPUTED_VALUE"""),"https://eitaa.com/heyat_emam_zaman")</f>
        <v>https://eitaa.com/heyat_emam_zaman</v>
      </c>
      <c r="K6374" s="5"/>
      <c r="L6374" s="5"/>
      <c r="M6374" s="5"/>
      <c r="N6374" s="5"/>
      <c r="O6374" s="5"/>
      <c r="P6374" s="5"/>
      <c r="Q6374" s="5"/>
      <c r="R6374" s="5"/>
      <c r="S6374" s="5"/>
    </row>
    <row r="6375">
      <c r="A6375" s="5"/>
      <c r="B6375" s="5" t="str">
        <f>IFERROR(__xludf.DUMMYFUNCTION("""COMPUTED_VALUE"""),"هیأت")</f>
        <v>هیأت</v>
      </c>
      <c r="C6375" s="5" t="str">
        <f>IFERROR(__xludf.DUMMYFUNCTION("""COMPUTED_VALUE"""),"متوسلین به قمربنی هاشم")</f>
        <v>متوسلین به قمربنی هاشم</v>
      </c>
      <c r="D6375" s="5" t="str">
        <f>IFERROR(__xludf.DUMMYFUNCTION("""COMPUTED_VALUE"""),"قم")</f>
        <v>قم</v>
      </c>
      <c r="E6375" s="5" t="str">
        <f>IFERROR(__xludf.DUMMYFUNCTION("""COMPUTED_VALUE"""),"قم")</f>
        <v>قم</v>
      </c>
      <c r="F6375" s="5"/>
      <c r="G6375" s="5">
        <f>IFERROR(__xludf.DUMMYFUNCTION("""COMPUTED_VALUE"""),2.0)</f>
        <v>2</v>
      </c>
      <c r="H6375" s="6" t="str">
        <f>IFERROR(__xludf.DUMMYFUNCTION("""COMPUTED_VALUE"""),"https://www.instagram.com/qamarbanihashemir/")</f>
        <v>https://www.instagram.com/qamarbanihashemir/</v>
      </c>
      <c r="I6375" s="6" t="str">
        <f>IFERROR(__xludf.DUMMYFUNCTION("""COMPUTED_VALUE"""),"https://t.me/qamarbanihashemir")</f>
        <v>https://t.me/qamarbanihashemir</v>
      </c>
      <c r="J6375" s="5"/>
      <c r="K6375" s="5"/>
      <c r="L6375" s="5"/>
      <c r="M6375" s="5"/>
      <c r="N6375" s="5"/>
      <c r="O6375" s="5"/>
      <c r="P6375" s="5"/>
      <c r="Q6375" s="5"/>
      <c r="R6375" s="5"/>
      <c r="S6375" s="5"/>
    </row>
    <row r="6376">
      <c r="A6376" s="5"/>
      <c r="B6376" s="5" t="str">
        <f>IFERROR(__xludf.DUMMYFUNCTION("""COMPUTED_VALUE"""),"هیأت")</f>
        <v>هیأت</v>
      </c>
      <c r="C6376" s="5" t="str">
        <f>IFERROR(__xludf.DUMMYFUNCTION("""COMPUTED_VALUE"""),"مجمع دلسوختگان حضرت زینب")</f>
        <v>مجمع دلسوختگان حضرت زینب</v>
      </c>
      <c r="D6376" s="5" t="str">
        <f>IFERROR(__xludf.DUMMYFUNCTION("""COMPUTED_VALUE"""),"قم")</f>
        <v>قم</v>
      </c>
      <c r="E6376" s="5" t="str">
        <f>IFERROR(__xludf.DUMMYFUNCTION("""COMPUTED_VALUE"""),"قم")</f>
        <v>قم</v>
      </c>
      <c r="F6376" s="5"/>
      <c r="G6376" s="5">
        <f>IFERROR(__xludf.DUMMYFUNCTION("""COMPUTED_VALUE"""),2.0)</f>
        <v>2</v>
      </c>
      <c r="H6376" s="6" t="str">
        <f>IFERROR(__xludf.DUMMYFUNCTION("""COMPUTED_VALUE"""),"https://www.instagram.com/delsukhtegan_qom/")</f>
        <v>https://www.instagram.com/delsukhtegan_qom/</v>
      </c>
      <c r="I6376" s="6" t="str">
        <f>IFERROR(__xludf.DUMMYFUNCTION("""COMPUTED_VALUE"""),"https://t.me/delsukhtegan")</f>
        <v>https://t.me/delsukhtegan</v>
      </c>
      <c r="J6376" s="5"/>
      <c r="K6376" s="5"/>
      <c r="L6376" s="5"/>
      <c r="M6376" s="5"/>
      <c r="N6376" s="5"/>
      <c r="O6376" s="5"/>
      <c r="P6376" s="5"/>
      <c r="Q6376" s="5"/>
      <c r="R6376" s="5"/>
      <c r="S6376" s="5"/>
    </row>
    <row r="6377">
      <c r="A6377" s="5">
        <f>IFERROR(__xludf.DUMMYFUNCTION("""COMPUTED_VALUE"""),10934.0)</f>
        <v>10934</v>
      </c>
      <c r="B6377" s="5" t="str">
        <f>IFERROR(__xludf.DUMMYFUNCTION("""COMPUTED_VALUE"""),"هیأت")</f>
        <v>هیأت</v>
      </c>
      <c r="C6377" s="5" t="str">
        <f>IFERROR(__xludf.DUMMYFUNCTION("""COMPUTED_VALUE"""),"مجمع عاشقان بقیع")</f>
        <v>مجمع عاشقان بقیع</v>
      </c>
      <c r="D6377" s="5" t="str">
        <f>IFERROR(__xludf.DUMMYFUNCTION("""COMPUTED_VALUE"""),"قم")</f>
        <v>قم</v>
      </c>
      <c r="E6377" s="5" t="str">
        <f>IFERROR(__xludf.DUMMYFUNCTION("""COMPUTED_VALUE"""),"قم")</f>
        <v>قم</v>
      </c>
      <c r="F6377" s="5"/>
      <c r="G6377" s="5">
        <f>IFERROR(__xludf.DUMMYFUNCTION("""COMPUTED_VALUE"""),2.0)</f>
        <v>2</v>
      </c>
      <c r="H6377" s="5"/>
      <c r="I6377" s="5"/>
      <c r="J6377" s="6" t="str">
        <f>IFERROR(__xludf.DUMMYFUNCTION("""COMPUTED_VALUE"""),"https://eitaa.com/majmaeasheqan")</f>
        <v>https://eitaa.com/majmaeasheqan</v>
      </c>
      <c r="K6377" s="5"/>
      <c r="L6377" s="5"/>
      <c r="M6377" s="5"/>
      <c r="N6377" s="5"/>
      <c r="O6377" s="5"/>
      <c r="P6377" s="5"/>
      <c r="Q6377" s="5"/>
      <c r="R6377" s="5"/>
      <c r="S6377" s="5"/>
    </row>
    <row r="6378">
      <c r="A6378" s="5"/>
      <c r="B6378" s="5" t="str">
        <f>IFERROR(__xludf.DUMMYFUNCTION("""COMPUTED_VALUE"""),"هیأت")</f>
        <v>هیأت</v>
      </c>
      <c r="C6378" s="5" t="str">
        <f>IFERROR(__xludf.DUMMYFUNCTION("""COMPUTED_VALUE"""),"مجمع محسنیون")</f>
        <v>مجمع محسنیون</v>
      </c>
      <c r="D6378" s="5" t="str">
        <f>IFERROR(__xludf.DUMMYFUNCTION("""COMPUTED_VALUE"""),"قم")</f>
        <v>قم</v>
      </c>
      <c r="E6378" s="5" t="str">
        <f>IFERROR(__xludf.DUMMYFUNCTION("""COMPUTED_VALUE"""),"قم")</f>
        <v>قم</v>
      </c>
      <c r="F6378" s="5"/>
      <c r="G6378" s="5">
        <f>IFERROR(__xludf.DUMMYFUNCTION("""COMPUTED_VALUE"""),2.0)</f>
        <v>2</v>
      </c>
      <c r="H6378" s="6" t="str">
        <f>IFERROR(__xludf.DUMMYFUNCTION("""COMPUTED_VALUE"""),"https://www.instagram.com/majmamohseniun_qom/")</f>
        <v>https://www.instagram.com/majmamohseniun_qom/</v>
      </c>
      <c r="I6378" s="6" t="str">
        <f>IFERROR(__xludf.DUMMYFUNCTION("""COMPUTED_VALUE"""),"https://t.me/majmamohseniunqom")</f>
        <v>https://t.me/majmamohseniunqom</v>
      </c>
      <c r="J6378" s="5"/>
      <c r="K6378" s="5"/>
      <c r="L6378" s="5"/>
      <c r="M6378" s="5"/>
      <c r="N6378" s="5"/>
      <c r="O6378" s="5"/>
      <c r="P6378" s="5"/>
      <c r="Q6378" s="5"/>
      <c r="R6378" s="5"/>
      <c r="S6378" s="5"/>
    </row>
    <row r="6379">
      <c r="A6379" s="5"/>
      <c r="B6379" s="5" t="str">
        <f>IFERROR(__xludf.DUMMYFUNCTION("""COMPUTED_VALUE"""),"هیأت")</f>
        <v>هیأت</v>
      </c>
      <c r="C6379" s="5" t="str">
        <f>IFERROR(__xludf.DUMMYFUNCTION("""COMPUTED_VALUE"""),"محبان الحسین")</f>
        <v>محبان الحسین</v>
      </c>
      <c r="D6379" s="5" t="str">
        <f>IFERROR(__xludf.DUMMYFUNCTION("""COMPUTED_VALUE"""),"قم")</f>
        <v>قم</v>
      </c>
      <c r="E6379" s="5" t="str">
        <f>IFERROR(__xludf.DUMMYFUNCTION("""COMPUTED_VALUE"""),"قم")</f>
        <v>قم</v>
      </c>
      <c r="F6379" s="5"/>
      <c r="G6379" s="5">
        <f>IFERROR(__xludf.DUMMYFUNCTION("""COMPUTED_VALUE"""),2.0)</f>
        <v>2</v>
      </c>
      <c r="H6379" s="6" t="str">
        <f>IFERROR(__xludf.DUMMYFUNCTION("""COMPUTED_VALUE"""),"https://www.instagram.com/mahfel_moheban/")</f>
        <v>https://www.instagram.com/mahfel_moheban/</v>
      </c>
      <c r="I6379" s="6" t="str">
        <f>IFERROR(__xludf.DUMMYFUNCTION("""COMPUTED_VALUE"""),"https://t.me/mohebanalhoseinqom")</f>
        <v>https://t.me/mohebanalhoseinqom</v>
      </c>
      <c r="J6379" s="5"/>
      <c r="K6379" s="5"/>
      <c r="L6379" s="5"/>
      <c r="M6379" s="5"/>
      <c r="N6379" s="5"/>
      <c r="O6379" s="5"/>
      <c r="P6379" s="5"/>
      <c r="Q6379" s="5"/>
      <c r="R6379" s="5"/>
      <c r="S6379" s="5"/>
    </row>
    <row r="6380">
      <c r="A6380" s="5"/>
      <c r="B6380" s="5" t="str">
        <f>IFERROR(__xludf.DUMMYFUNCTION("""COMPUTED_VALUE"""),"هیأت")</f>
        <v>هیأت</v>
      </c>
      <c r="C6380" s="5" t="str">
        <f>IFERROR(__xludf.DUMMYFUNCTION("""COMPUTED_VALUE"""),"محبان الرضا")</f>
        <v>محبان الرضا</v>
      </c>
      <c r="D6380" s="5" t="str">
        <f>IFERROR(__xludf.DUMMYFUNCTION("""COMPUTED_VALUE"""),"قم")</f>
        <v>قم</v>
      </c>
      <c r="E6380" s="5" t="str">
        <f>IFERROR(__xludf.DUMMYFUNCTION("""COMPUTED_VALUE"""),"قم")</f>
        <v>قم</v>
      </c>
      <c r="F6380" s="5"/>
      <c r="G6380" s="5">
        <f>IFERROR(__xludf.DUMMYFUNCTION("""COMPUTED_VALUE"""),2.0)</f>
        <v>2</v>
      </c>
      <c r="H6380" s="6" t="str">
        <f>IFERROR(__xludf.DUMMYFUNCTION("""COMPUTED_VALUE"""),"https://www.instagram.com/mohebbanrezainfo/")</f>
        <v>https://www.instagram.com/mohebbanrezainfo/</v>
      </c>
      <c r="I6380" s="6" t="str">
        <f>IFERROR(__xludf.DUMMYFUNCTION("""COMPUTED_VALUE"""),"https://t.me/mohebbanrezainfo")</f>
        <v>https://t.me/mohebbanrezainfo</v>
      </c>
      <c r="J6380" s="6" t="str">
        <f>IFERROR(__xludf.DUMMYFUNCTION("""COMPUTED_VALUE"""),"https://eitaa.com/mohebbanrezainfo")</f>
        <v>https://eitaa.com/mohebbanrezainfo</v>
      </c>
      <c r="K6380" s="5"/>
      <c r="L6380" s="5"/>
      <c r="M6380" s="5"/>
      <c r="N6380" s="5"/>
      <c r="O6380" s="5"/>
      <c r="P6380" s="5"/>
      <c r="Q6380" s="5"/>
      <c r="R6380" s="5"/>
      <c r="S6380" s="5"/>
    </row>
    <row r="6381">
      <c r="A6381" s="5"/>
      <c r="B6381" s="5" t="str">
        <f>IFERROR(__xludf.DUMMYFUNCTION("""COMPUTED_VALUE"""),"هیأت")</f>
        <v>هیأت</v>
      </c>
      <c r="C6381" s="5" t="str">
        <f>IFERROR(__xludf.DUMMYFUNCTION("""COMPUTED_VALUE"""),"محبان قاسم ابن الحسن")</f>
        <v>محبان قاسم ابن الحسن</v>
      </c>
      <c r="D6381" s="5" t="str">
        <f>IFERROR(__xludf.DUMMYFUNCTION("""COMPUTED_VALUE"""),"قم")</f>
        <v>قم</v>
      </c>
      <c r="E6381" s="5" t="str">
        <f>IFERROR(__xludf.DUMMYFUNCTION("""COMPUTED_VALUE"""),"قم")</f>
        <v>قم</v>
      </c>
      <c r="F6381" s="5"/>
      <c r="G6381" s="5">
        <f>IFERROR(__xludf.DUMMYFUNCTION("""COMPUTED_VALUE"""),2.0)</f>
        <v>2</v>
      </c>
      <c r="H6381" s="6" t="str">
        <f>IFERROR(__xludf.DUMMYFUNCTION("""COMPUTED_VALUE"""),"https://www.instagram.com/mohebban.ghasem201/")</f>
        <v>https://www.instagram.com/mohebban.ghasem201/</v>
      </c>
      <c r="I6381" s="6" t="str">
        <f>IFERROR(__xludf.DUMMYFUNCTION("""COMPUTED_VALUE"""),"https://t.me/GHASEMebnelHASANqom")</f>
        <v>https://t.me/GHASEMebnelHASANqom</v>
      </c>
      <c r="J6381" s="5"/>
      <c r="K6381" s="5"/>
      <c r="L6381" s="5"/>
      <c r="M6381" s="5"/>
      <c r="N6381" s="5"/>
      <c r="O6381" s="5"/>
      <c r="P6381" s="5"/>
      <c r="Q6381" s="5"/>
      <c r="R6381" s="5"/>
      <c r="S6381" s="5"/>
    </row>
    <row r="6382">
      <c r="A6382" s="5"/>
      <c r="B6382" s="5" t="str">
        <f>IFERROR(__xludf.DUMMYFUNCTION("""COMPUTED_VALUE"""),"هیأت")</f>
        <v>هیأت</v>
      </c>
      <c r="C6382" s="5" t="str">
        <f>IFERROR(__xludf.DUMMYFUNCTION("""COMPUTED_VALUE"""),"محبین الزهرا")</f>
        <v>محبین الزهرا</v>
      </c>
      <c r="D6382" s="5" t="str">
        <f>IFERROR(__xludf.DUMMYFUNCTION("""COMPUTED_VALUE"""),"قم")</f>
        <v>قم</v>
      </c>
      <c r="E6382" s="5" t="str">
        <f>IFERROR(__xludf.DUMMYFUNCTION("""COMPUTED_VALUE"""),"قم")</f>
        <v>قم</v>
      </c>
      <c r="F6382" s="5"/>
      <c r="G6382" s="5">
        <f>IFERROR(__xludf.DUMMYFUNCTION("""COMPUTED_VALUE"""),2.0)</f>
        <v>2</v>
      </c>
      <c r="H6382" s="6" t="str">
        <f>IFERROR(__xludf.DUMMYFUNCTION("""COMPUTED_VALUE"""),"https://www.instagram.com/mohebbin_alzahra.ir/")</f>
        <v>https://www.instagram.com/mohebbin_alzahra.ir/</v>
      </c>
      <c r="I6382" s="5"/>
      <c r="J6382" s="5"/>
      <c r="K6382" s="6" t="str">
        <f>IFERROR(__xludf.DUMMYFUNCTION("""COMPUTED_VALUE"""),"https://www.mohebbin-alzahra.ir/")</f>
        <v>https://www.mohebbin-alzahra.ir/</v>
      </c>
      <c r="L6382" s="5"/>
      <c r="M6382" s="5"/>
      <c r="N6382" s="5"/>
      <c r="O6382" s="5"/>
      <c r="P6382" s="5"/>
      <c r="Q6382" s="5"/>
      <c r="R6382" s="5"/>
      <c r="S6382" s="5"/>
    </row>
    <row r="6383">
      <c r="A6383" s="5">
        <f>IFERROR(__xludf.DUMMYFUNCTION("""COMPUTED_VALUE"""),26381.0)</f>
        <v>26381</v>
      </c>
      <c r="B6383" s="5" t="str">
        <f>IFERROR(__xludf.DUMMYFUNCTION("""COMPUTED_VALUE"""),"هیأت")</f>
        <v>هیأت</v>
      </c>
      <c r="C6383" s="5" t="str">
        <f>IFERROR(__xludf.DUMMYFUNCTION("""COMPUTED_VALUE"""),"محبین بنی الزهرا (س)")</f>
        <v>محبین بنی الزهرا (س)</v>
      </c>
      <c r="D6383" s="5" t="str">
        <f>IFERROR(__xludf.DUMMYFUNCTION("""COMPUTED_VALUE"""),"قم")</f>
        <v>قم</v>
      </c>
      <c r="E6383" s="5" t="str">
        <f>IFERROR(__xludf.DUMMYFUNCTION("""COMPUTED_VALUE"""),"قم")</f>
        <v>قم</v>
      </c>
      <c r="F6383" s="5"/>
      <c r="G6383" s="5">
        <f>IFERROR(__xludf.DUMMYFUNCTION("""COMPUTED_VALUE"""),2.0)</f>
        <v>2</v>
      </c>
      <c r="H6383" s="5"/>
      <c r="I6383" s="5"/>
      <c r="J6383" s="6" t="str">
        <f>IFERROR(__xludf.DUMMYFUNCTION("""COMPUTED_VALUE"""),"https://eitaa.com/mohebbinbanezzahra")</f>
        <v>https://eitaa.com/mohebbinbanezzahra</v>
      </c>
      <c r="K6383" s="5"/>
      <c r="L6383" s="5"/>
      <c r="M6383" s="5"/>
      <c r="N6383" s="5"/>
      <c r="O6383" s="5"/>
      <c r="P6383" s="5"/>
      <c r="Q6383" s="5"/>
      <c r="R6383" s="5"/>
      <c r="S6383" s="5"/>
    </row>
    <row r="6384">
      <c r="A6384" s="5">
        <f>IFERROR(__xludf.DUMMYFUNCTION("""COMPUTED_VALUE"""),28025.0)</f>
        <v>28025</v>
      </c>
      <c r="B6384" s="5" t="str">
        <f>IFERROR(__xludf.DUMMYFUNCTION("""COMPUTED_VALUE"""),"هیأت")</f>
        <v>هیأت</v>
      </c>
      <c r="C6384" s="5" t="str">
        <f>IFERROR(__xludf.DUMMYFUNCTION("""COMPUTED_VALUE"""),"محبین حضرت زهرا (س)")</f>
        <v>محبین حضرت زهرا (س)</v>
      </c>
      <c r="D6384" s="5" t="str">
        <f>IFERROR(__xludf.DUMMYFUNCTION("""COMPUTED_VALUE"""),"قم")</f>
        <v>قم</v>
      </c>
      <c r="E6384" s="5" t="str">
        <f>IFERROR(__xludf.DUMMYFUNCTION("""COMPUTED_VALUE"""),"قم")</f>
        <v>قم</v>
      </c>
      <c r="F6384" s="5"/>
      <c r="G6384" s="5">
        <f>IFERROR(__xludf.DUMMYFUNCTION("""COMPUTED_VALUE"""),2.0)</f>
        <v>2</v>
      </c>
      <c r="H6384" s="5"/>
      <c r="I6384" s="5"/>
      <c r="J6384" s="6" t="str">
        <f>IFERROR(__xludf.DUMMYFUNCTION("""COMPUTED_VALUE"""),"https://eitaa.com/mohedinzahra")</f>
        <v>https://eitaa.com/mohedinzahra</v>
      </c>
      <c r="K6384" s="5"/>
      <c r="L6384" s="5"/>
      <c r="M6384" s="5"/>
      <c r="N6384" s="5"/>
      <c r="O6384" s="5"/>
      <c r="P6384" s="5"/>
      <c r="Q6384" s="5"/>
      <c r="R6384" s="5"/>
      <c r="S6384" s="5"/>
    </row>
    <row r="6385">
      <c r="A6385" s="5"/>
      <c r="B6385" s="5" t="str">
        <f>IFERROR(__xludf.DUMMYFUNCTION("""COMPUTED_VALUE"""),"هیأت")</f>
        <v>هیأت</v>
      </c>
      <c r="C6385" s="5" t="str">
        <f>IFERROR(__xludf.DUMMYFUNCTION("""COMPUTED_VALUE"""),"محبین حضرت زهرا (س)")</f>
        <v>محبین حضرت زهرا (س)</v>
      </c>
      <c r="D6385" s="5" t="str">
        <f>IFERROR(__xludf.DUMMYFUNCTION("""COMPUTED_VALUE"""),"قم")</f>
        <v>قم</v>
      </c>
      <c r="E6385" s="5" t="str">
        <f>IFERROR(__xludf.DUMMYFUNCTION("""COMPUTED_VALUE"""),"قم")</f>
        <v>قم</v>
      </c>
      <c r="F6385" s="5"/>
      <c r="G6385" s="5">
        <f>IFERROR(__xludf.DUMMYFUNCTION("""COMPUTED_VALUE"""),2.0)</f>
        <v>2</v>
      </c>
      <c r="H6385" s="6" t="str">
        <f>IFERROR(__xludf.DUMMYFUNCTION("""COMPUTED_VALUE"""),"https://www.instagram.com/mohebin_hazratezahra/")</f>
        <v>https://www.instagram.com/mohebin_hazratezahra/</v>
      </c>
      <c r="I6385" s="5"/>
      <c r="J6385" s="6" t="str">
        <f>IFERROR(__xludf.DUMMYFUNCTION("""COMPUTED_VALUE"""),"https://eitaa.com/mohebin_hazratezahra")</f>
        <v>https://eitaa.com/mohebin_hazratezahra</v>
      </c>
      <c r="K6385" s="5"/>
      <c r="L6385" s="5"/>
      <c r="M6385" s="5"/>
      <c r="N6385" s="5"/>
      <c r="O6385" s="5"/>
      <c r="P6385" s="5"/>
      <c r="Q6385" s="5"/>
      <c r="R6385" s="5"/>
      <c r="S6385" s="5"/>
    </row>
    <row r="6386">
      <c r="A6386" s="5"/>
      <c r="B6386" s="5" t="str">
        <f>IFERROR(__xludf.DUMMYFUNCTION("""COMPUTED_VALUE"""),"هیأت")</f>
        <v>هیأت</v>
      </c>
      <c r="C6386" s="5" t="str">
        <f>IFERROR(__xludf.DUMMYFUNCTION("""COMPUTED_VALUE"""),"محبین موسی بن جعفر(ع)")</f>
        <v>محبین موسی بن جعفر(ع)</v>
      </c>
      <c r="D6386" s="5" t="str">
        <f>IFERROR(__xludf.DUMMYFUNCTION("""COMPUTED_VALUE"""),"قم")</f>
        <v>قم</v>
      </c>
      <c r="E6386" s="5" t="str">
        <f>IFERROR(__xludf.DUMMYFUNCTION("""COMPUTED_VALUE"""),"قم")</f>
        <v>قم</v>
      </c>
      <c r="F6386" s="5"/>
      <c r="G6386" s="5">
        <f>IFERROR(__xludf.DUMMYFUNCTION("""COMPUTED_VALUE"""),2.0)</f>
        <v>2</v>
      </c>
      <c r="H6386" s="6" t="str">
        <f>IFERROR(__xludf.DUMMYFUNCTION("""COMPUTED_VALUE"""),"https://www.instagram.com/mohebin_musabnjafar_qom/")</f>
        <v>https://www.instagram.com/mohebin_musabnjafar_qom/</v>
      </c>
      <c r="I6386" s="5"/>
      <c r="J6386" s="5"/>
      <c r="K6386" s="5"/>
      <c r="L6386" s="5"/>
      <c r="M6386" s="5"/>
      <c r="N6386" s="5"/>
      <c r="O6386" s="5"/>
      <c r="P6386" s="5"/>
      <c r="Q6386" s="5"/>
      <c r="R6386" s="5"/>
      <c r="S6386" s="5"/>
    </row>
    <row r="6387">
      <c r="A6387" s="5">
        <f>IFERROR(__xludf.DUMMYFUNCTION("""COMPUTED_VALUE"""),24617.0)</f>
        <v>24617</v>
      </c>
      <c r="B6387" s="5" t="str">
        <f>IFERROR(__xludf.DUMMYFUNCTION("""COMPUTED_VALUE"""),"هیأت")</f>
        <v>هیأت</v>
      </c>
      <c r="C6387" s="5" t="str">
        <f>IFERROR(__xludf.DUMMYFUNCTION("""COMPUTED_VALUE"""),"محفل زیارت امین الله")</f>
        <v>محفل زیارت امین الله</v>
      </c>
      <c r="D6387" s="5" t="str">
        <f>IFERROR(__xludf.DUMMYFUNCTION("""COMPUTED_VALUE"""),"قم")</f>
        <v>قم</v>
      </c>
      <c r="E6387" s="5" t="str">
        <f>IFERROR(__xludf.DUMMYFUNCTION("""COMPUTED_VALUE"""),"قم")</f>
        <v>قم</v>
      </c>
      <c r="F6387" s="5"/>
      <c r="G6387" s="5">
        <f>IFERROR(__xludf.DUMMYFUNCTION("""COMPUTED_VALUE"""),2.0)</f>
        <v>2</v>
      </c>
      <c r="H6387" s="6" t="str">
        <f>IFERROR(__xludf.DUMMYFUNCTION("""COMPUTED_VALUE"""),"https://www.instagram.com/aminalla.ir/")</f>
        <v>https://www.instagram.com/aminalla.ir/</v>
      </c>
      <c r="I6387" s="5"/>
      <c r="J6387" s="5"/>
      <c r="K6387" s="5"/>
      <c r="L6387" s="5"/>
      <c r="M6387" s="5"/>
      <c r="N6387" s="5"/>
      <c r="O6387" s="5"/>
      <c r="P6387" s="5"/>
      <c r="Q6387" s="5"/>
      <c r="R6387" s="5"/>
      <c r="S6387" s="5"/>
    </row>
    <row r="6388">
      <c r="A6388" s="5">
        <f>IFERROR(__xludf.DUMMYFUNCTION("""COMPUTED_VALUE"""),21642.0)</f>
        <v>21642</v>
      </c>
      <c r="B6388" s="5" t="str">
        <f>IFERROR(__xludf.DUMMYFUNCTION("""COMPUTED_VALUE"""),"هیأت")</f>
        <v>هیأت</v>
      </c>
      <c r="C6388" s="5" t="str">
        <f>IFERROR(__xludf.DUMMYFUNCTION("""COMPUTED_VALUE"""),"محمدرسول الله و رهروان شهدا")</f>
        <v>محمدرسول الله و رهروان شهدا</v>
      </c>
      <c r="D6388" s="5" t="str">
        <f>IFERROR(__xludf.DUMMYFUNCTION("""COMPUTED_VALUE"""),"قم")</f>
        <v>قم</v>
      </c>
      <c r="E6388" s="5" t="str">
        <f>IFERROR(__xludf.DUMMYFUNCTION("""COMPUTED_VALUE"""),"قم")</f>
        <v>قم</v>
      </c>
      <c r="F6388" s="5"/>
      <c r="G6388" s="5">
        <f>IFERROR(__xludf.DUMMYFUNCTION("""COMPUTED_VALUE"""),2.0)</f>
        <v>2</v>
      </c>
      <c r="H6388" s="5"/>
      <c r="I6388" s="5"/>
      <c r="J6388" s="6" t="str">
        <f>IFERROR(__xludf.DUMMYFUNCTION("""COMPUTED_VALUE"""),"https://eitaa.com/HmrasullahQom")</f>
        <v>https://eitaa.com/HmrasullahQom</v>
      </c>
      <c r="K6388" s="5"/>
      <c r="L6388" s="5"/>
      <c r="M6388" s="5"/>
      <c r="N6388" s="5"/>
      <c r="O6388" s="5"/>
      <c r="P6388" s="5"/>
      <c r="Q6388" s="5"/>
      <c r="R6388" s="5"/>
      <c r="S6388" s="5"/>
    </row>
    <row r="6389">
      <c r="A6389" s="5"/>
      <c r="B6389" s="5" t="str">
        <f>IFERROR(__xludf.DUMMYFUNCTION("""COMPUTED_VALUE"""),"هیأت")</f>
        <v>هیأت</v>
      </c>
      <c r="C6389" s="5" t="str">
        <f>IFERROR(__xludf.DUMMYFUNCTION("""COMPUTED_VALUE"""),"مرکز رشد و توانمندسازی هاد")</f>
        <v>مرکز رشد و توانمندسازی هاد</v>
      </c>
      <c r="D6389" s="5" t="str">
        <f>IFERROR(__xludf.DUMMYFUNCTION("""COMPUTED_VALUE"""),"قم")</f>
        <v>قم</v>
      </c>
      <c r="E6389" s="5" t="str">
        <f>IFERROR(__xludf.DUMMYFUNCTION("""COMPUTED_VALUE"""),"قم")</f>
        <v>قم</v>
      </c>
      <c r="F6389" s="5"/>
      <c r="G6389" s="5">
        <f>IFERROR(__xludf.DUMMYFUNCTION("""COMPUTED_VALUE"""),2.0)</f>
        <v>2</v>
      </c>
      <c r="H6389" s="5"/>
      <c r="I6389" s="5"/>
      <c r="J6389" s="6" t="str">
        <f>IFERROR(__xludf.DUMMYFUNCTION("""COMPUTED_VALUE"""),"https://eitaa.com/quran_had")</f>
        <v>https://eitaa.com/quran_had</v>
      </c>
      <c r="K6389" s="5"/>
      <c r="L6389" s="5"/>
      <c r="M6389" s="5"/>
      <c r="N6389" s="5"/>
      <c r="O6389" s="5"/>
      <c r="P6389" s="5"/>
      <c r="Q6389" s="5"/>
      <c r="R6389" s="5"/>
      <c r="S6389" s="5"/>
    </row>
    <row r="6390">
      <c r="A6390" s="5"/>
      <c r="B6390" s="5" t="str">
        <f>IFERROR(__xludf.DUMMYFUNCTION("""COMPUTED_VALUE"""),"هیأت")</f>
        <v>هیأت</v>
      </c>
      <c r="C6390" s="5" t="str">
        <f>IFERROR(__xludf.DUMMYFUNCTION("""COMPUTED_VALUE"""),"مکتب الرقیه")</f>
        <v>مکتب الرقیه</v>
      </c>
      <c r="D6390" s="5" t="str">
        <f>IFERROR(__xludf.DUMMYFUNCTION("""COMPUTED_VALUE"""),"قم")</f>
        <v>قم</v>
      </c>
      <c r="E6390" s="5" t="str">
        <f>IFERROR(__xludf.DUMMYFUNCTION("""COMPUTED_VALUE"""),"قم")</f>
        <v>قم</v>
      </c>
      <c r="F6390" s="5"/>
      <c r="G6390" s="5">
        <f>IFERROR(__xludf.DUMMYFUNCTION("""COMPUTED_VALUE"""),2.0)</f>
        <v>2</v>
      </c>
      <c r="H6390" s="6" t="str">
        <f>IFERROR(__xludf.DUMMYFUNCTION("""COMPUTED_VALUE"""),"https://www.instagram.com/maktabalroghaye_qom/")</f>
        <v>https://www.instagram.com/maktabalroghaye_qom/</v>
      </c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</row>
    <row r="6391">
      <c r="A6391" s="5"/>
      <c r="B6391" s="5" t="str">
        <f>IFERROR(__xludf.DUMMYFUNCTION("""COMPUTED_VALUE"""),"هیأت")</f>
        <v>هیأت</v>
      </c>
      <c r="C6391" s="5" t="str">
        <f>IFERROR(__xludf.DUMMYFUNCTION("""COMPUTED_VALUE"""),"مکتب الزهرا")</f>
        <v>مکتب الزهرا</v>
      </c>
      <c r="D6391" s="5" t="str">
        <f>IFERROR(__xludf.DUMMYFUNCTION("""COMPUTED_VALUE"""),"قم")</f>
        <v>قم</v>
      </c>
      <c r="E6391" s="5" t="str">
        <f>IFERROR(__xludf.DUMMYFUNCTION("""COMPUTED_VALUE"""),"قم")</f>
        <v>قم</v>
      </c>
      <c r="F6391" s="5"/>
      <c r="G6391" s="5">
        <f>IFERROR(__xludf.DUMMYFUNCTION("""COMPUTED_VALUE"""),2.0)</f>
        <v>2</v>
      </c>
      <c r="H6391" s="6" t="str">
        <f>IFERROR(__xludf.DUMMYFUNCTION("""COMPUTED_VALUE"""),"https://www.instagram.com/maktabalzahraqom.media/")</f>
        <v>https://www.instagram.com/maktabalzahraqom.media/</v>
      </c>
      <c r="I6391" s="5"/>
      <c r="J6391" s="6" t="str">
        <f>IFERROR(__xludf.DUMMYFUNCTION("""COMPUTED_VALUE"""),"https://eitaa.com/maktabalzahraqom")</f>
        <v>https://eitaa.com/maktabalzahraqom</v>
      </c>
      <c r="K6391" s="5"/>
      <c r="L6391" s="5"/>
      <c r="M6391" s="5"/>
      <c r="N6391" s="5"/>
      <c r="O6391" s="5"/>
      <c r="P6391" s="5"/>
      <c r="Q6391" s="5"/>
      <c r="R6391" s="5"/>
      <c r="S6391" s="5"/>
    </row>
    <row r="6392">
      <c r="A6392" s="5">
        <f>IFERROR(__xludf.DUMMYFUNCTION("""COMPUTED_VALUE"""),32550.0)</f>
        <v>32550</v>
      </c>
      <c r="B6392" s="5" t="str">
        <f>IFERROR(__xludf.DUMMYFUNCTION("""COMPUTED_VALUE"""),"هیأت")</f>
        <v>هیأت</v>
      </c>
      <c r="C6392" s="5" t="str">
        <f>IFERROR(__xludf.DUMMYFUNCTION("""COMPUTED_VALUE"""),"منتظران صاحب الامر (عج)")</f>
        <v>منتظران صاحب الامر (عج)</v>
      </c>
      <c r="D6392" s="5" t="str">
        <f>IFERROR(__xludf.DUMMYFUNCTION("""COMPUTED_VALUE"""),"قم")</f>
        <v>قم</v>
      </c>
      <c r="E6392" s="5" t="str">
        <f>IFERROR(__xludf.DUMMYFUNCTION("""COMPUTED_VALUE"""),"قم")</f>
        <v>قم</v>
      </c>
      <c r="F6392" s="5"/>
      <c r="G6392" s="5">
        <f>IFERROR(__xludf.DUMMYFUNCTION("""COMPUTED_VALUE"""),2.0)</f>
        <v>2</v>
      </c>
      <c r="H6392" s="5"/>
      <c r="I6392" s="5"/>
      <c r="J6392" s="6" t="str">
        <f>IFERROR(__xludf.DUMMYFUNCTION("""COMPUTED_VALUE"""),"https://eitaa.com/montzaranemahdi")</f>
        <v>https://eitaa.com/montzaranemahdi</v>
      </c>
      <c r="K6392" s="5"/>
      <c r="L6392" s="5"/>
      <c r="M6392" s="5"/>
      <c r="N6392" s="5"/>
      <c r="O6392" s="5"/>
      <c r="P6392" s="5"/>
      <c r="Q6392" s="5"/>
      <c r="R6392" s="5"/>
      <c r="S6392" s="5"/>
    </row>
    <row r="6393">
      <c r="A6393" s="5">
        <f>IFERROR(__xludf.DUMMYFUNCTION("""COMPUTED_VALUE"""),30603.0)</f>
        <v>30603</v>
      </c>
      <c r="B6393" s="5" t="str">
        <f>IFERROR(__xludf.DUMMYFUNCTION("""COMPUTED_VALUE"""),"هیأت")</f>
        <v>هیأت</v>
      </c>
      <c r="C6393" s="5" t="str">
        <f>IFERROR(__xludf.DUMMYFUNCTION("""COMPUTED_VALUE"""),"موسی بن جعفر")</f>
        <v>موسی بن جعفر</v>
      </c>
      <c r="D6393" s="5" t="str">
        <f>IFERROR(__xludf.DUMMYFUNCTION("""COMPUTED_VALUE"""),"قم")</f>
        <v>قم</v>
      </c>
      <c r="E6393" s="5" t="str">
        <f>IFERROR(__xludf.DUMMYFUNCTION("""COMPUTED_VALUE"""),"قم")</f>
        <v>قم</v>
      </c>
      <c r="F6393" s="5"/>
      <c r="G6393" s="5">
        <f>IFERROR(__xludf.DUMMYFUNCTION("""COMPUTED_VALUE"""),2.0)</f>
        <v>2</v>
      </c>
      <c r="H6393" s="5"/>
      <c r="I6393" s="5"/>
      <c r="J6393" s="6" t="str">
        <f>IFERROR(__xludf.DUMMYFUNCTION("""COMPUTED_VALUE"""),"https://eitaa.com/babalhavaej1")</f>
        <v>https://eitaa.com/babalhavaej1</v>
      </c>
      <c r="K6393" s="5"/>
      <c r="L6393" s="5"/>
      <c r="M6393" s="5"/>
      <c r="N6393" s="5"/>
      <c r="O6393" s="5"/>
      <c r="P6393" s="5"/>
      <c r="Q6393" s="5"/>
      <c r="R6393" s="5"/>
      <c r="S6393" s="5"/>
    </row>
    <row r="6394">
      <c r="A6394" s="5">
        <f>IFERROR(__xludf.DUMMYFUNCTION("""COMPUTED_VALUE"""),27545.0)</f>
        <v>27545</v>
      </c>
      <c r="B6394" s="5" t="str">
        <f>IFERROR(__xludf.DUMMYFUNCTION("""COMPUTED_VALUE"""),"امام زاده")</f>
        <v>امام زاده</v>
      </c>
      <c r="C6394" s="5" t="str">
        <f>IFERROR(__xludf.DUMMYFUNCTION("""COMPUTED_VALUE"""),"میقات الرضا (ع)")</f>
        <v>میقات الرضا (ع)</v>
      </c>
      <c r="D6394" s="5" t="str">
        <f>IFERROR(__xludf.DUMMYFUNCTION("""COMPUTED_VALUE"""),"قم")</f>
        <v>قم</v>
      </c>
      <c r="E6394" s="5" t="str">
        <f>IFERROR(__xludf.DUMMYFUNCTION("""COMPUTED_VALUE"""),"قم")</f>
        <v>قم</v>
      </c>
      <c r="F6394" s="5"/>
      <c r="G6394" s="5">
        <f>IFERROR(__xludf.DUMMYFUNCTION("""COMPUTED_VALUE"""),2.0)</f>
        <v>2</v>
      </c>
      <c r="H6394" s="5"/>
      <c r="I6394" s="5"/>
      <c r="J6394" s="6" t="str">
        <f>IFERROR(__xludf.DUMMYFUNCTION("""COMPUTED_VALUE"""),"https://eitaa.com/MighatAlReza")</f>
        <v>https://eitaa.com/MighatAlReza</v>
      </c>
      <c r="K6394" s="5"/>
      <c r="L6394" s="5"/>
      <c r="M6394" s="5"/>
      <c r="N6394" s="5"/>
      <c r="O6394" s="5"/>
      <c r="P6394" s="5"/>
      <c r="Q6394" s="5"/>
      <c r="R6394" s="5"/>
      <c r="S6394" s="5"/>
    </row>
    <row r="6395">
      <c r="A6395" s="5">
        <f>IFERROR(__xludf.DUMMYFUNCTION("""COMPUTED_VALUE"""),26567.0)</f>
        <v>26567</v>
      </c>
      <c r="B6395" s="5" t="str">
        <f>IFERROR(__xludf.DUMMYFUNCTION("""COMPUTED_VALUE"""),"هیأت دانشجویی")</f>
        <v>هیأت دانشجویی</v>
      </c>
      <c r="C6395" s="5" t="str">
        <f>IFERROR(__xludf.DUMMYFUNCTION("""COMPUTED_VALUE"""),"نور الزهرا (س)")</f>
        <v>نور الزهرا (س)</v>
      </c>
      <c r="D6395" s="5" t="str">
        <f>IFERROR(__xludf.DUMMYFUNCTION("""COMPUTED_VALUE"""),"قم")</f>
        <v>قم</v>
      </c>
      <c r="E6395" s="5" t="str">
        <f>IFERROR(__xludf.DUMMYFUNCTION("""COMPUTED_VALUE"""),"قم")</f>
        <v>قم</v>
      </c>
      <c r="F6395" s="5" t="str">
        <f>IFERROR(__xludf.DUMMYFUNCTION("""COMPUTED_VALUE""")," دانشگاه پیام نور")</f>
        <v> دانشگاه پیام نور</v>
      </c>
      <c r="G6395" s="5">
        <f>IFERROR(__xludf.DUMMYFUNCTION("""COMPUTED_VALUE"""),2.0)</f>
        <v>2</v>
      </c>
      <c r="H6395" s="5"/>
      <c r="I6395" s="5"/>
      <c r="J6395" s="6" t="str">
        <f>IFERROR(__xludf.DUMMYFUNCTION("""COMPUTED_VALUE"""),"https://eitaa.com/pnunooralzahra")</f>
        <v>https://eitaa.com/pnunooralzahra</v>
      </c>
      <c r="K6395" s="5"/>
      <c r="L6395" s="5"/>
      <c r="M6395" s="5"/>
      <c r="N6395" s="5"/>
      <c r="O6395" s="5"/>
      <c r="P6395" s="5"/>
      <c r="Q6395" s="5"/>
      <c r="R6395" s="5"/>
      <c r="S6395" s="5"/>
    </row>
    <row r="6396">
      <c r="A6396" s="5"/>
      <c r="B6396" s="5" t="str">
        <f>IFERROR(__xludf.DUMMYFUNCTION("""COMPUTED_VALUE"""),"هیأت")</f>
        <v>هیأت</v>
      </c>
      <c r="C6396" s="5" t="str">
        <f>IFERROR(__xludf.DUMMYFUNCTION("""COMPUTED_VALUE"""),"هنر و رسانه")</f>
        <v>هنر و رسانه</v>
      </c>
      <c r="D6396" s="5" t="str">
        <f>IFERROR(__xludf.DUMMYFUNCTION("""COMPUTED_VALUE"""),"قم")</f>
        <v>قم</v>
      </c>
      <c r="E6396" s="5" t="str">
        <f>IFERROR(__xludf.DUMMYFUNCTION("""COMPUTED_VALUE"""),"قم")</f>
        <v>قم</v>
      </c>
      <c r="F6396" s="5"/>
      <c r="G6396" s="5">
        <f>IFERROR(__xludf.DUMMYFUNCTION("""COMPUTED_VALUE"""),2.0)</f>
        <v>2</v>
      </c>
      <c r="H6396" s="6" t="str">
        <f>IFERROR(__xludf.DUMMYFUNCTION("""COMPUTED_VALUE"""),"https://www.instagram.com/honarvarasaneh/")</f>
        <v>https://www.instagram.com/honarvarasaneh/</v>
      </c>
      <c r="I6396" s="6" t="str">
        <f>IFERROR(__xludf.DUMMYFUNCTION("""COMPUTED_VALUE"""),"https://t.me/hoormediafiles")</f>
        <v>https://t.me/hoormediafiles</v>
      </c>
      <c r="J6396" s="5"/>
      <c r="K6396" s="5"/>
      <c r="L6396" s="5"/>
      <c r="M6396" s="5"/>
      <c r="N6396" s="5"/>
      <c r="O6396" s="5"/>
      <c r="P6396" s="5"/>
      <c r="Q6396" s="5"/>
      <c r="R6396" s="5"/>
      <c r="S6396" s="5"/>
    </row>
    <row r="6397">
      <c r="A6397" s="5">
        <f>IFERROR(__xludf.DUMMYFUNCTION("""COMPUTED_VALUE"""),31375.0)</f>
        <v>31375</v>
      </c>
      <c r="B6397" s="5" t="str">
        <f>IFERROR(__xludf.DUMMYFUNCTION("""COMPUTED_VALUE"""),"هیأت")</f>
        <v>هیأت</v>
      </c>
      <c r="C6397" s="5" t="str">
        <f>IFERROR(__xludf.DUMMYFUNCTION("""COMPUTED_VALUE"""),"اباالفضل")</f>
        <v>اباالفضل</v>
      </c>
      <c r="D6397" s="5" t="str">
        <f>IFERROR(__xludf.DUMMYFUNCTION("""COMPUTED_VALUE"""),"قم")</f>
        <v>قم</v>
      </c>
      <c r="E6397" s="5" t="str">
        <f>IFERROR(__xludf.DUMMYFUNCTION("""COMPUTED_VALUE"""),"قم")</f>
        <v>قم</v>
      </c>
      <c r="F6397" s="5"/>
      <c r="G6397" s="5">
        <f>IFERROR(__xludf.DUMMYFUNCTION("""COMPUTED_VALUE"""),3.0)</f>
        <v>3</v>
      </c>
      <c r="H6397" s="6" t="str">
        <f>IFERROR(__xludf.DUMMYFUNCTION("""COMPUTED_VALUE"""),"https://www.instagram.com/bit_olabbas/")</f>
        <v>https://www.instagram.com/bit_olabbas/</v>
      </c>
      <c r="I6397" s="5"/>
      <c r="J6397" s="6" t="str">
        <f>IFERROR(__xludf.DUMMYFUNCTION("""COMPUTED_VALUE"""),"eitaa.com/javananAbolfazlQom")</f>
        <v>eitaa.com/javananAbolfazlQom</v>
      </c>
      <c r="K6397" s="5"/>
      <c r="L6397" s="5"/>
      <c r="M6397" s="5"/>
      <c r="N6397" s="5"/>
      <c r="O6397" s="5"/>
      <c r="P6397" s="5"/>
      <c r="Q6397" s="5"/>
      <c r="R6397" s="5"/>
      <c r="S6397" s="5"/>
    </row>
    <row r="6398">
      <c r="A6398" s="5">
        <f>IFERROR(__xludf.DUMMYFUNCTION("""COMPUTED_VALUE"""),18940.0)</f>
        <v>18940</v>
      </c>
      <c r="B6398" s="5" t="str">
        <f>IFERROR(__xludf.DUMMYFUNCTION("""COMPUTED_VALUE"""),"هیأت")</f>
        <v>هیأت</v>
      </c>
      <c r="C6398" s="5" t="str">
        <f>IFERROR(__xludf.DUMMYFUNCTION("""COMPUTED_VALUE"""),"امام حسن (ع)")</f>
        <v>امام حسن (ع)</v>
      </c>
      <c r="D6398" s="5" t="str">
        <f>IFERROR(__xludf.DUMMYFUNCTION("""COMPUTED_VALUE"""),"قم")</f>
        <v>قم</v>
      </c>
      <c r="E6398" s="5" t="str">
        <f>IFERROR(__xludf.DUMMYFUNCTION("""COMPUTED_VALUE"""),"قم")</f>
        <v>قم</v>
      </c>
      <c r="F6398" s="5"/>
      <c r="G6398" s="5">
        <f>IFERROR(__xludf.DUMMYFUNCTION("""COMPUTED_VALUE"""),3.0)</f>
        <v>3</v>
      </c>
      <c r="H6398" s="5"/>
      <c r="I6398" s="5"/>
      <c r="J6398" s="6" t="str">
        <f>IFERROR(__xludf.DUMMYFUNCTION("""COMPUTED_VALUE"""),"https://eitaa.com/heiat_imamhasan")</f>
        <v>https://eitaa.com/heiat_imamhasan</v>
      </c>
      <c r="K6398" s="5"/>
      <c r="L6398" s="5"/>
      <c r="M6398" s="5"/>
      <c r="N6398" s="5"/>
      <c r="O6398" s="5"/>
      <c r="P6398" s="5"/>
      <c r="Q6398" s="5"/>
      <c r="R6398" s="5"/>
      <c r="S6398" s="5"/>
    </row>
    <row r="6399">
      <c r="A6399" s="5"/>
      <c r="B6399" s="5" t="str">
        <f>IFERROR(__xludf.DUMMYFUNCTION("""COMPUTED_VALUE"""),"هیأت")</f>
        <v>هیأت</v>
      </c>
      <c r="C6399" s="5" t="str">
        <f>IFERROR(__xludf.DUMMYFUNCTION("""COMPUTED_VALUE"""),"امام حسن مجتبی (ع)")</f>
        <v>امام حسن مجتبی (ع)</v>
      </c>
      <c r="D6399" s="5" t="str">
        <f>IFERROR(__xludf.DUMMYFUNCTION("""COMPUTED_VALUE"""),"قم")</f>
        <v>قم</v>
      </c>
      <c r="E6399" s="5" t="str">
        <f>IFERROR(__xludf.DUMMYFUNCTION("""COMPUTED_VALUE"""),"قم")</f>
        <v>قم</v>
      </c>
      <c r="F6399" s="5"/>
      <c r="G6399" s="5">
        <f>IFERROR(__xludf.DUMMYFUNCTION("""COMPUTED_VALUE"""),3.0)</f>
        <v>3</v>
      </c>
      <c r="H6399" s="6" t="str">
        <f>IFERROR(__xludf.DUMMYFUNCTION("""COMPUTED_VALUE"""),"https://www.instagram.com/heyat_emamhasan_mojtaba")</f>
        <v>https://www.instagram.com/heyat_emamhasan_mojtaba</v>
      </c>
      <c r="I6399" s="6" t="str">
        <f>IFERROR(__xludf.DUMMYFUNCTION("""COMPUTED_VALUE"""),"https://t.me/heyat_emamhasan_mojtaba")</f>
        <v>https://t.me/heyat_emamhasan_mojtaba</v>
      </c>
      <c r="J6399" s="6" t="str">
        <f>IFERROR(__xludf.DUMMYFUNCTION("""COMPUTED_VALUE"""),"https://eitaa.com/heyat_emamhasan_mojtaba")</f>
        <v>https://eitaa.com/heyat_emamhasan_mojtaba</v>
      </c>
      <c r="K6399" s="5"/>
      <c r="L6399" s="5"/>
      <c r="M6399" s="5"/>
      <c r="N6399" s="5"/>
      <c r="O6399" s="5"/>
      <c r="P6399" s="5"/>
      <c r="Q6399" s="5"/>
      <c r="R6399" s="5"/>
      <c r="S6399" s="5"/>
    </row>
    <row r="6400">
      <c r="A6400" s="5">
        <f>IFERROR(__xludf.DUMMYFUNCTION("""COMPUTED_VALUE"""),30575.0)</f>
        <v>30575</v>
      </c>
      <c r="B6400" s="5" t="str">
        <f>IFERROR(__xludf.DUMMYFUNCTION("""COMPUTED_VALUE"""),"هیأت")</f>
        <v>هیأت</v>
      </c>
      <c r="C6400" s="5" t="str">
        <f>IFERROR(__xludf.DUMMYFUNCTION("""COMPUTED_VALUE"""),"انصار الحسین (ع)")</f>
        <v>انصار الحسین (ع)</v>
      </c>
      <c r="D6400" s="5" t="str">
        <f>IFERROR(__xludf.DUMMYFUNCTION("""COMPUTED_VALUE"""),"قم")</f>
        <v>قم</v>
      </c>
      <c r="E6400" s="5" t="str">
        <f>IFERROR(__xludf.DUMMYFUNCTION("""COMPUTED_VALUE"""),"قم")</f>
        <v>قم</v>
      </c>
      <c r="F6400" s="5"/>
      <c r="G6400" s="5">
        <f>IFERROR(__xludf.DUMMYFUNCTION("""COMPUTED_VALUE"""),3.0)</f>
        <v>3</v>
      </c>
      <c r="H6400" s="5"/>
      <c r="I6400" s="5"/>
      <c r="J6400" s="6" t="str">
        <f>IFERROR(__xludf.DUMMYFUNCTION("""COMPUTED_VALUE"""),"https://eitaa.com/ansar_alhosseyn313")</f>
        <v>https://eitaa.com/ansar_alhosseyn313</v>
      </c>
      <c r="K6400" s="5"/>
      <c r="L6400" s="5"/>
      <c r="M6400" s="5"/>
      <c r="N6400" s="5"/>
      <c r="O6400" s="5"/>
      <c r="P6400" s="5"/>
      <c r="Q6400" s="5"/>
      <c r="R6400" s="5"/>
      <c r="S6400" s="5"/>
    </row>
    <row r="6401">
      <c r="A6401" s="5"/>
      <c r="B6401" s="5" t="str">
        <f>IFERROR(__xludf.DUMMYFUNCTION("""COMPUTED_VALUE"""),"هیأت ")</f>
        <v>هیأت </v>
      </c>
      <c r="C6401" s="5" t="str">
        <f>IFERROR(__xludf.DUMMYFUNCTION("""COMPUTED_VALUE"""),"انصارالمهدی")</f>
        <v>انصارالمهدی</v>
      </c>
      <c r="D6401" s="5" t="str">
        <f>IFERROR(__xludf.DUMMYFUNCTION("""COMPUTED_VALUE"""),"قم")</f>
        <v>قم</v>
      </c>
      <c r="E6401" s="5" t="str">
        <f>IFERROR(__xludf.DUMMYFUNCTION("""COMPUTED_VALUE"""),"قم")</f>
        <v>قم</v>
      </c>
      <c r="F6401" s="5"/>
      <c r="G6401" s="5">
        <f>IFERROR(__xludf.DUMMYFUNCTION("""COMPUTED_VALUE"""),3.0)</f>
        <v>3</v>
      </c>
      <c r="H6401" s="6" t="str">
        <f>IFERROR(__xludf.DUMMYFUNCTION("""COMPUTED_VALUE"""),"https://www.instagram.com/ansaralmahdiqom")</f>
        <v>https://www.instagram.com/ansaralmahdiqom</v>
      </c>
      <c r="I6401" s="6" t="str">
        <f>IFERROR(__xludf.DUMMYFUNCTION("""COMPUTED_VALUE"""),"https://t.me/AnsaralmahdiQom")</f>
        <v>https://t.me/AnsaralmahdiQom</v>
      </c>
      <c r="J6401" s="5"/>
      <c r="K6401" s="5"/>
      <c r="L6401" s="5"/>
      <c r="M6401" s="5"/>
      <c r="N6401" s="5"/>
      <c r="O6401" s="5"/>
      <c r="P6401" s="5"/>
      <c r="Q6401" s="5"/>
      <c r="R6401" s="5"/>
      <c r="S6401" s="5"/>
    </row>
    <row r="6402">
      <c r="A6402" s="5"/>
      <c r="B6402" s="5" t="str">
        <f>IFERROR(__xludf.DUMMYFUNCTION("""COMPUTED_VALUE"""),"هیأت")</f>
        <v>هیأت</v>
      </c>
      <c r="C6402" s="5" t="str">
        <f>IFERROR(__xludf.DUMMYFUNCTION("""COMPUTED_VALUE"""),"بنی الزهرا(س)")</f>
        <v>بنی الزهرا(س)</v>
      </c>
      <c r="D6402" s="5" t="str">
        <f>IFERROR(__xludf.DUMMYFUNCTION("""COMPUTED_VALUE"""),"قم")</f>
        <v>قم</v>
      </c>
      <c r="E6402" s="5" t="str">
        <f>IFERROR(__xludf.DUMMYFUNCTION("""COMPUTED_VALUE"""),"قم")</f>
        <v>قم</v>
      </c>
      <c r="F6402" s="5"/>
      <c r="G6402" s="5">
        <f>IFERROR(__xludf.DUMMYFUNCTION("""COMPUTED_VALUE"""),3.0)</f>
        <v>3</v>
      </c>
      <c r="H6402" s="6" t="str">
        <f>IFERROR(__xludf.DUMMYFUNCTION("""COMPUTED_VALUE"""),"https://www.instagram.com/h_banezahra118/")</f>
        <v>https://www.instagram.com/h_banezahra118/</v>
      </c>
      <c r="I6402" s="5"/>
      <c r="J6402" s="6" t="str">
        <f>IFERROR(__xludf.DUMMYFUNCTION("""COMPUTED_VALUE"""),"eitaa.com/h_banezahra118")</f>
        <v>eitaa.com/h_banezahra118</v>
      </c>
      <c r="K6402" s="5"/>
      <c r="L6402" s="5"/>
      <c r="M6402" s="5"/>
      <c r="N6402" s="5"/>
      <c r="O6402" s="5"/>
      <c r="P6402" s="5"/>
      <c r="Q6402" s="5"/>
      <c r="R6402" s="5"/>
      <c r="S6402" s="5"/>
    </row>
    <row r="6403">
      <c r="A6403" s="5">
        <f>IFERROR(__xludf.DUMMYFUNCTION("""COMPUTED_VALUE"""),31211.0)</f>
        <v>31211</v>
      </c>
      <c r="B6403" s="5" t="str">
        <f>IFERROR(__xludf.DUMMYFUNCTION("""COMPUTED_VALUE"""),"هیأت")</f>
        <v>هیأت</v>
      </c>
      <c r="C6403" s="5" t="str">
        <f>IFERROR(__xludf.DUMMYFUNCTION("""COMPUTED_VALUE"""),"ثامن الحجج")</f>
        <v>ثامن الحجج</v>
      </c>
      <c r="D6403" s="5" t="str">
        <f>IFERROR(__xludf.DUMMYFUNCTION("""COMPUTED_VALUE"""),"قم")</f>
        <v>قم</v>
      </c>
      <c r="E6403" s="5" t="str">
        <f>IFERROR(__xludf.DUMMYFUNCTION("""COMPUTED_VALUE"""),"قم")</f>
        <v>قم</v>
      </c>
      <c r="F6403" s="5"/>
      <c r="G6403" s="5">
        <f>IFERROR(__xludf.DUMMYFUNCTION("""COMPUTED_VALUE"""),3.0)</f>
        <v>3</v>
      </c>
      <c r="H6403" s="6" t="str">
        <f>IFERROR(__xludf.DUMMYFUNCTION("""COMPUTED_VALUE"""),"https://www.instagram.com/samenall_hojaj/")</f>
        <v>https://www.instagram.com/samenall_hojaj/</v>
      </c>
      <c r="I6403" s="5"/>
      <c r="J6403" s="6" t="str">
        <f>IFERROR(__xludf.DUMMYFUNCTION("""COMPUTED_VALUE"""),"https://eitaa.com/samenallhojaj")</f>
        <v>https://eitaa.com/samenallhojaj</v>
      </c>
      <c r="K6403" s="5"/>
      <c r="L6403" s="5"/>
      <c r="M6403" s="5"/>
      <c r="N6403" s="5"/>
      <c r="O6403" s="5"/>
      <c r="P6403" s="5"/>
      <c r="Q6403" s="5"/>
      <c r="R6403" s="5"/>
      <c r="S6403" s="5"/>
    </row>
    <row r="6404">
      <c r="A6404" s="5"/>
      <c r="B6404" s="5" t="str">
        <f>IFERROR(__xludf.DUMMYFUNCTION("""COMPUTED_VALUE"""),"هیأت")</f>
        <v>هیأت</v>
      </c>
      <c r="C6404" s="5" t="str">
        <f>IFERROR(__xludf.DUMMYFUNCTION("""COMPUTED_VALUE"""),"جنة البکاء")</f>
        <v>جنة البکاء</v>
      </c>
      <c r="D6404" s="5" t="str">
        <f>IFERROR(__xludf.DUMMYFUNCTION("""COMPUTED_VALUE"""),"قم")</f>
        <v>قم</v>
      </c>
      <c r="E6404" s="5" t="str">
        <f>IFERROR(__xludf.DUMMYFUNCTION("""COMPUTED_VALUE"""),"قم")</f>
        <v>قم</v>
      </c>
      <c r="F6404" s="5"/>
      <c r="G6404" s="5">
        <f>IFERROR(__xludf.DUMMYFUNCTION("""COMPUTED_VALUE"""),3.0)</f>
        <v>3</v>
      </c>
      <c r="H6404" s="6" t="str">
        <f>IFERROR(__xludf.DUMMYFUNCTION("""COMPUTED_VALUE"""),"https://www.instagram.com/jannatolboka.ir/")</f>
        <v>https://www.instagram.com/jannatolboka.ir/</v>
      </c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</row>
    <row r="6405">
      <c r="A6405" s="5"/>
      <c r="B6405" s="5" t="str">
        <f>IFERROR(__xludf.DUMMYFUNCTION("""COMPUTED_VALUE"""),"هیأت")</f>
        <v>هیأت</v>
      </c>
      <c r="C6405" s="5" t="str">
        <f>IFERROR(__xludf.DUMMYFUNCTION("""COMPUTED_VALUE"""),"جنت الزینب")</f>
        <v>جنت الزینب</v>
      </c>
      <c r="D6405" s="5" t="str">
        <f>IFERROR(__xludf.DUMMYFUNCTION("""COMPUTED_VALUE"""),"قم")</f>
        <v>قم</v>
      </c>
      <c r="E6405" s="5" t="str">
        <f>IFERROR(__xludf.DUMMYFUNCTION("""COMPUTED_VALUE"""),"قم")</f>
        <v>قم</v>
      </c>
      <c r="F6405" s="5"/>
      <c r="G6405" s="5">
        <f>IFERROR(__xludf.DUMMYFUNCTION("""COMPUTED_VALUE"""),3.0)</f>
        <v>3</v>
      </c>
      <c r="H6405" s="6" t="str">
        <f>IFERROR(__xludf.DUMMYFUNCTION("""COMPUTED_VALUE"""),"https://www.instagram.com/jannatalzeinabqom/")</f>
        <v>https://www.instagram.com/jannatalzeinabqom/</v>
      </c>
      <c r="I6405" s="6" t="str">
        <f>IFERROR(__xludf.DUMMYFUNCTION("""COMPUTED_VALUE"""),"https://t.me/jannatalzeinabqom")</f>
        <v>https://t.me/jannatalzeinabqom</v>
      </c>
      <c r="J6405" s="5"/>
      <c r="K6405" s="5"/>
      <c r="L6405" s="5"/>
      <c r="M6405" s="5"/>
      <c r="N6405" s="5"/>
      <c r="O6405" s="5"/>
      <c r="P6405" s="5"/>
      <c r="Q6405" s="5"/>
      <c r="R6405" s="5"/>
      <c r="S6405" s="5"/>
    </row>
    <row r="6406">
      <c r="A6406" s="5"/>
      <c r="B6406" s="5" t="str">
        <f>IFERROR(__xludf.DUMMYFUNCTION("""COMPUTED_VALUE"""),"هیأت")</f>
        <v>هیأت</v>
      </c>
      <c r="C6406" s="5" t="str">
        <f>IFERROR(__xludf.DUMMYFUNCTION("""COMPUTED_VALUE"""),"جوانان امام حسن مجتبی")</f>
        <v>جوانان امام حسن مجتبی</v>
      </c>
      <c r="D6406" s="5" t="str">
        <f>IFERROR(__xludf.DUMMYFUNCTION("""COMPUTED_VALUE"""),"قم")</f>
        <v>قم</v>
      </c>
      <c r="E6406" s="5" t="str">
        <f>IFERROR(__xludf.DUMMYFUNCTION("""COMPUTED_VALUE"""),"قم")</f>
        <v>قم</v>
      </c>
      <c r="F6406" s="5"/>
      <c r="G6406" s="5">
        <f>IFERROR(__xludf.DUMMYFUNCTION("""COMPUTED_VALUE"""),3.0)</f>
        <v>3</v>
      </c>
      <c r="H6406" s="6" t="str">
        <f>IFERROR(__xludf.DUMMYFUNCTION("""COMPUTED_VALUE"""),"https://www.instagram.com/hasanie_qom/")</f>
        <v>https://www.instagram.com/hasanie_qom/</v>
      </c>
      <c r="I6406" s="6" t="str">
        <f>IFERROR(__xludf.DUMMYFUNCTION("""COMPUTED_VALUE"""),"https://t.me/hasanieqom")</f>
        <v>https://t.me/hasanieqom</v>
      </c>
      <c r="J6406" s="6" t="str">
        <f>IFERROR(__xludf.DUMMYFUNCTION("""COMPUTED_VALUE"""),"https://eitaa.com/hasanie_qom")</f>
        <v>https://eitaa.com/hasanie_qom</v>
      </c>
      <c r="K6406" s="5"/>
      <c r="L6406" s="5"/>
      <c r="M6406" s="5"/>
      <c r="N6406" s="5"/>
      <c r="O6406" s="5"/>
      <c r="P6406" s="5"/>
      <c r="Q6406" s="5"/>
      <c r="R6406" s="5"/>
      <c r="S6406" s="5"/>
    </row>
    <row r="6407">
      <c r="A6407" s="5">
        <f>IFERROR(__xludf.DUMMYFUNCTION("""COMPUTED_VALUE"""),31946.0)</f>
        <v>31946</v>
      </c>
      <c r="B6407" s="5" t="str">
        <f>IFERROR(__xludf.DUMMYFUNCTION("""COMPUTED_VALUE"""),"هیأت")</f>
        <v>هیأت</v>
      </c>
      <c r="C6407" s="5" t="str">
        <f>IFERROR(__xludf.DUMMYFUNCTION("""COMPUTED_VALUE"""),"چهارده معصوم")</f>
        <v>چهارده معصوم</v>
      </c>
      <c r="D6407" s="5" t="str">
        <f>IFERROR(__xludf.DUMMYFUNCTION("""COMPUTED_VALUE"""),"قم")</f>
        <v>قم</v>
      </c>
      <c r="E6407" s="5" t="str">
        <f>IFERROR(__xludf.DUMMYFUNCTION("""COMPUTED_VALUE"""),"قم")</f>
        <v>قم</v>
      </c>
      <c r="F6407" s="5"/>
      <c r="G6407" s="5">
        <f>IFERROR(__xludf.DUMMYFUNCTION("""COMPUTED_VALUE"""),3.0)</f>
        <v>3</v>
      </c>
      <c r="H6407" s="6" t="str">
        <f>IFERROR(__xludf.DUMMYFUNCTION("""COMPUTED_VALUE"""),"https://www.instagram.com/heiat_14masoume/")</f>
        <v>https://www.instagram.com/heiat_14masoume/</v>
      </c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</row>
    <row r="6408">
      <c r="A6408" s="5">
        <f>IFERROR(__xludf.DUMMYFUNCTION("""COMPUTED_VALUE"""),24816.0)</f>
        <v>24816</v>
      </c>
      <c r="B6408" s="5" t="str">
        <f>IFERROR(__xludf.DUMMYFUNCTION("""COMPUTED_VALUE"""),"هیأت")</f>
        <v>هیأت</v>
      </c>
      <c r="C6408" s="5" t="str">
        <f>IFERROR(__xludf.DUMMYFUNCTION("""COMPUTED_VALUE"""),"حجت بن الحسن (عج)")</f>
        <v>حجت بن الحسن (عج)</v>
      </c>
      <c r="D6408" s="5" t="str">
        <f>IFERROR(__xludf.DUMMYFUNCTION("""COMPUTED_VALUE"""),"قم")</f>
        <v>قم</v>
      </c>
      <c r="E6408" s="5" t="str">
        <f>IFERROR(__xludf.DUMMYFUNCTION("""COMPUTED_VALUE"""),"قم")</f>
        <v>قم</v>
      </c>
      <c r="F6408" s="5"/>
      <c r="G6408" s="5">
        <f>IFERROR(__xludf.DUMMYFUNCTION("""COMPUTED_VALUE"""),3.0)</f>
        <v>3</v>
      </c>
      <c r="H6408" s="5"/>
      <c r="I6408" s="5"/>
      <c r="J6408" s="6" t="str">
        <f>IFERROR(__xludf.DUMMYFUNCTION("""COMPUTED_VALUE"""),"https://eitaa.com/heyathojjat")</f>
        <v>https://eitaa.com/heyathojjat</v>
      </c>
      <c r="K6408" s="5"/>
      <c r="L6408" s="5"/>
      <c r="M6408" s="5"/>
      <c r="N6408" s="5"/>
      <c r="O6408" s="5"/>
      <c r="P6408" s="5"/>
      <c r="Q6408" s="5"/>
      <c r="R6408" s="5"/>
      <c r="S6408" s="5"/>
    </row>
    <row r="6409">
      <c r="A6409" s="5">
        <f>IFERROR(__xludf.DUMMYFUNCTION("""COMPUTED_VALUE"""),224344.0)</f>
        <v>224344</v>
      </c>
      <c r="B6409" s="5" t="str">
        <f>IFERROR(__xludf.DUMMYFUNCTION("""COMPUTED_VALUE"""),"هیأت")</f>
        <v>هیأت</v>
      </c>
      <c r="C6409" s="5" t="str">
        <f>IFERROR(__xludf.DUMMYFUNCTION("""COMPUTED_VALUE"""),"حداث الحسین(ع)")</f>
        <v>حداث الحسین(ع)</v>
      </c>
      <c r="D6409" s="5" t="str">
        <f>IFERROR(__xludf.DUMMYFUNCTION("""COMPUTED_VALUE"""),"قم")</f>
        <v>قم</v>
      </c>
      <c r="E6409" s="5" t="str">
        <f>IFERROR(__xludf.DUMMYFUNCTION("""COMPUTED_VALUE"""),"قم")</f>
        <v>قم</v>
      </c>
      <c r="F6409" s="5"/>
      <c r="G6409" s="5">
        <f>IFERROR(__xludf.DUMMYFUNCTION("""COMPUTED_VALUE"""),3.0)</f>
        <v>3</v>
      </c>
      <c r="H6409" s="6" t="str">
        <f>IFERROR(__xludf.DUMMYFUNCTION("""COMPUTED_VALUE""")," https://www.instagram.com/mirzamohammadi_ir")</f>
        <v> https://www.instagram.com/mirzamohammadi_ir</v>
      </c>
      <c r="I6409" s="5"/>
      <c r="J6409" s="6" t="str">
        <f>IFERROR(__xludf.DUMMYFUNCTION("""COMPUTED_VALUE"""),"https://eitaa.com/huddath_al_hussain_ir")</f>
        <v>https://eitaa.com/huddath_al_hussain_ir</v>
      </c>
      <c r="K6409" s="5"/>
      <c r="L6409" s="5"/>
      <c r="M6409" s="5"/>
      <c r="N6409" s="5"/>
      <c r="O6409" s="5"/>
      <c r="P6409" s="5"/>
      <c r="Q6409" s="5"/>
      <c r="R6409" s="5"/>
      <c r="S6409" s="5"/>
    </row>
    <row r="6410">
      <c r="A6410" s="5">
        <f>IFERROR(__xludf.DUMMYFUNCTION("""COMPUTED_VALUE"""),18168.0)</f>
        <v>18168</v>
      </c>
      <c r="B6410" s="5" t="str">
        <f>IFERROR(__xludf.DUMMYFUNCTION("""COMPUTED_VALUE"""),"هیأت")</f>
        <v>هیأت</v>
      </c>
      <c r="C6410" s="5" t="str">
        <f>IFERROR(__xludf.DUMMYFUNCTION("""COMPUTED_VALUE"""),"حضرت حمزه(ع)")</f>
        <v>حضرت حمزه(ع)</v>
      </c>
      <c r="D6410" s="5" t="str">
        <f>IFERROR(__xludf.DUMMYFUNCTION("""COMPUTED_VALUE"""),"قم")</f>
        <v>قم</v>
      </c>
      <c r="E6410" s="5" t="str">
        <f>IFERROR(__xludf.DUMMYFUNCTION("""COMPUTED_VALUE"""),"قم")</f>
        <v>قم</v>
      </c>
      <c r="F6410" s="5"/>
      <c r="G6410" s="5">
        <f>IFERROR(__xludf.DUMMYFUNCTION("""COMPUTED_VALUE"""),3.0)</f>
        <v>3</v>
      </c>
      <c r="H6410" s="5"/>
      <c r="I6410" s="5"/>
      <c r="J6410" s="6" t="str">
        <f>IFERROR(__xludf.DUMMYFUNCTION("""COMPUTED_VALUE"""),"https://eitaa.com/Heyat_hamze")</f>
        <v>https://eitaa.com/Heyat_hamze</v>
      </c>
      <c r="K6410" s="5"/>
      <c r="L6410" s="5"/>
      <c r="M6410" s="5"/>
      <c r="N6410" s="5"/>
      <c r="O6410" s="5"/>
      <c r="P6410" s="5"/>
      <c r="Q6410" s="5"/>
      <c r="R6410" s="5"/>
      <c r="S6410" s="5"/>
    </row>
    <row r="6411">
      <c r="A6411" s="5"/>
      <c r="B6411" s="5" t="str">
        <f>IFERROR(__xludf.DUMMYFUNCTION("""COMPUTED_VALUE"""),"هیأت")</f>
        <v>هیأت</v>
      </c>
      <c r="C6411" s="5" t="str">
        <f>IFERROR(__xludf.DUMMYFUNCTION("""COMPUTED_VALUE"""),"حضرت صاحب الزمان")</f>
        <v>حضرت صاحب الزمان</v>
      </c>
      <c r="D6411" s="5" t="str">
        <f>IFERROR(__xludf.DUMMYFUNCTION("""COMPUTED_VALUE"""),"قم")</f>
        <v>قم</v>
      </c>
      <c r="E6411" s="5" t="str">
        <f>IFERROR(__xludf.DUMMYFUNCTION("""COMPUTED_VALUE"""),"قم")</f>
        <v>قم</v>
      </c>
      <c r="F6411" s="5"/>
      <c r="G6411" s="5">
        <f>IFERROR(__xludf.DUMMYFUNCTION("""COMPUTED_VALUE"""),3.0)</f>
        <v>3</v>
      </c>
      <c r="H6411" s="6" t="str">
        <f>IFERROR(__xludf.DUMMYFUNCTION("""COMPUTED_VALUE"""),"https://www.instagram.com/heyat_hazrate_sahebalzaman/")</f>
        <v>https://www.instagram.com/heyat_hazrate_sahebalzaman/</v>
      </c>
      <c r="I6411" s="6" t="str">
        <f>IFERROR(__xludf.DUMMYFUNCTION("""COMPUTED_VALUE"""),"https://t.me/miadgah_313")</f>
        <v>https://t.me/miadgah_313</v>
      </c>
      <c r="J6411" s="6" t="str">
        <f>IFERROR(__xludf.DUMMYFUNCTION("""COMPUTED_VALUE"""),"https://eitaa.com/miadgah_313")</f>
        <v>https://eitaa.com/miadgah_313</v>
      </c>
      <c r="K6411" s="5"/>
      <c r="L6411" s="5"/>
      <c r="M6411" s="5"/>
      <c r="N6411" s="5"/>
      <c r="O6411" s="5"/>
      <c r="P6411" s="5"/>
      <c r="Q6411" s="5"/>
      <c r="R6411" s="5"/>
      <c r="S6411" s="5"/>
    </row>
    <row r="6412">
      <c r="A6412" s="5"/>
      <c r="B6412" s="5" t="str">
        <f>IFERROR(__xludf.DUMMYFUNCTION("""COMPUTED_VALUE"""),"هیأت")</f>
        <v>هیأت</v>
      </c>
      <c r="C6412" s="5" t="str">
        <f>IFERROR(__xludf.DUMMYFUNCTION("""COMPUTED_VALUE"""),"خادمین حضرت زهرا")</f>
        <v>خادمین حضرت زهرا</v>
      </c>
      <c r="D6412" s="5" t="str">
        <f>IFERROR(__xludf.DUMMYFUNCTION("""COMPUTED_VALUE"""),"قم")</f>
        <v>قم</v>
      </c>
      <c r="E6412" s="5" t="str">
        <f>IFERROR(__xludf.DUMMYFUNCTION("""COMPUTED_VALUE"""),"قم")</f>
        <v>قم</v>
      </c>
      <c r="F6412" s="5"/>
      <c r="G6412" s="5">
        <f>IFERROR(__xludf.DUMMYFUNCTION("""COMPUTED_VALUE"""),3.0)</f>
        <v>3</v>
      </c>
      <c r="H6412" s="6" t="str">
        <f>IFERROR(__xludf.DUMMYFUNCTION("""COMPUTED_VALUE"""),"https://www.instagram.com/khademin_h_zahra/")</f>
        <v>https://www.instagram.com/khademin_h_zahra/</v>
      </c>
      <c r="I6412" s="5"/>
      <c r="J6412" s="5"/>
      <c r="K6412" s="5"/>
      <c r="L6412" s="5"/>
      <c r="M6412" s="5"/>
      <c r="N6412" s="5"/>
      <c r="O6412" s="5"/>
      <c r="P6412" s="5"/>
      <c r="Q6412" s="5"/>
      <c r="R6412" s="5"/>
      <c r="S6412" s="5"/>
    </row>
    <row r="6413">
      <c r="A6413" s="5"/>
      <c r="B6413" s="5" t="str">
        <f>IFERROR(__xludf.DUMMYFUNCTION("""COMPUTED_VALUE"""),"هیأت")</f>
        <v>هیأت</v>
      </c>
      <c r="C6413" s="5" t="str">
        <f>IFERROR(__xludf.DUMMYFUNCTION("""COMPUTED_VALUE"""),"خیمه گاه علی ابن موسی الرضا")</f>
        <v>خیمه گاه علی ابن موسی الرضا</v>
      </c>
      <c r="D6413" s="5" t="str">
        <f>IFERROR(__xludf.DUMMYFUNCTION("""COMPUTED_VALUE"""),"قم")</f>
        <v>قم</v>
      </c>
      <c r="E6413" s="5" t="str">
        <f>IFERROR(__xludf.DUMMYFUNCTION("""COMPUTED_VALUE"""),"قم")</f>
        <v>قم</v>
      </c>
      <c r="F6413" s="5"/>
      <c r="G6413" s="5">
        <f>IFERROR(__xludf.DUMMYFUNCTION("""COMPUTED_VALUE"""),3.0)</f>
        <v>3</v>
      </c>
      <c r="H6413" s="6" t="str">
        <f>IFERROR(__xludf.DUMMYFUNCTION("""COMPUTED_VALUE"""),"https://www.instagram.com/kheimegah_aliebnemousaalreza/")</f>
        <v>https://www.instagram.com/kheimegah_aliebnemousaalreza/</v>
      </c>
      <c r="I6413" s="6" t="str">
        <f>IFERROR(__xludf.DUMMYFUNCTION("""COMPUTED_VALUE"""),"https://t.me/kheimegah_aliebnemousaalreza")</f>
        <v>https://t.me/kheimegah_aliebnemousaalreza</v>
      </c>
      <c r="J6413" s="6" t="str">
        <f>IFERROR(__xludf.DUMMYFUNCTION("""COMPUTED_VALUE"""),"https://eitaa.com/kheymeh_gah_emam_reza")</f>
        <v>https://eitaa.com/kheymeh_gah_emam_reza</v>
      </c>
      <c r="K6413" s="5"/>
      <c r="L6413" s="5"/>
      <c r="M6413" s="5"/>
      <c r="N6413" s="5"/>
      <c r="O6413" s="5"/>
      <c r="P6413" s="5"/>
      <c r="Q6413" s="5"/>
      <c r="R6413" s="5"/>
      <c r="S6413" s="5"/>
    </row>
    <row r="6414">
      <c r="A6414" s="5"/>
      <c r="B6414" s="5" t="str">
        <f>IFERROR(__xludf.DUMMYFUNCTION("""COMPUTED_VALUE"""),"هیأت")</f>
        <v>هیأت</v>
      </c>
      <c r="C6414" s="5" t="str">
        <f>IFERROR(__xludf.DUMMYFUNCTION("""COMPUTED_VALUE"""),"دارالبکاء دختران موسی بن جعفر")</f>
        <v>دارالبکاء دختران موسی بن جعفر</v>
      </c>
      <c r="D6414" s="5" t="str">
        <f>IFERROR(__xludf.DUMMYFUNCTION("""COMPUTED_VALUE"""),"قم")</f>
        <v>قم</v>
      </c>
      <c r="E6414" s="5" t="str">
        <f>IFERROR(__xludf.DUMMYFUNCTION("""COMPUTED_VALUE"""),"قم")</f>
        <v>قم</v>
      </c>
      <c r="F6414" s="5"/>
      <c r="G6414" s="5">
        <f>IFERROR(__xludf.DUMMYFUNCTION("""COMPUTED_VALUE"""),3.0)</f>
        <v>3</v>
      </c>
      <c r="H6414" s="6" t="str">
        <f>IFERROR(__xludf.DUMMYFUNCTION("""COMPUTED_VALUE"""),"https://www.instagram.com/dokhtarane_mosa_ibn_jafar_/")</f>
        <v>https://www.instagram.com/dokhtarane_mosa_ibn_jafar_/</v>
      </c>
      <c r="I6414" s="5"/>
      <c r="J6414" s="5"/>
      <c r="K6414" s="5"/>
      <c r="L6414" s="5"/>
      <c r="M6414" s="5"/>
      <c r="N6414" s="5"/>
      <c r="O6414" s="5"/>
      <c r="P6414" s="5"/>
      <c r="Q6414" s="5"/>
      <c r="R6414" s="5"/>
      <c r="S6414" s="5"/>
    </row>
    <row r="6415">
      <c r="A6415" s="5"/>
      <c r="B6415" s="5" t="str">
        <f>IFERROR(__xludf.DUMMYFUNCTION("""COMPUTED_VALUE"""),"هیأت")</f>
        <v>هیأت</v>
      </c>
      <c r="C6415" s="5" t="str">
        <f>IFERROR(__xludf.DUMMYFUNCTION("""COMPUTED_VALUE"""),"دیوانگان‌ام‌المصائب")</f>
        <v>دیوانگان‌ام‌المصائب</v>
      </c>
      <c r="D6415" s="5" t="str">
        <f>IFERROR(__xludf.DUMMYFUNCTION("""COMPUTED_VALUE"""),"قم")</f>
        <v>قم</v>
      </c>
      <c r="E6415" s="5" t="str">
        <f>IFERROR(__xludf.DUMMYFUNCTION("""COMPUTED_VALUE"""),"قم")</f>
        <v>قم</v>
      </c>
      <c r="F6415" s="5"/>
      <c r="G6415" s="5">
        <f>IFERROR(__xludf.DUMMYFUNCTION("""COMPUTED_VALUE"""),3.0)</f>
        <v>3</v>
      </c>
      <c r="H6415" s="6" t="str">
        <f>IFERROR(__xludf.DUMMYFUNCTION("""COMPUTED_VALUE"""),"https://www.instagram.com/umm_al_masaib/")</f>
        <v>https://www.instagram.com/umm_al_masaib/</v>
      </c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</row>
    <row r="6416">
      <c r="A6416" s="5">
        <f>IFERROR(__xludf.DUMMYFUNCTION("""COMPUTED_VALUE"""),29753.0)</f>
        <v>29753</v>
      </c>
      <c r="B6416" s="5" t="str">
        <f>IFERROR(__xludf.DUMMYFUNCTION("""COMPUTED_VALUE"""),"هیأت")</f>
        <v>هیأت</v>
      </c>
      <c r="C6416" s="5" t="str">
        <f>IFERROR(__xludf.DUMMYFUNCTION("""COMPUTED_VALUE"""),"ریحانه الرسول (س)")</f>
        <v>ریحانه الرسول (س)</v>
      </c>
      <c r="D6416" s="5" t="str">
        <f>IFERROR(__xludf.DUMMYFUNCTION("""COMPUTED_VALUE"""),"قم")</f>
        <v>قم</v>
      </c>
      <c r="E6416" s="5" t="str">
        <f>IFERROR(__xludf.DUMMYFUNCTION("""COMPUTED_VALUE"""),"قم")</f>
        <v>قم</v>
      </c>
      <c r="F6416" s="5"/>
      <c r="G6416" s="5">
        <f>IFERROR(__xludf.DUMMYFUNCTION("""COMPUTED_VALUE"""),3.0)</f>
        <v>3</v>
      </c>
      <c r="H6416" s="6" t="str">
        <f>IFERROR(__xludf.DUMMYFUNCTION("""COMPUTED_VALUE"""),"https://www.instagram.com/reyhanatorrasoul_ir/")</f>
        <v>https://www.instagram.com/reyhanatorrasoul_ir/</v>
      </c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</row>
    <row r="6417">
      <c r="A6417" s="5">
        <f>IFERROR(__xludf.DUMMYFUNCTION("""COMPUTED_VALUE"""),32445.0)</f>
        <v>32445</v>
      </c>
      <c r="B6417" s="5" t="str">
        <f>IFERROR(__xludf.DUMMYFUNCTION("""COMPUTED_VALUE"""),"هیأت نوجوان")</f>
        <v>هیأت نوجوان</v>
      </c>
      <c r="C6417" s="5" t="str">
        <f>IFERROR(__xludf.DUMMYFUNCTION("""COMPUTED_VALUE"""),"سلالة النبی (ص)")</f>
        <v>سلالة النبی (ص)</v>
      </c>
      <c r="D6417" s="5" t="str">
        <f>IFERROR(__xludf.DUMMYFUNCTION("""COMPUTED_VALUE"""),"قم")</f>
        <v>قم</v>
      </c>
      <c r="E6417" s="5" t="str">
        <f>IFERROR(__xludf.DUMMYFUNCTION("""COMPUTED_VALUE"""),"قم")</f>
        <v>قم</v>
      </c>
      <c r="F6417" s="5"/>
      <c r="G6417" s="5">
        <f>IFERROR(__xludf.DUMMYFUNCTION("""COMPUTED_VALUE"""),3.0)</f>
        <v>3</v>
      </c>
      <c r="H6417" s="5"/>
      <c r="I6417" s="5"/>
      <c r="J6417" s="6" t="str">
        <f>IFERROR(__xludf.DUMMYFUNCTION("""COMPUTED_VALUE"""),"https://eitaa.com/heiatsolaleqom")</f>
        <v>https://eitaa.com/heiatsolaleqom</v>
      </c>
      <c r="K6417" s="5"/>
      <c r="L6417" s="5"/>
      <c r="M6417" s="5"/>
      <c r="N6417" s="5"/>
      <c r="O6417" s="5"/>
      <c r="P6417" s="5"/>
      <c r="Q6417" s="5"/>
      <c r="R6417" s="5"/>
      <c r="S6417" s="5"/>
    </row>
    <row r="6418">
      <c r="A6418" s="5">
        <f>IFERROR(__xludf.DUMMYFUNCTION("""COMPUTED_VALUE"""),10814.0)</f>
        <v>10814</v>
      </c>
      <c r="B6418" s="5" t="str">
        <f>IFERROR(__xludf.DUMMYFUNCTION("""COMPUTED_VALUE"""),"هیأت")</f>
        <v>هیأت</v>
      </c>
      <c r="C6418" s="5" t="str">
        <f>IFERROR(__xludf.DUMMYFUNCTION("""COMPUTED_VALUE"""),"عاشقان ثارالله(ع)")</f>
        <v>عاشقان ثارالله(ع)</v>
      </c>
      <c r="D6418" s="5" t="str">
        <f>IFERROR(__xludf.DUMMYFUNCTION("""COMPUTED_VALUE"""),"قم")</f>
        <v>قم</v>
      </c>
      <c r="E6418" s="5" t="str">
        <f>IFERROR(__xludf.DUMMYFUNCTION("""COMPUTED_VALUE"""),"قم")</f>
        <v>قم</v>
      </c>
      <c r="F6418" s="5"/>
      <c r="G6418" s="5">
        <f>IFERROR(__xludf.DUMMYFUNCTION("""COMPUTED_VALUE"""),3.0)</f>
        <v>3</v>
      </c>
      <c r="H6418" s="5"/>
      <c r="I6418" s="5"/>
      <c r="J6418" s="6" t="str">
        <f>IFERROR(__xludf.DUMMYFUNCTION("""COMPUTED_VALUE"""),"https://eitaa.com/sarallaheqom128")</f>
        <v>https://eitaa.com/sarallaheqom128</v>
      </c>
      <c r="K6418" s="5"/>
      <c r="L6418" s="5"/>
      <c r="M6418" s="5"/>
      <c r="N6418" s="5"/>
      <c r="O6418" s="5"/>
      <c r="P6418" s="5"/>
      <c r="Q6418" s="5"/>
      <c r="R6418" s="5"/>
      <c r="S6418" s="5"/>
    </row>
    <row r="6419">
      <c r="A6419" s="5"/>
      <c r="B6419" s="5" t="str">
        <f>IFERROR(__xludf.DUMMYFUNCTION("""COMPUTED_VALUE"""),"هیأت")</f>
        <v>هیأت</v>
      </c>
      <c r="C6419" s="5" t="str">
        <f>IFERROR(__xludf.DUMMYFUNCTION("""COMPUTED_VALUE"""),"عاشقان موسی بن جعفر")</f>
        <v>عاشقان موسی بن جعفر</v>
      </c>
      <c r="D6419" s="5" t="str">
        <f>IFERROR(__xludf.DUMMYFUNCTION("""COMPUTED_VALUE"""),"قم")</f>
        <v>قم</v>
      </c>
      <c r="E6419" s="5" t="str">
        <f>IFERROR(__xludf.DUMMYFUNCTION("""COMPUTED_VALUE"""),"قم")</f>
        <v>قم</v>
      </c>
      <c r="F6419" s="5"/>
      <c r="G6419" s="5">
        <f>IFERROR(__xludf.DUMMYFUNCTION("""COMPUTED_VALUE"""),3.0)</f>
        <v>3</v>
      </c>
      <c r="H6419" s="6" t="str">
        <f>IFERROR(__xludf.DUMMYFUNCTION("""COMPUTED_VALUE"""),"https://www.instagram.com/asheghan_mosabnejafar/")</f>
        <v>https://www.instagram.com/asheghan_mosabnejafar/</v>
      </c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</row>
    <row r="6420">
      <c r="A6420" s="5"/>
      <c r="B6420" s="5" t="str">
        <f>IFERROR(__xludf.DUMMYFUNCTION("""COMPUTED_VALUE"""),"هیأت")</f>
        <v>هیأت</v>
      </c>
      <c r="C6420" s="5" t="str">
        <f>IFERROR(__xludf.DUMMYFUNCTION("""COMPUTED_VALUE"""),"عشاق العباس")</f>
        <v>عشاق العباس</v>
      </c>
      <c r="D6420" s="5" t="str">
        <f>IFERROR(__xludf.DUMMYFUNCTION("""COMPUTED_VALUE"""),"قم")</f>
        <v>قم</v>
      </c>
      <c r="E6420" s="5" t="str">
        <f>IFERROR(__xludf.DUMMYFUNCTION("""COMPUTED_VALUE"""),"قم")</f>
        <v>قم</v>
      </c>
      <c r="F6420" s="5"/>
      <c r="G6420" s="5">
        <f>IFERROR(__xludf.DUMMYFUNCTION("""COMPUTED_VALUE"""),3.0)</f>
        <v>3</v>
      </c>
      <c r="H6420" s="6" t="str">
        <f>IFERROR(__xludf.DUMMYFUNCTION("""COMPUTED_VALUE"""),"https://www.instagram.com/oshaghe_ol_abbas_/")</f>
        <v>https://www.instagram.com/oshaghe_ol_abbas_/</v>
      </c>
      <c r="I6420" s="6" t="str">
        <f>IFERROR(__xludf.DUMMYFUNCTION("""COMPUTED_VALUE"""),"https://t.me/oshage")</f>
        <v>https://t.me/oshage</v>
      </c>
      <c r="J6420" s="5"/>
      <c r="K6420" s="5"/>
      <c r="L6420" s="5"/>
      <c r="M6420" s="5"/>
      <c r="N6420" s="5"/>
      <c r="O6420" s="5"/>
      <c r="P6420" s="5"/>
      <c r="Q6420" s="5"/>
      <c r="R6420" s="5"/>
      <c r="S6420" s="5"/>
    </row>
    <row r="6421">
      <c r="A6421" s="5">
        <f>IFERROR(__xludf.DUMMYFUNCTION("""COMPUTED_VALUE"""),27521.0)</f>
        <v>27521</v>
      </c>
      <c r="B6421" s="5" t="str">
        <f>IFERROR(__xludf.DUMMYFUNCTION("""COMPUTED_VALUE"""),"هیأت")</f>
        <v>هیأت</v>
      </c>
      <c r="C6421" s="5" t="str">
        <f>IFERROR(__xludf.DUMMYFUNCTION("""COMPUTED_VALUE"""),"عشاق المهدی (عج)")</f>
        <v>عشاق المهدی (عج)</v>
      </c>
      <c r="D6421" s="5" t="str">
        <f>IFERROR(__xludf.DUMMYFUNCTION("""COMPUTED_VALUE"""),"قم")</f>
        <v>قم</v>
      </c>
      <c r="E6421" s="5" t="str">
        <f>IFERROR(__xludf.DUMMYFUNCTION("""COMPUTED_VALUE"""),"قم")</f>
        <v>قم</v>
      </c>
      <c r="F6421" s="5"/>
      <c r="G6421" s="5">
        <f>IFERROR(__xludf.DUMMYFUNCTION("""COMPUTED_VALUE"""),3.0)</f>
        <v>3</v>
      </c>
      <c r="H6421" s="6" t="str">
        <f>IFERROR(__xludf.DUMMYFUNCTION("""COMPUTED_VALUE"""),"https://www.instagram.com/oshshagolmahdi")</f>
        <v>https://www.instagram.com/oshshagolmahdi</v>
      </c>
      <c r="I6421" s="5"/>
      <c r="J6421" s="6" t="str">
        <f>IFERROR(__xludf.DUMMYFUNCTION("""COMPUTED_VALUE"""),"https://eitaa.com/oshshagolmahdi")</f>
        <v>https://eitaa.com/oshshagolmahdi</v>
      </c>
      <c r="K6421" s="5"/>
      <c r="L6421" s="5"/>
      <c r="M6421" s="5"/>
      <c r="N6421" s="5"/>
      <c r="O6421" s="5"/>
      <c r="P6421" s="5"/>
      <c r="Q6421" s="5"/>
      <c r="R6421" s="5"/>
      <c r="S6421" s="5"/>
    </row>
    <row r="6422">
      <c r="A6422" s="5"/>
      <c r="B6422" s="5" t="str">
        <f>IFERROR(__xludf.DUMMYFUNCTION("""COMPUTED_VALUE"""),"هیأت")</f>
        <v>هیأت</v>
      </c>
      <c r="C6422" s="5" t="str">
        <f>IFERROR(__xludf.DUMMYFUNCTION("""COMPUTED_VALUE"""),"غمکده اباعبدالله")</f>
        <v>غمکده اباعبدالله</v>
      </c>
      <c r="D6422" s="5" t="str">
        <f>IFERROR(__xludf.DUMMYFUNCTION("""COMPUTED_VALUE"""),"قم")</f>
        <v>قم</v>
      </c>
      <c r="E6422" s="5" t="str">
        <f>IFERROR(__xludf.DUMMYFUNCTION("""COMPUTED_VALUE"""),"قم")</f>
        <v>قم</v>
      </c>
      <c r="F6422" s="5"/>
      <c r="G6422" s="5">
        <f>IFERROR(__xludf.DUMMYFUNCTION("""COMPUTED_VALUE"""),3.0)</f>
        <v>3</v>
      </c>
      <c r="H6422" s="6" t="str">
        <f>IFERROR(__xludf.DUMMYFUNCTION("""COMPUTED_VALUE"""),"https://www.instagram.com/moharam_qom/")</f>
        <v>https://www.instagram.com/moharam_qom/</v>
      </c>
      <c r="I6422" s="6" t="str">
        <f>IFERROR(__xludf.DUMMYFUNCTION("""COMPUTED_VALUE"""),"https://t.me/moharam_qom")</f>
        <v>https://t.me/moharam_qom</v>
      </c>
      <c r="J6422" s="5"/>
      <c r="K6422" s="5"/>
      <c r="L6422" s="5"/>
      <c r="M6422" s="5"/>
      <c r="N6422" s="5"/>
      <c r="O6422" s="5"/>
      <c r="P6422" s="5"/>
      <c r="Q6422" s="5"/>
      <c r="R6422" s="5"/>
      <c r="S6422" s="5"/>
    </row>
    <row r="6423">
      <c r="A6423" s="5"/>
      <c r="B6423" s="5" t="str">
        <f>IFERROR(__xludf.DUMMYFUNCTION("""COMPUTED_VALUE"""),"هیأت")</f>
        <v>هیأت</v>
      </c>
      <c r="C6423" s="5" t="str">
        <f>IFERROR(__xludf.DUMMYFUNCTION("""COMPUTED_VALUE"""),"غیرت العباس")</f>
        <v>غیرت العباس</v>
      </c>
      <c r="D6423" s="5" t="str">
        <f>IFERROR(__xludf.DUMMYFUNCTION("""COMPUTED_VALUE"""),"قم")</f>
        <v>قم</v>
      </c>
      <c r="E6423" s="5" t="str">
        <f>IFERROR(__xludf.DUMMYFUNCTION("""COMPUTED_VALUE"""),"قم")</f>
        <v>قم</v>
      </c>
      <c r="F6423" s="5"/>
      <c r="G6423" s="5">
        <f>IFERROR(__xludf.DUMMYFUNCTION("""COMPUTED_VALUE"""),3.0)</f>
        <v>3</v>
      </c>
      <c r="H6423" s="6" t="str">
        <f>IFERROR(__xludf.DUMMYFUNCTION("""COMPUTED_VALUE"""),"https://www.instagram.com/qeiratolabbas.qom/")</f>
        <v>https://www.instagram.com/qeiratolabbas.qom/</v>
      </c>
      <c r="I6423" s="6" t="str">
        <f>IFERROR(__xludf.DUMMYFUNCTION("""COMPUTED_VALUE"""),"https://t.me/qeiratolabbas")</f>
        <v>https://t.me/qeiratolabbas</v>
      </c>
      <c r="J6423" s="6" t="str">
        <f>IFERROR(__xludf.DUMMYFUNCTION("""COMPUTED_VALUE"""),"https://www.instagram.com/qeiratolabbas_online/")</f>
        <v>https://www.instagram.com/qeiratolabbas_online/</v>
      </c>
      <c r="K6423" s="5"/>
      <c r="L6423" s="5"/>
      <c r="M6423" s="5"/>
      <c r="N6423" s="5"/>
      <c r="O6423" s="5"/>
      <c r="P6423" s="5"/>
      <c r="Q6423" s="5"/>
      <c r="R6423" s="5"/>
      <c r="S6423" s="5"/>
    </row>
    <row r="6424">
      <c r="A6424" s="5">
        <f>IFERROR(__xludf.DUMMYFUNCTION("""COMPUTED_VALUE"""),31461.0)</f>
        <v>31461</v>
      </c>
      <c r="B6424" s="5" t="str">
        <f>IFERROR(__xludf.DUMMYFUNCTION("""COMPUTED_VALUE"""),"هیأت")</f>
        <v>هیأت</v>
      </c>
      <c r="C6424" s="5" t="str">
        <f>IFERROR(__xludf.DUMMYFUNCTION("""COMPUTED_VALUE"""),"فدائیان امیرالمومنین (ع)")</f>
        <v>فدائیان امیرالمومنین (ع)</v>
      </c>
      <c r="D6424" s="5" t="str">
        <f>IFERROR(__xludf.DUMMYFUNCTION("""COMPUTED_VALUE"""),"قم")</f>
        <v>قم</v>
      </c>
      <c r="E6424" s="5" t="str">
        <f>IFERROR(__xludf.DUMMYFUNCTION("""COMPUTED_VALUE"""),"قم")</f>
        <v>قم</v>
      </c>
      <c r="F6424" s="5"/>
      <c r="G6424" s="5">
        <f>IFERROR(__xludf.DUMMYFUNCTION("""COMPUTED_VALUE"""),3.0)</f>
        <v>3</v>
      </c>
      <c r="H6424" s="5"/>
      <c r="I6424" s="5"/>
      <c r="J6424" s="6" t="str">
        <f>IFERROR(__xludf.DUMMYFUNCTION("""COMPUTED_VALUE"""),"https://eitaa.com/fadaiyaninfo")</f>
        <v>https://eitaa.com/fadaiyaninfo</v>
      </c>
      <c r="K6424" s="5"/>
      <c r="L6424" s="5"/>
      <c r="M6424" s="5"/>
      <c r="N6424" s="5"/>
      <c r="O6424" s="5"/>
      <c r="P6424" s="5"/>
      <c r="Q6424" s="5"/>
      <c r="R6424" s="5"/>
      <c r="S6424" s="5"/>
    </row>
    <row r="6425">
      <c r="A6425" s="5"/>
      <c r="B6425" s="5" t="str">
        <f>IFERROR(__xludf.DUMMYFUNCTION("""COMPUTED_VALUE"""),"هیأت")</f>
        <v>هیأت</v>
      </c>
      <c r="C6425" s="5" t="str">
        <f>IFERROR(__xludf.DUMMYFUNCTION("""COMPUTED_VALUE"""),"قاسم ابن الحسن (ع)")</f>
        <v>قاسم ابن الحسن (ع)</v>
      </c>
      <c r="D6425" s="5" t="str">
        <f>IFERROR(__xludf.DUMMYFUNCTION("""COMPUTED_VALUE"""),"قم")</f>
        <v>قم</v>
      </c>
      <c r="E6425" s="5" t="str">
        <f>IFERROR(__xludf.DUMMYFUNCTION("""COMPUTED_VALUE"""),"قم")</f>
        <v>قم</v>
      </c>
      <c r="F6425" s="5"/>
      <c r="G6425" s="5">
        <f>IFERROR(__xludf.DUMMYFUNCTION("""COMPUTED_VALUE"""),3.0)</f>
        <v>3</v>
      </c>
      <c r="H6425" s="5"/>
      <c r="I6425" s="5"/>
      <c r="J6425" s="6" t="str">
        <f>IFERROR(__xludf.DUMMYFUNCTION("""COMPUTED_VALUE"""),"https://eitaa.com/heyatghasem1440")</f>
        <v>https://eitaa.com/heyatghasem1440</v>
      </c>
      <c r="K6425" s="5"/>
      <c r="L6425" s="5"/>
      <c r="M6425" s="5"/>
      <c r="N6425" s="5"/>
      <c r="O6425" s="5"/>
      <c r="P6425" s="5"/>
      <c r="Q6425" s="5"/>
      <c r="R6425" s="5"/>
      <c r="S6425" s="5"/>
    </row>
    <row r="6426">
      <c r="A6426" s="5">
        <f>IFERROR(__xludf.DUMMYFUNCTION("""COMPUTED_VALUE"""),25333.0)</f>
        <v>25333</v>
      </c>
      <c r="B6426" s="5" t="str">
        <f>IFERROR(__xludf.DUMMYFUNCTION("""COMPUTED_VALUE"""),"هیأت")</f>
        <v>هیأت</v>
      </c>
      <c r="C6426" s="5" t="str">
        <f>IFERROR(__xludf.DUMMYFUNCTION("""COMPUTED_VALUE"""),"قاسم بن الحسن (ع)")</f>
        <v>قاسم بن الحسن (ع)</v>
      </c>
      <c r="D6426" s="5" t="str">
        <f>IFERROR(__xludf.DUMMYFUNCTION("""COMPUTED_VALUE"""),"قم")</f>
        <v>قم</v>
      </c>
      <c r="E6426" s="5" t="str">
        <f>IFERROR(__xludf.DUMMYFUNCTION("""COMPUTED_VALUE"""),"قم")</f>
        <v>قم</v>
      </c>
      <c r="F6426" s="5"/>
      <c r="G6426" s="5">
        <f>IFERROR(__xludf.DUMMYFUNCTION("""COMPUTED_VALUE"""),3.0)</f>
        <v>3</v>
      </c>
      <c r="H6426" s="5"/>
      <c r="I6426" s="5"/>
      <c r="J6426" s="6" t="str">
        <f>IFERROR(__xludf.DUMMYFUNCTION("""COMPUTED_VALUE"""),"https://eitaa.com/HazratQasim110")</f>
        <v>https://eitaa.com/HazratQasim110</v>
      </c>
      <c r="K6426" s="5"/>
      <c r="L6426" s="5"/>
      <c r="M6426" s="5"/>
      <c r="N6426" s="5"/>
      <c r="O6426" s="5"/>
      <c r="P6426" s="5"/>
      <c r="Q6426" s="5"/>
      <c r="R6426" s="5"/>
      <c r="S6426" s="5"/>
    </row>
    <row r="6427">
      <c r="A6427" s="5"/>
      <c r="B6427" s="5" t="str">
        <f>IFERROR(__xludf.DUMMYFUNCTION("""COMPUTED_VALUE"""),"هیأت")</f>
        <v>هیأت</v>
      </c>
      <c r="C6427" s="5" t="str">
        <f>IFERROR(__xludf.DUMMYFUNCTION("""COMPUTED_VALUE"""),"ماتمکده حضرت رباب")</f>
        <v>ماتمکده حضرت رباب</v>
      </c>
      <c r="D6427" s="5" t="str">
        <f>IFERROR(__xludf.DUMMYFUNCTION("""COMPUTED_VALUE"""),"قم")</f>
        <v>قم</v>
      </c>
      <c r="E6427" s="5" t="str">
        <f>IFERROR(__xludf.DUMMYFUNCTION("""COMPUTED_VALUE"""),"قم")</f>
        <v>قم</v>
      </c>
      <c r="F6427" s="5"/>
      <c r="G6427" s="5">
        <f>IFERROR(__xludf.DUMMYFUNCTION("""COMPUTED_VALUE"""),3.0)</f>
        <v>3</v>
      </c>
      <c r="H6427" s="6" t="str">
        <f>IFERROR(__xludf.DUMMYFUNCTION("""COMPUTED_VALUE"""),"https://www.instagram.com/matamkade_hazrat_robab/")</f>
        <v>https://www.instagram.com/matamkade_hazrat_robab/</v>
      </c>
      <c r="I6427" s="6" t="str">
        <f>IFERROR(__xludf.DUMMYFUNCTION("""COMPUTED_VALUE"""),"https://t.me/Matamkade_Hazrat_Robab")</f>
        <v>https://t.me/Matamkade_Hazrat_Robab</v>
      </c>
      <c r="J6427" s="5"/>
      <c r="K6427" s="5"/>
      <c r="L6427" s="5"/>
      <c r="M6427" s="5"/>
      <c r="N6427" s="5"/>
      <c r="O6427" s="5"/>
      <c r="P6427" s="5"/>
      <c r="Q6427" s="5"/>
      <c r="R6427" s="5"/>
      <c r="S6427" s="5"/>
    </row>
    <row r="6428">
      <c r="A6428" s="5">
        <f>IFERROR(__xludf.DUMMYFUNCTION("""COMPUTED_VALUE"""),29719.0)</f>
        <v>29719</v>
      </c>
      <c r="B6428" s="5" t="str">
        <f>IFERROR(__xludf.DUMMYFUNCTION("""COMPUTED_VALUE"""),"هیأت")</f>
        <v>هیأت</v>
      </c>
      <c r="C6428" s="5" t="str">
        <f>IFERROR(__xludf.DUMMYFUNCTION("""COMPUTED_VALUE"""),"مجموعه بوی سیب حسینی (بقعه علی بن بابویه)")</f>
        <v>مجموعه بوی سیب حسینی (بقعه علی بن بابویه)</v>
      </c>
      <c r="D6428" s="5" t="str">
        <f>IFERROR(__xludf.DUMMYFUNCTION("""COMPUTED_VALUE"""),"قم")</f>
        <v>قم</v>
      </c>
      <c r="E6428" s="5" t="str">
        <f>IFERROR(__xludf.DUMMYFUNCTION("""COMPUTED_VALUE"""),"قم")</f>
        <v>قم</v>
      </c>
      <c r="F6428" s="5"/>
      <c r="G6428" s="5">
        <f>IFERROR(__xludf.DUMMYFUNCTION("""COMPUTED_VALUE"""),3.0)</f>
        <v>3</v>
      </c>
      <c r="H6428" s="5"/>
      <c r="I6428" s="5"/>
      <c r="J6428" s="6" t="str">
        <f>IFERROR(__xludf.DUMMYFUNCTION("""COMPUTED_VALUE"""),"https://eitaa.com/kargahmadahinojavanan")</f>
        <v>https://eitaa.com/kargahmadahinojavanan</v>
      </c>
      <c r="K6428" s="5"/>
      <c r="L6428" s="5"/>
      <c r="M6428" s="5"/>
      <c r="N6428" s="5"/>
      <c r="O6428" s="5"/>
      <c r="P6428" s="5"/>
      <c r="Q6428" s="5"/>
      <c r="R6428" s="5"/>
      <c r="S6428" s="5"/>
    </row>
    <row r="6429">
      <c r="A6429" s="5"/>
      <c r="B6429" s="5" t="str">
        <f>IFERROR(__xludf.DUMMYFUNCTION("""COMPUTED_VALUE"""),"هیأت")</f>
        <v>هیأت</v>
      </c>
      <c r="C6429" s="5" t="str">
        <f>IFERROR(__xludf.DUMMYFUNCTION("""COMPUTED_VALUE"""),"محبان الزهرا")</f>
        <v>محبان الزهرا</v>
      </c>
      <c r="D6429" s="5" t="str">
        <f>IFERROR(__xludf.DUMMYFUNCTION("""COMPUTED_VALUE"""),"قم")</f>
        <v>قم</v>
      </c>
      <c r="E6429" s="5" t="str">
        <f>IFERROR(__xludf.DUMMYFUNCTION("""COMPUTED_VALUE"""),"قم")</f>
        <v>قم</v>
      </c>
      <c r="F6429" s="5"/>
      <c r="G6429" s="5">
        <f>IFERROR(__xludf.DUMMYFUNCTION("""COMPUTED_VALUE"""),3.0)</f>
        <v>3</v>
      </c>
      <c r="H6429" s="6" t="str">
        <f>IFERROR(__xludf.DUMMYFUNCTION("""COMPUTED_VALUE"""),"https://www.instagram.com/mohebanozahra_heyat/")</f>
        <v>https://www.instagram.com/mohebanozahra_heyat/</v>
      </c>
      <c r="I6429" s="5"/>
      <c r="J6429" s="6" t="str">
        <f>IFERROR(__xludf.DUMMYFUNCTION("""COMPUTED_VALUE"""),"https://eitaa.com/mohebanozahra_heyat")</f>
        <v>https://eitaa.com/mohebanozahra_heyat</v>
      </c>
      <c r="K6429" s="5"/>
      <c r="L6429" s="5"/>
      <c r="M6429" s="5"/>
      <c r="N6429" s="5"/>
      <c r="O6429" s="5"/>
      <c r="P6429" s="5"/>
      <c r="Q6429" s="5"/>
      <c r="R6429" s="5"/>
      <c r="S6429" s="5"/>
    </row>
    <row r="6430">
      <c r="A6430" s="5"/>
      <c r="B6430" s="5" t="str">
        <f>IFERROR(__xludf.DUMMYFUNCTION("""COMPUTED_VALUE"""),"هیأت")</f>
        <v>هیأت</v>
      </c>
      <c r="C6430" s="5" t="str">
        <f>IFERROR(__xludf.DUMMYFUNCTION("""COMPUTED_VALUE"""),"محبین اهل بیت (ع)")</f>
        <v>محبین اهل بیت (ع)</v>
      </c>
      <c r="D6430" s="5" t="str">
        <f>IFERROR(__xludf.DUMMYFUNCTION("""COMPUTED_VALUE"""),"قم")</f>
        <v>قم</v>
      </c>
      <c r="E6430" s="5" t="str">
        <f>IFERROR(__xludf.DUMMYFUNCTION("""COMPUTED_VALUE"""),"قم")</f>
        <v>قم</v>
      </c>
      <c r="F6430" s="5"/>
      <c r="G6430" s="5">
        <f>IFERROR(__xludf.DUMMYFUNCTION("""COMPUTED_VALUE"""),3.0)</f>
        <v>3</v>
      </c>
      <c r="H6430" s="5"/>
      <c r="I6430" s="5"/>
      <c r="J6430" s="6" t="str">
        <f>IFERROR(__xludf.DUMMYFUNCTION("""COMPUTED_VALUE"""),"https://eitaa.com/mohebbin_net")</f>
        <v>https://eitaa.com/mohebbin_net</v>
      </c>
      <c r="K6430" s="5"/>
      <c r="L6430" s="5"/>
      <c r="M6430" s="5"/>
      <c r="N6430" s="5"/>
      <c r="O6430" s="5"/>
      <c r="P6430" s="5"/>
      <c r="Q6430" s="5"/>
      <c r="R6430" s="5"/>
      <c r="S6430" s="5"/>
    </row>
    <row r="6431">
      <c r="A6431" s="5">
        <f>IFERROR(__xludf.DUMMYFUNCTION("""COMPUTED_VALUE"""),21965.0)</f>
        <v>21965</v>
      </c>
      <c r="B6431" s="5" t="str">
        <f>IFERROR(__xludf.DUMMYFUNCTION("""COMPUTED_VALUE"""),"هیأت")</f>
        <v>هیأت</v>
      </c>
      <c r="C6431" s="5" t="str">
        <f>IFERROR(__xludf.DUMMYFUNCTION("""COMPUTED_VALUE"""),"مرکز فرهنگی جهادی هیات الرضا (ع)")</f>
        <v>مرکز فرهنگی جهادی هیات الرضا (ع)</v>
      </c>
      <c r="D6431" s="5" t="str">
        <f>IFERROR(__xludf.DUMMYFUNCTION("""COMPUTED_VALUE"""),"قم")</f>
        <v>قم</v>
      </c>
      <c r="E6431" s="5" t="str">
        <f>IFERROR(__xludf.DUMMYFUNCTION("""COMPUTED_VALUE"""),"قم")</f>
        <v>قم</v>
      </c>
      <c r="F6431" s="5"/>
      <c r="G6431" s="5">
        <f>IFERROR(__xludf.DUMMYFUNCTION("""COMPUTED_VALUE"""),3.0)</f>
        <v>3</v>
      </c>
      <c r="H6431" s="6" t="str">
        <f>IFERROR(__xludf.DUMMYFUNCTION("""COMPUTED_VALUE"""),"https://www.instagram.com/heyatalreza_ir")</f>
        <v>https://www.instagram.com/heyatalreza_ir</v>
      </c>
      <c r="I6431" s="5"/>
      <c r="J6431" s="6" t="str">
        <f>IFERROR(__xludf.DUMMYFUNCTION("""COMPUTED_VALUE"""),"https://eitaa.com/heyatalreza_ir")</f>
        <v>https://eitaa.com/heyatalreza_ir</v>
      </c>
      <c r="K6431" s="5"/>
      <c r="L6431" s="5"/>
      <c r="M6431" s="5"/>
      <c r="N6431" s="5"/>
      <c r="O6431" s="5"/>
      <c r="P6431" s="5"/>
      <c r="Q6431" s="5"/>
      <c r="R6431" s="5"/>
      <c r="S6431" s="5"/>
    </row>
    <row r="6432">
      <c r="A6432" s="5"/>
      <c r="B6432" s="5" t="str">
        <f>IFERROR(__xludf.DUMMYFUNCTION("""COMPUTED_VALUE"""),"مسجد")</f>
        <v>مسجد</v>
      </c>
      <c r="C6432" s="5" t="str">
        <f>IFERROR(__xludf.DUMMYFUNCTION("""COMPUTED_VALUE"""),"مسجدالنبی (ص)")</f>
        <v>مسجدالنبی (ص)</v>
      </c>
      <c r="D6432" s="5" t="str">
        <f>IFERROR(__xludf.DUMMYFUNCTION("""COMPUTED_VALUE"""),"قم")</f>
        <v>قم</v>
      </c>
      <c r="E6432" s="5" t="str">
        <f>IFERROR(__xludf.DUMMYFUNCTION("""COMPUTED_VALUE"""),"قم")</f>
        <v>قم</v>
      </c>
      <c r="F6432" s="5"/>
      <c r="G6432" s="5">
        <f>IFERROR(__xludf.DUMMYFUNCTION("""COMPUTED_VALUE"""),3.0)</f>
        <v>3</v>
      </c>
      <c r="H6432" s="6" t="str">
        <f>IFERROR(__xludf.DUMMYFUNCTION("""COMPUTED_VALUE"""),"https://www.instagram.com/masjed_alnabi_salarie/")</f>
        <v>https://www.instagram.com/masjed_alnabi_salarie/</v>
      </c>
      <c r="I6432" s="5"/>
      <c r="J6432" s="5"/>
      <c r="K6432" s="5"/>
      <c r="L6432" s="5"/>
      <c r="M6432" s="5"/>
      <c r="N6432" s="5"/>
      <c r="O6432" s="5"/>
      <c r="P6432" s="5"/>
      <c r="Q6432" s="5"/>
      <c r="R6432" s="5"/>
      <c r="S6432" s="5"/>
    </row>
    <row r="6433">
      <c r="A6433" s="5">
        <f>IFERROR(__xludf.DUMMYFUNCTION("""COMPUTED_VALUE"""),20847.0)</f>
        <v>20847</v>
      </c>
      <c r="B6433" s="5" t="str">
        <f>IFERROR(__xludf.DUMMYFUNCTION("""COMPUTED_VALUE"""),"هیأت")</f>
        <v>هیأت</v>
      </c>
      <c r="C6433" s="5" t="str">
        <f>IFERROR(__xludf.DUMMYFUNCTION("""COMPUTED_VALUE"""),"مصباح الهدی (عج)")</f>
        <v>مصباح الهدی (عج)</v>
      </c>
      <c r="D6433" s="5" t="str">
        <f>IFERROR(__xludf.DUMMYFUNCTION("""COMPUTED_VALUE"""),"قم")</f>
        <v>قم</v>
      </c>
      <c r="E6433" s="5" t="str">
        <f>IFERROR(__xludf.DUMMYFUNCTION("""COMPUTED_VALUE"""),"قم")</f>
        <v>قم</v>
      </c>
      <c r="F6433" s="5"/>
      <c r="G6433" s="5">
        <f>IFERROR(__xludf.DUMMYFUNCTION("""COMPUTED_VALUE"""),3.0)</f>
        <v>3</v>
      </c>
      <c r="H6433" s="5"/>
      <c r="I6433" s="5"/>
      <c r="J6433" s="6" t="str">
        <f>IFERROR(__xludf.DUMMYFUNCTION("""COMPUTED_VALUE"""),"https://eitaa.com/mesbaholhodaqom")</f>
        <v>https://eitaa.com/mesbaholhodaqom</v>
      </c>
      <c r="K6433" s="5"/>
      <c r="L6433" s="5"/>
      <c r="M6433" s="5"/>
      <c r="N6433" s="5"/>
      <c r="O6433" s="5"/>
      <c r="P6433" s="5"/>
      <c r="Q6433" s="5"/>
      <c r="R6433" s="5"/>
      <c r="S6433" s="5"/>
    </row>
    <row r="6434">
      <c r="A6434" s="5">
        <f>IFERROR(__xludf.DUMMYFUNCTION("""COMPUTED_VALUE"""),32859.0)</f>
        <v>32859</v>
      </c>
      <c r="B6434" s="5" t="str">
        <f>IFERROR(__xludf.DUMMYFUNCTION("""COMPUTED_VALUE"""),"هیأت")</f>
        <v>هیأت</v>
      </c>
      <c r="C6434" s="5" t="str">
        <f>IFERROR(__xludf.DUMMYFUNCTION("""COMPUTED_VALUE"""),"معاصران حضرت ولی عصر (عجل الله تعالی فرجه الشریف)")</f>
        <v>معاصران حضرت ولی عصر (عجل الله تعالی فرجه الشریف)</v>
      </c>
      <c r="D6434" s="5" t="str">
        <f>IFERROR(__xludf.DUMMYFUNCTION("""COMPUTED_VALUE"""),"قم")</f>
        <v>قم</v>
      </c>
      <c r="E6434" s="5" t="str">
        <f>IFERROR(__xludf.DUMMYFUNCTION("""COMPUTED_VALUE"""),"قم")</f>
        <v>قم</v>
      </c>
      <c r="F6434" s="5"/>
      <c r="G6434" s="5">
        <f>IFERROR(__xludf.DUMMYFUNCTION("""COMPUTED_VALUE"""),3.0)</f>
        <v>3</v>
      </c>
      <c r="H6434" s="6" t="str">
        <f>IFERROR(__xludf.DUMMYFUNCTION("""COMPUTED_VALUE"""),"https://www.instagram.com/valiasr_heiat/")</f>
        <v>https://www.instagram.com/valiasr_heiat/</v>
      </c>
      <c r="I6434" s="5"/>
      <c r="J6434" s="6" t="str">
        <f>IFERROR(__xludf.DUMMYFUNCTION("""COMPUTED_VALUE"""),"https://eitaa.com/heyatvalieasr")</f>
        <v>https://eitaa.com/heyatvalieasr</v>
      </c>
      <c r="K6434" s="5"/>
      <c r="L6434" s="5"/>
      <c r="M6434" s="5"/>
      <c r="N6434" s="5"/>
      <c r="O6434" s="5"/>
      <c r="P6434" s="5"/>
      <c r="Q6434" s="5"/>
      <c r="R6434" s="5"/>
      <c r="S6434" s="5"/>
    </row>
    <row r="6435">
      <c r="A6435" s="5"/>
      <c r="B6435" s="5" t="str">
        <f>IFERROR(__xludf.DUMMYFUNCTION("""COMPUTED_VALUE"""),"دسته عزاداری")</f>
        <v>دسته عزاداری</v>
      </c>
      <c r="C6435" s="5" t="str">
        <f>IFERROR(__xludf.DUMMYFUNCTION("""COMPUTED_VALUE"""),"مکتب الزینب")</f>
        <v>مکتب الزینب</v>
      </c>
      <c r="D6435" s="5" t="str">
        <f>IFERROR(__xludf.DUMMYFUNCTION("""COMPUTED_VALUE"""),"قم")</f>
        <v>قم</v>
      </c>
      <c r="E6435" s="5" t="str">
        <f>IFERROR(__xludf.DUMMYFUNCTION("""COMPUTED_VALUE"""),"قم")</f>
        <v>قم</v>
      </c>
      <c r="F6435" s="5"/>
      <c r="G6435" s="5">
        <f>IFERROR(__xludf.DUMMYFUNCTION("""COMPUTED_VALUE"""),3.0)</f>
        <v>3</v>
      </c>
      <c r="H6435" s="6" t="str">
        <f>IFERROR(__xludf.DUMMYFUNCTION("""COMPUTED_VALUE"""),"https://www.instagram.com/maktabolzeinab1390/")</f>
        <v>https://www.instagram.com/maktabolzeinab1390/</v>
      </c>
      <c r="I6435" s="5"/>
      <c r="J6435" s="5"/>
      <c r="K6435" s="5"/>
      <c r="L6435" s="5"/>
      <c r="M6435" s="5"/>
      <c r="N6435" s="5"/>
      <c r="O6435" s="5"/>
      <c r="P6435" s="5"/>
      <c r="Q6435" s="5"/>
      <c r="R6435" s="5"/>
      <c r="S6435" s="5"/>
    </row>
    <row r="6436">
      <c r="A6436" s="5"/>
      <c r="B6436" s="5" t="str">
        <f>IFERROR(__xludf.DUMMYFUNCTION("""COMPUTED_VALUE"""),"هیأت")</f>
        <v>هیأت</v>
      </c>
      <c r="C6436" s="5" t="str">
        <f>IFERROR(__xludf.DUMMYFUNCTION("""COMPUTED_VALUE"""),"مکتب الصادق")</f>
        <v>مکتب الصادق</v>
      </c>
      <c r="D6436" s="5" t="str">
        <f>IFERROR(__xludf.DUMMYFUNCTION("""COMPUTED_VALUE"""),"قم")</f>
        <v>قم</v>
      </c>
      <c r="E6436" s="5" t="str">
        <f>IFERROR(__xludf.DUMMYFUNCTION("""COMPUTED_VALUE"""),"قم")</f>
        <v>قم</v>
      </c>
      <c r="F6436" s="5"/>
      <c r="G6436" s="5">
        <f>IFERROR(__xludf.DUMMYFUNCTION("""COMPUTED_VALUE"""),3.0)</f>
        <v>3</v>
      </c>
      <c r="H6436" s="6" t="str">
        <f>IFERROR(__xludf.DUMMYFUNCTION("""COMPUTED_VALUE"""),"https://www.instagram.com/maktabalsadegh_qom")</f>
        <v>https://www.instagram.com/maktabalsadegh_qom</v>
      </c>
      <c r="I6436" s="6" t="str">
        <f>IFERROR(__xludf.DUMMYFUNCTION("""COMPUTED_VALUE"""),"https://t.me/maktabalsadegh_qom")</f>
        <v>https://t.me/maktabalsadegh_qom</v>
      </c>
      <c r="J6436" s="6" t="str">
        <f>IFERROR(__xludf.DUMMYFUNCTION("""COMPUTED_VALUE"""),"https://eitaa.com/Maktab_Sadeg_Qom")</f>
        <v>https://eitaa.com/Maktab_Sadeg_Qom</v>
      </c>
      <c r="K6436" s="5"/>
      <c r="L6436" s="5"/>
      <c r="M6436" s="5"/>
      <c r="N6436" s="5"/>
      <c r="O6436" s="5"/>
      <c r="P6436" s="5"/>
      <c r="Q6436" s="5"/>
      <c r="R6436" s="5"/>
      <c r="S6436" s="5"/>
    </row>
    <row r="6437">
      <c r="A6437" s="5">
        <f>IFERROR(__xludf.DUMMYFUNCTION("""COMPUTED_VALUE"""),6386.0)</f>
        <v>6386</v>
      </c>
      <c r="B6437" s="5" t="str">
        <f>IFERROR(__xludf.DUMMYFUNCTION("""COMPUTED_VALUE"""),"هیأت")</f>
        <v>هیأت</v>
      </c>
      <c r="C6437" s="5" t="str">
        <f>IFERROR(__xludf.DUMMYFUNCTION("""COMPUTED_VALUE"""),"یا زینب (س)")</f>
        <v>یا زینب (س)</v>
      </c>
      <c r="D6437" s="5" t="str">
        <f>IFERROR(__xludf.DUMMYFUNCTION("""COMPUTED_VALUE"""),"قم")</f>
        <v>قم</v>
      </c>
      <c r="E6437" s="5" t="str">
        <f>IFERROR(__xludf.DUMMYFUNCTION("""COMPUTED_VALUE"""),"قم")</f>
        <v>قم</v>
      </c>
      <c r="F6437" s="5"/>
      <c r="G6437" s="5">
        <f>IFERROR(__xludf.DUMMYFUNCTION("""COMPUTED_VALUE"""),3.0)</f>
        <v>3</v>
      </c>
      <c r="H6437" s="6" t="str">
        <f>IFERROR(__xludf.DUMMYFUNCTION("""COMPUTED_VALUE"""),"https://www.instagram.com/yazeinaba.ir/")</f>
        <v>https://www.instagram.com/yazeinaba.ir/</v>
      </c>
      <c r="I6437" s="5"/>
      <c r="J6437" s="6" t="str">
        <f>IFERROR(__xludf.DUMMYFUNCTION("""COMPUTED_VALUE"""),"https://eitaa.com/yazeinaba_ir")</f>
        <v>https://eitaa.com/yazeinaba_ir</v>
      </c>
      <c r="K6437" s="5"/>
      <c r="L6437" s="5"/>
      <c r="M6437" s="5"/>
      <c r="N6437" s="5"/>
      <c r="O6437" s="5"/>
      <c r="P6437" s="5"/>
      <c r="Q6437" s="5"/>
      <c r="R6437" s="5"/>
      <c r="S6437" s="5"/>
    </row>
    <row r="6438">
      <c r="A6438" s="5"/>
      <c r="B6438" s="5" t="str">
        <f>IFERROR(__xludf.DUMMYFUNCTION("""COMPUTED_VALUE"""),"هیأت")</f>
        <v>هیأت</v>
      </c>
      <c r="C6438" s="5" t="str">
        <f>IFERROR(__xludf.DUMMYFUNCTION("""COMPUTED_VALUE"""),"یازهرا")</f>
        <v>یازهرا</v>
      </c>
      <c r="D6438" s="5" t="str">
        <f>IFERROR(__xludf.DUMMYFUNCTION("""COMPUTED_VALUE"""),"قم")</f>
        <v>قم</v>
      </c>
      <c r="E6438" s="5" t="str">
        <f>IFERROR(__xludf.DUMMYFUNCTION("""COMPUTED_VALUE"""),"قم")</f>
        <v>قم</v>
      </c>
      <c r="F6438" s="5"/>
      <c r="G6438" s="5">
        <f>IFERROR(__xludf.DUMMYFUNCTION("""COMPUTED_VALUE"""),3.0)</f>
        <v>3</v>
      </c>
      <c r="H6438" s="6" t="str">
        <f>IFERROR(__xludf.DUMMYFUNCTION("""COMPUTED_VALUE"""),"https://www.instagram.com/heyatyazahra_1/")</f>
        <v>https://www.instagram.com/heyatyazahra_1/</v>
      </c>
      <c r="I6438" s="6" t="str">
        <f>IFERROR(__xludf.DUMMYFUNCTION("""COMPUTED_VALUE"""),"https://t.me/heyatyazahra_213")</f>
        <v>https://t.me/heyatyazahra_213</v>
      </c>
      <c r="J6438" s="6" t="str">
        <f>IFERROR(__xludf.DUMMYFUNCTION("""COMPUTED_VALUE"""),"https://eitaa.com/heyatyazahra_213")</f>
        <v>https://eitaa.com/heyatyazahra_213</v>
      </c>
      <c r="K6438" s="5"/>
      <c r="L6438" s="5"/>
      <c r="M6438" s="5"/>
      <c r="N6438" s="5"/>
      <c r="O6438" s="5"/>
      <c r="P6438" s="5"/>
      <c r="Q6438" s="5"/>
      <c r="R6438" s="5"/>
      <c r="S6438" s="5"/>
    </row>
    <row r="6439">
      <c r="A6439" s="5">
        <f>IFERROR(__xludf.DUMMYFUNCTION("""COMPUTED_VALUE"""),24231.0)</f>
        <v>24231</v>
      </c>
      <c r="B6439" s="5" t="str">
        <f>IFERROR(__xludf.DUMMYFUNCTION("""COMPUTED_VALUE"""),"هیأت")</f>
        <v>هیأت</v>
      </c>
      <c r="C6439" s="5" t="str">
        <f>IFERROR(__xludf.DUMMYFUNCTION("""COMPUTED_VALUE"""),"یاوران مهدی (ع)")</f>
        <v>یاوران مهدی (ع)</v>
      </c>
      <c r="D6439" s="5" t="str">
        <f>IFERROR(__xludf.DUMMYFUNCTION("""COMPUTED_VALUE"""),"قم")</f>
        <v>قم</v>
      </c>
      <c r="E6439" s="5" t="str">
        <f>IFERROR(__xludf.DUMMYFUNCTION("""COMPUTED_VALUE"""),"قم")</f>
        <v>قم</v>
      </c>
      <c r="F6439" s="5"/>
      <c r="G6439" s="5">
        <f>IFERROR(__xludf.DUMMYFUNCTION("""COMPUTED_VALUE"""),3.0)</f>
        <v>3</v>
      </c>
      <c r="H6439" s="5"/>
      <c r="I6439" s="5"/>
      <c r="J6439" s="6" t="str">
        <f>IFERROR(__xludf.DUMMYFUNCTION("""COMPUTED_VALUE"""),"https://eitaa.com/yyavarann")</f>
        <v>https://eitaa.com/yyavarann</v>
      </c>
      <c r="K6439" s="5"/>
      <c r="L6439" s="5"/>
      <c r="M6439" s="5"/>
      <c r="N6439" s="5"/>
      <c r="O6439" s="5"/>
      <c r="P6439" s="5"/>
      <c r="Q6439" s="5"/>
      <c r="R6439" s="5"/>
      <c r="S6439" s="5"/>
    </row>
    <row r="6440">
      <c r="A6440" s="5">
        <f>IFERROR(__xludf.DUMMYFUNCTION("""COMPUTED_VALUE"""),33176.0)</f>
        <v>33176</v>
      </c>
      <c r="B6440" s="5" t="str">
        <f>IFERROR(__xludf.DUMMYFUNCTION("""COMPUTED_VALUE"""),"هیأت نوجوان")</f>
        <v>هیأت نوجوان</v>
      </c>
      <c r="C6440" s="5" t="str">
        <f>IFERROR(__xludf.DUMMYFUNCTION("""COMPUTED_VALUE"""),"انا من حسین (ع)")</f>
        <v>انا من حسین (ع)</v>
      </c>
      <c r="D6440" s="5" t="str">
        <f>IFERROR(__xludf.DUMMYFUNCTION("""COMPUTED_VALUE"""),"قم")</f>
        <v>قم</v>
      </c>
      <c r="E6440" s="5" t="str">
        <f>IFERROR(__xludf.DUMMYFUNCTION("""COMPUTED_VALUE"""),"قم")</f>
        <v>قم</v>
      </c>
      <c r="F6440" s="5"/>
      <c r="G6440" s="5">
        <f>IFERROR(__xludf.DUMMYFUNCTION("""COMPUTED_VALUE"""),4.0)</f>
        <v>4</v>
      </c>
      <c r="H6440" s="5"/>
      <c r="I6440" s="5"/>
      <c r="J6440" s="6" t="str">
        <f>IFERROR(__xludf.DUMMYFUNCTION("""COMPUTED_VALUE"""),"https://eitaa.com/heiat_ana_men_hosein")</f>
        <v>https://eitaa.com/heiat_ana_men_hosein</v>
      </c>
      <c r="K6440" s="5"/>
      <c r="L6440" s="5"/>
      <c r="M6440" s="5"/>
      <c r="N6440" s="5"/>
      <c r="O6440" s="5"/>
      <c r="P6440" s="5"/>
      <c r="Q6440" s="5"/>
      <c r="R6440" s="5"/>
      <c r="S6440" s="5"/>
    </row>
    <row r="6441">
      <c r="A6441" s="5"/>
      <c r="B6441" s="5" t="str">
        <f>IFERROR(__xludf.DUMMYFUNCTION("""COMPUTED_VALUE"""),"دسته عزاداری")</f>
        <v>دسته عزاداری</v>
      </c>
      <c r="C6441" s="5" t="str">
        <f>IFERROR(__xludf.DUMMYFUNCTION("""COMPUTED_VALUE"""),"بیت الزهرا")</f>
        <v>بیت الزهرا</v>
      </c>
      <c r="D6441" s="5" t="str">
        <f>IFERROR(__xludf.DUMMYFUNCTION("""COMPUTED_VALUE"""),"قم")</f>
        <v>قم</v>
      </c>
      <c r="E6441" s="5" t="str">
        <f>IFERROR(__xludf.DUMMYFUNCTION("""COMPUTED_VALUE"""),"قم")</f>
        <v>قم</v>
      </c>
      <c r="F6441" s="5"/>
      <c r="G6441" s="5">
        <f>IFERROR(__xludf.DUMMYFUNCTION("""COMPUTED_VALUE"""),4.0)</f>
        <v>4</v>
      </c>
      <c r="H6441" s="6" t="str">
        <f>IFERROR(__xludf.DUMMYFUNCTION("""COMPUTED_VALUE"""),"https://www.instagram.com/beyt_alzahra1382/")</f>
        <v>https://www.instagram.com/beyt_alzahra1382/</v>
      </c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</row>
    <row r="6442">
      <c r="A6442" s="5"/>
      <c r="B6442" s="5" t="str">
        <f>IFERROR(__xludf.DUMMYFUNCTION("""COMPUTED_VALUE"""),"هیأت")</f>
        <v>هیأت</v>
      </c>
      <c r="C6442" s="5" t="str">
        <f>IFERROR(__xludf.DUMMYFUNCTION("""COMPUTED_VALUE"""),"حضرت ام البنین")</f>
        <v>حضرت ام البنین</v>
      </c>
      <c r="D6442" s="5" t="str">
        <f>IFERROR(__xludf.DUMMYFUNCTION("""COMPUTED_VALUE"""),"قم")</f>
        <v>قم</v>
      </c>
      <c r="E6442" s="5" t="str">
        <f>IFERROR(__xludf.DUMMYFUNCTION("""COMPUTED_VALUE"""),"قم")</f>
        <v>قم</v>
      </c>
      <c r="F6442" s="5"/>
      <c r="G6442" s="5">
        <f>IFERROR(__xludf.DUMMYFUNCTION("""COMPUTED_VALUE"""),4.0)</f>
        <v>4</v>
      </c>
      <c r="H6442" s="6" t="str">
        <f>IFERROR(__xludf.DUMMYFUNCTION("""COMPUTED_VALUE"""),"https://www.instagram.com/heyat_ommolbanin_qom/")</f>
        <v>https://www.instagram.com/heyat_ommolbanin_qom/</v>
      </c>
      <c r="I6442" s="5"/>
      <c r="J6442" s="5"/>
      <c r="K6442" s="5"/>
      <c r="L6442" s="5"/>
      <c r="M6442" s="5"/>
      <c r="N6442" s="5"/>
      <c r="O6442" s="5"/>
      <c r="P6442" s="5"/>
      <c r="Q6442" s="5"/>
      <c r="R6442" s="5"/>
      <c r="S6442" s="5"/>
    </row>
    <row r="6443">
      <c r="A6443" s="5">
        <f>IFERROR(__xludf.DUMMYFUNCTION("""COMPUTED_VALUE"""),27535.0)</f>
        <v>27535</v>
      </c>
      <c r="B6443" s="5" t="str">
        <f>IFERROR(__xludf.DUMMYFUNCTION("""COMPUTED_VALUE"""),"هیأت")</f>
        <v>هیأت</v>
      </c>
      <c r="C6443" s="5" t="str">
        <f>IFERROR(__xludf.DUMMYFUNCTION("""COMPUTED_VALUE"""),"حضرت زهرا (س)")</f>
        <v>حضرت زهرا (س)</v>
      </c>
      <c r="D6443" s="5" t="str">
        <f>IFERROR(__xludf.DUMMYFUNCTION("""COMPUTED_VALUE"""),"قم")</f>
        <v>قم</v>
      </c>
      <c r="E6443" s="5" t="str">
        <f>IFERROR(__xludf.DUMMYFUNCTION("""COMPUTED_VALUE"""),"قم")</f>
        <v>قم</v>
      </c>
      <c r="F6443" s="5"/>
      <c r="G6443" s="5">
        <f>IFERROR(__xludf.DUMMYFUNCTION("""COMPUTED_VALUE"""),4.0)</f>
        <v>4</v>
      </c>
      <c r="H6443" s="5"/>
      <c r="I6443" s="5"/>
      <c r="J6443" s="6" t="str">
        <f>IFERROR(__xludf.DUMMYFUNCTION("""COMPUTED_VALUE"""),"https://eitaa.com/hfatemealzahra")</f>
        <v>https://eitaa.com/hfatemealzahra</v>
      </c>
      <c r="K6443" s="5"/>
      <c r="L6443" s="5"/>
      <c r="M6443" s="5"/>
      <c r="N6443" s="5"/>
      <c r="O6443" s="5"/>
      <c r="P6443" s="5"/>
      <c r="Q6443" s="5"/>
      <c r="R6443" s="5"/>
      <c r="S6443" s="5"/>
    </row>
    <row r="6444">
      <c r="A6444" s="5"/>
      <c r="B6444" s="5" t="str">
        <f>IFERROR(__xludf.DUMMYFUNCTION("""COMPUTED_VALUE"""),"هیأت")</f>
        <v>هیأت</v>
      </c>
      <c r="C6444" s="5" t="str">
        <f>IFERROR(__xludf.DUMMYFUNCTION("""COMPUTED_VALUE"""),"سیدالشهداء")</f>
        <v>سیدالشهداء</v>
      </c>
      <c r="D6444" s="5" t="str">
        <f>IFERROR(__xludf.DUMMYFUNCTION("""COMPUTED_VALUE"""),"قم")</f>
        <v>قم</v>
      </c>
      <c r="E6444" s="5" t="str">
        <f>IFERROR(__xludf.DUMMYFUNCTION("""COMPUTED_VALUE"""),"قم")</f>
        <v>قم</v>
      </c>
      <c r="F6444" s="5"/>
      <c r="G6444" s="5">
        <f>IFERROR(__xludf.DUMMYFUNCTION("""COMPUTED_VALUE"""),4.0)</f>
        <v>4</v>
      </c>
      <c r="H6444" s="6" t="str">
        <f>IFERROR(__xludf.DUMMYFUNCTION("""COMPUTED_VALUE"""),"https://www.instagram.com/heyat_seyedalshohada_qom/")</f>
        <v>https://www.instagram.com/heyat_seyedalshohada_qom/</v>
      </c>
      <c r="I6444" s="5"/>
      <c r="J6444" s="5"/>
      <c r="K6444" s="5"/>
      <c r="L6444" s="5"/>
      <c r="M6444" s="5"/>
      <c r="N6444" s="5"/>
      <c r="O6444" s="5"/>
      <c r="P6444" s="5"/>
      <c r="Q6444" s="5"/>
      <c r="R6444" s="5"/>
      <c r="S6444" s="5"/>
    </row>
    <row r="6445">
      <c r="A6445" s="5"/>
      <c r="B6445" s="5" t="str">
        <f>IFERROR(__xludf.DUMMYFUNCTION("""COMPUTED_VALUE"""),"هیأت")</f>
        <v>هیأت</v>
      </c>
      <c r="C6445" s="5" t="str">
        <f>IFERROR(__xludf.DUMMYFUNCTION("""COMPUTED_VALUE"""),"عاشورائیان")</f>
        <v>عاشورائیان</v>
      </c>
      <c r="D6445" s="5" t="str">
        <f>IFERROR(__xludf.DUMMYFUNCTION("""COMPUTED_VALUE"""),"قم")</f>
        <v>قم</v>
      </c>
      <c r="E6445" s="5" t="str">
        <f>IFERROR(__xludf.DUMMYFUNCTION("""COMPUTED_VALUE"""),"قم")</f>
        <v>قم</v>
      </c>
      <c r="F6445" s="5"/>
      <c r="G6445" s="5">
        <f>IFERROR(__xludf.DUMMYFUNCTION("""COMPUTED_VALUE"""),4.0)</f>
        <v>4</v>
      </c>
      <c r="H6445" s="5"/>
      <c r="I6445" s="5"/>
      <c r="J6445" s="6" t="str">
        <f>IFERROR(__xludf.DUMMYFUNCTION("""COMPUTED_VALUE"""),"https://eitaa.com/ashouraeyan313")</f>
        <v>https://eitaa.com/ashouraeyan313</v>
      </c>
      <c r="K6445" s="5"/>
      <c r="L6445" s="5"/>
      <c r="M6445" s="5"/>
      <c r="N6445" s="5"/>
      <c r="O6445" s="5"/>
      <c r="P6445" s="5"/>
      <c r="Q6445" s="5"/>
      <c r="R6445" s="5"/>
      <c r="S6445" s="5"/>
    </row>
    <row r="6446">
      <c r="A6446" s="5"/>
      <c r="B6446" s="5" t="str">
        <f>IFERROR(__xludf.DUMMYFUNCTION("""COMPUTED_VALUE"""),"هیأت")</f>
        <v>هیأت</v>
      </c>
      <c r="C6446" s="5" t="str">
        <f>IFERROR(__xludf.DUMMYFUNCTION("""COMPUTED_VALUE"""),"قتیل العبرات")</f>
        <v>قتیل العبرات</v>
      </c>
      <c r="D6446" s="5" t="str">
        <f>IFERROR(__xludf.DUMMYFUNCTION("""COMPUTED_VALUE"""),"قم")</f>
        <v>قم</v>
      </c>
      <c r="E6446" s="5" t="str">
        <f>IFERROR(__xludf.DUMMYFUNCTION("""COMPUTED_VALUE"""),"قم")</f>
        <v>قم</v>
      </c>
      <c r="F6446" s="5"/>
      <c r="G6446" s="5">
        <f>IFERROR(__xludf.DUMMYFUNCTION("""COMPUTED_VALUE"""),4.0)</f>
        <v>4</v>
      </c>
      <c r="H6446" s="6" t="str">
        <f>IFERROR(__xludf.DUMMYFUNCTION("""COMPUTED_VALUE"""),"https://www.instagram.com/ghatilalabarat_qom")</f>
        <v>https://www.instagram.com/ghatilalabarat_qom</v>
      </c>
      <c r="I6446" s="5"/>
      <c r="J6446" s="6" t="str">
        <f>IFERROR(__xludf.DUMMYFUNCTION("""COMPUTED_VALUE"""),"https://eitaa.com/ghatilalabarat_qom")</f>
        <v>https://eitaa.com/ghatilalabarat_qom</v>
      </c>
      <c r="K6446" s="5"/>
      <c r="L6446" s="5"/>
      <c r="M6446" s="5"/>
      <c r="N6446" s="5"/>
      <c r="O6446" s="5"/>
      <c r="P6446" s="5"/>
      <c r="Q6446" s="5"/>
      <c r="R6446" s="5"/>
      <c r="S6446" s="5"/>
    </row>
    <row r="6447">
      <c r="A6447" s="5"/>
      <c r="B6447" s="5" t="str">
        <f>IFERROR(__xludf.DUMMYFUNCTION("""COMPUTED_VALUE"""),"هیأت")</f>
        <v>هیأت</v>
      </c>
      <c r="C6447" s="5" t="str">
        <f>IFERROR(__xludf.DUMMYFUNCTION("""COMPUTED_VALUE"""),"کاشف الکرب")</f>
        <v>کاشف الکرب</v>
      </c>
      <c r="D6447" s="5" t="str">
        <f>IFERROR(__xludf.DUMMYFUNCTION("""COMPUTED_VALUE"""),"قم")</f>
        <v>قم</v>
      </c>
      <c r="E6447" s="5" t="str">
        <f>IFERROR(__xludf.DUMMYFUNCTION("""COMPUTED_VALUE"""),"قم")</f>
        <v>قم</v>
      </c>
      <c r="F6447" s="5"/>
      <c r="G6447" s="5">
        <f>IFERROR(__xludf.DUMMYFUNCTION("""COMPUTED_VALUE"""),4.0)</f>
        <v>4</v>
      </c>
      <c r="H6447" s="6" t="str">
        <f>IFERROR(__xludf.DUMMYFUNCTION("""COMPUTED_VALUE"""),"https://www.instagram.com/kashefalkarb_qom/")</f>
        <v>https://www.instagram.com/kashefalkarb_qom/</v>
      </c>
      <c r="I6447" s="5"/>
      <c r="J6447" s="6" t="str">
        <f>IFERROR(__xludf.DUMMYFUNCTION("""COMPUTED_VALUE"""),"https://eitaa.com/kashefalkarb_qom")</f>
        <v>https://eitaa.com/kashefalkarb_qom</v>
      </c>
      <c r="K6447" s="5"/>
      <c r="L6447" s="5"/>
      <c r="M6447" s="5"/>
      <c r="N6447" s="5"/>
      <c r="O6447" s="5"/>
      <c r="P6447" s="5"/>
      <c r="Q6447" s="5"/>
      <c r="R6447" s="5"/>
      <c r="S6447" s="5"/>
    </row>
    <row r="6448">
      <c r="A6448" s="5"/>
      <c r="B6448" s="5" t="str">
        <f>IFERROR(__xludf.DUMMYFUNCTION("""COMPUTED_VALUE"""),"حسینیه")</f>
        <v>حسینیه</v>
      </c>
      <c r="C6448" s="5" t="str">
        <f>IFERROR(__xludf.DUMMYFUNCTION("""COMPUTED_VALUE"""),"کربلاء المقدسه")</f>
        <v>کربلاء المقدسه</v>
      </c>
      <c r="D6448" s="5" t="str">
        <f>IFERROR(__xludf.DUMMYFUNCTION("""COMPUTED_VALUE"""),"قم")</f>
        <v>قم</v>
      </c>
      <c r="E6448" s="5" t="str">
        <f>IFERROR(__xludf.DUMMYFUNCTION("""COMPUTED_VALUE"""),"قم")</f>
        <v>قم</v>
      </c>
      <c r="F6448" s="5"/>
      <c r="G6448" s="5">
        <f>IFERROR(__xludf.DUMMYFUNCTION("""COMPUTED_VALUE"""),4.0)</f>
        <v>4</v>
      </c>
      <c r="H6448" s="6" t="str">
        <f>IFERROR(__xludf.DUMMYFUNCTION("""COMPUTED_VALUE"""),"https://www.instagram.com/karbalaeihaqom/")</f>
        <v>https://www.instagram.com/karbalaeihaqom/</v>
      </c>
      <c r="I6448" s="6" t="str">
        <f>IFERROR(__xludf.DUMMYFUNCTION("""COMPUTED_VALUE"""),"https://t.me/karbalaeihaqom")</f>
        <v>https://t.me/karbalaeihaqom</v>
      </c>
      <c r="J6448" s="6" t="str">
        <f>IFERROR(__xludf.DUMMYFUNCTION("""COMPUTED_VALUE"""),"https://eitaa.com/karbalaeihaqom")</f>
        <v>https://eitaa.com/karbalaeihaqom</v>
      </c>
      <c r="K6448" s="5"/>
      <c r="L6448" s="5"/>
      <c r="M6448" s="5"/>
      <c r="N6448" s="5"/>
      <c r="O6448" s="5"/>
      <c r="P6448" s="5"/>
      <c r="Q6448" s="5"/>
      <c r="R6448" s="5"/>
      <c r="S6448" s="5"/>
    </row>
    <row r="6449">
      <c r="A6449" s="5"/>
      <c r="B6449" s="5" t="str">
        <f>IFERROR(__xludf.DUMMYFUNCTION("""COMPUTED_VALUE"""),"هیأت")</f>
        <v>هیأت</v>
      </c>
      <c r="C6449" s="5" t="str">
        <f>IFERROR(__xludf.DUMMYFUNCTION("""COMPUTED_VALUE"""),"محبین صاحب الزمان")</f>
        <v>محبین صاحب الزمان</v>
      </c>
      <c r="D6449" s="5" t="str">
        <f>IFERROR(__xludf.DUMMYFUNCTION("""COMPUTED_VALUE"""),"قم")</f>
        <v>قم</v>
      </c>
      <c r="E6449" s="5" t="str">
        <f>IFERROR(__xludf.DUMMYFUNCTION("""COMPUTED_VALUE"""),"قم")</f>
        <v>قم</v>
      </c>
      <c r="F6449" s="5"/>
      <c r="G6449" s="5">
        <f>IFERROR(__xludf.DUMMYFUNCTION("""COMPUTED_VALUE"""),4.0)</f>
        <v>4</v>
      </c>
      <c r="H6449" s="6" t="str">
        <f>IFERROR(__xludf.DUMMYFUNCTION("""COMPUTED_VALUE"""),"https://www.instagram.com/mohebin313_qom/")</f>
        <v>https://www.instagram.com/mohebin313_qom/</v>
      </c>
      <c r="I6449" s="5"/>
      <c r="J6449" s="5"/>
      <c r="K6449" s="5"/>
      <c r="L6449" s="5"/>
      <c r="M6449" s="5"/>
      <c r="N6449" s="5"/>
      <c r="O6449" s="5"/>
      <c r="P6449" s="5"/>
      <c r="Q6449" s="5"/>
      <c r="R6449" s="5"/>
      <c r="S6449" s="5"/>
    </row>
    <row r="6450">
      <c r="A6450" s="5"/>
      <c r="B6450" s="5" t="str">
        <f>IFERROR(__xludf.DUMMYFUNCTION("""COMPUTED_VALUE"""),"هیأت")</f>
        <v>هیأت</v>
      </c>
      <c r="C6450" s="5" t="str">
        <f>IFERROR(__xludf.DUMMYFUNCTION("""COMPUTED_VALUE"""),"معزالمومنین(علیه السلام)")</f>
        <v>معزالمومنین(علیه السلام)</v>
      </c>
      <c r="D6450" s="5" t="str">
        <f>IFERROR(__xludf.DUMMYFUNCTION("""COMPUTED_VALUE"""),"قم")</f>
        <v>قم</v>
      </c>
      <c r="E6450" s="5" t="str">
        <f>IFERROR(__xludf.DUMMYFUNCTION("""COMPUTED_VALUE"""),"قم")</f>
        <v>قم</v>
      </c>
      <c r="F6450" s="5"/>
      <c r="G6450" s="5">
        <f>IFERROR(__xludf.DUMMYFUNCTION("""COMPUTED_VALUE"""),4.0)</f>
        <v>4</v>
      </c>
      <c r="H6450" s="6" t="str">
        <f>IFERROR(__xludf.DUMMYFUNCTION("""COMPUTED_VALUE"""),"https://www.instagram.com/moezolmomeninqom_ir/")</f>
        <v>https://www.instagram.com/moezolmomeninqom_ir/</v>
      </c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</row>
    <row r="6451">
      <c r="A6451" s="5"/>
      <c r="B6451" s="5" t="str">
        <f>IFERROR(__xludf.DUMMYFUNCTION("""COMPUTED_VALUE"""),"هیأت")</f>
        <v>هیأت</v>
      </c>
      <c r="C6451" s="5" t="str">
        <f>IFERROR(__xludf.DUMMYFUNCTION("""COMPUTED_VALUE"""),"مکتب الرقیه")</f>
        <v>مکتب الرقیه</v>
      </c>
      <c r="D6451" s="5" t="str">
        <f>IFERROR(__xludf.DUMMYFUNCTION("""COMPUTED_VALUE"""),"قم")</f>
        <v>قم</v>
      </c>
      <c r="E6451" s="5" t="str">
        <f>IFERROR(__xludf.DUMMYFUNCTION("""COMPUTED_VALUE"""),"قم")</f>
        <v>قم</v>
      </c>
      <c r="F6451" s="5"/>
      <c r="G6451" s="5">
        <f>IFERROR(__xludf.DUMMYFUNCTION("""COMPUTED_VALUE"""),4.0)</f>
        <v>4</v>
      </c>
      <c r="H6451" s="6" t="str">
        <f>IFERROR(__xludf.DUMMYFUNCTION("""COMPUTED_VALUE"""),"https://www.instagram.com/kheyzaran.128/")</f>
        <v>https://www.instagram.com/kheyzaran.128/</v>
      </c>
      <c r="I6451" s="6" t="str">
        <f>IFERROR(__xludf.DUMMYFUNCTION("""COMPUTED_VALUE"""),"https://t.me/maktabroghaye_qom")</f>
        <v>https://t.me/maktabroghaye_qom</v>
      </c>
      <c r="J6451" s="5"/>
      <c r="K6451" s="5"/>
      <c r="L6451" s="5"/>
      <c r="M6451" s="5"/>
      <c r="N6451" s="5"/>
      <c r="O6451" s="5"/>
      <c r="P6451" s="5"/>
      <c r="Q6451" s="5"/>
      <c r="R6451" s="5"/>
      <c r="S6451" s="5"/>
    </row>
    <row r="6452">
      <c r="A6452" s="5"/>
      <c r="B6452" s="5" t="str">
        <f>IFERROR(__xludf.DUMMYFUNCTION("""COMPUTED_VALUE"""),"هیأت")</f>
        <v>هیأت</v>
      </c>
      <c r="C6452" s="5" t="str">
        <f>IFERROR(__xludf.DUMMYFUNCTION("""COMPUTED_VALUE"""),"مکتب الزهرا")</f>
        <v>مکتب الزهرا</v>
      </c>
      <c r="D6452" s="5" t="str">
        <f>IFERROR(__xludf.DUMMYFUNCTION("""COMPUTED_VALUE"""),"قم")</f>
        <v>قم</v>
      </c>
      <c r="E6452" s="5" t="str">
        <f>IFERROR(__xludf.DUMMYFUNCTION("""COMPUTED_VALUE"""),"قم")</f>
        <v>قم</v>
      </c>
      <c r="F6452" s="5"/>
      <c r="G6452" s="5">
        <f>IFERROR(__xludf.DUMMYFUNCTION("""COMPUTED_VALUE"""),4.0)</f>
        <v>4</v>
      </c>
      <c r="H6452" s="6" t="str">
        <f>IFERROR(__xludf.DUMMYFUNCTION("""COMPUTED_VALUE"""),"https://www.instagram.com/maktabozahra_qom/")</f>
        <v>https://www.instagram.com/maktabozahra_qom/</v>
      </c>
      <c r="I6452" s="5"/>
      <c r="J6452" s="5"/>
      <c r="K6452" s="5"/>
      <c r="L6452" s="5"/>
      <c r="M6452" s="5"/>
      <c r="N6452" s="5"/>
      <c r="O6452" s="5"/>
      <c r="P6452" s="5"/>
      <c r="Q6452" s="5"/>
      <c r="R6452" s="5"/>
      <c r="S6452" s="5"/>
    </row>
    <row r="6453">
      <c r="A6453" s="5">
        <f>IFERROR(__xludf.DUMMYFUNCTION("""COMPUTED_VALUE"""),10917.0)</f>
        <v>10917</v>
      </c>
      <c r="B6453" s="5" t="str">
        <f>IFERROR(__xludf.DUMMYFUNCTION("""COMPUTED_VALUE"""),"هیأت")</f>
        <v>هیأت</v>
      </c>
      <c r="C6453" s="5" t="str">
        <f>IFERROR(__xludf.DUMMYFUNCTION("""COMPUTED_VALUE"""),"موج الحسین (ع)")</f>
        <v>موج الحسین (ع)</v>
      </c>
      <c r="D6453" s="5" t="str">
        <f>IFERROR(__xludf.DUMMYFUNCTION("""COMPUTED_VALUE"""),"قم")</f>
        <v>قم</v>
      </c>
      <c r="E6453" s="5" t="str">
        <f>IFERROR(__xludf.DUMMYFUNCTION("""COMPUTED_VALUE"""),"قم")</f>
        <v>قم</v>
      </c>
      <c r="F6453" s="5"/>
      <c r="G6453" s="5">
        <f>IFERROR(__xludf.DUMMYFUNCTION("""COMPUTED_VALUE"""),4.0)</f>
        <v>4</v>
      </c>
      <c r="H6453" s="6" t="str">
        <f>IFERROR(__xludf.DUMMYFUNCTION("""COMPUTED_VALUE"""),"https://www.instagram.com/heyat_aba_abdellah/")</f>
        <v>https://www.instagram.com/heyat_aba_abdellah/</v>
      </c>
      <c r="I6453" s="5"/>
      <c r="J6453" s="6" t="str">
        <f>IFERROR(__xludf.DUMMYFUNCTION("""COMPUTED_VALUE"""),"https://eitaa.com/moj_al_hossein")</f>
        <v>https://eitaa.com/moj_al_hossein</v>
      </c>
      <c r="K6453" s="5"/>
      <c r="L6453" s="5"/>
      <c r="M6453" s="5"/>
      <c r="N6453" s="5"/>
      <c r="O6453" s="5"/>
      <c r="P6453" s="5"/>
      <c r="Q6453" s="5"/>
      <c r="R6453" s="5"/>
      <c r="S6453" s="5"/>
    </row>
    <row r="6454">
      <c r="A6454" s="5"/>
      <c r="B6454" s="5" t="str">
        <f>IFERROR(__xludf.DUMMYFUNCTION("""COMPUTED_VALUE"""),"هیأت")</f>
        <v>هیأت</v>
      </c>
      <c r="C6454" s="5" t="str">
        <f>IFERROR(__xludf.DUMMYFUNCTION("""COMPUTED_VALUE"""),"الزینب (سلام‌الله‌علیها)")</f>
        <v>الزینب (سلام‌الله‌علیها)</v>
      </c>
      <c r="D6454" s="5" t="str">
        <f>IFERROR(__xludf.DUMMYFUNCTION("""COMPUTED_VALUE"""),"قم")</f>
        <v>قم</v>
      </c>
      <c r="E6454" s="5" t="str">
        <f>IFERROR(__xludf.DUMMYFUNCTION("""COMPUTED_VALUE"""),"قم")</f>
        <v>قم</v>
      </c>
      <c r="F6454" s="5" t="str">
        <f>IFERROR(__xludf.DUMMYFUNCTION("""COMPUTED_VALUE"""),"شعبان")</f>
        <v>شعبان</v>
      </c>
      <c r="G6454" s="5">
        <f>IFERROR(__xludf.DUMMYFUNCTION("""COMPUTED_VALUE"""),5.0)</f>
        <v>5</v>
      </c>
      <c r="H6454" s="6" t="str">
        <f>IFERROR(__xludf.DUMMYFUNCTION("""COMPUTED_VALUE"""),"https://www.instagram.com/heyatozeynab")</f>
        <v>https://www.instagram.com/heyatozeynab</v>
      </c>
      <c r="I6454" s="5"/>
      <c r="J6454" s="6" t="str">
        <f>IFERROR(__xludf.DUMMYFUNCTION("""COMPUTED_VALUE"""),"https://eitaa.com/heyatozzeynab")</f>
        <v>https://eitaa.com/heyatozzeynab</v>
      </c>
      <c r="K6454" s="5"/>
      <c r="L6454" s="5"/>
      <c r="M6454" s="5"/>
      <c r="N6454" s="5"/>
      <c r="O6454" s="5"/>
      <c r="P6454" s="5"/>
      <c r="Q6454" s="5"/>
      <c r="R6454" s="5"/>
      <c r="S6454" s="5"/>
    </row>
    <row r="6455">
      <c r="A6455" s="5"/>
      <c r="B6455" s="5" t="str">
        <f>IFERROR(__xludf.DUMMYFUNCTION("""COMPUTED_VALUE"""),"هیأت")</f>
        <v>هیأت</v>
      </c>
      <c r="C6455" s="5" t="str">
        <f>IFERROR(__xludf.DUMMYFUNCTION("""COMPUTED_VALUE"""),"انصارالحسن")</f>
        <v>انصارالحسن</v>
      </c>
      <c r="D6455" s="5" t="str">
        <f>IFERROR(__xludf.DUMMYFUNCTION("""COMPUTED_VALUE"""),"قم")</f>
        <v>قم</v>
      </c>
      <c r="E6455" s="5" t="str">
        <f>IFERROR(__xludf.DUMMYFUNCTION("""COMPUTED_VALUE"""),"قم")</f>
        <v>قم</v>
      </c>
      <c r="F6455" s="5"/>
      <c r="G6455" s="5">
        <f>IFERROR(__xludf.DUMMYFUNCTION("""COMPUTED_VALUE"""),5.0)</f>
        <v>5</v>
      </c>
      <c r="H6455" s="6" t="str">
        <f>IFERROR(__xludf.DUMMYFUNCTION("""COMPUTED_VALUE"""),"https://www.instagram.com/ansarlhasan_qom/")</f>
        <v>https://www.instagram.com/ansarlhasan_qom/</v>
      </c>
      <c r="I6455" s="6" t="str">
        <f>IFERROR(__xludf.DUMMYFUNCTION("""COMPUTED_VALUE"""),"https://t.me/ansar_lhasan_118")</f>
        <v>https://t.me/ansar_lhasan_118</v>
      </c>
      <c r="J6455" s="5"/>
      <c r="K6455" s="5"/>
      <c r="L6455" s="5"/>
      <c r="M6455" s="5"/>
      <c r="N6455" s="5"/>
      <c r="O6455" s="5"/>
      <c r="P6455" s="5"/>
      <c r="Q6455" s="5"/>
      <c r="R6455" s="5"/>
      <c r="S6455" s="5"/>
    </row>
    <row r="6456">
      <c r="A6456" s="5">
        <f>IFERROR(__xludf.DUMMYFUNCTION("""COMPUTED_VALUE"""),31952.0)</f>
        <v>31952</v>
      </c>
      <c r="B6456" s="5" t="str">
        <f>IFERROR(__xludf.DUMMYFUNCTION("""COMPUTED_VALUE"""),"هیأت")</f>
        <v>هیأت</v>
      </c>
      <c r="C6456" s="5" t="str">
        <f>IFERROR(__xludf.DUMMYFUNCTION("""COMPUTED_VALUE"""),"انصارالحسین")</f>
        <v>انصارالحسین</v>
      </c>
      <c r="D6456" s="5" t="str">
        <f>IFERROR(__xludf.DUMMYFUNCTION("""COMPUTED_VALUE"""),"قم")</f>
        <v>قم</v>
      </c>
      <c r="E6456" s="5" t="str">
        <f>IFERROR(__xludf.DUMMYFUNCTION("""COMPUTED_VALUE"""),"قم")</f>
        <v>قم</v>
      </c>
      <c r="F6456" s="5"/>
      <c r="G6456" s="5">
        <f>IFERROR(__xludf.DUMMYFUNCTION("""COMPUTED_VALUE"""),5.0)</f>
        <v>5</v>
      </c>
      <c r="H6456" s="6" t="str">
        <f>IFERROR(__xludf.DUMMYFUNCTION("""COMPUTED_VALUE"""),"https://www.instagram.com/ansaar_128/")</f>
        <v>https://www.instagram.com/ansaar_128/</v>
      </c>
      <c r="I6456" s="6" t="str">
        <f>IFERROR(__xludf.DUMMYFUNCTION("""COMPUTED_VALUE"""),"https://t.me/ansaar_128")</f>
        <v>https://t.me/ansaar_128</v>
      </c>
      <c r="J6456" s="5"/>
      <c r="K6456" s="5"/>
      <c r="L6456" s="5"/>
      <c r="M6456" s="5"/>
      <c r="N6456" s="5"/>
      <c r="O6456" s="5"/>
      <c r="P6456" s="5"/>
      <c r="Q6456" s="5"/>
      <c r="R6456" s="5"/>
      <c r="S6456" s="5"/>
    </row>
    <row r="6457">
      <c r="A6457" s="5"/>
      <c r="B6457" s="5" t="str">
        <f>IFERROR(__xludf.DUMMYFUNCTION("""COMPUTED_VALUE"""),"حسینیه")</f>
        <v>حسینیه</v>
      </c>
      <c r="C6457" s="5" t="str">
        <f>IFERROR(__xludf.DUMMYFUNCTION("""COMPUTED_VALUE"""),"بیت العباس")</f>
        <v>بیت العباس</v>
      </c>
      <c r="D6457" s="5" t="str">
        <f>IFERROR(__xludf.DUMMYFUNCTION("""COMPUTED_VALUE"""),"قم")</f>
        <v>قم</v>
      </c>
      <c r="E6457" s="5" t="str">
        <f>IFERROR(__xludf.DUMMYFUNCTION("""COMPUTED_VALUE"""),"قم")</f>
        <v>قم</v>
      </c>
      <c r="F6457" s="5" t="str">
        <f>IFERROR(__xludf.DUMMYFUNCTION("""COMPUTED_VALUE"""),"شعبان")</f>
        <v>شعبان</v>
      </c>
      <c r="G6457" s="5">
        <f>IFERROR(__xludf.DUMMYFUNCTION("""COMPUTED_VALUE"""),5.0)</f>
        <v>5</v>
      </c>
      <c r="H6457" s="6" t="str">
        <f>IFERROR(__xludf.DUMMYFUNCTION("""COMPUTED_VALUE"""),"https://www.instagram.com/baitolabbas_qom/")</f>
        <v>https://www.instagram.com/baitolabbas_qom/</v>
      </c>
      <c r="I6457" s="5"/>
      <c r="J6457" s="5"/>
      <c r="K6457" s="6" t="str">
        <f>IFERROR(__xludf.DUMMYFUNCTION("""COMPUTED_VALUE"""),"https://www.youtube.com/baitolabbas_qom")</f>
        <v>https://www.youtube.com/baitolabbas_qom</v>
      </c>
      <c r="L6457" s="5"/>
      <c r="M6457" s="5"/>
      <c r="N6457" s="5"/>
      <c r="O6457" s="5"/>
      <c r="P6457" s="5"/>
      <c r="Q6457" s="5"/>
      <c r="R6457" s="5"/>
      <c r="S6457" s="5"/>
    </row>
    <row r="6458">
      <c r="A6458" s="5"/>
      <c r="B6458" s="5" t="str">
        <f>IFERROR(__xludf.DUMMYFUNCTION("""COMPUTED_VALUE"""),"هیأت")</f>
        <v>هیأت</v>
      </c>
      <c r="C6458" s="5" t="str">
        <f>IFERROR(__xludf.DUMMYFUNCTION("""COMPUTED_VALUE"""),"بین الحرمین")</f>
        <v>بین الحرمین</v>
      </c>
      <c r="D6458" s="5" t="str">
        <f>IFERROR(__xludf.DUMMYFUNCTION("""COMPUTED_VALUE"""),"قم")</f>
        <v>قم</v>
      </c>
      <c r="E6458" s="5" t="str">
        <f>IFERROR(__xludf.DUMMYFUNCTION("""COMPUTED_VALUE"""),"قم")</f>
        <v>قم</v>
      </c>
      <c r="F6458" s="5"/>
      <c r="G6458" s="5">
        <f>IFERROR(__xludf.DUMMYFUNCTION("""COMPUTED_VALUE"""),5.0)</f>
        <v>5</v>
      </c>
      <c r="H6458" s="6" t="str">
        <f>IFERROR(__xludf.DUMMYFUNCTION("""COMPUTED_VALUE"""),"https://www.instagram.com/heyat.beynolharameyn.qom/")</f>
        <v>https://www.instagram.com/heyat.beynolharameyn.qom/</v>
      </c>
      <c r="I6458" s="6" t="str">
        <f>IFERROR(__xludf.DUMMYFUNCTION("""COMPUTED_VALUE"""),"https://t.me/heyat_beynolharameyn_qom_118")</f>
        <v>https://t.me/heyat_beynolharameyn_qom_118</v>
      </c>
      <c r="J6458" s="5"/>
      <c r="K6458" s="5"/>
      <c r="L6458" s="5"/>
      <c r="M6458" s="5"/>
      <c r="N6458" s="5"/>
      <c r="O6458" s="5"/>
      <c r="P6458" s="5"/>
      <c r="Q6458" s="5"/>
      <c r="R6458" s="5"/>
      <c r="S6458" s="5"/>
    </row>
    <row r="6459">
      <c r="A6459" s="5">
        <f>IFERROR(__xludf.DUMMYFUNCTION("""COMPUTED_VALUE"""),33097.0)</f>
        <v>33097</v>
      </c>
      <c r="B6459" s="5" t="str">
        <f>IFERROR(__xludf.DUMMYFUNCTION("""COMPUTED_VALUE"""),"هیأت")</f>
        <v>هیأت</v>
      </c>
      <c r="C6459" s="5" t="str">
        <f>IFERROR(__xludf.DUMMYFUNCTION("""COMPUTED_VALUE"""),"ثارالله")</f>
        <v>ثارالله</v>
      </c>
      <c r="D6459" s="5" t="str">
        <f>IFERROR(__xludf.DUMMYFUNCTION("""COMPUTED_VALUE"""),"قم")</f>
        <v>قم</v>
      </c>
      <c r="E6459" s="5" t="str">
        <f>IFERROR(__xludf.DUMMYFUNCTION("""COMPUTED_VALUE"""),"قم")</f>
        <v>قم</v>
      </c>
      <c r="F6459" s="5" t="str">
        <f>IFERROR(__xludf.DUMMYFUNCTION("""COMPUTED_VALUE"""),"رمضان - شعبان")</f>
        <v>رمضان - شعبان</v>
      </c>
      <c r="G6459" s="5">
        <f>IFERROR(__xludf.DUMMYFUNCTION("""COMPUTED_VALUE"""),5.0)</f>
        <v>5</v>
      </c>
      <c r="H6459" s="6" t="str">
        <f>IFERROR(__xludf.DUMMYFUNCTION("""COMPUTED_VALUE"""),"https://www.instagram.com/sarallahqom")</f>
        <v>https://www.instagram.com/sarallahqom</v>
      </c>
      <c r="I6459" s="5"/>
      <c r="J6459" s="6" t="str">
        <f>IFERROR(__xludf.DUMMYFUNCTION("""COMPUTED_VALUE"""),"https://eitaa.com/sarallahqom")</f>
        <v>https://eitaa.com/sarallahqom</v>
      </c>
      <c r="K6459" s="5"/>
      <c r="L6459" s="6" t="str">
        <f>IFERROR(__xludf.DUMMYFUNCTION("""COMPUTED_VALUE"""),"https://sarallahqom.ir/")</f>
        <v>https://sarallahqom.ir/</v>
      </c>
      <c r="M6459" s="5"/>
      <c r="N6459" s="5"/>
      <c r="O6459" s="5"/>
      <c r="P6459" s="5"/>
      <c r="Q6459" s="5"/>
      <c r="R6459" s="5"/>
      <c r="S6459" s="5"/>
    </row>
    <row r="6460">
      <c r="A6460" s="5"/>
      <c r="B6460" s="5" t="str">
        <f>IFERROR(__xludf.DUMMYFUNCTION("""COMPUTED_VALUE"""),"هیأت")</f>
        <v>هیأت</v>
      </c>
      <c r="C6460" s="5" t="str">
        <f>IFERROR(__xludf.DUMMYFUNCTION("""COMPUTED_VALUE"""),"ثناگویان حضرت هو")</f>
        <v>ثناگویان حضرت هو</v>
      </c>
      <c r="D6460" s="5" t="str">
        <f>IFERROR(__xludf.DUMMYFUNCTION("""COMPUTED_VALUE"""),"قم")</f>
        <v>قم</v>
      </c>
      <c r="E6460" s="5" t="str">
        <f>IFERROR(__xludf.DUMMYFUNCTION("""COMPUTED_VALUE"""),"قم")</f>
        <v>قم</v>
      </c>
      <c r="F6460" s="5" t="str">
        <f>IFERROR(__xludf.DUMMYFUNCTION("""COMPUTED_VALUE"""),"رمضان  ")</f>
        <v>رمضان  </v>
      </c>
      <c r="G6460" s="5">
        <f>IFERROR(__xludf.DUMMYFUNCTION("""COMPUTED_VALUE"""),5.0)</f>
        <v>5</v>
      </c>
      <c r="H6460" s="6" t="str">
        <f>IFERROR(__xludf.DUMMYFUNCTION("""COMPUTED_VALUE"""),"https://www.instagram.com/sana_goyane_hazrate_ho_online/")</f>
        <v>https://www.instagram.com/sana_goyane_hazrate_ho_online/</v>
      </c>
      <c r="I6460" s="6" t="str">
        <f>IFERROR(__xludf.DUMMYFUNCTION("""COMPUTED_VALUE"""),"https://t.me/sana_goyane_hazrate_ho")</f>
        <v>https://t.me/sana_goyane_hazrate_ho</v>
      </c>
      <c r="J6460" s="5"/>
      <c r="K6460" s="5"/>
      <c r="L6460" s="5"/>
      <c r="M6460" s="5"/>
      <c r="N6460" s="5"/>
      <c r="O6460" s="5"/>
      <c r="P6460" s="5"/>
      <c r="Q6460" s="5"/>
      <c r="R6460" s="5"/>
      <c r="S6460" s="5"/>
    </row>
    <row r="6461">
      <c r="A6461" s="5"/>
      <c r="B6461" s="5" t="str">
        <f>IFERROR(__xludf.DUMMYFUNCTION("""COMPUTED_VALUE"""),"تکیه")</f>
        <v>تکیه</v>
      </c>
      <c r="C6461" s="5" t="str">
        <f>IFERROR(__xludf.DUMMYFUNCTION("""COMPUTED_VALUE"""),"حاج سید حسن")</f>
        <v>حاج سید حسن</v>
      </c>
      <c r="D6461" s="5" t="str">
        <f>IFERROR(__xludf.DUMMYFUNCTION("""COMPUTED_VALUE"""),"قم")</f>
        <v>قم</v>
      </c>
      <c r="E6461" s="5" t="str">
        <f>IFERROR(__xludf.DUMMYFUNCTION("""COMPUTED_VALUE"""),"قم")</f>
        <v>قم</v>
      </c>
      <c r="F6461" s="5"/>
      <c r="G6461" s="5">
        <f>IFERROR(__xludf.DUMMYFUNCTION("""COMPUTED_VALUE"""),5.0)</f>
        <v>5</v>
      </c>
      <c r="H6461" s="6" t="str">
        <f>IFERROR(__xludf.DUMMYFUNCTION("""COMPUTED_VALUE"""),"https://www.instagram.com/tekyeqom/")</f>
        <v>https://www.instagram.com/tekyeqom/</v>
      </c>
      <c r="I6461" s="6" t="str">
        <f>IFERROR(__xludf.DUMMYFUNCTION("""COMPUTED_VALUE"""),"https://t.me/tekyeqom")</f>
        <v>https://t.me/tekyeqom</v>
      </c>
      <c r="J6461" s="5"/>
      <c r="K6461" s="5"/>
      <c r="L6461" s="5"/>
      <c r="M6461" s="5"/>
      <c r="N6461" s="5"/>
      <c r="O6461" s="5"/>
      <c r="P6461" s="5"/>
      <c r="Q6461" s="5"/>
      <c r="R6461" s="5"/>
      <c r="S6461" s="5"/>
    </row>
    <row r="6462">
      <c r="A6462" s="5">
        <f>IFERROR(__xludf.DUMMYFUNCTION("""COMPUTED_VALUE"""),27526.0)</f>
        <v>27526</v>
      </c>
      <c r="B6462" s="5" t="str">
        <f>IFERROR(__xludf.DUMMYFUNCTION("""COMPUTED_VALUE"""),"هیأت")</f>
        <v>هیأت</v>
      </c>
      <c r="C6462" s="5" t="str">
        <f>IFERROR(__xludf.DUMMYFUNCTION("""COMPUTED_VALUE"""),"جوانان‌امام‌حسن‌مجتبی")</f>
        <v>جوانان‌امام‌حسن‌مجتبی</v>
      </c>
      <c r="D6462" s="5" t="str">
        <f>IFERROR(__xludf.DUMMYFUNCTION("""COMPUTED_VALUE"""),"قم")</f>
        <v>قم</v>
      </c>
      <c r="E6462" s="5" t="str">
        <f>IFERROR(__xludf.DUMMYFUNCTION("""COMPUTED_VALUE"""),"قم")</f>
        <v>قم</v>
      </c>
      <c r="F6462" s="5"/>
      <c r="G6462" s="5">
        <f>IFERROR(__xludf.DUMMYFUNCTION("""COMPUTED_VALUE"""),5.0)</f>
        <v>5</v>
      </c>
      <c r="H6462" s="6" t="str">
        <f>IFERROR(__xludf.DUMMYFUNCTION("""COMPUTED_VALUE"""),"https://www.instagram.com/hasanie_qom")</f>
        <v>https://www.instagram.com/hasanie_qom</v>
      </c>
      <c r="I6462" s="6" t="str">
        <f>IFERROR(__xludf.DUMMYFUNCTION("""COMPUTED_VALUE"""),"https://t.me/hasanieqom")</f>
        <v>https://t.me/hasanieqom</v>
      </c>
      <c r="J6462" s="6" t="str">
        <f>IFERROR(__xludf.DUMMYFUNCTION("""COMPUTED_VALUE"""),"https://eitaa.com/hasanie_qom")</f>
        <v>https://eitaa.com/hasanie_qom</v>
      </c>
      <c r="K6462" s="5"/>
      <c r="L6462" s="5"/>
      <c r="M6462" s="5"/>
      <c r="N6462" s="5"/>
      <c r="O6462" s="5"/>
      <c r="P6462" s="5"/>
      <c r="Q6462" s="5"/>
      <c r="R6462" s="5"/>
      <c r="S6462" s="5"/>
    </row>
    <row r="6463">
      <c r="A6463" s="5"/>
      <c r="B6463" s="5" t="str">
        <f>IFERROR(__xludf.DUMMYFUNCTION("""COMPUTED_VALUE"""),"حسینیه")</f>
        <v>حسینیه</v>
      </c>
      <c r="C6463" s="5" t="str">
        <f>IFERROR(__xludf.DUMMYFUNCTION("""COMPUTED_VALUE"""),"حضرت فاطمه الزهرا (س)")</f>
        <v>حضرت فاطمه الزهرا (س)</v>
      </c>
      <c r="D6463" s="5" t="str">
        <f>IFERROR(__xludf.DUMMYFUNCTION("""COMPUTED_VALUE"""),"قم")</f>
        <v>قم</v>
      </c>
      <c r="E6463" s="5" t="str">
        <f>IFERROR(__xludf.DUMMYFUNCTION("""COMPUTED_VALUE"""),"قم")</f>
        <v>قم</v>
      </c>
      <c r="F6463" s="5"/>
      <c r="G6463" s="5">
        <f>IFERROR(__xludf.DUMMYFUNCTION("""COMPUTED_VALUE"""),5.0)</f>
        <v>5</v>
      </c>
      <c r="H6463" s="6" t="str">
        <f>IFERROR(__xludf.DUMMYFUNCTION("""COMPUTED_VALUE"""),"https://www.instagram.com/hu_hazrat_zahra.qom")</f>
        <v>https://www.instagram.com/hu_hazrat_zahra.qom</v>
      </c>
      <c r="I6463" s="5"/>
      <c r="J6463" s="6" t="str">
        <f>IFERROR(__xludf.DUMMYFUNCTION("""COMPUTED_VALUE"""),"https://eitaa.com/hoseinefatematazahra")</f>
        <v>https://eitaa.com/hoseinefatematazahra</v>
      </c>
      <c r="K6463" s="5"/>
      <c r="L6463" s="5"/>
      <c r="M6463" s="5"/>
      <c r="N6463" s="5"/>
      <c r="O6463" s="5"/>
      <c r="P6463" s="5"/>
      <c r="Q6463" s="5"/>
      <c r="R6463" s="5"/>
      <c r="S6463" s="5"/>
    </row>
    <row r="6464">
      <c r="A6464" s="5">
        <f>IFERROR(__xludf.DUMMYFUNCTION("""COMPUTED_VALUE"""),10938.0)</f>
        <v>10938</v>
      </c>
      <c r="B6464" s="5" t="str">
        <f>IFERROR(__xludf.DUMMYFUNCTION("""COMPUTED_VALUE"""),"هیأت")</f>
        <v>هیأت</v>
      </c>
      <c r="C6464" s="5" t="str">
        <f>IFERROR(__xludf.DUMMYFUNCTION("""COMPUTED_VALUE"""),"خادم الرضا")</f>
        <v>خادم الرضا</v>
      </c>
      <c r="D6464" s="5" t="str">
        <f>IFERROR(__xludf.DUMMYFUNCTION("""COMPUTED_VALUE"""),"قم")</f>
        <v>قم</v>
      </c>
      <c r="E6464" s="5" t="str">
        <f>IFERROR(__xludf.DUMMYFUNCTION("""COMPUTED_VALUE"""),"قم")</f>
        <v>قم</v>
      </c>
      <c r="F6464" s="5"/>
      <c r="G6464" s="5">
        <f>IFERROR(__xludf.DUMMYFUNCTION("""COMPUTED_VALUE"""),5.0)</f>
        <v>5</v>
      </c>
      <c r="H6464" s="6" t="str">
        <f>IFERROR(__xludf.DUMMYFUNCTION("""COMPUTED_VALUE"""),"https://www.instagram.com/khademalreza.qom/")</f>
        <v>https://www.instagram.com/khademalreza.qom/</v>
      </c>
      <c r="I6464" s="6" t="str">
        <f>IFERROR(__xludf.DUMMYFUNCTION("""COMPUTED_VALUE"""),"https://t.me/khademalrezaqom1")</f>
        <v>https://t.me/khademalrezaqom1</v>
      </c>
      <c r="J6464" s="6" t="str">
        <f>IFERROR(__xludf.DUMMYFUNCTION("""COMPUTED_VALUE"""),"https://eitaa.com/khademalreza_qom")</f>
        <v>https://eitaa.com/khademalreza_qom</v>
      </c>
      <c r="K6464" s="5"/>
      <c r="L6464" s="6" t="str">
        <f>IFERROR(__xludf.DUMMYFUNCTION("""COMPUTED_VALUE"""),"https://khademalreza.ir/")</f>
        <v>https://khademalreza.ir/</v>
      </c>
      <c r="M6464" s="5"/>
      <c r="N6464" s="5"/>
      <c r="O6464" s="5"/>
      <c r="P6464" s="5"/>
      <c r="Q6464" s="5"/>
      <c r="R6464" s="5"/>
      <c r="S6464" s="5"/>
    </row>
    <row r="6465">
      <c r="A6465" s="5"/>
      <c r="B6465" s="5" t="str">
        <f>IFERROR(__xludf.DUMMYFUNCTION("""COMPUTED_VALUE"""),"هیأت")</f>
        <v>هیأت</v>
      </c>
      <c r="C6465" s="5" t="str">
        <f>IFERROR(__xludf.DUMMYFUNCTION("""COMPUTED_VALUE"""),"خادمین حضرت زینب")</f>
        <v>خادمین حضرت زینب</v>
      </c>
      <c r="D6465" s="5" t="str">
        <f>IFERROR(__xludf.DUMMYFUNCTION("""COMPUTED_VALUE"""),"قم")</f>
        <v>قم</v>
      </c>
      <c r="E6465" s="5" t="str">
        <f>IFERROR(__xludf.DUMMYFUNCTION("""COMPUTED_VALUE"""),"قم")</f>
        <v>قم</v>
      </c>
      <c r="F6465" s="5"/>
      <c r="G6465" s="5">
        <f>IFERROR(__xludf.DUMMYFUNCTION("""COMPUTED_VALUE"""),5.0)</f>
        <v>5</v>
      </c>
      <c r="H6465" s="6" t="str">
        <f>IFERROR(__xludf.DUMMYFUNCTION("""COMPUTED_VALUE"""),"https://www.instagram.com/khademin_hazrat_zeynab/")</f>
        <v>https://www.instagram.com/khademin_hazrat_zeynab/</v>
      </c>
      <c r="I6465" s="6" t="str">
        <f>IFERROR(__xludf.DUMMYFUNCTION("""COMPUTED_VALUE"""),"https://t.me/khademin_hazrat_zeynab")</f>
        <v>https://t.me/khademin_hazrat_zeynab</v>
      </c>
      <c r="J6465" s="5"/>
      <c r="K6465" s="5"/>
      <c r="L6465" s="5"/>
      <c r="M6465" s="5"/>
      <c r="N6465" s="5"/>
      <c r="O6465" s="5"/>
      <c r="P6465" s="5"/>
      <c r="Q6465" s="5"/>
      <c r="R6465" s="5"/>
      <c r="S6465" s="5"/>
    </row>
    <row r="6466">
      <c r="A6466" s="5"/>
      <c r="B6466" s="5" t="str">
        <f>IFERROR(__xludf.DUMMYFUNCTION("""COMPUTED_VALUE"""),"هیأت")</f>
        <v>هیأت</v>
      </c>
      <c r="C6466" s="5" t="str">
        <f>IFERROR(__xludf.DUMMYFUNCTION("""COMPUTED_VALUE"""),"دلدادگان حضرت ام البنین")</f>
        <v>دلدادگان حضرت ام البنین</v>
      </c>
      <c r="D6466" s="5" t="str">
        <f>IFERROR(__xludf.DUMMYFUNCTION("""COMPUTED_VALUE"""),"قم")</f>
        <v>قم</v>
      </c>
      <c r="E6466" s="5" t="str">
        <f>IFERROR(__xludf.DUMMYFUNCTION("""COMPUTED_VALUE"""),"قم")</f>
        <v>قم</v>
      </c>
      <c r="F6466" s="5"/>
      <c r="G6466" s="5">
        <f>IFERROR(__xludf.DUMMYFUNCTION("""COMPUTED_VALUE"""),5.0)</f>
        <v>5</v>
      </c>
      <c r="H6466" s="6" t="str">
        <f>IFERROR(__xludf.DUMMYFUNCTION("""COMPUTED_VALUE"""),"https://www.instagram.com/mahfel_omebanin/")</f>
        <v>https://www.instagram.com/mahfel_omebanin/</v>
      </c>
      <c r="I6466" s="6" t="str">
        <f>IFERROR(__xludf.DUMMYFUNCTION("""COMPUTED_VALUE"""),"https://t.me/mahfel_omebanin_GOM")</f>
        <v>https://t.me/mahfel_omebanin_GOM</v>
      </c>
      <c r="J6466" s="5"/>
      <c r="K6466" s="5"/>
      <c r="L6466" s="5"/>
      <c r="M6466" s="5"/>
      <c r="N6466" s="5"/>
      <c r="O6466" s="5"/>
      <c r="P6466" s="5"/>
      <c r="Q6466" s="5"/>
      <c r="R6466" s="5"/>
      <c r="S6466" s="5"/>
    </row>
    <row r="6467">
      <c r="A6467" s="5">
        <f>IFERROR(__xludf.DUMMYFUNCTION("""COMPUTED_VALUE"""),10713.0)</f>
        <v>10713</v>
      </c>
      <c r="B6467" s="5" t="str">
        <f>IFERROR(__xludf.DUMMYFUNCTION("""COMPUTED_VALUE"""),"هیأت")</f>
        <v>هیأت</v>
      </c>
      <c r="C6467" s="5" t="str">
        <f>IFERROR(__xludf.DUMMYFUNCTION("""COMPUTED_VALUE"""),"رزمندگان اسلام")</f>
        <v>رزمندگان اسلام</v>
      </c>
      <c r="D6467" s="5" t="str">
        <f>IFERROR(__xludf.DUMMYFUNCTION("""COMPUTED_VALUE"""),"قم")</f>
        <v>قم</v>
      </c>
      <c r="E6467" s="5" t="str">
        <f>IFERROR(__xludf.DUMMYFUNCTION("""COMPUTED_VALUE"""),"قم")</f>
        <v>قم</v>
      </c>
      <c r="F6467" s="5"/>
      <c r="G6467" s="5">
        <f>IFERROR(__xludf.DUMMYFUNCTION("""COMPUTED_VALUE"""),5.0)</f>
        <v>5</v>
      </c>
      <c r="H6467" s="6" t="str">
        <f>IFERROR(__xludf.DUMMYFUNCTION("""COMPUTED_VALUE"""),"https://www.instagram.com/razmandeganqom/")</f>
        <v>https://www.instagram.com/razmandeganqom/</v>
      </c>
      <c r="I6467" s="6" t="str">
        <f>IFERROR(__xludf.DUMMYFUNCTION("""COMPUTED_VALUE"""),"https://t.me/RazmandeganQom")</f>
        <v>https://t.me/RazmandeganQom</v>
      </c>
      <c r="J6467" s="6" t="str">
        <f>IFERROR(__xludf.DUMMYFUNCTION("""COMPUTED_VALUE"""),"https://eitaa.com/razmandeganqom")</f>
        <v>https://eitaa.com/razmandeganqom</v>
      </c>
      <c r="K6467" s="6" t="str">
        <f>IFERROR(__xludf.DUMMYFUNCTION("""COMPUTED_VALUE"""),"https://www.instagram.com/razmandeganqom.live/")</f>
        <v>https://www.instagram.com/razmandeganqom.live/</v>
      </c>
      <c r="L6467" s="6" t="str">
        <f>IFERROR(__xludf.DUMMYFUNCTION("""COMPUTED_VALUE"""),"https://razmandeganqom.ir/")</f>
        <v>https://razmandeganqom.ir/</v>
      </c>
      <c r="M6467" s="5"/>
      <c r="N6467" s="5"/>
      <c r="O6467" s="5"/>
      <c r="P6467" s="5"/>
      <c r="Q6467" s="5"/>
      <c r="R6467" s="5"/>
      <c r="S6467" s="5"/>
    </row>
    <row r="6468">
      <c r="A6468" s="5"/>
      <c r="B6468" s="5" t="str">
        <f>IFERROR(__xludf.DUMMYFUNCTION("""COMPUTED_VALUE"""),"هیأت")</f>
        <v>هیأت</v>
      </c>
      <c r="C6468" s="5" t="str">
        <f>IFERROR(__xludf.DUMMYFUNCTION("""COMPUTED_VALUE"""),"روضة الزهرا")</f>
        <v>روضة الزهرا</v>
      </c>
      <c r="D6468" s="5" t="str">
        <f>IFERROR(__xludf.DUMMYFUNCTION("""COMPUTED_VALUE"""),"قم")</f>
        <v>قم</v>
      </c>
      <c r="E6468" s="5" t="str">
        <f>IFERROR(__xludf.DUMMYFUNCTION("""COMPUTED_VALUE"""),"قم")</f>
        <v>قم</v>
      </c>
      <c r="F6468" s="5"/>
      <c r="G6468" s="5">
        <f>IFERROR(__xludf.DUMMYFUNCTION("""COMPUTED_VALUE"""),5.0)</f>
        <v>5</v>
      </c>
      <c r="H6468" s="6" t="str">
        <f>IFERROR(__xludf.DUMMYFUNCTION("""COMPUTED_VALUE"""),"https://www.instagram.com/h_rozato_zahra/")</f>
        <v>https://www.instagram.com/h_rozato_zahra/</v>
      </c>
      <c r="I6468" s="6" t="str">
        <f>IFERROR(__xludf.DUMMYFUNCTION("""COMPUTED_VALUE"""),"https://t.me/H_Rozato_zahra")</f>
        <v>https://t.me/H_Rozato_zahra</v>
      </c>
      <c r="J6468" s="6" t="str">
        <f>IFERROR(__xludf.DUMMYFUNCTION("""COMPUTED_VALUE"""),"https://eitaa.com/h_rozato_zahra")</f>
        <v>https://eitaa.com/h_rozato_zahra</v>
      </c>
      <c r="K6468" s="5"/>
      <c r="L6468" s="5"/>
      <c r="M6468" s="5"/>
      <c r="N6468" s="5"/>
      <c r="O6468" s="5"/>
      <c r="P6468" s="5"/>
      <c r="Q6468" s="5"/>
      <c r="R6468" s="5"/>
      <c r="S6468" s="5"/>
    </row>
    <row r="6469">
      <c r="A6469" s="5"/>
      <c r="B6469" s="5" t="str">
        <f>IFERROR(__xludf.DUMMYFUNCTION("""COMPUTED_VALUE"""),"هیأت")</f>
        <v>هیأت</v>
      </c>
      <c r="C6469" s="5" t="str">
        <f>IFERROR(__xludf.DUMMYFUNCTION("""COMPUTED_VALUE"""),"ام ابیها")</f>
        <v>ام ابیها</v>
      </c>
      <c r="D6469" s="5" t="str">
        <f>IFERROR(__xludf.DUMMYFUNCTION("""COMPUTED_VALUE"""),"قم")</f>
        <v>قم</v>
      </c>
      <c r="E6469" s="5" t="str">
        <f>IFERROR(__xludf.DUMMYFUNCTION("""COMPUTED_VALUE"""),"قم")</f>
        <v>قم</v>
      </c>
      <c r="F6469" s="5"/>
      <c r="G6469" s="5">
        <f>IFERROR(__xludf.DUMMYFUNCTION("""COMPUTED_VALUE"""),6.0)</f>
        <v>6</v>
      </c>
      <c r="H6469" s="6" t="str">
        <f>IFERROR(__xludf.DUMMYFUNCTION("""COMPUTED_VALUE"""),"https://www.instagram.com/heyat_ome_abiha")</f>
        <v>https://www.instagram.com/heyat_ome_abiha</v>
      </c>
      <c r="I6469" s="6" t="str">
        <f>IFERROR(__xludf.DUMMYFUNCTION("""COMPUTED_VALUE"""),"https://t.me/heyat_ome_abiha")</f>
        <v>https://t.me/heyat_ome_abiha</v>
      </c>
      <c r="J6469" s="6" t="str">
        <f>IFERROR(__xludf.DUMMYFUNCTION("""COMPUTED_VALUE"""),"https://www.instagram.com/heyatomeabiha.ensiatalhora/")</f>
        <v>https://www.instagram.com/heyatomeabiha.ensiatalhora/</v>
      </c>
      <c r="K6469" s="5"/>
      <c r="L6469" s="5"/>
      <c r="M6469" s="5"/>
      <c r="N6469" s="5"/>
      <c r="O6469" s="5"/>
      <c r="P6469" s="6" t="str">
        <f>IFERROR(__xludf.DUMMYFUNCTION("""COMPUTED_VALUE"""),"https://www.instagram.com/mehremadari.charity")</f>
        <v>https://www.instagram.com/mehremadari.charity</v>
      </c>
      <c r="Q6469" s="5"/>
      <c r="R6469" s="5"/>
      <c r="S6469" s="5"/>
    </row>
    <row r="6470">
      <c r="A6470" s="5"/>
      <c r="B6470" s="5" t="str">
        <f>IFERROR(__xludf.DUMMYFUNCTION("""COMPUTED_VALUE"""),"هیأت")</f>
        <v>هیأت</v>
      </c>
      <c r="C6470" s="5" t="str">
        <f>IFERROR(__xludf.DUMMYFUNCTION("""COMPUTED_VALUE"""),"بهشت عباس")</f>
        <v>بهشت عباس</v>
      </c>
      <c r="D6470" s="5" t="str">
        <f>IFERROR(__xludf.DUMMYFUNCTION("""COMPUTED_VALUE"""),"قم")</f>
        <v>قم</v>
      </c>
      <c r="E6470" s="5" t="str">
        <f>IFERROR(__xludf.DUMMYFUNCTION("""COMPUTED_VALUE"""),"قم")</f>
        <v>قم</v>
      </c>
      <c r="F6470" s="5"/>
      <c r="G6470" s="5">
        <f>IFERROR(__xludf.DUMMYFUNCTION("""COMPUTED_VALUE"""),6.0)</f>
        <v>6</v>
      </c>
      <c r="H6470" s="6" t="str">
        <f>IFERROR(__xludf.DUMMYFUNCTION("""COMPUTED_VALUE"""),"https://www.instagram.com/behesht_abbas/")</f>
        <v>https://www.instagram.com/behesht_abbas/</v>
      </c>
      <c r="I6470" s="6" t="str">
        <f>IFERROR(__xludf.DUMMYFUNCTION("""COMPUTED_VALUE"""),"https://t.me/behesht_abbas")</f>
        <v>https://t.me/behesht_abbas</v>
      </c>
      <c r="J6470" s="5"/>
      <c r="K6470" s="5"/>
      <c r="L6470" s="5"/>
      <c r="M6470" s="5"/>
      <c r="N6470" s="5"/>
      <c r="O6470" s="5"/>
      <c r="P6470" s="5"/>
      <c r="Q6470" s="5"/>
      <c r="R6470" s="5"/>
      <c r="S6470" s="5"/>
    </row>
    <row r="6471">
      <c r="A6471" s="5"/>
      <c r="B6471" s="5" t="str">
        <f>IFERROR(__xludf.DUMMYFUNCTION("""COMPUTED_VALUE"""),"هیأت")</f>
        <v>هیأت</v>
      </c>
      <c r="C6471" s="5" t="str">
        <f>IFERROR(__xludf.DUMMYFUNCTION("""COMPUTED_VALUE"""),"بیت الزهرا")</f>
        <v>بیت الزهرا</v>
      </c>
      <c r="D6471" s="5" t="str">
        <f>IFERROR(__xludf.DUMMYFUNCTION("""COMPUTED_VALUE"""),"قم")</f>
        <v>قم</v>
      </c>
      <c r="E6471" s="5" t="str">
        <f>IFERROR(__xludf.DUMMYFUNCTION("""COMPUTED_VALUE"""),"قم")</f>
        <v>قم</v>
      </c>
      <c r="F6471" s="5"/>
      <c r="G6471" s="5">
        <f>IFERROR(__xludf.DUMMYFUNCTION("""COMPUTED_VALUE"""),6.0)</f>
        <v>6</v>
      </c>
      <c r="H6471" s="6" t="str">
        <f>IFERROR(__xludf.DUMMYFUNCTION("""COMPUTED_VALUE"""),"https://www.instagram.com/beytozahraqom/")</f>
        <v>https://www.instagram.com/beytozahraqom/</v>
      </c>
      <c r="I6471" s="6" t="str">
        <f>IFERROR(__xludf.DUMMYFUNCTION("""COMPUTED_VALUE"""),"https://t.me/beytozahra_qom")</f>
        <v>https://t.me/beytozahra_qom</v>
      </c>
      <c r="J6471" s="5"/>
      <c r="K6471" s="5"/>
      <c r="L6471" s="5"/>
      <c r="M6471" s="5"/>
      <c r="N6471" s="5"/>
      <c r="O6471" s="5"/>
      <c r="P6471" s="5"/>
      <c r="Q6471" s="5"/>
      <c r="R6471" s="5"/>
      <c r="S6471" s="5"/>
    </row>
    <row r="6472">
      <c r="A6472" s="5">
        <f>IFERROR(__xludf.DUMMYFUNCTION("""COMPUTED_VALUE"""),24881.0)</f>
        <v>24881</v>
      </c>
      <c r="B6472" s="5" t="str">
        <f>IFERROR(__xludf.DUMMYFUNCTION("""COMPUTED_VALUE"""),"هیأت")</f>
        <v>هیأت</v>
      </c>
      <c r="C6472" s="5" t="str">
        <f>IFERROR(__xludf.DUMMYFUNCTION("""COMPUTED_VALUE"""),"حسن بن علی (ع)")</f>
        <v>حسن بن علی (ع)</v>
      </c>
      <c r="D6472" s="5" t="str">
        <f>IFERROR(__xludf.DUMMYFUNCTION("""COMPUTED_VALUE"""),"قم")</f>
        <v>قم</v>
      </c>
      <c r="E6472" s="5" t="str">
        <f>IFERROR(__xludf.DUMMYFUNCTION("""COMPUTED_VALUE"""),"قم")</f>
        <v>قم</v>
      </c>
      <c r="F6472" s="5"/>
      <c r="G6472" s="5">
        <f>IFERROR(__xludf.DUMMYFUNCTION("""COMPUTED_VALUE"""),6.0)</f>
        <v>6</v>
      </c>
      <c r="H6472" s="6" t="str">
        <f>IFERROR(__xludf.DUMMYFUNCTION("""COMPUTED_VALUE"""),"https://www.instagram.com/heyat.hasanebnali.qom/")</f>
        <v>https://www.instagram.com/heyat.hasanebnali.qom/</v>
      </c>
      <c r="I6472" s="5"/>
      <c r="J6472" s="5"/>
      <c r="K6472" s="5"/>
      <c r="L6472" s="5"/>
      <c r="M6472" s="5"/>
      <c r="N6472" s="5"/>
      <c r="O6472" s="5"/>
      <c r="P6472" s="5"/>
      <c r="Q6472" s="5"/>
      <c r="R6472" s="5"/>
      <c r="S6472" s="5"/>
    </row>
    <row r="6473">
      <c r="A6473" s="5">
        <f>IFERROR(__xludf.DUMMYFUNCTION("""COMPUTED_VALUE"""),10548.0)</f>
        <v>10548</v>
      </c>
      <c r="B6473" s="5" t="str">
        <f>IFERROR(__xludf.DUMMYFUNCTION("""COMPUTED_VALUE"""),"هیأت")</f>
        <v>هیأت</v>
      </c>
      <c r="C6473" s="5" t="str">
        <f>IFERROR(__xludf.DUMMYFUNCTION("""COMPUTED_VALUE"""),"فاطمیون")</f>
        <v>فاطمیون</v>
      </c>
      <c r="D6473" s="5" t="str">
        <f>IFERROR(__xludf.DUMMYFUNCTION("""COMPUTED_VALUE"""),"قم")</f>
        <v>قم</v>
      </c>
      <c r="E6473" s="5" t="str">
        <f>IFERROR(__xludf.DUMMYFUNCTION("""COMPUTED_VALUE"""),"قم")</f>
        <v>قم</v>
      </c>
      <c r="F6473" s="5"/>
      <c r="G6473" s="5">
        <f>IFERROR(__xludf.DUMMYFUNCTION("""COMPUTED_VALUE"""),6.0)</f>
        <v>6</v>
      </c>
      <c r="H6473" s="5"/>
      <c r="I6473" s="5"/>
      <c r="J6473" s="5" t="str">
        <f>IFERROR(__xludf.DUMMYFUNCTION("""COMPUTED_VALUE"""),"https://eitaa.com/fatemiyoun_ir    eitaa.com/mahdisalahshuor")</f>
        <v>https://eitaa.com/fatemiyoun_ir    eitaa.com/mahdisalahshuor</v>
      </c>
      <c r="K6473" s="5"/>
      <c r="L6473" s="5"/>
      <c r="M6473" s="5"/>
      <c r="N6473" s="5"/>
      <c r="O6473" s="5"/>
      <c r="P6473" s="5"/>
      <c r="Q6473" s="5"/>
      <c r="R6473" s="5"/>
      <c r="S6473" s="5"/>
    </row>
    <row r="6474">
      <c r="A6474" s="5">
        <f>IFERROR(__xludf.DUMMYFUNCTION("""COMPUTED_VALUE"""),11113.0)</f>
        <v>11113</v>
      </c>
      <c r="B6474" s="5" t="str">
        <f>IFERROR(__xludf.DUMMYFUNCTION("""COMPUTED_VALUE"""),"هیأت")</f>
        <v>هیأت</v>
      </c>
      <c r="C6474" s="5" t="str">
        <f>IFERROR(__xludf.DUMMYFUNCTION("""COMPUTED_VALUE"""),"بیت النبی(ص) پیروان ولایت")</f>
        <v>بیت النبی(ص) پیروان ولایت</v>
      </c>
      <c r="D6474" s="5" t="str">
        <f>IFERROR(__xludf.DUMMYFUNCTION("""COMPUTED_VALUE"""),"قم")</f>
        <v>قم</v>
      </c>
      <c r="E6474" s="5" t="str">
        <f>IFERROR(__xludf.DUMMYFUNCTION("""COMPUTED_VALUE"""),"قم")</f>
        <v>قم</v>
      </c>
      <c r="F6474" s="5"/>
      <c r="G6474" s="5">
        <f>IFERROR(__xludf.DUMMYFUNCTION("""COMPUTED_VALUE"""),7.0)</f>
        <v>7</v>
      </c>
      <c r="H6474" s="6" t="str">
        <f>IFERROR(__xludf.DUMMYFUNCTION("""COMPUTED_VALUE"""),"https://www.instagram.com/beytonabi_ir")</f>
        <v>https://www.instagram.com/beytonabi_ir</v>
      </c>
      <c r="I6474" s="5"/>
      <c r="J6474" s="6" t="str">
        <f>IFERROR(__xludf.DUMMYFUNCTION("""COMPUTED_VALUE"""),"https://eitaa.com/beytonabi_ir")</f>
        <v>https://eitaa.com/beytonabi_ir</v>
      </c>
      <c r="K6474" s="5"/>
      <c r="L6474" s="6" t="str">
        <f>IFERROR(__xludf.DUMMYFUNCTION("""COMPUTED_VALUE"""),"https://beytonabi.ir/")</f>
        <v>https://beytonabi.ir/</v>
      </c>
      <c r="M6474" s="5"/>
      <c r="N6474" s="5"/>
      <c r="O6474" s="5"/>
      <c r="P6474" s="5"/>
      <c r="Q6474" s="5"/>
      <c r="R6474" s="5"/>
      <c r="S6474" s="5"/>
    </row>
    <row r="6475">
      <c r="A6475" s="5">
        <f>IFERROR(__xludf.DUMMYFUNCTION("""COMPUTED_VALUE"""),33178.0)</f>
        <v>33178</v>
      </c>
      <c r="B6475" s="5" t="str">
        <f>IFERROR(__xludf.DUMMYFUNCTION("""COMPUTED_VALUE"""),"هیأت نوجوان")</f>
        <v>هیأت نوجوان</v>
      </c>
      <c r="C6475" s="5" t="str">
        <f>IFERROR(__xludf.DUMMYFUNCTION("""COMPUTED_VALUE"""),"رایة المقاومه")</f>
        <v>رایة المقاومه</v>
      </c>
      <c r="D6475" s="5" t="str">
        <f>IFERROR(__xludf.DUMMYFUNCTION("""COMPUTED_VALUE"""),"قم")</f>
        <v>قم</v>
      </c>
      <c r="E6475" s="5" t="str">
        <f>IFERROR(__xludf.DUMMYFUNCTION("""COMPUTED_VALUE"""),"قم")</f>
        <v>قم</v>
      </c>
      <c r="F6475" s="5"/>
      <c r="G6475" s="5">
        <f>IFERROR(__xludf.DUMMYFUNCTION("""COMPUTED_VALUE"""),7.0)</f>
        <v>7</v>
      </c>
      <c r="H6475" s="5"/>
      <c r="I6475" s="5"/>
      <c r="J6475" s="6" t="str">
        <f>IFERROR(__xludf.DUMMYFUNCTION("""COMPUTED_VALUE"""),"https://eitaa.com/rayatolmoghavemat")</f>
        <v>https://eitaa.com/rayatolmoghavemat</v>
      </c>
      <c r="K6475" s="5"/>
      <c r="L6475" s="5"/>
      <c r="M6475" s="5"/>
      <c r="N6475" s="5"/>
      <c r="O6475" s="5"/>
      <c r="P6475" s="5"/>
      <c r="Q6475" s="5"/>
      <c r="R6475" s="5"/>
      <c r="S6475" s="5"/>
    </row>
    <row r="6476">
      <c r="A6476" s="5"/>
      <c r="B6476" s="5" t="str">
        <f>IFERROR(__xludf.DUMMYFUNCTION("""COMPUTED_VALUE"""),"هیأت")</f>
        <v>هیأت</v>
      </c>
      <c r="C6476" s="5" t="str">
        <f>IFERROR(__xludf.DUMMYFUNCTION("""COMPUTED_VALUE"""),"محبین حضرت زینب (س)")</f>
        <v>محبین حضرت زینب (س)</v>
      </c>
      <c r="D6476" s="5" t="str">
        <f>IFERROR(__xludf.DUMMYFUNCTION("""COMPUTED_VALUE"""),"قم")</f>
        <v>قم</v>
      </c>
      <c r="E6476" s="5" t="str">
        <f>IFERROR(__xludf.DUMMYFUNCTION("""COMPUTED_VALUE"""),"قم")</f>
        <v>قم</v>
      </c>
      <c r="F6476" s="5"/>
      <c r="G6476" s="5">
        <f>IFERROR(__xludf.DUMMYFUNCTION("""COMPUTED_VALUE"""),7.0)</f>
        <v>7</v>
      </c>
      <c r="H6476" s="6" t="str">
        <f>IFERROR(__xludf.DUMMYFUNCTION("""COMPUTED_VALUE"""),"https://www.instagram.com/mohebbin_zeynab/")</f>
        <v>https://www.instagram.com/mohebbin_zeynab/</v>
      </c>
      <c r="I6476" s="6" t="str">
        <f>IFERROR(__xludf.DUMMYFUNCTION("""COMPUTED_VALUE"""),"https://t.me/mohebbin_zeynab")</f>
        <v>https://t.me/mohebbin_zeynab</v>
      </c>
      <c r="J6476" s="6" t="str">
        <f>IFERROR(__xludf.DUMMYFUNCTION("""COMPUTED_VALUE"""),"https://eitaa.com/mohebbin_zeynab")</f>
        <v>https://eitaa.com/mohebbin_zeynab</v>
      </c>
      <c r="K6476" s="5"/>
      <c r="L6476" s="5"/>
      <c r="M6476" s="5"/>
      <c r="N6476" s="5"/>
      <c r="O6476" s="5"/>
      <c r="P6476" s="5"/>
      <c r="Q6476" s="5"/>
      <c r="R6476" s="5"/>
      <c r="S6476" s="5"/>
    </row>
    <row r="6477">
      <c r="A6477" s="5"/>
      <c r="B6477" s="5" t="str">
        <f>IFERROR(__xludf.DUMMYFUNCTION("""COMPUTED_VALUE"""),"هیأت")</f>
        <v>هیأت</v>
      </c>
      <c r="C6477" s="5" t="str">
        <f>IFERROR(__xludf.DUMMYFUNCTION("""COMPUTED_VALUE"""),"دیوانگان حضرت رباب سلام الله علیها")</f>
        <v>دیوانگان حضرت رباب سلام الله علیها</v>
      </c>
      <c r="D6477" s="5" t="str">
        <f>IFERROR(__xludf.DUMMYFUNCTION("""COMPUTED_VALUE"""),"قم")</f>
        <v>قم</v>
      </c>
      <c r="E6477" s="5" t="str">
        <f>IFERROR(__xludf.DUMMYFUNCTION("""COMPUTED_VALUE"""),"قم")</f>
        <v>قم</v>
      </c>
      <c r="F6477" s="5"/>
      <c r="G6477" s="5">
        <f>IFERROR(__xludf.DUMMYFUNCTION("""COMPUTED_VALUE"""),45794.0)</f>
        <v>45794</v>
      </c>
      <c r="H6477" s="6" t="str">
        <f>IFERROR(__xludf.DUMMYFUNCTION("""COMPUTED_VALUE"""),"https://www.instagram.com/divangan_205/")</f>
        <v>https://www.instagram.com/divangan_205/</v>
      </c>
      <c r="I6477" s="6" t="str">
        <f>IFERROR(__xludf.DUMMYFUNCTION("""COMPUTED_VALUE"""),"https://t.me/divangan_205")</f>
        <v>https://t.me/divangan_205</v>
      </c>
      <c r="J6477" s="5"/>
      <c r="K6477" s="5"/>
      <c r="L6477" s="5"/>
      <c r="M6477" s="5"/>
      <c r="N6477" s="5"/>
      <c r="O6477" s="5"/>
      <c r="P6477" s="5"/>
      <c r="Q6477" s="5"/>
      <c r="R6477" s="5"/>
      <c r="S6477" s="5"/>
    </row>
    <row r="6478">
      <c r="A6478" s="5"/>
      <c r="B6478" s="5" t="str">
        <f>IFERROR(__xludf.DUMMYFUNCTION("""COMPUTED_VALUE"""),"هیأت")</f>
        <v>هیأت</v>
      </c>
      <c r="C6478" s="5" t="str">
        <f>IFERROR(__xludf.DUMMYFUNCTION("""COMPUTED_VALUE"""),"دیوانگان حضرت رقیه")</f>
        <v>دیوانگان حضرت رقیه</v>
      </c>
      <c r="D6478" s="5" t="str">
        <f>IFERROR(__xludf.DUMMYFUNCTION("""COMPUTED_VALUE"""),"قم")</f>
        <v>قم</v>
      </c>
      <c r="E6478" s="5" t="str">
        <f>IFERROR(__xludf.DUMMYFUNCTION("""COMPUTED_VALUE"""),"قم")</f>
        <v>قم</v>
      </c>
      <c r="F6478" s="5"/>
      <c r="G6478" s="5">
        <f>IFERROR(__xludf.DUMMYFUNCTION("""COMPUTED_VALUE"""),45794.0)</f>
        <v>45794</v>
      </c>
      <c r="H6478" s="6" t="str">
        <f>IFERROR(__xludf.DUMMYFUNCTION("""COMPUTED_VALUE"""),"https://www.instagram.com/divaneganroqaie/")</f>
        <v>https://www.instagram.com/divaneganroqaie/</v>
      </c>
      <c r="I6478" s="6" t="str">
        <f>IFERROR(__xludf.DUMMYFUNCTION("""COMPUTED_VALUE"""),"https://t.me/devaneganroqaie")</f>
        <v>https://t.me/devaneganroqaie</v>
      </c>
      <c r="J6478" s="5"/>
      <c r="K6478" s="5"/>
      <c r="L6478" s="5"/>
      <c r="M6478" s="5"/>
      <c r="N6478" s="5"/>
      <c r="O6478" s="5"/>
      <c r="P6478" s="5"/>
      <c r="Q6478" s="5"/>
      <c r="R6478" s="5"/>
      <c r="S6478" s="5"/>
    </row>
    <row r="6479">
      <c r="A6479" s="5"/>
      <c r="B6479" s="5" t="str">
        <f>IFERROR(__xludf.DUMMYFUNCTION("""COMPUTED_VALUE"""),"هیأت")</f>
        <v>هیأت</v>
      </c>
      <c r="C6479" s="5" t="str">
        <f>IFERROR(__xludf.DUMMYFUNCTION("""COMPUTED_VALUE"""),"ریحانةالحسین(س)")</f>
        <v>ریحانةالحسین(س)</v>
      </c>
      <c r="D6479" s="5" t="str">
        <f>IFERROR(__xludf.DUMMYFUNCTION("""COMPUTED_VALUE"""),"قم")</f>
        <v>قم</v>
      </c>
      <c r="E6479" s="5" t="str">
        <f>IFERROR(__xludf.DUMMYFUNCTION("""COMPUTED_VALUE"""),"قم")</f>
        <v>قم</v>
      </c>
      <c r="F6479" s="5"/>
      <c r="G6479" s="5">
        <f>IFERROR(__xludf.DUMMYFUNCTION("""COMPUTED_VALUE"""),45794.0)</f>
        <v>45794</v>
      </c>
      <c r="H6479" s="6" t="str">
        <f>IFERROR(__xludf.DUMMYFUNCTION("""COMPUTED_VALUE"""),"https://www.instagram.com/reyhanatolhosein315_qom/")</f>
        <v>https://www.instagram.com/reyhanatolhosein315_qom/</v>
      </c>
      <c r="I6479" s="6" t="str">
        <f>IFERROR(__xludf.DUMMYFUNCTION("""COMPUTED_VALUE"""),"https://t.me/reyhanatolhoseinqom315")</f>
        <v>https://t.me/reyhanatolhoseinqom315</v>
      </c>
      <c r="J6479" s="5"/>
      <c r="K6479" s="5"/>
      <c r="L6479" s="5"/>
      <c r="M6479" s="5"/>
      <c r="N6479" s="5"/>
      <c r="O6479" s="5"/>
      <c r="P6479" s="5"/>
      <c r="Q6479" s="5"/>
      <c r="R6479" s="5"/>
      <c r="S6479" s="5"/>
    </row>
    <row r="6480">
      <c r="A6480" s="5"/>
      <c r="B6480" s="5" t="str">
        <f>IFERROR(__xludf.DUMMYFUNCTION("""COMPUTED_VALUE"""),"هیأت")</f>
        <v>هیأت</v>
      </c>
      <c r="C6480" s="5" t="str">
        <f>IFERROR(__xludf.DUMMYFUNCTION("""COMPUTED_VALUE"""),"شاه علقمه")</f>
        <v>شاه علقمه</v>
      </c>
      <c r="D6480" s="5" t="str">
        <f>IFERROR(__xludf.DUMMYFUNCTION("""COMPUTED_VALUE"""),"قم")</f>
        <v>قم</v>
      </c>
      <c r="E6480" s="5" t="str">
        <f>IFERROR(__xludf.DUMMYFUNCTION("""COMPUTED_VALUE"""),"قم")</f>
        <v>قم</v>
      </c>
      <c r="F6480" s="5"/>
      <c r="G6480" s="5">
        <f>IFERROR(__xludf.DUMMYFUNCTION("""COMPUTED_VALUE"""),45794.0)</f>
        <v>45794</v>
      </c>
      <c r="H6480" s="6" t="str">
        <f>IFERROR(__xludf.DUMMYFUNCTION("""COMPUTED_VALUE"""),"https://www.instagram.com/shah_alghame/")</f>
        <v>https://www.instagram.com/shah_alghame/</v>
      </c>
      <c r="I6480" s="6" t="str">
        <f>IFERROR(__xludf.DUMMYFUNCTION("""COMPUTED_VALUE"""),"https://t.me/shah_alghame")</f>
        <v>https://t.me/shah_alghame</v>
      </c>
      <c r="J6480" s="5"/>
      <c r="K6480" s="5"/>
      <c r="L6480" s="5"/>
      <c r="M6480" s="5"/>
      <c r="N6480" s="5"/>
      <c r="O6480" s="5"/>
      <c r="P6480" s="5"/>
      <c r="Q6480" s="5"/>
      <c r="R6480" s="5"/>
      <c r="S6480" s="5"/>
    </row>
    <row r="6481">
      <c r="A6481" s="5"/>
      <c r="B6481" s="5" t="str">
        <f>IFERROR(__xludf.DUMMYFUNCTION("""COMPUTED_VALUE"""),"هیأت")</f>
        <v>هیأت</v>
      </c>
      <c r="C6481" s="5" t="str">
        <f>IFERROR(__xludf.DUMMYFUNCTION("""COMPUTED_VALUE"""),"شاه نجف")</f>
        <v>شاه نجف</v>
      </c>
      <c r="D6481" s="5" t="str">
        <f>IFERROR(__xludf.DUMMYFUNCTION("""COMPUTED_VALUE"""),"قم")</f>
        <v>قم</v>
      </c>
      <c r="E6481" s="5" t="str">
        <f>IFERROR(__xludf.DUMMYFUNCTION("""COMPUTED_VALUE"""),"قم")</f>
        <v>قم</v>
      </c>
      <c r="F6481" s="5"/>
      <c r="G6481" s="5">
        <f>IFERROR(__xludf.DUMMYFUNCTION("""COMPUTED_VALUE"""),45794.0)</f>
        <v>45794</v>
      </c>
      <c r="H6481" s="6" t="str">
        <f>IFERROR(__xludf.DUMMYFUNCTION("""COMPUTED_VALUE"""),"https://www.instagram.com/mahfel_shahnajaf_qom")</f>
        <v>https://www.instagram.com/mahfel_shahnajaf_qom</v>
      </c>
      <c r="I6481" s="6" t="str">
        <f>IFERROR(__xludf.DUMMYFUNCTION("""COMPUTED_VALUE"""),"https://t.me/mahfel_shah_najaf_110")</f>
        <v>https://t.me/mahfel_shah_najaf_110</v>
      </c>
      <c r="J6481" s="5"/>
      <c r="K6481" s="5"/>
      <c r="L6481" s="5"/>
      <c r="M6481" s="5"/>
      <c r="N6481" s="5"/>
      <c r="O6481" s="5"/>
      <c r="P6481" s="5"/>
      <c r="Q6481" s="5"/>
      <c r="R6481" s="5"/>
      <c r="S6481" s="5"/>
    </row>
    <row r="6482">
      <c r="A6482" s="5"/>
      <c r="B6482" s="5" t="str">
        <f>IFERROR(__xludf.DUMMYFUNCTION("""COMPUTED_VALUE"""),"هیأت")</f>
        <v>هیأت</v>
      </c>
      <c r="C6482" s="5" t="str">
        <f>IFERROR(__xludf.DUMMYFUNCTION("""COMPUTED_VALUE"""),"شباب الرقیه")</f>
        <v>شباب الرقیه</v>
      </c>
      <c r="D6482" s="5" t="str">
        <f>IFERROR(__xludf.DUMMYFUNCTION("""COMPUTED_VALUE"""),"قم")</f>
        <v>قم</v>
      </c>
      <c r="E6482" s="5" t="str">
        <f>IFERROR(__xludf.DUMMYFUNCTION("""COMPUTED_VALUE"""),"قم")</f>
        <v>قم</v>
      </c>
      <c r="F6482" s="5"/>
      <c r="G6482" s="5">
        <f>IFERROR(__xludf.DUMMYFUNCTION("""COMPUTED_VALUE"""),45794.0)</f>
        <v>45794</v>
      </c>
      <c r="H6482" s="6" t="str">
        <f>IFERROR(__xludf.DUMMYFUNCTION("""COMPUTED_VALUE"""),"https://www.instagram.com/hayat_shabab_alruqaia")</f>
        <v>https://www.instagram.com/hayat_shabab_alruqaia</v>
      </c>
      <c r="I6482" s="6" t="str">
        <f>IFERROR(__xludf.DUMMYFUNCTION("""COMPUTED_VALUE"""),"https://t.me/hayat_shabab_alruqaia")</f>
        <v>https://t.me/hayat_shabab_alruqaia</v>
      </c>
      <c r="J6482" s="5"/>
      <c r="K6482" s="6" t="str">
        <f>IFERROR(__xludf.DUMMYFUNCTION("""COMPUTED_VALUE"""),"https://www.youtube.com/@hayatshababalruqaia3287")</f>
        <v>https://www.youtube.com/@hayatshababalruqaia3287</v>
      </c>
      <c r="L6482" s="5"/>
      <c r="M6482" s="5"/>
      <c r="N6482" s="5"/>
      <c r="O6482" s="5"/>
      <c r="P6482" s="5"/>
      <c r="Q6482" s="5"/>
      <c r="R6482" s="5"/>
      <c r="S6482" s="5"/>
    </row>
    <row r="6483">
      <c r="A6483" s="5"/>
      <c r="B6483" s="5" t="str">
        <f>IFERROR(__xludf.DUMMYFUNCTION("""COMPUTED_VALUE"""),"هیأت")</f>
        <v>هیأت</v>
      </c>
      <c r="C6483" s="5" t="str">
        <f>IFERROR(__xludf.DUMMYFUNCTION("""COMPUTED_VALUE"""),"عشاق الحیدر")</f>
        <v>عشاق الحیدر</v>
      </c>
      <c r="D6483" s="5" t="str">
        <f>IFERROR(__xludf.DUMMYFUNCTION("""COMPUTED_VALUE"""),"قم")</f>
        <v>قم</v>
      </c>
      <c r="E6483" s="5" t="str">
        <f>IFERROR(__xludf.DUMMYFUNCTION("""COMPUTED_VALUE"""),"قم")</f>
        <v>قم</v>
      </c>
      <c r="F6483" s="5"/>
      <c r="G6483" s="5">
        <f>IFERROR(__xludf.DUMMYFUNCTION("""COMPUTED_VALUE"""),45794.0)</f>
        <v>45794</v>
      </c>
      <c r="H6483" s="6" t="str">
        <f>IFERROR(__xludf.DUMMYFUNCTION("""COMPUTED_VALUE"""),"https://www.instagram.com/oshaqheydar")</f>
        <v>https://www.instagram.com/oshaqheydar</v>
      </c>
      <c r="I6483" s="6" t="str">
        <f>IFERROR(__xludf.DUMMYFUNCTION("""COMPUTED_VALUE"""),"https://t.me/oshaqheydar110")</f>
        <v>https://t.me/oshaqheydar110</v>
      </c>
      <c r="J6483" s="5"/>
      <c r="K6483" s="5"/>
      <c r="L6483" s="5"/>
      <c r="M6483" s="5"/>
      <c r="N6483" s="5"/>
      <c r="O6483" s="5"/>
      <c r="P6483" s="5"/>
      <c r="Q6483" s="5"/>
      <c r="R6483" s="5"/>
      <c r="S6483" s="5"/>
    </row>
    <row r="6484">
      <c r="A6484" s="5"/>
      <c r="B6484" s="5" t="str">
        <f>IFERROR(__xludf.DUMMYFUNCTION("""COMPUTED_VALUE"""),"هیأت")</f>
        <v>هیأت</v>
      </c>
      <c r="C6484" s="5" t="str">
        <f>IFERROR(__xludf.DUMMYFUNCTION("""COMPUTED_VALUE"""),"عصرهای جمعه آل یاسین")</f>
        <v>عصرهای جمعه آل یاسین</v>
      </c>
      <c r="D6484" s="5" t="str">
        <f>IFERROR(__xludf.DUMMYFUNCTION("""COMPUTED_VALUE"""),"قم")</f>
        <v>قم</v>
      </c>
      <c r="E6484" s="5" t="str">
        <f>IFERROR(__xludf.DUMMYFUNCTION("""COMPUTED_VALUE"""),"قم")</f>
        <v>قم</v>
      </c>
      <c r="F6484" s="5"/>
      <c r="G6484" s="5">
        <f>IFERROR(__xludf.DUMMYFUNCTION("""COMPUTED_VALUE"""),45794.0)</f>
        <v>45794</v>
      </c>
      <c r="H6484" s="6" t="str">
        <f>IFERROR(__xludf.DUMMYFUNCTION("""COMPUTED_VALUE"""),"https://www.instagram.com/aleyasinqom/")</f>
        <v>https://www.instagram.com/aleyasinqom/</v>
      </c>
      <c r="I6484" s="5"/>
      <c r="J6484" s="5"/>
      <c r="K6484" s="5"/>
      <c r="L6484" s="5"/>
      <c r="M6484" s="5"/>
      <c r="N6484" s="5"/>
      <c r="O6484" s="5"/>
      <c r="P6484" s="5"/>
      <c r="Q6484" s="5"/>
      <c r="R6484" s="5"/>
      <c r="S6484" s="5"/>
    </row>
    <row r="6485">
      <c r="A6485" s="5"/>
      <c r="B6485" s="5" t="str">
        <f>IFERROR(__xludf.DUMMYFUNCTION("""COMPUTED_VALUE"""),"هیأت")</f>
        <v>هیأت</v>
      </c>
      <c r="C6485" s="5" t="str">
        <f>IFERROR(__xludf.DUMMYFUNCTION("""COMPUTED_VALUE"""),"غریب مدینه")</f>
        <v>غریب مدینه</v>
      </c>
      <c r="D6485" s="5" t="str">
        <f>IFERROR(__xludf.DUMMYFUNCTION("""COMPUTED_VALUE"""),"قم")</f>
        <v>قم</v>
      </c>
      <c r="E6485" s="5" t="str">
        <f>IFERROR(__xludf.DUMMYFUNCTION("""COMPUTED_VALUE"""),"قم")</f>
        <v>قم</v>
      </c>
      <c r="F6485" s="5"/>
      <c r="G6485" s="5">
        <f>IFERROR(__xludf.DUMMYFUNCTION("""COMPUTED_VALUE"""),45794.0)</f>
        <v>45794</v>
      </c>
      <c r="H6485" s="6" t="str">
        <f>IFERROR(__xludf.DUMMYFUNCTION("""COMPUTED_VALUE"""),"https://www.instagram.com/heyate_gharibe_madineh_qom/")</f>
        <v>https://www.instagram.com/heyate_gharibe_madineh_qom/</v>
      </c>
      <c r="I6485" s="6" t="str">
        <f>IFERROR(__xludf.DUMMYFUNCTION("""COMPUTED_VALUE"""),"http://t.me/GHM_Qom")</f>
        <v>http://t.me/GHM_Qom</v>
      </c>
      <c r="J6485" s="5"/>
      <c r="K6485" s="5"/>
      <c r="L6485" s="5"/>
      <c r="M6485" s="5"/>
      <c r="N6485" s="5"/>
      <c r="O6485" s="5"/>
      <c r="P6485" s="5"/>
      <c r="Q6485" s="5"/>
      <c r="R6485" s="5"/>
      <c r="S6485" s="5"/>
    </row>
    <row r="6486">
      <c r="A6486" s="5">
        <f>IFERROR(__xludf.DUMMYFUNCTION("""COMPUTED_VALUE"""),31376.0)</f>
        <v>31376</v>
      </c>
      <c r="B6486" s="5" t="str">
        <f>IFERROR(__xludf.DUMMYFUNCTION("""COMPUTED_VALUE"""),"هیأت")</f>
        <v>هیأت</v>
      </c>
      <c r="C6486" s="5" t="str">
        <f>IFERROR(__xludf.DUMMYFUNCTION("""COMPUTED_VALUE"""),"فاطمةالزهرا(س)")</f>
        <v>فاطمةالزهرا(س)</v>
      </c>
      <c r="D6486" s="5" t="str">
        <f>IFERROR(__xludf.DUMMYFUNCTION("""COMPUTED_VALUE"""),"قم")</f>
        <v>قم</v>
      </c>
      <c r="E6486" s="5" t="str">
        <f>IFERROR(__xludf.DUMMYFUNCTION("""COMPUTED_VALUE"""),"قم")</f>
        <v>قم</v>
      </c>
      <c r="F6486" s="5"/>
      <c r="G6486" s="5">
        <f>IFERROR(__xludf.DUMMYFUNCTION("""COMPUTED_VALUE"""),45794.0)</f>
        <v>45794</v>
      </c>
      <c r="H6486" s="6" t="str">
        <f>IFERROR(__xludf.DUMMYFUNCTION("""COMPUTED_VALUE"""),"https://www.instagram.com/h_yazahra69/")</f>
        <v>https://www.instagram.com/h_yazahra69/</v>
      </c>
      <c r="I6486" s="6" t="str">
        <f>IFERROR(__xludf.DUMMYFUNCTION("""COMPUTED_VALUE"""),"https://t.me/h_yazahra69")</f>
        <v>https://t.me/h_yazahra69</v>
      </c>
      <c r="J6486" s="6" t="str">
        <f>IFERROR(__xludf.DUMMYFUNCTION("""COMPUTED_VALUE"""),"https://eitaa.com/hfatemealzahra")</f>
        <v>https://eitaa.com/hfatemealzahra</v>
      </c>
      <c r="K6486" s="5"/>
      <c r="L6486" s="5"/>
      <c r="M6486" s="5"/>
      <c r="N6486" s="5"/>
      <c r="O6486" s="5"/>
      <c r="P6486" s="5"/>
      <c r="Q6486" s="5"/>
      <c r="R6486" s="5"/>
      <c r="S6486" s="5"/>
    </row>
    <row r="6487">
      <c r="A6487" s="5"/>
      <c r="B6487" s="5" t="str">
        <f>IFERROR(__xludf.DUMMYFUNCTION("""COMPUTED_VALUE"""),"هیأت")</f>
        <v>هیأت</v>
      </c>
      <c r="C6487" s="5" t="str">
        <f>IFERROR(__xludf.DUMMYFUNCTION("""COMPUTED_VALUE"""),"لواء الزینب")</f>
        <v>لواء الزینب</v>
      </c>
      <c r="D6487" s="5" t="str">
        <f>IFERROR(__xludf.DUMMYFUNCTION("""COMPUTED_VALUE"""),"قم")</f>
        <v>قم</v>
      </c>
      <c r="E6487" s="5" t="str">
        <f>IFERROR(__xludf.DUMMYFUNCTION("""COMPUTED_VALUE"""),"قم")</f>
        <v>قم</v>
      </c>
      <c r="F6487" s="5"/>
      <c r="G6487" s="5">
        <f>IFERROR(__xludf.DUMMYFUNCTION("""COMPUTED_VALUE"""),45794.0)</f>
        <v>45794</v>
      </c>
      <c r="H6487" s="6" t="str">
        <f>IFERROR(__xludf.DUMMYFUNCTION("""COMPUTED_VALUE"""),"https://www.instagram.com/levaozzeynab/")</f>
        <v>https://www.instagram.com/levaozzeynab/</v>
      </c>
      <c r="I6487" s="6" t="str">
        <f>IFERROR(__xludf.DUMMYFUNCTION("""COMPUTED_VALUE"""),"https://t.me/levaozzeynab_com")</f>
        <v>https://t.me/levaozzeynab_com</v>
      </c>
      <c r="J6487" s="6" t="str">
        <f>IFERROR(__xludf.DUMMYFUNCTION("""COMPUTED_VALUE"""),"https://eitaa.com/levaozzeynab_qom")</f>
        <v>https://eitaa.com/levaozzeynab_qom</v>
      </c>
      <c r="K6487" s="6" t="str">
        <f>IFERROR(__xludf.DUMMYFUNCTION("""COMPUTED_VALUE"""),"https://www.youtube.com/@levaozzeynab_com")</f>
        <v>https://www.youtube.com/@levaozzeynab_com</v>
      </c>
      <c r="L6487" s="5"/>
      <c r="M6487" s="5"/>
      <c r="N6487" s="5"/>
      <c r="O6487" s="5"/>
      <c r="P6487" s="5"/>
      <c r="Q6487" s="5"/>
      <c r="R6487" s="5"/>
      <c r="S6487" s="5"/>
    </row>
    <row r="6488">
      <c r="A6488" s="5"/>
      <c r="B6488" s="5" t="str">
        <f>IFERROR(__xludf.DUMMYFUNCTION("""COMPUTED_VALUE"""),"هیأت")</f>
        <v>هیأت</v>
      </c>
      <c r="C6488" s="5" t="str">
        <f>IFERROR(__xludf.DUMMYFUNCTION("""COMPUTED_VALUE"""),"لیلة القدر")</f>
        <v>لیلة القدر</v>
      </c>
      <c r="D6488" s="5" t="str">
        <f>IFERROR(__xludf.DUMMYFUNCTION("""COMPUTED_VALUE"""),"قم")</f>
        <v>قم</v>
      </c>
      <c r="E6488" s="5" t="str">
        <f>IFERROR(__xludf.DUMMYFUNCTION("""COMPUTED_VALUE"""),"قم")</f>
        <v>قم</v>
      </c>
      <c r="F6488" s="5"/>
      <c r="G6488" s="5">
        <f>IFERROR(__xludf.DUMMYFUNCTION("""COMPUTED_VALUE"""),45794.0)</f>
        <v>45794</v>
      </c>
      <c r="H6488" s="6" t="str">
        <f>IFERROR(__xludf.DUMMYFUNCTION("""COMPUTED_VALUE"""),"https://www.instagram.com/l_ghadr/")</f>
        <v>https://www.instagram.com/l_ghadr/</v>
      </c>
      <c r="I6488" s="6" t="str">
        <f>IFERROR(__xludf.DUMMYFUNCTION("""COMPUTED_VALUE"""),"https://t.me/l_ghadr")</f>
        <v>https://t.me/l_ghadr</v>
      </c>
      <c r="J6488" s="5"/>
      <c r="K6488" s="5"/>
      <c r="L6488" s="5"/>
      <c r="M6488" s="5"/>
      <c r="N6488" s="5"/>
      <c r="O6488" s="5"/>
      <c r="P6488" s="5"/>
      <c r="Q6488" s="5"/>
      <c r="R6488" s="5"/>
      <c r="S6488" s="5"/>
    </row>
    <row r="6489">
      <c r="A6489" s="5">
        <f>IFERROR(__xludf.DUMMYFUNCTION("""COMPUTED_VALUE"""),10925.0)</f>
        <v>10925</v>
      </c>
      <c r="B6489" s="5" t="str">
        <f>IFERROR(__xludf.DUMMYFUNCTION("""COMPUTED_VALUE"""),"هیأت")</f>
        <v>هیأت</v>
      </c>
      <c r="C6489" s="5" t="str">
        <f>IFERROR(__xludf.DUMMYFUNCTION("""COMPUTED_VALUE"""),"یازهرا(س)")</f>
        <v>یازهرا(س)</v>
      </c>
      <c r="D6489" s="5" t="str">
        <f>IFERROR(__xludf.DUMMYFUNCTION("""COMPUTED_VALUE"""),"قم")</f>
        <v>قم</v>
      </c>
      <c r="E6489" s="5" t="str">
        <f>IFERROR(__xludf.DUMMYFUNCTION("""COMPUTED_VALUE"""),"قم")</f>
        <v>قم</v>
      </c>
      <c r="F6489" s="5"/>
      <c r="G6489" s="5">
        <f>IFERROR(__xludf.DUMMYFUNCTION("""COMPUTED_VALUE"""),45794.0)</f>
        <v>45794</v>
      </c>
      <c r="H6489" s="6" t="str">
        <f>IFERROR(__xludf.DUMMYFUNCTION("""COMPUTED_VALUE"""),"https://www.instagram.com/heyatyazahra.ir/")</f>
        <v>https://www.instagram.com/heyatyazahra.ir/</v>
      </c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</row>
    <row r="6490">
      <c r="A6490" s="5">
        <f>IFERROR(__xludf.DUMMYFUNCTION("""COMPUTED_VALUE"""),33177.0)</f>
        <v>33177</v>
      </c>
      <c r="B6490" s="5" t="str">
        <f>IFERROR(__xludf.DUMMYFUNCTION("""COMPUTED_VALUE"""),"هیأت")</f>
        <v>هیأت</v>
      </c>
      <c r="C6490" s="5" t="str">
        <f>IFERROR(__xludf.DUMMYFUNCTION("""COMPUTED_VALUE"""),"متوسلین به حضرت علی اصغر (ع)")</f>
        <v>متوسلین به حضرت علی اصغر (ع)</v>
      </c>
      <c r="D6490" s="5" t="str">
        <f>IFERROR(__xludf.DUMMYFUNCTION("""COMPUTED_VALUE"""),"قم")</f>
        <v>قم</v>
      </c>
      <c r="E6490" s="5" t="str">
        <f>IFERROR(__xludf.DUMMYFUNCTION("""COMPUTED_VALUE"""),"قم")</f>
        <v>قم</v>
      </c>
      <c r="F6490" s="5"/>
      <c r="G6490" s="5">
        <f>IFERROR(__xludf.DUMMYFUNCTION("""COMPUTED_VALUE"""),45795.0)</f>
        <v>45795</v>
      </c>
      <c r="H6490" s="5"/>
      <c r="I6490" s="5"/>
      <c r="J6490" s="6" t="str">
        <f>IFERROR(__xludf.DUMMYFUNCTION("""COMPUTED_VALUE"""),"https://eitaa.com/haliasghar")</f>
        <v>https://eitaa.com/haliasghar</v>
      </c>
      <c r="K6490" s="5"/>
      <c r="L6490" s="5"/>
      <c r="M6490" s="5"/>
      <c r="N6490" s="5"/>
      <c r="O6490" s="5"/>
      <c r="P6490" s="5"/>
      <c r="Q6490" s="5"/>
      <c r="R6490" s="5"/>
      <c r="S6490" s="5"/>
    </row>
    <row r="6491">
      <c r="A6491" s="5"/>
      <c r="B6491" s="5" t="str">
        <f>IFERROR(__xludf.DUMMYFUNCTION("""COMPUTED_VALUE"""),"هیأت")</f>
        <v>هیأت</v>
      </c>
      <c r="C6491" s="5" t="str">
        <f>IFERROR(__xludf.DUMMYFUNCTION("""COMPUTED_VALUE"""),"منتظر المهدی")</f>
        <v>منتظر المهدی</v>
      </c>
      <c r="D6491" s="5" t="str">
        <f>IFERROR(__xludf.DUMMYFUNCTION("""COMPUTED_VALUE"""),"قم")</f>
        <v>قم</v>
      </c>
      <c r="E6491" s="5" t="str">
        <f>IFERROR(__xludf.DUMMYFUNCTION("""COMPUTED_VALUE"""),"قم")</f>
        <v>قم</v>
      </c>
      <c r="F6491" s="5"/>
      <c r="G6491" s="5">
        <f>IFERROR(__xludf.DUMMYFUNCTION("""COMPUTED_VALUE"""),45795.0)</f>
        <v>45795</v>
      </c>
      <c r="H6491" s="6" t="str">
        <f>IFERROR(__xludf.DUMMYFUNCTION("""COMPUTED_VALUE"""),"https://www.instagram.com/vetr.info")</f>
        <v>https://www.instagram.com/vetr.info</v>
      </c>
      <c r="I6491" s="6" t="str">
        <f>IFERROR(__xludf.DUMMYFUNCTION("""COMPUTED_VALUE"""),"https://t.me/vetrinfo_channel")</f>
        <v>https://t.me/vetrinfo_channel</v>
      </c>
      <c r="J6491" s="6" t="str">
        <f>IFERROR(__xludf.DUMMYFUNCTION("""COMPUTED_VALUE"""),"https://eitaa.com/vetrinfo_channel")</f>
        <v>https://eitaa.com/vetrinfo_channel</v>
      </c>
      <c r="K6491" s="5"/>
      <c r="L6491" s="5"/>
      <c r="M6491" s="5"/>
      <c r="N6491" s="5"/>
      <c r="O6491" s="5"/>
      <c r="P6491" s="5"/>
      <c r="Q6491" s="5"/>
      <c r="R6491" s="5"/>
      <c r="S6491" s="5"/>
    </row>
    <row r="6492">
      <c r="A6492" s="5"/>
      <c r="B6492" s="5" t="str">
        <f>IFERROR(__xludf.DUMMYFUNCTION("""COMPUTED_VALUE"""),"هیأت")</f>
        <v>هیأت</v>
      </c>
      <c r="C6492" s="5" t="str">
        <f>IFERROR(__xludf.DUMMYFUNCTION("""COMPUTED_VALUE"""),"شنبه های ام البنینی")</f>
        <v>شنبه های ام البنینی</v>
      </c>
      <c r="D6492" s="5" t="str">
        <f>IFERROR(__xludf.DUMMYFUNCTION("""COMPUTED_VALUE"""),"قم")</f>
        <v>قم</v>
      </c>
      <c r="E6492" s="5" t="str">
        <f>IFERROR(__xludf.DUMMYFUNCTION("""COMPUTED_VALUE"""),"قم")</f>
        <v>قم</v>
      </c>
      <c r="F6492" s="5"/>
      <c r="G6492" s="5">
        <f>IFERROR(__xludf.DUMMYFUNCTION("""COMPUTED_VALUE"""),45796.0)</f>
        <v>45796</v>
      </c>
      <c r="H6492" s="6" t="str">
        <f>IFERROR(__xludf.DUMMYFUNCTION("""COMPUTED_VALUE"""),"https://www.instagram.com/khademin_behesht")</f>
        <v>https://www.instagram.com/khademin_behesht</v>
      </c>
      <c r="I6492" s="6" t="str">
        <f>IFERROR(__xludf.DUMMYFUNCTION("""COMPUTED_VALUE"""),"https://www.instagram.com/jannat.info/")</f>
        <v>https://www.instagram.com/jannat.info/</v>
      </c>
      <c r="J6492" s="5"/>
      <c r="K6492" s="5"/>
      <c r="L6492" s="5"/>
      <c r="M6492" s="5"/>
      <c r="N6492" s="5"/>
      <c r="O6492" s="5"/>
      <c r="P6492" s="5"/>
      <c r="Q6492" s="5"/>
      <c r="R6492" s="5"/>
      <c r="S6492" s="5"/>
    </row>
    <row r="6493">
      <c r="A6493" s="5"/>
      <c r="B6493" s="5" t="str">
        <f>IFERROR(__xludf.DUMMYFUNCTION("""COMPUTED_VALUE"""),"هیأت")</f>
        <v>هیأت</v>
      </c>
      <c r="C6493" s="5" t="str">
        <f>IFERROR(__xludf.DUMMYFUNCTION("""COMPUTED_VALUE"""),"شباب الحسین موکب اهالی کربلا")</f>
        <v>شباب الحسین موکب اهالی کربلا</v>
      </c>
      <c r="D6493" s="5" t="str">
        <f>IFERROR(__xludf.DUMMYFUNCTION("""COMPUTED_VALUE"""),"قم")</f>
        <v>قم</v>
      </c>
      <c r="E6493" s="5" t="str">
        <f>IFERROR(__xludf.DUMMYFUNCTION("""COMPUTED_VALUE"""),"قم")</f>
        <v>قم</v>
      </c>
      <c r="F6493" s="5"/>
      <c r="G6493" s="5">
        <f>IFERROR(__xludf.DUMMYFUNCTION("""COMPUTED_VALUE"""),45828.0)</f>
        <v>45828</v>
      </c>
      <c r="H6493" s="6" t="str">
        <f>IFERROR(__xludf.DUMMYFUNCTION("""COMPUTED_VALUE"""),"https://www.instagram.com/shabab_al_hosein/")</f>
        <v>https://www.instagram.com/shabab_al_hosein/</v>
      </c>
      <c r="I6493" s="6" t="str">
        <f>IFERROR(__xludf.DUMMYFUNCTION("""COMPUTED_VALUE"""),"https://t.me/shabab_al_hosein")</f>
        <v>https://t.me/shabab_al_hosein</v>
      </c>
      <c r="J6493" s="5"/>
      <c r="K6493" s="5"/>
      <c r="L6493" s="5"/>
      <c r="M6493" s="5"/>
      <c r="N6493" s="5"/>
      <c r="O6493" s="5"/>
      <c r="P6493" s="5"/>
      <c r="Q6493" s="5"/>
      <c r="R6493" s="5"/>
      <c r="S6493" s="5"/>
    </row>
    <row r="6494">
      <c r="A6494" s="5"/>
      <c r="B6494" s="5" t="str">
        <f>IFERROR(__xludf.DUMMYFUNCTION("""COMPUTED_VALUE"""),"هیأت")</f>
        <v>هیأت</v>
      </c>
      <c r="C6494" s="5" t="str">
        <f>IFERROR(__xludf.DUMMYFUNCTION("""COMPUTED_VALUE"""),"غمخانه بی بی شهربانو")</f>
        <v>غمخانه بی بی شهربانو</v>
      </c>
      <c r="D6494" s="5" t="str">
        <f>IFERROR(__xludf.DUMMYFUNCTION("""COMPUTED_VALUE"""),"قم")</f>
        <v>قم</v>
      </c>
      <c r="E6494" s="5" t="str">
        <f>IFERROR(__xludf.DUMMYFUNCTION("""COMPUTED_VALUE"""),"قم")</f>
        <v>قم</v>
      </c>
      <c r="F6494" s="5"/>
      <c r="G6494" s="5">
        <f>IFERROR(__xludf.DUMMYFUNCTION("""COMPUTED_VALUE"""),45828.0)</f>
        <v>45828</v>
      </c>
      <c r="H6494" s="6" t="str">
        <f>IFERROR(__xludf.DUMMYFUNCTION("""COMPUTED_VALUE"""),"https://www.instagram.com/ghamkhanehqom")</f>
        <v>https://www.instagram.com/ghamkhanehqom</v>
      </c>
      <c r="I6494" s="6" t="str">
        <f>IFERROR(__xludf.DUMMYFUNCTION("""COMPUTED_VALUE"""),"https://t.me/Ghamkhanehqom")</f>
        <v>https://t.me/Ghamkhanehqom</v>
      </c>
      <c r="J6494" s="6" t="str">
        <f>IFERROR(__xludf.DUMMYFUNCTION("""COMPUTED_VALUE"""),"https://eitaa.com/ghamkhaneh_qom")</f>
        <v>https://eitaa.com/ghamkhaneh_qom</v>
      </c>
      <c r="K6494" s="5"/>
      <c r="L6494" s="5"/>
      <c r="M6494" s="5"/>
      <c r="N6494" s="5"/>
      <c r="O6494" s="5"/>
      <c r="P6494" s="5"/>
      <c r="Q6494" s="5"/>
      <c r="R6494" s="5"/>
      <c r="S6494" s="5"/>
    </row>
    <row r="6495">
      <c r="A6495" s="5">
        <f>IFERROR(__xludf.DUMMYFUNCTION("""COMPUTED_VALUE"""),29355.0)</f>
        <v>29355</v>
      </c>
      <c r="B6495" s="5" t="str">
        <f>IFERROR(__xludf.DUMMYFUNCTION("""COMPUTED_VALUE"""),"هیأت")</f>
        <v>هیأت</v>
      </c>
      <c r="C6495" s="5" t="str">
        <f>IFERROR(__xludf.DUMMYFUNCTION("""COMPUTED_VALUE"""),"منتظرالمهدی (عج)")</f>
        <v>منتظرالمهدی (عج)</v>
      </c>
      <c r="D6495" s="5" t="str">
        <f>IFERROR(__xludf.DUMMYFUNCTION("""COMPUTED_VALUE"""),"قم")</f>
        <v>قم</v>
      </c>
      <c r="E6495" s="5" t="str">
        <f>IFERROR(__xludf.DUMMYFUNCTION("""COMPUTED_VALUE"""),"قم")</f>
        <v>قم</v>
      </c>
      <c r="F6495" s="5"/>
      <c r="G6495" s="5">
        <f>IFERROR(__xludf.DUMMYFUNCTION("""COMPUTED_VALUE"""),45861.0)</f>
        <v>45861</v>
      </c>
      <c r="H6495" s="5"/>
      <c r="I6495" s="5"/>
      <c r="J6495" s="6" t="str">
        <f>IFERROR(__xludf.DUMMYFUNCTION("""COMPUTED_VALUE"""),"https://eitaa.com/h_montazeralmahdi")</f>
        <v>https://eitaa.com/h_montazeralmahdi</v>
      </c>
      <c r="K6495" s="5"/>
      <c r="L6495" s="5"/>
      <c r="M6495" s="5"/>
      <c r="N6495" s="5"/>
      <c r="O6495" s="5"/>
      <c r="P6495" s="5"/>
      <c r="Q6495" s="5"/>
      <c r="R6495" s="5"/>
      <c r="S6495" s="5"/>
    </row>
    <row r="6496">
      <c r="A6496" s="5">
        <f>IFERROR(__xludf.DUMMYFUNCTION("""COMPUTED_VALUE"""),27519.0)</f>
        <v>27519</v>
      </c>
      <c r="B6496" s="5" t="str">
        <f>IFERROR(__xludf.DUMMYFUNCTION("""COMPUTED_VALUE"""),"هیأت")</f>
        <v>هیأت</v>
      </c>
      <c r="C6496" s="5" t="str">
        <f>IFERROR(__xludf.DUMMYFUNCTION("""COMPUTED_VALUE"""),"قرارگاه فرهنگی پیر غلامان امام حسین ع قم")</f>
        <v>قرارگاه فرهنگی پیر غلامان امام حسین ع قم</v>
      </c>
      <c r="D6496" s="5" t="str">
        <f>IFERROR(__xludf.DUMMYFUNCTION("""COMPUTED_VALUE"""),"قم")</f>
        <v>قم</v>
      </c>
      <c r="E6496" s="5" t="str">
        <f>IFERROR(__xludf.DUMMYFUNCTION("""COMPUTED_VALUE"""),"قم")</f>
        <v>قم</v>
      </c>
      <c r="F6496" s="5"/>
      <c r="G6496" s="5"/>
      <c r="H6496" s="5"/>
      <c r="I6496" s="5"/>
      <c r="J6496" s="6" t="str">
        <f>IFERROR(__xludf.DUMMYFUNCTION("""COMPUTED_VALUE"""),"https://eitaa.com/emame_hosein")</f>
        <v>https://eitaa.com/emame_hosein</v>
      </c>
      <c r="K6496" s="5"/>
      <c r="L6496" s="5"/>
      <c r="M6496" s="5"/>
      <c r="N6496" s="5"/>
      <c r="O6496" s="5"/>
      <c r="P6496" s="5"/>
      <c r="Q6496" s="5"/>
      <c r="R6496" s="5"/>
      <c r="S6496" s="5"/>
    </row>
    <row r="6497">
      <c r="A6497" s="5">
        <f>IFERROR(__xludf.DUMMYFUNCTION("""COMPUTED_VALUE"""),26411.0)</f>
        <v>26411</v>
      </c>
      <c r="B6497" s="5" t="str">
        <f>IFERROR(__xludf.DUMMYFUNCTION("""COMPUTED_VALUE"""),"اطلاع رسانی")</f>
        <v>اطلاع رسانی</v>
      </c>
      <c r="C6497" s="5" t="str">
        <f>IFERROR(__xludf.DUMMYFUNCTION("""COMPUTED_VALUE"""),"هیئات دانش آموزی")</f>
        <v>هیئات دانش آموزی</v>
      </c>
      <c r="D6497" s="5" t="str">
        <f>IFERROR(__xludf.DUMMYFUNCTION("""COMPUTED_VALUE"""),"قم")</f>
        <v>قم</v>
      </c>
      <c r="E6497" s="5" t="str">
        <f>IFERROR(__xludf.DUMMYFUNCTION("""COMPUTED_VALUE"""),"قم")</f>
        <v>قم</v>
      </c>
      <c r="F6497" s="5"/>
      <c r="G6497" s="5"/>
      <c r="H6497" s="5"/>
      <c r="I6497" s="5"/>
      <c r="J6497" s="6" t="str">
        <f>IFERROR(__xludf.DUMMYFUNCTION("""COMPUTED_VALUE"""),"https://eitaa.com/hkeimeh")</f>
        <v>https://eitaa.com/hkeimeh</v>
      </c>
      <c r="K6497" s="5"/>
      <c r="L6497" s="5"/>
      <c r="M6497" s="5"/>
      <c r="N6497" s="5"/>
      <c r="O6497" s="5"/>
      <c r="P6497" s="5"/>
      <c r="Q6497" s="5"/>
      <c r="R6497" s="5"/>
      <c r="S6497" s="5"/>
    </row>
    <row r="6498">
      <c r="A6498" s="5"/>
      <c r="B6498" s="5" t="str">
        <f>IFERROR(__xludf.DUMMYFUNCTION("""COMPUTED_VALUE"""),"هیأت")</f>
        <v>هیأت</v>
      </c>
      <c r="C6498" s="5" t="str">
        <f>IFERROR(__xludf.DUMMYFUNCTION("""COMPUTED_VALUE"""),"مکتب العباس")</f>
        <v>مکتب العباس</v>
      </c>
      <c r="D6498" s="5" t="str">
        <f>IFERROR(__xludf.DUMMYFUNCTION("""COMPUTED_VALUE"""),"قم")</f>
        <v>قم</v>
      </c>
      <c r="E6498" s="5" t="str">
        <f>IFERROR(__xludf.DUMMYFUNCTION("""COMPUTED_VALUE"""),"قم")</f>
        <v>قم</v>
      </c>
      <c r="F6498" s="5"/>
      <c r="G6498" s="5"/>
      <c r="H6498" s="6" t="str">
        <f>IFERROR(__xludf.DUMMYFUNCTION("""COMPUTED_VALUE"""),"https://www.instagram.com/maktab_abbas_media/")</f>
        <v>https://www.instagram.com/maktab_abbas_media/</v>
      </c>
      <c r="I6498" s="6" t="str">
        <f>IFERROR(__xludf.DUMMYFUNCTION("""COMPUTED_VALUE"""),"https://t.me/maktab_abbas_qom")</f>
        <v>https://t.me/maktab_abbas_qom</v>
      </c>
      <c r="J6498" s="6" t="str">
        <f>IFERROR(__xludf.DUMMYFUNCTION("""COMPUTED_VALUE"""),"https://www.instagram.com/maktab_abbas_qom/")</f>
        <v>https://www.instagram.com/maktab_abbas_qom/</v>
      </c>
      <c r="K6498" s="5"/>
      <c r="L6498" s="5"/>
      <c r="M6498" s="5"/>
      <c r="N6498" s="5"/>
      <c r="O6498" s="5"/>
      <c r="P6498" s="5"/>
      <c r="Q6498" s="5"/>
      <c r="R6498" s="5"/>
      <c r="S6498" s="5"/>
    </row>
    <row r="6499">
      <c r="A6499" s="5">
        <f>IFERROR(__xludf.DUMMYFUNCTION("""COMPUTED_VALUE"""),23896.0)</f>
        <v>23896</v>
      </c>
      <c r="B6499" s="5" t="str">
        <f>IFERROR(__xludf.DUMMYFUNCTION("""COMPUTED_VALUE"""),"دانش آموزی")</f>
        <v>دانش آموزی</v>
      </c>
      <c r="C6499" s="5" t="str">
        <f>IFERROR(__xludf.DUMMYFUNCTION("""COMPUTED_VALUE"""),"انصارالمهدی (عج) ( دانش آموزی )")</f>
        <v>انصارالمهدی (عج) ( دانش آموزی )</v>
      </c>
      <c r="D6499" s="5" t="str">
        <f>IFERROR(__xludf.DUMMYFUNCTION("""COMPUTED_VALUE"""),"قم")</f>
        <v>قم</v>
      </c>
      <c r="E6499" s="5" t="str">
        <f>IFERROR(__xludf.DUMMYFUNCTION("""COMPUTED_VALUE"""),"قم")</f>
        <v>قم</v>
      </c>
      <c r="F6499" s="5"/>
      <c r="G6499" s="5"/>
      <c r="H6499" s="6" t="str">
        <f>IFERROR(__xludf.DUMMYFUNCTION("""COMPUTED_VALUE"""),"https://www.instagram.com/ansariha_qom")</f>
        <v>https://www.instagram.com/ansariha_qom</v>
      </c>
      <c r="I6499" s="5"/>
      <c r="J6499" s="6" t="str">
        <f>IFERROR(__xludf.DUMMYFUNCTION("""COMPUTED_VALUE"""),"https://eitaa.com/ansariha_qom")</f>
        <v>https://eitaa.com/ansariha_qom</v>
      </c>
      <c r="K6499" s="5"/>
      <c r="L6499" s="5"/>
      <c r="M6499" s="5"/>
      <c r="N6499" s="5"/>
      <c r="O6499" s="5"/>
      <c r="P6499" s="5"/>
      <c r="Q6499" s="5"/>
      <c r="R6499" s="5"/>
      <c r="S6499" s="5"/>
    </row>
    <row r="6500">
      <c r="A6500" s="5"/>
      <c r="B6500" s="5" t="str">
        <f>IFERROR(__xludf.DUMMYFUNCTION("""COMPUTED_VALUE"""),"هیأت")</f>
        <v>هیأت</v>
      </c>
      <c r="C6500" s="5" t="str">
        <f>IFERROR(__xludf.DUMMYFUNCTION("""COMPUTED_VALUE"""),"حضرت رقیه")</f>
        <v>حضرت رقیه</v>
      </c>
      <c r="D6500" s="5" t="str">
        <f>IFERROR(__xludf.DUMMYFUNCTION("""COMPUTED_VALUE"""),"قم")</f>
        <v>قم</v>
      </c>
      <c r="E6500" s="5" t="str">
        <f>IFERROR(__xludf.DUMMYFUNCTION("""COMPUTED_VALUE"""),"قم")</f>
        <v>قم</v>
      </c>
      <c r="F6500" s="5"/>
      <c r="G6500" s="5"/>
      <c r="H6500" s="6" t="str">
        <f>IFERROR(__xludf.DUMMYFUNCTION("""COMPUTED_VALUE"""),"https://www.instagram.com/moazam.hazrat.roghaieh/")</f>
        <v>https://www.instagram.com/moazam.hazrat.roghaieh/</v>
      </c>
      <c r="I6500" s="6" t="str">
        <f>IFERROR(__xludf.DUMMYFUNCTION("""COMPUTED_VALUE"""),"https://t.me/roghai")</f>
        <v>https://t.me/roghai</v>
      </c>
      <c r="J6500" s="5"/>
      <c r="K6500" s="5"/>
      <c r="L6500" s="5"/>
      <c r="M6500" s="5"/>
      <c r="N6500" s="5"/>
      <c r="O6500" s="5"/>
      <c r="P6500" s="5"/>
      <c r="Q6500" s="5"/>
      <c r="R6500" s="5"/>
      <c r="S6500" s="5"/>
    </row>
    <row r="6501">
      <c r="A6501" s="5"/>
      <c r="B6501" s="5" t="str">
        <f>IFERROR(__xludf.DUMMYFUNCTION("""COMPUTED_VALUE"""),"هیأت")</f>
        <v>هیأت</v>
      </c>
      <c r="C6501" s="5" t="str">
        <f>IFERROR(__xludf.DUMMYFUNCTION("""COMPUTED_VALUE"""),"شباب المهدی")</f>
        <v>شباب المهدی</v>
      </c>
      <c r="D6501" s="5" t="str">
        <f>IFERROR(__xludf.DUMMYFUNCTION("""COMPUTED_VALUE"""),"قم")</f>
        <v>قم</v>
      </c>
      <c r="E6501" s="5" t="str">
        <f>IFERROR(__xludf.DUMMYFUNCTION("""COMPUTED_VALUE"""),"قم")</f>
        <v>قم</v>
      </c>
      <c r="F6501" s="5"/>
      <c r="G6501" s="5"/>
      <c r="H6501" s="6" t="str">
        <f>IFERROR(__xludf.DUMMYFUNCTION("""COMPUTED_VALUE"""),"https://www.instagram.com/shabab_almahdi")</f>
        <v>https://www.instagram.com/shabab_almahdi</v>
      </c>
      <c r="I6501" s="6" t="str">
        <f>IFERROR(__xludf.DUMMYFUNCTION("""COMPUTED_VALUE"""),"https://t.me/shabab_almahdi")</f>
        <v>https://t.me/shabab_almahdi</v>
      </c>
      <c r="J6501" s="5"/>
      <c r="K6501" s="5"/>
      <c r="L6501" s="5"/>
      <c r="M6501" s="5"/>
      <c r="N6501" s="5"/>
      <c r="O6501" s="5"/>
      <c r="P6501" s="5"/>
      <c r="Q6501" s="5"/>
      <c r="R6501" s="5"/>
      <c r="S6501" s="5"/>
    </row>
    <row r="6502">
      <c r="A6502" s="5"/>
      <c r="B6502" s="5" t="str">
        <f>IFERROR(__xludf.DUMMYFUNCTION("""COMPUTED_VALUE"""),"هیأت")</f>
        <v>هیأت</v>
      </c>
      <c r="C6502" s="5" t="str">
        <f>IFERROR(__xludf.DUMMYFUNCTION("""COMPUTED_VALUE"""),"شبفتگان حضرت رقیه")</f>
        <v>شبفتگان حضرت رقیه</v>
      </c>
      <c r="D6502" s="5" t="str">
        <f>IFERROR(__xludf.DUMMYFUNCTION("""COMPUTED_VALUE"""),"قم")</f>
        <v>قم</v>
      </c>
      <c r="E6502" s="5" t="str">
        <f>IFERROR(__xludf.DUMMYFUNCTION("""COMPUTED_VALUE"""),"قم")</f>
        <v>قم</v>
      </c>
      <c r="F6502" s="5"/>
      <c r="G6502" s="5"/>
      <c r="H6502" s="6" t="str">
        <f>IFERROR(__xludf.DUMMYFUNCTION("""COMPUTED_VALUE"""),"https://www.instagram.com/shiftegan315qom/")</f>
        <v>https://www.instagram.com/shiftegan315qom/</v>
      </c>
      <c r="I6502" s="6" t="str">
        <f>IFERROR(__xludf.DUMMYFUNCTION("""COMPUTED_VALUE"""),"https://t.me/Shiftegan315qom")</f>
        <v>https://t.me/Shiftegan315qom</v>
      </c>
      <c r="J6502" s="6" t="str">
        <f>IFERROR(__xludf.DUMMYFUNCTION("""COMPUTED_VALUE"""),"https://eitaa.com/Shiftegan315qom")</f>
        <v>https://eitaa.com/Shiftegan315qom</v>
      </c>
      <c r="K6502" s="5"/>
      <c r="L6502" s="5"/>
      <c r="M6502" s="5"/>
      <c r="N6502" s="5"/>
      <c r="O6502" s="5"/>
      <c r="P6502" s="5"/>
      <c r="Q6502" s="5"/>
      <c r="R6502" s="5"/>
      <c r="S6502" s="5"/>
    </row>
    <row r="6503">
      <c r="A6503" s="5">
        <f>IFERROR(__xludf.DUMMYFUNCTION("""COMPUTED_VALUE"""),10633.0)</f>
        <v>10633</v>
      </c>
      <c r="B6503" s="5" t="str">
        <f>IFERROR(__xludf.DUMMYFUNCTION("""COMPUTED_VALUE"""),"هیأت")</f>
        <v>هیأت</v>
      </c>
      <c r="C6503" s="5" t="str">
        <f>IFERROR(__xludf.DUMMYFUNCTION("""COMPUTED_VALUE"""),"کف العباس(ع)")</f>
        <v>کف العباس(ع)</v>
      </c>
      <c r="D6503" s="5" t="str">
        <f>IFERROR(__xludf.DUMMYFUNCTION("""COMPUTED_VALUE"""),"قم")</f>
        <v>قم</v>
      </c>
      <c r="E6503" s="5" t="str">
        <f>IFERROR(__xludf.DUMMYFUNCTION("""COMPUTED_VALUE"""),"قم")</f>
        <v>قم</v>
      </c>
      <c r="F6503" s="5"/>
      <c r="G6503" s="5"/>
      <c r="H6503" s="6" t="str">
        <f>IFERROR(__xludf.DUMMYFUNCTION("""COMPUTED_VALUE"""),"https://www.instagram.com/kaf.abbas/")</f>
        <v>https://www.instagram.com/kaf.abbas/</v>
      </c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</row>
    <row r="6504">
      <c r="A6504" s="5">
        <f>IFERROR(__xludf.DUMMYFUNCTION("""COMPUTED_VALUE"""),27512.0)</f>
        <v>27512</v>
      </c>
      <c r="B6504" s="5" t="str">
        <f>IFERROR(__xludf.DUMMYFUNCTION("""COMPUTED_VALUE"""),"هیأت")</f>
        <v>هیأت</v>
      </c>
      <c r="C6504" s="5" t="str">
        <f>IFERROR(__xludf.DUMMYFUNCTION("""COMPUTED_VALUE"""),"حسینیه سیدالشهدا _ آذربایجانیهای مقیم قم")</f>
        <v>حسینیه سیدالشهدا _ آذربایجانیهای مقیم قم</v>
      </c>
      <c r="D6504" s="5" t="str">
        <f>IFERROR(__xludf.DUMMYFUNCTION("""COMPUTED_VALUE"""),"قم")</f>
        <v>قم</v>
      </c>
      <c r="E6504" s="5" t="str">
        <f>IFERROR(__xludf.DUMMYFUNCTION("""COMPUTED_VALUE"""),"قم")</f>
        <v>قم</v>
      </c>
      <c r="F6504" s="5"/>
      <c r="G6504" s="5"/>
      <c r="H6504" s="5"/>
      <c r="I6504" s="5"/>
      <c r="J6504" s="6" t="str">
        <f>IFERROR(__xludf.DUMMYFUNCTION("""COMPUTED_VALUE"""),"https://eitaa.com/arasgoni")</f>
        <v>https://eitaa.com/arasgoni</v>
      </c>
      <c r="K6504" s="5"/>
      <c r="L6504" s="5"/>
      <c r="M6504" s="5"/>
      <c r="N6504" s="5"/>
      <c r="O6504" s="5"/>
      <c r="P6504" s="5"/>
      <c r="Q6504" s="5"/>
      <c r="R6504" s="5"/>
      <c r="S6504" s="5"/>
    </row>
    <row r="6505">
      <c r="A6505" s="5"/>
      <c r="B6505" s="5" t="str">
        <f>IFERROR(__xludf.DUMMYFUNCTION("""COMPUTED_VALUE"""),"هیأت")</f>
        <v>هیأت</v>
      </c>
      <c r="C6505" s="5" t="str">
        <f>IFERROR(__xludf.DUMMYFUNCTION("""COMPUTED_VALUE"""),"سران به نی")</f>
        <v>سران به نی</v>
      </c>
      <c r="D6505" s="5" t="str">
        <f>IFERROR(__xludf.DUMMYFUNCTION("""COMPUTED_VALUE"""),"قم")</f>
        <v>قم</v>
      </c>
      <c r="E6505" s="5" t="str">
        <f>IFERROR(__xludf.DUMMYFUNCTION("""COMPUTED_VALUE"""),"قم")</f>
        <v>قم</v>
      </c>
      <c r="F6505" s="5"/>
      <c r="G6505" s="5"/>
      <c r="H6505" s="6" t="str">
        <f>IFERROR(__xludf.DUMMYFUNCTION("""COMPUTED_VALUE"""),"https://www.instagram.com/saran.be.ney_qom/")</f>
        <v>https://www.instagram.com/saran.be.ney_qom/</v>
      </c>
      <c r="I6505" s="6" t="str">
        <f>IFERROR(__xludf.DUMMYFUNCTION("""COMPUTED_VALUE"""),"https://t.me/saran_be_ney_qom")</f>
        <v>https://t.me/saran_be_ney_qom</v>
      </c>
      <c r="J6505" s="6" t="str">
        <f>IFERROR(__xludf.DUMMYFUNCTION("""COMPUTED_VALUE"""),"https://eitaa.com/saranbeney59")</f>
        <v>https://eitaa.com/saranbeney59</v>
      </c>
      <c r="K6505" s="5"/>
      <c r="L6505" s="5"/>
      <c r="M6505" s="5"/>
      <c r="N6505" s="5"/>
      <c r="O6505" s="5"/>
      <c r="P6505" s="5"/>
      <c r="Q6505" s="5"/>
      <c r="R6505" s="5"/>
      <c r="S6505" s="5"/>
    </row>
    <row r="6506">
      <c r="A6506" s="5"/>
      <c r="B6506" s="5" t="str">
        <f>IFERROR(__xludf.DUMMYFUNCTION("""COMPUTED_VALUE"""),"مداح")</f>
        <v>مداح</v>
      </c>
      <c r="C6506" s="5" t="str">
        <f>IFERROR(__xludf.DUMMYFUNCTION("""COMPUTED_VALUE"""),"اسلام میرزایی")</f>
        <v>اسلام میرزایی</v>
      </c>
      <c r="D6506" s="5" t="str">
        <f>IFERROR(__xludf.DUMMYFUNCTION("""COMPUTED_VALUE"""),"قم")</f>
        <v>قم</v>
      </c>
      <c r="E6506" s="5" t="str">
        <f>IFERROR(__xludf.DUMMYFUNCTION("""COMPUTED_VALUE"""),"قم")</f>
        <v>قم</v>
      </c>
      <c r="F6506" s="5"/>
      <c r="G6506" s="5"/>
      <c r="H6506" s="6" t="str">
        <f>IFERROR(__xludf.DUMMYFUNCTION("""COMPUTED_VALUE"""),"https://www.instagram.com/eslammirzaei1191/")</f>
        <v>https://www.instagram.com/eslammirzaei1191/</v>
      </c>
      <c r="I6506" s="6" t="str">
        <f>IFERROR(__xludf.DUMMYFUNCTION("""COMPUTED_VALUE"""),"https://t.me/eslam_mirzaei")</f>
        <v>https://t.me/eslam_mirzaei</v>
      </c>
      <c r="J6506" s="5"/>
      <c r="K6506" s="5"/>
      <c r="L6506" s="5"/>
      <c r="M6506" s="5"/>
      <c r="N6506" s="5"/>
      <c r="O6506" s="5"/>
      <c r="P6506" s="5"/>
      <c r="Q6506" s="5"/>
      <c r="R6506" s="5"/>
      <c r="S6506" s="5"/>
    </row>
    <row r="6507">
      <c r="A6507" s="5">
        <f>IFERROR(__xludf.DUMMYFUNCTION("""COMPUTED_VALUE"""),26380.0)</f>
        <v>26380</v>
      </c>
      <c r="B6507" s="5" t="str">
        <f>IFERROR(__xludf.DUMMYFUNCTION("""COMPUTED_VALUE"""),"هیأت")</f>
        <v>هیأت</v>
      </c>
      <c r="C6507" s="5" t="str">
        <f>IFERROR(__xludf.DUMMYFUNCTION("""COMPUTED_VALUE"""),"انصارالزهرا (س)")</f>
        <v>انصارالزهرا (س)</v>
      </c>
      <c r="D6507" s="5" t="str">
        <f>IFERROR(__xludf.DUMMYFUNCTION("""COMPUTED_VALUE"""),"قم")</f>
        <v>قم</v>
      </c>
      <c r="E6507" s="5" t="str">
        <f>IFERROR(__xludf.DUMMYFUNCTION("""COMPUTED_VALUE"""),"قم")</f>
        <v>قم</v>
      </c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</row>
    <row r="6508">
      <c r="A6508" s="5"/>
      <c r="B6508" s="5" t="str">
        <f>IFERROR(__xludf.DUMMYFUNCTION("""COMPUTED_VALUE"""),"مداح")</f>
        <v>مداح</v>
      </c>
      <c r="C6508" s="5" t="str">
        <f>IFERROR(__xludf.DUMMYFUNCTION("""COMPUTED_VALUE"""),"حسن شالبافان")</f>
        <v>حسن شالبافان</v>
      </c>
      <c r="D6508" s="5" t="str">
        <f>IFERROR(__xludf.DUMMYFUNCTION("""COMPUTED_VALUE"""),"قم")</f>
        <v>قم</v>
      </c>
      <c r="E6508" s="5" t="str">
        <f>IFERROR(__xludf.DUMMYFUNCTION("""COMPUTED_VALUE"""),"قم")</f>
        <v>قم</v>
      </c>
      <c r="F6508" s="5"/>
      <c r="G6508" s="5"/>
      <c r="H6508" s="6" t="str">
        <f>IFERROR(__xludf.DUMMYFUNCTION("""COMPUTED_VALUE"""),"https://www.instagram.com/hasan__shalbafan/")</f>
        <v>https://www.instagram.com/hasan__shalbafan/</v>
      </c>
      <c r="I6508" s="6" t="str">
        <f>IFERROR(__xludf.DUMMYFUNCTION("""COMPUTED_VALUE"""),"https://t.me/hasan_shalbafan_118")</f>
        <v>https://t.me/hasan_shalbafan_118</v>
      </c>
      <c r="J6508" s="6" t="str">
        <f>IFERROR(__xludf.DUMMYFUNCTION("""COMPUTED_VALUE"""),"https://eitaa.com/hasanshalbafan110")</f>
        <v>https://eitaa.com/hasanshalbafan110</v>
      </c>
      <c r="K6508" s="5"/>
      <c r="L6508" s="5"/>
      <c r="M6508" s="5"/>
      <c r="N6508" s="5"/>
      <c r="O6508" s="5"/>
      <c r="P6508" s="5"/>
      <c r="Q6508" s="5"/>
      <c r="R6508" s="5"/>
      <c r="S6508" s="5"/>
    </row>
    <row r="6509">
      <c r="A6509" s="5"/>
      <c r="B6509" s="5" t="str">
        <f>IFERROR(__xludf.DUMMYFUNCTION("""COMPUTED_VALUE"""),"مداح")</f>
        <v>مداح</v>
      </c>
      <c r="C6509" s="5" t="str">
        <f>IFERROR(__xludf.DUMMYFUNCTION("""COMPUTED_VALUE"""),"حسن عطایی")</f>
        <v>حسن عطایی</v>
      </c>
      <c r="D6509" s="5" t="str">
        <f>IFERROR(__xludf.DUMMYFUNCTION("""COMPUTED_VALUE"""),"قم")</f>
        <v>قم</v>
      </c>
      <c r="E6509" s="5" t="str">
        <f>IFERROR(__xludf.DUMMYFUNCTION("""COMPUTED_VALUE"""),"قم")</f>
        <v>قم</v>
      </c>
      <c r="F6509" s="5"/>
      <c r="G6509" s="5"/>
      <c r="H6509" s="6" t="str">
        <f>IFERROR(__xludf.DUMMYFUNCTION("""COMPUTED_VALUE"""),"https://www.instagram.com/hassanataie/")</f>
        <v>https://www.instagram.com/hassanataie/</v>
      </c>
      <c r="I6509" s="6" t="str">
        <f>IFERROR(__xludf.DUMMYFUNCTION("""COMPUTED_VALUE"""),"https://t.me/hassanataie1")</f>
        <v>https://t.me/hassanataie1</v>
      </c>
      <c r="J6509" s="6" t="str">
        <f>IFERROR(__xludf.DUMMYFUNCTION("""COMPUTED_VALUE"""),"https://eitaa.com/hassanataie")</f>
        <v>https://eitaa.com/hassanataie</v>
      </c>
      <c r="K6509" s="5"/>
      <c r="L6509" s="5"/>
      <c r="M6509" s="5"/>
      <c r="N6509" s="5"/>
      <c r="O6509" s="5"/>
      <c r="P6509" s="5"/>
      <c r="Q6509" s="5"/>
      <c r="R6509" s="5"/>
      <c r="S6509" s="5"/>
    </row>
    <row r="6510">
      <c r="A6510" s="5">
        <f>IFERROR(__xludf.DUMMYFUNCTION("""COMPUTED_VALUE"""),32674.0)</f>
        <v>32674</v>
      </c>
      <c r="B6510" s="5" t="str">
        <f>IFERROR(__xludf.DUMMYFUNCTION("""COMPUTED_VALUE"""),"هیأت")</f>
        <v>هیأت</v>
      </c>
      <c r="C6510" s="5" t="str">
        <f>IFERROR(__xludf.DUMMYFUNCTION("""COMPUTED_VALUE"""),"زیر گنبد طلا")</f>
        <v>زیر گنبد طلا</v>
      </c>
      <c r="D6510" s="5" t="str">
        <f>IFERROR(__xludf.DUMMYFUNCTION("""COMPUTED_VALUE"""),"قم")</f>
        <v>قم</v>
      </c>
      <c r="E6510" s="5" t="str">
        <f>IFERROR(__xludf.DUMMYFUNCTION("""COMPUTED_VALUE"""),"قم")</f>
        <v>قم</v>
      </c>
      <c r="F6510" s="5"/>
      <c r="G6510" s="5"/>
      <c r="H6510" s="5"/>
      <c r="I6510" s="5"/>
      <c r="J6510" s="6" t="str">
        <f>IFERROR(__xludf.DUMMYFUNCTION("""COMPUTED_VALUE"""),"https://eitaa.com/ziregonbadetala")</f>
        <v>https://eitaa.com/ziregonbadetala</v>
      </c>
      <c r="K6510" s="5"/>
      <c r="L6510" s="5"/>
      <c r="M6510" s="5"/>
      <c r="N6510" s="5"/>
      <c r="O6510" s="5"/>
      <c r="P6510" s="5"/>
      <c r="Q6510" s="5"/>
      <c r="R6510" s="5"/>
      <c r="S6510" s="5"/>
    </row>
    <row r="6511">
      <c r="A6511" s="5"/>
      <c r="B6511" s="5" t="str">
        <f>IFERROR(__xludf.DUMMYFUNCTION("""COMPUTED_VALUE"""),"مداح")</f>
        <v>مداح</v>
      </c>
      <c r="C6511" s="5" t="str">
        <f>IFERROR(__xludf.DUMMYFUNCTION("""COMPUTED_VALUE"""),"سید رضا تحویلدار")</f>
        <v>سید رضا تحویلدار</v>
      </c>
      <c r="D6511" s="5" t="str">
        <f>IFERROR(__xludf.DUMMYFUNCTION("""COMPUTED_VALUE"""),"قم")</f>
        <v>قم</v>
      </c>
      <c r="E6511" s="5" t="str">
        <f>IFERROR(__xludf.DUMMYFUNCTION("""COMPUTED_VALUE"""),"قم")</f>
        <v>قم</v>
      </c>
      <c r="F6511" s="5"/>
      <c r="G6511" s="5"/>
      <c r="H6511" s="6" t="str">
        <f>IFERROR(__xludf.DUMMYFUNCTION("""COMPUTED_VALUE"""),"https://www.instagram.com/seyedrezatahvildar/")</f>
        <v>https://www.instagram.com/seyedrezatahvildar/</v>
      </c>
      <c r="I6511" s="5"/>
      <c r="J6511" s="5"/>
      <c r="K6511" s="5"/>
      <c r="L6511" s="5"/>
      <c r="M6511" s="5"/>
      <c r="N6511" s="5"/>
      <c r="O6511" s="5"/>
      <c r="P6511" s="5"/>
      <c r="Q6511" s="5"/>
      <c r="R6511" s="5"/>
      <c r="S6511" s="5"/>
    </row>
    <row r="6512">
      <c r="A6512" s="5"/>
      <c r="B6512" s="5" t="str">
        <f>IFERROR(__xludf.DUMMYFUNCTION("""COMPUTED_VALUE"""),"مداح")</f>
        <v>مداح</v>
      </c>
      <c r="C6512" s="5" t="str">
        <f>IFERROR(__xludf.DUMMYFUNCTION("""COMPUTED_VALUE"""),"سید مهدی میرداماد")</f>
        <v>سید مهدی میرداماد</v>
      </c>
      <c r="D6512" s="5" t="str">
        <f>IFERROR(__xludf.DUMMYFUNCTION("""COMPUTED_VALUE"""),"قم")</f>
        <v>قم</v>
      </c>
      <c r="E6512" s="5" t="str">
        <f>IFERROR(__xludf.DUMMYFUNCTION("""COMPUTED_VALUE"""),"قم")</f>
        <v>قم</v>
      </c>
      <c r="F6512" s="5"/>
      <c r="G6512" s="5"/>
      <c r="H6512" s="6" t="str">
        <f>IFERROR(__xludf.DUMMYFUNCTION("""COMPUTED_VALUE"""),"https://www.instagram.com/aabes_ir/")</f>
        <v>https://www.instagram.com/aabes_ir/</v>
      </c>
      <c r="I6512" s="6" t="str">
        <f>IFERROR(__xludf.DUMMYFUNCTION("""COMPUTED_VALUE"""),"http://t.me/s_mahdi_mirdamad")</f>
        <v>http://t.me/s_mahdi_mirdamad</v>
      </c>
      <c r="J6512" s="5"/>
      <c r="K6512" s="5"/>
      <c r="L6512" s="6" t="str">
        <f>IFERROR(__xludf.DUMMYFUNCTION("""COMPUTED_VALUE"""),"aabes.ir")</f>
        <v>aabes.ir</v>
      </c>
      <c r="M6512" s="5"/>
      <c r="N6512" s="5"/>
      <c r="O6512" s="5"/>
      <c r="P6512" s="5"/>
      <c r="Q6512" s="5"/>
      <c r="R6512" s="5"/>
      <c r="S6512" s="5"/>
    </row>
    <row r="6513">
      <c r="A6513" s="5"/>
      <c r="B6513" s="5" t="str">
        <f>IFERROR(__xludf.DUMMYFUNCTION("""COMPUTED_VALUE"""),"مداح")</f>
        <v>مداح</v>
      </c>
      <c r="C6513" s="5" t="str">
        <f>IFERROR(__xludf.DUMMYFUNCTION("""COMPUTED_VALUE"""),"علی اکبر حائری")</f>
        <v>علی اکبر حائری</v>
      </c>
      <c r="D6513" s="5" t="str">
        <f>IFERROR(__xludf.DUMMYFUNCTION("""COMPUTED_VALUE"""),"قم")</f>
        <v>قم</v>
      </c>
      <c r="E6513" s="5" t="str">
        <f>IFERROR(__xludf.DUMMYFUNCTION("""COMPUTED_VALUE"""),"قم")</f>
        <v>قم</v>
      </c>
      <c r="F6513" s="5"/>
      <c r="G6513" s="5"/>
      <c r="H6513" s="6" t="str">
        <f>IFERROR(__xludf.DUMMYFUNCTION("""COMPUTED_VALUE"""),"https://www.instagram.com/aliakbarhaeri/")</f>
        <v>https://www.instagram.com/aliakbarhaeri/</v>
      </c>
      <c r="I6513" s="6" t="str">
        <f>IFERROR(__xludf.DUMMYFUNCTION("""COMPUTED_VALUE"""),"https://t.me/ALIAKBARHAERI")</f>
        <v>https://t.me/ALIAKBARHAERI</v>
      </c>
      <c r="J6513" s="6" t="str">
        <f>IFERROR(__xludf.DUMMYFUNCTION("""COMPUTED_VALUE"""),"https://eitaa.com/aliakbarhaeri_info")</f>
        <v>https://eitaa.com/aliakbarhaeri_info</v>
      </c>
      <c r="K6513" s="5"/>
      <c r="L6513" s="5"/>
      <c r="M6513" s="5"/>
      <c r="N6513" s="5"/>
      <c r="O6513" s="5"/>
      <c r="P6513" s="5"/>
      <c r="Q6513" s="5"/>
      <c r="R6513" s="5"/>
      <c r="S6513" s="5"/>
    </row>
    <row r="6514">
      <c r="A6514" s="5"/>
      <c r="B6514" s="5" t="str">
        <f>IFERROR(__xludf.DUMMYFUNCTION("""COMPUTED_VALUE"""),"مداح")</f>
        <v>مداح</v>
      </c>
      <c r="C6514" s="5" t="str">
        <f>IFERROR(__xludf.DUMMYFUNCTION("""COMPUTED_VALUE"""),"علی حبیب زاده")</f>
        <v>علی حبیب زاده</v>
      </c>
      <c r="D6514" s="5" t="str">
        <f>IFERROR(__xludf.DUMMYFUNCTION("""COMPUTED_VALUE"""),"قم")</f>
        <v>قم</v>
      </c>
      <c r="E6514" s="5" t="str">
        <f>IFERROR(__xludf.DUMMYFUNCTION("""COMPUTED_VALUE"""),"قم")</f>
        <v>قم</v>
      </c>
      <c r="F6514" s="5"/>
      <c r="G6514" s="5"/>
      <c r="H6514" s="6" t="str">
        <f>IFERROR(__xludf.DUMMYFUNCTION("""COMPUTED_VALUE"""),"https://www.instagram.com/ali_habibzadeh315/")</f>
        <v>https://www.instagram.com/ali_habibzadeh315/</v>
      </c>
      <c r="I6514" s="6" t="str">
        <f>IFERROR(__xludf.DUMMYFUNCTION("""COMPUTED_VALUE"""),"https://t.me/ali_habibzadeh315")</f>
        <v>https://t.me/ali_habibzadeh315</v>
      </c>
      <c r="J6514" s="5"/>
      <c r="K6514" s="5"/>
      <c r="L6514" s="5"/>
      <c r="M6514" s="5"/>
      <c r="N6514" s="5"/>
      <c r="O6514" s="5"/>
      <c r="P6514" s="5"/>
      <c r="Q6514" s="5"/>
      <c r="R6514" s="5"/>
      <c r="S6514" s="5"/>
    </row>
    <row r="6515">
      <c r="A6515" s="5">
        <f>IFERROR(__xludf.DUMMYFUNCTION("""COMPUTED_VALUE"""),31559.0)</f>
        <v>31559</v>
      </c>
      <c r="B6515" s="5" t="str">
        <f>IFERROR(__xludf.DUMMYFUNCTION("""COMPUTED_VALUE"""),"هیأت")</f>
        <v>هیأت</v>
      </c>
      <c r="C6515" s="5" t="str">
        <f>IFERROR(__xludf.DUMMYFUNCTION("""COMPUTED_VALUE"""),"گروه جهادی خواهران مطاف عشق")</f>
        <v>گروه جهادی خواهران مطاف عشق</v>
      </c>
      <c r="D6515" s="5" t="str">
        <f>IFERROR(__xludf.DUMMYFUNCTION("""COMPUTED_VALUE"""),"قم")</f>
        <v>قم</v>
      </c>
      <c r="E6515" s="5" t="str">
        <f>IFERROR(__xludf.DUMMYFUNCTION("""COMPUTED_VALUE"""),"قم")</f>
        <v>قم</v>
      </c>
      <c r="F6515" s="5"/>
      <c r="G6515" s="5"/>
      <c r="H6515" s="5"/>
      <c r="I6515" s="5"/>
      <c r="J6515" s="5"/>
      <c r="K6515" s="5" t="str">
        <f>IFERROR(__xludf.DUMMYFUNCTION("""COMPUTED_VALUE"""),"-")</f>
        <v>-</v>
      </c>
      <c r="L6515" s="6" t="str">
        <f>IFERROR(__xludf.DUMMYFUNCTION("""COMPUTED_VALUE"""),"havayenoo.ir")</f>
        <v>havayenoo.ir</v>
      </c>
      <c r="M6515" s="5"/>
      <c r="N6515" s="5"/>
      <c r="O6515" s="5"/>
      <c r="P6515" s="5"/>
      <c r="Q6515" s="5"/>
      <c r="R6515" s="5"/>
      <c r="S6515" s="5"/>
    </row>
    <row r="6516">
      <c r="A6516" s="5">
        <f>IFERROR(__xludf.DUMMYFUNCTION("""COMPUTED_VALUE"""),32122.0)</f>
        <v>32122</v>
      </c>
      <c r="B6516" s="5" t="str">
        <f>IFERROR(__xludf.DUMMYFUNCTION("""COMPUTED_VALUE"""),"مجموعه")</f>
        <v>مجموعه</v>
      </c>
      <c r="C6516" s="5" t="str">
        <f>IFERROR(__xludf.DUMMYFUNCTION("""COMPUTED_VALUE"""),"مجموعه ی مقداد (کارهای فرهنگی و رسانه ای نماهنگ)")</f>
        <v>مجموعه ی مقداد (کارهای فرهنگی و رسانه ای نماهنگ)</v>
      </c>
      <c r="D6516" s="5" t="str">
        <f>IFERROR(__xludf.DUMMYFUNCTION("""COMPUTED_VALUE"""),"قم")</f>
        <v>قم</v>
      </c>
      <c r="E6516" s="5" t="str">
        <f>IFERROR(__xludf.DUMMYFUNCTION("""COMPUTED_VALUE"""),"قم")</f>
        <v>قم</v>
      </c>
      <c r="F6516" s="5"/>
      <c r="G6516" s="5"/>
      <c r="H6516" s="6" t="str">
        <f>IFERROR(__xludf.DUMMYFUNCTION("""COMPUTED_VALUE"""),"https://www.instagram.com/meghdadmedia.af/")</f>
        <v>https://www.instagram.com/meghdadmedia.af/</v>
      </c>
      <c r="I6516" s="5"/>
      <c r="J6516" s="6" t="str">
        <f>IFERROR(__xludf.DUMMYFUNCTION("""COMPUTED_VALUE"""),"https://eitaa.com/Meghdadmediaaf")</f>
        <v>https://eitaa.com/Meghdadmediaaf</v>
      </c>
      <c r="K6516" s="5"/>
      <c r="L6516" s="5"/>
      <c r="M6516" s="5"/>
      <c r="N6516" s="5"/>
      <c r="O6516" s="5"/>
      <c r="P6516" s="5"/>
      <c r="Q6516" s="5"/>
      <c r="R6516" s="5"/>
      <c r="S6516" s="5"/>
    </row>
    <row r="6517">
      <c r="A6517" s="5"/>
      <c r="B6517" s="5" t="str">
        <f>IFERROR(__xludf.DUMMYFUNCTION("""COMPUTED_VALUE"""),"مداح")</f>
        <v>مداح</v>
      </c>
      <c r="C6517" s="5" t="str">
        <f>IFERROR(__xludf.DUMMYFUNCTION("""COMPUTED_VALUE"""),"محسن توکلیان")</f>
        <v>محسن توکلیان</v>
      </c>
      <c r="D6517" s="5" t="str">
        <f>IFERROR(__xludf.DUMMYFUNCTION("""COMPUTED_VALUE"""),"قم")</f>
        <v>قم</v>
      </c>
      <c r="E6517" s="5" t="str">
        <f>IFERROR(__xludf.DUMMYFUNCTION("""COMPUTED_VALUE"""),"قم")</f>
        <v>قم</v>
      </c>
      <c r="F6517" s="5"/>
      <c r="G6517" s="5"/>
      <c r="H6517" s="6" t="str">
        <f>IFERROR(__xludf.DUMMYFUNCTION("""COMPUTED_VALUE"""),"https://www.instagram.com/mohsen.tavakolyan/")</f>
        <v>https://www.instagram.com/mohsen.tavakolyan/</v>
      </c>
      <c r="I6517" s="6" t="str">
        <f>IFERROR(__xludf.DUMMYFUNCTION("""COMPUTED_VALUE"""),"https://t.me/mohsentavakolian_channel")</f>
        <v>https://t.me/mohsentavakolian_channel</v>
      </c>
      <c r="J6517" s="5"/>
      <c r="K6517" s="5"/>
      <c r="L6517" s="5"/>
      <c r="M6517" s="5"/>
      <c r="N6517" s="5"/>
      <c r="O6517" s="5"/>
      <c r="P6517" s="5"/>
      <c r="Q6517" s="5"/>
      <c r="R6517" s="5"/>
      <c r="S6517" s="5"/>
    </row>
    <row r="6518">
      <c r="A6518" s="5"/>
      <c r="B6518" s="5" t="str">
        <f>IFERROR(__xludf.DUMMYFUNCTION("""COMPUTED_VALUE"""),"موسسه")</f>
        <v>موسسه</v>
      </c>
      <c r="C6518" s="5" t="str">
        <f>IFERROR(__xludf.DUMMYFUNCTION("""COMPUTED_VALUE"""),"موسسه فرهنگی تبلیغی ثاقب")</f>
        <v>موسسه فرهنگی تبلیغی ثاقب</v>
      </c>
      <c r="D6518" s="5" t="str">
        <f>IFERROR(__xludf.DUMMYFUNCTION("""COMPUTED_VALUE"""),"قم")</f>
        <v>قم</v>
      </c>
      <c r="E6518" s="5" t="str">
        <f>IFERROR(__xludf.DUMMYFUNCTION("""COMPUTED_VALUE"""),"قم")</f>
        <v>قم</v>
      </c>
      <c r="F6518" s="5"/>
      <c r="G6518" s="5"/>
      <c r="H6518" s="5"/>
      <c r="I6518" s="5"/>
      <c r="J6518" s="6" t="str">
        <f>IFERROR(__xludf.DUMMYFUNCTION("""COMPUTED_VALUE"""),"https://eitaa.com/msagheb_ir")</f>
        <v>https://eitaa.com/msagheb_ir</v>
      </c>
      <c r="K6518" s="5"/>
      <c r="L6518" s="5"/>
      <c r="M6518" s="5"/>
      <c r="N6518" s="5"/>
      <c r="O6518" s="5"/>
      <c r="P6518" s="5"/>
      <c r="Q6518" s="5"/>
      <c r="R6518" s="5"/>
      <c r="S6518" s="5"/>
    </row>
    <row r="6519">
      <c r="A6519" s="5"/>
      <c r="B6519" s="5"/>
      <c r="C6519" s="5" t="str">
        <f>IFERROR(__xludf.DUMMYFUNCTION("""COMPUTED_VALUE"""),"مداحی آنلاین")</f>
        <v>مداحی آنلاین</v>
      </c>
      <c r="D6519" s="5" t="str">
        <f>IFERROR(__xludf.DUMMYFUNCTION("""COMPUTED_VALUE"""),"قم")</f>
        <v>قم</v>
      </c>
      <c r="E6519" s="5" t="str">
        <f>IFERROR(__xludf.DUMMYFUNCTION("""COMPUTED_VALUE"""),"قم")</f>
        <v>قم</v>
      </c>
      <c r="F6519" s="5"/>
      <c r="G6519" s="5"/>
      <c r="H6519" s="5"/>
      <c r="I6519" s="5"/>
      <c r="J6519" s="6" t="str">
        <f>IFERROR(__xludf.DUMMYFUNCTION("""COMPUTED_VALUE"""),"https://eitaa.com/maddahionlin")</f>
        <v>https://eitaa.com/maddahionlin</v>
      </c>
      <c r="K6519" s="5"/>
      <c r="L6519" s="5"/>
      <c r="M6519" s="5"/>
      <c r="N6519" s="5"/>
      <c r="O6519" s="5"/>
      <c r="P6519" s="5"/>
      <c r="Q6519" s="5"/>
      <c r="R6519" s="5"/>
      <c r="S6519" s="5"/>
    </row>
    <row r="6520">
      <c r="A6520" s="5"/>
      <c r="B6520" s="5"/>
      <c r="C6520" s="5" t="str">
        <f>IFERROR(__xludf.DUMMYFUNCTION("""COMPUTED_VALUE"""),"عشاق الحسین (محب الحسین)")</f>
        <v>عشاق الحسین (محب الحسین)</v>
      </c>
      <c r="D6520" s="5" t="str">
        <f>IFERROR(__xludf.DUMMYFUNCTION("""COMPUTED_VALUE"""),"قم")</f>
        <v>قم</v>
      </c>
      <c r="E6520" s="5" t="str">
        <f>IFERROR(__xludf.DUMMYFUNCTION("""COMPUTED_VALUE"""),"قم")</f>
        <v>قم</v>
      </c>
      <c r="F6520" s="5"/>
      <c r="G6520" s="5"/>
      <c r="H6520" s="5"/>
      <c r="I6520" s="5"/>
      <c r="J6520" s="6" t="str">
        <f>IFERROR(__xludf.DUMMYFUNCTION("""COMPUTED_VALUE"""),"https://eitaa.com/oshaghalhosein_313")</f>
        <v>https://eitaa.com/oshaghalhosein_313</v>
      </c>
      <c r="K6520" s="5"/>
      <c r="L6520" s="5"/>
      <c r="M6520" s="5"/>
      <c r="N6520" s="5"/>
      <c r="O6520" s="5"/>
      <c r="P6520" s="5"/>
      <c r="Q6520" s="5"/>
      <c r="R6520" s="5"/>
      <c r="S6520" s="5"/>
    </row>
    <row r="6521">
      <c r="A6521" s="5"/>
      <c r="B6521" s="5" t="str">
        <f>IFERROR(__xludf.DUMMYFUNCTION("""COMPUTED_VALUE"""),"سخنران")</f>
        <v>سخنران</v>
      </c>
      <c r="C6521" s="5" t="str">
        <f>IFERROR(__xludf.DUMMYFUNCTION("""COMPUTED_VALUE"""),"حمیدرضا مهدوی ارفع")</f>
        <v>حمیدرضا مهدوی ارفع</v>
      </c>
      <c r="D6521" s="5" t="str">
        <f>IFERROR(__xludf.DUMMYFUNCTION("""COMPUTED_VALUE"""),"قم")</f>
        <v>قم</v>
      </c>
      <c r="E6521" s="5" t="str">
        <f>IFERROR(__xludf.DUMMYFUNCTION("""COMPUTED_VALUE"""),"قم")</f>
        <v>قم</v>
      </c>
      <c r="F6521" s="5"/>
      <c r="G6521" s="5"/>
      <c r="H6521" s="5"/>
      <c r="I6521" s="5"/>
      <c r="J6521" s="6" t="str">
        <f>IFERROR(__xludf.DUMMYFUNCTION("""COMPUTED_VALUE"""),"https://eitaa.com/mahdavi_arfae")</f>
        <v>https://eitaa.com/mahdavi_arfae</v>
      </c>
      <c r="K6521" s="5"/>
      <c r="L6521" s="5"/>
      <c r="M6521" s="5"/>
      <c r="N6521" s="5"/>
      <c r="O6521" s="5"/>
      <c r="P6521" s="5"/>
      <c r="Q6521" s="5"/>
      <c r="R6521" s="5"/>
      <c r="S6521" s="5"/>
    </row>
    <row r="6522">
      <c r="A6522" s="5"/>
      <c r="B6522" s="5" t="str">
        <f>IFERROR(__xludf.DUMMYFUNCTION("""COMPUTED_VALUE"""),"هیأت")</f>
        <v>هیأت</v>
      </c>
      <c r="C6522" s="5" t="str">
        <f>IFERROR(__xludf.DUMMYFUNCTION("""COMPUTED_VALUE"""),"زائر عتبات")</f>
        <v>زائر عتبات</v>
      </c>
      <c r="D6522" s="5" t="str">
        <f>IFERROR(__xludf.DUMMYFUNCTION("""COMPUTED_VALUE"""),"قم")</f>
        <v>قم</v>
      </c>
      <c r="E6522" s="5" t="str">
        <f>IFERROR(__xludf.DUMMYFUNCTION("""COMPUTED_VALUE"""),"قم")</f>
        <v>قم</v>
      </c>
      <c r="F6522" s="5"/>
      <c r="G6522" s="5"/>
      <c r="H6522" s="5"/>
      <c r="I6522" s="5"/>
      <c r="J6522" s="6" t="str">
        <f>IFERROR(__xludf.DUMMYFUNCTION("""COMPUTED_VALUE"""),"https://eitaa.com/Heyatsarallah_qom")</f>
        <v>https://eitaa.com/Heyatsarallah_qom</v>
      </c>
      <c r="K6522" s="5"/>
      <c r="L6522" s="5"/>
      <c r="M6522" s="5"/>
      <c r="N6522" s="5"/>
      <c r="O6522" s="5"/>
      <c r="P6522" s="5"/>
      <c r="Q6522" s="5"/>
      <c r="R6522" s="5"/>
      <c r="S6522" s="5"/>
    </row>
    <row r="6523">
      <c r="A6523" s="5"/>
      <c r="B6523" s="5" t="str">
        <f>IFERROR(__xludf.DUMMYFUNCTION("""COMPUTED_VALUE"""),"سخنران")</f>
        <v>سخنران</v>
      </c>
      <c r="C6523" s="5" t="str">
        <f>IFERROR(__xludf.DUMMYFUNCTION("""COMPUTED_VALUE"""),"محسن قنبریان")</f>
        <v>محسن قنبریان</v>
      </c>
      <c r="D6523" s="5" t="str">
        <f>IFERROR(__xludf.DUMMYFUNCTION("""COMPUTED_VALUE"""),"قم")</f>
        <v>قم</v>
      </c>
      <c r="E6523" s="5" t="str">
        <f>IFERROR(__xludf.DUMMYFUNCTION("""COMPUTED_VALUE"""),"قم")</f>
        <v>قم</v>
      </c>
      <c r="F6523" s="5"/>
      <c r="G6523" s="5"/>
      <c r="H6523" s="6" t="str">
        <f>IFERROR(__xludf.DUMMYFUNCTION("""COMPUTED_VALUE"""),"https://www.instagram.com/ghanbarian.ir/")</f>
        <v>https://www.instagram.com/ghanbarian.ir/</v>
      </c>
      <c r="I6523" s="5"/>
      <c r="J6523" s="6" t="str">
        <f>IFERROR(__xludf.DUMMYFUNCTION("""COMPUTED_VALUE"""),"https://eitaa.com/m_ghanbarian")</f>
        <v>https://eitaa.com/m_ghanbarian</v>
      </c>
      <c r="K6523" s="5"/>
      <c r="L6523" s="5"/>
      <c r="M6523" s="5"/>
      <c r="N6523" s="5"/>
      <c r="O6523" s="5"/>
      <c r="P6523" s="5"/>
      <c r="Q6523" s="5"/>
      <c r="R6523" s="5"/>
      <c r="S6523" s="5"/>
    </row>
    <row r="6524">
      <c r="A6524" s="5"/>
      <c r="B6524" s="5" t="str">
        <f>IFERROR(__xludf.DUMMYFUNCTION("""COMPUTED_VALUE"""),"هیأت")</f>
        <v>هیأت</v>
      </c>
      <c r="C6524" s="5" t="str">
        <f>IFERROR(__xludf.DUMMYFUNCTION("""COMPUTED_VALUE"""),"عباسیه صاحب الزمان")</f>
        <v>عباسیه صاحب الزمان</v>
      </c>
      <c r="D6524" s="5" t="str">
        <f>IFERROR(__xludf.DUMMYFUNCTION("""COMPUTED_VALUE"""),"قم")</f>
        <v>قم</v>
      </c>
      <c r="E6524" s="5" t="str">
        <f>IFERROR(__xludf.DUMMYFUNCTION("""COMPUTED_VALUE"""),"قم")</f>
        <v>قم</v>
      </c>
      <c r="F6524" s="5"/>
      <c r="G6524" s="5"/>
      <c r="H6524" s="5"/>
      <c r="I6524" s="5"/>
      <c r="J6524" s="6" t="str">
        <f>IFERROR(__xludf.DUMMYFUNCTION("""COMPUTED_VALUE"""),"https://eitaa.com/abasiyesahebalzaman")</f>
        <v>https://eitaa.com/abasiyesahebalzaman</v>
      </c>
      <c r="K6524" s="5"/>
      <c r="L6524" s="5"/>
      <c r="M6524" s="5"/>
      <c r="N6524" s="5"/>
      <c r="O6524" s="5"/>
      <c r="P6524" s="5"/>
      <c r="Q6524" s="5"/>
      <c r="R6524" s="5"/>
      <c r="S6524" s="5"/>
    </row>
    <row r="6525">
      <c r="A6525" s="5"/>
      <c r="B6525" s="5" t="str">
        <f>IFERROR(__xludf.DUMMYFUNCTION("""COMPUTED_VALUE"""),"موکب")</f>
        <v>موکب</v>
      </c>
      <c r="C6525" s="5" t="str">
        <f>IFERROR(__xludf.DUMMYFUNCTION("""COMPUTED_VALUE"""),"فاطمه معصومه اهالی قم")</f>
        <v>فاطمه معصومه اهالی قم</v>
      </c>
      <c r="D6525" s="5" t="str">
        <f>IFERROR(__xludf.DUMMYFUNCTION("""COMPUTED_VALUE"""),"قم")</f>
        <v>قم</v>
      </c>
      <c r="E6525" s="5" t="str">
        <f>IFERROR(__xludf.DUMMYFUNCTION("""COMPUTED_VALUE"""),"قم")</f>
        <v>قم</v>
      </c>
      <c r="F6525" s="5"/>
      <c r="G6525" s="5"/>
      <c r="H6525" s="5"/>
      <c r="I6525" s="5"/>
      <c r="J6525" s="6" t="str">
        <f>IFERROR(__xludf.DUMMYFUNCTION("""COMPUTED_VALUE"""),"https://eitaa.com/MokebAhaliQom")</f>
        <v>https://eitaa.com/MokebAhaliQom</v>
      </c>
      <c r="K6525" s="5"/>
      <c r="L6525" s="5"/>
      <c r="M6525" s="5"/>
      <c r="N6525" s="5"/>
      <c r="O6525" s="5"/>
      <c r="P6525" s="5"/>
      <c r="Q6525" s="5"/>
      <c r="R6525" s="5"/>
      <c r="S6525" s="5"/>
    </row>
    <row r="6526">
      <c r="A6526" s="5"/>
      <c r="B6526" s="5" t="str">
        <f>IFERROR(__xludf.DUMMYFUNCTION("""COMPUTED_VALUE"""),"موکب")</f>
        <v>موکب</v>
      </c>
      <c r="C6526" s="5" t="str">
        <f>IFERROR(__xludf.DUMMYFUNCTION("""COMPUTED_VALUE"""),"موکب و هیئت حضرت خدیجه سلام علیها جمکران")</f>
        <v>موکب و هیئت حضرت خدیجه سلام علیها جمکران</v>
      </c>
      <c r="D6526" s="5" t="str">
        <f>IFERROR(__xludf.DUMMYFUNCTION("""COMPUTED_VALUE"""),"قم")</f>
        <v>قم</v>
      </c>
      <c r="E6526" s="5" t="str">
        <f>IFERROR(__xludf.DUMMYFUNCTION("""COMPUTED_VALUE"""),"قم")</f>
        <v>قم</v>
      </c>
      <c r="F6526" s="5"/>
      <c r="G6526" s="5"/>
      <c r="H6526" s="5"/>
      <c r="I6526" s="5"/>
      <c r="J6526" s="6" t="str">
        <f>IFERROR(__xludf.DUMMYFUNCTION("""COMPUTED_VALUE"""),"https://eitaa.com/hazratkhadijajamkaran")</f>
        <v>https://eitaa.com/hazratkhadijajamkaran</v>
      </c>
      <c r="K6526" s="5"/>
      <c r="L6526" s="5"/>
      <c r="M6526" s="5"/>
      <c r="N6526" s="5"/>
      <c r="O6526" s="5"/>
      <c r="P6526" s="5"/>
      <c r="Q6526" s="5"/>
      <c r="R6526" s="5"/>
      <c r="S6526" s="5"/>
    </row>
    <row r="6527">
      <c r="A6527" s="5"/>
      <c r="B6527" s="5" t="str">
        <f>IFERROR(__xludf.DUMMYFUNCTION("""COMPUTED_VALUE"""),"هیأت")</f>
        <v>هیأت</v>
      </c>
      <c r="C6527" s="5" t="str">
        <f>IFERROR(__xludf.DUMMYFUNCTION("""COMPUTED_VALUE"""),"آل یاسین ")</f>
        <v>آل یاسین </v>
      </c>
      <c r="D6527" s="5" t="str">
        <f>IFERROR(__xludf.DUMMYFUNCTION("""COMPUTED_VALUE"""),"قم")</f>
        <v>قم</v>
      </c>
      <c r="E6527" s="5" t="str">
        <f>IFERROR(__xludf.DUMMYFUNCTION("""COMPUTED_VALUE"""),"قم")</f>
        <v>قم</v>
      </c>
      <c r="F6527" s="5"/>
      <c r="G6527" s="5"/>
      <c r="H6527" s="5"/>
      <c r="I6527" s="5"/>
      <c r="J6527" s="6" t="str">
        <f>IFERROR(__xludf.DUMMYFUNCTION("""COMPUTED_VALUE"""),"https://eitaa.com/aleyasinqom")</f>
        <v>https://eitaa.com/aleyasinqom</v>
      </c>
      <c r="K6527" s="5"/>
      <c r="L6527" s="5"/>
      <c r="M6527" s="5"/>
      <c r="N6527" s="5"/>
      <c r="O6527" s="5"/>
      <c r="P6527" s="5"/>
      <c r="Q6527" s="5"/>
      <c r="R6527" s="5"/>
      <c r="S6527" s="5"/>
    </row>
    <row r="6528">
      <c r="A6528" s="5"/>
      <c r="B6528" s="5" t="str">
        <f>IFERROR(__xludf.DUMMYFUNCTION("""COMPUTED_VALUE"""),"هیأت")</f>
        <v>هیأت</v>
      </c>
      <c r="C6528" s="5" t="str">
        <f>IFERROR(__xludf.DUMMYFUNCTION("""COMPUTED_VALUE"""),"مرکز فرهنگی جهادی هیات الرضا (ع)")</f>
        <v>مرکز فرهنگی جهادی هیات الرضا (ع)</v>
      </c>
      <c r="D6528" s="5" t="str">
        <f>IFERROR(__xludf.DUMMYFUNCTION("""COMPUTED_VALUE"""),"قم")</f>
        <v>قم</v>
      </c>
      <c r="E6528" s="5" t="str">
        <f>IFERROR(__xludf.DUMMYFUNCTION("""COMPUTED_VALUE"""),"قم")</f>
        <v>قم</v>
      </c>
      <c r="F6528" s="5"/>
      <c r="G6528" s="5"/>
      <c r="H6528" s="6" t="str">
        <f>IFERROR(__xludf.DUMMYFUNCTION("""COMPUTED_VALUE"""),"https://www.instagram.com/heyatalreza_ir")</f>
        <v>https://www.instagram.com/heyatalreza_ir</v>
      </c>
      <c r="I6528" s="6" t="str">
        <f>IFERROR(__xludf.DUMMYFUNCTION("""COMPUTED_VALUE"""),"https://t.me/heyatalreza_ir")</f>
        <v>https://t.me/heyatalreza_ir</v>
      </c>
      <c r="J6528" s="6" t="str">
        <f>IFERROR(__xludf.DUMMYFUNCTION("""COMPUTED_VALUE"""),"https://eitaa.com/heyatalreza_ir")</f>
        <v>https://eitaa.com/heyatalreza_ir</v>
      </c>
      <c r="K6528" s="5"/>
      <c r="L6528" s="5"/>
      <c r="M6528" s="5"/>
      <c r="N6528" s="5"/>
      <c r="O6528" s="5"/>
      <c r="P6528" s="5"/>
      <c r="Q6528" s="5"/>
      <c r="R6528" s="5"/>
      <c r="S6528" s="5"/>
    </row>
    <row r="6529">
      <c r="A6529" s="5"/>
      <c r="B6529" s="5" t="str">
        <f>IFERROR(__xludf.DUMMYFUNCTION("""COMPUTED_VALUE"""),"هیأت")</f>
        <v>هیأت</v>
      </c>
      <c r="C6529" s="5" t="str">
        <f>IFERROR(__xludf.DUMMYFUNCTION("""COMPUTED_VALUE"""),"انصار المهدی عجل الله تعالی فرجه الشریف")</f>
        <v>انصار المهدی عجل الله تعالی فرجه الشریف</v>
      </c>
      <c r="D6529" s="5" t="str">
        <f>IFERROR(__xludf.DUMMYFUNCTION("""COMPUTED_VALUE"""),"قم")</f>
        <v>قم</v>
      </c>
      <c r="E6529" s="5" t="str">
        <f>IFERROR(__xludf.DUMMYFUNCTION("""COMPUTED_VALUE"""),"قم")</f>
        <v>قم</v>
      </c>
      <c r="F6529" s="5"/>
      <c r="G6529" s="5"/>
      <c r="H6529" s="5"/>
      <c r="I6529" s="5"/>
      <c r="J6529" s="6" t="str">
        <f>IFERROR(__xludf.DUMMYFUNCTION("""COMPUTED_VALUE"""),"https://eitaa.com/ansarolmahdi_aj")</f>
        <v>https://eitaa.com/ansarolmahdi_aj</v>
      </c>
      <c r="K6529" s="5"/>
      <c r="L6529" s="5"/>
      <c r="M6529" s="5"/>
      <c r="N6529" s="5"/>
      <c r="O6529" s="5"/>
      <c r="P6529" s="5"/>
      <c r="Q6529" s="5"/>
      <c r="R6529" s="5"/>
      <c r="S6529" s="5"/>
    </row>
    <row r="6530">
      <c r="A6530" s="5"/>
      <c r="B6530" s="5" t="str">
        <f>IFERROR(__xludf.DUMMYFUNCTION("""COMPUTED_VALUE"""),"هیأت")</f>
        <v>هیأت</v>
      </c>
      <c r="C6530" s="5" t="str">
        <f>IFERROR(__xludf.DUMMYFUNCTION("""COMPUTED_VALUE"""),"فاطمیون قم خواهران")</f>
        <v>فاطمیون قم خواهران</v>
      </c>
      <c r="D6530" s="5" t="str">
        <f>IFERROR(__xludf.DUMMYFUNCTION("""COMPUTED_VALUE"""),"قم")</f>
        <v>قم</v>
      </c>
      <c r="E6530" s="5" t="str">
        <f>IFERROR(__xludf.DUMMYFUNCTION("""COMPUTED_VALUE"""),"قم")</f>
        <v>قم</v>
      </c>
      <c r="F6530" s="5"/>
      <c r="G6530" s="5"/>
      <c r="H6530" s="5"/>
      <c r="I6530" s="5"/>
      <c r="J6530" s="6" t="str">
        <f>IFERROR(__xludf.DUMMYFUNCTION("""COMPUTED_VALUE"""),"https://eitaa.com/Fatemiyonkhaharan")</f>
        <v>https://eitaa.com/Fatemiyonkhaharan</v>
      </c>
      <c r="K6530" s="5"/>
      <c r="L6530" s="5"/>
      <c r="M6530" s="5"/>
      <c r="N6530" s="5"/>
      <c r="O6530" s="5"/>
      <c r="P6530" s="5"/>
      <c r="Q6530" s="5"/>
      <c r="R6530" s="5"/>
      <c r="S6530" s="5"/>
    </row>
    <row r="6531">
      <c r="A6531" s="5"/>
      <c r="B6531" s="5" t="str">
        <f>IFERROR(__xludf.DUMMYFUNCTION("""COMPUTED_VALUE"""),"هیأت")</f>
        <v>هیأت</v>
      </c>
      <c r="C6531" s="5" t="str">
        <f>IFERROR(__xludf.DUMMYFUNCTION("""COMPUTED_VALUE"""),"علمدار کربلا")</f>
        <v>علمدار کربلا</v>
      </c>
      <c r="D6531" s="5" t="str">
        <f>IFERROR(__xludf.DUMMYFUNCTION("""COMPUTED_VALUE"""),"قم")</f>
        <v>قم</v>
      </c>
      <c r="E6531" s="5" t="str">
        <f>IFERROR(__xludf.DUMMYFUNCTION("""COMPUTED_VALUE"""),"قم")</f>
        <v>قم</v>
      </c>
      <c r="F6531" s="5"/>
      <c r="G6531" s="5"/>
      <c r="H6531" s="5"/>
      <c r="I6531" s="5"/>
      <c r="J6531" s="6" t="str">
        <f>IFERROR(__xludf.DUMMYFUNCTION("""COMPUTED_VALUE"""),"https://eitaa.com/alamdar_qom79")</f>
        <v>https://eitaa.com/alamdar_qom79</v>
      </c>
      <c r="K6531" s="5"/>
      <c r="L6531" s="5"/>
      <c r="M6531" s="5"/>
      <c r="N6531" s="5"/>
      <c r="O6531" s="5"/>
      <c r="P6531" s="5"/>
      <c r="Q6531" s="5"/>
      <c r="R6531" s="5"/>
      <c r="S6531" s="5"/>
    </row>
    <row r="6532">
      <c r="A6532" s="5"/>
      <c r="B6532" s="5" t="str">
        <f>IFERROR(__xludf.DUMMYFUNCTION("""COMPUTED_VALUE"""),"هیأت")</f>
        <v>هیأت</v>
      </c>
      <c r="C6532" s="5" t="str">
        <f>IFERROR(__xludf.DUMMYFUNCTION("""COMPUTED_VALUE"""),"الزهرا")</f>
        <v>الزهرا</v>
      </c>
      <c r="D6532" s="5" t="str">
        <f>IFERROR(__xludf.DUMMYFUNCTION("""COMPUTED_VALUE"""),"قم")</f>
        <v>قم</v>
      </c>
      <c r="E6532" s="5" t="str">
        <f>IFERROR(__xludf.DUMMYFUNCTION("""COMPUTED_VALUE"""),"قم")</f>
        <v>قم</v>
      </c>
      <c r="F6532" s="5"/>
      <c r="G6532" s="5"/>
      <c r="H6532" s="5"/>
      <c r="I6532" s="5"/>
      <c r="J6532" s="6" t="str">
        <f>IFERROR(__xludf.DUMMYFUNCTION("""COMPUTED_VALUE"""),"https://eitaa.com/khoneh_madari")</f>
        <v>https://eitaa.com/khoneh_madari</v>
      </c>
      <c r="K6532" s="5"/>
      <c r="L6532" s="5"/>
      <c r="M6532" s="5"/>
      <c r="N6532" s="5"/>
      <c r="O6532" s="5"/>
      <c r="P6532" s="5"/>
      <c r="Q6532" s="5"/>
      <c r="R6532" s="5"/>
      <c r="S6532" s="5"/>
    </row>
    <row r="6533">
      <c r="A6533" s="5"/>
      <c r="B6533" s="5" t="str">
        <f>IFERROR(__xludf.DUMMYFUNCTION("""COMPUTED_VALUE"""),"هیأت")</f>
        <v>هیأت</v>
      </c>
      <c r="C6533" s="5" t="str">
        <f>IFERROR(__xludf.DUMMYFUNCTION("""COMPUTED_VALUE"""),"عاشورا ")</f>
        <v>عاشورا </v>
      </c>
      <c r="D6533" s="5" t="str">
        <f>IFERROR(__xludf.DUMMYFUNCTION("""COMPUTED_VALUE"""),"قم")</f>
        <v>قم</v>
      </c>
      <c r="E6533" s="5" t="str">
        <f>IFERROR(__xludf.DUMMYFUNCTION("""COMPUTED_VALUE"""),"قم")</f>
        <v>قم</v>
      </c>
      <c r="F6533" s="5"/>
      <c r="G6533" s="5"/>
      <c r="H6533" s="5"/>
      <c r="I6533" s="5"/>
      <c r="J6533" s="6" t="str">
        <f>IFERROR(__xludf.DUMMYFUNCTION("""COMPUTED_VALUE"""),"https://eitaa.com/heyatashoraqom")</f>
        <v>https://eitaa.com/heyatashoraqom</v>
      </c>
      <c r="K6533" s="5"/>
      <c r="L6533" s="5"/>
      <c r="M6533" s="5"/>
      <c r="N6533" s="5"/>
      <c r="O6533" s="5"/>
      <c r="P6533" s="5"/>
      <c r="Q6533" s="5"/>
      <c r="R6533" s="5"/>
      <c r="S6533" s="5"/>
    </row>
    <row r="6534">
      <c r="A6534" s="5"/>
      <c r="B6534" s="5" t="str">
        <f>IFERROR(__xludf.DUMMYFUNCTION("""COMPUTED_VALUE"""),"حسینیه")</f>
        <v>حسینیه</v>
      </c>
      <c r="C6534" s="5" t="str">
        <f>IFERROR(__xludf.DUMMYFUNCTION("""COMPUTED_VALUE"""),"اندیشه")</f>
        <v>اندیشه</v>
      </c>
      <c r="D6534" s="5" t="str">
        <f>IFERROR(__xludf.DUMMYFUNCTION("""COMPUTED_VALUE"""),"قم")</f>
        <v>قم</v>
      </c>
      <c r="E6534" s="5" t="str">
        <f>IFERROR(__xludf.DUMMYFUNCTION("""COMPUTED_VALUE"""),"قم")</f>
        <v>قم</v>
      </c>
      <c r="F6534" s="5"/>
      <c r="G6534" s="5"/>
      <c r="H6534" s="5"/>
      <c r="I6534" s="5"/>
      <c r="J6534" s="6" t="str">
        <f>IFERROR(__xludf.DUMMYFUNCTION("""COMPUTED_VALUE"""),"https://eitaa.com/HossiniehAndisheh")</f>
        <v>https://eitaa.com/HossiniehAndisheh</v>
      </c>
      <c r="K6534" s="5"/>
      <c r="L6534" s="5"/>
      <c r="M6534" s="5"/>
      <c r="N6534" s="5"/>
      <c r="O6534" s="5"/>
      <c r="P6534" s="5"/>
      <c r="Q6534" s="5"/>
      <c r="R6534" s="5"/>
      <c r="S6534" s="5"/>
    </row>
    <row r="6535">
      <c r="A6535" s="5"/>
      <c r="B6535" s="5" t="str">
        <f>IFERROR(__xludf.DUMMYFUNCTION("""COMPUTED_VALUE"""),"هیأت")</f>
        <v>هیأت</v>
      </c>
      <c r="C6535" s="5" t="str">
        <f>IFERROR(__xludf.DUMMYFUNCTION("""COMPUTED_VALUE"""),"یازهرا")</f>
        <v>یازهرا</v>
      </c>
      <c r="D6535" s="5" t="str">
        <f>IFERROR(__xludf.DUMMYFUNCTION("""COMPUTED_VALUE"""),"قم")</f>
        <v>قم</v>
      </c>
      <c r="E6535" s="5" t="str">
        <f>IFERROR(__xludf.DUMMYFUNCTION("""COMPUTED_VALUE"""),"قم")</f>
        <v>قم</v>
      </c>
      <c r="F6535" s="5"/>
      <c r="G6535" s="5"/>
      <c r="H6535" s="6" t="str">
        <f>IFERROR(__xludf.DUMMYFUNCTION("""COMPUTED_VALUE"""),"https://www.instagram.com/heyatyazahra.ir")</f>
        <v>https://www.instagram.com/heyatyazahra.ir</v>
      </c>
      <c r="I6535" s="5"/>
      <c r="J6535" s="6" t="str">
        <f>IFERROR(__xludf.DUMMYFUNCTION("""COMPUTED_VALUE"""),"https://eitaa.com/heyatyazahra_ir")</f>
        <v>https://eitaa.com/heyatyazahra_ir</v>
      </c>
      <c r="K6535" s="5"/>
      <c r="L6535" s="5"/>
      <c r="M6535" s="5"/>
      <c r="N6535" s="5"/>
      <c r="O6535" s="5"/>
      <c r="P6535" s="5"/>
      <c r="Q6535" s="5"/>
      <c r="R6535" s="5"/>
      <c r="S6535" s="5"/>
    </row>
    <row r="6536">
      <c r="A6536" s="5"/>
      <c r="B6536" s="5" t="str">
        <f>IFERROR(__xludf.DUMMYFUNCTION("""COMPUTED_VALUE"""),"موکب")</f>
        <v>موکب</v>
      </c>
      <c r="C6536" s="5" t="str">
        <f>IFERROR(__xludf.DUMMYFUNCTION("""COMPUTED_VALUE"""),"انصار المهدی  ")</f>
        <v>انصار المهدی  </v>
      </c>
      <c r="D6536" s="5" t="str">
        <f>IFERROR(__xludf.DUMMYFUNCTION("""COMPUTED_VALUE"""),"قم")</f>
        <v>قم</v>
      </c>
      <c r="E6536" s="5" t="str">
        <f>IFERROR(__xludf.DUMMYFUNCTION("""COMPUTED_VALUE"""),"قم")</f>
        <v>قم</v>
      </c>
      <c r="F6536" s="5"/>
      <c r="G6536" s="5"/>
      <c r="H6536" s="5"/>
      <c r="I6536" s="5"/>
      <c r="J6536" s="6" t="str">
        <f>IFERROR(__xludf.DUMMYFUNCTION("""COMPUTED_VALUE"""),"https://eitaa.com/mokebe_ansarolmahdi")</f>
        <v>https://eitaa.com/mokebe_ansarolmahdi</v>
      </c>
      <c r="K6536" s="5"/>
      <c r="L6536" s="5"/>
      <c r="M6536" s="5"/>
      <c r="N6536" s="5"/>
      <c r="O6536" s="5"/>
      <c r="P6536" s="5"/>
      <c r="Q6536" s="5"/>
      <c r="R6536" s="5"/>
      <c r="S6536" s="5"/>
    </row>
    <row r="6537">
      <c r="A6537" s="5"/>
      <c r="B6537" s="5" t="str">
        <f>IFERROR(__xludf.DUMMYFUNCTION("""COMPUTED_VALUE"""),"هیأت")</f>
        <v>هیأت</v>
      </c>
      <c r="C6537" s="5" t="str">
        <f>IFERROR(__xludf.DUMMYFUNCTION("""COMPUTED_VALUE"""),"قتیل العبرات")</f>
        <v>قتیل العبرات</v>
      </c>
      <c r="D6537" s="5" t="str">
        <f>IFERROR(__xludf.DUMMYFUNCTION("""COMPUTED_VALUE"""),"قم")</f>
        <v>قم</v>
      </c>
      <c r="E6537" s="5" t="str">
        <f>IFERROR(__xludf.DUMMYFUNCTION("""COMPUTED_VALUE"""),"قم")</f>
        <v>قم</v>
      </c>
      <c r="F6537" s="5"/>
      <c r="G6537" s="5"/>
      <c r="H6537" s="5"/>
      <c r="I6537" s="5"/>
      <c r="J6537" s="6" t="str">
        <f>IFERROR(__xludf.DUMMYFUNCTION("""COMPUTED_VALUE"""),"https://eitaa.com/QatilAlabarat")</f>
        <v>https://eitaa.com/QatilAlabarat</v>
      </c>
      <c r="K6537" s="5"/>
      <c r="L6537" s="5"/>
      <c r="M6537" s="5"/>
      <c r="N6537" s="5"/>
      <c r="O6537" s="5"/>
      <c r="P6537" s="5"/>
      <c r="Q6537" s="5"/>
      <c r="R6537" s="5"/>
      <c r="S6537" s="5"/>
    </row>
    <row r="6538">
      <c r="A6538" s="5"/>
      <c r="B6538" s="5" t="str">
        <f>IFERROR(__xludf.DUMMYFUNCTION("""COMPUTED_VALUE"""),"هیأت")</f>
        <v>هیأت</v>
      </c>
      <c r="C6538" s="5" t="str">
        <f>IFERROR(__xludf.DUMMYFUNCTION("""COMPUTED_VALUE"""),"خادم الشهدا")</f>
        <v>خادم الشهدا</v>
      </c>
      <c r="D6538" s="5" t="str">
        <f>IFERROR(__xludf.DUMMYFUNCTION("""COMPUTED_VALUE"""),"قم")</f>
        <v>قم</v>
      </c>
      <c r="E6538" s="5" t="str">
        <f>IFERROR(__xludf.DUMMYFUNCTION("""COMPUTED_VALUE"""),"قم")</f>
        <v>قم</v>
      </c>
      <c r="F6538" s="5"/>
      <c r="G6538" s="5"/>
      <c r="H6538" s="5"/>
      <c r="I6538" s="5"/>
      <c r="J6538" s="6" t="str">
        <f>IFERROR(__xludf.DUMMYFUNCTION("""COMPUTED_VALUE"""),"https://eitaa.com/kh_alshohada")</f>
        <v>https://eitaa.com/kh_alshohada</v>
      </c>
      <c r="K6538" s="5"/>
      <c r="L6538" s="5"/>
      <c r="M6538" s="5"/>
      <c r="N6538" s="5"/>
      <c r="O6538" s="5"/>
      <c r="P6538" s="5"/>
      <c r="Q6538" s="5"/>
      <c r="R6538" s="5"/>
      <c r="S6538" s="5"/>
    </row>
    <row r="6539">
      <c r="A6539" s="5"/>
      <c r="B6539" s="5" t="str">
        <f>IFERROR(__xludf.DUMMYFUNCTION("""COMPUTED_VALUE"""),"هیأت")</f>
        <v>هیأت</v>
      </c>
      <c r="C6539" s="5" t="str">
        <f>IFERROR(__xludf.DUMMYFUNCTION("""COMPUTED_VALUE"""),"ام ابیها")</f>
        <v>ام ابیها</v>
      </c>
      <c r="D6539" s="5" t="str">
        <f>IFERROR(__xludf.DUMMYFUNCTION("""COMPUTED_VALUE"""),"قم")</f>
        <v>قم</v>
      </c>
      <c r="E6539" s="5" t="str">
        <f>IFERROR(__xludf.DUMMYFUNCTION("""COMPUTED_VALUE"""),"قم")</f>
        <v>قم</v>
      </c>
      <c r="F6539" s="5"/>
      <c r="G6539" s="5"/>
      <c r="H6539" s="5"/>
      <c r="I6539" s="5"/>
      <c r="J6539" s="6" t="str">
        <f>IFERROR(__xludf.DUMMYFUNCTION("""COMPUTED_VALUE"""),"https://eitaa.com/heyat_omeabiha")</f>
        <v>https://eitaa.com/heyat_omeabiha</v>
      </c>
      <c r="K6539" s="5"/>
      <c r="L6539" s="5"/>
      <c r="M6539" s="5"/>
      <c r="N6539" s="5"/>
      <c r="O6539" s="5"/>
      <c r="P6539" s="5"/>
      <c r="Q6539" s="5"/>
      <c r="R6539" s="5"/>
      <c r="S6539" s="5"/>
    </row>
    <row r="6540">
      <c r="A6540" s="5"/>
      <c r="B6540" s="5" t="str">
        <f>IFERROR(__xludf.DUMMYFUNCTION("""COMPUTED_VALUE"""),"هیأت")</f>
        <v>هیأت</v>
      </c>
      <c r="C6540" s="5" t="str">
        <f>IFERROR(__xludf.DUMMYFUNCTION("""COMPUTED_VALUE"""),"فاطمیه")</f>
        <v>فاطمیه</v>
      </c>
      <c r="D6540" s="5" t="str">
        <f>IFERROR(__xludf.DUMMYFUNCTION("""COMPUTED_VALUE"""),"قم")</f>
        <v>قم</v>
      </c>
      <c r="E6540" s="5" t="str">
        <f>IFERROR(__xludf.DUMMYFUNCTION("""COMPUTED_VALUE"""),"قم")</f>
        <v>قم</v>
      </c>
      <c r="F6540" s="5"/>
      <c r="G6540" s="5"/>
      <c r="H6540" s="5"/>
      <c r="I6540" s="5"/>
      <c r="J6540" s="6" t="str">
        <f>IFERROR(__xludf.DUMMYFUNCTION("""COMPUTED_VALUE"""),"https://eitaa.com/fatemiyeh_qom")</f>
        <v>https://eitaa.com/fatemiyeh_qom</v>
      </c>
      <c r="K6540" s="5"/>
      <c r="L6540" s="5"/>
      <c r="M6540" s="5"/>
      <c r="N6540" s="5"/>
      <c r="O6540" s="5"/>
      <c r="P6540" s="5"/>
      <c r="Q6540" s="5"/>
      <c r="R6540" s="5"/>
      <c r="S6540" s="5"/>
    </row>
    <row r="6541">
      <c r="A6541" s="5"/>
      <c r="B6541" s="5" t="str">
        <f>IFERROR(__xludf.DUMMYFUNCTION("""COMPUTED_VALUE"""),"حسینیه")</f>
        <v>حسینیه</v>
      </c>
      <c r="C6541" s="5" t="str">
        <f>IFERROR(__xludf.DUMMYFUNCTION("""COMPUTED_VALUE"""),"اعظم آلانقی های مقیم قم")</f>
        <v>اعظم آلانقی های مقیم قم</v>
      </c>
      <c r="D6541" s="5" t="str">
        <f>IFERROR(__xludf.DUMMYFUNCTION("""COMPUTED_VALUE"""),"قم")</f>
        <v>قم</v>
      </c>
      <c r="E6541" s="5" t="str">
        <f>IFERROR(__xludf.DUMMYFUNCTION("""COMPUTED_VALUE"""),"قم")</f>
        <v>قم</v>
      </c>
      <c r="F6541" s="5"/>
      <c r="G6541" s="5"/>
      <c r="H6541" s="5"/>
      <c r="I6541" s="5"/>
      <c r="J6541" s="6" t="str">
        <f>IFERROR(__xludf.DUMMYFUNCTION("""COMPUTED_VALUE"""),"https://eitaa.com/mahdiyehalanaghiha")</f>
        <v>https://eitaa.com/mahdiyehalanaghiha</v>
      </c>
      <c r="K6541" s="5"/>
      <c r="L6541" s="5"/>
      <c r="M6541" s="5"/>
      <c r="N6541" s="5"/>
      <c r="O6541" s="5"/>
      <c r="P6541" s="5"/>
      <c r="Q6541" s="5"/>
      <c r="R6541" s="5"/>
      <c r="S6541" s="5"/>
    </row>
    <row r="6542">
      <c r="A6542" s="5"/>
      <c r="B6542" s="5" t="str">
        <f>IFERROR(__xludf.DUMMYFUNCTION("""COMPUTED_VALUE"""),"هیأت")</f>
        <v>هیأت</v>
      </c>
      <c r="C6542" s="5" t="str">
        <f>IFERROR(__xludf.DUMMYFUNCTION("""COMPUTED_VALUE"""),"محبین صاحب الزمان")</f>
        <v>محبین صاحب الزمان</v>
      </c>
      <c r="D6542" s="5" t="str">
        <f>IFERROR(__xludf.DUMMYFUNCTION("""COMPUTED_VALUE"""),"قم")</f>
        <v>قم</v>
      </c>
      <c r="E6542" s="5" t="str">
        <f>IFERROR(__xludf.DUMMYFUNCTION("""COMPUTED_VALUE"""),"قم")</f>
        <v>قم</v>
      </c>
      <c r="F6542" s="5"/>
      <c r="G6542" s="5"/>
      <c r="H6542" s="5"/>
      <c r="I6542" s="5"/>
      <c r="J6542" s="6" t="str">
        <f>IFERROR(__xludf.DUMMYFUNCTION("""COMPUTED_VALUE"""),"https://eitaa.com/mohebin313_qom")</f>
        <v>https://eitaa.com/mohebin313_qom</v>
      </c>
      <c r="K6542" s="5"/>
      <c r="L6542" s="5"/>
      <c r="M6542" s="5"/>
      <c r="N6542" s="5"/>
      <c r="O6542" s="5"/>
      <c r="P6542" s="5"/>
      <c r="Q6542" s="5"/>
      <c r="R6542" s="5"/>
      <c r="S6542" s="5"/>
    </row>
    <row r="6543">
      <c r="A6543" s="5"/>
      <c r="B6543" s="5" t="str">
        <f>IFERROR(__xludf.DUMMYFUNCTION("""COMPUTED_VALUE"""),"هیأت")</f>
        <v>هیأت</v>
      </c>
      <c r="C6543" s="5" t="str">
        <f>IFERROR(__xludf.DUMMYFUNCTION("""COMPUTED_VALUE"""),"بنات الزهرا")</f>
        <v>بنات الزهرا</v>
      </c>
      <c r="D6543" s="5" t="str">
        <f>IFERROR(__xludf.DUMMYFUNCTION("""COMPUTED_VALUE"""),"قم")</f>
        <v>قم</v>
      </c>
      <c r="E6543" s="5" t="str">
        <f>IFERROR(__xludf.DUMMYFUNCTION("""COMPUTED_VALUE"""),"قم")</f>
        <v>قم</v>
      </c>
      <c r="F6543" s="5"/>
      <c r="G6543" s="5"/>
      <c r="H6543" s="5"/>
      <c r="I6543" s="5"/>
      <c r="J6543" s="6" t="str">
        <f>IFERROR(__xludf.DUMMYFUNCTION("""COMPUTED_VALUE"""),"https://eitaa.com/banatozzahra")</f>
        <v>https://eitaa.com/banatozzahra</v>
      </c>
      <c r="K6543" s="5"/>
      <c r="L6543" s="5"/>
      <c r="M6543" s="5"/>
      <c r="N6543" s="5"/>
      <c r="O6543" s="5"/>
      <c r="P6543" s="5"/>
      <c r="Q6543" s="5"/>
      <c r="R6543" s="5"/>
      <c r="S6543" s="5"/>
    </row>
    <row r="6544">
      <c r="A6544" s="5"/>
      <c r="B6544" s="5" t="str">
        <f>IFERROR(__xludf.DUMMYFUNCTION("""COMPUTED_VALUE"""),"حسینیه")</f>
        <v>حسینیه</v>
      </c>
      <c r="C6544" s="5" t="str">
        <f>IFERROR(__xludf.DUMMYFUNCTION("""COMPUTED_VALUE"""),"حضرت زینب")</f>
        <v>حضرت زینب</v>
      </c>
      <c r="D6544" s="5" t="str">
        <f>IFERROR(__xludf.DUMMYFUNCTION("""COMPUTED_VALUE"""),"قم")</f>
        <v>قم</v>
      </c>
      <c r="E6544" s="5" t="str">
        <f>IFERROR(__xludf.DUMMYFUNCTION("""COMPUTED_VALUE"""),"قم")</f>
        <v>قم</v>
      </c>
      <c r="F6544" s="5"/>
      <c r="G6544" s="5"/>
      <c r="H6544" s="5"/>
      <c r="I6544" s="5"/>
      <c r="J6544" s="6" t="str">
        <f>IFERROR(__xludf.DUMMYFUNCTION("""COMPUTED_VALUE"""),"https://eitaa.com/Zeinabiyye")</f>
        <v>https://eitaa.com/Zeinabiyye</v>
      </c>
      <c r="K6544" s="5"/>
      <c r="L6544" s="5"/>
      <c r="M6544" s="5"/>
      <c r="N6544" s="5"/>
      <c r="O6544" s="5"/>
      <c r="P6544" s="5"/>
      <c r="Q6544" s="5"/>
      <c r="R6544" s="5"/>
      <c r="S6544" s="5"/>
    </row>
    <row r="6545">
      <c r="A6545" s="5"/>
      <c r="B6545" s="5" t="str">
        <f>IFERROR(__xludf.DUMMYFUNCTION("""COMPUTED_VALUE"""),"حسینیه")</f>
        <v>حسینیه</v>
      </c>
      <c r="C6545" s="5" t="str">
        <f>IFERROR(__xludf.DUMMYFUNCTION("""COMPUTED_VALUE"""),"حضرت خدیجه کبری سلام الله علیها")</f>
        <v>حضرت خدیجه کبری سلام الله علیها</v>
      </c>
      <c r="D6545" s="5" t="str">
        <f>IFERROR(__xludf.DUMMYFUNCTION("""COMPUTED_VALUE"""),"قم")</f>
        <v>قم</v>
      </c>
      <c r="E6545" s="5" t="str">
        <f>IFERROR(__xludf.DUMMYFUNCTION("""COMPUTED_VALUE"""),"قم")</f>
        <v>قم</v>
      </c>
      <c r="F6545" s="5"/>
      <c r="G6545" s="5"/>
      <c r="H6545" s="5"/>
      <c r="I6545" s="5"/>
      <c r="J6545" s="6" t="str">
        <f>IFERROR(__xludf.DUMMYFUNCTION("""COMPUTED_VALUE"""),"https://eitaa.com/khadijeh622")</f>
        <v>https://eitaa.com/khadijeh622</v>
      </c>
      <c r="K6545" s="5"/>
      <c r="L6545" s="5"/>
      <c r="M6545" s="5"/>
      <c r="N6545" s="5"/>
      <c r="O6545" s="5"/>
      <c r="P6545" s="5"/>
      <c r="Q6545" s="5"/>
      <c r="R6545" s="5"/>
      <c r="S6545" s="5"/>
    </row>
    <row r="6546">
      <c r="A6546" s="5"/>
      <c r="B6546" s="5" t="str">
        <f>IFERROR(__xludf.DUMMYFUNCTION("""COMPUTED_VALUE"""),"هیأت")</f>
        <v>هیأت</v>
      </c>
      <c r="C6546" s="5" t="str">
        <f>IFERROR(__xludf.DUMMYFUNCTION("""COMPUTED_VALUE"""),"کف العباس(ع)")</f>
        <v>کف العباس(ع)</v>
      </c>
      <c r="D6546" s="5" t="str">
        <f>IFERROR(__xludf.DUMMYFUNCTION("""COMPUTED_VALUE"""),"قم")</f>
        <v>قم</v>
      </c>
      <c r="E6546" s="5" t="str">
        <f>IFERROR(__xludf.DUMMYFUNCTION("""COMPUTED_VALUE"""),"قم")</f>
        <v>قم</v>
      </c>
      <c r="F6546" s="5"/>
      <c r="G6546" s="5"/>
      <c r="H6546" s="5"/>
      <c r="I6546" s="5"/>
      <c r="J6546" s="6" t="str">
        <f>IFERROR(__xludf.DUMMYFUNCTION("""COMPUTED_VALUE"""),"https://eitaa.com/kaffolabbas")</f>
        <v>https://eitaa.com/kaffolabbas</v>
      </c>
      <c r="K6546" s="5"/>
      <c r="L6546" s="5"/>
      <c r="M6546" s="5"/>
      <c r="N6546" s="5"/>
      <c r="O6546" s="5"/>
      <c r="P6546" s="5"/>
      <c r="Q6546" s="5"/>
      <c r="R6546" s="5"/>
      <c r="S6546" s="5"/>
    </row>
    <row r="6547">
      <c r="A6547" s="5"/>
      <c r="B6547" s="5" t="str">
        <f>IFERROR(__xludf.DUMMYFUNCTION("""COMPUTED_VALUE"""),"حسینیه")</f>
        <v>حسینیه</v>
      </c>
      <c r="C6547" s="5" t="str">
        <f>IFERROR(__xludf.DUMMYFUNCTION("""COMPUTED_VALUE"""),"شهدای راهجرد")</f>
        <v>شهدای راهجرد</v>
      </c>
      <c r="D6547" s="5" t="str">
        <f>IFERROR(__xludf.DUMMYFUNCTION("""COMPUTED_VALUE"""),"قم")</f>
        <v>قم</v>
      </c>
      <c r="E6547" s="5" t="str">
        <f>IFERROR(__xludf.DUMMYFUNCTION("""COMPUTED_VALUE"""),"راهجرد")</f>
        <v>راهجرد</v>
      </c>
      <c r="F6547" s="5"/>
      <c r="G6547" s="5"/>
      <c r="H6547" s="5"/>
      <c r="I6547" s="5"/>
      <c r="J6547" s="6" t="str">
        <f>IFERROR(__xludf.DUMMYFUNCTION("""COMPUTED_VALUE"""),"https://eitaa.com/h_shohada_rahjerd")</f>
        <v>https://eitaa.com/h_shohada_rahjerd</v>
      </c>
      <c r="K6547" s="5"/>
      <c r="L6547" s="5"/>
      <c r="M6547" s="5"/>
      <c r="N6547" s="5"/>
      <c r="O6547" s="5"/>
      <c r="P6547" s="5"/>
      <c r="Q6547" s="5"/>
      <c r="R6547" s="5"/>
      <c r="S6547" s="5"/>
    </row>
    <row r="6548">
      <c r="A6548" s="5">
        <f>IFERROR(__xludf.DUMMYFUNCTION("""COMPUTED_VALUE"""),16793.0)</f>
        <v>16793</v>
      </c>
      <c r="B6548" s="5" t="str">
        <f>IFERROR(__xludf.DUMMYFUNCTION("""COMPUTED_VALUE"""),"هیأت")</f>
        <v>هیأت</v>
      </c>
      <c r="C6548" s="5" t="str">
        <f>IFERROR(__xludf.DUMMYFUNCTION("""COMPUTED_VALUE"""),"حضرت علی اصغر(ع)")</f>
        <v>حضرت علی اصغر(ع)</v>
      </c>
      <c r="D6548" s="5" t="str">
        <f>IFERROR(__xludf.DUMMYFUNCTION("""COMPUTED_VALUE"""),"یزد")</f>
        <v>یزد</v>
      </c>
      <c r="E6548" s="5" t="str">
        <f>IFERROR(__xludf.DUMMYFUNCTION("""COMPUTED_VALUE"""),"ابرکوه")</f>
        <v>ابرکوه</v>
      </c>
      <c r="F6548" s="5"/>
      <c r="G6548" s="5"/>
      <c r="H6548" s="5"/>
      <c r="I6548" s="5"/>
      <c r="J6548" s="6" t="str">
        <f>IFERROR(__xludf.DUMMYFUNCTION("""COMPUTED_VALUE"""),"https://eitaa.com/ali_asghar_abarkooh")</f>
        <v>https://eitaa.com/ali_asghar_abarkooh</v>
      </c>
      <c r="K6548" s="5"/>
      <c r="L6548" s="5"/>
      <c r="M6548" s="5"/>
      <c r="N6548" s="5"/>
      <c r="O6548" s="5"/>
      <c r="P6548" s="5"/>
      <c r="Q6548" s="5"/>
      <c r="R6548" s="5"/>
      <c r="S6548" s="5"/>
    </row>
    <row r="6549">
      <c r="A6549" s="5">
        <f>IFERROR(__xludf.DUMMYFUNCTION("""COMPUTED_VALUE"""),16795.0)</f>
        <v>16795</v>
      </c>
      <c r="B6549" s="5" t="str">
        <f>IFERROR(__xludf.DUMMYFUNCTION("""COMPUTED_VALUE"""),"هیأت")</f>
        <v>هیأت</v>
      </c>
      <c r="C6549" s="5" t="str">
        <f>IFERROR(__xludf.DUMMYFUNCTION("""COMPUTED_VALUE"""),"ندای بهشت")</f>
        <v>ندای بهشت</v>
      </c>
      <c r="D6549" s="5" t="str">
        <f>IFERROR(__xludf.DUMMYFUNCTION("""COMPUTED_VALUE"""),"یزد")</f>
        <v>یزد</v>
      </c>
      <c r="E6549" s="5" t="str">
        <f>IFERROR(__xludf.DUMMYFUNCTION("""COMPUTED_VALUE"""),"ابرکوه")</f>
        <v>ابرکوه</v>
      </c>
      <c r="F6549" s="5"/>
      <c r="G6549" s="5"/>
      <c r="H6549" s="5"/>
      <c r="I6549" s="5"/>
      <c r="J6549" s="6" t="str">
        <f>IFERROR(__xludf.DUMMYFUNCTION("""COMPUTED_VALUE"""),"https://eitaa.com/nedayebehesht")</f>
        <v>https://eitaa.com/nedayebehesht</v>
      </c>
      <c r="K6549" s="5"/>
      <c r="L6549" s="5"/>
      <c r="M6549" s="5"/>
      <c r="N6549" s="5"/>
      <c r="O6549" s="5"/>
      <c r="P6549" s="5"/>
      <c r="Q6549" s="5"/>
      <c r="R6549" s="5"/>
      <c r="S6549" s="5"/>
    </row>
    <row r="6550">
      <c r="A6550" s="5">
        <f>IFERROR(__xludf.DUMMYFUNCTION("""COMPUTED_VALUE"""),16797.0)</f>
        <v>16797</v>
      </c>
      <c r="B6550" s="5" t="str">
        <f>IFERROR(__xludf.DUMMYFUNCTION("""COMPUTED_VALUE"""),"هیأت")</f>
        <v>هیأت</v>
      </c>
      <c r="C6550" s="5" t="str">
        <f>IFERROR(__xludf.DUMMYFUNCTION("""COMPUTED_VALUE"""),"فاطمیون")</f>
        <v>فاطمیون</v>
      </c>
      <c r="D6550" s="5" t="str">
        <f>IFERROR(__xludf.DUMMYFUNCTION("""COMPUTED_VALUE"""),"یزد")</f>
        <v>یزد</v>
      </c>
      <c r="E6550" s="5" t="str">
        <f>IFERROR(__xludf.DUMMYFUNCTION("""COMPUTED_VALUE"""),"ابرکوه")</f>
        <v>ابرکوه</v>
      </c>
      <c r="F6550" s="5"/>
      <c r="G6550" s="5"/>
      <c r="H6550" s="6" t="str">
        <f>IFERROR(__xludf.DUMMYFUNCTION("""COMPUTED_VALUE"""),"https://www.instagram.com/fatmeun_abarkoh")</f>
        <v>https://www.instagram.com/fatmeun_abarkoh</v>
      </c>
      <c r="I6550" s="5"/>
      <c r="J6550" s="6" t="str">
        <f>IFERROR(__xludf.DUMMYFUNCTION("""COMPUTED_VALUE"""),"https://eitaa.com/fatmeun_abarkoh")</f>
        <v>https://eitaa.com/fatmeun_abarkoh</v>
      </c>
      <c r="K6550" s="5"/>
      <c r="L6550" s="5"/>
      <c r="M6550" s="5"/>
      <c r="N6550" s="5"/>
      <c r="O6550" s="5"/>
      <c r="P6550" s="5"/>
      <c r="Q6550" s="5"/>
      <c r="R6550" s="5"/>
      <c r="S6550" s="5"/>
    </row>
    <row r="6551">
      <c r="A6551" s="5">
        <f>IFERROR(__xludf.DUMMYFUNCTION("""COMPUTED_VALUE"""),16799.0)</f>
        <v>16799</v>
      </c>
      <c r="B6551" s="5" t="str">
        <f>IFERROR(__xludf.DUMMYFUNCTION("""COMPUTED_VALUE"""),"هیأت")</f>
        <v>هیأت</v>
      </c>
      <c r="C6551" s="5" t="str">
        <f>IFERROR(__xludf.DUMMYFUNCTION("""COMPUTED_VALUE"""),"محبان حضرت علی اکبر(ع)")</f>
        <v>محبان حضرت علی اکبر(ع)</v>
      </c>
      <c r="D6551" s="5" t="str">
        <f>IFERROR(__xludf.DUMMYFUNCTION("""COMPUTED_VALUE"""),"یزد")</f>
        <v>یزد</v>
      </c>
      <c r="E6551" s="5" t="str">
        <f>IFERROR(__xludf.DUMMYFUNCTION("""COMPUTED_VALUE"""),"ابرکوه")</f>
        <v>ابرکوه</v>
      </c>
      <c r="F6551" s="5"/>
      <c r="G6551" s="5"/>
      <c r="H6551" s="5"/>
      <c r="I6551" s="6" t="str">
        <f>IFERROR(__xludf.DUMMYFUNCTION("""COMPUTED_VALUE"""),"https://t.me/hayhatmennazellah")</f>
        <v>https://t.me/hayhatmennazellah</v>
      </c>
      <c r="J6551" s="5"/>
      <c r="K6551" s="5"/>
      <c r="L6551" s="5"/>
      <c r="M6551" s="5"/>
      <c r="N6551" s="5"/>
      <c r="O6551" s="5"/>
      <c r="P6551" s="5"/>
      <c r="Q6551" s="5"/>
      <c r="R6551" s="5"/>
      <c r="S6551" s="5"/>
    </row>
    <row r="6552">
      <c r="A6552" s="5">
        <f>IFERROR(__xludf.DUMMYFUNCTION("""COMPUTED_VALUE"""),17039.0)</f>
        <v>17039</v>
      </c>
      <c r="B6552" s="5" t="str">
        <f>IFERROR(__xludf.DUMMYFUNCTION("""COMPUTED_VALUE"""),"هیأت")</f>
        <v>هیأت</v>
      </c>
      <c r="C6552" s="5" t="str">
        <f>IFERROR(__xludf.DUMMYFUNCTION("""COMPUTED_VALUE"""),"بلوار دهه فجر مریم آباد")</f>
        <v>بلوار دهه فجر مریم آباد</v>
      </c>
      <c r="D6552" s="5" t="str">
        <f>IFERROR(__xludf.DUMMYFUNCTION("""COMPUTED_VALUE"""),"یزد")</f>
        <v>یزد</v>
      </c>
      <c r="E6552" s="5" t="str">
        <f>IFERROR(__xludf.DUMMYFUNCTION("""COMPUTED_VALUE"""),"ابرکوه")</f>
        <v>ابرکوه</v>
      </c>
      <c r="F6552" s="5"/>
      <c r="G6552" s="5"/>
      <c r="H6552" s="5"/>
      <c r="I6552" s="5"/>
      <c r="J6552" s="6" t="str">
        <f>IFERROR(__xludf.DUMMYFUNCTION("""COMPUTED_VALUE"""),"https://eitaa.com/maryamabadyazd")</f>
        <v>https://eitaa.com/maryamabadyazd</v>
      </c>
      <c r="K6552" s="5"/>
      <c r="L6552" s="5"/>
      <c r="M6552" s="5"/>
      <c r="N6552" s="5"/>
      <c r="O6552" s="5"/>
      <c r="P6552" s="5"/>
      <c r="Q6552" s="5"/>
      <c r="R6552" s="5"/>
      <c r="S6552" s="5"/>
    </row>
    <row r="6553">
      <c r="A6553" s="5">
        <f>IFERROR(__xludf.DUMMYFUNCTION("""COMPUTED_VALUE"""),17098.0)</f>
        <v>17098</v>
      </c>
      <c r="B6553" s="5" t="str">
        <f>IFERROR(__xludf.DUMMYFUNCTION("""COMPUTED_VALUE"""),"هیأت")</f>
        <v>هیأت</v>
      </c>
      <c r="C6553" s="5" t="str">
        <f>IFERROR(__xludf.DUMMYFUNCTION("""COMPUTED_VALUE"""),"انصارالمهدی (عج)")</f>
        <v>انصارالمهدی (عج)</v>
      </c>
      <c r="D6553" s="5" t="str">
        <f>IFERROR(__xludf.DUMMYFUNCTION("""COMPUTED_VALUE"""),"یزد")</f>
        <v>یزد</v>
      </c>
      <c r="E6553" s="5" t="str">
        <f>IFERROR(__xludf.DUMMYFUNCTION("""COMPUTED_VALUE"""),"ابرکوه")</f>
        <v>ابرکوه</v>
      </c>
      <c r="F6553" s="5"/>
      <c r="G6553" s="5"/>
      <c r="H6553" s="6" t="str">
        <f>IFERROR(__xludf.DUMMYFUNCTION("""COMPUTED_VALUE"""),"https://www.instagram.com/ansar_almahdi_abarkooh")</f>
        <v>https://www.instagram.com/ansar_almahdi_abarkooh</v>
      </c>
      <c r="I6553" s="5"/>
      <c r="J6553" s="6" t="str">
        <f>IFERROR(__xludf.DUMMYFUNCTION("""COMPUTED_VALUE"""),"https://eitaa.com/ansarolmahdiabarkooh")</f>
        <v>https://eitaa.com/ansarolmahdiabarkooh</v>
      </c>
      <c r="K6553" s="5"/>
      <c r="L6553" s="5"/>
      <c r="M6553" s="5"/>
      <c r="N6553" s="5"/>
      <c r="O6553" s="5"/>
      <c r="P6553" s="5"/>
      <c r="Q6553" s="5"/>
      <c r="R6553" s="5"/>
      <c r="S6553" s="5"/>
    </row>
    <row r="6554">
      <c r="A6554" s="5">
        <f>IFERROR(__xludf.DUMMYFUNCTION("""COMPUTED_VALUE"""),17797.0)</f>
        <v>17797</v>
      </c>
      <c r="B6554" s="5" t="str">
        <f>IFERROR(__xludf.DUMMYFUNCTION("""COMPUTED_VALUE"""),"هیأت")</f>
        <v>هیأت</v>
      </c>
      <c r="C6554" s="5" t="str">
        <f>IFERROR(__xludf.DUMMYFUNCTION("""COMPUTED_VALUE"""),"علمدار حسین (ع)")</f>
        <v>علمدار حسین (ع)</v>
      </c>
      <c r="D6554" s="5" t="str">
        <f>IFERROR(__xludf.DUMMYFUNCTION("""COMPUTED_VALUE"""),"یزد")</f>
        <v>یزد</v>
      </c>
      <c r="E6554" s="5" t="str">
        <f>IFERROR(__xludf.DUMMYFUNCTION("""COMPUTED_VALUE"""),"ابرکوه")</f>
        <v>ابرکوه</v>
      </c>
      <c r="F6554" s="5"/>
      <c r="G6554" s="5"/>
      <c r="H6554" s="5"/>
      <c r="I6554" s="5"/>
      <c r="J6554" s="6" t="str">
        <f>IFERROR(__xludf.DUMMYFUNCTION("""COMPUTED_VALUE"""),"https://eitaa.com/alamdaarehosein")</f>
        <v>https://eitaa.com/alamdaarehosein</v>
      </c>
      <c r="K6554" s="5"/>
      <c r="L6554" s="5"/>
      <c r="M6554" s="5"/>
      <c r="N6554" s="5"/>
      <c r="O6554" s="5"/>
      <c r="P6554" s="5"/>
      <c r="Q6554" s="5"/>
      <c r="R6554" s="5"/>
      <c r="S6554" s="5"/>
    </row>
    <row r="6555">
      <c r="A6555" s="5">
        <f>IFERROR(__xludf.DUMMYFUNCTION("""COMPUTED_VALUE"""),18812.0)</f>
        <v>18812</v>
      </c>
      <c r="B6555" s="5" t="str">
        <f>IFERROR(__xludf.DUMMYFUNCTION("""COMPUTED_VALUE"""),"هیأت بانوان")</f>
        <v>هیأت بانوان</v>
      </c>
      <c r="C6555" s="5" t="str">
        <f>IFERROR(__xludf.DUMMYFUNCTION("""COMPUTED_VALUE"""),"پیروان عترت (خواهران)")</f>
        <v>پیروان عترت (خواهران)</v>
      </c>
      <c r="D6555" s="5" t="str">
        <f>IFERROR(__xludf.DUMMYFUNCTION("""COMPUTED_VALUE"""),"یزد")</f>
        <v>یزد</v>
      </c>
      <c r="E6555" s="5" t="str">
        <f>IFERROR(__xludf.DUMMYFUNCTION("""COMPUTED_VALUE"""),"ابرکوه")</f>
        <v>ابرکوه</v>
      </c>
      <c r="F6555" s="5"/>
      <c r="G6555" s="5"/>
      <c r="H6555" s="5"/>
      <c r="I6555" s="5"/>
      <c r="J6555" s="6" t="str">
        <f>IFERROR(__xludf.DUMMYFUNCTION("""COMPUTED_VALUE"""),"https://eitaa.com/heyatrazmandeganabar")</f>
        <v>https://eitaa.com/heyatrazmandeganabar</v>
      </c>
      <c r="K6555" s="5"/>
      <c r="L6555" s="5"/>
      <c r="M6555" s="5"/>
      <c r="N6555" s="5"/>
      <c r="O6555" s="5"/>
      <c r="P6555" s="5"/>
      <c r="Q6555" s="5"/>
      <c r="R6555" s="5"/>
      <c r="S6555" s="5"/>
    </row>
    <row r="6556">
      <c r="A6556" s="5">
        <f>IFERROR(__xludf.DUMMYFUNCTION("""COMPUTED_VALUE"""),21308.0)</f>
        <v>21308</v>
      </c>
      <c r="B6556" s="5" t="str">
        <f>IFERROR(__xludf.DUMMYFUNCTION("""COMPUTED_VALUE"""),"هیأت")</f>
        <v>هیأت</v>
      </c>
      <c r="C6556" s="5" t="str">
        <f>IFERROR(__xludf.DUMMYFUNCTION("""COMPUTED_VALUE"""),"رزمندگان اسلام")</f>
        <v>رزمندگان اسلام</v>
      </c>
      <c r="D6556" s="5" t="str">
        <f>IFERROR(__xludf.DUMMYFUNCTION("""COMPUTED_VALUE"""),"یزد")</f>
        <v>یزد</v>
      </c>
      <c r="E6556" s="5" t="str">
        <f>IFERROR(__xludf.DUMMYFUNCTION("""COMPUTED_VALUE"""),"ابرکوه")</f>
        <v>ابرکوه</v>
      </c>
      <c r="F6556" s="5"/>
      <c r="G6556" s="5"/>
      <c r="H6556" s="6" t="str">
        <f>IFERROR(__xludf.DUMMYFUNCTION("""COMPUTED_VALUE"""),"https://www.instagram.com/heyat_razmandegan.abar")</f>
        <v>https://www.instagram.com/heyat_razmandegan.abar</v>
      </c>
      <c r="I6556" s="5"/>
      <c r="J6556" s="6" t="str">
        <f>IFERROR(__xludf.DUMMYFUNCTION("""COMPUTED_VALUE"""),"https://eitaa.com/heyatrazmandeganabar")</f>
        <v>https://eitaa.com/heyatrazmandeganabar</v>
      </c>
      <c r="K6556" s="5"/>
      <c r="L6556" s="5"/>
      <c r="M6556" s="5"/>
      <c r="N6556" s="5"/>
      <c r="O6556" s="5"/>
      <c r="P6556" s="5"/>
      <c r="Q6556" s="5"/>
      <c r="R6556" s="5"/>
      <c r="S6556" s="5"/>
    </row>
    <row r="6557">
      <c r="A6557" s="5">
        <f>IFERROR(__xludf.DUMMYFUNCTION("""COMPUTED_VALUE"""),27936.0)</f>
        <v>27936</v>
      </c>
      <c r="B6557" s="5" t="str">
        <f>IFERROR(__xludf.DUMMYFUNCTION("""COMPUTED_VALUE"""),"هیأت")</f>
        <v>هیأت</v>
      </c>
      <c r="C6557" s="5" t="str">
        <f>IFERROR(__xludf.DUMMYFUNCTION("""COMPUTED_VALUE"""),"بنت الحسین (س)")</f>
        <v>بنت الحسین (س)</v>
      </c>
      <c r="D6557" s="5" t="str">
        <f>IFERROR(__xludf.DUMMYFUNCTION("""COMPUTED_VALUE"""),"یزد")</f>
        <v>یزد</v>
      </c>
      <c r="E6557" s="5" t="str">
        <f>IFERROR(__xludf.DUMMYFUNCTION("""COMPUTED_VALUE"""),"ابرکوه")</f>
        <v>ابرکوه</v>
      </c>
      <c r="F6557" s="5"/>
      <c r="G6557" s="5"/>
      <c r="H6557" s="6" t="str">
        <f>IFERROR(__xludf.DUMMYFUNCTION("""COMPUTED_VALUE"""),"https://www.instagram.com/benttolhossein")</f>
        <v>https://www.instagram.com/benttolhossein</v>
      </c>
      <c r="I6557" s="5"/>
      <c r="J6557" s="5"/>
      <c r="K6557" s="5"/>
      <c r="L6557" s="5"/>
      <c r="M6557" s="5"/>
      <c r="N6557" s="5"/>
      <c r="O6557" s="5"/>
      <c r="P6557" s="5"/>
      <c r="Q6557" s="5"/>
      <c r="R6557" s="5"/>
      <c r="S6557" s="5"/>
    </row>
    <row r="6558">
      <c r="A6558" s="5">
        <f>IFERROR(__xludf.DUMMYFUNCTION("""COMPUTED_VALUE"""),31295.0)</f>
        <v>31295</v>
      </c>
      <c r="B6558" s="5" t="str">
        <f>IFERROR(__xludf.DUMMYFUNCTION("""COMPUTED_VALUE"""),"هیأت")</f>
        <v>هیأت</v>
      </c>
      <c r="C6558" s="5" t="str">
        <f>IFERROR(__xludf.DUMMYFUNCTION("""COMPUTED_VALUE"""),"مذهبی محله گلکاران")</f>
        <v>مذهبی محله گلکاران</v>
      </c>
      <c r="D6558" s="5" t="str">
        <f>IFERROR(__xludf.DUMMYFUNCTION("""COMPUTED_VALUE"""),"یزد")</f>
        <v>یزد</v>
      </c>
      <c r="E6558" s="5" t="str">
        <f>IFERROR(__xludf.DUMMYFUNCTION("""COMPUTED_VALUE"""),"ابرکوه")</f>
        <v>ابرکوه</v>
      </c>
      <c r="F6558" s="5"/>
      <c r="G6558" s="5"/>
      <c r="H6558" s="6" t="str">
        <f>IFERROR(__xludf.DUMMYFUNCTION("""COMPUTED_VALUE"""),"https://www.instagram.com/h_o_golkaran")</f>
        <v>https://www.instagram.com/h_o_golkaran</v>
      </c>
      <c r="I6558" s="5"/>
      <c r="J6558" s="5"/>
      <c r="K6558" s="5"/>
      <c r="L6558" s="5"/>
      <c r="M6558" s="5"/>
      <c r="N6558" s="5"/>
      <c r="O6558" s="5"/>
      <c r="P6558" s="5"/>
      <c r="Q6558" s="5"/>
      <c r="R6558" s="5"/>
      <c r="S6558" s="5"/>
    </row>
    <row r="6559">
      <c r="A6559" s="5">
        <f>IFERROR(__xludf.DUMMYFUNCTION("""COMPUTED_VALUE"""),16810.0)</f>
        <v>16810</v>
      </c>
      <c r="B6559" s="5" t="str">
        <f>IFERROR(__xludf.DUMMYFUNCTION("""COMPUTED_VALUE"""),"هیأت")</f>
        <v>هیأت</v>
      </c>
      <c r="C6559" s="5" t="str">
        <f>IFERROR(__xludf.DUMMYFUNCTION("""COMPUTED_VALUE"""),"مجمع عاشقان بقیع")</f>
        <v>مجمع عاشقان بقیع</v>
      </c>
      <c r="D6559" s="5" t="str">
        <f>IFERROR(__xludf.DUMMYFUNCTION("""COMPUTED_VALUE"""),"یزد")</f>
        <v>یزد</v>
      </c>
      <c r="E6559" s="5" t="str">
        <f>IFERROR(__xludf.DUMMYFUNCTION("""COMPUTED_VALUE"""),"اردکان")</f>
        <v>اردکان</v>
      </c>
      <c r="F6559" s="5"/>
      <c r="G6559" s="5"/>
      <c r="H6559" s="5"/>
      <c r="I6559" s="5"/>
      <c r="J6559" s="6" t="str">
        <f>IFERROR(__xludf.DUMMYFUNCTION("""COMPUTED_VALUE"""),"https://eitaa.com/yasegharibardakan")</f>
        <v>https://eitaa.com/yasegharibardakan</v>
      </c>
      <c r="K6559" s="5"/>
      <c r="L6559" s="5"/>
      <c r="M6559" s="5"/>
      <c r="N6559" s="5"/>
      <c r="O6559" s="5"/>
      <c r="P6559" s="5"/>
      <c r="Q6559" s="5"/>
      <c r="R6559" s="5"/>
      <c r="S6559" s="5"/>
    </row>
    <row r="6560">
      <c r="A6560" s="5">
        <f>IFERROR(__xludf.DUMMYFUNCTION("""COMPUTED_VALUE"""),16818.0)</f>
        <v>16818</v>
      </c>
      <c r="B6560" s="5" t="str">
        <f>IFERROR(__xludf.DUMMYFUNCTION("""COMPUTED_VALUE"""),"هیأت")</f>
        <v>هیأت</v>
      </c>
      <c r="C6560" s="5" t="str">
        <f>IFERROR(__xludf.DUMMYFUNCTION("""COMPUTED_VALUE"""),"قمربنی هاشم(ع)")</f>
        <v>قمربنی هاشم(ع)</v>
      </c>
      <c r="D6560" s="5" t="str">
        <f>IFERROR(__xludf.DUMMYFUNCTION("""COMPUTED_VALUE"""),"یزد")</f>
        <v>یزد</v>
      </c>
      <c r="E6560" s="5" t="str">
        <f>IFERROR(__xludf.DUMMYFUNCTION("""COMPUTED_VALUE"""),"اردکان")</f>
        <v>اردکان</v>
      </c>
      <c r="F6560" s="5"/>
      <c r="G6560" s="5"/>
      <c r="H6560" s="5"/>
      <c r="I6560" s="5"/>
      <c r="J6560" s="6" t="str">
        <f>IFERROR(__xludf.DUMMYFUNCTION("""COMPUTED_VALUE"""),"https://eitaa.com/baradarebavafa")</f>
        <v>https://eitaa.com/baradarebavafa</v>
      </c>
      <c r="K6560" s="5"/>
      <c r="L6560" s="5"/>
      <c r="M6560" s="5"/>
      <c r="N6560" s="5"/>
      <c r="O6560" s="5"/>
      <c r="P6560" s="5"/>
      <c r="Q6560" s="5"/>
      <c r="R6560" s="5"/>
      <c r="S6560" s="5"/>
    </row>
    <row r="6561">
      <c r="A6561" s="5">
        <f>IFERROR(__xludf.DUMMYFUNCTION("""COMPUTED_VALUE"""),17013.0)</f>
        <v>17013</v>
      </c>
      <c r="B6561" s="5" t="str">
        <f>IFERROR(__xludf.DUMMYFUNCTION("""COMPUTED_VALUE"""),"هیأت")</f>
        <v>هیأت</v>
      </c>
      <c r="C6561" s="5" t="str">
        <f>IFERROR(__xludf.DUMMYFUNCTION("""COMPUTED_VALUE"""),"ارشاد مزرعه سیف")</f>
        <v>ارشاد مزرعه سیف</v>
      </c>
      <c r="D6561" s="5" t="str">
        <f>IFERROR(__xludf.DUMMYFUNCTION("""COMPUTED_VALUE"""),"یزد")</f>
        <v>یزد</v>
      </c>
      <c r="E6561" s="5" t="str">
        <f>IFERROR(__xludf.DUMMYFUNCTION("""COMPUTED_VALUE"""),"اردکان")</f>
        <v>اردکان</v>
      </c>
      <c r="F6561" s="5"/>
      <c r="G6561" s="5"/>
      <c r="H6561" s="5"/>
      <c r="I6561" s="5"/>
      <c r="J6561" s="6" t="str">
        <f>IFERROR(__xludf.DUMMYFUNCTION("""COMPUTED_VALUE"""),"https://eitaa.com/hosseinie_ershad")</f>
        <v>https://eitaa.com/hosseinie_ershad</v>
      </c>
      <c r="K6561" s="5"/>
      <c r="L6561" s="5"/>
      <c r="M6561" s="5"/>
      <c r="N6561" s="5"/>
      <c r="O6561" s="5"/>
      <c r="P6561" s="5"/>
      <c r="Q6561" s="5"/>
      <c r="R6561" s="5"/>
      <c r="S6561" s="5"/>
    </row>
    <row r="6562">
      <c r="A6562" s="5">
        <f>IFERROR(__xludf.DUMMYFUNCTION("""COMPUTED_VALUE"""),17026.0)</f>
        <v>17026</v>
      </c>
      <c r="B6562" s="5" t="str">
        <f>IFERROR(__xludf.DUMMYFUNCTION("""COMPUTED_VALUE"""),"هیأت")</f>
        <v>هیأت</v>
      </c>
      <c r="C6562" s="5" t="str">
        <f>IFERROR(__xludf.DUMMYFUNCTION("""COMPUTED_VALUE"""),"علوی")</f>
        <v>علوی</v>
      </c>
      <c r="D6562" s="5" t="str">
        <f>IFERROR(__xludf.DUMMYFUNCTION("""COMPUTED_VALUE"""),"یزد")</f>
        <v>یزد</v>
      </c>
      <c r="E6562" s="5" t="str">
        <f>IFERROR(__xludf.DUMMYFUNCTION("""COMPUTED_VALUE"""),"اردکان")</f>
        <v>اردکان</v>
      </c>
      <c r="F6562" s="5"/>
      <c r="G6562" s="5"/>
      <c r="H6562" s="5"/>
      <c r="I6562" s="5"/>
      <c r="J6562" s="6" t="str">
        <f>IFERROR(__xludf.DUMMYFUNCTION("""COMPUTED_VALUE"""),"https://eitaa.com/rasa_ar")</f>
        <v>https://eitaa.com/rasa_ar</v>
      </c>
      <c r="K6562" s="5"/>
      <c r="L6562" s="5"/>
      <c r="M6562" s="5"/>
      <c r="N6562" s="5"/>
      <c r="O6562" s="5"/>
      <c r="P6562" s="5"/>
      <c r="Q6562" s="5"/>
      <c r="R6562" s="5"/>
      <c r="S6562" s="5"/>
    </row>
    <row r="6563">
      <c r="A6563" s="5">
        <f>IFERROR(__xludf.DUMMYFUNCTION("""COMPUTED_VALUE"""),17027.0)</f>
        <v>17027</v>
      </c>
      <c r="B6563" s="5" t="str">
        <f>IFERROR(__xludf.DUMMYFUNCTION("""COMPUTED_VALUE"""),"هیأت")</f>
        <v>هیأت</v>
      </c>
      <c r="C6563" s="5" t="str">
        <f>IFERROR(__xludf.DUMMYFUNCTION("""COMPUTED_VALUE"""),"مجمع یاحسین(ع) (رزمندگان اسلام)")</f>
        <v>مجمع یاحسین(ع) (رزمندگان اسلام)</v>
      </c>
      <c r="D6563" s="5" t="str">
        <f>IFERROR(__xludf.DUMMYFUNCTION("""COMPUTED_VALUE"""),"یزد")</f>
        <v>یزد</v>
      </c>
      <c r="E6563" s="5" t="str">
        <f>IFERROR(__xludf.DUMMYFUNCTION("""COMPUTED_VALUE"""),"اردکان")</f>
        <v>اردکان</v>
      </c>
      <c r="F6563" s="5"/>
      <c r="G6563" s="5"/>
      <c r="H6563" s="5"/>
      <c r="I6563" s="5"/>
      <c r="J6563" s="6" t="str">
        <f>IFERROR(__xludf.DUMMYFUNCTION("""COMPUTED_VALUE"""),"https://eitaa.com/amvatardakan")</f>
        <v>https://eitaa.com/amvatardakan</v>
      </c>
      <c r="K6563" s="5"/>
      <c r="L6563" s="5"/>
      <c r="M6563" s="5"/>
      <c r="N6563" s="5"/>
      <c r="O6563" s="5"/>
      <c r="P6563" s="5"/>
      <c r="Q6563" s="5"/>
      <c r="R6563" s="5"/>
      <c r="S6563" s="5"/>
    </row>
    <row r="6564">
      <c r="A6564" s="5">
        <f>IFERROR(__xludf.DUMMYFUNCTION("""COMPUTED_VALUE"""),17045.0)</f>
        <v>17045</v>
      </c>
      <c r="B6564" s="5" t="str">
        <f>IFERROR(__xludf.DUMMYFUNCTION("""COMPUTED_VALUE"""),"هیأت")</f>
        <v>هیأت</v>
      </c>
      <c r="C6564" s="5" t="str">
        <f>IFERROR(__xludf.DUMMYFUNCTION("""COMPUTED_VALUE"""),"نوجوانان قمربنی هاشم (ع)")</f>
        <v>نوجوانان قمربنی هاشم (ع)</v>
      </c>
      <c r="D6564" s="5" t="str">
        <f>IFERROR(__xludf.DUMMYFUNCTION("""COMPUTED_VALUE"""),"یزد")</f>
        <v>یزد</v>
      </c>
      <c r="E6564" s="5" t="str">
        <f>IFERROR(__xludf.DUMMYFUNCTION("""COMPUTED_VALUE"""),"اردکان")</f>
        <v>اردکان</v>
      </c>
      <c r="F6564" s="5"/>
      <c r="G6564" s="5"/>
      <c r="H6564" s="5"/>
      <c r="I6564" s="5"/>
      <c r="J6564" s="6" t="str">
        <f>IFERROR(__xludf.DUMMYFUNCTION("""COMPUTED_VALUE"""),"https://eitaa.com/Baradarebavafa")</f>
        <v>https://eitaa.com/Baradarebavafa</v>
      </c>
      <c r="K6564" s="5"/>
      <c r="L6564" s="5"/>
      <c r="M6564" s="5"/>
      <c r="N6564" s="5"/>
      <c r="O6564" s="5"/>
      <c r="P6564" s="5"/>
      <c r="Q6564" s="5"/>
      <c r="R6564" s="5"/>
      <c r="S6564" s="5"/>
    </row>
    <row r="6565">
      <c r="A6565" s="5">
        <f>IFERROR(__xludf.DUMMYFUNCTION("""COMPUTED_VALUE"""),17055.0)</f>
        <v>17055</v>
      </c>
      <c r="B6565" s="5" t="str">
        <f>IFERROR(__xludf.DUMMYFUNCTION("""COMPUTED_VALUE"""),"هیأت")</f>
        <v>هیأت</v>
      </c>
      <c r="C6565" s="5" t="str">
        <f>IFERROR(__xludf.DUMMYFUNCTION("""COMPUTED_VALUE"""),"مهدیه")</f>
        <v>مهدیه</v>
      </c>
      <c r="D6565" s="5" t="str">
        <f>IFERROR(__xludf.DUMMYFUNCTION("""COMPUTED_VALUE"""),"یزد")</f>
        <v>یزد</v>
      </c>
      <c r="E6565" s="5" t="str">
        <f>IFERROR(__xludf.DUMMYFUNCTION("""COMPUTED_VALUE"""),"اردکان")</f>
        <v>اردکان</v>
      </c>
      <c r="F6565" s="5"/>
      <c r="G6565" s="5"/>
      <c r="H6565" s="6" t="str">
        <f>IFERROR(__xludf.DUMMYFUNCTION("""COMPUTED_VALUE"""),"https://www.instagram.com/mahdie_ardakan/")</f>
        <v>https://www.instagram.com/mahdie_ardakan/</v>
      </c>
      <c r="I6565" s="6" t="str">
        <f>IFERROR(__xludf.DUMMYFUNCTION("""COMPUTED_VALUE"""),"https://t.me/mahdie_ardakan")</f>
        <v>https://t.me/mahdie_ardakan</v>
      </c>
      <c r="J6565" s="6" t="str">
        <f>IFERROR(__xludf.DUMMYFUNCTION("""COMPUTED_VALUE"""),"https://eitaa.com/mahdie_ardakan")</f>
        <v>https://eitaa.com/mahdie_ardakan</v>
      </c>
      <c r="K6565" s="5"/>
      <c r="L6565" s="5"/>
      <c r="M6565" s="5"/>
      <c r="N6565" s="5"/>
      <c r="O6565" s="5"/>
      <c r="P6565" s="5"/>
      <c r="Q6565" s="5"/>
      <c r="R6565" s="5"/>
      <c r="S6565" s="5"/>
    </row>
    <row r="6566">
      <c r="A6566" s="5">
        <f>IFERROR(__xludf.DUMMYFUNCTION("""COMPUTED_VALUE"""),17079.0)</f>
        <v>17079</v>
      </c>
      <c r="B6566" s="5" t="str">
        <f>IFERROR(__xludf.DUMMYFUNCTION("""COMPUTED_VALUE"""),"هیأت")</f>
        <v>هیأت</v>
      </c>
      <c r="C6566" s="5" t="str">
        <f>IFERROR(__xludf.DUMMYFUNCTION("""COMPUTED_VALUE"""),"صاحب الزمان(عج)")</f>
        <v>صاحب الزمان(عج)</v>
      </c>
      <c r="D6566" s="5" t="str">
        <f>IFERROR(__xludf.DUMMYFUNCTION("""COMPUTED_VALUE"""),"یزد")</f>
        <v>یزد</v>
      </c>
      <c r="E6566" s="5" t="str">
        <f>IFERROR(__xludf.DUMMYFUNCTION("""COMPUTED_VALUE"""),"اردکان")</f>
        <v>اردکان</v>
      </c>
      <c r="F6566" s="5"/>
      <c r="G6566" s="5"/>
      <c r="H6566" s="5"/>
      <c r="I6566" s="5"/>
      <c r="J6566" s="6" t="str">
        <f>IFERROR(__xludf.DUMMYFUNCTION("""COMPUTED_VALUE"""),"https://eitaa.com/Masjdsahibalzaman")</f>
        <v>https://eitaa.com/Masjdsahibalzaman</v>
      </c>
      <c r="K6566" s="5"/>
      <c r="L6566" s="5"/>
      <c r="M6566" s="5"/>
      <c r="N6566" s="5"/>
      <c r="O6566" s="5"/>
      <c r="P6566" s="5"/>
      <c r="Q6566" s="5"/>
      <c r="R6566" s="5"/>
      <c r="S6566" s="5"/>
    </row>
    <row r="6567">
      <c r="A6567" s="5">
        <f>IFERROR(__xludf.DUMMYFUNCTION("""COMPUTED_VALUE"""),17080.0)</f>
        <v>17080</v>
      </c>
      <c r="B6567" s="5" t="str">
        <f>IFERROR(__xludf.DUMMYFUNCTION("""COMPUTED_VALUE"""),"هیأت")</f>
        <v>هیأت</v>
      </c>
      <c r="C6567" s="5" t="str">
        <f>IFERROR(__xludf.DUMMYFUNCTION("""COMPUTED_VALUE"""),"بیت الحسین(ع)")</f>
        <v>بیت الحسین(ع)</v>
      </c>
      <c r="D6567" s="5" t="str">
        <f>IFERROR(__xludf.DUMMYFUNCTION("""COMPUTED_VALUE"""),"یزد")</f>
        <v>یزد</v>
      </c>
      <c r="E6567" s="5" t="str">
        <f>IFERROR(__xludf.DUMMYFUNCTION("""COMPUTED_VALUE"""),"اردکان")</f>
        <v>اردکان</v>
      </c>
      <c r="F6567" s="5"/>
      <c r="G6567" s="5"/>
      <c r="H6567" s="5"/>
      <c r="I6567" s="5"/>
      <c r="J6567" s="6" t="str">
        <f>IFERROR(__xludf.DUMMYFUNCTION("""COMPUTED_VALUE"""),"https://eitaa.com/HOMEHOSINEBNALIARDAKAN")</f>
        <v>https://eitaa.com/HOMEHOSINEBNALIARDAKAN</v>
      </c>
      <c r="K6567" s="5"/>
      <c r="L6567" s="5"/>
      <c r="M6567" s="5"/>
      <c r="N6567" s="5"/>
      <c r="O6567" s="5"/>
      <c r="P6567" s="5"/>
      <c r="Q6567" s="5"/>
      <c r="R6567" s="5"/>
      <c r="S6567" s="5"/>
    </row>
    <row r="6568">
      <c r="A6568" s="5">
        <f>IFERROR(__xludf.DUMMYFUNCTION("""COMPUTED_VALUE"""),17784.0)</f>
        <v>17784</v>
      </c>
      <c r="B6568" s="5" t="str">
        <f>IFERROR(__xludf.DUMMYFUNCTION("""COMPUTED_VALUE"""),"مسجد")</f>
        <v>مسجد</v>
      </c>
      <c r="C6568" s="5" t="str">
        <f>IFERROR(__xludf.DUMMYFUNCTION("""COMPUTED_VALUE"""),"مسجد امیرالمومنین(ع)")</f>
        <v>مسجد امیرالمومنین(ع)</v>
      </c>
      <c r="D6568" s="5" t="str">
        <f>IFERROR(__xludf.DUMMYFUNCTION("""COMPUTED_VALUE"""),"یزد")</f>
        <v>یزد</v>
      </c>
      <c r="E6568" s="5" t="str">
        <f>IFERROR(__xludf.DUMMYFUNCTION("""COMPUTED_VALUE"""),"اردکان")</f>
        <v>اردکان</v>
      </c>
      <c r="F6568" s="5"/>
      <c r="G6568" s="5"/>
      <c r="H6568" s="5"/>
      <c r="I6568" s="5"/>
      <c r="J6568" s="6" t="str">
        <f>IFERROR(__xludf.DUMMYFUNCTION("""COMPUTED_VALUE"""),"https://eitaa.com/masjed110")</f>
        <v>https://eitaa.com/masjed110</v>
      </c>
      <c r="K6568" s="5"/>
      <c r="L6568" s="5"/>
      <c r="M6568" s="5"/>
      <c r="N6568" s="5"/>
      <c r="O6568" s="5"/>
      <c r="P6568" s="5"/>
      <c r="Q6568" s="5"/>
      <c r="R6568" s="5"/>
      <c r="S6568" s="5"/>
    </row>
    <row r="6569">
      <c r="A6569" s="5">
        <f>IFERROR(__xludf.DUMMYFUNCTION("""COMPUTED_VALUE"""),18813.0)</f>
        <v>18813</v>
      </c>
      <c r="B6569" s="5" t="str">
        <f>IFERROR(__xludf.DUMMYFUNCTION("""COMPUTED_VALUE"""),"هیأت بانوان")</f>
        <v>هیأت بانوان</v>
      </c>
      <c r="C6569" s="5" t="str">
        <f>IFERROR(__xludf.DUMMYFUNCTION("""COMPUTED_VALUE"""),"رزمندگان اسلام / پیروان عترت (خواهران)")</f>
        <v>رزمندگان اسلام / پیروان عترت (خواهران)</v>
      </c>
      <c r="D6569" s="5" t="str">
        <f>IFERROR(__xludf.DUMMYFUNCTION("""COMPUTED_VALUE"""),"یزد")</f>
        <v>یزد</v>
      </c>
      <c r="E6569" s="5" t="str">
        <f>IFERROR(__xludf.DUMMYFUNCTION("""COMPUTED_VALUE"""),"اردکان")</f>
        <v>اردکان</v>
      </c>
      <c r="F6569" s="5"/>
      <c r="G6569" s="5"/>
      <c r="H6569" s="5"/>
      <c r="I6569" s="5"/>
      <c r="J6569" s="6" t="str">
        <f>IFERROR(__xludf.DUMMYFUNCTION("""COMPUTED_VALUE"""),"https://eitaa.com/peyrovan_etrat")</f>
        <v>https://eitaa.com/peyrovan_etrat</v>
      </c>
      <c r="K6569" s="5"/>
      <c r="L6569" s="5"/>
      <c r="M6569" s="5"/>
      <c r="N6569" s="5"/>
      <c r="O6569" s="5"/>
      <c r="P6569" s="5"/>
      <c r="Q6569" s="5"/>
      <c r="R6569" s="5"/>
      <c r="S6569" s="5"/>
    </row>
    <row r="6570">
      <c r="A6570" s="5">
        <f>IFERROR(__xludf.DUMMYFUNCTION("""COMPUTED_VALUE"""),21486.0)</f>
        <v>21486</v>
      </c>
      <c r="B6570" s="5" t="str">
        <f>IFERROR(__xludf.DUMMYFUNCTION("""COMPUTED_VALUE"""),"هیأت")</f>
        <v>هیأت</v>
      </c>
      <c r="C6570" s="5" t="str">
        <f>IFERROR(__xludf.DUMMYFUNCTION("""COMPUTED_VALUE"""),"ابناء الحسین (ع)")</f>
        <v>ابناء الحسین (ع)</v>
      </c>
      <c r="D6570" s="5" t="str">
        <f>IFERROR(__xludf.DUMMYFUNCTION("""COMPUTED_VALUE"""),"یزد")</f>
        <v>یزد</v>
      </c>
      <c r="E6570" s="5" t="str">
        <f>IFERROR(__xludf.DUMMYFUNCTION("""COMPUTED_VALUE"""),"اردکان")</f>
        <v>اردکان</v>
      </c>
      <c r="F6570" s="5"/>
      <c r="G6570" s="5"/>
      <c r="H6570" s="6" t="str">
        <f>IFERROR(__xludf.DUMMYFUNCTION("""COMPUTED_VALUE"""),"https://www.instagram.com/abnaolhosseyn/")</f>
        <v>https://www.instagram.com/abnaolhosseyn/</v>
      </c>
      <c r="I6570" s="5"/>
      <c r="J6570" s="5"/>
      <c r="K6570" s="5"/>
      <c r="L6570" s="5"/>
      <c r="M6570" s="5"/>
      <c r="N6570" s="5"/>
      <c r="O6570" s="5"/>
      <c r="P6570" s="5"/>
      <c r="Q6570" s="5"/>
      <c r="R6570" s="5"/>
      <c r="S6570" s="5"/>
    </row>
    <row r="6571">
      <c r="A6571" s="5">
        <f>IFERROR(__xludf.DUMMYFUNCTION("""COMPUTED_VALUE"""),24614.0)</f>
        <v>24614</v>
      </c>
      <c r="B6571" s="5" t="str">
        <f>IFERROR(__xludf.DUMMYFUNCTION("""COMPUTED_VALUE"""),"هیأت")</f>
        <v>هیأت</v>
      </c>
      <c r="C6571" s="5" t="str">
        <f>IFERROR(__xludf.DUMMYFUNCTION("""COMPUTED_VALUE"""),"تعزیه خوانی ثارالله (ع)")</f>
        <v>تعزیه خوانی ثارالله (ع)</v>
      </c>
      <c r="D6571" s="5" t="str">
        <f>IFERROR(__xludf.DUMMYFUNCTION("""COMPUTED_VALUE"""),"یزد")</f>
        <v>یزد</v>
      </c>
      <c r="E6571" s="5" t="str">
        <f>IFERROR(__xludf.DUMMYFUNCTION("""COMPUTED_VALUE"""),"اردکان")</f>
        <v>اردکان</v>
      </c>
      <c r="F6571" s="5"/>
      <c r="G6571" s="5"/>
      <c r="H6571" s="6" t="str">
        <f>IFERROR(__xludf.DUMMYFUNCTION("""COMPUTED_VALUE"""),"https://www.instagram.com/hoseinie_sarallah")</f>
        <v>https://www.instagram.com/hoseinie_sarallah</v>
      </c>
      <c r="I6571" s="5"/>
      <c r="J6571" s="5"/>
      <c r="K6571" s="5"/>
      <c r="L6571" s="5"/>
      <c r="M6571" s="5"/>
      <c r="N6571" s="5"/>
      <c r="O6571" s="5"/>
      <c r="P6571" s="5"/>
      <c r="Q6571" s="5"/>
      <c r="R6571" s="5"/>
      <c r="S6571" s="5"/>
    </row>
    <row r="6572">
      <c r="A6572" s="5">
        <f>IFERROR(__xludf.DUMMYFUNCTION("""COMPUTED_VALUE"""),24625.0)</f>
        <v>24625</v>
      </c>
      <c r="B6572" s="5" t="str">
        <f>IFERROR(__xludf.DUMMYFUNCTION("""COMPUTED_VALUE"""),"هیأت")</f>
        <v>هیأت</v>
      </c>
      <c r="C6572" s="5" t="str">
        <f>IFERROR(__xludf.DUMMYFUNCTION("""COMPUTED_VALUE"""),"خاتم الانبیاء")</f>
        <v>خاتم الانبیاء</v>
      </c>
      <c r="D6572" s="5" t="str">
        <f>IFERROR(__xludf.DUMMYFUNCTION("""COMPUTED_VALUE"""),"یزد")</f>
        <v>یزد</v>
      </c>
      <c r="E6572" s="5" t="str">
        <f>IFERROR(__xludf.DUMMYFUNCTION("""COMPUTED_VALUE"""),"اردکان")</f>
        <v>اردکان</v>
      </c>
      <c r="F6572" s="5"/>
      <c r="G6572" s="5"/>
      <c r="H6572" s="5"/>
      <c r="I6572" s="5"/>
      <c r="J6572" s="6" t="str">
        <f>IFERROR(__xludf.DUMMYFUNCTION("""COMPUTED_VALUE"""),"https://eitaa.com/masjedkhatam25")</f>
        <v>https://eitaa.com/masjedkhatam25</v>
      </c>
      <c r="K6572" s="5"/>
      <c r="L6572" s="5"/>
      <c r="M6572" s="5"/>
      <c r="N6572" s="5"/>
      <c r="O6572" s="5"/>
      <c r="P6572" s="5"/>
      <c r="Q6572" s="5"/>
      <c r="R6572" s="5"/>
      <c r="S6572" s="5"/>
    </row>
    <row r="6573">
      <c r="A6573" s="5">
        <f>IFERROR(__xludf.DUMMYFUNCTION("""COMPUTED_VALUE"""),24707.0)</f>
        <v>24707</v>
      </c>
      <c r="B6573" s="5" t="str">
        <f>IFERROR(__xludf.DUMMYFUNCTION("""COMPUTED_VALUE"""),"هیأت")</f>
        <v>هیأت</v>
      </c>
      <c r="C6573" s="5" t="str">
        <f>IFERROR(__xludf.DUMMYFUNCTION("""COMPUTED_VALUE"""),"حسینی بازار نو")</f>
        <v>حسینی بازار نو</v>
      </c>
      <c r="D6573" s="5" t="str">
        <f>IFERROR(__xludf.DUMMYFUNCTION("""COMPUTED_VALUE"""),"یزد")</f>
        <v>یزد</v>
      </c>
      <c r="E6573" s="5" t="str">
        <f>IFERROR(__xludf.DUMMYFUNCTION("""COMPUTED_VALUE"""),"اردکان")</f>
        <v>اردکان</v>
      </c>
      <c r="F6573" s="5"/>
      <c r="G6573" s="5"/>
      <c r="H6573" s="6" t="str">
        <f>IFERROR(__xludf.DUMMYFUNCTION("""COMPUTED_VALUE"""),"https://www.instagram.com/bazarno.ardakan")</f>
        <v>https://www.instagram.com/bazarno.ardakan</v>
      </c>
      <c r="I6573" s="5"/>
      <c r="J6573" s="6" t="str">
        <f>IFERROR(__xludf.DUMMYFUNCTION("""COMPUTED_VALUE"""),"https://eitaa.com/bazarnoardakan")</f>
        <v>https://eitaa.com/bazarnoardakan</v>
      </c>
      <c r="K6573" s="5"/>
      <c r="L6573" s="5"/>
      <c r="M6573" s="5"/>
      <c r="N6573" s="5"/>
      <c r="O6573" s="5"/>
      <c r="P6573" s="5"/>
      <c r="Q6573" s="5"/>
      <c r="R6573" s="5"/>
      <c r="S6573" s="5"/>
    </row>
    <row r="6574">
      <c r="A6574" s="5">
        <f>IFERROR(__xludf.DUMMYFUNCTION("""COMPUTED_VALUE"""),24748.0)</f>
        <v>24748</v>
      </c>
      <c r="B6574" s="5" t="str">
        <f>IFERROR(__xludf.DUMMYFUNCTION("""COMPUTED_VALUE"""),"هیأت")</f>
        <v>هیأت</v>
      </c>
      <c r="C6574" s="5" t="str">
        <f>IFERROR(__xludf.DUMMYFUNCTION("""COMPUTED_VALUE"""),"حضرت امام حسین (ع)")</f>
        <v>حضرت امام حسین (ع)</v>
      </c>
      <c r="D6574" s="5" t="str">
        <f>IFERROR(__xludf.DUMMYFUNCTION("""COMPUTED_VALUE"""),"یزد")</f>
        <v>یزد</v>
      </c>
      <c r="E6574" s="5" t="str">
        <f>IFERROR(__xludf.DUMMYFUNCTION("""COMPUTED_VALUE"""),"اردکان")</f>
        <v>اردکان</v>
      </c>
      <c r="F6574" s="5"/>
      <c r="G6574" s="5"/>
      <c r="H6574" s="6" t="str">
        <f>IFERROR(__xludf.DUMMYFUNCTION("""COMPUTED_VALUE"""),"https://www.instagram.com/emamhosein_ardakan")</f>
        <v>https://www.instagram.com/emamhosein_ardakan</v>
      </c>
      <c r="I6574" s="5"/>
      <c r="J6574" s="6" t="str">
        <f>IFERROR(__xludf.DUMMYFUNCTION("""COMPUTED_VALUE"""),"https://eitaa.com/eamamhosein_ardakan")</f>
        <v>https://eitaa.com/eamamhosein_ardakan</v>
      </c>
      <c r="K6574" s="5"/>
      <c r="L6574" s="5"/>
      <c r="M6574" s="5"/>
      <c r="N6574" s="5"/>
      <c r="O6574" s="5"/>
      <c r="P6574" s="5"/>
      <c r="Q6574" s="5"/>
      <c r="R6574" s="5"/>
      <c r="S6574" s="5"/>
    </row>
    <row r="6575">
      <c r="A6575" s="5">
        <f>IFERROR(__xludf.DUMMYFUNCTION("""COMPUTED_VALUE"""),26812.0)</f>
        <v>26812</v>
      </c>
      <c r="B6575" s="5" t="str">
        <f>IFERROR(__xludf.DUMMYFUNCTION("""COMPUTED_VALUE"""),"هیأت")</f>
        <v>هیأت</v>
      </c>
      <c r="C6575" s="5" t="str">
        <f>IFERROR(__xludf.DUMMYFUNCTION("""COMPUTED_VALUE"""),"خیمه گاه بیت الزهرا")</f>
        <v>خیمه گاه بیت الزهرا</v>
      </c>
      <c r="D6575" s="5" t="str">
        <f>IFERROR(__xludf.DUMMYFUNCTION("""COMPUTED_VALUE"""),"یزد")</f>
        <v>یزد</v>
      </c>
      <c r="E6575" s="5" t="str">
        <f>IFERROR(__xludf.DUMMYFUNCTION("""COMPUTED_VALUE"""),"اردکان")</f>
        <v>اردکان</v>
      </c>
      <c r="F6575" s="5"/>
      <c r="G6575" s="5"/>
      <c r="H6575" s="5"/>
      <c r="I6575" s="5"/>
      <c r="J6575" s="6" t="str">
        <f>IFERROR(__xludf.DUMMYFUNCTION("""COMPUTED_VALUE"""),"https://eitaa.com/khimegah_bitozahra")</f>
        <v>https://eitaa.com/khimegah_bitozahra</v>
      </c>
      <c r="K6575" s="5"/>
      <c r="L6575" s="5"/>
      <c r="M6575" s="5"/>
      <c r="N6575" s="5"/>
      <c r="O6575" s="5"/>
      <c r="P6575" s="5"/>
      <c r="Q6575" s="5"/>
      <c r="R6575" s="5"/>
      <c r="S6575" s="5"/>
    </row>
    <row r="6576">
      <c r="A6576" s="5">
        <f>IFERROR(__xludf.DUMMYFUNCTION("""COMPUTED_VALUE"""),27920.0)</f>
        <v>27920</v>
      </c>
      <c r="B6576" s="5" t="str">
        <f>IFERROR(__xludf.DUMMYFUNCTION("""COMPUTED_VALUE"""),"هیأت")</f>
        <v>هیأت</v>
      </c>
      <c r="C6576" s="5" t="str">
        <f>IFERROR(__xludf.DUMMYFUNCTION("""COMPUTED_VALUE"""),"بیت الحسین (ع) سردارشهیدزفاک")</f>
        <v>بیت الحسین (ع) سردارشهیدزفاک</v>
      </c>
      <c r="D6576" s="5" t="str">
        <f>IFERROR(__xludf.DUMMYFUNCTION("""COMPUTED_VALUE"""),"یزد")</f>
        <v>یزد</v>
      </c>
      <c r="E6576" s="5" t="str">
        <f>IFERROR(__xludf.DUMMYFUNCTION("""COMPUTED_VALUE"""),"اردکان")</f>
        <v>اردکان</v>
      </c>
      <c r="F6576" s="5"/>
      <c r="G6576" s="5"/>
      <c r="H6576" s="5"/>
      <c r="I6576" s="5"/>
      <c r="J6576" s="6" t="str">
        <f>IFERROR(__xludf.DUMMYFUNCTION("""COMPUTED_VALUE"""),"https://eitaa.com/beitolhosseinshahidzaffak")</f>
        <v>https://eitaa.com/beitolhosseinshahidzaffak</v>
      </c>
      <c r="K6576" s="5"/>
      <c r="L6576" s="5"/>
      <c r="M6576" s="5"/>
      <c r="N6576" s="5"/>
      <c r="O6576" s="5"/>
      <c r="P6576" s="5"/>
      <c r="Q6576" s="5"/>
      <c r="R6576" s="5"/>
      <c r="S6576" s="5"/>
    </row>
    <row r="6577">
      <c r="A6577" s="5">
        <f>IFERROR(__xludf.DUMMYFUNCTION("""COMPUTED_VALUE"""),27921.0)</f>
        <v>27921</v>
      </c>
      <c r="B6577" s="5" t="str">
        <f>IFERROR(__xludf.DUMMYFUNCTION("""COMPUTED_VALUE"""),"هیأت")</f>
        <v>هیأت</v>
      </c>
      <c r="C6577" s="5" t="str">
        <f>IFERROR(__xludf.DUMMYFUNCTION("""COMPUTED_VALUE"""),"کانون قرآن اردکان")</f>
        <v>کانون قرآن اردکان</v>
      </c>
      <c r="D6577" s="5" t="str">
        <f>IFERROR(__xludf.DUMMYFUNCTION("""COMPUTED_VALUE"""),"یزد")</f>
        <v>یزد</v>
      </c>
      <c r="E6577" s="5" t="str">
        <f>IFERROR(__xludf.DUMMYFUNCTION("""COMPUTED_VALUE"""),"اردکان")</f>
        <v>اردکان</v>
      </c>
      <c r="F6577" s="5"/>
      <c r="G6577" s="5"/>
      <c r="H6577" s="6" t="str">
        <f>IFERROR(__xludf.DUMMYFUNCTION("""COMPUTED_VALUE"""),"https://www.instagram.com/kaanoonquran")</f>
        <v>https://www.instagram.com/kaanoonquran</v>
      </c>
      <c r="I6577" s="5"/>
      <c r="J6577" s="6" t="str">
        <f>IFERROR(__xludf.DUMMYFUNCTION("""COMPUTED_VALUE"""),"https://eitaa.com/KanoonQuran")</f>
        <v>https://eitaa.com/KanoonQuran</v>
      </c>
      <c r="K6577" s="5"/>
      <c r="L6577" s="5"/>
      <c r="M6577" s="5"/>
      <c r="N6577" s="5"/>
      <c r="O6577" s="5"/>
      <c r="P6577" s="5"/>
      <c r="Q6577" s="5"/>
      <c r="R6577" s="5"/>
      <c r="S6577" s="5"/>
    </row>
    <row r="6578">
      <c r="A6578" s="5">
        <f>IFERROR(__xludf.DUMMYFUNCTION("""COMPUTED_VALUE"""),27922.0)</f>
        <v>27922</v>
      </c>
      <c r="B6578" s="5" t="str">
        <f>IFERROR(__xludf.DUMMYFUNCTION("""COMPUTED_VALUE"""),"هیأت")</f>
        <v>هیأت</v>
      </c>
      <c r="C6578" s="5" t="str">
        <f>IFERROR(__xludf.DUMMYFUNCTION("""COMPUTED_VALUE"""),"بیت دلدادگان حسین (ع)")</f>
        <v>بیت دلدادگان حسین (ع)</v>
      </c>
      <c r="D6578" s="5" t="str">
        <f>IFERROR(__xludf.DUMMYFUNCTION("""COMPUTED_VALUE"""),"یزد")</f>
        <v>یزد</v>
      </c>
      <c r="E6578" s="5" t="str">
        <f>IFERROR(__xludf.DUMMYFUNCTION("""COMPUTED_VALUE"""),"اردکان")</f>
        <v>اردکان</v>
      </c>
      <c r="F6578" s="5"/>
      <c r="G6578" s="5"/>
      <c r="H6578" s="5"/>
      <c r="I6578" s="5"/>
      <c r="J6578" s="6" t="str">
        <f>IFERROR(__xludf.DUMMYFUNCTION("""COMPUTED_VALUE"""),"https://eitaa.com/sarallahdeldadegan")</f>
        <v>https://eitaa.com/sarallahdeldadegan</v>
      </c>
      <c r="K6578" s="5"/>
      <c r="L6578" s="5"/>
      <c r="M6578" s="5"/>
      <c r="N6578" s="5"/>
      <c r="O6578" s="5"/>
      <c r="P6578" s="5"/>
      <c r="Q6578" s="5"/>
      <c r="R6578" s="5"/>
      <c r="S6578" s="5"/>
    </row>
    <row r="6579">
      <c r="A6579" s="5">
        <f>IFERROR(__xludf.DUMMYFUNCTION("""COMPUTED_VALUE"""),27923.0)</f>
        <v>27923</v>
      </c>
      <c r="B6579" s="5" t="str">
        <f>IFERROR(__xludf.DUMMYFUNCTION("""COMPUTED_VALUE"""),"هیأت")</f>
        <v>هیأت</v>
      </c>
      <c r="C6579" s="5" t="str">
        <f>IFERROR(__xludf.DUMMYFUNCTION("""COMPUTED_VALUE"""),"حسینیه حضرت ابوالفضل العباس اردکان")</f>
        <v>حسینیه حضرت ابوالفضل العباس اردکان</v>
      </c>
      <c r="D6579" s="5" t="str">
        <f>IFERROR(__xludf.DUMMYFUNCTION("""COMPUTED_VALUE"""),"یزد")</f>
        <v>یزد</v>
      </c>
      <c r="E6579" s="5" t="str">
        <f>IFERROR(__xludf.DUMMYFUNCTION("""COMPUTED_VALUE"""),"اردکان")</f>
        <v>اردکان</v>
      </c>
      <c r="F6579" s="5"/>
      <c r="G6579" s="5"/>
      <c r="H6579" s="5"/>
      <c r="I6579" s="5"/>
      <c r="J6579" s="6" t="str">
        <f>IFERROR(__xludf.DUMMYFUNCTION("""COMPUTED_VALUE"""),"https://eitaa.com/Hossineh_Hazrat_Abolfazl")</f>
        <v>https://eitaa.com/Hossineh_Hazrat_Abolfazl</v>
      </c>
      <c r="K6579" s="5"/>
      <c r="L6579" s="5"/>
      <c r="M6579" s="5"/>
      <c r="N6579" s="5"/>
      <c r="O6579" s="5"/>
      <c r="P6579" s="5"/>
      <c r="Q6579" s="5"/>
      <c r="R6579" s="5"/>
      <c r="S6579" s="5"/>
    </row>
    <row r="6580">
      <c r="A6580" s="5">
        <f>IFERROR(__xludf.DUMMYFUNCTION("""COMPUTED_VALUE"""),27924.0)</f>
        <v>27924</v>
      </c>
      <c r="B6580" s="5" t="str">
        <f>IFERROR(__xludf.DUMMYFUNCTION("""COMPUTED_VALUE"""),"هیأت")</f>
        <v>هیأت</v>
      </c>
      <c r="C6580" s="5" t="str">
        <f>IFERROR(__xludf.DUMMYFUNCTION("""COMPUTED_VALUE"""),"جان نثاران ابوالفضل")</f>
        <v>جان نثاران ابوالفضل</v>
      </c>
      <c r="D6580" s="5" t="str">
        <f>IFERROR(__xludf.DUMMYFUNCTION("""COMPUTED_VALUE"""),"یزد")</f>
        <v>یزد</v>
      </c>
      <c r="E6580" s="5" t="str">
        <f>IFERROR(__xludf.DUMMYFUNCTION("""COMPUTED_VALUE"""),"اردکان")</f>
        <v>اردکان</v>
      </c>
      <c r="F6580" s="5"/>
      <c r="G6580" s="5"/>
      <c r="H6580" s="6" t="str">
        <f>IFERROR(__xludf.DUMMYFUNCTION("""COMPUTED_VALUE"""),"https://www.instagram.com/heyat_abolfazl_ardakan")</f>
        <v>https://www.instagram.com/heyat_abolfazl_ardakan</v>
      </c>
      <c r="I6580" s="5"/>
      <c r="J6580" s="5"/>
      <c r="K6580" s="5"/>
      <c r="L6580" s="5"/>
      <c r="M6580" s="5"/>
      <c r="N6580" s="5"/>
      <c r="O6580" s="5"/>
      <c r="P6580" s="5"/>
      <c r="Q6580" s="5"/>
      <c r="R6580" s="5"/>
      <c r="S6580" s="5"/>
    </row>
    <row r="6581">
      <c r="A6581" s="5">
        <f>IFERROR(__xludf.DUMMYFUNCTION("""COMPUTED_VALUE"""),27925.0)</f>
        <v>27925</v>
      </c>
      <c r="B6581" s="5" t="str">
        <f>IFERROR(__xludf.DUMMYFUNCTION("""COMPUTED_VALUE"""),"هیأت")</f>
        <v>هیأت</v>
      </c>
      <c r="C6581" s="5" t="str">
        <f>IFERROR(__xludf.DUMMYFUNCTION("""COMPUTED_VALUE"""),"حسینیه ارشاد")</f>
        <v>حسینیه ارشاد</v>
      </c>
      <c r="D6581" s="5" t="str">
        <f>IFERROR(__xludf.DUMMYFUNCTION("""COMPUTED_VALUE"""),"یزد")</f>
        <v>یزد</v>
      </c>
      <c r="E6581" s="5" t="str">
        <f>IFERROR(__xludf.DUMMYFUNCTION("""COMPUTED_VALUE"""),"اردکان")</f>
        <v>اردکان</v>
      </c>
      <c r="F6581" s="5"/>
      <c r="G6581" s="5"/>
      <c r="H6581" s="5"/>
      <c r="I6581" s="5"/>
      <c r="J6581" s="6" t="str">
        <f>IFERROR(__xludf.DUMMYFUNCTION("""COMPUTED_VALUE"""),"https://eitaa.com/hosseinie_ershad")</f>
        <v>https://eitaa.com/hosseinie_ershad</v>
      </c>
      <c r="K6581" s="5"/>
      <c r="L6581" s="5"/>
      <c r="M6581" s="5"/>
      <c r="N6581" s="5"/>
      <c r="O6581" s="5"/>
      <c r="P6581" s="5"/>
      <c r="Q6581" s="5"/>
      <c r="R6581" s="5"/>
      <c r="S6581" s="5"/>
    </row>
    <row r="6582">
      <c r="A6582" s="5">
        <f>IFERROR(__xludf.DUMMYFUNCTION("""COMPUTED_VALUE"""),27926.0)</f>
        <v>27926</v>
      </c>
      <c r="B6582" s="5" t="str">
        <f>IFERROR(__xludf.DUMMYFUNCTION("""COMPUTED_VALUE"""),"هیأت")</f>
        <v>هیأت</v>
      </c>
      <c r="C6582" s="5" t="str">
        <f>IFERROR(__xludf.DUMMYFUNCTION("""COMPUTED_VALUE"""),"ابوالفضل جنت آباد")</f>
        <v>ابوالفضل جنت آباد</v>
      </c>
      <c r="D6582" s="5" t="str">
        <f>IFERROR(__xludf.DUMMYFUNCTION("""COMPUTED_VALUE"""),"یزد")</f>
        <v>یزد</v>
      </c>
      <c r="E6582" s="5" t="str">
        <f>IFERROR(__xludf.DUMMYFUNCTION("""COMPUTED_VALUE"""),"اردکان")</f>
        <v>اردکان</v>
      </c>
      <c r="F6582" s="5"/>
      <c r="G6582" s="5"/>
      <c r="H6582" s="6" t="str">
        <f>IFERROR(__xludf.DUMMYFUNCTION("""COMPUTED_VALUE"""),"https://www.instagram.com/heyat_abbalfazl/")</f>
        <v>https://www.instagram.com/heyat_abbalfazl/</v>
      </c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</row>
    <row r="6583">
      <c r="A6583" s="5">
        <f>IFERROR(__xludf.DUMMYFUNCTION("""COMPUTED_VALUE"""),27927.0)</f>
        <v>27927</v>
      </c>
      <c r="B6583" s="5" t="str">
        <f>IFERROR(__xludf.DUMMYFUNCTION("""COMPUTED_VALUE"""),"هیأت")</f>
        <v>هیأت</v>
      </c>
      <c r="C6583" s="5" t="str">
        <f>IFERROR(__xludf.DUMMYFUNCTION("""COMPUTED_VALUE"""),"حسینیه ثارالله")</f>
        <v>حسینیه ثارالله</v>
      </c>
      <c r="D6583" s="5" t="str">
        <f>IFERROR(__xludf.DUMMYFUNCTION("""COMPUTED_VALUE"""),"یزد")</f>
        <v>یزد</v>
      </c>
      <c r="E6583" s="5" t="str">
        <f>IFERROR(__xludf.DUMMYFUNCTION("""COMPUTED_VALUE"""),"اردکان")</f>
        <v>اردکان</v>
      </c>
      <c r="F6583" s="5"/>
      <c r="G6583" s="5"/>
      <c r="H6583" s="6" t="str">
        <f>IFERROR(__xludf.DUMMYFUNCTION("""COMPUTED_VALUE"""),"https://www.instagram.com/heyatsarallah_ardakan")</f>
        <v>https://www.instagram.com/heyatsarallah_ardakan</v>
      </c>
      <c r="I6583" s="5"/>
      <c r="J6583" s="6" t="str">
        <f>IFERROR(__xludf.DUMMYFUNCTION("""COMPUTED_VALUE"""),"https://eitaa.com/heyatsarallah_ardakan")</f>
        <v>https://eitaa.com/heyatsarallah_ardakan</v>
      </c>
      <c r="K6583" s="5"/>
      <c r="L6583" s="5"/>
      <c r="M6583" s="5"/>
      <c r="N6583" s="5"/>
      <c r="O6583" s="5"/>
      <c r="P6583" s="5"/>
      <c r="Q6583" s="5"/>
      <c r="R6583" s="5"/>
      <c r="S6583" s="5"/>
    </row>
    <row r="6584">
      <c r="A6584" s="5">
        <f>IFERROR(__xludf.DUMMYFUNCTION("""COMPUTED_VALUE"""),27928.0)</f>
        <v>27928</v>
      </c>
      <c r="B6584" s="5" t="str">
        <f>IFERROR(__xludf.DUMMYFUNCTION("""COMPUTED_VALUE"""),"هیأت")</f>
        <v>هیأت</v>
      </c>
      <c r="C6584" s="5" t="str">
        <f>IFERROR(__xludf.DUMMYFUNCTION("""COMPUTED_VALUE"""),"موسسه قرآنی نورالزهرا (س)")</f>
        <v>موسسه قرآنی نورالزهرا (س)</v>
      </c>
      <c r="D6584" s="5" t="str">
        <f>IFERROR(__xludf.DUMMYFUNCTION("""COMPUTED_VALUE"""),"یزد")</f>
        <v>یزد</v>
      </c>
      <c r="E6584" s="5" t="str">
        <f>IFERROR(__xludf.DUMMYFUNCTION("""COMPUTED_VALUE"""),"اردکان")</f>
        <v>اردکان</v>
      </c>
      <c r="F6584" s="5"/>
      <c r="G6584" s="5"/>
      <c r="H6584" s="5"/>
      <c r="I6584" s="6" t="str">
        <f>IFERROR(__xludf.DUMMYFUNCTION("""COMPUTED_VALUE"""),"https://t.me/noorozahraardakan")</f>
        <v>https://t.me/noorozahraardakan</v>
      </c>
      <c r="J6584" s="6" t="str">
        <f>IFERROR(__xludf.DUMMYFUNCTION("""COMPUTED_VALUE"""),"https://eitaa.com/noorozahraardakan")</f>
        <v>https://eitaa.com/noorozahraardakan</v>
      </c>
      <c r="K6584" s="5"/>
      <c r="L6584" s="5"/>
      <c r="M6584" s="5"/>
      <c r="N6584" s="5"/>
      <c r="O6584" s="5"/>
      <c r="P6584" s="5"/>
      <c r="Q6584" s="5"/>
      <c r="R6584" s="5"/>
      <c r="S6584" s="5"/>
    </row>
    <row r="6585">
      <c r="A6585" s="5">
        <f>IFERROR(__xludf.DUMMYFUNCTION("""COMPUTED_VALUE"""),27929.0)</f>
        <v>27929</v>
      </c>
      <c r="B6585" s="5" t="str">
        <f>IFERROR(__xludf.DUMMYFUNCTION("""COMPUTED_VALUE"""),"هیأت")</f>
        <v>هیأت</v>
      </c>
      <c r="C6585" s="5" t="str">
        <f>IFERROR(__xludf.DUMMYFUNCTION("""COMPUTED_VALUE"""),"کمیته خادم الشهدا")</f>
        <v>کمیته خادم الشهدا</v>
      </c>
      <c r="D6585" s="5" t="str">
        <f>IFERROR(__xludf.DUMMYFUNCTION("""COMPUTED_VALUE"""),"یزد")</f>
        <v>یزد</v>
      </c>
      <c r="E6585" s="5" t="str">
        <f>IFERROR(__xludf.DUMMYFUNCTION("""COMPUTED_VALUE"""),"اردکان")</f>
        <v>اردکان</v>
      </c>
      <c r="F6585" s="5"/>
      <c r="G6585" s="5"/>
      <c r="H6585" s="6" t="str">
        <f>IFERROR(__xludf.DUMMYFUNCTION("""COMPUTED_VALUE"""),"https://www.instagram.com/khadem_alshohada_ardakan")</f>
        <v>https://www.instagram.com/khadem_alshohada_ardakan</v>
      </c>
      <c r="I6585" s="5"/>
      <c r="J6585" s="6" t="str">
        <f>IFERROR(__xludf.DUMMYFUNCTION("""COMPUTED_VALUE"""),"https://eitaa.com/khademin_shohada_Ardakan")</f>
        <v>https://eitaa.com/khademin_shohada_Ardakan</v>
      </c>
      <c r="K6585" s="5"/>
      <c r="L6585" s="5"/>
      <c r="M6585" s="5"/>
      <c r="N6585" s="5"/>
      <c r="O6585" s="5"/>
      <c r="P6585" s="5"/>
      <c r="Q6585" s="5"/>
      <c r="R6585" s="5"/>
      <c r="S6585" s="5"/>
    </row>
    <row r="6586">
      <c r="A6586" s="5">
        <f>IFERROR(__xludf.DUMMYFUNCTION("""COMPUTED_VALUE"""),27930.0)</f>
        <v>27930</v>
      </c>
      <c r="B6586" s="5" t="str">
        <f>IFERROR(__xludf.DUMMYFUNCTION("""COMPUTED_VALUE"""),"هیأت")</f>
        <v>هیأت</v>
      </c>
      <c r="C6586" s="5" t="str">
        <f>IFERROR(__xludf.DUMMYFUNCTION("""COMPUTED_VALUE"""),"خیمه گاه ام البنین")</f>
        <v>خیمه گاه ام البنین</v>
      </c>
      <c r="D6586" s="5" t="str">
        <f>IFERROR(__xludf.DUMMYFUNCTION("""COMPUTED_VALUE"""),"یزد")</f>
        <v>یزد</v>
      </c>
      <c r="E6586" s="5" t="str">
        <f>IFERROR(__xludf.DUMMYFUNCTION("""COMPUTED_VALUE"""),"اردکان")</f>
        <v>اردکان</v>
      </c>
      <c r="F6586" s="5"/>
      <c r="G6586" s="5"/>
      <c r="H6586" s="5"/>
      <c r="I6586" s="5"/>
      <c r="J6586" s="6" t="str">
        <f>IFERROR(__xludf.DUMMYFUNCTION("""COMPUTED_VALUE"""),"https://eitaa.com/khaimmegahArdakan")</f>
        <v>https://eitaa.com/khaimmegahArdakan</v>
      </c>
      <c r="K6586" s="5"/>
      <c r="L6586" s="5"/>
      <c r="M6586" s="5"/>
      <c r="N6586" s="5"/>
      <c r="O6586" s="5"/>
      <c r="P6586" s="5"/>
      <c r="Q6586" s="5"/>
      <c r="R6586" s="5"/>
      <c r="S6586" s="5"/>
    </row>
    <row r="6587">
      <c r="A6587" s="5">
        <f>IFERROR(__xludf.DUMMYFUNCTION("""COMPUTED_VALUE"""),27933.0)</f>
        <v>27933</v>
      </c>
      <c r="B6587" s="5" t="str">
        <f>IFERROR(__xludf.DUMMYFUNCTION("""COMPUTED_VALUE"""),"مداح")</f>
        <v>مداح</v>
      </c>
      <c r="C6587" s="5" t="str">
        <f>IFERROR(__xludf.DUMMYFUNCTION("""COMPUTED_VALUE"""),"محمدی")</f>
        <v>محمدی</v>
      </c>
      <c r="D6587" s="5" t="str">
        <f>IFERROR(__xludf.DUMMYFUNCTION("""COMPUTED_VALUE"""),"یزد")</f>
        <v>یزد</v>
      </c>
      <c r="E6587" s="5" t="str">
        <f>IFERROR(__xludf.DUMMYFUNCTION("""COMPUTED_VALUE"""),"اردکان")</f>
        <v>اردکان</v>
      </c>
      <c r="F6587" s="5"/>
      <c r="G6587" s="5"/>
      <c r="H6587" s="6" t="str">
        <f>IFERROR(__xludf.DUMMYFUNCTION("""COMPUTED_VALUE"""),"https://www.instagram.com/iahosin2816")</f>
        <v>https://www.instagram.com/iahosin2816</v>
      </c>
      <c r="I6587" s="5"/>
      <c r="J6587" s="5"/>
      <c r="K6587" s="5"/>
      <c r="L6587" s="5"/>
      <c r="M6587" s="5"/>
      <c r="N6587" s="5"/>
      <c r="O6587" s="5"/>
      <c r="P6587" s="5"/>
      <c r="Q6587" s="5"/>
      <c r="R6587" s="5"/>
      <c r="S6587" s="5"/>
    </row>
    <row r="6588">
      <c r="A6588" s="5">
        <f>IFERROR(__xludf.DUMMYFUNCTION("""COMPUTED_VALUE"""),28039.0)</f>
        <v>28039</v>
      </c>
      <c r="B6588" s="5" t="str">
        <f>IFERROR(__xludf.DUMMYFUNCTION("""COMPUTED_VALUE"""),"هیأت")</f>
        <v>هیأت</v>
      </c>
      <c r="C6588" s="5" t="str">
        <f>IFERROR(__xludf.DUMMYFUNCTION("""COMPUTED_VALUE"""),"متوسلین به حضرت ابوالفضل مسجد حاج محمدحسین")</f>
        <v>متوسلین به حضرت ابوالفضل مسجد حاج محمدحسین</v>
      </c>
      <c r="D6588" s="5" t="str">
        <f>IFERROR(__xludf.DUMMYFUNCTION("""COMPUTED_VALUE"""),"یزد")</f>
        <v>یزد</v>
      </c>
      <c r="E6588" s="5" t="str">
        <f>IFERROR(__xludf.DUMMYFUNCTION("""COMPUTED_VALUE"""),"اردکان")</f>
        <v>اردکان</v>
      </c>
      <c r="F6588" s="5"/>
      <c r="G6588" s="5"/>
      <c r="H6588" s="5"/>
      <c r="I6588" s="5"/>
      <c r="J6588" s="6" t="str">
        <f>IFERROR(__xludf.DUMMYFUNCTION("""COMPUTED_VALUE"""),"https://eitaa.com/msq_abolfazl")</f>
        <v>https://eitaa.com/msq_abolfazl</v>
      </c>
      <c r="K6588" s="5"/>
      <c r="L6588" s="5"/>
      <c r="M6588" s="5"/>
      <c r="N6588" s="5"/>
      <c r="O6588" s="5"/>
      <c r="P6588" s="5"/>
      <c r="Q6588" s="5"/>
      <c r="R6588" s="5"/>
      <c r="S6588" s="5"/>
    </row>
    <row r="6589">
      <c r="A6589" s="5">
        <f>IFERROR(__xludf.DUMMYFUNCTION("""COMPUTED_VALUE"""),28042.0)</f>
        <v>28042</v>
      </c>
      <c r="B6589" s="5" t="str">
        <f>IFERROR(__xludf.DUMMYFUNCTION("""COMPUTED_VALUE"""),"هیأت")</f>
        <v>هیأت</v>
      </c>
      <c r="C6589" s="5" t="str">
        <f>IFERROR(__xludf.DUMMYFUNCTION("""COMPUTED_VALUE"""),"خیمه گاه قاسم ابن الحسن")</f>
        <v>خیمه گاه قاسم ابن الحسن</v>
      </c>
      <c r="D6589" s="5" t="str">
        <f>IFERROR(__xludf.DUMMYFUNCTION("""COMPUTED_VALUE"""),"یزد")</f>
        <v>یزد</v>
      </c>
      <c r="E6589" s="5" t="str">
        <f>IFERROR(__xludf.DUMMYFUNCTION("""COMPUTED_VALUE"""),"اردکان")</f>
        <v>اردکان</v>
      </c>
      <c r="F6589" s="5"/>
      <c r="G6589" s="5"/>
      <c r="H6589" s="6" t="str">
        <f>IFERROR(__xludf.DUMMYFUNCTION("""COMPUTED_VALUE"""),"https://www.instagram.com/kheaymahgah_ghasamabnalhasan")</f>
        <v>https://www.instagram.com/kheaymahgah_ghasamabnalhasan</v>
      </c>
      <c r="I6589" s="5"/>
      <c r="J6589" s="5"/>
      <c r="K6589" s="5"/>
      <c r="L6589" s="5"/>
      <c r="M6589" s="5"/>
      <c r="N6589" s="5"/>
      <c r="O6589" s="5"/>
      <c r="P6589" s="5"/>
      <c r="Q6589" s="5"/>
      <c r="R6589" s="5"/>
      <c r="S6589" s="5"/>
    </row>
    <row r="6590">
      <c r="A6590" s="5">
        <f>IFERROR(__xludf.DUMMYFUNCTION("""COMPUTED_VALUE"""),28043.0)</f>
        <v>28043</v>
      </c>
      <c r="B6590" s="5" t="str">
        <f>IFERROR(__xludf.DUMMYFUNCTION("""COMPUTED_VALUE"""),"هیأت")</f>
        <v>هیأت</v>
      </c>
      <c r="C6590" s="5" t="str">
        <f>IFERROR(__xludf.DUMMYFUNCTION("""COMPUTED_VALUE"""),"حسینیه علی بیک")</f>
        <v>حسینیه علی بیک</v>
      </c>
      <c r="D6590" s="5" t="str">
        <f>IFERROR(__xludf.DUMMYFUNCTION("""COMPUTED_VALUE"""),"یزد")</f>
        <v>یزد</v>
      </c>
      <c r="E6590" s="5" t="str">
        <f>IFERROR(__xludf.DUMMYFUNCTION("""COMPUTED_VALUE"""),"اردکان")</f>
        <v>اردکان</v>
      </c>
      <c r="F6590" s="5"/>
      <c r="G6590" s="5"/>
      <c r="H6590" s="6" t="str">
        <f>IFERROR(__xludf.DUMMYFUNCTION("""COMPUTED_VALUE"""),"https://www.instagram.com/hosseinieh_alibeyk")</f>
        <v>https://www.instagram.com/hosseinieh_alibeyk</v>
      </c>
      <c r="I6590" s="5"/>
      <c r="J6590" s="6" t="str">
        <f>IFERROR(__xludf.DUMMYFUNCTION("""COMPUTED_VALUE"""),"https://eitaa.com/hosseinieh_alibeyk")</f>
        <v>https://eitaa.com/hosseinieh_alibeyk</v>
      </c>
      <c r="K6590" s="5"/>
      <c r="L6590" s="5"/>
      <c r="M6590" s="5"/>
      <c r="N6590" s="5"/>
      <c r="O6590" s="5"/>
      <c r="P6590" s="5"/>
      <c r="Q6590" s="5"/>
      <c r="R6590" s="5"/>
      <c r="S6590" s="5"/>
    </row>
    <row r="6591">
      <c r="A6591" s="5">
        <f>IFERROR(__xludf.DUMMYFUNCTION("""COMPUTED_VALUE"""),28045.0)</f>
        <v>28045</v>
      </c>
      <c r="B6591" s="5" t="str">
        <f>IFERROR(__xludf.DUMMYFUNCTION("""COMPUTED_VALUE"""),"هیأت")</f>
        <v>هیأت</v>
      </c>
      <c r="C6591" s="5" t="str">
        <f>IFERROR(__xludf.DUMMYFUNCTION("""COMPUTED_VALUE"""),"حسینی چرخاب")</f>
        <v>حسینی چرخاب</v>
      </c>
      <c r="D6591" s="5" t="str">
        <f>IFERROR(__xludf.DUMMYFUNCTION("""COMPUTED_VALUE"""),"یزد")</f>
        <v>یزد</v>
      </c>
      <c r="E6591" s="5" t="str">
        <f>IFERROR(__xludf.DUMMYFUNCTION("""COMPUTED_VALUE"""),"اردکان")</f>
        <v>اردکان</v>
      </c>
      <c r="F6591" s="5"/>
      <c r="G6591" s="5"/>
      <c r="H6591" s="6" t="str">
        <f>IFERROR(__xludf.DUMMYFUNCTION("""COMPUTED_VALUE"""),"https://www.instagram.com/hoseiniecharkhab")</f>
        <v>https://www.instagram.com/hoseiniecharkhab</v>
      </c>
      <c r="I6591" s="5"/>
      <c r="J6591" s="5"/>
      <c r="K6591" s="5"/>
      <c r="L6591" s="5"/>
      <c r="M6591" s="5"/>
      <c r="N6591" s="5"/>
      <c r="O6591" s="5"/>
      <c r="P6591" s="5"/>
      <c r="Q6591" s="5"/>
      <c r="R6591" s="5"/>
      <c r="S6591" s="5"/>
    </row>
    <row r="6592">
      <c r="A6592" s="5">
        <f>IFERROR(__xludf.DUMMYFUNCTION("""COMPUTED_VALUE"""),28050.0)</f>
        <v>28050</v>
      </c>
      <c r="B6592" s="5" t="str">
        <f>IFERROR(__xludf.DUMMYFUNCTION("""COMPUTED_VALUE"""),"هیأت")</f>
        <v>هیأت</v>
      </c>
      <c r="C6592" s="5" t="str">
        <f>IFERROR(__xludf.DUMMYFUNCTION("""COMPUTED_VALUE"""),"دوطفلان مسلم")</f>
        <v>دوطفلان مسلم</v>
      </c>
      <c r="D6592" s="5" t="str">
        <f>IFERROR(__xludf.DUMMYFUNCTION("""COMPUTED_VALUE"""),"یزد")</f>
        <v>یزد</v>
      </c>
      <c r="E6592" s="5" t="str">
        <f>IFERROR(__xludf.DUMMYFUNCTION("""COMPUTED_VALUE"""),"اردکان")</f>
        <v>اردکان</v>
      </c>
      <c r="F6592" s="5"/>
      <c r="G6592" s="5"/>
      <c r="H6592" s="6" t="str">
        <f>IFERROR(__xludf.DUMMYFUNCTION("""COMPUTED_VALUE"""),"https://www.instagram.com/hosseiniyeh_teflan_moslem")</f>
        <v>https://www.instagram.com/hosseiniyeh_teflan_moslem</v>
      </c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</row>
    <row r="6593">
      <c r="A6593" s="5">
        <f>IFERROR(__xludf.DUMMYFUNCTION("""COMPUTED_VALUE"""),28955.0)</f>
        <v>28955</v>
      </c>
      <c r="B6593" s="5" t="str">
        <f>IFERROR(__xludf.DUMMYFUNCTION("""COMPUTED_VALUE"""),"هیأت")</f>
        <v>هیأت</v>
      </c>
      <c r="C6593" s="5" t="str">
        <f>IFERROR(__xludf.DUMMYFUNCTION("""COMPUTED_VALUE"""),"امام حسن مجتبی فرخی های مقیم اردکان")</f>
        <v>امام حسن مجتبی فرخی های مقیم اردکان</v>
      </c>
      <c r="D6593" s="5" t="str">
        <f>IFERROR(__xludf.DUMMYFUNCTION("""COMPUTED_VALUE"""),"یزد")</f>
        <v>یزد</v>
      </c>
      <c r="E6593" s="5" t="str">
        <f>IFERROR(__xludf.DUMMYFUNCTION("""COMPUTED_VALUE"""),"اردکان")</f>
        <v>اردکان</v>
      </c>
      <c r="F6593" s="5"/>
      <c r="G6593" s="5"/>
      <c r="H6593" s="5"/>
      <c r="I6593" s="6" t="str">
        <f>IFERROR(__xludf.DUMMYFUNCTION("""COMPUTED_VALUE"""),"https://t.me/gharibmadinehemamhasanmojtaba")</f>
        <v>https://t.me/gharibmadinehemamhasanmojtaba</v>
      </c>
      <c r="J6593" s="5"/>
      <c r="K6593" s="5"/>
      <c r="L6593" s="5"/>
      <c r="M6593" s="5"/>
      <c r="N6593" s="5"/>
      <c r="O6593" s="5"/>
      <c r="P6593" s="5"/>
      <c r="Q6593" s="5"/>
      <c r="R6593" s="5"/>
      <c r="S6593" s="5"/>
    </row>
    <row r="6594">
      <c r="A6594" s="5">
        <f>IFERROR(__xludf.DUMMYFUNCTION("""COMPUTED_VALUE"""),29016.0)</f>
        <v>29016</v>
      </c>
      <c r="B6594" s="5" t="str">
        <f>IFERROR(__xludf.DUMMYFUNCTION("""COMPUTED_VALUE"""),"هیأت")</f>
        <v>هیأت</v>
      </c>
      <c r="C6594" s="5" t="str">
        <f>IFERROR(__xludf.DUMMYFUNCTION("""COMPUTED_VALUE"""),"ابوالفضل العباس (ع) حسینیه شهدا")</f>
        <v>ابوالفضل العباس (ع) حسینیه شهدا</v>
      </c>
      <c r="D6594" s="5" t="str">
        <f>IFERROR(__xludf.DUMMYFUNCTION("""COMPUTED_VALUE"""),"یزد")</f>
        <v>یزد</v>
      </c>
      <c r="E6594" s="5" t="str">
        <f>IFERROR(__xludf.DUMMYFUNCTION("""COMPUTED_VALUE"""),"اردکان")</f>
        <v>اردکان</v>
      </c>
      <c r="F6594" s="5" t="str">
        <f>IFERROR(__xludf.DUMMYFUNCTION("""COMPUTED_VALUE"""),"روستای شریف آباد")</f>
        <v>روستای شریف آباد</v>
      </c>
      <c r="G6594" s="5"/>
      <c r="H6594" s="6" t="str">
        <f>IFERROR(__xludf.DUMMYFUNCTION("""COMPUTED_VALUE"""),"https://www.instagram.com/hoseinieh.sh.sh")</f>
        <v>https://www.instagram.com/hoseinieh.sh.sh</v>
      </c>
      <c r="I6594" s="6" t="str">
        <f>IFERROR(__xludf.DUMMYFUNCTION("""COMPUTED_VALUE"""),"https://t.me/sthshsh")</f>
        <v>https://t.me/sthshsh</v>
      </c>
      <c r="J6594" s="5"/>
      <c r="K6594" s="5"/>
      <c r="L6594" s="5"/>
      <c r="M6594" s="5"/>
      <c r="N6594" s="5"/>
      <c r="O6594" s="5"/>
      <c r="P6594" s="5"/>
      <c r="Q6594" s="5"/>
      <c r="R6594" s="5"/>
      <c r="S6594" s="5"/>
    </row>
    <row r="6595">
      <c r="A6595" s="5">
        <f>IFERROR(__xludf.DUMMYFUNCTION("""COMPUTED_VALUE"""),29196.0)</f>
        <v>29196</v>
      </c>
      <c r="B6595" s="5" t="str">
        <f>IFERROR(__xludf.DUMMYFUNCTION("""COMPUTED_VALUE"""),"هیأت")</f>
        <v>هیأت</v>
      </c>
      <c r="C6595" s="5" t="str">
        <f>IFERROR(__xludf.DUMMYFUNCTION("""COMPUTED_VALUE"""),"امام حسین (ع)")</f>
        <v>امام حسین (ع)</v>
      </c>
      <c r="D6595" s="5" t="str">
        <f>IFERROR(__xludf.DUMMYFUNCTION("""COMPUTED_VALUE"""),"یزد")</f>
        <v>یزد</v>
      </c>
      <c r="E6595" s="5" t="str">
        <f>IFERROR(__xludf.DUMMYFUNCTION("""COMPUTED_VALUE"""),"اردکان")</f>
        <v>اردکان</v>
      </c>
      <c r="F6595" s="5"/>
      <c r="G6595" s="5"/>
      <c r="H6595" s="6" t="str">
        <f>IFERROR(__xludf.DUMMYFUNCTION("""COMPUTED_VALUE"""),"https://www.instagram.com/emamhosein_ardakan")</f>
        <v>https://www.instagram.com/emamhosein_ardakan</v>
      </c>
      <c r="I6595" s="5"/>
      <c r="J6595" s="6" t="str">
        <f>IFERROR(__xludf.DUMMYFUNCTION("""COMPUTED_VALUE"""),"https://eitaa.com/eamamhosein_ardakan")</f>
        <v>https://eitaa.com/eamamhosein_ardakan</v>
      </c>
      <c r="K6595" s="5"/>
      <c r="L6595" s="5"/>
      <c r="M6595" s="5"/>
      <c r="N6595" s="5"/>
      <c r="O6595" s="5"/>
      <c r="P6595" s="5"/>
      <c r="Q6595" s="5"/>
      <c r="R6595" s="5"/>
      <c r="S6595" s="5"/>
    </row>
    <row r="6596">
      <c r="A6596" s="5">
        <f>IFERROR(__xludf.DUMMYFUNCTION("""COMPUTED_VALUE"""),29430.0)</f>
        <v>29430</v>
      </c>
      <c r="B6596" s="5" t="str">
        <f>IFERROR(__xludf.DUMMYFUNCTION("""COMPUTED_VALUE"""),"هیأت")</f>
        <v>هیأت</v>
      </c>
      <c r="C6596" s="5" t="str">
        <f>IFERROR(__xludf.DUMMYFUNCTION("""COMPUTED_VALUE"""),"صادقیه")</f>
        <v>صادقیه</v>
      </c>
      <c r="D6596" s="5" t="str">
        <f>IFERROR(__xludf.DUMMYFUNCTION("""COMPUTED_VALUE"""),"یزد")</f>
        <v>یزد</v>
      </c>
      <c r="E6596" s="5" t="str">
        <f>IFERROR(__xludf.DUMMYFUNCTION("""COMPUTED_VALUE"""),"اردکان")</f>
        <v>اردکان</v>
      </c>
      <c r="F6596" s="5"/>
      <c r="G6596" s="5"/>
      <c r="H6596" s="6" t="str">
        <f>IFERROR(__xludf.DUMMYFUNCTION("""COMPUTED_VALUE"""),"https://www.instagram.com/sadeghieh_ardakan")</f>
        <v>https://www.instagram.com/sadeghieh_ardakan</v>
      </c>
      <c r="I6596" s="5"/>
      <c r="J6596" s="6" t="str">
        <f>IFERROR(__xludf.DUMMYFUNCTION("""COMPUTED_VALUE"""),"https://eitaa.com/Sadeghieh_ardakan")</f>
        <v>https://eitaa.com/Sadeghieh_ardakan</v>
      </c>
      <c r="K6596" s="5"/>
      <c r="L6596" s="5"/>
      <c r="M6596" s="5"/>
      <c r="N6596" s="5"/>
      <c r="O6596" s="5"/>
      <c r="P6596" s="5"/>
      <c r="Q6596" s="5"/>
      <c r="R6596" s="5"/>
      <c r="S6596" s="5"/>
    </row>
    <row r="6597">
      <c r="A6597" s="5">
        <f>IFERROR(__xludf.DUMMYFUNCTION("""COMPUTED_VALUE"""),29703.0)</f>
        <v>29703</v>
      </c>
      <c r="B6597" s="5" t="str">
        <f>IFERROR(__xludf.DUMMYFUNCTION("""COMPUTED_VALUE"""),"مسجد")</f>
        <v>مسجد</v>
      </c>
      <c r="C6597" s="5" t="str">
        <f>IFERROR(__xludf.DUMMYFUNCTION("""COMPUTED_VALUE"""),"امام سجاد (ع)")</f>
        <v>امام سجاد (ع)</v>
      </c>
      <c r="D6597" s="5" t="str">
        <f>IFERROR(__xludf.DUMMYFUNCTION("""COMPUTED_VALUE"""),"یزد")</f>
        <v>یزد</v>
      </c>
      <c r="E6597" s="5" t="str">
        <f>IFERROR(__xludf.DUMMYFUNCTION("""COMPUTED_VALUE"""),"اردکان")</f>
        <v>اردکان</v>
      </c>
      <c r="F6597" s="5"/>
      <c r="G6597" s="5"/>
      <c r="H6597" s="5"/>
      <c r="I6597" s="5"/>
      <c r="J6597" s="6" t="str">
        <f>IFERROR(__xludf.DUMMYFUNCTION("""COMPUTED_VALUE"""),"https://eitaa.com/noojavanhosini")</f>
        <v>https://eitaa.com/noojavanhosini</v>
      </c>
      <c r="K6597" s="5"/>
      <c r="L6597" s="5"/>
      <c r="M6597" s="5"/>
      <c r="N6597" s="5"/>
      <c r="O6597" s="5"/>
      <c r="P6597" s="5"/>
      <c r="Q6597" s="5"/>
      <c r="R6597" s="5"/>
      <c r="S6597" s="5"/>
    </row>
    <row r="6598">
      <c r="A6598" s="5">
        <f>IFERROR(__xludf.DUMMYFUNCTION("""COMPUTED_VALUE"""),30140.0)</f>
        <v>30140</v>
      </c>
      <c r="B6598" s="5" t="str">
        <f>IFERROR(__xludf.DUMMYFUNCTION("""COMPUTED_VALUE"""),"هیأت دانشجویی")</f>
        <v>هیأت دانشجویی</v>
      </c>
      <c r="C6598" s="5" t="str">
        <f>IFERROR(__xludf.DUMMYFUNCTION("""COMPUTED_VALUE"""),"بسیج دانشجویی دانشگاه اردکان")</f>
        <v>بسیج دانشجویی دانشگاه اردکان</v>
      </c>
      <c r="D6598" s="5" t="str">
        <f>IFERROR(__xludf.DUMMYFUNCTION("""COMPUTED_VALUE"""),"یزد")</f>
        <v>یزد</v>
      </c>
      <c r="E6598" s="5" t="str">
        <f>IFERROR(__xludf.DUMMYFUNCTION("""COMPUTED_VALUE"""),"اردکان")</f>
        <v>اردکان</v>
      </c>
      <c r="F6598" s="5"/>
      <c r="G6598" s="5"/>
      <c r="H6598" s="5"/>
      <c r="I6598" s="5"/>
      <c r="J6598" s="6" t="str">
        <f>IFERROR(__xludf.DUMMYFUNCTION("""COMPUTED_VALUE"""),"https://eitaa.com/bso_ardakan")</f>
        <v>https://eitaa.com/bso_ardakan</v>
      </c>
      <c r="K6598" s="5"/>
      <c r="L6598" s="5"/>
      <c r="M6598" s="5"/>
      <c r="N6598" s="5"/>
      <c r="O6598" s="5"/>
      <c r="P6598" s="5"/>
      <c r="Q6598" s="5"/>
      <c r="R6598" s="5"/>
      <c r="S6598" s="5"/>
    </row>
    <row r="6599">
      <c r="A6599" s="5">
        <f>IFERROR(__xludf.DUMMYFUNCTION("""COMPUTED_VALUE"""),30314.0)</f>
        <v>30314</v>
      </c>
      <c r="B6599" s="5" t="str">
        <f>IFERROR(__xludf.DUMMYFUNCTION("""COMPUTED_VALUE"""),"هیأت")</f>
        <v>هیأت</v>
      </c>
      <c r="C6599" s="5" t="str">
        <f>IFERROR(__xludf.DUMMYFUNCTION("""COMPUTED_VALUE"""),"حسینی کوشکنو")</f>
        <v>حسینی کوشکنو</v>
      </c>
      <c r="D6599" s="5" t="str">
        <f>IFERROR(__xludf.DUMMYFUNCTION("""COMPUTED_VALUE"""),"یزد")</f>
        <v>یزد</v>
      </c>
      <c r="E6599" s="5" t="str">
        <f>IFERROR(__xludf.DUMMYFUNCTION("""COMPUTED_VALUE"""),"اردکان")</f>
        <v>اردکان</v>
      </c>
      <c r="F6599" s="5"/>
      <c r="G6599" s="5"/>
      <c r="H6599" s="6" t="str">
        <f>IFERROR(__xludf.DUMMYFUNCTION("""COMPUTED_VALUE"""),"https://www.instagram.com/koshkenow_yazd")</f>
        <v>https://www.instagram.com/koshkenow_yazd</v>
      </c>
      <c r="I6599" s="6" t="str">
        <f>IFERROR(__xludf.DUMMYFUNCTION("""COMPUTED_VALUE"""),"https://t.me/koshkenow_yazd")</f>
        <v>https://t.me/koshkenow_yazd</v>
      </c>
      <c r="J6599" s="6" t="str">
        <f>IFERROR(__xludf.DUMMYFUNCTION("""COMPUTED_VALUE"""),"https://eitaa.com/koshkenow_yazd")</f>
        <v>https://eitaa.com/koshkenow_yazd</v>
      </c>
      <c r="K6599" s="5"/>
      <c r="L6599" s="5"/>
      <c r="M6599" s="5"/>
      <c r="N6599" s="5"/>
      <c r="O6599" s="5"/>
      <c r="P6599" s="5"/>
      <c r="Q6599" s="5"/>
      <c r="R6599" s="5"/>
      <c r="S6599" s="5"/>
    </row>
    <row r="6600">
      <c r="A6600" s="5">
        <f>IFERROR(__xludf.DUMMYFUNCTION("""COMPUTED_VALUE"""),30319.0)</f>
        <v>30319</v>
      </c>
      <c r="B6600" s="5" t="str">
        <f>IFERROR(__xludf.DUMMYFUNCTION("""COMPUTED_VALUE"""),"هیأت")</f>
        <v>هیأت</v>
      </c>
      <c r="C6600" s="5" t="str">
        <f>IFERROR(__xludf.DUMMYFUNCTION("""COMPUTED_VALUE"""),"کانون نشر و تعلیم قرآن کریم")</f>
        <v>کانون نشر و تعلیم قرآن کریم</v>
      </c>
      <c r="D6600" s="5" t="str">
        <f>IFERROR(__xludf.DUMMYFUNCTION("""COMPUTED_VALUE"""),"یزد")</f>
        <v>یزد</v>
      </c>
      <c r="E6600" s="5" t="str">
        <f>IFERROR(__xludf.DUMMYFUNCTION("""COMPUTED_VALUE"""),"اردکان")</f>
        <v>اردکان</v>
      </c>
      <c r="F6600" s="5"/>
      <c r="G6600" s="5"/>
      <c r="H6600" s="5"/>
      <c r="I6600" s="5"/>
      <c r="J6600" s="6" t="str">
        <f>IFERROR(__xludf.DUMMYFUNCTION("""COMPUTED_VALUE"""),"https://eitaa.com/KanoonQuran")</f>
        <v>https://eitaa.com/KanoonQuran</v>
      </c>
      <c r="K6600" s="5"/>
      <c r="L6600" s="5"/>
      <c r="M6600" s="5"/>
      <c r="N6600" s="5"/>
      <c r="O6600" s="5"/>
      <c r="P6600" s="5"/>
      <c r="Q6600" s="5"/>
      <c r="R6600" s="5"/>
      <c r="S6600" s="5"/>
    </row>
    <row r="6601">
      <c r="A6601" s="5">
        <f>IFERROR(__xludf.DUMMYFUNCTION("""COMPUTED_VALUE"""),30320.0)</f>
        <v>30320</v>
      </c>
      <c r="B6601" s="5" t="str">
        <f>IFERROR(__xludf.DUMMYFUNCTION("""COMPUTED_VALUE"""),"هیأت")</f>
        <v>هیأت</v>
      </c>
      <c r="C6601" s="5" t="str">
        <f>IFERROR(__xludf.DUMMYFUNCTION("""COMPUTED_VALUE"""),"فاطمه الزهرا دیلم")</f>
        <v>فاطمه الزهرا دیلم</v>
      </c>
      <c r="D6601" s="5" t="str">
        <f>IFERROR(__xludf.DUMMYFUNCTION("""COMPUTED_VALUE"""),"یزد")</f>
        <v>یزد</v>
      </c>
      <c r="E6601" s="5" t="str">
        <f>IFERROR(__xludf.DUMMYFUNCTION("""COMPUTED_VALUE"""),"اردکان")</f>
        <v>اردکان</v>
      </c>
      <c r="F6601" s="5"/>
      <c r="G6601" s="5"/>
      <c r="H6601" s="6" t="str">
        <f>IFERROR(__xludf.DUMMYFUNCTION("""COMPUTED_VALUE"""),"https://www.instagram.com/heyatfatematazzahra/")</f>
        <v>https://www.instagram.com/heyatfatematazzahra/</v>
      </c>
      <c r="I6601" s="5"/>
      <c r="J6601" s="6" t="str">
        <f>IFERROR(__xludf.DUMMYFUNCTION("""COMPUTED_VALUE"""),"https://eitaa.com/fatemeazhra")</f>
        <v>https://eitaa.com/fatemeazhra</v>
      </c>
      <c r="K6601" s="5"/>
      <c r="L6601" s="5"/>
      <c r="M6601" s="5"/>
      <c r="N6601" s="5"/>
      <c r="O6601" s="5"/>
      <c r="P6601" s="5"/>
      <c r="Q6601" s="5"/>
      <c r="R6601" s="5"/>
      <c r="S6601" s="5"/>
    </row>
    <row r="6602">
      <c r="A6602" s="5">
        <f>IFERROR(__xludf.DUMMYFUNCTION("""COMPUTED_VALUE"""),31414.0)</f>
        <v>31414</v>
      </c>
      <c r="B6602" s="5" t="str">
        <f>IFERROR(__xludf.DUMMYFUNCTION("""COMPUTED_VALUE"""),"هیأت")</f>
        <v>هیأت</v>
      </c>
      <c r="C6602" s="5" t="str">
        <f>IFERROR(__xludf.DUMMYFUNCTION("""COMPUTED_VALUE"""),"رزمندگان اسلام")</f>
        <v>رزمندگان اسلام</v>
      </c>
      <c r="D6602" s="5" t="str">
        <f>IFERROR(__xludf.DUMMYFUNCTION("""COMPUTED_VALUE"""),"یزد")</f>
        <v>یزد</v>
      </c>
      <c r="E6602" s="5" t="str">
        <f>IFERROR(__xludf.DUMMYFUNCTION("""COMPUTED_VALUE"""),"اردکان")</f>
        <v>اردکان</v>
      </c>
      <c r="F6602" s="5"/>
      <c r="G6602" s="5"/>
      <c r="H6602" s="5"/>
      <c r="I6602" s="5"/>
      <c r="J6602" s="5"/>
      <c r="K6602" s="5"/>
      <c r="L6602" s="6" t="str">
        <f>IFERROR(__xludf.DUMMYFUNCTION("""COMPUTED_VALUE"""),"https://heyatrazmandeganardakan.blog.ir/")</f>
        <v>https://heyatrazmandeganardakan.blog.ir/</v>
      </c>
      <c r="M6602" s="5"/>
      <c r="N6602" s="5"/>
      <c r="O6602" s="5"/>
      <c r="P6602" s="5"/>
      <c r="Q6602" s="5"/>
      <c r="R6602" s="5"/>
      <c r="S6602" s="5"/>
    </row>
    <row r="6603">
      <c r="A6603" s="5">
        <f>IFERROR(__xludf.DUMMYFUNCTION("""COMPUTED_VALUE"""),31983.0)</f>
        <v>31983</v>
      </c>
      <c r="B6603" s="5" t="str">
        <f>IFERROR(__xludf.DUMMYFUNCTION("""COMPUTED_VALUE"""),"هیأت")</f>
        <v>هیأت</v>
      </c>
      <c r="C6603" s="5" t="str">
        <f>IFERROR(__xludf.DUMMYFUNCTION("""COMPUTED_VALUE"""),"انصارالمحسن")</f>
        <v>انصارالمحسن</v>
      </c>
      <c r="D6603" s="5" t="str">
        <f>IFERROR(__xludf.DUMMYFUNCTION("""COMPUTED_VALUE"""),"یزد")</f>
        <v>یزد</v>
      </c>
      <c r="E6603" s="5" t="str">
        <f>IFERROR(__xludf.DUMMYFUNCTION("""COMPUTED_VALUE"""),"اردکان")</f>
        <v>اردکان</v>
      </c>
      <c r="F6603" s="5"/>
      <c r="G6603" s="5"/>
      <c r="H6603" s="6" t="str">
        <f>IFERROR(__xludf.DUMMYFUNCTION("""COMPUTED_VALUE"""),"https://www.instagram.com/ansarolmohsen")</f>
        <v>https://www.instagram.com/ansarolmohsen</v>
      </c>
      <c r="I6603" s="5"/>
      <c r="J6603" s="6" t="str">
        <f>IFERROR(__xludf.DUMMYFUNCTION("""COMPUTED_VALUE"""),"https://eitaa.com/hansarolmohsen_ardakan")</f>
        <v>https://eitaa.com/hansarolmohsen_ardakan</v>
      </c>
      <c r="K6603" s="5"/>
      <c r="L6603" s="5"/>
      <c r="M6603" s="5"/>
      <c r="N6603" s="5"/>
      <c r="O6603" s="5"/>
      <c r="P6603" s="5"/>
      <c r="Q6603" s="5"/>
      <c r="R6603" s="5"/>
      <c r="S6603" s="5"/>
    </row>
    <row r="6604">
      <c r="A6604" s="5"/>
      <c r="B6604" s="5" t="str">
        <f>IFERROR(__xludf.DUMMYFUNCTION("""COMPUTED_VALUE"""),"حسینیه")</f>
        <v>حسینیه</v>
      </c>
      <c r="C6604" s="5" t="str">
        <f>IFERROR(__xludf.DUMMYFUNCTION("""COMPUTED_VALUE"""),"زین‌الدین‌")</f>
        <v>زین‌الدین‌</v>
      </c>
      <c r="D6604" s="5" t="str">
        <f>IFERROR(__xludf.DUMMYFUNCTION("""COMPUTED_VALUE"""),"یزد")</f>
        <v>یزد</v>
      </c>
      <c r="E6604" s="5" t="str">
        <f>IFERROR(__xludf.DUMMYFUNCTION("""COMPUTED_VALUE"""),"اردکان")</f>
        <v>اردکان</v>
      </c>
      <c r="F6604" s="5"/>
      <c r="G6604" s="5"/>
      <c r="H6604" s="6" t="str">
        <f>IFERROR(__xludf.DUMMYFUNCTION("""COMPUTED_VALUE"""),"https://www.instagram.com/heiatemamhasanardakan11")</f>
        <v>https://www.instagram.com/heiatemamhasanardakan11</v>
      </c>
      <c r="I6604" s="5"/>
      <c r="J6604" s="5"/>
      <c r="K6604" s="5"/>
      <c r="L6604" s="5"/>
      <c r="M6604" s="5"/>
      <c r="N6604" s="5"/>
      <c r="O6604" s="5"/>
      <c r="P6604" s="5"/>
      <c r="Q6604" s="5"/>
      <c r="R6604" s="5"/>
      <c r="S6604" s="5"/>
    </row>
    <row r="6605">
      <c r="A6605" s="5"/>
      <c r="B6605" s="5" t="str">
        <f>IFERROR(__xludf.DUMMYFUNCTION("""COMPUTED_VALUE"""),"هیأت")</f>
        <v>هیأت</v>
      </c>
      <c r="C6605" s="5" t="str">
        <f>IFERROR(__xludf.DUMMYFUNCTION("""COMPUTED_VALUE"""),"ریحانة الحسین(س)")</f>
        <v>ریحانة الحسین(س)</v>
      </c>
      <c r="D6605" s="5" t="str">
        <f>IFERROR(__xludf.DUMMYFUNCTION("""COMPUTED_VALUE"""),"یزد")</f>
        <v>یزد</v>
      </c>
      <c r="E6605" s="5" t="str">
        <f>IFERROR(__xludf.DUMMYFUNCTION("""COMPUTED_VALUE"""),"اردکان")</f>
        <v>اردکان</v>
      </c>
      <c r="F6605" s="5"/>
      <c r="G6605" s="5">
        <f>IFERROR(__xludf.DUMMYFUNCTION("""COMPUTED_VALUE"""),1.0)</f>
        <v>1</v>
      </c>
      <c r="H6605" s="6" t="str">
        <f>IFERROR(__xludf.DUMMYFUNCTION("""COMPUTED_VALUE"""),"https://www.instagram.com/reyhanatolhossein_ir/")</f>
        <v>https://www.instagram.com/reyhanatolhossein_ir/</v>
      </c>
      <c r="I6605" s="6" t="str">
        <f>IFERROR(__xludf.DUMMYFUNCTION("""COMPUTED_VALUE"""),"https://t.me/reyhanatolhosseyn315")</f>
        <v>https://t.me/reyhanatolhosseyn315</v>
      </c>
      <c r="J6605" s="5"/>
      <c r="K6605" s="5"/>
      <c r="L6605" s="5"/>
      <c r="M6605" s="5"/>
      <c r="N6605" s="5"/>
      <c r="O6605" s="5"/>
      <c r="P6605" s="5"/>
      <c r="Q6605" s="5"/>
      <c r="R6605" s="5"/>
      <c r="S6605" s="5"/>
    </row>
    <row r="6606">
      <c r="A6606" s="5"/>
      <c r="B6606" s="5" t="str">
        <f>IFERROR(__xludf.DUMMYFUNCTION("""COMPUTED_VALUE"""),"هیأت")</f>
        <v>هیأت</v>
      </c>
      <c r="C6606" s="5" t="str">
        <f>IFERROR(__xludf.DUMMYFUNCTION("""COMPUTED_VALUE"""),"ریحانة النبی")</f>
        <v>ریحانة النبی</v>
      </c>
      <c r="D6606" s="5" t="str">
        <f>IFERROR(__xludf.DUMMYFUNCTION("""COMPUTED_VALUE"""),"یزد")</f>
        <v>یزد</v>
      </c>
      <c r="E6606" s="5" t="str">
        <f>IFERROR(__xludf.DUMMYFUNCTION("""COMPUTED_VALUE"""),"اردکان")</f>
        <v>اردکان</v>
      </c>
      <c r="F6606" s="5"/>
      <c r="G6606" s="5"/>
      <c r="H6606" s="6" t="str">
        <f>IFERROR(__xludf.DUMMYFUNCTION("""COMPUTED_VALUE"""),"https://www.instagram.com/reyhanatonabi.a")</f>
        <v>https://www.instagram.com/reyhanatonabi.a</v>
      </c>
      <c r="I6606" s="5"/>
      <c r="J6606" s="6" t="str">
        <f>IFERROR(__xludf.DUMMYFUNCTION("""COMPUTED_VALUE"""),"https://eitaa.com/reyhanatolnabi_a")</f>
        <v>https://eitaa.com/reyhanatolnabi_a</v>
      </c>
      <c r="K6606" s="5"/>
      <c r="L6606" s="5"/>
      <c r="M6606" s="5"/>
      <c r="N6606" s="5"/>
      <c r="O6606" s="5"/>
      <c r="P6606" s="5"/>
      <c r="Q6606" s="5"/>
      <c r="R6606" s="5"/>
      <c r="S6606" s="5"/>
    </row>
    <row r="6607">
      <c r="A6607" s="5"/>
      <c r="B6607" s="5" t="str">
        <f>IFERROR(__xludf.DUMMYFUNCTION("""COMPUTED_VALUE"""),"هیأت")</f>
        <v>هیأت</v>
      </c>
      <c r="C6607" s="5" t="str">
        <f>IFERROR(__xludf.DUMMYFUNCTION("""COMPUTED_VALUE"""),"موکب الحسین")</f>
        <v>موکب الحسین</v>
      </c>
      <c r="D6607" s="5" t="str">
        <f>IFERROR(__xludf.DUMMYFUNCTION("""COMPUTED_VALUE"""),"یزد")</f>
        <v>یزد</v>
      </c>
      <c r="E6607" s="5" t="str">
        <f>IFERROR(__xludf.DUMMYFUNCTION("""COMPUTED_VALUE"""),"اردکان")</f>
        <v>اردکان</v>
      </c>
      <c r="F6607" s="5"/>
      <c r="G6607" s="5"/>
      <c r="H6607" s="6" t="str">
        <f>IFERROR(__xludf.DUMMYFUNCTION("""COMPUTED_VALUE"""),"https://www.instagram.com/mokebalhoseinardakan")</f>
        <v>https://www.instagram.com/mokebalhoseinardakan</v>
      </c>
      <c r="I6607" s="5"/>
      <c r="J6607" s="5"/>
      <c r="K6607" s="5"/>
      <c r="L6607" s="5"/>
      <c r="M6607" s="5"/>
      <c r="N6607" s="5"/>
      <c r="O6607" s="5"/>
      <c r="P6607" s="5"/>
      <c r="Q6607" s="5"/>
      <c r="R6607" s="5"/>
      <c r="S6607" s="5"/>
    </row>
    <row r="6608">
      <c r="A6608" s="5"/>
      <c r="B6608" s="5" t="str">
        <f>IFERROR(__xludf.DUMMYFUNCTION("""COMPUTED_VALUE"""),"هیأت")</f>
        <v>هیأت</v>
      </c>
      <c r="C6608" s="5" t="str">
        <f>IFERROR(__xludf.DUMMYFUNCTION("""COMPUTED_VALUE"""),"فاطمیه")</f>
        <v>فاطمیه</v>
      </c>
      <c r="D6608" s="5" t="str">
        <f>IFERROR(__xludf.DUMMYFUNCTION("""COMPUTED_VALUE"""),"یزد")</f>
        <v>یزد</v>
      </c>
      <c r="E6608" s="5" t="str">
        <f>IFERROR(__xludf.DUMMYFUNCTION("""COMPUTED_VALUE"""),"اردکان")</f>
        <v>اردکان</v>
      </c>
      <c r="F6608" s="5" t="str">
        <f>IFERROR(__xludf.DUMMYFUNCTION("""COMPUTED_VALUE"""),"خرانق")</f>
        <v>خرانق</v>
      </c>
      <c r="G6608" s="5"/>
      <c r="H6608" s="6" t="str">
        <f>IFERROR(__xludf.DUMMYFUNCTION("""COMPUTED_VALUE"""),"https://www.instagram.com/heiat.fatemieh.kharanaq/")</f>
        <v>https://www.instagram.com/heiat.fatemieh.kharanaq/</v>
      </c>
      <c r="I6608" s="5"/>
      <c r="J6608" s="5"/>
      <c r="K6608" s="5"/>
      <c r="L6608" s="5"/>
      <c r="M6608" s="5"/>
      <c r="N6608" s="5"/>
      <c r="O6608" s="5"/>
      <c r="P6608" s="5"/>
      <c r="Q6608" s="5"/>
      <c r="R6608" s="5"/>
      <c r="S6608" s="5"/>
    </row>
    <row r="6609">
      <c r="A6609" s="5">
        <f>IFERROR(__xludf.DUMMYFUNCTION("""COMPUTED_VALUE"""),21487.0)</f>
        <v>21487</v>
      </c>
      <c r="B6609" s="5" t="str">
        <f>IFERROR(__xludf.DUMMYFUNCTION("""COMPUTED_VALUE"""),"هیأت")</f>
        <v>هیأت</v>
      </c>
      <c r="C6609" s="5" t="str">
        <f>IFERROR(__xludf.DUMMYFUNCTION("""COMPUTED_VALUE"""),"انصارالحسین (ع) حسینیه شهدا")</f>
        <v>انصارالحسین (ع) حسینیه شهدا</v>
      </c>
      <c r="D6609" s="5" t="str">
        <f>IFERROR(__xludf.DUMMYFUNCTION("""COMPUTED_VALUE"""),"یزد")</f>
        <v>یزد</v>
      </c>
      <c r="E6609" s="5" t="str">
        <f>IFERROR(__xludf.DUMMYFUNCTION("""COMPUTED_VALUE"""),"اشکذر")</f>
        <v>اشکذر</v>
      </c>
      <c r="F6609" s="5"/>
      <c r="G6609" s="5"/>
      <c r="H6609" s="6" t="str">
        <f>IFERROR(__xludf.DUMMYFUNCTION("""COMPUTED_VALUE"""),"https://www.instagram.com/emamhossein_shohada_ashkezar/")</f>
        <v>https://www.instagram.com/emamhossein_shohada_ashkezar/</v>
      </c>
      <c r="I6609" s="5"/>
      <c r="J6609" s="5"/>
      <c r="K6609" s="5"/>
      <c r="L6609" s="5"/>
      <c r="M6609" s="5"/>
      <c r="N6609" s="5"/>
      <c r="O6609" s="5"/>
      <c r="P6609" s="5"/>
      <c r="Q6609" s="5"/>
      <c r="R6609" s="5"/>
      <c r="S6609" s="5"/>
    </row>
    <row r="6610">
      <c r="A6610" s="5">
        <f>IFERROR(__xludf.DUMMYFUNCTION("""COMPUTED_VALUE"""),22535.0)</f>
        <v>22535</v>
      </c>
      <c r="B6610" s="5" t="str">
        <f>IFERROR(__xludf.DUMMYFUNCTION("""COMPUTED_VALUE"""),"هیأت")</f>
        <v>هیأت</v>
      </c>
      <c r="C6610" s="5" t="str">
        <f>IFERROR(__xludf.DUMMYFUNCTION("""COMPUTED_VALUE"""),"اباعبدالله(ع)")</f>
        <v>اباعبدالله(ع)</v>
      </c>
      <c r="D6610" s="5" t="str">
        <f>IFERROR(__xludf.DUMMYFUNCTION("""COMPUTED_VALUE"""),"یزد")</f>
        <v>یزد</v>
      </c>
      <c r="E6610" s="5" t="str">
        <f>IFERROR(__xludf.DUMMYFUNCTION("""COMPUTED_VALUE"""),"اشکذر")</f>
        <v>اشکذر</v>
      </c>
      <c r="F6610" s="5"/>
      <c r="G6610" s="5"/>
      <c r="H6610" s="6" t="str">
        <f>IFERROR(__xludf.DUMMYFUNCTION("""COMPUTED_VALUE"""),"https://www.instagram.com/abaabdeallah")</f>
        <v>https://www.instagram.com/abaabdeallah</v>
      </c>
      <c r="I6610" s="6" t="str">
        <f>IFERROR(__xludf.DUMMYFUNCTION("""COMPUTED_VALUE"""),"https://t.me/abaabdellah_hosein")</f>
        <v>https://t.me/abaabdellah_hosein</v>
      </c>
      <c r="J6610" s="5"/>
      <c r="K6610" s="5"/>
      <c r="L6610" s="5"/>
      <c r="M6610" s="5"/>
      <c r="N6610" s="5"/>
      <c r="O6610" s="5"/>
      <c r="P6610" s="5"/>
      <c r="Q6610" s="5"/>
      <c r="R6610" s="5"/>
      <c r="S6610" s="5"/>
    </row>
    <row r="6611">
      <c r="A6611" s="5">
        <f>IFERROR(__xludf.DUMMYFUNCTION("""COMPUTED_VALUE"""),28734.0)</f>
        <v>28734</v>
      </c>
      <c r="B6611" s="5" t="str">
        <f>IFERROR(__xludf.DUMMYFUNCTION("""COMPUTED_VALUE"""),"هیأت")</f>
        <v>هیأت</v>
      </c>
      <c r="C6611" s="5" t="str">
        <f>IFERROR(__xludf.DUMMYFUNCTION("""COMPUTED_VALUE"""),"عاشورای اسلام آباد")</f>
        <v>عاشورای اسلام آباد</v>
      </c>
      <c r="D6611" s="5" t="str">
        <f>IFERROR(__xludf.DUMMYFUNCTION("""COMPUTED_VALUE"""),"یزد")</f>
        <v>یزد</v>
      </c>
      <c r="E6611" s="5" t="str">
        <f>IFERROR(__xludf.DUMMYFUNCTION("""COMPUTED_VALUE"""),"اشکذر")</f>
        <v>اشکذر</v>
      </c>
      <c r="F6611" s="5"/>
      <c r="G6611" s="5"/>
      <c r="H6611" s="5"/>
      <c r="I6611" s="6" t="str">
        <f>IFERROR(__xludf.DUMMYFUNCTION("""COMPUTED_VALUE"""),"https://t.me/Eslamabadyazd")</f>
        <v>https://t.me/Eslamabadyazd</v>
      </c>
      <c r="J6611" s="5"/>
      <c r="K6611" s="5"/>
      <c r="L6611" s="5"/>
      <c r="M6611" s="5"/>
      <c r="N6611" s="5"/>
      <c r="O6611" s="5"/>
      <c r="P6611" s="5"/>
      <c r="Q6611" s="5"/>
      <c r="R6611" s="5"/>
      <c r="S6611" s="5"/>
    </row>
    <row r="6612">
      <c r="A6612" s="5">
        <f>IFERROR(__xludf.DUMMYFUNCTION("""COMPUTED_VALUE"""),30073.0)</f>
        <v>30073</v>
      </c>
      <c r="B6612" s="5" t="str">
        <f>IFERROR(__xludf.DUMMYFUNCTION("""COMPUTED_VALUE"""),"هیأت")</f>
        <v>هیأت</v>
      </c>
      <c r="C6612" s="5" t="str">
        <f>IFERROR(__xludf.DUMMYFUNCTION("""COMPUTED_VALUE"""),"هزار شهید دانش آموز اشکذر استان یزد")</f>
        <v>هزار شهید دانش آموز اشکذر استان یزد</v>
      </c>
      <c r="D6612" s="5" t="str">
        <f>IFERROR(__xludf.DUMMYFUNCTION("""COMPUTED_VALUE"""),"یزد")</f>
        <v>یزد</v>
      </c>
      <c r="E6612" s="5" t="str">
        <f>IFERROR(__xludf.DUMMYFUNCTION("""COMPUTED_VALUE"""),"اشکذر")</f>
        <v>اشکذر</v>
      </c>
      <c r="F6612" s="5"/>
      <c r="G6612" s="5"/>
      <c r="H6612" s="5"/>
      <c r="I6612" s="5"/>
      <c r="J6612" s="6" t="str">
        <f>IFERROR(__xludf.DUMMYFUNCTION("""COMPUTED_VALUE"""),"https://eitaa.com/hezarcheshmeh")</f>
        <v>https://eitaa.com/hezarcheshmeh</v>
      </c>
      <c r="K6612" s="5"/>
      <c r="L6612" s="5"/>
      <c r="M6612" s="5"/>
      <c r="N6612" s="5"/>
      <c r="O6612" s="5"/>
      <c r="P6612" s="5"/>
      <c r="Q6612" s="5"/>
      <c r="R6612" s="5"/>
      <c r="S6612" s="5"/>
    </row>
    <row r="6613">
      <c r="A6613" s="5">
        <f>IFERROR(__xludf.DUMMYFUNCTION("""COMPUTED_VALUE"""),31339.0)</f>
        <v>31339</v>
      </c>
      <c r="B6613" s="5" t="str">
        <f>IFERROR(__xludf.DUMMYFUNCTION("""COMPUTED_VALUE"""),"هیأت")</f>
        <v>هیأت</v>
      </c>
      <c r="C6613" s="5" t="str">
        <f>IFERROR(__xludf.DUMMYFUNCTION("""COMPUTED_VALUE"""),"حضرت علی اکبر (ع)")</f>
        <v>حضرت علی اکبر (ع)</v>
      </c>
      <c r="D6613" s="5" t="str">
        <f>IFERROR(__xludf.DUMMYFUNCTION("""COMPUTED_VALUE"""),"یزد")</f>
        <v>یزد</v>
      </c>
      <c r="E6613" s="5" t="str">
        <f>IFERROR(__xludf.DUMMYFUNCTION("""COMPUTED_VALUE"""),"اشکذر")</f>
        <v>اشکذر</v>
      </c>
      <c r="F6613" s="5"/>
      <c r="G6613" s="5"/>
      <c r="H6613" s="6" t="str">
        <f>IFERROR(__xludf.DUMMYFUNCTION("""COMPUTED_VALUE"""),"https://www.instagram.com/heyate_hazeratealiakbar")</f>
        <v>https://www.instagram.com/heyate_hazeratealiakbar</v>
      </c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</row>
    <row r="6614">
      <c r="A6614" s="5">
        <f>IFERROR(__xludf.DUMMYFUNCTION("""COMPUTED_VALUE"""),31342.0)</f>
        <v>31342</v>
      </c>
      <c r="B6614" s="5" t="str">
        <f>IFERROR(__xludf.DUMMYFUNCTION("""COMPUTED_VALUE"""),"هیأت")</f>
        <v>هیأت</v>
      </c>
      <c r="C6614" s="5" t="str">
        <f>IFERROR(__xludf.DUMMYFUNCTION("""COMPUTED_VALUE"""),"چهارده معصوم (ع)")</f>
        <v>چهارده معصوم (ع)</v>
      </c>
      <c r="D6614" s="5" t="str">
        <f>IFERROR(__xludf.DUMMYFUNCTION("""COMPUTED_VALUE"""),"یزد")</f>
        <v>یزد</v>
      </c>
      <c r="E6614" s="5" t="str">
        <f>IFERROR(__xludf.DUMMYFUNCTION("""COMPUTED_VALUE"""),"اشکذر")</f>
        <v>اشکذر</v>
      </c>
      <c r="F6614" s="5"/>
      <c r="G6614" s="5"/>
      <c r="H6614" s="6" t="str">
        <f>IFERROR(__xludf.DUMMYFUNCTION("""COMPUTED_VALUE"""),"https://www.instagram.com/heyat_14_masom")</f>
        <v>https://www.instagram.com/heyat_14_masom</v>
      </c>
      <c r="I6614" s="5"/>
      <c r="J6614" s="6" t="str">
        <f>IFERROR(__xludf.DUMMYFUNCTION("""COMPUTED_VALUE"""),"https://eitaa.com/mf14masoumemamshahr")</f>
        <v>https://eitaa.com/mf14masoumemamshahr</v>
      </c>
      <c r="K6614" s="5"/>
      <c r="L6614" s="5"/>
      <c r="M6614" s="5"/>
      <c r="N6614" s="5"/>
      <c r="O6614" s="5"/>
      <c r="P6614" s="5"/>
      <c r="Q6614" s="5"/>
      <c r="R6614" s="5"/>
      <c r="S6614" s="5"/>
    </row>
    <row r="6615">
      <c r="A6615" s="5">
        <f>IFERROR(__xludf.DUMMYFUNCTION("""COMPUTED_VALUE"""),31481.0)</f>
        <v>31481</v>
      </c>
      <c r="B6615" s="5" t="str">
        <f>IFERROR(__xludf.DUMMYFUNCTION("""COMPUTED_VALUE"""),"هیأت")</f>
        <v>هیأت</v>
      </c>
      <c r="C6615" s="5" t="str">
        <f>IFERROR(__xludf.DUMMYFUNCTION("""COMPUTED_VALUE"""),"مجمع الذاکرین")</f>
        <v>مجمع الذاکرین</v>
      </c>
      <c r="D6615" s="5" t="str">
        <f>IFERROR(__xludf.DUMMYFUNCTION("""COMPUTED_VALUE"""),"یزد")</f>
        <v>یزد</v>
      </c>
      <c r="E6615" s="5" t="str">
        <f>IFERROR(__xludf.DUMMYFUNCTION("""COMPUTED_VALUE"""),"اشکذر")</f>
        <v>اشکذر</v>
      </c>
      <c r="F6615" s="5"/>
      <c r="G6615" s="5"/>
      <c r="H6615" s="6" t="str">
        <f>IFERROR(__xludf.DUMMYFUNCTION("""COMPUTED_VALUE"""),"https://www.instagram.com/majmaozakerinyazd")</f>
        <v>https://www.instagram.com/majmaozakerinyazd</v>
      </c>
      <c r="I6615" s="6" t="str">
        <f>IFERROR(__xludf.DUMMYFUNCTION("""COMPUTED_VALUE"""),"https://t.me/majmaozakerinyazd")</f>
        <v>https://t.me/majmaozakerinyazd</v>
      </c>
      <c r="J6615" s="6" t="str">
        <f>IFERROR(__xludf.DUMMYFUNCTION("""COMPUTED_VALUE"""),"https://eitaa.com/majmaozakerinyazd")</f>
        <v>https://eitaa.com/majmaozakerinyazd</v>
      </c>
      <c r="K6615" s="5"/>
      <c r="L6615" s="5"/>
      <c r="M6615" s="5"/>
      <c r="N6615" s="5"/>
      <c r="O6615" s="5"/>
      <c r="P6615" s="5"/>
      <c r="Q6615" s="5"/>
      <c r="R6615" s="5"/>
      <c r="S6615" s="5"/>
    </row>
    <row r="6616">
      <c r="A6616" s="5"/>
      <c r="B6616" s="5" t="str">
        <f>IFERROR(__xludf.DUMMYFUNCTION("""COMPUTED_VALUE"""),"حسینیه")</f>
        <v>حسینیه</v>
      </c>
      <c r="C6616" s="5" t="str">
        <f>IFERROR(__xludf.DUMMYFUNCTION("""COMPUTED_VALUE"""),"سفید")</f>
        <v>سفید</v>
      </c>
      <c r="D6616" s="5" t="str">
        <f>IFERROR(__xludf.DUMMYFUNCTION("""COMPUTED_VALUE"""),"یزد")</f>
        <v>یزد</v>
      </c>
      <c r="E6616" s="5" t="str">
        <f>IFERROR(__xludf.DUMMYFUNCTION("""COMPUTED_VALUE"""),"اشکذر")</f>
        <v>اشکذر</v>
      </c>
      <c r="F6616" s="5"/>
      <c r="G6616" s="5"/>
      <c r="H6616" s="6" t="str">
        <f>IFERROR(__xludf.DUMMYFUNCTION("""COMPUTED_VALUE"""),"https://www.instagram.com/hosseinieh_sefid_ashkezar/")</f>
        <v>https://www.instagram.com/hosseinieh_sefid_ashkezar/</v>
      </c>
      <c r="I6616" s="5"/>
      <c r="J6616" s="5"/>
      <c r="K6616" s="5"/>
      <c r="L6616" s="5"/>
      <c r="M6616" s="5"/>
      <c r="N6616" s="5"/>
      <c r="O6616" s="5"/>
      <c r="P6616" s="5"/>
      <c r="Q6616" s="5"/>
      <c r="R6616" s="5"/>
      <c r="S6616" s="5"/>
    </row>
    <row r="6617">
      <c r="A6617" s="5"/>
      <c r="B6617" s="5" t="str">
        <f>IFERROR(__xludf.DUMMYFUNCTION("""COMPUTED_VALUE"""),"هیأت")</f>
        <v>هیأت</v>
      </c>
      <c r="C6617" s="5" t="str">
        <f>IFERROR(__xludf.DUMMYFUNCTION("""COMPUTED_VALUE"""),"امام حسن مجتبی(ع)")</f>
        <v>امام حسن مجتبی(ع)</v>
      </c>
      <c r="D6617" s="5" t="str">
        <f>IFERROR(__xludf.DUMMYFUNCTION("""COMPUTED_VALUE"""),"یزد")</f>
        <v>یزد</v>
      </c>
      <c r="E6617" s="5" t="str">
        <f>IFERROR(__xludf.DUMMYFUNCTION("""COMPUTED_VALUE"""),"اشکذر")</f>
        <v>اشکذر</v>
      </c>
      <c r="F6617" s="5"/>
      <c r="G6617" s="5"/>
      <c r="H6617" s="6" t="str">
        <f>IFERROR(__xludf.DUMMYFUNCTION("""COMPUTED_VALUE"""),"https://www.instagram.com/hayat_emamhasan_mojtaba/")</f>
        <v>https://www.instagram.com/hayat_emamhasan_mojtaba/</v>
      </c>
      <c r="I6617" s="5"/>
      <c r="J6617" s="5"/>
      <c r="K6617" s="5"/>
      <c r="L6617" s="5"/>
      <c r="M6617" s="5"/>
      <c r="N6617" s="5"/>
      <c r="O6617" s="5"/>
      <c r="P6617" s="5"/>
      <c r="Q6617" s="5"/>
      <c r="R6617" s="5"/>
      <c r="S6617" s="5"/>
    </row>
    <row r="6618">
      <c r="A6618" s="5"/>
      <c r="B6618" s="5" t="str">
        <f>IFERROR(__xludf.DUMMYFUNCTION("""COMPUTED_VALUE"""),"هیأت")</f>
        <v>هیأت</v>
      </c>
      <c r="C6618" s="5" t="str">
        <f>IFERROR(__xludf.DUMMYFUNCTION("""COMPUTED_VALUE"""),"علی اصغر")</f>
        <v>علی اصغر</v>
      </c>
      <c r="D6618" s="5" t="str">
        <f>IFERROR(__xludf.DUMMYFUNCTION("""COMPUTED_VALUE"""),"یزد")</f>
        <v>یزد</v>
      </c>
      <c r="E6618" s="5" t="str">
        <f>IFERROR(__xludf.DUMMYFUNCTION("""COMPUTED_VALUE"""),"اشکذر")</f>
        <v>اشکذر</v>
      </c>
      <c r="F6618" s="5" t="str">
        <f>IFERROR(__xludf.DUMMYFUNCTION("""COMPUTED_VALUE"""),"مجومرد")</f>
        <v>مجومرد</v>
      </c>
      <c r="G6618" s="5"/>
      <c r="H6618" s="6" t="str">
        <f>IFERROR(__xludf.DUMMYFUNCTION("""COMPUTED_VALUE"""),"https://www.instagram.com/heyat_aliasghar_majoomerd/")</f>
        <v>https://www.instagram.com/heyat_aliasghar_majoomerd/</v>
      </c>
      <c r="I6618" s="5"/>
      <c r="J6618" s="5"/>
      <c r="K6618" s="5"/>
      <c r="L6618" s="5"/>
      <c r="M6618" s="5"/>
      <c r="N6618" s="5"/>
      <c r="O6618" s="5"/>
      <c r="P6618" s="5"/>
      <c r="Q6618" s="5"/>
      <c r="R6618" s="5"/>
      <c r="S6618" s="5"/>
    </row>
    <row r="6619">
      <c r="A6619" s="5"/>
      <c r="B6619" s="5" t="str">
        <f>IFERROR(__xludf.DUMMYFUNCTION("""COMPUTED_VALUE"""),"هیأت")</f>
        <v>هیأت</v>
      </c>
      <c r="C6619" s="5" t="str">
        <f>IFERROR(__xludf.DUMMYFUNCTION("""COMPUTED_VALUE"""),"بیت الزهرا(س)رضوانشهر")</f>
        <v>بیت الزهرا(س)رضوانشهر</v>
      </c>
      <c r="D6619" s="5" t="str">
        <f>IFERROR(__xludf.DUMMYFUNCTION("""COMPUTED_VALUE"""),"یزد")</f>
        <v>یزد</v>
      </c>
      <c r="E6619" s="5" t="str">
        <f>IFERROR(__xludf.DUMMYFUNCTION("""COMPUTED_VALUE"""),"اشکذر")</f>
        <v>اشکذر</v>
      </c>
      <c r="F6619" s="5" t="str">
        <f>IFERROR(__xludf.DUMMYFUNCTION("""COMPUTED_VALUE"""),"مجومرد")</f>
        <v>مجومرد</v>
      </c>
      <c r="G6619" s="5"/>
      <c r="H6619" s="6" t="str">
        <f>IFERROR(__xludf.DUMMYFUNCTION("""COMPUTED_VALUE"""),"https://www.instagram.com/baitozahra.rezvanshahr/")</f>
        <v>https://www.instagram.com/baitozahra.rezvanshahr/</v>
      </c>
      <c r="I6619" s="5"/>
      <c r="J6619" s="5"/>
      <c r="K6619" s="5"/>
      <c r="L6619" s="5"/>
      <c r="M6619" s="5"/>
      <c r="N6619" s="5"/>
      <c r="O6619" s="5"/>
      <c r="P6619" s="5"/>
      <c r="Q6619" s="5"/>
      <c r="R6619" s="5"/>
      <c r="S6619" s="5"/>
    </row>
    <row r="6620">
      <c r="A6620" s="5"/>
      <c r="B6620" s="5" t="str">
        <f>IFERROR(__xludf.DUMMYFUNCTION("""COMPUTED_VALUE"""),"هیأت")</f>
        <v>هیأت</v>
      </c>
      <c r="C6620" s="5" t="str">
        <f>IFERROR(__xludf.DUMMYFUNCTION("""COMPUTED_VALUE"""),"جوانان")</f>
        <v>جوانان</v>
      </c>
      <c r="D6620" s="5" t="str">
        <f>IFERROR(__xludf.DUMMYFUNCTION("""COMPUTED_VALUE"""),"یزد")</f>
        <v>یزد</v>
      </c>
      <c r="E6620" s="5" t="str">
        <f>IFERROR(__xludf.DUMMYFUNCTION("""COMPUTED_VALUE"""),"اشکذر")</f>
        <v>اشکذر</v>
      </c>
      <c r="F6620" s="5" t="str">
        <f>IFERROR(__xludf.DUMMYFUNCTION("""COMPUTED_VALUE"""),"مجومرد")</f>
        <v>مجومرد</v>
      </c>
      <c r="G6620" s="5"/>
      <c r="H6620" s="6" t="str">
        <f>IFERROR(__xludf.DUMMYFUNCTION("""COMPUTED_VALUE"""),"https://www.instagram.com/heiat.javananshahrmajomerd/")</f>
        <v>https://www.instagram.com/heiat.javananshahrmajomerd/</v>
      </c>
      <c r="I6620" s="5"/>
      <c r="J6620" s="5"/>
      <c r="K6620" s="5"/>
      <c r="L6620" s="5"/>
      <c r="M6620" s="5"/>
      <c r="N6620" s="5"/>
      <c r="O6620" s="5"/>
      <c r="P6620" s="5"/>
      <c r="Q6620" s="5"/>
      <c r="R6620" s="5"/>
      <c r="S6620" s="5"/>
    </row>
    <row r="6621">
      <c r="A6621" s="5"/>
      <c r="B6621" s="5" t="str">
        <f>IFERROR(__xludf.DUMMYFUNCTION("""COMPUTED_VALUE"""),"هیأت")</f>
        <v>هیأت</v>
      </c>
      <c r="C6621" s="5" t="str">
        <f>IFERROR(__xludf.DUMMYFUNCTION("""COMPUTED_VALUE"""),"مسجدابوالفضل (ع)")</f>
        <v>مسجدابوالفضل (ع)</v>
      </c>
      <c r="D6621" s="5" t="str">
        <f>IFERROR(__xludf.DUMMYFUNCTION("""COMPUTED_VALUE"""),"یزد")</f>
        <v>یزد</v>
      </c>
      <c r="E6621" s="5" t="str">
        <f>IFERROR(__xludf.DUMMYFUNCTION("""COMPUTED_VALUE"""),"اشکذر")</f>
        <v>اشکذر</v>
      </c>
      <c r="F6621" s="5" t="str">
        <f>IFERROR(__xludf.DUMMYFUNCTION("""COMPUTED_VALUE"""),"خضرآباد")</f>
        <v>خضرآباد</v>
      </c>
      <c r="G6621" s="5"/>
      <c r="H6621" s="6" t="str">
        <f>IFERROR(__xludf.DUMMYFUNCTION("""COMPUTED_VALUE"""),"https://www.instagram.com/heyat.khezrabad/")</f>
        <v>https://www.instagram.com/heyat.khezrabad/</v>
      </c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</row>
    <row r="6622">
      <c r="A6622" s="5">
        <f>IFERROR(__xludf.DUMMYFUNCTION("""COMPUTED_VALUE"""),16848.0)</f>
        <v>16848</v>
      </c>
      <c r="B6622" s="5" t="str">
        <f>IFERROR(__xludf.DUMMYFUNCTION("""COMPUTED_VALUE"""),"هیأت")</f>
        <v>هیأت</v>
      </c>
      <c r="C6622" s="5" t="str">
        <f>IFERROR(__xludf.DUMMYFUNCTION("""COMPUTED_VALUE"""),"بیت الرضا(ع) (موسسه خیریه فرهنگی مذهبی )")</f>
        <v>بیت الرضا(ع) (موسسه خیریه فرهنگی مذهبی )</v>
      </c>
      <c r="D6622" s="5" t="str">
        <f>IFERROR(__xludf.DUMMYFUNCTION("""COMPUTED_VALUE"""),"یزد")</f>
        <v>یزد</v>
      </c>
      <c r="E6622" s="5" t="str">
        <f>IFERROR(__xludf.DUMMYFUNCTION("""COMPUTED_VALUE"""),"بافق")</f>
        <v>بافق</v>
      </c>
      <c r="F6622" s="5"/>
      <c r="G6622" s="5"/>
      <c r="H6622" s="6" t="str">
        <f>IFERROR(__xludf.DUMMYFUNCTION("""COMPUTED_VALUE"""),"https://www.instagram.com/beitreza/")</f>
        <v>https://www.instagram.com/beitreza/</v>
      </c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</row>
    <row r="6623">
      <c r="A6623" s="5">
        <f>IFERROR(__xludf.DUMMYFUNCTION("""COMPUTED_VALUE"""),17001.0)</f>
        <v>17001</v>
      </c>
      <c r="B6623" s="5" t="str">
        <f>IFERROR(__xludf.DUMMYFUNCTION("""COMPUTED_VALUE"""),"هیأت")</f>
        <v>هیأت</v>
      </c>
      <c r="C6623" s="5" t="str">
        <f>IFERROR(__xludf.DUMMYFUNCTION("""COMPUTED_VALUE"""),"محبان الحسین (ع)")</f>
        <v>محبان الحسین (ع)</v>
      </c>
      <c r="D6623" s="5" t="str">
        <f>IFERROR(__xludf.DUMMYFUNCTION("""COMPUTED_VALUE"""),"یزد")</f>
        <v>یزد</v>
      </c>
      <c r="E6623" s="5" t="str">
        <f>IFERROR(__xludf.DUMMYFUNCTION("""COMPUTED_VALUE"""),"بافق")</f>
        <v>بافق</v>
      </c>
      <c r="F6623" s="5"/>
      <c r="G6623" s="5"/>
      <c r="H6623" s="6" t="str">
        <f>IFERROR(__xludf.DUMMYFUNCTION("""COMPUTED_VALUE"""),"https://www.instagram.com/mohebanbafgh")</f>
        <v>https://www.instagram.com/mohebanbafgh</v>
      </c>
      <c r="I6623" s="5"/>
      <c r="J6623" s="5"/>
      <c r="K6623" s="5"/>
      <c r="L6623" s="5"/>
      <c r="M6623" s="5"/>
      <c r="N6623" s="5"/>
      <c r="O6623" s="5"/>
      <c r="P6623" s="5"/>
      <c r="Q6623" s="5"/>
      <c r="R6623" s="5"/>
      <c r="S6623" s="5"/>
    </row>
    <row r="6624">
      <c r="A6624" s="5">
        <f>IFERROR(__xludf.DUMMYFUNCTION("""COMPUTED_VALUE"""),17019.0)</f>
        <v>17019</v>
      </c>
      <c r="B6624" s="5" t="str">
        <f>IFERROR(__xludf.DUMMYFUNCTION("""COMPUTED_VALUE"""),"هیأت")</f>
        <v>هیأت</v>
      </c>
      <c r="C6624" s="5" t="str">
        <f>IFERROR(__xludf.DUMMYFUNCTION("""COMPUTED_VALUE"""),"خیمه گاه")</f>
        <v>خیمه گاه</v>
      </c>
      <c r="D6624" s="5" t="str">
        <f>IFERROR(__xludf.DUMMYFUNCTION("""COMPUTED_VALUE"""),"یزد")</f>
        <v>یزد</v>
      </c>
      <c r="E6624" s="5" t="str">
        <f>IFERROR(__xludf.DUMMYFUNCTION("""COMPUTED_VALUE"""),"بافق")</f>
        <v>بافق</v>
      </c>
      <c r="F6624" s="5"/>
      <c r="G6624" s="5"/>
      <c r="H6624" s="6" t="str">
        <f>IFERROR(__xludf.DUMMYFUNCTION("""COMPUTED_VALUE"""),"https://www.instagram.com/kheymehgahebafgh13")</f>
        <v>https://www.instagram.com/kheymehgahebafgh13</v>
      </c>
      <c r="I6624" s="6" t="str">
        <f>IFERROR(__xludf.DUMMYFUNCTION("""COMPUTED_VALUE"""),"https://t.me/kheymehgahebafgh")</f>
        <v>https://t.me/kheymehgahebafgh</v>
      </c>
      <c r="J6624" s="6" t="str">
        <f>IFERROR(__xludf.DUMMYFUNCTION("""COMPUTED_VALUE"""),"https://eitaa.com/kheymehgahebafgh")</f>
        <v>https://eitaa.com/kheymehgahebafgh</v>
      </c>
      <c r="K6624" s="5"/>
      <c r="L6624" s="5"/>
      <c r="M6624" s="5"/>
      <c r="N6624" s="5"/>
      <c r="O6624" s="5"/>
      <c r="P6624" s="5"/>
      <c r="Q6624" s="5"/>
      <c r="R6624" s="5"/>
      <c r="S6624" s="5"/>
    </row>
    <row r="6625">
      <c r="A6625" s="5">
        <f>IFERROR(__xludf.DUMMYFUNCTION("""COMPUTED_VALUE"""),17087.0)</f>
        <v>17087</v>
      </c>
      <c r="B6625" s="5" t="str">
        <f>IFERROR(__xludf.DUMMYFUNCTION("""COMPUTED_VALUE"""),"هیأت")</f>
        <v>هیأت</v>
      </c>
      <c r="C6625" s="5" t="str">
        <f>IFERROR(__xludf.DUMMYFUNCTION("""COMPUTED_VALUE"""),"قاسم بن الحسن(ع)")</f>
        <v>قاسم بن الحسن(ع)</v>
      </c>
      <c r="D6625" s="5" t="str">
        <f>IFERROR(__xludf.DUMMYFUNCTION("""COMPUTED_VALUE"""),"یزد")</f>
        <v>یزد</v>
      </c>
      <c r="E6625" s="5" t="str">
        <f>IFERROR(__xludf.DUMMYFUNCTION("""COMPUTED_VALUE"""),"بافق")</f>
        <v>بافق</v>
      </c>
      <c r="F6625" s="5"/>
      <c r="G6625" s="5"/>
      <c r="H6625" s="6" t="str">
        <f>IFERROR(__xludf.DUMMYFUNCTION("""COMPUTED_VALUE"""),"https://www.instagram.com/heiatghasemebnelhassan")</f>
        <v>https://www.instagram.com/heiatghasemebnelhassan</v>
      </c>
      <c r="I6625" s="5"/>
      <c r="J6625" s="5"/>
      <c r="K6625" s="5"/>
      <c r="L6625" s="5"/>
      <c r="M6625" s="5"/>
      <c r="N6625" s="5"/>
      <c r="O6625" s="5"/>
      <c r="P6625" s="5"/>
      <c r="Q6625" s="5"/>
      <c r="R6625" s="5"/>
      <c r="S6625" s="5"/>
    </row>
    <row r="6626">
      <c r="A6626" s="5">
        <f>IFERROR(__xludf.DUMMYFUNCTION("""COMPUTED_VALUE"""),20073.0)</f>
        <v>20073</v>
      </c>
      <c r="B6626" s="5" t="str">
        <f>IFERROR(__xludf.DUMMYFUNCTION("""COMPUTED_VALUE"""),"هیأت")</f>
        <v>هیأت</v>
      </c>
      <c r="C6626" s="5" t="str">
        <f>IFERROR(__xludf.DUMMYFUNCTION("""COMPUTED_VALUE"""),"بچه های فاطمه (س)")</f>
        <v>بچه های فاطمه (س)</v>
      </c>
      <c r="D6626" s="5" t="str">
        <f>IFERROR(__xludf.DUMMYFUNCTION("""COMPUTED_VALUE"""),"یزد")</f>
        <v>یزد</v>
      </c>
      <c r="E6626" s="5" t="str">
        <f>IFERROR(__xludf.DUMMYFUNCTION("""COMPUTED_VALUE"""),"بافق")</f>
        <v>بافق</v>
      </c>
      <c r="F6626" s="5"/>
      <c r="G6626" s="5"/>
      <c r="H6626" s="5"/>
      <c r="I6626" s="5"/>
      <c r="J6626" s="6" t="str">
        <f>IFERROR(__xludf.DUMMYFUNCTION("""COMPUTED_VALUE"""),"https://eitaa.com/Bafeq_Board")</f>
        <v>https://eitaa.com/Bafeq_Board</v>
      </c>
      <c r="K6626" s="5"/>
      <c r="L6626" s="5"/>
      <c r="M6626" s="5"/>
      <c r="N6626" s="5"/>
      <c r="O6626" s="5"/>
      <c r="P6626" s="5"/>
      <c r="Q6626" s="5"/>
      <c r="R6626" s="5"/>
      <c r="S6626" s="5"/>
    </row>
    <row r="6627">
      <c r="A6627" s="5">
        <f>IFERROR(__xludf.DUMMYFUNCTION("""COMPUTED_VALUE"""),20074.0)</f>
        <v>20074</v>
      </c>
      <c r="B6627" s="5" t="str">
        <f>IFERROR(__xludf.DUMMYFUNCTION("""COMPUTED_VALUE"""),"هیأت")</f>
        <v>هیأت</v>
      </c>
      <c r="C6627" s="5" t="str">
        <f>IFERROR(__xludf.DUMMYFUNCTION("""COMPUTED_VALUE"""),"حسن بن علی(ع)")</f>
        <v>حسن بن علی(ع)</v>
      </c>
      <c r="D6627" s="5" t="str">
        <f>IFERROR(__xludf.DUMMYFUNCTION("""COMPUTED_VALUE"""),"یزد")</f>
        <v>یزد</v>
      </c>
      <c r="E6627" s="5" t="str">
        <f>IFERROR(__xludf.DUMMYFUNCTION("""COMPUTED_VALUE"""),"بافق")</f>
        <v>بافق</v>
      </c>
      <c r="F6627" s="5"/>
      <c r="G6627" s="5"/>
      <c r="H6627" s="5"/>
      <c r="I6627" s="5"/>
      <c r="J6627" s="6" t="str">
        <f>IFERROR(__xludf.DUMMYFUNCTION("""COMPUTED_VALUE"""),"https://eitaa.com/hasanebnealii")</f>
        <v>https://eitaa.com/hasanebnealii</v>
      </c>
      <c r="K6627" s="5"/>
      <c r="L6627" s="5"/>
      <c r="M6627" s="5"/>
      <c r="N6627" s="5"/>
      <c r="O6627" s="5"/>
      <c r="P6627" s="5"/>
      <c r="Q6627" s="5"/>
      <c r="R6627" s="5"/>
      <c r="S6627" s="5"/>
    </row>
    <row r="6628">
      <c r="A6628" s="5">
        <f>IFERROR(__xludf.DUMMYFUNCTION("""COMPUTED_VALUE"""),20075.0)</f>
        <v>20075</v>
      </c>
      <c r="B6628" s="5" t="str">
        <f>IFERROR(__xludf.DUMMYFUNCTION("""COMPUTED_VALUE"""),"هیأت")</f>
        <v>هیأت</v>
      </c>
      <c r="C6628" s="5" t="str">
        <f>IFERROR(__xludf.DUMMYFUNCTION("""COMPUTED_VALUE"""),"صاحب الزمان (عج)")</f>
        <v>صاحب الزمان (عج)</v>
      </c>
      <c r="D6628" s="5" t="str">
        <f>IFERROR(__xludf.DUMMYFUNCTION("""COMPUTED_VALUE"""),"یزد")</f>
        <v>یزد</v>
      </c>
      <c r="E6628" s="5" t="str">
        <f>IFERROR(__xludf.DUMMYFUNCTION("""COMPUTED_VALUE"""),"بافق")</f>
        <v>بافق</v>
      </c>
      <c r="F6628" s="5"/>
      <c r="G6628" s="5"/>
      <c r="H6628" s="6" t="str">
        <f>IFERROR(__xludf.DUMMYFUNCTION("""COMPUTED_VALUE"""),"https://www.instagram.com/sahebzamanbafq/")</f>
        <v>https://www.instagram.com/sahebzamanbafq/</v>
      </c>
      <c r="I6628" s="5"/>
      <c r="J6628" s="5"/>
      <c r="K6628" s="5"/>
      <c r="L6628" s="5"/>
      <c r="M6628" s="5"/>
      <c r="N6628" s="5"/>
      <c r="O6628" s="5"/>
      <c r="P6628" s="5"/>
      <c r="Q6628" s="5"/>
      <c r="R6628" s="5"/>
      <c r="S6628" s="5"/>
    </row>
    <row r="6629">
      <c r="A6629" s="5">
        <f>IFERROR(__xludf.DUMMYFUNCTION("""COMPUTED_VALUE"""),20078.0)</f>
        <v>20078</v>
      </c>
      <c r="B6629" s="5" t="str">
        <f>IFERROR(__xludf.DUMMYFUNCTION("""COMPUTED_VALUE"""),"هیأت")</f>
        <v>هیأت</v>
      </c>
      <c r="C6629" s="5" t="str">
        <f>IFERROR(__xludf.DUMMYFUNCTION("""COMPUTED_VALUE"""),"فدائیان حضرت زهرا(س)")</f>
        <v>فدائیان حضرت زهرا(س)</v>
      </c>
      <c r="D6629" s="5" t="str">
        <f>IFERROR(__xludf.DUMMYFUNCTION("""COMPUTED_VALUE"""),"یزد")</f>
        <v>یزد</v>
      </c>
      <c r="E6629" s="5" t="str">
        <f>IFERROR(__xludf.DUMMYFUNCTION("""COMPUTED_VALUE"""),"بافق")</f>
        <v>بافق</v>
      </c>
      <c r="F6629" s="5"/>
      <c r="G6629" s="5"/>
      <c r="H6629" s="6" t="str">
        <f>IFERROR(__xludf.DUMMYFUNCTION("""COMPUTED_VALUE"""),"https://www.instagram.com/fadaeianhazratzahrabafq")</f>
        <v>https://www.instagram.com/fadaeianhazratzahrabafq</v>
      </c>
      <c r="I6629" s="5"/>
      <c r="J6629" s="5"/>
      <c r="K6629" s="5"/>
      <c r="L6629" s="5"/>
      <c r="M6629" s="5"/>
      <c r="N6629" s="5"/>
      <c r="O6629" s="5"/>
      <c r="P6629" s="5"/>
      <c r="Q6629" s="5"/>
      <c r="R6629" s="5"/>
      <c r="S6629" s="5"/>
    </row>
    <row r="6630">
      <c r="A6630" s="5">
        <f>IFERROR(__xludf.DUMMYFUNCTION("""COMPUTED_VALUE"""),22538.0)</f>
        <v>22538</v>
      </c>
      <c r="B6630" s="5" t="str">
        <f>IFERROR(__xludf.DUMMYFUNCTION("""COMPUTED_VALUE"""),"هیأت")</f>
        <v>هیأت</v>
      </c>
      <c r="C6630" s="5" t="str">
        <f>IFERROR(__xludf.DUMMYFUNCTION("""COMPUTED_VALUE"""),"حجت بن حسن عسکری ع")</f>
        <v>حجت بن حسن عسکری ع</v>
      </c>
      <c r="D6630" s="5" t="str">
        <f>IFERROR(__xludf.DUMMYFUNCTION("""COMPUTED_VALUE"""),"یزد")</f>
        <v>یزد</v>
      </c>
      <c r="E6630" s="5" t="str">
        <f>IFERROR(__xludf.DUMMYFUNCTION("""COMPUTED_VALUE"""),"بافق")</f>
        <v>بافق</v>
      </c>
      <c r="F6630" s="5"/>
      <c r="G6630" s="5"/>
      <c r="H6630" s="6" t="str">
        <f>IFERROR(__xludf.DUMMYFUNCTION("""COMPUTED_VALUE"""),"https://www.instagram.com/heyat.hazrate.hojat.bafgh1354")</f>
        <v>https://www.instagram.com/heyat.hazrate.hojat.bafgh1354</v>
      </c>
      <c r="I6630" s="5"/>
      <c r="J6630" s="5"/>
      <c r="K6630" s="5"/>
      <c r="L6630" s="5"/>
      <c r="M6630" s="5"/>
      <c r="N6630" s="5"/>
      <c r="O6630" s="5"/>
      <c r="P6630" s="5"/>
      <c r="Q6630" s="5"/>
      <c r="R6630" s="5"/>
      <c r="S6630" s="5"/>
    </row>
    <row r="6631">
      <c r="A6631" s="5">
        <f>IFERROR(__xludf.DUMMYFUNCTION("""COMPUTED_VALUE"""),22540.0)</f>
        <v>22540</v>
      </c>
      <c r="B6631" s="5" t="str">
        <f>IFERROR(__xludf.DUMMYFUNCTION("""COMPUTED_VALUE"""),"هیأت")</f>
        <v>هیأت</v>
      </c>
      <c r="C6631" s="5" t="str">
        <f>IFERROR(__xludf.DUMMYFUNCTION("""COMPUTED_VALUE"""),"منتظران ظهور")</f>
        <v>منتظران ظهور</v>
      </c>
      <c r="D6631" s="5" t="str">
        <f>IFERROR(__xludf.DUMMYFUNCTION("""COMPUTED_VALUE"""),"یزد")</f>
        <v>یزد</v>
      </c>
      <c r="E6631" s="5" t="str">
        <f>IFERROR(__xludf.DUMMYFUNCTION("""COMPUTED_VALUE"""),"بافق")</f>
        <v>بافق</v>
      </c>
      <c r="F6631" s="5"/>
      <c r="G6631" s="5"/>
      <c r="H6631" s="6" t="str">
        <f>IFERROR(__xludf.DUMMYFUNCTION("""COMPUTED_VALUE"""),"https://www.instagram.com/heyat_montazeran_bafgh/")</f>
        <v>https://www.instagram.com/heyat_montazeran_bafgh/</v>
      </c>
      <c r="I6631" s="5"/>
      <c r="J6631" s="6" t="str">
        <f>IFERROR(__xludf.DUMMYFUNCTION("""COMPUTED_VALUE"""),"https://eitaa.com/montazeranbafgh")</f>
        <v>https://eitaa.com/montazeranbafgh</v>
      </c>
      <c r="K6631" s="5"/>
      <c r="L6631" s="5"/>
      <c r="M6631" s="5"/>
      <c r="N6631" s="5"/>
      <c r="O6631" s="5"/>
      <c r="P6631" s="5"/>
      <c r="Q6631" s="5"/>
      <c r="R6631" s="5"/>
      <c r="S6631" s="5"/>
    </row>
    <row r="6632">
      <c r="A6632" s="5">
        <f>IFERROR(__xludf.DUMMYFUNCTION("""COMPUTED_VALUE"""),23262.0)</f>
        <v>23262</v>
      </c>
      <c r="B6632" s="5" t="str">
        <f>IFERROR(__xludf.DUMMYFUNCTION("""COMPUTED_VALUE"""),"هیأت")</f>
        <v>هیأت</v>
      </c>
      <c r="C6632" s="5" t="str">
        <f>IFERROR(__xludf.DUMMYFUNCTION("""COMPUTED_VALUE"""),"روضه الزهرا (س)")</f>
        <v>روضه الزهرا (س)</v>
      </c>
      <c r="D6632" s="5" t="str">
        <f>IFERROR(__xludf.DUMMYFUNCTION("""COMPUTED_VALUE"""),"یزد")</f>
        <v>یزد</v>
      </c>
      <c r="E6632" s="5" t="str">
        <f>IFERROR(__xludf.DUMMYFUNCTION("""COMPUTED_VALUE"""),"بافق")</f>
        <v>بافق</v>
      </c>
      <c r="F6632" s="5"/>
      <c r="G6632" s="5"/>
      <c r="H6632" s="5"/>
      <c r="I6632" s="5"/>
      <c r="J6632" s="6" t="str">
        <f>IFERROR(__xludf.DUMMYFUNCTION("""COMPUTED_VALUE"""),"https://eitaa.com/rozatozahra_bafq")</f>
        <v>https://eitaa.com/rozatozahra_bafq</v>
      </c>
      <c r="K6632" s="5"/>
      <c r="L6632" s="5"/>
      <c r="M6632" s="5"/>
      <c r="N6632" s="5"/>
      <c r="O6632" s="5"/>
      <c r="P6632" s="5"/>
      <c r="Q6632" s="5"/>
      <c r="R6632" s="5"/>
      <c r="S6632" s="5"/>
    </row>
    <row r="6633">
      <c r="A6633" s="5">
        <f>IFERROR(__xludf.DUMMYFUNCTION("""COMPUTED_VALUE"""),23743.0)</f>
        <v>23743</v>
      </c>
      <c r="B6633" s="5" t="str">
        <f>IFERROR(__xludf.DUMMYFUNCTION("""COMPUTED_VALUE"""),"هیأت")</f>
        <v>هیأت</v>
      </c>
      <c r="C6633" s="5" t="str">
        <f>IFERROR(__xludf.DUMMYFUNCTION("""COMPUTED_VALUE"""),"روضه الرقیه (س)")</f>
        <v>روضه الرقیه (س)</v>
      </c>
      <c r="D6633" s="5" t="str">
        <f>IFERROR(__xludf.DUMMYFUNCTION("""COMPUTED_VALUE"""),"یزد")</f>
        <v>یزد</v>
      </c>
      <c r="E6633" s="5" t="str">
        <f>IFERROR(__xludf.DUMMYFUNCTION("""COMPUTED_VALUE"""),"بافق")</f>
        <v>بافق</v>
      </c>
      <c r="F6633" s="5"/>
      <c r="G6633" s="5">
        <f>IFERROR(__xludf.DUMMYFUNCTION("""COMPUTED_VALUE"""),1.0)</f>
        <v>1</v>
      </c>
      <c r="H6633" s="6" t="str">
        <f>IFERROR(__xludf.DUMMYFUNCTION("""COMPUTED_VALUE"""),"https://www.instagram.com/heyate.rozatolroghayeh")</f>
        <v>https://www.instagram.com/heyate.rozatolroghayeh</v>
      </c>
      <c r="I6633" s="6" t="str">
        <f>IFERROR(__xludf.DUMMYFUNCTION("""COMPUTED_VALUE"""),"https://t.me/heyaterozatolroghaye")</f>
        <v>https://t.me/heyaterozatolroghaye</v>
      </c>
      <c r="J6633" s="5"/>
      <c r="K6633" s="5"/>
      <c r="L6633" s="5"/>
      <c r="M6633" s="5"/>
      <c r="N6633" s="5"/>
      <c r="O6633" s="5"/>
      <c r="P6633" s="5"/>
      <c r="Q6633" s="5"/>
      <c r="R6633" s="5"/>
      <c r="S6633" s="5"/>
    </row>
    <row r="6634">
      <c r="A6634" s="5">
        <f>IFERROR(__xludf.DUMMYFUNCTION("""COMPUTED_VALUE"""),24702.0)</f>
        <v>24702</v>
      </c>
      <c r="B6634" s="5" t="str">
        <f>IFERROR(__xludf.DUMMYFUNCTION("""COMPUTED_VALUE"""),"هیأت")</f>
        <v>هیأت</v>
      </c>
      <c r="C6634" s="5" t="str">
        <f>IFERROR(__xludf.DUMMYFUNCTION("""COMPUTED_VALUE"""),"مکتب زینبیون")</f>
        <v>مکتب زینبیون</v>
      </c>
      <c r="D6634" s="5" t="str">
        <f>IFERROR(__xludf.DUMMYFUNCTION("""COMPUTED_VALUE"""),"یزد")</f>
        <v>یزد</v>
      </c>
      <c r="E6634" s="5" t="str">
        <f>IFERROR(__xludf.DUMMYFUNCTION("""COMPUTED_VALUE"""),"بافق")</f>
        <v>بافق</v>
      </c>
      <c r="F6634" s="5"/>
      <c r="G6634" s="5"/>
      <c r="H6634" s="6" t="str">
        <f>IFERROR(__xludf.DUMMYFUNCTION("""COMPUTED_VALUE"""),"https://www.instagram.com/zeynabiion_69")</f>
        <v>https://www.instagram.com/zeynabiion_69</v>
      </c>
      <c r="I6634" s="5"/>
      <c r="J6634" s="5"/>
      <c r="K6634" s="5"/>
      <c r="L6634" s="5"/>
      <c r="M6634" s="5"/>
      <c r="N6634" s="5"/>
      <c r="O6634" s="5"/>
      <c r="P6634" s="5"/>
      <c r="Q6634" s="5"/>
      <c r="R6634" s="5"/>
      <c r="S6634" s="5"/>
    </row>
    <row r="6635">
      <c r="A6635" s="5">
        <f>IFERROR(__xludf.DUMMYFUNCTION("""COMPUTED_VALUE"""),26537.0)</f>
        <v>26537</v>
      </c>
      <c r="B6635" s="5" t="str">
        <f>IFERROR(__xludf.DUMMYFUNCTION("""COMPUTED_VALUE"""),"هیأت")</f>
        <v>هیأت</v>
      </c>
      <c r="C6635" s="5" t="str">
        <f>IFERROR(__xludf.DUMMYFUNCTION("""COMPUTED_VALUE"""),"خادم الشهدا")</f>
        <v>خادم الشهدا</v>
      </c>
      <c r="D6635" s="5" t="str">
        <f>IFERROR(__xludf.DUMMYFUNCTION("""COMPUTED_VALUE"""),"یزد")</f>
        <v>یزد</v>
      </c>
      <c r="E6635" s="5" t="str">
        <f>IFERROR(__xludf.DUMMYFUNCTION("""COMPUTED_VALUE"""),"بافق")</f>
        <v>بافق</v>
      </c>
      <c r="F6635" s="5"/>
      <c r="G6635" s="5"/>
      <c r="H6635" s="6" t="str">
        <f>IFERROR(__xludf.DUMMYFUNCTION("""COMPUTED_VALUE"""),"https://www.instagram.com/khadem_alshohada_bafgh")</f>
        <v>https://www.instagram.com/khadem_alshohada_bafgh</v>
      </c>
      <c r="I6635" s="5"/>
      <c r="J6635" s="6" t="str">
        <f>IFERROR(__xludf.DUMMYFUNCTION("""COMPUTED_VALUE"""),"https://eitaa.com/khademin_shohada_bafgh")</f>
        <v>https://eitaa.com/khademin_shohada_bafgh</v>
      </c>
      <c r="K6635" s="5"/>
      <c r="L6635" s="5"/>
      <c r="M6635" s="5"/>
      <c r="N6635" s="5"/>
      <c r="O6635" s="5"/>
      <c r="P6635" s="5"/>
      <c r="Q6635" s="5"/>
      <c r="R6635" s="5"/>
      <c r="S6635" s="5"/>
    </row>
    <row r="6636">
      <c r="A6636" s="5">
        <f>IFERROR(__xludf.DUMMYFUNCTION("""COMPUTED_VALUE"""),30263.0)</f>
        <v>30263</v>
      </c>
      <c r="B6636" s="5" t="str">
        <f>IFERROR(__xludf.DUMMYFUNCTION("""COMPUTED_VALUE"""),"هیأت جوانان")</f>
        <v>هیأت جوانان</v>
      </c>
      <c r="C6636" s="5" t="str">
        <f>IFERROR(__xludf.DUMMYFUNCTION("""COMPUTED_VALUE"""),"جوانان بافق وابسته علی اکبر")</f>
        <v>جوانان بافق وابسته علی اکبر</v>
      </c>
      <c r="D6636" s="5" t="str">
        <f>IFERROR(__xludf.DUMMYFUNCTION("""COMPUTED_VALUE"""),"یزد")</f>
        <v>یزد</v>
      </c>
      <c r="E6636" s="5" t="str">
        <f>IFERROR(__xludf.DUMMYFUNCTION("""COMPUTED_VALUE"""),"بافق")</f>
        <v>بافق</v>
      </c>
      <c r="F6636" s="5"/>
      <c r="G6636" s="5"/>
      <c r="H6636" s="6" t="str">
        <f>IFERROR(__xludf.DUMMYFUNCTION("""COMPUTED_VALUE"""),"https://www.instagram.com/heyat_javanan")</f>
        <v>https://www.instagram.com/heyat_javanan</v>
      </c>
      <c r="I6636" s="5"/>
      <c r="J6636" s="6" t="str">
        <f>IFERROR(__xludf.DUMMYFUNCTION("""COMPUTED_VALUE"""),"https://eitaa.com/hjavananbafgh")</f>
        <v>https://eitaa.com/hjavananbafgh</v>
      </c>
      <c r="K6636" s="5"/>
      <c r="L6636" s="5"/>
      <c r="M6636" s="5"/>
      <c r="N6636" s="5"/>
      <c r="O6636" s="5"/>
      <c r="P6636" s="5"/>
      <c r="Q6636" s="5"/>
      <c r="R6636" s="5"/>
      <c r="S6636" s="5"/>
    </row>
    <row r="6637">
      <c r="A6637" s="5">
        <f>IFERROR(__xludf.DUMMYFUNCTION("""COMPUTED_VALUE"""),30436.0)</f>
        <v>30436</v>
      </c>
      <c r="B6637" s="5" t="str">
        <f>IFERROR(__xludf.DUMMYFUNCTION("""COMPUTED_VALUE"""),"هیأت")</f>
        <v>هیأت</v>
      </c>
      <c r="C6637" s="5" t="str">
        <f>IFERROR(__xludf.DUMMYFUNCTION("""COMPUTED_VALUE"""),"معراج شهدا")</f>
        <v>معراج شهدا</v>
      </c>
      <c r="D6637" s="5" t="str">
        <f>IFERROR(__xludf.DUMMYFUNCTION("""COMPUTED_VALUE"""),"یزد")</f>
        <v>یزد</v>
      </c>
      <c r="E6637" s="5" t="str">
        <f>IFERROR(__xludf.DUMMYFUNCTION("""COMPUTED_VALUE"""),"بافق")</f>
        <v>بافق</v>
      </c>
      <c r="F6637" s="5"/>
      <c r="G6637" s="5"/>
      <c r="H6637" s="6" t="str">
        <f>IFERROR(__xludf.DUMMYFUNCTION("""COMPUTED_VALUE"""),"https://www.instagram.com/mearajoshohada")</f>
        <v>https://www.instagram.com/mearajoshohada</v>
      </c>
      <c r="I6637" s="5"/>
      <c r="J6637" s="6" t="str">
        <f>IFERROR(__xludf.DUMMYFUNCTION("""COMPUTED_VALUE"""),"https://eitaa.com/merajshohadabir")</f>
        <v>https://eitaa.com/merajshohadabir</v>
      </c>
      <c r="K6637" s="5"/>
      <c r="L6637" s="5"/>
      <c r="M6637" s="5"/>
      <c r="N6637" s="5"/>
      <c r="O6637" s="5"/>
      <c r="P6637" s="5"/>
      <c r="Q6637" s="5"/>
      <c r="R6637" s="5"/>
      <c r="S6637" s="5"/>
    </row>
    <row r="6638">
      <c r="A6638" s="5"/>
      <c r="B6638" s="5" t="str">
        <f>IFERROR(__xludf.DUMMYFUNCTION("""COMPUTED_VALUE"""),"هیأت")</f>
        <v>هیأت</v>
      </c>
      <c r="C6638" s="5" t="str">
        <f>IFERROR(__xludf.DUMMYFUNCTION("""COMPUTED_VALUE"""),"قاسم ابن الحسن(ع)")</f>
        <v>قاسم ابن الحسن(ع)</v>
      </c>
      <c r="D6638" s="5" t="str">
        <f>IFERROR(__xludf.DUMMYFUNCTION("""COMPUTED_VALUE"""),"یزد")</f>
        <v>یزد</v>
      </c>
      <c r="E6638" s="5" t="str">
        <f>IFERROR(__xludf.DUMMYFUNCTION("""COMPUTED_VALUE"""),"بافق")</f>
        <v>بافق</v>
      </c>
      <c r="F6638" s="5"/>
      <c r="G6638" s="5"/>
      <c r="H6638" s="6" t="str">
        <f>IFERROR(__xludf.DUMMYFUNCTION("""COMPUTED_VALUE"""),"https://www.instagram.com/beithasan/")</f>
        <v>https://www.instagram.com/beithasan/</v>
      </c>
      <c r="I6638" s="5"/>
      <c r="J6638" s="5"/>
      <c r="K6638" s="5"/>
      <c r="L6638" s="5"/>
      <c r="M6638" s="5"/>
      <c r="N6638" s="5"/>
      <c r="O6638" s="5"/>
      <c r="P6638" s="5"/>
      <c r="Q6638" s="5"/>
      <c r="R6638" s="5"/>
      <c r="S6638" s="5"/>
    </row>
    <row r="6639">
      <c r="A6639" s="5"/>
      <c r="B6639" s="5" t="str">
        <f>IFERROR(__xludf.DUMMYFUNCTION("""COMPUTED_VALUE"""),"هیأت")</f>
        <v>هیأت</v>
      </c>
      <c r="C6639" s="5" t="str">
        <f>IFERROR(__xludf.DUMMYFUNCTION("""COMPUTED_VALUE"""),"جوانان حضرت علی اصغر (ع)")</f>
        <v>جوانان حضرت علی اصغر (ع)</v>
      </c>
      <c r="D6639" s="5" t="str">
        <f>IFERROR(__xludf.DUMMYFUNCTION("""COMPUTED_VALUE"""),"یزد")</f>
        <v>یزد</v>
      </c>
      <c r="E6639" s="5" t="str">
        <f>IFERROR(__xludf.DUMMYFUNCTION("""COMPUTED_VALUE"""),"بافق")</f>
        <v>بافق</v>
      </c>
      <c r="F6639" s="5"/>
      <c r="G6639" s="5">
        <f>IFERROR(__xludf.DUMMYFUNCTION("""COMPUTED_VALUE"""),1.0)</f>
        <v>1</v>
      </c>
      <c r="H6639" s="6" t="str">
        <f>IFERROR(__xludf.DUMMYFUNCTION("""COMPUTED_VALUE"""),"https://www.instagram.com/heyatjavananhazrataliasghar_6/")</f>
        <v>https://www.instagram.com/heyatjavananhazrataliasghar_6/</v>
      </c>
      <c r="I6639" s="5"/>
      <c r="J6639" s="5"/>
      <c r="K6639" s="5"/>
      <c r="L6639" s="5"/>
      <c r="M6639" s="5"/>
      <c r="N6639" s="5"/>
      <c r="O6639" s="5"/>
      <c r="P6639" s="5"/>
      <c r="Q6639" s="5"/>
      <c r="R6639" s="5"/>
      <c r="S6639" s="5"/>
    </row>
    <row r="6640">
      <c r="A6640" s="5"/>
      <c r="B6640" s="5" t="str">
        <f>IFERROR(__xludf.DUMMYFUNCTION("""COMPUTED_VALUE"""),"هیأت")</f>
        <v>هیأت</v>
      </c>
      <c r="C6640" s="5" t="str">
        <f>IFERROR(__xludf.DUMMYFUNCTION("""COMPUTED_VALUE"""),"حبیب ابن مظاهر")</f>
        <v>حبیب ابن مظاهر</v>
      </c>
      <c r="D6640" s="5" t="str">
        <f>IFERROR(__xludf.DUMMYFUNCTION("""COMPUTED_VALUE"""),"یزد")</f>
        <v>یزد</v>
      </c>
      <c r="E6640" s="5" t="str">
        <f>IFERROR(__xludf.DUMMYFUNCTION("""COMPUTED_VALUE"""),"بافق")</f>
        <v>بافق</v>
      </c>
      <c r="F6640" s="5"/>
      <c r="G6640" s="5"/>
      <c r="H6640" s="6" t="str">
        <f>IFERROR(__xludf.DUMMYFUNCTION("""COMPUTED_VALUE"""),"https://www.instagram.com/heyate_habib_mazaher12/")</f>
        <v>https://www.instagram.com/heyate_habib_mazaher12/</v>
      </c>
      <c r="I6640" s="6" t="str">
        <f>IFERROR(__xludf.DUMMYFUNCTION("""COMPUTED_VALUE"""),"https://t.me/heyatehabib")</f>
        <v>https://t.me/heyatehabib</v>
      </c>
      <c r="J6640" s="5"/>
      <c r="K6640" s="5"/>
      <c r="L6640" s="5"/>
      <c r="M6640" s="5"/>
      <c r="N6640" s="5"/>
      <c r="O6640" s="5"/>
      <c r="P6640" s="5"/>
      <c r="Q6640" s="5"/>
      <c r="R6640" s="5"/>
      <c r="S6640" s="5"/>
    </row>
    <row r="6641">
      <c r="A6641" s="5"/>
      <c r="B6641" s="5" t="str">
        <f>IFERROR(__xludf.DUMMYFUNCTION("""COMPUTED_VALUE"""),"هیأت")</f>
        <v>هیأت</v>
      </c>
      <c r="C6641" s="5" t="str">
        <f>IFERROR(__xludf.DUMMYFUNCTION("""COMPUTED_VALUE"""),"علقمه")</f>
        <v>علقمه</v>
      </c>
      <c r="D6641" s="5" t="str">
        <f>IFERROR(__xludf.DUMMYFUNCTION("""COMPUTED_VALUE"""),"یزد")</f>
        <v>یزد</v>
      </c>
      <c r="E6641" s="5" t="str">
        <f>IFERROR(__xludf.DUMMYFUNCTION("""COMPUTED_VALUE"""),"بافق")</f>
        <v>بافق</v>
      </c>
      <c r="F6641" s="5"/>
      <c r="G6641" s="5"/>
      <c r="H6641" s="6" t="str">
        <f>IFERROR(__xludf.DUMMYFUNCTION("""COMPUTED_VALUE"""),"https://www.instagram.com/alqamehbafgh/")</f>
        <v>https://www.instagram.com/alqamehbafgh/</v>
      </c>
      <c r="I6641" s="5"/>
      <c r="J6641" s="5"/>
      <c r="K6641" s="5"/>
      <c r="L6641" s="5"/>
      <c r="M6641" s="5"/>
      <c r="N6641" s="5"/>
      <c r="O6641" s="5"/>
      <c r="P6641" s="5"/>
      <c r="Q6641" s="5"/>
      <c r="R6641" s="5"/>
      <c r="S6641" s="5"/>
    </row>
    <row r="6642">
      <c r="A6642" s="5">
        <f>IFERROR(__xludf.DUMMYFUNCTION("""COMPUTED_VALUE"""),16958.0)</f>
        <v>16958</v>
      </c>
      <c r="B6642" s="5" t="str">
        <f>IFERROR(__xludf.DUMMYFUNCTION("""COMPUTED_VALUE"""),"هیأت")</f>
        <v>هیأت</v>
      </c>
      <c r="C6642" s="5" t="str">
        <f>IFERROR(__xludf.DUMMYFUNCTION("""COMPUTED_VALUE"""),"ثامن الائمه(ع)")</f>
        <v>ثامن الائمه(ع)</v>
      </c>
      <c r="D6642" s="5" t="str">
        <f>IFERROR(__xludf.DUMMYFUNCTION("""COMPUTED_VALUE"""),"یزد")</f>
        <v>یزد</v>
      </c>
      <c r="E6642" s="5" t="str">
        <f>IFERROR(__xludf.DUMMYFUNCTION("""COMPUTED_VALUE"""),"بدون شهرستان")</f>
        <v>بدون شهرستان</v>
      </c>
      <c r="F6642" s="5"/>
      <c r="G6642" s="5"/>
      <c r="H6642" s="6" t="str">
        <f>IFERROR(__xludf.DUMMYFUNCTION("""COMPUTED_VALUE"""),"https://www.instagram.com/samenalaemeyzd")</f>
        <v>https://www.instagram.com/samenalaemeyzd</v>
      </c>
      <c r="I6642" s="5"/>
      <c r="J6642" s="5"/>
      <c r="K6642" s="5"/>
      <c r="L6642" s="5"/>
      <c r="M6642" s="5"/>
      <c r="N6642" s="5"/>
      <c r="O6642" s="5"/>
      <c r="P6642" s="5"/>
      <c r="Q6642" s="5"/>
      <c r="R6642" s="5"/>
      <c r="S6642" s="5"/>
    </row>
    <row r="6643">
      <c r="A6643" s="5">
        <f>IFERROR(__xludf.DUMMYFUNCTION("""COMPUTED_VALUE"""),16961.0)</f>
        <v>16961</v>
      </c>
      <c r="B6643" s="5" t="str">
        <f>IFERROR(__xludf.DUMMYFUNCTION("""COMPUTED_VALUE"""),"هیأت")</f>
        <v>هیأت</v>
      </c>
      <c r="C6643" s="5" t="str">
        <f>IFERROR(__xludf.DUMMYFUNCTION("""COMPUTED_VALUE"""),"محبین زینب(س)")</f>
        <v>محبین زینب(س)</v>
      </c>
      <c r="D6643" s="5" t="str">
        <f>IFERROR(__xludf.DUMMYFUNCTION("""COMPUTED_VALUE"""),"یزد")</f>
        <v>یزد</v>
      </c>
      <c r="E6643" s="5" t="str">
        <f>IFERROR(__xludf.DUMMYFUNCTION("""COMPUTED_VALUE"""),"بدون شهرستان")</f>
        <v>بدون شهرستان</v>
      </c>
      <c r="F6643" s="5"/>
      <c r="G6643" s="5"/>
      <c r="H6643" s="6" t="str">
        <f>IFERROR(__xludf.DUMMYFUNCTION("""COMPUTED_VALUE"""),"https://www.instagram.com/mohebbin_zeinab_yazd")</f>
        <v>https://www.instagram.com/mohebbin_zeinab_yazd</v>
      </c>
      <c r="I6643" s="5"/>
      <c r="J6643" s="5"/>
      <c r="K6643" s="5"/>
      <c r="L6643" s="5"/>
      <c r="M6643" s="5"/>
      <c r="N6643" s="5"/>
      <c r="O6643" s="5"/>
      <c r="P6643" s="5"/>
      <c r="Q6643" s="5"/>
      <c r="R6643" s="5"/>
      <c r="S6643" s="5"/>
    </row>
    <row r="6644">
      <c r="A6644" s="5">
        <f>IFERROR(__xludf.DUMMYFUNCTION("""COMPUTED_VALUE"""),16969.0)</f>
        <v>16969</v>
      </c>
      <c r="B6644" s="5" t="str">
        <f>IFERROR(__xludf.DUMMYFUNCTION("""COMPUTED_VALUE"""),"هیأت")</f>
        <v>هیأت</v>
      </c>
      <c r="C6644" s="5" t="str">
        <f>IFERROR(__xludf.DUMMYFUNCTION("""COMPUTED_VALUE"""),"سفینه النجاه")</f>
        <v>سفینه النجاه</v>
      </c>
      <c r="D6644" s="5" t="str">
        <f>IFERROR(__xludf.DUMMYFUNCTION("""COMPUTED_VALUE"""),"یزد")</f>
        <v>یزد</v>
      </c>
      <c r="E6644" s="5" t="str">
        <f>IFERROR(__xludf.DUMMYFUNCTION("""COMPUTED_VALUE"""),"بدون شهرستان")</f>
        <v>بدون شهرستان</v>
      </c>
      <c r="F6644" s="5"/>
      <c r="G6644" s="5"/>
      <c r="H6644" s="6" t="str">
        <f>IFERROR(__xludf.DUMMYFUNCTION("""COMPUTED_VALUE"""),"https://www.instagram.com/safina.nejat")</f>
        <v>https://www.instagram.com/safina.nejat</v>
      </c>
      <c r="I6644" s="6" t="str">
        <f>IFERROR(__xludf.DUMMYFUNCTION("""COMPUTED_VALUE"""),"https://t.me/safinanejat")</f>
        <v>https://t.me/safinanejat</v>
      </c>
      <c r="J6644" s="5"/>
      <c r="K6644" s="5"/>
      <c r="L6644" s="5"/>
      <c r="M6644" s="5"/>
      <c r="N6644" s="5"/>
      <c r="O6644" s="5"/>
      <c r="P6644" s="5"/>
      <c r="Q6644" s="5"/>
      <c r="R6644" s="5"/>
      <c r="S6644" s="5"/>
    </row>
    <row r="6645">
      <c r="A6645" s="5">
        <f>IFERROR(__xludf.DUMMYFUNCTION("""COMPUTED_VALUE"""),16970.0)</f>
        <v>16970</v>
      </c>
      <c r="B6645" s="5" t="str">
        <f>IFERROR(__xludf.DUMMYFUNCTION("""COMPUTED_VALUE"""),"هیأت")</f>
        <v>هیأت</v>
      </c>
      <c r="C6645" s="5" t="str">
        <f>IFERROR(__xludf.DUMMYFUNCTION("""COMPUTED_VALUE"""),"انصارالعباس(ع)")</f>
        <v>انصارالعباس(ع)</v>
      </c>
      <c r="D6645" s="5" t="str">
        <f>IFERROR(__xludf.DUMMYFUNCTION("""COMPUTED_VALUE"""),"یزد")</f>
        <v>یزد</v>
      </c>
      <c r="E6645" s="5" t="str">
        <f>IFERROR(__xludf.DUMMYFUNCTION("""COMPUTED_VALUE"""),"بدون شهرستان")</f>
        <v>بدون شهرستان</v>
      </c>
      <c r="F6645" s="5"/>
      <c r="G6645" s="5"/>
      <c r="H6645" s="6" t="str">
        <f>IFERROR(__xludf.DUMMYFUNCTION("""COMPUTED_VALUE"""),"https://www.instagram.com/h_ansar133")</f>
        <v>https://www.instagram.com/h_ansar133</v>
      </c>
      <c r="I6645" s="5"/>
      <c r="J6645" s="6" t="str">
        <f>IFERROR(__xludf.DUMMYFUNCTION("""COMPUTED_VALUE"""),"https://eitaa.com/AnsarAl_abass")</f>
        <v>https://eitaa.com/AnsarAl_abass</v>
      </c>
      <c r="K6645" s="5"/>
      <c r="L6645" s="5"/>
      <c r="M6645" s="5"/>
      <c r="N6645" s="5"/>
      <c r="O6645" s="5"/>
      <c r="P6645" s="5"/>
      <c r="Q6645" s="5"/>
      <c r="R6645" s="5"/>
      <c r="S6645" s="5"/>
    </row>
    <row r="6646">
      <c r="A6646" s="5">
        <f>IFERROR(__xludf.DUMMYFUNCTION("""COMPUTED_VALUE"""),18034.0)</f>
        <v>18034</v>
      </c>
      <c r="B6646" s="5" t="str">
        <f>IFERROR(__xludf.DUMMYFUNCTION("""COMPUTED_VALUE"""),"هیأت")</f>
        <v>هیأت</v>
      </c>
      <c r="C6646" s="5" t="str">
        <f>IFERROR(__xludf.DUMMYFUNCTION("""COMPUTED_VALUE"""),"بین الحرمین")</f>
        <v>بین الحرمین</v>
      </c>
      <c r="D6646" s="5" t="str">
        <f>IFERROR(__xludf.DUMMYFUNCTION("""COMPUTED_VALUE"""),"یزد")</f>
        <v>یزد</v>
      </c>
      <c r="E6646" s="5" t="str">
        <f>IFERROR(__xludf.DUMMYFUNCTION("""COMPUTED_VALUE"""),"بهاباد")</f>
        <v>بهاباد</v>
      </c>
      <c r="F6646" s="5"/>
      <c r="G6646" s="5"/>
      <c r="H6646" s="6" t="str">
        <f>IFERROR(__xludf.DUMMYFUNCTION("""COMPUTED_VALUE"""),"https://www.instagram.com/beynolharameyn_bahabad/")</f>
        <v>https://www.instagram.com/beynolharameyn_bahabad/</v>
      </c>
      <c r="I6646" s="5"/>
      <c r="J6646" s="5"/>
      <c r="K6646" s="5"/>
      <c r="L6646" s="5"/>
      <c r="M6646" s="5"/>
      <c r="N6646" s="5"/>
      <c r="O6646" s="5"/>
      <c r="P6646" s="5"/>
      <c r="Q6646" s="5"/>
      <c r="R6646" s="5"/>
      <c r="S6646" s="5"/>
    </row>
    <row r="6647">
      <c r="A6647" s="5">
        <f>IFERROR(__xludf.DUMMYFUNCTION("""COMPUTED_VALUE"""),19741.0)</f>
        <v>19741</v>
      </c>
      <c r="B6647" s="5" t="str">
        <f>IFERROR(__xludf.DUMMYFUNCTION("""COMPUTED_VALUE"""),"هیأت")</f>
        <v>هیأت</v>
      </c>
      <c r="C6647" s="5" t="str">
        <f>IFERROR(__xludf.DUMMYFUNCTION("""COMPUTED_VALUE"""),"جان نثاران حضرت ابوالفضل(ع)")</f>
        <v>جان نثاران حضرت ابوالفضل(ع)</v>
      </c>
      <c r="D6647" s="5" t="str">
        <f>IFERROR(__xludf.DUMMYFUNCTION("""COMPUTED_VALUE"""),"یزد")</f>
        <v>یزد</v>
      </c>
      <c r="E6647" s="5" t="str">
        <f>IFERROR(__xludf.DUMMYFUNCTION("""COMPUTED_VALUE"""),"بهاباد")</f>
        <v>بهاباد</v>
      </c>
      <c r="F6647" s="5"/>
      <c r="G6647" s="5"/>
      <c r="H6647" s="5"/>
      <c r="I6647" s="5"/>
      <c r="J6647" s="6" t="str">
        <f>IFERROR(__xludf.DUMMYFUNCTION("""COMPUTED_VALUE"""),"https://eitaa.com/jannesaranabalfazlebahabad")</f>
        <v>https://eitaa.com/jannesaranabalfazlebahabad</v>
      </c>
      <c r="K6647" s="5"/>
      <c r="L6647" s="5"/>
      <c r="M6647" s="5"/>
      <c r="N6647" s="5"/>
      <c r="O6647" s="5"/>
      <c r="P6647" s="5"/>
      <c r="Q6647" s="5"/>
      <c r="R6647" s="5"/>
      <c r="S6647" s="5"/>
    </row>
    <row r="6648">
      <c r="A6648" s="5">
        <f>IFERROR(__xludf.DUMMYFUNCTION("""COMPUTED_VALUE"""),29659.0)</f>
        <v>29659</v>
      </c>
      <c r="B6648" s="5" t="str">
        <f>IFERROR(__xludf.DUMMYFUNCTION("""COMPUTED_VALUE"""),"هیأت")</f>
        <v>هیأت</v>
      </c>
      <c r="C6648" s="5" t="str">
        <f>IFERROR(__xludf.DUMMYFUNCTION("""COMPUTED_VALUE"""),"حیدریون")</f>
        <v>حیدریون</v>
      </c>
      <c r="D6648" s="5" t="str">
        <f>IFERROR(__xludf.DUMMYFUNCTION("""COMPUTED_VALUE"""),"یزد")</f>
        <v>یزد</v>
      </c>
      <c r="E6648" s="5" t="str">
        <f>IFERROR(__xludf.DUMMYFUNCTION("""COMPUTED_VALUE"""),"بهاباد")</f>
        <v>بهاباد</v>
      </c>
      <c r="F6648" s="5"/>
      <c r="G6648" s="5"/>
      <c r="H6648" s="6" t="str">
        <f>IFERROR(__xludf.DUMMYFUNCTION("""COMPUTED_VALUE"""),"https://www.instagram.com/heydarion_dammamzani")</f>
        <v>https://www.instagram.com/heydarion_dammamzani</v>
      </c>
      <c r="I6648" s="5"/>
      <c r="J6648" s="6" t="str">
        <f>IFERROR(__xludf.DUMMYFUNCTION("""COMPUTED_VALUE"""),"https://eitaa.com/heydariunir")</f>
        <v>https://eitaa.com/heydariunir</v>
      </c>
      <c r="K6648" s="5"/>
      <c r="L6648" s="5"/>
      <c r="M6648" s="5"/>
      <c r="N6648" s="5"/>
      <c r="O6648" s="5"/>
      <c r="P6648" s="5"/>
      <c r="Q6648" s="5"/>
      <c r="R6648" s="5"/>
      <c r="S6648" s="5"/>
    </row>
    <row r="6649">
      <c r="A6649" s="5">
        <f>IFERROR(__xludf.DUMMYFUNCTION("""COMPUTED_VALUE"""),29787.0)</f>
        <v>29787</v>
      </c>
      <c r="B6649" s="5" t="str">
        <f>IFERROR(__xludf.DUMMYFUNCTION("""COMPUTED_VALUE"""),"هیأت")</f>
        <v>هیأت</v>
      </c>
      <c r="C6649" s="5" t="str">
        <f>IFERROR(__xludf.DUMMYFUNCTION("""COMPUTED_VALUE"""),"بین الحرمین شهرستان بهاباد")</f>
        <v>بین الحرمین شهرستان بهاباد</v>
      </c>
      <c r="D6649" s="5" t="str">
        <f>IFERROR(__xludf.DUMMYFUNCTION("""COMPUTED_VALUE"""),"یزد")</f>
        <v>یزد</v>
      </c>
      <c r="E6649" s="5" t="str">
        <f>IFERROR(__xludf.DUMMYFUNCTION("""COMPUTED_VALUE"""),"بهاباد")</f>
        <v>بهاباد</v>
      </c>
      <c r="F6649" s="5"/>
      <c r="G6649" s="5"/>
      <c r="H6649" s="6" t="str">
        <f>IFERROR(__xludf.DUMMYFUNCTION("""COMPUTED_VALUE"""),"https://www.instagram.com/beynolharameyn_bahabad")</f>
        <v>https://www.instagram.com/beynolharameyn_bahabad</v>
      </c>
      <c r="I6649" s="5"/>
      <c r="J6649" s="6" t="str">
        <f>IFERROR(__xludf.DUMMYFUNCTION("""COMPUTED_VALUE"""),"https://eitaa.com/beinolharameinbahabad")</f>
        <v>https://eitaa.com/beinolharameinbahabad</v>
      </c>
      <c r="K6649" s="5"/>
      <c r="L6649" s="5"/>
      <c r="M6649" s="5"/>
      <c r="N6649" s="5"/>
      <c r="O6649" s="5"/>
      <c r="P6649" s="5"/>
      <c r="Q6649" s="5"/>
      <c r="R6649" s="5"/>
      <c r="S6649" s="5"/>
    </row>
    <row r="6650">
      <c r="A6650" s="5">
        <f>IFERROR(__xludf.DUMMYFUNCTION("""COMPUTED_VALUE"""),31485.0)</f>
        <v>31485</v>
      </c>
      <c r="B6650" s="5" t="str">
        <f>IFERROR(__xludf.DUMMYFUNCTION("""COMPUTED_VALUE"""),"هیأت")</f>
        <v>هیأت</v>
      </c>
      <c r="C6650" s="5" t="str">
        <f>IFERROR(__xludf.DUMMYFUNCTION("""COMPUTED_VALUE"""),"مذهبی بیت الرضا (ع)")</f>
        <v>مذهبی بیت الرضا (ع)</v>
      </c>
      <c r="D6650" s="5" t="str">
        <f>IFERROR(__xludf.DUMMYFUNCTION("""COMPUTED_VALUE"""),"یزد")</f>
        <v>یزد</v>
      </c>
      <c r="E6650" s="5" t="str">
        <f>IFERROR(__xludf.DUMMYFUNCTION("""COMPUTED_VALUE"""),"بهاباد")</f>
        <v>بهاباد</v>
      </c>
      <c r="F6650" s="5"/>
      <c r="G6650" s="5"/>
      <c r="H6650" s="5"/>
      <c r="I6650" s="5"/>
      <c r="J6650" s="6" t="str">
        <f>IFERROR(__xludf.DUMMYFUNCTION("""COMPUTED_VALUE"""),"https://eitaa.com/beitrezayazd")</f>
        <v>https://eitaa.com/beitrezayazd</v>
      </c>
      <c r="K6650" s="5"/>
      <c r="L6650" s="5"/>
      <c r="M6650" s="5"/>
      <c r="N6650" s="5"/>
      <c r="O6650" s="5"/>
      <c r="P6650" s="5"/>
      <c r="Q6650" s="5"/>
      <c r="R6650" s="5"/>
      <c r="S6650" s="5"/>
    </row>
    <row r="6651">
      <c r="A6651" s="5"/>
      <c r="B6651" s="5" t="str">
        <f>IFERROR(__xludf.DUMMYFUNCTION("""COMPUTED_VALUE"""),"هیأت")</f>
        <v>هیأت</v>
      </c>
      <c r="C6651" s="5" t="str">
        <f>IFERROR(__xludf.DUMMYFUNCTION("""COMPUTED_VALUE"""),"حضرت علی اکبر علیه السلام")</f>
        <v>حضرت علی اکبر علیه السلام</v>
      </c>
      <c r="D6651" s="5" t="str">
        <f>IFERROR(__xludf.DUMMYFUNCTION("""COMPUTED_VALUE"""),"یزد")</f>
        <v>یزد</v>
      </c>
      <c r="E6651" s="5" t="str">
        <f>IFERROR(__xludf.DUMMYFUNCTION("""COMPUTED_VALUE"""),"بهاباد")</f>
        <v>بهاباد</v>
      </c>
      <c r="F6651" s="5"/>
      <c r="G6651" s="5"/>
      <c r="H6651" s="6" t="str">
        <f>IFERROR(__xludf.DUMMYFUNCTION("""COMPUTED_VALUE"""),"https://www.instagram.com/aliakbarbahabad/")</f>
        <v>https://www.instagram.com/aliakbarbahabad/</v>
      </c>
      <c r="I6651" s="5"/>
      <c r="J6651" s="5"/>
      <c r="K6651" s="5"/>
      <c r="L6651" s="5"/>
      <c r="M6651" s="5"/>
      <c r="N6651" s="5"/>
      <c r="O6651" s="5"/>
      <c r="P6651" s="5"/>
      <c r="Q6651" s="5"/>
      <c r="R6651" s="5"/>
      <c r="S6651" s="5"/>
    </row>
    <row r="6652">
      <c r="A6652" s="5"/>
      <c r="B6652" s="5" t="str">
        <f>IFERROR(__xludf.DUMMYFUNCTION("""COMPUTED_VALUE"""),"هیأت")</f>
        <v>هیأت</v>
      </c>
      <c r="C6652" s="5" t="str">
        <f>IFERROR(__xludf.DUMMYFUNCTION("""COMPUTED_VALUE"""),"جان نثاران مسجد ابوالفضل")</f>
        <v>جان نثاران مسجد ابوالفضل</v>
      </c>
      <c r="D6652" s="5" t="str">
        <f>IFERROR(__xludf.DUMMYFUNCTION("""COMPUTED_VALUE"""),"یزد")</f>
        <v>یزد</v>
      </c>
      <c r="E6652" s="5" t="str">
        <f>IFERROR(__xludf.DUMMYFUNCTION("""COMPUTED_VALUE"""),"بهاباد")</f>
        <v>بهاباد</v>
      </c>
      <c r="F6652" s="5"/>
      <c r="G6652" s="5"/>
      <c r="H6652" s="6" t="str">
        <f>IFERROR(__xludf.DUMMYFUNCTION("""COMPUTED_VALUE"""),"https://www.instagram.com/heyat.janesaran.abolfazl/")</f>
        <v>https://www.instagram.com/heyat.janesaran.abolfazl/</v>
      </c>
      <c r="I6652" s="6" t="str">
        <f>IFERROR(__xludf.DUMMYFUNCTION("""COMPUTED_VALUE"""),"https://t.me/heyat_jannesaran_abolfazl")</f>
        <v>https://t.me/heyat_jannesaran_abolfazl</v>
      </c>
      <c r="J6652" s="5"/>
      <c r="K6652" s="5"/>
      <c r="L6652" s="5"/>
      <c r="M6652" s="5"/>
      <c r="N6652" s="5"/>
      <c r="O6652" s="5"/>
      <c r="P6652" s="5"/>
      <c r="Q6652" s="5"/>
      <c r="R6652" s="5"/>
      <c r="S6652" s="5"/>
    </row>
    <row r="6653">
      <c r="A6653" s="5">
        <f>IFERROR(__xludf.DUMMYFUNCTION("""COMPUTED_VALUE"""),16765.0)</f>
        <v>16765</v>
      </c>
      <c r="B6653" s="5" t="str">
        <f>IFERROR(__xludf.DUMMYFUNCTION("""COMPUTED_VALUE"""),"هیأت")</f>
        <v>هیأت</v>
      </c>
      <c r="C6653" s="5" t="str">
        <f>IFERROR(__xludf.DUMMYFUNCTION("""COMPUTED_VALUE"""),"مکتب الشهدا")</f>
        <v>مکتب الشهدا</v>
      </c>
      <c r="D6653" s="5" t="str">
        <f>IFERROR(__xludf.DUMMYFUNCTION("""COMPUTED_VALUE"""),"یزد")</f>
        <v>یزد</v>
      </c>
      <c r="E6653" s="5" t="str">
        <f>IFERROR(__xludf.DUMMYFUNCTION("""COMPUTED_VALUE"""),"تفت")</f>
        <v>تفت</v>
      </c>
      <c r="F6653" s="5"/>
      <c r="G6653" s="5"/>
      <c r="H6653" s="5"/>
      <c r="I6653" s="5"/>
      <c r="J6653" s="6" t="str">
        <f>IFERROR(__xludf.DUMMYFUNCTION("""COMPUTED_VALUE"""),"https://eitaa.com/maktabeyar")</f>
        <v>https://eitaa.com/maktabeyar</v>
      </c>
      <c r="K6653" s="5"/>
      <c r="L6653" s="5"/>
      <c r="M6653" s="5"/>
      <c r="N6653" s="5"/>
      <c r="O6653" s="5"/>
      <c r="P6653" s="5"/>
      <c r="Q6653" s="5"/>
      <c r="R6653" s="5"/>
      <c r="S6653" s="5"/>
    </row>
    <row r="6654">
      <c r="A6654" s="5">
        <f>IFERROR(__xludf.DUMMYFUNCTION("""COMPUTED_VALUE"""),16784.0)</f>
        <v>16784</v>
      </c>
      <c r="B6654" s="5" t="str">
        <f>IFERROR(__xludf.DUMMYFUNCTION("""COMPUTED_VALUE"""),"هیأت")</f>
        <v>هیأت</v>
      </c>
      <c r="C6654" s="5" t="str">
        <f>IFERROR(__xludf.DUMMYFUNCTION("""COMPUTED_VALUE"""),"علمداران ولایت")</f>
        <v>علمداران ولایت</v>
      </c>
      <c r="D6654" s="5" t="str">
        <f>IFERROR(__xludf.DUMMYFUNCTION("""COMPUTED_VALUE"""),"یزد")</f>
        <v>یزد</v>
      </c>
      <c r="E6654" s="5" t="str">
        <f>IFERROR(__xludf.DUMMYFUNCTION("""COMPUTED_VALUE"""),"تفت")</f>
        <v>تفت</v>
      </c>
      <c r="F6654" s="5"/>
      <c r="G6654" s="5"/>
      <c r="H6654" s="5"/>
      <c r="I6654" s="5"/>
      <c r="J6654" s="6" t="str">
        <f>IFERROR(__xludf.DUMMYFUNCTION("""COMPUTED_VALUE"""),"https://eitaa.com/alamdaranevelayat110")</f>
        <v>https://eitaa.com/alamdaranevelayat110</v>
      </c>
      <c r="K6654" s="5"/>
      <c r="L6654" s="5"/>
      <c r="M6654" s="5"/>
      <c r="N6654" s="5"/>
      <c r="O6654" s="5"/>
      <c r="P6654" s="5"/>
      <c r="Q6654" s="5"/>
      <c r="R6654" s="5"/>
      <c r="S6654" s="5"/>
    </row>
    <row r="6655">
      <c r="A6655" s="5">
        <f>IFERROR(__xludf.DUMMYFUNCTION("""COMPUTED_VALUE"""),16836.0)</f>
        <v>16836</v>
      </c>
      <c r="B6655" s="5" t="str">
        <f>IFERROR(__xludf.DUMMYFUNCTION("""COMPUTED_VALUE"""),"هیأت")</f>
        <v>هیأت</v>
      </c>
      <c r="C6655" s="5" t="str">
        <f>IFERROR(__xludf.DUMMYFUNCTION("""COMPUTED_VALUE"""),"باب الحوایج (ع)")</f>
        <v>باب الحوایج (ع)</v>
      </c>
      <c r="D6655" s="5" t="str">
        <f>IFERROR(__xludf.DUMMYFUNCTION("""COMPUTED_VALUE"""),"یزد")</f>
        <v>یزد</v>
      </c>
      <c r="E6655" s="5" t="str">
        <f>IFERROR(__xludf.DUMMYFUNCTION("""COMPUTED_VALUE"""),"تفت")</f>
        <v>تفت</v>
      </c>
      <c r="F6655" s="5"/>
      <c r="G6655" s="5"/>
      <c r="H6655" s="6" t="str">
        <f>IFERROR(__xludf.DUMMYFUNCTION("""COMPUTED_VALUE"""),"https://www.instagram.com/heyat_babal_havaej_1401")</f>
        <v>https://www.instagram.com/heyat_babal_havaej_1401</v>
      </c>
      <c r="I6655" s="5"/>
      <c r="J6655" s="5"/>
      <c r="K6655" s="5"/>
      <c r="L6655" s="5"/>
      <c r="M6655" s="5"/>
      <c r="N6655" s="5"/>
      <c r="O6655" s="5"/>
      <c r="P6655" s="5"/>
      <c r="Q6655" s="5"/>
      <c r="R6655" s="5"/>
      <c r="S6655" s="5"/>
    </row>
    <row r="6656">
      <c r="A6656" s="5">
        <f>IFERROR(__xludf.DUMMYFUNCTION("""COMPUTED_VALUE"""),16839.0)</f>
        <v>16839</v>
      </c>
      <c r="B6656" s="5" t="str">
        <f>IFERROR(__xludf.DUMMYFUNCTION("""COMPUTED_VALUE"""),"هیأت")</f>
        <v>هیأت</v>
      </c>
      <c r="C6656" s="5" t="str">
        <f>IFERROR(__xludf.DUMMYFUNCTION("""COMPUTED_VALUE"""),"عاشقان بقیع (هیات خانوادگی)")</f>
        <v>عاشقان بقیع (هیات خانوادگی)</v>
      </c>
      <c r="D6656" s="5" t="str">
        <f>IFERROR(__xludf.DUMMYFUNCTION("""COMPUTED_VALUE"""),"یزد")</f>
        <v>یزد</v>
      </c>
      <c r="E6656" s="5" t="str">
        <f>IFERROR(__xludf.DUMMYFUNCTION("""COMPUTED_VALUE"""),"تفت")</f>
        <v>تفت</v>
      </c>
      <c r="F6656" s="5"/>
      <c r="G6656" s="5"/>
      <c r="H6656" s="6" t="str">
        <f>IFERROR(__xludf.DUMMYFUNCTION("""COMPUTED_VALUE"""),"https://www.instagram.com/asheghanbaghitaft")</f>
        <v>https://www.instagram.com/asheghanbaghitaft</v>
      </c>
      <c r="I6656" s="6" t="str">
        <f>IFERROR(__xludf.DUMMYFUNCTION("""COMPUTED_VALUE"""),"https://t.me/AsheghanBaghiTaft")</f>
        <v>https://t.me/AsheghanBaghiTaft</v>
      </c>
      <c r="J6656" s="5"/>
      <c r="K6656" s="5"/>
      <c r="L6656" s="5"/>
      <c r="M6656" s="5"/>
      <c r="N6656" s="5"/>
      <c r="O6656" s="5"/>
      <c r="P6656" s="5"/>
      <c r="Q6656" s="5"/>
      <c r="R6656" s="5"/>
      <c r="S6656" s="5"/>
    </row>
    <row r="6657">
      <c r="A6657" s="5">
        <f>IFERROR(__xludf.DUMMYFUNCTION("""COMPUTED_VALUE"""),16846.0)</f>
        <v>16846</v>
      </c>
      <c r="B6657" s="5" t="str">
        <f>IFERROR(__xludf.DUMMYFUNCTION("""COMPUTED_VALUE"""),"هیأت")</f>
        <v>هیأت</v>
      </c>
      <c r="C6657" s="5" t="str">
        <f>IFERROR(__xludf.DUMMYFUNCTION("""COMPUTED_VALUE"""),"رهروان حضرت علی اصغر(ع)")</f>
        <v>رهروان حضرت علی اصغر(ع)</v>
      </c>
      <c r="D6657" s="5" t="str">
        <f>IFERROR(__xludf.DUMMYFUNCTION("""COMPUTED_VALUE"""),"یزد")</f>
        <v>یزد</v>
      </c>
      <c r="E6657" s="5" t="str">
        <f>IFERROR(__xludf.DUMMYFUNCTION("""COMPUTED_VALUE"""),"تفت")</f>
        <v>تفت</v>
      </c>
      <c r="F6657" s="5"/>
      <c r="G6657" s="5"/>
      <c r="H6657" s="6" t="str">
        <f>IFERROR(__xludf.DUMMYFUNCTION("""COMPUTED_VALUE"""),"https://www.instagram.com/h_hazrataliasghar")</f>
        <v>https://www.instagram.com/h_hazrataliasghar</v>
      </c>
      <c r="I6657" s="5"/>
      <c r="J6657" s="5"/>
      <c r="K6657" s="5"/>
      <c r="L6657" s="5"/>
      <c r="M6657" s="5"/>
      <c r="N6657" s="5"/>
      <c r="O6657" s="5"/>
      <c r="P6657" s="5"/>
      <c r="Q6657" s="5"/>
      <c r="R6657" s="5"/>
      <c r="S6657" s="5"/>
    </row>
    <row r="6658">
      <c r="A6658" s="5">
        <f>IFERROR(__xludf.DUMMYFUNCTION("""COMPUTED_VALUE"""),16847.0)</f>
        <v>16847</v>
      </c>
      <c r="B6658" s="5" t="str">
        <f>IFERROR(__xludf.DUMMYFUNCTION("""COMPUTED_VALUE"""),"هیأت")</f>
        <v>هیأت</v>
      </c>
      <c r="C6658" s="5" t="str">
        <f>IFERROR(__xludf.DUMMYFUNCTION("""COMPUTED_VALUE"""),"مسجد صاحب الزمان(عج)")</f>
        <v>مسجد صاحب الزمان(عج)</v>
      </c>
      <c r="D6658" s="5" t="str">
        <f>IFERROR(__xludf.DUMMYFUNCTION("""COMPUTED_VALUE"""),"یزد")</f>
        <v>یزد</v>
      </c>
      <c r="E6658" s="5" t="str">
        <f>IFERROR(__xludf.DUMMYFUNCTION("""COMPUTED_VALUE"""),"تفت")</f>
        <v>تفت</v>
      </c>
      <c r="F6658" s="5"/>
      <c r="G6658" s="5"/>
      <c r="H6658" s="5"/>
      <c r="I6658" s="5"/>
      <c r="J6658" s="6" t="str">
        <f>IFERROR(__xludf.DUMMYFUNCTION("""COMPUTED_VALUE"""),"https://eitaa.com/m_sahebalzaman")</f>
        <v>https://eitaa.com/m_sahebalzaman</v>
      </c>
      <c r="K6658" s="5"/>
      <c r="L6658" s="5"/>
      <c r="M6658" s="5"/>
      <c r="N6658" s="5"/>
      <c r="O6658" s="5"/>
      <c r="P6658" s="5"/>
      <c r="Q6658" s="5"/>
      <c r="R6658" s="5"/>
      <c r="S6658" s="5"/>
    </row>
    <row r="6659">
      <c r="A6659" s="5">
        <f>IFERROR(__xludf.DUMMYFUNCTION("""COMPUTED_VALUE"""),17003.0)</f>
        <v>17003</v>
      </c>
      <c r="B6659" s="5" t="str">
        <f>IFERROR(__xludf.DUMMYFUNCTION("""COMPUTED_VALUE"""),"هیأت")</f>
        <v>هیأت</v>
      </c>
      <c r="C6659" s="5" t="str">
        <f>IFERROR(__xludf.DUMMYFUNCTION("""COMPUTED_VALUE"""),"مجمع الذاکرین")</f>
        <v>مجمع الذاکرین</v>
      </c>
      <c r="D6659" s="5" t="str">
        <f>IFERROR(__xludf.DUMMYFUNCTION("""COMPUTED_VALUE"""),"یزد")</f>
        <v>یزد</v>
      </c>
      <c r="E6659" s="5" t="str">
        <f>IFERROR(__xludf.DUMMYFUNCTION("""COMPUTED_VALUE"""),"تفت")</f>
        <v>تفت</v>
      </c>
      <c r="F6659" s="5"/>
      <c r="G6659" s="5"/>
      <c r="H6659" s="6" t="str">
        <f>IFERROR(__xludf.DUMMYFUNCTION("""COMPUTED_VALUE"""),"https://www.instagram.com/majmaalzakrin")</f>
        <v>https://www.instagram.com/majmaalzakrin</v>
      </c>
      <c r="I6659" s="5"/>
      <c r="J6659" s="5"/>
      <c r="K6659" s="5"/>
      <c r="L6659" s="5"/>
      <c r="M6659" s="5"/>
      <c r="N6659" s="5"/>
      <c r="O6659" s="5"/>
      <c r="P6659" s="5"/>
      <c r="Q6659" s="5"/>
      <c r="R6659" s="5"/>
      <c r="S6659" s="5"/>
    </row>
    <row r="6660">
      <c r="A6660" s="5">
        <f>IFERROR(__xludf.DUMMYFUNCTION("""COMPUTED_VALUE"""),17043.0)</f>
        <v>17043</v>
      </c>
      <c r="B6660" s="5" t="str">
        <f>IFERROR(__xludf.DUMMYFUNCTION("""COMPUTED_VALUE"""),"هیأت")</f>
        <v>هیأت</v>
      </c>
      <c r="C6660" s="5" t="str">
        <f>IFERROR(__xludf.DUMMYFUNCTION("""COMPUTED_VALUE"""),"حضرت ابوالفضل(ع)")</f>
        <v>حضرت ابوالفضل(ع)</v>
      </c>
      <c r="D6660" s="5" t="str">
        <f>IFERROR(__xludf.DUMMYFUNCTION("""COMPUTED_VALUE"""),"یزد")</f>
        <v>یزد</v>
      </c>
      <c r="E6660" s="5" t="str">
        <f>IFERROR(__xludf.DUMMYFUNCTION("""COMPUTED_VALUE"""),"تفت")</f>
        <v>تفت</v>
      </c>
      <c r="F6660" s="5"/>
      <c r="G6660" s="5"/>
      <c r="H6660" s="6" t="str">
        <f>IFERROR(__xludf.DUMMYFUNCTION("""COMPUTED_VALUE"""),"https://www.instagram.com/saredehtaft")</f>
        <v>https://www.instagram.com/saredehtaft</v>
      </c>
      <c r="I6660" s="6" t="str">
        <f>IFERROR(__xludf.DUMMYFUNCTION("""COMPUTED_VALUE"""),"http://t.me/heyatesaredeh")</f>
        <v>http://t.me/heyatesaredeh</v>
      </c>
      <c r="J6660" s="6" t="str">
        <f>IFERROR(__xludf.DUMMYFUNCTION("""COMPUTED_VALUE"""),"https://eitaa.com/heyatesaredeh")</f>
        <v>https://eitaa.com/heyatesaredeh</v>
      </c>
      <c r="K6660" s="5"/>
      <c r="L6660" s="5"/>
      <c r="M6660" s="5"/>
      <c r="N6660" s="5"/>
      <c r="O6660" s="5"/>
      <c r="P6660" s="5"/>
      <c r="Q6660" s="5"/>
      <c r="R6660" s="5"/>
      <c r="S6660" s="5"/>
    </row>
    <row r="6661">
      <c r="A6661" s="5">
        <f>IFERROR(__xludf.DUMMYFUNCTION("""COMPUTED_VALUE"""),17144.0)</f>
        <v>17144</v>
      </c>
      <c r="B6661" s="5" t="str">
        <f>IFERROR(__xludf.DUMMYFUNCTION("""COMPUTED_VALUE"""),"هیأت")</f>
        <v>هیأت</v>
      </c>
      <c r="C6661" s="5" t="str">
        <f>IFERROR(__xludf.DUMMYFUNCTION("""COMPUTED_VALUE"""),"سیدالشهدا(ع) (دشتک علیا)")</f>
        <v>سیدالشهدا(ع) (دشتک علیا)</v>
      </c>
      <c r="D6661" s="5" t="str">
        <f>IFERROR(__xludf.DUMMYFUNCTION("""COMPUTED_VALUE"""),"یزد")</f>
        <v>یزد</v>
      </c>
      <c r="E6661" s="5" t="str">
        <f>IFERROR(__xludf.DUMMYFUNCTION("""COMPUTED_VALUE"""),"تفت")</f>
        <v>تفت</v>
      </c>
      <c r="F6661" s="5"/>
      <c r="G6661" s="5"/>
      <c r="H6661" s="5"/>
      <c r="I6661" s="5"/>
      <c r="J6661" s="6" t="str">
        <f>IFERROR(__xludf.DUMMYFUNCTION("""COMPUTED_VALUE"""),"https://eitaa.com/dashtak_oolia")</f>
        <v>https://eitaa.com/dashtak_oolia</v>
      </c>
      <c r="K6661" s="5"/>
      <c r="L6661" s="5"/>
      <c r="M6661" s="5"/>
      <c r="N6661" s="5"/>
      <c r="O6661" s="5"/>
      <c r="P6661" s="5"/>
      <c r="Q6661" s="5"/>
      <c r="R6661" s="5"/>
      <c r="S6661" s="5"/>
    </row>
    <row r="6662">
      <c r="A6662" s="5">
        <f>IFERROR(__xludf.DUMMYFUNCTION("""COMPUTED_VALUE"""),17145.0)</f>
        <v>17145</v>
      </c>
      <c r="B6662" s="5" t="str">
        <f>IFERROR(__xludf.DUMMYFUNCTION("""COMPUTED_VALUE"""),"هیأت")</f>
        <v>هیأت</v>
      </c>
      <c r="C6662" s="5" t="str">
        <f>IFERROR(__xludf.DUMMYFUNCTION("""COMPUTED_VALUE"""),"سلطان آباد")</f>
        <v>سلطان آباد</v>
      </c>
      <c r="D6662" s="5" t="str">
        <f>IFERROR(__xludf.DUMMYFUNCTION("""COMPUTED_VALUE"""),"یزد")</f>
        <v>یزد</v>
      </c>
      <c r="E6662" s="5" t="str">
        <f>IFERROR(__xludf.DUMMYFUNCTION("""COMPUTED_VALUE"""),"تفت")</f>
        <v>تفت</v>
      </c>
      <c r="F6662" s="5"/>
      <c r="G6662" s="5"/>
      <c r="H6662" s="6" t="str">
        <f>IFERROR(__xludf.DUMMYFUNCTION("""COMPUTED_VALUE"""),"https://www.instagram.com/heiat.aboalfazl")</f>
        <v>https://www.instagram.com/heiat.aboalfazl</v>
      </c>
      <c r="I6662" s="5"/>
      <c r="J6662" s="5"/>
      <c r="K6662" s="5"/>
      <c r="L6662" s="5"/>
      <c r="M6662" s="5"/>
      <c r="N6662" s="5"/>
      <c r="O6662" s="5"/>
      <c r="P6662" s="5"/>
      <c r="Q6662" s="5"/>
      <c r="R6662" s="5"/>
      <c r="S6662" s="5"/>
    </row>
    <row r="6663">
      <c r="A6663" s="5">
        <f>IFERROR(__xludf.DUMMYFUNCTION("""COMPUTED_VALUE"""),20080.0)</f>
        <v>20080</v>
      </c>
      <c r="B6663" s="5" t="str">
        <f>IFERROR(__xludf.DUMMYFUNCTION("""COMPUTED_VALUE"""),"هیأت")</f>
        <v>هیأت</v>
      </c>
      <c r="C6663" s="5" t="str">
        <f>IFERROR(__xludf.DUMMYFUNCTION("""COMPUTED_VALUE"""),"فدائیان امام حسن (ع)")</f>
        <v>فدائیان امام حسن (ع)</v>
      </c>
      <c r="D6663" s="5" t="str">
        <f>IFERROR(__xludf.DUMMYFUNCTION("""COMPUTED_VALUE"""),"یزد")</f>
        <v>یزد</v>
      </c>
      <c r="E6663" s="5" t="str">
        <f>IFERROR(__xludf.DUMMYFUNCTION("""COMPUTED_VALUE"""),"تفت")</f>
        <v>تفت</v>
      </c>
      <c r="F6663" s="5"/>
      <c r="G6663" s="5"/>
      <c r="H6663" s="6" t="str">
        <f>IFERROR(__xludf.DUMMYFUNCTION("""COMPUTED_VALUE"""),"https://www.instagram.com/fadaeyan.hasan._")</f>
        <v>https://www.instagram.com/fadaeyan.hasan._</v>
      </c>
      <c r="I6663" s="5"/>
      <c r="J6663" s="5"/>
      <c r="K6663" s="5"/>
      <c r="L6663" s="5"/>
      <c r="M6663" s="5"/>
      <c r="N6663" s="5"/>
      <c r="O6663" s="5"/>
      <c r="P6663" s="5"/>
      <c r="Q6663" s="5"/>
      <c r="R6663" s="5"/>
      <c r="S6663" s="5"/>
    </row>
    <row r="6664">
      <c r="A6664" s="5">
        <f>IFERROR(__xludf.DUMMYFUNCTION("""COMPUTED_VALUE"""),20875.0)</f>
        <v>20875</v>
      </c>
      <c r="B6664" s="5" t="str">
        <f>IFERROR(__xludf.DUMMYFUNCTION("""COMPUTED_VALUE"""),"هیأت")</f>
        <v>هیأت</v>
      </c>
      <c r="C6664" s="5" t="str">
        <f>IFERROR(__xludf.DUMMYFUNCTION("""COMPUTED_VALUE"""),"رهروان ولایت نیر")</f>
        <v>رهروان ولایت نیر</v>
      </c>
      <c r="D6664" s="5" t="str">
        <f>IFERROR(__xludf.DUMMYFUNCTION("""COMPUTED_VALUE"""),"یزد")</f>
        <v>یزد</v>
      </c>
      <c r="E6664" s="5" t="str">
        <f>IFERROR(__xludf.DUMMYFUNCTION("""COMPUTED_VALUE"""),"تفت")</f>
        <v>تفت</v>
      </c>
      <c r="F6664" s="5" t="str">
        <f>IFERROR(__xludf.DUMMYFUNCTION("""COMPUTED_VALUE"""),"نیر")</f>
        <v>نیر</v>
      </c>
      <c r="G6664" s="5"/>
      <c r="H6664" s="6" t="str">
        <f>IFERROR(__xludf.DUMMYFUNCTION("""COMPUTED_VALUE"""),"https://www.instagram.com/rv_nir_yazd/")</f>
        <v>https://www.instagram.com/rv_nir_yazd/</v>
      </c>
      <c r="I6664" s="5"/>
      <c r="J6664" s="6" t="str">
        <f>IFERROR(__xludf.DUMMYFUNCTION("""COMPUTED_VALUE"""),"https://eitaa.com/r_velayat_nir_yazd")</f>
        <v>https://eitaa.com/r_velayat_nir_yazd</v>
      </c>
      <c r="K6664" s="5"/>
      <c r="L6664" s="5"/>
      <c r="M6664" s="5"/>
      <c r="N6664" s="5"/>
      <c r="O6664" s="5"/>
      <c r="P6664" s="5"/>
      <c r="Q6664" s="5"/>
      <c r="R6664" s="5"/>
      <c r="S6664" s="5"/>
    </row>
    <row r="6665">
      <c r="A6665" s="5">
        <f>IFERROR(__xludf.DUMMYFUNCTION("""COMPUTED_VALUE"""),21488.0)</f>
        <v>21488</v>
      </c>
      <c r="B6665" s="5" t="str">
        <f>IFERROR(__xludf.DUMMYFUNCTION("""COMPUTED_VALUE"""),"هیأت")</f>
        <v>هیأت</v>
      </c>
      <c r="C6665" s="5" t="str">
        <f>IFERROR(__xludf.DUMMYFUNCTION("""COMPUTED_VALUE"""),"الرضا (ع) دهشیر")</f>
        <v>الرضا (ع) دهشیر</v>
      </c>
      <c r="D6665" s="5" t="str">
        <f>IFERROR(__xludf.DUMMYFUNCTION("""COMPUTED_VALUE"""),"یزد")</f>
        <v>یزد</v>
      </c>
      <c r="E6665" s="5" t="str">
        <f>IFERROR(__xludf.DUMMYFUNCTION("""COMPUTED_VALUE"""),"تفت")</f>
        <v>تفت</v>
      </c>
      <c r="F6665" s="5" t="str">
        <f>IFERROR(__xludf.DUMMYFUNCTION("""COMPUTED_VALUE"""),"دهشیر")</f>
        <v>دهشیر</v>
      </c>
      <c r="G6665" s="5"/>
      <c r="H6665" s="5"/>
      <c r="I6665" s="5"/>
      <c r="J6665" s="6" t="str">
        <f>IFERROR(__xludf.DUMMYFUNCTION("""COMPUTED_VALUE"""),"https://eitaa.com/heyatoreza_dehshir")</f>
        <v>https://eitaa.com/heyatoreza_dehshir</v>
      </c>
      <c r="K6665" s="5"/>
      <c r="L6665" s="5"/>
      <c r="M6665" s="5"/>
      <c r="N6665" s="5"/>
      <c r="O6665" s="5"/>
      <c r="P6665" s="5"/>
      <c r="Q6665" s="5"/>
      <c r="R6665" s="5"/>
      <c r="S6665" s="5"/>
    </row>
    <row r="6666">
      <c r="A6666" s="5">
        <f>IFERROR(__xludf.DUMMYFUNCTION("""COMPUTED_VALUE"""),22549.0)</f>
        <v>22549</v>
      </c>
      <c r="B6666" s="5" t="str">
        <f>IFERROR(__xludf.DUMMYFUNCTION("""COMPUTED_VALUE"""),"هیأت")</f>
        <v>هیأت</v>
      </c>
      <c r="C6666" s="5" t="str">
        <f>IFERROR(__xludf.DUMMYFUNCTION("""COMPUTED_VALUE"""),"شهدای اسلامیه")</f>
        <v>شهدای اسلامیه</v>
      </c>
      <c r="D6666" s="5" t="str">
        <f>IFERROR(__xludf.DUMMYFUNCTION("""COMPUTED_VALUE"""),"یزد")</f>
        <v>یزد</v>
      </c>
      <c r="E6666" s="5" t="str">
        <f>IFERROR(__xludf.DUMMYFUNCTION("""COMPUTED_VALUE"""),"تفت")</f>
        <v>تفت</v>
      </c>
      <c r="F6666" s="5"/>
      <c r="G6666" s="5"/>
      <c r="H6666" s="6" t="str">
        <f>IFERROR(__xludf.DUMMYFUNCTION("""COMPUTED_VALUE"""),"https://www.instagram.com/shohadayeeslamieh")</f>
        <v>https://www.instagram.com/shohadayeeslamieh</v>
      </c>
      <c r="I6666" s="5"/>
      <c r="J6666" s="5"/>
      <c r="K6666" s="5"/>
      <c r="L6666" s="5"/>
      <c r="M6666" s="5"/>
      <c r="N6666" s="5"/>
      <c r="O6666" s="5"/>
      <c r="P6666" s="5"/>
      <c r="Q6666" s="5"/>
      <c r="R6666" s="5"/>
      <c r="S6666" s="5"/>
    </row>
    <row r="6667">
      <c r="A6667" s="5">
        <f>IFERROR(__xludf.DUMMYFUNCTION("""COMPUTED_VALUE"""),22566.0)</f>
        <v>22566</v>
      </c>
      <c r="B6667" s="5" t="str">
        <f>IFERROR(__xludf.DUMMYFUNCTION("""COMPUTED_VALUE"""),"هیأت")</f>
        <v>هیأت</v>
      </c>
      <c r="C6667" s="5" t="str">
        <f>IFERROR(__xludf.DUMMYFUNCTION("""COMPUTED_VALUE"""),"سیدالشهدا (ع)")</f>
        <v>سیدالشهدا (ع)</v>
      </c>
      <c r="D6667" s="5" t="str">
        <f>IFERROR(__xludf.DUMMYFUNCTION("""COMPUTED_VALUE"""),"یزد")</f>
        <v>یزد</v>
      </c>
      <c r="E6667" s="5" t="str">
        <f>IFERROR(__xludf.DUMMYFUNCTION("""COMPUTED_VALUE"""),"تفت")</f>
        <v>تفت</v>
      </c>
      <c r="F6667" s="5"/>
      <c r="G6667" s="5"/>
      <c r="H6667" s="6" t="str">
        <f>IFERROR(__xludf.DUMMYFUNCTION("""COMPUTED_VALUE"""),"https://www.instagram.com/azakhaneh_taft")</f>
        <v>https://www.instagram.com/azakhaneh_taft</v>
      </c>
      <c r="I6667" s="5"/>
      <c r="J6667" s="5"/>
      <c r="K6667" s="5"/>
      <c r="L6667" s="5"/>
      <c r="M6667" s="5"/>
      <c r="N6667" s="5"/>
      <c r="O6667" s="5"/>
      <c r="P6667" s="5"/>
      <c r="Q6667" s="5"/>
      <c r="R6667" s="5"/>
      <c r="S6667" s="5"/>
    </row>
    <row r="6668">
      <c r="A6668" s="5">
        <f>IFERROR(__xludf.DUMMYFUNCTION("""COMPUTED_VALUE"""),23734.0)</f>
        <v>23734</v>
      </c>
      <c r="B6668" s="5" t="str">
        <f>IFERROR(__xludf.DUMMYFUNCTION("""COMPUTED_VALUE"""),"هیأت")</f>
        <v>هیأت</v>
      </c>
      <c r="C6668" s="5" t="str">
        <f>IFERROR(__xludf.DUMMYFUNCTION("""COMPUTED_VALUE"""),"ابوالفضل")</f>
        <v>ابوالفضل</v>
      </c>
      <c r="D6668" s="5" t="str">
        <f>IFERROR(__xludf.DUMMYFUNCTION("""COMPUTED_VALUE"""),"یزد")</f>
        <v>یزد</v>
      </c>
      <c r="E6668" s="5" t="str">
        <f>IFERROR(__xludf.DUMMYFUNCTION("""COMPUTED_VALUE"""),"تفت")</f>
        <v>تفت</v>
      </c>
      <c r="F6668" s="5"/>
      <c r="G6668" s="5"/>
      <c r="H6668" s="6" t="str">
        <f>IFERROR(__xludf.DUMMYFUNCTION("""COMPUTED_VALUE"""),"https://instagram.com/saredehtaft")</f>
        <v>https://instagram.com/saredehtaft</v>
      </c>
      <c r="I6668" s="6" t="str">
        <f>IFERROR(__xludf.DUMMYFUNCTION("""COMPUTED_VALUE"""),"https://t.me/heyatesaredeh")</f>
        <v>https://t.me/heyatesaredeh</v>
      </c>
      <c r="J6668" s="6" t="str">
        <f>IFERROR(__xludf.DUMMYFUNCTION("""COMPUTED_VALUE"""),"https://eitaa.com/heyatesaredeh")</f>
        <v>https://eitaa.com/heyatesaredeh</v>
      </c>
      <c r="K6668" s="5"/>
      <c r="L6668" s="5"/>
      <c r="M6668" s="5"/>
      <c r="N6668" s="5"/>
      <c r="O6668" s="5"/>
      <c r="P6668" s="5"/>
      <c r="Q6668" s="5"/>
      <c r="R6668" s="5"/>
      <c r="S6668" s="5"/>
    </row>
    <row r="6669">
      <c r="A6669" s="5">
        <f>IFERROR(__xludf.DUMMYFUNCTION("""COMPUTED_VALUE"""),24245.0)</f>
        <v>24245</v>
      </c>
      <c r="B6669" s="5" t="str">
        <f>IFERROR(__xludf.DUMMYFUNCTION("""COMPUTED_VALUE"""),"هیأت")</f>
        <v>هیأت</v>
      </c>
      <c r="C6669" s="5" t="str">
        <f>IFERROR(__xludf.DUMMYFUNCTION("""COMPUTED_VALUE"""),"سیدالشهدا و فاطمیه اسلامیه")</f>
        <v>سیدالشهدا و فاطمیه اسلامیه</v>
      </c>
      <c r="D6669" s="5" t="str">
        <f>IFERROR(__xludf.DUMMYFUNCTION("""COMPUTED_VALUE"""),"یزد")</f>
        <v>یزد</v>
      </c>
      <c r="E6669" s="5" t="str">
        <f>IFERROR(__xludf.DUMMYFUNCTION("""COMPUTED_VALUE"""),"تفت")</f>
        <v>تفت</v>
      </c>
      <c r="F6669" s="5"/>
      <c r="G6669" s="5"/>
      <c r="H6669" s="6" t="str">
        <f>IFERROR(__xludf.DUMMYFUNCTION("""COMPUTED_VALUE"""),"https://www.instagram.com/heyhat_seyedoshohada")</f>
        <v>https://www.instagram.com/heyhat_seyedoshohada</v>
      </c>
      <c r="I6669" s="5"/>
      <c r="J6669" s="5"/>
      <c r="K6669" s="5"/>
      <c r="L6669" s="5"/>
      <c r="M6669" s="5"/>
      <c r="N6669" s="5"/>
      <c r="O6669" s="5"/>
      <c r="P6669" s="5"/>
      <c r="Q6669" s="5"/>
      <c r="R6669" s="5"/>
      <c r="S6669" s="5"/>
    </row>
    <row r="6670">
      <c r="A6670" s="5">
        <f>IFERROR(__xludf.DUMMYFUNCTION("""COMPUTED_VALUE"""),31653.0)</f>
        <v>31653</v>
      </c>
      <c r="B6670" s="5" t="str">
        <f>IFERROR(__xludf.DUMMYFUNCTION("""COMPUTED_VALUE"""),"هیأت")</f>
        <v>هیأت</v>
      </c>
      <c r="C6670" s="5" t="str">
        <f>IFERROR(__xludf.DUMMYFUNCTION("""COMPUTED_VALUE"""),"حضرت علی اصغر (ع)")</f>
        <v>حضرت علی اصغر (ع)</v>
      </c>
      <c r="D6670" s="5" t="str">
        <f>IFERROR(__xludf.DUMMYFUNCTION("""COMPUTED_VALUE"""),"یزد")</f>
        <v>یزد</v>
      </c>
      <c r="E6670" s="5" t="str">
        <f>IFERROR(__xludf.DUMMYFUNCTION("""COMPUTED_VALUE"""),"تفت")</f>
        <v>تفت</v>
      </c>
      <c r="F6670" s="5"/>
      <c r="G6670" s="5"/>
      <c r="H6670" s="6" t="str">
        <f>IFERROR(__xludf.DUMMYFUNCTION("""COMPUTED_VALUE"""),"https://www.instagram.com/heyate_hazrate_ali_asghar")</f>
        <v>https://www.instagram.com/heyate_hazrate_ali_asghar</v>
      </c>
      <c r="I6670" s="5"/>
      <c r="J6670" s="5"/>
      <c r="K6670" s="5"/>
      <c r="L6670" s="5"/>
      <c r="M6670" s="5"/>
      <c r="N6670" s="5"/>
      <c r="O6670" s="5"/>
      <c r="P6670" s="5"/>
      <c r="Q6670" s="5"/>
      <c r="R6670" s="5"/>
      <c r="S6670" s="5"/>
    </row>
    <row r="6671">
      <c r="A6671" s="5"/>
      <c r="B6671" s="5" t="str">
        <f>IFERROR(__xludf.DUMMYFUNCTION("""COMPUTED_VALUE"""),"هیأت")</f>
        <v>هیأت</v>
      </c>
      <c r="C6671" s="5" t="str">
        <f>IFERROR(__xludf.DUMMYFUNCTION("""COMPUTED_VALUE"""),"بازار تفت")</f>
        <v>بازار تفت</v>
      </c>
      <c r="D6671" s="5" t="str">
        <f>IFERROR(__xludf.DUMMYFUNCTION("""COMPUTED_VALUE"""),"یزد")</f>
        <v>یزد</v>
      </c>
      <c r="E6671" s="5" t="str">
        <f>IFERROR(__xludf.DUMMYFUNCTION("""COMPUTED_VALUE"""),"تفت")</f>
        <v>تفت</v>
      </c>
      <c r="F6671" s="5"/>
      <c r="G6671" s="5"/>
      <c r="H6671" s="6" t="str">
        <f>IFERROR(__xludf.DUMMYFUNCTION("""COMPUTED_VALUE"""),"https://www.instagram.com/bazartaft/")</f>
        <v>https://www.instagram.com/bazartaft/</v>
      </c>
      <c r="I6671" s="5"/>
      <c r="J6671" s="5"/>
      <c r="K6671" s="5"/>
      <c r="L6671" s="5"/>
      <c r="M6671" s="5"/>
      <c r="N6671" s="5"/>
      <c r="O6671" s="5"/>
      <c r="P6671" s="5"/>
      <c r="Q6671" s="5"/>
      <c r="R6671" s="5"/>
      <c r="S6671" s="5"/>
    </row>
    <row r="6672">
      <c r="A6672" s="5"/>
      <c r="B6672" s="5" t="str">
        <f>IFERROR(__xludf.DUMMYFUNCTION("""COMPUTED_VALUE"""),"هیأت")</f>
        <v>هیأت</v>
      </c>
      <c r="C6672" s="5" t="str">
        <f>IFERROR(__xludf.DUMMYFUNCTION("""COMPUTED_VALUE"""),"ياوران‌مهدی(عج)")</f>
        <v>ياوران‌مهدی(عج)</v>
      </c>
      <c r="D6672" s="5" t="str">
        <f>IFERROR(__xludf.DUMMYFUNCTION("""COMPUTED_VALUE"""),"یزد")</f>
        <v>یزد</v>
      </c>
      <c r="E6672" s="5" t="str">
        <f>IFERROR(__xludf.DUMMYFUNCTION("""COMPUTED_VALUE"""),"تفت")</f>
        <v>تفت</v>
      </c>
      <c r="F6672" s="5" t="str">
        <f>IFERROR(__xludf.DUMMYFUNCTION("""COMPUTED_VALUE"""),"محله‌غیاث‌آباد")</f>
        <v>محله‌غیاث‌آباد</v>
      </c>
      <c r="G6672" s="5"/>
      <c r="H6672" s="6" t="str">
        <f>IFERROR(__xludf.DUMMYFUNCTION("""COMPUTED_VALUE"""),"https://www.instagram.com/yavaranmahditaft/")</f>
        <v>https://www.instagram.com/yavaranmahditaft/</v>
      </c>
      <c r="I6672" s="6" t="str">
        <f>IFERROR(__xludf.DUMMYFUNCTION("""COMPUTED_VALUE"""),"https://t.me/ghiasabad")</f>
        <v>https://t.me/ghiasabad</v>
      </c>
      <c r="J6672" s="5"/>
      <c r="K6672" s="5"/>
      <c r="L6672" s="5"/>
      <c r="M6672" s="5"/>
      <c r="N6672" s="5"/>
      <c r="O6672" s="5"/>
      <c r="P6672" s="5"/>
      <c r="Q6672" s="5"/>
      <c r="R6672" s="5"/>
      <c r="S6672" s="5"/>
    </row>
    <row r="6673">
      <c r="A6673" s="5"/>
      <c r="B6673" s="5" t="str">
        <f>IFERROR(__xludf.DUMMYFUNCTION("""COMPUTED_VALUE"""),"هیأت")</f>
        <v>هیأت</v>
      </c>
      <c r="C6673" s="5" t="str">
        <f>IFERROR(__xludf.DUMMYFUNCTION("""COMPUTED_VALUE"""),"مُوکِبُ العَبّآس")</f>
        <v>مُوکِبُ العَبّآس</v>
      </c>
      <c r="D6673" s="5" t="str">
        <f>IFERROR(__xludf.DUMMYFUNCTION("""COMPUTED_VALUE"""),"یزد")</f>
        <v>یزد</v>
      </c>
      <c r="E6673" s="5" t="str">
        <f>IFERROR(__xludf.DUMMYFUNCTION("""COMPUTED_VALUE"""),"تفت")</f>
        <v>تفت</v>
      </c>
      <c r="F6673" s="5"/>
      <c r="G6673" s="5"/>
      <c r="H6673" s="6" t="str">
        <f>IFERROR(__xludf.DUMMYFUNCTION("""COMPUTED_VALUE"""),"https://www.instagram.com/mokebol_abbas_/")</f>
        <v>https://www.instagram.com/mokebol_abbas_/</v>
      </c>
      <c r="I6673" s="5"/>
      <c r="J6673" s="5"/>
      <c r="K6673" s="5"/>
      <c r="L6673" s="5"/>
      <c r="M6673" s="5"/>
      <c r="N6673" s="5"/>
      <c r="O6673" s="5"/>
      <c r="P6673" s="5"/>
      <c r="Q6673" s="5"/>
      <c r="R6673" s="5"/>
      <c r="S6673" s="5"/>
    </row>
    <row r="6674">
      <c r="A6674" s="5"/>
      <c r="B6674" s="5" t="str">
        <f>IFERROR(__xludf.DUMMYFUNCTION("""COMPUTED_VALUE"""),"هیأت")</f>
        <v>هیأت</v>
      </c>
      <c r="C6674" s="5" t="str">
        <f>IFERROR(__xludf.DUMMYFUNCTION("""COMPUTED_VALUE"""),"عزاداران ثامن الحجج")</f>
        <v>عزاداران ثامن الحجج</v>
      </c>
      <c r="D6674" s="5" t="str">
        <f>IFERROR(__xludf.DUMMYFUNCTION("""COMPUTED_VALUE"""),"یزد")</f>
        <v>یزد</v>
      </c>
      <c r="E6674" s="5" t="str">
        <f>IFERROR(__xludf.DUMMYFUNCTION("""COMPUTED_VALUE"""),"تفت")</f>
        <v>تفت</v>
      </c>
      <c r="F6674" s="5"/>
      <c r="G6674" s="5"/>
      <c r="H6674" s="6" t="str">
        <f>IFERROR(__xludf.DUMMYFUNCTION("""COMPUTED_VALUE"""),"https://www.instagram.com/heyatesamentaft/")</f>
        <v>https://www.instagram.com/heyatesamentaft/</v>
      </c>
      <c r="I6674" s="6" t="str">
        <f>IFERROR(__xludf.DUMMYFUNCTION("""COMPUTED_VALUE"""),"https://t.me/heyatsamentaft")</f>
        <v>https://t.me/heyatsamentaft</v>
      </c>
      <c r="J6674" s="5"/>
      <c r="K6674" s="5"/>
      <c r="L6674" s="5"/>
      <c r="M6674" s="5"/>
      <c r="N6674" s="5"/>
      <c r="O6674" s="5"/>
      <c r="P6674" s="5"/>
      <c r="Q6674" s="5"/>
      <c r="R6674" s="5"/>
      <c r="S6674" s="5"/>
    </row>
    <row r="6675">
      <c r="A6675" s="5"/>
      <c r="B6675" s="5" t="str">
        <f>IFERROR(__xludf.DUMMYFUNCTION("""COMPUTED_VALUE"""),"هیأت")</f>
        <v>هیأت</v>
      </c>
      <c r="C6675" s="5" t="str">
        <f>IFERROR(__xludf.DUMMYFUNCTION("""COMPUTED_VALUE"""),"محبان حيدرکرار")</f>
        <v>محبان حيدرکرار</v>
      </c>
      <c r="D6675" s="5" t="str">
        <f>IFERROR(__xludf.DUMMYFUNCTION("""COMPUTED_VALUE"""),"یزد")</f>
        <v>یزد</v>
      </c>
      <c r="E6675" s="5" t="str">
        <f>IFERROR(__xludf.DUMMYFUNCTION("""COMPUTED_VALUE"""),"تفت")</f>
        <v>تفت</v>
      </c>
      <c r="F6675" s="5"/>
      <c r="G6675" s="5"/>
      <c r="H6675" s="6" t="str">
        <f>IFERROR(__xludf.DUMMYFUNCTION("""COMPUTED_VALUE"""),"https://www.instagram.com/heydarekarar_taft_110")</f>
        <v>https://www.instagram.com/heydarekarar_taft_110</v>
      </c>
      <c r="I6675" s="5"/>
      <c r="J6675" s="5"/>
      <c r="K6675" s="5"/>
      <c r="L6675" s="5"/>
      <c r="M6675" s="5"/>
      <c r="N6675" s="5"/>
      <c r="O6675" s="5"/>
      <c r="P6675" s="5"/>
      <c r="Q6675" s="5"/>
      <c r="R6675" s="5"/>
      <c r="S6675" s="5"/>
    </row>
    <row r="6676">
      <c r="A6676" s="5"/>
      <c r="B6676" s="5" t="str">
        <f>IFERROR(__xludf.DUMMYFUNCTION("""COMPUTED_VALUE"""),"هیأت")</f>
        <v>هیأت</v>
      </c>
      <c r="C6676" s="5" t="str">
        <f>IFERROR(__xludf.DUMMYFUNCTION("""COMPUTED_VALUE"""),"خادم الرقیه")</f>
        <v>خادم الرقیه</v>
      </c>
      <c r="D6676" s="5" t="str">
        <f>IFERROR(__xludf.DUMMYFUNCTION("""COMPUTED_VALUE"""),"یزد")</f>
        <v>یزد</v>
      </c>
      <c r="E6676" s="5" t="str">
        <f>IFERROR(__xludf.DUMMYFUNCTION("""COMPUTED_VALUE"""),"تفت")</f>
        <v>تفت</v>
      </c>
      <c r="F6676" s="5"/>
      <c r="G6676" s="5"/>
      <c r="H6676" s="6" t="str">
        <f>IFERROR(__xludf.DUMMYFUNCTION("""COMPUTED_VALUE"""),"https://www.instagram.com/khadem.roghayeh_315/")</f>
        <v>https://www.instagram.com/khadem.roghayeh_315/</v>
      </c>
      <c r="I6676" s="5"/>
      <c r="J6676" s="5"/>
      <c r="K6676" s="5"/>
      <c r="L6676" s="5"/>
      <c r="M6676" s="5"/>
      <c r="N6676" s="5"/>
      <c r="O6676" s="5"/>
      <c r="P6676" s="5"/>
      <c r="Q6676" s="5"/>
      <c r="R6676" s="5"/>
      <c r="S6676" s="5"/>
    </row>
    <row r="6677">
      <c r="A6677" s="5"/>
      <c r="B6677" s="5" t="str">
        <f>IFERROR(__xludf.DUMMYFUNCTION("""COMPUTED_VALUE"""),"هیأت")</f>
        <v>هیأت</v>
      </c>
      <c r="C6677" s="5" t="str">
        <f>IFERROR(__xludf.DUMMYFUNCTION("""COMPUTED_VALUE"""),"مجنون الحسین")</f>
        <v>مجنون الحسین</v>
      </c>
      <c r="D6677" s="5" t="str">
        <f>IFERROR(__xludf.DUMMYFUNCTION("""COMPUTED_VALUE"""),"یزد")</f>
        <v>یزد</v>
      </c>
      <c r="E6677" s="5" t="str">
        <f>IFERROR(__xludf.DUMMYFUNCTION("""COMPUTED_VALUE"""),"تفت")</f>
        <v>تفت</v>
      </c>
      <c r="F6677" s="5"/>
      <c r="G6677" s="5"/>
      <c r="H6677" s="6" t="str">
        <f>IFERROR(__xludf.DUMMYFUNCTION("""COMPUTED_VALUE"""),"https://www.instagram.com/majnoon_alhosaintft")</f>
        <v>https://www.instagram.com/majnoon_alhosaintft</v>
      </c>
      <c r="I6677" s="5"/>
      <c r="J6677" s="5"/>
      <c r="K6677" s="5"/>
      <c r="L6677" s="5"/>
      <c r="M6677" s="5"/>
      <c r="N6677" s="5"/>
      <c r="O6677" s="5"/>
      <c r="P6677" s="5"/>
      <c r="Q6677" s="5"/>
      <c r="R6677" s="5"/>
      <c r="S6677" s="5"/>
    </row>
    <row r="6678">
      <c r="A6678" s="5"/>
      <c r="B6678" s="5" t="str">
        <f>IFERROR(__xludf.DUMMYFUNCTION("""COMPUTED_VALUE"""),"هیأت")</f>
        <v>هیأت</v>
      </c>
      <c r="C6678" s="5" t="str">
        <f>IFERROR(__xludf.DUMMYFUNCTION("""COMPUTED_VALUE"""),"انصار حزب الله")</f>
        <v>انصار حزب الله</v>
      </c>
      <c r="D6678" s="5" t="str">
        <f>IFERROR(__xludf.DUMMYFUNCTION("""COMPUTED_VALUE"""),"یزد")</f>
        <v>یزد</v>
      </c>
      <c r="E6678" s="5" t="str">
        <f>IFERROR(__xludf.DUMMYFUNCTION("""COMPUTED_VALUE"""),"حمیدیا")</f>
        <v>حمیدیا</v>
      </c>
      <c r="F6678" s="5"/>
      <c r="G6678" s="5"/>
      <c r="H6678" s="5"/>
      <c r="I6678" s="5"/>
      <c r="J6678" s="6" t="str">
        <f>IFERROR(__xludf.DUMMYFUNCTION("""COMPUTED_VALUE"""),"https://eitaa.com/hezbollahyazd")</f>
        <v>https://eitaa.com/hezbollahyazd</v>
      </c>
      <c r="K6678" s="5"/>
      <c r="L6678" s="5"/>
      <c r="M6678" s="5"/>
      <c r="N6678" s="5"/>
      <c r="O6678" s="5"/>
      <c r="P6678" s="5"/>
      <c r="Q6678" s="5"/>
      <c r="R6678" s="5"/>
      <c r="S6678" s="5"/>
    </row>
    <row r="6679">
      <c r="A6679" s="5">
        <f>IFERROR(__xludf.DUMMYFUNCTION("""COMPUTED_VALUE"""),16774.0)</f>
        <v>16774</v>
      </c>
      <c r="B6679" s="5" t="str">
        <f>IFERROR(__xludf.DUMMYFUNCTION("""COMPUTED_VALUE"""),"هیأت")</f>
        <v>هیأت</v>
      </c>
      <c r="C6679" s="5" t="str">
        <f>IFERROR(__xludf.DUMMYFUNCTION("""COMPUTED_VALUE"""),"انصارالمهدی (عج)")</f>
        <v>انصارالمهدی (عج)</v>
      </c>
      <c r="D6679" s="5" t="str">
        <f>IFERROR(__xludf.DUMMYFUNCTION("""COMPUTED_VALUE"""),"یزد")</f>
        <v>یزد</v>
      </c>
      <c r="E6679" s="5" t="str">
        <f>IFERROR(__xludf.DUMMYFUNCTION("""COMPUTED_VALUE"""),"خاتم")</f>
        <v>خاتم</v>
      </c>
      <c r="F6679" s="5"/>
      <c r="G6679" s="5"/>
      <c r="H6679" s="6" t="str">
        <f>IFERROR(__xludf.DUMMYFUNCTION("""COMPUTED_VALUE"""),"https://www.instagram.com/heyat_ansar_almahdi85")</f>
        <v>https://www.instagram.com/heyat_ansar_almahdi85</v>
      </c>
      <c r="I6679" s="5"/>
      <c r="J6679" s="5"/>
      <c r="K6679" s="5"/>
      <c r="L6679" s="5"/>
      <c r="M6679" s="5"/>
      <c r="N6679" s="5"/>
      <c r="O6679" s="5"/>
      <c r="P6679" s="5"/>
      <c r="Q6679" s="5"/>
      <c r="R6679" s="5"/>
      <c r="S6679" s="5"/>
    </row>
    <row r="6680">
      <c r="A6680" s="5"/>
      <c r="B6680" s="5" t="str">
        <f>IFERROR(__xludf.DUMMYFUNCTION("""COMPUTED_VALUE"""),"هیأت")</f>
        <v>هیأت</v>
      </c>
      <c r="C6680" s="5" t="str">
        <f>IFERROR(__xludf.DUMMYFUNCTION("""COMPUTED_VALUE"""),"سلمان فارسی")</f>
        <v>سلمان فارسی</v>
      </c>
      <c r="D6680" s="5" t="str">
        <f>IFERROR(__xludf.DUMMYFUNCTION("""COMPUTED_VALUE"""),"یزد")</f>
        <v>یزد</v>
      </c>
      <c r="E6680" s="5" t="str">
        <f>IFERROR(__xludf.DUMMYFUNCTION("""COMPUTED_VALUE"""),"خاتم")</f>
        <v>خاتم</v>
      </c>
      <c r="F6680" s="5"/>
      <c r="G6680" s="5"/>
      <c r="H6680" s="6" t="str">
        <f>IFERROR(__xludf.DUMMYFUNCTION("""COMPUTED_VALUE"""),"https://www.instagram.com/salmanefarsi97")</f>
        <v>https://www.instagram.com/salmanefarsi97</v>
      </c>
      <c r="I6680" s="5"/>
      <c r="J6680" s="6" t="str">
        <f>IFERROR(__xludf.DUMMYFUNCTION("""COMPUTED_VALUE"""),"https://eitaa.com/heiatesalmanefarsi97")</f>
        <v>https://eitaa.com/heiatesalmanefarsi97</v>
      </c>
      <c r="K6680" s="5"/>
      <c r="L6680" s="5"/>
      <c r="M6680" s="5"/>
      <c r="N6680" s="5"/>
      <c r="O6680" s="5"/>
      <c r="P6680" s="5"/>
      <c r="Q6680" s="5"/>
      <c r="R6680" s="5"/>
      <c r="S6680" s="5"/>
    </row>
    <row r="6681">
      <c r="A6681" s="5">
        <f>IFERROR(__xludf.DUMMYFUNCTION("""COMPUTED_VALUE"""),20081.0)</f>
        <v>20081</v>
      </c>
      <c r="B6681" s="5" t="str">
        <f>IFERROR(__xludf.DUMMYFUNCTION("""COMPUTED_VALUE"""),"هیأت")</f>
        <v>هیأت</v>
      </c>
      <c r="C6681" s="5" t="str">
        <f>IFERROR(__xludf.DUMMYFUNCTION("""COMPUTED_VALUE"""),"مکتب الشهدا")</f>
        <v>مکتب الشهدا</v>
      </c>
      <c r="D6681" s="5" t="str">
        <f>IFERROR(__xludf.DUMMYFUNCTION("""COMPUTED_VALUE"""),"یزد")</f>
        <v>یزد</v>
      </c>
      <c r="E6681" s="5" t="str">
        <f>IFERROR(__xludf.DUMMYFUNCTION("""COMPUTED_VALUE"""),"خاتم")</f>
        <v>خاتم</v>
      </c>
      <c r="F6681" s="5"/>
      <c r="G6681" s="5"/>
      <c r="H6681" s="6" t="str">
        <f>IFERROR(__xludf.DUMMYFUNCTION("""COMPUTED_VALUE"""),"https://www.instagram.com/maktabeshohada.135")</f>
        <v>https://www.instagram.com/maktabeshohada.135</v>
      </c>
      <c r="I6681" s="5"/>
      <c r="J6681" s="6" t="str">
        <f>IFERROR(__xludf.DUMMYFUNCTION("""COMPUTED_VALUE"""),"https://eitaa.com/seshanbehayeshohadaii")</f>
        <v>https://eitaa.com/seshanbehayeshohadaii</v>
      </c>
      <c r="K6681" s="5"/>
      <c r="L6681" s="5"/>
      <c r="M6681" s="5"/>
      <c r="N6681" s="5"/>
      <c r="O6681" s="5"/>
      <c r="P6681" s="5"/>
      <c r="Q6681" s="5"/>
      <c r="R6681" s="5"/>
      <c r="S6681" s="5"/>
    </row>
    <row r="6682">
      <c r="A6682" s="5">
        <f>IFERROR(__xludf.DUMMYFUNCTION("""COMPUTED_VALUE"""),27943.0)</f>
        <v>27943</v>
      </c>
      <c r="B6682" s="5" t="str">
        <f>IFERROR(__xludf.DUMMYFUNCTION("""COMPUTED_VALUE"""),"هیأت")</f>
        <v>هیأت</v>
      </c>
      <c r="C6682" s="5" t="str">
        <f>IFERROR(__xludf.DUMMYFUNCTION("""COMPUTED_VALUE"""),"انصارالزهرا (س)")</f>
        <v>انصارالزهرا (س)</v>
      </c>
      <c r="D6682" s="5" t="str">
        <f>IFERROR(__xludf.DUMMYFUNCTION("""COMPUTED_VALUE"""),"یزد")</f>
        <v>یزد</v>
      </c>
      <c r="E6682" s="5" t="str">
        <f>IFERROR(__xludf.DUMMYFUNCTION("""COMPUTED_VALUE"""),"خاتم")</f>
        <v>خاتم</v>
      </c>
      <c r="F6682" s="5"/>
      <c r="G6682" s="5"/>
      <c r="H6682" s="6" t="str">
        <f>IFERROR(__xludf.DUMMYFUNCTION("""COMPUTED_VALUE"""),"https://www.instagram.com/ansarozahrayazd")</f>
        <v>https://www.instagram.com/ansarozahrayazd</v>
      </c>
      <c r="I6682" s="6" t="str">
        <f>IFERROR(__xludf.DUMMYFUNCTION("""COMPUTED_VALUE"""),"https://t.me/ansarozahrayazd")</f>
        <v>https://t.me/ansarozahrayazd</v>
      </c>
      <c r="J6682" s="5"/>
      <c r="K6682" s="5"/>
      <c r="L6682" s="5"/>
      <c r="M6682" s="5"/>
      <c r="N6682" s="5"/>
      <c r="O6682" s="5"/>
      <c r="P6682" s="5"/>
      <c r="Q6682" s="5"/>
      <c r="R6682" s="5"/>
      <c r="S6682" s="5"/>
    </row>
    <row r="6683">
      <c r="A6683" s="5"/>
      <c r="B6683" s="5" t="str">
        <f>IFERROR(__xludf.DUMMYFUNCTION("""COMPUTED_VALUE"""),"حسینیه")</f>
        <v>حسینیه</v>
      </c>
      <c r="C6683" s="5" t="str">
        <f>IFERROR(__xludf.DUMMYFUNCTION("""COMPUTED_VALUE"""),"قلعه محمد کریم خان")</f>
        <v>قلعه محمد کریم خان</v>
      </c>
      <c r="D6683" s="5" t="str">
        <f>IFERROR(__xludf.DUMMYFUNCTION("""COMPUTED_VALUE"""),"یزد")</f>
        <v>یزد</v>
      </c>
      <c r="E6683" s="5" t="str">
        <f>IFERROR(__xludf.DUMMYFUNCTION("""COMPUTED_VALUE"""),"خاتم")</f>
        <v>خاتم</v>
      </c>
      <c r="F6683" s="5" t="str">
        <f>IFERROR(__xludf.DUMMYFUNCTION("""COMPUTED_VALUE"""),"هرات")</f>
        <v>هرات</v>
      </c>
      <c r="G6683" s="5"/>
      <c r="H6683" s="6" t="str">
        <f>IFERROR(__xludf.DUMMYFUNCTION("""COMPUTED_VALUE"""),"https://www.instagram.com/hossinye.gh.1/")</f>
        <v>https://www.instagram.com/hossinye.gh.1/</v>
      </c>
      <c r="I6683" s="5"/>
      <c r="J6683" s="5"/>
      <c r="K6683" s="5"/>
      <c r="L6683" s="5"/>
      <c r="M6683" s="5"/>
      <c r="N6683" s="5"/>
      <c r="O6683" s="5"/>
      <c r="P6683" s="5"/>
      <c r="Q6683" s="5"/>
      <c r="R6683" s="5"/>
      <c r="S6683" s="5"/>
    </row>
    <row r="6684">
      <c r="A6684" s="5">
        <f>IFERROR(__xludf.DUMMYFUNCTION("""COMPUTED_VALUE"""),29649.0)</f>
        <v>29649</v>
      </c>
      <c r="B6684" s="5" t="str">
        <f>IFERROR(__xludf.DUMMYFUNCTION("""COMPUTED_VALUE"""),"هیأت")</f>
        <v>هیأت</v>
      </c>
      <c r="C6684" s="5" t="str">
        <f>IFERROR(__xludf.DUMMYFUNCTION("""COMPUTED_VALUE"""),"روضه العباس (ع)")</f>
        <v>روضه العباس (ع)</v>
      </c>
      <c r="D6684" s="5" t="str">
        <f>IFERROR(__xludf.DUMMYFUNCTION("""COMPUTED_VALUE"""),"یزد")</f>
        <v>یزد</v>
      </c>
      <c r="E6684" s="5" t="str">
        <f>IFERROR(__xludf.DUMMYFUNCTION("""COMPUTED_VALUE"""),"زارچ")</f>
        <v>زارچ</v>
      </c>
      <c r="F6684" s="5"/>
      <c r="G6684" s="5"/>
      <c r="H6684" s="6" t="str">
        <f>IFERROR(__xludf.DUMMYFUNCTION("""COMPUTED_VALUE"""),"https://www.instagram.com/mahfel133zarch")</f>
        <v>https://www.instagram.com/mahfel133zarch</v>
      </c>
      <c r="I6684" s="5"/>
      <c r="J6684" s="6" t="str">
        <f>IFERROR(__xludf.DUMMYFUNCTION("""COMPUTED_VALUE"""),"https://eitaa.com/mahfel133zarch")</f>
        <v>https://eitaa.com/mahfel133zarch</v>
      </c>
      <c r="K6684" s="5"/>
      <c r="L6684" s="5"/>
      <c r="M6684" s="5"/>
      <c r="N6684" s="5"/>
      <c r="O6684" s="5"/>
      <c r="P6684" s="5"/>
      <c r="Q6684" s="5"/>
      <c r="R6684" s="5"/>
      <c r="S6684" s="5"/>
    </row>
    <row r="6685">
      <c r="A6685" s="5">
        <f>IFERROR(__xludf.DUMMYFUNCTION("""COMPUTED_VALUE"""),29656.0)</f>
        <v>29656</v>
      </c>
      <c r="B6685" s="5" t="str">
        <f>IFERROR(__xludf.DUMMYFUNCTION("""COMPUTED_VALUE"""),"هیأت")</f>
        <v>هیأت</v>
      </c>
      <c r="C6685" s="5" t="str">
        <f>IFERROR(__xludf.DUMMYFUNCTION("""COMPUTED_VALUE"""),"محبین الزهراء (س)")</f>
        <v>محبین الزهراء (س)</v>
      </c>
      <c r="D6685" s="5" t="str">
        <f>IFERROR(__xludf.DUMMYFUNCTION("""COMPUTED_VALUE"""),"یزد")</f>
        <v>یزد</v>
      </c>
      <c r="E6685" s="5" t="str">
        <f>IFERROR(__xludf.DUMMYFUNCTION("""COMPUTED_VALUE"""),"زارچ")</f>
        <v>زارچ</v>
      </c>
      <c r="F6685" s="5"/>
      <c r="G6685" s="5"/>
      <c r="H6685" s="6" t="str">
        <f>IFERROR(__xludf.DUMMYFUNCTION("""COMPUTED_VALUE"""),"https://instagram.com/mohebbin213")</f>
        <v>https://instagram.com/mohebbin213</v>
      </c>
      <c r="I6685" s="6" t="str">
        <f>IFERROR(__xludf.DUMMYFUNCTION("""COMPUTED_VALUE"""),"https://t.me/mohebbin213")</f>
        <v>https://t.me/mohebbin213</v>
      </c>
      <c r="J6685" s="6" t="str">
        <f>IFERROR(__xludf.DUMMYFUNCTION("""COMPUTED_VALUE"""),"https://eitaa.com/mohebbine213")</f>
        <v>https://eitaa.com/mohebbine213</v>
      </c>
      <c r="K6685" s="5"/>
      <c r="L6685" s="5"/>
      <c r="M6685" s="5"/>
      <c r="N6685" s="5"/>
      <c r="O6685" s="5"/>
      <c r="P6685" s="5"/>
      <c r="Q6685" s="5"/>
      <c r="R6685" s="5"/>
      <c r="S6685" s="5"/>
    </row>
    <row r="6686">
      <c r="A6686" s="5">
        <f>IFERROR(__xludf.DUMMYFUNCTION("""COMPUTED_VALUE"""),32058.0)</f>
        <v>32058</v>
      </c>
      <c r="B6686" s="5" t="str">
        <f>IFERROR(__xludf.DUMMYFUNCTION("""COMPUTED_VALUE"""),"هیأت")</f>
        <v>هیأت</v>
      </c>
      <c r="C6686" s="5" t="str">
        <f>IFERROR(__xludf.DUMMYFUNCTION("""COMPUTED_VALUE"""),"ثامن الائمه")</f>
        <v>ثامن الائمه</v>
      </c>
      <c r="D6686" s="5" t="str">
        <f>IFERROR(__xludf.DUMMYFUNCTION("""COMPUTED_VALUE"""),"یزد")</f>
        <v>یزد</v>
      </c>
      <c r="E6686" s="5" t="str">
        <f>IFERROR(__xludf.DUMMYFUNCTION("""COMPUTED_VALUE"""),"زارچ")</f>
        <v>زارچ</v>
      </c>
      <c r="F6686" s="5"/>
      <c r="G6686" s="5"/>
      <c r="H6686" s="6" t="str">
        <f>IFERROR(__xludf.DUMMYFUNCTION("""COMPUTED_VALUE"""),"https://www.instagram.com/samen_zarch")</f>
        <v>https://www.instagram.com/samen_zarch</v>
      </c>
      <c r="I6686" s="6" t="str">
        <f>IFERROR(__xludf.DUMMYFUNCTION("""COMPUTED_VALUE"""),"https://t.me/samenalhadid")</f>
        <v>https://t.me/samenalhadid</v>
      </c>
      <c r="J6686" s="6" t="str">
        <f>IFERROR(__xludf.DUMMYFUNCTION("""COMPUTED_VALUE"""),"https://eitaa.com/samenalhadid")</f>
        <v>https://eitaa.com/samenalhadid</v>
      </c>
      <c r="K6686" s="5"/>
      <c r="L6686" s="5"/>
      <c r="M6686" s="5"/>
      <c r="N6686" s="5"/>
      <c r="O6686" s="5"/>
      <c r="P6686" s="5"/>
      <c r="Q6686" s="5"/>
      <c r="R6686" s="5"/>
      <c r="S6686" s="5"/>
    </row>
    <row r="6687">
      <c r="A6687" s="5"/>
      <c r="B6687" s="5" t="str">
        <f>IFERROR(__xludf.DUMMYFUNCTION("""COMPUTED_VALUE"""),"هیأت")</f>
        <v>هیأت</v>
      </c>
      <c r="C6687" s="5" t="str">
        <f>IFERROR(__xludf.DUMMYFUNCTION("""COMPUTED_VALUE"""),"قمربنی هاشم(ع)")</f>
        <v>قمربنی هاشم(ع)</v>
      </c>
      <c r="D6687" s="5" t="str">
        <f>IFERROR(__xludf.DUMMYFUNCTION("""COMPUTED_VALUE"""),"یزد")</f>
        <v>یزد</v>
      </c>
      <c r="E6687" s="5" t="str">
        <f>IFERROR(__xludf.DUMMYFUNCTION("""COMPUTED_VALUE"""),"زارچ")</f>
        <v>زارچ</v>
      </c>
      <c r="F6687" s="5"/>
      <c r="G6687" s="5"/>
      <c r="H6687" s="6" t="str">
        <f>IFERROR(__xludf.DUMMYFUNCTION("""COMPUTED_VALUE"""),"https://www.instagram.com/qbh_zarch")</f>
        <v>https://www.instagram.com/qbh_zarch</v>
      </c>
      <c r="I6687" s="6" t="str">
        <f>IFERROR(__xludf.DUMMYFUNCTION("""COMPUTED_VALUE"""),"https://t.me/qbh_zarch")</f>
        <v>https://t.me/qbh_zarch</v>
      </c>
      <c r="J6687" s="6" t="str">
        <f>IFERROR(__xludf.DUMMYFUNCTION("""COMPUTED_VALUE"""),"https://eitaa.com/qbh_zarch")</f>
        <v>https://eitaa.com/qbh_zarch</v>
      </c>
      <c r="K6687" s="5"/>
      <c r="L6687" s="5"/>
      <c r="M6687" s="5"/>
      <c r="N6687" s="5"/>
      <c r="O6687" s="5"/>
      <c r="P6687" s="5"/>
      <c r="Q6687" s="5"/>
      <c r="R6687" s="5"/>
      <c r="S6687" s="5"/>
    </row>
    <row r="6688">
      <c r="A6688" s="5"/>
      <c r="B6688" s="5" t="str">
        <f>IFERROR(__xludf.DUMMYFUNCTION("""COMPUTED_VALUE"""),"حسینیه")</f>
        <v>حسینیه</v>
      </c>
      <c r="C6688" s="5" t="str">
        <f>IFERROR(__xludf.DUMMYFUNCTION("""COMPUTED_VALUE"""),"زارچ")</f>
        <v>زارچ</v>
      </c>
      <c r="D6688" s="5" t="str">
        <f>IFERROR(__xludf.DUMMYFUNCTION("""COMPUTED_VALUE"""),"یزد")</f>
        <v>یزد</v>
      </c>
      <c r="E6688" s="5" t="str">
        <f>IFERROR(__xludf.DUMMYFUNCTION("""COMPUTED_VALUE"""),"زارچ")</f>
        <v>زارچ</v>
      </c>
      <c r="F6688" s="5"/>
      <c r="G6688" s="5"/>
      <c r="H6688" s="6" t="str">
        <f>IFERROR(__xludf.DUMMYFUNCTION("""COMPUTED_VALUE"""),"https://www.instagram.com/zarch_husseiniyeh_yazd/")</f>
        <v>https://www.instagram.com/zarch_husseiniyeh_yazd/</v>
      </c>
      <c r="I6688" s="5"/>
      <c r="J6688" s="5"/>
      <c r="K6688" s="5"/>
      <c r="L6688" s="5"/>
      <c r="M6688" s="5"/>
      <c r="N6688" s="5"/>
      <c r="O6688" s="5"/>
      <c r="P6688" s="5"/>
      <c r="Q6688" s="5"/>
      <c r="R6688" s="5"/>
      <c r="S6688" s="5"/>
    </row>
    <row r="6689">
      <c r="A6689" s="5"/>
      <c r="B6689" s="5" t="str">
        <f>IFERROR(__xludf.DUMMYFUNCTION("""COMPUTED_VALUE"""),"هیأت")</f>
        <v>هیأت</v>
      </c>
      <c r="C6689" s="5" t="str">
        <f>IFERROR(__xludf.DUMMYFUNCTION("""COMPUTED_VALUE"""),"تعزیه خوانی و عزاداری علقمه")</f>
        <v>تعزیه خوانی و عزاداری علقمه</v>
      </c>
      <c r="D6689" s="5" t="str">
        <f>IFERROR(__xludf.DUMMYFUNCTION("""COMPUTED_VALUE"""),"یزد")</f>
        <v>یزد</v>
      </c>
      <c r="E6689" s="5" t="str">
        <f>IFERROR(__xludf.DUMMYFUNCTION("""COMPUTED_VALUE"""),"زارچ")</f>
        <v>زارچ</v>
      </c>
      <c r="F6689" s="5"/>
      <c r="G6689" s="5"/>
      <c r="H6689" s="6" t="str">
        <f>IFERROR(__xludf.DUMMYFUNCTION("""COMPUTED_VALUE"""),"https://www.instagram.com/taziyeh_alghame_zarch/")</f>
        <v>https://www.instagram.com/taziyeh_alghame_zarch/</v>
      </c>
      <c r="I6689" s="5"/>
      <c r="J6689" s="5"/>
      <c r="K6689" s="5"/>
      <c r="L6689" s="5"/>
      <c r="M6689" s="5"/>
      <c r="N6689" s="5"/>
      <c r="O6689" s="5"/>
      <c r="P6689" s="5"/>
      <c r="Q6689" s="5"/>
      <c r="R6689" s="5"/>
      <c r="S6689" s="5"/>
    </row>
    <row r="6690">
      <c r="A6690" s="5"/>
      <c r="B6690" s="5" t="str">
        <f>IFERROR(__xludf.DUMMYFUNCTION("""COMPUTED_VALUE"""),"هیأت")</f>
        <v>هیأت</v>
      </c>
      <c r="C6690" s="5" t="str">
        <f>IFERROR(__xludf.DUMMYFUNCTION("""COMPUTED_VALUE"""),"نینوا")</f>
        <v>نینوا</v>
      </c>
      <c r="D6690" s="5" t="str">
        <f>IFERROR(__xludf.DUMMYFUNCTION("""COMPUTED_VALUE"""),"یزد")</f>
        <v>یزد</v>
      </c>
      <c r="E6690" s="5" t="str">
        <f>IFERROR(__xludf.DUMMYFUNCTION("""COMPUTED_VALUE"""),"زارچ")</f>
        <v>زارچ</v>
      </c>
      <c r="F6690" s="5"/>
      <c r="G6690" s="5"/>
      <c r="H6690" s="6" t="str">
        <f>IFERROR(__xludf.DUMMYFUNCTION("""COMPUTED_VALUE"""),"https://www.instagram.com/neynava.zarch.yazd/")</f>
        <v>https://www.instagram.com/neynava.zarch.yazd/</v>
      </c>
      <c r="I6690" s="6" t="str">
        <f>IFERROR(__xludf.DUMMYFUNCTION("""COMPUTED_VALUE"""),"https://t.me/neynava_zarch")</f>
        <v>https://t.me/neynava_zarch</v>
      </c>
      <c r="J6690" s="5"/>
      <c r="K6690" s="5"/>
      <c r="L6690" s="5"/>
      <c r="M6690" s="5"/>
      <c r="N6690" s="5"/>
      <c r="O6690" s="5"/>
      <c r="P6690" s="5"/>
      <c r="Q6690" s="5"/>
      <c r="R6690" s="5"/>
      <c r="S6690" s="5"/>
    </row>
    <row r="6691">
      <c r="A6691" s="5"/>
      <c r="B6691" s="5" t="str">
        <f>IFERROR(__xludf.DUMMYFUNCTION("""COMPUTED_VALUE"""),"هیأت")</f>
        <v>هیأت</v>
      </c>
      <c r="C6691" s="5" t="str">
        <f>IFERROR(__xludf.DUMMYFUNCTION("""COMPUTED_VALUE"""),"محبین الزهرا(س)")</f>
        <v>محبین الزهرا(س)</v>
      </c>
      <c r="D6691" s="5" t="str">
        <f>IFERROR(__xludf.DUMMYFUNCTION("""COMPUTED_VALUE"""),"یزد")</f>
        <v>یزد</v>
      </c>
      <c r="E6691" s="5" t="str">
        <f>IFERROR(__xludf.DUMMYFUNCTION("""COMPUTED_VALUE"""),"زارچ")</f>
        <v>زارچ</v>
      </c>
      <c r="F6691" s="5"/>
      <c r="G6691" s="5"/>
      <c r="H6691" s="6" t="str">
        <f>IFERROR(__xludf.DUMMYFUNCTION("""COMPUTED_VALUE"""),"https://www.instagram.com/mohebbin213/")</f>
        <v>https://www.instagram.com/mohebbin213/</v>
      </c>
      <c r="I6691" s="6" t="str">
        <f>IFERROR(__xludf.DUMMYFUNCTION("""COMPUTED_VALUE"""),"https://t.me/mohebbin213")</f>
        <v>https://t.me/mohebbin213</v>
      </c>
      <c r="J6691" s="6" t="str">
        <f>IFERROR(__xludf.DUMMYFUNCTION("""COMPUTED_VALUE"""),"https://eitaa.com/mohebbine213")</f>
        <v>https://eitaa.com/mohebbine213</v>
      </c>
      <c r="K6691" s="5"/>
      <c r="L6691" s="5"/>
      <c r="M6691" s="5"/>
      <c r="N6691" s="5"/>
      <c r="O6691" s="5"/>
      <c r="P6691" s="5"/>
      <c r="Q6691" s="5"/>
      <c r="R6691" s="5"/>
      <c r="S6691" s="5"/>
    </row>
    <row r="6692">
      <c r="A6692" s="5"/>
      <c r="B6692" s="5" t="str">
        <f>IFERROR(__xludf.DUMMYFUNCTION("""COMPUTED_VALUE"""),"هیأت")</f>
        <v>هیأت</v>
      </c>
      <c r="C6692" s="5" t="str">
        <f>IFERROR(__xludf.DUMMYFUNCTION("""COMPUTED_VALUE"""),"کفن‌پوشان‌‌")</f>
        <v>کفن‌پوشان‌‌</v>
      </c>
      <c r="D6692" s="5" t="str">
        <f>IFERROR(__xludf.DUMMYFUNCTION("""COMPUTED_VALUE"""),"یزد")</f>
        <v>یزد</v>
      </c>
      <c r="E6692" s="5" t="str">
        <f>IFERROR(__xludf.DUMMYFUNCTION("""COMPUTED_VALUE"""),"زارچ")</f>
        <v>زارچ</v>
      </c>
      <c r="F6692" s="5"/>
      <c r="G6692" s="5"/>
      <c r="H6692" s="6" t="str">
        <f>IFERROR(__xludf.DUMMYFUNCTION("""COMPUTED_VALUE"""),"https://www.instagram.com/shrouded_in_zarch/")</f>
        <v>https://www.instagram.com/shrouded_in_zarch/</v>
      </c>
      <c r="I6692" s="5"/>
      <c r="J6692" s="5"/>
      <c r="K6692" s="5"/>
      <c r="L6692" s="5"/>
      <c r="M6692" s="5"/>
      <c r="N6692" s="5"/>
      <c r="O6692" s="5"/>
      <c r="P6692" s="5"/>
      <c r="Q6692" s="5"/>
      <c r="R6692" s="5"/>
      <c r="S6692" s="5"/>
    </row>
    <row r="6693">
      <c r="A6693" s="5"/>
      <c r="B6693" s="5" t="str">
        <f>IFERROR(__xludf.DUMMYFUNCTION("""COMPUTED_VALUE"""),"تکـیه")</f>
        <v>تکـیه</v>
      </c>
      <c r="C6693" s="5" t="str">
        <f>IFERROR(__xludf.DUMMYFUNCTION("""COMPUTED_VALUE"""),"حضرت ابوالفضل‌(ع)")</f>
        <v>حضرت ابوالفضل‌(ع)</v>
      </c>
      <c r="D6693" s="5" t="str">
        <f>IFERROR(__xludf.DUMMYFUNCTION("""COMPUTED_VALUE"""),"یزد")</f>
        <v>یزد</v>
      </c>
      <c r="E6693" s="5" t="str">
        <f>IFERROR(__xludf.DUMMYFUNCTION("""COMPUTED_VALUE"""),"زارچ")</f>
        <v>زارچ</v>
      </c>
      <c r="F6693" s="5"/>
      <c r="G6693" s="5"/>
      <c r="H6693" s="6" t="str">
        <f>IFERROR(__xludf.DUMMYFUNCTION("""COMPUTED_VALUE"""),"https://www.instagram.com/takiye_hazrat_abalfazl/")</f>
        <v>https://www.instagram.com/takiye_hazrat_abalfazl/</v>
      </c>
      <c r="I6693" s="5"/>
      <c r="J6693" s="5"/>
      <c r="K6693" s="5"/>
      <c r="L6693" s="5"/>
      <c r="M6693" s="5"/>
      <c r="N6693" s="5"/>
      <c r="O6693" s="5"/>
      <c r="P6693" s="5"/>
      <c r="Q6693" s="5"/>
      <c r="R6693" s="5"/>
      <c r="S6693" s="5"/>
    </row>
    <row r="6694">
      <c r="A6694" s="5">
        <f>IFERROR(__xludf.DUMMYFUNCTION("""COMPUTED_VALUE"""),27094.0)</f>
        <v>27094</v>
      </c>
      <c r="B6694" s="5" t="str">
        <f>IFERROR(__xludf.DUMMYFUNCTION("""COMPUTED_VALUE"""),"هیأت")</f>
        <v>هیأت</v>
      </c>
      <c r="C6694" s="5" t="str">
        <f>IFERROR(__xludf.DUMMYFUNCTION("""COMPUTED_VALUE"""),"ابوالفضلی")</f>
        <v>ابوالفضلی</v>
      </c>
      <c r="D6694" s="5" t="str">
        <f>IFERROR(__xludf.DUMMYFUNCTION("""COMPUTED_VALUE"""),"یزد")</f>
        <v>یزد</v>
      </c>
      <c r="E6694" s="5" t="str">
        <f>IFERROR(__xludf.DUMMYFUNCTION("""COMPUTED_VALUE"""),"طبس")</f>
        <v>طبس</v>
      </c>
      <c r="F6694" s="5"/>
      <c r="G6694" s="5"/>
      <c r="H6694" s="6" t="str">
        <f>IFERROR(__xludf.DUMMYFUNCTION("""COMPUTED_VALUE"""),"https://www.instagram.com/abolfazlitabas")</f>
        <v>https://www.instagram.com/abolfazlitabas</v>
      </c>
      <c r="I6694" s="5"/>
      <c r="J6694" s="5"/>
      <c r="K6694" s="5"/>
      <c r="L6694" s="5"/>
      <c r="M6694" s="5"/>
      <c r="N6694" s="5"/>
      <c r="O6694" s="5"/>
      <c r="P6694" s="5"/>
      <c r="Q6694" s="5"/>
      <c r="R6694" s="5"/>
      <c r="S6694" s="5"/>
    </row>
    <row r="6695">
      <c r="A6695" s="5">
        <f>IFERROR(__xludf.DUMMYFUNCTION("""COMPUTED_VALUE"""),27095.0)</f>
        <v>27095</v>
      </c>
      <c r="B6695" s="5" t="str">
        <f>IFERROR(__xludf.DUMMYFUNCTION("""COMPUTED_VALUE"""),"هیأت")</f>
        <v>هیأت</v>
      </c>
      <c r="C6695" s="5" t="str">
        <f>IFERROR(__xludf.DUMMYFUNCTION("""COMPUTED_VALUE"""),"حسینی")</f>
        <v>حسینی</v>
      </c>
      <c r="D6695" s="5" t="str">
        <f>IFERROR(__xludf.DUMMYFUNCTION("""COMPUTED_VALUE"""),"یزد")</f>
        <v>یزد</v>
      </c>
      <c r="E6695" s="5" t="str">
        <f>IFERROR(__xludf.DUMMYFUNCTION("""COMPUTED_VALUE"""),"طبس")</f>
        <v>طبس</v>
      </c>
      <c r="F6695" s="5"/>
      <c r="G6695" s="5"/>
      <c r="H6695" s="6" t="str">
        <f>IFERROR(__xludf.DUMMYFUNCTION("""COMPUTED_VALUE"""),"https://www.instagram.com/heyathoseynitabas")</f>
        <v>https://www.instagram.com/heyathoseynitabas</v>
      </c>
      <c r="I6695" s="6" t="str">
        <f>IFERROR(__xludf.DUMMYFUNCTION("""COMPUTED_VALUE"""),"https://t.me/s/heyathoseynitabas/2552")</f>
        <v>https://t.me/s/heyathoseynitabas/2552</v>
      </c>
      <c r="J6695" s="5"/>
      <c r="K6695" s="5"/>
      <c r="L6695" s="5"/>
      <c r="M6695" s="5"/>
      <c r="N6695" s="5"/>
      <c r="O6695" s="5"/>
      <c r="P6695" s="5"/>
      <c r="Q6695" s="5"/>
      <c r="R6695" s="5"/>
      <c r="S6695" s="5"/>
    </row>
    <row r="6696">
      <c r="A6696" s="5">
        <f>IFERROR(__xludf.DUMMYFUNCTION("""COMPUTED_VALUE"""),27096.0)</f>
        <v>27096</v>
      </c>
      <c r="B6696" s="5" t="str">
        <f>IFERROR(__xludf.DUMMYFUNCTION("""COMPUTED_VALUE"""),"هیأت")</f>
        <v>هیأت</v>
      </c>
      <c r="C6696" s="5" t="str">
        <f>IFERROR(__xludf.DUMMYFUNCTION("""COMPUTED_VALUE"""),"صاحب الزمانی")</f>
        <v>صاحب الزمانی</v>
      </c>
      <c r="D6696" s="5" t="str">
        <f>IFERROR(__xludf.DUMMYFUNCTION("""COMPUTED_VALUE"""),"یزد")</f>
        <v>یزد</v>
      </c>
      <c r="E6696" s="5" t="str">
        <f>IFERROR(__xludf.DUMMYFUNCTION("""COMPUTED_VALUE"""),"طبس")</f>
        <v>طبس</v>
      </c>
      <c r="F6696" s="5"/>
      <c r="G6696" s="5"/>
      <c r="H6696" s="6" t="str">
        <f>IFERROR(__xludf.DUMMYFUNCTION("""COMPUTED_VALUE"""),"https://www.instagram.com/heyat_sahebazamani_tabas")</f>
        <v>https://www.instagram.com/heyat_sahebazamani_tabas</v>
      </c>
      <c r="I6696" s="6" t="str">
        <f>IFERROR(__xludf.DUMMYFUNCTION("""COMPUTED_VALUE"""),"https://t.me/sahebazamanitabas")</f>
        <v>https://t.me/sahebazamanitabas</v>
      </c>
      <c r="J6696" s="5"/>
      <c r="K6696" s="5"/>
      <c r="L6696" s="5"/>
      <c r="M6696" s="5"/>
      <c r="N6696" s="5"/>
      <c r="O6696" s="5"/>
      <c r="P6696" s="5"/>
      <c r="Q6696" s="5"/>
      <c r="R6696" s="5"/>
      <c r="S6696" s="5"/>
    </row>
    <row r="6697">
      <c r="A6697" s="5">
        <f>IFERROR(__xludf.DUMMYFUNCTION("""COMPUTED_VALUE"""),26179.0)</f>
        <v>26179</v>
      </c>
      <c r="B6697" s="5" t="str">
        <f>IFERROR(__xludf.DUMMYFUNCTION("""COMPUTED_VALUE"""),"هیأت")</f>
        <v>هیأت</v>
      </c>
      <c r="C6697" s="5" t="str">
        <f>IFERROR(__xludf.DUMMYFUNCTION("""COMPUTED_VALUE"""),"جوانان جوادالائمه (ع)")</f>
        <v>جوانان جوادالائمه (ع)</v>
      </c>
      <c r="D6697" s="5" t="str">
        <f>IFERROR(__xludf.DUMMYFUNCTION("""COMPUTED_VALUE"""),"یزد")</f>
        <v>یزد</v>
      </c>
      <c r="E6697" s="5" t="str">
        <f>IFERROR(__xludf.DUMMYFUNCTION("""COMPUTED_VALUE"""),"مروست")</f>
        <v>مروست</v>
      </c>
      <c r="F6697" s="5"/>
      <c r="G6697" s="5"/>
      <c r="H6697" s="5"/>
      <c r="I6697" s="5"/>
      <c r="J6697" s="6" t="str">
        <f>IFERROR(__xludf.DUMMYFUNCTION("""COMPUTED_VALUE"""),"https://eitaa.com/esteghamaii")</f>
        <v>https://eitaa.com/esteghamaii</v>
      </c>
      <c r="K6697" s="5"/>
      <c r="L6697" s="5"/>
      <c r="M6697" s="5"/>
      <c r="N6697" s="5"/>
      <c r="O6697" s="5"/>
      <c r="P6697" s="5"/>
      <c r="Q6697" s="5"/>
      <c r="R6697" s="5"/>
      <c r="S6697" s="5"/>
    </row>
    <row r="6698">
      <c r="A6698" s="5">
        <f>IFERROR(__xludf.DUMMYFUNCTION("""COMPUTED_VALUE"""),31294.0)</f>
        <v>31294</v>
      </c>
      <c r="B6698" s="5" t="str">
        <f>IFERROR(__xludf.DUMMYFUNCTION("""COMPUTED_VALUE"""),"هیأت")</f>
        <v>هیأت</v>
      </c>
      <c r="C6698" s="5" t="str">
        <f>IFERROR(__xludf.DUMMYFUNCTION("""COMPUTED_VALUE"""),"تعزیه سالارشهیدان (ع)")</f>
        <v>تعزیه سالارشهیدان (ع)</v>
      </c>
      <c r="D6698" s="5" t="str">
        <f>IFERROR(__xludf.DUMMYFUNCTION("""COMPUTED_VALUE"""),"یزد")</f>
        <v>یزد</v>
      </c>
      <c r="E6698" s="5" t="str">
        <f>IFERROR(__xludf.DUMMYFUNCTION("""COMPUTED_VALUE"""),"مروست")</f>
        <v>مروست</v>
      </c>
      <c r="F6698" s="5"/>
      <c r="G6698" s="5">
        <f>IFERROR(__xludf.DUMMYFUNCTION("""COMPUTED_VALUE"""),1.0)</f>
        <v>1</v>
      </c>
      <c r="H6698" s="6" t="str">
        <f>IFERROR(__xludf.DUMMYFUNCTION("""COMPUTED_VALUE"""),"https://www.instagram.com/taziye_salare_shahidan_marvast")</f>
        <v>https://www.instagram.com/taziye_salare_shahidan_marvast</v>
      </c>
      <c r="I6698" s="5"/>
      <c r="J6698" s="5"/>
      <c r="K6698" s="5"/>
      <c r="L6698" s="5"/>
      <c r="M6698" s="5"/>
      <c r="N6698" s="5"/>
      <c r="O6698" s="5"/>
      <c r="P6698" s="5"/>
      <c r="Q6698" s="5"/>
      <c r="R6698" s="5"/>
      <c r="S6698" s="5"/>
    </row>
    <row r="6699">
      <c r="A6699" s="5"/>
      <c r="B6699" s="5" t="str">
        <f>IFERROR(__xludf.DUMMYFUNCTION("""COMPUTED_VALUE"""),"هیأت")</f>
        <v>هیأت</v>
      </c>
      <c r="C6699" s="5" t="str">
        <f>IFERROR(__xludf.DUMMYFUNCTION("""COMPUTED_VALUE"""),"منتظران‌حضرت‌مهدی‌")</f>
        <v>منتظران‌حضرت‌مهدی‌</v>
      </c>
      <c r="D6699" s="5" t="str">
        <f>IFERROR(__xludf.DUMMYFUNCTION("""COMPUTED_VALUE"""),"یزد")</f>
        <v>یزد</v>
      </c>
      <c r="E6699" s="5" t="str">
        <f>IFERROR(__xludf.DUMMYFUNCTION("""COMPUTED_VALUE"""),"مروست")</f>
        <v>مروست</v>
      </c>
      <c r="F6699" s="5"/>
      <c r="G6699" s="5">
        <f>IFERROR(__xludf.DUMMYFUNCTION("""COMPUTED_VALUE"""),1.0)</f>
        <v>1</v>
      </c>
      <c r="H6699" s="6" t="str">
        <f>IFERROR(__xludf.DUMMYFUNCTION("""COMPUTED_VALUE"""),"https://www.instagram.com/montazaran_mahdi_marwast/")</f>
        <v>https://www.instagram.com/montazaran_mahdi_marwast/</v>
      </c>
      <c r="I6699" s="5"/>
      <c r="J6699" s="5"/>
      <c r="K6699" s="5"/>
      <c r="L6699" s="5"/>
      <c r="M6699" s="5"/>
      <c r="N6699" s="5"/>
      <c r="O6699" s="5"/>
      <c r="P6699" s="5"/>
      <c r="Q6699" s="5"/>
      <c r="R6699" s="5"/>
      <c r="S6699" s="5"/>
    </row>
    <row r="6700">
      <c r="A6700" s="5">
        <f>IFERROR(__xludf.DUMMYFUNCTION("""COMPUTED_VALUE"""),19693.0)</f>
        <v>19693</v>
      </c>
      <c r="B6700" s="5" t="str">
        <f>IFERROR(__xludf.DUMMYFUNCTION("""COMPUTED_VALUE"""),"هیأت")</f>
        <v>هیأت</v>
      </c>
      <c r="C6700" s="5" t="str">
        <f>IFERROR(__xludf.DUMMYFUNCTION("""COMPUTED_VALUE"""),"علویون مهرآباد")</f>
        <v>علویون مهرآباد</v>
      </c>
      <c r="D6700" s="5" t="str">
        <f>IFERROR(__xludf.DUMMYFUNCTION("""COMPUTED_VALUE"""),"یزد")</f>
        <v>یزد</v>
      </c>
      <c r="E6700" s="5" t="str">
        <f>IFERROR(__xludf.DUMMYFUNCTION("""COMPUTED_VALUE"""),"مهردشت")</f>
        <v>مهردشت</v>
      </c>
      <c r="F6700" s="5"/>
      <c r="G6700" s="5"/>
      <c r="H6700" s="6" t="str">
        <f>IFERROR(__xludf.DUMMYFUNCTION("""COMPUTED_VALUE"""),"https://www.instagram.com/alavioon_mehrdasht/")</f>
        <v>https://www.instagram.com/alavioon_mehrdasht/</v>
      </c>
      <c r="I6700" s="5"/>
      <c r="J6700" s="6" t="str">
        <f>IFERROR(__xludf.DUMMYFUNCTION("""COMPUTED_VALUE"""),"eitaa.com/alavioon_mehrdasht")</f>
        <v>eitaa.com/alavioon_mehrdasht</v>
      </c>
      <c r="K6700" s="5"/>
      <c r="L6700" s="5"/>
      <c r="M6700" s="5"/>
      <c r="N6700" s="5"/>
      <c r="O6700" s="5"/>
      <c r="P6700" s="5"/>
      <c r="Q6700" s="5"/>
      <c r="R6700" s="5"/>
      <c r="S6700" s="5"/>
    </row>
    <row r="6701">
      <c r="A6701" s="5">
        <f>IFERROR(__xludf.DUMMYFUNCTION("""COMPUTED_VALUE"""),16863.0)</f>
        <v>16863</v>
      </c>
      <c r="B6701" s="5" t="str">
        <f>IFERROR(__xludf.DUMMYFUNCTION("""COMPUTED_VALUE"""),"مسجد")</f>
        <v>مسجد</v>
      </c>
      <c r="C6701" s="5" t="str">
        <f>IFERROR(__xludf.DUMMYFUNCTION("""COMPUTED_VALUE""")," الرسول(ص)")</f>
        <v> الرسول(ص)</v>
      </c>
      <c r="D6701" s="5" t="str">
        <f>IFERROR(__xludf.DUMMYFUNCTION("""COMPUTED_VALUE"""),"یزد")</f>
        <v>یزد</v>
      </c>
      <c r="E6701" s="5" t="str">
        <f>IFERROR(__xludf.DUMMYFUNCTION("""COMPUTED_VALUE"""),"مهریز")</f>
        <v>مهریز</v>
      </c>
      <c r="F6701" s="5"/>
      <c r="G6701" s="5">
        <f>IFERROR(__xludf.DUMMYFUNCTION("""COMPUTED_VALUE"""),1.0)</f>
        <v>1</v>
      </c>
      <c r="H6701" s="6" t="str">
        <f>IFERROR(__xludf.DUMMYFUNCTION("""COMPUTED_VALUE"""),"https://www.instagram.com/masjed_rasol_mehriz")</f>
        <v>https://www.instagram.com/masjed_rasol_mehriz</v>
      </c>
      <c r="I6701" s="5"/>
      <c r="J6701" s="5"/>
      <c r="K6701" s="5"/>
      <c r="L6701" s="5"/>
      <c r="M6701" s="5"/>
      <c r="N6701" s="5"/>
      <c r="O6701" s="5"/>
      <c r="P6701" s="5"/>
      <c r="Q6701" s="5"/>
      <c r="R6701" s="5"/>
      <c r="S6701" s="5"/>
    </row>
    <row r="6702">
      <c r="A6702" s="5">
        <f>IFERROR(__xludf.DUMMYFUNCTION("""COMPUTED_VALUE"""),16869.0)</f>
        <v>16869</v>
      </c>
      <c r="B6702" s="5" t="str">
        <f>IFERROR(__xludf.DUMMYFUNCTION("""COMPUTED_VALUE"""),"هیأت")</f>
        <v>هیأت</v>
      </c>
      <c r="C6702" s="5" t="str">
        <f>IFERROR(__xludf.DUMMYFUNCTION("""COMPUTED_VALUE"""),"قمربنی هاشم(ع)")</f>
        <v>قمربنی هاشم(ع)</v>
      </c>
      <c r="D6702" s="5" t="str">
        <f>IFERROR(__xludf.DUMMYFUNCTION("""COMPUTED_VALUE"""),"یزد")</f>
        <v>یزد</v>
      </c>
      <c r="E6702" s="5" t="str">
        <f>IFERROR(__xludf.DUMMYFUNCTION("""COMPUTED_VALUE"""),"مهریز")</f>
        <v>مهریز</v>
      </c>
      <c r="F6702" s="5"/>
      <c r="G6702" s="5"/>
      <c r="H6702" s="6" t="str">
        <f>IFERROR(__xludf.DUMMYFUNCTION("""COMPUTED_VALUE"""),"https://www.instagram.com/h_ghamar_bani_hashem")</f>
        <v>https://www.instagram.com/h_ghamar_bani_hashem</v>
      </c>
      <c r="I6702" s="5"/>
      <c r="J6702" s="5"/>
      <c r="K6702" s="5"/>
      <c r="L6702" s="5"/>
      <c r="M6702" s="5"/>
      <c r="N6702" s="5"/>
      <c r="O6702" s="5"/>
      <c r="P6702" s="5"/>
      <c r="Q6702" s="5"/>
      <c r="R6702" s="5"/>
      <c r="S6702" s="5"/>
    </row>
    <row r="6703">
      <c r="A6703" s="5">
        <f>IFERROR(__xludf.DUMMYFUNCTION("""COMPUTED_VALUE"""),16873.0)</f>
        <v>16873</v>
      </c>
      <c r="B6703" s="5" t="str">
        <f>IFERROR(__xludf.DUMMYFUNCTION("""COMPUTED_VALUE"""),"هیأت")</f>
        <v>هیأت</v>
      </c>
      <c r="C6703" s="5" t="str">
        <f>IFERROR(__xludf.DUMMYFUNCTION("""COMPUTED_VALUE"""),"حضرت علی اصغر(ع)")</f>
        <v>حضرت علی اصغر(ع)</v>
      </c>
      <c r="D6703" s="5" t="str">
        <f>IFERROR(__xludf.DUMMYFUNCTION("""COMPUTED_VALUE"""),"یزد")</f>
        <v>یزد</v>
      </c>
      <c r="E6703" s="5" t="str">
        <f>IFERROR(__xludf.DUMMYFUNCTION("""COMPUTED_VALUE"""),"مهریز")</f>
        <v>مهریز</v>
      </c>
      <c r="F6703" s="5"/>
      <c r="G6703" s="5"/>
      <c r="H6703" s="6" t="str">
        <f>IFERROR(__xludf.DUMMYFUNCTION("""COMPUTED_VALUE"""),"https://www.instagram.com/aliasghar.mehriz")</f>
        <v>https://www.instagram.com/aliasghar.mehriz</v>
      </c>
      <c r="I6703" s="5"/>
      <c r="J6703" s="6" t="str">
        <f>IFERROR(__xludf.DUMMYFUNCTION("""COMPUTED_VALUE"""),"https://eitaa.com/aliasghar_mehriz")</f>
        <v>https://eitaa.com/aliasghar_mehriz</v>
      </c>
      <c r="K6703" s="5"/>
      <c r="L6703" s="5"/>
      <c r="M6703" s="5"/>
      <c r="N6703" s="5"/>
      <c r="O6703" s="5"/>
      <c r="P6703" s="5"/>
      <c r="Q6703" s="5"/>
      <c r="R6703" s="5"/>
      <c r="S6703" s="5"/>
    </row>
    <row r="6704">
      <c r="A6704" s="5">
        <f>IFERROR(__xludf.DUMMYFUNCTION("""COMPUTED_VALUE"""),17034.0)</f>
        <v>17034</v>
      </c>
      <c r="B6704" s="5" t="str">
        <f>IFERROR(__xludf.DUMMYFUNCTION("""COMPUTED_VALUE"""),"هیأت")</f>
        <v>هیأت</v>
      </c>
      <c r="C6704" s="5" t="str">
        <f>IFERROR(__xludf.DUMMYFUNCTION("""COMPUTED_VALUE"""),"روضه الشهدا")</f>
        <v>روضه الشهدا</v>
      </c>
      <c r="D6704" s="5" t="str">
        <f>IFERROR(__xludf.DUMMYFUNCTION("""COMPUTED_VALUE"""),"یزد")</f>
        <v>یزد</v>
      </c>
      <c r="E6704" s="5" t="str">
        <f>IFERROR(__xludf.DUMMYFUNCTION("""COMPUTED_VALUE"""),"مهریز")</f>
        <v>مهریز</v>
      </c>
      <c r="F6704" s="5"/>
      <c r="G6704" s="5"/>
      <c r="H6704" s="6" t="str">
        <f>IFERROR(__xludf.DUMMYFUNCTION("""COMPUTED_VALUE"""),"https://www.instagram.com/rozatolshohada.live")</f>
        <v>https://www.instagram.com/rozatolshohada.live</v>
      </c>
      <c r="I6704" s="5"/>
      <c r="J6704" s="6" t="str">
        <f>IFERROR(__xludf.DUMMYFUNCTION("""COMPUTED_VALUE"""),"https://eitaa.com/rozatolshohadamehriz")</f>
        <v>https://eitaa.com/rozatolshohadamehriz</v>
      </c>
      <c r="K6704" s="5" t="str">
        <f>IFERROR(__xludf.DUMMYFUNCTION("""COMPUTED_VALUE"""),"-")</f>
        <v>-</v>
      </c>
      <c r="L6704" s="6" t="str">
        <f>IFERROR(__xludf.DUMMYFUNCTION("""COMPUTED_VALUE"""),"rozatolshohada.ir")</f>
        <v>rozatolshohada.ir</v>
      </c>
      <c r="M6704" s="5"/>
      <c r="N6704" s="5"/>
      <c r="O6704" s="5"/>
      <c r="P6704" s="5"/>
      <c r="Q6704" s="5"/>
      <c r="R6704" s="5"/>
      <c r="S6704" s="5"/>
    </row>
    <row r="6705">
      <c r="A6705" s="5">
        <f>IFERROR(__xludf.DUMMYFUNCTION("""COMPUTED_VALUE"""),17108.0)</f>
        <v>17108</v>
      </c>
      <c r="B6705" s="5" t="str">
        <f>IFERROR(__xludf.DUMMYFUNCTION("""COMPUTED_VALUE"""),"هیأت")</f>
        <v>هیأت</v>
      </c>
      <c r="C6705" s="5" t="str">
        <f>IFERROR(__xludf.DUMMYFUNCTION("""COMPUTED_VALUE"""),"انصارالحیدر (ع)")</f>
        <v>انصارالحیدر (ع)</v>
      </c>
      <c r="D6705" s="5" t="str">
        <f>IFERROR(__xludf.DUMMYFUNCTION("""COMPUTED_VALUE"""),"یزد")</f>
        <v>یزد</v>
      </c>
      <c r="E6705" s="5" t="str">
        <f>IFERROR(__xludf.DUMMYFUNCTION("""COMPUTED_VALUE"""),"مهریز")</f>
        <v>مهریز</v>
      </c>
      <c r="F6705" s="5"/>
      <c r="G6705" s="5"/>
      <c r="H6705" s="6" t="str">
        <f>IFERROR(__xludf.DUMMYFUNCTION("""COMPUTED_VALUE"""),"https://www.instagram.com/ansarolheidar_ir")</f>
        <v>https://www.instagram.com/ansarolheidar_ir</v>
      </c>
      <c r="I6705" s="5"/>
      <c r="J6705" s="6" t="str">
        <f>IFERROR(__xludf.DUMMYFUNCTION("""COMPUTED_VALUE"""),"https://eitaa.com/ansarolheidar_ir")</f>
        <v>https://eitaa.com/ansarolheidar_ir</v>
      </c>
      <c r="K6705" s="5"/>
      <c r="L6705" s="5"/>
      <c r="M6705" s="5"/>
      <c r="N6705" s="5"/>
      <c r="O6705" s="5"/>
      <c r="P6705" s="5"/>
      <c r="Q6705" s="5"/>
      <c r="R6705" s="5"/>
      <c r="S6705" s="5"/>
    </row>
    <row r="6706">
      <c r="A6706" s="5">
        <f>IFERROR(__xludf.DUMMYFUNCTION("""COMPUTED_VALUE"""),17110.0)</f>
        <v>17110</v>
      </c>
      <c r="B6706" s="5" t="str">
        <f>IFERROR(__xludf.DUMMYFUNCTION("""COMPUTED_VALUE"""),"هیأت")</f>
        <v>هیأت</v>
      </c>
      <c r="C6706" s="5" t="str">
        <f>IFERROR(__xludf.DUMMYFUNCTION("""COMPUTED_VALUE"""),"انصارالزهرا (س)")</f>
        <v>انصارالزهرا (س)</v>
      </c>
      <c r="D6706" s="5" t="str">
        <f>IFERROR(__xludf.DUMMYFUNCTION("""COMPUTED_VALUE"""),"یزد")</f>
        <v>یزد</v>
      </c>
      <c r="E6706" s="5" t="str">
        <f>IFERROR(__xludf.DUMMYFUNCTION("""COMPUTED_VALUE"""),"مهریز")</f>
        <v>مهریز</v>
      </c>
      <c r="F6706" s="5"/>
      <c r="G6706" s="5"/>
      <c r="H6706" s="6" t="str">
        <f>IFERROR(__xludf.DUMMYFUNCTION("""COMPUTED_VALUE"""),"https://instagram.com/Ansarmehriz")</f>
        <v>https://instagram.com/Ansarmehriz</v>
      </c>
      <c r="I6706" s="5"/>
      <c r="J6706" s="6" t="str">
        <f>IFERROR(__xludf.DUMMYFUNCTION("""COMPUTED_VALUE"""),"https://eitaa.com/ansarmehriz")</f>
        <v>https://eitaa.com/ansarmehriz</v>
      </c>
      <c r="K6706" s="5"/>
      <c r="L6706" s="5"/>
      <c r="M6706" s="5"/>
      <c r="N6706" s="5"/>
      <c r="O6706" s="5"/>
      <c r="P6706" s="5"/>
      <c r="Q6706" s="5"/>
      <c r="R6706" s="5"/>
      <c r="S6706" s="5"/>
    </row>
    <row r="6707">
      <c r="A6707" s="5">
        <f>IFERROR(__xludf.DUMMYFUNCTION("""COMPUTED_VALUE"""),17125.0)</f>
        <v>17125</v>
      </c>
      <c r="B6707" s="5" t="str">
        <f>IFERROR(__xludf.DUMMYFUNCTION("""COMPUTED_VALUE"""),"هیأت")</f>
        <v>هیأت</v>
      </c>
      <c r="C6707" s="5" t="str">
        <f>IFERROR(__xludf.DUMMYFUNCTION("""COMPUTED_VALUE"""),"علی بن ابیطالب (ع)")</f>
        <v>علی بن ابیطالب (ع)</v>
      </c>
      <c r="D6707" s="5" t="str">
        <f>IFERROR(__xludf.DUMMYFUNCTION("""COMPUTED_VALUE"""),"یزد")</f>
        <v>یزد</v>
      </c>
      <c r="E6707" s="5" t="str">
        <f>IFERROR(__xludf.DUMMYFUNCTION("""COMPUTED_VALUE"""),"مهریز")</f>
        <v>مهریز</v>
      </c>
      <c r="F6707" s="5"/>
      <c r="G6707" s="5"/>
      <c r="H6707" s="6" t="str">
        <f>IFERROR(__xludf.DUMMYFUNCTION("""COMPUTED_VALUE"""),"https://www.instagram.com/heiate_aliebneabitaleb/")</f>
        <v>https://www.instagram.com/heiate_aliebneabitaleb/</v>
      </c>
      <c r="I6707" s="5"/>
      <c r="J6707" s="5"/>
      <c r="K6707" s="5"/>
      <c r="L6707" s="5"/>
      <c r="M6707" s="5"/>
      <c r="N6707" s="5"/>
      <c r="O6707" s="5"/>
      <c r="P6707" s="5"/>
      <c r="Q6707" s="5"/>
      <c r="R6707" s="5"/>
      <c r="S6707" s="5"/>
    </row>
    <row r="6708">
      <c r="A6708" s="5">
        <f>IFERROR(__xludf.DUMMYFUNCTION("""COMPUTED_VALUE"""),17133.0)</f>
        <v>17133</v>
      </c>
      <c r="B6708" s="5" t="str">
        <f>IFERROR(__xludf.DUMMYFUNCTION("""COMPUTED_VALUE"""),"هیأت")</f>
        <v>هیأت</v>
      </c>
      <c r="C6708" s="5" t="str">
        <f>IFERROR(__xludf.DUMMYFUNCTION("""COMPUTED_VALUE"""),"سریزد")</f>
        <v>سریزد</v>
      </c>
      <c r="D6708" s="5" t="str">
        <f>IFERROR(__xludf.DUMMYFUNCTION("""COMPUTED_VALUE"""),"یزد")</f>
        <v>یزد</v>
      </c>
      <c r="E6708" s="5" t="str">
        <f>IFERROR(__xludf.DUMMYFUNCTION("""COMPUTED_VALUE"""),"مهریز")</f>
        <v>مهریز</v>
      </c>
      <c r="F6708" s="5"/>
      <c r="G6708" s="5"/>
      <c r="H6708" s="6" t="str">
        <f>IFERROR(__xludf.DUMMYFUNCTION("""COMPUTED_VALUE"""),"https://www.instagram.com/saryazd1")</f>
        <v>https://www.instagram.com/saryazd1</v>
      </c>
      <c r="I6708" s="5"/>
      <c r="J6708" s="5"/>
      <c r="K6708" s="5"/>
      <c r="L6708" s="5"/>
      <c r="M6708" s="5"/>
      <c r="N6708" s="5"/>
      <c r="O6708" s="5"/>
      <c r="P6708" s="5"/>
      <c r="Q6708" s="5"/>
      <c r="R6708" s="5"/>
      <c r="S6708" s="5"/>
    </row>
    <row r="6709">
      <c r="A6709" s="5">
        <f>IFERROR(__xludf.DUMMYFUNCTION("""COMPUTED_VALUE"""),19655.0)</f>
        <v>19655</v>
      </c>
      <c r="B6709" s="5" t="str">
        <f>IFERROR(__xludf.DUMMYFUNCTION("""COMPUTED_VALUE"""),"هیأت")</f>
        <v>هیأت</v>
      </c>
      <c r="C6709" s="5" t="str">
        <f>IFERROR(__xludf.DUMMYFUNCTION("""COMPUTED_VALUE"""),"خادم االائمه(ع)")</f>
        <v>خادم االائمه(ع)</v>
      </c>
      <c r="D6709" s="5" t="str">
        <f>IFERROR(__xludf.DUMMYFUNCTION("""COMPUTED_VALUE"""),"یزد")</f>
        <v>یزد</v>
      </c>
      <c r="E6709" s="5" t="str">
        <f>IFERROR(__xludf.DUMMYFUNCTION("""COMPUTED_VALUE"""),"مهریز")</f>
        <v>مهریز</v>
      </c>
      <c r="F6709" s="5"/>
      <c r="G6709" s="5"/>
      <c r="H6709" s="6" t="str">
        <f>IFERROR(__xludf.DUMMYFUNCTION("""COMPUTED_VALUE"""),"https://www.instagram.com/khadimalaemeh")</f>
        <v>https://www.instagram.com/khadimalaemeh</v>
      </c>
      <c r="I6709" s="5"/>
      <c r="J6709" s="5"/>
      <c r="K6709" s="5"/>
      <c r="L6709" s="5"/>
      <c r="M6709" s="5"/>
      <c r="N6709" s="5"/>
      <c r="O6709" s="5"/>
      <c r="P6709" s="5"/>
      <c r="Q6709" s="5"/>
      <c r="R6709" s="5"/>
      <c r="S6709" s="5"/>
    </row>
    <row r="6710">
      <c r="A6710" s="5">
        <f>IFERROR(__xludf.DUMMYFUNCTION("""COMPUTED_VALUE"""),21315.0)</f>
        <v>21315</v>
      </c>
      <c r="B6710" s="5" t="str">
        <f>IFERROR(__xludf.DUMMYFUNCTION("""COMPUTED_VALUE"""),"هیأت")</f>
        <v>هیأت</v>
      </c>
      <c r="C6710" s="5" t="str">
        <f>IFERROR(__xludf.DUMMYFUNCTION("""COMPUTED_VALUE"""),"عزاداران حضرت ابوالفضل (ع) (خورمیز علیا)")</f>
        <v>عزاداران حضرت ابوالفضل (ع) (خورمیز علیا)</v>
      </c>
      <c r="D6710" s="5" t="str">
        <f>IFERROR(__xludf.DUMMYFUNCTION("""COMPUTED_VALUE"""),"یزد")</f>
        <v>یزد</v>
      </c>
      <c r="E6710" s="5" t="str">
        <f>IFERROR(__xludf.DUMMYFUNCTION("""COMPUTED_VALUE"""),"مهریز")</f>
        <v>مهریز</v>
      </c>
      <c r="F6710" s="5"/>
      <c r="G6710" s="5"/>
      <c r="H6710" s="6" t="str">
        <f>IFERROR(__xludf.DUMMYFUNCTION("""COMPUTED_VALUE"""),"https://www.instagram.com/mosqueeazratabolfazl_ir")</f>
        <v>https://www.instagram.com/mosqueeazratabolfazl_ir</v>
      </c>
      <c r="I6710" s="5"/>
      <c r="J6710" s="6" t="str">
        <f>IFERROR(__xludf.DUMMYFUNCTION("""COMPUTED_VALUE"""),"https://eitaa.com/mosqueeazratabolfazl_ir")</f>
        <v>https://eitaa.com/mosqueeazratabolfazl_ir</v>
      </c>
      <c r="K6710" s="5"/>
      <c r="L6710" s="5"/>
      <c r="M6710" s="5"/>
      <c r="N6710" s="5"/>
      <c r="O6710" s="5"/>
      <c r="P6710" s="5"/>
      <c r="Q6710" s="5"/>
      <c r="R6710" s="5"/>
      <c r="S6710" s="5"/>
    </row>
    <row r="6711">
      <c r="A6711" s="5">
        <f>IFERROR(__xludf.DUMMYFUNCTION("""COMPUTED_VALUE"""),24062.0)</f>
        <v>24062</v>
      </c>
      <c r="B6711" s="5" t="str">
        <f>IFERROR(__xludf.DUMMYFUNCTION("""COMPUTED_VALUE"""),"هیأت")</f>
        <v>هیأت</v>
      </c>
      <c r="C6711" s="5" t="str">
        <f>IFERROR(__xludf.DUMMYFUNCTION("""COMPUTED_VALUE"""),"حسینیه سینه زنی محله بازار نو")</f>
        <v>حسینیه سینه زنی محله بازار نو</v>
      </c>
      <c r="D6711" s="5" t="str">
        <f>IFERROR(__xludf.DUMMYFUNCTION("""COMPUTED_VALUE"""),"یزد")</f>
        <v>یزد</v>
      </c>
      <c r="E6711" s="5" t="str">
        <f>IFERROR(__xludf.DUMMYFUNCTION("""COMPUTED_VALUE"""),"مهریز")</f>
        <v>مهریز</v>
      </c>
      <c r="F6711" s="5"/>
      <c r="G6711" s="5"/>
      <c r="H6711" s="6" t="str">
        <f>IFERROR(__xludf.DUMMYFUNCTION("""COMPUTED_VALUE"""),"https://www.instagram.com/khane_imamhossini_yazd")</f>
        <v>https://www.instagram.com/khane_imamhossini_yazd</v>
      </c>
      <c r="I6711" s="5"/>
      <c r="J6711" s="5"/>
      <c r="K6711" s="5"/>
      <c r="L6711" s="5"/>
      <c r="M6711" s="5"/>
      <c r="N6711" s="5"/>
      <c r="O6711" s="5"/>
      <c r="P6711" s="5"/>
      <c r="Q6711" s="5"/>
      <c r="R6711" s="5"/>
      <c r="S6711" s="5"/>
    </row>
    <row r="6712">
      <c r="A6712" s="5">
        <f>IFERROR(__xludf.DUMMYFUNCTION("""COMPUTED_VALUE"""),27973.0)</f>
        <v>27973</v>
      </c>
      <c r="B6712" s="5" t="str">
        <f>IFERROR(__xludf.DUMMYFUNCTION("""COMPUTED_VALUE"""),"مسجد")</f>
        <v>مسجد</v>
      </c>
      <c r="C6712" s="5" t="str">
        <f>IFERROR(__xludf.DUMMYFUNCTION("""COMPUTED_VALUE"""),"حضرت ابوالفضل (ع)")</f>
        <v>حضرت ابوالفضل (ع)</v>
      </c>
      <c r="D6712" s="5" t="str">
        <f>IFERROR(__xludf.DUMMYFUNCTION("""COMPUTED_VALUE"""),"یزد")</f>
        <v>یزد</v>
      </c>
      <c r="E6712" s="5" t="str">
        <f>IFERROR(__xludf.DUMMYFUNCTION("""COMPUTED_VALUE"""),"مهریز")</f>
        <v>مهریز</v>
      </c>
      <c r="F6712" s="5"/>
      <c r="G6712" s="5"/>
      <c r="H6712" s="6" t="str">
        <f>IFERROR(__xludf.DUMMYFUNCTION("""COMPUTED_VALUE"""),"https://www.instagram.com/masjed_abolfazl_yazd")</f>
        <v>https://www.instagram.com/masjed_abolfazl_yazd</v>
      </c>
      <c r="I6712" s="5"/>
      <c r="J6712" s="5"/>
      <c r="K6712" s="5"/>
      <c r="L6712" s="5"/>
      <c r="M6712" s="5"/>
      <c r="N6712" s="5"/>
      <c r="O6712" s="5"/>
      <c r="P6712" s="5"/>
      <c r="Q6712" s="5"/>
      <c r="R6712" s="5"/>
      <c r="S6712" s="5"/>
    </row>
    <row r="6713">
      <c r="A6713" s="5">
        <f>IFERROR(__xludf.DUMMYFUNCTION("""COMPUTED_VALUE"""),28221.0)</f>
        <v>28221</v>
      </c>
      <c r="B6713" s="5" t="str">
        <f>IFERROR(__xludf.DUMMYFUNCTION("""COMPUTED_VALUE"""),"هیأت")</f>
        <v>هیأت</v>
      </c>
      <c r="C6713" s="5" t="str">
        <f>IFERROR(__xludf.DUMMYFUNCTION("""COMPUTED_VALUE"""),"زنجیرزنی حضرت قاسم ابن الحسن")</f>
        <v>زنجیرزنی حضرت قاسم ابن الحسن</v>
      </c>
      <c r="D6713" s="5" t="str">
        <f>IFERROR(__xludf.DUMMYFUNCTION("""COMPUTED_VALUE"""),"یزد")</f>
        <v>یزد</v>
      </c>
      <c r="E6713" s="5" t="str">
        <f>IFERROR(__xludf.DUMMYFUNCTION("""COMPUTED_VALUE"""),"مهریز")</f>
        <v>مهریز</v>
      </c>
      <c r="F6713" s="5"/>
      <c r="G6713" s="5"/>
      <c r="H6713" s="6" t="str">
        <f>IFERROR(__xludf.DUMMYFUNCTION("""COMPUTED_VALUE"""),"https://www.instagram.com/heeyat.ghasmbanelhasan")</f>
        <v>https://www.instagram.com/heeyat.ghasmbanelhasan</v>
      </c>
      <c r="I6713" s="5"/>
      <c r="J6713" s="6" t="str">
        <f>IFERROR(__xludf.DUMMYFUNCTION("""COMPUTED_VALUE"""),"https://eitaa.com/heyatghasmbanelhasan")</f>
        <v>https://eitaa.com/heyatghasmbanelhasan</v>
      </c>
      <c r="K6713" s="5"/>
      <c r="L6713" s="5"/>
      <c r="M6713" s="5"/>
      <c r="N6713" s="5"/>
      <c r="O6713" s="5"/>
      <c r="P6713" s="5"/>
      <c r="Q6713" s="5"/>
      <c r="R6713" s="5"/>
      <c r="S6713" s="5"/>
    </row>
    <row r="6714">
      <c r="A6714" s="5">
        <f>IFERROR(__xludf.DUMMYFUNCTION("""COMPUTED_VALUE"""),28617.0)</f>
        <v>28617</v>
      </c>
      <c r="B6714" s="5" t="str">
        <f>IFERROR(__xludf.DUMMYFUNCTION("""COMPUTED_VALUE"""),"هیأت")</f>
        <v>هیأت</v>
      </c>
      <c r="C6714" s="5" t="str">
        <f>IFERROR(__xludf.DUMMYFUNCTION("""COMPUTED_VALUE"""),"عزاداران حسینی سرچشمه")</f>
        <v>عزاداران حسینی سرچشمه</v>
      </c>
      <c r="D6714" s="5" t="str">
        <f>IFERROR(__xludf.DUMMYFUNCTION("""COMPUTED_VALUE"""),"یزد")</f>
        <v>یزد</v>
      </c>
      <c r="E6714" s="5" t="str">
        <f>IFERROR(__xludf.DUMMYFUNCTION("""COMPUTED_VALUE"""),"مهریز")</f>
        <v>مهریز</v>
      </c>
      <c r="F6714" s="5"/>
      <c r="G6714" s="5"/>
      <c r="H6714" s="5"/>
      <c r="I6714" s="5"/>
      <c r="J6714" s="6" t="str">
        <f>IFERROR(__xludf.DUMMYFUNCTION("""COMPUTED_VALUE"""),"https://eitaa.com/heyatsarcheshme")</f>
        <v>https://eitaa.com/heyatsarcheshme</v>
      </c>
      <c r="K6714" s="5"/>
      <c r="L6714" s="5"/>
      <c r="M6714" s="5"/>
      <c r="N6714" s="5"/>
      <c r="O6714" s="5"/>
      <c r="P6714" s="5"/>
      <c r="Q6714" s="5"/>
      <c r="R6714" s="5"/>
      <c r="S6714" s="5"/>
    </row>
    <row r="6715">
      <c r="A6715" s="5">
        <f>IFERROR(__xludf.DUMMYFUNCTION("""COMPUTED_VALUE"""),29593.0)</f>
        <v>29593</v>
      </c>
      <c r="B6715" s="5" t="str">
        <f>IFERROR(__xludf.DUMMYFUNCTION("""COMPUTED_VALUE"""),"هیأت")</f>
        <v>هیأت</v>
      </c>
      <c r="C6715" s="5" t="str">
        <f>IFERROR(__xludf.DUMMYFUNCTION("""COMPUTED_VALUE"""),"حضرت ابوالفضل العباس (ع)")</f>
        <v>حضرت ابوالفضل العباس (ع)</v>
      </c>
      <c r="D6715" s="5" t="str">
        <f>IFERROR(__xludf.DUMMYFUNCTION("""COMPUTED_VALUE"""),"یزد")</f>
        <v>یزد</v>
      </c>
      <c r="E6715" s="5" t="str">
        <f>IFERROR(__xludf.DUMMYFUNCTION("""COMPUTED_VALUE"""),"مهریز")</f>
        <v>مهریز</v>
      </c>
      <c r="F6715" s="5"/>
      <c r="G6715" s="5"/>
      <c r="H6715" s="6" t="str">
        <f>IFERROR(__xludf.DUMMYFUNCTION("""COMPUTED_VALUE"""),"https://www.instagram.com/heyat_abolfazll_alabbas")</f>
        <v>https://www.instagram.com/heyat_abolfazll_alabbas</v>
      </c>
      <c r="I6715" s="5"/>
      <c r="J6715" s="5"/>
      <c r="K6715" s="5"/>
      <c r="L6715" s="5"/>
      <c r="M6715" s="5"/>
      <c r="N6715" s="5"/>
      <c r="O6715" s="5"/>
      <c r="P6715" s="5"/>
      <c r="Q6715" s="5"/>
      <c r="R6715" s="5"/>
      <c r="S6715" s="5"/>
    </row>
    <row r="6716">
      <c r="A6716" s="5">
        <f>IFERROR(__xludf.DUMMYFUNCTION("""COMPUTED_VALUE"""),30317.0)</f>
        <v>30317</v>
      </c>
      <c r="B6716" s="5" t="str">
        <f>IFERROR(__xludf.DUMMYFUNCTION("""COMPUTED_VALUE"""),"هیأت")</f>
        <v>هیأت</v>
      </c>
      <c r="C6716" s="5" t="str">
        <f>IFERROR(__xludf.DUMMYFUNCTION("""COMPUTED_VALUE"""),"عاشورائیان")</f>
        <v>عاشورائیان</v>
      </c>
      <c r="D6716" s="5" t="str">
        <f>IFERROR(__xludf.DUMMYFUNCTION("""COMPUTED_VALUE"""),"یزد")</f>
        <v>یزد</v>
      </c>
      <c r="E6716" s="5" t="str">
        <f>IFERROR(__xludf.DUMMYFUNCTION("""COMPUTED_VALUE"""),"مهریز")</f>
        <v>مهریز</v>
      </c>
      <c r="F6716" s="5"/>
      <c r="G6716" s="5"/>
      <c r="H6716" s="6" t="str">
        <f>IFERROR(__xludf.DUMMYFUNCTION("""COMPUTED_VALUE"""),"https://Instagram.com/ashouraeiyan_ir")</f>
        <v>https://Instagram.com/ashouraeiyan_ir</v>
      </c>
      <c r="I6716" s="6" t="str">
        <f>IFERROR(__xludf.DUMMYFUNCTION("""COMPUTED_VALUE"""),"https://t.me/ashouraeiyan_ir")</f>
        <v>https://t.me/ashouraeiyan_ir</v>
      </c>
      <c r="J6716" s="6" t="str">
        <f>IFERROR(__xludf.DUMMYFUNCTION("""COMPUTED_VALUE"""),"https://eitaa.com/ashouraeiyan_ir")</f>
        <v>https://eitaa.com/ashouraeiyan_ir</v>
      </c>
      <c r="K6716" s="5"/>
      <c r="L6716" s="5"/>
      <c r="M6716" s="5"/>
      <c r="N6716" s="5"/>
      <c r="O6716" s="5"/>
      <c r="P6716" s="5"/>
      <c r="Q6716" s="5"/>
      <c r="R6716" s="5"/>
      <c r="S6716" s="5"/>
    </row>
    <row r="6717">
      <c r="A6717" s="5">
        <f>IFERROR(__xludf.DUMMYFUNCTION("""COMPUTED_VALUE"""),31037.0)</f>
        <v>31037</v>
      </c>
      <c r="B6717" s="5" t="str">
        <f>IFERROR(__xludf.DUMMYFUNCTION("""COMPUTED_VALUE"""),"هیأت")</f>
        <v>هیأت</v>
      </c>
      <c r="C6717" s="5" t="str">
        <f>IFERROR(__xludf.DUMMYFUNCTION("""COMPUTED_VALUE"""),"محبان حضرت رقیه (س)")</f>
        <v>محبان حضرت رقیه (س)</v>
      </c>
      <c r="D6717" s="5" t="str">
        <f>IFERROR(__xludf.DUMMYFUNCTION("""COMPUTED_VALUE"""),"یزد")</f>
        <v>یزد</v>
      </c>
      <c r="E6717" s="5" t="str">
        <f>IFERROR(__xludf.DUMMYFUNCTION("""COMPUTED_VALUE"""),"مهریز")</f>
        <v>مهریز</v>
      </c>
      <c r="F6717" s="5"/>
      <c r="G6717" s="5"/>
      <c r="H6717" s="6" t="str">
        <f>IFERROR(__xludf.DUMMYFUNCTION("""COMPUTED_VALUE"""),"https://www.instagram.com/moheban_hazrat_roghaye")</f>
        <v>https://www.instagram.com/moheban_hazrat_roghaye</v>
      </c>
      <c r="I6717" s="5"/>
      <c r="J6717" s="6" t="str">
        <f>IFERROR(__xludf.DUMMYFUNCTION("""COMPUTED_VALUE"""),"https://eitaa.com/yarogayee")</f>
        <v>https://eitaa.com/yarogayee</v>
      </c>
      <c r="K6717" s="5"/>
      <c r="L6717" s="5"/>
      <c r="M6717" s="5"/>
      <c r="N6717" s="5"/>
      <c r="O6717" s="5"/>
      <c r="P6717" s="5"/>
      <c r="Q6717" s="5"/>
      <c r="R6717" s="5"/>
      <c r="S6717" s="5"/>
    </row>
    <row r="6718">
      <c r="A6718" s="5">
        <f>IFERROR(__xludf.DUMMYFUNCTION("""COMPUTED_VALUE"""),31337.0)</f>
        <v>31337</v>
      </c>
      <c r="B6718" s="5" t="str">
        <f>IFERROR(__xludf.DUMMYFUNCTION("""COMPUTED_VALUE"""),"هیأت")</f>
        <v>هیأت</v>
      </c>
      <c r="C6718" s="5" t="str">
        <f>IFERROR(__xludf.DUMMYFUNCTION("""COMPUTED_VALUE"""),"حضرت عباس")</f>
        <v>حضرت عباس</v>
      </c>
      <c r="D6718" s="5" t="str">
        <f>IFERROR(__xludf.DUMMYFUNCTION("""COMPUTED_VALUE"""),"یزد")</f>
        <v>یزد</v>
      </c>
      <c r="E6718" s="5" t="str">
        <f>IFERROR(__xludf.DUMMYFUNCTION("""COMPUTED_VALUE"""),"مهریز")</f>
        <v>مهریز</v>
      </c>
      <c r="F6718" s="5"/>
      <c r="G6718" s="5"/>
      <c r="H6718" s="6" t="str">
        <f>IFERROR(__xludf.DUMMYFUNCTION("""COMPUTED_VALUE"""),"https://www.instagram.com/heyat_abolfazll_alabbas")</f>
        <v>https://www.instagram.com/heyat_abolfazll_alabbas</v>
      </c>
      <c r="I6718" s="5"/>
      <c r="J6718" s="5"/>
      <c r="K6718" s="5"/>
      <c r="L6718" s="5"/>
      <c r="M6718" s="5"/>
      <c r="N6718" s="5"/>
      <c r="O6718" s="5"/>
      <c r="P6718" s="5"/>
      <c r="Q6718" s="5"/>
      <c r="R6718" s="5"/>
      <c r="S6718" s="5"/>
    </row>
    <row r="6719">
      <c r="A6719" s="5">
        <f>IFERROR(__xludf.DUMMYFUNCTION("""COMPUTED_VALUE"""),31341.0)</f>
        <v>31341</v>
      </c>
      <c r="B6719" s="5" t="str">
        <f>IFERROR(__xludf.DUMMYFUNCTION("""COMPUTED_VALUE"""),"هیأت")</f>
        <v>هیأت</v>
      </c>
      <c r="C6719" s="5" t="str">
        <f>IFERROR(__xludf.DUMMYFUNCTION("""COMPUTED_VALUE"""),"ثارالله")</f>
        <v>ثارالله</v>
      </c>
      <c r="D6719" s="5" t="str">
        <f>IFERROR(__xludf.DUMMYFUNCTION("""COMPUTED_VALUE"""),"یزد")</f>
        <v>یزد</v>
      </c>
      <c r="E6719" s="5" t="str">
        <f>IFERROR(__xludf.DUMMYFUNCTION("""COMPUTED_VALUE"""),"مهریز")</f>
        <v>مهریز</v>
      </c>
      <c r="F6719" s="5"/>
      <c r="G6719" s="5"/>
      <c r="H6719" s="6" t="str">
        <f>IFERROR(__xludf.DUMMYFUNCTION("""COMPUTED_VALUE"""),"https://instagram.com/sarallahmehriz")</f>
        <v>https://instagram.com/sarallahmehriz</v>
      </c>
      <c r="I6719" s="6" t="str">
        <f>IFERROR(__xludf.DUMMYFUNCTION("""COMPUTED_VALUE"""),"https://t.me/sarallahmehriz")</f>
        <v>https://t.me/sarallahmehriz</v>
      </c>
      <c r="J6719" s="6" t="str">
        <f>IFERROR(__xludf.DUMMYFUNCTION("""COMPUTED_VALUE"""),"https://eitaa.com/sarallahmehriz")</f>
        <v>https://eitaa.com/sarallahmehriz</v>
      </c>
      <c r="K6719" s="5"/>
      <c r="L6719" s="5"/>
      <c r="M6719" s="5"/>
      <c r="N6719" s="5"/>
      <c r="O6719" s="5"/>
      <c r="P6719" s="5"/>
      <c r="Q6719" s="5"/>
      <c r="R6719" s="5"/>
      <c r="S6719" s="5"/>
    </row>
    <row r="6720">
      <c r="A6720" s="5">
        <f>IFERROR(__xludf.DUMMYFUNCTION("""COMPUTED_VALUE"""),31347.0)</f>
        <v>31347</v>
      </c>
      <c r="B6720" s="5" t="str">
        <f>IFERROR(__xludf.DUMMYFUNCTION("""COMPUTED_VALUE"""),"هیأت")</f>
        <v>هیأت</v>
      </c>
      <c r="C6720" s="5" t="str">
        <f>IFERROR(__xludf.DUMMYFUNCTION("""COMPUTED_VALUE"""),"انصارالحسین (ع)")</f>
        <v>انصارالحسین (ع)</v>
      </c>
      <c r="D6720" s="5" t="str">
        <f>IFERROR(__xludf.DUMMYFUNCTION("""COMPUTED_VALUE"""),"یزد ")</f>
        <v>یزد </v>
      </c>
      <c r="E6720" s="5" t="str">
        <f>IFERROR(__xludf.DUMMYFUNCTION("""COMPUTED_VALUE"""),"مهریز")</f>
        <v>مهریز</v>
      </c>
      <c r="F6720" s="5"/>
      <c r="G6720" s="5"/>
      <c r="H6720" s="6" t="str">
        <f>IFERROR(__xludf.DUMMYFUNCTION("""COMPUTED_VALUE"""),"https://www.instagram.com/ansarolhosain_mehriz")</f>
        <v>https://www.instagram.com/ansarolhosain_mehriz</v>
      </c>
      <c r="I6720" s="6" t="str">
        <f>IFERROR(__xludf.DUMMYFUNCTION("""COMPUTED_VALUE"""),"https://t.me/ansarolhosain_mehriz")</f>
        <v>https://t.me/ansarolhosain_mehriz</v>
      </c>
      <c r="J6720" s="5"/>
      <c r="K6720" s="5"/>
      <c r="L6720" s="5"/>
      <c r="M6720" s="5"/>
      <c r="N6720" s="5"/>
      <c r="O6720" s="5"/>
      <c r="P6720" s="5"/>
      <c r="Q6720" s="5"/>
      <c r="R6720" s="5"/>
      <c r="S6720" s="5"/>
    </row>
    <row r="6721">
      <c r="A6721" s="5">
        <f>IFERROR(__xludf.DUMMYFUNCTION("""COMPUTED_VALUE"""),31348.0)</f>
        <v>31348</v>
      </c>
      <c r="B6721" s="5" t="str">
        <f>IFERROR(__xludf.DUMMYFUNCTION("""COMPUTED_VALUE"""),"هیأت")</f>
        <v>هیأت</v>
      </c>
      <c r="C6721" s="5" t="str">
        <f>IFERROR(__xludf.DUMMYFUNCTION("""COMPUTED_VALUE"""),"سینه زنی خورمیز سفلا")</f>
        <v>سینه زنی خورمیز سفلا</v>
      </c>
      <c r="D6721" s="5" t="str">
        <f>IFERROR(__xludf.DUMMYFUNCTION("""COMPUTED_VALUE"""),"یزد")</f>
        <v>یزد</v>
      </c>
      <c r="E6721" s="5" t="str">
        <f>IFERROR(__xludf.DUMMYFUNCTION("""COMPUTED_VALUE"""),"مهریز")</f>
        <v>مهریز</v>
      </c>
      <c r="F6721" s="5"/>
      <c r="G6721" s="5"/>
      <c r="H6721" s="6" t="str">
        <f>IFERROR(__xludf.DUMMYFUNCTION("""COMPUTED_VALUE"""),"https://www.instagram.com/khaterate_khormiz")</f>
        <v>https://www.instagram.com/khaterate_khormiz</v>
      </c>
      <c r="I6721" s="5"/>
      <c r="J6721" s="6" t="str">
        <f>IFERROR(__xludf.DUMMYFUNCTION("""COMPUTED_VALUE"""),"https://eitaa.com/mosqueeazratabolfazl_ir")</f>
        <v>https://eitaa.com/mosqueeazratabolfazl_ir</v>
      </c>
      <c r="K6721" s="5"/>
      <c r="L6721" s="5"/>
      <c r="M6721" s="5"/>
      <c r="N6721" s="5"/>
      <c r="O6721" s="5"/>
      <c r="P6721" s="5"/>
      <c r="Q6721" s="5"/>
      <c r="R6721" s="5"/>
      <c r="S6721" s="5"/>
    </row>
    <row r="6722">
      <c r="A6722" s="5">
        <f>IFERROR(__xludf.DUMMYFUNCTION("""COMPUTED_VALUE"""),31359.0)</f>
        <v>31359</v>
      </c>
      <c r="B6722" s="5" t="str">
        <f>IFERROR(__xludf.DUMMYFUNCTION("""COMPUTED_VALUE"""),"هیأت")</f>
        <v>هیأت</v>
      </c>
      <c r="C6722" s="5" t="str">
        <f>IFERROR(__xludf.DUMMYFUNCTION("""COMPUTED_VALUE"""),"عزاداران حسینی")</f>
        <v>عزاداران حسینی</v>
      </c>
      <c r="D6722" s="5" t="str">
        <f>IFERROR(__xludf.DUMMYFUNCTION("""COMPUTED_VALUE"""),"یزد")</f>
        <v>یزد</v>
      </c>
      <c r="E6722" s="5" t="str">
        <f>IFERROR(__xludf.DUMMYFUNCTION("""COMPUTED_VALUE"""),"مهریز")</f>
        <v>مهریز</v>
      </c>
      <c r="F6722" s="5"/>
      <c r="G6722" s="5"/>
      <c r="H6722" s="6" t="str">
        <f>IFERROR(__xludf.DUMMYFUNCTION("""COMPUTED_VALUE"""),"https://www.instagram.com/azadaransarcheshme.ir")</f>
        <v>https://www.instagram.com/azadaransarcheshme.ir</v>
      </c>
      <c r="I6722" s="5"/>
      <c r="J6722" s="6" t="str">
        <f>IFERROR(__xludf.DUMMYFUNCTION("""COMPUTED_VALUE"""),"https://eitaa.com/heyatsarcheshme")</f>
        <v>https://eitaa.com/heyatsarcheshme</v>
      </c>
      <c r="K6722" s="5"/>
      <c r="L6722" s="5"/>
      <c r="M6722" s="5"/>
      <c r="N6722" s="5"/>
      <c r="O6722" s="5"/>
      <c r="P6722" s="5"/>
      <c r="Q6722" s="5"/>
      <c r="R6722" s="5"/>
      <c r="S6722" s="5"/>
    </row>
    <row r="6723">
      <c r="A6723" s="5">
        <f>IFERROR(__xludf.DUMMYFUNCTION("""COMPUTED_VALUE"""),31455.0)</f>
        <v>31455</v>
      </c>
      <c r="B6723" s="5" t="str">
        <f>IFERROR(__xludf.DUMMYFUNCTION("""COMPUTED_VALUE"""),"هیأت")</f>
        <v>هیأت</v>
      </c>
      <c r="C6723" s="5" t="str">
        <f>IFERROR(__xludf.DUMMYFUNCTION("""COMPUTED_VALUE"""),"قمر بنی هاشم (ع)")</f>
        <v>قمر بنی هاشم (ع)</v>
      </c>
      <c r="D6723" s="5" t="str">
        <f>IFERROR(__xludf.DUMMYFUNCTION("""COMPUTED_VALUE"""),"یزد")</f>
        <v>یزد</v>
      </c>
      <c r="E6723" s="5" t="str">
        <f>IFERROR(__xludf.DUMMYFUNCTION("""COMPUTED_VALUE"""),"مهریز")</f>
        <v>مهریز</v>
      </c>
      <c r="F6723" s="5"/>
      <c r="G6723" s="5"/>
      <c r="H6723" s="6" t="str">
        <f>IFERROR(__xludf.DUMMYFUNCTION("""COMPUTED_VALUE"""),"https://www.instagram.com/heyat_ghamare_bany_hashem")</f>
        <v>https://www.instagram.com/heyat_ghamare_bany_hashem</v>
      </c>
      <c r="I6723" s="5"/>
      <c r="J6723" s="5"/>
      <c r="K6723" s="5"/>
      <c r="L6723" s="5"/>
      <c r="M6723" s="5"/>
      <c r="N6723" s="5"/>
      <c r="O6723" s="5"/>
      <c r="P6723" s="5"/>
      <c r="Q6723" s="5"/>
      <c r="R6723" s="5"/>
      <c r="S6723" s="5"/>
    </row>
    <row r="6724">
      <c r="A6724" s="5">
        <f>IFERROR(__xludf.DUMMYFUNCTION("""COMPUTED_VALUE"""),31492.0)</f>
        <v>31492</v>
      </c>
      <c r="B6724" s="5" t="str">
        <f>IFERROR(__xludf.DUMMYFUNCTION("""COMPUTED_VALUE"""),"هیأت")</f>
        <v>هیأت</v>
      </c>
      <c r="C6724" s="5" t="str">
        <f>IFERROR(__xludf.DUMMYFUNCTION("""COMPUTED_VALUE"""),"قدیم الاحسان")</f>
        <v>قدیم الاحسان</v>
      </c>
      <c r="D6724" s="5" t="str">
        <f>IFERROR(__xludf.DUMMYFUNCTION("""COMPUTED_VALUE"""),"یزد")</f>
        <v>یزد</v>
      </c>
      <c r="E6724" s="5" t="str">
        <f>IFERROR(__xludf.DUMMYFUNCTION("""COMPUTED_VALUE"""),"مهریز")</f>
        <v>مهریز</v>
      </c>
      <c r="F6724" s="5"/>
      <c r="G6724" s="5"/>
      <c r="H6724" s="5"/>
      <c r="I6724" s="5"/>
      <c r="J6724" s="6" t="str">
        <f>IFERROR(__xludf.DUMMYFUNCTION("""COMPUTED_VALUE"""),"https://eitaa.com/ghadimal_ehsan_mehriz")</f>
        <v>https://eitaa.com/ghadimal_ehsan_mehriz</v>
      </c>
      <c r="K6724" s="5"/>
      <c r="L6724" s="5"/>
      <c r="M6724" s="5"/>
      <c r="N6724" s="5"/>
      <c r="O6724" s="5"/>
      <c r="P6724" s="5"/>
      <c r="Q6724" s="5"/>
      <c r="R6724" s="5"/>
      <c r="S6724" s="5"/>
    </row>
    <row r="6725">
      <c r="A6725" s="5">
        <f>IFERROR(__xludf.DUMMYFUNCTION("""COMPUTED_VALUE"""),32057.0)</f>
        <v>32057</v>
      </c>
      <c r="B6725" s="5" t="str">
        <f>IFERROR(__xludf.DUMMYFUNCTION("""COMPUTED_VALUE"""),"هیأت")</f>
        <v>هیأت</v>
      </c>
      <c r="C6725" s="5" t="str">
        <f>IFERROR(__xludf.DUMMYFUNCTION("""COMPUTED_VALUE"""),"انصار الزهرا (س)")</f>
        <v>انصار الزهرا (س)</v>
      </c>
      <c r="D6725" s="5" t="str">
        <f>IFERROR(__xludf.DUMMYFUNCTION("""COMPUTED_VALUE"""),"یزد")</f>
        <v>یزد</v>
      </c>
      <c r="E6725" s="5" t="str">
        <f>IFERROR(__xludf.DUMMYFUNCTION("""COMPUTED_VALUE"""),"مهریز")</f>
        <v>مهریز</v>
      </c>
      <c r="F6725" s="5"/>
      <c r="G6725" s="5"/>
      <c r="H6725" s="6" t="str">
        <f>IFERROR(__xludf.DUMMYFUNCTION("""COMPUTED_VALUE"""),"https://www.instagram.com/ansarmehriz")</f>
        <v>https://www.instagram.com/ansarmehriz</v>
      </c>
      <c r="I6725" s="5"/>
      <c r="J6725" s="6" t="str">
        <f>IFERROR(__xludf.DUMMYFUNCTION("""COMPUTED_VALUE"""),"https://eitaa.com/ansarmehriz")</f>
        <v>https://eitaa.com/ansarmehriz</v>
      </c>
      <c r="K6725" s="5"/>
      <c r="L6725" s="5"/>
      <c r="M6725" s="5"/>
      <c r="N6725" s="5"/>
      <c r="O6725" s="5"/>
      <c r="P6725" s="5"/>
      <c r="Q6725" s="5"/>
      <c r="R6725" s="5"/>
      <c r="S6725" s="5"/>
    </row>
    <row r="6726">
      <c r="A6726" s="5">
        <f>IFERROR(__xludf.DUMMYFUNCTION("""COMPUTED_VALUE"""),32337.0)</f>
        <v>32337</v>
      </c>
      <c r="B6726" s="5" t="str">
        <f>IFERROR(__xludf.DUMMYFUNCTION("""COMPUTED_VALUE"""),"هیأت")</f>
        <v>هیأت</v>
      </c>
      <c r="C6726" s="5" t="str">
        <f>IFERROR(__xludf.DUMMYFUNCTION("""COMPUTED_VALUE"""),"علمدار کربلا")</f>
        <v>علمدار کربلا</v>
      </c>
      <c r="D6726" s="5" t="str">
        <f>IFERROR(__xludf.DUMMYFUNCTION("""COMPUTED_VALUE"""),"یزد")</f>
        <v>یزد</v>
      </c>
      <c r="E6726" s="5" t="str">
        <f>IFERROR(__xludf.DUMMYFUNCTION("""COMPUTED_VALUE"""),"مهریز")</f>
        <v>مهریز</v>
      </c>
      <c r="F6726" s="5"/>
      <c r="G6726" s="5"/>
      <c r="H6726" s="6" t="str">
        <f>IFERROR(__xludf.DUMMYFUNCTION("""COMPUTED_VALUE"""),"https://instagram.com/allamdarkarbala")</f>
        <v>https://instagram.com/allamdarkarbala</v>
      </c>
      <c r="I6726" s="5"/>
      <c r="J6726" s="6" t="str">
        <f>IFERROR(__xludf.DUMMYFUNCTION("""COMPUTED_VALUE"""),"https://eitaa.com/Allamdarkarbala")</f>
        <v>https://eitaa.com/Allamdarkarbala</v>
      </c>
      <c r="K6726" s="5"/>
      <c r="L6726" s="5"/>
      <c r="M6726" s="5"/>
      <c r="N6726" s="5"/>
      <c r="O6726" s="5"/>
      <c r="P6726" s="5"/>
      <c r="Q6726" s="5"/>
      <c r="R6726" s="5"/>
      <c r="S6726" s="5"/>
    </row>
    <row r="6727">
      <c r="A6727" s="5"/>
      <c r="B6727" s="5" t="str">
        <f>IFERROR(__xludf.DUMMYFUNCTION("""COMPUTED_VALUE"""),"هیأت")</f>
        <v>هیأت</v>
      </c>
      <c r="C6727" s="5" t="str">
        <f>IFERROR(__xludf.DUMMYFUNCTION("""COMPUTED_VALUE"""),"قمر بنی هاشم استهریج")</f>
        <v>قمر بنی هاشم استهریج</v>
      </c>
      <c r="D6727" s="5" t="str">
        <f>IFERROR(__xludf.DUMMYFUNCTION("""COMPUTED_VALUE"""),"یزد")</f>
        <v>یزد</v>
      </c>
      <c r="E6727" s="5" t="str">
        <f>IFERROR(__xludf.DUMMYFUNCTION("""COMPUTED_VALUE"""),"مهریز")</f>
        <v>مهریز</v>
      </c>
      <c r="F6727" s="5"/>
      <c r="G6727" s="5"/>
      <c r="H6727" s="6" t="str">
        <f>IFERROR(__xludf.DUMMYFUNCTION("""COMPUTED_VALUE"""),"https://www.instagram.com/heyat.ghamar.banihashem1/")</f>
        <v>https://www.instagram.com/heyat.ghamar.banihashem1/</v>
      </c>
      <c r="I6727" s="5"/>
      <c r="J6727" s="5"/>
      <c r="K6727" s="5"/>
      <c r="L6727" s="5"/>
      <c r="M6727" s="5"/>
      <c r="N6727" s="5"/>
      <c r="O6727" s="5"/>
      <c r="P6727" s="5"/>
      <c r="Q6727" s="5"/>
      <c r="R6727" s="5"/>
      <c r="S6727" s="5"/>
    </row>
    <row r="6728">
      <c r="A6728" s="5"/>
      <c r="B6728" s="5" t="str">
        <f>IFERROR(__xludf.DUMMYFUNCTION("""COMPUTED_VALUE"""),"حسینیه")</f>
        <v>حسینیه</v>
      </c>
      <c r="C6728" s="5" t="str">
        <f>IFERROR(__xludf.DUMMYFUNCTION("""COMPUTED_VALUE"""),"اعظم")</f>
        <v>اعظم</v>
      </c>
      <c r="D6728" s="5" t="str">
        <f>IFERROR(__xludf.DUMMYFUNCTION("""COMPUTED_VALUE"""),"یزد")</f>
        <v>یزد</v>
      </c>
      <c r="E6728" s="5" t="str">
        <f>IFERROR(__xludf.DUMMYFUNCTION("""COMPUTED_VALUE"""),"مهریز")</f>
        <v>مهریز</v>
      </c>
      <c r="F6728" s="5" t="str">
        <f>IFERROR(__xludf.DUMMYFUNCTION("""COMPUTED_VALUE"""),"مزویرآباد")</f>
        <v>مزویرآباد</v>
      </c>
      <c r="G6728" s="5"/>
      <c r="H6728" s="6" t="str">
        <f>IFERROR(__xludf.DUMMYFUNCTION("""COMPUTED_VALUE"""),"https://www.instagram.com/hoseinie_azam_mazvirabad/")</f>
        <v>https://www.instagram.com/hoseinie_azam_mazvirabad/</v>
      </c>
      <c r="I6728" s="5"/>
      <c r="J6728" s="5"/>
      <c r="K6728" s="5"/>
      <c r="L6728" s="5"/>
      <c r="M6728" s="5"/>
      <c r="N6728" s="5"/>
      <c r="O6728" s="5"/>
      <c r="P6728" s="5"/>
      <c r="Q6728" s="5"/>
      <c r="R6728" s="5"/>
      <c r="S6728" s="5"/>
    </row>
    <row r="6729">
      <c r="A6729" s="5"/>
      <c r="B6729" s="5" t="str">
        <f>IFERROR(__xludf.DUMMYFUNCTION("""COMPUTED_VALUE"""),"هیأت")</f>
        <v>هیأت</v>
      </c>
      <c r="C6729" s="5" t="str">
        <f>IFERROR(__xludf.DUMMYFUNCTION("""COMPUTED_VALUE"""),"مجمع العباس")</f>
        <v>مجمع العباس</v>
      </c>
      <c r="D6729" s="5" t="str">
        <f>IFERROR(__xludf.DUMMYFUNCTION("""COMPUTED_VALUE"""),"یزد")</f>
        <v>یزد</v>
      </c>
      <c r="E6729" s="5" t="str">
        <f>IFERROR(__xludf.DUMMYFUNCTION("""COMPUTED_VALUE"""),"مهریز")</f>
        <v>مهریز</v>
      </c>
      <c r="F6729" s="5"/>
      <c r="G6729" s="5"/>
      <c r="H6729" s="6" t="str">
        <f>IFERROR(__xludf.DUMMYFUNCTION("""COMPUTED_VALUE"""),"https://www.instagram.com/majmeabbas/")</f>
        <v>https://www.instagram.com/majmeabbas/</v>
      </c>
      <c r="I6729" s="6" t="str">
        <f>IFERROR(__xludf.DUMMYFUNCTION("""COMPUTED_VALUE"""),"https://t.me/majmeabbas")</f>
        <v>https://t.me/majmeabbas</v>
      </c>
      <c r="J6729" s="5"/>
      <c r="K6729" s="5"/>
      <c r="L6729" s="5"/>
      <c r="M6729" s="5"/>
      <c r="N6729" s="5"/>
      <c r="O6729" s="5"/>
      <c r="P6729" s="5"/>
      <c r="Q6729" s="5"/>
      <c r="R6729" s="5"/>
      <c r="S6729" s="5"/>
    </row>
    <row r="6730">
      <c r="A6730" s="5"/>
      <c r="B6730" s="5" t="str">
        <f>IFERROR(__xludf.DUMMYFUNCTION("""COMPUTED_VALUE"""),"حسینیه")</f>
        <v>حسینیه</v>
      </c>
      <c r="C6730" s="5" t="str">
        <f>IFERROR(__xludf.DUMMYFUNCTION("""COMPUTED_VALUE"""),"باغبهار")</f>
        <v>باغبهار</v>
      </c>
      <c r="D6730" s="5" t="str">
        <f>IFERROR(__xludf.DUMMYFUNCTION("""COMPUTED_VALUE"""),"یزد")</f>
        <v>یزد</v>
      </c>
      <c r="E6730" s="5" t="str">
        <f>IFERROR(__xludf.DUMMYFUNCTION("""COMPUTED_VALUE"""),"مهریز")</f>
        <v>مهریز</v>
      </c>
      <c r="F6730" s="5"/>
      <c r="G6730" s="5"/>
      <c r="H6730" s="6" t="str">
        <f>IFERROR(__xludf.DUMMYFUNCTION("""COMPUTED_VALUE"""),"https://www.instagram.com/mehrizbaghebahar/")</f>
        <v>https://www.instagram.com/mehrizbaghebahar/</v>
      </c>
      <c r="I6730" s="6" t="str">
        <f>IFERROR(__xludf.DUMMYFUNCTION("""COMPUTED_VALUE"""),"https://t.me/mehrizbaghebahar")</f>
        <v>https://t.me/mehrizbaghebahar</v>
      </c>
      <c r="J6730" s="6" t="str">
        <f>IFERROR(__xludf.DUMMYFUNCTION("""COMPUTED_VALUE"""),"https://eitaa.com/mehrizbaghebahar")</f>
        <v>https://eitaa.com/mehrizbaghebahar</v>
      </c>
      <c r="K6730" s="5"/>
      <c r="L6730" s="5"/>
      <c r="M6730" s="5"/>
      <c r="N6730" s="5"/>
      <c r="O6730" s="5"/>
      <c r="P6730" s="5"/>
      <c r="Q6730" s="5"/>
      <c r="R6730" s="5"/>
      <c r="S6730" s="5"/>
    </row>
    <row r="6731">
      <c r="A6731" s="5"/>
      <c r="B6731" s="5" t="str">
        <f>IFERROR(__xludf.DUMMYFUNCTION("""COMPUTED_VALUE"""),"هیأت")</f>
        <v>هیأت</v>
      </c>
      <c r="C6731" s="5" t="str">
        <f>IFERROR(__xludf.DUMMYFUNCTION("""COMPUTED_VALUE"""),"بیت النور")</f>
        <v>بیت النور</v>
      </c>
      <c r="D6731" s="5" t="str">
        <f>IFERROR(__xludf.DUMMYFUNCTION("""COMPUTED_VALUE"""),"یزد")</f>
        <v>یزد</v>
      </c>
      <c r="E6731" s="5" t="str">
        <f>IFERROR(__xludf.DUMMYFUNCTION("""COMPUTED_VALUE"""),"مهریز")</f>
        <v>مهریز</v>
      </c>
      <c r="F6731" s="5"/>
      <c r="G6731" s="5"/>
      <c r="H6731" s="6" t="str">
        <f>IFERROR(__xludf.DUMMYFUNCTION("""COMPUTED_VALUE"""),"https://www.instagram.com/beytonoor_mehriz/")</f>
        <v>https://www.instagram.com/beytonoor_mehriz/</v>
      </c>
      <c r="I6731" s="5"/>
      <c r="J6731" s="6" t="str">
        <f>IFERROR(__xludf.DUMMYFUNCTION("""COMPUTED_VALUE"""),"https://eitaa.com/beytonoor_mehriz")</f>
        <v>https://eitaa.com/beytonoor_mehriz</v>
      </c>
      <c r="K6731" s="5"/>
      <c r="L6731" s="5"/>
      <c r="M6731" s="5"/>
      <c r="N6731" s="5"/>
      <c r="O6731" s="5"/>
      <c r="P6731" s="5"/>
      <c r="Q6731" s="5"/>
      <c r="R6731" s="5"/>
      <c r="S6731" s="5"/>
    </row>
    <row r="6732">
      <c r="A6732" s="5"/>
      <c r="B6732" s="5" t="str">
        <f>IFERROR(__xludf.DUMMYFUNCTION("""COMPUTED_VALUE"""),"هیأت")</f>
        <v>هیأت</v>
      </c>
      <c r="C6732" s="5" t="str">
        <f>IFERROR(__xludf.DUMMYFUNCTION("""COMPUTED_VALUE"""),"تل زینبیه مدوار")</f>
        <v>تل زینبیه مدوار</v>
      </c>
      <c r="D6732" s="5" t="str">
        <f>IFERROR(__xludf.DUMMYFUNCTION("""COMPUTED_VALUE"""),"یزد")</f>
        <v>یزد</v>
      </c>
      <c r="E6732" s="5" t="str">
        <f>IFERROR(__xludf.DUMMYFUNCTION("""COMPUTED_VALUE"""),"مهریز")</f>
        <v>مهریز</v>
      </c>
      <c r="F6732" s="5"/>
      <c r="G6732" s="5"/>
      <c r="H6732" s="6" t="str">
        <f>IFERROR(__xludf.DUMMYFUNCTION("""COMPUTED_VALUE"""),"https://www.instagram.com/tal_zaynabiah/")</f>
        <v>https://www.instagram.com/tal_zaynabiah/</v>
      </c>
      <c r="I6732" s="5"/>
      <c r="J6732" s="5"/>
      <c r="K6732" s="5"/>
      <c r="L6732" s="5"/>
      <c r="M6732" s="5"/>
      <c r="N6732" s="5"/>
      <c r="O6732" s="5"/>
      <c r="P6732" s="5"/>
      <c r="Q6732" s="5"/>
      <c r="R6732" s="5"/>
      <c r="S6732" s="5"/>
    </row>
    <row r="6733">
      <c r="A6733" s="5">
        <f>IFERROR(__xludf.DUMMYFUNCTION("""COMPUTED_VALUE"""),16877.0)</f>
        <v>16877</v>
      </c>
      <c r="B6733" s="5" t="str">
        <f>IFERROR(__xludf.DUMMYFUNCTION("""COMPUTED_VALUE"""),"هیأت")</f>
        <v>هیأت</v>
      </c>
      <c r="C6733" s="5" t="str">
        <f>IFERROR(__xludf.DUMMYFUNCTION("""COMPUTED_VALUE"""),"مکتب العباس(ع)")</f>
        <v>مکتب العباس(ع)</v>
      </c>
      <c r="D6733" s="5" t="str">
        <f>IFERROR(__xludf.DUMMYFUNCTION("""COMPUTED_VALUE"""),"یزد")</f>
        <v>یزد</v>
      </c>
      <c r="E6733" s="5" t="str">
        <f>IFERROR(__xludf.DUMMYFUNCTION("""COMPUTED_VALUE"""),"میبد")</f>
        <v>میبد</v>
      </c>
      <c r="F6733" s="5"/>
      <c r="G6733" s="5"/>
      <c r="H6733" s="6" t="str">
        <f>IFERROR(__xludf.DUMMYFUNCTION("""COMPUTED_VALUE"""),"https://www.instagram.com/maktabolabbas_meybod")</f>
        <v>https://www.instagram.com/maktabolabbas_meybod</v>
      </c>
      <c r="I6733" s="5"/>
      <c r="J6733" s="5"/>
      <c r="K6733" s="5"/>
      <c r="L6733" s="5"/>
      <c r="M6733" s="5"/>
      <c r="N6733" s="5"/>
      <c r="O6733" s="5"/>
      <c r="P6733" s="5"/>
      <c r="Q6733" s="5"/>
      <c r="R6733" s="5"/>
      <c r="S6733" s="5"/>
    </row>
    <row r="6734">
      <c r="A6734" s="5">
        <f>IFERROR(__xludf.DUMMYFUNCTION("""COMPUTED_VALUE"""),16883.0)</f>
        <v>16883</v>
      </c>
      <c r="B6734" s="5" t="str">
        <f>IFERROR(__xludf.DUMMYFUNCTION("""COMPUTED_VALUE"""),"هیأت")</f>
        <v>هیأت</v>
      </c>
      <c r="C6734" s="5" t="str">
        <f>IFERROR(__xludf.DUMMYFUNCTION("""COMPUTED_VALUE"""),"مجمع محبان العباس(ع)")</f>
        <v>مجمع محبان العباس(ع)</v>
      </c>
      <c r="D6734" s="5" t="str">
        <f>IFERROR(__xludf.DUMMYFUNCTION("""COMPUTED_VALUE"""),"یزد")</f>
        <v>یزد</v>
      </c>
      <c r="E6734" s="5" t="str">
        <f>IFERROR(__xludf.DUMMYFUNCTION("""COMPUTED_VALUE"""),"میبد")</f>
        <v>میبد</v>
      </c>
      <c r="F6734" s="5"/>
      <c r="G6734" s="5"/>
      <c r="H6734" s="5"/>
      <c r="I6734" s="5"/>
      <c r="J6734" s="6" t="str">
        <f>IFERROR(__xludf.DUMMYFUNCTION("""COMPUTED_VALUE"""),"https://eitaa.com/moheban_alabas")</f>
        <v>https://eitaa.com/moheban_alabas</v>
      </c>
      <c r="K6734" s="5"/>
      <c r="L6734" s="5"/>
      <c r="M6734" s="5"/>
      <c r="N6734" s="5"/>
      <c r="O6734" s="5"/>
      <c r="P6734" s="5"/>
      <c r="Q6734" s="5"/>
      <c r="R6734" s="5"/>
      <c r="S6734" s="5"/>
    </row>
    <row r="6735">
      <c r="A6735" s="5">
        <f>IFERROR(__xludf.DUMMYFUNCTION("""COMPUTED_VALUE"""),16998.0)</f>
        <v>16998</v>
      </c>
      <c r="B6735" s="5" t="str">
        <f>IFERROR(__xludf.DUMMYFUNCTION("""COMPUTED_VALUE"""),"هیأت")</f>
        <v>هیأت</v>
      </c>
      <c r="C6735" s="5" t="str">
        <f>IFERROR(__xludf.DUMMYFUNCTION("""COMPUTED_VALUE"""),"امامزاده سیدشمس الحق")</f>
        <v>امامزاده سیدشمس الحق</v>
      </c>
      <c r="D6735" s="5" t="str">
        <f>IFERROR(__xludf.DUMMYFUNCTION("""COMPUTED_VALUE"""),"یزد")</f>
        <v>یزد</v>
      </c>
      <c r="E6735" s="5" t="str">
        <f>IFERROR(__xludf.DUMMYFUNCTION("""COMPUTED_VALUE"""),"میبد")</f>
        <v>میبد</v>
      </c>
      <c r="F6735" s="5"/>
      <c r="G6735" s="5"/>
      <c r="H6735" s="6" t="str">
        <f>IFERROR(__xludf.DUMMYFUNCTION("""COMPUTED_VALUE"""),"https://www.instagram.com/imamhossein6")</f>
        <v>https://www.instagram.com/imamhossein6</v>
      </c>
      <c r="I6735" s="5"/>
      <c r="J6735" s="6" t="str">
        <f>IFERROR(__xludf.DUMMYFUNCTION("""COMPUTED_VALUE"""),"https://eitaa.com/mirshamsolhaghmeybod")</f>
        <v>https://eitaa.com/mirshamsolhaghmeybod</v>
      </c>
      <c r="K6735" s="5"/>
      <c r="L6735" s="5"/>
      <c r="M6735" s="5"/>
      <c r="N6735" s="5"/>
      <c r="O6735" s="5"/>
      <c r="P6735" s="5"/>
      <c r="Q6735" s="5"/>
      <c r="R6735" s="5"/>
      <c r="S6735" s="5"/>
    </row>
    <row r="6736">
      <c r="A6736" s="5">
        <f>IFERROR(__xludf.DUMMYFUNCTION("""COMPUTED_VALUE"""),17036.0)</f>
        <v>17036</v>
      </c>
      <c r="B6736" s="5" t="str">
        <f>IFERROR(__xludf.DUMMYFUNCTION("""COMPUTED_VALUE"""),"هیأت")</f>
        <v>هیأت</v>
      </c>
      <c r="C6736" s="5" t="str">
        <f>IFERROR(__xludf.DUMMYFUNCTION("""COMPUTED_VALUE"""),"فرهنگی دفتر امام جمعه میبد")</f>
        <v>فرهنگی دفتر امام جمعه میبد</v>
      </c>
      <c r="D6736" s="5" t="str">
        <f>IFERROR(__xludf.DUMMYFUNCTION("""COMPUTED_VALUE"""),"یزد")</f>
        <v>یزد</v>
      </c>
      <c r="E6736" s="5" t="str">
        <f>IFERROR(__xludf.DUMMYFUNCTION("""COMPUTED_VALUE"""),"میبد")</f>
        <v>میبد</v>
      </c>
      <c r="F6736" s="5"/>
      <c r="G6736" s="5"/>
      <c r="H6736" s="5"/>
      <c r="I6736" s="5"/>
      <c r="J6736" s="6" t="str">
        <f>IFERROR(__xludf.DUMMYFUNCTION("""COMPUTED_VALUE"""),"https://eitaa.com/Meybodmosala")</f>
        <v>https://eitaa.com/Meybodmosala</v>
      </c>
      <c r="K6736" s="5"/>
      <c r="L6736" s="5"/>
      <c r="M6736" s="5"/>
      <c r="N6736" s="5"/>
      <c r="O6736" s="5"/>
      <c r="P6736" s="5"/>
      <c r="Q6736" s="5"/>
      <c r="R6736" s="5"/>
      <c r="S6736" s="5"/>
    </row>
    <row r="6737">
      <c r="A6737" s="5">
        <f>IFERROR(__xludf.DUMMYFUNCTION("""COMPUTED_VALUE"""),17038.0)</f>
        <v>17038</v>
      </c>
      <c r="B6737" s="5" t="str">
        <f>IFERROR(__xludf.DUMMYFUNCTION("""COMPUTED_VALUE"""),"هیأت")</f>
        <v>هیأت</v>
      </c>
      <c r="C6737" s="5" t="str">
        <f>IFERROR(__xludf.DUMMYFUNCTION("""COMPUTED_VALUE"""),"ابوالفضلی")</f>
        <v>ابوالفضلی</v>
      </c>
      <c r="D6737" s="5" t="str">
        <f>IFERROR(__xludf.DUMMYFUNCTION("""COMPUTED_VALUE"""),"یزد")</f>
        <v>یزد</v>
      </c>
      <c r="E6737" s="5" t="str">
        <f>IFERROR(__xludf.DUMMYFUNCTION("""COMPUTED_VALUE"""),"میبد")</f>
        <v>میبد</v>
      </c>
      <c r="F6737" s="5" t="str">
        <f>IFERROR(__xludf.DUMMYFUNCTION("""COMPUTED_VALUE""")," (شهرک شهدا)")</f>
        <v> (شهرک شهدا)</v>
      </c>
      <c r="G6737" s="5">
        <f>IFERROR(__xludf.DUMMYFUNCTION("""COMPUTED_VALUE"""),1.0)</f>
        <v>1</v>
      </c>
      <c r="H6737" s="6" t="str">
        <f>IFERROR(__xludf.DUMMYFUNCTION("""COMPUTED_VALUE"""),"https://www.instagram.com/heyat_abolfazli_sharak_shohada")</f>
        <v>https://www.instagram.com/heyat_abolfazli_sharak_shohada</v>
      </c>
      <c r="I6737" s="5"/>
      <c r="J6737" s="5"/>
      <c r="K6737" s="5"/>
      <c r="L6737" s="5"/>
      <c r="M6737" s="5"/>
      <c r="N6737" s="5"/>
      <c r="O6737" s="5"/>
      <c r="P6737" s="5"/>
      <c r="Q6737" s="5"/>
      <c r="R6737" s="5"/>
      <c r="S6737" s="5"/>
    </row>
    <row r="6738">
      <c r="A6738" s="5">
        <f>IFERROR(__xludf.DUMMYFUNCTION("""COMPUTED_VALUE"""),17139.0)</f>
        <v>17139</v>
      </c>
      <c r="B6738" s="5" t="str">
        <f>IFERROR(__xludf.DUMMYFUNCTION("""COMPUTED_VALUE"""),"هیأت")</f>
        <v>هیأت</v>
      </c>
      <c r="C6738" s="5" t="str">
        <f>IFERROR(__xludf.DUMMYFUNCTION("""COMPUTED_VALUE"""),"مهدیه امیرآباد")</f>
        <v>مهدیه امیرآباد</v>
      </c>
      <c r="D6738" s="5" t="str">
        <f>IFERROR(__xludf.DUMMYFUNCTION("""COMPUTED_VALUE"""),"یزد")</f>
        <v>یزد</v>
      </c>
      <c r="E6738" s="5" t="str">
        <f>IFERROR(__xludf.DUMMYFUNCTION("""COMPUTED_VALUE"""),"میبد")</f>
        <v>میبد</v>
      </c>
      <c r="F6738" s="5"/>
      <c r="G6738" s="5"/>
      <c r="H6738" s="5"/>
      <c r="I6738" s="5"/>
      <c r="J6738" s="6" t="str">
        <f>IFERROR(__xludf.DUMMYFUNCTION("""COMPUTED_VALUE"""),"https://eitaa.com/m_amirabad")</f>
        <v>https://eitaa.com/m_amirabad</v>
      </c>
      <c r="K6738" s="5"/>
      <c r="L6738" s="5"/>
      <c r="M6738" s="5"/>
      <c r="N6738" s="5"/>
      <c r="O6738" s="5"/>
      <c r="P6738" s="5"/>
      <c r="Q6738" s="5"/>
      <c r="R6738" s="5"/>
      <c r="S6738" s="5"/>
    </row>
    <row r="6739">
      <c r="A6739" s="5">
        <f>IFERROR(__xludf.DUMMYFUNCTION("""COMPUTED_VALUE"""),21489.0)</f>
        <v>21489</v>
      </c>
      <c r="B6739" s="5" t="str">
        <f>IFERROR(__xludf.DUMMYFUNCTION("""COMPUTED_VALUE"""),"هیأت")</f>
        <v>هیأت</v>
      </c>
      <c r="C6739" s="5" t="str">
        <f>IFERROR(__xludf.DUMMYFUNCTION("""COMPUTED_VALUE"""),"عاشورائیان")</f>
        <v>عاشورائیان</v>
      </c>
      <c r="D6739" s="5" t="str">
        <f>IFERROR(__xludf.DUMMYFUNCTION("""COMPUTED_VALUE"""),"یزد")</f>
        <v>یزد</v>
      </c>
      <c r="E6739" s="5" t="str">
        <f>IFERROR(__xludf.DUMMYFUNCTION("""COMPUTED_VALUE"""),"میبد")</f>
        <v>میبد</v>
      </c>
      <c r="F6739" s="5"/>
      <c r="G6739" s="5"/>
      <c r="H6739" s="6" t="str">
        <f>IFERROR(__xludf.DUMMYFUNCTION("""COMPUTED_VALUE"""),"https://www.instagram.com/ashouraeiyan_ir/")</f>
        <v>https://www.instagram.com/ashouraeiyan_ir/</v>
      </c>
      <c r="I6739" s="6" t="str">
        <f>IFERROR(__xludf.DUMMYFUNCTION("""COMPUTED_VALUE"""),"https://t.me/ashouraeiyan_ir")</f>
        <v>https://t.me/ashouraeiyan_ir</v>
      </c>
      <c r="J6739" s="6" t="str">
        <f>IFERROR(__xludf.DUMMYFUNCTION("""COMPUTED_VALUE"""),"https://eitaa.com/ashouraeiyan_ir")</f>
        <v>https://eitaa.com/ashouraeiyan_ir</v>
      </c>
      <c r="K6739" s="5"/>
      <c r="L6739" s="5"/>
      <c r="M6739" s="5"/>
      <c r="N6739" s="5"/>
      <c r="O6739" s="5"/>
      <c r="P6739" s="5"/>
      <c r="Q6739" s="5"/>
      <c r="R6739" s="5"/>
      <c r="S6739" s="5"/>
    </row>
    <row r="6740">
      <c r="A6740" s="5">
        <f>IFERROR(__xludf.DUMMYFUNCTION("""COMPUTED_VALUE"""),21490.0)</f>
        <v>21490</v>
      </c>
      <c r="B6740" s="5" t="str">
        <f>IFERROR(__xludf.DUMMYFUNCTION("""COMPUTED_VALUE"""),"هیأت")</f>
        <v>هیأت</v>
      </c>
      <c r="C6740" s="5" t="str">
        <f>IFERROR(__xludf.DUMMYFUNCTION("""COMPUTED_VALUE"""),"مجمع عاشقان بقیع")</f>
        <v>مجمع عاشقان بقیع</v>
      </c>
      <c r="D6740" s="5" t="str">
        <f>IFERROR(__xludf.DUMMYFUNCTION("""COMPUTED_VALUE"""),"یزد")</f>
        <v>یزد</v>
      </c>
      <c r="E6740" s="5" t="str">
        <f>IFERROR(__xludf.DUMMYFUNCTION("""COMPUTED_VALUE"""),"میبد")</f>
        <v>میبد</v>
      </c>
      <c r="F6740" s="5"/>
      <c r="G6740" s="5"/>
      <c r="H6740" s="6" t="str">
        <f>IFERROR(__xludf.DUMMYFUNCTION("""COMPUTED_VALUE"""),"https://www.instagram.com/mabm_77")</f>
        <v>https://www.instagram.com/mabm_77</v>
      </c>
      <c r="I6740" s="5"/>
      <c r="J6740" s="6" t="str">
        <f>IFERROR(__xludf.DUMMYFUNCTION("""COMPUTED_VALUE"""),"https://eitaa.com/mabm77")</f>
        <v>https://eitaa.com/mabm77</v>
      </c>
      <c r="K6740" s="5"/>
      <c r="L6740" s="5"/>
      <c r="M6740" s="5"/>
      <c r="N6740" s="5"/>
      <c r="O6740" s="5"/>
      <c r="P6740" s="5"/>
      <c r="Q6740" s="5"/>
      <c r="R6740" s="5"/>
      <c r="S6740" s="5"/>
    </row>
    <row r="6741">
      <c r="A6741" s="5">
        <f>IFERROR(__xludf.DUMMYFUNCTION("""COMPUTED_VALUE"""),21491.0)</f>
        <v>21491</v>
      </c>
      <c r="B6741" s="5" t="str">
        <f>IFERROR(__xludf.DUMMYFUNCTION("""COMPUTED_VALUE"""),"هیأت")</f>
        <v>هیأت</v>
      </c>
      <c r="C6741" s="5" t="str">
        <f>IFERROR(__xludf.DUMMYFUNCTION("""COMPUTED_VALUE"""),"بقیه الله (عج)")</f>
        <v>بقیه الله (عج)</v>
      </c>
      <c r="D6741" s="5" t="str">
        <f>IFERROR(__xludf.DUMMYFUNCTION("""COMPUTED_VALUE"""),"یزد")</f>
        <v>یزد</v>
      </c>
      <c r="E6741" s="5" t="str">
        <f>IFERROR(__xludf.DUMMYFUNCTION("""COMPUTED_VALUE"""),"میبد")</f>
        <v>میبد</v>
      </c>
      <c r="F6741" s="5"/>
      <c r="G6741" s="5"/>
      <c r="H6741" s="6" t="str">
        <f>IFERROR(__xludf.DUMMYFUNCTION("""COMPUTED_VALUE"""),"https://www.instagram.com/yasenili_ir/")</f>
        <v>https://www.instagram.com/yasenili_ir/</v>
      </c>
      <c r="I6741" s="6" t="str">
        <f>IFERROR(__xludf.DUMMYFUNCTION("""COMPUTED_VALUE"""),"https://t.me/yasenili_ir")</f>
        <v>https://t.me/yasenili_ir</v>
      </c>
      <c r="J6741" s="6" t="str">
        <f>IFERROR(__xludf.DUMMYFUNCTION("""COMPUTED_VALUE"""),"https://eitaa.com/yasenili_ir")</f>
        <v>https://eitaa.com/yasenili_ir</v>
      </c>
      <c r="K6741" s="5"/>
      <c r="L6741" s="5"/>
      <c r="M6741" s="5"/>
      <c r="N6741" s="5"/>
      <c r="O6741" s="5"/>
      <c r="P6741" s="5"/>
      <c r="Q6741" s="5"/>
      <c r="R6741" s="5"/>
      <c r="S6741" s="5"/>
    </row>
    <row r="6742">
      <c r="A6742" s="5">
        <f>IFERROR(__xludf.DUMMYFUNCTION("""COMPUTED_VALUE"""),22551.0)</f>
        <v>22551</v>
      </c>
      <c r="B6742" s="5" t="str">
        <f>IFERROR(__xludf.DUMMYFUNCTION("""COMPUTED_VALUE"""),"هیأت جوانان")</f>
        <v>هیأت جوانان</v>
      </c>
      <c r="C6742" s="5" t="str">
        <f>IFERROR(__xludf.DUMMYFUNCTION("""COMPUTED_VALUE"""),"علی بن موسی الرضا(ع)")</f>
        <v>علی بن موسی الرضا(ع)</v>
      </c>
      <c r="D6742" s="5" t="str">
        <f>IFERROR(__xludf.DUMMYFUNCTION("""COMPUTED_VALUE"""),"یزد")</f>
        <v>یزد</v>
      </c>
      <c r="E6742" s="5" t="str">
        <f>IFERROR(__xludf.DUMMYFUNCTION("""COMPUTED_VALUE"""),"میبد")</f>
        <v>میبد</v>
      </c>
      <c r="F6742" s="5"/>
      <c r="G6742" s="5"/>
      <c r="H6742" s="6" t="str">
        <f>IFERROR(__xludf.DUMMYFUNCTION("""COMPUTED_VALUE"""),"https://www.instagram.com/heyat_saeedi_meybod")</f>
        <v>https://www.instagram.com/heyat_saeedi_meybod</v>
      </c>
      <c r="I6742" s="5"/>
      <c r="J6742" s="5"/>
      <c r="K6742" s="5"/>
      <c r="L6742" s="5"/>
      <c r="M6742" s="5"/>
      <c r="N6742" s="5"/>
      <c r="O6742" s="5"/>
      <c r="P6742" s="5"/>
      <c r="Q6742" s="5"/>
      <c r="R6742" s="5"/>
      <c r="S6742" s="5"/>
    </row>
    <row r="6743">
      <c r="A6743" s="5">
        <f>IFERROR(__xludf.DUMMYFUNCTION("""COMPUTED_VALUE"""),22553.0)</f>
        <v>22553</v>
      </c>
      <c r="B6743" s="5" t="str">
        <f>IFERROR(__xludf.DUMMYFUNCTION("""COMPUTED_VALUE"""),"هیأت")</f>
        <v>هیأت</v>
      </c>
      <c r="C6743" s="5" t="str">
        <f>IFERROR(__xludf.DUMMYFUNCTION("""COMPUTED_VALUE"""),"قاسم بن الحسن (ع)")</f>
        <v>قاسم بن الحسن (ع)</v>
      </c>
      <c r="D6743" s="5" t="str">
        <f>IFERROR(__xludf.DUMMYFUNCTION("""COMPUTED_VALUE"""),"یزد")</f>
        <v>یزد</v>
      </c>
      <c r="E6743" s="5" t="str">
        <f>IFERROR(__xludf.DUMMYFUNCTION("""COMPUTED_VALUE"""),"میبد")</f>
        <v>میبد</v>
      </c>
      <c r="F6743" s="5"/>
      <c r="G6743" s="5"/>
      <c r="H6743" s="6" t="str">
        <f>IFERROR(__xludf.DUMMYFUNCTION("""COMPUTED_VALUE"""),"https://www.instagram.com/heyat.ghasemebnelhasan.dehabad")</f>
        <v>https://www.instagram.com/heyat.ghasemebnelhasan.dehabad</v>
      </c>
      <c r="I6743" s="5"/>
      <c r="J6743" s="5"/>
      <c r="K6743" s="5"/>
      <c r="L6743" s="5"/>
      <c r="M6743" s="5"/>
      <c r="N6743" s="5"/>
      <c r="O6743" s="5"/>
      <c r="P6743" s="5"/>
      <c r="Q6743" s="5"/>
      <c r="R6743" s="5"/>
      <c r="S6743" s="5"/>
    </row>
    <row r="6744">
      <c r="A6744" s="5">
        <f>IFERROR(__xludf.DUMMYFUNCTION("""COMPUTED_VALUE"""),23264.0)</f>
        <v>23264</v>
      </c>
      <c r="B6744" s="5" t="str">
        <f>IFERROR(__xludf.DUMMYFUNCTION("""COMPUTED_VALUE"""),"هیأت")</f>
        <v>هیأت</v>
      </c>
      <c r="C6744" s="5" t="str">
        <f>IFERROR(__xludf.DUMMYFUNCTION("""COMPUTED_VALUE"""),"محمدرسول الله (ص)")</f>
        <v>محمدرسول الله (ص)</v>
      </c>
      <c r="D6744" s="5" t="str">
        <f>IFERROR(__xludf.DUMMYFUNCTION("""COMPUTED_VALUE"""),"یزد")</f>
        <v>یزد</v>
      </c>
      <c r="E6744" s="5" t="str">
        <f>IFERROR(__xludf.DUMMYFUNCTION("""COMPUTED_VALUE"""),"میبد")</f>
        <v>میبد</v>
      </c>
      <c r="F6744" s="5"/>
      <c r="G6744" s="5"/>
      <c r="H6744" s="5"/>
      <c r="I6744" s="5"/>
      <c r="J6744" s="6" t="str">
        <f>IFERROR(__xludf.DUMMYFUNCTION("""COMPUTED_VALUE"""),"https://eitaa.com/m_Rasoolallah_m")</f>
        <v>https://eitaa.com/m_Rasoolallah_m</v>
      </c>
      <c r="K6744" s="5"/>
      <c r="L6744" s="5"/>
      <c r="M6744" s="5"/>
      <c r="N6744" s="5"/>
      <c r="O6744" s="5"/>
      <c r="P6744" s="5"/>
      <c r="Q6744" s="5"/>
      <c r="R6744" s="5"/>
      <c r="S6744" s="5"/>
    </row>
    <row r="6745">
      <c r="A6745" s="5">
        <f>IFERROR(__xludf.DUMMYFUNCTION("""COMPUTED_VALUE"""),25149.0)</f>
        <v>25149</v>
      </c>
      <c r="B6745" s="5" t="str">
        <f>IFERROR(__xludf.DUMMYFUNCTION("""COMPUTED_VALUE"""),"هیأت")</f>
        <v>هیأت</v>
      </c>
      <c r="C6745" s="5" t="str">
        <f>IFERROR(__xludf.DUMMYFUNCTION("""COMPUTED_VALUE"""),"جوانان رزمندگان اسلام")</f>
        <v>جوانان رزمندگان اسلام</v>
      </c>
      <c r="D6745" s="5" t="str">
        <f>IFERROR(__xludf.DUMMYFUNCTION("""COMPUTED_VALUE"""),"یزد")</f>
        <v>یزد</v>
      </c>
      <c r="E6745" s="5" t="str">
        <f>IFERROR(__xludf.DUMMYFUNCTION("""COMPUTED_VALUE"""),"میبد")</f>
        <v>میبد</v>
      </c>
      <c r="F6745" s="5"/>
      <c r="G6745" s="5"/>
      <c r="H6745" s="5"/>
      <c r="I6745" s="5"/>
      <c r="J6745" s="6" t="str">
        <f>IFERROR(__xludf.DUMMYFUNCTION("""COMPUTED_VALUE"""),"https://eitaa.com/H_razmandegan_meybod")</f>
        <v>https://eitaa.com/H_razmandegan_meybod</v>
      </c>
      <c r="K6745" s="5"/>
      <c r="L6745" s="5"/>
      <c r="M6745" s="5"/>
      <c r="N6745" s="5"/>
      <c r="O6745" s="5"/>
      <c r="P6745" s="5"/>
      <c r="Q6745" s="5"/>
      <c r="R6745" s="5"/>
      <c r="S6745" s="5"/>
    </row>
    <row r="6746">
      <c r="A6746" s="5">
        <f>IFERROR(__xludf.DUMMYFUNCTION("""COMPUTED_VALUE"""),25442.0)</f>
        <v>25442</v>
      </c>
      <c r="B6746" s="5" t="str">
        <f>IFERROR(__xludf.DUMMYFUNCTION("""COMPUTED_VALUE"""),"هیأت")</f>
        <v>هیأت</v>
      </c>
      <c r="C6746" s="5" t="str">
        <f>IFERROR(__xludf.DUMMYFUNCTION("""COMPUTED_VALUE"""),"پیروان عترت")</f>
        <v>پیروان عترت</v>
      </c>
      <c r="D6746" s="5" t="str">
        <f>IFERROR(__xludf.DUMMYFUNCTION("""COMPUTED_VALUE"""),"یزد")</f>
        <v>یزد</v>
      </c>
      <c r="E6746" s="5" t="str">
        <f>IFERROR(__xludf.DUMMYFUNCTION("""COMPUTED_VALUE"""),"میبد")</f>
        <v>میبد</v>
      </c>
      <c r="F6746" s="5"/>
      <c r="G6746" s="5"/>
      <c r="H6746" s="5"/>
      <c r="I6746" s="5"/>
      <c r="J6746" s="6" t="str">
        <f>IFERROR(__xludf.DUMMYFUNCTION("""COMPUTED_VALUE"""),"https://eitaa.com/etratkhaharan313")</f>
        <v>https://eitaa.com/etratkhaharan313</v>
      </c>
      <c r="K6746" s="5"/>
      <c r="L6746" s="5"/>
      <c r="M6746" s="5"/>
      <c r="N6746" s="5"/>
      <c r="O6746" s="5"/>
      <c r="P6746" s="5"/>
      <c r="Q6746" s="5"/>
      <c r="R6746" s="5"/>
      <c r="S6746" s="5"/>
    </row>
    <row r="6747">
      <c r="A6747" s="5">
        <f>IFERROR(__xludf.DUMMYFUNCTION("""COMPUTED_VALUE"""),28992.0)</f>
        <v>28992</v>
      </c>
      <c r="B6747" s="5" t="str">
        <f>IFERROR(__xludf.DUMMYFUNCTION("""COMPUTED_VALUE"""),"هیأت")</f>
        <v>هیأت</v>
      </c>
      <c r="C6747" s="5" t="str">
        <f>IFERROR(__xludf.DUMMYFUNCTION("""COMPUTED_VALUE"""),"فاطمه الزهرا (س)")</f>
        <v>فاطمه الزهرا (س)</v>
      </c>
      <c r="D6747" s="5" t="str">
        <f>IFERROR(__xludf.DUMMYFUNCTION("""COMPUTED_VALUE"""),"یزد")</f>
        <v>یزد</v>
      </c>
      <c r="E6747" s="5" t="str">
        <f>IFERROR(__xludf.DUMMYFUNCTION("""COMPUTED_VALUE"""),"میبد")</f>
        <v>میبد</v>
      </c>
      <c r="F6747" s="5"/>
      <c r="G6747" s="5"/>
      <c r="H6747" s="6" t="str">
        <f>IFERROR(__xludf.DUMMYFUNCTION("""COMPUTED_VALUE"""),"https://www.instagram.com/fatemiahb10")</f>
        <v>https://www.instagram.com/fatemiahb10</v>
      </c>
      <c r="I6747" s="5"/>
      <c r="J6747" s="6" t="str">
        <f>IFERROR(__xludf.DUMMYFUNCTION("""COMPUTED_VALUE"""),"https://eitaa.com/fatemiahb10")</f>
        <v>https://eitaa.com/fatemiahb10</v>
      </c>
      <c r="K6747" s="5"/>
      <c r="L6747" s="5"/>
      <c r="M6747" s="5"/>
      <c r="N6747" s="5"/>
      <c r="O6747" s="5"/>
      <c r="P6747" s="5"/>
      <c r="Q6747" s="5"/>
      <c r="R6747" s="5"/>
      <c r="S6747" s="5"/>
    </row>
    <row r="6748">
      <c r="A6748" s="5">
        <f>IFERROR(__xludf.DUMMYFUNCTION("""COMPUTED_VALUE"""),29198.0)</f>
        <v>29198</v>
      </c>
      <c r="B6748" s="5" t="str">
        <f>IFERROR(__xludf.DUMMYFUNCTION("""COMPUTED_VALUE"""),"هیأت")</f>
        <v>هیأت</v>
      </c>
      <c r="C6748" s="5" t="str">
        <f>IFERROR(__xludf.DUMMYFUNCTION("""COMPUTED_VALUE"""),"رضوی مهدیه")</f>
        <v>رضوی مهدیه</v>
      </c>
      <c r="D6748" s="5" t="str">
        <f>IFERROR(__xludf.DUMMYFUNCTION("""COMPUTED_VALUE"""),"یزد")</f>
        <v>یزد</v>
      </c>
      <c r="E6748" s="5" t="str">
        <f>IFERROR(__xludf.DUMMYFUNCTION("""COMPUTED_VALUE"""),"میبد")</f>
        <v>میبد</v>
      </c>
      <c r="F6748" s="5"/>
      <c r="G6748" s="5"/>
      <c r="H6748" s="6" t="str">
        <f>IFERROR(__xludf.DUMMYFUNCTION("""COMPUTED_VALUE"""),"https://www.instagram.com/mahdiehmeybod")</f>
        <v>https://www.instagram.com/mahdiehmeybod</v>
      </c>
      <c r="I6748" s="5"/>
      <c r="J6748" s="6" t="str">
        <f>IFERROR(__xludf.DUMMYFUNCTION("""COMPUTED_VALUE"""),"https://eitaa.com/mahdiehmeybod")</f>
        <v>https://eitaa.com/mahdiehmeybod</v>
      </c>
      <c r="K6748" s="5"/>
      <c r="L6748" s="5"/>
      <c r="M6748" s="5"/>
      <c r="N6748" s="5"/>
      <c r="O6748" s="5"/>
      <c r="P6748" s="5"/>
      <c r="Q6748" s="5"/>
      <c r="R6748" s="5"/>
      <c r="S6748" s="5"/>
    </row>
    <row r="6749">
      <c r="A6749" s="5">
        <f>IFERROR(__xludf.DUMMYFUNCTION("""COMPUTED_VALUE"""),31356.0)</f>
        <v>31356</v>
      </c>
      <c r="B6749" s="5" t="str">
        <f>IFERROR(__xludf.DUMMYFUNCTION("""COMPUTED_VALUE"""),"هیأت")</f>
        <v>هیأت</v>
      </c>
      <c r="C6749" s="5" t="str">
        <f>IFERROR(__xludf.DUMMYFUNCTION("""COMPUTED_VALUE"""),"ابوالفضل اکبرآباد")</f>
        <v>ابوالفضل اکبرآباد</v>
      </c>
      <c r="D6749" s="5" t="str">
        <f>IFERROR(__xludf.DUMMYFUNCTION("""COMPUTED_VALUE"""),"یزد")</f>
        <v>یزد</v>
      </c>
      <c r="E6749" s="5" t="str">
        <f>IFERROR(__xludf.DUMMYFUNCTION("""COMPUTED_VALUE"""),"میبد")</f>
        <v>میبد</v>
      </c>
      <c r="F6749" s="5"/>
      <c r="G6749" s="5"/>
      <c r="H6749" s="6" t="str">
        <f>IFERROR(__xludf.DUMMYFUNCTION("""COMPUTED_VALUE"""),"https://www.instagram.com/akbarabadyazd")</f>
        <v>https://www.instagram.com/akbarabadyazd</v>
      </c>
      <c r="I6749" s="5"/>
      <c r="J6749" s="6" t="str">
        <f>IFERROR(__xludf.DUMMYFUNCTION("""COMPUTED_VALUE"""),"https://eitaa.com/heyateakbarabadyazd")</f>
        <v>https://eitaa.com/heyateakbarabadyazd</v>
      </c>
      <c r="K6749" s="5"/>
      <c r="L6749" s="5"/>
      <c r="M6749" s="5"/>
      <c r="N6749" s="5"/>
      <c r="O6749" s="5"/>
      <c r="P6749" s="5"/>
      <c r="Q6749" s="5"/>
      <c r="R6749" s="5"/>
      <c r="S6749" s="5"/>
    </row>
    <row r="6750">
      <c r="A6750" s="5"/>
      <c r="B6750" s="5" t="str">
        <f>IFERROR(__xludf.DUMMYFUNCTION("""COMPUTED_VALUE"""),"هیأت")</f>
        <v>هیأت</v>
      </c>
      <c r="C6750" s="5" t="str">
        <f>IFERROR(__xludf.DUMMYFUNCTION("""COMPUTED_VALUE"""),"فاطمیون")</f>
        <v>فاطمیون</v>
      </c>
      <c r="D6750" s="5" t="str">
        <f>IFERROR(__xludf.DUMMYFUNCTION("""COMPUTED_VALUE"""),"یزد")</f>
        <v>یزد</v>
      </c>
      <c r="E6750" s="5" t="str">
        <f>IFERROR(__xludf.DUMMYFUNCTION("""COMPUTED_VALUE"""),"میبد")</f>
        <v>میبد</v>
      </c>
      <c r="F6750" s="5" t="str">
        <f>IFERROR(__xludf.DUMMYFUNCTION("""COMPUTED_VALUE"""),"محمودآباد")</f>
        <v>محمودآباد</v>
      </c>
      <c r="G6750" s="5"/>
      <c r="H6750" s="6" t="str">
        <f>IFERROR(__xludf.DUMMYFUNCTION("""COMPUTED_VALUE"""),"https://www.instagram.com/fatemioon_meybod/")</f>
        <v>https://www.instagram.com/fatemioon_meybod/</v>
      </c>
      <c r="I6750" s="6" t="str">
        <f>IFERROR(__xludf.DUMMYFUNCTION("""COMPUTED_VALUE"""),"https://t.me/fatemioon_meybod")</f>
        <v>https://t.me/fatemioon_meybod</v>
      </c>
      <c r="J6750" s="6" t="str">
        <f>IFERROR(__xludf.DUMMYFUNCTION("""COMPUTED_VALUE"""),"https://eitaa.com/fatemioon_meybod")</f>
        <v>https://eitaa.com/fatemioon_meybod</v>
      </c>
      <c r="K6750" s="5"/>
      <c r="L6750" s="5"/>
      <c r="M6750" s="5"/>
      <c r="N6750" s="5"/>
      <c r="O6750" s="5"/>
      <c r="P6750" s="5"/>
      <c r="Q6750" s="5"/>
      <c r="R6750" s="5"/>
      <c r="S6750" s="5"/>
    </row>
    <row r="6751">
      <c r="A6751" s="5"/>
      <c r="B6751" s="5" t="str">
        <f>IFERROR(__xludf.DUMMYFUNCTION("""COMPUTED_VALUE"""),"هیأت")</f>
        <v>هیأت</v>
      </c>
      <c r="C6751" s="5" t="str">
        <f>IFERROR(__xludf.DUMMYFUNCTION("""COMPUTED_VALUE"""),"جان نثاران حسيني")</f>
        <v>جان نثاران حسيني</v>
      </c>
      <c r="D6751" s="5" t="str">
        <f>IFERROR(__xludf.DUMMYFUNCTION("""COMPUTED_VALUE"""),"یزد")</f>
        <v>یزد</v>
      </c>
      <c r="E6751" s="5" t="str">
        <f>IFERROR(__xludf.DUMMYFUNCTION("""COMPUTED_VALUE"""),"میبد")</f>
        <v>میبد</v>
      </c>
      <c r="F6751" s="5" t="str">
        <f>IFERROR(__xludf.DUMMYFUNCTION("""COMPUTED_VALUE"""),"حسن آباد")</f>
        <v>حسن آباد</v>
      </c>
      <c r="G6751" s="5"/>
      <c r="H6751" s="6" t="str">
        <f>IFERROR(__xludf.DUMMYFUNCTION("""COMPUTED_VALUE"""),"https://www.instagram.com/jannesaran_hosseini/")</f>
        <v>https://www.instagram.com/jannesaran_hosseini/</v>
      </c>
      <c r="I6751" s="5"/>
      <c r="J6751" s="6" t="str">
        <f>IFERROR(__xludf.DUMMYFUNCTION("""COMPUTED_VALUE"""),"https://eitaa.com/iranhusseeiniva")</f>
        <v>https://eitaa.com/iranhusseeiniva</v>
      </c>
      <c r="K6751" s="5"/>
      <c r="L6751" s="5"/>
      <c r="M6751" s="5"/>
      <c r="N6751" s="5"/>
      <c r="O6751" s="5"/>
      <c r="P6751" s="5"/>
      <c r="Q6751" s="5"/>
      <c r="R6751" s="5"/>
      <c r="S6751" s="5"/>
    </row>
    <row r="6752">
      <c r="A6752" s="5"/>
      <c r="B6752" s="5" t="str">
        <f>IFERROR(__xludf.DUMMYFUNCTION("""COMPUTED_VALUE"""),"هیأت")</f>
        <v>هیأت</v>
      </c>
      <c r="C6752" s="5" t="str">
        <f>IFERROR(__xludf.DUMMYFUNCTION("""COMPUTED_VALUE"""),"فاطمه الزهرا خانقاه")</f>
        <v>فاطمه الزهرا خانقاه</v>
      </c>
      <c r="D6752" s="5" t="str">
        <f>IFERROR(__xludf.DUMMYFUNCTION("""COMPUTED_VALUE"""),"یزد")</f>
        <v>یزد</v>
      </c>
      <c r="E6752" s="5" t="str">
        <f>IFERROR(__xludf.DUMMYFUNCTION("""COMPUTED_VALUE"""),"میبد")</f>
        <v>میبد</v>
      </c>
      <c r="F6752" s="5"/>
      <c r="G6752" s="5"/>
      <c r="H6752" s="6" t="str">
        <f>IFERROR(__xludf.DUMMYFUNCTION("""COMPUTED_VALUE"""),"https://www.instagram.com/fatemiha_khanaghah/")</f>
        <v>https://www.instagram.com/fatemiha_khanaghah/</v>
      </c>
      <c r="I6752" s="6" t="str">
        <f>IFERROR(__xludf.DUMMYFUNCTION("""COMPUTED_VALUE"""),"https://t.me/fatemiha_khanaghah")</f>
        <v>https://t.me/fatemiha_khanaghah</v>
      </c>
      <c r="J6752" s="5"/>
      <c r="K6752" s="5"/>
      <c r="L6752" s="5"/>
      <c r="M6752" s="5"/>
      <c r="N6752" s="5"/>
      <c r="O6752" s="5"/>
      <c r="P6752" s="5"/>
      <c r="Q6752" s="5"/>
      <c r="R6752" s="5"/>
      <c r="S6752" s="5"/>
    </row>
    <row r="6753">
      <c r="A6753" s="5"/>
      <c r="B6753" s="5" t="str">
        <f>IFERROR(__xludf.DUMMYFUNCTION("""COMPUTED_VALUE"""),"حسینیه")</f>
        <v>حسینیه</v>
      </c>
      <c r="C6753" s="5" t="str">
        <f>IFERROR(__xludf.DUMMYFUNCTION("""COMPUTED_VALUE"""),"بزرگ ده آباد")</f>
        <v>بزرگ ده آباد</v>
      </c>
      <c r="D6753" s="5" t="str">
        <f>IFERROR(__xludf.DUMMYFUNCTION("""COMPUTED_VALUE"""),"یزد")</f>
        <v>یزد</v>
      </c>
      <c r="E6753" s="5" t="str">
        <f>IFERROR(__xludf.DUMMYFUNCTION("""COMPUTED_VALUE"""),"میبد")</f>
        <v>میبد</v>
      </c>
      <c r="F6753" s="5" t="str">
        <f>IFERROR(__xludf.DUMMYFUNCTION("""COMPUTED_VALUE"""),"ده آباد")</f>
        <v>ده آباد</v>
      </c>
      <c r="G6753" s="5"/>
      <c r="H6753" s="6" t="str">
        <f>IFERROR(__xludf.DUMMYFUNCTION("""COMPUTED_VALUE"""),"https://www.instagram.com/hussainiyah.b.d/")</f>
        <v>https://www.instagram.com/hussainiyah.b.d/</v>
      </c>
      <c r="I6753" s="5"/>
      <c r="J6753" s="5"/>
      <c r="K6753" s="5"/>
      <c r="L6753" s="5"/>
      <c r="M6753" s="5"/>
      <c r="N6753" s="5"/>
      <c r="O6753" s="5"/>
      <c r="P6753" s="5"/>
      <c r="Q6753" s="5"/>
      <c r="R6753" s="5"/>
      <c r="S6753" s="5"/>
    </row>
    <row r="6754">
      <c r="A6754" s="5"/>
      <c r="B6754" s="5" t="str">
        <f>IFERROR(__xludf.DUMMYFUNCTION("""COMPUTED_VALUE"""),"هیأت")</f>
        <v>هیأت</v>
      </c>
      <c r="C6754" s="5" t="str">
        <f>IFERROR(__xludf.DUMMYFUNCTION("""COMPUTED_VALUE"""),"رقیه خاتون")</f>
        <v>رقیه خاتون</v>
      </c>
      <c r="D6754" s="5" t="str">
        <f>IFERROR(__xludf.DUMMYFUNCTION("""COMPUTED_VALUE"""),"یزد")</f>
        <v>یزد</v>
      </c>
      <c r="E6754" s="5" t="str">
        <f>IFERROR(__xludf.DUMMYFUNCTION("""COMPUTED_VALUE"""),"میبد")</f>
        <v>میبد</v>
      </c>
      <c r="F6754" s="5"/>
      <c r="G6754" s="5"/>
      <c r="H6754" s="6" t="str">
        <f>IFERROR(__xludf.DUMMYFUNCTION("""COMPUTED_VALUE"""),"https://www.instagram.com/heyate_roghayeh/")</f>
        <v>https://www.instagram.com/heyate_roghayeh/</v>
      </c>
      <c r="I6754" s="6" t="str">
        <f>IFERROR(__xludf.DUMMYFUNCTION("""COMPUTED_VALUE"""),"https://t.me/heyate_roghayeh")</f>
        <v>https://t.me/heyate_roghayeh</v>
      </c>
      <c r="J6754" s="5"/>
      <c r="K6754" s="5"/>
      <c r="L6754" s="5"/>
      <c r="M6754" s="5"/>
      <c r="N6754" s="5"/>
      <c r="O6754" s="5"/>
      <c r="P6754" s="5"/>
      <c r="Q6754" s="5"/>
      <c r="R6754" s="5"/>
      <c r="S6754" s="5"/>
    </row>
    <row r="6755">
      <c r="A6755" s="5"/>
      <c r="B6755" s="5" t="str">
        <f>IFERROR(__xludf.DUMMYFUNCTION("""COMPUTED_VALUE"""),"هیأت")</f>
        <v>هیأت</v>
      </c>
      <c r="C6755" s="5" t="str">
        <f>IFERROR(__xludf.DUMMYFUNCTION("""COMPUTED_VALUE"""),"عزاداران علی اکبر(ع)")</f>
        <v>عزاداران علی اکبر(ع)</v>
      </c>
      <c r="D6755" s="5" t="str">
        <f>IFERROR(__xludf.DUMMYFUNCTION("""COMPUTED_VALUE"""),"یزد")</f>
        <v>یزد</v>
      </c>
      <c r="E6755" s="5" t="str">
        <f>IFERROR(__xludf.DUMMYFUNCTION("""COMPUTED_VALUE"""),"میبد")</f>
        <v>میبد</v>
      </c>
      <c r="F6755" s="5"/>
      <c r="G6755" s="5"/>
      <c r="H6755" s="6" t="str">
        <f>IFERROR(__xludf.DUMMYFUNCTION("""COMPUTED_VALUE"""),"https://www.instagram.com/heyat.aliakbar.sh/")</f>
        <v>https://www.instagram.com/heyat.aliakbar.sh/</v>
      </c>
      <c r="I6755" s="5"/>
      <c r="J6755" s="5"/>
      <c r="K6755" s="5"/>
      <c r="L6755" s="5"/>
      <c r="M6755" s="5"/>
      <c r="N6755" s="5"/>
      <c r="O6755" s="5"/>
      <c r="P6755" s="5"/>
      <c r="Q6755" s="5"/>
      <c r="R6755" s="5"/>
      <c r="S6755" s="5"/>
    </row>
    <row r="6756">
      <c r="A6756" s="5"/>
      <c r="B6756" s="5" t="str">
        <f>IFERROR(__xludf.DUMMYFUNCTION("""COMPUTED_VALUE"""),"هیأت")</f>
        <v>هیأت</v>
      </c>
      <c r="C6756" s="5" t="str">
        <f>IFERROR(__xludf.DUMMYFUNCTION("""COMPUTED_VALUE"""),"فاطمیه")</f>
        <v>فاطمیه</v>
      </c>
      <c r="D6756" s="5" t="str">
        <f>IFERROR(__xludf.DUMMYFUNCTION("""COMPUTED_VALUE"""),"یزد")</f>
        <v>یزد</v>
      </c>
      <c r="E6756" s="5" t="str">
        <f>IFERROR(__xludf.DUMMYFUNCTION("""COMPUTED_VALUE"""),"میبد")</f>
        <v>میبد</v>
      </c>
      <c r="F6756" s="5" t="str">
        <f>IFERROR(__xludf.DUMMYFUNCTION("""COMPUTED_VALUE"""),"بفروئیه")</f>
        <v>بفروئیه</v>
      </c>
      <c r="G6756" s="5"/>
      <c r="H6756" s="6" t="str">
        <f>IFERROR(__xludf.DUMMYFUNCTION("""COMPUTED_VALUE"""),"https://www.instagram.com/heyat_fatemiyeh_bafru/")</f>
        <v>https://www.instagram.com/heyat_fatemiyeh_bafru/</v>
      </c>
      <c r="I6756" s="5"/>
      <c r="J6756" s="5"/>
      <c r="K6756" s="5"/>
      <c r="L6756" s="5"/>
      <c r="M6756" s="5"/>
      <c r="N6756" s="5"/>
      <c r="O6756" s="5"/>
      <c r="P6756" s="5"/>
      <c r="Q6756" s="5"/>
      <c r="R6756" s="5"/>
      <c r="S6756" s="5"/>
    </row>
    <row r="6757">
      <c r="A6757" s="5"/>
      <c r="B6757" s="5" t="str">
        <f>IFERROR(__xludf.DUMMYFUNCTION("""COMPUTED_VALUE"""),"هیأت")</f>
        <v>هیأت</v>
      </c>
      <c r="C6757" s="5" t="str">
        <f>IFERROR(__xludf.DUMMYFUNCTION("""COMPUTED_VALUE"""),"جوادالائمه")</f>
        <v>جوادالائمه</v>
      </c>
      <c r="D6757" s="5" t="str">
        <f>IFERROR(__xludf.DUMMYFUNCTION("""COMPUTED_VALUE"""),"یزد")</f>
        <v>یزد</v>
      </c>
      <c r="E6757" s="5" t="str">
        <f>IFERROR(__xludf.DUMMYFUNCTION("""COMPUTED_VALUE"""),"میبد")</f>
        <v>میبد</v>
      </c>
      <c r="F6757" s="5" t="str">
        <f>IFERROR(__xludf.DUMMYFUNCTION("""COMPUTED_VALUE"""),"بفروئیه")</f>
        <v>بفروئیه</v>
      </c>
      <c r="G6757" s="5"/>
      <c r="H6757" s="6" t="str">
        <f>IFERROR(__xludf.DUMMYFUNCTION("""COMPUTED_VALUE"""),"https://www.instagram.com/heyat_javadolaeme_bafrueyeh/")</f>
        <v>https://www.instagram.com/heyat_javadolaeme_bafrueyeh/</v>
      </c>
      <c r="I6757" s="5"/>
      <c r="J6757" s="5"/>
      <c r="K6757" s="5"/>
      <c r="L6757" s="5"/>
      <c r="M6757" s="5"/>
      <c r="N6757" s="5"/>
      <c r="O6757" s="5"/>
      <c r="P6757" s="5"/>
      <c r="Q6757" s="5"/>
      <c r="R6757" s="5"/>
      <c r="S6757" s="5"/>
    </row>
    <row r="6758">
      <c r="A6758" s="5"/>
      <c r="B6758" s="5" t="str">
        <f>IFERROR(__xludf.DUMMYFUNCTION("""COMPUTED_VALUE"""),"هیأت")</f>
        <v>هیأت</v>
      </c>
      <c r="C6758" s="5" t="str">
        <f>IFERROR(__xludf.DUMMYFUNCTION("""COMPUTED_VALUE"""),"بیت الرقیه (س)")</f>
        <v>بیت الرقیه (س)</v>
      </c>
      <c r="D6758" s="5" t="str">
        <f>IFERROR(__xludf.DUMMYFUNCTION("""COMPUTED_VALUE"""),"یزد")</f>
        <v>یزد</v>
      </c>
      <c r="E6758" s="5" t="str">
        <f>IFERROR(__xludf.DUMMYFUNCTION("""COMPUTED_VALUE"""),"میبد")</f>
        <v>میبد</v>
      </c>
      <c r="F6758" s="5" t="str">
        <f>IFERROR(__xludf.DUMMYFUNCTION("""COMPUTED_VALUE"""),"بفروئیه")</f>
        <v>بفروئیه</v>
      </c>
      <c r="G6758" s="5"/>
      <c r="H6758" s="6" t="str">
        <f>IFERROR(__xludf.DUMMYFUNCTION("""COMPUTED_VALUE"""),"https://www.instagram.com/beyto.roghaye.bafruiyeh/")</f>
        <v>https://www.instagram.com/beyto.roghaye.bafruiyeh/</v>
      </c>
      <c r="I6758" s="5"/>
      <c r="J6758" s="6" t="str">
        <f>IFERROR(__xludf.DUMMYFUNCTION("""COMPUTED_VALUE"""),"https://eitaa.com/beyto_roghaye")</f>
        <v>https://eitaa.com/beyto_roghaye</v>
      </c>
      <c r="K6758" s="5"/>
      <c r="L6758" s="5"/>
      <c r="M6758" s="5"/>
      <c r="N6758" s="5"/>
      <c r="O6758" s="5"/>
      <c r="P6758" s="5"/>
      <c r="Q6758" s="5"/>
      <c r="R6758" s="5"/>
      <c r="S6758" s="5"/>
    </row>
    <row r="6759">
      <c r="A6759" s="5"/>
      <c r="B6759" s="5" t="str">
        <f>IFERROR(__xludf.DUMMYFUNCTION("""COMPUTED_VALUE"""),"هیأت")</f>
        <v>هیأت</v>
      </c>
      <c r="C6759" s="5" t="str">
        <f>IFERROR(__xludf.DUMMYFUNCTION("""COMPUTED_VALUE"""),"انصارالمهدی")</f>
        <v>انصارالمهدی</v>
      </c>
      <c r="D6759" s="5" t="str">
        <f>IFERROR(__xludf.DUMMYFUNCTION("""COMPUTED_VALUE"""),"یزد")</f>
        <v>یزد</v>
      </c>
      <c r="E6759" s="5" t="str">
        <f>IFERROR(__xludf.DUMMYFUNCTION("""COMPUTED_VALUE"""),"میبد")</f>
        <v>میبد</v>
      </c>
      <c r="F6759" s="5" t="str">
        <f>IFERROR(__xludf.DUMMYFUNCTION("""COMPUTED_VALUE"""),"ندوشن")</f>
        <v>ندوشن</v>
      </c>
      <c r="G6759" s="5"/>
      <c r="H6759" s="6" t="str">
        <f>IFERROR(__xludf.DUMMYFUNCTION("""COMPUTED_VALUE"""),"https://www.instagram.com/ansarolmahdi_nodoushan/")</f>
        <v>https://www.instagram.com/ansarolmahdi_nodoushan/</v>
      </c>
      <c r="I6759" s="6" t="str">
        <f>IFERROR(__xludf.DUMMYFUNCTION("""COMPUTED_VALUE"""),"https://t.me/Ansarolmahdi_nodoushan")</f>
        <v>https://t.me/Ansarolmahdi_nodoushan</v>
      </c>
      <c r="J6759" s="6" t="str">
        <f>IFERROR(__xludf.DUMMYFUNCTION("""COMPUTED_VALUE"""),"https://eitaa.com/Ansarolmahdi_nodoushan")</f>
        <v>https://eitaa.com/Ansarolmahdi_nodoushan</v>
      </c>
      <c r="K6759" s="5"/>
      <c r="L6759" s="5"/>
      <c r="M6759" s="5"/>
      <c r="N6759" s="5"/>
      <c r="O6759" s="5"/>
      <c r="P6759" s="5"/>
      <c r="Q6759" s="5"/>
      <c r="R6759" s="5"/>
      <c r="S6759" s="5"/>
    </row>
    <row r="6760">
      <c r="A6760" s="5"/>
      <c r="B6760" s="5" t="str">
        <f>IFERROR(__xludf.DUMMYFUNCTION("""COMPUTED_VALUE"""),"هیأت")</f>
        <v>هیأت</v>
      </c>
      <c r="C6760" s="5" t="str">
        <f>IFERROR(__xludf.DUMMYFUNCTION("""COMPUTED_VALUE"""),"سلمان فارسی")</f>
        <v>سلمان فارسی</v>
      </c>
      <c r="D6760" s="5" t="str">
        <f>IFERROR(__xludf.DUMMYFUNCTION("""COMPUTED_VALUE"""),"یزد")</f>
        <v>یزد</v>
      </c>
      <c r="E6760" s="5" t="str">
        <f>IFERROR(__xludf.DUMMYFUNCTION("""COMPUTED_VALUE"""),"هرات")</f>
        <v>هرات</v>
      </c>
      <c r="F6760" s="5"/>
      <c r="G6760" s="5"/>
      <c r="H6760" s="6" t="str">
        <f>IFERROR(__xludf.DUMMYFUNCTION("""COMPUTED_VALUE"""),"https://www.instagram.com/heiatsalmanfarsi")</f>
        <v>https://www.instagram.com/heiatsalmanfarsi</v>
      </c>
      <c r="I6760" s="6" t="str">
        <f>IFERROR(__xludf.DUMMYFUNCTION("""COMPUTED_VALUE"""),"t.me/heiatsalmanfarsi")</f>
        <v>t.me/heiatsalmanfarsi</v>
      </c>
      <c r="J6760" s="6" t="str">
        <f>IFERROR(__xludf.DUMMYFUNCTION("""COMPUTED_VALUE"""),"https://eitaa.com/heiatesalmanefarsi97")</f>
        <v>https://eitaa.com/heiatesalmanefarsi97</v>
      </c>
      <c r="K6760" s="5"/>
      <c r="L6760" s="5"/>
      <c r="M6760" s="5"/>
      <c r="N6760" s="5"/>
      <c r="O6760" s="5"/>
      <c r="P6760" s="5"/>
      <c r="Q6760" s="5"/>
      <c r="R6760" s="5"/>
      <c r="S6760" s="5"/>
    </row>
    <row r="6761">
      <c r="A6761" s="5">
        <f>IFERROR(__xludf.DUMMYFUNCTION("""COMPUTED_VALUE"""),16769.0)</f>
        <v>16769</v>
      </c>
      <c r="B6761" s="5" t="str">
        <f>IFERROR(__xludf.DUMMYFUNCTION("""COMPUTED_VALUE"""),"هیأت")</f>
        <v>هیأت</v>
      </c>
      <c r="C6761" s="5" t="str">
        <f>IFERROR(__xludf.DUMMYFUNCTION("""COMPUTED_VALUE"""),"بقیه الله (عج) (پایگاه ابوذر)")</f>
        <v>بقیه الله (عج) (پایگاه ابوذر)</v>
      </c>
      <c r="D6761" s="5" t="str">
        <f>IFERROR(__xludf.DUMMYFUNCTION("""COMPUTED_VALUE"""),"یزد")</f>
        <v>یزد</v>
      </c>
      <c r="E6761" s="5" t="str">
        <f>IFERROR(__xludf.DUMMYFUNCTION("""COMPUTED_VALUE"""),"یزد")</f>
        <v>یزد</v>
      </c>
      <c r="F6761" s="5"/>
      <c r="G6761" s="5"/>
      <c r="H6761" s="6" t="str">
        <f>IFERROR(__xludf.DUMMYFUNCTION("""COMPUTED_VALUE"""),"https://www.instagram.com/Baqiatallah_aj/")</f>
        <v>https://www.instagram.com/Baqiatallah_aj/</v>
      </c>
      <c r="I6761" s="6" t="str">
        <f>IFERROR(__xludf.DUMMYFUNCTION("""COMPUTED_VALUE"""),"https://t.me/Baqiatallah_aj")</f>
        <v>https://t.me/Baqiatallah_aj</v>
      </c>
      <c r="J6761" s="6" t="str">
        <f>IFERROR(__xludf.DUMMYFUNCTION("""COMPUTED_VALUE"""),"https://eitaa.com/Baqiatallah_aj")</f>
        <v>https://eitaa.com/Baqiatallah_aj</v>
      </c>
      <c r="K6761" s="5"/>
      <c r="L6761" s="5"/>
      <c r="M6761" s="5"/>
      <c r="N6761" s="5"/>
      <c r="O6761" s="5"/>
      <c r="P6761" s="5"/>
      <c r="Q6761" s="5"/>
      <c r="R6761" s="5"/>
      <c r="S6761" s="5"/>
    </row>
    <row r="6762">
      <c r="A6762" s="5">
        <f>IFERROR(__xludf.DUMMYFUNCTION("""COMPUTED_VALUE"""),16770.0)</f>
        <v>16770</v>
      </c>
      <c r="B6762" s="5" t="str">
        <f>IFERROR(__xludf.DUMMYFUNCTION("""COMPUTED_VALUE"""),"هیأت")</f>
        <v>هیأت</v>
      </c>
      <c r="C6762" s="5" t="str">
        <f>IFERROR(__xludf.DUMMYFUNCTION("""COMPUTED_VALUE"""),"محبان العباس(ع)")</f>
        <v>محبان العباس(ع)</v>
      </c>
      <c r="D6762" s="5" t="str">
        <f>IFERROR(__xludf.DUMMYFUNCTION("""COMPUTED_VALUE"""),"یزد")</f>
        <v>یزد</v>
      </c>
      <c r="E6762" s="5" t="str">
        <f>IFERROR(__xludf.DUMMYFUNCTION("""COMPUTED_VALUE"""),"یزد")</f>
        <v>یزد</v>
      </c>
      <c r="F6762" s="5"/>
      <c r="G6762" s="5"/>
      <c r="H6762" s="6" t="str">
        <f>IFERROR(__xludf.DUMMYFUNCTION("""COMPUTED_VALUE"""),"https://www.instagram.com/moheban.yazd/")</f>
        <v>https://www.instagram.com/moheban.yazd/</v>
      </c>
      <c r="I6762" s="5"/>
      <c r="J6762" s="5"/>
      <c r="K6762" s="5"/>
      <c r="L6762" s="5"/>
      <c r="M6762" s="5"/>
      <c r="N6762" s="5"/>
      <c r="O6762" s="5"/>
      <c r="P6762" s="5"/>
      <c r="Q6762" s="5"/>
      <c r="R6762" s="5"/>
      <c r="S6762" s="5"/>
    </row>
    <row r="6763">
      <c r="A6763" s="5">
        <f>IFERROR(__xludf.DUMMYFUNCTION("""COMPUTED_VALUE"""),16787.0)</f>
        <v>16787</v>
      </c>
      <c r="B6763" s="5" t="str">
        <f>IFERROR(__xludf.DUMMYFUNCTION("""COMPUTED_VALUE"""),"هیأت")</f>
        <v>هیأت</v>
      </c>
      <c r="C6763" s="5" t="str">
        <f>IFERROR(__xludf.DUMMYFUNCTION("""COMPUTED_VALUE"""),"فاطمیه آزادشهر")</f>
        <v>فاطمیه آزادشهر</v>
      </c>
      <c r="D6763" s="5" t="str">
        <f>IFERROR(__xludf.DUMMYFUNCTION("""COMPUTED_VALUE"""),"یزد")</f>
        <v>یزد</v>
      </c>
      <c r="E6763" s="5" t="str">
        <f>IFERROR(__xludf.DUMMYFUNCTION("""COMPUTED_VALUE"""),"یزد")</f>
        <v>یزد</v>
      </c>
      <c r="F6763" s="5"/>
      <c r="G6763" s="5"/>
      <c r="H6763" s="6" t="str">
        <f>IFERROR(__xludf.DUMMYFUNCTION("""COMPUTED_VALUE"""),"https://www.instagram.com/heiat_fatemieh/")</f>
        <v>https://www.instagram.com/heiat_fatemieh/</v>
      </c>
      <c r="I6763" s="6" t="str">
        <f>IFERROR(__xludf.DUMMYFUNCTION("""COMPUTED_VALUE"""),"https://t.me/heiat_fatemieh_yazd")</f>
        <v>https://t.me/heiat_fatemieh_yazd</v>
      </c>
      <c r="J6763" s="5"/>
      <c r="K6763" s="5"/>
      <c r="L6763" s="5"/>
      <c r="M6763" s="5"/>
      <c r="N6763" s="5"/>
      <c r="O6763" s="5"/>
      <c r="P6763" s="5"/>
      <c r="Q6763" s="5"/>
      <c r="R6763" s="5"/>
      <c r="S6763" s="5"/>
    </row>
    <row r="6764">
      <c r="A6764" s="5">
        <f>IFERROR(__xludf.DUMMYFUNCTION("""COMPUTED_VALUE"""),16789.0)</f>
        <v>16789</v>
      </c>
      <c r="B6764" s="5" t="str">
        <f>IFERROR(__xludf.DUMMYFUNCTION("""COMPUTED_VALUE"""),"هیأت")</f>
        <v>هیأت</v>
      </c>
      <c r="C6764" s="5" t="str">
        <f>IFERROR(__xludf.DUMMYFUNCTION("""COMPUTED_VALUE"""),"انصار حزب الله")</f>
        <v>انصار حزب الله</v>
      </c>
      <c r="D6764" s="5" t="str">
        <f>IFERROR(__xludf.DUMMYFUNCTION("""COMPUTED_VALUE"""),"یزد")</f>
        <v>یزد</v>
      </c>
      <c r="E6764" s="5" t="str">
        <f>IFERROR(__xludf.DUMMYFUNCTION("""COMPUTED_VALUE"""),"یزد")</f>
        <v>یزد</v>
      </c>
      <c r="F6764" s="5"/>
      <c r="G6764" s="5"/>
      <c r="H6764" s="6" t="str">
        <f>IFERROR(__xludf.DUMMYFUNCTION("""COMPUTED_VALUE"""),"https://www.instagram.com/darulfeiz.ir/")</f>
        <v>https://www.instagram.com/darulfeiz.ir/</v>
      </c>
      <c r="I6764" s="5"/>
      <c r="J6764" s="6" t="str">
        <f>IFERROR(__xludf.DUMMYFUNCTION("""COMPUTED_VALUE"""),"https://eitaa.com/hezbollahyazd")</f>
        <v>https://eitaa.com/hezbollahyazd</v>
      </c>
      <c r="K6764" s="5"/>
      <c r="L6764" s="5"/>
      <c r="M6764" s="5"/>
      <c r="N6764" s="5"/>
      <c r="O6764" s="5"/>
      <c r="P6764" s="5"/>
      <c r="Q6764" s="5"/>
      <c r="R6764" s="5"/>
      <c r="S6764" s="5"/>
    </row>
    <row r="6765">
      <c r="A6765" s="5">
        <f>IFERROR(__xludf.DUMMYFUNCTION("""COMPUTED_VALUE"""),16854.0)</f>
        <v>16854</v>
      </c>
      <c r="B6765" s="5" t="str">
        <f>IFERROR(__xludf.DUMMYFUNCTION("""COMPUTED_VALUE"""),"هیأت")</f>
        <v>هیأت</v>
      </c>
      <c r="C6765" s="5" t="str">
        <f>IFERROR(__xludf.DUMMYFUNCTION("""COMPUTED_VALUE"""),"عرفه / انتشارات دارالعباده")</f>
        <v>عرفه / انتشارات دارالعباده</v>
      </c>
      <c r="D6765" s="5" t="str">
        <f>IFERROR(__xludf.DUMMYFUNCTION("""COMPUTED_VALUE"""),"یزد")</f>
        <v>یزد</v>
      </c>
      <c r="E6765" s="5" t="str">
        <f>IFERROR(__xludf.DUMMYFUNCTION("""COMPUTED_VALUE"""),"یزد")</f>
        <v>یزد</v>
      </c>
      <c r="F6765" s="5"/>
      <c r="G6765" s="5"/>
      <c r="H6765" s="5"/>
      <c r="I6765" s="5"/>
      <c r="J6765" s="6" t="str">
        <f>IFERROR(__xludf.DUMMYFUNCTION("""COMPUTED_VALUE"""),"https://eitaa.com/nehzat_yazd")</f>
        <v>https://eitaa.com/nehzat_yazd</v>
      </c>
      <c r="K6765" s="5"/>
      <c r="L6765" s="5"/>
      <c r="M6765" s="5"/>
      <c r="N6765" s="5"/>
      <c r="O6765" s="5"/>
      <c r="P6765" s="5"/>
      <c r="Q6765" s="5"/>
      <c r="R6765" s="5"/>
      <c r="S6765" s="5"/>
    </row>
    <row r="6766">
      <c r="A6766" s="5">
        <f>IFERROR(__xludf.DUMMYFUNCTION("""COMPUTED_VALUE"""),16891.0)</f>
        <v>16891</v>
      </c>
      <c r="B6766" s="5" t="str">
        <f>IFERROR(__xludf.DUMMYFUNCTION("""COMPUTED_VALUE"""),"هیأت")</f>
        <v>هیأت</v>
      </c>
      <c r="C6766" s="5" t="str">
        <f>IFERROR(__xludf.DUMMYFUNCTION("""COMPUTED_VALUE"""),"فدائیان حضرت زینب(س)")</f>
        <v>فدائیان حضرت زینب(س)</v>
      </c>
      <c r="D6766" s="5" t="str">
        <f>IFERROR(__xludf.DUMMYFUNCTION("""COMPUTED_VALUE"""),"یزد")</f>
        <v>یزد</v>
      </c>
      <c r="E6766" s="5" t="str">
        <f>IFERROR(__xludf.DUMMYFUNCTION("""COMPUTED_VALUE"""),"یزد")</f>
        <v>یزد</v>
      </c>
      <c r="F6766" s="5"/>
      <c r="G6766" s="5"/>
      <c r="H6766" s="6" t="str">
        <f>IFERROR(__xludf.DUMMYFUNCTION("""COMPUTED_VALUE"""),"https://www.instagram.com/fadaeian_info")</f>
        <v>https://www.instagram.com/fadaeian_info</v>
      </c>
      <c r="I6766" s="6" t="str">
        <f>IFERROR(__xludf.DUMMYFUNCTION("""COMPUTED_VALUE"""),"https://t.me/fadaeian_info69")</f>
        <v>https://t.me/fadaeian_info69</v>
      </c>
      <c r="J6766" s="5"/>
      <c r="K6766" s="5"/>
      <c r="L6766" s="5"/>
      <c r="M6766" s="5"/>
      <c r="N6766" s="5"/>
      <c r="O6766" s="5"/>
      <c r="P6766" s="5"/>
      <c r="Q6766" s="5"/>
      <c r="R6766" s="5"/>
      <c r="S6766" s="5"/>
    </row>
    <row r="6767">
      <c r="A6767" s="5">
        <f>IFERROR(__xludf.DUMMYFUNCTION("""COMPUTED_VALUE"""),16892.0)</f>
        <v>16892</v>
      </c>
      <c r="B6767" s="5" t="str">
        <f>IFERROR(__xludf.DUMMYFUNCTION("""COMPUTED_VALUE"""),"هیأت")</f>
        <v>هیأت</v>
      </c>
      <c r="C6767" s="5" t="str">
        <f>IFERROR(__xludf.DUMMYFUNCTION("""COMPUTED_VALUE"""),"منتظران فرج")</f>
        <v>منتظران فرج</v>
      </c>
      <c r="D6767" s="5" t="str">
        <f>IFERROR(__xludf.DUMMYFUNCTION("""COMPUTED_VALUE"""),"یزد")</f>
        <v>یزد</v>
      </c>
      <c r="E6767" s="5" t="str">
        <f>IFERROR(__xludf.DUMMYFUNCTION("""COMPUTED_VALUE"""),"یزد")</f>
        <v>یزد</v>
      </c>
      <c r="F6767" s="5"/>
      <c r="G6767" s="5"/>
      <c r="H6767" s="6" t="str">
        <f>IFERROR(__xludf.DUMMYFUNCTION("""COMPUTED_VALUE"""),"https://www.instagram.com/farajyazd")</f>
        <v>https://www.instagram.com/farajyazd</v>
      </c>
      <c r="I6767" s="6" t="str">
        <f>IFERROR(__xludf.DUMMYFUNCTION("""COMPUTED_VALUE"""),"https://t.me/farajyazd")</f>
        <v>https://t.me/farajyazd</v>
      </c>
      <c r="J6767" s="5"/>
      <c r="K6767" s="5"/>
      <c r="L6767" s="5"/>
      <c r="M6767" s="5"/>
      <c r="N6767" s="5"/>
      <c r="O6767" s="5"/>
      <c r="P6767" s="5"/>
      <c r="Q6767" s="5"/>
      <c r="R6767" s="5"/>
      <c r="S6767" s="5"/>
    </row>
    <row r="6768">
      <c r="A6768" s="5">
        <f>IFERROR(__xludf.DUMMYFUNCTION("""COMPUTED_VALUE"""),16895.0)</f>
        <v>16895</v>
      </c>
      <c r="B6768" s="5" t="str">
        <f>IFERROR(__xludf.DUMMYFUNCTION("""COMPUTED_VALUE"""),"هیأت")</f>
        <v>هیأت</v>
      </c>
      <c r="C6768" s="5" t="str">
        <f>IFERROR(__xludf.DUMMYFUNCTION("""COMPUTED_VALUE"""),"انصارالائمه(ع)")</f>
        <v>انصارالائمه(ع)</v>
      </c>
      <c r="D6768" s="5" t="str">
        <f>IFERROR(__xludf.DUMMYFUNCTION("""COMPUTED_VALUE"""),"یزد")</f>
        <v>یزد</v>
      </c>
      <c r="E6768" s="5" t="str">
        <f>IFERROR(__xludf.DUMMYFUNCTION("""COMPUTED_VALUE"""),"یزد")</f>
        <v>یزد</v>
      </c>
      <c r="F6768" s="5"/>
      <c r="G6768" s="5"/>
      <c r="H6768" s="6" t="str">
        <f>IFERROR(__xludf.DUMMYFUNCTION("""COMPUTED_VALUE"""),"https://www.instagram.com/ansareaemeh/")</f>
        <v>https://www.instagram.com/ansareaemeh/</v>
      </c>
      <c r="I6768" s="6" t="str">
        <f>IFERROR(__xludf.DUMMYFUNCTION("""COMPUTED_VALUE"""),"https://t.me/ansareaemeh")</f>
        <v>https://t.me/ansareaemeh</v>
      </c>
      <c r="J6768" s="6" t="str">
        <f>IFERROR(__xludf.DUMMYFUNCTION("""COMPUTED_VALUE"""),"https://eitaa.com/ansareaemeh")</f>
        <v>https://eitaa.com/ansareaemeh</v>
      </c>
      <c r="K6768" s="5"/>
      <c r="L6768" s="5"/>
      <c r="M6768" s="5"/>
      <c r="N6768" s="5"/>
      <c r="O6768" s="5"/>
      <c r="P6768" s="5"/>
      <c r="Q6768" s="5"/>
      <c r="R6768" s="5"/>
      <c r="S6768" s="5"/>
    </row>
    <row r="6769">
      <c r="A6769" s="5">
        <f>IFERROR(__xludf.DUMMYFUNCTION("""COMPUTED_VALUE"""),16899.0)</f>
        <v>16899</v>
      </c>
      <c r="B6769" s="5" t="str">
        <f>IFERROR(__xludf.DUMMYFUNCTION("""COMPUTED_VALUE"""),"هیأت")</f>
        <v>هیأت</v>
      </c>
      <c r="C6769" s="5" t="str">
        <f>IFERROR(__xludf.DUMMYFUNCTION("""COMPUTED_VALUE"""),"انصارالرقیه(س)")</f>
        <v>انصارالرقیه(س)</v>
      </c>
      <c r="D6769" s="5" t="str">
        <f>IFERROR(__xludf.DUMMYFUNCTION("""COMPUTED_VALUE"""),"یزد")</f>
        <v>یزد</v>
      </c>
      <c r="E6769" s="5" t="str">
        <f>IFERROR(__xludf.DUMMYFUNCTION("""COMPUTED_VALUE"""),"یزد")</f>
        <v>یزد</v>
      </c>
      <c r="F6769" s="5"/>
      <c r="G6769" s="5"/>
      <c r="H6769" s="6" t="str">
        <f>IFERROR(__xludf.DUMMYFUNCTION("""COMPUTED_VALUE"""),"https://www.instagram.com/ansaroghayeh_yazd")</f>
        <v>https://www.instagram.com/ansaroghayeh_yazd</v>
      </c>
      <c r="I6769" s="6" t="str">
        <f>IFERROR(__xludf.DUMMYFUNCTION("""COMPUTED_VALUE"""),"https://t.me/ansaroghayeh_yazd")</f>
        <v>https://t.me/ansaroghayeh_yazd</v>
      </c>
      <c r="J6769" s="6" t="str">
        <f>IFERROR(__xludf.DUMMYFUNCTION("""COMPUTED_VALUE"""),"https://eitaa.com/ansaroghayeh_yazd")</f>
        <v>https://eitaa.com/ansaroghayeh_yazd</v>
      </c>
      <c r="K6769" s="5"/>
      <c r="L6769" s="5"/>
      <c r="M6769" s="5"/>
      <c r="N6769" s="5"/>
      <c r="O6769" s="5"/>
      <c r="P6769" s="5"/>
      <c r="Q6769" s="5"/>
      <c r="R6769" s="5"/>
      <c r="S6769" s="5"/>
    </row>
    <row r="6770">
      <c r="A6770" s="5">
        <f>IFERROR(__xludf.DUMMYFUNCTION("""COMPUTED_VALUE"""),16905.0)</f>
        <v>16905</v>
      </c>
      <c r="B6770" s="5" t="str">
        <f>IFERROR(__xludf.DUMMYFUNCTION("""COMPUTED_VALUE"""),"هیأت")</f>
        <v>هیأت</v>
      </c>
      <c r="C6770" s="5" t="str">
        <f>IFERROR(__xludf.DUMMYFUNCTION("""COMPUTED_VALUE"""),"جوادالائمه(ع)")</f>
        <v>جوادالائمه(ع)</v>
      </c>
      <c r="D6770" s="5" t="str">
        <f>IFERROR(__xludf.DUMMYFUNCTION("""COMPUTED_VALUE"""),"یزد")</f>
        <v>یزد</v>
      </c>
      <c r="E6770" s="5" t="str">
        <f>IFERROR(__xludf.DUMMYFUNCTION("""COMPUTED_VALUE"""),"یزد")</f>
        <v>یزد</v>
      </c>
      <c r="F6770" s="5"/>
      <c r="G6770" s="5"/>
      <c r="H6770" s="6" t="str">
        <f>IFERROR(__xludf.DUMMYFUNCTION("""COMPUTED_VALUE"""),"https://www.instagram.com/heyat_javadolaemeh_yazd/")</f>
        <v>https://www.instagram.com/heyat_javadolaemeh_yazd/</v>
      </c>
      <c r="I6770" s="5"/>
      <c r="J6770" s="5"/>
      <c r="K6770" s="5"/>
      <c r="L6770" s="5"/>
      <c r="M6770" s="5"/>
      <c r="N6770" s="5"/>
      <c r="O6770" s="5"/>
      <c r="P6770" s="5"/>
      <c r="Q6770" s="5"/>
      <c r="R6770" s="5"/>
      <c r="S6770" s="5"/>
    </row>
    <row r="6771">
      <c r="A6771" s="5">
        <f>IFERROR(__xludf.DUMMYFUNCTION("""COMPUTED_VALUE"""),16913.0)</f>
        <v>16913</v>
      </c>
      <c r="B6771" s="5" t="str">
        <f>IFERROR(__xludf.DUMMYFUNCTION("""COMPUTED_VALUE"""),"هیأت")</f>
        <v>هیأت</v>
      </c>
      <c r="C6771" s="5" t="str">
        <f>IFERROR(__xludf.DUMMYFUNCTION("""COMPUTED_VALUE"""),"مدرسه عشق")</f>
        <v>مدرسه عشق</v>
      </c>
      <c r="D6771" s="5" t="str">
        <f>IFERROR(__xludf.DUMMYFUNCTION("""COMPUTED_VALUE"""),"یزد")</f>
        <v>یزد</v>
      </c>
      <c r="E6771" s="5" t="str">
        <f>IFERROR(__xludf.DUMMYFUNCTION("""COMPUTED_VALUE"""),"یزد")</f>
        <v>یزد</v>
      </c>
      <c r="F6771" s="5"/>
      <c r="G6771" s="5"/>
      <c r="H6771" s="5"/>
      <c r="I6771" s="5"/>
      <c r="J6771" s="6" t="str">
        <f>IFERROR(__xludf.DUMMYFUNCTION("""COMPUTED_VALUE"""),"https://eitaa.com/madrese_eshgh_yazd")</f>
        <v>https://eitaa.com/madrese_eshgh_yazd</v>
      </c>
      <c r="K6771" s="5"/>
      <c r="L6771" s="5"/>
      <c r="M6771" s="5"/>
      <c r="N6771" s="5"/>
      <c r="O6771" s="5"/>
      <c r="P6771" s="5"/>
      <c r="Q6771" s="5"/>
      <c r="R6771" s="5"/>
      <c r="S6771" s="5"/>
    </row>
    <row r="6772">
      <c r="A6772" s="5">
        <f>IFERROR(__xludf.DUMMYFUNCTION("""COMPUTED_VALUE"""),16921.0)</f>
        <v>16921</v>
      </c>
      <c r="B6772" s="5" t="str">
        <f>IFERROR(__xludf.DUMMYFUNCTION("""COMPUTED_VALUE"""),"هیأت")</f>
        <v>هیأت</v>
      </c>
      <c r="C6772" s="5" t="str">
        <f>IFERROR(__xludf.DUMMYFUNCTION("""COMPUTED_VALUE"""),"کانون فرهنگی هنری امام رضا(ع) (مسجد ولایت)")</f>
        <v>کانون فرهنگی هنری امام رضا(ع) (مسجد ولایت)</v>
      </c>
      <c r="D6772" s="5" t="str">
        <f>IFERROR(__xludf.DUMMYFUNCTION("""COMPUTED_VALUE"""),"یزد")</f>
        <v>یزد</v>
      </c>
      <c r="E6772" s="5" t="str">
        <f>IFERROR(__xludf.DUMMYFUNCTION("""COMPUTED_VALUE"""),"یزد")</f>
        <v>یزد</v>
      </c>
      <c r="F6772" s="5"/>
      <c r="G6772" s="5"/>
      <c r="H6772" s="5"/>
      <c r="I6772" s="5"/>
      <c r="J6772" s="6" t="str">
        <f>IFERROR(__xludf.DUMMYFUNCTION("""COMPUTED_VALUE"""),"https://eitaa.com/masjedvelayatyazd")</f>
        <v>https://eitaa.com/masjedvelayatyazd</v>
      </c>
      <c r="K6772" s="5"/>
      <c r="L6772" s="5"/>
      <c r="M6772" s="5"/>
      <c r="N6772" s="5"/>
      <c r="O6772" s="5"/>
      <c r="P6772" s="5"/>
      <c r="Q6772" s="5"/>
      <c r="R6772" s="5"/>
      <c r="S6772" s="5"/>
    </row>
    <row r="6773">
      <c r="A6773" s="5">
        <f>IFERROR(__xludf.DUMMYFUNCTION("""COMPUTED_VALUE"""),16933.0)</f>
        <v>16933</v>
      </c>
      <c r="B6773" s="5" t="str">
        <f>IFERROR(__xludf.DUMMYFUNCTION("""COMPUTED_VALUE"""),"هیأت")</f>
        <v>هیأت</v>
      </c>
      <c r="C6773" s="5" t="str">
        <f>IFERROR(__xludf.DUMMYFUNCTION("""COMPUTED_VALUE"""),"نینوا صفاییه")</f>
        <v>نینوا صفاییه</v>
      </c>
      <c r="D6773" s="5" t="str">
        <f>IFERROR(__xludf.DUMMYFUNCTION("""COMPUTED_VALUE"""),"یزد")</f>
        <v>یزد</v>
      </c>
      <c r="E6773" s="5" t="str">
        <f>IFERROR(__xludf.DUMMYFUNCTION("""COMPUTED_VALUE"""),"یزد")</f>
        <v>یزد</v>
      </c>
      <c r="F6773" s="5"/>
      <c r="G6773" s="5"/>
      <c r="H6773" s="6" t="str">
        <f>IFERROR(__xludf.DUMMYFUNCTION("""COMPUTED_VALUE"""),"https://www.instagram.com/neynavasafaieh/")</f>
        <v>https://www.instagram.com/neynavasafaieh/</v>
      </c>
      <c r="I6773" s="5"/>
      <c r="J6773" s="5"/>
      <c r="K6773" s="5"/>
      <c r="L6773" s="5"/>
      <c r="M6773" s="5"/>
      <c r="N6773" s="5"/>
      <c r="O6773" s="5"/>
      <c r="P6773" s="5"/>
      <c r="Q6773" s="5"/>
      <c r="R6773" s="5"/>
      <c r="S6773" s="5"/>
    </row>
    <row r="6774">
      <c r="A6774" s="5">
        <f>IFERROR(__xludf.DUMMYFUNCTION("""COMPUTED_VALUE"""),16954.0)</f>
        <v>16954</v>
      </c>
      <c r="B6774" s="5" t="str">
        <f>IFERROR(__xludf.DUMMYFUNCTION("""COMPUTED_VALUE"""),"هیأت")</f>
        <v>هیأت</v>
      </c>
      <c r="C6774" s="5" t="str">
        <f>IFERROR(__xludf.DUMMYFUNCTION("""COMPUTED_VALUE"""),"انصارالحیدر (ع)")</f>
        <v>انصارالحیدر (ع)</v>
      </c>
      <c r="D6774" s="5" t="str">
        <f>IFERROR(__xludf.DUMMYFUNCTION("""COMPUTED_VALUE"""),"یزد")</f>
        <v>یزد</v>
      </c>
      <c r="E6774" s="5" t="str">
        <f>IFERROR(__xludf.DUMMYFUNCTION("""COMPUTED_VALUE"""),"یزد")</f>
        <v>یزد</v>
      </c>
      <c r="F6774" s="5"/>
      <c r="G6774" s="5"/>
      <c r="H6774" s="5"/>
      <c r="I6774" s="5"/>
      <c r="J6774" s="6" t="str">
        <f>IFERROR(__xludf.DUMMYFUNCTION("""COMPUTED_VALUE"""),"https://eitaa.com/butorab_info")</f>
        <v>https://eitaa.com/butorab_info</v>
      </c>
      <c r="K6774" s="5"/>
      <c r="L6774" s="5"/>
      <c r="M6774" s="5"/>
      <c r="N6774" s="5"/>
      <c r="O6774" s="5"/>
      <c r="P6774" s="5"/>
      <c r="Q6774" s="5"/>
      <c r="R6774" s="5"/>
      <c r="S6774" s="5"/>
    </row>
    <row r="6775">
      <c r="A6775" s="5">
        <f>IFERROR(__xludf.DUMMYFUNCTION("""COMPUTED_VALUE"""),16965.0)</f>
        <v>16965</v>
      </c>
      <c r="B6775" s="5" t="str">
        <f>IFERROR(__xludf.DUMMYFUNCTION("""COMPUTED_VALUE"""),"هیأت")</f>
        <v>هیأت</v>
      </c>
      <c r="C6775" s="5" t="str">
        <f>IFERROR(__xludf.DUMMYFUNCTION("""COMPUTED_VALUE"""),"عاشقان اهل بیت (ع)")</f>
        <v>عاشقان اهل بیت (ع)</v>
      </c>
      <c r="D6775" s="5" t="str">
        <f>IFERROR(__xludf.DUMMYFUNCTION("""COMPUTED_VALUE"""),"یزد")</f>
        <v>یزد</v>
      </c>
      <c r="E6775" s="5" t="str">
        <f>IFERROR(__xludf.DUMMYFUNCTION("""COMPUTED_VALUE"""),"یزد")</f>
        <v>یزد</v>
      </c>
      <c r="F6775" s="5"/>
      <c r="G6775" s="5"/>
      <c r="H6775" s="6" t="str">
        <f>IFERROR(__xludf.DUMMYFUNCTION("""COMPUTED_VALUE"""),"https://www.instagram.com/heyat_asheghan_zarch")</f>
        <v>https://www.instagram.com/heyat_asheghan_zarch</v>
      </c>
      <c r="I6775" s="5"/>
      <c r="J6775" s="5"/>
      <c r="K6775" s="5"/>
      <c r="L6775" s="5"/>
      <c r="M6775" s="5"/>
      <c r="N6775" s="5"/>
      <c r="O6775" s="5"/>
      <c r="P6775" s="5"/>
      <c r="Q6775" s="5"/>
      <c r="R6775" s="5"/>
      <c r="S6775" s="5"/>
    </row>
    <row r="6776">
      <c r="A6776" s="5">
        <f>IFERROR(__xludf.DUMMYFUNCTION("""COMPUTED_VALUE"""),16989.0)</f>
        <v>16989</v>
      </c>
      <c r="B6776" s="5" t="str">
        <f>IFERROR(__xludf.DUMMYFUNCTION("""COMPUTED_VALUE"""),"هیأت")</f>
        <v>هیأت</v>
      </c>
      <c r="C6776" s="5" t="str">
        <f>IFERROR(__xludf.DUMMYFUNCTION("""COMPUTED_VALUE"""),"انصارالحسن مجتبی(ع)")</f>
        <v>انصارالحسن مجتبی(ع)</v>
      </c>
      <c r="D6776" s="5" t="str">
        <f>IFERROR(__xludf.DUMMYFUNCTION("""COMPUTED_VALUE"""),"یزد")</f>
        <v>یزد</v>
      </c>
      <c r="E6776" s="5" t="str">
        <f>IFERROR(__xludf.DUMMYFUNCTION("""COMPUTED_VALUE"""),"یزد")</f>
        <v>یزد</v>
      </c>
      <c r="F6776" s="5"/>
      <c r="G6776" s="5"/>
      <c r="H6776" s="6" t="str">
        <f>IFERROR(__xludf.DUMMYFUNCTION("""COMPUTED_VALUE"""),"https://www.instagram.com/ansar118118")</f>
        <v>https://www.instagram.com/ansar118118</v>
      </c>
      <c r="I6776" s="5"/>
      <c r="J6776" s="5"/>
      <c r="K6776" s="5"/>
      <c r="L6776" s="5"/>
      <c r="M6776" s="5"/>
      <c r="N6776" s="5"/>
      <c r="O6776" s="5"/>
      <c r="P6776" s="5"/>
      <c r="Q6776" s="5"/>
      <c r="R6776" s="5"/>
      <c r="S6776" s="5"/>
    </row>
    <row r="6777">
      <c r="A6777" s="5">
        <f>IFERROR(__xludf.DUMMYFUNCTION("""COMPUTED_VALUE"""),16994.0)</f>
        <v>16994</v>
      </c>
      <c r="B6777" s="5" t="str">
        <f>IFERROR(__xludf.DUMMYFUNCTION("""COMPUTED_VALUE"""),"هیأت")</f>
        <v>هیأت</v>
      </c>
      <c r="C6777" s="5" t="str">
        <f>IFERROR(__xludf.DUMMYFUNCTION("""COMPUTED_VALUE"""),"لثارات الحسین(ع)")</f>
        <v>لثارات الحسین(ع)</v>
      </c>
      <c r="D6777" s="5" t="str">
        <f>IFERROR(__xludf.DUMMYFUNCTION("""COMPUTED_VALUE"""),"یزد")</f>
        <v>یزد</v>
      </c>
      <c r="E6777" s="5" t="str">
        <f>IFERROR(__xludf.DUMMYFUNCTION("""COMPUTED_VALUE"""),"یزد")</f>
        <v>یزد</v>
      </c>
      <c r="F6777" s="5"/>
      <c r="G6777" s="5"/>
      <c r="H6777" s="6" t="str">
        <f>IFERROR(__xludf.DUMMYFUNCTION("""COMPUTED_VALUE"""),"https://www.instagram.com/haram128.ir")</f>
        <v>https://www.instagram.com/haram128.ir</v>
      </c>
      <c r="I6777" s="5"/>
      <c r="J6777" s="5"/>
      <c r="K6777" s="5"/>
      <c r="L6777" s="5"/>
      <c r="M6777" s="5"/>
      <c r="N6777" s="5"/>
      <c r="O6777" s="5"/>
      <c r="P6777" s="5"/>
      <c r="Q6777" s="5"/>
      <c r="R6777" s="5"/>
      <c r="S6777" s="5"/>
    </row>
    <row r="6778">
      <c r="A6778" s="5">
        <f>IFERROR(__xludf.DUMMYFUNCTION("""COMPUTED_VALUE"""),16996.0)</f>
        <v>16996</v>
      </c>
      <c r="B6778" s="5" t="str">
        <f>IFERROR(__xludf.DUMMYFUNCTION("""COMPUTED_VALUE"""),"هیأت")</f>
        <v>هیأت</v>
      </c>
      <c r="C6778" s="5" t="str">
        <f>IFERROR(__xludf.DUMMYFUNCTION("""COMPUTED_VALUE"""),"امامزاده سید‏ جعفر محمد و شاهزاده فاضل")</f>
        <v>امامزاده سید‏ جعفر محمد و شاهزاده فاضل</v>
      </c>
      <c r="D6778" s="5" t="str">
        <f>IFERROR(__xludf.DUMMYFUNCTION("""COMPUTED_VALUE"""),"یزد")</f>
        <v>یزد</v>
      </c>
      <c r="E6778" s="5" t="str">
        <f>IFERROR(__xludf.DUMMYFUNCTION("""COMPUTED_VALUE"""),"یزد")</f>
        <v>یزد</v>
      </c>
      <c r="F6778" s="5"/>
      <c r="G6778" s="5"/>
      <c r="H6778" s="6" t="str">
        <f>IFERROR(__xludf.DUMMYFUNCTION("""COMPUTED_VALUE"""),"https://www.instagram.com/shahzadefazel.yazd")</f>
        <v>https://www.instagram.com/shahzadefazel.yazd</v>
      </c>
      <c r="I6778" s="5"/>
      <c r="J6778" s="6" t="str">
        <f>IFERROR(__xludf.DUMMYFUNCTION("""COMPUTED_VALUE"""),"https://eitaa.com/emamzade_jafar_yazd")</f>
        <v>https://eitaa.com/emamzade_jafar_yazd</v>
      </c>
      <c r="K6778" s="5"/>
      <c r="L6778" s="5"/>
      <c r="M6778" s="5"/>
      <c r="N6778" s="5"/>
      <c r="O6778" s="5"/>
      <c r="P6778" s="5"/>
      <c r="Q6778" s="5"/>
      <c r="R6778" s="5"/>
      <c r="S6778" s="5"/>
    </row>
    <row r="6779">
      <c r="A6779" s="5">
        <f>IFERROR(__xludf.DUMMYFUNCTION("""COMPUTED_VALUE"""),17002.0)</f>
        <v>17002</v>
      </c>
      <c r="B6779" s="5" t="str">
        <f>IFERROR(__xludf.DUMMYFUNCTION("""COMPUTED_VALUE"""),"هیأت")</f>
        <v>هیأت</v>
      </c>
      <c r="C6779" s="5" t="str">
        <f>IFERROR(__xludf.DUMMYFUNCTION("""COMPUTED_VALUE"""),"محبان الزهرا (س)")</f>
        <v>محبان الزهرا (س)</v>
      </c>
      <c r="D6779" s="5" t="str">
        <f>IFERROR(__xludf.DUMMYFUNCTION("""COMPUTED_VALUE"""),"یزد")</f>
        <v>یزد</v>
      </c>
      <c r="E6779" s="5" t="str">
        <f>IFERROR(__xludf.DUMMYFUNCTION("""COMPUTED_VALUE"""),"یزد")</f>
        <v>یزد</v>
      </c>
      <c r="F6779" s="5"/>
      <c r="G6779" s="5"/>
      <c r="H6779" s="6" t="str">
        <f>IFERROR(__xludf.DUMMYFUNCTION("""COMPUTED_VALUE"""),"https://www.instagram.com/moheban_alzahras/")</f>
        <v>https://www.instagram.com/moheban_alzahras/</v>
      </c>
      <c r="I6779" s="5"/>
      <c r="J6779" s="6" t="str">
        <f>IFERROR(__xludf.DUMMYFUNCTION("""COMPUTED_VALUE"""),"https://eitaa.com/Moheban313zahra")</f>
        <v>https://eitaa.com/Moheban313zahra</v>
      </c>
      <c r="K6779" s="5"/>
      <c r="L6779" s="5"/>
      <c r="M6779" s="5"/>
      <c r="N6779" s="5"/>
      <c r="O6779" s="5"/>
      <c r="P6779" s="5"/>
      <c r="Q6779" s="5"/>
      <c r="R6779" s="5"/>
      <c r="S6779" s="5"/>
    </row>
    <row r="6780">
      <c r="A6780" s="5">
        <f>IFERROR(__xludf.DUMMYFUNCTION("""COMPUTED_VALUE"""),17048.0)</f>
        <v>17048</v>
      </c>
      <c r="B6780" s="5" t="str">
        <f>IFERROR(__xludf.DUMMYFUNCTION("""COMPUTED_VALUE"""),"هیأت")</f>
        <v>هیأت</v>
      </c>
      <c r="C6780" s="5" t="str">
        <f>IFERROR(__xludf.DUMMYFUNCTION("""COMPUTED_VALUE"""),"حیدریون")</f>
        <v>حیدریون</v>
      </c>
      <c r="D6780" s="5" t="str">
        <f>IFERROR(__xludf.DUMMYFUNCTION("""COMPUTED_VALUE"""),"یزد")</f>
        <v>یزد</v>
      </c>
      <c r="E6780" s="5" t="str">
        <f>IFERROR(__xludf.DUMMYFUNCTION("""COMPUTED_VALUE"""),"یزد")</f>
        <v>یزد</v>
      </c>
      <c r="F6780" s="5"/>
      <c r="G6780" s="5"/>
      <c r="H6780" s="6" t="str">
        <f>IFERROR(__xludf.DUMMYFUNCTION("""COMPUTED_VALUE"""),"https://www.instagram.com/heydaryun110/")</f>
        <v>https://www.instagram.com/heydaryun110/</v>
      </c>
      <c r="I6780" s="5"/>
      <c r="J6780" s="5"/>
      <c r="K6780" s="5"/>
      <c r="L6780" s="5"/>
      <c r="M6780" s="5"/>
      <c r="N6780" s="5"/>
      <c r="O6780" s="5"/>
      <c r="P6780" s="5"/>
      <c r="Q6780" s="5"/>
      <c r="R6780" s="5"/>
      <c r="S6780" s="5"/>
    </row>
    <row r="6781">
      <c r="A6781" s="5">
        <f>IFERROR(__xludf.DUMMYFUNCTION("""COMPUTED_VALUE"""),17053.0)</f>
        <v>17053</v>
      </c>
      <c r="B6781" s="5" t="str">
        <f>IFERROR(__xludf.DUMMYFUNCTION("""COMPUTED_VALUE"""),"هیأت")</f>
        <v>هیأت</v>
      </c>
      <c r="C6781" s="5" t="str">
        <f>IFERROR(__xludf.DUMMYFUNCTION("""COMPUTED_VALUE"""),"ابوالفضل العباس(ع)")</f>
        <v>ابوالفضل العباس(ع)</v>
      </c>
      <c r="D6781" s="5" t="str">
        <f>IFERROR(__xludf.DUMMYFUNCTION("""COMPUTED_VALUE"""),"یزد")</f>
        <v>یزد</v>
      </c>
      <c r="E6781" s="5" t="str">
        <f>IFERROR(__xludf.DUMMYFUNCTION("""COMPUTED_VALUE"""),"یزد")</f>
        <v>یزد</v>
      </c>
      <c r="F6781" s="5"/>
      <c r="G6781" s="5"/>
      <c r="H6781" s="6" t="str">
        <f>IFERROR(__xludf.DUMMYFUNCTION("""COMPUTED_VALUE"""),"https://www.instagram.com/abulfazl_alabbas_yazd")</f>
        <v>https://www.instagram.com/abulfazl_alabbas_yazd</v>
      </c>
      <c r="I6781" s="5"/>
      <c r="J6781" s="5"/>
      <c r="K6781" s="5"/>
      <c r="L6781" s="5"/>
      <c r="M6781" s="5"/>
      <c r="N6781" s="5"/>
      <c r="O6781" s="5"/>
      <c r="P6781" s="5"/>
      <c r="Q6781" s="5"/>
      <c r="R6781" s="5"/>
      <c r="S6781" s="5"/>
    </row>
    <row r="6782">
      <c r="A6782" s="5">
        <f>IFERROR(__xludf.DUMMYFUNCTION("""COMPUTED_VALUE"""),17078.0)</f>
        <v>17078</v>
      </c>
      <c r="B6782" s="5" t="str">
        <f>IFERROR(__xludf.DUMMYFUNCTION("""COMPUTED_VALUE"""),"هیأت دانشجویی")</f>
        <v>هیأت دانشجویی</v>
      </c>
      <c r="C6782" s="5" t="str">
        <f>IFERROR(__xludf.DUMMYFUNCTION("""COMPUTED_VALUE"""),"امام حسن مجتبی(ع) ( دانشجویی/جهاد دانشگاهی)")</f>
        <v>امام حسن مجتبی(ع) ( دانشجویی/جهاد دانشگاهی)</v>
      </c>
      <c r="D6782" s="5" t="str">
        <f>IFERROR(__xludf.DUMMYFUNCTION("""COMPUTED_VALUE"""),"یزد")</f>
        <v>یزد</v>
      </c>
      <c r="E6782" s="5" t="str">
        <f>IFERROR(__xludf.DUMMYFUNCTION("""COMPUTED_VALUE"""),"یزد")</f>
        <v>یزد</v>
      </c>
      <c r="F6782" s="5"/>
      <c r="G6782" s="5"/>
      <c r="H6782" s="5"/>
      <c r="I6782" s="5"/>
      <c r="J6782" s="6" t="str">
        <f>IFERROR(__xludf.DUMMYFUNCTION("""COMPUTED_VALUE"""),"https://eitaa.com/heiatemamhasan_elmohonar")</f>
        <v>https://eitaa.com/heiatemamhasan_elmohonar</v>
      </c>
      <c r="K6782" s="5"/>
      <c r="L6782" s="5"/>
      <c r="M6782" s="5"/>
      <c r="N6782" s="5"/>
      <c r="O6782" s="5"/>
      <c r="P6782" s="5"/>
      <c r="Q6782" s="5"/>
      <c r="R6782" s="5"/>
      <c r="S6782" s="5"/>
    </row>
    <row r="6783">
      <c r="A6783" s="5">
        <f>IFERROR(__xludf.DUMMYFUNCTION("""COMPUTED_VALUE"""),17082.0)</f>
        <v>17082</v>
      </c>
      <c r="B6783" s="5" t="str">
        <f>IFERROR(__xludf.DUMMYFUNCTION("""COMPUTED_VALUE"""),"هیأت")</f>
        <v>هیأت</v>
      </c>
      <c r="C6783" s="5" t="str">
        <f>IFERROR(__xludf.DUMMYFUNCTION("""COMPUTED_VALUE"""),"بین الحرمین")</f>
        <v>بین الحرمین</v>
      </c>
      <c r="D6783" s="5" t="str">
        <f>IFERROR(__xludf.DUMMYFUNCTION("""COMPUTED_VALUE"""),"یزد")</f>
        <v>یزد</v>
      </c>
      <c r="E6783" s="5" t="str">
        <f>IFERROR(__xludf.DUMMYFUNCTION("""COMPUTED_VALUE"""),"یزد")</f>
        <v>یزد</v>
      </c>
      <c r="F6783" s="5"/>
      <c r="G6783" s="5"/>
      <c r="H6783" s="6" t="str">
        <f>IFERROR(__xludf.DUMMYFUNCTION("""COMPUTED_VALUE"""),"https://www.instagram.com/binolharamien.yazd/")</f>
        <v>https://www.instagram.com/binolharamien.yazd/</v>
      </c>
      <c r="I6783" s="6" t="str">
        <f>IFERROR(__xludf.DUMMYFUNCTION("""COMPUTED_VALUE"""),"https://t.me/+qQwUPeI4u2U5MGVk")</f>
        <v>https://t.me/+qQwUPeI4u2U5MGVk</v>
      </c>
      <c r="J6783" s="6" t="str">
        <f>IFERROR(__xludf.DUMMYFUNCTION("""COMPUTED_VALUE"""),"https://eitaa.com/binolharamienyazd")</f>
        <v>https://eitaa.com/binolharamienyazd</v>
      </c>
      <c r="K6783" s="5"/>
      <c r="L6783" s="5"/>
      <c r="M6783" s="5"/>
      <c r="N6783" s="5"/>
      <c r="O6783" s="5"/>
      <c r="P6783" s="5"/>
      <c r="Q6783" s="5"/>
      <c r="R6783" s="5"/>
      <c r="S6783" s="5"/>
    </row>
    <row r="6784">
      <c r="A6784" s="5">
        <f>IFERROR(__xludf.DUMMYFUNCTION("""COMPUTED_VALUE"""),17107.0)</f>
        <v>17107</v>
      </c>
      <c r="B6784" s="5" t="str">
        <f>IFERROR(__xludf.DUMMYFUNCTION("""COMPUTED_VALUE"""),"هیأت")</f>
        <v>هیأت</v>
      </c>
      <c r="C6784" s="5" t="str">
        <f>IFERROR(__xludf.DUMMYFUNCTION("""COMPUTED_VALUE"""),"عاشقان ابناءالزهرا (س)")</f>
        <v>عاشقان ابناءالزهرا (س)</v>
      </c>
      <c r="D6784" s="5" t="str">
        <f>IFERROR(__xludf.DUMMYFUNCTION("""COMPUTED_VALUE"""),"یزد")</f>
        <v>یزد</v>
      </c>
      <c r="E6784" s="5" t="str">
        <f>IFERROR(__xludf.DUMMYFUNCTION("""COMPUTED_VALUE"""),"یزد")</f>
        <v>یزد</v>
      </c>
      <c r="F6784" s="5"/>
      <c r="G6784" s="5"/>
      <c r="H6784" s="6" t="str">
        <f>IFERROR(__xludf.DUMMYFUNCTION("""COMPUTED_VALUE"""),"https://www.instagram.com/asheghanbanizahra")</f>
        <v>https://www.instagram.com/asheghanbanizahra</v>
      </c>
      <c r="I6784" s="5"/>
      <c r="J6784" s="5"/>
      <c r="K6784" s="5"/>
      <c r="L6784" s="5"/>
      <c r="M6784" s="5"/>
      <c r="N6784" s="5"/>
      <c r="O6784" s="5"/>
      <c r="P6784" s="5"/>
      <c r="Q6784" s="5"/>
      <c r="R6784" s="5"/>
      <c r="S6784" s="5"/>
    </row>
    <row r="6785">
      <c r="A6785" s="5">
        <f>IFERROR(__xludf.DUMMYFUNCTION("""COMPUTED_VALUE"""),17109.0)</f>
        <v>17109</v>
      </c>
      <c r="B6785" s="5" t="str">
        <f>IFERROR(__xludf.DUMMYFUNCTION("""COMPUTED_VALUE"""),"هیأت")</f>
        <v>هیأت</v>
      </c>
      <c r="C6785" s="5" t="str">
        <f>IFERROR(__xludf.DUMMYFUNCTION("""COMPUTED_VALUE"""),"روضه کربلا")</f>
        <v>روضه کربلا</v>
      </c>
      <c r="D6785" s="5" t="str">
        <f>IFERROR(__xludf.DUMMYFUNCTION("""COMPUTED_VALUE"""),"یزد")</f>
        <v>یزد</v>
      </c>
      <c r="E6785" s="5" t="str">
        <f>IFERROR(__xludf.DUMMYFUNCTION("""COMPUTED_VALUE"""),"یزد")</f>
        <v>یزد</v>
      </c>
      <c r="F6785" s="5"/>
      <c r="G6785" s="5"/>
      <c r="H6785" s="6" t="str">
        <f>IFERROR(__xludf.DUMMYFUNCTION("""COMPUTED_VALUE"""),"https://www.instagram.com/rozatolkarbala")</f>
        <v>https://www.instagram.com/rozatolkarbala</v>
      </c>
      <c r="I6785" s="5"/>
      <c r="J6785" s="6" t="str">
        <f>IFERROR(__xludf.DUMMYFUNCTION("""COMPUTED_VALUE"""),"https://eitaa.com/rozatolkarbala")</f>
        <v>https://eitaa.com/rozatolkarbala</v>
      </c>
      <c r="K6785" s="5"/>
      <c r="L6785" s="5"/>
      <c r="M6785" s="5"/>
      <c r="N6785" s="5"/>
      <c r="O6785" s="5"/>
      <c r="P6785" s="5"/>
      <c r="Q6785" s="5"/>
      <c r="R6785" s="5"/>
      <c r="S6785" s="5"/>
    </row>
    <row r="6786">
      <c r="A6786" s="5">
        <f>IFERROR(__xludf.DUMMYFUNCTION("""COMPUTED_VALUE"""),17111.0)</f>
        <v>17111</v>
      </c>
      <c r="B6786" s="5" t="str">
        <f>IFERROR(__xludf.DUMMYFUNCTION("""COMPUTED_VALUE"""),"هیأت")</f>
        <v>هیأت</v>
      </c>
      <c r="C6786" s="5" t="str">
        <f>IFERROR(__xludf.DUMMYFUNCTION("""COMPUTED_VALUE"""),"مکتب الحسین(ع)")</f>
        <v>مکتب الحسین(ع)</v>
      </c>
      <c r="D6786" s="5" t="str">
        <f>IFERROR(__xludf.DUMMYFUNCTION("""COMPUTED_VALUE"""),"یزد")</f>
        <v>یزد</v>
      </c>
      <c r="E6786" s="5" t="str">
        <f>IFERROR(__xludf.DUMMYFUNCTION("""COMPUTED_VALUE"""),"یزد")</f>
        <v>یزد</v>
      </c>
      <c r="F6786" s="5"/>
      <c r="G6786" s="5"/>
      <c r="H6786" s="5"/>
      <c r="I6786" s="5"/>
      <c r="J6786" s="6" t="str">
        <f>IFERROR(__xludf.DUMMYFUNCTION("""COMPUTED_VALUE"""),"https://eitaa.com/maddahanyazd")</f>
        <v>https://eitaa.com/maddahanyazd</v>
      </c>
      <c r="K6786" s="5"/>
      <c r="L6786" s="5"/>
      <c r="M6786" s="5"/>
      <c r="N6786" s="5"/>
      <c r="O6786" s="5"/>
      <c r="P6786" s="5"/>
      <c r="Q6786" s="5"/>
      <c r="R6786" s="5"/>
      <c r="S6786" s="5"/>
    </row>
    <row r="6787">
      <c r="A6787" s="5">
        <f>IFERROR(__xludf.DUMMYFUNCTION("""COMPUTED_VALUE"""),17114.0)</f>
        <v>17114</v>
      </c>
      <c r="B6787" s="5" t="str">
        <f>IFERROR(__xludf.DUMMYFUNCTION("""COMPUTED_VALUE"""),"هیأت")</f>
        <v>هیأت</v>
      </c>
      <c r="C6787" s="5" t="str">
        <f>IFERROR(__xludf.DUMMYFUNCTION("""COMPUTED_VALUE"""),"اباصالح(عج)")</f>
        <v>اباصالح(عج)</v>
      </c>
      <c r="D6787" s="5" t="str">
        <f>IFERROR(__xludf.DUMMYFUNCTION("""COMPUTED_VALUE"""),"یزد")</f>
        <v>یزد</v>
      </c>
      <c r="E6787" s="5" t="str">
        <f>IFERROR(__xludf.DUMMYFUNCTION("""COMPUTED_VALUE"""),"یزد")</f>
        <v>یزد</v>
      </c>
      <c r="F6787" s="5"/>
      <c r="G6787" s="5"/>
      <c r="H6787" s="6" t="str">
        <f>IFERROR(__xludf.DUMMYFUNCTION("""COMPUTED_VALUE"""),"https://www.instagram.com/heyat_abasalehyazd/")</f>
        <v>https://www.instagram.com/heyat_abasalehyazd/</v>
      </c>
      <c r="I6787" s="5"/>
      <c r="J6787" s="5"/>
      <c r="K6787" s="5"/>
      <c r="L6787" s="5"/>
      <c r="M6787" s="5"/>
      <c r="N6787" s="5"/>
      <c r="O6787" s="5"/>
      <c r="P6787" s="5"/>
      <c r="Q6787" s="5"/>
      <c r="R6787" s="5"/>
      <c r="S6787" s="5"/>
    </row>
    <row r="6788">
      <c r="A6788" s="5">
        <f>IFERROR(__xludf.DUMMYFUNCTION("""COMPUTED_VALUE"""),17120.0)</f>
        <v>17120</v>
      </c>
      <c r="B6788" s="5" t="str">
        <f>IFERROR(__xludf.DUMMYFUNCTION("""COMPUTED_VALUE"""),"هیأت")</f>
        <v>هیأت</v>
      </c>
      <c r="C6788" s="5" t="str">
        <f>IFERROR(__xludf.DUMMYFUNCTION("""COMPUTED_VALUE"""),"عزاداران اسلام آباد")</f>
        <v>عزاداران اسلام آباد</v>
      </c>
      <c r="D6788" s="5" t="str">
        <f>IFERROR(__xludf.DUMMYFUNCTION("""COMPUTED_VALUE"""),"یزد")</f>
        <v>یزد</v>
      </c>
      <c r="E6788" s="5" t="str">
        <f>IFERROR(__xludf.DUMMYFUNCTION("""COMPUTED_VALUE"""),"یزد")</f>
        <v>یزد</v>
      </c>
      <c r="F6788" s="5"/>
      <c r="G6788" s="5"/>
      <c r="H6788" s="6" t="str">
        <f>IFERROR(__xludf.DUMMYFUNCTION("""COMPUTED_VALUE"""),"https://www.instagram.com/eslamabadyazd/")</f>
        <v>https://www.instagram.com/eslamabadyazd/</v>
      </c>
      <c r="I6788" s="5"/>
      <c r="J6788" s="5"/>
      <c r="K6788" s="5"/>
      <c r="L6788" s="5"/>
      <c r="M6788" s="5"/>
      <c r="N6788" s="5"/>
      <c r="O6788" s="5"/>
      <c r="P6788" s="5"/>
      <c r="Q6788" s="5"/>
      <c r="R6788" s="5"/>
      <c r="S6788" s="5"/>
    </row>
    <row r="6789">
      <c r="A6789" s="5">
        <f>IFERROR(__xludf.DUMMYFUNCTION("""COMPUTED_VALUE"""),17122.0)</f>
        <v>17122</v>
      </c>
      <c r="B6789" s="5" t="str">
        <f>IFERROR(__xludf.DUMMYFUNCTION("""COMPUTED_VALUE"""),"هیأت")</f>
        <v>هیأت</v>
      </c>
      <c r="C6789" s="5" t="str">
        <f>IFERROR(__xludf.DUMMYFUNCTION("""COMPUTED_VALUE"""),"جوانان قمربنی هاشم(ع)")</f>
        <v>جوانان قمربنی هاشم(ع)</v>
      </c>
      <c r="D6789" s="5" t="str">
        <f>IFERROR(__xludf.DUMMYFUNCTION("""COMPUTED_VALUE"""),"یزد")</f>
        <v>یزد</v>
      </c>
      <c r="E6789" s="5" t="str">
        <f>IFERROR(__xludf.DUMMYFUNCTION("""COMPUTED_VALUE"""),"یزد")</f>
        <v>یزد</v>
      </c>
      <c r="F6789" s="5"/>
      <c r="G6789" s="5"/>
      <c r="H6789" s="6" t="str">
        <f>IFERROR(__xludf.DUMMYFUNCTION("""COMPUTED_VALUE"""),"https://www.instagram.com/javanane_ghamare_bani_hashem")</f>
        <v>https://www.instagram.com/javanane_ghamare_bani_hashem</v>
      </c>
      <c r="I6789" s="5"/>
      <c r="J6789" s="5"/>
      <c r="K6789" s="5"/>
      <c r="L6789" s="5"/>
      <c r="M6789" s="5"/>
      <c r="N6789" s="5"/>
      <c r="O6789" s="5"/>
      <c r="P6789" s="5"/>
      <c r="Q6789" s="5"/>
      <c r="R6789" s="5"/>
      <c r="S6789" s="5"/>
    </row>
    <row r="6790">
      <c r="A6790" s="5">
        <f>IFERROR(__xludf.DUMMYFUNCTION("""COMPUTED_VALUE"""),17126.0)</f>
        <v>17126</v>
      </c>
      <c r="B6790" s="5" t="str">
        <f>IFERROR(__xludf.DUMMYFUNCTION("""COMPUTED_VALUE"""),"هیأت")</f>
        <v>هیأت</v>
      </c>
      <c r="C6790" s="5" t="str">
        <f>IFERROR(__xludf.DUMMYFUNCTION("""COMPUTED_VALUE"""),"محبان الحسین (ع)")</f>
        <v>محبان الحسین (ع)</v>
      </c>
      <c r="D6790" s="5" t="str">
        <f>IFERROR(__xludf.DUMMYFUNCTION("""COMPUTED_VALUE"""),"یزد")</f>
        <v>یزد</v>
      </c>
      <c r="E6790" s="5" t="str">
        <f>IFERROR(__xludf.DUMMYFUNCTION("""COMPUTED_VALUE"""),"یزد")</f>
        <v>یزد</v>
      </c>
      <c r="F6790" s="5"/>
      <c r="G6790" s="5"/>
      <c r="H6790" s="6" t="str">
        <f>IFERROR(__xludf.DUMMYFUNCTION("""COMPUTED_VALUE"""),"https://www.instagram.com/moheban313_ir/")</f>
        <v>https://www.instagram.com/moheban313_ir/</v>
      </c>
      <c r="I6790" s="6" t="str">
        <f>IFERROR(__xludf.DUMMYFUNCTION("""COMPUTED_VALUE"""),"https://www.instagram.com/moheban_al_hosein_yazd")</f>
        <v>https://www.instagram.com/moheban_al_hosein_yazd</v>
      </c>
      <c r="J6790" s="6" t="str">
        <f>IFERROR(__xludf.DUMMYFUNCTION("""COMPUTED_VALUE"""),"https://eitaa.com/moheban313ir")</f>
        <v>https://eitaa.com/moheban313ir</v>
      </c>
      <c r="K6790" s="5"/>
      <c r="L6790" s="5"/>
      <c r="M6790" s="5"/>
      <c r="N6790" s="5"/>
      <c r="O6790" s="5"/>
      <c r="P6790" s="5"/>
      <c r="Q6790" s="5"/>
      <c r="R6790" s="5"/>
      <c r="S6790" s="5"/>
    </row>
    <row r="6791">
      <c r="A6791" s="5">
        <f>IFERROR(__xludf.DUMMYFUNCTION("""COMPUTED_VALUE"""),17143.0)</f>
        <v>17143</v>
      </c>
      <c r="B6791" s="5" t="str">
        <f>IFERROR(__xludf.DUMMYFUNCTION("""COMPUTED_VALUE"""),"هیأت")</f>
        <v>هیأت</v>
      </c>
      <c r="C6791" s="5" t="str">
        <f>IFERROR(__xludf.DUMMYFUNCTION("""COMPUTED_VALUE"""),"خلف باغ")</f>
        <v>خلف باغ</v>
      </c>
      <c r="D6791" s="5" t="str">
        <f>IFERROR(__xludf.DUMMYFUNCTION("""COMPUTED_VALUE"""),"یزد")</f>
        <v>یزد</v>
      </c>
      <c r="E6791" s="5" t="str">
        <f>IFERROR(__xludf.DUMMYFUNCTION("""COMPUTED_VALUE"""),"یزد")</f>
        <v>یزد</v>
      </c>
      <c r="F6791" s="5"/>
      <c r="G6791" s="5"/>
      <c r="H6791" s="6" t="str">
        <f>IFERROR(__xludf.DUMMYFUNCTION("""COMPUTED_VALUE"""),"https://www.instagram.com/heyatekhalfebagh_yazd")</f>
        <v>https://www.instagram.com/heyatekhalfebagh_yazd</v>
      </c>
      <c r="I6791" s="5"/>
      <c r="J6791" s="5"/>
      <c r="K6791" s="5"/>
      <c r="L6791" s="5"/>
      <c r="M6791" s="5"/>
      <c r="N6791" s="5"/>
      <c r="O6791" s="5"/>
      <c r="P6791" s="5"/>
      <c r="Q6791" s="5"/>
      <c r="R6791" s="5"/>
      <c r="S6791" s="5"/>
    </row>
    <row r="6792">
      <c r="A6792" s="5">
        <f>IFERROR(__xludf.DUMMYFUNCTION("""COMPUTED_VALUE"""),17146.0)</f>
        <v>17146</v>
      </c>
      <c r="B6792" s="5" t="str">
        <f>IFERROR(__xludf.DUMMYFUNCTION("""COMPUTED_VALUE"""),"هیأت")</f>
        <v>هیأت</v>
      </c>
      <c r="C6792" s="5" t="str">
        <f>IFERROR(__xludf.DUMMYFUNCTION("""COMPUTED_VALUE"""),"چهارمنار")</f>
        <v>چهارمنار</v>
      </c>
      <c r="D6792" s="5" t="str">
        <f>IFERROR(__xludf.DUMMYFUNCTION("""COMPUTED_VALUE"""),"یزد")</f>
        <v>یزد</v>
      </c>
      <c r="E6792" s="5" t="str">
        <f>IFERROR(__xludf.DUMMYFUNCTION("""COMPUTED_VALUE"""),"یزد")</f>
        <v>یزد</v>
      </c>
      <c r="F6792" s="5"/>
      <c r="G6792" s="5"/>
      <c r="H6792" s="6" t="str">
        <f>IFERROR(__xludf.DUMMYFUNCTION("""COMPUTED_VALUE"""),"https://www.instagram.com/chaharmonar.yazd/")</f>
        <v>https://www.instagram.com/chaharmonar.yazd/</v>
      </c>
      <c r="I6792" s="6" t="str">
        <f>IFERROR(__xludf.DUMMYFUNCTION("""COMPUTED_VALUE"""),"https://t.me/chaharmonaryazd")</f>
        <v>https://t.me/chaharmonaryazd</v>
      </c>
      <c r="J6792" s="5"/>
      <c r="K6792" s="5"/>
      <c r="L6792" s="5"/>
      <c r="M6792" s="5"/>
      <c r="N6792" s="5"/>
      <c r="O6792" s="5"/>
      <c r="P6792" s="5"/>
      <c r="Q6792" s="5"/>
      <c r="R6792" s="5"/>
      <c r="S6792" s="5"/>
    </row>
    <row r="6793">
      <c r="A6793" s="5">
        <f>IFERROR(__xludf.DUMMYFUNCTION("""COMPUTED_VALUE"""),17147.0)</f>
        <v>17147</v>
      </c>
      <c r="B6793" s="5" t="str">
        <f>IFERROR(__xludf.DUMMYFUNCTION("""COMPUTED_VALUE"""),"هیأت")</f>
        <v>هیأت</v>
      </c>
      <c r="C6793" s="5" t="str">
        <f>IFERROR(__xludf.DUMMYFUNCTION("""COMPUTED_VALUE"""),"فهادان")</f>
        <v>فهادان</v>
      </c>
      <c r="D6793" s="5" t="str">
        <f>IFERROR(__xludf.DUMMYFUNCTION("""COMPUTED_VALUE"""),"یزد")</f>
        <v>یزد</v>
      </c>
      <c r="E6793" s="5" t="str">
        <f>IFERROR(__xludf.DUMMYFUNCTION("""COMPUTED_VALUE"""),"یزد")</f>
        <v>یزد</v>
      </c>
      <c r="F6793" s="5"/>
      <c r="G6793" s="5"/>
      <c r="H6793" s="6" t="str">
        <f>IFERROR(__xludf.DUMMYFUNCTION("""COMPUTED_VALUE"""),"https://www.instagram.com/fahadan.yazd")</f>
        <v>https://www.instagram.com/fahadan.yazd</v>
      </c>
      <c r="I6793" s="5"/>
      <c r="J6793" s="5"/>
      <c r="K6793" s="5"/>
      <c r="L6793" s="5"/>
      <c r="M6793" s="5"/>
      <c r="N6793" s="5"/>
      <c r="O6793" s="5"/>
      <c r="P6793" s="5"/>
      <c r="Q6793" s="5"/>
      <c r="R6793" s="5"/>
      <c r="S6793" s="5"/>
    </row>
    <row r="6794">
      <c r="A6794" s="5">
        <f>IFERROR(__xludf.DUMMYFUNCTION("""COMPUTED_VALUE"""),17180.0)</f>
        <v>17180</v>
      </c>
      <c r="B6794" s="5" t="str">
        <f>IFERROR(__xludf.DUMMYFUNCTION("""COMPUTED_VALUE"""),"هیأت")</f>
        <v>هیأت</v>
      </c>
      <c r="C6794" s="5" t="str">
        <f>IFERROR(__xludf.DUMMYFUNCTION("""COMPUTED_VALUE"""),"ماه بنی هاشم(ع) (دروازه شاهی)")</f>
        <v>ماه بنی هاشم(ع) (دروازه شاهی)</v>
      </c>
      <c r="D6794" s="5" t="str">
        <f>IFERROR(__xludf.DUMMYFUNCTION("""COMPUTED_VALUE"""),"یزد")</f>
        <v>یزد</v>
      </c>
      <c r="E6794" s="5" t="str">
        <f>IFERROR(__xludf.DUMMYFUNCTION("""COMPUTED_VALUE"""),"یزد")</f>
        <v>یزد</v>
      </c>
      <c r="F6794" s="5"/>
      <c r="G6794" s="5"/>
      <c r="H6794" s="6" t="str">
        <f>IFERROR(__xludf.DUMMYFUNCTION("""COMPUTED_VALUE"""),"https://www.instagram.com/darvazeshahi_yazd/")</f>
        <v>https://www.instagram.com/darvazeshahi_yazd/</v>
      </c>
      <c r="I6794" s="5"/>
      <c r="J6794" s="5"/>
      <c r="K6794" s="5"/>
      <c r="L6794" s="5"/>
      <c r="M6794" s="5"/>
      <c r="N6794" s="5"/>
      <c r="O6794" s="5"/>
      <c r="P6794" s="5"/>
      <c r="Q6794" s="5"/>
      <c r="R6794" s="5"/>
      <c r="S6794" s="5"/>
    </row>
    <row r="6795">
      <c r="A6795" s="5">
        <f>IFERROR(__xludf.DUMMYFUNCTION("""COMPUTED_VALUE"""),17186.0)</f>
        <v>17186</v>
      </c>
      <c r="B6795" s="5" t="str">
        <f>IFERROR(__xludf.DUMMYFUNCTION("""COMPUTED_VALUE"""),"هیأت")</f>
        <v>هیأت</v>
      </c>
      <c r="C6795" s="5" t="str">
        <f>IFERROR(__xludf.DUMMYFUNCTION("""COMPUTED_VALUE"""),"مسجد امام جعفرصادق(ع)")</f>
        <v>مسجد امام جعفرصادق(ع)</v>
      </c>
      <c r="D6795" s="5" t="str">
        <f>IFERROR(__xludf.DUMMYFUNCTION("""COMPUTED_VALUE"""),"یزد")</f>
        <v>یزد</v>
      </c>
      <c r="E6795" s="5" t="str">
        <f>IFERROR(__xludf.DUMMYFUNCTION("""COMPUTED_VALUE"""),"یزد")</f>
        <v>یزد</v>
      </c>
      <c r="F6795" s="5"/>
      <c r="G6795" s="5"/>
      <c r="H6795" s="5"/>
      <c r="I6795" s="5"/>
      <c r="J6795" s="6" t="str">
        <f>IFERROR(__xludf.DUMMYFUNCTION("""COMPUTED_VALUE"""),"https://eitaa.com/nooralhodainfo")</f>
        <v>https://eitaa.com/nooralhodainfo</v>
      </c>
      <c r="K6795" s="5"/>
      <c r="L6795" s="5"/>
      <c r="M6795" s="5"/>
      <c r="N6795" s="5"/>
      <c r="O6795" s="5"/>
      <c r="P6795" s="5"/>
      <c r="Q6795" s="5"/>
      <c r="R6795" s="5"/>
      <c r="S6795" s="5"/>
    </row>
    <row r="6796">
      <c r="A6796" s="5">
        <f>IFERROR(__xludf.DUMMYFUNCTION("""COMPUTED_VALUE"""),17802.0)</f>
        <v>17802</v>
      </c>
      <c r="B6796" s="5" t="str">
        <f>IFERROR(__xludf.DUMMYFUNCTION("""COMPUTED_VALUE"""),"هیأت")</f>
        <v>هیأت</v>
      </c>
      <c r="C6796" s="5" t="str">
        <f>IFERROR(__xludf.DUMMYFUNCTION("""COMPUTED_VALUE"""),"محبین اهل بیت (ع)")</f>
        <v>محبین اهل بیت (ع)</v>
      </c>
      <c r="D6796" s="5" t="str">
        <f>IFERROR(__xludf.DUMMYFUNCTION("""COMPUTED_VALUE"""),"یزد")</f>
        <v>یزد</v>
      </c>
      <c r="E6796" s="5" t="str">
        <f>IFERROR(__xludf.DUMMYFUNCTION("""COMPUTED_VALUE"""),"یزد")</f>
        <v>یزد</v>
      </c>
      <c r="F6796" s="5"/>
      <c r="G6796" s="5"/>
      <c r="H6796" s="6" t="str">
        <f>IFERROR(__xludf.DUMMYFUNCTION("""COMPUTED_VALUE"""),"https://www.instagram.com/yazdsalavat1384/")</f>
        <v>https://www.instagram.com/yazdsalavat1384/</v>
      </c>
      <c r="I6796" s="6" t="str">
        <f>IFERROR(__xludf.DUMMYFUNCTION("""COMPUTED_VALUE"""),"t.me/yazdsalavat1384")</f>
        <v>t.me/yazdsalavat1384</v>
      </c>
      <c r="J6796" s="5"/>
      <c r="K6796" s="5"/>
      <c r="L6796" s="5"/>
      <c r="M6796" s="5"/>
      <c r="N6796" s="5"/>
      <c r="O6796" s="5"/>
      <c r="P6796" s="5"/>
      <c r="Q6796" s="5"/>
      <c r="R6796" s="5"/>
      <c r="S6796" s="5"/>
    </row>
    <row r="6797">
      <c r="A6797" s="5">
        <f>IFERROR(__xludf.DUMMYFUNCTION("""COMPUTED_VALUE"""),17805.0)</f>
        <v>17805</v>
      </c>
      <c r="B6797" s="5" t="str">
        <f>IFERROR(__xludf.DUMMYFUNCTION("""COMPUTED_VALUE"""),"هیأت")</f>
        <v>هیأت</v>
      </c>
      <c r="C6797" s="5" t="str">
        <f>IFERROR(__xludf.DUMMYFUNCTION("""COMPUTED_VALUE"""),"مکتب الزهرا (س) دارالعباده")</f>
        <v>مکتب الزهرا (س) دارالعباده</v>
      </c>
      <c r="D6797" s="5" t="str">
        <f>IFERROR(__xludf.DUMMYFUNCTION("""COMPUTED_VALUE"""),"یزد")</f>
        <v>یزد</v>
      </c>
      <c r="E6797" s="5" t="str">
        <f>IFERROR(__xludf.DUMMYFUNCTION("""COMPUTED_VALUE"""),"یزد")</f>
        <v>یزد</v>
      </c>
      <c r="F6797" s="5"/>
      <c r="G6797" s="5"/>
      <c r="H6797" s="6" t="str">
        <f>IFERROR(__xludf.DUMMYFUNCTION("""COMPUTED_VALUE"""),"https://www.instagram.com/yaomah_ir/")</f>
        <v>https://www.instagram.com/yaomah_ir/</v>
      </c>
      <c r="I6797" s="6" t="str">
        <f>IFERROR(__xludf.DUMMYFUNCTION("""COMPUTED_VALUE"""),"https://yek.link/yaomah_com")</f>
        <v>https://yek.link/yaomah_com</v>
      </c>
      <c r="J6797" s="6" t="str">
        <f>IFERROR(__xludf.DUMMYFUNCTION("""COMPUTED_VALUE"""),"eitaa.com/yaomah_com")</f>
        <v>eitaa.com/yaomah_com</v>
      </c>
      <c r="K6797" s="5"/>
      <c r="L6797" s="5"/>
      <c r="M6797" s="5"/>
      <c r="N6797" s="5"/>
      <c r="O6797" s="5"/>
      <c r="P6797" s="5"/>
      <c r="Q6797" s="5"/>
      <c r="R6797" s="5"/>
      <c r="S6797" s="5"/>
    </row>
    <row r="6798">
      <c r="A6798" s="5">
        <f>IFERROR(__xludf.DUMMYFUNCTION("""COMPUTED_VALUE"""),17808.0)</f>
        <v>17808</v>
      </c>
      <c r="B6798" s="5" t="str">
        <f>IFERROR(__xludf.DUMMYFUNCTION("""COMPUTED_VALUE"""),"هیأت")</f>
        <v>هیأت</v>
      </c>
      <c r="C6798" s="5" t="str">
        <f>IFERROR(__xludf.DUMMYFUNCTION("""COMPUTED_VALUE"""),"بسیج دانشجویی")</f>
        <v>بسیج دانشجویی</v>
      </c>
      <c r="D6798" s="5" t="str">
        <f>IFERROR(__xludf.DUMMYFUNCTION("""COMPUTED_VALUE"""),"یزد")</f>
        <v>یزد</v>
      </c>
      <c r="E6798" s="5" t="str">
        <f>IFERROR(__xludf.DUMMYFUNCTION("""COMPUTED_VALUE"""),"یزد")</f>
        <v>یزد</v>
      </c>
      <c r="F6798" s="5"/>
      <c r="G6798" s="5"/>
      <c r="H6798" s="5"/>
      <c r="I6798" s="5"/>
      <c r="J6798" s="6" t="str">
        <f>IFERROR(__xludf.DUMMYFUNCTION("""COMPUTED_VALUE"""),"https://eitaa.com/bso_yazd")</f>
        <v>https://eitaa.com/bso_yazd</v>
      </c>
      <c r="K6798" s="5"/>
      <c r="L6798" s="5"/>
      <c r="M6798" s="5"/>
      <c r="N6798" s="5"/>
      <c r="O6798" s="5"/>
      <c r="P6798" s="5"/>
      <c r="Q6798" s="5"/>
      <c r="R6798" s="5"/>
      <c r="S6798" s="5"/>
    </row>
    <row r="6799">
      <c r="A6799" s="5">
        <f>IFERROR(__xludf.DUMMYFUNCTION("""COMPUTED_VALUE"""),17992.0)</f>
        <v>17992</v>
      </c>
      <c r="B6799" s="5" t="str">
        <f>IFERROR(__xludf.DUMMYFUNCTION("""COMPUTED_VALUE"""),"هیأت")</f>
        <v>هیأت</v>
      </c>
      <c r="C6799" s="5" t="str">
        <f>IFERROR(__xludf.DUMMYFUNCTION("""COMPUTED_VALUE"""),"انصار ولایت دارالعباده")</f>
        <v>انصار ولایت دارالعباده</v>
      </c>
      <c r="D6799" s="5" t="str">
        <f>IFERROR(__xludf.DUMMYFUNCTION("""COMPUTED_VALUE"""),"یزد")</f>
        <v>یزد</v>
      </c>
      <c r="E6799" s="5" t="str">
        <f>IFERROR(__xludf.DUMMYFUNCTION("""COMPUTED_VALUE"""),"یزد")</f>
        <v>یزد</v>
      </c>
      <c r="F6799" s="5"/>
      <c r="G6799" s="5"/>
      <c r="H6799" s="6" t="str">
        <f>IFERROR(__xludf.DUMMYFUNCTION("""COMPUTED_VALUE"""),"https://www.instagram.com/darozzekr/")</f>
        <v>https://www.instagram.com/darozzekr/</v>
      </c>
      <c r="I6799" s="5"/>
      <c r="J6799" s="6" t="str">
        <f>IFERROR(__xludf.DUMMYFUNCTION("""COMPUTED_VALUE"""),"https://eitaa.com/darozzekr_com")</f>
        <v>https://eitaa.com/darozzekr_com</v>
      </c>
      <c r="K6799" s="5" t="str">
        <f>IFERROR(__xludf.DUMMYFUNCTION("""COMPUTED_VALUE"""),"-")</f>
        <v>-</v>
      </c>
      <c r="L6799" s="6" t="str">
        <f>IFERROR(__xludf.DUMMYFUNCTION("""COMPUTED_VALUE"""),"https://www.darozzekr.com")</f>
        <v>https://www.darozzekr.com</v>
      </c>
      <c r="M6799" s="5"/>
      <c r="N6799" s="5"/>
      <c r="O6799" s="5"/>
      <c r="P6799" s="5"/>
      <c r="Q6799" s="5"/>
      <c r="R6799" s="5"/>
      <c r="S6799" s="5"/>
    </row>
    <row r="6800">
      <c r="A6800" s="5">
        <f>IFERROR(__xludf.DUMMYFUNCTION("""COMPUTED_VALUE"""),18029.0)</f>
        <v>18029</v>
      </c>
      <c r="B6800" s="5" t="str">
        <f>IFERROR(__xludf.DUMMYFUNCTION("""COMPUTED_VALUE"""),"هیأت")</f>
        <v>هیأت</v>
      </c>
      <c r="C6800" s="5" t="str">
        <f>IFERROR(__xludf.DUMMYFUNCTION("""COMPUTED_VALUE"""),"رزمندگان اسلام")</f>
        <v>رزمندگان اسلام</v>
      </c>
      <c r="D6800" s="5" t="str">
        <f>IFERROR(__xludf.DUMMYFUNCTION("""COMPUTED_VALUE"""),"یزد")</f>
        <v>یزد</v>
      </c>
      <c r="E6800" s="5" t="str">
        <f>IFERROR(__xludf.DUMMYFUNCTION("""COMPUTED_VALUE"""),"یزد")</f>
        <v>یزد</v>
      </c>
      <c r="F6800" s="5"/>
      <c r="G6800" s="5"/>
      <c r="H6800" s="6" t="str">
        <f>IFERROR(__xludf.DUMMYFUNCTION("""COMPUTED_VALUE"""),"http://http//Instagram.com/qolub.2")</f>
        <v>http://http//Instagram.com/qolub.2</v>
      </c>
      <c r="I6800" s="5"/>
      <c r="J6800" s="6" t="str">
        <f>IFERROR(__xludf.DUMMYFUNCTION("""COMPUTED_VALUE"""),"https://eitaa.com/qolub1")</f>
        <v>https://eitaa.com/qolub1</v>
      </c>
      <c r="K6800" s="5"/>
      <c r="L6800" s="5"/>
      <c r="M6800" s="5"/>
      <c r="N6800" s="5"/>
      <c r="O6800" s="5"/>
      <c r="P6800" s="5"/>
      <c r="Q6800" s="5"/>
      <c r="R6800" s="5"/>
      <c r="S6800" s="5"/>
    </row>
    <row r="6801">
      <c r="A6801" s="5">
        <f>IFERROR(__xludf.DUMMYFUNCTION("""COMPUTED_VALUE"""),18030.0)</f>
        <v>18030</v>
      </c>
      <c r="B6801" s="5" t="str">
        <f>IFERROR(__xludf.DUMMYFUNCTION("""COMPUTED_VALUE"""),"هیأت")</f>
        <v>هیأت</v>
      </c>
      <c r="C6801" s="5" t="str">
        <f>IFERROR(__xludf.DUMMYFUNCTION("""COMPUTED_VALUE"""),"رایه الزهرا (س)")</f>
        <v>رایه الزهرا (س)</v>
      </c>
      <c r="D6801" s="5" t="str">
        <f>IFERROR(__xludf.DUMMYFUNCTION("""COMPUTED_VALUE"""),"یزد")</f>
        <v>یزد</v>
      </c>
      <c r="E6801" s="5" t="str">
        <f>IFERROR(__xludf.DUMMYFUNCTION("""COMPUTED_VALUE"""),"یزد")</f>
        <v>یزد</v>
      </c>
      <c r="F6801" s="5"/>
      <c r="G6801" s="5"/>
      <c r="H6801" s="6" t="str">
        <f>IFERROR(__xludf.DUMMYFUNCTION("""COMPUTED_VALUE"""),"https://www.instagram.com/rayat.zahra213")</f>
        <v>https://www.instagram.com/rayat.zahra213</v>
      </c>
      <c r="I6801" s="5"/>
      <c r="J6801" s="6" t="str">
        <f>IFERROR(__xludf.DUMMYFUNCTION("""COMPUTED_VALUE"""),"https://eitaa.com/rayat_zahra213")</f>
        <v>https://eitaa.com/rayat_zahra213</v>
      </c>
      <c r="K6801" s="5"/>
      <c r="L6801" s="5"/>
      <c r="M6801" s="5"/>
      <c r="N6801" s="5"/>
      <c r="O6801" s="5"/>
      <c r="P6801" s="5"/>
      <c r="Q6801" s="5"/>
      <c r="R6801" s="5"/>
      <c r="S6801" s="5"/>
    </row>
    <row r="6802">
      <c r="A6802" s="5">
        <f>IFERROR(__xludf.DUMMYFUNCTION("""COMPUTED_VALUE"""),18255.0)</f>
        <v>18255</v>
      </c>
      <c r="B6802" s="5" t="str">
        <f>IFERROR(__xludf.DUMMYFUNCTION("""COMPUTED_VALUE"""),"هیأت")</f>
        <v>هیأت</v>
      </c>
      <c r="C6802" s="5" t="str">
        <f>IFERROR(__xludf.DUMMYFUNCTION("""COMPUTED_VALUE"""),"الرضا (ع)")</f>
        <v>الرضا (ع)</v>
      </c>
      <c r="D6802" s="5" t="str">
        <f>IFERROR(__xludf.DUMMYFUNCTION("""COMPUTED_VALUE"""),"یزد")</f>
        <v>یزد</v>
      </c>
      <c r="E6802" s="5" t="str">
        <f>IFERROR(__xludf.DUMMYFUNCTION("""COMPUTED_VALUE"""),"یزد")</f>
        <v>یزد</v>
      </c>
      <c r="F6802" s="5"/>
      <c r="G6802" s="5"/>
      <c r="H6802" s="6" t="str">
        <f>IFERROR(__xludf.DUMMYFUNCTION("""COMPUTED_VALUE"""),"https://instagram.com/jannatorreza_yazd")</f>
        <v>https://instagram.com/jannatorreza_yazd</v>
      </c>
      <c r="I6802" s="6" t="str">
        <f>IFERROR(__xludf.DUMMYFUNCTION("""COMPUTED_VALUE"""),"https://t.me/jannatorreza")</f>
        <v>https://t.me/jannatorreza</v>
      </c>
      <c r="J6802" s="6" t="str">
        <f>IFERROR(__xludf.DUMMYFUNCTION("""COMPUTED_VALUE"""),"https://eitaa.com/jannatorreza")</f>
        <v>https://eitaa.com/jannatorreza</v>
      </c>
      <c r="K6802" s="5"/>
      <c r="L6802" s="5"/>
      <c r="M6802" s="5"/>
      <c r="N6802" s="5"/>
      <c r="O6802" s="5"/>
      <c r="P6802" s="5"/>
      <c r="Q6802" s="5"/>
      <c r="R6802" s="5"/>
      <c r="S6802" s="5"/>
    </row>
    <row r="6803">
      <c r="A6803" s="5">
        <f>IFERROR(__xludf.DUMMYFUNCTION("""COMPUTED_VALUE"""),18807.0)</f>
        <v>18807</v>
      </c>
      <c r="B6803" s="5" t="str">
        <f>IFERROR(__xludf.DUMMYFUNCTION("""COMPUTED_VALUE"""),"هیأت")</f>
        <v>هیأت</v>
      </c>
      <c r="C6803" s="5" t="str">
        <f>IFERROR(__xludf.DUMMYFUNCTION("""COMPUTED_VALUE"""),"رایه الهدی (عج) (خواهران)")</f>
        <v>رایه الهدی (عج) (خواهران)</v>
      </c>
      <c r="D6803" s="5" t="str">
        <f>IFERROR(__xludf.DUMMYFUNCTION("""COMPUTED_VALUE"""),"یزد")</f>
        <v>یزد</v>
      </c>
      <c r="E6803" s="5" t="str">
        <f>IFERROR(__xludf.DUMMYFUNCTION("""COMPUTED_VALUE"""),"یزد")</f>
        <v>یزد</v>
      </c>
      <c r="F6803" s="5"/>
      <c r="G6803" s="5"/>
      <c r="H6803" s="5"/>
      <c r="I6803" s="5"/>
      <c r="J6803" s="6" t="str">
        <f>IFERROR(__xludf.DUMMYFUNCTION("""COMPUTED_VALUE"""),"https://eitaa.com/rayat_khaharan")</f>
        <v>https://eitaa.com/rayat_khaharan</v>
      </c>
      <c r="K6803" s="5"/>
      <c r="L6803" s="5"/>
      <c r="M6803" s="5"/>
      <c r="N6803" s="5"/>
      <c r="O6803" s="5"/>
      <c r="P6803" s="5"/>
      <c r="Q6803" s="5"/>
      <c r="R6803" s="5"/>
      <c r="S6803" s="5"/>
    </row>
    <row r="6804">
      <c r="A6804" s="5">
        <f>IFERROR(__xludf.DUMMYFUNCTION("""COMPUTED_VALUE"""),18814.0)</f>
        <v>18814</v>
      </c>
      <c r="B6804" s="5" t="str">
        <f>IFERROR(__xludf.DUMMYFUNCTION("""COMPUTED_VALUE"""),"هیأت")</f>
        <v>هیأت</v>
      </c>
      <c r="C6804" s="5" t="str">
        <f>IFERROR(__xludf.DUMMYFUNCTION("""COMPUTED_VALUE"""),"جوانان فاطمی")</f>
        <v>جوانان فاطمی</v>
      </c>
      <c r="D6804" s="5" t="str">
        <f>IFERROR(__xludf.DUMMYFUNCTION("""COMPUTED_VALUE"""),"یزد")</f>
        <v>یزد</v>
      </c>
      <c r="E6804" s="5" t="str">
        <f>IFERROR(__xludf.DUMMYFUNCTION("""COMPUTED_VALUE"""),"یزد")</f>
        <v>یزد</v>
      </c>
      <c r="F6804" s="5"/>
      <c r="G6804" s="5"/>
      <c r="H6804" s="6" t="str">
        <f>IFERROR(__xludf.DUMMYFUNCTION("""COMPUTED_VALUE"""),"https://www.instagram.com/javanan.fatemi/")</f>
        <v>https://www.instagram.com/javanan.fatemi/</v>
      </c>
      <c r="I6804" s="5"/>
      <c r="J6804" s="5"/>
      <c r="K6804" s="5"/>
      <c r="L6804" s="5"/>
      <c r="M6804" s="5"/>
      <c r="N6804" s="5"/>
      <c r="O6804" s="5"/>
      <c r="P6804" s="5"/>
      <c r="Q6804" s="5"/>
      <c r="R6804" s="5"/>
      <c r="S6804" s="5"/>
    </row>
    <row r="6805">
      <c r="A6805" s="5">
        <f>IFERROR(__xludf.DUMMYFUNCTION("""COMPUTED_VALUE"""),18990.0)</f>
        <v>18990</v>
      </c>
      <c r="B6805" s="5" t="str">
        <f>IFERROR(__xludf.DUMMYFUNCTION("""COMPUTED_VALUE"""),"هیأت")</f>
        <v>هیأت</v>
      </c>
      <c r="C6805" s="5" t="str">
        <f>IFERROR(__xludf.DUMMYFUNCTION("""COMPUTED_VALUE"""),"آل یاسین")</f>
        <v>آل یاسین</v>
      </c>
      <c r="D6805" s="5" t="str">
        <f>IFERROR(__xludf.DUMMYFUNCTION("""COMPUTED_VALUE"""),"یزد")</f>
        <v>یزد</v>
      </c>
      <c r="E6805" s="5" t="str">
        <f>IFERROR(__xludf.DUMMYFUNCTION("""COMPUTED_VALUE"""),"یزد")</f>
        <v>یزد</v>
      </c>
      <c r="F6805" s="5"/>
      <c r="G6805" s="5"/>
      <c r="H6805" s="5"/>
      <c r="I6805" s="5"/>
      <c r="J6805" s="6" t="str">
        <f>IFERROR(__xludf.DUMMYFUNCTION("""COMPUTED_VALUE"""),"https://eitaa.com/aleyasinyazd")</f>
        <v>https://eitaa.com/aleyasinyazd</v>
      </c>
      <c r="K6805" s="5"/>
      <c r="L6805" s="5"/>
      <c r="M6805" s="5"/>
      <c r="N6805" s="5"/>
      <c r="O6805" s="5"/>
      <c r="P6805" s="5"/>
      <c r="Q6805" s="5"/>
      <c r="R6805" s="5"/>
      <c r="S6805" s="5"/>
    </row>
    <row r="6806">
      <c r="A6806" s="5">
        <f>IFERROR(__xludf.DUMMYFUNCTION("""COMPUTED_VALUE"""),19622.0)</f>
        <v>19622</v>
      </c>
      <c r="B6806" s="5" t="str">
        <f>IFERROR(__xludf.DUMMYFUNCTION("""COMPUTED_VALUE"""),"هیأت")</f>
        <v>هیأت</v>
      </c>
      <c r="C6806" s="5" t="str">
        <f>IFERROR(__xludf.DUMMYFUNCTION("""COMPUTED_VALUE"""),"انصار اباعبدالله (ع)")</f>
        <v>انصار اباعبدالله (ع)</v>
      </c>
      <c r="D6806" s="5" t="str">
        <f>IFERROR(__xludf.DUMMYFUNCTION("""COMPUTED_VALUE"""),"یزد")</f>
        <v>یزد</v>
      </c>
      <c r="E6806" s="5" t="str">
        <f>IFERROR(__xludf.DUMMYFUNCTION("""COMPUTED_VALUE"""),"یزد")</f>
        <v>یزد</v>
      </c>
      <c r="F6806" s="5"/>
      <c r="G6806" s="5"/>
      <c r="H6806" s="5"/>
      <c r="I6806" s="5"/>
      <c r="J6806" s="6" t="str">
        <f>IFERROR(__xludf.DUMMYFUNCTION("""COMPUTED_VALUE"""),"https://eitaa.com/Heyat72")</f>
        <v>https://eitaa.com/Heyat72</v>
      </c>
      <c r="K6806" s="5"/>
      <c r="L6806" s="5"/>
      <c r="M6806" s="5"/>
      <c r="N6806" s="5"/>
      <c r="O6806" s="5"/>
      <c r="P6806" s="5"/>
      <c r="Q6806" s="5"/>
      <c r="R6806" s="5"/>
      <c r="S6806" s="5"/>
    </row>
    <row r="6807">
      <c r="A6807" s="5"/>
      <c r="B6807" s="5" t="str">
        <f>IFERROR(__xludf.DUMMYFUNCTION("""COMPUTED_VALUE"""),"هیأت")</f>
        <v>هیأت</v>
      </c>
      <c r="C6807" s="5" t="str">
        <f>IFERROR(__xludf.DUMMYFUNCTION("""COMPUTED_VALUE"""),"رایه الهدی (عج)")</f>
        <v>رایه الهدی (عج)</v>
      </c>
      <c r="D6807" s="5" t="str">
        <f>IFERROR(__xludf.DUMMYFUNCTION("""COMPUTED_VALUE"""),"یزد")</f>
        <v>یزد</v>
      </c>
      <c r="E6807" s="5" t="str">
        <f>IFERROR(__xludf.DUMMYFUNCTION("""COMPUTED_VALUE"""),"یزد")</f>
        <v>یزد</v>
      </c>
      <c r="F6807" s="5"/>
      <c r="G6807" s="5"/>
      <c r="H6807" s="6" t="str">
        <f>IFERROR(__xludf.DUMMYFUNCTION("""COMPUTED_VALUE"""),"https://www.instagram.com/darolhedayeh/")</f>
        <v>https://www.instagram.com/darolhedayeh/</v>
      </c>
      <c r="I6807" s="5"/>
      <c r="J6807" s="6" t="str">
        <f>IFERROR(__xludf.DUMMYFUNCTION("""COMPUTED_VALUE"""),"https://eitaa.com/rayat_info")</f>
        <v>https://eitaa.com/rayat_info</v>
      </c>
      <c r="K6807" s="5"/>
      <c r="L6807" s="5"/>
      <c r="M6807" s="5"/>
      <c r="N6807" s="5"/>
      <c r="O6807" s="5"/>
      <c r="P6807" s="5"/>
      <c r="Q6807" s="5"/>
      <c r="R6807" s="5"/>
      <c r="S6807" s="5"/>
    </row>
    <row r="6808">
      <c r="A6808" s="5"/>
      <c r="B6808" s="5" t="str">
        <f>IFERROR(__xludf.DUMMYFUNCTION("""COMPUTED_VALUE"""),"هیأت")</f>
        <v>هیأت</v>
      </c>
      <c r="C6808" s="5" t="str">
        <f>IFERROR(__xludf.DUMMYFUNCTION("""COMPUTED_VALUE"""),"رایه المهدی (عج)")</f>
        <v>رایه المهدی (عج)</v>
      </c>
      <c r="D6808" s="5" t="str">
        <f>IFERROR(__xludf.DUMMYFUNCTION("""COMPUTED_VALUE"""),"یزد")</f>
        <v>یزد</v>
      </c>
      <c r="E6808" s="5" t="str">
        <f>IFERROR(__xludf.DUMMYFUNCTION("""COMPUTED_VALUE"""),"یزد")</f>
        <v>یزد</v>
      </c>
      <c r="F6808" s="5"/>
      <c r="G6808" s="5"/>
      <c r="H6808" s="6" t="str">
        <f>IFERROR(__xludf.DUMMYFUNCTION("""COMPUTED_VALUE"""),"https://www.instagram.com/rayatolmahdim")</f>
        <v>https://www.instagram.com/rayatolmahdim</v>
      </c>
      <c r="I6808" s="5"/>
      <c r="J6808" s="6" t="str">
        <f>IFERROR(__xludf.DUMMYFUNCTION("""COMPUTED_VALUE"""),"https://eitaa.com/rayatolmahdim")</f>
        <v>https://eitaa.com/rayatolmahdim</v>
      </c>
      <c r="K6808" s="5"/>
      <c r="L6808" s="5"/>
      <c r="M6808" s="5"/>
      <c r="N6808" s="5"/>
      <c r="O6808" s="5"/>
      <c r="P6808" s="5"/>
      <c r="Q6808" s="5"/>
      <c r="R6808" s="5"/>
      <c r="S6808" s="5"/>
    </row>
    <row r="6809">
      <c r="A6809" s="5">
        <f>IFERROR(__xludf.DUMMYFUNCTION("""COMPUTED_VALUE"""),20097.0)</f>
        <v>20097</v>
      </c>
      <c r="B6809" s="5" t="str">
        <f>IFERROR(__xludf.DUMMYFUNCTION("""COMPUTED_VALUE"""),"هیأت")</f>
        <v>هیأت</v>
      </c>
      <c r="C6809" s="5" t="str">
        <f>IFERROR(__xludf.DUMMYFUNCTION("""COMPUTED_VALUE"""),"قرارگاه نور (بسیج دانشجویی دانشجویان حسینی)")</f>
        <v>قرارگاه نور (بسیج دانشجویی دانشجویان حسینی)</v>
      </c>
      <c r="D6809" s="5" t="str">
        <f>IFERROR(__xludf.DUMMYFUNCTION("""COMPUTED_VALUE"""),"یزد")</f>
        <v>یزد</v>
      </c>
      <c r="E6809" s="5" t="str">
        <f>IFERROR(__xludf.DUMMYFUNCTION("""COMPUTED_VALUE"""),"یزد")</f>
        <v>یزد</v>
      </c>
      <c r="F6809" s="5"/>
      <c r="G6809" s="5"/>
      <c r="H6809" s="5"/>
      <c r="I6809" s="5"/>
      <c r="J6809" s="6" t="str">
        <f>IFERROR(__xludf.DUMMYFUNCTION("""COMPUTED_VALUE"""),"https://eitaa.com/Qnooryazd")</f>
        <v>https://eitaa.com/Qnooryazd</v>
      </c>
      <c r="K6809" s="5"/>
      <c r="L6809" s="5"/>
      <c r="M6809" s="5"/>
      <c r="N6809" s="5"/>
      <c r="O6809" s="5"/>
      <c r="P6809" s="5"/>
      <c r="Q6809" s="5"/>
      <c r="R6809" s="5"/>
      <c r="S6809" s="5"/>
    </row>
    <row r="6810">
      <c r="A6810" s="5">
        <f>IFERROR(__xludf.DUMMYFUNCTION("""COMPUTED_VALUE"""),20101.0)</f>
        <v>20101</v>
      </c>
      <c r="B6810" s="5" t="str">
        <f>IFERROR(__xludf.DUMMYFUNCTION("""COMPUTED_VALUE"""),"هیأت")</f>
        <v>هیأت</v>
      </c>
      <c r="C6810" s="5" t="str">
        <f>IFERROR(__xludf.DUMMYFUNCTION("""COMPUTED_VALUE"""),"انصارالشهدا")</f>
        <v>انصارالشهدا</v>
      </c>
      <c r="D6810" s="5" t="str">
        <f>IFERROR(__xludf.DUMMYFUNCTION("""COMPUTED_VALUE"""),"یزد")</f>
        <v>یزد</v>
      </c>
      <c r="E6810" s="5" t="str">
        <f>IFERROR(__xludf.DUMMYFUNCTION("""COMPUTED_VALUE"""),"یزد")</f>
        <v>یزد</v>
      </c>
      <c r="F6810" s="5"/>
      <c r="G6810" s="5"/>
      <c r="H6810" s="6" t="str">
        <f>IFERROR(__xludf.DUMMYFUNCTION("""COMPUTED_VALUE"""),"https://www.instagram.com/booyesib_ir")</f>
        <v>https://www.instagram.com/booyesib_ir</v>
      </c>
      <c r="I6810" s="5"/>
      <c r="J6810" s="6" t="str">
        <f>IFERROR(__xludf.DUMMYFUNCTION("""COMPUTED_VALUE"""),"https://eitaa.com/booyesib_ir")</f>
        <v>https://eitaa.com/booyesib_ir</v>
      </c>
      <c r="K6810" s="5"/>
      <c r="L6810" s="5"/>
      <c r="M6810" s="5"/>
      <c r="N6810" s="5"/>
      <c r="O6810" s="5"/>
      <c r="P6810" s="5"/>
      <c r="Q6810" s="5"/>
      <c r="R6810" s="5"/>
      <c r="S6810" s="5"/>
    </row>
    <row r="6811">
      <c r="A6811" s="5">
        <f>IFERROR(__xludf.DUMMYFUNCTION("""COMPUTED_VALUE"""),20461.0)</f>
        <v>20461</v>
      </c>
      <c r="B6811" s="5" t="str">
        <f>IFERROR(__xludf.DUMMYFUNCTION("""COMPUTED_VALUE"""),"هیأت")</f>
        <v>هیأت</v>
      </c>
      <c r="C6811" s="5" t="str">
        <f>IFERROR(__xludf.DUMMYFUNCTION("""COMPUTED_VALUE"""),"گروه جهادی فاطمه الزهرا (س)")</f>
        <v>گروه جهادی فاطمه الزهرا (س)</v>
      </c>
      <c r="D6811" s="5" t="str">
        <f>IFERROR(__xludf.DUMMYFUNCTION("""COMPUTED_VALUE"""),"یزد")</f>
        <v>یزد</v>
      </c>
      <c r="E6811" s="5" t="str">
        <f>IFERROR(__xludf.DUMMYFUNCTION("""COMPUTED_VALUE"""),"یزد")</f>
        <v>یزد</v>
      </c>
      <c r="F6811" s="5"/>
      <c r="G6811" s="5"/>
      <c r="H6811" s="6" t="str">
        <f>IFERROR(__xludf.DUMMYFUNCTION("""COMPUTED_VALUE"""),"https://www.instagram.com/jahadi_fatemeh97")</f>
        <v>https://www.instagram.com/jahadi_fatemeh97</v>
      </c>
      <c r="I6811" s="5"/>
      <c r="J6811" s="5"/>
      <c r="K6811" s="5"/>
      <c r="L6811" s="5"/>
      <c r="M6811" s="5"/>
      <c r="N6811" s="5"/>
      <c r="O6811" s="5"/>
      <c r="P6811" s="5"/>
      <c r="Q6811" s="5"/>
      <c r="R6811" s="5"/>
      <c r="S6811" s="5"/>
    </row>
    <row r="6812">
      <c r="A6812" s="5">
        <f>IFERROR(__xludf.DUMMYFUNCTION("""COMPUTED_VALUE"""),20664.0)</f>
        <v>20664</v>
      </c>
      <c r="B6812" s="5" t="str">
        <f>IFERROR(__xludf.DUMMYFUNCTION("""COMPUTED_VALUE"""),"هیأت")</f>
        <v>هیأت</v>
      </c>
      <c r="C6812" s="5" t="str">
        <f>IFERROR(__xludf.DUMMYFUNCTION("""COMPUTED_VALUE"""),"انصارالمهدی (عج) (اتحادیه انجمن های اسلامی دانش آموزی)")</f>
        <v>انصارالمهدی (عج) (اتحادیه انجمن های اسلامی دانش آموزی)</v>
      </c>
      <c r="D6812" s="5" t="str">
        <f>IFERROR(__xludf.DUMMYFUNCTION("""COMPUTED_VALUE"""),"یزد")</f>
        <v>یزد</v>
      </c>
      <c r="E6812" s="5" t="str">
        <f>IFERROR(__xludf.DUMMYFUNCTION("""COMPUTED_VALUE"""),"یزد")</f>
        <v>یزد</v>
      </c>
      <c r="F6812" s="5"/>
      <c r="G6812" s="5"/>
      <c r="H6812" s="5"/>
      <c r="I6812" s="5"/>
      <c r="J6812" s="6" t="str">
        <f>IFERROR(__xludf.DUMMYFUNCTION("""COMPUTED_VALUE"""),"https://eitaa.com/ansarolmahdi_yazd")</f>
        <v>https://eitaa.com/ansarolmahdi_yazd</v>
      </c>
      <c r="K6812" s="5"/>
      <c r="L6812" s="5"/>
      <c r="M6812" s="5"/>
      <c r="N6812" s="5"/>
      <c r="O6812" s="5"/>
      <c r="P6812" s="5"/>
      <c r="Q6812" s="5"/>
      <c r="R6812" s="5"/>
      <c r="S6812" s="5"/>
    </row>
    <row r="6813">
      <c r="A6813" s="5">
        <f>IFERROR(__xludf.DUMMYFUNCTION("""COMPUTED_VALUE"""),20679.0)</f>
        <v>20679</v>
      </c>
      <c r="B6813" s="5" t="str">
        <f>IFERROR(__xludf.DUMMYFUNCTION("""COMPUTED_VALUE"""),"هیأت")</f>
        <v>هیأت</v>
      </c>
      <c r="C6813" s="5" t="str">
        <f>IFERROR(__xludf.DUMMYFUNCTION("""COMPUTED_VALUE"""),"الشهدا")</f>
        <v>الشهدا</v>
      </c>
      <c r="D6813" s="5" t="str">
        <f>IFERROR(__xludf.DUMMYFUNCTION("""COMPUTED_VALUE"""),"یزد")</f>
        <v>یزد</v>
      </c>
      <c r="E6813" s="5" t="str">
        <f>IFERROR(__xludf.DUMMYFUNCTION("""COMPUTED_VALUE"""),"یزد")</f>
        <v>یزد</v>
      </c>
      <c r="F6813" s="5"/>
      <c r="G6813" s="5"/>
      <c r="H6813" s="6" t="str">
        <f>IFERROR(__xludf.DUMMYFUNCTION("""COMPUTED_VALUE"""),"https://www.instagram.com/heyattoshohada")</f>
        <v>https://www.instagram.com/heyattoshohada</v>
      </c>
      <c r="I6813" s="5"/>
      <c r="J6813" s="6" t="str">
        <f>IFERROR(__xludf.DUMMYFUNCTION("""COMPUTED_VALUE"""),"https://eitaa.com/heyattoshohada")</f>
        <v>https://eitaa.com/heyattoshohada</v>
      </c>
      <c r="K6813" s="5"/>
      <c r="L6813" s="5"/>
      <c r="M6813" s="5"/>
      <c r="N6813" s="5"/>
      <c r="O6813" s="5"/>
      <c r="P6813" s="5"/>
      <c r="Q6813" s="5"/>
      <c r="R6813" s="5"/>
      <c r="S6813" s="5"/>
    </row>
    <row r="6814">
      <c r="A6814" s="5">
        <f>IFERROR(__xludf.DUMMYFUNCTION("""COMPUTED_VALUE"""),20722.0)</f>
        <v>20722</v>
      </c>
      <c r="B6814" s="5" t="str">
        <f>IFERROR(__xludf.DUMMYFUNCTION("""COMPUTED_VALUE"""),"هیأت")</f>
        <v>هیأت</v>
      </c>
      <c r="C6814" s="5" t="str">
        <f>IFERROR(__xludf.DUMMYFUNCTION("""COMPUTED_VALUE"""),"روح الله")</f>
        <v>روح الله</v>
      </c>
      <c r="D6814" s="5" t="str">
        <f>IFERROR(__xludf.DUMMYFUNCTION("""COMPUTED_VALUE"""),"یزد")</f>
        <v>یزد</v>
      </c>
      <c r="E6814" s="5" t="str">
        <f>IFERROR(__xludf.DUMMYFUNCTION("""COMPUTED_VALUE"""),"یزد")</f>
        <v>یزد</v>
      </c>
      <c r="F6814" s="5"/>
      <c r="G6814" s="5"/>
      <c r="H6814" s="6" t="str">
        <f>IFERROR(__xludf.DUMMYFUNCTION("""COMPUTED_VALUE"""),"https://www.instagram.com/heyatrouhollah")</f>
        <v>https://www.instagram.com/heyatrouhollah</v>
      </c>
      <c r="I6814" s="5"/>
      <c r="J6814" s="5"/>
      <c r="K6814" s="5"/>
      <c r="L6814" s="5"/>
      <c r="M6814" s="5"/>
      <c r="N6814" s="5"/>
      <c r="O6814" s="5"/>
      <c r="P6814" s="5"/>
      <c r="Q6814" s="5"/>
      <c r="R6814" s="5"/>
      <c r="S6814" s="5"/>
    </row>
    <row r="6815">
      <c r="A6815" s="5">
        <f>IFERROR(__xludf.DUMMYFUNCTION("""COMPUTED_VALUE"""),20993.0)</f>
        <v>20993</v>
      </c>
      <c r="B6815" s="5" t="str">
        <f>IFERROR(__xludf.DUMMYFUNCTION("""COMPUTED_VALUE"""),"هیأت")</f>
        <v>هیأت</v>
      </c>
      <c r="C6815" s="5" t="str">
        <f>IFERROR(__xludf.DUMMYFUNCTION("""COMPUTED_VALUE"""),"شباب الحسن (ع)")</f>
        <v>شباب الحسن (ع)</v>
      </c>
      <c r="D6815" s="5" t="str">
        <f>IFERROR(__xludf.DUMMYFUNCTION("""COMPUTED_VALUE"""),"یزد")</f>
        <v>یزد</v>
      </c>
      <c r="E6815" s="5" t="str">
        <f>IFERROR(__xludf.DUMMYFUNCTION("""COMPUTED_VALUE"""),"یزد")</f>
        <v>یزد</v>
      </c>
      <c r="F6815" s="5"/>
      <c r="G6815" s="5"/>
      <c r="H6815" s="6" t="str">
        <f>IFERROR(__xludf.DUMMYFUNCTION("""COMPUTED_VALUE"""),"https://www.instagram.com/shababolhasan")</f>
        <v>https://www.instagram.com/shababolhasan</v>
      </c>
      <c r="I6815" s="5"/>
      <c r="J6815" s="6" t="str">
        <f>IFERROR(__xludf.DUMMYFUNCTION("""COMPUTED_VALUE"""),"https://eitaa.com/shababalhasan")</f>
        <v>https://eitaa.com/shababalhasan</v>
      </c>
      <c r="K6815" s="5"/>
      <c r="L6815" s="5"/>
      <c r="M6815" s="5"/>
      <c r="N6815" s="5"/>
      <c r="O6815" s="5"/>
      <c r="P6815" s="5"/>
      <c r="Q6815" s="5"/>
      <c r="R6815" s="5"/>
      <c r="S6815" s="5"/>
    </row>
    <row r="6816">
      <c r="A6816" s="5">
        <f>IFERROR(__xludf.DUMMYFUNCTION("""COMPUTED_VALUE"""),21306.0)</f>
        <v>21306</v>
      </c>
      <c r="B6816" s="5" t="str">
        <f>IFERROR(__xludf.DUMMYFUNCTION("""COMPUTED_VALUE"""),"هیأت")</f>
        <v>هیأت</v>
      </c>
      <c r="C6816" s="5" t="str">
        <f>IFERROR(__xludf.DUMMYFUNCTION("""COMPUTED_VALUE"""),"شیفتگان حضرت مهدی(عج)")</f>
        <v>شیفتگان حضرت مهدی(عج)</v>
      </c>
      <c r="D6816" s="5" t="str">
        <f>IFERROR(__xludf.DUMMYFUNCTION("""COMPUTED_VALUE"""),"یزد")</f>
        <v>یزد</v>
      </c>
      <c r="E6816" s="5" t="str">
        <f>IFERROR(__xludf.DUMMYFUNCTION("""COMPUTED_VALUE"""),"یزد")</f>
        <v>یزد</v>
      </c>
      <c r="F6816" s="5"/>
      <c r="G6816" s="5"/>
      <c r="H6816" s="5"/>
      <c r="I6816" s="5"/>
      <c r="J6816" s="6" t="str">
        <f>IFERROR(__xludf.DUMMYFUNCTION("""COMPUTED_VALUE"""),"https://eitaa.com/plack_313")</f>
        <v>https://eitaa.com/plack_313</v>
      </c>
      <c r="K6816" s="5"/>
      <c r="L6816" s="5"/>
      <c r="M6816" s="5"/>
      <c r="N6816" s="5"/>
      <c r="O6816" s="5"/>
      <c r="P6816" s="5"/>
      <c r="Q6816" s="5"/>
      <c r="R6816" s="5"/>
      <c r="S6816" s="5"/>
    </row>
    <row r="6817">
      <c r="A6817" s="5">
        <f>IFERROR(__xludf.DUMMYFUNCTION("""COMPUTED_VALUE"""),21869.0)</f>
        <v>21869</v>
      </c>
      <c r="B6817" s="5" t="str">
        <f>IFERROR(__xludf.DUMMYFUNCTION("""COMPUTED_VALUE"""),"هیأت")</f>
        <v>هیأت</v>
      </c>
      <c r="C6817" s="5" t="str">
        <f>IFERROR(__xludf.DUMMYFUNCTION("""COMPUTED_VALUE"""),"قرارگاه نور")</f>
        <v>قرارگاه نور</v>
      </c>
      <c r="D6817" s="5" t="str">
        <f>IFERROR(__xludf.DUMMYFUNCTION("""COMPUTED_VALUE"""),"یزد")</f>
        <v>یزد</v>
      </c>
      <c r="E6817" s="5" t="str">
        <f>IFERROR(__xludf.DUMMYFUNCTION("""COMPUTED_VALUE"""),"یزد")</f>
        <v>یزد</v>
      </c>
      <c r="F6817" s="5"/>
      <c r="G6817" s="5"/>
      <c r="H6817" s="5"/>
      <c r="I6817" s="5"/>
      <c r="J6817" s="6" t="str">
        <f>IFERROR(__xludf.DUMMYFUNCTION("""COMPUTED_VALUE"""),"https://eitaa.com/Qnooryazd")</f>
        <v>https://eitaa.com/Qnooryazd</v>
      </c>
      <c r="K6817" s="5"/>
      <c r="L6817" s="5"/>
      <c r="M6817" s="5"/>
      <c r="N6817" s="5"/>
      <c r="O6817" s="5"/>
      <c r="P6817" s="5"/>
      <c r="Q6817" s="5"/>
      <c r="R6817" s="5"/>
      <c r="S6817" s="5"/>
    </row>
    <row r="6818">
      <c r="A6818" s="5">
        <f>IFERROR(__xludf.DUMMYFUNCTION("""COMPUTED_VALUE"""),21873.0)</f>
        <v>21873</v>
      </c>
      <c r="B6818" s="5" t="str">
        <f>IFERROR(__xludf.DUMMYFUNCTION("""COMPUTED_VALUE"""),"هیأت")</f>
        <v>هیأت</v>
      </c>
      <c r="C6818" s="5" t="str">
        <f>IFERROR(__xludf.DUMMYFUNCTION("""COMPUTED_VALUE"""),"انصار الائمه")</f>
        <v>انصار الائمه</v>
      </c>
      <c r="D6818" s="5" t="str">
        <f>IFERROR(__xludf.DUMMYFUNCTION("""COMPUTED_VALUE"""),"یزد")</f>
        <v>یزد</v>
      </c>
      <c r="E6818" s="5" t="str">
        <f>IFERROR(__xludf.DUMMYFUNCTION("""COMPUTED_VALUE"""),"یزد")</f>
        <v>یزد</v>
      </c>
      <c r="F6818" s="5"/>
      <c r="G6818" s="5"/>
      <c r="H6818" s="5"/>
      <c r="I6818" s="5"/>
      <c r="J6818" s="6" t="str">
        <f>IFERROR(__xludf.DUMMYFUNCTION("""COMPUTED_VALUE"""),"https://eitaa.com/ansareaemeh")</f>
        <v>https://eitaa.com/ansareaemeh</v>
      </c>
      <c r="K6818" s="5"/>
      <c r="L6818" s="5"/>
      <c r="M6818" s="5"/>
      <c r="N6818" s="5"/>
      <c r="O6818" s="5"/>
      <c r="P6818" s="5"/>
      <c r="Q6818" s="5"/>
      <c r="R6818" s="5"/>
      <c r="S6818" s="5"/>
    </row>
    <row r="6819">
      <c r="A6819" s="5">
        <f>IFERROR(__xludf.DUMMYFUNCTION("""COMPUTED_VALUE"""),22410.0)</f>
        <v>22410</v>
      </c>
      <c r="B6819" s="5" t="str">
        <f>IFERROR(__xludf.DUMMYFUNCTION("""COMPUTED_VALUE"""),"هیأت")</f>
        <v>هیأت</v>
      </c>
      <c r="C6819" s="5" t="str">
        <f>IFERROR(__xludf.DUMMYFUNCTION("""COMPUTED_VALUE"""),"حسین ابن علی")</f>
        <v>حسین ابن علی</v>
      </c>
      <c r="D6819" s="5" t="str">
        <f>IFERROR(__xludf.DUMMYFUNCTION("""COMPUTED_VALUE"""),"یزد")</f>
        <v>یزد</v>
      </c>
      <c r="E6819" s="5" t="str">
        <f>IFERROR(__xludf.DUMMYFUNCTION("""COMPUTED_VALUE"""),"یزد")</f>
        <v>یزد</v>
      </c>
      <c r="F6819" s="5"/>
      <c r="G6819" s="5"/>
      <c r="H6819" s="6" t="str">
        <f>IFERROR(__xludf.DUMMYFUNCTION("""COMPUTED_VALUE"""),"https://www.instagram.com/hasaniye_yazd/")</f>
        <v>https://www.instagram.com/hasaniye_yazd/</v>
      </c>
      <c r="I6819" s="5"/>
      <c r="J6819" s="5"/>
      <c r="K6819" s="5"/>
      <c r="L6819" s="5"/>
      <c r="M6819" s="5"/>
      <c r="N6819" s="5"/>
      <c r="O6819" s="5"/>
      <c r="P6819" s="5"/>
      <c r="Q6819" s="5"/>
      <c r="R6819" s="5"/>
      <c r="S6819" s="5"/>
    </row>
    <row r="6820">
      <c r="A6820" s="5">
        <f>IFERROR(__xludf.DUMMYFUNCTION("""COMPUTED_VALUE"""),22411.0)</f>
        <v>22411</v>
      </c>
      <c r="B6820" s="5" t="str">
        <f>IFERROR(__xludf.DUMMYFUNCTION("""COMPUTED_VALUE"""),"هیأت دانشجویی")</f>
        <v>هیأت دانشجویی</v>
      </c>
      <c r="C6820" s="5" t="str">
        <f>IFERROR(__xludf.DUMMYFUNCTION("""COMPUTED_VALUE"""),"جوانان مکتب حاج قاسم (دانشجویی)")</f>
        <v>جوانان مکتب حاج قاسم (دانشجویی)</v>
      </c>
      <c r="D6820" s="5" t="str">
        <f>IFERROR(__xludf.DUMMYFUNCTION("""COMPUTED_VALUE"""),"یزد")</f>
        <v>یزد</v>
      </c>
      <c r="E6820" s="5" t="str">
        <f>IFERROR(__xludf.DUMMYFUNCTION("""COMPUTED_VALUE"""),"یزد")</f>
        <v>یزد</v>
      </c>
      <c r="F6820" s="5"/>
      <c r="G6820" s="5"/>
      <c r="H6820" s="5"/>
      <c r="I6820" s="5"/>
      <c r="J6820" s="6" t="str">
        <f>IFERROR(__xludf.DUMMYFUNCTION("""COMPUTED_VALUE"""),"https://eitaa.com/maktab_yazd")</f>
        <v>https://eitaa.com/maktab_yazd</v>
      </c>
      <c r="K6820" s="5"/>
      <c r="L6820" s="5"/>
      <c r="M6820" s="5"/>
      <c r="N6820" s="5"/>
      <c r="O6820" s="5"/>
      <c r="P6820" s="5"/>
      <c r="Q6820" s="5"/>
      <c r="R6820" s="5"/>
      <c r="S6820" s="5"/>
    </row>
    <row r="6821">
      <c r="A6821" s="5">
        <f>IFERROR(__xludf.DUMMYFUNCTION("""COMPUTED_VALUE"""),22555.0)</f>
        <v>22555</v>
      </c>
      <c r="B6821" s="5" t="str">
        <f>IFERROR(__xludf.DUMMYFUNCTION("""COMPUTED_VALUE"""),"هیأت")</f>
        <v>هیأت</v>
      </c>
      <c r="C6821" s="5" t="str">
        <f>IFERROR(__xludf.DUMMYFUNCTION("""COMPUTED_VALUE"""),"بیت الزهرا (س)")</f>
        <v>بیت الزهرا (س)</v>
      </c>
      <c r="D6821" s="5" t="str">
        <f>IFERROR(__xludf.DUMMYFUNCTION("""COMPUTED_VALUE"""),"یزد")</f>
        <v>یزد</v>
      </c>
      <c r="E6821" s="5" t="str">
        <f>IFERROR(__xludf.DUMMYFUNCTION("""COMPUTED_VALUE"""),"یزد")</f>
        <v>یزد</v>
      </c>
      <c r="F6821" s="5"/>
      <c r="G6821" s="5">
        <f>IFERROR(__xludf.DUMMYFUNCTION("""COMPUTED_VALUE"""),1.0)</f>
        <v>1</v>
      </c>
      <c r="H6821" s="5"/>
      <c r="I6821" s="6" t="str">
        <f>IFERROR(__xludf.DUMMYFUNCTION("""COMPUTED_VALUE"""),"https://t.me/beyt_al_zahra_s")</f>
        <v>https://t.me/beyt_al_zahra_s</v>
      </c>
      <c r="J6821" s="5"/>
      <c r="K6821" s="5"/>
      <c r="L6821" s="5"/>
      <c r="M6821" s="5"/>
      <c r="N6821" s="5"/>
      <c r="O6821" s="5"/>
      <c r="P6821" s="5"/>
      <c r="Q6821" s="5"/>
      <c r="R6821" s="5"/>
      <c r="S6821" s="5"/>
    </row>
    <row r="6822">
      <c r="A6822" s="5">
        <f>IFERROR(__xludf.DUMMYFUNCTION("""COMPUTED_VALUE"""),22565.0)</f>
        <v>22565</v>
      </c>
      <c r="B6822" s="5" t="str">
        <f>IFERROR(__xludf.DUMMYFUNCTION("""COMPUTED_VALUE"""),"هیأت دانش آموزی")</f>
        <v>هیأت دانش آموزی</v>
      </c>
      <c r="C6822" s="5" t="str">
        <f>IFERROR(__xludf.DUMMYFUNCTION("""COMPUTED_VALUE"""),"لواءالمهدی (عج)")</f>
        <v>لواءالمهدی (عج)</v>
      </c>
      <c r="D6822" s="5" t="str">
        <f>IFERROR(__xludf.DUMMYFUNCTION("""COMPUTED_VALUE"""),"یزد")</f>
        <v>یزد</v>
      </c>
      <c r="E6822" s="5" t="str">
        <f>IFERROR(__xludf.DUMMYFUNCTION("""COMPUTED_VALUE"""),"یزد")</f>
        <v>یزد</v>
      </c>
      <c r="F6822" s="5"/>
      <c r="G6822" s="5"/>
      <c r="H6822" s="5"/>
      <c r="I6822" s="5"/>
      <c r="J6822" s="6" t="str">
        <f>IFERROR(__xludf.DUMMYFUNCTION("""COMPUTED_VALUE"""),"https://eitaa.com/levaolmahdi_ir")</f>
        <v>https://eitaa.com/levaolmahdi_ir</v>
      </c>
      <c r="K6822" s="5"/>
      <c r="L6822" s="5"/>
      <c r="M6822" s="5"/>
      <c r="N6822" s="5"/>
      <c r="O6822" s="5"/>
      <c r="P6822" s="5"/>
      <c r="Q6822" s="5"/>
      <c r="R6822" s="5"/>
      <c r="S6822" s="5"/>
    </row>
    <row r="6823">
      <c r="A6823" s="5">
        <f>IFERROR(__xludf.DUMMYFUNCTION("""COMPUTED_VALUE"""),22567.0)</f>
        <v>22567</v>
      </c>
      <c r="B6823" s="5" t="str">
        <f>IFERROR(__xludf.DUMMYFUNCTION("""COMPUTED_VALUE"""),"هیأت")</f>
        <v>هیأت</v>
      </c>
      <c r="C6823" s="5" t="str">
        <f>IFERROR(__xludf.DUMMYFUNCTION("""COMPUTED_VALUE"""),"شهدای گمنام")</f>
        <v>شهدای گمنام</v>
      </c>
      <c r="D6823" s="5" t="str">
        <f>IFERROR(__xludf.DUMMYFUNCTION("""COMPUTED_VALUE"""),"یزد")</f>
        <v>یزد</v>
      </c>
      <c r="E6823" s="5" t="str">
        <f>IFERROR(__xludf.DUMMYFUNCTION("""COMPUTED_VALUE"""),"یزد")</f>
        <v>یزد</v>
      </c>
      <c r="F6823" s="5"/>
      <c r="G6823" s="5"/>
      <c r="H6823" s="6" t="str">
        <f>IFERROR(__xludf.DUMMYFUNCTION("""COMPUTED_VALUE"""),"https://www.instagram.com/gomnamy_ir")</f>
        <v>https://www.instagram.com/gomnamy_ir</v>
      </c>
      <c r="I6823" s="5"/>
      <c r="J6823" s="6" t="str">
        <f>IFERROR(__xludf.DUMMYFUNCTION("""COMPUTED_VALUE"""),"https://eitaa.com/gomnamy_ir")</f>
        <v>https://eitaa.com/gomnamy_ir</v>
      </c>
      <c r="K6823" s="5"/>
      <c r="L6823" s="5"/>
      <c r="M6823" s="5"/>
      <c r="N6823" s="5"/>
      <c r="O6823" s="5"/>
      <c r="P6823" s="5"/>
      <c r="Q6823" s="5"/>
      <c r="R6823" s="5"/>
      <c r="S6823" s="5"/>
    </row>
    <row r="6824">
      <c r="A6824" s="5">
        <f>IFERROR(__xludf.DUMMYFUNCTION("""COMPUTED_VALUE"""),22568.0)</f>
        <v>22568</v>
      </c>
      <c r="B6824" s="5" t="str">
        <f>IFERROR(__xludf.DUMMYFUNCTION("""COMPUTED_VALUE"""),"هیأت")</f>
        <v>هیأت</v>
      </c>
      <c r="C6824" s="5" t="str">
        <f>IFERROR(__xludf.DUMMYFUNCTION("""COMPUTED_VALUE"""),"فاطمیون")</f>
        <v>فاطمیون</v>
      </c>
      <c r="D6824" s="5" t="str">
        <f>IFERROR(__xludf.DUMMYFUNCTION("""COMPUTED_VALUE"""),"یزد")</f>
        <v>یزد</v>
      </c>
      <c r="E6824" s="5" t="str">
        <f>IFERROR(__xludf.DUMMYFUNCTION("""COMPUTED_VALUE"""),"یزد")</f>
        <v>یزد</v>
      </c>
      <c r="F6824" s="5"/>
      <c r="G6824" s="5"/>
      <c r="H6824" s="6" t="str">
        <f>IFERROR(__xludf.DUMMYFUNCTION("""COMPUTED_VALUE"""),"http://instagram.com/heyatfatemiyun")</f>
        <v>http://instagram.com/heyatfatemiyun</v>
      </c>
      <c r="I6824" s="6" t="str">
        <f>IFERROR(__xludf.DUMMYFUNCTION("""COMPUTED_VALUE"""),"https://t.me/heyatfatemiyun")</f>
        <v>https://t.me/heyatfatemiyun</v>
      </c>
      <c r="J6824" s="6" t="str">
        <f>IFERROR(__xludf.DUMMYFUNCTION("""COMPUTED_VALUE"""),"https://eitaa.com/heyatfatemiyun")</f>
        <v>https://eitaa.com/heyatfatemiyun</v>
      </c>
      <c r="K6824" s="5"/>
      <c r="L6824" s="5"/>
      <c r="M6824" s="5"/>
      <c r="N6824" s="5"/>
      <c r="O6824" s="5"/>
      <c r="P6824" s="5"/>
      <c r="Q6824" s="5"/>
      <c r="R6824" s="5"/>
      <c r="S6824" s="5"/>
    </row>
    <row r="6825">
      <c r="A6825" s="5">
        <f>IFERROR(__xludf.DUMMYFUNCTION("""COMPUTED_VALUE"""),23197.0)</f>
        <v>23197</v>
      </c>
      <c r="B6825" s="5" t="str">
        <f>IFERROR(__xludf.DUMMYFUNCTION("""COMPUTED_VALUE"""),"هیأت")</f>
        <v>هیأت</v>
      </c>
      <c r="C6825" s="5" t="str">
        <f>IFERROR(__xludf.DUMMYFUNCTION("""COMPUTED_VALUE"""),"احلی من العسل")</f>
        <v>احلی من العسل</v>
      </c>
      <c r="D6825" s="5" t="str">
        <f>IFERROR(__xludf.DUMMYFUNCTION("""COMPUTED_VALUE"""),"یزد")</f>
        <v>یزد</v>
      </c>
      <c r="E6825" s="5" t="str">
        <f>IFERROR(__xludf.DUMMYFUNCTION("""COMPUTED_VALUE"""),"یزد")</f>
        <v>یزد</v>
      </c>
      <c r="F6825" s="5"/>
      <c r="G6825" s="5"/>
      <c r="H6825" s="5"/>
      <c r="I6825" s="5"/>
      <c r="J6825" s="6" t="str">
        <f>IFERROR(__xludf.DUMMYFUNCTION("""COMPUTED_VALUE"""),"https://eitaa.com/ahla_ghasem201")</f>
        <v>https://eitaa.com/ahla_ghasem201</v>
      </c>
      <c r="K6825" s="5"/>
      <c r="L6825" s="5"/>
      <c r="M6825" s="5"/>
      <c r="N6825" s="5"/>
      <c r="O6825" s="5"/>
      <c r="P6825" s="5"/>
      <c r="Q6825" s="5"/>
      <c r="R6825" s="5"/>
      <c r="S6825" s="5"/>
    </row>
    <row r="6826">
      <c r="A6826" s="5">
        <f>IFERROR(__xludf.DUMMYFUNCTION("""COMPUTED_VALUE"""),23583.0)</f>
        <v>23583</v>
      </c>
      <c r="B6826" s="5" t="str">
        <f>IFERROR(__xludf.DUMMYFUNCTION("""COMPUTED_VALUE"""),"هیأت")</f>
        <v>هیأت</v>
      </c>
      <c r="C6826" s="5" t="str">
        <f>IFERROR(__xludf.DUMMYFUNCTION("""COMPUTED_VALUE"""),"عاشقان حضرت مهدی(عج)")</f>
        <v>عاشقان حضرت مهدی(عج)</v>
      </c>
      <c r="D6826" s="5" t="str">
        <f>IFERROR(__xludf.DUMMYFUNCTION("""COMPUTED_VALUE"""),"یزد")</f>
        <v>یزد</v>
      </c>
      <c r="E6826" s="5" t="str">
        <f>IFERROR(__xludf.DUMMYFUNCTION("""COMPUTED_VALUE"""),"یزد")</f>
        <v>یزد</v>
      </c>
      <c r="F6826" s="5"/>
      <c r="G6826" s="5"/>
      <c r="H6826" s="6" t="str">
        <f>IFERROR(__xludf.DUMMYFUNCTION("""COMPUTED_VALUE"""),"https://www.instagram.com/_asheghanmahdi_academy")</f>
        <v>https://www.instagram.com/_asheghanmahdi_academy</v>
      </c>
      <c r="I6826" s="5"/>
      <c r="J6826" s="5"/>
      <c r="K6826" s="5"/>
      <c r="L6826" s="5"/>
      <c r="M6826" s="5"/>
      <c r="N6826" s="5"/>
      <c r="O6826" s="5"/>
      <c r="P6826" s="5"/>
      <c r="Q6826" s="5"/>
      <c r="R6826" s="5"/>
      <c r="S6826" s="5"/>
    </row>
    <row r="6827">
      <c r="A6827" s="5">
        <f>IFERROR(__xludf.DUMMYFUNCTION("""COMPUTED_VALUE"""),23733.0)</f>
        <v>23733</v>
      </c>
      <c r="B6827" s="5" t="str">
        <f>IFERROR(__xludf.DUMMYFUNCTION("""COMPUTED_VALUE"""),"هیأت")</f>
        <v>هیأت</v>
      </c>
      <c r="C6827" s="5" t="str">
        <f>IFERROR(__xludf.DUMMYFUNCTION("""COMPUTED_VALUE"""),"چهارده معصوم (ع)")</f>
        <v>چهارده معصوم (ع)</v>
      </c>
      <c r="D6827" s="5" t="str">
        <f>IFERROR(__xludf.DUMMYFUNCTION("""COMPUTED_VALUE"""),"یزد")</f>
        <v>یزد</v>
      </c>
      <c r="E6827" s="5" t="str">
        <f>IFERROR(__xludf.DUMMYFUNCTION("""COMPUTED_VALUE"""),"یزد")</f>
        <v>یزد</v>
      </c>
      <c r="F6827" s="5"/>
      <c r="G6827" s="5"/>
      <c r="H6827" s="5"/>
      <c r="I6827" s="5"/>
      <c r="J6827" s="6" t="str">
        <f>IFERROR(__xludf.DUMMYFUNCTION("""COMPUTED_VALUE"""),"https://eitaa.com/mf14masoum")</f>
        <v>https://eitaa.com/mf14masoum</v>
      </c>
      <c r="K6827" s="5"/>
      <c r="L6827" s="5"/>
      <c r="M6827" s="5"/>
      <c r="N6827" s="5"/>
      <c r="O6827" s="5"/>
      <c r="P6827" s="5"/>
      <c r="Q6827" s="5"/>
      <c r="R6827" s="5"/>
      <c r="S6827" s="5"/>
    </row>
    <row r="6828">
      <c r="A6828" s="5">
        <f>IFERROR(__xludf.DUMMYFUNCTION("""COMPUTED_VALUE"""),23745.0)</f>
        <v>23745</v>
      </c>
      <c r="B6828" s="5" t="str">
        <f>IFERROR(__xludf.DUMMYFUNCTION("""COMPUTED_VALUE"""),"هیأت")</f>
        <v>هیأت</v>
      </c>
      <c r="C6828" s="5" t="str">
        <f>IFERROR(__xludf.DUMMYFUNCTION("""COMPUTED_VALUE"""),"انصارالمهدی")</f>
        <v>انصارالمهدی</v>
      </c>
      <c r="D6828" s="5" t="str">
        <f>IFERROR(__xludf.DUMMYFUNCTION("""COMPUTED_VALUE"""),"یزد")</f>
        <v>یزد</v>
      </c>
      <c r="E6828" s="5" t="str">
        <f>IFERROR(__xludf.DUMMYFUNCTION("""COMPUTED_VALUE"""),"یزد")</f>
        <v>یزد</v>
      </c>
      <c r="F6828" s="5"/>
      <c r="G6828" s="5"/>
      <c r="H6828" s="6" t="str">
        <f>IFERROR(__xludf.DUMMYFUNCTION("""COMPUTED_VALUE"""),"https://www.instagram.com/ahd313ir/")</f>
        <v>https://www.instagram.com/ahd313ir/</v>
      </c>
      <c r="I6828" s="5"/>
      <c r="J6828" s="6" t="str">
        <f>IFERROR(__xludf.DUMMYFUNCTION("""COMPUTED_VALUE"""),"https://eitaa.com/ahd313ir")</f>
        <v>https://eitaa.com/ahd313ir</v>
      </c>
      <c r="K6828" s="5"/>
      <c r="L6828" s="5"/>
      <c r="M6828" s="5"/>
      <c r="N6828" s="5"/>
      <c r="O6828" s="5"/>
      <c r="P6828" s="5"/>
      <c r="Q6828" s="5"/>
      <c r="R6828" s="5"/>
      <c r="S6828" s="5"/>
    </row>
    <row r="6829">
      <c r="A6829" s="5">
        <f>IFERROR(__xludf.DUMMYFUNCTION("""COMPUTED_VALUE"""),24265.0)</f>
        <v>24265</v>
      </c>
      <c r="B6829" s="5" t="str">
        <f>IFERROR(__xludf.DUMMYFUNCTION("""COMPUTED_VALUE"""),"هیأت")</f>
        <v>هیأت</v>
      </c>
      <c r="C6829" s="5" t="str">
        <f>IFERROR(__xludf.DUMMYFUNCTION("""COMPUTED_VALUE"""),"متوسلین به حضرت صاحبالزمان(ع)")</f>
        <v>متوسلین به حضرت صاحبالزمان(ع)</v>
      </c>
      <c r="D6829" s="5" t="str">
        <f>IFERROR(__xludf.DUMMYFUNCTION("""COMPUTED_VALUE"""),"یزد")</f>
        <v>یزد</v>
      </c>
      <c r="E6829" s="5" t="str">
        <f>IFERROR(__xludf.DUMMYFUNCTION("""COMPUTED_VALUE"""),"یزد")</f>
        <v>یزد</v>
      </c>
      <c r="F6829" s="5"/>
      <c r="G6829" s="5"/>
      <c r="H6829" s="5"/>
      <c r="I6829" s="5"/>
      <c r="J6829" s="6" t="str">
        <f>IFERROR(__xludf.DUMMYFUNCTION("""COMPUTED_VALUE"""),"https://eitaa.com/heyat_emam_zaman")</f>
        <v>https://eitaa.com/heyat_emam_zaman</v>
      </c>
      <c r="K6829" s="5"/>
      <c r="L6829" s="5"/>
      <c r="M6829" s="5"/>
      <c r="N6829" s="5"/>
      <c r="O6829" s="5"/>
      <c r="P6829" s="5"/>
      <c r="Q6829" s="5"/>
      <c r="R6829" s="5"/>
      <c r="S6829" s="5"/>
    </row>
    <row r="6830">
      <c r="A6830" s="5">
        <f>IFERROR(__xludf.DUMMYFUNCTION("""COMPUTED_VALUE"""),24800.0)</f>
        <v>24800</v>
      </c>
      <c r="B6830" s="5" t="str">
        <f>IFERROR(__xludf.DUMMYFUNCTION("""COMPUTED_VALUE"""),"هیأت")</f>
        <v>هیأت</v>
      </c>
      <c r="C6830" s="5" t="str">
        <f>IFERROR(__xludf.DUMMYFUNCTION("""COMPUTED_VALUE"""),"کانون سه شنبه های مهدوی")</f>
        <v>کانون سه شنبه های مهدوی</v>
      </c>
      <c r="D6830" s="5" t="str">
        <f>IFERROR(__xludf.DUMMYFUNCTION("""COMPUTED_VALUE"""),"یزد")</f>
        <v>یزد</v>
      </c>
      <c r="E6830" s="5" t="str">
        <f>IFERROR(__xludf.DUMMYFUNCTION("""COMPUTED_VALUE"""),"یزد")</f>
        <v>یزد</v>
      </c>
      <c r="F6830" s="5"/>
      <c r="G6830" s="5"/>
      <c r="H6830" s="6" t="str">
        <f>IFERROR(__xludf.DUMMYFUNCTION("""COMPUTED_VALUE"""),"https://www.instagram.com/mahdavee__1400/")</f>
        <v>https://www.instagram.com/mahdavee__1400/</v>
      </c>
      <c r="I6830" s="5"/>
      <c r="J6830" s="6" t="str">
        <f>IFERROR(__xludf.DUMMYFUNCTION("""COMPUTED_VALUE"""),"https://eitaa.com/mahdavee1400")</f>
        <v>https://eitaa.com/mahdavee1400</v>
      </c>
      <c r="K6830" s="5"/>
      <c r="L6830" s="5"/>
      <c r="M6830" s="5"/>
      <c r="N6830" s="5"/>
      <c r="O6830" s="5"/>
      <c r="P6830" s="5"/>
      <c r="Q6830" s="5"/>
      <c r="R6830" s="5"/>
      <c r="S6830" s="5"/>
    </row>
    <row r="6831">
      <c r="A6831" s="5">
        <f>IFERROR(__xludf.DUMMYFUNCTION("""COMPUTED_VALUE"""),24814.0)</f>
        <v>24814</v>
      </c>
      <c r="B6831" s="5" t="str">
        <f>IFERROR(__xludf.DUMMYFUNCTION("""COMPUTED_VALUE"""),"هیأت دخترانه")</f>
        <v>هیأت دخترانه</v>
      </c>
      <c r="C6831" s="5" t="str">
        <f>IFERROR(__xludf.DUMMYFUNCTION("""COMPUTED_VALUE"""),"بنات الحیدر")</f>
        <v>بنات الحیدر</v>
      </c>
      <c r="D6831" s="5" t="str">
        <f>IFERROR(__xludf.DUMMYFUNCTION("""COMPUTED_VALUE"""),"یزد")</f>
        <v>یزد</v>
      </c>
      <c r="E6831" s="5" t="str">
        <f>IFERROR(__xludf.DUMMYFUNCTION("""COMPUTED_VALUE"""),"یزد")</f>
        <v>یزد</v>
      </c>
      <c r="F6831" s="5"/>
      <c r="G6831" s="5"/>
      <c r="H6831" s="6" t="str">
        <f>IFERROR(__xludf.DUMMYFUNCTION("""COMPUTED_VALUE"""),"https://www.instagram.com/banatolheydar_yazd")</f>
        <v>https://www.instagram.com/banatolheydar_yazd</v>
      </c>
      <c r="I6831" s="5"/>
      <c r="J6831" s="6" t="str">
        <f>IFERROR(__xludf.DUMMYFUNCTION("""COMPUTED_VALUE"""),"https://eitaa.com/banatolheydar_ir")</f>
        <v>https://eitaa.com/banatolheydar_ir</v>
      </c>
      <c r="K6831" s="5"/>
      <c r="L6831" s="5"/>
      <c r="M6831" s="5"/>
      <c r="N6831" s="5"/>
      <c r="O6831" s="5"/>
      <c r="P6831" s="5"/>
      <c r="Q6831" s="5"/>
      <c r="R6831" s="5"/>
      <c r="S6831" s="5"/>
    </row>
    <row r="6832">
      <c r="A6832" s="5">
        <f>IFERROR(__xludf.DUMMYFUNCTION("""COMPUTED_VALUE"""),24886.0)</f>
        <v>24886</v>
      </c>
      <c r="B6832" s="5" t="str">
        <f>IFERROR(__xludf.DUMMYFUNCTION("""COMPUTED_VALUE"""),"هیأت")</f>
        <v>هیأت</v>
      </c>
      <c r="C6832" s="5" t="str">
        <f>IFERROR(__xludf.DUMMYFUNCTION("""COMPUTED_VALUE"""),"بچه های فاطمه (س)")</f>
        <v>بچه های فاطمه (س)</v>
      </c>
      <c r="D6832" s="5" t="str">
        <f>IFERROR(__xludf.DUMMYFUNCTION("""COMPUTED_VALUE"""),"یزد")</f>
        <v>یزد</v>
      </c>
      <c r="E6832" s="5" t="str">
        <f>IFERROR(__xludf.DUMMYFUNCTION("""COMPUTED_VALUE"""),"یزد")</f>
        <v>یزد</v>
      </c>
      <c r="F6832" s="5"/>
      <c r="G6832" s="5"/>
      <c r="H6832" s="5"/>
      <c r="I6832" s="5"/>
      <c r="J6832" s="6" t="str">
        <f>IFERROR(__xludf.DUMMYFUNCTION("""COMPUTED_VALUE"""),"https://eitaa.com/bachehaye_fateme")</f>
        <v>https://eitaa.com/bachehaye_fateme</v>
      </c>
      <c r="K6832" s="5"/>
      <c r="L6832" s="5"/>
      <c r="M6832" s="5"/>
      <c r="N6832" s="5"/>
      <c r="O6832" s="5"/>
      <c r="P6832" s="5"/>
      <c r="Q6832" s="5"/>
      <c r="R6832" s="5"/>
      <c r="S6832" s="5"/>
    </row>
    <row r="6833">
      <c r="A6833" s="5">
        <f>IFERROR(__xludf.DUMMYFUNCTION("""COMPUTED_VALUE"""),24897.0)</f>
        <v>24897</v>
      </c>
      <c r="B6833" s="5" t="str">
        <f>IFERROR(__xludf.DUMMYFUNCTION("""COMPUTED_VALUE"""),"هیأت")</f>
        <v>هیأت</v>
      </c>
      <c r="C6833" s="5" t="str">
        <f>IFERROR(__xludf.DUMMYFUNCTION("""COMPUTED_VALUE"""),"انصار امیر المومنین (ع)")</f>
        <v>انصار امیر المومنین (ع)</v>
      </c>
      <c r="D6833" s="5" t="str">
        <f>IFERROR(__xludf.DUMMYFUNCTION("""COMPUTED_VALUE"""),"یزد")</f>
        <v>یزد</v>
      </c>
      <c r="E6833" s="5" t="str">
        <f>IFERROR(__xludf.DUMMYFUNCTION("""COMPUTED_VALUE"""),"یزد")</f>
        <v>یزد</v>
      </c>
      <c r="F6833" s="5"/>
      <c r="G6833" s="5"/>
      <c r="H6833" s="6" t="str">
        <f>IFERROR(__xludf.DUMMYFUNCTION("""COMPUTED_VALUE"""),"https://www.instagram.com/ansareamir_ir")</f>
        <v>https://www.instagram.com/ansareamir_ir</v>
      </c>
      <c r="I6833" s="5"/>
      <c r="J6833" s="6" t="str">
        <f>IFERROR(__xludf.DUMMYFUNCTION("""COMPUTED_VALUE"""),"https://eitaa.com/ansareamir")</f>
        <v>https://eitaa.com/ansareamir</v>
      </c>
      <c r="K6833" s="5"/>
      <c r="L6833" s="5"/>
      <c r="M6833" s="5"/>
      <c r="N6833" s="5"/>
      <c r="O6833" s="5"/>
      <c r="P6833" s="5"/>
      <c r="Q6833" s="5"/>
      <c r="R6833" s="5"/>
      <c r="S6833" s="5"/>
    </row>
    <row r="6834">
      <c r="A6834" s="5">
        <f>IFERROR(__xludf.DUMMYFUNCTION("""COMPUTED_VALUE"""),24920.0)</f>
        <v>24920</v>
      </c>
      <c r="B6834" s="5" t="str">
        <f>IFERROR(__xludf.DUMMYFUNCTION("""COMPUTED_VALUE"""),"هیأت")</f>
        <v>هیأت</v>
      </c>
      <c r="C6834" s="5" t="str">
        <f>IFERROR(__xludf.DUMMYFUNCTION("""COMPUTED_VALUE"""),"طریق الشهدا")</f>
        <v>طریق الشهدا</v>
      </c>
      <c r="D6834" s="5" t="str">
        <f>IFERROR(__xludf.DUMMYFUNCTION("""COMPUTED_VALUE"""),"یزد")</f>
        <v>یزد</v>
      </c>
      <c r="E6834" s="5" t="str">
        <f>IFERROR(__xludf.DUMMYFUNCTION("""COMPUTED_VALUE"""),"یزد")</f>
        <v>یزد</v>
      </c>
      <c r="F6834" s="5"/>
      <c r="G6834" s="5"/>
      <c r="H6834" s="6" t="str">
        <f>IFERROR(__xludf.DUMMYFUNCTION("""COMPUTED_VALUE"""),"https://www.instagram.com/tarigh_shohada_yazd")</f>
        <v>https://www.instagram.com/tarigh_shohada_yazd</v>
      </c>
      <c r="I6834" s="5"/>
      <c r="J6834" s="6" t="str">
        <f>IFERROR(__xludf.DUMMYFUNCTION("""COMPUTED_VALUE"""),"https://eitaa.com/tarighoshohadayazd")</f>
        <v>https://eitaa.com/tarighoshohadayazd</v>
      </c>
      <c r="K6834" s="5"/>
      <c r="L6834" s="5"/>
      <c r="M6834" s="5"/>
      <c r="N6834" s="5"/>
      <c r="O6834" s="5"/>
      <c r="P6834" s="5"/>
      <c r="Q6834" s="5"/>
      <c r="R6834" s="5"/>
      <c r="S6834" s="5"/>
    </row>
    <row r="6835">
      <c r="A6835" s="5">
        <f>IFERROR(__xludf.DUMMYFUNCTION("""COMPUTED_VALUE"""),25062.0)</f>
        <v>25062</v>
      </c>
      <c r="B6835" s="5" t="str">
        <f>IFERROR(__xludf.DUMMYFUNCTION("""COMPUTED_VALUE"""),"هیأت")</f>
        <v>هیأت</v>
      </c>
      <c r="C6835" s="5" t="str">
        <f>IFERROR(__xludf.DUMMYFUNCTION("""COMPUTED_VALUE"""),"موسسه احمدی روشن")</f>
        <v>موسسه احمدی روشن</v>
      </c>
      <c r="D6835" s="5" t="str">
        <f>IFERROR(__xludf.DUMMYFUNCTION("""COMPUTED_VALUE"""),"یزد")</f>
        <v>یزد</v>
      </c>
      <c r="E6835" s="5" t="str">
        <f>IFERROR(__xludf.DUMMYFUNCTION("""COMPUTED_VALUE"""),"یزد")</f>
        <v>یزد</v>
      </c>
      <c r="F6835" s="5"/>
      <c r="G6835" s="5"/>
      <c r="H6835" s="5"/>
      <c r="I6835" s="5"/>
      <c r="J6835" s="6" t="str">
        <f>IFERROR(__xludf.DUMMYFUNCTION("""COMPUTED_VALUE"""),"https://eitaa.com/m_ahmadiroshan")</f>
        <v>https://eitaa.com/m_ahmadiroshan</v>
      </c>
      <c r="K6835" s="5"/>
      <c r="L6835" s="5"/>
      <c r="M6835" s="5"/>
      <c r="N6835" s="5"/>
      <c r="O6835" s="5"/>
      <c r="P6835" s="5"/>
      <c r="Q6835" s="5"/>
      <c r="R6835" s="5"/>
      <c r="S6835" s="5"/>
    </row>
    <row r="6836">
      <c r="A6836" s="5">
        <f>IFERROR(__xludf.DUMMYFUNCTION("""COMPUTED_VALUE"""),25216.0)</f>
        <v>25216</v>
      </c>
      <c r="B6836" s="5" t="str">
        <f>IFERROR(__xludf.DUMMYFUNCTION("""COMPUTED_VALUE"""),"هیأت")</f>
        <v>هیأت</v>
      </c>
      <c r="C6836" s="5" t="str">
        <f>IFERROR(__xludf.DUMMYFUNCTION("""COMPUTED_VALUE"""),"روضه الحسن (ع)")</f>
        <v>روضه الحسن (ع)</v>
      </c>
      <c r="D6836" s="5" t="str">
        <f>IFERROR(__xludf.DUMMYFUNCTION("""COMPUTED_VALUE"""),"یزد")</f>
        <v>یزد</v>
      </c>
      <c r="E6836" s="5" t="str">
        <f>IFERROR(__xludf.DUMMYFUNCTION("""COMPUTED_VALUE"""),"یزد")</f>
        <v>یزد</v>
      </c>
      <c r="F6836" s="5"/>
      <c r="G6836" s="5"/>
      <c r="H6836" s="6" t="str">
        <f>IFERROR(__xludf.DUMMYFUNCTION("""COMPUTED_VALUE"""),"https://www.instagram.com/rozatolhasn118")</f>
        <v>https://www.instagram.com/rozatolhasn118</v>
      </c>
      <c r="I6836" s="5"/>
      <c r="J6836" s="6" t="str">
        <f>IFERROR(__xludf.DUMMYFUNCTION("""COMPUTED_VALUE"""),"https://eitaa.com/darolkerame")</f>
        <v>https://eitaa.com/darolkerame</v>
      </c>
      <c r="K6836" s="5"/>
      <c r="L6836" s="5"/>
      <c r="M6836" s="5"/>
      <c r="N6836" s="5"/>
      <c r="O6836" s="5"/>
      <c r="P6836" s="5"/>
      <c r="Q6836" s="5"/>
      <c r="R6836" s="5"/>
      <c r="S6836" s="5"/>
    </row>
    <row r="6837">
      <c r="A6837" s="5">
        <f>IFERROR(__xludf.DUMMYFUNCTION("""COMPUTED_VALUE"""),25445.0)</f>
        <v>25445</v>
      </c>
      <c r="B6837" s="5" t="str">
        <f>IFERROR(__xludf.DUMMYFUNCTION("""COMPUTED_VALUE"""),"هیأت")</f>
        <v>هیأت</v>
      </c>
      <c r="C6837" s="5" t="str">
        <f>IFERROR(__xludf.DUMMYFUNCTION("""COMPUTED_VALUE"""),"مجموعه مکتب الحسین")</f>
        <v>مجموعه مکتب الحسین</v>
      </c>
      <c r="D6837" s="5" t="str">
        <f>IFERROR(__xludf.DUMMYFUNCTION("""COMPUTED_VALUE"""),"یزد")</f>
        <v>یزد</v>
      </c>
      <c r="E6837" s="5" t="str">
        <f>IFERROR(__xludf.DUMMYFUNCTION("""COMPUTED_VALUE"""),"یزد")</f>
        <v>یزد</v>
      </c>
      <c r="F6837" s="5"/>
      <c r="G6837" s="5"/>
      <c r="H6837" s="5"/>
      <c r="I6837" s="5"/>
      <c r="J6837" s="6" t="str">
        <f>IFERROR(__xludf.DUMMYFUNCTION("""COMPUTED_VALUE"""),"https://eitaa.com/maddahanyazd")</f>
        <v>https://eitaa.com/maddahanyazd</v>
      </c>
      <c r="K6837" s="5"/>
      <c r="L6837" s="5"/>
      <c r="M6837" s="5"/>
      <c r="N6837" s="5"/>
      <c r="O6837" s="5"/>
      <c r="P6837" s="5"/>
      <c r="Q6837" s="5"/>
      <c r="R6837" s="5"/>
      <c r="S6837" s="5"/>
    </row>
    <row r="6838">
      <c r="A6838" s="5">
        <f>IFERROR(__xludf.DUMMYFUNCTION("""COMPUTED_VALUE"""),25446.0)</f>
        <v>25446</v>
      </c>
      <c r="B6838" s="5" t="str">
        <f>IFERROR(__xludf.DUMMYFUNCTION("""COMPUTED_VALUE"""),"هیأت")</f>
        <v>هیأت</v>
      </c>
      <c r="C6838" s="5" t="str">
        <f>IFERROR(__xludf.DUMMYFUNCTION("""COMPUTED_VALUE"""),"علمدار حسین (ع)")</f>
        <v>علمدار حسین (ع)</v>
      </c>
      <c r="D6838" s="5" t="str">
        <f>IFERROR(__xludf.DUMMYFUNCTION("""COMPUTED_VALUE"""),"یزد")</f>
        <v>یزد</v>
      </c>
      <c r="E6838" s="5" t="str">
        <f>IFERROR(__xludf.DUMMYFUNCTION("""COMPUTED_VALUE"""),"یزد")</f>
        <v>یزد</v>
      </c>
      <c r="F6838" s="5"/>
      <c r="G6838" s="5"/>
      <c r="H6838" s="6" t="str">
        <f>IFERROR(__xludf.DUMMYFUNCTION("""COMPUTED_VALUE"""),"https://www.instagram.com/heiat_alamdar_hosein_yazd")</f>
        <v>https://www.instagram.com/heiat_alamdar_hosein_yazd</v>
      </c>
      <c r="I6838" s="6" t="str">
        <f>IFERROR(__xludf.DUMMYFUNCTION("""COMPUTED_VALUE"""),"https://t.me/alamdarehossein_yazd")</f>
        <v>https://t.me/alamdarehossein_yazd</v>
      </c>
      <c r="J6838" s="6" t="str">
        <f>IFERROR(__xludf.DUMMYFUNCTION("""COMPUTED_VALUE"""),"https://eitaa.com/alamdarehossein_yazd")</f>
        <v>https://eitaa.com/alamdarehossein_yazd</v>
      </c>
      <c r="K6838" s="5"/>
      <c r="L6838" s="5"/>
      <c r="M6838" s="5"/>
      <c r="N6838" s="5"/>
      <c r="O6838" s="5"/>
      <c r="P6838" s="5"/>
      <c r="Q6838" s="5"/>
      <c r="R6838" s="5"/>
      <c r="S6838" s="5"/>
    </row>
    <row r="6839">
      <c r="A6839" s="5">
        <f>IFERROR(__xludf.DUMMYFUNCTION("""COMPUTED_VALUE"""),26026.0)</f>
        <v>26026</v>
      </c>
      <c r="B6839" s="5" t="str">
        <f>IFERROR(__xludf.DUMMYFUNCTION("""COMPUTED_VALUE"""),"هیأت")</f>
        <v>هیأت</v>
      </c>
      <c r="C6839" s="5" t="str">
        <f>IFERROR(__xludf.DUMMYFUNCTION("""COMPUTED_VALUE"""),"حیدریون یزد")</f>
        <v>حیدریون یزد</v>
      </c>
      <c r="D6839" s="5" t="str">
        <f>IFERROR(__xludf.DUMMYFUNCTION("""COMPUTED_VALUE"""),"یزد")</f>
        <v>یزد</v>
      </c>
      <c r="E6839" s="5" t="str">
        <f>IFERROR(__xludf.DUMMYFUNCTION("""COMPUTED_VALUE"""),"یزد")</f>
        <v>یزد</v>
      </c>
      <c r="F6839" s="5"/>
      <c r="G6839" s="5"/>
      <c r="H6839" s="6" t="str">
        <f>IFERROR(__xludf.DUMMYFUNCTION("""COMPUTED_VALUE"""),"https://www.instagram.com/heydarion_yazd")</f>
        <v>https://www.instagram.com/heydarion_yazd</v>
      </c>
      <c r="I6839" s="5"/>
      <c r="J6839" s="5"/>
      <c r="K6839" s="5"/>
      <c r="L6839" s="5"/>
      <c r="M6839" s="5"/>
      <c r="N6839" s="5"/>
      <c r="O6839" s="5"/>
      <c r="P6839" s="5"/>
      <c r="Q6839" s="5"/>
      <c r="R6839" s="5"/>
      <c r="S6839" s="5"/>
    </row>
    <row r="6840">
      <c r="A6840" s="5">
        <f>IFERROR(__xludf.DUMMYFUNCTION("""COMPUTED_VALUE"""),26147.0)</f>
        <v>26147</v>
      </c>
      <c r="B6840" s="5" t="str">
        <f>IFERROR(__xludf.DUMMYFUNCTION("""COMPUTED_VALUE"""),"هیأت دانشجویی")</f>
        <v>هیأت دانشجویی</v>
      </c>
      <c r="C6840" s="5" t="str">
        <f>IFERROR(__xludf.DUMMYFUNCTION("""COMPUTED_VALUE"""),"دانشجویی فاطمه الزهرا (س) دانشگاه آزاد اسلامی")</f>
        <v>دانشجویی فاطمه الزهرا (س) دانشگاه آزاد اسلامی</v>
      </c>
      <c r="D6840" s="5" t="str">
        <f>IFERROR(__xludf.DUMMYFUNCTION("""COMPUTED_VALUE"""),"یزد")</f>
        <v>یزد</v>
      </c>
      <c r="E6840" s="5" t="str">
        <f>IFERROR(__xludf.DUMMYFUNCTION("""COMPUTED_VALUE"""),"یزد")</f>
        <v>یزد</v>
      </c>
      <c r="F6840" s="5"/>
      <c r="G6840" s="5"/>
      <c r="H6840" s="6" t="str">
        <f>IFERROR(__xludf.DUMMYFUNCTION("""COMPUTED_VALUE"""),"https://www.instagram.com/heyat_iauy")</f>
        <v>https://www.instagram.com/heyat_iauy</v>
      </c>
      <c r="I6840" s="5"/>
      <c r="J6840" s="6" t="str">
        <f>IFERROR(__xludf.DUMMYFUNCTION("""COMPUTED_VALUE"""),"https://eitaa.com/heyat_iauy")</f>
        <v>https://eitaa.com/heyat_iauy</v>
      </c>
      <c r="K6840" s="5"/>
      <c r="L6840" s="5"/>
      <c r="M6840" s="5"/>
      <c r="N6840" s="5"/>
      <c r="O6840" s="5"/>
      <c r="P6840" s="5"/>
      <c r="Q6840" s="5"/>
      <c r="R6840" s="5"/>
      <c r="S6840" s="5"/>
    </row>
    <row r="6841">
      <c r="A6841" s="5">
        <f>IFERROR(__xludf.DUMMYFUNCTION("""COMPUTED_VALUE"""),26410.0)</f>
        <v>26410</v>
      </c>
      <c r="B6841" s="5" t="str">
        <f>IFERROR(__xludf.DUMMYFUNCTION("""COMPUTED_VALUE"""),"هیأت")</f>
        <v>هیأت</v>
      </c>
      <c r="C6841" s="5" t="str">
        <f>IFERROR(__xludf.DUMMYFUNCTION("""COMPUTED_VALUE"""),"مرام مهدوی")</f>
        <v>مرام مهدوی</v>
      </c>
      <c r="D6841" s="5" t="str">
        <f>IFERROR(__xludf.DUMMYFUNCTION("""COMPUTED_VALUE"""),"یزد")</f>
        <v>یزد</v>
      </c>
      <c r="E6841" s="5" t="str">
        <f>IFERROR(__xludf.DUMMYFUNCTION("""COMPUTED_VALUE"""),"یزد")</f>
        <v>یزد</v>
      </c>
      <c r="F6841" s="5"/>
      <c r="G6841" s="5"/>
      <c r="H6841" s="5"/>
      <c r="I6841" s="5"/>
      <c r="J6841" s="6" t="str">
        <f>IFERROR(__xludf.DUMMYFUNCTION("""COMPUTED_VALUE"""),"https://eitaa.com/marammahdavi_marvast1402")</f>
        <v>https://eitaa.com/marammahdavi_marvast1402</v>
      </c>
      <c r="K6841" s="5"/>
      <c r="L6841" s="5"/>
      <c r="M6841" s="5"/>
      <c r="N6841" s="5"/>
      <c r="O6841" s="5"/>
      <c r="P6841" s="5"/>
      <c r="Q6841" s="5"/>
      <c r="R6841" s="5"/>
      <c r="S6841" s="5"/>
    </row>
    <row r="6842">
      <c r="A6842" s="5">
        <f>IFERROR(__xludf.DUMMYFUNCTION("""COMPUTED_VALUE"""),26747.0)</f>
        <v>26747</v>
      </c>
      <c r="B6842" s="5" t="str">
        <f>IFERROR(__xludf.DUMMYFUNCTION("""COMPUTED_VALUE"""),"هیأت")</f>
        <v>هیأت</v>
      </c>
      <c r="C6842" s="5" t="str">
        <f>IFERROR(__xludf.DUMMYFUNCTION("""COMPUTED_VALUE"""),"انصار الزهراء (س)")</f>
        <v>انصار الزهراء (س)</v>
      </c>
      <c r="D6842" s="5" t="str">
        <f>IFERROR(__xludf.DUMMYFUNCTION("""COMPUTED_VALUE"""),"یزد")</f>
        <v>یزد</v>
      </c>
      <c r="E6842" s="5" t="str">
        <f>IFERROR(__xludf.DUMMYFUNCTION("""COMPUTED_VALUE"""),"یزد")</f>
        <v>یزد</v>
      </c>
      <c r="F6842" s="5"/>
      <c r="G6842" s="5"/>
      <c r="H6842" s="6" t="str">
        <f>IFERROR(__xludf.DUMMYFUNCTION("""COMPUTED_VALUE"""),"https://www.instagram.com/ansarozahrayazd/")</f>
        <v>https://www.instagram.com/ansarozahrayazd/</v>
      </c>
      <c r="I6842" s="5"/>
      <c r="J6842" s="6" t="str">
        <f>IFERROR(__xludf.DUMMYFUNCTION("""COMPUTED_VALUE"""),"https://eitaa.com/ansarozahrayazd")</f>
        <v>https://eitaa.com/ansarozahrayazd</v>
      </c>
      <c r="K6842" s="5"/>
      <c r="L6842" s="5"/>
      <c r="M6842" s="5"/>
      <c r="N6842" s="5"/>
      <c r="O6842" s="5"/>
      <c r="P6842" s="5"/>
      <c r="Q6842" s="5"/>
      <c r="R6842" s="5"/>
      <c r="S6842" s="5"/>
    </row>
    <row r="6843">
      <c r="A6843" s="5">
        <f>IFERROR(__xludf.DUMMYFUNCTION("""COMPUTED_VALUE"""),26748.0)</f>
        <v>26748</v>
      </c>
      <c r="B6843" s="5" t="str">
        <f>IFERROR(__xludf.DUMMYFUNCTION("""COMPUTED_VALUE"""),"هیأت")</f>
        <v>هیأت</v>
      </c>
      <c r="C6843" s="5" t="str">
        <f>IFERROR(__xludf.DUMMYFUNCTION("""COMPUTED_VALUE"""),"انصار الحیدر (ع)")</f>
        <v>انصار الحیدر (ع)</v>
      </c>
      <c r="D6843" s="5" t="str">
        <f>IFERROR(__xludf.DUMMYFUNCTION("""COMPUTED_VALUE"""),"یزد")</f>
        <v>یزد</v>
      </c>
      <c r="E6843" s="5" t="str">
        <f>IFERROR(__xludf.DUMMYFUNCTION("""COMPUTED_VALUE"""),"یزد")</f>
        <v>یزد</v>
      </c>
      <c r="F6843" s="5"/>
      <c r="G6843" s="5"/>
      <c r="H6843" s="5"/>
      <c r="I6843" s="5"/>
      <c r="J6843" s="6" t="str">
        <f>IFERROR(__xludf.DUMMYFUNCTION("""COMPUTED_VALUE"""),"https://eitaa.com/butorab_info")</f>
        <v>https://eitaa.com/butorab_info</v>
      </c>
      <c r="K6843" s="5"/>
      <c r="L6843" s="5"/>
      <c r="M6843" s="5"/>
      <c r="N6843" s="5"/>
      <c r="O6843" s="5"/>
      <c r="P6843" s="5"/>
      <c r="Q6843" s="5"/>
      <c r="R6843" s="5"/>
      <c r="S6843" s="5"/>
    </row>
    <row r="6844">
      <c r="A6844" s="5">
        <f>IFERROR(__xludf.DUMMYFUNCTION("""COMPUTED_VALUE"""),26750.0)</f>
        <v>26750</v>
      </c>
      <c r="B6844" s="5" t="str">
        <f>IFERROR(__xludf.DUMMYFUNCTION("""COMPUTED_VALUE"""),"هیأت بانوان")</f>
        <v>هیأت بانوان</v>
      </c>
      <c r="C6844" s="5" t="str">
        <f>IFERROR(__xludf.DUMMYFUNCTION("""COMPUTED_VALUE"""),"حریم حوراء")</f>
        <v>حریم حوراء</v>
      </c>
      <c r="D6844" s="5" t="str">
        <f>IFERROR(__xludf.DUMMYFUNCTION("""COMPUTED_VALUE"""),"یزد")</f>
        <v>یزد</v>
      </c>
      <c r="E6844" s="5" t="str">
        <f>IFERROR(__xludf.DUMMYFUNCTION("""COMPUTED_VALUE"""),"یزد")</f>
        <v>یزد</v>
      </c>
      <c r="F6844" s="5"/>
      <c r="G6844" s="5"/>
      <c r="H6844" s="5"/>
      <c r="I6844" s="5"/>
      <c r="J6844" s="6" t="str">
        <f>IFERROR(__xludf.DUMMYFUNCTION("""COMPUTED_VALUE"""),"https://eitaa.com/harime_haura")</f>
        <v>https://eitaa.com/harime_haura</v>
      </c>
      <c r="K6844" s="5"/>
      <c r="L6844" s="5"/>
      <c r="M6844" s="5"/>
      <c r="N6844" s="5"/>
      <c r="O6844" s="5"/>
      <c r="P6844" s="5"/>
      <c r="Q6844" s="5"/>
      <c r="R6844" s="5"/>
      <c r="S6844" s="5"/>
    </row>
    <row r="6845">
      <c r="A6845" s="5">
        <f>IFERROR(__xludf.DUMMYFUNCTION("""COMPUTED_VALUE"""),26752.0)</f>
        <v>26752</v>
      </c>
      <c r="B6845" s="5" t="str">
        <f>IFERROR(__xludf.DUMMYFUNCTION("""COMPUTED_VALUE"""),"هیأت")</f>
        <v>هیأت</v>
      </c>
      <c r="C6845" s="5" t="str">
        <f>IFERROR(__xludf.DUMMYFUNCTION("""COMPUTED_VALUE"""),"گروه فرهنگی مرصاد")</f>
        <v>گروه فرهنگی مرصاد</v>
      </c>
      <c r="D6845" s="5" t="str">
        <f>IFERROR(__xludf.DUMMYFUNCTION("""COMPUTED_VALUE"""),"یزد")</f>
        <v>یزد</v>
      </c>
      <c r="E6845" s="5" t="str">
        <f>IFERROR(__xludf.DUMMYFUNCTION("""COMPUTED_VALUE"""),"یزد")</f>
        <v>یزد</v>
      </c>
      <c r="F6845" s="5"/>
      <c r="G6845" s="5"/>
      <c r="H6845" s="6" t="str">
        <f>IFERROR(__xludf.DUMMYFUNCTION("""COMPUTED_VALUE"""),"https://www.instagram.com/mersad.yazd")</f>
        <v>https://www.instagram.com/mersad.yazd</v>
      </c>
      <c r="I6845" s="5"/>
      <c r="J6845" s="6" t="str">
        <f>IFERROR(__xludf.DUMMYFUNCTION("""COMPUTED_VALUE"""),"https://eitaa.com/mersad_yazd")</f>
        <v>https://eitaa.com/mersad_yazd</v>
      </c>
      <c r="K6845" s="5"/>
      <c r="L6845" s="5"/>
      <c r="M6845" s="5"/>
      <c r="N6845" s="5"/>
      <c r="O6845" s="5"/>
      <c r="P6845" s="5"/>
      <c r="Q6845" s="5"/>
      <c r="R6845" s="5"/>
      <c r="S6845" s="5"/>
    </row>
    <row r="6846">
      <c r="A6846" s="5">
        <f>IFERROR(__xludf.DUMMYFUNCTION("""COMPUTED_VALUE"""),26753.0)</f>
        <v>26753</v>
      </c>
      <c r="B6846" s="5" t="str">
        <f>IFERROR(__xludf.DUMMYFUNCTION("""COMPUTED_VALUE"""),"هیأت")</f>
        <v>هیأت</v>
      </c>
      <c r="C6846" s="5" t="str">
        <f>IFERROR(__xludf.DUMMYFUNCTION("""COMPUTED_VALUE"""),"وارثین بشری")</f>
        <v>وارثین بشری</v>
      </c>
      <c r="D6846" s="5" t="str">
        <f>IFERROR(__xludf.DUMMYFUNCTION("""COMPUTED_VALUE"""),"یزد")</f>
        <v>یزد</v>
      </c>
      <c r="E6846" s="5" t="str">
        <f>IFERROR(__xludf.DUMMYFUNCTION("""COMPUTED_VALUE"""),"یزد")</f>
        <v>یزد</v>
      </c>
      <c r="F6846" s="5"/>
      <c r="G6846" s="5"/>
      <c r="H6846" s="6" t="str">
        <f>IFERROR(__xludf.DUMMYFUNCTION("""COMPUTED_VALUE"""),"https://www.instagram.com/moasesa_boshra")</f>
        <v>https://www.instagram.com/moasesa_boshra</v>
      </c>
      <c r="I6846" s="5"/>
      <c r="J6846" s="6" t="str">
        <f>IFERROR(__xludf.DUMMYFUNCTION("""COMPUTED_VALUE"""),"https://eitaa.com/heyatvaresin")</f>
        <v>https://eitaa.com/heyatvaresin</v>
      </c>
      <c r="K6846" s="5"/>
      <c r="L6846" s="5"/>
      <c r="M6846" s="5"/>
      <c r="N6846" s="5"/>
      <c r="O6846" s="5"/>
      <c r="P6846" s="5"/>
      <c r="Q6846" s="5"/>
      <c r="R6846" s="5"/>
      <c r="S6846" s="5"/>
    </row>
    <row r="6847">
      <c r="A6847" s="5">
        <f>IFERROR(__xludf.DUMMYFUNCTION("""COMPUTED_VALUE"""),26754.0)</f>
        <v>26754</v>
      </c>
      <c r="B6847" s="5" t="str">
        <f>IFERROR(__xludf.DUMMYFUNCTION("""COMPUTED_VALUE"""),"هیأت")</f>
        <v>هیأت</v>
      </c>
      <c r="C6847" s="5" t="str">
        <f>IFERROR(__xludf.DUMMYFUNCTION("""COMPUTED_VALUE"""),"امامزاده سید نصرالله")</f>
        <v>امامزاده سید نصرالله</v>
      </c>
      <c r="D6847" s="5" t="str">
        <f>IFERROR(__xludf.DUMMYFUNCTION("""COMPUTED_VALUE"""),"یزد")</f>
        <v>یزد</v>
      </c>
      <c r="E6847" s="5" t="str">
        <f>IFERROR(__xludf.DUMMYFUNCTION("""COMPUTED_VALUE"""),"یزد")</f>
        <v>یزد</v>
      </c>
      <c r="F6847" s="5"/>
      <c r="G6847" s="5"/>
      <c r="H6847" s="5"/>
      <c r="I6847" s="5"/>
      <c r="J6847" s="6" t="str">
        <f>IFERROR(__xludf.DUMMYFUNCTION("""COMPUTED_VALUE"""),"https://eitaa.com/bargah_noor")</f>
        <v>https://eitaa.com/bargah_noor</v>
      </c>
      <c r="K6847" s="5"/>
      <c r="L6847" s="5"/>
      <c r="M6847" s="5"/>
      <c r="N6847" s="5"/>
      <c r="O6847" s="5"/>
      <c r="P6847" s="5"/>
      <c r="Q6847" s="5"/>
      <c r="R6847" s="5"/>
      <c r="S6847" s="5"/>
    </row>
    <row r="6848">
      <c r="A6848" s="5">
        <f>IFERROR(__xludf.DUMMYFUNCTION("""COMPUTED_VALUE"""),27915.0)</f>
        <v>27915</v>
      </c>
      <c r="B6848" s="5" t="str">
        <f>IFERROR(__xludf.DUMMYFUNCTION("""COMPUTED_VALUE"""),"هیأت")</f>
        <v>هیأت</v>
      </c>
      <c r="C6848" s="5" t="str">
        <f>IFERROR(__xludf.DUMMYFUNCTION("""COMPUTED_VALUE"""),"ستایشگران اهل بیت(ع)")</f>
        <v>ستایشگران اهل بیت(ع)</v>
      </c>
      <c r="D6848" s="5" t="str">
        <f>IFERROR(__xludf.DUMMYFUNCTION("""COMPUTED_VALUE"""),"یزد")</f>
        <v>یزد</v>
      </c>
      <c r="E6848" s="5" t="str">
        <f>IFERROR(__xludf.DUMMYFUNCTION("""COMPUTED_VALUE"""),"یزد")</f>
        <v>یزد</v>
      </c>
      <c r="F6848" s="5"/>
      <c r="G6848" s="5"/>
      <c r="H6848" s="6" t="str">
        <f>IFERROR(__xludf.DUMMYFUNCTION("""COMPUTED_VALUE"""),"https://www.instagram.com/setayeshgaran.yazd")</f>
        <v>https://www.instagram.com/setayeshgaran.yazd</v>
      </c>
      <c r="I6848" s="5"/>
      <c r="J6848" s="6" t="str">
        <f>IFERROR(__xludf.DUMMYFUNCTION("""COMPUTED_VALUE"""),"https://eitaa.com/madahaneyazdi")</f>
        <v>https://eitaa.com/madahaneyazdi</v>
      </c>
      <c r="K6848" s="5"/>
      <c r="L6848" s="5"/>
      <c r="M6848" s="5"/>
      <c r="N6848" s="5"/>
      <c r="O6848" s="5"/>
      <c r="P6848" s="5"/>
      <c r="Q6848" s="5"/>
      <c r="R6848" s="5"/>
      <c r="S6848" s="5"/>
    </row>
    <row r="6849">
      <c r="A6849" s="5">
        <f>IFERROR(__xludf.DUMMYFUNCTION("""COMPUTED_VALUE"""),27916.0)</f>
        <v>27916</v>
      </c>
      <c r="B6849" s="5" t="str">
        <f>IFERROR(__xludf.DUMMYFUNCTION("""COMPUTED_VALUE"""),"هیأت")</f>
        <v>هیأت</v>
      </c>
      <c r="C6849" s="5" t="str">
        <f>IFERROR(__xludf.DUMMYFUNCTION("""COMPUTED_VALUE"""),"اطلاع رسانی مراسمات یزد")</f>
        <v>اطلاع رسانی مراسمات یزد</v>
      </c>
      <c r="D6849" s="5" t="str">
        <f>IFERROR(__xludf.DUMMYFUNCTION("""COMPUTED_VALUE"""),"یزد")</f>
        <v>یزد</v>
      </c>
      <c r="E6849" s="5" t="str">
        <f>IFERROR(__xludf.DUMMYFUNCTION("""COMPUTED_VALUE"""),"یزد")</f>
        <v>یزد</v>
      </c>
      <c r="F6849" s="5"/>
      <c r="G6849" s="5"/>
      <c r="H6849" s="6" t="str">
        <f>IFERROR(__xludf.DUMMYFUNCTION("""COMPUTED_VALUE"""),"https://www.instagram.com/marasemat_yazd")</f>
        <v>https://www.instagram.com/marasemat_yazd</v>
      </c>
      <c r="I6849" s="5"/>
      <c r="J6849" s="6" t="str">
        <f>IFERROR(__xludf.DUMMYFUNCTION("""COMPUTED_VALUE"""),"https://eitaa.com/marasemat_yazd")</f>
        <v>https://eitaa.com/marasemat_yazd</v>
      </c>
      <c r="K6849" s="5"/>
      <c r="L6849" s="5"/>
      <c r="M6849" s="5"/>
      <c r="N6849" s="5"/>
      <c r="O6849" s="5"/>
      <c r="P6849" s="5"/>
      <c r="Q6849" s="5"/>
      <c r="R6849" s="5"/>
      <c r="S6849" s="5"/>
    </row>
    <row r="6850">
      <c r="A6850" s="5">
        <f>IFERROR(__xludf.DUMMYFUNCTION("""COMPUTED_VALUE"""),28188.0)</f>
        <v>28188</v>
      </c>
      <c r="B6850" s="5" t="str">
        <f>IFERROR(__xludf.DUMMYFUNCTION("""COMPUTED_VALUE"""),"هیأت")</f>
        <v>هیأت</v>
      </c>
      <c r="C6850" s="5" t="str">
        <f>IFERROR(__xludf.DUMMYFUNCTION("""COMPUTED_VALUE"""),"غدیر امیرآباد یزد")</f>
        <v>غدیر امیرآباد یزد</v>
      </c>
      <c r="D6850" s="5" t="str">
        <f>IFERROR(__xludf.DUMMYFUNCTION("""COMPUTED_VALUE"""),"یزد")</f>
        <v>یزد</v>
      </c>
      <c r="E6850" s="5" t="str">
        <f>IFERROR(__xludf.DUMMYFUNCTION("""COMPUTED_VALUE"""),"یزد")</f>
        <v>یزد</v>
      </c>
      <c r="F6850" s="5"/>
      <c r="G6850" s="5"/>
      <c r="H6850" s="6" t="str">
        <f>IFERROR(__xludf.DUMMYFUNCTION("""COMPUTED_VALUE"""),"https://www.instagram.com/heiatghadiramirabad")</f>
        <v>https://www.instagram.com/heiatghadiramirabad</v>
      </c>
      <c r="I6850" s="6" t="str">
        <f>IFERROR(__xludf.DUMMYFUNCTION("""COMPUTED_VALUE"""),"https://t.me/heiatghadiramirabad")</f>
        <v>https://t.me/heiatghadiramirabad</v>
      </c>
      <c r="J6850" s="5"/>
      <c r="K6850" s="5"/>
      <c r="L6850" s="5"/>
      <c r="M6850" s="5"/>
      <c r="N6850" s="5"/>
      <c r="O6850" s="5"/>
      <c r="P6850" s="5"/>
      <c r="Q6850" s="5"/>
      <c r="R6850" s="5"/>
      <c r="S6850" s="5"/>
    </row>
    <row r="6851">
      <c r="A6851" s="5">
        <f>IFERROR(__xludf.DUMMYFUNCTION("""COMPUTED_VALUE"""),28265.0)</f>
        <v>28265</v>
      </c>
      <c r="B6851" s="5" t="str">
        <f>IFERROR(__xludf.DUMMYFUNCTION("""COMPUTED_VALUE"""),"هیأت")</f>
        <v>هیأت</v>
      </c>
      <c r="C6851" s="5" t="str">
        <f>IFERROR(__xludf.DUMMYFUNCTION("""COMPUTED_VALUE"""),"جان نثاران یزدباف")</f>
        <v>جان نثاران یزدباف</v>
      </c>
      <c r="D6851" s="5" t="str">
        <f>IFERROR(__xludf.DUMMYFUNCTION("""COMPUTED_VALUE"""),"یزد")</f>
        <v>یزد</v>
      </c>
      <c r="E6851" s="5" t="str">
        <f>IFERROR(__xludf.DUMMYFUNCTION("""COMPUTED_VALUE"""),"یزد")</f>
        <v>یزد</v>
      </c>
      <c r="F6851" s="5"/>
      <c r="G6851" s="5"/>
      <c r="H6851" s="6" t="str">
        <f>IFERROR(__xludf.DUMMYFUNCTION("""COMPUTED_VALUE"""),"https://www.instagram.com/jannesaranabalfazlchaleshtor")</f>
        <v>https://www.instagram.com/jannesaranabalfazlchaleshtor</v>
      </c>
      <c r="I6851" s="5"/>
      <c r="J6851" s="5"/>
      <c r="K6851" s="5"/>
      <c r="L6851" s="5"/>
      <c r="M6851" s="5"/>
      <c r="N6851" s="5"/>
      <c r="O6851" s="5"/>
      <c r="P6851" s="5"/>
      <c r="Q6851" s="5"/>
      <c r="R6851" s="5"/>
      <c r="S6851" s="5"/>
    </row>
    <row r="6852">
      <c r="A6852" s="5">
        <f>IFERROR(__xludf.DUMMYFUNCTION("""COMPUTED_VALUE"""),28597.0)</f>
        <v>28597</v>
      </c>
      <c r="B6852" s="5" t="str">
        <f>IFERROR(__xludf.DUMMYFUNCTION("""COMPUTED_VALUE"""),"هیأت")</f>
        <v>هیأت</v>
      </c>
      <c r="C6852" s="5" t="str">
        <f>IFERROR(__xludf.DUMMYFUNCTION("""COMPUTED_VALUE"""),"عزاداران حسینی کوی گنبد سبز")</f>
        <v>عزاداران حسینی کوی گنبد سبز</v>
      </c>
      <c r="D6852" s="5" t="str">
        <f>IFERROR(__xludf.DUMMYFUNCTION("""COMPUTED_VALUE"""),"یزد")</f>
        <v>یزد</v>
      </c>
      <c r="E6852" s="5" t="str">
        <f>IFERROR(__xludf.DUMMYFUNCTION("""COMPUTED_VALUE"""),"یزد")</f>
        <v>یزد</v>
      </c>
      <c r="F6852" s="5"/>
      <c r="G6852" s="5"/>
      <c r="H6852" s="6" t="str">
        <f>IFERROR(__xludf.DUMMYFUNCTION("""COMPUTED_VALUE"""),"https://www.instagram.com/gonbadsabz_yazd")</f>
        <v>https://www.instagram.com/gonbadsabz_yazd</v>
      </c>
      <c r="I6852" s="6" t="str">
        <f>IFERROR(__xludf.DUMMYFUNCTION("""COMPUTED_VALUE"""),"https://t.me/GonbadsabzYazd")</f>
        <v>https://t.me/GonbadsabzYazd</v>
      </c>
      <c r="J6852" s="5"/>
      <c r="K6852" s="5"/>
      <c r="L6852" s="5"/>
      <c r="M6852" s="5"/>
      <c r="N6852" s="5"/>
      <c r="O6852" s="5"/>
      <c r="P6852" s="5"/>
      <c r="Q6852" s="5"/>
      <c r="R6852" s="5"/>
      <c r="S6852" s="5"/>
    </row>
    <row r="6853">
      <c r="A6853" s="5">
        <f>IFERROR(__xludf.DUMMYFUNCTION("""COMPUTED_VALUE"""),29104.0)</f>
        <v>29104</v>
      </c>
      <c r="B6853" s="5" t="str">
        <f>IFERROR(__xludf.DUMMYFUNCTION("""COMPUTED_VALUE"""),"هیأت")</f>
        <v>هیأت</v>
      </c>
      <c r="C6853" s="5" t="str">
        <f>IFERROR(__xludf.DUMMYFUNCTION("""COMPUTED_VALUE"""),"عاشقان ولایت سخوید")</f>
        <v>عاشقان ولایت سخوید</v>
      </c>
      <c r="D6853" s="5" t="str">
        <f>IFERROR(__xludf.DUMMYFUNCTION("""COMPUTED_VALUE"""),"یزد")</f>
        <v>یزد</v>
      </c>
      <c r="E6853" s="5" t="str">
        <f>IFERROR(__xludf.DUMMYFUNCTION("""COMPUTED_VALUE"""),"یزد")</f>
        <v>یزد</v>
      </c>
      <c r="F6853" s="5"/>
      <c r="G6853" s="5"/>
      <c r="H6853" s="6" t="str">
        <f>IFERROR(__xludf.DUMMYFUNCTION("""COMPUTED_VALUE"""),"https://www.instagram.com/asheghan.velayat.sakhvid")</f>
        <v>https://www.instagram.com/asheghan.velayat.sakhvid</v>
      </c>
      <c r="I6853" s="6" t="str">
        <f>IFERROR(__xludf.DUMMYFUNCTION("""COMPUTED_VALUE"""),"https://t.me/asheghanvelayat_sakhvid")</f>
        <v>https://t.me/asheghanvelayat_sakhvid</v>
      </c>
      <c r="J6853" s="5"/>
      <c r="K6853" s="5"/>
      <c r="L6853" s="5"/>
      <c r="M6853" s="5"/>
      <c r="N6853" s="5"/>
      <c r="O6853" s="5"/>
      <c r="P6853" s="5"/>
      <c r="Q6853" s="5"/>
      <c r="R6853" s="5"/>
      <c r="S6853" s="5"/>
    </row>
    <row r="6854">
      <c r="A6854" s="5">
        <f>IFERROR(__xludf.DUMMYFUNCTION("""COMPUTED_VALUE"""),29427.0)</f>
        <v>29427</v>
      </c>
      <c r="B6854" s="5" t="str">
        <f>IFERROR(__xludf.DUMMYFUNCTION("""COMPUTED_VALUE"""),"هیأت")</f>
        <v>هیأت</v>
      </c>
      <c r="C6854" s="5" t="str">
        <f>IFERROR(__xludf.DUMMYFUNCTION("""COMPUTED_VALUE"""),"امیربیان یزد")</f>
        <v>امیربیان یزد</v>
      </c>
      <c r="D6854" s="5" t="str">
        <f>IFERROR(__xludf.DUMMYFUNCTION("""COMPUTED_VALUE"""),"یزد")</f>
        <v>یزد</v>
      </c>
      <c r="E6854" s="5" t="str">
        <f>IFERROR(__xludf.DUMMYFUNCTION("""COMPUTED_VALUE"""),"یزد")</f>
        <v>یزد</v>
      </c>
      <c r="F6854" s="5"/>
      <c r="G6854" s="5"/>
      <c r="H6854" s="6" t="str">
        <f>IFERROR(__xludf.DUMMYFUNCTION("""COMPUTED_VALUE"""),"https://www.instagram.com/amirbayanyazd")</f>
        <v>https://www.instagram.com/amirbayanyazd</v>
      </c>
      <c r="I6854" s="5"/>
      <c r="J6854" s="6" t="str">
        <f>IFERROR(__xludf.DUMMYFUNCTION("""COMPUTED_VALUE"""),"https://eitaa.com/amirbayanyazd")</f>
        <v>https://eitaa.com/amirbayanyazd</v>
      </c>
      <c r="K6854" s="5"/>
      <c r="L6854" s="5"/>
      <c r="M6854" s="5"/>
      <c r="N6854" s="5"/>
      <c r="O6854" s="5"/>
      <c r="P6854" s="5"/>
      <c r="Q6854" s="5"/>
      <c r="R6854" s="5"/>
      <c r="S6854" s="5"/>
    </row>
    <row r="6855">
      <c r="A6855" s="5">
        <f>IFERROR(__xludf.DUMMYFUNCTION("""COMPUTED_VALUE"""),30139.0)</f>
        <v>30139</v>
      </c>
      <c r="B6855" s="5" t="str">
        <f>IFERROR(__xludf.DUMMYFUNCTION("""COMPUTED_VALUE"""),"هیأت")</f>
        <v>هیأت</v>
      </c>
      <c r="C6855" s="5" t="str">
        <f>IFERROR(__xludf.DUMMYFUNCTION("""COMPUTED_VALUE"""),"مجموعه فرهنگی تبلیغی روشنا")</f>
        <v>مجموعه فرهنگی تبلیغی روشنا</v>
      </c>
      <c r="D6855" s="5" t="str">
        <f>IFERROR(__xludf.DUMMYFUNCTION("""COMPUTED_VALUE"""),"یزد")</f>
        <v>یزد</v>
      </c>
      <c r="E6855" s="5" t="str">
        <f>IFERROR(__xludf.DUMMYFUNCTION("""COMPUTED_VALUE"""),"یزد")</f>
        <v>یزد</v>
      </c>
      <c r="F6855" s="5"/>
      <c r="G6855" s="5"/>
      <c r="H6855" s="6" t="str">
        <f>IFERROR(__xludf.DUMMYFUNCTION("""COMPUTED_VALUE"""),"https://www.instagram.com/roshanatourism")</f>
        <v>https://www.instagram.com/roshanatourism</v>
      </c>
      <c r="I6855" s="5"/>
      <c r="J6855" s="5"/>
      <c r="K6855" s="5"/>
      <c r="L6855" s="5"/>
      <c r="M6855" s="5"/>
      <c r="N6855" s="5"/>
      <c r="O6855" s="5"/>
      <c r="P6855" s="5"/>
      <c r="Q6855" s="5"/>
      <c r="R6855" s="5"/>
      <c r="S6855" s="5"/>
    </row>
    <row r="6856">
      <c r="A6856" s="5">
        <f>IFERROR(__xludf.DUMMYFUNCTION("""COMPUTED_VALUE"""),30377.0)</f>
        <v>30377</v>
      </c>
      <c r="B6856" s="5" t="str">
        <f>IFERROR(__xludf.DUMMYFUNCTION("""COMPUTED_VALUE"""),"هیأت")</f>
        <v>هیأت</v>
      </c>
      <c r="C6856" s="5" t="str">
        <f>IFERROR(__xludf.DUMMYFUNCTION("""COMPUTED_VALUE"""),"روضه المهدی")</f>
        <v>روضه المهدی</v>
      </c>
      <c r="D6856" s="5" t="str">
        <f>IFERROR(__xludf.DUMMYFUNCTION("""COMPUTED_VALUE"""),"یزد")</f>
        <v>یزد</v>
      </c>
      <c r="E6856" s="5" t="str">
        <f>IFERROR(__xludf.DUMMYFUNCTION("""COMPUTED_VALUE"""),"یزد")</f>
        <v>یزد</v>
      </c>
      <c r="F6856" s="5"/>
      <c r="G6856" s="5"/>
      <c r="H6856" s="6" t="str">
        <f>IFERROR(__xludf.DUMMYFUNCTION("""COMPUTED_VALUE"""),"https://www.instagram.com/heyatrozatolmahdi/")</f>
        <v>https://www.instagram.com/heyatrozatolmahdi/</v>
      </c>
      <c r="I6856" s="5"/>
      <c r="J6856" s="6" t="str">
        <f>IFERROR(__xludf.DUMMYFUNCTION("""COMPUTED_VALUE"""),"https://eitaa.com/heyatrozatolmahdi")</f>
        <v>https://eitaa.com/heyatrozatolmahdi</v>
      </c>
      <c r="K6856" s="5"/>
      <c r="L6856" s="5"/>
      <c r="M6856" s="5"/>
      <c r="N6856" s="5"/>
      <c r="O6856" s="5"/>
      <c r="P6856" s="5"/>
      <c r="Q6856" s="5"/>
      <c r="R6856" s="5"/>
      <c r="S6856" s="5"/>
    </row>
    <row r="6857">
      <c r="A6857" s="5">
        <f>IFERROR(__xludf.DUMMYFUNCTION("""COMPUTED_VALUE"""),30718.0)</f>
        <v>30718</v>
      </c>
      <c r="B6857" s="5" t="str">
        <f>IFERROR(__xludf.DUMMYFUNCTION("""COMPUTED_VALUE"""),"هیأت")</f>
        <v>هیأت</v>
      </c>
      <c r="C6857" s="5" t="str">
        <f>IFERROR(__xludf.DUMMYFUNCTION("""COMPUTED_VALUE"""),"متوسلین به حضرت ابوالفضل")</f>
        <v>متوسلین به حضرت ابوالفضل</v>
      </c>
      <c r="D6857" s="5" t="str">
        <f>IFERROR(__xludf.DUMMYFUNCTION("""COMPUTED_VALUE"""),"یزد")</f>
        <v>یزد</v>
      </c>
      <c r="E6857" s="5" t="str">
        <f>IFERROR(__xludf.DUMMYFUNCTION("""COMPUTED_VALUE"""),"یزد")</f>
        <v>یزد</v>
      </c>
      <c r="F6857" s="5"/>
      <c r="G6857" s="5"/>
      <c r="H6857" s="6" t="str">
        <f>IFERROR(__xludf.DUMMYFUNCTION("""COMPUTED_VALUE"""),"https://www.instagram.com/heiat.hazrat.abalfazl")</f>
        <v>https://www.instagram.com/heiat.hazrat.abalfazl</v>
      </c>
      <c r="I6857" s="5"/>
      <c r="J6857" s="6" t="str">
        <f>IFERROR(__xludf.DUMMYFUNCTION("""COMPUTED_VALUE"""),"https://eitaa.com/heiathazratabalfazl")</f>
        <v>https://eitaa.com/heiathazratabalfazl</v>
      </c>
      <c r="K6857" s="5"/>
      <c r="L6857" s="5"/>
      <c r="M6857" s="5"/>
      <c r="N6857" s="5"/>
      <c r="O6857" s="5"/>
      <c r="P6857" s="5"/>
      <c r="Q6857" s="5"/>
      <c r="R6857" s="5"/>
      <c r="S6857" s="5"/>
    </row>
    <row r="6858">
      <c r="A6858" s="5">
        <f>IFERROR(__xludf.DUMMYFUNCTION("""COMPUTED_VALUE"""),31462.0)</f>
        <v>31462</v>
      </c>
      <c r="B6858" s="5" t="str">
        <f>IFERROR(__xludf.DUMMYFUNCTION("""COMPUTED_VALUE"""),"هیأت")</f>
        <v>هیأت</v>
      </c>
      <c r="C6858" s="5" t="str">
        <f>IFERROR(__xludf.DUMMYFUNCTION("""COMPUTED_VALUE"""),"عاشقان مهدی")</f>
        <v>عاشقان مهدی</v>
      </c>
      <c r="D6858" s="5" t="str">
        <f>IFERROR(__xludf.DUMMYFUNCTION("""COMPUTED_VALUE"""),"یزد")</f>
        <v>یزد</v>
      </c>
      <c r="E6858" s="5" t="str">
        <f>IFERROR(__xludf.DUMMYFUNCTION("""COMPUTED_VALUE"""),"یزد")</f>
        <v>یزد</v>
      </c>
      <c r="F6858" s="5"/>
      <c r="G6858" s="5"/>
      <c r="H6858" s="6" t="str">
        <f>IFERROR(__xludf.DUMMYFUNCTION("""COMPUTED_VALUE"""),"https://www.instagram.com/_asheghanmahdi_academy")</f>
        <v>https://www.instagram.com/_asheghanmahdi_academy</v>
      </c>
      <c r="I6858" s="5"/>
      <c r="J6858" s="5"/>
      <c r="K6858" s="5"/>
      <c r="L6858" s="5"/>
      <c r="M6858" s="5"/>
      <c r="N6858" s="5"/>
      <c r="O6858" s="5"/>
      <c r="P6858" s="5"/>
      <c r="Q6858" s="5"/>
      <c r="R6858" s="5"/>
      <c r="S6858" s="5"/>
    </row>
    <row r="6859">
      <c r="A6859" s="5">
        <f>IFERROR(__xludf.DUMMYFUNCTION("""COMPUTED_VALUE"""),31869.0)</f>
        <v>31869</v>
      </c>
      <c r="B6859" s="5" t="str">
        <f>IFERROR(__xludf.DUMMYFUNCTION("""COMPUTED_VALUE"""),"هیأت")</f>
        <v>هیأت</v>
      </c>
      <c r="C6859" s="5" t="str">
        <f>IFERROR(__xludf.DUMMYFUNCTION("""COMPUTED_VALUE"""),"انصارالحسین (ع)")</f>
        <v>انصارالحسین (ع)</v>
      </c>
      <c r="D6859" s="5" t="str">
        <f>IFERROR(__xludf.DUMMYFUNCTION("""COMPUTED_VALUE"""),"یزد")</f>
        <v>یزد</v>
      </c>
      <c r="E6859" s="5" t="str">
        <f>IFERROR(__xludf.DUMMYFUNCTION("""COMPUTED_VALUE"""),"یزد")</f>
        <v>یزد</v>
      </c>
      <c r="F6859" s="5"/>
      <c r="G6859" s="5"/>
      <c r="H6859" s="6" t="str">
        <f>IFERROR(__xludf.DUMMYFUNCTION("""COMPUTED_VALUE"""),"https://www.instagram.com/ansarolhossein.yazd")</f>
        <v>https://www.instagram.com/ansarolhossein.yazd</v>
      </c>
      <c r="I6859" s="6" t="str">
        <f>IFERROR(__xludf.DUMMYFUNCTION("""COMPUTED_VALUE"""),"https://t.me/Ansarolhosseinyazd")</f>
        <v>https://t.me/Ansarolhosseinyazd</v>
      </c>
      <c r="J6859" s="6" t="str">
        <f>IFERROR(__xludf.DUMMYFUNCTION("""COMPUTED_VALUE"""),"https://eitaa.com/ansarolhosseinyazd1")</f>
        <v>https://eitaa.com/ansarolhosseinyazd1</v>
      </c>
      <c r="K6859" s="5"/>
      <c r="L6859" s="5"/>
      <c r="M6859" s="5"/>
      <c r="N6859" s="5"/>
      <c r="O6859" s="5"/>
      <c r="P6859" s="5"/>
      <c r="Q6859" s="5"/>
      <c r="R6859" s="5"/>
      <c r="S6859" s="5"/>
    </row>
    <row r="6860">
      <c r="A6860" s="5">
        <f>IFERROR(__xludf.DUMMYFUNCTION("""COMPUTED_VALUE"""),31954.0)</f>
        <v>31954</v>
      </c>
      <c r="B6860" s="5" t="str">
        <f>IFERROR(__xludf.DUMMYFUNCTION("""COMPUTED_VALUE"""),"هیأت")</f>
        <v>هیأت</v>
      </c>
      <c r="C6860" s="5" t="str">
        <f>IFERROR(__xludf.DUMMYFUNCTION("""COMPUTED_VALUE"""),"پیمان")</f>
        <v>پیمان</v>
      </c>
      <c r="D6860" s="5" t="str">
        <f>IFERROR(__xludf.DUMMYFUNCTION("""COMPUTED_VALUE"""),"یزد")</f>
        <v>یزد</v>
      </c>
      <c r="E6860" s="5" t="str">
        <f>IFERROR(__xludf.DUMMYFUNCTION("""COMPUTED_VALUE"""),"یزد")</f>
        <v>یزد</v>
      </c>
      <c r="F6860" s="5"/>
      <c r="G6860" s="5"/>
      <c r="H6860" s="6" t="str">
        <f>IFERROR(__xludf.DUMMYFUNCTION("""COMPUTED_VALUE"""),"https://www.instagram.com/peyman_e_yazd")</f>
        <v>https://www.instagram.com/peyman_e_yazd</v>
      </c>
      <c r="I6860" s="5"/>
      <c r="J6860" s="5"/>
      <c r="K6860" s="5"/>
      <c r="L6860" s="5"/>
      <c r="M6860" s="5"/>
      <c r="N6860" s="5"/>
      <c r="O6860" s="5"/>
      <c r="P6860" s="5"/>
      <c r="Q6860" s="5"/>
      <c r="R6860" s="5"/>
      <c r="S6860" s="5"/>
    </row>
    <row r="6861">
      <c r="A6861" s="5">
        <f>IFERROR(__xludf.DUMMYFUNCTION("""COMPUTED_VALUE"""),32059.0)</f>
        <v>32059</v>
      </c>
      <c r="B6861" s="5" t="str">
        <f>IFERROR(__xludf.DUMMYFUNCTION("""COMPUTED_VALUE"""),"هیأت")</f>
        <v>هیأت</v>
      </c>
      <c r="C6861" s="5" t="str">
        <f>IFERROR(__xludf.DUMMYFUNCTION("""COMPUTED_VALUE"""),"انصار المهدی (عج)")</f>
        <v>انصار المهدی (عج)</v>
      </c>
      <c r="D6861" s="5" t="str">
        <f>IFERROR(__xludf.DUMMYFUNCTION("""COMPUTED_VALUE"""),"یزد")</f>
        <v>یزد</v>
      </c>
      <c r="E6861" s="5" t="str">
        <f>IFERROR(__xludf.DUMMYFUNCTION("""COMPUTED_VALUE"""),"یزد")</f>
        <v>یزد</v>
      </c>
      <c r="F6861" s="5"/>
      <c r="G6861" s="5"/>
      <c r="H6861" s="6" t="str">
        <f>IFERROR(__xludf.DUMMYFUNCTION("""COMPUTED_VALUE"""),"https://Instagram.com/ahd313ir")</f>
        <v>https://Instagram.com/ahd313ir</v>
      </c>
      <c r="I6861" s="5"/>
      <c r="J6861" s="6" t="str">
        <f>IFERROR(__xludf.DUMMYFUNCTION("""COMPUTED_VALUE"""),"https://eitaa.com/ahd313ir")</f>
        <v>https://eitaa.com/ahd313ir</v>
      </c>
      <c r="K6861" s="5"/>
      <c r="L6861" s="5"/>
      <c r="M6861" s="5"/>
      <c r="N6861" s="5"/>
      <c r="O6861" s="5"/>
      <c r="P6861" s="5"/>
      <c r="Q6861" s="5"/>
      <c r="R6861" s="5"/>
      <c r="S6861" s="5"/>
    </row>
    <row r="6862">
      <c r="A6862" s="5">
        <f>IFERROR(__xludf.DUMMYFUNCTION("""COMPUTED_VALUE"""),32108.0)</f>
        <v>32108</v>
      </c>
      <c r="B6862" s="5" t="str">
        <f>IFERROR(__xludf.DUMMYFUNCTION("""COMPUTED_VALUE"""),"هیأت")</f>
        <v>هیأت</v>
      </c>
      <c r="C6862" s="5" t="str">
        <f>IFERROR(__xludf.DUMMYFUNCTION("""COMPUTED_VALUE"""),"زینبیه")</f>
        <v>زینبیه</v>
      </c>
      <c r="D6862" s="5" t="str">
        <f>IFERROR(__xludf.DUMMYFUNCTION("""COMPUTED_VALUE"""),"یزد")</f>
        <v>یزد</v>
      </c>
      <c r="E6862" s="5" t="str">
        <f>IFERROR(__xludf.DUMMYFUNCTION("""COMPUTED_VALUE"""),"یزد")</f>
        <v>یزد</v>
      </c>
      <c r="F6862" s="5"/>
      <c r="G6862" s="5"/>
      <c r="H6862" s="6" t="str">
        <f>IFERROR(__xludf.DUMMYFUNCTION("""COMPUTED_VALUE"""),"https://www.instagram.com/heyat_zeinabieh_yazd")</f>
        <v>https://www.instagram.com/heyat_zeinabieh_yazd</v>
      </c>
      <c r="I6862" s="6" t="str">
        <f>IFERROR(__xludf.DUMMYFUNCTION("""COMPUTED_VALUE"""),"https://t.me/heyat_zeinabieh")</f>
        <v>https://t.me/heyat_zeinabieh</v>
      </c>
      <c r="J6862" s="5"/>
      <c r="K6862" s="5"/>
      <c r="L6862" s="5"/>
      <c r="M6862" s="5"/>
      <c r="N6862" s="5"/>
      <c r="O6862" s="5"/>
      <c r="P6862" s="5"/>
      <c r="Q6862" s="5"/>
      <c r="R6862" s="5"/>
      <c r="S6862" s="5"/>
    </row>
    <row r="6863">
      <c r="A6863" s="5">
        <f>IFERROR(__xludf.DUMMYFUNCTION("""COMPUTED_VALUE"""),32335.0)</f>
        <v>32335</v>
      </c>
      <c r="B6863" s="5" t="str">
        <f>IFERROR(__xludf.DUMMYFUNCTION("""COMPUTED_VALUE"""),"هیأت")</f>
        <v>هیأت</v>
      </c>
      <c r="C6863" s="5" t="str">
        <f>IFERROR(__xludf.DUMMYFUNCTION("""COMPUTED_VALUE"""),"امام حسن مجتبی")</f>
        <v>امام حسن مجتبی</v>
      </c>
      <c r="D6863" s="5" t="str">
        <f>IFERROR(__xludf.DUMMYFUNCTION("""COMPUTED_VALUE"""),"یزد")</f>
        <v>یزد</v>
      </c>
      <c r="E6863" s="5" t="str">
        <f>IFERROR(__xludf.DUMMYFUNCTION("""COMPUTED_VALUE"""),"یزد")</f>
        <v>یزد</v>
      </c>
      <c r="F6863" s="5"/>
      <c r="G6863" s="5">
        <f>IFERROR(__xludf.DUMMYFUNCTION("""COMPUTED_VALUE"""),1.0)</f>
        <v>1</v>
      </c>
      <c r="H6863" s="6" t="str">
        <f>IFERROR(__xludf.DUMMYFUNCTION("""COMPUTED_VALUE"""),"https://www.instagram.com/hayat_emamhasan_mojtaba")</f>
        <v>https://www.instagram.com/hayat_emamhasan_mojtaba</v>
      </c>
      <c r="I6863" s="5"/>
      <c r="J6863" s="6" t="str">
        <f>IFERROR(__xludf.DUMMYFUNCTION("""COMPUTED_VALUE"""),"https://eitaa.com/hm3611")</f>
        <v>https://eitaa.com/hm3611</v>
      </c>
      <c r="K6863" s="5"/>
      <c r="L6863" s="5"/>
      <c r="M6863" s="5"/>
      <c r="N6863" s="5"/>
      <c r="O6863" s="5"/>
      <c r="P6863" s="5"/>
      <c r="Q6863" s="5"/>
      <c r="R6863" s="5"/>
      <c r="S6863" s="5"/>
    </row>
    <row r="6864">
      <c r="A6864" s="5">
        <f>IFERROR(__xludf.DUMMYFUNCTION("""COMPUTED_VALUE"""),32780.0)</f>
        <v>32780</v>
      </c>
      <c r="B6864" s="5" t="str">
        <f>IFERROR(__xludf.DUMMYFUNCTION("""COMPUTED_VALUE"""),"هیأت")</f>
        <v>هیأت</v>
      </c>
      <c r="C6864" s="5" t="str">
        <f>IFERROR(__xludf.DUMMYFUNCTION("""COMPUTED_VALUE"""),"ستاد دعبل")</f>
        <v>ستاد دعبل</v>
      </c>
      <c r="D6864" s="5" t="str">
        <f>IFERROR(__xludf.DUMMYFUNCTION("""COMPUTED_VALUE"""),"یزد")</f>
        <v>یزد</v>
      </c>
      <c r="E6864" s="5" t="str">
        <f>IFERROR(__xludf.DUMMYFUNCTION("""COMPUTED_VALUE"""),"یزد")</f>
        <v>یزد</v>
      </c>
      <c r="F6864" s="5"/>
      <c r="G6864" s="5">
        <f>IFERROR(__xludf.DUMMYFUNCTION("""COMPUTED_VALUE"""),1.0)</f>
        <v>1</v>
      </c>
      <c r="H6864" s="6" t="str">
        <f>IFERROR(__xludf.DUMMYFUNCTION("""COMPUTED_VALUE"""),"https://t.me/s/deabel_ir")</f>
        <v>https://t.me/s/deabel_ir</v>
      </c>
      <c r="I6864" s="6" t="str">
        <f>IFERROR(__xludf.DUMMYFUNCTION("""COMPUTED_VALUE"""),"https://t.me/s/deabel_ir?after=15341")</f>
        <v>https://t.me/s/deabel_ir?after=15341</v>
      </c>
      <c r="J6864" s="6" t="str">
        <f>IFERROR(__xludf.DUMMYFUNCTION("""COMPUTED_VALUE"""),"https://eitaa.com/debelyazd")</f>
        <v>https://eitaa.com/debelyazd</v>
      </c>
      <c r="K6864" s="5"/>
      <c r="L6864" s="5"/>
      <c r="M6864" s="5"/>
      <c r="N6864" s="5"/>
      <c r="O6864" s="5"/>
      <c r="P6864" s="5"/>
      <c r="Q6864" s="5"/>
      <c r="R6864" s="5"/>
      <c r="S6864" s="5"/>
    </row>
    <row r="6865">
      <c r="A6865" s="5"/>
      <c r="B6865" s="5" t="str">
        <f>IFERROR(__xludf.DUMMYFUNCTION("""COMPUTED_VALUE"""),"هیأت")</f>
        <v>هیأت</v>
      </c>
      <c r="C6865" s="5" t="str">
        <f>IFERROR(__xludf.DUMMYFUNCTION("""COMPUTED_VALUE"""),"انصارالزهرا (س)")</f>
        <v>انصارالزهرا (س)</v>
      </c>
      <c r="D6865" s="5" t="str">
        <f>IFERROR(__xludf.DUMMYFUNCTION("""COMPUTED_VALUE"""),"یزد")</f>
        <v>یزد</v>
      </c>
      <c r="E6865" s="5" t="str">
        <f>IFERROR(__xludf.DUMMYFUNCTION("""COMPUTED_VALUE"""),"یزد")</f>
        <v>یزد</v>
      </c>
      <c r="F6865" s="5"/>
      <c r="G6865" s="5"/>
      <c r="H6865" s="6" t="str">
        <f>IFERROR(__xludf.DUMMYFUNCTION("""COMPUTED_VALUE"""),"https://www.instagram.com/ansarozahrayazd")</f>
        <v>https://www.instagram.com/ansarozahrayazd</v>
      </c>
      <c r="I6865" s="6" t="str">
        <f>IFERROR(__xludf.DUMMYFUNCTION("""COMPUTED_VALUE"""),"https://t.me/ansarozahrayazd")</f>
        <v>https://t.me/ansarozahrayazd</v>
      </c>
      <c r="J6865" s="5"/>
      <c r="K6865" s="5"/>
      <c r="L6865" s="5"/>
      <c r="M6865" s="5"/>
      <c r="N6865" s="5"/>
      <c r="O6865" s="5"/>
      <c r="P6865" s="5"/>
      <c r="Q6865" s="5"/>
      <c r="R6865" s="5"/>
      <c r="S6865" s="5"/>
    </row>
    <row r="6866">
      <c r="A6866" s="5"/>
      <c r="B6866" s="5" t="str">
        <f>IFERROR(__xludf.DUMMYFUNCTION("""COMPUTED_VALUE"""),"هیأت")</f>
        <v>هیأت</v>
      </c>
      <c r="C6866" s="5" t="str">
        <f>IFERROR(__xludf.DUMMYFUNCTION("""COMPUTED_VALUE"""),"کوی یعقوبی")</f>
        <v>کوی یعقوبی</v>
      </c>
      <c r="D6866" s="5" t="str">
        <f>IFERROR(__xludf.DUMMYFUNCTION("""COMPUTED_VALUE"""),"یزد")</f>
        <v>یزد</v>
      </c>
      <c r="E6866" s="5" t="str">
        <f>IFERROR(__xludf.DUMMYFUNCTION("""COMPUTED_VALUE"""),"یزد")</f>
        <v>یزد</v>
      </c>
      <c r="F6866" s="5"/>
      <c r="G6866" s="5">
        <f>IFERROR(__xludf.DUMMYFUNCTION("""COMPUTED_VALUE"""),1.0)</f>
        <v>1</v>
      </c>
      <c r="H6866" s="6" t="str">
        <f>IFERROR(__xludf.DUMMYFUNCTION("""COMPUTED_VALUE"""),"https://www.instagram.com/yaghobiyazd/")</f>
        <v>https://www.instagram.com/yaghobiyazd/</v>
      </c>
      <c r="I6866" s="5"/>
      <c r="J6866" s="5"/>
      <c r="K6866" s="5"/>
      <c r="L6866" s="5"/>
      <c r="M6866" s="5"/>
      <c r="N6866" s="5"/>
      <c r="O6866" s="5"/>
      <c r="P6866" s="5"/>
      <c r="Q6866" s="5"/>
      <c r="R6866" s="5"/>
      <c r="S6866" s="5"/>
    </row>
    <row r="6867">
      <c r="A6867" s="5"/>
      <c r="B6867" s="5" t="str">
        <f>IFERROR(__xludf.DUMMYFUNCTION("""COMPUTED_VALUE"""),"هیأت")</f>
        <v>هیأت</v>
      </c>
      <c r="C6867" s="5" t="str">
        <f>IFERROR(__xludf.DUMMYFUNCTION("""COMPUTED_VALUE"""),"شیخداد")</f>
        <v>شیخداد</v>
      </c>
      <c r="D6867" s="5" t="str">
        <f>IFERROR(__xludf.DUMMYFUNCTION("""COMPUTED_VALUE"""),"یزد")</f>
        <v>یزد</v>
      </c>
      <c r="E6867" s="5" t="str">
        <f>IFERROR(__xludf.DUMMYFUNCTION("""COMPUTED_VALUE"""),"یزد")</f>
        <v>یزد</v>
      </c>
      <c r="F6867" s="5"/>
      <c r="G6867" s="5"/>
      <c r="H6867" s="6" t="str">
        <f>IFERROR(__xludf.DUMMYFUNCTION("""COMPUTED_VALUE"""),"https://www.instagram.com/sheikhdad.yazd/")</f>
        <v>https://www.instagram.com/sheikhdad.yazd/</v>
      </c>
      <c r="I6867" s="5"/>
      <c r="J6867" s="5"/>
      <c r="K6867" s="5"/>
      <c r="L6867" s="5"/>
      <c r="M6867" s="5"/>
      <c r="N6867" s="5"/>
      <c r="O6867" s="5"/>
      <c r="P6867" s="5"/>
      <c r="Q6867" s="5"/>
      <c r="R6867" s="5"/>
      <c r="S6867" s="5"/>
    </row>
    <row r="6868">
      <c r="A6868" s="5"/>
      <c r="B6868" s="5" t="str">
        <f>IFERROR(__xludf.DUMMYFUNCTION("""COMPUTED_VALUE"""),"هیأت")</f>
        <v>هیأت</v>
      </c>
      <c r="C6868" s="5" t="str">
        <f>IFERROR(__xludf.DUMMYFUNCTION("""COMPUTED_VALUE"""),"باغ گندم")</f>
        <v>باغ گندم</v>
      </c>
      <c r="D6868" s="5" t="str">
        <f>IFERROR(__xludf.DUMMYFUNCTION("""COMPUTED_VALUE"""),"یزد")</f>
        <v>یزد</v>
      </c>
      <c r="E6868" s="5" t="str">
        <f>IFERROR(__xludf.DUMMYFUNCTION("""COMPUTED_VALUE"""),"یزد")</f>
        <v>یزد</v>
      </c>
      <c r="F6868" s="5"/>
      <c r="G6868" s="5">
        <f>IFERROR(__xludf.DUMMYFUNCTION("""COMPUTED_VALUE"""),1.0)</f>
        <v>1</v>
      </c>
      <c r="H6868" s="6" t="str">
        <f>IFERROR(__xludf.DUMMYFUNCTION("""COMPUTED_VALUE"""),"https://www.instagram.com/baghegandom_official/")</f>
        <v>https://www.instagram.com/baghegandom_official/</v>
      </c>
      <c r="I6868" s="5"/>
      <c r="J6868" s="5"/>
      <c r="K6868" s="5"/>
      <c r="L6868" s="5"/>
      <c r="M6868" s="5"/>
      <c r="N6868" s="5"/>
      <c r="O6868" s="5"/>
      <c r="P6868" s="5"/>
      <c r="Q6868" s="5"/>
      <c r="R6868" s="5"/>
      <c r="S6868" s="5"/>
    </row>
    <row r="6869">
      <c r="A6869" s="5"/>
      <c r="B6869" s="5" t="str">
        <f>IFERROR(__xludf.DUMMYFUNCTION("""COMPUTED_VALUE"""),"هیأت")</f>
        <v>هیأت</v>
      </c>
      <c r="C6869" s="5" t="str">
        <f>IFERROR(__xludf.DUMMYFUNCTION("""COMPUTED_VALUE"""),"خرمشاه")</f>
        <v>خرمشاه</v>
      </c>
      <c r="D6869" s="5" t="str">
        <f>IFERROR(__xludf.DUMMYFUNCTION("""COMPUTED_VALUE"""),"یزد")</f>
        <v>یزد</v>
      </c>
      <c r="E6869" s="5" t="str">
        <f>IFERROR(__xludf.DUMMYFUNCTION("""COMPUTED_VALUE"""),"یزد")</f>
        <v>یزد</v>
      </c>
      <c r="F6869" s="5"/>
      <c r="G6869" s="5"/>
      <c r="H6869" s="6" t="str">
        <f>IFERROR(__xludf.DUMMYFUNCTION("""COMPUTED_VALUE"""),"https://www.instagram.com/khorramshah_yazd/")</f>
        <v>https://www.instagram.com/khorramshah_yazd/</v>
      </c>
      <c r="I6869" s="5" t="str">
        <f>IFERROR(__xludf.DUMMYFUNCTION("""COMPUTED_VALUE"""),"*")</f>
        <v>*</v>
      </c>
      <c r="J6869" s="5" t="str">
        <f>IFERROR(__xludf.DUMMYFUNCTION("""COMPUTED_VALUE"""),"*")</f>
        <v>*</v>
      </c>
      <c r="K6869" s="5"/>
      <c r="L6869" s="5"/>
      <c r="M6869" s="5"/>
      <c r="N6869" s="5"/>
      <c r="O6869" s="5"/>
      <c r="P6869" s="5"/>
      <c r="Q6869" s="5"/>
      <c r="R6869" s="5"/>
      <c r="S6869" s="5"/>
    </row>
    <row r="6870">
      <c r="A6870" s="5"/>
      <c r="B6870" s="5" t="str">
        <f>IFERROR(__xludf.DUMMYFUNCTION("""COMPUTED_VALUE"""),"هیأت")</f>
        <v>هیأت</v>
      </c>
      <c r="C6870" s="5" t="str">
        <f>IFERROR(__xludf.DUMMYFUNCTION("""COMPUTED_VALUE"""),"عزاداران کوی حجت(اتابکی)")</f>
        <v>عزاداران کوی حجت(اتابکی)</v>
      </c>
      <c r="D6870" s="5" t="str">
        <f>IFERROR(__xludf.DUMMYFUNCTION("""COMPUTED_VALUE"""),"یزد")</f>
        <v>یزد</v>
      </c>
      <c r="E6870" s="5" t="str">
        <f>IFERROR(__xludf.DUMMYFUNCTION("""COMPUTED_VALUE"""),"یزد")</f>
        <v>یزد</v>
      </c>
      <c r="F6870" s="5"/>
      <c r="G6870" s="5"/>
      <c r="H6870" s="6" t="str">
        <f>IFERROR(__xludf.DUMMYFUNCTION("""COMPUTED_VALUE"""),"https://www.instagram.com/koyehojat/")</f>
        <v>https://www.instagram.com/koyehojat/</v>
      </c>
      <c r="I6870" s="5"/>
      <c r="J6870" s="5"/>
      <c r="K6870" s="5"/>
      <c r="L6870" s="5"/>
      <c r="M6870" s="5"/>
      <c r="N6870" s="5"/>
      <c r="O6870" s="5"/>
      <c r="P6870" s="5"/>
      <c r="Q6870" s="5"/>
      <c r="R6870" s="5"/>
      <c r="S6870" s="5"/>
    </row>
    <row r="6871">
      <c r="A6871" s="5"/>
      <c r="B6871" s="5" t="str">
        <f>IFERROR(__xludf.DUMMYFUNCTION("""COMPUTED_VALUE"""),"هیأت")</f>
        <v>هیأت</v>
      </c>
      <c r="C6871" s="5" t="str">
        <f>IFERROR(__xludf.DUMMYFUNCTION("""COMPUTED_VALUE"""),"کوی تل")</f>
        <v>کوی تل</v>
      </c>
      <c r="D6871" s="5" t="str">
        <f>IFERROR(__xludf.DUMMYFUNCTION("""COMPUTED_VALUE"""),"یزد")</f>
        <v>یزد</v>
      </c>
      <c r="E6871" s="5" t="str">
        <f>IFERROR(__xludf.DUMMYFUNCTION("""COMPUTED_VALUE"""),"یزد")</f>
        <v>یزد</v>
      </c>
      <c r="F6871" s="5"/>
      <c r="G6871" s="5">
        <f>IFERROR(__xludf.DUMMYFUNCTION("""COMPUTED_VALUE"""),1.0)</f>
        <v>1</v>
      </c>
      <c r="H6871" s="6" t="str">
        <f>IFERROR(__xludf.DUMMYFUNCTION("""COMPUTED_VALUE"""),"https://www.instagram.com/kooyetalyazd/")</f>
        <v>https://www.instagram.com/kooyetalyazd/</v>
      </c>
      <c r="I6871" s="5"/>
      <c r="J6871" s="5"/>
      <c r="K6871" s="5"/>
      <c r="L6871" s="5"/>
      <c r="M6871" s="5"/>
      <c r="N6871" s="5"/>
      <c r="O6871" s="5"/>
      <c r="P6871" s="5"/>
      <c r="Q6871" s="5"/>
      <c r="R6871" s="5"/>
      <c r="S6871" s="5"/>
    </row>
    <row r="6872">
      <c r="A6872" s="5"/>
      <c r="B6872" s="5" t="str">
        <f>IFERROR(__xludf.DUMMYFUNCTION("""COMPUTED_VALUE"""),"هیأت")</f>
        <v>هیأت</v>
      </c>
      <c r="C6872" s="5" t="str">
        <f>IFERROR(__xludf.DUMMYFUNCTION("""COMPUTED_VALUE"""),"ابوالفضل‌العباس کوی زنگی")</f>
        <v>ابوالفضل‌العباس کوی زنگی</v>
      </c>
      <c r="D6872" s="5" t="str">
        <f>IFERROR(__xludf.DUMMYFUNCTION("""COMPUTED_VALUE"""),"یزد")</f>
        <v>یزد</v>
      </c>
      <c r="E6872" s="5" t="str">
        <f>IFERROR(__xludf.DUMMYFUNCTION("""COMPUTED_VALUE"""),"یزد")</f>
        <v>یزد</v>
      </c>
      <c r="F6872" s="5"/>
      <c r="G6872" s="5"/>
      <c r="H6872" s="6" t="str">
        <f>IFERROR(__xludf.DUMMYFUNCTION("""COMPUTED_VALUE"""),"https://www.instagram.com/zangi_yazd/")</f>
        <v>https://www.instagram.com/zangi_yazd/</v>
      </c>
      <c r="I6872" s="5"/>
      <c r="J6872" s="5"/>
      <c r="K6872" s="5"/>
      <c r="L6872" s="5"/>
      <c r="M6872" s="5"/>
      <c r="N6872" s="5"/>
      <c r="O6872" s="5"/>
      <c r="P6872" s="5"/>
      <c r="Q6872" s="5"/>
      <c r="R6872" s="5"/>
      <c r="S6872" s="5"/>
    </row>
    <row r="6873">
      <c r="A6873" s="5"/>
      <c r="B6873" s="5" t="str">
        <f>IFERROR(__xludf.DUMMYFUNCTION("""COMPUTED_VALUE"""),"هیأت")</f>
        <v>هیأت</v>
      </c>
      <c r="C6873" s="5" t="str">
        <f>IFERROR(__xludf.DUMMYFUNCTION("""COMPUTED_VALUE"""),"عزاداران حسینی کوی علیا")</f>
        <v>عزاداران حسینی کوی علیا</v>
      </c>
      <c r="D6873" s="5" t="str">
        <f>IFERROR(__xludf.DUMMYFUNCTION("""COMPUTED_VALUE"""),"یزد")</f>
        <v>یزد</v>
      </c>
      <c r="E6873" s="5" t="str">
        <f>IFERROR(__xludf.DUMMYFUNCTION("""COMPUTED_VALUE"""),"یزد")</f>
        <v>یزد</v>
      </c>
      <c r="F6873" s="5"/>
      <c r="G6873" s="5"/>
      <c r="H6873" s="6" t="str">
        <f>IFERROR(__xludf.DUMMYFUNCTION("""COMPUTED_VALUE"""),"https://www.instagram.com/kouyeoliaonline/")</f>
        <v>https://www.instagram.com/kouyeoliaonline/</v>
      </c>
      <c r="I6873" s="5"/>
      <c r="J6873" s="5"/>
      <c r="K6873" s="5"/>
      <c r="L6873" s="5"/>
      <c r="M6873" s="5"/>
      <c r="N6873" s="5"/>
      <c r="O6873" s="5"/>
      <c r="P6873" s="5"/>
      <c r="Q6873" s="5"/>
      <c r="R6873" s="5"/>
      <c r="S6873" s="5"/>
    </row>
    <row r="6874">
      <c r="A6874" s="5"/>
      <c r="B6874" s="5" t="str">
        <f>IFERROR(__xludf.DUMMYFUNCTION("""COMPUTED_VALUE"""),"هیأت")</f>
        <v>هیأت</v>
      </c>
      <c r="C6874" s="5" t="str">
        <f>IFERROR(__xludf.DUMMYFUNCTION("""COMPUTED_VALUE"""),"عزاداران حسینی")</f>
        <v>عزاداران حسینی</v>
      </c>
      <c r="D6874" s="5" t="str">
        <f>IFERROR(__xludf.DUMMYFUNCTION("""COMPUTED_VALUE"""),"یزد")</f>
        <v>یزد</v>
      </c>
      <c r="E6874" s="5" t="str">
        <f>IFERROR(__xludf.DUMMYFUNCTION("""COMPUTED_VALUE"""),"یزد")</f>
        <v>یزد</v>
      </c>
      <c r="F6874" s="5" t="str">
        <f>IFERROR(__xludf.DUMMYFUNCTION("""COMPUTED_VALUE"""),"عیش آباد")</f>
        <v>عیش آباد</v>
      </c>
      <c r="G6874" s="5"/>
      <c r="H6874" s="6" t="str">
        <f>IFERROR(__xludf.DUMMYFUNCTION("""COMPUTED_VALUE"""),"https://www.instagram.com/eayshabad.yazd/")</f>
        <v>https://www.instagram.com/eayshabad.yazd/</v>
      </c>
      <c r="I6874" s="6" t="str">
        <f>IFERROR(__xludf.DUMMYFUNCTION("""COMPUTED_VALUE"""),"https://t.me/masjddd")</f>
        <v>https://t.me/masjddd</v>
      </c>
      <c r="J6874" s="5"/>
      <c r="K6874" s="5"/>
      <c r="L6874" s="5"/>
      <c r="M6874" s="5"/>
      <c r="N6874" s="5"/>
      <c r="O6874" s="5"/>
      <c r="P6874" s="5"/>
      <c r="Q6874" s="5"/>
      <c r="R6874" s="5"/>
      <c r="S6874" s="5"/>
    </row>
    <row r="6875">
      <c r="A6875" s="5"/>
      <c r="B6875" s="5" t="str">
        <f>IFERROR(__xludf.DUMMYFUNCTION("""COMPUTED_VALUE"""),"هیأت")</f>
        <v>هیأت</v>
      </c>
      <c r="C6875" s="5" t="str">
        <f>IFERROR(__xludf.DUMMYFUNCTION("""COMPUTED_VALUE"""),"کوی‌ سعدی")</f>
        <v>کوی‌ سعدی</v>
      </c>
      <c r="D6875" s="5" t="str">
        <f>IFERROR(__xludf.DUMMYFUNCTION("""COMPUTED_VALUE"""),"یزد")</f>
        <v>یزد</v>
      </c>
      <c r="E6875" s="5" t="str">
        <f>IFERROR(__xludf.DUMMYFUNCTION("""COMPUTED_VALUE"""),"یزد")</f>
        <v>یزد</v>
      </c>
      <c r="F6875" s="5"/>
      <c r="G6875" s="5"/>
      <c r="H6875" s="6" t="str">
        <f>IFERROR(__xludf.DUMMYFUNCTION("""COMPUTED_VALUE"""),"https://www.instagram.com/koyesaadiyazd/")</f>
        <v>https://www.instagram.com/koyesaadiyazd/</v>
      </c>
      <c r="I6875" s="5"/>
      <c r="J6875" s="5"/>
      <c r="K6875" s="5"/>
      <c r="L6875" s="5"/>
      <c r="M6875" s="5"/>
      <c r="N6875" s="5"/>
      <c r="O6875" s="5"/>
      <c r="P6875" s="5"/>
      <c r="Q6875" s="5"/>
      <c r="R6875" s="5"/>
      <c r="S6875" s="5"/>
    </row>
    <row r="6876">
      <c r="A6876" s="5"/>
      <c r="B6876" s="5" t="str">
        <f>IFERROR(__xludf.DUMMYFUNCTION("""COMPUTED_VALUE"""),"هیأت")</f>
        <v>هیأت</v>
      </c>
      <c r="C6876" s="5" t="str">
        <f>IFERROR(__xludf.DUMMYFUNCTION("""COMPUTED_VALUE"""),"کوی اهرستان")</f>
        <v>کوی اهرستان</v>
      </c>
      <c r="D6876" s="5" t="str">
        <f>IFERROR(__xludf.DUMMYFUNCTION("""COMPUTED_VALUE"""),"یزد")</f>
        <v>یزد</v>
      </c>
      <c r="E6876" s="5" t="str">
        <f>IFERROR(__xludf.DUMMYFUNCTION("""COMPUTED_VALUE"""),"یزد")</f>
        <v>یزد</v>
      </c>
      <c r="F6876" s="5"/>
      <c r="G6876" s="5"/>
      <c r="H6876" s="6" t="str">
        <f>IFERROR(__xludf.DUMMYFUNCTION("""COMPUTED_VALUE"""),"https://www.instagram.com/ahrestan.yazd/")</f>
        <v>https://www.instagram.com/ahrestan.yazd/</v>
      </c>
      <c r="I6876" s="6" t="str">
        <f>IFERROR(__xludf.DUMMYFUNCTION("""COMPUTED_VALUE"""),"https://t.me/heyatahrestanyazd")</f>
        <v>https://t.me/heyatahrestanyazd</v>
      </c>
      <c r="J6876" s="6" t="str">
        <f>IFERROR(__xludf.DUMMYFUNCTION("""COMPUTED_VALUE"""),"https://eitaa.com/ahrestan_yazd")</f>
        <v>https://eitaa.com/ahrestan_yazd</v>
      </c>
      <c r="K6876" s="5"/>
      <c r="L6876" s="5"/>
      <c r="M6876" s="5"/>
      <c r="N6876" s="5"/>
      <c r="O6876" s="5"/>
      <c r="P6876" s="5"/>
      <c r="Q6876" s="5"/>
      <c r="R6876" s="5"/>
      <c r="S6876" s="5"/>
    </row>
    <row r="6877">
      <c r="A6877" s="5"/>
      <c r="B6877" s="5" t="str">
        <f>IFERROR(__xludf.DUMMYFUNCTION("""COMPUTED_VALUE"""),"حسینیه")</f>
        <v>حسینیه</v>
      </c>
      <c r="C6877" s="5" t="str">
        <f>IFERROR(__xludf.DUMMYFUNCTION("""COMPUTED_VALUE"""),"کربلائی ها")</f>
        <v>کربلائی ها</v>
      </c>
      <c r="D6877" s="5" t="str">
        <f>IFERROR(__xludf.DUMMYFUNCTION("""COMPUTED_VALUE"""),"یزد")</f>
        <v>یزد</v>
      </c>
      <c r="E6877" s="5" t="str">
        <f>IFERROR(__xludf.DUMMYFUNCTION("""COMPUTED_VALUE"""),"یزد")</f>
        <v>یزد</v>
      </c>
      <c r="F6877" s="5"/>
      <c r="G6877" s="5"/>
      <c r="H6877" s="6" t="str">
        <f>IFERROR(__xludf.DUMMYFUNCTION("""COMPUTED_VALUE"""),"https://www.instagram.com/karbalaeiha_yazd/")</f>
        <v>https://www.instagram.com/karbalaeiha_yazd/</v>
      </c>
      <c r="I6877" s="5"/>
      <c r="J6877" s="5"/>
      <c r="K6877" s="5"/>
      <c r="L6877" s="5"/>
      <c r="M6877" s="5"/>
      <c r="N6877" s="5"/>
      <c r="O6877" s="5"/>
      <c r="P6877" s="5"/>
      <c r="Q6877" s="5"/>
      <c r="R6877" s="5"/>
      <c r="S6877" s="5"/>
    </row>
    <row r="6878">
      <c r="A6878" s="5"/>
      <c r="B6878" s="5" t="str">
        <f>IFERROR(__xludf.DUMMYFUNCTION("""COMPUTED_VALUE"""),"هیأت")</f>
        <v>هیأت</v>
      </c>
      <c r="C6878" s="5" t="str">
        <f>IFERROR(__xludf.DUMMYFUNCTION("""COMPUTED_VALUE"""),"عزاداران حسینی")</f>
        <v>عزاداران حسینی</v>
      </c>
      <c r="D6878" s="5" t="str">
        <f>IFERROR(__xludf.DUMMYFUNCTION("""COMPUTED_VALUE"""),"یزد")</f>
        <v>یزد</v>
      </c>
      <c r="E6878" s="5" t="str">
        <f>IFERROR(__xludf.DUMMYFUNCTION("""COMPUTED_VALUE"""),"یزد")</f>
        <v>یزد</v>
      </c>
      <c r="F6878" s="5" t="str">
        <f>IFERROR(__xludf.DUMMYFUNCTION("""COMPUTED_VALUE"""),"نعیم آباد")</f>
        <v>نعیم آباد</v>
      </c>
      <c r="G6878" s="5"/>
      <c r="H6878" s="6" t="str">
        <f>IFERROR(__xludf.DUMMYFUNCTION("""COMPUTED_VALUE"""),"https://www.instagram.com/naeeimabadyazd/")</f>
        <v>https://www.instagram.com/naeeimabadyazd/</v>
      </c>
      <c r="I6878" s="5"/>
      <c r="J6878" s="5"/>
      <c r="K6878" s="5"/>
      <c r="L6878" s="5"/>
      <c r="M6878" s="5"/>
      <c r="N6878" s="5"/>
      <c r="O6878" s="5"/>
      <c r="P6878" s="5"/>
      <c r="Q6878" s="5"/>
      <c r="R6878" s="5"/>
      <c r="S6878" s="5"/>
    </row>
    <row r="6879">
      <c r="A6879" s="5"/>
      <c r="B6879" s="5" t="str">
        <f>IFERROR(__xludf.DUMMYFUNCTION("""COMPUTED_VALUE"""),"هیأت")</f>
        <v>هیأت</v>
      </c>
      <c r="C6879" s="5" t="str">
        <f>IFERROR(__xludf.DUMMYFUNCTION("""COMPUTED_VALUE"""),"کوی گلچینان")</f>
        <v>کوی گلچینان</v>
      </c>
      <c r="D6879" s="5" t="str">
        <f>IFERROR(__xludf.DUMMYFUNCTION("""COMPUTED_VALUE"""),"یزد")</f>
        <v>یزد</v>
      </c>
      <c r="E6879" s="5" t="str">
        <f>IFERROR(__xludf.DUMMYFUNCTION("""COMPUTED_VALUE"""),"یزد")</f>
        <v>یزد</v>
      </c>
      <c r="F6879" s="5"/>
      <c r="G6879" s="5"/>
      <c r="H6879" s="6" t="str">
        <f>IFERROR(__xludf.DUMMYFUNCTION("""COMPUTED_VALUE"""),"https://www.instagram.com/heiat.golchinan.yazd/")</f>
        <v>https://www.instagram.com/heiat.golchinan.yazd/</v>
      </c>
      <c r="I6879" s="5"/>
      <c r="J6879" s="5"/>
      <c r="K6879" s="5"/>
      <c r="L6879" s="5"/>
      <c r="M6879" s="5"/>
      <c r="N6879" s="5"/>
      <c r="O6879" s="5"/>
      <c r="P6879" s="5"/>
      <c r="Q6879" s="5"/>
      <c r="R6879" s="5"/>
      <c r="S6879" s="5"/>
    </row>
    <row r="6880">
      <c r="A6880" s="5"/>
      <c r="B6880" s="5" t="str">
        <f>IFERROR(__xludf.DUMMYFUNCTION("""COMPUTED_VALUE"""),"هیأت")</f>
        <v>هیأت</v>
      </c>
      <c r="C6880" s="5" t="str">
        <f>IFERROR(__xludf.DUMMYFUNCTION("""COMPUTED_VALUE"""),"خرمشاه")</f>
        <v>خرمشاه</v>
      </c>
      <c r="D6880" s="5" t="str">
        <f>IFERROR(__xludf.DUMMYFUNCTION("""COMPUTED_VALUE"""),"یزد")</f>
        <v>یزد</v>
      </c>
      <c r="E6880" s="5" t="str">
        <f>IFERROR(__xludf.DUMMYFUNCTION("""COMPUTED_VALUE"""),"یزد")</f>
        <v>یزد</v>
      </c>
      <c r="F6880" s="5"/>
      <c r="G6880" s="5"/>
      <c r="H6880" s="6" t="str">
        <f>IFERROR(__xludf.DUMMYFUNCTION("""COMPUTED_VALUE"""),"https://www.instagram.com/khorramshah.yazd/")</f>
        <v>https://www.instagram.com/khorramshah.yazd/</v>
      </c>
      <c r="I6880" s="5"/>
      <c r="J6880" s="5"/>
      <c r="K6880" s="5"/>
      <c r="L6880" s="5"/>
      <c r="M6880" s="5"/>
      <c r="N6880" s="5"/>
      <c r="O6880" s="5"/>
      <c r="P6880" s="5"/>
      <c r="Q6880" s="5"/>
      <c r="R6880" s="5"/>
      <c r="S6880" s="5"/>
    </row>
    <row r="6881">
      <c r="A6881" s="5"/>
      <c r="B6881" s="5" t="str">
        <f>IFERROR(__xludf.DUMMYFUNCTION("""COMPUTED_VALUE"""),"هیأت")</f>
        <v>هیأت</v>
      </c>
      <c r="C6881" s="5" t="str">
        <f>IFERROR(__xludf.DUMMYFUNCTION("""COMPUTED_VALUE"""),"خیمه گاه ثارالله")</f>
        <v>خیمه گاه ثارالله</v>
      </c>
      <c r="D6881" s="5" t="str">
        <f>IFERROR(__xludf.DUMMYFUNCTION("""COMPUTED_VALUE"""),"یزد")</f>
        <v>یزد</v>
      </c>
      <c r="E6881" s="5" t="str">
        <f>IFERROR(__xludf.DUMMYFUNCTION("""COMPUTED_VALUE"""),"یزد")</f>
        <v>یزد</v>
      </c>
      <c r="F6881" s="5"/>
      <c r="G6881" s="5"/>
      <c r="H6881" s="6" t="str">
        <f>IFERROR(__xludf.DUMMYFUNCTION("""COMPUTED_VALUE"""),"https://www.instagram.com/kheimah_sarallah/")</f>
        <v>https://www.instagram.com/kheimah_sarallah/</v>
      </c>
      <c r="I6881" s="5"/>
      <c r="J6881" s="5"/>
      <c r="K6881" s="5"/>
      <c r="L6881" s="5"/>
      <c r="M6881" s="5"/>
      <c r="N6881" s="5"/>
      <c r="O6881" s="5"/>
      <c r="P6881" s="5"/>
      <c r="Q6881" s="5"/>
      <c r="R6881" s="5"/>
      <c r="S6881" s="5"/>
    </row>
    <row r="6882">
      <c r="A6882" s="5"/>
      <c r="B6882" s="5" t="str">
        <f>IFERROR(__xludf.DUMMYFUNCTION("""COMPUTED_VALUE"""),"تکـیه")</f>
        <v>تکـیه</v>
      </c>
      <c r="C6882" s="5" t="str">
        <f>IFERROR(__xludf.DUMMYFUNCTION("""COMPUTED_VALUE"""),"قـمـر بنی‌هاشـم کسـنویه")</f>
        <v>قـمـر بنی‌هاشـم کسـنویه</v>
      </c>
      <c r="D6882" s="5" t="str">
        <f>IFERROR(__xludf.DUMMYFUNCTION("""COMPUTED_VALUE"""),"یزد")</f>
        <v>یزد</v>
      </c>
      <c r="E6882" s="5" t="str">
        <f>IFERROR(__xludf.DUMMYFUNCTION("""COMPUTED_VALUE"""),"یزد")</f>
        <v>یزد</v>
      </c>
      <c r="F6882" s="5"/>
      <c r="G6882" s="5"/>
      <c r="H6882" s="6" t="str">
        <f>IFERROR(__xludf.DUMMYFUNCTION("""COMPUTED_VALUE"""),"https://www.instagram.com/bani.hashem_yazd/")</f>
        <v>https://www.instagram.com/bani.hashem_yazd/</v>
      </c>
      <c r="I6882" s="5"/>
      <c r="J6882" s="5"/>
      <c r="K6882" s="5"/>
      <c r="L6882" s="5"/>
      <c r="M6882" s="5"/>
      <c r="N6882" s="5"/>
      <c r="O6882" s="5"/>
      <c r="P6882" s="5"/>
      <c r="Q6882" s="5"/>
      <c r="R6882" s="5"/>
      <c r="S6882" s="5"/>
    </row>
    <row r="6883">
      <c r="A6883" s="5"/>
      <c r="B6883" s="5" t="str">
        <f>IFERROR(__xludf.DUMMYFUNCTION("""COMPUTED_VALUE"""),"هیأت")</f>
        <v>هیأت</v>
      </c>
      <c r="C6883" s="5" t="str">
        <f>IFERROR(__xludf.DUMMYFUNCTION("""COMPUTED_VALUE"""),"عزاداران فرات")</f>
        <v>عزاداران فرات</v>
      </c>
      <c r="D6883" s="5" t="str">
        <f>IFERROR(__xludf.DUMMYFUNCTION("""COMPUTED_VALUE"""),"یزد")</f>
        <v>یزد</v>
      </c>
      <c r="E6883" s="5" t="str">
        <f>IFERROR(__xludf.DUMMYFUNCTION("""COMPUTED_VALUE"""),"یزد")</f>
        <v>یزد</v>
      </c>
      <c r="F6883" s="5"/>
      <c r="G6883" s="5"/>
      <c r="H6883" s="6" t="str">
        <f>IFERROR(__xludf.DUMMYFUNCTION("""COMPUTED_VALUE"""),"https://www.instagram.com/forat.yazd/")</f>
        <v>https://www.instagram.com/forat.yazd/</v>
      </c>
      <c r="I6883" s="6" t="str">
        <f>IFERROR(__xludf.DUMMYFUNCTION("""COMPUTED_VALUE"""),"https://t.me/foratrasaneh_yazd")</f>
        <v>https://t.me/foratrasaneh_yazd</v>
      </c>
      <c r="J6883" s="5"/>
      <c r="K6883" s="5"/>
      <c r="L6883" s="5"/>
      <c r="M6883" s="5"/>
      <c r="N6883" s="5"/>
      <c r="O6883" s="5"/>
      <c r="P6883" s="5"/>
      <c r="Q6883" s="5"/>
      <c r="R6883" s="5"/>
      <c r="S6883" s="5"/>
    </row>
    <row r="6884">
      <c r="A6884" s="5"/>
      <c r="B6884" s="5" t="str">
        <f>IFERROR(__xludf.DUMMYFUNCTION("""COMPUTED_VALUE"""),"هیأت")</f>
        <v>هیأت</v>
      </c>
      <c r="C6884" s="5" t="str">
        <f>IFERROR(__xludf.DUMMYFUNCTION("""COMPUTED_VALUE"""),"فدائیان ابوالفضل باغ ‌گندم")</f>
        <v>فدائیان ابوالفضل باغ ‌گندم</v>
      </c>
      <c r="D6884" s="5" t="str">
        <f>IFERROR(__xludf.DUMMYFUNCTION("""COMPUTED_VALUE"""),"یزد")</f>
        <v>یزد</v>
      </c>
      <c r="E6884" s="5" t="str">
        <f>IFERROR(__xludf.DUMMYFUNCTION("""COMPUTED_VALUE"""),"یزد")</f>
        <v>یزد</v>
      </c>
      <c r="F6884" s="5"/>
      <c r="G6884" s="5"/>
      <c r="H6884" s="6" t="str">
        <f>IFERROR(__xludf.DUMMYFUNCTION("""COMPUTED_VALUE"""),"https://www.instagram.com/bagh_gandom/")</f>
        <v>https://www.instagram.com/bagh_gandom/</v>
      </c>
      <c r="I6884" s="6" t="str">
        <f>IFERROR(__xludf.DUMMYFUNCTION("""COMPUTED_VALUE"""),"https://t.me/bagh_gandom_yazd")</f>
        <v>https://t.me/bagh_gandom_yazd</v>
      </c>
      <c r="J6884" s="5"/>
      <c r="K6884" s="5"/>
      <c r="L6884" s="5"/>
      <c r="M6884" s="5"/>
      <c r="N6884" s="5"/>
      <c r="O6884" s="5"/>
      <c r="P6884" s="5"/>
      <c r="Q6884" s="5"/>
      <c r="R6884" s="5"/>
      <c r="S6884" s="5"/>
    </row>
    <row r="6885">
      <c r="A6885" s="5"/>
      <c r="B6885" s="5" t="str">
        <f>IFERROR(__xludf.DUMMYFUNCTION("""COMPUTED_VALUE"""),"هیأت")</f>
        <v>هیأت</v>
      </c>
      <c r="C6885" s="5" t="str">
        <f>IFERROR(__xludf.DUMMYFUNCTION("""COMPUTED_VALUE"""),"عزاداران حسینی منشاد")</f>
        <v>عزاداران حسینی منشاد</v>
      </c>
      <c r="D6885" s="5" t="str">
        <f>IFERROR(__xludf.DUMMYFUNCTION("""COMPUTED_VALUE"""),"یزد")</f>
        <v>یزد</v>
      </c>
      <c r="E6885" s="5" t="str">
        <f>IFERROR(__xludf.DUMMYFUNCTION("""COMPUTED_VALUE"""),"یزد")</f>
        <v>یزد</v>
      </c>
      <c r="F6885" s="5"/>
      <c r="G6885" s="5"/>
      <c r="H6885" s="6" t="str">
        <f>IFERROR(__xludf.DUMMYFUNCTION("""COMPUTED_VALUE"""),"https://www.instagram.com/manshadheyat/")</f>
        <v>https://www.instagram.com/manshadheyat/</v>
      </c>
      <c r="I6885" s="6" t="str">
        <f>IFERROR(__xludf.DUMMYFUNCTION("""COMPUTED_VALUE"""),"https://t.me/manshadheyat")</f>
        <v>https://t.me/manshadheyat</v>
      </c>
      <c r="J6885" s="5"/>
      <c r="K6885" s="5"/>
      <c r="L6885" s="5"/>
      <c r="M6885" s="5"/>
      <c r="N6885" s="5"/>
      <c r="O6885" s="5"/>
      <c r="P6885" s="5"/>
      <c r="Q6885" s="5"/>
      <c r="R6885" s="5"/>
      <c r="S6885" s="5"/>
    </row>
    <row r="6886">
      <c r="A6886" s="5"/>
      <c r="B6886" s="5" t="str">
        <f>IFERROR(__xludf.DUMMYFUNCTION("""COMPUTED_VALUE"""),"موکب")</f>
        <v>موکب</v>
      </c>
      <c r="C6886" s="5" t="str">
        <f>IFERROR(__xludf.DUMMYFUNCTION("""COMPUTED_VALUE"""),"شهدای گمنام")</f>
        <v>شهدای گمنام</v>
      </c>
      <c r="D6886" s="5" t="str">
        <f>IFERROR(__xludf.DUMMYFUNCTION("""COMPUTED_VALUE"""),"یزد")</f>
        <v>یزد</v>
      </c>
      <c r="E6886" s="5" t="str">
        <f>IFERROR(__xludf.DUMMYFUNCTION("""COMPUTED_VALUE"""),"یزد")</f>
        <v>یزد</v>
      </c>
      <c r="F6886" s="5" t="str">
        <f>IFERROR(__xludf.DUMMYFUNCTION("""COMPUTED_VALUE"""),"محمدآباد")</f>
        <v>محمدآباد</v>
      </c>
      <c r="G6886" s="5"/>
      <c r="H6886" s="6" t="str">
        <f>IFERROR(__xludf.DUMMYFUNCTION("""COMPUTED_VALUE"""),"https://www.instagram.com/mokeb_arbaeen_1444/")</f>
        <v>https://www.instagram.com/mokeb_arbaeen_1444/</v>
      </c>
      <c r="I6886" s="5"/>
      <c r="J6886" s="5" t="str">
        <f>IFERROR(__xludf.DUMMYFUNCTION("""COMPUTED_VALUE"""),"*")</f>
        <v>*</v>
      </c>
      <c r="K6886" s="5"/>
      <c r="L6886" s="5"/>
      <c r="M6886" s="5"/>
      <c r="N6886" s="5"/>
      <c r="O6886" s="5"/>
      <c r="P6886" s="5"/>
      <c r="Q6886" s="5"/>
      <c r="R6886" s="5"/>
      <c r="S6886" s="5"/>
    </row>
    <row r="6887">
      <c r="A6887" s="5"/>
      <c r="B6887" s="5" t="str">
        <f>IFERROR(__xludf.DUMMYFUNCTION("""COMPUTED_VALUE"""),"هیأت")</f>
        <v>هیأت</v>
      </c>
      <c r="C6887" s="5" t="str">
        <f>IFERROR(__xludf.DUMMYFUNCTION("""COMPUTED_VALUE"""),"صاحب الزمان")</f>
        <v>صاحب الزمان</v>
      </c>
      <c r="D6887" s="5" t="str">
        <f>IFERROR(__xludf.DUMMYFUNCTION("""COMPUTED_VALUE"""),"یزد")</f>
        <v>یزد</v>
      </c>
      <c r="E6887" s="5" t="str">
        <f>IFERROR(__xludf.DUMMYFUNCTION("""COMPUTED_VALUE"""),"یزد")</f>
        <v>یزد</v>
      </c>
      <c r="F6887" s="5" t="str">
        <f>IFERROR(__xludf.DUMMYFUNCTION("""COMPUTED_VALUE"""),"مردآباد")</f>
        <v>مردآباد</v>
      </c>
      <c r="G6887" s="5"/>
      <c r="H6887" s="6" t="str">
        <f>IFERROR(__xludf.DUMMYFUNCTION("""COMPUTED_VALUE"""),"https://www.instagram.com/heyat_mardabad_yazd/")</f>
        <v>https://www.instagram.com/heyat_mardabad_yazd/</v>
      </c>
      <c r="I6887" s="6" t="str">
        <f>IFERROR(__xludf.DUMMYFUNCTION("""COMPUTED_VALUE"""),"https://t.me/Heyat_Sahebalzaman_Yazd")</f>
        <v>https://t.me/Heyat_Sahebalzaman_Yazd</v>
      </c>
      <c r="J6887" s="5"/>
      <c r="K6887" s="5"/>
      <c r="L6887" s="5"/>
      <c r="M6887" s="5"/>
      <c r="N6887" s="5"/>
      <c r="O6887" s="5"/>
      <c r="P6887" s="5"/>
      <c r="Q6887" s="5"/>
      <c r="R6887" s="5"/>
      <c r="S6887" s="5"/>
    </row>
    <row r="6888">
      <c r="A6888" s="5"/>
      <c r="B6888" s="5" t="str">
        <f>IFERROR(__xludf.DUMMYFUNCTION("""COMPUTED_VALUE"""),"هیأت")</f>
        <v>هیأت</v>
      </c>
      <c r="C6888" s="5" t="str">
        <f>IFERROR(__xludf.DUMMYFUNCTION("""COMPUTED_VALUE"""),"عزاداران حسینی آزادشهر")</f>
        <v>عزاداران حسینی آزادشهر</v>
      </c>
      <c r="D6888" s="5" t="str">
        <f>IFERROR(__xludf.DUMMYFUNCTION("""COMPUTED_VALUE"""),"یزد")</f>
        <v>یزد</v>
      </c>
      <c r="E6888" s="5" t="str">
        <f>IFERROR(__xludf.DUMMYFUNCTION("""COMPUTED_VALUE"""),"یزد")</f>
        <v>یزد</v>
      </c>
      <c r="F6888" s="5"/>
      <c r="G6888" s="5"/>
      <c r="H6888" s="6" t="str">
        <f>IFERROR(__xludf.DUMMYFUNCTION("""COMPUTED_VALUE"""),"https://www.instagram.com/heiat_azadshahr/")</f>
        <v>https://www.instagram.com/heiat_azadshahr/</v>
      </c>
      <c r="I6888" s="6" t="str">
        <f>IFERROR(__xludf.DUMMYFUNCTION("""COMPUTED_VALUE"""),"https://t.me/Heiat_Azadshahr")</f>
        <v>https://t.me/Heiat_Azadshahr</v>
      </c>
      <c r="J6888" s="6" t="str">
        <f>IFERROR(__xludf.DUMMYFUNCTION("""COMPUTED_VALUE"""),"https://eitaa.com/heiat_azadshahr")</f>
        <v>https://eitaa.com/heiat_azadshahr</v>
      </c>
      <c r="K6888" s="5"/>
      <c r="L6888" s="5"/>
      <c r="M6888" s="5"/>
      <c r="N6888" s="5"/>
      <c r="O6888" s="5"/>
      <c r="P6888" s="5"/>
      <c r="Q6888" s="5"/>
      <c r="R6888" s="5"/>
      <c r="S6888" s="5"/>
    </row>
    <row r="6889">
      <c r="A6889" s="5"/>
      <c r="B6889" s="5" t="str">
        <f>IFERROR(__xludf.DUMMYFUNCTION("""COMPUTED_VALUE"""),"هیأت")</f>
        <v>هیأت</v>
      </c>
      <c r="C6889" s="5" t="str">
        <f>IFERROR(__xludf.DUMMYFUNCTION("""COMPUTED_VALUE"""),"عزاداران حسینی کوچه بیوک")</f>
        <v>عزاداران حسینی کوچه بیوک</v>
      </c>
      <c r="D6889" s="5" t="str">
        <f>IFERROR(__xludf.DUMMYFUNCTION("""COMPUTED_VALUE"""),"یزد")</f>
        <v>یزد</v>
      </c>
      <c r="E6889" s="5" t="str">
        <f>IFERROR(__xludf.DUMMYFUNCTION("""COMPUTED_VALUE"""),"یزد")</f>
        <v>یزد</v>
      </c>
      <c r="F6889" s="5"/>
      <c r="G6889" s="5"/>
      <c r="H6889" s="6" t="str">
        <f>IFERROR(__xludf.DUMMYFUNCTION("""COMPUTED_VALUE"""),"https://www.instagram.com/koochebiuk.ir/")</f>
        <v>https://www.instagram.com/koochebiuk.ir/</v>
      </c>
      <c r="I6889" s="5"/>
      <c r="J6889" s="6" t="str">
        <f>IFERROR(__xludf.DUMMYFUNCTION("""COMPUTED_VALUE"""),"https://eitaa.com/kouchebiuk")</f>
        <v>https://eitaa.com/kouchebiuk</v>
      </c>
      <c r="K6889" s="5"/>
      <c r="L6889" s="5"/>
      <c r="M6889" s="5"/>
      <c r="N6889" s="5"/>
      <c r="O6889" s="5"/>
      <c r="P6889" s="5"/>
      <c r="Q6889" s="5"/>
      <c r="R6889" s="5"/>
      <c r="S6889" s="5"/>
    </row>
    <row r="6890">
      <c r="A6890" s="5"/>
      <c r="B6890" s="5" t="str">
        <f>IFERROR(__xludf.DUMMYFUNCTION("""COMPUTED_VALUE"""),"هیأت")</f>
        <v>هیأت</v>
      </c>
      <c r="C6890" s="5" t="str">
        <f>IFERROR(__xludf.DUMMYFUNCTION("""COMPUTED_VALUE"""),"کوی محمدی(پنبه کاران)")</f>
        <v>کوی محمدی(پنبه کاران)</v>
      </c>
      <c r="D6890" s="5" t="str">
        <f>IFERROR(__xludf.DUMMYFUNCTION("""COMPUTED_VALUE"""),"یزد")</f>
        <v>یزد</v>
      </c>
      <c r="E6890" s="5" t="str">
        <f>IFERROR(__xludf.DUMMYFUNCTION("""COMPUTED_VALUE"""),"یزد")</f>
        <v>یزد</v>
      </c>
      <c r="F6890" s="5"/>
      <c r="G6890" s="5"/>
      <c r="H6890" s="6" t="str">
        <f>IFERROR(__xludf.DUMMYFUNCTION("""COMPUTED_VALUE"""),"https://www.instagram.com/panbekaran/")</f>
        <v>https://www.instagram.com/panbekaran/</v>
      </c>
      <c r="I6890" s="6" t="str">
        <f>IFERROR(__xludf.DUMMYFUNCTION("""COMPUTED_VALUE"""),"http://t.me/panbekaran")</f>
        <v>http://t.me/panbekaran</v>
      </c>
      <c r="J6890" s="5"/>
      <c r="K6890" s="5"/>
      <c r="L6890" s="5"/>
      <c r="M6890" s="5"/>
      <c r="N6890" s="5"/>
      <c r="O6890" s="5"/>
      <c r="P6890" s="5"/>
      <c r="Q6890" s="5"/>
      <c r="R6890" s="5"/>
      <c r="S6890" s="5"/>
    </row>
    <row r="6891">
      <c r="A6891" s="5"/>
      <c r="B6891" s="5" t="str">
        <f>IFERROR(__xludf.DUMMYFUNCTION("""COMPUTED_VALUE"""),"هیأت")</f>
        <v>هیأت</v>
      </c>
      <c r="C6891" s="5" t="str">
        <f>IFERROR(__xludf.DUMMYFUNCTION("""COMPUTED_VALUE"""),"عزاداران‌علقمه‌امامشهر‌")</f>
        <v>عزاداران‌علقمه‌امامشهر‌</v>
      </c>
      <c r="D6891" s="5" t="str">
        <f>IFERROR(__xludf.DUMMYFUNCTION("""COMPUTED_VALUE"""),"یزد")</f>
        <v>یزد</v>
      </c>
      <c r="E6891" s="5" t="str">
        <f>IFERROR(__xludf.DUMMYFUNCTION("""COMPUTED_VALUE"""),"یزد")</f>
        <v>یزد</v>
      </c>
      <c r="F6891" s="5"/>
      <c r="G6891" s="5"/>
      <c r="H6891" s="6" t="str">
        <f>IFERROR(__xludf.DUMMYFUNCTION("""COMPUTED_VALUE"""),"https://www.instagram.com/alghamehh/")</f>
        <v>https://www.instagram.com/alghamehh/</v>
      </c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</row>
    <row r="6892">
      <c r="A6892" s="5"/>
      <c r="B6892" s="5" t="str">
        <f>IFERROR(__xludf.DUMMYFUNCTION("""COMPUTED_VALUE"""),"هیأت")</f>
        <v>هیأت</v>
      </c>
      <c r="C6892" s="5" t="str">
        <f>IFERROR(__xludf.DUMMYFUNCTION("""COMPUTED_VALUE"""),"فدائیان حسینیه حاجی یوسف")</f>
        <v>فدائیان حسینیه حاجی یوسف</v>
      </c>
      <c r="D6892" s="5" t="str">
        <f>IFERROR(__xludf.DUMMYFUNCTION("""COMPUTED_VALUE"""),"یزد")</f>
        <v>یزد</v>
      </c>
      <c r="E6892" s="5" t="str">
        <f>IFERROR(__xludf.DUMMYFUNCTION("""COMPUTED_VALUE"""),"یزد")</f>
        <v>یزد</v>
      </c>
      <c r="F6892" s="5"/>
      <c r="G6892" s="5"/>
      <c r="H6892" s="6" t="str">
        <f>IFERROR(__xludf.DUMMYFUNCTION("""COMPUTED_VALUE"""),"https://www.instagram.com/hoseynieh.hajiyousef.yazd/")</f>
        <v>https://www.instagram.com/hoseynieh.hajiyousef.yazd/</v>
      </c>
      <c r="I6892" s="5"/>
      <c r="J6892" s="5"/>
      <c r="K6892" s="5"/>
      <c r="L6892" s="5"/>
      <c r="M6892" s="5"/>
      <c r="N6892" s="5"/>
      <c r="O6892" s="5"/>
      <c r="P6892" s="5"/>
      <c r="Q6892" s="5"/>
      <c r="R6892" s="5"/>
      <c r="S6892" s="5"/>
    </row>
    <row r="6893">
      <c r="A6893" s="5"/>
      <c r="B6893" s="5" t="str">
        <f>IFERROR(__xludf.DUMMYFUNCTION("""COMPUTED_VALUE"""),"هیأت")</f>
        <v>هیأت</v>
      </c>
      <c r="C6893" s="5" t="str">
        <f>IFERROR(__xludf.DUMMYFUNCTION("""COMPUTED_VALUE"""),"حضرت علی اکبر(ع)کوی حنا")</f>
        <v>حضرت علی اکبر(ع)کوی حنا</v>
      </c>
      <c r="D6893" s="5" t="str">
        <f>IFERROR(__xludf.DUMMYFUNCTION("""COMPUTED_VALUE"""),"یزد")</f>
        <v>یزد</v>
      </c>
      <c r="E6893" s="5" t="str">
        <f>IFERROR(__xludf.DUMMYFUNCTION("""COMPUTED_VALUE"""),"یزد")</f>
        <v>یزد</v>
      </c>
      <c r="F6893" s="5"/>
      <c r="G6893" s="5"/>
      <c r="H6893" s="6" t="str">
        <f>IFERROR(__xludf.DUMMYFUNCTION("""COMPUTED_VALUE"""),"https://www.instagram.com/heiate.aliakbar/")</f>
        <v>https://www.instagram.com/heiate.aliakbar/</v>
      </c>
      <c r="I6893" s="5"/>
      <c r="J6893" s="5"/>
      <c r="K6893" s="5"/>
      <c r="L6893" s="5"/>
      <c r="M6893" s="5"/>
      <c r="N6893" s="5"/>
      <c r="O6893" s="5"/>
      <c r="P6893" s="5"/>
      <c r="Q6893" s="5"/>
      <c r="R6893" s="5"/>
      <c r="S6893" s="5"/>
    </row>
    <row r="6894">
      <c r="A6894" s="5"/>
      <c r="B6894" s="5" t="str">
        <f>IFERROR(__xludf.DUMMYFUNCTION("""COMPUTED_VALUE"""),"مهدیه")</f>
        <v>مهدیه</v>
      </c>
      <c r="C6894" s="5" t="str">
        <f>IFERROR(__xludf.DUMMYFUNCTION("""COMPUTED_VALUE"""),"اعظم شاهدیه")</f>
        <v>اعظم شاهدیه</v>
      </c>
      <c r="D6894" s="5" t="str">
        <f>IFERROR(__xludf.DUMMYFUNCTION("""COMPUTED_VALUE"""),"یزد")</f>
        <v>یزد</v>
      </c>
      <c r="E6894" s="5" t="str">
        <f>IFERROR(__xludf.DUMMYFUNCTION("""COMPUTED_VALUE"""),"یزد")</f>
        <v>یزد</v>
      </c>
      <c r="F6894" s="5"/>
      <c r="G6894" s="5"/>
      <c r="H6894" s="6" t="str">
        <f>IFERROR(__xludf.DUMMYFUNCTION("""COMPUTED_VALUE"""),"https://www.instagram.com/mahdieh_shahedieh/")</f>
        <v>https://www.instagram.com/mahdieh_shahedieh/</v>
      </c>
      <c r="I6894" s="5"/>
      <c r="J6894" s="5"/>
      <c r="K6894" s="5"/>
      <c r="L6894" s="5"/>
      <c r="M6894" s="5"/>
      <c r="N6894" s="5"/>
      <c r="O6894" s="5"/>
      <c r="P6894" s="5"/>
      <c r="Q6894" s="5"/>
      <c r="R6894" s="5"/>
      <c r="S6894" s="5"/>
    </row>
    <row r="6895">
      <c r="A6895" s="5"/>
      <c r="B6895" s="5" t="str">
        <f>IFERROR(__xludf.DUMMYFUNCTION("""COMPUTED_VALUE"""),"هیأت")</f>
        <v>هیأت</v>
      </c>
      <c r="C6895" s="5" t="str">
        <f>IFERROR(__xludf.DUMMYFUNCTION("""COMPUTED_VALUE"""),"عزاداران خواجه خضر")</f>
        <v>عزاداران خواجه خضر</v>
      </c>
      <c r="D6895" s="5" t="str">
        <f>IFERROR(__xludf.DUMMYFUNCTION("""COMPUTED_VALUE"""),"یزد")</f>
        <v>یزد</v>
      </c>
      <c r="E6895" s="5" t="str">
        <f>IFERROR(__xludf.DUMMYFUNCTION("""COMPUTED_VALUE"""),"یزد")</f>
        <v>یزد</v>
      </c>
      <c r="F6895" s="5"/>
      <c r="G6895" s="5"/>
      <c r="H6895" s="6" t="str">
        <f>IFERROR(__xludf.DUMMYFUNCTION("""COMPUTED_VALUE"""),"https://www.instagram.com/khajekhezryazd/")</f>
        <v>https://www.instagram.com/khajekhezryazd/</v>
      </c>
      <c r="I6895" s="5"/>
      <c r="J6895" s="5"/>
      <c r="K6895" s="5"/>
      <c r="L6895" s="5"/>
      <c r="M6895" s="5"/>
      <c r="N6895" s="5"/>
      <c r="O6895" s="5"/>
      <c r="P6895" s="5"/>
      <c r="Q6895" s="5"/>
      <c r="R6895" s="5"/>
      <c r="S6895" s="5"/>
    </row>
    <row r="6896">
      <c r="A6896" s="5"/>
      <c r="B6896" s="5" t="str">
        <f>IFERROR(__xludf.DUMMYFUNCTION("""COMPUTED_VALUE"""),"هیأت")</f>
        <v>هیأت</v>
      </c>
      <c r="C6896" s="5" t="str">
        <f>IFERROR(__xludf.DUMMYFUNCTION("""COMPUTED_VALUE"""),"کوی سرجمع")</f>
        <v>کوی سرجمع</v>
      </c>
      <c r="D6896" s="5" t="str">
        <f>IFERROR(__xludf.DUMMYFUNCTION("""COMPUTED_VALUE"""),"یزد")</f>
        <v>یزد</v>
      </c>
      <c r="E6896" s="5" t="str">
        <f>IFERROR(__xludf.DUMMYFUNCTION("""COMPUTED_VALUE"""),"یزد")</f>
        <v>یزد</v>
      </c>
      <c r="F6896" s="5"/>
      <c r="G6896" s="5"/>
      <c r="H6896" s="6" t="str">
        <f>IFERROR(__xludf.DUMMYFUNCTION("""COMPUTED_VALUE"""),"https://www.instagram.com/heyat.sarejam/")</f>
        <v>https://www.instagram.com/heyat.sarejam/</v>
      </c>
      <c r="I6896" s="5"/>
      <c r="J6896" s="5"/>
      <c r="K6896" s="5"/>
      <c r="L6896" s="5"/>
      <c r="M6896" s="5"/>
      <c r="N6896" s="5"/>
      <c r="O6896" s="5"/>
      <c r="P6896" s="5"/>
      <c r="Q6896" s="5"/>
      <c r="R6896" s="5"/>
      <c r="S6896" s="5"/>
    </row>
    <row r="6897">
      <c r="A6897" s="5"/>
      <c r="B6897" s="5" t="str">
        <f>IFERROR(__xludf.DUMMYFUNCTION("""COMPUTED_VALUE"""),"هیأت")</f>
        <v>هیأت</v>
      </c>
      <c r="C6897" s="5" t="str">
        <f>IFERROR(__xludf.DUMMYFUNCTION("""COMPUTED_VALUE"""),"سجاديه كوي پيروبرج")</f>
        <v>سجاديه كوي پيروبرج</v>
      </c>
      <c r="D6897" s="5" t="str">
        <f>IFERROR(__xludf.DUMMYFUNCTION("""COMPUTED_VALUE"""),"یزد")</f>
        <v>یزد</v>
      </c>
      <c r="E6897" s="5" t="str">
        <f>IFERROR(__xludf.DUMMYFUNCTION("""COMPUTED_VALUE"""),"یزد")</f>
        <v>یزد</v>
      </c>
      <c r="F6897" s="5"/>
      <c r="G6897" s="5"/>
      <c r="H6897" s="6" t="str">
        <f>IFERROR(__xludf.DUMMYFUNCTION("""COMPUTED_VALUE"""),"https://www.instagram.com/piroborj.yazd/")</f>
        <v>https://www.instagram.com/piroborj.yazd/</v>
      </c>
      <c r="I6897" s="6" t="str">
        <f>IFERROR(__xludf.DUMMYFUNCTION("""COMPUTED_VALUE"""),"https://t.me/piroborj")</f>
        <v>https://t.me/piroborj</v>
      </c>
      <c r="J6897" s="5"/>
      <c r="K6897" s="5"/>
      <c r="L6897" s="5"/>
      <c r="M6897" s="5"/>
      <c r="N6897" s="5"/>
      <c r="O6897" s="5"/>
      <c r="P6897" s="5"/>
      <c r="Q6897" s="5"/>
      <c r="R6897" s="5"/>
      <c r="S6897" s="5"/>
    </row>
    <row r="6898">
      <c r="A6898" s="5"/>
      <c r="B6898" s="5" t="str">
        <f>IFERROR(__xludf.DUMMYFUNCTION("""COMPUTED_VALUE"""),"هیأت")</f>
        <v>هیأت</v>
      </c>
      <c r="C6898" s="5" t="str">
        <f>IFERROR(__xludf.DUMMYFUNCTION("""COMPUTED_VALUE"""),"عزادارن کوی میرقطب")</f>
        <v>عزادارن کوی میرقطب</v>
      </c>
      <c r="D6898" s="5" t="str">
        <f>IFERROR(__xludf.DUMMYFUNCTION("""COMPUTED_VALUE"""),"یزد")</f>
        <v>یزد</v>
      </c>
      <c r="E6898" s="5" t="str">
        <f>IFERROR(__xludf.DUMMYFUNCTION("""COMPUTED_VALUE"""),"یزد")</f>
        <v>یزد</v>
      </c>
      <c r="F6898" s="5"/>
      <c r="G6898" s="5"/>
      <c r="H6898" s="6" t="str">
        <f>IFERROR(__xludf.DUMMYFUNCTION("""COMPUTED_VALUE"""),"https://www.instagram.com/mirghotb_yazd/")</f>
        <v>https://www.instagram.com/mirghotb_yazd/</v>
      </c>
      <c r="I6898" s="5"/>
      <c r="J6898" s="5"/>
      <c r="K6898" s="5"/>
      <c r="L6898" s="5"/>
      <c r="M6898" s="5"/>
      <c r="N6898" s="5"/>
      <c r="O6898" s="5"/>
      <c r="P6898" s="5"/>
      <c r="Q6898" s="5"/>
      <c r="R6898" s="5"/>
      <c r="S6898" s="5"/>
    </row>
    <row r="6899">
      <c r="A6899" s="5"/>
      <c r="B6899" s="5" t="str">
        <f>IFERROR(__xludf.DUMMYFUNCTION("""COMPUTED_VALUE"""),"هیأت")</f>
        <v>هیأت</v>
      </c>
      <c r="C6899" s="5" t="str">
        <f>IFERROR(__xludf.DUMMYFUNCTION("""COMPUTED_VALUE"""),"علمدار")</f>
        <v>علمدار</v>
      </c>
      <c r="D6899" s="5" t="str">
        <f>IFERROR(__xludf.DUMMYFUNCTION("""COMPUTED_VALUE"""),"یزد")</f>
        <v>یزد</v>
      </c>
      <c r="E6899" s="5" t="str">
        <f>IFERROR(__xludf.DUMMYFUNCTION("""COMPUTED_VALUE"""),"یزد")</f>
        <v>یزد</v>
      </c>
      <c r="F6899" s="5"/>
      <c r="G6899" s="5"/>
      <c r="H6899" s="6" t="str">
        <f>IFERROR(__xludf.DUMMYFUNCTION("""COMPUTED_VALUE"""),"https://www.instagram.com/alamdar.yazd/")</f>
        <v>https://www.instagram.com/alamdar.yazd/</v>
      </c>
      <c r="I6899" s="6" t="str">
        <f>IFERROR(__xludf.DUMMYFUNCTION("""COMPUTED_VALUE"""),"https://t.me/mostafa_khomeynii")</f>
        <v>https://t.me/mostafa_khomeynii</v>
      </c>
      <c r="J6899" s="6" t="str">
        <f>IFERROR(__xludf.DUMMYFUNCTION("""COMPUTED_VALUE"""),"https://eitaa.com/alamdar_mostafa_khomeyni")</f>
        <v>https://eitaa.com/alamdar_mostafa_khomeyni</v>
      </c>
      <c r="K6899" s="5"/>
      <c r="L6899" s="5"/>
      <c r="M6899" s="5"/>
      <c r="N6899" s="5"/>
      <c r="O6899" s="5"/>
      <c r="P6899" s="5"/>
      <c r="Q6899" s="5"/>
      <c r="R6899" s="5"/>
      <c r="S6899" s="5"/>
    </row>
    <row r="6900">
      <c r="A6900" s="5"/>
      <c r="B6900" s="5" t="str">
        <f>IFERROR(__xludf.DUMMYFUNCTION("""COMPUTED_VALUE"""),"هیأت")</f>
        <v>هیأت</v>
      </c>
      <c r="C6900" s="5" t="str">
        <f>IFERROR(__xludf.DUMMYFUNCTION("""COMPUTED_VALUE"""),"جان‌نثاران‌حضرت‌علی‌اکبرسیدالشهداء(ع)")</f>
        <v>جان‌نثاران‌حضرت‌علی‌اکبرسیدالشهداء(ع)</v>
      </c>
      <c r="D6900" s="5" t="str">
        <f>IFERROR(__xludf.DUMMYFUNCTION("""COMPUTED_VALUE"""),"یزد")</f>
        <v>یزد</v>
      </c>
      <c r="E6900" s="5" t="str">
        <f>IFERROR(__xludf.DUMMYFUNCTION("""COMPUTED_VALUE"""),"یزد")</f>
        <v>یزد</v>
      </c>
      <c r="F6900" s="5"/>
      <c r="G6900" s="5"/>
      <c r="H6900" s="6" t="str">
        <f>IFERROR(__xludf.DUMMYFUNCTION("""COMPUTED_VALUE"""),"https://www.instagram.com/shahzadeh_aliakbar_yazd/")</f>
        <v>https://www.instagram.com/shahzadeh_aliakbar_yazd/</v>
      </c>
      <c r="I6900" s="5"/>
      <c r="J6900" s="5"/>
      <c r="K6900" s="5"/>
      <c r="L6900" s="5"/>
      <c r="M6900" s="5"/>
      <c r="N6900" s="5"/>
      <c r="O6900" s="5"/>
      <c r="P6900" s="5"/>
      <c r="Q6900" s="5"/>
      <c r="R6900" s="5"/>
      <c r="S6900" s="5"/>
    </row>
    <row r="6901">
      <c r="A6901" s="5"/>
      <c r="B6901" s="5" t="str">
        <f>IFERROR(__xludf.DUMMYFUNCTION("""COMPUTED_VALUE"""),"حسینیه")</f>
        <v>حسینیه</v>
      </c>
      <c r="C6901" s="5" t="str">
        <f>IFERROR(__xludf.DUMMYFUNCTION("""COMPUTED_VALUE"""),"حضرت ابوالفضل‌(ع)")</f>
        <v>حضرت ابوالفضل‌(ع)</v>
      </c>
      <c r="D6901" s="5" t="str">
        <f>IFERROR(__xludf.DUMMYFUNCTION("""COMPUTED_VALUE"""),"یزد")</f>
        <v>یزد</v>
      </c>
      <c r="E6901" s="5" t="str">
        <f>IFERROR(__xludf.DUMMYFUNCTION("""COMPUTED_VALUE"""),"یزد")</f>
        <v>یزد</v>
      </c>
      <c r="F6901" s="5"/>
      <c r="G6901" s="5"/>
      <c r="H6901" s="6" t="str">
        <f>IFERROR(__xludf.DUMMYFUNCTION("""COMPUTED_VALUE"""),"https://www.instagram.com/hoseinie_abolfazl_yazd/")</f>
        <v>https://www.instagram.com/hoseinie_abolfazl_yazd/</v>
      </c>
      <c r="I6901" s="5"/>
      <c r="J6901" s="5"/>
      <c r="K6901" s="5"/>
      <c r="L6901" s="5"/>
      <c r="M6901" s="5"/>
      <c r="N6901" s="5"/>
      <c r="O6901" s="5"/>
      <c r="P6901" s="5"/>
      <c r="Q6901" s="5"/>
      <c r="R6901" s="5"/>
      <c r="S6901" s="5"/>
    </row>
    <row r="6902">
      <c r="A6902" s="5"/>
      <c r="B6902" s="5" t="str">
        <f>IFERROR(__xludf.DUMMYFUNCTION("""COMPUTED_VALUE"""),"حسینیه")</f>
        <v>حسینیه</v>
      </c>
      <c r="C6902" s="5" t="str">
        <f>IFERROR(__xludf.DUMMYFUNCTION("""COMPUTED_VALUE"""),"گازرگاه")</f>
        <v>گازرگاه</v>
      </c>
      <c r="D6902" s="5" t="str">
        <f>IFERROR(__xludf.DUMMYFUNCTION("""COMPUTED_VALUE"""),"یزد")</f>
        <v>یزد</v>
      </c>
      <c r="E6902" s="5" t="str">
        <f>IFERROR(__xludf.DUMMYFUNCTION("""COMPUTED_VALUE"""),"یزد")</f>
        <v>یزد</v>
      </c>
      <c r="F6902" s="5"/>
      <c r="G6902" s="5"/>
      <c r="H6902" s="6" t="str">
        <f>IFERROR(__xludf.DUMMYFUNCTION("""COMPUTED_VALUE"""),"https://www.instagram.com/hosseinieh_gazorgah/")</f>
        <v>https://www.instagram.com/hosseinieh_gazorgah/</v>
      </c>
      <c r="I6902" s="5"/>
      <c r="J6902" s="5"/>
      <c r="K6902" s="5"/>
      <c r="L6902" s="5"/>
      <c r="M6902" s="5"/>
      <c r="N6902" s="5"/>
      <c r="O6902" s="5"/>
      <c r="P6902" s="5"/>
      <c r="Q6902" s="5"/>
      <c r="R6902" s="5"/>
      <c r="S6902" s="5"/>
    </row>
    <row r="6903">
      <c r="A6903" s="5"/>
      <c r="B6903" s="5" t="str">
        <f>IFERROR(__xludf.DUMMYFUNCTION("""COMPUTED_VALUE"""),"هیأت")</f>
        <v>هیأت</v>
      </c>
      <c r="C6903" s="5" t="str">
        <f>IFERROR(__xludf.DUMMYFUNCTION("""COMPUTED_VALUE"""),"حضرت جوادالائمه (ع)")</f>
        <v>حضرت جوادالائمه (ع)</v>
      </c>
      <c r="D6903" s="5" t="str">
        <f>IFERROR(__xludf.DUMMYFUNCTION("""COMPUTED_VALUE"""),"یزد")</f>
        <v>یزد</v>
      </c>
      <c r="E6903" s="5" t="str">
        <f>IFERROR(__xludf.DUMMYFUNCTION("""COMPUTED_VALUE"""),"یزد")</f>
        <v>یزد</v>
      </c>
      <c r="F6903" s="5"/>
      <c r="G6903" s="5"/>
      <c r="H6903" s="6" t="str">
        <f>IFERROR(__xludf.DUMMYFUNCTION("""COMPUTED_VALUE"""),"https://www.instagram.com/javadolaemeh.yazd/")</f>
        <v>https://www.instagram.com/javadolaemeh.yazd/</v>
      </c>
      <c r="I6903" s="5"/>
      <c r="J6903" s="6" t="str">
        <f>IFERROR(__xludf.DUMMYFUNCTION("""COMPUTED_VALUE"""),"https://eitaa.com/heyat_javadolaemeh_yazd")</f>
        <v>https://eitaa.com/heyat_javadolaemeh_yazd</v>
      </c>
      <c r="K6903" s="5"/>
      <c r="L6903" s="5"/>
      <c r="M6903" s="5"/>
      <c r="N6903" s="5"/>
      <c r="O6903" s="5"/>
      <c r="P6903" s="5"/>
      <c r="Q6903" s="5"/>
      <c r="R6903" s="5"/>
      <c r="S6903" s="5"/>
    </row>
    <row r="6904">
      <c r="A6904" s="5"/>
      <c r="B6904" s="5" t="str">
        <f>IFERROR(__xludf.DUMMYFUNCTION("""COMPUTED_VALUE"""),"هیأت")</f>
        <v>هیأت</v>
      </c>
      <c r="C6904" s="5" t="str">
        <f>IFERROR(__xludf.DUMMYFUNCTION("""COMPUTED_VALUE"""),"عزاداران عطش چاه ملکی")</f>
        <v>عزاداران عطش چاه ملکی</v>
      </c>
      <c r="D6904" s="5" t="str">
        <f>IFERROR(__xludf.DUMMYFUNCTION("""COMPUTED_VALUE"""),"یزد")</f>
        <v>یزد</v>
      </c>
      <c r="E6904" s="5" t="str">
        <f>IFERROR(__xludf.DUMMYFUNCTION("""COMPUTED_VALUE"""),"یزد")</f>
        <v>یزد</v>
      </c>
      <c r="F6904" s="5"/>
      <c r="G6904" s="5"/>
      <c r="H6904" s="6" t="str">
        <f>IFERROR(__xludf.DUMMYFUNCTION("""COMPUTED_VALUE"""),"https://www.instagram.com/atash.yazd/")</f>
        <v>https://www.instagram.com/atash.yazd/</v>
      </c>
      <c r="I6904" s="5"/>
      <c r="J6904" s="5"/>
      <c r="K6904" s="5"/>
      <c r="L6904" s="5"/>
      <c r="M6904" s="5"/>
      <c r="N6904" s="5"/>
      <c r="O6904" s="5"/>
      <c r="P6904" s="5"/>
      <c r="Q6904" s="5"/>
      <c r="R6904" s="5"/>
      <c r="S6904" s="5"/>
    </row>
    <row r="6905">
      <c r="A6905" s="5"/>
      <c r="B6905" s="5" t="str">
        <f>IFERROR(__xludf.DUMMYFUNCTION("""COMPUTED_VALUE"""),"هیأت")</f>
        <v>هیأت</v>
      </c>
      <c r="C6905" s="5" t="str">
        <f>IFERROR(__xludf.DUMMYFUNCTION("""COMPUTED_VALUE"""),"عزاداران حسيني سردوراه")</f>
        <v>عزاداران حسيني سردوراه</v>
      </c>
      <c r="D6905" s="5" t="str">
        <f>IFERROR(__xludf.DUMMYFUNCTION("""COMPUTED_VALUE"""),"یزد")</f>
        <v>یزد</v>
      </c>
      <c r="E6905" s="5" t="str">
        <f>IFERROR(__xludf.DUMMYFUNCTION("""COMPUTED_VALUE"""),"یزد")</f>
        <v>یزد</v>
      </c>
      <c r="F6905" s="5"/>
      <c r="G6905" s="5"/>
      <c r="H6905" s="6" t="str">
        <f>IFERROR(__xludf.DUMMYFUNCTION("""COMPUTED_VALUE"""),"https://www.instagram.com/heiat.sarodorah/")</f>
        <v>https://www.instagram.com/heiat.sarodorah/</v>
      </c>
      <c r="I6905" s="5"/>
      <c r="J6905" s="5"/>
      <c r="K6905" s="5"/>
      <c r="L6905" s="5"/>
      <c r="M6905" s="5"/>
      <c r="N6905" s="5"/>
      <c r="O6905" s="5"/>
      <c r="P6905" s="5"/>
      <c r="Q6905" s="5"/>
      <c r="R6905" s="5"/>
      <c r="S6905" s="5"/>
    </row>
    <row r="6906">
      <c r="A6906" s="5"/>
      <c r="B6906" s="5" t="str">
        <f>IFERROR(__xludf.DUMMYFUNCTION("""COMPUTED_VALUE"""),"هیأت")</f>
        <v>هیأت</v>
      </c>
      <c r="C6906" s="5" t="str">
        <f>IFERROR(__xludf.DUMMYFUNCTION("""COMPUTED_VALUE"""),"گاریز")</f>
        <v>گاریز</v>
      </c>
      <c r="D6906" s="5" t="str">
        <f>IFERROR(__xludf.DUMMYFUNCTION("""COMPUTED_VALUE"""),"یزد")</f>
        <v>یزد</v>
      </c>
      <c r="E6906" s="5" t="str">
        <f>IFERROR(__xludf.DUMMYFUNCTION("""COMPUTED_VALUE"""),"یزد")</f>
        <v>یزد</v>
      </c>
      <c r="F6906" s="5"/>
      <c r="G6906" s="5"/>
      <c r="H6906" s="6" t="str">
        <f>IFERROR(__xludf.DUMMYFUNCTION("""COMPUTED_VALUE"""),"https://www.instagram.com/heyaate_gariz/")</f>
        <v>https://www.instagram.com/heyaate_gariz/</v>
      </c>
      <c r="I6906" s="5"/>
      <c r="J6906" s="5"/>
      <c r="K6906" s="5"/>
      <c r="L6906" s="5"/>
      <c r="M6906" s="5"/>
      <c r="N6906" s="5"/>
      <c r="O6906" s="5"/>
      <c r="P6906" s="5"/>
      <c r="Q6906" s="5"/>
      <c r="R6906" s="5"/>
      <c r="S6906" s="5"/>
    </row>
    <row r="6907">
      <c r="A6907" s="5"/>
      <c r="B6907" s="5" t="str">
        <f>IFERROR(__xludf.DUMMYFUNCTION("""COMPUTED_VALUE"""),"هیأت")</f>
        <v>هیأت</v>
      </c>
      <c r="C6907" s="5" t="str">
        <f>IFERROR(__xludf.DUMMYFUNCTION("""COMPUTED_VALUE"""),"جان نثاران ابوالفضل(ع)تعزیه خوانان")</f>
        <v>جان نثاران ابوالفضل(ع)تعزیه خوانان</v>
      </c>
      <c r="D6907" s="5" t="str">
        <f>IFERROR(__xludf.DUMMYFUNCTION("""COMPUTED_VALUE"""),"یزد")</f>
        <v>یزد</v>
      </c>
      <c r="E6907" s="5" t="str">
        <f>IFERROR(__xludf.DUMMYFUNCTION("""COMPUTED_VALUE"""),"یزد")</f>
        <v>یزد</v>
      </c>
      <c r="F6907" s="5"/>
      <c r="G6907" s="5"/>
      <c r="H6907" s="6" t="str">
        <f>IFERROR(__xludf.DUMMYFUNCTION("""COMPUTED_VALUE"""),"https://www.instagram.com/heyat_janesaran_abolfazl_yazd/")</f>
        <v>https://www.instagram.com/heyat_janesaran_abolfazl_yazd/</v>
      </c>
      <c r="I6907" s="5"/>
      <c r="J6907" s="5"/>
      <c r="K6907" s="5"/>
      <c r="L6907" s="5"/>
      <c r="M6907" s="5"/>
      <c r="N6907" s="5"/>
      <c r="O6907" s="5"/>
      <c r="P6907" s="5"/>
      <c r="Q6907" s="5"/>
      <c r="R6907" s="5"/>
      <c r="S6907" s="5"/>
    </row>
    <row r="6908">
      <c r="A6908" s="5"/>
      <c r="B6908" s="5" t="str">
        <f>IFERROR(__xludf.DUMMYFUNCTION("""COMPUTED_VALUE"""),"هیأت")</f>
        <v>هیأت</v>
      </c>
      <c r="C6908" s="5" t="str">
        <f>IFERROR(__xludf.DUMMYFUNCTION("""COMPUTED_VALUE"""),"عزاداران کوی یعقوبی")</f>
        <v>عزاداران کوی یعقوبی</v>
      </c>
      <c r="D6908" s="5" t="str">
        <f>IFERROR(__xludf.DUMMYFUNCTION("""COMPUTED_VALUE"""),"یزد")</f>
        <v>یزد</v>
      </c>
      <c r="E6908" s="5" t="str">
        <f>IFERROR(__xludf.DUMMYFUNCTION("""COMPUTED_VALUE"""),"یزد")</f>
        <v>یزد</v>
      </c>
      <c r="F6908" s="5"/>
      <c r="G6908" s="5"/>
      <c r="H6908" s="6" t="str">
        <f>IFERROR(__xludf.DUMMYFUNCTION("""COMPUTED_VALUE"""),"https://www.instagram.com/yaghobi_yazd/")</f>
        <v>https://www.instagram.com/yaghobi_yazd/</v>
      </c>
      <c r="I6908" s="5"/>
      <c r="J6908" s="6" t="str">
        <f>IFERROR(__xludf.DUMMYFUNCTION("""COMPUTED_VALUE"""),"https://eitaa.com/yaghobi_yazd")</f>
        <v>https://eitaa.com/yaghobi_yazd</v>
      </c>
      <c r="K6908" s="5"/>
      <c r="L6908" s="5"/>
      <c r="M6908" s="5"/>
      <c r="N6908" s="5"/>
      <c r="O6908" s="5"/>
      <c r="P6908" s="5"/>
      <c r="Q6908" s="5"/>
      <c r="R6908" s="5"/>
      <c r="S6908" s="5"/>
    </row>
    <row r="6909">
      <c r="A6909" s="5"/>
      <c r="B6909" s="5" t="str">
        <f>IFERROR(__xludf.DUMMYFUNCTION("""COMPUTED_VALUE"""),"هیأت")</f>
        <v>هیأت</v>
      </c>
      <c r="C6909" s="5" t="str">
        <f>IFERROR(__xludf.DUMMYFUNCTION("""COMPUTED_VALUE"""),"عاشورا")</f>
        <v>عاشورا</v>
      </c>
      <c r="D6909" s="5" t="str">
        <f>IFERROR(__xludf.DUMMYFUNCTION("""COMPUTED_VALUE"""),"یزد")</f>
        <v>یزد</v>
      </c>
      <c r="E6909" s="5" t="str">
        <f>IFERROR(__xludf.DUMMYFUNCTION("""COMPUTED_VALUE"""),"یزد")</f>
        <v>یزد</v>
      </c>
      <c r="F6909" s="5"/>
      <c r="G6909" s="5"/>
      <c r="H6909" s="6" t="str">
        <f>IFERROR(__xludf.DUMMYFUNCTION("""COMPUTED_VALUE"""),"https://www.instagram.com/ashoora.yazd/")</f>
        <v>https://www.instagram.com/ashoora.yazd/</v>
      </c>
      <c r="I6909" s="5"/>
      <c r="J6909" s="5"/>
      <c r="K6909" s="5"/>
      <c r="L6909" s="5"/>
      <c r="M6909" s="5"/>
      <c r="N6909" s="5"/>
      <c r="O6909" s="5"/>
      <c r="P6909" s="5"/>
      <c r="Q6909" s="5"/>
      <c r="R6909" s="5"/>
      <c r="S6909" s="5"/>
    </row>
    <row r="6910">
      <c r="A6910" s="5"/>
      <c r="B6910" s="5" t="str">
        <f>IFERROR(__xludf.DUMMYFUNCTION("""COMPUTED_VALUE"""),"هیأت")</f>
        <v>هیأت</v>
      </c>
      <c r="C6910" s="5" t="str">
        <f>IFERROR(__xludf.DUMMYFUNCTION("""COMPUTED_VALUE"""),"عزاداران حسینی خیرآباد")</f>
        <v>عزاداران حسینی خیرآباد</v>
      </c>
      <c r="D6910" s="5" t="str">
        <f>IFERROR(__xludf.DUMMYFUNCTION("""COMPUTED_VALUE"""),"یزد")</f>
        <v>یزد</v>
      </c>
      <c r="E6910" s="5" t="str">
        <f>IFERROR(__xludf.DUMMYFUNCTION("""COMPUTED_VALUE"""),"یزد")</f>
        <v>یزد</v>
      </c>
      <c r="F6910" s="5"/>
      <c r="G6910" s="5"/>
      <c r="H6910" s="6" t="str">
        <f>IFERROR(__xludf.DUMMYFUNCTION("""COMPUTED_VALUE"""),"https://www.instagram.com/kheirabad_yazd/")</f>
        <v>https://www.instagram.com/kheirabad_yazd/</v>
      </c>
      <c r="I6910" s="6" t="str">
        <f>IFERROR(__xludf.DUMMYFUNCTION("""COMPUTED_VALUE"""),"https://t.me/kheirabad_yazd")</f>
        <v>https://t.me/kheirabad_yazd</v>
      </c>
      <c r="J6910" s="5"/>
      <c r="K6910" s="5"/>
      <c r="L6910" s="5"/>
      <c r="M6910" s="5"/>
      <c r="N6910" s="5"/>
      <c r="O6910" s="5"/>
      <c r="P6910" s="5"/>
      <c r="Q6910" s="5"/>
      <c r="R6910" s="5"/>
      <c r="S6910" s="5"/>
    </row>
    <row r="6911">
      <c r="A6911" s="5"/>
      <c r="B6911" s="5" t="str">
        <f>IFERROR(__xludf.DUMMYFUNCTION("""COMPUTED_VALUE"""),"هیأت")</f>
        <v>هیأت</v>
      </c>
      <c r="C6911" s="5" t="str">
        <f>IFERROR(__xludf.DUMMYFUNCTION("""COMPUTED_VALUE"""),"شاه ابوالقاسم")</f>
        <v>شاه ابوالقاسم</v>
      </c>
      <c r="D6911" s="5" t="str">
        <f>IFERROR(__xludf.DUMMYFUNCTION("""COMPUTED_VALUE"""),"یزد")</f>
        <v>یزد</v>
      </c>
      <c r="E6911" s="5" t="str">
        <f>IFERROR(__xludf.DUMMYFUNCTION("""COMPUTED_VALUE"""),"یزد")</f>
        <v>یزد</v>
      </c>
      <c r="F6911" s="5"/>
      <c r="G6911" s="5"/>
      <c r="H6911" s="6" t="str">
        <f>IFERROR(__xludf.DUMMYFUNCTION("""COMPUTED_VALUE"""),"https://www.instagram.com/shahabolghasem_yazd/")</f>
        <v>https://www.instagram.com/shahabolghasem_yazd/</v>
      </c>
      <c r="I6911" s="5"/>
      <c r="J6911" s="5"/>
      <c r="K6911" s="5"/>
      <c r="L6911" s="5"/>
      <c r="M6911" s="5"/>
      <c r="N6911" s="5"/>
      <c r="O6911" s="5"/>
      <c r="P6911" s="5"/>
      <c r="Q6911" s="5"/>
      <c r="R6911" s="5"/>
      <c r="S6911" s="5"/>
    </row>
    <row r="6912">
      <c r="A6912" s="5"/>
      <c r="B6912" s="5" t="str">
        <f>IFERROR(__xludf.DUMMYFUNCTION("""COMPUTED_VALUE"""),"هیأت")</f>
        <v>هیأت</v>
      </c>
      <c r="C6912" s="5" t="str">
        <f>IFERROR(__xludf.DUMMYFUNCTION("""COMPUTED_VALUE"""),"حـسن آباد مشیر")</f>
        <v>حـسن آباد مشیر</v>
      </c>
      <c r="D6912" s="5" t="str">
        <f>IFERROR(__xludf.DUMMYFUNCTION("""COMPUTED_VALUE"""),"یزد")</f>
        <v>یزد</v>
      </c>
      <c r="E6912" s="5" t="str">
        <f>IFERROR(__xludf.DUMMYFUNCTION("""COMPUTED_VALUE"""),"یزد")</f>
        <v>یزد</v>
      </c>
      <c r="F6912" s="5"/>
      <c r="G6912" s="5"/>
      <c r="H6912" s="6" t="str">
        <f>IFERROR(__xludf.DUMMYFUNCTION("""COMPUTED_VALUE"""),"https://www.instagram.com/heyat_hasanabadmoshir/")</f>
        <v>https://www.instagram.com/heyat_hasanabadmoshir/</v>
      </c>
      <c r="I6912" s="5"/>
      <c r="J6912" s="5"/>
      <c r="K6912" s="5"/>
      <c r="L6912" s="5"/>
      <c r="M6912" s="5"/>
      <c r="N6912" s="5"/>
      <c r="O6912" s="5"/>
      <c r="P6912" s="5"/>
      <c r="Q6912" s="5"/>
      <c r="R6912" s="5"/>
      <c r="S6912" s="5"/>
    </row>
    <row r="6913">
      <c r="A6913" s="5"/>
      <c r="B6913" s="5" t="str">
        <f>IFERROR(__xludf.DUMMYFUNCTION("""COMPUTED_VALUE"""),"هیأت")</f>
        <v>هیأت</v>
      </c>
      <c r="C6913" s="5" t="str">
        <f>IFERROR(__xludf.DUMMYFUNCTION("""COMPUTED_VALUE"""),"اباالفضل (ع) پُل نواب")</f>
        <v>اباالفضل (ع) پُل نواب</v>
      </c>
      <c r="D6913" s="5" t="str">
        <f>IFERROR(__xludf.DUMMYFUNCTION("""COMPUTED_VALUE"""),"یزد")</f>
        <v>یزد</v>
      </c>
      <c r="E6913" s="5" t="str">
        <f>IFERROR(__xludf.DUMMYFUNCTION("""COMPUTED_VALUE"""),"یزد")</f>
        <v>یزد</v>
      </c>
      <c r="F6913" s="5"/>
      <c r="G6913" s="5"/>
      <c r="H6913" s="6" t="str">
        <f>IFERROR(__xludf.DUMMYFUNCTION("""COMPUTED_VALUE"""),"https://www.instagram.com/pole.navab.yazd/")</f>
        <v>https://www.instagram.com/pole.navab.yazd/</v>
      </c>
      <c r="I6913" s="6" t="str">
        <f>IFERROR(__xludf.DUMMYFUNCTION("""COMPUTED_VALUE"""),"https://t.me/polenavvabyazd")</f>
        <v>https://t.me/polenavvabyazd</v>
      </c>
      <c r="J6913" s="5"/>
      <c r="K6913" s="5"/>
      <c r="L6913" s="5"/>
      <c r="M6913" s="5"/>
      <c r="N6913" s="5"/>
      <c r="O6913" s="5"/>
      <c r="P6913" s="5"/>
      <c r="Q6913" s="5"/>
      <c r="R6913" s="5"/>
      <c r="S6913" s="5"/>
    </row>
    <row r="6914">
      <c r="A6914" s="5"/>
      <c r="B6914" s="5" t="str">
        <f>IFERROR(__xludf.DUMMYFUNCTION("""COMPUTED_VALUE"""),"هیأت")</f>
        <v>هیأت</v>
      </c>
      <c r="C6914" s="5" t="str">
        <f>IFERROR(__xludf.DUMMYFUNCTION("""COMPUTED_VALUE"""),"بعثت")</f>
        <v>بعثت</v>
      </c>
      <c r="D6914" s="5" t="str">
        <f>IFERROR(__xludf.DUMMYFUNCTION("""COMPUTED_VALUE"""),"یزد")</f>
        <v>یزد</v>
      </c>
      <c r="E6914" s="5" t="str">
        <f>IFERROR(__xludf.DUMMYFUNCTION("""COMPUTED_VALUE"""),"یزد")</f>
        <v>یزد</v>
      </c>
      <c r="F6914" s="5"/>
      <c r="G6914" s="5"/>
      <c r="H6914" s="6" t="str">
        <f>IFERROR(__xludf.DUMMYFUNCTION("""COMPUTED_VALUE"""),"https://www.instagram.com/heyaatbesatyazd/")</f>
        <v>https://www.instagram.com/heyaatbesatyazd/</v>
      </c>
      <c r="I6914" s="6" t="str">
        <f>IFERROR(__xludf.DUMMYFUNCTION("""COMPUTED_VALUE"""),"https://t.me/heyaatbesatyazd")</f>
        <v>https://t.me/heyaatbesatyazd</v>
      </c>
      <c r="J6914" s="5"/>
      <c r="K6914" s="5"/>
      <c r="L6914" s="5"/>
      <c r="M6914" s="5"/>
      <c r="N6914" s="5"/>
      <c r="O6914" s="5"/>
      <c r="P6914" s="5"/>
      <c r="Q6914" s="5"/>
      <c r="R6914" s="5"/>
      <c r="S6914" s="5"/>
    </row>
    <row r="6915">
      <c r="A6915" s="5"/>
      <c r="B6915" s="5" t="str">
        <f>IFERROR(__xludf.DUMMYFUNCTION("""COMPUTED_VALUE"""),"هیأت")</f>
        <v>هیأت</v>
      </c>
      <c r="C6915" s="5" t="str">
        <f>IFERROR(__xludf.DUMMYFUNCTION("""COMPUTED_VALUE"""),"ابوالفضل العباس(ع)")</f>
        <v>ابوالفضل العباس(ع)</v>
      </c>
      <c r="D6915" s="5" t="str">
        <f>IFERROR(__xludf.DUMMYFUNCTION("""COMPUTED_VALUE"""),"یزد")</f>
        <v>یزد</v>
      </c>
      <c r="E6915" s="5" t="str">
        <f>IFERROR(__xludf.DUMMYFUNCTION("""COMPUTED_VALUE"""),"یزد")</f>
        <v>یزد</v>
      </c>
      <c r="F6915" s="5"/>
      <c r="G6915" s="5"/>
      <c r="H6915" s="6" t="str">
        <f>IFERROR(__xludf.DUMMYFUNCTION("""COMPUTED_VALUE"""),"https://www.instagram.com/heyat_abolfazl.abbas_yazd/")</f>
        <v>https://www.instagram.com/heyat_abolfazl.abbas_yazd/</v>
      </c>
      <c r="I6915" s="5"/>
      <c r="J6915" s="5"/>
      <c r="K6915" s="5"/>
      <c r="L6915" s="5"/>
      <c r="M6915" s="5"/>
      <c r="N6915" s="5"/>
      <c r="O6915" s="5"/>
      <c r="P6915" s="5"/>
      <c r="Q6915" s="5"/>
      <c r="R6915" s="5"/>
      <c r="S6915" s="5"/>
    </row>
    <row r="6916">
      <c r="A6916" s="5"/>
      <c r="B6916" s="5" t="str">
        <f>IFERROR(__xludf.DUMMYFUNCTION("""COMPUTED_VALUE"""),"هیأت")</f>
        <v>هیأت</v>
      </c>
      <c r="C6916" s="5" t="str">
        <f>IFERROR(__xludf.DUMMYFUNCTION("""COMPUTED_VALUE"""),"نینوا")</f>
        <v>نینوا</v>
      </c>
      <c r="D6916" s="5" t="str">
        <f>IFERROR(__xludf.DUMMYFUNCTION("""COMPUTED_VALUE"""),"یزد")</f>
        <v>یزد</v>
      </c>
      <c r="E6916" s="5" t="str">
        <f>IFERROR(__xludf.DUMMYFUNCTION("""COMPUTED_VALUE"""),"یزد")</f>
        <v>یزد</v>
      </c>
      <c r="F6916" s="5" t="str">
        <f>IFERROR(__xludf.DUMMYFUNCTION("""COMPUTED_VALUE"""),"آزادشهر")</f>
        <v>آزادشهر</v>
      </c>
      <c r="G6916" s="5"/>
      <c r="H6916" s="6" t="str">
        <f>IFERROR(__xludf.DUMMYFUNCTION("""COMPUTED_VALUE"""),"https://www.instagram.com/heiat_neinava_azadshahr/")</f>
        <v>https://www.instagram.com/heiat_neinava_azadshahr/</v>
      </c>
      <c r="I6916" s="5"/>
      <c r="J6916" s="5"/>
      <c r="K6916" s="5"/>
      <c r="L6916" s="5"/>
      <c r="M6916" s="5"/>
      <c r="N6916" s="5"/>
      <c r="O6916" s="5"/>
      <c r="P6916" s="5"/>
      <c r="Q6916" s="5"/>
      <c r="R6916" s="5"/>
      <c r="S6916" s="5"/>
    </row>
    <row r="6917">
      <c r="A6917" s="5"/>
      <c r="B6917" s="5" t="str">
        <f>IFERROR(__xludf.DUMMYFUNCTION("""COMPUTED_VALUE"""),"هیأت")</f>
        <v>هیأت</v>
      </c>
      <c r="C6917" s="5" t="str">
        <f>IFERROR(__xludf.DUMMYFUNCTION("""COMPUTED_VALUE"""),"حسینی مریم آباد")</f>
        <v>حسینی مریم آباد</v>
      </c>
      <c r="D6917" s="5" t="str">
        <f>IFERROR(__xludf.DUMMYFUNCTION("""COMPUTED_VALUE"""),"یزد")</f>
        <v>یزد</v>
      </c>
      <c r="E6917" s="5" t="str">
        <f>IFERROR(__xludf.DUMMYFUNCTION("""COMPUTED_VALUE"""),"یزد")</f>
        <v>یزد</v>
      </c>
      <c r="F6917" s="5" t="str">
        <f>IFERROR(__xludf.DUMMYFUNCTION("""COMPUTED_VALUE"""),"مریم آباد")</f>
        <v>مریم آباد</v>
      </c>
      <c r="G6917" s="5"/>
      <c r="H6917" s="6" t="str">
        <f>IFERROR(__xludf.DUMMYFUNCTION("""COMPUTED_VALUE"""),"https://www.instagram.com/maryamabad_yazd/")</f>
        <v>https://www.instagram.com/maryamabad_yazd/</v>
      </c>
      <c r="I6917" s="6" t="str">
        <f>IFERROR(__xludf.DUMMYFUNCTION("""COMPUTED_VALUE"""),"https://t.me/maryamabad_yazd")</f>
        <v>https://t.me/maryamabad_yazd</v>
      </c>
      <c r="J6917" s="5"/>
      <c r="K6917" s="5"/>
      <c r="L6917" s="5"/>
      <c r="M6917" s="5"/>
      <c r="N6917" s="5"/>
      <c r="O6917" s="5"/>
      <c r="P6917" s="5"/>
      <c r="Q6917" s="5"/>
      <c r="R6917" s="5"/>
      <c r="S6917" s="5"/>
    </row>
    <row r="6918">
      <c r="A6918" s="5"/>
      <c r="B6918" s="5" t="str">
        <f>IFERROR(__xludf.DUMMYFUNCTION("""COMPUTED_VALUE"""),"حسینیه")</f>
        <v>حسینیه</v>
      </c>
      <c r="C6918" s="5" t="str">
        <f>IFERROR(__xludf.DUMMYFUNCTION("""COMPUTED_VALUE"""),"مظفری")</f>
        <v>مظفری</v>
      </c>
      <c r="D6918" s="5" t="str">
        <f>IFERROR(__xludf.DUMMYFUNCTION("""COMPUTED_VALUE"""),"یزد")</f>
        <v>یزد</v>
      </c>
      <c r="E6918" s="5" t="str">
        <f>IFERROR(__xludf.DUMMYFUNCTION("""COMPUTED_VALUE"""),"یزد")</f>
        <v>یزد</v>
      </c>
      <c r="F6918" s="5"/>
      <c r="G6918" s="5"/>
      <c r="H6918" s="6" t="str">
        <f>IFERROR(__xludf.DUMMYFUNCTION("""COMPUTED_VALUE"""),"https://www.instagram.com/hoseiniye_mozafari_yazd/")</f>
        <v>https://www.instagram.com/hoseiniye_mozafari_yazd/</v>
      </c>
      <c r="I6918" s="5"/>
      <c r="J6918" s="5"/>
      <c r="K6918" s="5"/>
      <c r="L6918" s="5"/>
      <c r="M6918" s="5"/>
      <c r="N6918" s="5"/>
      <c r="O6918" s="5"/>
      <c r="P6918" s="5"/>
      <c r="Q6918" s="5"/>
      <c r="R6918" s="5"/>
      <c r="S6918" s="5"/>
    </row>
    <row r="6919">
      <c r="A6919" s="5"/>
      <c r="B6919" s="5" t="str">
        <f>IFERROR(__xludf.DUMMYFUNCTION("""COMPUTED_VALUE"""),"هیأت")</f>
        <v>هیأت</v>
      </c>
      <c r="C6919" s="5" t="str">
        <f>IFERROR(__xludf.DUMMYFUNCTION("""COMPUTED_VALUE"""),"عزاداران حسینی رحمت آباد")</f>
        <v>عزاداران حسینی رحمت آباد</v>
      </c>
      <c r="D6919" s="5" t="str">
        <f>IFERROR(__xludf.DUMMYFUNCTION("""COMPUTED_VALUE"""),"یزد")</f>
        <v>یزد</v>
      </c>
      <c r="E6919" s="5" t="str">
        <f>IFERROR(__xludf.DUMMYFUNCTION("""COMPUTED_VALUE"""),"یزد")</f>
        <v>یزد</v>
      </c>
      <c r="F6919" s="5"/>
      <c r="G6919" s="5"/>
      <c r="H6919" s="6" t="str">
        <f>IFERROR(__xludf.DUMMYFUNCTION("""COMPUTED_VALUE"""),"https://www.instagram.com/rahmatabad_ir/")</f>
        <v>https://www.instagram.com/rahmatabad_ir/</v>
      </c>
      <c r="I6919" s="6" t="str">
        <f>IFERROR(__xludf.DUMMYFUNCTION("""COMPUTED_VALUE"""),"https://t.me/rahmatabad_ir")</f>
        <v>https://t.me/rahmatabad_ir</v>
      </c>
      <c r="J6919" s="6" t="str">
        <f>IFERROR(__xludf.DUMMYFUNCTION("""COMPUTED_VALUE"""),"https://eitaa.com/rahmatabad_ir")</f>
        <v>https://eitaa.com/rahmatabad_ir</v>
      </c>
      <c r="K6919" s="5"/>
      <c r="L6919" s="5"/>
      <c r="M6919" s="5"/>
      <c r="N6919" s="5"/>
      <c r="O6919" s="5"/>
      <c r="P6919" s="5"/>
      <c r="Q6919" s="5"/>
      <c r="R6919" s="5"/>
      <c r="S6919" s="5"/>
    </row>
    <row r="6920">
      <c r="A6920" s="5"/>
      <c r="B6920" s="5" t="str">
        <f>IFERROR(__xludf.DUMMYFUNCTION("""COMPUTED_VALUE"""),"هیأت")</f>
        <v>هیأت</v>
      </c>
      <c r="C6920" s="5" t="str">
        <f>IFERROR(__xludf.DUMMYFUNCTION("""COMPUTED_VALUE"""),"مکتب امام")</f>
        <v>مکتب امام</v>
      </c>
      <c r="D6920" s="5" t="str">
        <f>IFERROR(__xludf.DUMMYFUNCTION("""COMPUTED_VALUE"""),"یزد")</f>
        <v>یزد</v>
      </c>
      <c r="E6920" s="5" t="str">
        <f>IFERROR(__xludf.DUMMYFUNCTION("""COMPUTED_VALUE"""),"یزد")</f>
        <v>یزد</v>
      </c>
      <c r="F6920" s="5"/>
      <c r="G6920" s="5"/>
      <c r="H6920" s="6" t="str">
        <f>IFERROR(__xludf.DUMMYFUNCTION("""COMPUTED_VALUE"""),"https://www.instagram.com/maktabeemam/")</f>
        <v>https://www.instagram.com/maktabeemam/</v>
      </c>
      <c r="I6920" s="5"/>
      <c r="J6920" s="5"/>
      <c r="K6920" s="5"/>
      <c r="L6920" s="5"/>
      <c r="M6920" s="5"/>
      <c r="N6920" s="5"/>
      <c r="O6920" s="5"/>
      <c r="P6920" s="5"/>
      <c r="Q6920" s="5"/>
      <c r="R6920" s="5"/>
      <c r="S6920" s="5"/>
    </row>
    <row r="6921">
      <c r="A6921" s="5"/>
      <c r="B6921" s="5" t="str">
        <f>IFERROR(__xludf.DUMMYFUNCTION("""COMPUTED_VALUE"""),"هیأت")</f>
        <v>هیأت</v>
      </c>
      <c r="C6921" s="5" t="str">
        <f>IFERROR(__xludf.DUMMYFUNCTION("""COMPUTED_VALUE"""),"چهارده معصوم امامشهر")</f>
        <v>چهارده معصوم امامشهر</v>
      </c>
      <c r="D6921" s="5" t="str">
        <f>IFERROR(__xludf.DUMMYFUNCTION("""COMPUTED_VALUE"""),"یزد")</f>
        <v>یزد</v>
      </c>
      <c r="E6921" s="5" t="str">
        <f>IFERROR(__xludf.DUMMYFUNCTION("""COMPUTED_VALUE"""),"یزد")</f>
        <v>یزد</v>
      </c>
      <c r="F6921" s="5"/>
      <c r="G6921" s="5"/>
      <c r="H6921" s="6" t="str">
        <f>IFERROR(__xludf.DUMMYFUNCTION("""COMPUTED_VALUE"""),"https://www.instagram.com/mf14masoum/")</f>
        <v>https://www.instagram.com/mf14masoum/</v>
      </c>
      <c r="I6921" s="5"/>
      <c r="J6921" s="5"/>
      <c r="K6921" s="5"/>
      <c r="L6921" s="5"/>
      <c r="M6921" s="5"/>
      <c r="N6921" s="5"/>
      <c r="O6921" s="5"/>
      <c r="P6921" s="5"/>
      <c r="Q6921" s="5"/>
      <c r="R6921" s="5"/>
      <c r="S6921" s="5"/>
    </row>
    <row r="6922">
      <c r="A6922" s="5"/>
      <c r="B6922" s="5" t="str">
        <f>IFERROR(__xludf.DUMMYFUNCTION("""COMPUTED_VALUE"""),"هیأت")</f>
        <v>هیأت</v>
      </c>
      <c r="C6922" s="5" t="str">
        <f>IFERROR(__xludf.DUMMYFUNCTION("""COMPUTED_VALUE"""),"دمام‌زنی‌نعیم‌اباد‌")</f>
        <v>دمام‌زنی‌نعیم‌اباد‌</v>
      </c>
      <c r="D6922" s="5" t="str">
        <f>IFERROR(__xludf.DUMMYFUNCTION("""COMPUTED_VALUE"""),"یزد")</f>
        <v>یزد</v>
      </c>
      <c r="E6922" s="5" t="str">
        <f>IFERROR(__xludf.DUMMYFUNCTION("""COMPUTED_VALUE"""),"یزد")</f>
        <v>یزد</v>
      </c>
      <c r="F6922" s="5"/>
      <c r="G6922" s="5"/>
      <c r="H6922" s="6" t="str">
        <f>IFERROR(__xludf.DUMMYFUNCTION("""COMPUTED_VALUE"""),"https://www.instagram.com/damamzani_naemabad/")</f>
        <v>https://www.instagram.com/damamzani_naemabad/</v>
      </c>
      <c r="I6922" s="5"/>
      <c r="J6922" s="5"/>
      <c r="K6922" s="5"/>
      <c r="L6922" s="5"/>
      <c r="M6922" s="5"/>
      <c r="N6922" s="5"/>
      <c r="O6922" s="5"/>
      <c r="P6922" s="5"/>
      <c r="Q6922" s="5"/>
      <c r="R6922" s="5"/>
      <c r="S6922" s="5"/>
    </row>
    <row r="6923">
      <c r="A6923" s="5"/>
      <c r="B6923" s="5" t="str">
        <f>IFERROR(__xludf.DUMMYFUNCTION("""COMPUTED_VALUE"""),"هیأت")</f>
        <v>هیأت</v>
      </c>
      <c r="C6923" s="5" t="str">
        <f>IFERROR(__xludf.DUMMYFUNCTION("""COMPUTED_VALUE"""),"دمام زینبیون مریم آباد")</f>
        <v>دمام زینبیون مریم آباد</v>
      </c>
      <c r="D6923" s="5" t="str">
        <f>IFERROR(__xludf.DUMMYFUNCTION("""COMPUTED_VALUE"""),"یزد")</f>
        <v>یزد</v>
      </c>
      <c r="E6923" s="5" t="str">
        <f>IFERROR(__xludf.DUMMYFUNCTION("""COMPUTED_VALUE"""),"یزد")</f>
        <v>یزد</v>
      </c>
      <c r="F6923" s="5" t="str">
        <f>IFERROR(__xludf.DUMMYFUNCTION("""COMPUTED_VALUE"""),"مریم آباد")</f>
        <v>مریم آباد</v>
      </c>
      <c r="G6923" s="5"/>
      <c r="H6923" s="6" t="str">
        <f>IFERROR(__xludf.DUMMYFUNCTION("""COMPUTED_VALUE"""),"https://www.instagram.com/damam_zeinabiyoun/")</f>
        <v>https://www.instagram.com/damam_zeinabiyoun/</v>
      </c>
      <c r="I6923" s="5"/>
      <c r="J6923" s="5"/>
      <c r="K6923" s="5"/>
      <c r="L6923" s="5"/>
      <c r="M6923" s="5"/>
      <c r="N6923" s="5"/>
      <c r="O6923" s="5"/>
      <c r="P6923" s="5"/>
      <c r="Q6923" s="5"/>
      <c r="R6923" s="5"/>
      <c r="S6923" s="5"/>
    </row>
    <row r="6924">
      <c r="A6924" s="5"/>
      <c r="B6924" s="5" t="str">
        <f>IFERROR(__xludf.DUMMYFUNCTION("""COMPUTED_VALUE"""),"هیأت")</f>
        <v>هیأت</v>
      </c>
      <c r="C6924" s="5" t="str">
        <f>IFERROR(__xludf.DUMMYFUNCTION("""COMPUTED_VALUE"""),"اباالفضل(ع)قاسم آباد")</f>
        <v>اباالفضل(ع)قاسم آباد</v>
      </c>
      <c r="D6924" s="5" t="str">
        <f>IFERROR(__xludf.DUMMYFUNCTION("""COMPUTED_VALUE"""),"یزد")</f>
        <v>یزد</v>
      </c>
      <c r="E6924" s="5" t="str">
        <f>IFERROR(__xludf.DUMMYFUNCTION("""COMPUTED_VALUE"""),"یزد")</f>
        <v>یزد</v>
      </c>
      <c r="F6924" s="5"/>
      <c r="G6924" s="5"/>
      <c r="H6924" s="6" t="str">
        <f>IFERROR(__xludf.DUMMYFUNCTION("""COMPUTED_VALUE"""),"https://www.instagram.com/heyate_ghasem_abad_yazd/")</f>
        <v>https://www.instagram.com/heyate_ghasem_abad_yazd/</v>
      </c>
      <c r="I6924" s="5"/>
      <c r="J6924" s="5"/>
      <c r="K6924" s="5"/>
      <c r="L6924" s="5"/>
      <c r="M6924" s="5"/>
      <c r="N6924" s="5"/>
      <c r="O6924" s="5"/>
      <c r="P6924" s="5"/>
      <c r="Q6924" s="5"/>
      <c r="R6924" s="5"/>
      <c r="S6924" s="5"/>
    </row>
    <row r="6925">
      <c r="A6925" s="5"/>
      <c r="B6925" s="5" t="str">
        <f>IFERROR(__xludf.DUMMYFUNCTION("""COMPUTED_VALUE"""),"حسینیه")</f>
        <v>حسینیه</v>
      </c>
      <c r="C6925" s="5" t="str">
        <f>IFERROR(__xludf.DUMMYFUNCTION("""COMPUTED_VALUE"""),"بقیه الله الاعظم (عج)")</f>
        <v>بقیه الله الاعظم (عج)</v>
      </c>
      <c r="D6925" s="5" t="str">
        <f>IFERROR(__xludf.DUMMYFUNCTION("""COMPUTED_VALUE"""),"یزد")</f>
        <v>یزد</v>
      </c>
      <c r="E6925" s="5" t="str">
        <f>IFERROR(__xludf.DUMMYFUNCTION("""COMPUTED_VALUE"""),"یزد")</f>
        <v>یزد</v>
      </c>
      <c r="F6925" s="5"/>
      <c r="G6925" s="5"/>
      <c r="H6925" s="6" t="str">
        <f>IFERROR(__xludf.DUMMYFUNCTION("""COMPUTED_VALUE"""),"https://www.instagram.com/hoseinie.azam/")</f>
        <v>https://www.instagram.com/hoseinie.azam/</v>
      </c>
      <c r="I6925" s="5"/>
      <c r="J6925" s="5"/>
      <c r="K6925" s="5"/>
      <c r="L6925" s="5"/>
      <c r="M6925" s="5"/>
      <c r="N6925" s="5"/>
      <c r="O6925" s="5"/>
      <c r="P6925" s="5"/>
      <c r="Q6925" s="5"/>
      <c r="R6925" s="5"/>
      <c r="S6925" s="5"/>
    </row>
    <row r="6926">
      <c r="A6926" s="5"/>
      <c r="B6926" s="5" t="str">
        <f>IFERROR(__xludf.DUMMYFUNCTION("""COMPUTED_VALUE"""),"هیأت")</f>
        <v>هیأت</v>
      </c>
      <c r="C6926" s="5" t="str">
        <f>IFERROR(__xludf.DUMMYFUNCTION("""COMPUTED_VALUE"""),"ابوالفضلی مهرجرد")</f>
        <v>ابوالفضلی مهرجرد</v>
      </c>
      <c r="D6926" s="5" t="str">
        <f>IFERROR(__xludf.DUMMYFUNCTION("""COMPUTED_VALUE"""),"یزد")</f>
        <v>یزد</v>
      </c>
      <c r="E6926" s="5" t="str">
        <f>IFERROR(__xludf.DUMMYFUNCTION("""COMPUTED_VALUE"""),"یزد")</f>
        <v>یزد</v>
      </c>
      <c r="F6926" s="5"/>
      <c r="G6926" s="5"/>
      <c r="H6926" s="6" t="str">
        <f>IFERROR(__xludf.DUMMYFUNCTION("""COMPUTED_VALUE"""),"https://www.instagram.com/abalfazli_mehrjard/")</f>
        <v>https://www.instagram.com/abalfazli_mehrjard/</v>
      </c>
      <c r="I6926" s="5"/>
      <c r="J6926" s="6" t="str">
        <f>IFERROR(__xludf.DUMMYFUNCTION("""COMPUTED_VALUE"""),"https://eitaa.com/abalfazli_mehrjard")</f>
        <v>https://eitaa.com/abalfazli_mehrjard</v>
      </c>
      <c r="K6926" s="5"/>
      <c r="L6926" s="5"/>
      <c r="M6926" s="5"/>
      <c r="N6926" s="5"/>
      <c r="O6926" s="5"/>
      <c r="P6926" s="5"/>
      <c r="Q6926" s="5"/>
      <c r="R6926" s="5"/>
      <c r="S6926" s="5"/>
    </row>
    <row r="6927">
      <c r="A6927" s="5"/>
      <c r="B6927" s="5" t="str">
        <f>IFERROR(__xludf.DUMMYFUNCTION("""COMPUTED_VALUE"""),"هیأت")</f>
        <v>هیأت</v>
      </c>
      <c r="C6927" s="5" t="str">
        <f>IFERROR(__xludf.DUMMYFUNCTION("""COMPUTED_VALUE"""),"حسینی کویِ گازُرگاه")</f>
        <v>حسینی کویِ گازُرگاه</v>
      </c>
      <c r="D6927" s="5" t="str">
        <f>IFERROR(__xludf.DUMMYFUNCTION("""COMPUTED_VALUE"""),"یزد")</f>
        <v>یزد</v>
      </c>
      <c r="E6927" s="5" t="str">
        <f>IFERROR(__xludf.DUMMYFUNCTION("""COMPUTED_VALUE"""),"یزد")</f>
        <v>یزد</v>
      </c>
      <c r="F6927" s="5"/>
      <c r="G6927" s="5"/>
      <c r="H6927" s="6" t="str">
        <f>IFERROR(__xludf.DUMMYFUNCTION("""COMPUTED_VALUE"""),"https://www.instagram.com/gazorgah.yazd/")</f>
        <v>https://www.instagram.com/gazorgah.yazd/</v>
      </c>
      <c r="I6927" s="5"/>
      <c r="J6927" s="5"/>
      <c r="K6927" s="5"/>
      <c r="L6927" s="5"/>
      <c r="M6927" s="5"/>
      <c r="N6927" s="5"/>
      <c r="O6927" s="5"/>
      <c r="P6927" s="5"/>
      <c r="Q6927" s="5"/>
      <c r="R6927" s="5"/>
      <c r="S6927" s="5"/>
    </row>
    <row r="6928">
      <c r="A6928" s="5"/>
      <c r="B6928" s="5" t="str">
        <f>IFERROR(__xludf.DUMMYFUNCTION("""COMPUTED_VALUE"""),"هیأت")</f>
        <v>هیأت</v>
      </c>
      <c r="C6928" s="5" t="str">
        <f>IFERROR(__xludf.DUMMYFUNCTION("""COMPUTED_VALUE"""),"امامزادگان سَیّدُصَّحرا")</f>
        <v>امامزادگان سَیّدُصَّحرا</v>
      </c>
      <c r="D6928" s="5" t="str">
        <f>IFERROR(__xludf.DUMMYFUNCTION("""COMPUTED_VALUE"""),"یزد")</f>
        <v>یزد</v>
      </c>
      <c r="E6928" s="5" t="str">
        <f>IFERROR(__xludf.DUMMYFUNCTION("""COMPUTED_VALUE"""),"یزد")</f>
        <v>یزد</v>
      </c>
      <c r="F6928" s="5"/>
      <c r="G6928" s="5"/>
      <c r="H6928" s="6" t="str">
        <f>IFERROR(__xludf.DUMMYFUNCTION("""COMPUTED_VALUE"""),"https://www.instagram.com/heyat.seyed.sahra.yazd/")</f>
        <v>https://www.instagram.com/heyat.seyed.sahra.yazd/</v>
      </c>
      <c r="I6928" s="5"/>
      <c r="J6928" s="5"/>
      <c r="K6928" s="5"/>
      <c r="L6928" s="5"/>
      <c r="M6928" s="5"/>
      <c r="N6928" s="5"/>
      <c r="O6928" s="5"/>
      <c r="P6928" s="5"/>
      <c r="Q6928" s="5"/>
      <c r="R6928" s="5"/>
      <c r="S6928" s="5"/>
    </row>
    <row r="6929">
      <c r="A6929" s="5"/>
      <c r="B6929" s="5" t="str">
        <f>IFERROR(__xludf.DUMMYFUNCTION("""COMPUTED_VALUE"""),"هیأت")</f>
        <v>هیأت</v>
      </c>
      <c r="C6929" s="5" t="str">
        <f>IFERROR(__xludf.DUMMYFUNCTION("""COMPUTED_VALUE"""),"عزاداران قمر بنی هاشم")</f>
        <v>عزاداران قمر بنی هاشم</v>
      </c>
      <c r="D6929" s="5" t="str">
        <f>IFERROR(__xludf.DUMMYFUNCTION("""COMPUTED_VALUE"""),"یزد")</f>
        <v>یزد</v>
      </c>
      <c r="E6929" s="5" t="str">
        <f>IFERROR(__xludf.DUMMYFUNCTION("""COMPUTED_VALUE"""),"یزد")</f>
        <v>یزد</v>
      </c>
      <c r="F6929" s="5"/>
      <c r="G6929" s="5"/>
      <c r="H6929" s="6" t="str">
        <f>IFERROR(__xludf.DUMMYFUNCTION("""COMPUTED_VALUE"""),"https://www.instagram.com/qhamar.bani.hashem/")</f>
        <v>https://www.instagram.com/qhamar.bani.hashem/</v>
      </c>
      <c r="I6929" s="5"/>
      <c r="J6929" s="5"/>
      <c r="K6929" s="5"/>
      <c r="L6929" s="5"/>
      <c r="M6929" s="5"/>
      <c r="N6929" s="5"/>
      <c r="O6929" s="5"/>
      <c r="P6929" s="5"/>
      <c r="Q6929" s="5"/>
      <c r="R6929" s="5"/>
      <c r="S6929" s="5"/>
    </row>
    <row r="6930">
      <c r="A6930" s="5"/>
      <c r="B6930" s="5" t="str">
        <f>IFERROR(__xludf.DUMMYFUNCTION("""COMPUTED_VALUE"""),"هیأت")</f>
        <v>هیأت</v>
      </c>
      <c r="C6930" s="5" t="str">
        <f>IFERROR(__xludf.DUMMYFUNCTION("""COMPUTED_VALUE"""),"عزاداران حسینی اعظم")</f>
        <v>عزاداران حسینی اعظم</v>
      </c>
      <c r="D6930" s="5" t="str">
        <f>IFERROR(__xludf.DUMMYFUNCTION("""COMPUTED_VALUE"""),"یزد")</f>
        <v>یزد</v>
      </c>
      <c r="E6930" s="5" t="str">
        <f>IFERROR(__xludf.DUMMYFUNCTION("""COMPUTED_VALUE"""),"یزد")</f>
        <v>یزد</v>
      </c>
      <c r="F6930" s="5"/>
      <c r="G6930" s="5"/>
      <c r="H6930" s="6" t="str">
        <f>IFERROR(__xludf.DUMMYFUNCTION("""COMPUTED_VALUE"""),"https://www.instagram.com/hosseiniyehazam/")</f>
        <v>https://www.instagram.com/hosseiniyehazam/</v>
      </c>
      <c r="I6930" s="5"/>
      <c r="J6930" s="5"/>
      <c r="K6930" s="5"/>
      <c r="L6930" s="5"/>
      <c r="M6930" s="5"/>
      <c r="N6930" s="5"/>
      <c r="O6930" s="5"/>
      <c r="P6930" s="5"/>
      <c r="Q6930" s="5"/>
      <c r="R6930" s="5"/>
      <c r="S6930" s="5"/>
    </row>
    <row r="6931">
      <c r="A6931" s="5"/>
      <c r="B6931" s="5" t="str">
        <f>IFERROR(__xludf.DUMMYFUNCTION("""COMPUTED_VALUE"""),"هیأت")</f>
        <v>هیأت</v>
      </c>
      <c r="C6931" s="5" t="str">
        <f>IFERROR(__xludf.DUMMYFUNCTION("""COMPUTED_VALUE"""),"عاشقان نینوا")</f>
        <v>عاشقان نینوا</v>
      </c>
      <c r="D6931" s="5" t="str">
        <f>IFERROR(__xludf.DUMMYFUNCTION("""COMPUTED_VALUE"""),"یزد")</f>
        <v>یزد</v>
      </c>
      <c r="E6931" s="5" t="str">
        <f>IFERROR(__xludf.DUMMYFUNCTION("""COMPUTED_VALUE"""),"یزد")</f>
        <v>یزد</v>
      </c>
      <c r="F6931" s="5"/>
      <c r="G6931" s="5"/>
      <c r="H6931" s="6" t="str">
        <f>IFERROR(__xludf.DUMMYFUNCTION("""COMPUTED_VALUE"""),"https://www.instagram.com/neynava_yazd/")</f>
        <v>https://www.instagram.com/neynava_yazd/</v>
      </c>
      <c r="I6931" s="5"/>
      <c r="J6931" s="5"/>
      <c r="K6931" s="5"/>
      <c r="L6931" s="5"/>
      <c r="M6931" s="5"/>
      <c r="N6931" s="5"/>
      <c r="O6931" s="5"/>
      <c r="P6931" s="5"/>
      <c r="Q6931" s="5"/>
      <c r="R6931" s="5"/>
      <c r="S6931" s="5"/>
    </row>
    <row r="6932">
      <c r="A6932" s="5"/>
      <c r="B6932" s="5" t="str">
        <f>IFERROR(__xludf.DUMMYFUNCTION("""COMPUTED_VALUE"""),"هیأت")</f>
        <v>هیأت</v>
      </c>
      <c r="C6932" s="5" t="str">
        <f>IFERROR(__xludf.DUMMYFUNCTION("""COMPUTED_VALUE"""),"ابراهیم آباد")</f>
        <v>ابراهیم آباد</v>
      </c>
      <c r="D6932" s="5" t="str">
        <f>IFERROR(__xludf.DUMMYFUNCTION("""COMPUTED_VALUE"""),"یزد")</f>
        <v>یزد</v>
      </c>
      <c r="E6932" s="5" t="str">
        <f>IFERROR(__xludf.DUMMYFUNCTION("""COMPUTED_VALUE"""),"یزد")</f>
        <v>یزد</v>
      </c>
      <c r="F6932" s="5"/>
      <c r="G6932" s="5"/>
      <c r="H6932" s="6" t="str">
        <f>IFERROR(__xludf.DUMMYFUNCTION("""COMPUTED_VALUE"""),"https://www.instagram.com/ebrahimabad.yazd/")</f>
        <v>https://www.instagram.com/ebrahimabad.yazd/</v>
      </c>
      <c r="I6932" s="5"/>
      <c r="J6932" s="5"/>
      <c r="K6932" s="5"/>
      <c r="L6932" s="5"/>
      <c r="M6932" s="5"/>
      <c r="N6932" s="5"/>
      <c r="O6932" s="5"/>
      <c r="P6932" s="5"/>
      <c r="Q6932" s="5"/>
      <c r="R6932" s="5"/>
      <c r="S6932" s="5"/>
    </row>
    <row r="6933">
      <c r="A6933" s="5"/>
      <c r="B6933" s="5" t="str">
        <f>IFERROR(__xludf.DUMMYFUNCTION("""COMPUTED_VALUE"""),"حسینیه")</f>
        <v>حسینیه</v>
      </c>
      <c r="C6933" s="5" t="str">
        <f>IFERROR(__xludf.DUMMYFUNCTION("""COMPUTED_VALUE"""),"دارالشفا ابوالفضل")</f>
        <v>دارالشفا ابوالفضل</v>
      </c>
      <c r="D6933" s="5" t="str">
        <f>IFERROR(__xludf.DUMMYFUNCTION("""COMPUTED_VALUE"""),"یزد")</f>
        <v>یزد</v>
      </c>
      <c r="E6933" s="5" t="str">
        <f>IFERROR(__xludf.DUMMYFUNCTION("""COMPUTED_VALUE"""),"یزد")</f>
        <v>یزد</v>
      </c>
      <c r="F6933" s="5"/>
      <c r="G6933" s="5"/>
      <c r="H6933" s="6" t="str">
        <f>IFERROR(__xludf.DUMMYFUNCTION("""COMPUTED_VALUE"""),"https://www.instagram.com/daroshefa.yazd/")</f>
        <v>https://www.instagram.com/daroshefa.yazd/</v>
      </c>
      <c r="I6933" s="5"/>
      <c r="J6933" s="5"/>
      <c r="K6933" s="5"/>
      <c r="L6933" s="5"/>
      <c r="M6933" s="5"/>
      <c r="N6933" s="5"/>
      <c r="O6933" s="5"/>
      <c r="P6933" s="5"/>
      <c r="Q6933" s="5"/>
      <c r="R6933" s="5"/>
      <c r="S6933" s="5"/>
    </row>
    <row r="6934">
      <c r="A6934" s="5"/>
      <c r="B6934" s="5" t="str">
        <f>IFERROR(__xludf.DUMMYFUNCTION("""COMPUTED_VALUE"""),"هیأت")</f>
        <v>هیأت</v>
      </c>
      <c r="C6934" s="5" t="str">
        <f>IFERROR(__xludf.DUMMYFUNCTION("""COMPUTED_VALUE"""),"علمداران قمربنی هاشم")</f>
        <v>علمداران قمربنی هاشم</v>
      </c>
      <c r="D6934" s="5" t="str">
        <f>IFERROR(__xludf.DUMMYFUNCTION("""COMPUTED_VALUE"""),"یزد")</f>
        <v>یزد</v>
      </c>
      <c r="E6934" s="5" t="str">
        <f>IFERROR(__xludf.DUMMYFUNCTION("""COMPUTED_VALUE"""),"یزد")</f>
        <v>یزد</v>
      </c>
      <c r="F6934" s="5"/>
      <c r="G6934" s="5"/>
      <c r="H6934" s="6" t="str">
        <f>IFERROR(__xludf.DUMMYFUNCTION("""COMPUTED_VALUE"""),"https://www.instagram.com/alamdaran.yazd/")</f>
        <v>https://www.instagram.com/alamdaran.yazd/</v>
      </c>
      <c r="I6934" s="5"/>
      <c r="J6934" s="5"/>
      <c r="K6934" s="5"/>
      <c r="L6934" s="5"/>
      <c r="M6934" s="5"/>
      <c r="N6934" s="5"/>
      <c r="O6934" s="5"/>
      <c r="P6934" s="5"/>
      <c r="Q6934" s="5"/>
      <c r="R6934" s="5"/>
      <c r="S6934" s="5"/>
    </row>
    <row r="6935">
      <c r="A6935" s="5"/>
      <c r="B6935" s="5" t="str">
        <f>IFERROR(__xludf.DUMMYFUNCTION("""COMPUTED_VALUE"""),"هیأت")</f>
        <v>هیأت</v>
      </c>
      <c r="C6935" s="5" t="str">
        <f>IFERROR(__xludf.DUMMYFUNCTION("""COMPUTED_VALUE"""),"ابوالفضل (ع) آبشور")</f>
        <v>ابوالفضل (ع) آبشور</v>
      </c>
      <c r="D6935" s="5" t="str">
        <f>IFERROR(__xludf.DUMMYFUNCTION("""COMPUTED_VALUE"""),"یزد")</f>
        <v>یزد</v>
      </c>
      <c r="E6935" s="5" t="str">
        <f>IFERROR(__xludf.DUMMYFUNCTION("""COMPUTED_VALUE"""),"یزد")</f>
        <v>یزد</v>
      </c>
      <c r="F6935" s="5"/>
      <c r="G6935" s="5"/>
      <c r="H6935" s="6" t="str">
        <f>IFERROR(__xludf.DUMMYFUNCTION("""COMPUTED_VALUE"""),"https://www.instagram.com/heyat_abolfazle_abeshoor_yazd/")</f>
        <v>https://www.instagram.com/heyat_abolfazle_abeshoor_yazd/</v>
      </c>
      <c r="I6935" s="5"/>
      <c r="J6935" s="5"/>
      <c r="K6935" s="5"/>
      <c r="L6935" s="5"/>
      <c r="M6935" s="5"/>
      <c r="N6935" s="5"/>
      <c r="O6935" s="5"/>
      <c r="P6935" s="5"/>
      <c r="Q6935" s="5"/>
      <c r="R6935" s="5"/>
      <c r="S6935" s="5"/>
    </row>
    <row r="6936">
      <c r="A6936" s="5"/>
      <c r="B6936" s="5" t="str">
        <f>IFERROR(__xludf.DUMMYFUNCTION("""COMPUTED_VALUE"""),"هیأت")</f>
        <v>هیأت</v>
      </c>
      <c r="C6936" s="5" t="str">
        <f>IFERROR(__xludf.DUMMYFUNCTION("""COMPUTED_VALUE"""),"دارالعباس")</f>
        <v>دارالعباس</v>
      </c>
      <c r="D6936" s="5" t="str">
        <f>IFERROR(__xludf.DUMMYFUNCTION("""COMPUTED_VALUE"""),"یزد")</f>
        <v>یزد</v>
      </c>
      <c r="E6936" s="5" t="str">
        <f>IFERROR(__xludf.DUMMYFUNCTION("""COMPUTED_VALUE"""),"یزد")</f>
        <v>یزد</v>
      </c>
      <c r="F6936" s="5"/>
      <c r="G6936" s="5"/>
      <c r="H6936" s="6" t="str">
        <f>IFERROR(__xludf.DUMMYFUNCTION("""COMPUTED_VALUE"""),"https://www.instagram.com/darolabbas/")</f>
        <v>https://www.instagram.com/darolabbas/</v>
      </c>
      <c r="I6936" s="5"/>
      <c r="J6936" s="5"/>
      <c r="K6936" s="5"/>
      <c r="L6936" s="5"/>
      <c r="M6936" s="5"/>
      <c r="N6936" s="5"/>
      <c r="O6936" s="5"/>
      <c r="P6936" s="5"/>
      <c r="Q6936" s="5"/>
      <c r="R6936" s="5"/>
      <c r="S6936" s="5"/>
    </row>
    <row r="6937">
      <c r="A6937" s="5"/>
      <c r="B6937" s="5" t="str">
        <f>IFERROR(__xludf.DUMMYFUNCTION("""COMPUTED_VALUE"""),"حسینیه")</f>
        <v>حسینیه</v>
      </c>
      <c r="C6937" s="5" t="str">
        <f>IFERROR(__xludf.DUMMYFUNCTION("""COMPUTED_VALUE"""),"نظرکرده کلک و غفور ابرندآباد")</f>
        <v>نظرکرده کلک و غفور ابرندآباد</v>
      </c>
      <c r="D6937" s="5" t="str">
        <f>IFERROR(__xludf.DUMMYFUNCTION("""COMPUTED_VALUE"""),"یزد")</f>
        <v>یزد</v>
      </c>
      <c r="E6937" s="5" t="str">
        <f>IFERROR(__xludf.DUMMYFUNCTION("""COMPUTED_VALUE"""),"یزد")</f>
        <v>یزد</v>
      </c>
      <c r="F6937" s="5"/>
      <c r="G6937" s="5"/>
      <c r="H6937" s="6" t="str">
        <f>IFERROR(__xludf.DUMMYFUNCTION("""COMPUTED_VALUE"""),"https://www.instagram.com/kalak_ghafur_original/")</f>
        <v>https://www.instagram.com/kalak_ghafur_original/</v>
      </c>
      <c r="I6937" s="6" t="str">
        <f>IFERROR(__xludf.DUMMYFUNCTION("""COMPUTED_VALUE"""),"https://t.me/Ghafournews")</f>
        <v>https://t.me/Ghafournews</v>
      </c>
      <c r="J6937" s="5"/>
      <c r="K6937" s="5"/>
      <c r="L6937" s="5"/>
      <c r="M6937" s="5"/>
      <c r="N6937" s="5"/>
      <c r="O6937" s="5"/>
      <c r="P6937" s="5"/>
      <c r="Q6937" s="5"/>
      <c r="R6937" s="5"/>
      <c r="S6937" s="5"/>
    </row>
    <row r="6938">
      <c r="A6938" s="5"/>
      <c r="B6938" s="5" t="str">
        <f>IFERROR(__xludf.DUMMYFUNCTION("""COMPUTED_VALUE"""),"هیأت")</f>
        <v>هیأت</v>
      </c>
      <c r="C6938" s="5" t="str">
        <f>IFERROR(__xludf.DUMMYFUNCTION("""COMPUTED_VALUE"""),"عزاداران حسینی کوی سرسنگ")</f>
        <v>عزاداران حسینی کوی سرسنگ</v>
      </c>
      <c r="D6938" s="5" t="str">
        <f>IFERROR(__xludf.DUMMYFUNCTION("""COMPUTED_VALUE"""),"یزد")</f>
        <v>یزد</v>
      </c>
      <c r="E6938" s="5" t="str">
        <f>IFERROR(__xludf.DUMMYFUNCTION("""COMPUTED_VALUE"""),"یزد")</f>
        <v>یزد</v>
      </c>
      <c r="F6938" s="5"/>
      <c r="G6938" s="5"/>
      <c r="H6938" s="6" t="str">
        <f>IFERROR(__xludf.DUMMYFUNCTION("""COMPUTED_VALUE"""),"https://www.instagram.com/mahale_saresang_yazd/")</f>
        <v>https://www.instagram.com/mahale_saresang_yazd/</v>
      </c>
      <c r="I6938" s="5"/>
      <c r="J6938" s="5"/>
      <c r="K6938" s="5"/>
      <c r="L6938" s="5"/>
      <c r="M6938" s="5"/>
      <c r="N6938" s="5"/>
      <c r="O6938" s="5"/>
      <c r="P6938" s="5"/>
      <c r="Q6938" s="5"/>
      <c r="R6938" s="5"/>
      <c r="S6938" s="5"/>
    </row>
    <row r="6939">
      <c r="A6939" s="5"/>
      <c r="B6939" s="5" t="str">
        <f>IFERROR(__xludf.DUMMYFUNCTION("""COMPUTED_VALUE"""),"هیأت")</f>
        <v>هیأت</v>
      </c>
      <c r="C6939" s="5" t="str">
        <f>IFERROR(__xludf.DUMMYFUNCTION("""COMPUTED_VALUE"""),"جنــت آباد")</f>
        <v>جنــت آباد</v>
      </c>
      <c r="D6939" s="5" t="str">
        <f>IFERROR(__xludf.DUMMYFUNCTION("""COMPUTED_VALUE"""),"یزد")</f>
        <v>یزد</v>
      </c>
      <c r="E6939" s="5" t="str">
        <f>IFERROR(__xludf.DUMMYFUNCTION("""COMPUTED_VALUE"""),"یزد")</f>
        <v>یزد</v>
      </c>
      <c r="F6939" s="5"/>
      <c r="G6939" s="5"/>
      <c r="H6939" s="6" t="str">
        <f>IFERROR(__xludf.DUMMYFUNCTION("""COMPUTED_VALUE"""),"https://www.instagram.com/janatabad_yazd/")</f>
        <v>https://www.instagram.com/janatabad_yazd/</v>
      </c>
      <c r="I6939" s="5"/>
      <c r="J6939" s="5"/>
      <c r="K6939" s="5"/>
      <c r="L6939" s="5"/>
      <c r="M6939" s="5"/>
      <c r="N6939" s="5"/>
      <c r="O6939" s="5"/>
      <c r="P6939" s="5"/>
      <c r="Q6939" s="5"/>
      <c r="R6939" s="5"/>
      <c r="S6939" s="5"/>
    </row>
    <row r="6940">
      <c r="A6940" s="5"/>
      <c r="B6940" s="5" t="str">
        <f>IFERROR(__xludf.DUMMYFUNCTION("""COMPUTED_VALUE"""),"هیأت")</f>
        <v>هیأت</v>
      </c>
      <c r="C6940" s="5" t="str">
        <f>IFERROR(__xludf.DUMMYFUNCTION("""COMPUTED_VALUE"""),"خیمه گاه عباس(ع)")</f>
        <v>خیمه گاه عباس(ع)</v>
      </c>
      <c r="D6940" s="5" t="str">
        <f>IFERROR(__xludf.DUMMYFUNCTION("""COMPUTED_VALUE"""),"یزد")</f>
        <v>یزد</v>
      </c>
      <c r="E6940" s="5" t="str">
        <f>IFERROR(__xludf.DUMMYFUNCTION("""COMPUTED_VALUE"""),"یزد")</f>
        <v>یزد</v>
      </c>
      <c r="F6940" s="5"/>
      <c r="G6940" s="5"/>
      <c r="H6940" s="6" t="str">
        <f>IFERROR(__xludf.DUMMYFUNCTION("""COMPUTED_VALUE"""),"https://www.instagram.com/kheymeh.gahe_abas/")</f>
        <v>https://www.instagram.com/kheymeh.gahe_abas/</v>
      </c>
      <c r="I6940" s="5"/>
      <c r="J6940" s="5"/>
      <c r="K6940" s="5"/>
      <c r="L6940" s="5"/>
      <c r="M6940" s="5"/>
      <c r="N6940" s="5"/>
      <c r="O6940" s="5"/>
      <c r="P6940" s="5"/>
      <c r="Q6940" s="5"/>
      <c r="R6940" s="5"/>
      <c r="S6940" s="5"/>
    </row>
    <row r="6941">
      <c r="A6941" s="5"/>
      <c r="B6941" s="5" t="str">
        <f>IFERROR(__xludf.DUMMYFUNCTION("""COMPUTED_VALUE"""),"هیأت")</f>
        <v>هیأت</v>
      </c>
      <c r="C6941" s="5" t="str">
        <f>IFERROR(__xludf.DUMMYFUNCTION("""COMPUTED_VALUE"""),"مالمیر")</f>
        <v>مالمیر</v>
      </c>
      <c r="D6941" s="5" t="str">
        <f>IFERROR(__xludf.DUMMYFUNCTION("""COMPUTED_VALUE"""),"یزد")</f>
        <v>یزد</v>
      </c>
      <c r="E6941" s="5" t="str">
        <f>IFERROR(__xludf.DUMMYFUNCTION("""COMPUTED_VALUE"""),"یزد")</f>
        <v>یزد</v>
      </c>
      <c r="F6941" s="5"/>
      <c r="G6941" s="5"/>
      <c r="H6941" s="6" t="str">
        <f>IFERROR(__xludf.DUMMYFUNCTION("""COMPUTED_VALUE"""),"https://www.instagram.com/malamir_yazd/")</f>
        <v>https://www.instagram.com/malamir_yazd/</v>
      </c>
      <c r="I6941" s="5"/>
      <c r="J6941" s="5"/>
      <c r="K6941" s="5"/>
      <c r="L6941" s="5"/>
      <c r="M6941" s="5"/>
      <c r="N6941" s="5"/>
      <c r="O6941" s="5"/>
      <c r="P6941" s="5"/>
      <c r="Q6941" s="5"/>
      <c r="R6941" s="5"/>
      <c r="S6941" s="5"/>
    </row>
    <row r="6942">
      <c r="A6942" s="5"/>
      <c r="B6942" s="5" t="str">
        <f>IFERROR(__xludf.DUMMYFUNCTION("""COMPUTED_VALUE"""),"هیأت")</f>
        <v>هیأت</v>
      </c>
      <c r="C6942" s="5" t="str">
        <f>IFERROR(__xludf.DUMMYFUNCTION("""COMPUTED_VALUE"""),"صباغان")</f>
        <v>صباغان</v>
      </c>
      <c r="D6942" s="5" t="str">
        <f>IFERROR(__xludf.DUMMYFUNCTION("""COMPUTED_VALUE"""),"یزد")</f>
        <v>یزد</v>
      </c>
      <c r="E6942" s="5" t="str">
        <f>IFERROR(__xludf.DUMMYFUNCTION("""COMPUTED_VALUE"""),"یزد")</f>
        <v>یزد</v>
      </c>
      <c r="F6942" s="5"/>
      <c r="G6942" s="5"/>
      <c r="H6942" s="6" t="str">
        <f>IFERROR(__xludf.DUMMYFUNCTION("""COMPUTED_VALUE"""),"https://www.instagram.com/sabbaghan_yazd/")</f>
        <v>https://www.instagram.com/sabbaghan_yazd/</v>
      </c>
      <c r="I6942" s="6" t="str">
        <f>IFERROR(__xludf.DUMMYFUNCTION("""COMPUTED_VALUE"""),"http://t.me/sabbaghan_yazd")</f>
        <v>http://t.me/sabbaghan_yazd</v>
      </c>
      <c r="J6942" s="5"/>
      <c r="K6942" s="5"/>
      <c r="L6942" s="5"/>
      <c r="M6942" s="5"/>
      <c r="N6942" s="5"/>
      <c r="O6942" s="5"/>
      <c r="P6942" s="5"/>
      <c r="Q6942" s="5"/>
      <c r="R6942" s="5"/>
      <c r="S6942" s="5"/>
    </row>
    <row r="6943">
      <c r="A6943" s="5"/>
      <c r="B6943" s="5" t="str">
        <f>IFERROR(__xludf.DUMMYFUNCTION("""COMPUTED_VALUE"""),"هیأت")</f>
        <v>هیأت</v>
      </c>
      <c r="C6943" s="5" t="str">
        <f>IFERROR(__xludf.DUMMYFUNCTION("""COMPUTED_VALUE"""),"مجنون العباس")</f>
        <v>مجنون العباس</v>
      </c>
      <c r="D6943" s="5" t="str">
        <f>IFERROR(__xludf.DUMMYFUNCTION("""COMPUTED_VALUE"""),"یزد")</f>
        <v>یزد</v>
      </c>
      <c r="E6943" s="5" t="str">
        <f>IFERROR(__xludf.DUMMYFUNCTION("""COMPUTED_VALUE"""),"یزد")</f>
        <v>یزد</v>
      </c>
      <c r="F6943" s="5"/>
      <c r="G6943" s="5"/>
      <c r="H6943" s="6" t="str">
        <f>IFERROR(__xludf.DUMMYFUNCTION("""COMPUTED_VALUE"""),"https://www.instagram.com/haram133.info")</f>
        <v>https://www.instagram.com/haram133.info</v>
      </c>
      <c r="I6943" s="6" t="str">
        <f>IFERROR(__xludf.DUMMYFUNCTION("""COMPUTED_VALUE"""),"https://t.me/haram133")</f>
        <v>https://t.me/haram133</v>
      </c>
      <c r="J6943" s="5"/>
      <c r="K6943" s="5"/>
      <c r="L6943" s="5"/>
      <c r="M6943" s="5"/>
      <c r="N6943" s="5"/>
      <c r="O6943" s="5"/>
      <c r="P6943" s="5"/>
      <c r="Q6943" s="5"/>
      <c r="R6943" s="5"/>
      <c r="S6943" s="5"/>
    </row>
    <row r="6944">
      <c r="A6944" s="5"/>
      <c r="B6944" s="5" t="str">
        <f>IFERROR(__xludf.DUMMYFUNCTION("""COMPUTED_VALUE"""),"مداح")</f>
        <v>مداح</v>
      </c>
      <c r="C6944" s="5" t="str">
        <f>IFERROR(__xludf.DUMMYFUNCTION("""COMPUTED_VALUE"""),"محمد علی وطن خواه")</f>
        <v>محمد علی وطن خواه</v>
      </c>
      <c r="D6944" s="5" t="str">
        <f>IFERROR(__xludf.DUMMYFUNCTION("""COMPUTED_VALUE"""),"یزد")</f>
        <v>یزد</v>
      </c>
      <c r="E6944" s="5" t="str">
        <f>IFERROR(__xludf.DUMMYFUNCTION("""COMPUTED_VALUE"""),"یزد")</f>
        <v>یزد</v>
      </c>
      <c r="F6944" s="5"/>
      <c r="G6944" s="5"/>
      <c r="H6944" s="6" t="str">
        <f>IFERROR(__xludf.DUMMYFUNCTION("""COMPUTED_VALUE"""),"https://www.instagram.com/mohammadalivatankhah/")</f>
        <v>https://www.instagram.com/mohammadalivatankhah/</v>
      </c>
      <c r="I6944" s="5"/>
      <c r="J6944" s="5"/>
      <c r="K6944" s="5"/>
      <c r="L6944" s="6" t="str">
        <f>IFERROR(__xludf.DUMMYFUNCTION("""COMPUTED_VALUE"""),"Www.haram133.com")</f>
        <v>Www.haram133.com</v>
      </c>
      <c r="M6944" s="5"/>
      <c r="N6944" s="5"/>
      <c r="O6944" s="5"/>
      <c r="P6944" s="5"/>
      <c r="Q6944" s="5"/>
      <c r="R6944" s="5"/>
      <c r="S6944" s="5"/>
    </row>
    <row r="6945">
      <c r="A6945" s="5"/>
      <c r="B6945" s="5" t="str">
        <f>IFERROR(__xludf.DUMMYFUNCTION("""COMPUTED_VALUE"""),"هیأت")</f>
        <v>هیأت</v>
      </c>
      <c r="C6945" s="5" t="str">
        <f>IFERROR(__xludf.DUMMYFUNCTION("""COMPUTED_VALUE"""),"هیأت شباب الحسین")</f>
        <v>هیأت شباب الحسین</v>
      </c>
      <c r="D6945" s="5" t="str">
        <f>IFERROR(__xludf.DUMMYFUNCTION("""COMPUTED_VALUE"""),"یزد")</f>
        <v>یزد</v>
      </c>
      <c r="E6945" s="5" t="str">
        <f>IFERROR(__xludf.DUMMYFUNCTION("""COMPUTED_VALUE"""),"یزد")</f>
        <v>یزد</v>
      </c>
      <c r="F6945" s="5"/>
      <c r="G6945" s="5"/>
      <c r="H6945" s="5"/>
      <c r="I6945" s="5"/>
      <c r="J6945" s="6" t="str">
        <f>IFERROR(__xludf.DUMMYFUNCTION("""COMPUTED_VALUE"""),"https://eitaa.com/shababalhasan")</f>
        <v>https://eitaa.com/shababalhasan</v>
      </c>
      <c r="K6945" s="5"/>
      <c r="L6945" s="5"/>
      <c r="M6945" s="5"/>
      <c r="N6945" s="5"/>
      <c r="O6945" s="5"/>
      <c r="P6945" s="5"/>
      <c r="Q6945" s="5"/>
      <c r="R6945" s="5"/>
      <c r="S6945" s="5"/>
    </row>
    <row r="6946">
      <c r="A6946" s="5"/>
      <c r="B6946" s="5" t="str">
        <f>IFERROR(__xludf.DUMMYFUNCTION("""COMPUTED_VALUE"""),"هیأت")</f>
        <v>هیأت</v>
      </c>
      <c r="C6946" s="5" t="str">
        <f>IFERROR(__xludf.DUMMYFUNCTION("""COMPUTED_VALUE"""),"حسینیه ایران | هیئتی های یزد")</f>
        <v>حسینیه ایران | هیئتی های یزد</v>
      </c>
      <c r="D6946" s="5" t="str">
        <f>IFERROR(__xludf.DUMMYFUNCTION("""COMPUTED_VALUE"""),"یزد")</f>
        <v>یزد</v>
      </c>
      <c r="E6946" s="5" t="str">
        <f>IFERROR(__xludf.DUMMYFUNCTION("""COMPUTED_VALUE"""),"یزد")</f>
        <v>یزد</v>
      </c>
      <c r="F6946" s="5"/>
      <c r="G6946" s="5"/>
      <c r="H6946" s="5"/>
      <c r="I6946" s="5"/>
      <c r="J6946" s="6" t="str">
        <f>IFERROR(__xludf.DUMMYFUNCTION("""COMPUTED_VALUE"""),"https://eitaa.com/yhi_com")</f>
        <v>https://eitaa.com/yhi_com</v>
      </c>
      <c r="K6946" s="5"/>
      <c r="L6946" s="5"/>
      <c r="M6946" s="5"/>
      <c r="N6946" s="5"/>
      <c r="O6946" s="5"/>
      <c r="P6946" s="5"/>
      <c r="Q6946" s="5"/>
      <c r="R6946" s="5"/>
      <c r="S6946" s="5"/>
    </row>
    <row r="6947">
      <c r="A6947" s="5"/>
      <c r="B6947" s="5" t="str">
        <f>IFERROR(__xludf.DUMMYFUNCTION("""COMPUTED_VALUE"""),"حسینیه")</f>
        <v>حسینیه</v>
      </c>
      <c r="C6947" s="5" t="str">
        <f>IFERROR(__xludf.DUMMYFUNCTION("""COMPUTED_VALUE"""),"باغ بهار - پخش زنده")</f>
        <v>باغ بهار - پخش زنده</v>
      </c>
      <c r="D6947" s="5" t="str">
        <f>IFERROR(__xludf.DUMMYFUNCTION("""COMPUTED_VALUE"""),"یزد")</f>
        <v>یزد</v>
      </c>
      <c r="E6947" s="5" t="str">
        <f>IFERROR(__xludf.DUMMYFUNCTION("""COMPUTED_VALUE"""),"یزد")</f>
        <v>یزد</v>
      </c>
      <c r="F6947" s="5"/>
      <c r="G6947" s="5"/>
      <c r="H6947" s="6" t="str">
        <f>IFERROR(__xludf.DUMMYFUNCTION("""COMPUTED_VALUE"""),"https://www.instagram.com/mehrizbaghebahar")</f>
        <v>https://www.instagram.com/mehrizbaghebahar</v>
      </c>
      <c r="I6947" s="5"/>
      <c r="J6947" s="6" t="str">
        <f>IFERROR(__xludf.DUMMYFUNCTION("""COMPUTED_VALUE"""),"https://eitaa.com/baghebahar")</f>
        <v>https://eitaa.com/baghebahar</v>
      </c>
      <c r="K6947" s="5"/>
      <c r="L6947" s="5"/>
      <c r="M6947" s="5"/>
      <c r="N6947" s="5"/>
      <c r="O6947" s="5"/>
      <c r="P6947" s="5"/>
      <c r="Q6947" s="5"/>
      <c r="R6947" s="5"/>
      <c r="S6947" s="5"/>
    </row>
    <row r="6948">
      <c r="A6948" s="5"/>
      <c r="B6948" s="5" t="str">
        <f>IFERROR(__xludf.DUMMYFUNCTION("""COMPUTED_VALUE"""),"موکب")</f>
        <v>موکب</v>
      </c>
      <c r="C6948" s="5" t="str">
        <f>IFERROR(__xludf.DUMMYFUNCTION("""COMPUTED_VALUE"""),"شهدای گمنام و شهدای محمد آباد دار العباده یزد")</f>
        <v>شهدای گمنام و شهدای محمد آباد دار العباده یزد</v>
      </c>
      <c r="D6948" s="5" t="str">
        <f>IFERROR(__xludf.DUMMYFUNCTION("""COMPUTED_VALUE"""),"یزد")</f>
        <v>یزد</v>
      </c>
      <c r="E6948" s="5" t="str">
        <f>IFERROR(__xludf.DUMMYFUNCTION("""COMPUTED_VALUE"""),"یزد")</f>
        <v>یزد</v>
      </c>
      <c r="F6948" s="5"/>
      <c r="G6948" s="5"/>
      <c r="H6948" s="5"/>
      <c r="I6948" s="5"/>
      <c r="J6948" s="6" t="str">
        <f>IFERROR(__xludf.DUMMYFUNCTION("""COMPUTED_VALUE"""),"https://eitaa.com/mokeb_arbaeen_1444")</f>
        <v>https://eitaa.com/mokeb_arbaeen_1444</v>
      </c>
      <c r="K6948" s="5"/>
      <c r="L6948" s="5"/>
      <c r="M6948" s="5"/>
      <c r="N6948" s="5"/>
      <c r="O6948" s="5"/>
      <c r="P6948" s="5"/>
      <c r="Q6948" s="5"/>
      <c r="R6948" s="5"/>
      <c r="S6948" s="5"/>
    </row>
    <row r="6949">
      <c r="A6949" s="5"/>
      <c r="B6949" s="5" t="str">
        <f>IFERROR(__xludf.DUMMYFUNCTION("""COMPUTED_VALUE"""),"موکب")</f>
        <v>موکب</v>
      </c>
      <c r="C6949" s="5" t="str">
        <f>IFERROR(__xludf.DUMMYFUNCTION("""COMPUTED_VALUE"""),"موکب علی بن موسی الرضا(ع)")</f>
        <v>موکب علی بن موسی الرضا(ع)</v>
      </c>
      <c r="D6949" s="5" t="str">
        <f>IFERROR(__xludf.DUMMYFUNCTION("""COMPUTED_VALUE"""),"یزد")</f>
        <v>یزد</v>
      </c>
      <c r="E6949" s="5" t="str">
        <f>IFERROR(__xludf.DUMMYFUNCTION("""COMPUTED_VALUE"""),"یزد")</f>
        <v>یزد</v>
      </c>
      <c r="F6949" s="5"/>
      <c r="G6949" s="5"/>
      <c r="H6949" s="5"/>
      <c r="I6949" s="5"/>
      <c r="J6949" s="6" t="str">
        <f>IFERROR(__xludf.DUMMYFUNCTION("""COMPUTED_VALUE"""),"https://eitaa.com/Mokeb_emamreza_yzd")</f>
        <v>https://eitaa.com/Mokeb_emamreza_yzd</v>
      </c>
      <c r="K6949" s="5"/>
      <c r="L6949" s="5"/>
      <c r="M6949" s="5"/>
      <c r="N6949" s="5"/>
      <c r="O6949" s="5"/>
      <c r="P6949" s="5"/>
      <c r="Q6949" s="5"/>
      <c r="R6949" s="5"/>
      <c r="S6949" s="5"/>
    </row>
    <row r="6950">
      <c r="A6950" s="5"/>
      <c r="B6950" s="5" t="str">
        <f>IFERROR(__xludf.DUMMYFUNCTION("""COMPUTED_VALUE"""),"هیأت")</f>
        <v>هیأت</v>
      </c>
      <c r="C6950" s="5" t="str">
        <f>IFERROR(__xludf.DUMMYFUNCTION("""COMPUTED_VALUE"""),"فاطمیه")</f>
        <v>فاطمیه</v>
      </c>
      <c r="D6950" s="5" t="str">
        <f>IFERROR(__xludf.DUMMYFUNCTION("""COMPUTED_VALUE"""),"یزد")</f>
        <v>یزد</v>
      </c>
      <c r="E6950" s="5" t="str">
        <f>IFERROR(__xludf.DUMMYFUNCTION("""COMPUTED_VALUE"""),"یزد")</f>
        <v>یزد</v>
      </c>
      <c r="F6950" s="5"/>
      <c r="G6950" s="5"/>
      <c r="H6950" s="6" t="str">
        <f>IFERROR(__xludf.DUMMYFUNCTION("""COMPUTED_VALUE"""),"https://www.instagram.com/heyat.fatemieh.firoozabad1351")</f>
        <v>https://www.instagram.com/heyat.fatemieh.firoozabad1351</v>
      </c>
      <c r="I6950" s="5"/>
      <c r="J6950" s="5"/>
      <c r="K6950" s="5"/>
      <c r="L6950" s="5"/>
      <c r="M6950" s="5"/>
      <c r="N6950" s="5"/>
      <c r="O6950" s="5"/>
      <c r="P6950" s="5"/>
      <c r="Q6950" s="5"/>
      <c r="R6950" s="5"/>
      <c r="S6950" s="5"/>
    </row>
    <row r="6951">
      <c r="A6951" s="5"/>
      <c r="B6951" s="5" t="str">
        <f>IFERROR(__xludf.DUMMYFUNCTION("""COMPUTED_VALUE"""),"هیأت")</f>
        <v>هیأت</v>
      </c>
      <c r="C6951" s="5" t="str">
        <f>IFERROR(__xludf.DUMMYFUNCTION("""COMPUTED_VALUE"""),"حضرت ابوالفضل‌ (ع) گردفرامرز")</f>
        <v>حضرت ابوالفضل‌ (ع) گردفرامرز</v>
      </c>
      <c r="D6951" s="5" t="str">
        <f>IFERROR(__xludf.DUMMYFUNCTION("""COMPUTED_VALUE"""),"یزد")</f>
        <v>یزد</v>
      </c>
      <c r="E6951" s="5" t="str">
        <f>IFERROR(__xludf.DUMMYFUNCTION("""COMPUTED_VALUE"""),"گردفرامرز")</f>
        <v>گردفرامرز</v>
      </c>
      <c r="F6951" s="5"/>
      <c r="G6951" s="5"/>
      <c r="H6951" s="5"/>
      <c r="I6951" s="5"/>
      <c r="J6951" s="6" t="str">
        <f>IFERROR(__xludf.DUMMYFUNCTION("""COMPUTED_VALUE"""),"https://eitaa.com/beytolabbasyazd133")</f>
        <v>https://eitaa.com/beytolabbasyazd133</v>
      </c>
      <c r="K6951" s="5"/>
      <c r="L6951" s="5"/>
      <c r="M6951" s="5"/>
      <c r="N6951" s="5"/>
      <c r="O6951" s="5"/>
      <c r="P6951" s="5"/>
      <c r="Q6951" s="5"/>
      <c r="R6951" s="5"/>
      <c r="S6951" s="5"/>
    </row>
    <row r="6952">
      <c r="A6952" s="5"/>
      <c r="B6952" s="5" t="str">
        <f>IFERROR(__xludf.DUMMYFUNCTION("""COMPUTED_VALUE"""),"موکب")</f>
        <v>موکب</v>
      </c>
      <c r="C6952" s="5" t="str">
        <f>IFERROR(__xludf.DUMMYFUNCTION("""COMPUTED_VALUE"""),"شباب المهدی")</f>
        <v>شباب المهدی</v>
      </c>
      <c r="D6952" s="5" t="str">
        <f>IFERROR(__xludf.DUMMYFUNCTION("""COMPUTED_VALUE"""),"یزد")</f>
        <v>یزد</v>
      </c>
      <c r="E6952" s="5" t="str">
        <f>IFERROR(__xludf.DUMMYFUNCTION("""COMPUTED_VALUE"""),"یزد")</f>
        <v>یزد</v>
      </c>
      <c r="F6952" s="5"/>
      <c r="G6952" s="5"/>
      <c r="H6952" s="5"/>
      <c r="I6952" s="5"/>
      <c r="J6952" s="6" t="str">
        <f>IFERROR(__xludf.DUMMYFUNCTION("""COMPUTED_VALUE"""),"https://eitaa.com/yazdmokeb")</f>
        <v>https://eitaa.com/yazdmokeb</v>
      </c>
      <c r="K6952" s="5"/>
      <c r="L6952" s="5"/>
      <c r="M6952" s="5"/>
      <c r="N6952" s="5"/>
      <c r="O6952" s="5"/>
      <c r="P6952" s="5"/>
      <c r="Q6952" s="5"/>
      <c r="R6952" s="5"/>
      <c r="S6952" s="5"/>
    </row>
    <row r="6953">
      <c r="A6953" s="5"/>
      <c r="B6953" s="5" t="str">
        <f>IFERROR(__xludf.DUMMYFUNCTION("""COMPUTED_VALUE"""),"هیأت")</f>
        <v>هیأت</v>
      </c>
      <c r="C6953" s="5" t="str">
        <f>IFERROR(__xludf.DUMMYFUNCTION("""COMPUTED_VALUE"""),"عزاداران حسینی رایه الهدی ")</f>
        <v>عزاداران حسینی رایه الهدی </v>
      </c>
      <c r="D6953" s="5" t="str">
        <f>IFERROR(__xludf.DUMMYFUNCTION("""COMPUTED_VALUE"""),"یزد")</f>
        <v>یزد</v>
      </c>
      <c r="E6953" s="5" t="str">
        <f>IFERROR(__xludf.DUMMYFUNCTION("""COMPUTED_VALUE"""),"یزد")</f>
        <v>یزد</v>
      </c>
      <c r="F6953" s="5"/>
      <c r="G6953" s="5"/>
      <c r="H6953" s="5"/>
      <c r="I6953" s="5"/>
      <c r="J6953" s="6" t="str">
        <f>IFERROR(__xludf.DUMMYFUNCTION("""COMPUTED_VALUE"""),"https://eitaa.com/rayat_yazd")</f>
        <v>https://eitaa.com/rayat_yazd</v>
      </c>
      <c r="K6953" s="5"/>
      <c r="L6953" s="5"/>
      <c r="M6953" s="5"/>
      <c r="N6953" s="5"/>
      <c r="O6953" s="5"/>
      <c r="P6953" s="5"/>
      <c r="Q6953" s="5"/>
      <c r="R6953" s="5"/>
      <c r="S6953" s="5"/>
    </row>
    <row r="6954">
      <c r="A6954" s="5"/>
      <c r="B6954" s="5" t="str">
        <f>IFERROR(__xludf.DUMMYFUNCTION("""COMPUTED_VALUE"""),"هیأت")</f>
        <v>هیأت</v>
      </c>
      <c r="C6954" s="5" t="str">
        <f>IFERROR(__xludf.DUMMYFUNCTION("""COMPUTED_VALUE"""),"رضوی مهدیه")</f>
        <v>رضوی مهدیه</v>
      </c>
      <c r="D6954" s="5" t="str">
        <f>IFERROR(__xludf.DUMMYFUNCTION("""COMPUTED_VALUE"""),"یزد")</f>
        <v>یزد</v>
      </c>
      <c r="E6954" s="5" t="str">
        <f>IFERROR(__xludf.DUMMYFUNCTION("""COMPUTED_VALUE"""),"میبد")</f>
        <v>میبد</v>
      </c>
      <c r="F6954" s="5"/>
      <c r="G6954" s="5"/>
      <c r="H6954" s="5"/>
      <c r="I6954" s="5"/>
      <c r="J6954" s="6" t="str">
        <f>IFERROR(__xludf.DUMMYFUNCTION("""COMPUTED_VALUE"""),"https://eitaa.com/mahdiehmeybod")</f>
        <v>https://eitaa.com/mahdiehmeybod</v>
      </c>
      <c r="K6954" s="5"/>
      <c r="L6954" s="5"/>
      <c r="M6954" s="5"/>
      <c r="N6954" s="5"/>
      <c r="O6954" s="5"/>
      <c r="P6954" s="5"/>
      <c r="Q6954" s="5"/>
      <c r="R6954" s="5"/>
      <c r="S6954" s="5"/>
    </row>
    <row r="6955">
      <c r="A6955" s="5"/>
      <c r="B6955" s="5" t="str">
        <f>IFERROR(__xludf.DUMMYFUNCTION("""COMPUTED_VALUE"""),"موکب")</f>
        <v>موکب</v>
      </c>
      <c r="C6955" s="5" t="str">
        <f>IFERROR(__xludf.DUMMYFUNCTION("""COMPUTED_VALUE"""),"انصار الحسین")</f>
        <v>انصار الحسین</v>
      </c>
      <c r="D6955" s="5" t="str">
        <f>IFERROR(__xludf.DUMMYFUNCTION("""COMPUTED_VALUE"""),"یزد")</f>
        <v>یزد</v>
      </c>
      <c r="E6955" s="5" t="str">
        <f>IFERROR(__xludf.DUMMYFUNCTION("""COMPUTED_VALUE"""),"مهردشت")</f>
        <v>مهردشت</v>
      </c>
      <c r="F6955" s="5"/>
      <c r="G6955" s="5"/>
      <c r="H6955" s="5"/>
      <c r="I6955" s="5"/>
      <c r="J6955" s="6" t="str">
        <f>IFERROR(__xludf.DUMMYFUNCTION("""COMPUTED_VALUE"""),"https://eitaa.com/ansarollhosrinnajaf")</f>
        <v>https://eitaa.com/ansarollhosrinnajaf</v>
      </c>
      <c r="K6955" s="5"/>
      <c r="L6955" s="5"/>
      <c r="M6955" s="5"/>
      <c r="N6955" s="5"/>
      <c r="O6955" s="5"/>
      <c r="P6955" s="5"/>
      <c r="Q6955" s="5"/>
      <c r="R6955" s="5"/>
      <c r="S6955" s="5"/>
    </row>
    <row r="6956">
      <c r="A6956" s="5"/>
      <c r="B6956" s="5" t="str">
        <f>IFERROR(__xludf.DUMMYFUNCTION("""COMPUTED_VALUE"""),"هیأت")</f>
        <v>هیأت</v>
      </c>
      <c r="C6956" s="5" t="str">
        <f>IFERROR(__xludf.DUMMYFUNCTION("""COMPUTED_VALUE"""),"هیئتـــ‌ رَیآحیـن‌الهُـ❤️ـدے")</f>
        <v>هیئتـــ‌ رَیآحیـن‌الهُـ❤️ـدے</v>
      </c>
      <c r="D6956" s="5" t="str">
        <f>IFERROR(__xludf.DUMMYFUNCTION("""COMPUTED_VALUE"""),"یزد")</f>
        <v>یزد</v>
      </c>
      <c r="E6956" s="5" t="str">
        <f>IFERROR(__xludf.DUMMYFUNCTION("""COMPUTED_VALUE"""),"یزد")</f>
        <v>یزد</v>
      </c>
      <c r="F6956" s="5"/>
      <c r="G6956" s="5"/>
      <c r="H6956" s="5"/>
      <c r="I6956" s="5"/>
      <c r="J6956" s="6" t="str">
        <f>IFERROR(__xludf.DUMMYFUNCTION("""COMPUTED_VALUE"""),"https://eitaa.com/rayahin_ir")</f>
        <v>https://eitaa.com/rayahin_ir</v>
      </c>
      <c r="K6956" s="5"/>
      <c r="L6956" s="5"/>
      <c r="M6956" s="5"/>
      <c r="N6956" s="5"/>
      <c r="O6956" s="5"/>
      <c r="P6956" s="5"/>
      <c r="Q6956" s="5"/>
      <c r="R6956" s="5"/>
      <c r="S6956" s="5"/>
    </row>
    <row r="6957">
      <c r="A6957" s="5"/>
      <c r="B6957" s="5" t="str">
        <f>IFERROR(__xludf.DUMMYFUNCTION("""COMPUTED_VALUE"""),"هیأت")</f>
        <v>هیأت</v>
      </c>
      <c r="C6957" s="5" t="str">
        <f>IFERROR(__xludf.DUMMYFUNCTION("""COMPUTED_VALUE"""),"زنجیر زنی ابالفضل")</f>
        <v>زنجیر زنی ابالفضل</v>
      </c>
      <c r="D6957" s="5" t="str">
        <f>IFERROR(__xludf.DUMMYFUNCTION("""COMPUTED_VALUE"""),"یزد")</f>
        <v>یزد</v>
      </c>
      <c r="E6957" s="5" t="str">
        <f>IFERROR(__xludf.DUMMYFUNCTION("""COMPUTED_VALUE"""),"سخوید")</f>
        <v>سخوید</v>
      </c>
      <c r="F6957" s="5"/>
      <c r="G6957" s="5"/>
      <c r="H6957" s="5"/>
      <c r="I6957" s="5"/>
      <c r="J6957" s="6" t="str">
        <f>IFERROR(__xludf.DUMMYFUNCTION("""COMPUTED_VALUE"""),"https://eitaa.com/MournersofSakhvid2023")</f>
        <v>https://eitaa.com/MournersofSakhvid2023</v>
      </c>
      <c r="K6957" s="5"/>
      <c r="L6957" s="5"/>
      <c r="M6957" s="5"/>
      <c r="N6957" s="5"/>
      <c r="O6957" s="5"/>
      <c r="P6957" s="5"/>
      <c r="Q6957" s="5"/>
      <c r="R6957" s="5"/>
      <c r="S6957" s="5"/>
    </row>
    <row r="6958">
      <c r="A6958" s="5"/>
      <c r="B6958" s="5" t="str">
        <f>IFERROR(__xludf.DUMMYFUNCTION("""COMPUTED_VALUE"""),"هیأت")</f>
        <v>هیأت</v>
      </c>
      <c r="C6958" s="5" t="str">
        <f>IFERROR(__xludf.DUMMYFUNCTION("""COMPUTED_VALUE"""),"جان نثاران حضرت علی اکبر سید الشهدا - سرچشمه گردفرامرز")</f>
        <v>جان نثاران حضرت علی اکبر سید الشهدا - سرچشمه گردفرامرز</v>
      </c>
      <c r="D6958" s="5" t="str">
        <f>IFERROR(__xludf.DUMMYFUNCTION("""COMPUTED_VALUE"""),"یزد")</f>
        <v>یزد</v>
      </c>
      <c r="E6958" s="5" t="str">
        <f>IFERROR(__xludf.DUMMYFUNCTION("""COMPUTED_VALUE"""),"یزد")</f>
        <v>یزد</v>
      </c>
      <c r="F6958" s="5"/>
      <c r="G6958" s="5"/>
      <c r="H6958" s="5"/>
      <c r="I6958" s="5"/>
      <c r="J6958" s="6" t="str">
        <f>IFERROR(__xludf.DUMMYFUNCTION("""COMPUTED_VALUE"""),"https://eitaa.com/shahzadeh_aliakbar_yazd")</f>
        <v>https://eitaa.com/shahzadeh_aliakbar_yazd</v>
      </c>
      <c r="K6958" s="5"/>
      <c r="L6958" s="5"/>
      <c r="M6958" s="5"/>
      <c r="N6958" s="5"/>
      <c r="O6958" s="5"/>
      <c r="P6958" s="5"/>
      <c r="Q6958" s="5"/>
      <c r="R6958" s="5"/>
      <c r="S6958" s="5"/>
    </row>
    <row r="6959">
      <c r="A6959" s="5"/>
      <c r="B6959" s="5" t="str">
        <f>IFERROR(__xludf.DUMMYFUNCTION("""COMPUTED_VALUE"""),"هیأت")</f>
        <v>هیأت</v>
      </c>
      <c r="C6959" s="5" t="str">
        <f>IFERROR(__xludf.DUMMYFUNCTION("""COMPUTED_VALUE"""),"شباب الزهرا")</f>
        <v>شباب الزهرا</v>
      </c>
      <c r="D6959" s="5" t="str">
        <f>IFERROR(__xludf.DUMMYFUNCTION("""COMPUTED_VALUE"""),"یزد")</f>
        <v>یزد</v>
      </c>
      <c r="E6959" s="5" t="str">
        <f>IFERROR(__xludf.DUMMYFUNCTION("""COMPUTED_VALUE"""),"یزد")</f>
        <v>یزد</v>
      </c>
      <c r="F6959" s="5"/>
      <c r="G6959" s="5"/>
      <c r="H6959" s="5"/>
      <c r="I6959" s="5"/>
      <c r="J6959" s="6" t="str">
        <f>IFERROR(__xludf.DUMMYFUNCTION("""COMPUTED_VALUE"""),"https://eitaa.com/shabab_al_zahra_yazd")</f>
        <v>https://eitaa.com/shabab_al_zahra_yazd</v>
      </c>
      <c r="K6959" s="5"/>
      <c r="L6959" s="5"/>
      <c r="M6959" s="5"/>
      <c r="N6959" s="5"/>
      <c r="O6959" s="5"/>
      <c r="P6959" s="5"/>
      <c r="Q6959" s="5"/>
      <c r="R6959" s="5"/>
      <c r="S6959" s="5"/>
    </row>
    <row r="6960">
      <c r="A6960" s="5"/>
      <c r="B6960" s="5" t="str">
        <f>IFERROR(__xludf.DUMMYFUNCTION("""COMPUTED_VALUE"""),"هیأت")</f>
        <v>هیأت</v>
      </c>
      <c r="C6960" s="5" t="str">
        <f>IFERROR(__xludf.DUMMYFUNCTION("""COMPUTED_VALUE"""),"منشاد")</f>
        <v>منشاد</v>
      </c>
      <c r="D6960" s="5" t="str">
        <f>IFERROR(__xludf.DUMMYFUNCTION("""COMPUTED_VALUE"""),"یزد")</f>
        <v>یزد</v>
      </c>
      <c r="E6960" s="5" t="str">
        <f>IFERROR(__xludf.DUMMYFUNCTION("""COMPUTED_VALUE"""),"منشاد")</f>
        <v>منشاد</v>
      </c>
      <c r="F6960" s="5"/>
      <c r="G6960" s="5"/>
      <c r="H6960" s="5"/>
      <c r="I6960" s="5"/>
      <c r="J6960" s="6" t="str">
        <f>IFERROR(__xludf.DUMMYFUNCTION("""COMPUTED_VALUE"""),"https://eitaa.com/manshadheyat")</f>
        <v>https://eitaa.com/manshadheyat</v>
      </c>
      <c r="K6960" s="5"/>
      <c r="L6960" s="5"/>
      <c r="M6960" s="5"/>
      <c r="N6960" s="5"/>
      <c r="O6960" s="5"/>
      <c r="P6960" s="5"/>
      <c r="Q6960" s="5"/>
      <c r="R6960" s="5"/>
      <c r="S6960" s="5"/>
    </row>
    <row r="6961">
      <c r="A6961" s="5"/>
      <c r="B6961" s="5" t="str">
        <f>IFERROR(__xludf.DUMMYFUNCTION("""COMPUTED_VALUE"""),"هیأت")</f>
        <v>هیأت</v>
      </c>
      <c r="C6961" s="5" t="str">
        <f>IFERROR(__xludf.DUMMYFUNCTION("""COMPUTED_VALUE"""),"جامع مصباح الهدی (حوزه علمیه پیامبر اعظم)")</f>
        <v>جامع مصباح الهدی (حوزه علمیه پیامبر اعظم)</v>
      </c>
      <c r="D6961" s="5" t="str">
        <f>IFERROR(__xludf.DUMMYFUNCTION("""COMPUTED_VALUE"""),"یزد")</f>
        <v>یزد</v>
      </c>
      <c r="E6961" s="5" t="str">
        <f>IFERROR(__xludf.DUMMYFUNCTION("""COMPUTED_VALUE"""),"یزد")</f>
        <v>یزد</v>
      </c>
      <c r="F6961" s="5"/>
      <c r="G6961" s="5"/>
      <c r="H6961" s="5"/>
      <c r="I6961" s="5"/>
      <c r="J6961" s="6" t="str">
        <f>IFERROR(__xludf.DUMMYFUNCTION("""COMPUTED_VALUE"""),"https://eitaa.com/Mesbah_Alhoda72")</f>
        <v>https://eitaa.com/Mesbah_Alhoda72</v>
      </c>
      <c r="K6961" s="5"/>
      <c r="L6961" s="5"/>
      <c r="M6961" s="5"/>
      <c r="N6961" s="5"/>
      <c r="O6961" s="5"/>
      <c r="P6961" s="5"/>
      <c r="Q6961" s="5"/>
      <c r="R6961" s="5"/>
      <c r="S6961" s="5"/>
    </row>
  </sheetData>
  <conditionalFormatting sqref="A1:AA1">
    <cfRule type="notContainsBlanks" dxfId="0" priority="1">
      <formula>LEN(TRIM(A1))&gt;0</formula>
    </cfRule>
  </conditionalFormatting>
  <hyperlinks>
    <hyperlink r:id="rId1" ref="H2"/>
    <hyperlink r:id="rId2" ref="I2"/>
    <hyperlink r:id="rId3" ref="J2"/>
    <hyperlink r:id="rId4" ref="H3"/>
    <hyperlink r:id="rId5" ref="I3"/>
    <hyperlink r:id="rId6" ref="J3"/>
    <hyperlink r:id="rId7" ref="H4"/>
    <hyperlink r:id="rId8" ref="J4"/>
    <hyperlink r:id="rId9" ref="H5"/>
    <hyperlink r:id="rId10" ref="J5"/>
    <hyperlink r:id="rId11" ref="H6"/>
    <hyperlink r:id="rId12" ref="H7"/>
    <hyperlink r:id="rId13" ref="J7"/>
    <hyperlink r:id="rId14" ref="H8"/>
    <hyperlink r:id="rId15" ref="I8"/>
    <hyperlink r:id="rId16" ref="J8"/>
    <hyperlink r:id="rId17" ref="H9"/>
    <hyperlink r:id="rId18" ref="J9"/>
    <hyperlink r:id="rId19" ref="H10"/>
    <hyperlink r:id="rId20" ref="I10"/>
    <hyperlink r:id="rId21" ref="H11"/>
    <hyperlink r:id="rId22" ref="I11"/>
    <hyperlink r:id="rId23" ref="H12"/>
    <hyperlink r:id="rId24" ref="I12"/>
    <hyperlink r:id="rId25" ref="J12"/>
    <hyperlink r:id="rId26" ref="L12"/>
    <hyperlink r:id="rId27" ref="H13"/>
    <hyperlink r:id="rId28" ref="H14"/>
    <hyperlink r:id="rId29" ref="H15"/>
    <hyperlink r:id="rId30" ref="I15"/>
    <hyperlink r:id="rId31" ref="J15"/>
    <hyperlink r:id="rId32" ref="H16"/>
    <hyperlink r:id="rId33" ref="I16"/>
    <hyperlink r:id="rId34" ref="H17"/>
    <hyperlink r:id="rId35" ref="I17"/>
    <hyperlink r:id="rId36" ref="H18"/>
    <hyperlink r:id="rId37" ref="H19"/>
    <hyperlink r:id="rId38" ref="I19"/>
    <hyperlink r:id="rId39" ref="J19"/>
    <hyperlink r:id="rId40" ref="H20"/>
    <hyperlink r:id="rId41" ref="I20"/>
    <hyperlink r:id="rId42" ref="J20"/>
    <hyperlink r:id="rId43" ref="H21"/>
    <hyperlink r:id="rId44" ref="I21"/>
    <hyperlink r:id="rId45" ref="H22"/>
    <hyperlink r:id="rId46" ref="I22"/>
    <hyperlink r:id="rId47" ref="H23"/>
    <hyperlink r:id="rId48" ref="I23"/>
    <hyperlink r:id="rId49" ref="H24"/>
    <hyperlink r:id="rId50" ref="I24"/>
    <hyperlink r:id="rId51" ref="H25"/>
    <hyperlink r:id="rId52" ref="H26"/>
    <hyperlink r:id="rId53" ref="I26"/>
    <hyperlink r:id="rId54" ref="H27"/>
    <hyperlink r:id="rId55" ref="H28"/>
    <hyperlink r:id="rId56" ref="I28"/>
    <hyperlink r:id="rId57" ref="H29"/>
    <hyperlink r:id="rId58" ref="H30"/>
    <hyperlink r:id="rId59" ref="H31"/>
    <hyperlink r:id="rId60" ref="I31"/>
    <hyperlink r:id="rId61" ref="J31"/>
    <hyperlink r:id="rId62" ref="H32"/>
    <hyperlink r:id="rId63" ref="H33"/>
    <hyperlink r:id="rId64" ref="I33"/>
    <hyperlink r:id="rId65" ref="J33"/>
    <hyperlink r:id="rId66" ref="H34"/>
    <hyperlink r:id="rId67" ref="I34"/>
    <hyperlink r:id="rId68" ref="J34"/>
    <hyperlink r:id="rId69" ref="K34"/>
    <hyperlink r:id="rId70" ref="L34"/>
    <hyperlink r:id="rId71" ref="R34"/>
    <hyperlink r:id="rId72" ref="H35"/>
    <hyperlink r:id="rId73" ref="I35"/>
    <hyperlink r:id="rId74" ref="J35"/>
    <hyperlink r:id="rId75" ref="H36"/>
    <hyperlink r:id="rId76" ref="H37"/>
    <hyperlink r:id="rId77" ref="I37"/>
    <hyperlink r:id="rId78" ref="J37"/>
    <hyperlink r:id="rId79" ref="H38"/>
    <hyperlink r:id="rId80" ref="I38"/>
    <hyperlink r:id="rId81" ref="H39"/>
    <hyperlink r:id="rId82" ref="J39"/>
    <hyperlink r:id="rId83" ref="L39"/>
    <hyperlink r:id="rId84" ref="H40"/>
    <hyperlink r:id="rId85" ref="J40"/>
    <hyperlink r:id="rId86" ref="H41"/>
    <hyperlink r:id="rId87" ref="I41"/>
    <hyperlink r:id="rId88" ref="J41"/>
    <hyperlink r:id="rId89" ref="H42"/>
    <hyperlink r:id="rId90" ref="H43"/>
    <hyperlink r:id="rId91" ref="H44"/>
    <hyperlink r:id="rId92" ref="I44"/>
    <hyperlink r:id="rId93" ref="H45"/>
    <hyperlink r:id="rId94" ref="I45"/>
    <hyperlink r:id="rId95" ref="H46"/>
    <hyperlink r:id="rId96" ref="I46"/>
    <hyperlink r:id="rId97" ref="H47"/>
    <hyperlink r:id="rId98" ref="H48"/>
    <hyperlink r:id="rId99" ref="H49"/>
    <hyperlink r:id="rId100" ref="I49"/>
    <hyperlink r:id="rId101" ref="H50"/>
    <hyperlink r:id="rId102" ref="I50"/>
    <hyperlink r:id="rId103" ref="H51"/>
    <hyperlink r:id="rId104" ref="I51"/>
    <hyperlink r:id="rId105" ref="H52"/>
    <hyperlink r:id="rId106" ref="H53"/>
    <hyperlink r:id="rId107" ref="I53"/>
    <hyperlink r:id="rId108" ref="J53"/>
    <hyperlink r:id="rId109" ref="H54"/>
    <hyperlink r:id="rId110" ref="H55"/>
    <hyperlink r:id="rId111" ref="I55"/>
    <hyperlink r:id="rId112" ref="J56"/>
    <hyperlink r:id="rId113" ref="H57"/>
    <hyperlink r:id="rId114" ref="I57"/>
    <hyperlink r:id="rId115" ref="K57"/>
    <hyperlink r:id="rId116" ref="H58"/>
    <hyperlink r:id="rId117" ref="I58"/>
    <hyperlink r:id="rId118" ref="H59"/>
    <hyperlink r:id="rId119" ref="I59"/>
    <hyperlink r:id="rId120" ref="H60"/>
    <hyperlink r:id="rId121" ref="I60"/>
    <hyperlink r:id="rId122" ref="H61"/>
    <hyperlink r:id="rId123" ref="I61"/>
    <hyperlink r:id="rId124" ref="H62"/>
    <hyperlink r:id="rId125" ref="I62"/>
    <hyperlink r:id="rId126" ref="H63"/>
    <hyperlink r:id="rId127" ref="H64"/>
    <hyperlink r:id="rId128" ref="I64"/>
    <hyperlink r:id="rId129" ref="J64"/>
    <hyperlink r:id="rId130" ref="H65"/>
    <hyperlink r:id="rId131" ref="I65"/>
    <hyperlink r:id="rId132" ref="H66"/>
    <hyperlink r:id="rId133" ref="I66"/>
    <hyperlink r:id="rId134" ref="H67"/>
    <hyperlink r:id="rId135" ref="I67"/>
    <hyperlink r:id="rId136" ref="J67"/>
    <hyperlink r:id="rId137" ref="H68"/>
    <hyperlink r:id="rId138" ref="I68"/>
    <hyperlink r:id="rId139" ref="J68"/>
    <hyperlink r:id="rId140" ref="H69"/>
    <hyperlink r:id="rId141" ref="H70"/>
    <hyperlink r:id="rId142" ref="H71"/>
    <hyperlink r:id="rId143" ref="J71"/>
    <hyperlink r:id="rId144" ref="H72"/>
    <hyperlink r:id="rId145" ref="I72"/>
    <hyperlink r:id="rId146" ref="J72"/>
    <hyperlink r:id="rId147" ref="H73"/>
    <hyperlink r:id="rId148" ref="I73"/>
    <hyperlink r:id="rId149" ref="J73"/>
    <hyperlink r:id="rId150" ref="H74"/>
    <hyperlink r:id="rId151" ref="I74"/>
    <hyperlink r:id="rId152" ref="H75"/>
    <hyperlink r:id="rId153" ref="I75"/>
    <hyperlink r:id="rId154" ref="J75"/>
    <hyperlink r:id="rId155" ref="H76"/>
    <hyperlink r:id="rId156" ref="H77"/>
    <hyperlink r:id="rId157" ref="H78"/>
    <hyperlink r:id="rId158" ref="I78"/>
    <hyperlink r:id="rId159" ref="H79"/>
    <hyperlink r:id="rId160" ref="I79"/>
    <hyperlink r:id="rId161" ref="H80"/>
    <hyperlink r:id="rId162" ref="H81"/>
    <hyperlink r:id="rId163" ref="I81"/>
    <hyperlink r:id="rId164" ref="J81"/>
    <hyperlink r:id="rId165" ref="K81"/>
    <hyperlink r:id="rId166" ref="O81"/>
    <hyperlink r:id="rId167" ref="H82"/>
    <hyperlink r:id="rId168" ref="I82"/>
    <hyperlink r:id="rId169" ref="H83"/>
    <hyperlink r:id="rId170" ref="I83"/>
    <hyperlink r:id="rId171" ref="H84"/>
    <hyperlink r:id="rId172" ref="I84"/>
    <hyperlink r:id="rId173" ref="J84"/>
    <hyperlink r:id="rId174" ref="K84"/>
    <hyperlink r:id="rId175" ref="H85"/>
    <hyperlink r:id="rId176" ref="I85"/>
    <hyperlink r:id="rId177" ref="H86"/>
    <hyperlink r:id="rId178" ref="I86"/>
    <hyperlink r:id="rId179" ref="H87"/>
    <hyperlink r:id="rId180" ref="I87"/>
    <hyperlink r:id="rId181" ref="J87"/>
    <hyperlink r:id="rId182" ref="H88"/>
    <hyperlink r:id="rId183" ref="H89"/>
    <hyperlink r:id="rId184" ref="H90"/>
    <hyperlink r:id="rId185" ref="I90"/>
    <hyperlink r:id="rId186" ref="H91"/>
    <hyperlink r:id="rId187" ref="I91"/>
    <hyperlink r:id="rId188" ref="H92"/>
    <hyperlink r:id="rId189" ref="H93"/>
    <hyperlink r:id="rId190" ref="I93"/>
    <hyperlink r:id="rId191" ref="H94"/>
    <hyperlink r:id="rId192" ref="J94"/>
    <hyperlink r:id="rId193" ref="H95"/>
    <hyperlink r:id="rId194" ref="I95"/>
    <hyperlink r:id="rId195" ref="H96"/>
    <hyperlink r:id="rId196" ref="I96"/>
    <hyperlink r:id="rId197" ref="H97"/>
    <hyperlink r:id="rId198" ref="H98"/>
    <hyperlink r:id="rId199" ref="I98"/>
    <hyperlink r:id="rId200" ref="H99"/>
    <hyperlink r:id="rId201" ref="I99"/>
    <hyperlink r:id="rId202" ref="H100"/>
    <hyperlink r:id="rId203" ref="H101"/>
    <hyperlink r:id="rId204" ref="H102"/>
    <hyperlink r:id="rId205" ref="I102"/>
    <hyperlink r:id="rId206" ref="H103"/>
    <hyperlink r:id="rId207" ref="I103"/>
    <hyperlink r:id="rId208" ref="H104"/>
    <hyperlink r:id="rId209" ref="I104"/>
    <hyperlink r:id="rId210" ref="H105"/>
    <hyperlink r:id="rId211" ref="I105"/>
    <hyperlink r:id="rId212" ref="H106"/>
    <hyperlink r:id="rId213" ref="H107"/>
    <hyperlink r:id="rId214" ref="I107"/>
    <hyperlink r:id="rId215" ref="J107"/>
    <hyperlink r:id="rId216" ref="H108"/>
    <hyperlink r:id="rId217" ref="H109"/>
    <hyperlink r:id="rId218" ref="I109"/>
    <hyperlink r:id="rId219" ref="H110"/>
    <hyperlink r:id="rId220" ref="H111"/>
    <hyperlink r:id="rId221" ref="H112"/>
    <hyperlink r:id="rId222" ref="I112"/>
    <hyperlink r:id="rId223" ref="H113"/>
    <hyperlink r:id="rId224" ref="H114"/>
    <hyperlink r:id="rId225" ref="H115"/>
    <hyperlink r:id="rId226" ref="H116"/>
    <hyperlink r:id="rId227" ref="H117"/>
    <hyperlink r:id="rId228" ref="I117"/>
    <hyperlink r:id="rId229" ref="H118"/>
    <hyperlink r:id="rId230" ref="I118"/>
    <hyperlink r:id="rId231" ref="J118"/>
    <hyperlink r:id="rId232" ref="H119"/>
    <hyperlink r:id="rId233" ref="I119"/>
    <hyperlink r:id="rId234" ref="H120"/>
    <hyperlink r:id="rId235" ref="H121"/>
    <hyperlink r:id="rId236" ref="I121"/>
    <hyperlink r:id="rId237" ref="J121"/>
    <hyperlink r:id="rId238" ref="H122"/>
    <hyperlink r:id="rId239" ref="H123"/>
    <hyperlink r:id="rId240" ref="I123"/>
    <hyperlink r:id="rId241" ref="J123"/>
    <hyperlink r:id="rId242" ref="H124"/>
    <hyperlink r:id="rId243" ref="H125"/>
    <hyperlink r:id="rId244" ref="I125"/>
    <hyperlink r:id="rId245" ref="H126"/>
    <hyperlink r:id="rId246" ref="I126"/>
    <hyperlink r:id="rId247" ref="H127"/>
    <hyperlink r:id="rId248" ref="I127"/>
    <hyperlink r:id="rId249" ref="J128"/>
    <hyperlink r:id="rId250" ref="H129"/>
    <hyperlink r:id="rId251" ref="H130"/>
    <hyperlink r:id="rId252" ref="I130"/>
    <hyperlink r:id="rId253" ref="J131"/>
    <hyperlink r:id="rId254" ref="H132"/>
    <hyperlink r:id="rId255" ref="J132"/>
    <hyperlink r:id="rId256" ref="H133"/>
    <hyperlink r:id="rId257" ref="I133"/>
    <hyperlink r:id="rId258" ref="J133"/>
    <hyperlink r:id="rId259" ref="H134"/>
    <hyperlink r:id="rId260" ref="I134"/>
    <hyperlink r:id="rId261" ref="H135"/>
    <hyperlink r:id="rId262" ref="I135"/>
    <hyperlink r:id="rId263" ref="J135"/>
    <hyperlink r:id="rId264" ref="H136"/>
    <hyperlink r:id="rId265" ref="I136"/>
    <hyperlink r:id="rId266" ref="H137"/>
    <hyperlink r:id="rId267" ref="I137"/>
    <hyperlink r:id="rId268" ref="H138"/>
    <hyperlink r:id="rId269" ref="I138"/>
    <hyperlink r:id="rId270" ref="J138"/>
    <hyperlink r:id="rId271" ref="K138"/>
    <hyperlink r:id="rId272" ref="H139"/>
    <hyperlink r:id="rId273" ref="I139"/>
    <hyperlink r:id="rId274" ref="H140"/>
    <hyperlink r:id="rId275" ref="I140"/>
    <hyperlink r:id="rId276" ref="H141"/>
    <hyperlink r:id="rId277" ref="I141"/>
    <hyperlink r:id="rId278" ref="H142"/>
    <hyperlink r:id="rId279" ref="H143"/>
    <hyperlink r:id="rId280" ref="J144"/>
    <hyperlink r:id="rId281" ref="H145"/>
    <hyperlink r:id="rId282" ref="H146"/>
    <hyperlink r:id="rId283" ref="I146"/>
    <hyperlink r:id="rId284" ref="J146"/>
    <hyperlink r:id="rId285" ref="H147"/>
    <hyperlink r:id="rId286" ref="I147"/>
    <hyperlink r:id="rId287" ref="H148"/>
    <hyperlink r:id="rId288" ref="I148"/>
    <hyperlink r:id="rId289" ref="H149"/>
    <hyperlink r:id="rId290" ref="H150"/>
    <hyperlink r:id="rId291" ref="I150"/>
    <hyperlink r:id="rId292" ref="J150"/>
    <hyperlink r:id="rId293" ref="H151"/>
    <hyperlink r:id="rId294" ref="H152"/>
    <hyperlink r:id="rId295" ref="I152"/>
    <hyperlink r:id="rId296" ref="H153"/>
    <hyperlink r:id="rId297" ref="H154"/>
    <hyperlink r:id="rId298" ref="H155"/>
    <hyperlink r:id="rId299" ref="H156"/>
    <hyperlink r:id="rId300" ref="I156"/>
    <hyperlink r:id="rId301" ref="H157"/>
    <hyperlink r:id="rId302" ref="I157"/>
    <hyperlink r:id="rId303" ref="H158"/>
    <hyperlink r:id="rId304" ref="H159"/>
    <hyperlink r:id="rId305" ref="I159"/>
    <hyperlink r:id="rId306" ref="H160"/>
    <hyperlink r:id="rId307" ref="I160"/>
    <hyperlink r:id="rId308" ref="H161"/>
    <hyperlink r:id="rId309" ref="H162"/>
    <hyperlink r:id="rId310" ref="H163"/>
    <hyperlink r:id="rId311" ref="H164"/>
    <hyperlink r:id="rId312" ref="H165"/>
    <hyperlink r:id="rId313" ref="H166"/>
    <hyperlink r:id="rId314" ref="I166"/>
    <hyperlink r:id="rId315" ref="H167"/>
    <hyperlink r:id="rId316" ref="H168"/>
    <hyperlink r:id="rId317" ref="J168"/>
    <hyperlink r:id="rId318" ref="H169"/>
    <hyperlink r:id="rId319" ref="I169"/>
    <hyperlink r:id="rId320" ref="H170"/>
    <hyperlink r:id="rId321" ref="H171"/>
    <hyperlink r:id="rId322" ref="I171"/>
    <hyperlink r:id="rId323" ref="J171"/>
    <hyperlink r:id="rId324" ref="H172"/>
    <hyperlink r:id="rId325" ref="J172"/>
    <hyperlink r:id="rId326" ref="H173"/>
    <hyperlink r:id="rId327" ref="H174"/>
    <hyperlink r:id="rId328" ref="H175"/>
    <hyperlink r:id="rId329" ref="I175"/>
    <hyperlink r:id="rId330" ref="H176"/>
    <hyperlink r:id="rId331" ref="I176"/>
    <hyperlink r:id="rId332" ref="H177"/>
    <hyperlink r:id="rId333" ref="H178"/>
    <hyperlink r:id="rId334" ref="H179"/>
    <hyperlink r:id="rId335" ref="H180"/>
    <hyperlink r:id="rId336" ref="I180"/>
    <hyperlink r:id="rId337" ref="H181"/>
    <hyperlink r:id="rId338" ref="I181"/>
    <hyperlink r:id="rId339" ref="J181"/>
    <hyperlink r:id="rId340" ref="H182"/>
    <hyperlink r:id="rId341" ref="H183"/>
    <hyperlink r:id="rId342" ref="I183"/>
    <hyperlink r:id="rId343" ref="J183"/>
    <hyperlink r:id="rId344" ref="H184"/>
    <hyperlink r:id="rId345" ref="H185"/>
    <hyperlink r:id="rId346" ref="H186"/>
    <hyperlink r:id="rId347" ref="I186"/>
    <hyperlink r:id="rId348" ref="J186"/>
    <hyperlink r:id="rId349" ref="H187"/>
    <hyperlink r:id="rId350" ref="I187"/>
    <hyperlink r:id="rId351" ref="H188"/>
    <hyperlink r:id="rId352" ref="J188"/>
    <hyperlink r:id="rId353" ref="H189"/>
    <hyperlink r:id="rId354" ref="I189"/>
    <hyperlink r:id="rId355" ref="F190"/>
    <hyperlink r:id="rId356" ref="H190"/>
    <hyperlink r:id="rId357" ref="I190"/>
    <hyperlink r:id="rId358" ref="J190"/>
    <hyperlink r:id="rId359" ref="K190"/>
    <hyperlink r:id="rId360" ref="H191"/>
    <hyperlink r:id="rId361" ref="H192"/>
    <hyperlink r:id="rId362" ref="I192"/>
    <hyperlink r:id="rId363" ref="H193"/>
    <hyperlink r:id="rId364" ref="I193"/>
    <hyperlink r:id="rId365" ref="H194"/>
    <hyperlink r:id="rId366" ref="I194"/>
    <hyperlink r:id="rId367" ref="H195"/>
    <hyperlink r:id="rId368" ref="J195"/>
    <hyperlink r:id="rId369" ref="H196"/>
    <hyperlink r:id="rId370" ref="I196"/>
    <hyperlink r:id="rId371" ref="H197"/>
    <hyperlink r:id="rId372" ref="I197"/>
    <hyperlink r:id="rId373" ref="H198"/>
    <hyperlink r:id="rId374" ref="H199"/>
    <hyperlink r:id="rId375" ref="I199"/>
    <hyperlink r:id="rId376" ref="J199"/>
    <hyperlink r:id="rId377" ref="H200"/>
    <hyperlink r:id="rId378" ref="H201"/>
    <hyperlink r:id="rId379" ref="J201"/>
    <hyperlink r:id="rId380" ref="H202"/>
    <hyperlink r:id="rId381" ref="I202"/>
    <hyperlink r:id="rId382" ref="P202"/>
    <hyperlink r:id="rId383" ref="H203"/>
    <hyperlink r:id="rId384" ref="I203"/>
    <hyperlink r:id="rId385" ref="H204"/>
    <hyperlink r:id="rId386" ref="I204"/>
    <hyperlink r:id="rId387" ref="H205"/>
    <hyperlink r:id="rId388" ref="I205"/>
    <hyperlink r:id="rId389" ref="J205"/>
    <hyperlink r:id="rId390" ref="H206"/>
    <hyperlink r:id="rId391" ref="H207"/>
    <hyperlink r:id="rId392" ref="H208"/>
    <hyperlink r:id="rId393" ref="I208"/>
    <hyperlink r:id="rId394" ref="J208"/>
    <hyperlink r:id="rId395" ref="H209"/>
    <hyperlink r:id="rId396" ref="J209"/>
    <hyperlink r:id="rId397" ref="H210"/>
    <hyperlink r:id="rId398" ref="H211"/>
    <hyperlink r:id="rId399" ref="I211"/>
    <hyperlink r:id="rId400" ref="H212"/>
    <hyperlink r:id="rId401" ref="I212"/>
    <hyperlink r:id="rId402" ref="H213"/>
    <hyperlink r:id="rId403" ref="I213"/>
    <hyperlink r:id="rId404" ref="H214"/>
    <hyperlink r:id="rId405" ref="I214"/>
    <hyperlink r:id="rId406" ref="J214"/>
    <hyperlink r:id="rId407" ref="H215"/>
    <hyperlink r:id="rId408" ref="H216"/>
    <hyperlink r:id="rId409" ref="H217"/>
    <hyperlink r:id="rId410" ref="I217"/>
    <hyperlink r:id="rId411" ref="H219"/>
    <hyperlink r:id="rId412" ref="H220"/>
    <hyperlink r:id="rId413" ref="H221"/>
    <hyperlink r:id="rId414" ref="I221"/>
    <hyperlink r:id="rId415" ref="H222"/>
    <hyperlink r:id="rId416" ref="I222"/>
    <hyperlink r:id="rId417" ref="J222"/>
    <hyperlink r:id="rId418" ref="H223"/>
    <hyperlink r:id="rId419" ref="I223"/>
    <hyperlink r:id="rId420" ref="H224"/>
    <hyperlink r:id="rId421" ref="I224"/>
    <hyperlink r:id="rId422" ref="H225"/>
    <hyperlink r:id="rId423" ref="I225"/>
    <hyperlink r:id="rId424" ref="H226"/>
    <hyperlink r:id="rId425" ref="I226"/>
    <hyperlink r:id="rId426" ref="H227"/>
    <hyperlink r:id="rId427" ref="I227"/>
    <hyperlink r:id="rId428" ref="H228"/>
    <hyperlink r:id="rId429" ref="J228"/>
    <hyperlink r:id="rId430" ref="J229"/>
    <hyperlink r:id="rId431" ref="H230"/>
    <hyperlink r:id="rId432" ref="H231"/>
    <hyperlink r:id="rId433" ref="H232"/>
    <hyperlink r:id="rId434" ref="H233"/>
    <hyperlink r:id="rId435" ref="I233"/>
    <hyperlink r:id="rId436" ref="J233"/>
    <hyperlink r:id="rId437" ref="H234"/>
    <hyperlink r:id="rId438" ref="H235"/>
    <hyperlink r:id="rId439" ref="I235"/>
    <hyperlink r:id="rId440" ref="J235"/>
    <hyperlink r:id="rId441" ref="P235"/>
    <hyperlink r:id="rId442" ref="H236"/>
    <hyperlink r:id="rId443" ref="I236"/>
    <hyperlink r:id="rId444" ref="J236"/>
    <hyperlink r:id="rId445" ref="H237"/>
    <hyperlink r:id="rId446" ref="I237"/>
    <hyperlink r:id="rId447" ref="H238"/>
    <hyperlink r:id="rId448" ref="J238"/>
    <hyperlink r:id="rId449" ref="H239"/>
    <hyperlink r:id="rId450" ref="I239"/>
    <hyperlink r:id="rId451" ref="H240"/>
    <hyperlink r:id="rId452" ref="I240"/>
    <hyperlink r:id="rId453" ref="K240"/>
    <hyperlink r:id="rId454" ref="H241"/>
    <hyperlink r:id="rId455" ref="H242"/>
    <hyperlink r:id="rId456" ref="I242"/>
    <hyperlink r:id="rId457" ref="J242"/>
    <hyperlink r:id="rId458" ref="H243"/>
    <hyperlink r:id="rId459" ref="I243"/>
    <hyperlink r:id="rId460" ref="J243"/>
    <hyperlink r:id="rId461" ref="H244"/>
    <hyperlink r:id="rId462" ref="I244"/>
    <hyperlink r:id="rId463" ref="P244"/>
    <hyperlink r:id="rId464" ref="H245"/>
    <hyperlink r:id="rId465" ref="H246"/>
    <hyperlink r:id="rId466" ref="H247"/>
    <hyperlink r:id="rId467" ref="J248"/>
    <hyperlink r:id="rId468" ref="H249"/>
    <hyperlink r:id="rId469" ref="I249"/>
    <hyperlink r:id="rId470" ref="H250"/>
    <hyperlink r:id="rId471" ref="I250"/>
    <hyperlink r:id="rId472" ref="H251"/>
    <hyperlink r:id="rId473" ref="H252"/>
    <hyperlink r:id="rId474" ref="J252"/>
    <hyperlink r:id="rId475" ref="H253"/>
    <hyperlink r:id="rId476" ref="H254"/>
    <hyperlink r:id="rId477" ref="I254"/>
    <hyperlink r:id="rId478" ref="H255"/>
    <hyperlink r:id="rId479" ref="H256"/>
    <hyperlink r:id="rId480" ref="H257"/>
    <hyperlink r:id="rId481" ref="H258"/>
    <hyperlink r:id="rId482" ref="J258"/>
    <hyperlink r:id="rId483" ref="H259"/>
    <hyperlink r:id="rId484" ref="H260"/>
    <hyperlink r:id="rId485" ref="I260"/>
    <hyperlink r:id="rId486" ref="H261"/>
    <hyperlink r:id="rId487" ref="H262"/>
    <hyperlink r:id="rId488" ref="H263"/>
    <hyperlink r:id="rId489" ref="I263"/>
    <hyperlink r:id="rId490" ref="J263"/>
    <hyperlink r:id="rId491" ref="H264"/>
    <hyperlink r:id="rId492" ref="H265"/>
    <hyperlink r:id="rId493" ref="H266"/>
    <hyperlink r:id="rId494" ref="I266"/>
    <hyperlink r:id="rId495" ref="J266"/>
    <hyperlink r:id="rId496" ref="H267"/>
    <hyperlink r:id="rId497" ref="I267"/>
    <hyperlink r:id="rId498" ref="H268"/>
    <hyperlink r:id="rId499" ref="J268"/>
    <hyperlink r:id="rId500" ref="H269"/>
    <hyperlink r:id="rId501" ref="H270"/>
    <hyperlink r:id="rId502" ref="J270"/>
    <hyperlink r:id="rId503" ref="H271"/>
    <hyperlink r:id="rId504" ref="I271"/>
    <hyperlink r:id="rId505" ref="J272"/>
    <hyperlink r:id="rId506" ref="H273"/>
    <hyperlink r:id="rId507" ref="H274"/>
    <hyperlink r:id="rId508" ref="H275"/>
    <hyperlink r:id="rId509" ref="H276"/>
    <hyperlink r:id="rId510" ref="J277"/>
    <hyperlink r:id="rId511" ref="H278"/>
    <hyperlink r:id="rId512" ref="I278"/>
    <hyperlink r:id="rId513" ref="H279"/>
    <hyperlink r:id="rId514" ref="H280"/>
    <hyperlink r:id="rId515" ref="H281"/>
    <hyperlink r:id="rId516" ref="H282"/>
    <hyperlink r:id="rId517" ref="I282"/>
    <hyperlink r:id="rId518" ref="H283"/>
    <hyperlink r:id="rId519" ref="I283"/>
    <hyperlink r:id="rId520" ref="H284"/>
    <hyperlink r:id="rId521" ref="J284"/>
    <hyperlink r:id="rId522" ref="H285"/>
    <hyperlink r:id="rId523" ref="I285"/>
    <hyperlink r:id="rId524" ref="H286"/>
    <hyperlink r:id="rId525" ref="I286"/>
    <hyperlink r:id="rId526" ref="H287"/>
    <hyperlink r:id="rId527" ref="I287"/>
    <hyperlink r:id="rId528" ref="H288"/>
    <hyperlink r:id="rId529" ref="I288"/>
    <hyperlink r:id="rId530" ref="H289"/>
    <hyperlink r:id="rId531" ref="H290"/>
    <hyperlink r:id="rId532" ref="H291"/>
    <hyperlink r:id="rId533" ref="I291"/>
    <hyperlink r:id="rId534" ref="H292"/>
    <hyperlink r:id="rId535" ref="I292"/>
    <hyperlink r:id="rId536" ref="H293"/>
    <hyperlink r:id="rId537" ref="H294"/>
    <hyperlink r:id="rId538" ref="H295"/>
    <hyperlink r:id="rId539" ref="I295"/>
    <hyperlink r:id="rId540" ref="J295"/>
    <hyperlink r:id="rId541" ref="H296"/>
    <hyperlink r:id="rId542" ref="H297"/>
    <hyperlink r:id="rId543" ref="H298"/>
    <hyperlink r:id="rId544" ref="H299"/>
    <hyperlink r:id="rId545" ref="I299"/>
    <hyperlink r:id="rId546" ref="H300"/>
    <hyperlink r:id="rId547" ref="H301"/>
    <hyperlink r:id="rId548" ref="H302"/>
    <hyperlink r:id="rId549" ref="H303"/>
    <hyperlink r:id="rId550" ref="H304"/>
    <hyperlink r:id="rId551" ref="H305"/>
    <hyperlink r:id="rId552" ref="H306"/>
    <hyperlink r:id="rId553" ref="H307"/>
    <hyperlink r:id="rId554" ref="J308"/>
    <hyperlink r:id="rId555" ref="H309"/>
    <hyperlink r:id="rId556" ref="J309"/>
    <hyperlink r:id="rId557" ref="J310"/>
    <hyperlink r:id="rId558" ref="J311"/>
    <hyperlink r:id="rId559" ref="J312"/>
    <hyperlink r:id="rId560" ref="J313"/>
    <hyperlink r:id="rId561" ref="J314"/>
    <hyperlink r:id="rId562" ref="J315"/>
    <hyperlink r:id="rId563" ref="J316"/>
    <hyperlink r:id="rId564" ref="J317"/>
    <hyperlink r:id="rId565" ref="H318"/>
    <hyperlink r:id="rId566" ref="H319"/>
    <hyperlink r:id="rId567" ref="H320"/>
    <hyperlink r:id="rId568" ref="I320"/>
    <hyperlink r:id="rId569" ref="H321"/>
    <hyperlink r:id="rId570" ref="I321"/>
    <hyperlink r:id="rId571" ref="H322"/>
    <hyperlink r:id="rId572" ref="I322"/>
    <hyperlink r:id="rId573" ref="H323"/>
    <hyperlink r:id="rId574" ref="H324"/>
    <hyperlink r:id="rId575" ref="H325"/>
    <hyperlink r:id="rId576" ref="H326"/>
    <hyperlink r:id="rId577" ref="J326"/>
    <hyperlink r:id="rId578" ref="H327"/>
    <hyperlink r:id="rId579" ref="I327"/>
    <hyperlink r:id="rId580" ref="H328"/>
    <hyperlink r:id="rId581" ref="I328"/>
    <hyperlink r:id="rId582" ref="H329"/>
    <hyperlink r:id="rId583" ref="I329"/>
    <hyperlink r:id="rId584" ref="J329"/>
    <hyperlink r:id="rId585" ref="H330"/>
    <hyperlink r:id="rId586" ref="I330"/>
    <hyperlink r:id="rId587" ref="J330"/>
    <hyperlink r:id="rId588" ref="H331"/>
    <hyperlink r:id="rId589" ref="J331"/>
    <hyperlink r:id="rId590" ref="H332"/>
    <hyperlink r:id="rId591" ref="I332"/>
    <hyperlink r:id="rId592" ref="J332"/>
    <hyperlink r:id="rId593" ref="H333"/>
    <hyperlink r:id="rId594" ref="J333"/>
    <hyperlink r:id="rId595" ref="H334"/>
    <hyperlink r:id="rId596" ref="I334"/>
    <hyperlink r:id="rId597" ref="J334"/>
    <hyperlink r:id="rId598" ref="H335"/>
    <hyperlink r:id="rId599" ref="I335"/>
    <hyperlink r:id="rId600" ref="J335"/>
    <hyperlink r:id="rId601" ref="L335"/>
    <hyperlink r:id="rId602" ref="H336"/>
    <hyperlink r:id="rId603" ref="I336"/>
    <hyperlink r:id="rId604" ref="J336"/>
    <hyperlink r:id="rId605" ref="H337"/>
    <hyperlink r:id="rId606" ref="I337"/>
    <hyperlink r:id="rId607" ref="J337"/>
    <hyperlink r:id="rId608" ref="H338"/>
    <hyperlink r:id="rId609" ref="I338"/>
    <hyperlink r:id="rId610" ref="J338"/>
    <hyperlink r:id="rId611" ref="H339"/>
    <hyperlink r:id="rId612" ref="I339"/>
    <hyperlink r:id="rId613" ref="J339"/>
    <hyperlink r:id="rId614" ref="H340"/>
    <hyperlink r:id="rId615" ref="I340"/>
    <hyperlink r:id="rId616" ref="J340"/>
    <hyperlink r:id="rId617" ref="H341"/>
    <hyperlink r:id="rId618" ref="I341"/>
    <hyperlink r:id="rId619" ref="J341"/>
    <hyperlink r:id="rId620" ref="L341"/>
    <hyperlink r:id="rId621" ref="H342"/>
    <hyperlink r:id="rId622" ref="I342"/>
    <hyperlink r:id="rId623" ref="J342"/>
    <hyperlink r:id="rId624" ref="H343"/>
    <hyperlink r:id="rId625" ref="I343"/>
    <hyperlink r:id="rId626" ref="J343"/>
    <hyperlink r:id="rId627" ref="K343"/>
    <hyperlink r:id="rId628" ref="L343"/>
    <hyperlink r:id="rId629" ref="H344"/>
    <hyperlink r:id="rId630" ref="I344"/>
    <hyperlink r:id="rId631" ref="J344"/>
    <hyperlink r:id="rId632" ref="H345"/>
    <hyperlink r:id="rId633" ref="I345"/>
    <hyperlink r:id="rId634" ref="J345"/>
    <hyperlink r:id="rId635" ref="H346"/>
    <hyperlink r:id="rId636" ref="I346"/>
    <hyperlink r:id="rId637" ref="J346"/>
    <hyperlink r:id="rId638" ref="K346"/>
    <hyperlink r:id="rId639" ref="H347"/>
    <hyperlink r:id="rId640" ref="I347"/>
    <hyperlink r:id="rId641" ref="J347"/>
    <hyperlink r:id="rId642" ref="H348"/>
    <hyperlink r:id="rId643" ref="I348"/>
    <hyperlink r:id="rId644" ref="H349"/>
    <hyperlink r:id="rId645" ref="I349"/>
    <hyperlink r:id="rId646" ref="H350"/>
    <hyperlink r:id="rId647" ref="I350"/>
    <hyperlink r:id="rId648" ref="H351"/>
    <hyperlink r:id="rId649" ref="I351"/>
    <hyperlink r:id="rId650" ref="H352"/>
    <hyperlink r:id="rId651" ref="I352"/>
    <hyperlink r:id="rId652" ref="H353"/>
    <hyperlink r:id="rId653" ref="I353"/>
    <hyperlink r:id="rId654" ref="H354"/>
    <hyperlink r:id="rId655" ref="I354"/>
    <hyperlink r:id="rId656" ref="H355"/>
    <hyperlink r:id="rId657" ref="I355"/>
    <hyperlink r:id="rId658" ref="H356"/>
    <hyperlink r:id="rId659" ref="I356"/>
    <hyperlink r:id="rId660" ref="H357"/>
    <hyperlink r:id="rId661" ref="I357"/>
    <hyperlink r:id="rId662" ref="H358"/>
    <hyperlink r:id="rId663" ref="I358"/>
    <hyperlink r:id="rId664" ref="H359"/>
    <hyperlink r:id="rId665" ref="I359"/>
    <hyperlink r:id="rId666" ref="H360"/>
    <hyperlink r:id="rId667" ref="I360"/>
    <hyperlink r:id="rId668" ref="H361"/>
    <hyperlink r:id="rId669" ref="I361"/>
    <hyperlink r:id="rId670" ref="H362"/>
    <hyperlink r:id="rId671" ref="I362"/>
    <hyperlink r:id="rId672" ref="H363"/>
    <hyperlink r:id="rId673" ref="I363"/>
    <hyperlink r:id="rId674" ref="H364"/>
    <hyperlink r:id="rId675" ref="I364"/>
    <hyperlink r:id="rId676" ref="H365"/>
    <hyperlink r:id="rId677" ref="I365"/>
    <hyperlink r:id="rId678" ref="H366"/>
    <hyperlink r:id="rId679" ref="I366"/>
    <hyperlink r:id="rId680" ref="H367"/>
    <hyperlink r:id="rId681" ref="I367"/>
    <hyperlink r:id="rId682" ref="H368"/>
    <hyperlink r:id="rId683" ref="I368"/>
    <hyperlink r:id="rId684" ref="H369"/>
    <hyperlink r:id="rId685" ref="I369"/>
    <hyperlink r:id="rId686" ref="H370"/>
    <hyperlink r:id="rId687" ref="I370"/>
    <hyperlink r:id="rId688" ref="H371"/>
    <hyperlink r:id="rId689" ref="I371"/>
    <hyperlink r:id="rId690" ref="H372"/>
    <hyperlink r:id="rId691" ref="I372"/>
    <hyperlink r:id="rId692" ref="H373"/>
    <hyperlink r:id="rId693" ref="I373"/>
    <hyperlink r:id="rId694" ref="H374"/>
    <hyperlink r:id="rId695" ref="I374"/>
    <hyperlink r:id="rId696" ref="H375"/>
    <hyperlink r:id="rId697" ref="I375"/>
    <hyperlink r:id="rId698" ref="H376"/>
    <hyperlink r:id="rId699" ref="I376"/>
    <hyperlink r:id="rId700" ref="H377"/>
    <hyperlink r:id="rId701" ref="I377"/>
    <hyperlink r:id="rId702" ref="H378"/>
    <hyperlink r:id="rId703" ref="I378"/>
    <hyperlink r:id="rId704" ref="H379"/>
    <hyperlink r:id="rId705" ref="I379"/>
    <hyperlink r:id="rId706" ref="H380"/>
    <hyperlink r:id="rId707" ref="I380"/>
    <hyperlink r:id="rId708" ref="H381"/>
    <hyperlink r:id="rId709" ref="I381"/>
    <hyperlink r:id="rId710" ref="H382"/>
    <hyperlink r:id="rId711" ref="I382"/>
    <hyperlink r:id="rId712" ref="H383"/>
    <hyperlink r:id="rId713" ref="I383"/>
    <hyperlink r:id="rId714" ref="H384"/>
    <hyperlink r:id="rId715" ref="I384"/>
    <hyperlink r:id="rId716" ref="L384"/>
    <hyperlink r:id="rId717" ref="H385"/>
    <hyperlink r:id="rId718" ref="I385"/>
    <hyperlink r:id="rId719" ref="H386"/>
    <hyperlink r:id="rId720" ref="I386"/>
    <hyperlink r:id="rId721" ref="H387"/>
    <hyperlink r:id="rId722" ref="I387"/>
    <hyperlink r:id="rId723" ref="H388"/>
    <hyperlink r:id="rId724" ref="I388"/>
    <hyperlink r:id="rId725" ref="H389"/>
    <hyperlink r:id="rId726" ref="I389"/>
    <hyperlink r:id="rId727" ref="H390"/>
    <hyperlink r:id="rId728" ref="I390"/>
    <hyperlink r:id="rId729" ref="H391"/>
    <hyperlink r:id="rId730" ref="I391"/>
    <hyperlink r:id="rId731" ref="H392"/>
    <hyperlink r:id="rId732" ref="I392"/>
    <hyperlink r:id="rId733" ref="H393"/>
    <hyperlink r:id="rId734" ref="I393"/>
    <hyperlink r:id="rId735" ref="H394"/>
    <hyperlink r:id="rId736" ref="I394"/>
    <hyperlink r:id="rId737" ref="H395"/>
    <hyperlink r:id="rId738" ref="I395"/>
    <hyperlink r:id="rId739" ref="H396"/>
    <hyperlink r:id="rId740" ref="I396"/>
    <hyperlink r:id="rId741" ref="H397"/>
    <hyperlink r:id="rId742" ref="I397"/>
    <hyperlink r:id="rId743" ref="H398"/>
    <hyperlink r:id="rId744" ref="I398"/>
    <hyperlink r:id="rId745" ref="H399"/>
    <hyperlink r:id="rId746" ref="I399"/>
    <hyperlink r:id="rId747" ref="H400"/>
    <hyperlink r:id="rId748" ref="I400"/>
    <hyperlink r:id="rId749" ref="H401"/>
    <hyperlink r:id="rId750" ref="I401"/>
    <hyperlink r:id="rId751" ref="H402"/>
    <hyperlink r:id="rId752" ref="I402"/>
    <hyperlink r:id="rId753" ref="L402"/>
    <hyperlink r:id="rId754" ref="H403"/>
    <hyperlink r:id="rId755" ref="I403"/>
    <hyperlink r:id="rId756" ref="H404"/>
    <hyperlink r:id="rId757" ref="I404"/>
    <hyperlink r:id="rId758" ref="H405"/>
    <hyperlink r:id="rId759" ref="I405"/>
    <hyperlink r:id="rId760" ref="H406"/>
    <hyperlink r:id="rId761" ref="I406"/>
    <hyperlink r:id="rId762" ref="H407"/>
    <hyperlink r:id="rId763" ref="I407"/>
    <hyperlink r:id="rId764" ref="H408"/>
    <hyperlink r:id="rId765" ref="I408"/>
    <hyperlink r:id="rId766" ref="H409"/>
    <hyperlink r:id="rId767" ref="I409"/>
    <hyperlink r:id="rId768" ref="H410"/>
    <hyperlink r:id="rId769" ref="I410"/>
    <hyperlink r:id="rId770" ref="H411"/>
    <hyperlink r:id="rId771" ref="I411"/>
    <hyperlink r:id="rId772" ref="H412"/>
    <hyperlink r:id="rId773" ref="I412"/>
    <hyperlink r:id="rId774" ref="H413"/>
    <hyperlink r:id="rId775" ref="I413"/>
    <hyperlink r:id="rId776" ref="H414"/>
    <hyperlink r:id="rId777" ref="H415"/>
    <hyperlink r:id="rId778" ref="H416"/>
    <hyperlink r:id="rId779" ref="H417"/>
    <hyperlink r:id="rId780" ref="H418"/>
    <hyperlink r:id="rId781" ref="H419"/>
    <hyperlink r:id="rId782" ref="H420"/>
    <hyperlink r:id="rId783" ref="I420"/>
    <hyperlink r:id="rId784" ref="J420"/>
    <hyperlink r:id="rId785" ref="H421"/>
    <hyperlink r:id="rId786" ref="H422"/>
    <hyperlink r:id="rId787" ref="I422"/>
    <hyperlink r:id="rId788" ref="J422"/>
    <hyperlink r:id="rId789" ref="H423"/>
    <hyperlink r:id="rId790" ref="I423"/>
    <hyperlink r:id="rId791" ref="J423"/>
    <hyperlink r:id="rId792" ref="H424"/>
    <hyperlink r:id="rId793" ref="H425"/>
    <hyperlink r:id="rId794" ref="H426"/>
    <hyperlink r:id="rId795" ref="H427"/>
    <hyperlink r:id="rId796" ref="H428"/>
    <hyperlink r:id="rId797" ref="I428"/>
    <hyperlink r:id="rId798" ref="H429"/>
    <hyperlink r:id="rId799" ref="J430"/>
    <hyperlink r:id="rId800" ref="H431"/>
    <hyperlink r:id="rId801" ref="H432"/>
    <hyperlink r:id="rId802" ref="I432"/>
    <hyperlink r:id="rId803" ref="H433"/>
    <hyperlink r:id="rId804" ref="H434"/>
    <hyperlink r:id="rId805" ref="I434"/>
    <hyperlink r:id="rId806" ref="J435"/>
    <hyperlink r:id="rId807" ref="H436"/>
    <hyperlink r:id="rId808" ref="I436"/>
    <hyperlink r:id="rId809" ref="H437"/>
    <hyperlink r:id="rId810" ref="I437"/>
    <hyperlink r:id="rId811" ref="H438"/>
    <hyperlink r:id="rId812" ref="H439"/>
    <hyperlink r:id="rId813" ref="I439"/>
    <hyperlink r:id="rId814" ref="H440"/>
    <hyperlink r:id="rId815" ref="H441"/>
    <hyperlink r:id="rId816" ref="H442"/>
    <hyperlink r:id="rId817" ref="I442"/>
    <hyperlink r:id="rId818" ref="H443"/>
    <hyperlink r:id="rId819" ref="I443"/>
    <hyperlink r:id="rId820" ref="H444"/>
    <hyperlink r:id="rId821" ref="H445"/>
    <hyperlink r:id="rId822" ref="H446"/>
    <hyperlink r:id="rId823" ref="I446"/>
    <hyperlink r:id="rId824" ref="H447"/>
    <hyperlink r:id="rId825" ref="H448"/>
    <hyperlink r:id="rId826" ref="I448"/>
    <hyperlink r:id="rId827" ref="H449"/>
    <hyperlink r:id="rId828" ref="H450"/>
    <hyperlink r:id="rId829" ref="H451"/>
    <hyperlink r:id="rId830" ref="H452"/>
    <hyperlink r:id="rId831" ref="H453"/>
    <hyperlink r:id="rId832" ref="J454"/>
    <hyperlink r:id="rId833" ref="H455"/>
    <hyperlink r:id="rId834" ref="H456"/>
    <hyperlink r:id="rId835" ref="H457"/>
    <hyperlink r:id="rId836" ref="H458"/>
    <hyperlink r:id="rId837" ref="I458"/>
    <hyperlink r:id="rId838" ref="H459"/>
    <hyperlink r:id="rId839" ref="I459"/>
    <hyperlink r:id="rId840" ref="H460"/>
    <hyperlink r:id="rId841" ref="H461"/>
    <hyperlink r:id="rId842" ref="H462"/>
    <hyperlink r:id="rId843" ref="I462"/>
    <hyperlink r:id="rId844" ref="H463"/>
    <hyperlink r:id="rId845" ref="I463"/>
    <hyperlink r:id="rId846" ref="H464"/>
    <hyperlink r:id="rId847" ref="I464"/>
    <hyperlink r:id="rId848" ref="H465"/>
    <hyperlink r:id="rId849" ref="H466"/>
    <hyperlink r:id="rId850" ref="H467"/>
    <hyperlink r:id="rId851" ref="H468"/>
    <hyperlink r:id="rId852" ref="H469"/>
    <hyperlink r:id="rId853" ref="I469"/>
    <hyperlink r:id="rId854" ref="H470"/>
    <hyperlink r:id="rId855" ref="L470"/>
    <hyperlink r:id="rId856" ref="H471"/>
    <hyperlink r:id="rId857" ref="I471"/>
    <hyperlink r:id="rId858" ref="H472"/>
    <hyperlink r:id="rId859" ref="I472"/>
    <hyperlink r:id="rId860" ref="H473"/>
    <hyperlink r:id="rId861" ref="I473"/>
    <hyperlink r:id="rId862" ref="H474"/>
    <hyperlink r:id="rId863" ref="H475"/>
    <hyperlink r:id="rId864" ref="H476"/>
    <hyperlink r:id="rId865" ref="I476"/>
    <hyperlink r:id="rId866" ref="H477"/>
    <hyperlink r:id="rId867" ref="H478"/>
    <hyperlink r:id="rId868" ref="H479"/>
    <hyperlink r:id="rId869" ref="H480"/>
    <hyperlink r:id="rId870" ref="H481"/>
    <hyperlink r:id="rId871" ref="I481"/>
    <hyperlink r:id="rId872" ref="H482"/>
    <hyperlink r:id="rId873" ref="H483"/>
    <hyperlink r:id="rId874" ref="I483"/>
    <hyperlink r:id="rId875" ref="H484"/>
    <hyperlink r:id="rId876" ref="H485"/>
    <hyperlink r:id="rId877" ref="H486"/>
    <hyperlink r:id="rId878" ref="H487"/>
    <hyperlink r:id="rId879" ref="I487"/>
    <hyperlink r:id="rId880" ref="H488"/>
    <hyperlink r:id="rId881" ref="I488"/>
    <hyperlink r:id="rId882" ref="H489"/>
    <hyperlink r:id="rId883" ref="I489"/>
    <hyperlink r:id="rId884" ref="H490"/>
    <hyperlink r:id="rId885" ref="I490"/>
    <hyperlink r:id="rId886" ref="H491"/>
    <hyperlink r:id="rId887" ref="H492"/>
    <hyperlink r:id="rId888" ref="K492"/>
    <hyperlink r:id="rId889" ref="H493"/>
    <hyperlink r:id="rId890" ref="H494"/>
    <hyperlink r:id="rId891" ref="I494"/>
    <hyperlink r:id="rId892" ref="H495"/>
    <hyperlink r:id="rId893" ref="J495"/>
    <hyperlink r:id="rId894" ref="H496"/>
    <hyperlink r:id="rId895" ref="I496"/>
    <hyperlink r:id="rId896" ref="H497"/>
    <hyperlink r:id="rId897" ref="I497"/>
    <hyperlink r:id="rId898" ref="J498"/>
    <hyperlink r:id="rId899" ref="H499"/>
    <hyperlink r:id="rId900" ref="I499"/>
    <hyperlink r:id="rId901" ref="H500"/>
    <hyperlink r:id="rId902" ref="I500"/>
    <hyperlink r:id="rId903" ref="H501"/>
    <hyperlink r:id="rId904" ref="H502"/>
    <hyperlink r:id="rId905" ref="I502"/>
    <hyperlink r:id="rId906" ref="H503"/>
    <hyperlink r:id="rId907" ref="I503"/>
    <hyperlink r:id="rId908" ref="H504"/>
    <hyperlink r:id="rId909" ref="H505"/>
    <hyperlink r:id="rId910" ref="H506"/>
    <hyperlink r:id="rId911" ref="H507"/>
    <hyperlink r:id="rId912" ref="H508"/>
    <hyperlink r:id="rId913" ref="H509"/>
    <hyperlink r:id="rId914" ref="I509"/>
    <hyperlink r:id="rId915" ref="H510"/>
    <hyperlink r:id="rId916" ref="H511"/>
    <hyperlink r:id="rId917" ref="I511"/>
    <hyperlink r:id="rId918" ref="H512"/>
    <hyperlink r:id="rId919" ref="I512"/>
    <hyperlink r:id="rId920" ref="H513"/>
    <hyperlink r:id="rId921" ref="H514"/>
    <hyperlink r:id="rId922" ref="H515"/>
    <hyperlink r:id="rId923" ref="I515"/>
    <hyperlink r:id="rId924" ref="J516"/>
    <hyperlink r:id="rId925" ref="H517"/>
    <hyperlink r:id="rId926" ref="I517"/>
    <hyperlink r:id="rId927" ref="H518"/>
    <hyperlink r:id="rId928" ref="I518"/>
    <hyperlink r:id="rId929" ref="H519"/>
    <hyperlink r:id="rId930" ref="I519"/>
    <hyperlink r:id="rId931" ref="H520"/>
    <hyperlink r:id="rId932" ref="L520"/>
    <hyperlink r:id="rId933" ref="H521"/>
    <hyperlink r:id="rId934" ref="H522"/>
    <hyperlink r:id="rId935" ref="H523"/>
    <hyperlink r:id="rId936" ref="H524"/>
    <hyperlink r:id="rId937" ref="H525"/>
    <hyperlink r:id="rId938" ref="H526"/>
    <hyperlink r:id="rId939" ref="I526"/>
    <hyperlink r:id="rId940" ref="H527"/>
    <hyperlink r:id="rId941" ref="I527"/>
    <hyperlink r:id="rId942" ref="H528"/>
    <hyperlink r:id="rId943" ref="H529"/>
    <hyperlink r:id="rId944" ref="I529"/>
    <hyperlink r:id="rId945" ref="H530"/>
    <hyperlink r:id="rId946" ref="H531"/>
    <hyperlink r:id="rId947" ref="J531"/>
    <hyperlink r:id="rId948" ref="H532"/>
    <hyperlink r:id="rId949" ref="L532"/>
    <hyperlink r:id="rId950" ref="H533"/>
    <hyperlink r:id="rId951" ref="H534"/>
    <hyperlink r:id="rId952" ref="I534"/>
    <hyperlink r:id="rId953" ref="H535"/>
    <hyperlink r:id="rId954" ref="I535"/>
    <hyperlink r:id="rId955" ref="H536"/>
    <hyperlink r:id="rId956" ref="H537"/>
    <hyperlink r:id="rId957" ref="J537"/>
    <hyperlink r:id="rId958" ref="H538"/>
    <hyperlink r:id="rId959" ref="I538"/>
    <hyperlink r:id="rId960" ref="H539"/>
    <hyperlink r:id="rId961" ref="H540"/>
    <hyperlink r:id="rId962" ref="H541"/>
    <hyperlink r:id="rId963" ref="H542"/>
    <hyperlink r:id="rId964" ref="H543"/>
    <hyperlink r:id="rId965" ref="I543"/>
    <hyperlink r:id="rId966" ref="H544"/>
    <hyperlink r:id="rId967" ref="H545"/>
    <hyperlink r:id="rId968" ref="H546"/>
    <hyperlink r:id="rId969" ref="I546"/>
    <hyperlink r:id="rId970" ref="H547"/>
    <hyperlink r:id="rId971" ref="J548"/>
    <hyperlink r:id="rId972" ref="H549"/>
    <hyperlink r:id="rId973" ref="H550"/>
    <hyperlink r:id="rId974" ref="H551"/>
    <hyperlink r:id="rId975" ref="I551"/>
    <hyperlink r:id="rId976" ref="H552"/>
    <hyperlink r:id="rId977" ref="H553"/>
    <hyperlink r:id="rId978" ref="H554"/>
    <hyperlink r:id="rId979" ref="H555"/>
    <hyperlink r:id="rId980" ref="H556"/>
    <hyperlink r:id="rId981" ref="I556"/>
    <hyperlink r:id="rId982" ref="H557"/>
    <hyperlink r:id="rId983" ref="H558"/>
    <hyperlink r:id="rId984" ref="J559"/>
    <hyperlink r:id="rId985" ref="H560"/>
    <hyperlink r:id="rId986" ref="I560"/>
    <hyperlink r:id="rId987" ref="H561"/>
    <hyperlink r:id="rId988" ref="I561"/>
    <hyperlink r:id="rId989" ref="H562"/>
    <hyperlink r:id="rId990" ref="H563"/>
    <hyperlink r:id="rId991" ref="H564"/>
    <hyperlink r:id="rId992" ref="H565"/>
    <hyperlink r:id="rId993" ref="H566"/>
    <hyperlink r:id="rId994" ref="J566"/>
    <hyperlink r:id="rId995" ref="H567"/>
    <hyperlink r:id="rId996" ref="I567"/>
    <hyperlink r:id="rId997" ref="H568"/>
    <hyperlink r:id="rId998" ref="H569"/>
    <hyperlink r:id="rId999" ref="H570"/>
    <hyperlink r:id="rId1000" ref="H571"/>
    <hyperlink r:id="rId1001" ref="H572"/>
    <hyperlink r:id="rId1002" ref="J572"/>
    <hyperlink r:id="rId1003" ref="H573"/>
    <hyperlink r:id="rId1004" ref="H574"/>
    <hyperlink r:id="rId1005" ref="H575"/>
    <hyperlink r:id="rId1006" ref="H576"/>
    <hyperlink r:id="rId1007" ref="J577"/>
    <hyperlink r:id="rId1008" ref="H578"/>
    <hyperlink r:id="rId1009" ref="I578"/>
    <hyperlink r:id="rId1010" ref="H579"/>
    <hyperlink r:id="rId1011" ref="H580"/>
    <hyperlink r:id="rId1012" ref="I581"/>
    <hyperlink r:id="rId1013" ref="H582"/>
    <hyperlink r:id="rId1014" ref="H583"/>
    <hyperlink r:id="rId1015" ref="I583"/>
    <hyperlink r:id="rId1016" ref="H584"/>
    <hyperlink r:id="rId1017" ref="H585"/>
    <hyperlink r:id="rId1018" ref="H586"/>
    <hyperlink r:id="rId1019" ref="H587"/>
    <hyperlink r:id="rId1020" ref="H588"/>
    <hyperlink r:id="rId1021" ref="I588"/>
    <hyperlink r:id="rId1022" ref="J589"/>
    <hyperlink r:id="rId1023" ref="H590"/>
    <hyperlink r:id="rId1024" ref="I590"/>
    <hyperlink r:id="rId1025" ref="H591"/>
    <hyperlink r:id="rId1026" ref="H592"/>
    <hyperlink r:id="rId1027" ref="I592"/>
    <hyperlink r:id="rId1028" ref="H593"/>
    <hyperlink r:id="rId1029" ref="H594"/>
    <hyperlink r:id="rId1030" ref="H595"/>
    <hyperlink r:id="rId1031" ref="I595"/>
    <hyperlink r:id="rId1032" ref="H596"/>
    <hyperlink r:id="rId1033" ref="H597"/>
    <hyperlink r:id="rId1034" ref="I597"/>
    <hyperlink r:id="rId1035" ref="H598"/>
    <hyperlink r:id="rId1036" ref="H599"/>
    <hyperlink r:id="rId1037" ref="H600"/>
    <hyperlink r:id="rId1038" ref="I600"/>
    <hyperlink r:id="rId1039" ref="H601"/>
    <hyperlink r:id="rId1040" ref="I601"/>
    <hyperlink r:id="rId1041" ref="H602"/>
    <hyperlink r:id="rId1042" ref="I602"/>
    <hyperlink r:id="rId1043" ref="H603"/>
    <hyperlink r:id="rId1044" ref="H604"/>
    <hyperlink r:id="rId1045" ref="H605"/>
    <hyperlink r:id="rId1046" ref="H606"/>
    <hyperlink r:id="rId1047" ref="I606"/>
    <hyperlink r:id="rId1048" ref="H607"/>
    <hyperlink r:id="rId1049" ref="J607"/>
    <hyperlink r:id="rId1050" ref="H608"/>
    <hyperlink r:id="rId1051" ref="H609"/>
    <hyperlink r:id="rId1052" ref="J609"/>
    <hyperlink r:id="rId1053" ref="L609"/>
    <hyperlink r:id="rId1054" ref="H610"/>
    <hyperlink r:id="rId1055" ref="L610"/>
    <hyperlink r:id="rId1056" ref="H611"/>
    <hyperlink r:id="rId1057" ref="I612"/>
    <hyperlink r:id="rId1058" ref="J613"/>
    <hyperlink r:id="rId1059" ref="H614"/>
    <hyperlink r:id="rId1060" ref="I614"/>
    <hyperlink r:id="rId1061" ref="H615"/>
    <hyperlink r:id="rId1062" ref="H616"/>
    <hyperlink r:id="rId1063" ref="I617"/>
    <hyperlink r:id="rId1064" ref="H618"/>
    <hyperlink r:id="rId1065" ref="I618"/>
    <hyperlink r:id="rId1066" ref="J619"/>
    <hyperlink r:id="rId1067" ref="H620"/>
    <hyperlink r:id="rId1068" ref="I620"/>
    <hyperlink r:id="rId1069" ref="J620"/>
    <hyperlink r:id="rId1070" ref="K620"/>
    <hyperlink r:id="rId1071" ref="L620"/>
    <hyperlink r:id="rId1072" ref="H621"/>
    <hyperlink r:id="rId1073" ref="I621"/>
    <hyperlink r:id="rId1074" ref="J621"/>
    <hyperlink r:id="rId1075" ref="H622"/>
    <hyperlink r:id="rId1076" ref="H623"/>
    <hyperlink r:id="rId1077" ref="I623"/>
    <hyperlink r:id="rId1078" ref="H624"/>
    <hyperlink r:id="rId1079" ref="H625"/>
    <hyperlink r:id="rId1080" ref="J626"/>
    <hyperlink r:id="rId1081" ref="H627"/>
    <hyperlink r:id="rId1082" ref="I627"/>
    <hyperlink r:id="rId1083" ref="H628"/>
    <hyperlink r:id="rId1084" ref="I628"/>
    <hyperlink r:id="rId1085" ref="H629"/>
    <hyperlink r:id="rId1086" ref="J630"/>
    <hyperlink r:id="rId1087" ref="H631"/>
    <hyperlink r:id="rId1088" ref="J631"/>
    <hyperlink r:id="rId1089" ref="H632"/>
    <hyperlink r:id="rId1090" ref="J632"/>
    <hyperlink r:id="rId1091" ref="H633"/>
    <hyperlink r:id="rId1092" ref="H634"/>
    <hyperlink r:id="rId1093" ref="I634"/>
    <hyperlink r:id="rId1094" ref="H635"/>
    <hyperlink r:id="rId1095" ref="I635"/>
    <hyperlink r:id="rId1096" ref="J636"/>
    <hyperlink r:id="rId1097" ref="L636"/>
    <hyperlink r:id="rId1098" ref="H637"/>
    <hyperlink r:id="rId1099" ref="I637"/>
    <hyperlink r:id="rId1100" ref="H638"/>
    <hyperlink r:id="rId1101" ref="H639"/>
    <hyperlink r:id="rId1102" ref="I639"/>
    <hyperlink r:id="rId1103" ref="H640"/>
    <hyperlink r:id="rId1104" ref="J640"/>
    <hyperlink r:id="rId1105" ref="H641"/>
    <hyperlink r:id="rId1106" ref="I641"/>
    <hyperlink r:id="rId1107" ref="H642"/>
    <hyperlink r:id="rId1108" ref="I642"/>
    <hyperlink r:id="rId1109" ref="H643"/>
    <hyperlink r:id="rId1110" ref="I643"/>
    <hyperlink r:id="rId1111" ref="H644"/>
    <hyperlink r:id="rId1112" ref="I644"/>
    <hyperlink r:id="rId1113" ref="H645"/>
    <hyperlink r:id="rId1114" ref="I645"/>
    <hyperlink r:id="rId1115" ref="H646"/>
    <hyperlink r:id="rId1116" ref="J647"/>
    <hyperlink r:id="rId1117" ref="H648"/>
    <hyperlink r:id="rId1118" ref="I648"/>
    <hyperlink r:id="rId1119" ref="H649"/>
    <hyperlink r:id="rId1120" ref="I649"/>
    <hyperlink r:id="rId1121" ref="H650"/>
    <hyperlink r:id="rId1122" ref="H651"/>
    <hyperlink r:id="rId1123" ref="I651"/>
    <hyperlink r:id="rId1124" ref="H652"/>
    <hyperlink r:id="rId1125" ref="H653"/>
    <hyperlink r:id="rId1126" ref="I653"/>
    <hyperlink r:id="rId1127" ref="H654"/>
    <hyperlink r:id="rId1128" ref="J654"/>
    <hyperlink r:id="rId1129" ref="H655"/>
    <hyperlink r:id="rId1130" ref="L655"/>
    <hyperlink r:id="rId1131" ref="J656"/>
    <hyperlink r:id="rId1132" ref="H657"/>
    <hyperlink r:id="rId1133" ref="I657"/>
    <hyperlink r:id="rId1134" ref="H658"/>
    <hyperlink r:id="rId1135" ref="H659"/>
    <hyperlink r:id="rId1136" ref="H660"/>
    <hyperlink r:id="rId1137" ref="L660"/>
    <hyperlink r:id="rId1138" ref="H661"/>
    <hyperlink r:id="rId1139" ref="H662"/>
    <hyperlink r:id="rId1140" ref="H663"/>
    <hyperlink r:id="rId1141" ref="I663"/>
    <hyperlink r:id="rId1142" ref="J664"/>
    <hyperlink r:id="rId1143" ref="H665"/>
    <hyperlink r:id="rId1144" ref="H666"/>
    <hyperlink r:id="rId1145" ref="H667"/>
    <hyperlink r:id="rId1146" ref="I667"/>
    <hyperlink r:id="rId1147" ref="H668"/>
    <hyperlink r:id="rId1148" ref="H669"/>
    <hyperlink r:id="rId1149" ref="H670"/>
    <hyperlink r:id="rId1150" ref="H671"/>
    <hyperlink r:id="rId1151" ref="L671"/>
    <hyperlink r:id="rId1152" ref="H672"/>
    <hyperlink r:id="rId1153" ref="I672"/>
    <hyperlink r:id="rId1154" ref="H673"/>
    <hyperlink r:id="rId1155" ref="L673"/>
    <hyperlink r:id="rId1156" ref="H674"/>
    <hyperlink r:id="rId1157" ref="J674"/>
    <hyperlink r:id="rId1158" ref="J675"/>
    <hyperlink r:id="rId1159" ref="H676"/>
    <hyperlink r:id="rId1160" ref="I676"/>
    <hyperlink r:id="rId1161" ref="J677"/>
    <hyperlink r:id="rId1162" ref="H678"/>
    <hyperlink r:id="rId1163" ref="J678"/>
    <hyperlink r:id="rId1164" ref="H679"/>
    <hyperlink r:id="rId1165" ref="I679"/>
    <hyperlink r:id="rId1166" ref="H680"/>
    <hyperlink r:id="rId1167" ref="H681"/>
    <hyperlink r:id="rId1168" ref="H682"/>
    <hyperlink r:id="rId1169" ref="I682"/>
    <hyperlink r:id="rId1170" ref="H683"/>
    <hyperlink r:id="rId1171" ref="I683"/>
    <hyperlink r:id="rId1172" ref="H684"/>
    <hyperlink r:id="rId1173" ref="I684"/>
    <hyperlink r:id="rId1174" ref="H685"/>
    <hyperlink r:id="rId1175" ref="I685"/>
    <hyperlink r:id="rId1176" ref="H686"/>
    <hyperlink r:id="rId1177" ref="H687"/>
    <hyperlink r:id="rId1178" ref="I687"/>
    <hyperlink r:id="rId1179" ref="H688"/>
    <hyperlink r:id="rId1180" ref="H689"/>
    <hyperlink r:id="rId1181" ref="I689"/>
    <hyperlink r:id="rId1182" ref="J689"/>
    <hyperlink r:id="rId1183" ref="H690"/>
    <hyperlink r:id="rId1184" ref="I690"/>
    <hyperlink r:id="rId1185" ref="H691"/>
    <hyperlink r:id="rId1186" ref="I691"/>
    <hyperlink r:id="rId1187" ref="H692"/>
    <hyperlink r:id="rId1188" ref="J692"/>
    <hyperlink r:id="rId1189" ref="H693"/>
    <hyperlink r:id="rId1190" ref="I693"/>
    <hyperlink r:id="rId1191" ref="J693"/>
    <hyperlink r:id="rId1192" ref="H694"/>
    <hyperlink r:id="rId1193" ref="H695"/>
    <hyperlink r:id="rId1194" ref="I695"/>
    <hyperlink r:id="rId1195" ref="H696"/>
    <hyperlink r:id="rId1196" ref="J697"/>
    <hyperlink r:id="rId1197" ref="H698"/>
    <hyperlink r:id="rId1198" ref="H699"/>
    <hyperlink r:id="rId1199" ref="H700"/>
    <hyperlink r:id="rId1200" ref="H701"/>
    <hyperlink r:id="rId1201" ref="H702"/>
    <hyperlink r:id="rId1202" ref="I702"/>
    <hyperlink r:id="rId1203" ref="H703"/>
    <hyperlink r:id="rId1204" ref="I703"/>
    <hyperlink r:id="rId1205" ref="J704"/>
    <hyperlink r:id="rId1206" ref="J705"/>
    <hyperlink r:id="rId1207" ref="H706"/>
    <hyperlink r:id="rId1208" ref="I706"/>
    <hyperlink r:id="rId1209" ref="J706"/>
    <hyperlink r:id="rId1210" ref="H707"/>
    <hyperlink r:id="rId1211" ref="I707"/>
    <hyperlink r:id="rId1212" ref="H708"/>
    <hyperlink r:id="rId1213" ref="I708"/>
    <hyperlink r:id="rId1214" ref="H709"/>
    <hyperlink r:id="rId1215" ref="I709"/>
    <hyperlink r:id="rId1216" ref="H710"/>
    <hyperlink r:id="rId1217" ref="J711"/>
    <hyperlink r:id="rId1218" ref="J712"/>
    <hyperlink r:id="rId1219" ref="H713"/>
    <hyperlink r:id="rId1220" ref="H714"/>
    <hyperlink r:id="rId1221" ref="J714"/>
    <hyperlink r:id="rId1222" ref="H715"/>
    <hyperlink r:id="rId1223" ref="J715"/>
    <hyperlink r:id="rId1224" ref="H716"/>
    <hyperlink r:id="rId1225" ref="I716"/>
    <hyperlink r:id="rId1226" ref="H717"/>
    <hyperlink r:id="rId1227" ref="J717"/>
    <hyperlink r:id="rId1228" ref="J718"/>
    <hyperlink r:id="rId1229" ref="H719"/>
    <hyperlink r:id="rId1230" ref="I719"/>
    <hyperlink r:id="rId1231" ref="J720"/>
    <hyperlink r:id="rId1232" ref="H721"/>
    <hyperlink r:id="rId1233" ref="I721"/>
    <hyperlink r:id="rId1234" ref="J721"/>
    <hyperlink r:id="rId1235" ref="H722"/>
    <hyperlink r:id="rId1236" ref="I722"/>
    <hyperlink r:id="rId1237" ref="H723"/>
    <hyperlink r:id="rId1238" ref="H724"/>
    <hyperlink r:id="rId1239" ref="H725"/>
    <hyperlink r:id="rId1240" ref="I725"/>
    <hyperlink r:id="rId1241" ref="H726"/>
    <hyperlink r:id="rId1242" ref="H727"/>
    <hyperlink r:id="rId1243" ref="H728"/>
    <hyperlink r:id="rId1244" ref="I728"/>
    <hyperlink r:id="rId1245" ref="H729"/>
    <hyperlink r:id="rId1246" ref="H730"/>
    <hyperlink r:id="rId1247" ref="I730"/>
    <hyperlink r:id="rId1248" ref="H731"/>
    <hyperlink r:id="rId1249" ref="H732"/>
    <hyperlink r:id="rId1250" ref="I732"/>
    <hyperlink r:id="rId1251" ref="J732"/>
    <hyperlink r:id="rId1252" ref="H733"/>
    <hyperlink r:id="rId1253" ref="H734"/>
    <hyperlink r:id="rId1254" ref="H735"/>
    <hyperlink r:id="rId1255" ref="J736"/>
    <hyperlink r:id="rId1256" ref="H737"/>
    <hyperlink r:id="rId1257" ref="H738"/>
    <hyperlink r:id="rId1258" ref="I738"/>
    <hyperlink r:id="rId1259" ref="H739"/>
    <hyperlink r:id="rId1260" ref="I739"/>
    <hyperlink r:id="rId1261" ref="H740"/>
    <hyperlink r:id="rId1262" ref="I740"/>
    <hyperlink r:id="rId1263" ref="H741"/>
    <hyperlink r:id="rId1264" ref="H742"/>
    <hyperlink r:id="rId1265" ref="I742"/>
    <hyperlink r:id="rId1266" ref="H743"/>
    <hyperlink r:id="rId1267" ref="H744"/>
    <hyperlink r:id="rId1268" ref="I744"/>
    <hyperlink r:id="rId1269" ref="H745"/>
    <hyperlink r:id="rId1270" ref="I745"/>
    <hyperlink r:id="rId1271" ref="H746"/>
    <hyperlink r:id="rId1272" ref="H747"/>
    <hyperlink r:id="rId1273" ref="H748"/>
    <hyperlink r:id="rId1274" ref="H749"/>
    <hyperlink r:id="rId1275" ref="H750"/>
    <hyperlink r:id="rId1276" ref="I750"/>
    <hyperlink r:id="rId1277" ref="H751"/>
    <hyperlink r:id="rId1278" ref="H752"/>
    <hyperlink r:id="rId1279" ref="H753"/>
    <hyperlink r:id="rId1280" ref="H754"/>
    <hyperlink r:id="rId1281" ref="H755"/>
    <hyperlink r:id="rId1282" ref="H756"/>
    <hyperlink r:id="rId1283" ref="H757"/>
    <hyperlink r:id="rId1284" ref="I757"/>
    <hyperlink r:id="rId1285" ref="H758"/>
    <hyperlink r:id="rId1286" ref="I758"/>
    <hyperlink r:id="rId1287" ref="H759"/>
    <hyperlink r:id="rId1288" ref="I759"/>
    <hyperlink r:id="rId1289" ref="H760"/>
    <hyperlink r:id="rId1290" ref="H761"/>
    <hyperlink r:id="rId1291" ref="H762"/>
    <hyperlink r:id="rId1292" ref="I762"/>
    <hyperlink r:id="rId1293" ref="H763"/>
    <hyperlink r:id="rId1294" ref="H764"/>
    <hyperlink r:id="rId1295" ref="I764"/>
    <hyperlink r:id="rId1296" ref="J764"/>
    <hyperlink r:id="rId1297" ref="H765"/>
    <hyperlink r:id="rId1298" ref="I765"/>
    <hyperlink r:id="rId1299" ref="H766"/>
    <hyperlink r:id="rId1300" ref="I766"/>
    <hyperlink r:id="rId1301" ref="H767"/>
    <hyperlink r:id="rId1302" ref="I767"/>
    <hyperlink r:id="rId1303" ref="H768"/>
    <hyperlink r:id="rId1304" ref="H769"/>
    <hyperlink r:id="rId1305" ref="I769"/>
    <hyperlink r:id="rId1306" ref="H770"/>
    <hyperlink r:id="rId1307" ref="I770"/>
    <hyperlink r:id="rId1308" ref="H771"/>
    <hyperlink r:id="rId1309" ref="I771"/>
    <hyperlink r:id="rId1310" ref="H772"/>
    <hyperlink r:id="rId1311" ref="H773"/>
    <hyperlink r:id="rId1312" ref="J774"/>
    <hyperlink r:id="rId1313" ref="J775"/>
    <hyperlink r:id="rId1314" ref="H776"/>
    <hyperlink r:id="rId1315" ref="H777"/>
    <hyperlink r:id="rId1316" ref="J777"/>
    <hyperlink r:id="rId1317" ref="J778"/>
    <hyperlink r:id="rId1318" ref="H779"/>
    <hyperlink r:id="rId1319" ref="J779"/>
    <hyperlink r:id="rId1320" ref="J780"/>
    <hyperlink r:id="rId1321" ref="J781"/>
    <hyperlink r:id="rId1322" ref="J782"/>
    <hyperlink r:id="rId1323" ref="J783"/>
    <hyperlink r:id="rId1324" ref="J784"/>
    <hyperlink r:id="rId1325" ref="J785"/>
    <hyperlink r:id="rId1326" ref="J786"/>
    <hyperlink r:id="rId1327" ref="J787"/>
    <hyperlink r:id="rId1328" ref="J788"/>
    <hyperlink r:id="rId1329" ref="H789"/>
    <hyperlink r:id="rId1330" ref="J789"/>
    <hyperlink r:id="rId1331" ref="J790"/>
    <hyperlink r:id="rId1332" ref="J791"/>
    <hyperlink r:id="rId1333" ref="J792"/>
    <hyperlink r:id="rId1334" ref="J793"/>
    <hyperlink r:id="rId1335" ref="H794"/>
    <hyperlink r:id="rId1336" ref="I794"/>
    <hyperlink r:id="rId1337" ref="J794"/>
    <hyperlink r:id="rId1338" ref="J795"/>
    <hyperlink r:id="rId1339" ref="J796"/>
    <hyperlink r:id="rId1340" ref="J797"/>
    <hyperlink r:id="rId1341" ref="J798"/>
    <hyperlink r:id="rId1342" ref="J799"/>
    <hyperlink r:id="rId1343" ref="J800"/>
    <hyperlink r:id="rId1344" ref="H801"/>
    <hyperlink r:id="rId1345" ref="I801"/>
    <hyperlink r:id="rId1346" ref="J801"/>
    <hyperlink r:id="rId1347" ref="J802"/>
    <hyperlink r:id="rId1348" ref="J803"/>
    <hyperlink r:id="rId1349" ref="J804"/>
    <hyperlink r:id="rId1350" ref="J805"/>
    <hyperlink r:id="rId1351" ref="H806"/>
    <hyperlink r:id="rId1352" ref="I806"/>
    <hyperlink r:id="rId1353" ref="J806"/>
    <hyperlink r:id="rId1354" ref="L806"/>
    <hyperlink r:id="rId1355" ref="J807"/>
    <hyperlink r:id="rId1356" ref="H808"/>
    <hyperlink r:id="rId1357" ref="H809"/>
    <hyperlink r:id="rId1358" ref="H810"/>
    <hyperlink r:id="rId1359" ref="H811"/>
    <hyperlink r:id="rId1360" ref="H812"/>
    <hyperlink r:id="rId1361" ref="I812"/>
    <hyperlink r:id="rId1362" ref="H813"/>
    <hyperlink r:id="rId1363" ref="I813"/>
    <hyperlink r:id="rId1364" ref="H814"/>
    <hyperlink r:id="rId1365" ref="I814"/>
    <hyperlink r:id="rId1366" ref="J815"/>
    <hyperlink r:id="rId1367" ref="H816"/>
    <hyperlink r:id="rId1368" ref="J817"/>
    <hyperlink r:id="rId1369" ref="H818"/>
    <hyperlink r:id="rId1370" ref="I818"/>
    <hyperlink r:id="rId1371" ref="H819"/>
    <hyperlink r:id="rId1372" ref="I819"/>
    <hyperlink r:id="rId1373" ref="J820"/>
    <hyperlink r:id="rId1374" ref="H821"/>
    <hyperlink r:id="rId1375" ref="I821"/>
    <hyperlink r:id="rId1376" ref="H822"/>
    <hyperlink r:id="rId1377" ref="I822"/>
    <hyperlink r:id="rId1378" ref="K822"/>
    <hyperlink r:id="rId1379" ref="H823"/>
    <hyperlink r:id="rId1380" ref="I823"/>
    <hyperlink r:id="rId1381" ref="K823"/>
    <hyperlink r:id="rId1382" ref="H824"/>
    <hyperlink r:id="rId1383" ref="I824"/>
    <hyperlink r:id="rId1384" ref="H825"/>
    <hyperlink r:id="rId1385" ref="I825"/>
    <hyperlink r:id="rId1386" ref="H826"/>
    <hyperlink r:id="rId1387" ref="I826"/>
    <hyperlink r:id="rId1388" ref="H827"/>
    <hyperlink r:id="rId1389" ref="I827"/>
    <hyperlink r:id="rId1390" ref="K827"/>
    <hyperlink r:id="rId1391" ref="H828"/>
    <hyperlink r:id="rId1392" ref="I828"/>
    <hyperlink r:id="rId1393" ref="J828"/>
    <hyperlink r:id="rId1394" ref="H829"/>
    <hyperlink r:id="rId1395" ref="I829"/>
    <hyperlink r:id="rId1396" ref="H830"/>
    <hyperlink r:id="rId1397" ref="I830"/>
    <hyperlink r:id="rId1398" ref="H831"/>
    <hyperlink r:id="rId1399" ref="I831"/>
    <hyperlink r:id="rId1400" ref="J831"/>
    <hyperlink r:id="rId1401" ref="K831"/>
    <hyperlink r:id="rId1402" ref="H832"/>
    <hyperlink r:id="rId1403" ref="I832"/>
    <hyperlink r:id="rId1404" ref="H833"/>
    <hyperlink r:id="rId1405" ref="I833"/>
    <hyperlink r:id="rId1406" ref="H834"/>
    <hyperlink r:id="rId1407" ref="I834"/>
    <hyperlink r:id="rId1408" ref="J834"/>
    <hyperlink r:id="rId1409" ref="K834"/>
    <hyperlink r:id="rId1410" ref="L834"/>
    <hyperlink r:id="rId1411" ref="H835"/>
    <hyperlink r:id="rId1412" ref="H836"/>
    <hyperlink r:id="rId1413" ref="H837"/>
    <hyperlink r:id="rId1414" ref="H838"/>
    <hyperlink r:id="rId1415" ref="H839"/>
    <hyperlink r:id="rId1416" ref="H840"/>
    <hyperlink r:id="rId1417" ref="H841"/>
    <hyperlink r:id="rId1418" ref="H842"/>
    <hyperlink r:id="rId1419" ref="I842"/>
    <hyperlink r:id="rId1420" ref="H843"/>
    <hyperlink r:id="rId1421" ref="I843"/>
    <hyperlink r:id="rId1422" ref="H844"/>
    <hyperlink r:id="rId1423" ref="I844"/>
    <hyperlink r:id="rId1424" ref="L844"/>
    <hyperlink r:id="rId1425" ref="H845"/>
    <hyperlink r:id="rId1426" ref="I845"/>
    <hyperlink r:id="rId1427" ref="H846"/>
    <hyperlink r:id="rId1428" ref="I846"/>
    <hyperlink r:id="rId1429" ref="H847"/>
    <hyperlink r:id="rId1430" ref="I847"/>
    <hyperlink r:id="rId1431" ref="H848"/>
    <hyperlink r:id="rId1432" ref="I848"/>
    <hyperlink r:id="rId1433" ref="K848"/>
    <hyperlink r:id="rId1434" ref="H849"/>
    <hyperlink r:id="rId1435" ref="I849"/>
    <hyperlink r:id="rId1436" ref="H850"/>
    <hyperlink r:id="rId1437" ref="I850"/>
    <hyperlink r:id="rId1438" ref="J850"/>
    <hyperlink r:id="rId1439" ref="H851"/>
    <hyperlink r:id="rId1440" ref="I851"/>
    <hyperlink r:id="rId1441" ref="H852"/>
    <hyperlink r:id="rId1442" ref="I852"/>
    <hyperlink r:id="rId1443" ref="H853"/>
    <hyperlink r:id="rId1444" ref="I853"/>
    <hyperlink r:id="rId1445" ref="H854"/>
    <hyperlink r:id="rId1446" ref="I854"/>
    <hyperlink r:id="rId1447" ref="K854"/>
    <hyperlink r:id="rId1448" ref="L854"/>
    <hyperlink r:id="rId1449" ref="H855"/>
    <hyperlink r:id="rId1450" ref="I855"/>
    <hyperlink r:id="rId1451" ref="H856"/>
    <hyperlink r:id="rId1452" ref="I856"/>
    <hyperlink r:id="rId1453" ref="H857"/>
    <hyperlink r:id="rId1454" ref="I857"/>
    <hyperlink r:id="rId1455" ref="J857"/>
    <hyperlink r:id="rId1456" ref="K857"/>
    <hyperlink r:id="rId1457" ref="H858"/>
    <hyperlink r:id="rId1458" ref="I858"/>
    <hyperlink r:id="rId1459" ref="H859"/>
    <hyperlink r:id="rId1460" ref="I859"/>
    <hyperlink r:id="rId1461" ref="K859"/>
    <hyperlink r:id="rId1462" ref="H860"/>
    <hyperlink r:id="rId1463" ref="I860"/>
    <hyperlink r:id="rId1464" ref="H861"/>
    <hyperlink r:id="rId1465" ref="I861"/>
    <hyperlink r:id="rId1466" ref="H862"/>
    <hyperlink r:id="rId1467" ref="I862"/>
    <hyperlink r:id="rId1468" ref="H863"/>
    <hyperlink r:id="rId1469" ref="I863"/>
    <hyperlink r:id="rId1470" ref="J863"/>
    <hyperlink r:id="rId1471" ref="J864"/>
    <hyperlink r:id="rId1472" ref="H865"/>
    <hyperlink r:id="rId1473" ref="I865"/>
    <hyperlink r:id="rId1474" ref="J865"/>
    <hyperlink r:id="rId1475" ref="H866"/>
    <hyperlink r:id="rId1476" ref="I866"/>
    <hyperlink r:id="rId1477" ref="H867"/>
    <hyperlink r:id="rId1478" ref="I867"/>
    <hyperlink r:id="rId1479" ref="H868"/>
    <hyperlink r:id="rId1480" ref="I868"/>
    <hyperlink r:id="rId1481" ref="J868"/>
    <hyperlink r:id="rId1482" ref="H869"/>
    <hyperlink r:id="rId1483" ref="I869"/>
    <hyperlink r:id="rId1484" ref="H870"/>
    <hyperlink r:id="rId1485" ref="I870"/>
    <hyperlink r:id="rId1486" ref="H871"/>
    <hyperlink r:id="rId1487" ref="I871"/>
    <hyperlink r:id="rId1488" ref="H872"/>
    <hyperlink r:id="rId1489" ref="I872"/>
    <hyperlink r:id="rId1490" ref="L872"/>
    <hyperlink r:id="rId1491" ref="H873"/>
    <hyperlink r:id="rId1492" ref="I873"/>
    <hyperlink r:id="rId1493" ref="H874"/>
    <hyperlink r:id="rId1494" ref="I874"/>
    <hyperlink r:id="rId1495" ref="J874"/>
    <hyperlink r:id="rId1496" ref="K874"/>
    <hyperlink r:id="rId1497" ref="L874"/>
    <hyperlink r:id="rId1498" ref="H875"/>
    <hyperlink r:id="rId1499" ref="I875"/>
    <hyperlink r:id="rId1500" ref="J875"/>
    <hyperlink r:id="rId1501" ref="K875"/>
    <hyperlink r:id="rId1502" ref="H876"/>
    <hyperlink r:id="rId1503" ref="I876"/>
    <hyperlink r:id="rId1504" ref="J876"/>
    <hyperlink r:id="rId1505" ref="H877"/>
    <hyperlink r:id="rId1506" ref="I877"/>
    <hyperlink r:id="rId1507" ref="H878"/>
    <hyperlink r:id="rId1508" ref="I878"/>
    <hyperlink r:id="rId1509" ref="H879"/>
    <hyperlink r:id="rId1510" ref="I879"/>
    <hyperlink r:id="rId1511" ref="H880"/>
    <hyperlink r:id="rId1512" ref="I880"/>
    <hyperlink r:id="rId1513" ref="H881"/>
    <hyperlink r:id="rId1514" ref="I881"/>
    <hyperlink r:id="rId1515" ref="J881"/>
    <hyperlink r:id="rId1516" ref="L881"/>
    <hyperlink r:id="rId1517" ref="H882"/>
    <hyperlink r:id="rId1518" ref="I882"/>
    <hyperlink r:id="rId1519" ref="J882"/>
    <hyperlink r:id="rId1520" ref="K882"/>
    <hyperlink r:id="rId1521" ref="H883"/>
    <hyperlink r:id="rId1522" ref="I883"/>
    <hyperlink r:id="rId1523" ref="J883"/>
    <hyperlink r:id="rId1524" ref="K883"/>
    <hyperlink r:id="rId1525" ref="H884"/>
    <hyperlink r:id="rId1526" ref="I884"/>
    <hyperlink r:id="rId1527" ref="H885"/>
    <hyperlink r:id="rId1528" ref="I885"/>
    <hyperlink r:id="rId1529" ref="H886"/>
    <hyperlink r:id="rId1530" ref="I886"/>
    <hyperlink r:id="rId1531" ref="K886"/>
    <hyperlink r:id="rId1532" ref="H887"/>
    <hyperlink r:id="rId1533" ref="I887"/>
    <hyperlink r:id="rId1534" ref="J887"/>
    <hyperlink r:id="rId1535" ref="H888"/>
    <hyperlink r:id="rId1536" ref="I888"/>
    <hyperlink r:id="rId1537" ref="J888"/>
    <hyperlink r:id="rId1538" ref="H889"/>
    <hyperlink r:id="rId1539" ref="I889"/>
    <hyperlink r:id="rId1540" ref="J889"/>
    <hyperlink r:id="rId1541" ref="H890"/>
    <hyperlink r:id="rId1542" ref="I890"/>
    <hyperlink r:id="rId1543" ref="H891"/>
    <hyperlink r:id="rId1544" ref="I891"/>
    <hyperlink r:id="rId1545" ref="H892"/>
    <hyperlink r:id="rId1546" ref="I892"/>
    <hyperlink r:id="rId1547" ref="J892"/>
    <hyperlink r:id="rId1548" ref="H893"/>
    <hyperlink r:id="rId1549" ref="I893"/>
    <hyperlink r:id="rId1550" ref="J893"/>
    <hyperlink r:id="rId1551" ref="L893"/>
    <hyperlink r:id="rId1552" ref="H894"/>
    <hyperlink r:id="rId1553" ref="I894"/>
    <hyperlink r:id="rId1554" ref="H895"/>
    <hyperlink r:id="rId1555" ref="I895"/>
    <hyperlink r:id="rId1556" ref="J895"/>
    <hyperlink r:id="rId1557" ref="I896"/>
    <hyperlink r:id="rId1558" ref="H897"/>
    <hyperlink r:id="rId1559" ref="I897"/>
    <hyperlink r:id="rId1560" ref="H898"/>
    <hyperlink r:id="rId1561" ref="I898"/>
    <hyperlink r:id="rId1562" ref="H899"/>
    <hyperlink r:id="rId1563" ref="I899"/>
    <hyperlink r:id="rId1564" ref="K899"/>
    <hyperlink r:id="rId1565" ref="L899"/>
    <hyperlink r:id="rId1566" ref="H900"/>
    <hyperlink r:id="rId1567" ref="H901"/>
    <hyperlink r:id="rId1568" ref="H902"/>
    <hyperlink r:id="rId1569" ref="H903"/>
    <hyperlink r:id="rId1570" ref="H904"/>
    <hyperlink r:id="rId1571" ref="H905"/>
    <hyperlink r:id="rId1572" ref="K905"/>
    <hyperlink r:id="rId1573" ref="H906"/>
    <hyperlink r:id="rId1574" ref="H907"/>
    <hyperlink r:id="rId1575" ref="K907"/>
    <hyperlink r:id="rId1576" ref="H908"/>
    <hyperlink r:id="rId1577" ref="H909"/>
    <hyperlink r:id="rId1578" ref="J909"/>
    <hyperlink r:id="rId1579" ref="H910"/>
    <hyperlink r:id="rId1580" ref="H911"/>
    <hyperlink r:id="rId1581" ref="H912"/>
    <hyperlink r:id="rId1582" ref="H913"/>
    <hyperlink r:id="rId1583" ref="H914"/>
    <hyperlink r:id="rId1584" ref="H915"/>
    <hyperlink r:id="rId1585" ref="H916"/>
    <hyperlink r:id="rId1586" ref="H917"/>
    <hyperlink r:id="rId1587" ref="H918"/>
    <hyperlink r:id="rId1588" ref="K918"/>
    <hyperlink r:id="rId1589" ref="H919"/>
    <hyperlink r:id="rId1590" ref="I919"/>
    <hyperlink r:id="rId1591" ref="J919"/>
    <hyperlink r:id="rId1592" ref="L919"/>
    <hyperlink r:id="rId1593" ref="H920"/>
    <hyperlink r:id="rId1594" ref="I920"/>
    <hyperlink r:id="rId1595" ref="J920"/>
    <hyperlink r:id="rId1596" ref="K920"/>
    <hyperlink r:id="rId1597" ref="L920"/>
    <hyperlink r:id="rId1598" ref="H921"/>
    <hyperlink r:id="rId1599" ref="I921"/>
    <hyperlink r:id="rId1600" ref="J921"/>
    <hyperlink r:id="rId1601" ref="K921"/>
    <hyperlink r:id="rId1602" ref="L921"/>
    <hyperlink r:id="rId1603" ref="H922"/>
    <hyperlink r:id="rId1604" ref="H923"/>
    <hyperlink r:id="rId1605" ref="K923"/>
    <hyperlink r:id="rId1606" ref="L923"/>
    <hyperlink r:id="rId1607" ref="H924"/>
    <hyperlink r:id="rId1608" ref="J924"/>
    <hyperlink r:id="rId1609" ref="H925"/>
    <hyperlink r:id="rId1610" ref="I925"/>
    <hyperlink r:id="rId1611" ref="J925"/>
    <hyperlink r:id="rId1612" ref="K925"/>
    <hyperlink r:id="rId1613" ref="L925"/>
    <hyperlink r:id="rId1614" ref="H926"/>
    <hyperlink r:id="rId1615" ref="I926"/>
    <hyperlink r:id="rId1616" ref="J926"/>
    <hyperlink r:id="rId1617" ref="K926"/>
    <hyperlink r:id="rId1618" ref="H927"/>
    <hyperlink r:id="rId1619" ref="I927"/>
    <hyperlink r:id="rId1620" ref="J927"/>
    <hyperlink r:id="rId1621" ref="H928"/>
    <hyperlink r:id="rId1622" ref="J928"/>
    <hyperlink r:id="rId1623" ref="H929"/>
    <hyperlink r:id="rId1624" ref="J929"/>
    <hyperlink r:id="rId1625" ref="H930"/>
    <hyperlink r:id="rId1626" ref="I930"/>
    <hyperlink r:id="rId1627" ref="J930"/>
    <hyperlink r:id="rId1628" ref="J931"/>
    <hyperlink r:id="rId1629" ref="H932"/>
    <hyperlink r:id="rId1630" ref="I932"/>
    <hyperlink r:id="rId1631" ref="J932"/>
    <hyperlink r:id="rId1632" ref="H933"/>
    <hyperlink r:id="rId1633" ref="J933"/>
    <hyperlink r:id="rId1634" ref="H934"/>
    <hyperlink r:id="rId1635" ref="I934"/>
    <hyperlink r:id="rId1636" ref="J934"/>
    <hyperlink r:id="rId1637" ref="K934"/>
    <hyperlink r:id="rId1638" ref="H935"/>
    <hyperlink r:id="rId1639" ref="J935"/>
    <hyperlink r:id="rId1640" ref="H936"/>
    <hyperlink r:id="rId1641" ref="I936"/>
    <hyperlink r:id="rId1642" ref="J936"/>
    <hyperlink r:id="rId1643" ref="H937"/>
    <hyperlink r:id="rId1644" ref="I937"/>
    <hyperlink r:id="rId1645" ref="J937"/>
    <hyperlink r:id="rId1646" ref="K937"/>
    <hyperlink r:id="rId1647" ref="J938"/>
    <hyperlink r:id="rId1648" ref="H939"/>
    <hyperlink r:id="rId1649" ref="I939"/>
    <hyperlink r:id="rId1650" ref="J939"/>
    <hyperlink r:id="rId1651" ref="H940"/>
    <hyperlink r:id="rId1652" ref="I940"/>
    <hyperlink r:id="rId1653" ref="J940"/>
    <hyperlink r:id="rId1654" ref="H941"/>
    <hyperlink r:id="rId1655" ref="I941"/>
    <hyperlink r:id="rId1656" ref="J941"/>
    <hyperlink r:id="rId1657" ref="H942"/>
    <hyperlink r:id="rId1658" ref="I942"/>
    <hyperlink r:id="rId1659" ref="J942"/>
    <hyperlink r:id="rId1660" ref="H943"/>
    <hyperlink r:id="rId1661" ref="I943"/>
    <hyperlink r:id="rId1662" ref="J943"/>
    <hyperlink r:id="rId1663" ref="H944"/>
    <hyperlink r:id="rId1664" ref="J944"/>
    <hyperlink r:id="rId1665" ref="K944"/>
    <hyperlink r:id="rId1666" ref="H945"/>
    <hyperlink r:id="rId1667" ref="J945"/>
    <hyperlink r:id="rId1668" ref="H946"/>
    <hyperlink r:id="rId1669" ref="I946"/>
    <hyperlink r:id="rId1670" ref="J946"/>
    <hyperlink r:id="rId1671" ref="H947"/>
    <hyperlink r:id="rId1672" ref="I947"/>
    <hyperlink r:id="rId1673" ref="J947"/>
    <hyperlink r:id="rId1674" ref="H948"/>
    <hyperlink r:id="rId1675" ref="I948"/>
    <hyperlink r:id="rId1676" ref="J948"/>
    <hyperlink r:id="rId1677" ref="L948"/>
    <hyperlink r:id="rId1678" ref="H949"/>
    <hyperlink r:id="rId1679" ref="I949"/>
    <hyperlink r:id="rId1680" ref="J949"/>
    <hyperlink r:id="rId1681" ref="H950"/>
    <hyperlink r:id="rId1682" ref="I950"/>
    <hyperlink r:id="rId1683" ref="J950"/>
    <hyperlink r:id="rId1684" ref="H951"/>
    <hyperlink r:id="rId1685" ref="I951"/>
    <hyperlink r:id="rId1686" ref="J951"/>
    <hyperlink r:id="rId1687" ref="H952"/>
    <hyperlink r:id="rId1688" ref="I952"/>
    <hyperlink r:id="rId1689" ref="J952"/>
    <hyperlink r:id="rId1690" ref="H953"/>
    <hyperlink r:id="rId1691" ref="J953"/>
    <hyperlink r:id="rId1692" ref="H954"/>
    <hyperlink r:id="rId1693" ref="I954"/>
    <hyperlink r:id="rId1694" ref="J954"/>
    <hyperlink r:id="rId1695" ref="H955"/>
    <hyperlink r:id="rId1696" ref="J955"/>
    <hyperlink r:id="rId1697" ref="H956"/>
    <hyperlink r:id="rId1698" ref="I956"/>
    <hyperlink r:id="rId1699" ref="J956"/>
    <hyperlink r:id="rId1700" ref="K956"/>
    <hyperlink r:id="rId1701" ref="H957"/>
    <hyperlink r:id="rId1702" ref="J957"/>
    <hyperlink r:id="rId1703" ref="H958"/>
    <hyperlink r:id="rId1704" ref="I958"/>
    <hyperlink r:id="rId1705" ref="J958"/>
    <hyperlink r:id="rId1706" ref="H959"/>
    <hyperlink r:id="rId1707" ref="I959"/>
    <hyperlink r:id="rId1708" ref="J959"/>
    <hyperlink r:id="rId1709" ref="L959"/>
    <hyperlink r:id="rId1710" ref="H960"/>
    <hyperlink r:id="rId1711" ref="I960"/>
    <hyperlink r:id="rId1712" ref="J960"/>
    <hyperlink r:id="rId1713" ref="H961"/>
    <hyperlink r:id="rId1714" ref="J961"/>
    <hyperlink r:id="rId1715" ref="H962"/>
    <hyperlink r:id="rId1716" ref="I962"/>
    <hyperlink r:id="rId1717" ref="J962"/>
    <hyperlink r:id="rId1718" ref="K962"/>
    <hyperlink r:id="rId1719" ref="H963"/>
    <hyperlink r:id="rId1720" ref="I963"/>
    <hyperlink r:id="rId1721" ref="J963"/>
    <hyperlink r:id="rId1722" ref="K963"/>
    <hyperlink r:id="rId1723" ref="L963"/>
    <hyperlink r:id="rId1724" ref="H964"/>
    <hyperlink r:id="rId1725" ref="I964"/>
    <hyperlink r:id="rId1726" ref="J964"/>
    <hyperlink r:id="rId1727" ref="K964"/>
    <hyperlink r:id="rId1728" ref="H965"/>
    <hyperlink r:id="rId1729" ref="I965"/>
    <hyperlink r:id="rId1730" ref="J965"/>
    <hyperlink r:id="rId1731" ref="L965"/>
    <hyperlink r:id="rId1732" ref="H966"/>
    <hyperlink r:id="rId1733" ref="I966"/>
    <hyperlink r:id="rId1734" ref="J966"/>
    <hyperlink r:id="rId1735" ref="H967"/>
    <hyperlink r:id="rId1736" ref="I967"/>
    <hyperlink r:id="rId1737" ref="J967"/>
    <hyperlink r:id="rId1738" ref="H968"/>
    <hyperlink r:id="rId1739" ref="I968"/>
    <hyperlink r:id="rId1740" ref="J968"/>
    <hyperlink r:id="rId1741" ref="H969"/>
    <hyperlink r:id="rId1742" ref="I969"/>
    <hyperlink r:id="rId1743" ref="J969"/>
    <hyperlink r:id="rId1744" ref="K969"/>
    <hyperlink r:id="rId1745" ref="H970"/>
    <hyperlink r:id="rId1746" ref="I970"/>
    <hyperlink r:id="rId1747" ref="J970"/>
    <hyperlink r:id="rId1748" ref="H971"/>
    <hyperlink r:id="rId1749" ref="I971"/>
    <hyperlink r:id="rId1750" ref="J971"/>
    <hyperlink r:id="rId1751" ref="H972"/>
    <hyperlink r:id="rId1752" ref="I972"/>
    <hyperlink r:id="rId1753" ref="J972"/>
    <hyperlink r:id="rId1754" ref="H973"/>
    <hyperlink r:id="rId1755" ref="I973"/>
    <hyperlink r:id="rId1756" ref="J973"/>
    <hyperlink r:id="rId1757" ref="H974"/>
    <hyperlink r:id="rId1758" ref="I974"/>
    <hyperlink r:id="rId1759" ref="J974"/>
    <hyperlink r:id="rId1760" ref="K974"/>
    <hyperlink r:id="rId1761" ref="H975"/>
    <hyperlink r:id="rId1762" ref="I975"/>
    <hyperlink r:id="rId1763" ref="J975"/>
    <hyperlink r:id="rId1764" ref="H976"/>
    <hyperlink r:id="rId1765" ref="I976"/>
    <hyperlink r:id="rId1766" ref="J976"/>
    <hyperlink r:id="rId1767" ref="H977"/>
    <hyperlink r:id="rId1768" ref="J977"/>
    <hyperlink r:id="rId1769" ref="H978"/>
    <hyperlink r:id="rId1770" ref="I978"/>
    <hyperlink r:id="rId1771" ref="J978"/>
    <hyperlink r:id="rId1772" ref="H979"/>
    <hyperlink r:id="rId1773" ref="I979"/>
    <hyperlink r:id="rId1774" ref="J979"/>
    <hyperlink r:id="rId1775" ref="H980"/>
    <hyperlink r:id="rId1776" ref="I980"/>
    <hyperlink r:id="rId1777" ref="J980"/>
    <hyperlink r:id="rId1778" ref="H981"/>
    <hyperlink r:id="rId1779" ref="I981"/>
    <hyperlink r:id="rId1780" ref="J981"/>
    <hyperlink r:id="rId1781" ref="H982"/>
    <hyperlink r:id="rId1782" ref="I982"/>
    <hyperlink r:id="rId1783" ref="J982"/>
    <hyperlink r:id="rId1784" ref="H983"/>
    <hyperlink r:id="rId1785" ref="I983"/>
    <hyperlink r:id="rId1786" ref="H984"/>
    <hyperlink r:id="rId1787" ref="I984"/>
    <hyperlink r:id="rId1788" ref="H985"/>
    <hyperlink r:id="rId1789" ref="I985"/>
    <hyperlink r:id="rId1790" ref="L985"/>
    <hyperlink r:id="rId1791" ref="H986"/>
    <hyperlink r:id="rId1792" ref="I986"/>
    <hyperlink r:id="rId1793" ref="H987"/>
    <hyperlink r:id="rId1794" ref="I987"/>
    <hyperlink r:id="rId1795" ref="H988"/>
    <hyperlink r:id="rId1796" ref="I988"/>
    <hyperlink r:id="rId1797" ref="H989"/>
    <hyperlink r:id="rId1798" ref="I989"/>
    <hyperlink r:id="rId1799" ref="H990"/>
    <hyperlink r:id="rId1800" ref="I990"/>
    <hyperlink r:id="rId1801" ref="H991"/>
    <hyperlink r:id="rId1802" ref="I991"/>
    <hyperlink r:id="rId1803" ref="H992"/>
    <hyperlink r:id="rId1804" ref="I992"/>
    <hyperlink r:id="rId1805" ref="H993"/>
    <hyperlink r:id="rId1806" ref="I993"/>
    <hyperlink r:id="rId1807" ref="H994"/>
    <hyperlink r:id="rId1808" ref="I994"/>
    <hyperlink r:id="rId1809" ref="H995"/>
    <hyperlink r:id="rId1810" ref="I995"/>
    <hyperlink r:id="rId1811" ref="H996"/>
    <hyperlink r:id="rId1812" ref="I996"/>
    <hyperlink r:id="rId1813" ref="H997"/>
    <hyperlink r:id="rId1814" ref="I997"/>
    <hyperlink r:id="rId1815" ref="L997"/>
    <hyperlink r:id="rId1816" ref="H998"/>
    <hyperlink r:id="rId1817" ref="I998"/>
    <hyperlink r:id="rId1818" ref="H999"/>
    <hyperlink r:id="rId1819" ref="I999"/>
    <hyperlink r:id="rId1820" ref="H1000"/>
    <hyperlink r:id="rId1821" ref="I1000"/>
    <hyperlink r:id="rId1822" ref="H1001"/>
    <hyperlink r:id="rId1823" ref="I1001"/>
    <hyperlink r:id="rId1824" ref="H1002"/>
    <hyperlink r:id="rId1825" ref="I1002"/>
    <hyperlink r:id="rId1826" ref="H1003"/>
    <hyperlink r:id="rId1827" ref="I1003"/>
    <hyperlink r:id="rId1828" ref="H1004"/>
    <hyperlink r:id="rId1829" ref="I1004"/>
    <hyperlink r:id="rId1830" ref="H1005"/>
    <hyperlink r:id="rId1831" ref="I1005"/>
    <hyperlink r:id="rId1832" ref="H1006"/>
    <hyperlink r:id="rId1833" ref="I1006"/>
    <hyperlink r:id="rId1834" ref="H1007"/>
    <hyperlink r:id="rId1835" ref="I1007"/>
    <hyperlink r:id="rId1836" ref="H1008"/>
    <hyperlink r:id="rId1837" ref="I1008"/>
    <hyperlink r:id="rId1838" ref="L1008"/>
    <hyperlink r:id="rId1839" ref="H1009"/>
    <hyperlink r:id="rId1840" ref="I1009"/>
    <hyperlink r:id="rId1841" ref="H1010"/>
    <hyperlink r:id="rId1842" ref="I1010"/>
    <hyperlink r:id="rId1843" ref="H1011"/>
    <hyperlink r:id="rId1844" ref="I1011"/>
    <hyperlink r:id="rId1845" ref="H1012"/>
    <hyperlink r:id="rId1846" ref="I1012"/>
    <hyperlink r:id="rId1847" ref="H1013"/>
    <hyperlink r:id="rId1848" ref="I1013"/>
    <hyperlink r:id="rId1849" ref="H1014"/>
    <hyperlink r:id="rId1850" ref="I1014"/>
    <hyperlink r:id="rId1851" ref="H1015"/>
    <hyperlink r:id="rId1852" ref="I1015"/>
    <hyperlink r:id="rId1853" ref="H1016"/>
    <hyperlink r:id="rId1854" ref="I1016"/>
    <hyperlink r:id="rId1855" ref="H1017"/>
    <hyperlink r:id="rId1856" ref="I1017"/>
    <hyperlink r:id="rId1857" ref="H1018"/>
    <hyperlink r:id="rId1858" ref="I1018"/>
    <hyperlink r:id="rId1859" ref="H1019"/>
    <hyperlink r:id="rId1860" ref="I1019"/>
    <hyperlink r:id="rId1861" ref="H1020"/>
    <hyperlink r:id="rId1862" ref="I1020"/>
    <hyperlink r:id="rId1863" ref="H1021"/>
    <hyperlink r:id="rId1864" ref="I1021"/>
    <hyperlink r:id="rId1865" ref="H1022"/>
    <hyperlink r:id="rId1866" ref="I1022"/>
    <hyperlink r:id="rId1867" ref="H1023"/>
    <hyperlink r:id="rId1868" ref="I1023"/>
    <hyperlink r:id="rId1869" ref="H1024"/>
    <hyperlink r:id="rId1870" ref="I1024"/>
    <hyperlink r:id="rId1871" ref="H1025"/>
    <hyperlink r:id="rId1872" ref="I1025"/>
    <hyperlink r:id="rId1873" ref="H1026"/>
    <hyperlink r:id="rId1874" ref="I1026"/>
    <hyperlink r:id="rId1875" ref="H1027"/>
    <hyperlink r:id="rId1876" ref="I1027"/>
    <hyperlink r:id="rId1877" ref="H1028"/>
    <hyperlink r:id="rId1878" ref="I1028"/>
    <hyperlink r:id="rId1879" ref="H1029"/>
    <hyperlink r:id="rId1880" ref="I1029"/>
    <hyperlink r:id="rId1881" ref="H1030"/>
    <hyperlink r:id="rId1882" ref="I1030"/>
    <hyperlink r:id="rId1883" ref="H1031"/>
    <hyperlink r:id="rId1884" ref="I1031"/>
    <hyperlink r:id="rId1885" ref="H1032"/>
    <hyperlink r:id="rId1886" ref="I1032"/>
    <hyperlink r:id="rId1887" ref="H1033"/>
    <hyperlink r:id="rId1888" ref="I1033"/>
    <hyperlink r:id="rId1889" ref="H1034"/>
    <hyperlink r:id="rId1890" ref="I1034"/>
    <hyperlink r:id="rId1891" ref="H1035"/>
    <hyperlink r:id="rId1892" ref="I1035"/>
    <hyperlink r:id="rId1893" ref="H1036"/>
    <hyperlink r:id="rId1894" ref="I1036"/>
    <hyperlink r:id="rId1895" ref="H1037"/>
    <hyperlink r:id="rId1896" ref="I1037"/>
    <hyperlink r:id="rId1897" ref="H1038"/>
    <hyperlink r:id="rId1898" ref="I1038"/>
    <hyperlink r:id="rId1899" ref="H1039"/>
    <hyperlink r:id="rId1900" ref="I1039"/>
    <hyperlink r:id="rId1901" ref="H1040"/>
    <hyperlink r:id="rId1902" ref="I1040"/>
    <hyperlink r:id="rId1903" ref="H1041"/>
    <hyperlink r:id="rId1904" ref="I1041"/>
    <hyperlink r:id="rId1905" ref="H1042"/>
    <hyperlink r:id="rId1906" ref="I1042"/>
    <hyperlink r:id="rId1907" ref="H1043"/>
    <hyperlink r:id="rId1908" ref="I1043"/>
    <hyperlink r:id="rId1909" ref="H1044"/>
    <hyperlink r:id="rId1910" ref="I1044"/>
    <hyperlink r:id="rId1911" ref="H1045"/>
    <hyperlink r:id="rId1912" ref="I1045"/>
    <hyperlink r:id="rId1913" ref="H1046"/>
    <hyperlink r:id="rId1914" ref="I1046"/>
    <hyperlink r:id="rId1915" ref="H1047"/>
    <hyperlink r:id="rId1916" ref="I1047"/>
    <hyperlink r:id="rId1917" ref="H1048"/>
    <hyperlink r:id="rId1918" ref="I1048"/>
    <hyperlink r:id="rId1919" ref="H1049"/>
    <hyperlink r:id="rId1920" ref="I1049"/>
    <hyperlink r:id="rId1921" ref="L1049"/>
    <hyperlink r:id="rId1922" ref="H1050"/>
    <hyperlink r:id="rId1923" ref="I1050"/>
    <hyperlink r:id="rId1924" ref="H1051"/>
    <hyperlink r:id="rId1925" ref="I1051"/>
    <hyperlink r:id="rId1926" ref="H1052"/>
    <hyperlink r:id="rId1927" ref="I1052"/>
    <hyperlink r:id="rId1928" ref="H1053"/>
    <hyperlink r:id="rId1929" ref="I1053"/>
    <hyperlink r:id="rId1930" ref="H1054"/>
    <hyperlink r:id="rId1931" ref="I1054"/>
    <hyperlink r:id="rId1932" ref="H1055"/>
    <hyperlink r:id="rId1933" ref="I1055"/>
    <hyperlink r:id="rId1934" ref="H1056"/>
    <hyperlink r:id="rId1935" ref="I1056"/>
    <hyperlink r:id="rId1936" ref="H1057"/>
    <hyperlink r:id="rId1937" ref="I1057"/>
    <hyperlink r:id="rId1938" ref="H1058"/>
    <hyperlink r:id="rId1939" ref="I1058"/>
    <hyperlink r:id="rId1940" ref="H1059"/>
    <hyperlink r:id="rId1941" ref="I1059"/>
    <hyperlink r:id="rId1942" ref="H1060"/>
    <hyperlink r:id="rId1943" ref="I1060"/>
    <hyperlink r:id="rId1944" ref="H1061"/>
    <hyperlink r:id="rId1945" ref="I1061"/>
    <hyperlink r:id="rId1946" ref="H1062"/>
    <hyperlink r:id="rId1947" ref="I1062"/>
    <hyperlink r:id="rId1948" ref="H1063"/>
    <hyperlink r:id="rId1949" ref="I1063"/>
    <hyperlink r:id="rId1950" ref="H1064"/>
    <hyperlink r:id="rId1951" ref="I1064"/>
    <hyperlink r:id="rId1952" ref="H1065"/>
    <hyperlink r:id="rId1953" ref="I1065"/>
    <hyperlink r:id="rId1954" ref="H1066"/>
    <hyperlink r:id="rId1955" ref="I1066"/>
    <hyperlink r:id="rId1956" ref="H1067"/>
    <hyperlink r:id="rId1957" ref="I1067"/>
    <hyperlink r:id="rId1958" ref="H1068"/>
    <hyperlink r:id="rId1959" ref="I1068"/>
    <hyperlink r:id="rId1960" ref="H1069"/>
    <hyperlink r:id="rId1961" ref="I1069"/>
    <hyperlink r:id="rId1962" ref="H1070"/>
    <hyperlink r:id="rId1963" ref="I1070"/>
    <hyperlink r:id="rId1964" ref="H1071"/>
    <hyperlink r:id="rId1965" ref="I1071"/>
    <hyperlink r:id="rId1966" ref="H1072"/>
    <hyperlink r:id="rId1967" ref="I1072"/>
    <hyperlink r:id="rId1968" ref="H1073"/>
    <hyperlink r:id="rId1969" ref="I1073"/>
    <hyperlink r:id="rId1970" ref="H1074"/>
    <hyperlink r:id="rId1971" ref="I1074"/>
    <hyperlink r:id="rId1972" ref="H1075"/>
    <hyperlink r:id="rId1973" ref="I1075"/>
    <hyperlink r:id="rId1974" ref="H1076"/>
    <hyperlink r:id="rId1975" ref="I1076"/>
    <hyperlink r:id="rId1976" ref="H1077"/>
    <hyperlink r:id="rId1977" ref="I1077"/>
    <hyperlink r:id="rId1978" ref="H1078"/>
    <hyperlink r:id="rId1979" ref="I1078"/>
    <hyperlink r:id="rId1980" ref="H1079"/>
    <hyperlink r:id="rId1981" ref="I1079"/>
    <hyperlink r:id="rId1982" ref="H1080"/>
    <hyperlink r:id="rId1983" ref="I1080"/>
    <hyperlink r:id="rId1984" ref="H1081"/>
    <hyperlink r:id="rId1985" ref="I1081"/>
    <hyperlink r:id="rId1986" ref="H1082"/>
    <hyperlink r:id="rId1987" ref="I1082"/>
    <hyperlink r:id="rId1988" ref="H1083"/>
    <hyperlink r:id="rId1989" ref="I1083"/>
    <hyperlink r:id="rId1990" ref="H1084"/>
    <hyperlink r:id="rId1991" ref="I1084"/>
    <hyperlink r:id="rId1992" ref="H1085"/>
    <hyperlink r:id="rId1993" ref="I1085"/>
    <hyperlink r:id="rId1994" ref="H1086"/>
    <hyperlink r:id="rId1995" ref="I1086"/>
    <hyperlink r:id="rId1996" ref="H1087"/>
    <hyperlink r:id="rId1997" ref="I1087"/>
    <hyperlink r:id="rId1998" ref="H1088"/>
    <hyperlink r:id="rId1999" ref="I1088"/>
    <hyperlink r:id="rId2000" ref="H1089"/>
    <hyperlink r:id="rId2001" ref="I1089"/>
    <hyperlink r:id="rId2002" ref="H1090"/>
    <hyperlink r:id="rId2003" ref="I1090"/>
    <hyperlink r:id="rId2004" ref="H1091"/>
    <hyperlink r:id="rId2005" ref="I1091"/>
    <hyperlink r:id="rId2006" ref="H1092"/>
    <hyperlink r:id="rId2007" ref="I1092"/>
    <hyperlink r:id="rId2008" ref="H1093"/>
    <hyperlink r:id="rId2009" ref="I1093"/>
    <hyperlink r:id="rId2010" ref="H1094"/>
    <hyperlink r:id="rId2011" ref="I1094"/>
    <hyperlink r:id="rId2012" ref="H1095"/>
    <hyperlink r:id="rId2013" ref="I1095"/>
    <hyperlink r:id="rId2014" ref="H1096"/>
    <hyperlink r:id="rId2015" ref="I1096"/>
    <hyperlink r:id="rId2016" ref="H1097"/>
    <hyperlink r:id="rId2017" ref="H1098"/>
    <hyperlink r:id="rId2018" ref="H1099"/>
    <hyperlink r:id="rId2019" ref="H1100"/>
    <hyperlink r:id="rId2020" ref="H1101"/>
    <hyperlink r:id="rId2021" ref="H1102"/>
    <hyperlink r:id="rId2022" ref="L1102"/>
    <hyperlink r:id="rId2023" ref="H1103"/>
    <hyperlink r:id="rId2024" ref="H1104"/>
    <hyperlink r:id="rId2025" ref="H1105"/>
    <hyperlink r:id="rId2026" ref="H1106"/>
    <hyperlink r:id="rId2027" ref="H1107"/>
    <hyperlink r:id="rId2028" ref="H1108"/>
    <hyperlink r:id="rId2029" ref="H1109"/>
    <hyperlink r:id="rId2030" ref="H1110"/>
    <hyperlink r:id="rId2031" ref="H1111"/>
    <hyperlink r:id="rId2032" ref="H1112"/>
    <hyperlink r:id="rId2033" ref="H1113"/>
    <hyperlink r:id="rId2034" ref="H1114"/>
    <hyperlink r:id="rId2035" ref="H1115"/>
    <hyperlink r:id="rId2036" ref="H1116"/>
    <hyperlink r:id="rId2037" ref="H1117"/>
    <hyperlink r:id="rId2038" ref="H1118"/>
    <hyperlink r:id="rId2039" ref="H1119"/>
    <hyperlink r:id="rId2040" ref="H1120"/>
    <hyperlink r:id="rId2041" ref="H1121"/>
    <hyperlink r:id="rId2042" ref="H1122"/>
    <hyperlink r:id="rId2043" ref="L1122"/>
    <hyperlink r:id="rId2044" ref="H1123"/>
    <hyperlink r:id="rId2045" ref="H1124"/>
    <hyperlink r:id="rId2046" ref="I1124"/>
    <hyperlink r:id="rId2047" ref="H1125"/>
    <hyperlink r:id="rId2048" ref="I1125"/>
    <hyperlink r:id="rId2049" ref="H1126"/>
    <hyperlink r:id="rId2050" ref="I1126"/>
    <hyperlink r:id="rId2051" ref="J1126"/>
    <hyperlink r:id="rId2052" ref="H1127"/>
    <hyperlink r:id="rId2053" ref="I1127"/>
    <hyperlink r:id="rId2054" ref="J1127"/>
    <hyperlink r:id="rId2055" ref="H1128"/>
    <hyperlink r:id="rId2056" ref="H1129"/>
    <hyperlink r:id="rId2057" ref="H1130"/>
    <hyperlink r:id="rId2058" ref="H1131"/>
    <hyperlink r:id="rId2059" ref="H1132"/>
    <hyperlink r:id="rId2060" ref="H1133"/>
    <hyperlink r:id="rId2061" ref="H1134"/>
    <hyperlink r:id="rId2062" ref="H1135"/>
    <hyperlink r:id="rId2063" ref="H1136"/>
    <hyperlink r:id="rId2064" ref="H1137"/>
    <hyperlink r:id="rId2065" ref="H1138"/>
    <hyperlink r:id="rId2066" ref="H1139"/>
    <hyperlink r:id="rId2067" ref="H1140"/>
    <hyperlink r:id="rId2068" ref="H1141"/>
    <hyperlink r:id="rId2069" ref="H1142"/>
    <hyperlink r:id="rId2070" ref="H1143"/>
    <hyperlink r:id="rId2071" ref="H1144"/>
    <hyperlink r:id="rId2072" ref="H1145"/>
    <hyperlink r:id="rId2073" ref="H1146"/>
    <hyperlink r:id="rId2074" ref="I1147"/>
    <hyperlink r:id="rId2075" ref="J1148"/>
    <hyperlink r:id="rId2076" ref="J1149"/>
    <hyperlink r:id="rId2077" ref="J1150"/>
    <hyperlink r:id="rId2078" ref="J1151"/>
    <hyperlink r:id="rId2079" ref="J1152"/>
    <hyperlink r:id="rId2080" ref="J1153"/>
    <hyperlink r:id="rId2081" ref="J1154"/>
    <hyperlink r:id="rId2082" ref="J1155"/>
    <hyperlink r:id="rId2083" ref="J1156"/>
    <hyperlink r:id="rId2084" ref="J1157"/>
    <hyperlink r:id="rId2085" ref="H1158"/>
    <hyperlink r:id="rId2086" ref="I1158"/>
    <hyperlink r:id="rId2087" ref="J1158"/>
    <hyperlink r:id="rId2088" ref="J1159"/>
    <hyperlink r:id="rId2089" ref="J1160"/>
    <hyperlink r:id="rId2090" ref="H1161"/>
    <hyperlink r:id="rId2091" ref="I1161"/>
    <hyperlink r:id="rId2092" ref="H1162"/>
    <hyperlink r:id="rId2093" ref="J1162"/>
    <hyperlink r:id="rId2094" ref="J1163"/>
    <hyperlink r:id="rId2095" ref="J1164"/>
    <hyperlink r:id="rId2096" ref="J1165"/>
    <hyperlink r:id="rId2097" ref="J1166"/>
    <hyperlink r:id="rId2098" ref="J1167"/>
    <hyperlink r:id="rId2099" ref="J1168"/>
    <hyperlink r:id="rId2100" ref="J1169"/>
    <hyperlink r:id="rId2101" ref="J1170"/>
    <hyperlink r:id="rId2102" ref="J1171"/>
    <hyperlink r:id="rId2103" ref="J1172"/>
    <hyperlink r:id="rId2104" ref="J1173"/>
    <hyperlink r:id="rId2105" ref="J1174"/>
    <hyperlink r:id="rId2106" ref="J1175"/>
    <hyperlink r:id="rId2107" ref="H1176"/>
    <hyperlink r:id="rId2108" ref="I1176"/>
    <hyperlink r:id="rId2109" ref="J1176"/>
    <hyperlink r:id="rId2110" ref="J1177"/>
    <hyperlink r:id="rId2111" ref="J1178"/>
    <hyperlink r:id="rId2112" ref="J1179"/>
    <hyperlink r:id="rId2113" ref="J1180"/>
    <hyperlink r:id="rId2114" ref="J1181"/>
    <hyperlink r:id="rId2115" ref="J1182"/>
    <hyperlink r:id="rId2116" ref="J1183"/>
    <hyperlink r:id="rId2117" ref="J1184"/>
    <hyperlink r:id="rId2118" ref="J1185"/>
    <hyperlink r:id="rId2119" ref="J1186"/>
    <hyperlink r:id="rId2120" ref="J1187"/>
    <hyperlink r:id="rId2121" ref="J1188"/>
    <hyperlink r:id="rId2122" ref="J1189"/>
    <hyperlink r:id="rId2123" ref="J1190"/>
    <hyperlink r:id="rId2124" ref="J1191"/>
    <hyperlink r:id="rId2125" ref="J1192"/>
    <hyperlink r:id="rId2126" ref="J1193"/>
    <hyperlink r:id="rId2127" ref="J1194"/>
    <hyperlink r:id="rId2128" ref="J1195"/>
    <hyperlink r:id="rId2129" ref="H1196"/>
    <hyperlink r:id="rId2130" ref="H1197"/>
    <hyperlink r:id="rId2131" ref="H1198"/>
    <hyperlink r:id="rId2132" ref="H1199"/>
    <hyperlink r:id="rId2133" ref="H1200"/>
    <hyperlink r:id="rId2134" ref="H1201"/>
    <hyperlink r:id="rId2135" ref="H1202"/>
    <hyperlink r:id="rId2136" ref="I1202"/>
    <hyperlink r:id="rId2137" ref="J1202"/>
    <hyperlink r:id="rId2138" ref="H1203"/>
    <hyperlink r:id="rId2139" ref="H1204"/>
    <hyperlink r:id="rId2140" ref="H1205"/>
    <hyperlink r:id="rId2141" ref="I1205"/>
    <hyperlink r:id="rId2142" ref="H1206"/>
    <hyperlink r:id="rId2143" ref="J1206"/>
    <hyperlink r:id="rId2144" ref="H1207"/>
    <hyperlink r:id="rId2145" ref="I1207"/>
    <hyperlink r:id="rId2146" ref="H1208"/>
    <hyperlink r:id="rId2147" ref="H1209"/>
    <hyperlink r:id="rId2148" ref="H1210"/>
    <hyperlink r:id="rId2149" ref="H1211"/>
    <hyperlink r:id="rId2150" ref="H1212"/>
    <hyperlink r:id="rId2151" ref="I1212"/>
    <hyperlink r:id="rId2152" ref="H1213"/>
    <hyperlink r:id="rId2153" ref="H1214"/>
    <hyperlink r:id="rId2154" ref="I1214"/>
    <hyperlink r:id="rId2155" ref="H1215"/>
    <hyperlink r:id="rId2156" ref="I1215"/>
    <hyperlink r:id="rId2157" ref="H1216"/>
    <hyperlink r:id="rId2158" ref="H1217"/>
    <hyperlink r:id="rId2159" ref="H1218"/>
    <hyperlink r:id="rId2160" ref="I1218"/>
    <hyperlink r:id="rId2161" ref="H1219"/>
    <hyperlink r:id="rId2162" ref="I1219"/>
    <hyperlink r:id="rId2163" ref="H1220"/>
    <hyperlink r:id="rId2164" ref="I1220"/>
    <hyperlink r:id="rId2165" ref="H1221"/>
    <hyperlink r:id="rId2166" ref="I1221"/>
    <hyperlink r:id="rId2167" ref="H1222"/>
    <hyperlink r:id="rId2168" ref="H1223"/>
    <hyperlink r:id="rId2169" ref="H1224"/>
    <hyperlink r:id="rId2170" ref="H1225"/>
    <hyperlink r:id="rId2171" ref="H1226"/>
    <hyperlink r:id="rId2172" ref="H1227"/>
    <hyperlink r:id="rId2173" ref="H1228"/>
    <hyperlink r:id="rId2174" ref="I1228"/>
    <hyperlink r:id="rId2175" ref="J1228"/>
    <hyperlink r:id="rId2176" ref="H1229"/>
    <hyperlink r:id="rId2177" ref="I1229"/>
    <hyperlink r:id="rId2178" ref="J1229"/>
    <hyperlink r:id="rId2179" ref="H1230"/>
    <hyperlink r:id="rId2180" ref="I1230"/>
    <hyperlink r:id="rId2181" ref="J1230"/>
    <hyperlink r:id="rId2182" ref="H1231"/>
    <hyperlink r:id="rId2183" ref="I1231"/>
    <hyperlink r:id="rId2184" ref="J1231"/>
    <hyperlink r:id="rId2185" ref="H1232"/>
    <hyperlink r:id="rId2186" ref="I1232"/>
    <hyperlink r:id="rId2187" ref="H1233"/>
    <hyperlink r:id="rId2188" ref="H1234"/>
    <hyperlink r:id="rId2189" ref="H1235"/>
    <hyperlink r:id="rId2190" ref="H1236"/>
    <hyperlink r:id="rId2191" ref="H1237"/>
    <hyperlink r:id="rId2192" ref="I1237"/>
    <hyperlink r:id="rId2193" ref="H1238"/>
    <hyperlink r:id="rId2194" ref="I1238"/>
    <hyperlink r:id="rId2195" ref="J1238"/>
    <hyperlink r:id="rId2196" ref="H1239"/>
    <hyperlink r:id="rId2197" ref="H1240"/>
    <hyperlink r:id="rId2198" ref="H1241"/>
    <hyperlink r:id="rId2199" ref="I1241"/>
    <hyperlink r:id="rId2200" ref="J1241"/>
    <hyperlink r:id="rId2201" ref="H1242"/>
    <hyperlink r:id="rId2202" ref="I1242"/>
    <hyperlink r:id="rId2203" ref="J1242"/>
    <hyperlink r:id="rId2204" ref="H1243"/>
    <hyperlink r:id="rId2205" ref="I1243"/>
    <hyperlink r:id="rId2206" ref="J1243"/>
    <hyperlink r:id="rId2207" ref="H1244"/>
    <hyperlink r:id="rId2208" ref="H1245"/>
    <hyperlink r:id="rId2209" ref="I1245"/>
    <hyperlink r:id="rId2210" ref="J1245"/>
    <hyperlink r:id="rId2211" ref="H1246"/>
    <hyperlink r:id="rId2212" ref="J1246"/>
    <hyperlink r:id="rId2213" ref="H1247"/>
    <hyperlink r:id="rId2214" ref="H1248"/>
    <hyperlink r:id="rId2215" ref="I1248"/>
    <hyperlink r:id="rId2216" ref="J1248"/>
    <hyperlink r:id="rId2217" ref="H1249"/>
    <hyperlink r:id="rId2218" ref="H1250"/>
    <hyperlink r:id="rId2219" ref="I1250"/>
    <hyperlink r:id="rId2220" ref="H1251"/>
    <hyperlink r:id="rId2221" ref="I1251"/>
    <hyperlink r:id="rId2222" ref="H1252"/>
    <hyperlink r:id="rId2223" ref="I1252"/>
    <hyperlink r:id="rId2224" ref="H1253"/>
    <hyperlink r:id="rId2225" ref="I1253"/>
    <hyperlink r:id="rId2226" ref="H1254"/>
    <hyperlink r:id="rId2227" ref="I1254"/>
    <hyperlink r:id="rId2228" ref="H1255"/>
    <hyperlink r:id="rId2229" ref="I1255"/>
    <hyperlink r:id="rId2230" ref="H1256"/>
    <hyperlink r:id="rId2231" ref="I1256"/>
    <hyperlink r:id="rId2232" ref="J1256"/>
    <hyperlink r:id="rId2233" ref="H1257"/>
    <hyperlink r:id="rId2234" ref="I1257"/>
    <hyperlink r:id="rId2235" ref="H1258"/>
    <hyperlink r:id="rId2236" ref="I1258"/>
    <hyperlink r:id="rId2237" ref="H1259"/>
    <hyperlink r:id="rId2238" ref="H1260"/>
    <hyperlink r:id="rId2239" ref="I1260"/>
    <hyperlink r:id="rId2240" ref="H1261"/>
    <hyperlink r:id="rId2241" ref="H1262"/>
    <hyperlink r:id="rId2242" ref="I1262"/>
    <hyperlink r:id="rId2243" ref="J1262"/>
    <hyperlink r:id="rId2244" ref="H1263"/>
    <hyperlink r:id="rId2245" ref="H1264"/>
    <hyperlink r:id="rId2246" ref="I1264"/>
    <hyperlink r:id="rId2247" ref="H1265"/>
    <hyperlink r:id="rId2248" ref="H1266"/>
    <hyperlink r:id="rId2249" ref="H1267"/>
    <hyperlink r:id="rId2250" ref="I1267"/>
    <hyperlink r:id="rId2251" ref="H1268"/>
    <hyperlink r:id="rId2252" ref="H1269"/>
    <hyperlink r:id="rId2253" ref="I1269"/>
    <hyperlink r:id="rId2254" ref="H1270"/>
    <hyperlink r:id="rId2255" ref="I1270"/>
    <hyperlink r:id="rId2256" ref="J1270"/>
    <hyperlink r:id="rId2257" ref="H1271"/>
    <hyperlink r:id="rId2258" ref="H1272"/>
    <hyperlink r:id="rId2259" ref="H1273"/>
    <hyperlink r:id="rId2260" ref="I1273"/>
    <hyperlink r:id="rId2261" ref="H1274"/>
    <hyperlink r:id="rId2262" ref="I1274"/>
    <hyperlink r:id="rId2263" ref="H1275"/>
    <hyperlink r:id="rId2264" ref="H1276"/>
    <hyperlink r:id="rId2265" ref="H1277"/>
    <hyperlink r:id="rId2266" ref="I1277"/>
    <hyperlink r:id="rId2267" ref="H1278"/>
    <hyperlink r:id="rId2268" ref="H1279"/>
    <hyperlink r:id="rId2269" ref="I1279"/>
    <hyperlink r:id="rId2270" ref="J1279"/>
    <hyperlink r:id="rId2271" ref="H1280"/>
    <hyperlink r:id="rId2272" ref="H1281"/>
    <hyperlink r:id="rId2273" ref="H1282"/>
    <hyperlink r:id="rId2274" ref="H1283"/>
    <hyperlink r:id="rId2275" ref="I1283"/>
    <hyperlink r:id="rId2276" ref="H1284"/>
    <hyperlink r:id="rId2277" ref="H1285"/>
    <hyperlink r:id="rId2278" ref="H1286"/>
    <hyperlink r:id="rId2279" ref="I1286"/>
    <hyperlink r:id="rId2280" ref="H1287"/>
    <hyperlink r:id="rId2281" ref="I1287"/>
    <hyperlink r:id="rId2282" ref="H1288"/>
    <hyperlink r:id="rId2283" ref="H1289"/>
    <hyperlink r:id="rId2284" ref="I1289"/>
    <hyperlink r:id="rId2285" ref="H1290"/>
    <hyperlink r:id="rId2286" ref="J1290"/>
    <hyperlink r:id="rId2287" ref="F1291"/>
    <hyperlink r:id="rId2288" ref="H1291"/>
    <hyperlink r:id="rId2289" ref="I1291"/>
    <hyperlink r:id="rId2290" ref="H1292"/>
    <hyperlink r:id="rId2291" ref="H1293"/>
    <hyperlink r:id="rId2292" ref="H1294"/>
    <hyperlink r:id="rId2293" ref="I1294"/>
    <hyperlink r:id="rId2294" ref="J1294"/>
    <hyperlink r:id="rId2295" ref="H1295"/>
    <hyperlink r:id="rId2296" ref="H1296"/>
    <hyperlink r:id="rId2297" ref="I1296"/>
    <hyperlink r:id="rId2298" ref="H1297"/>
    <hyperlink r:id="rId2299" ref="H1298"/>
    <hyperlink r:id="rId2300" ref="I1298"/>
    <hyperlink r:id="rId2301" ref="H1299"/>
    <hyperlink r:id="rId2302" ref="I1299"/>
    <hyperlink r:id="rId2303" ref="H1300"/>
    <hyperlink r:id="rId2304" ref="I1300"/>
    <hyperlink r:id="rId2305" ref="H1301"/>
    <hyperlink r:id="rId2306" ref="I1301"/>
    <hyperlink r:id="rId2307" ref="H1302"/>
    <hyperlink r:id="rId2308" ref="H1303"/>
    <hyperlink r:id="rId2309" ref="H1304"/>
    <hyperlink r:id="rId2310" ref="H1305"/>
    <hyperlink r:id="rId2311" ref="H1306"/>
    <hyperlink r:id="rId2312" ref="H1307"/>
    <hyperlink r:id="rId2313" ref="H1308"/>
    <hyperlink r:id="rId2314" ref="H1309"/>
    <hyperlink r:id="rId2315" ref="I1309"/>
    <hyperlink r:id="rId2316" ref="H1310"/>
    <hyperlink r:id="rId2317" ref="H1311"/>
    <hyperlink r:id="rId2318" ref="I1311"/>
    <hyperlink r:id="rId2319" ref="H1312"/>
    <hyperlink r:id="rId2320" ref="I1312"/>
    <hyperlink r:id="rId2321" ref="J1312"/>
    <hyperlink r:id="rId2322" ref="H1313"/>
    <hyperlink r:id="rId2323" ref="H1314"/>
    <hyperlink r:id="rId2324" ref="I1314"/>
    <hyperlink r:id="rId2325" ref="J1314"/>
    <hyperlink r:id="rId2326" ref="H1315"/>
    <hyperlink r:id="rId2327" ref="I1315"/>
    <hyperlink r:id="rId2328" ref="H1316"/>
    <hyperlink r:id="rId2329" ref="H1317"/>
    <hyperlink r:id="rId2330" ref="H1318"/>
    <hyperlink r:id="rId2331" ref="I1318"/>
    <hyperlink r:id="rId2332" ref="H1319"/>
    <hyperlink r:id="rId2333" ref="H1320"/>
    <hyperlink r:id="rId2334" ref="I1320"/>
    <hyperlink r:id="rId2335" ref="J1320"/>
    <hyperlink r:id="rId2336" ref="H1321"/>
    <hyperlink r:id="rId2337" ref="I1321"/>
    <hyperlink r:id="rId2338" ref="H1322"/>
    <hyperlink r:id="rId2339" ref="I1322"/>
    <hyperlink r:id="rId2340" ref="J1322"/>
    <hyperlink r:id="rId2341" ref="H1323"/>
    <hyperlink r:id="rId2342" ref="I1323"/>
    <hyperlink r:id="rId2343" ref="H1324"/>
    <hyperlink r:id="rId2344" ref="I1324"/>
    <hyperlink r:id="rId2345" ref="J1324"/>
    <hyperlink r:id="rId2346" ref="H1325"/>
    <hyperlink r:id="rId2347" ref="I1325"/>
    <hyperlink r:id="rId2348" ref="J1325"/>
    <hyperlink r:id="rId2349" ref="H1326"/>
    <hyperlink r:id="rId2350" ref="H1327"/>
    <hyperlink r:id="rId2351" ref="I1327"/>
    <hyperlink r:id="rId2352" ref="H1328"/>
    <hyperlink r:id="rId2353" ref="I1328"/>
    <hyperlink r:id="rId2354" ref="J1328"/>
    <hyperlink r:id="rId2355" ref="H1329"/>
    <hyperlink r:id="rId2356" ref="I1329"/>
    <hyperlink r:id="rId2357" ref="H1330"/>
    <hyperlink r:id="rId2358" ref="I1330"/>
    <hyperlink r:id="rId2359" ref="H1331"/>
    <hyperlink r:id="rId2360" ref="H1332"/>
    <hyperlink r:id="rId2361" ref="I1332"/>
    <hyperlink r:id="rId2362" ref="H1333"/>
    <hyperlink r:id="rId2363" ref="I1333"/>
    <hyperlink r:id="rId2364" ref="H1334"/>
    <hyperlink r:id="rId2365" ref="H1335"/>
    <hyperlink r:id="rId2366" ref="I1335"/>
    <hyperlink r:id="rId2367" ref="H1336"/>
    <hyperlink r:id="rId2368" ref="H1337"/>
    <hyperlink r:id="rId2369" ref="H1338"/>
    <hyperlink r:id="rId2370" ref="H1339"/>
    <hyperlink r:id="rId2371" ref="I1339"/>
    <hyperlink r:id="rId2372" ref="J1339"/>
    <hyperlink r:id="rId2373" ref="H1340"/>
    <hyperlink r:id="rId2374" ref="H1341"/>
    <hyperlink r:id="rId2375" ref="I1341"/>
    <hyperlink r:id="rId2376" ref="J1341"/>
    <hyperlink r:id="rId2377" ref="H1342"/>
    <hyperlink r:id="rId2378" ref="I1342"/>
    <hyperlink r:id="rId2379" ref="H1343"/>
    <hyperlink r:id="rId2380" ref="H1344"/>
    <hyperlink r:id="rId2381" ref="H1345"/>
    <hyperlink r:id="rId2382" ref="I1345"/>
    <hyperlink r:id="rId2383" ref="H1346"/>
    <hyperlink r:id="rId2384" ref="I1346"/>
    <hyperlink r:id="rId2385" ref="H1347"/>
    <hyperlink r:id="rId2386" ref="H1348"/>
    <hyperlink r:id="rId2387" ref="H1349"/>
    <hyperlink r:id="rId2388" ref="J1350"/>
    <hyperlink r:id="rId2389" ref="H1351"/>
    <hyperlink r:id="rId2390" ref="I1351"/>
    <hyperlink r:id="rId2391" ref="H1352"/>
    <hyperlink r:id="rId2392" ref="H1353"/>
    <hyperlink r:id="rId2393" ref="I1353"/>
    <hyperlink r:id="rId2394" ref="H1354"/>
    <hyperlink r:id="rId2395" ref="J1354"/>
    <hyperlink r:id="rId2396" ref="H1355"/>
    <hyperlink r:id="rId2397" ref="I1355"/>
    <hyperlink r:id="rId2398" ref="H1356"/>
    <hyperlink r:id="rId2399" ref="H1357"/>
    <hyperlink r:id="rId2400" ref="H1358"/>
    <hyperlink r:id="rId2401" ref="I1358"/>
    <hyperlink r:id="rId2402" ref="J1358"/>
    <hyperlink r:id="rId2403" ref="H1359"/>
    <hyperlink r:id="rId2404" ref="H1360"/>
    <hyperlink r:id="rId2405" ref="I1360"/>
    <hyperlink r:id="rId2406" ref="H1361"/>
    <hyperlink r:id="rId2407" ref="H1362"/>
    <hyperlink r:id="rId2408" ref="I1362"/>
    <hyperlink r:id="rId2409" ref="H1363"/>
    <hyperlink r:id="rId2410" ref="I1363"/>
    <hyperlink r:id="rId2411" ref="J1364"/>
    <hyperlink r:id="rId2412" ref="H1365"/>
    <hyperlink r:id="rId2413" ref="H1366"/>
    <hyperlink r:id="rId2414" ref="J1366"/>
    <hyperlink r:id="rId2415" ref="J1367"/>
    <hyperlink r:id="rId2416" ref="H1368"/>
    <hyperlink r:id="rId2417" ref="I1368"/>
    <hyperlink r:id="rId2418" ref="H1369"/>
    <hyperlink r:id="rId2419" ref="H1370"/>
    <hyperlink r:id="rId2420" ref="H1371"/>
    <hyperlink r:id="rId2421" ref="H1372"/>
    <hyperlink r:id="rId2422" ref="H1373"/>
    <hyperlink r:id="rId2423" ref="H1374"/>
    <hyperlink r:id="rId2424" ref="I1374"/>
    <hyperlink r:id="rId2425" ref="J1374"/>
    <hyperlink r:id="rId2426" ref="H1375"/>
    <hyperlink r:id="rId2427" ref="H1376"/>
    <hyperlink r:id="rId2428" ref="I1376"/>
    <hyperlink r:id="rId2429" ref="H1377"/>
    <hyperlink r:id="rId2430" ref="I1377"/>
    <hyperlink r:id="rId2431" ref="H1378"/>
    <hyperlink r:id="rId2432" ref="H1379"/>
    <hyperlink r:id="rId2433" ref="I1379"/>
    <hyperlink r:id="rId2434" ref="J1379"/>
    <hyperlink r:id="rId2435" ref="L1379"/>
    <hyperlink r:id="rId2436" ref="H1380"/>
    <hyperlink r:id="rId2437" ref="I1380"/>
    <hyperlink r:id="rId2438" ref="J1380"/>
    <hyperlink r:id="rId2439" ref="H1381"/>
    <hyperlink r:id="rId2440" ref="I1381"/>
    <hyperlink r:id="rId2441" ref="J1381"/>
    <hyperlink r:id="rId2442" ref="H1382"/>
    <hyperlink r:id="rId2443" ref="I1382"/>
    <hyperlink r:id="rId2444" ref="H1383"/>
    <hyperlink r:id="rId2445" ref="I1383"/>
    <hyperlink r:id="rId2446" ref="H1384"/>
    <hyperlink r:id="rId2447" ref="I1384"/>
    <hyperlink r:id="rId2448" ref="H1385"/>
    <hyperlink r:id="rId2449" ref="I1385"/>
    <hyperlink r:id="rId2450" ref="H1386"/>
    <hyperlink r:id="rId2451" ref="I1386"/>
    <hyperlink r:id="rId2452" ref="H1387"/>
    <hyperlink r:id="rId2453" ref="I1387"/>
    <hyperlink r:id="rId2454" ref="J1387"/>
    <hyperlink r:id="rId2455" ref="H1388"/>
    <hyperlink r:id="rId2456" ref="I1388"/>
    <hyperlink r:id="rId2457" ref="H1389"/>
    <hyperlink r:id="rId2458" ref="I1389"/>
    <hyperlink r:id="rId2459" ref="H1390"/>
    <hyperlink r:id="rId2460" ref="H1391"/>
    <hyperlink r:id="rId2461" ref="H1392"/>
    <hyperlink r:id="rId2462" ref="H1393"/>
    <hyperlink r:id="rId2463" ref="I1393"/>
    <hyperlink r:id="rId2464" ref="H1394"/>
    <hyperlink r:id="rId2465" ref="H1395"/>
    <hyperlink r:id="rId2466" ref="J1396"/>
    <hyperlink r:id="rId2467" ref="H1397"/>
    <hyperlink r:id="rId2468" ref="I1397"/>
    <hyperlink r:id="rId2469" ref="H1398"/>
    <hyperlink r:id="rId2470" ref="H1399"/>
    <hyperlink r:id="rId2471" ref="I1399"/>
    <hyperlink r:id="rId2472" ref="H1400"/>
    <hyperlink r:id="rId2473" ref="I1400"/>
    <hyperlink r:id="rId2474" ref="H1401"/>
    <hyperlink r:id="rId2475" ref="I1401"/>
    <hyperlink r:id="rId2476" ref="J1401"/>
    <hyperlink r:id="rId2477" ref="H1402"/>
    <hyperlink r:id="rId2478" ref="I1402"/>
    <hyperlink r:id="rId2479" ref="I1403"/>
    <hyperlink r:id="rId2480" ref="J1403"/>
    <hyperlink r:id="rId2481" ref="H1404"/>
    <hyperlink r:id="rId2482" ref="I1404"/>
    <hyperlink r:id="rId2483" ref="J1404"/>
    <hyperlink r:id="rId2484" ref="H1405"/>
    <hyperlink r:id="rId2485" ref="I1405"/>
    <hyperlink r:id="rId2486" ref="J1405"/>
    <hyperlink r:id="rId2487" ref="H1406"/>
    <hyperlink r:id="rId2488" ref="J1407"/>
    <hyperlink r:id="rId2489" ref="L1407"/>
    <hyperlink r:id="rId2490" ref="H1408"/>
    <hyperlink r:id="rId2491" ref="I1408"/>
    <hyperlink r:id="rId2492" ref="H1409"/>
    <hyperlink r:id="rId2493" ref="I1409"/>
    <hyperlink r:id="rId2494" ref="J1409"/>
    <hyperlink r:id="rId2495" ref="H1410"/>
    <hyperlink r:id="rId2496" ref="I1410"/>
    <hyperlink r:id="rId2497" ref="I1411"/>
    <hyperlink r:id="rId2498" ref="J1412"/>
    <hyperlink r:id="rId2499" ref="H1413"/>
    <hyperlink r:id="rId2500" ref="J1414"/>
    <hyperlink r:id="rId2501" ref="J1415"/>
    <hyperlink r:id="rId2502" ref="J1416"/>
    <hyperlink r:id="rId2503" ref="J1417"/>
    <hyperlink r:id="rId2504" ref="H1418"/>
    <hyperlink r:id="rId2505" ref="I1418"/>
    <hyperlink r:id="rId2506" ref="H1419"/>
    <hyperlink r:id="rId2507" ref="I1419"/>
    <hyperlink r:id="rId2508" ref="H1420"/>
    <hyperlink r:id="rId2509" ref="J1421"/>
    <hyperlink r:id="rId2510" ref="H1422"/>
    <hyperlink r:id="rId2511" ref="I1422"/>
    <hyperlink r:id="rId2512" ref="K1422"/>
    <hyperlink r:id="rId2513" ref="H1423"/>
    <hyperlink r:id="rId2514" ref="I1423"/>
    <hyperlink r:id="rId2515" ref="J1423"/>
    <hyperlink r:id="rId2516" ref="H1424"/>
    <hyperlink r:id="rId2517" ref="I1424"/>
    <hyperlink r:id="rId2518" ref="H1425"/>
    <hyperlink r:id="rId2519" ref="J1425"/>
    <hyperlink r:id="rId2520" ref="H1426"/>
    <hyperlink r:id="rId2521" ref="H1427"/>
    <hyperlink r:id="rId2522" ref="I1427"/>
    <hyperlink r:id="rId2523" ref="H1428"/>
    <hyperlink r:id="rId2524" ref="I1428"/>
    <hyperlink r:id="rId2525" ref="J1428"/>
    <hyperlink r:id="rId2526" ref="H1429"/>
    <hyperlink r:id="rId2527" ref="I1429"/>
    <hyperlink r:id="rId2528" ref="H1430"/>
    <hyperlink r:id="rId2529" ref="I1430"/>
    <hyperlink r:id="rId2530" ref="J1430"/>
    <hyperlink r:id="rId2531" ref="H1431"/>
    <hyperlink r:id="rId2532" ref="H1432"/>
    <hyperlink r:id="rId2533" ref="I1432"/>
    <hyperlink r:id="rId2534" ref="J1432"/>
    <hyperlink r:id="rId2535" ref="H1433"/>
    <hyperlink r:id="rId2536" ref="I1433"/>
    <hyperlink r:id="rId2537" ref="H1434"/>
    <hyperlink r:id="rId2538" ref="I1434"/>
    <hyperlink r:id="rId2539" ref="H1435"/>
    <hyperlink r:id="rId2540" ref="I1435"/>
    <hyperlink r:id="rId2541" ref="H1436"/>
    <hyperlink r:id="rId2542" ref="H1437"/>
    <hyperlink r:id="rId2543" ref="J1437"/>
    <hyperlink r:id="rId2544" ref="H1438"/>
    <hyperlink r:id="rId2545" ref="I1438"/>
    <hyperlink r:id="rId2546" ref="J1438"/>
    <hyperlink r:id="rId2547" ref="H1439"/>
    <hyperlink r:id="rId2548" ref="H1440"/>
    <hyperlink r:id="rId2549" ref="I1440"/>
    <hyperlink r:id="rId2550" ref="J1440"/>
    <hyperlink r:id="rId2551" ref="H1441"/>
    <hyperlink r:id="rId2552" ref="I1441"/>
    <hyperlink r:id="rId2553" ref="H1442"/>
    <hyperlink r:id="rId2554" ref="I1442"/>
    <hyperlink r:id="rId2555" ref="J1442"/>
    <hyperlink r:id="rId2556" ref="H1443"/>
    <hyperlink r:id="rId2557" ref="I1443"/>
    <hyperlink r:id="rId2558" ref="H1444"/>
    <hyperlink r:id="rId2559" ref="I1444"/>
    <hyperlink r:id="rId2560" ref="H1445"/>
    <hyperlink r:id="rId2561" ref="I1445"/>
    <hyperlink r:id="rId2562" ref="H1446"/>
    <hyperlink r:id="rId2563" ref="I1446"/>
    <hyperlink r:id="rId2564" ref="J1446"/>
    <hyperlink r:id="rId2565" ref="H1447"/>
    <hyperlink r:id="rId2566" ref="H1448"/>
    <hyperlink r:id="rId2567" ref="I1448"/>
    <hyperlink r:id="rId2568" ref="H1449"/>
    <hyperlink r:id="rId2569" ref="I1449"/>
    <hyperlink r:id="rId2570" ref="J1449"/>
    <hyperlink r:id="rId2571" ref="K1449"/>
    <hyperlink r:id="rId2572" ref="H1450"/>
    <hyperlink r:id="rId2573" ref="H1451"/>
    <hyperlink r:id="rId2574" ref="H1452"/>
    <hyperlink r:id="rId2575" ref="I1452"/>
    <hyperlink r:id="rId2576" ref="H1453"/>
    <hyperlink r:id="rId2577" ref="I1453"/>
    <hyperlink r:id="rId2578" ref="H1454"/>
    <hyperlink r:id="rId2579" ref="H1455"/>
    <hyperlink r:id="rId2580" ref="I1455"/>
    <hyperlink r:id="rId2581" ref="H1456"/>
    <hyperlink r:id="rId2582" ref="H1457"/>
    <hyperlink r:id="rId2583" ref="H1458"/>
    <hyperlink r:id="rId2584" ref="H1459"/>
    <hyperlink r:id="rId2585" ref="H1460"/>
    <hyperlink r:id="rId2586" ref="I1460"/>
    <hyperlink r:id="rId2587" ref="H1461"/>
    <hyperlink r:id="rId2588" ref="J1461"/>
    <hyperlink r:id="rId2589" ref="H1462"/>
    <hyperlink r:id="rId2590" ref="I1462"/>
    <hyperlink r:id="rId2591" ref="H1463"/>
    <hyperlink r:id="rId2592" ref="H1464"/>
    <hyperlink r:id="rId2593" ref="I1464"/>
    <hyperlink r:id="rId2594" ref="H1465"/>
    <hyperlink r:id="rId2595" ref="H1466"/>
    <hyperlink r:id="rId2596" ref="I1466"/>
    <hyperlink r:id="rId2597" ref="H1467"/>
    <hyperlink r:id="rId2598" ref="J1467"/>
    <hyperlink r:id="rId2599" ref="M1467"/>
    <hyperlink r:id="rId2600" ref="I1468"/>
    <hyperlink r:id="rId2601" ref="L1469"/>
    <hyperlink r:id="rId2602" ref="H1470"/>
    <hyperlink r:id="rId2603" ref="H1471"/>
    <hyperlink r:id="rId2604" ref="H1472"/>
    <hyperlink r:id="rId2605" ref="J1472"/>
    <hyperlink r:id="rId2606" ref="H1473"/>
    <hyperlink r:id="rId2607" ref="I1473"/>
    <hyperlink r:id="rId2608" ref="J1473"/>
    <hyperlink r:id="rId2609" ref="H1474"/>
    <hyperlink r:id="rId2610" ref="I1474"/>
    <hyperlink r:id="rId2611" ref="H1475"/>
    <hyperlink r:id="rId2612" ref="H1476"/>
    <hyperlink r:id="rId2613" ref="I1476"/>
    <hyperlink r:id="rId2614" ref="J1476"/>
    <hyperlink r:id="rId2615" ref="H1477"/>
    <hyperlink r:id="rId2616" ref="H1478"/>
    <hyperlink r:id="rId2617" ref="I1478"/>
    <hyperlink r:id="rId2618" ref="J1478"/>
    <hyperlink r:id="rId2619" ref="H1479"/>
    <hyperlink r:id="rId2620" ref="I1479"/>
    <hyperlink r:id="rId2621" ref="J1480"/>
    <hyperlink r:id="rId2622" ref="H1481"/>
    <hyperlink r:id="rId2623" ref="H1482"/>
    <hyperlink r:id="rId2624" ref="L1482"/>
    <hyperlink r:id="rId2625" ref="H1483"/>
    <hyperlink r:id="rId2626" ref="J1483"/>
    <hyperlink r:id="rId2627" ref="L1483"/>
    <hyperlink r:id="rId2628" ref="J1484"/>
    <hyperlink r:id="rId2629" ref="H1485"/>
    <hyperlink r:id="rId2630" ref="J1485"/>
    <hyperlink r:id="rId2631" ref="H1486"/>
    <hyperlink r:id="rId2632" ref="H1487"/>
    <hyperlink r:id="rId2633" ref="H1488"/>
    <hyperlink r:id="rId2634" ref="H1489"/>
    <hyperlink r:id="rId2635" ref="I1489"/>
    <hyperlink r:id="rId2636" ref="H1490"/>
    <hyperlink r:id="rId2637" ref="H1491"/>
    <hyperlink r:id="rId2638" ref="J1492"/>
    <hyperlink r:id="rId2639" ref="J1493"/>
    <hyperlink r:id="rId2640" ref="H1494"/>
    <hyperlink r:id="rId2641" ref="J1494"/>
    <hyperlink r:id="rId2642" ref="H1495"/>
    <hyperlink r:id="rId2643" ref="H1496"/>
    <hyperlink r:id="rId2644" ref="I1496"/>
    <hyperlink r:id="rId2645" ref="I1497"/>
    <hyperlink r:id="rId2646" ref="H1498"/>
    <hyperlink r:id="rId2647" ref="H1499"/>
    <hyperlink r:id="rId2648" ref="H1500"/>
    <hyperlink r:id="rId2649" ref="H1501"/>
    <hyperlink r:id="rId2650" ref="J1501"/>
    <hyperlink r:id="rId2651" ref="J1502"/>
    <hyperlink r:id="rId2652" ref="J1503"/>
    <hyperlink r:id="rId2653" ref="H1504"/>
    <hyperlink r:id="rId2654" ref="I1504"/>
    <hyperlink r:id="rId2655" ref="H1505"/>
    <hyperlink r:id="rId2656" ref="I1505"/>
    <hyperlink r:id="rId2657" ref="H1506"/>
    <hyperlink r:id="rId2658" ref="I1506"/>
    <hyperlink r:id="rId2659" ref="H1507"/>
    <hyperlink r:id="rId2660" ref="H1508"/>
    <hyperlink r:id="rId2661" ref="H1509"/>
    <hyperlink r:id="rId2662" ref="I1509"/>
    <hyperlink r:id="rId2663" ref="H1510"/>
    <hyperlink r:id="rId2664" ref="J1510"/>
    <hyperlink r:id="rId2665" ref="H1511"/>
    <hyperlink r:id="rId2666" ref="I1512"/>
    <hyperlink r:id="rId2667" ref="H1513"/>
    <hyperlink r:id="rId2668" ref="H1514"/>
    <hyperlink r:id="rId2669" ref="H1515"/>
    <hyperlink r:id="rId2670" ref="I1515"/>
    <hyperlink r:id="rId2671" ref="H1516"/>
    <hyperlink r:id="rId2672" ref="I1516"/>
    <hyperlink r:id="rId2673" ref="H1517"/>
    <hyperlink r:id="rId2674" ref="J1518"/>
    <hyperlink r:id="rId2675" ref="H1519"/>
    <hyperlink r:id="rId2676" ref="I1519"/>
    <hyperlink r:id="rId2677" ref="H1520"/>
    <hyperlink r:id="rId2678" ref="H1521"/>
    <hyperlink r:id="rId2679" ref="I1521"/>
    <hyperlink r:id="rId2680" ref="H1522"/>
    <hyperlink r:id="rId2681" ref="I1522"/>
    <hyperlink r:id="rId2682" ref="J1523"/>
    <hyperlink r:id="rId2683" ref="J1524"/>
    <hyperlink r:id="rId2684" ref="H1525"/>
    <hyperlink r:id="rId2685" ref="H1526"/>
    <hyperlink r:id="rId2686" ref="J1527"/>
    <hyperlink r:id="rId2687" ref="J1528"/>
    <hyperlink r:id="rId2688" ref="H1529"/>
    <hyperlink r:id="rId2689" ref="I1529"/>
    <hyperlink r:id="rId2690" ref="H1530"/>
    <hyperlink r:id="rId2691" ref="I1530"/>
    <hyperlink r:id="rId2692" ref="H1531"/>
    <hyperlink r:id="rId2693" ref="H1532"/>
    <hyperlink r:id="rId2694" ref="H1533"/>
    <hyperlink r:id="rId2695" ref="I1533"/>
    <hyperlink r:id="rId2696" ref="H1534"/>
    <hyperlink r:id="rId2697" ref="H1535"/>
    <hyperlink r:id="rId2698" ref="I1535"/>
    <hyperlink r:id="rId2699" ref="H1536"/>
    <hyperlink r:id="rId2700" ref="H1537"/>
    <hyperlink r:id="rId2701" ref="H1538"/>
    <hyperlink r:id="rId2702" ref="I1538"/>
    <hyperlink r:id="rId2703" ref="J1539"/>
    <hyperlink r:id="rId2704" ref="H1540"/>
    <hyperlink r:id="rId2705" ref="J1540"/>
    <hyperlink r:id="rId2706" ref="J1541"/>
    <hyperlink r:id="rId2707" ref="J1542"/>
    <hyperlink r:id="rId2708" ref="J1543"/>
    <hyperlink r:id="rId2709" ref="J1544"/>
    <hyperlink r:id="rId2710" ref="J1545"/>
    <hyperlink r:id="rId2711" ref="J1546"/>
    <hyperlink r:id="rId2712" ref="J1547"/>
    <hyperlink r:id="rId2713" ref="J1548"/>
    <hyperlink r:id="rId2714" ref="J1549"/>
    <hyperlink r:id="rId2715" ref="H1550"/>
    <hyperlink r:id="rId2716" ref="H1551"/>
    <hyperlink r:id="rId2717" ref="H1552"/>
    <hyperlink r:id="rId2718" ref="I1552"/>
    <hyperlink r:id="rId2719" ref="H1553"/>
    <hyperlink r:id="rId2720" ref="H1554"/>
    <hyperlink r:id="rId2721" ref="H1555"/>
    <hyperlink r:id="rId2722" ref="J1555"/>
    <hyperlink r:id="rId2723" ref="H1556"/>
    <hyperlink r:id="rId2724" ref="H1558"/>
    <hyperlink r:id="rId2725" ref="H1559"/>
    <hyperlink r:id="rId2726" ref="H1560"/>
    <hyperlink r:id="rId2727" ref="H1561"/>
    <hyperlink r:id="rId2728" ref="J1561"/>
    <hyperlink r:id="rId2729" ref="H1562"/>
    <hyperlink r:id="rId2730" ref="I1562"/>
    <hyperlink r:id="rId2731" ref="H1563"/>
    <hyperlink r:id="rId2732" ref="H1564"/>
    <hyperlink r:id="rId2733" ref="H1565"/>
    <hyperlink r:id="rId2734" ref="H1566"/>
    <hyperlink r:id="rId2735" ref="I1566"/>
    <hyperlink r:id="rId2736" ref="H1567"/>
    <hyperlink r:id="rId2737" ref="I1567"/>
    <hyperlink r:id="rId2738" ref="H1568"/>
    <hyperlink r:id="rId2739" ref="J1569"/>
    <hyperlink r:id="rId2740" ref="J1570"/>
    <hyperlink r:id="rId2741" ref="H1571"/>
    <hyperlink r:id="rId2742" ref="I1571"/>
    <hyperlink r:id="rId2743" ref="H1572"/>
    <hyperlink r:id="rId2744" ref="H1573"/>
    <hyperlink r:id="rId2745" ref="I1573"/>
    <hyperlink r:id="rId2746" ref="H1574"/>
    <hyperlink r:id="rId2747" ref="H1575"/>
    <hyperlink r:id="rId2748" ref="H1576"/>
    <hyperlink r:id="rId2749" ref="H1577"/>
    <hyperlink r:id="rId2750" ref="H1578"/>
    <hyperlink r:id="rId2751" ref="J1579"/>
    <hyperlink r:id="rId2752" ref="H1580"/>
    <hyperlink r:id="rId2753" ref="H1581"/>
    <hyperlink r:id="rId2754" ref="H1582"/>
    <hyperlink r:id="rId2755" ref="I1582"/>
    <hyperlink r:id="rId2756" ref="H1583"/>
    <hyperlink r:id="rId2757" ref="I1583"/>
    <hyperlink r:id="rId2758" ref="J1584"/>
    <hyperlink r:id="rId2759" ref="H1585"/>
    <hyperlink r:id="rId2760" ref="I1585"/>
    <hyperlink r:id="rId2761" ref="H1586"/>
    <hyperlink r:id="rId2762" ref="I1586"/>
    <hyperlink r:id="rId2763" ref="H1587"/>
    <hyperlink r:id="rId2764" ref="I1587"/>
    <hyperlink r:id="rId2765" ref="J1588"/>
    <hyperlink r:id="rId2766" ref="H1589"/>
    <hyperlink r:id="rId2767" ref="H1590"/>
    <hyperlink r:id="rId2768" ref="H1591"/>
    <hyperlink r:id="rId2769" ref="I1591"/>
    <hyperlink r:id="rId2770" ref="H1592"/>
    <hyperlink r:id="rId2771" ref="J1593"/>
    <hyperlink r:id="rId2772" ref="H1594"/>
    <hyperlink r:id="rId2773" ref="J1594"/>
    <hyperlink r:id="rId2774" ref="H1595"/>
    <hyperlink r:id="rId2775" ref="H1596"/>
    <hyperlink r:id="rId2776" ref="H1597"/>
    <hyperlink r:id="rId2777" ref="H1598"/>
    <hyperlink r:id="rId2778" ref="H1599"/>
    <hyperlink r:id="rId2779" ref="J1600"/>
    <hyperlink r:id="rId2780" ref="H1601"/>
    <hyperlink r:id="rId2781" ref="H1602"/>
    <hyperlink r:id="rId2782" ref="I1602"/>
    <hyperlink r:id="rId2783" ref="H1603"/>
    <hyperlink r:id="rId2784" ref="I1604"/>
    <hyperlink r:id="rId2785" ref="H1605"/>
    <hyperlink r:id="rId2786" ref="I1605"/>
    <hyperlink r:id="rId2787" ref="H1606"/>
    <hyperlink r:id="rId2788" ref="I1606"/>
    <hyperlink r:id="rId2789" ref="H1607"/>
    <hyperlink r:id="rId2790" ref="H1608"/>
    <hyperlink r:id="rId2791" ref="I1608"/>
    <hyperlink r:id="rId2792" ref="H1609"/>
    <hyperlink r:id="rId2793" ref="H1610"/>
    <hyperlink r:id="rId2794" ref="I1610"/>
    <hyperlink r:id="rId2795" ref="H1611"/>
    <hyperlink r:id="rId2796" ref="I1611"/>
    <hyperlink r:id="rId2797" ref="H1612"/>
    <hyperlink r:id="rId2798" ref="I1612"/>
    <hyperlink r:id="rId2799" ref="H1613"/>
    <hyperlink r:id="rId2800" ref="I1613"/>
    <hyperlink r:id="rId2801" ref="H1614"/>
    <hyperlink r:id="rId2802" ref="H1615"/>
    <hyperlink r:id="rId2803" ref="H1616"/>
    <hyperlink r:id="rId2804" ref="I1616"/>
    <hyperlink r:id="rId2805" ref="H1617"/>
    <hyperlink r:id="rId2806" ref="I1617"/>
    <hyperlink r:id="rId2807" ref="H1618"/>
    <hyperlink r:id="rId2808" ref="H1619"/>
    <hyperlink r:id="rId2809" ref="H1620"/>
    <hyperlink r:id="rId2810" ref="I1620"/>
    <hyperlink r:id="rId2811" ref="H1621"/>
    <hyperlink r:id="rId2812" ref="H1622"/>
    <hyperlink r:id="rId2813" ref="I1622"/>
    <hyperlink r:id="rId2814" ref="H1623"/>
    <hyperlink r:id="rId2815" ref="H1624"/>
    <hyperlink r:id="rId2816" ref="H1625"/>
    <hyperlink r:id="rId2817" ref="I1625"/>
    <hyperlink r:id="rId2818" ref="H1626"/>
    <hyperlink r:id="rId2819" ref="I1626"/>
    <hyperlink r:id="rId2820" ref="H1627"/>
    <hyperlink r:id="rId2821" ref="H1628"/>
    <hyperlink r:id="rId2822" ref="H1629"/>
    <hyperlink r:id="rId2823" ref="J1630"/>
    <hyperlink r:id="rId2824" ref="H1631"/>
    <hyperlink r:id="rId2825" ref="I1631"/>
    <hyperlink r:id="rId2826" ref="H1632"/>
    <hyperlink r:id="rId2827" ref="I1632"/>
    <hyperlink r:id="rId2828" ref="J1633"/>
    <hyperlink r:id="rId2829" ref="H1634"/>
    <hyperlink r:id="rId2830" ref="H1635"/>
    <hyperlink r:id="rId2831" ref="H1636"/>
    <hyperlink r:id="rId2832" ref="I1636"/>
    <hyperlink r:id="rId2833" ref="H1637"/>
    <hyperlink r:id="rId2834" ref="H1638"/>
    <hyperlink r:id="rId2835" ref="I1638"/>
    <hyperlink r:id="rId2836" ref="H1639"/>
    <hyperlink r:id="rId2837" ref="H1640"/>
    <hyperlink r:id="rId2838" ref="J1641"/>
    <hyperlink r:id="rId2839" ref="J1642"/>
    <hyperlink r:id="rId2840" ref="J1643"/>
    <hyperlink r:id="rId2841" ref="J1644"/>
    <hyperlink r:id="rId2842" ref="J1645"/>
    <hyperlink r:id="rId2843" ref="J1646"/>
    <hyperlink r:id="rId2844" ref="J1647"/>
    <hyperlink r:id="rId2845" ref="J1648"/>
    <hyperlink r:id="rId2846" ref="J1649"/>
    <hyperlink r:id="rId2847" ref="J1650"/>
    <hyperlink r:id="rId2848" ref="J1651"/>
    <hyperlink r:id="rId2849" ref="H1652"/>
    <hyperlink r:id="rId2850" ref="H1653"/>
    <hyperlink r:id="rId2851" ref="J1653"/>
    <hyperlink r:id="rId2852" ref="H1654"/>
    <hyperlink r:id="rId2853" ref="H1655"/>
    <hyperlink r:id="rId2854" ref="H1656"/>
    <hyperlink r:id="rId2855" ref="H1657"/>
    <hyperlink r:id="rId2856" ref="H1658"/>
    <hyperlink r:id="rId2857" ref="H1659"/>
    <hyperlink r:id="rId2858" ref="H1660"/>
    <hyperlink r:id="rId2859" ref="J1660"/>
    <hyperlink r:id="rId2860" ref="H1661"/>
    <hyperlink r:id="rId2861" ref="H1662"/>
    <hyperlink r:id="rId2862" ref="H1663"/>
    <hyperlink r:id="rId2863" ref="H1664"/>
    <hyperlink r:id="rId2864" ref="H1665"/>
    <hyperlink r:id="rId2865" ref="J1665"/>
    <hyperlink r:id="rId2866" ref="H1666"/>
    <hyperlink r:id="rId2867" ref="J1666"/>
    <hyperlink r:id="rId2868" ref="H1667"/>
    <hyperlink r:id="rId2869" ref="J1667"/>
    <hyperlink r:id="rId2870" ref="H1668"/>
    <hyperlink r:id="rId2871" ref="J1668"/>
    <hyperlink r:id="rId2872" ref="H1669"/>
    <hyperlink r:id="rId2873" ref="H1670"/>
    <hyperlink r:id="rId2874" ref="H1671"/>
    <hyperlink r:id="rId2875" ref="J1671"/>
    <hyperlink r:id="rId2876" ref="H1672"/>
    <hyperlink r:id="rId2877" ref="H1673"/>
    <hyperlink r:id="rId2878" ref="H1674"/>
    <hyperlink r:id="rId2879" ref="J1674"/>
    <hyperlink r:id="rId2880" ref="H1675"/>
    <hyperlink r:id="rId2881" ref="H1676"/>
    <hyperlink r:id="rId2882" ref="J1676"/>
    <hyperlink r:id="rId2883" ref="H1677"/>
    <hyperlink r:id="rId2884" ref="J1677"/>
    <hyperlink r:id="rId2885" ref="H1678"/>
    <hyperlink r:id="rId2886" ref="J1678"/>
    <hyperlink r:id="rId2887" ref="H1679"/>
    <hyperlink r:id="rId2888" ref="J1679"/>
    <hyperlink r:id="rId2889" ref="H1680"/>
    <hyperlink r:id="rId2890" ref="H1681"/>
    <hyperlink r:id="rId2891" ref="H1682"/>
    <hyperlink r:id="rId2892" ref="H1683"/>
    <hyperlink r:id="rId2893" ref="H1684"/>
    <hyperlink r:id="rId2894" ref="H1685"/>
    <hyperlink r:id="rId2895" ref="J1685"/>
    <hyperlink r:id="rId2896" ref="H1686"/>
    <hyperlink r:id="rId2897" ref="H1687"/>
    <hyperlink r:id="rId2898" ref="H1688"/>
    <hyperlink r:id="rId2899" ref="J1688"/>
    <hyperlink r:id="rId2900" ref="H1689"/>
    <hyperlink r:id="rId2901" ref="H1690"/>
    <hyperlink r:id="rId2902" ref="H1691"/>
    <hyperlink r:id="rId2903" ref="H1692"/>
    <hyperlink r:id="rId2904" ref="H1693"/>
    <hyperlink r:id="rId2905" ref="H1694"/>
    <hyperlink r:id="rId2906" ref="H1695"/>
    <hyperlink r:id="rId2907" ref="H1696"/>
    <hyperlink r:id="rId2908" ref="H1697"/>
    <hyperlink r:id="rId2909" ref="J1697"/>
    <hyperlink r:id="rId2910" ref="H1698"/>
    <hyperlink r:id="rId2911" ref="H1699"/>
    <hyperlink r:id="rId2912" ref="H1700"/>
    <hyperlink r:id="rId2913" ref="H1701"/>
    <hyperlink r:id="rId2914" ref="H1702"/>
    <hyperlink r:id="rId2915" ref="H1703"/>
    <hyperlink r:id="rId2916" ref="H1704"/>
    <hyperlink r:id="rId2917" ref="I1704"/>
    <hyperlink r:id="rId2918" ref="H1705"/>
    <hyperlink r:id="rId2919" ref="J1705"/>
    <hyperlink r:id="rId2920" ref="H1706"/>
    <hyperlink r:id="rId2921" ref="H1707"/>
    <hyperlink r:id="rId2922" ref="I1707"/>
    <hyperlink r:id="rId2923" ref="H1708"/>
    <hyperlink r:id="rId2924" ref="I1708"/>
    <hyperlink r:id="rId2925" ref="J1708"/>
    <hyperlink r:id="rId2926" ref="H1709"/>
    <hyperlink r:id="rId2927" ref="J1709"/>
    <hyperlink r:id="rId2928" ref="H1710"/>
    <hyperlink r:id="rId2929" ref="J1710"/>
    <hyperlink r:id="rId2930" ref="H1711"/>
    <hyperlink r:id="rId2931" ref="H1712"/>
    <hyperlink r:id="rId2932" ref="H1713"/>
    <hyperlink r:id="rId2933" ref="J1713"/>
    <hyperlink r:id="rId2934" ref="H1714"/>
    <hyperlink r:id="rId2935" ref="H1715"/>
    <hyperlink r:id="rId2936" ref="J1716"/>
    <hyperlink r:id="rId2937" ref="H1717"/>
    <hyperlink r:id="rId2938" ref="I1717"/>
    <hyperlink r:id="rId2939" ref="H1718"/>
    <hyperlink r:id="rId2940" ref="H1719"/>
    <hyperlink r:id="rId2941" ref="I1720"/>
    <hyperlink r:id="rId2942" ref="H1721"/>
    <hyperlink r:id="rId2943" ref="I1721"/>
    <hyperlink r:id="rId2944" ref="H1722"/>
    <hyperlink r:id="rId2945" ref="H1723"/>
    <hyperlink r:id="rId2946" ref="H1724"/>
    <hyperlink r:id="rId2947" ref="H1725"/>
    <hyperlink r:id="rId2948" ref="H1726"/>
    <hyperlink r:id="rId2949" ref="I1726"/>
    <hyperlink r:id="rId2950" ref="H1727"/>
    <hyperlink r:id="rId2951" ref="H1728"/>
    <hyperlink r:id="rId2952" ref="H1729"/>
    <hyperlink r:id="rId2953" ref="I1729"/>
    <hyperlink r:id="rId2954" ref="H1730"/>
    <hyperlink r:id="rId2955" ref="H1731"/>
    <hyperlink r:id="rId2956" ref="H1732"/>
    <hyperlink r:id="rId2957" ref="H1733"/>
    <hyperlink r:id="rId2958" ref="I1733"/>
    <hyperlink r:id="rId2959" ref="H1734"/>
    <hyperlink r:id="rId2960" ref="H1735"/>
    <hyperlink r:id="rId2961" ref="H1736"/>
    <hyperlink r:id="rId2962" ref="H1737"/>
    <hyperlink r:id="rId2963" ref="H1738"/>
    <hyperlink r:id="rId2964" ref="H1739"/>
    <hyperlink r:id="rId2965" ref="H1740"/>
    <hyperlink r:id="rId2966" ref="I1740"/>
    <hyperlink r:id="rId2967" ref="H1741"/>
    <hyperlink r:id="rId2968" ref="H1742"/>
    <hyperlink r:id="rId2969" ref="H1743"/>
    <hyperlink r:id="rId2970" ref="H1744"/>
    <hyperlink r:id="rId2971" ref="I1744"/>
    <hyperlink r:id="rId2972" ref="H1745"/>
    <hyperlink r:id="rId2973" ref="H1746"/>
    <hyperlink r:id="rId2974" ref="H1747"/>
    <hyperlink r:id="rId2975" ref="I1747"/>
    <hyperlink r:id="rId2976" ref="J1747"/>
    <hyperlink r:id="rId2977" ref="K1747"/>
    <hyperlink r:id="rId2978" ref="H1748"/>
    <hyperlink r:id="rId2979" ref="I1748"/>
    <hyperlink r:id="rId2980" ref="H1749"/>
    <hyperlink r:id="rId2981" ref="H1750"/>
    <hyperlink r:id="rId2982" ref="H1751"/>
    <hyperlink r:id="rId2983" ref="H1752"/>
    <hyperlink r:id="rId2984" ref="H1753"/>
    <hyperlink r:id="rId2985" ref="H1754"/>
    <hyperlink r:id="rId2986" ref="J1754"/>
    <hyperlink r:id="rId2987" ref="H1755"/>
    <hyperlink r:id="rId2988" ref="I1755"/>
    <hyperlink r:id="rId2989" ref="H1756"/>
    <hyperlink r:id="rId2990" ref="I1756"/>
    <hyperlink r:id="rId2991" ref="H1757"/>
    <hyperlink r:id="rId2992" ref="H1758"/>
    <hyperlink r:id="rId2993" ref="H1759"/>
    <hyperlink r:id="rId2994" ref="H1760"/>
    <hyperlink r:id="rId2995" ref="H1761"/>
    <hyperlink r:id="rId2996" ref="I1761"/>
    <hyperlink r:id="rId2997" ref="H1762"/>
    <hyperlink r:id="rId2998" ref="J1762"/>
    <hyperlink r:id="rId2999" ref="I1763"/>
    <hyperlink r:id="rId3000" ref="H1764"/>
    <hyperlink r:id="rId3001" ref="H1765"/>
    <hyperlink r:id="rId3002" ref="J1765"/>
    <hyperlink r:id="rId3003" ref="H1766"/>
    <hyperlink r:id="rId3004" ref="H1767"/>
    <hyperlink r:id="rId3005" ref="H1768"/>
    <hyperlink r:id="rId3006" ref="H1769"/>
    <hyperlink r:id="rId3007" ref="H1770"/>
    <hyperlink r:id="rId3008" ref="H1771"/>
    <hyperlink r:id="rId3009" ref="H1772"/>
    <hyperlink r:id="rId3010" ref="I1772"/>
    <hyperlink r:id="rId3011" ref="H1773"/>
    <hyperlink r:id="rId3012" ref="I1773"/>
    <hyperlink r:id="rId3013" ref="H1774"/>
    <hyperlink r:id="rId3014" ref="I1774"/>
    <hyperlink r:id="rId3015" ref="H1775"/>
    <hyperlink r:id="rId3016" ref="I1775"/>
    <hyperlink r:id="rId3017" ref="H1776"/>
    <hyperlink r:id="rId3018" ref="J1776"/>
    <hyperlink r:id="rId3019" ref="H1777"/>
    <hyperlink r:id="rId3020" ref="H1778"/>
    <hyperlink r:id="rId3021" ref="J1778"/>
    <hyperlink r:id="rId3022" ref="H1779"/>
    <hyperlink r:id="rId3023" ref="J1779"/>
    <hyperlink r:id="rId3024" ref="H1780"/>
    <hyperlink r:id="rId3025" ref="H1781"/>
    <hyperlink r:id="rId3026" ref="I1781"/>
    <hyperlink r:id="rId3027" ref="H1782"/>
    <hyperlink r:id="rId3028" ref="I1782"/>
    <hyperlink r:id="rId3029" ref="H1783"/>
    <hyperlink r:id="rId3030" ref="H1784"/>
    <hyperlink r:id="rId3031" ref="I1784"/>
    <hyperlink r:id="rId3032" ref="H1785"/>
    <hyperlink r:id="rId3033" ref="H1786"/>
    <hyperlink r:id="rId3034" ref="I1786"/>
    <hyperlink r:id="rId3035" ref="J1786"/>
    <hyperlink r:id="rId3036" ref="H1787"/>
    <hyperlink r:id="rId3037" ref="H1788"/>
    <hyperlink r:id="rId3038" ref="J1788"/>
    <hyperlink r:id="rId3039" ref="J1789"/>
    <hyperlink r:id="rId3040" ref="H1790"/>
    <hyperlink r:id="rId3041" ref="H1791"/>
    <hyperlink r:id="rId3042" ref="H1792"/>
    <hyperlink r:id="rId3043" ref="H1793"/>
    <hyperlink r:id="rId3044" ref="H1794"/>
    <hyperlink r:id="rId3045" ref="J1794"/>
    <hyperlink r:id="rId3046" ref="H1795"/>
    <hyperlink r:id="rId3047" ref="H1796"/>
    <hyperlink r:id="rId3048" ref="J1796"/>
    <hyperlink r:id="rId3049" ref="H1797"/>
    <hyperlink r:id="rId3050" ref="H1798"/>
    <hyperlink r:id="rId3051" ref="H1799"/>
    <hyperlink r:id="rId3052" ref="I1799"/>
    <hyperlink r:id="rId3053" ref="H1800"/>
    <hyperlink r:id="rId3054" ref="I1800"/>
    <hyperlink r:id="rId3055" ref="J1800"/>
    <hyperlink r:id="rId3056" ref="H1801"/>
    <hyperlink r:id="rId3057" ref="J1801"/>
    <hyperlink r:id="rId3058" ref="H1802"/>
    <hyperlink r:id="rId3059" ref="I1802"/>
    <hyperlink r:id="rId3060" ref="H1803"/>
    <hyperlink r:id="rId3061" ref="J1804"/>
    <hyperlink r:id="rId3062" ref="H1805"/>
    <hyperlink r:id="rId3063" ref="I1805"/>
    <hyperlink r:id="rId3064" ref="H1806"/>
    <hyperlink r:id="rId3065" ref="I1806"/>
    <hyperlink r:id="rId3066" ref="J1806"/>
    <hyperlink r:id="rId3067" ref="H1807"/>
    <hyperlink r:id="rId3068" ref="H1808"/>
    <hyperlink r:id="rId3069" ref="H1809"/>
    <hyperlink r:id="rId3070" ref="H1810"/>
    <hyperlink r:id="rId3071" ref="I1810"/>
    <hyperlink r:id="rId3072" ref="H1811"/>
    <hyperlink r:id="rId3073" ref="J1811"/>
    <hyperlink r:id="rId3074" ref="H1812"/>
    <hyperlink r:id="rId3075" ref="I1812"/>
    <hyperlink r:id="rId3076" ref="H1813"/>
    <hyperlink r:id="rId3077" ref="H1814"/>
    <hyperlink r:id="rId3078" ref="H1815"/>
    <hyperlink r:id="rId3079" ref="I1815"/>
    <hyperlink r:id="rId3080" ref="H1816"/>
    <hyperlink r:id="rId3081" ref="I1816"/>
    <hyperlink r:id="rId3082" ref="H1817"/>
    <hyperlink r:id="rId3083" ref="H1818"/>
    <hyperlink r:id="rId3084" ref="H1819"/>
    <hyperlink r:id="rId3085" ref="I1819"/>
    <hyperlink r:id="rId3086" ref="J1819"/>
    <hyperlink r:id="rId3087" ref="H1820"/>
    <hyperlink r:id="rId3088" ref="H1821"/>
    <hyperlink r:id="rId3089" ref="H1822"/>
    <hyperlink r:id="rId3090" ref="H1823"/>
    <hyperlink r:id="rId3091" ref="H1824"/>
    <hyperlink r:id="rId3092" ref="I1824"/>
    <hyperlink r:id="rId3093" ref="J1825"/>
    <hyperlink r:id="rId3094" ref="H1826"/>
    <hyperlink r:id="rId3095" ref="I1826"/>
    <hyperlink r:id="rId3096" ref="H1827"/>
    <hyperlink r:id="rId3097" ref="I1827"/>
    <hyperlink r:id="rId3098" ref="H1828"/>
    <hyperlink r:id="rId3099" ref="I1828"/>
    <hyperlink r:id="rId3100" ref="H1829"/>
    <hyperlink r:id="rId3101" ref="I1829"/>
    <hyperlink r:id="rId3102" ref="H1830"/>
    <hyperlink r:id="rId3103" ref="J1830"/>
    <hyperlink r:id="rId3104" ref="H1831"/>
    <hyperlink r:id="rId3105" ref="I1831"/>
    <hyperlink r:id="rId3106" ref="J1832"/>
    <hyperlink r:id="rId3107" ref="H1833"/>
    <hyperlink r:id="rId3108" ref="I1833"/>
    <hyperlink r:id="rId3109" ref="H1834"/>
    <hyperlink r:id="rId3110" ref="H1835"/>
    <hyperlink r:id="rId3111" ref="J1836"/>
    <hyperlink r:id="rId3112" ref="H1837"/>
    <hyperlink r:id="rId3113" ref="I1837"/>
    <hyperlink r:id="rId3114" ref="J1837"/>
    <hyperlink r:id="rId3115" ref="H1838"/>
    <hyperlink r:id="rId3116" ref="H1839"/>
    <hyperlink r:id="rId3117" ref="H1840"/>
    <hyperlink r:id="rId3118" ref="I1840"/>
    <hyperlink r:id="rId3119" ref="H1841"/>
    <hyperlink r:id="rId3120" ref="I1842"/>
    <hyperlink r:id="rId3121" ref="H1843"/>
    <hyperlink r:id="rId3122" ref="H1844"/>
    <hyperlink r:id="rId3123" ref="J1844"/>
    <hyperlink r:id="rId3124" ref="H1845"/>
    <hyperlink r:id="rId3125" ref="I1845"/>
    <hyperlink r:id="rId3126" ref="H1846"/>
    <hyperlink r:id="rId3127" ref="J1846"/>
    <hyperlink r:id="rId3128" ref="H1847"/>
    <hyperlink r:id="rId3129" ref="H1848"/>
    <hyperlink r:id="rId3130" ref="I1848"/>
    <hyperlink r:id="rId3131" ref="H1849"/>
    <hyperlink r:id="rId3132" ref="J1849"/>
    <hyperlink r:id="rId3133" ref="H1850"/>
    <hyperlink r:id="rId3134" ref="H1851"/>
    <hyperlink r:id="rId3135" ref="H1852"/>
    <hyperlink r:id="rId3136" ref="I1852"/>
    <hyperlink r:id="rId3137" ref="H1853"/>
    <hyperlink r:id="rId3138" ref="I1853"/>
    <hyperlink r:id="rId3139" ref="J1854"/>
    <hyperlink r:id="rId3140" ref="H1855"/>
    <hyperlink r:id="rId3141" ref="H1856"/>
    <hyperlink r:id="rId3142" ref="J1857"/>
    <hyperlink r:id="rId3143" ref="H1858"/>
    <hyperlink r:id="rId3144" ref="H1859"/>
    <hyperlink r:id="rId3145" ref="J1859"/>
    <hyperlink r:id="rId3146" ref="H1860"/>
    <hyperlink r:id="rId3147" ref="H1861"/>
    <hyperlink r:id="rId3148" ref="H1862"/>
    <hyperlink r:id="rId3149" ref="I1862"/>
    <hyperlink r:id="rId3150" ref="H1863"/>
    <hyperlink r:id="rId3151" ref="H1864"/>
    <hyperlink r:id="rId3152" ref="H1865"/>
    <hyperlink r:id="rId3153" ref="H1866"/>
    <hyperlink r:id="rId3154" ref="H1867"/>
    <hyperlink r:id="rId3155" ref="H1868"/>
    <hyperlink r:id="rId3156" ref="H1869"/>
    <hyperlink r:id="rId3157" ref="I1869"/>
    <hyperlink r:id="rId3158" ref="J1869"/>
    <hyperlink r:id="rId3159" ref="H1870"/>
    <hyperlink r:id="rId3160" ref="I1870"/>
    <hyperlink r:id="rId3161" ref="H1871"/>
    <hyperlink r:id="rId3162" ref="J1872"/>
    <hyperlink r:id="rId3163" ref="H1873"/>
    <hyperlink r:id="rId3164" ref="I1873"/>
    <hyperlink r:id="rId3165" ref="H1874"/>
    <hyperlink r:id="rId3166" ref="H1875"/>
    <hyperlink r:id="rId3167" ref="I1875"/>
    <hyperlink r:id="rId3168" ref="J1875"/>
    <hyperlink r:id="rId3169" ref="H1876"/>
    <hyperlink r:id="rId3170" ref="H1877"/>
    <hyperlink r:id="rId3171" ref="J1877"/>
    <hyperlink r:id="rId3172" ref="H1878"/>
    <hyperlink r:id="rId3173" ref="I1878"/>
    <hyperlink r:id="rId3174" ref="J1879"/>
    <hyperlink r:id="rId3175" ref="H1880"/>
    <hyperlink r:id="rId3176" ref="H1881"/>
    <hyperlink r:id="rId3177" ref="I1881"/>
    <hyperlink r:id="rId3178" ref="H1882"/>
    <hyperlink r:id="rId3179" ref="H1883"/>
    <hyperlink r:id="rId3180" ref="H1884"/>
    <hyperlink r:id="rId3181" ref="I1884"/>
    <hyperlink r:id="rId3182" ref="H1885"/>
    <hyperlink r:id="rId3183" ref="H1886"/>
    <hyperlink r:id="rId3184" ref="H1887"/>
    <hyperlink r:id="rId3185" ref="H1888"/>
    <hyperlink r:id="rId3186" ref="H1889"/>
    <hyperlink r:id="rId3187" ref="H1890"/>
    <hyperlink r:id="rId3188" ref="H1891"/>
    <hyperlink r:id="rId3189" ref="H1892"/>
    <hyperlink r:id="rId3190" ref="H1893"/>
    <hyperlink r:id="rId3191" ref="H1894"/>
    <hyperlink r:id="rId3192" ref="H1895"/>
    <hyperlink r:id="rId3193" ref="J1895"/>
    <hyperlink r:id="rId3194" ref="H1896"/>
    <hyperlink r:id="rId3195" ref="H1897"/>
    <hyperlink r:id="rId3196" ref="I1897"/>
    <hyperlink r:id="rId3197" ref="H1898"/>
    <hyperlink r:id="rId3198" ref="H1899"/>
    <hyperlink r:id="rId3199" ref="J1899"/>
    <hyperlink r:id="rId3200" ref="H1900"/>
    <hyperlink r:id="rId3201" ref="I1900"/>
    <hyperlink r:id="rId3202" ref="H1901"/>
    <hyperlink r:id="rId3203" ref="I1901"/>
    <hyperlink r:id="rId3204" ref="H1902"/>
    <hyperlink r:id="rId3205" ref="I1902"/>
    <hyperlink r:id="rId3206" ref="H1903"/>
    <hyperlink r:id="rId3207" ref="H1904"/>
    <hyperlink r:id="rId3208" ref="H1905"/>
    <hyperlink r:id="rId3209" ref="H1906"/>
    <hyperlink r:id="rId3210" ref="H1907"/>
    <hyperlink r:id="rId3211" ref="H1908"/>
    <hyperlink r:id="rId3212" ref="H1909"/>
    <hyperlink r:id="rId3213" ref="H1910"/>
    <hyperlink r:id="rId3214" ref="J1910"/>
    <hyperlink r:id="rId3215" ref="H1911"/>
    <hyperlink r:id="rId3216" ref="H1912"/>
    <hyperlink r:id="rId3217" ref="I1912"/>
    <hyperlink r:id="rId3218" ref="J1913"/>
    <hyperlink r:id="rId3219" ref="H1914"/>
    <hyperlink r:id="rId3220" ref="H1915"/>
    <hyperlink r:id="rId3221" ref="H1916"/>
    <hyperlink r:id="rId3222" ref="I1916"/>
    <hyperlink r:id="rId3223" ref="H1917"/>
    <hyperlink r:id="rId3224" ref="I1917"/>
    <hyperlink r:id="rId3225" ref="H1918"/>
    <hyperlink r:id="rId3226" ref="I1918"/>
    <hyperlink r:id="rId3227" ref="I1919"/>
    <hyperlink r:id="rId3228" ref="J1919"/>
    <hyperlink r:id="rId3229" ref="H1920"/>
    <hyperlink r:id="rId3230" ref="H1921"/>
    <hyperlink r:id="rId3231" ref="H1922"/>
    <hyperlink r:id="rId3232" ref="H1923"/>
    <hyperlink r:id="rId3233" ref="H1924"/>
    <hyperlink r:id="rId3234" ref="I1924"/>
    <hyperlink r:id="rId3235" ref="H1925"/>
    <hyperlink r:id="rId3236" ref="I1925"/>
    <hyperlink r:id="rId3237" ref="H1926"/>
    <hyperlink r:id="rId3238" ref="I1926"/>
    <hyperlink r:id="rId3239" ref="H1927"/>
    <hyperlink r:id="rId3240" ref="H1928"/>
    <hyperlink r:id="rId3241" ref="I1928"/>
    <hyperlink r:id="rId3242" ref="H1929"/>
    <hyperlink r:id="rId3243" ref="J1929"/>
    <hyperlink r:id="rId3244" ref="H1930"/>
    <hyperlink r:id="rId3245" ref="I1930"/>
    <hyperlink r:id="rId3246" ref="H1931"/>
    <hyperlink r:id="rId3247" ref="I1931"/>
    <hyperlink r:id="rId3248" ref="J1931"/>
    <hyperlink r:id="rId3249" ref="H1932"/>
    <hyperlink r:id="rId3250" ref="J1933"/>
    <hyperlink r:id="rId3251" ref="J1934"/>
    <hyperlink r:id="rId3252" ref="H1935"/>
    <hyperlink r:id="rId3253" ref="H1936"/>
    <hyperlink r:id="rId3254" ref="H1937"/>
    <hyperlink r:id="rId3255" ref="I1938"/>
    <hyperlink r:id="rId3256" ref="H1939"/>
    <hyperlink r:id="rId3257" ref="H1940"/>
    <hyperlink r:id="rId3258" ref="I1940"/>
    <hyperlink r:id="rId3259" ref="J1940"/>
    <hyperlink r:id="rId3260" ref="H1941"/>
    <hyperlink r:id="rId3261" ref="I1941"/>
    <hyperlink r:id="rId3262" ref="H1942"/>
    <hyperlink r:id="rId3263" ref="H1943"/>
    <hyperlink r:id="rId3264" ref="H1944"/>
    <hyperlink r:id="rId3265" ref="I1944"/>
    <hyperlink r:id="rId3266" ref="H1945"/>
    <hyperlink r:id="rId3267" ref="I1945"/>
    <hyperlink r:id="rId3268" ref="H1946"/>
    <hyperlink r:id="rId3269" ref="H1947"/>
    <hyperlink r:id="rId3270" ref="I1947"/>
    <hyperlink r:id="rId3271" ref="H1948"/>
    <hyperlink r:id="rId3272" ref="H1949"/>
    <hyperlink r:id="rId3273" ref="H1950"/>
    <hyperlink r:id="rId3274" ref="I1950"/>
    <hyperlink r:id="rId3275" ref="H1951"/>
    <hyperlink r:id="rId3276" ref="H1952"/>
    <hyperlink r:id="rId3277" ref="I1952"/>
    <hyperlink r:id="rId3278" ref="H1953"/>
    <hyperlink r:id="rId3279" ref="H1954"/>
    <hyperlink r:id="rId3280" ref="J1955"/>
    <hyperlink r:id="rId3281" ref="J1956"/>
    <hyperlink r:id="rId3282" ref="J1957"/>
    <hyperlink r:id="rId3283" ref="J1958"/>
    <hyperlink r:id="rId3284" ref="H1959"/>
    <hyperlink r:id="rId3285" ref="I1959"/>
    <hyperlink r:id="rId3286" ref="H1960"/>
    <hyperlink r:id="rId3287" ref="I1960"/>
    <hyperlink r:id="rId3288" ref="H1961"/>
    <hyperlink r:id="rId3289" ref="H1962"/>
    <hyperlink r:id="rId3290" ref="H1963"/>
    <hyperlink r:id="rId3291" ref="H1964"/>
    <hyperlink r:id="rId3292" ref="H1965"/>
    <hyperlink r:id="rId3293" ref="H1966"/>
    <hyperlink r:id="rId3294" ref="H1967"/>
    <hyperlink r:id="rId3295" ref="I1968"/>
    <hyperlink r:id="rId3296" ref="H1969"/>
    <hyperlink r:id="rId3297" ref="H1970"/>
    <hyperlink r:id="rId3298" ref="H1971"/>
    <hyperlink r:id="rId3299" ref="J1972"/>
    <hyperlink r:id="rId3300" ref="H1973"/>
    <hyperlink r:id="rId3301" ref="H1974"/>
    <hyperlink r:id="rId3302" ref="H1975"/>
    <hyperlink r:id="rId3303" ref="H1976"/>
    <hyperlink r:id="rId3304" ref="H1977"/>
    <hyperlink r:id="rId3305" ref="H1978"/>
    <hyperlink r:id="rId3306" ref="I1978"/>
    <hyperlink r:id="rId3307" ref="H1979"/>
    <hyperlink r:id="rId3308" ref="I1979"/>
    <hyperlink r:id="rId3309" ref="H1980"/>
    <hyperlink r:id="rId3310" ref="H1981"/>
    <hyperlink r:id="rId3311" ref="H1982"/>
    <hyperlink r:id="rId3312" ref="I1982"/>
    <hyperlink r:id="rId3313" ref="H1983"/>
    <hyperlink r:id="rId3314" ref="H1984"/>
    <hyperlink r:id="rId3315" ref="J1984"/>
    <hyperlink r:id="rId3316" ref="H1985"/>
    <hyperlink r:id="rId3317" ref="H1986"/>
    <hyperlink r:id="rId3318" ref="H1987"/>
    <hyperlink r:id="rId3319" ref="J1987"/>
    <hyperlink r:id="rId3320" ref="H1988"/>
    <hyperlink r:id="rId3321" ref="I1988"/>
    <hyperlink r:id="rId3322" ref="H1989"/>
    <hyperlink r:id="rId3323" ref="I1990"/>
    <hyperlink r:id="rId3324" ref="H1991"/>
    <hyperlink r:id="rId3325" ref="H1992"/>
    <hyperlink r:id="rId3326" ref="H1993"/>
    <hyperlink r:id="rId3327" ref="H1994"/>
    <hyperlink r:id="rId3328" ref="H1995"/>
    <hyperlink r:id="rId3329" ref="I1995"/>
    <hyperlink r:id="rId3330" ref="H1996"/>
    <hyperlink r:id="rId3331" ref="I1996"/>
    <hyperlink r:id="rId3332" ref="H1997"/>
    <hyperlink r:id="rId3333" ref="H1998"/>
    <hyperlink r:id="rId3334" ref="H1999"/>
    <hyperlink r:id="rId3335" ref="H2000"/>
    <hyperlink r:id="rId3336" ref="H2001"/>
    <hyperlink r:id="rId3337" ref="I2001"/>
    <hyperlink r:id="rId3338" ref="I2002"/>
    <hyperlink r:id="rId3339" ref="H2003"/>
    <hyperlink r:id="rId3340" ref="H2004"/>
    <hyperlink r:id="rId3341" ref="I2004"/>
    <hyperlink r:id="rId3342" ref="H2005"/>
    <hyperlink r:id="rId3343" ref="H2006"/>
    <hyperlink r:id="rId3344" ref="H2007"/>
    <hyperlink r:id="rId3345" ref="H2008"/>
    <hyperlink r:id="rId3346" ref="H2009"/>
    <hyperlink r:id="rId3347" ref="J2010"/>
    <hyperlink r:id="rId3348" ref="H2011"/>
    <hyperlink r:id="rId3349" ref="H2012"/>
    <hyperlink r:id="rId3350" ref="J2012"/>
    <hyperlink r:id="rId3351" ref="H2013"/>
    <hyperlink r:id="rId3352" ref="H2014"/>
    <hyperlink r:id="rId3353" ref="H2015"/>
    <hyperlink r:id="rId3354" ref="H2016"/>
    <hyperlink r:id="rId3355" ref="J2017"/>
    <hyperlink r:id="rId3356" ref="H2018"/>
    <hyperlink r:id="rId3357" ref="I2019"/>
    <hyperlink r:id="rId3358" ref="J2019"/>
    <hyperlink r:id="rId3359" ref="H2020"/>
    <hyperlink r:id="rId3360" ref="H2021"/>
    <hyperlink r:id="rId3361" ref="H2022"/>
    <hyperlink r:id="rId3362" ref="J2023"/>
    <hyperlink r:id="rId3363" ref="J2024"/>
    <hyperlink r:id="rId3364" ref="H2025"/>
    <hyperlink r:id="rId3365" ref="J2025"/>
    <hyperlink r:id="rId3366" ref="J2026"/>
    <hyperlink r:id="rId3367" ref="H2027"/>
    <hyperlink r:id="rId3368" ref="J2027"/>
    <hyperlink r:id="rId3369" ref="H2028"/>
    <hyperlink r:id="rId3370" ref="J2028"/>
    <hyperlink r:id="rId3371" ref="H2029"/>
    <hyperlink r:id="rId3372" ref="H2030"/>
    <hyperlink r:id="rId3373" ref="H2031"/>
    <hyperlink r:id="rId3374" ref="I2031"/>
    <hyperlink r:id="rId3375" ref="J2031"/>
    <hyperlink r:id="rId3376" ref="J2032"/>
    <hyperlink r:id="rId3377" ref="H2033"/>
    <hyperlink r:id="rId3378" ref="H2034"/>
    <hyperlink r:id="rId3379" ref="H2035"/>
    <hyperlink r:id="rId3380" ref="H2036"/>
    <hyperlink r:id="rId3381" ref="J2036"/>
    <hyperlink r:id="rId3382" ref="I2037"/>
    <hyperlink r:id="rId3383" ref="J2037"/>
    <hyperlink r:id="rId3384" ref="H2038"/>
    <hyperlink r:id="rId3385" ref="H2039"/>
    <hyperlink r:id="rId3386" ref="H2040"/>
    <hyperlink r:id="rId3387" ref="I2041"/>
    <hyperlink r:id="rId3388" ref="H2042"/>
    <hyperlink r:id="rId3389" ref="I2042"/>
    <hyperlink r:id="rId3390" ref="H2043"/>
    <hyperlink r:id="rId3391" ref="H2044"/>
    <hyperlink r:id="rId3392" ref="H2045"/>
    <hyperlink r:id="rId3393" ref="I2045"/>
    <hyperlink r:id="rId3394" ref="J2045"/>
    <hyperlink r:id="rId3395" ref="H2046"/>
    <hyperlink r:id="rId3396" ref="H2047"/>
    <hyperlink r:id="rId3397" ref="H2048"/>
    <hyperlink r:id="rId3398" ref="H2049"/>
    <hyperlink r:id="rId3399" ref="I2049"/>
    <hyperlink r:id="rId3400" ref="H2050"/>
    <hyperlink r:id="rId3401" ref="J2050"/>
    <hyperlink r:id="rId3402" ref="J2051"/>
    <hyperlink r:id="rId3403" ref="J2410"/>
    <hyperlink r:id="rId3404" ref="H2411"/>
    <hyperlink r:id="rId3405" ref="J2411"/>
    <hyperlink r:id="rId3406" ref="H2412"/>
    <hyperlink r:id="rId3407" ref="H2413"/>
    <hyperlink r:id="rId3408" ref="I2413"/>
    <hyperlink r:id="rId3409" ref="J2413"/>
    <hyperlink r:id="rId3410" ref="H2414"/>
    <hyperlink r:id="rId3411" ref="J2414"/>
    <hyperlink r:id="rId3412" ref="H2415"/>
    <hyperlink r:id="rId3413" ref="J2415"/>
    <hyperlink r:id="rId3414" ref="H2417"/>
    <hyperlink r:id="rId3415" ref="J2417"/>
    <hyperlink r:id="rId3416" ref="H2418"/>
    <hyperlink r:id="rId3417" ref="H2419"/>
    <hyperlink r:id="rId3418" ref="I2419"/>
    <hyperlink r:id="rId3419" ref="H2420"/>
    <hyperlink r:id="rId3420" ref="H2421"/>
    <hyperlink r:id="rId3421" ref="I2421"/>
    <hyperlink r:id="rId3422" ref="I2422"/>
    <hyperlink r:id="rId3423" ref="H2423"/>
    <hyperlink r:id="rId3424" ref="H2424"/>
    <hyperlink r:id="rId3425" ref="H2425"/>
    <hyperlink r:id="rId3426" ref="J2425"/>
    <hyperlink r:id="rId3427" ref="H2426"/>
    <hyperlink r:id="rId3428" ref="I2426"/>
    <hyperlink r:id="rId3429" ref="H2427"/>
    <hyperlink r:id="rId3430" ref="J2427"/>
    <hyperlink r:id="rId3431" ref="H2428"/>
    <hyperlink r:id="rId3432" ref="I2428"/>
    <hyperlink r:id="rId3433" ref="H2429"/>
    <hyperlink r:id="rId3434" ref="H2430"/>
    <hyperlink r:id="rId3435" ref="H2431"/>
    <hyperlink r:id="rId3436" ref="H2432"/>
    <hyperlink r:id="rId3437" ref="J2432"/>
    <hyperlink r:id="rId3438" ref="H2433"/>
    <hyperlink r:id="rId3439" ref="I2433"/>
    <hyperlink r:id="rId3440" ref="H2434"/>
    <hyperlink r:id="rId3441" ref="J2434"/>
    <hyperlink r:id="rId3442" ref="J2435"/>
    <hyperlink r:id="rId3443" ref="I2436"/>
    <hyperlink r:id="rId3444" ref="H2437"/>
    <hyperlink r:id="rId3445" ref="I2437"/>
    <hyperlink r:id="rId3446" ref="H2438"/>
    <hyperlink r:id="rId3447" ref="H2439"/>
    <hyperlink r:id="rId3448" ref="H2440"/>
    <hyperlink r:id="rId3449" ref="H2441"/>
    <hyperlink r:id="rId3450" ref="H2442"/>
    <hyperlink r:id="rId3451" ref="H2443"/>
    <hyperlink r:id="rId3452" ref="I2444"/>
    <hyperlink r:id="rId3453" ref="H2445"/>
    <hyperlink r:id="rId3454" ref="H2446"/>
    <hyperlink r:id="rId3455" ref="J2446"/>
    <hyperlink r:id="rId3456" ref="H2447"/>
    <hyperlink r:id="rId3457" ref="J2447"/>
    <hyperlink r:id="rId3458" ref="H2448"/>
    <hyperlink r:id="rId3459" ref="I2448"/>
    <hyperlink r:id="rId3460" ref="H2449"/>
    <hyperlink r:id="rId3461" ref="H2450"/>
    <hyperlink r:id="rId3462" ref="H2451"/>
    <hyperlink r:id="rId3463" ref="H2452"/>
    <hyperlink r:id="rId3464" ref="H2453"/>
    <hyperlink r:id="rId3465" ref="H2454"/>
    <hyperlink r:id="rId3466" ref="H2455"/>
    <hyperlink r:id="rId3467" ref="I2455"/>
    <hyperlink r:id="rId3468" ref="J2455"/>
    <hyperlink r:id="rId3469" ref="H2456"/>
    <hyperlink r:id="rId3470" ref="J2456"/>
    <hyperlink r:id="rId3471" ref="H2457"/>
    <hyperlink r:id="rId3472" ref="H2458"/>
    <hyperlink r:id="rId3473" ref="H2459"/>
    <hyperlink r:id="rId3474" ref="H2460"/>
    <hyperlink r:id="rId3475" ref="H2461"/>
    <hyperlink r:id="rId3476" ref="H2462"/>
    <hyperlink r:id="rId3477" ref="H2463"/>
    <hyperlink r:id="rId3478" ref="I2463"/>
    <hyperlink r:id="rId3479" ref="H2464"/>
    <hyperlink r:id="rId3480" ref="I2464"/>
    <hyperlink r:id="rId3481" ref="H2465"/>
    <hyperlink r:id="rId3482" ref="I2465"/>
    <hyperlink r:id="rId3483" ref="H2466"/>
    <hyperlink r:id="rId3484" ref="H2467"/>
    <hyperlink r:id="rId3485" ref="H2468"/>
    <hyperlink r:id="rId3486" ref="H2469"/>
    <hyperlink r:id="rId3487" ref="H2470"/>
    <hyperlink r:id="rId3488" ref="I2470"/>
    <hyperlink r:id="rId3489" ref="H2471"/>
    <hyperlink r:id="rId3490" ref="I2471"/>
    <hyperlink r:id="rId3491" ref="H2472"/>
    <hyperlink r:id="rId3492" ref="H2473"/>
    <hyperlink r:id="rId3493" ref="I2473"/>
    <hyperlink r:id="rId3494" ref="H2474"/>
    <hyperlink r:id="rId3495" ref="I2474"/>
    <hyperlink r:id="rId3496" ref="H2475"/>
    <hyperlink r:id="rId3497" ref="I2475"/>
    <hyperlink r:id="rId3498" ref="J2475"/>
    <hyperlink r:id="rId3499" ref="H2476"/>
    <hyperlink r:id="rId3500" ref="H2477"/>
    <hyperlink r:id="rId3501" ref="H2478"/>
    <hyperlink r:id="rId3502" ref="I2478"/>
    <hyperlink r:id="rId3503" ref="H2479"/>
    <hyperlink r:id="rId3504" ref="I2479"/>
    <hyperlink r:id="rId3505" ref="H2480"/>
    <hyperlink r:id="rId3506" ref="I2480"/>
    <hyperlink r:id="rId3507" ref="H2481"/>
    <hyperlink r:id="rId3508" ref="H2482"/>
    <hyperlink r:id="rId3509" ref="H2483"/>
    <hyperlink r:id="rId3510" ref="H2484"/>
    <hyperlink r:id="rId3511" ref="H2485"/>
    <hyperlink r:id="rId3512" ref="H2486"/>
    <hyperlink r:id="rId3513" ref="H2487"/>
    <hyperlink r:id="rId3514" ref="H2488"/>
    <hyperlink r:id="rId3515" ref="H2489"/>
    <hyperlink r:id="rId3516" ref="H2490"/>
    <hyperlink r:id="rId3517" ref="H2491"/>
    <hyperlink r:id="rId3518" ref="H2492"/>
    <hyperlink r:id="rId3519" ref="H2493"/>
    <hyperlink r:id="rId3520" ref="H2494"/>
    <hyperlink r:id="rId3521" ref="H2495"/>
    <hyperlink r:id="rId3522" ref="H2496"/>
    <hyperlink r:id="rId3523" ref="H2497"/>
    <hyperlink r:id="rId3524" ref="H2498"/>
    <hyperlink r:id="rId3525" ref="H2499"/>
    <hyperlink r:id="rId3526" ref="H2500"/>
    <hyperlink r:id="rId3527" ref="H2501"/>
    <hyperlink r:id="rId3528" ref="H2502"/>
    <hyperlink r:id="rId3529" ref="H2503"/>
    <hyperlink r:id="rId3530" ref="H2504"/>
    <hyperlink r:id="rId3531" ref="H2505"/>
    <hyperlink r:id="rId3532" ref="H2506"/>
    <hyperlink r:id="rId3533" ref="H2507"/>
    <hyperlink r:id="rId3534" ref="H2508"/>
    <hyperlink r:id="rId3535" ref="J2508"/>
    <hyperlink r:id="rId3536" ref="H2509"/>
    <hyperlink r:id="rId3537" ref="H2510"/>
    <hyperlink r:id="rId3538" ref="H2511"/>
    <hyperlink r:id="rId3539" ref="H2512"/>
    <hyperlink r:id="rId3540" ref="H2513"/>
    <hyperlink r:id="rId3541" ref="H2514"/>
    <hyperlink r:id="rId3542" ref="H2515"/>
    <hyperlink r:id="rId3543" ref="I2515"/>
    <hyperlink r:id="rId3544" ref="H2516"/>
    <hyperlink r:id="rId3545" ref="H2517"/>
    <hyperlink r:id="rId3546" ref="H2518"/>
    <hyperlink r:id="rId3547" ref="H2519"/>
    <hyperlink r:id="rId3548" ref="H2520"/>
    <hyperlink r:id="rId3549" ref="I2520"/>
    <hyperlink r:id="rId3550" ref="H2521"/>
    <hyperlink r:id="rId3551" ref="H2522"/>
    <hyperlink r:id="rId3552" ref="H2523"/>
    <hyperlink r:id="rId3553" ref="H2524"/>
    <hyperlink r:id="rId3554" ref="H2525"/>
    <hyperlink r:id="rId3555" ref="H2526"/>
    <hyperlink r:id="rId3556" ref="H2527"/>
    <hyperlink r:id="rId3557" ref="H2528"/>
    <hyperlink r:id="rId3558" ref="H2529"/>
    <hyperlink r:id="rId3559" ref="H2530"/>
    <hyperlink r:id="rId3560" ref="H2531"/>
    <hyperlink r:id="rId3561" ref="H2532"/>
    <hyperlink r:id="rId3562" ref="H2533"/>
    <hyperlink r:id="rId3563" ref="H2534"/>
    <hyperlink r:id="rId3564" ref="H2535"/>
    <hyperlink r:id="rId3565" ref="H2536"/>
    <hyperlink r:id="rId3566" ref="H2537"/>
    <hyperlink r:id="rId3567" ref="H2538"/>
    <hyperlink r:id="rId3568" ref="J2539"/>
    <hyperlink r:id="rId3569" ref="H2540"/>
    <hyperlink r:id="rId3570" ref="H2541"/>
    <hyperlink r:id="rId3571" ref="H2542"/>
    <hyperlink r:id="rId3572" ref="H2543"/>
    <hyperlink r:id="rId3573" ref="H2544"/>
    <hyperlink r:id="rId3574" ref="H2545"/>
    <hyperlink r:id="rId3575" ref="I2545"/>
    <hyperlink r:id="rId3576" ref="J2545"/>
    <hyperlink r:id="rId3577" ref="H2546"/>
    <hyperlink r:id="rId3578" ref="J2547"/>
    <hyperlink r:id="rId3579" ref="J2548"/>
    <hyperlink r:id="rId3580" ref="H2549"/>
    <hyperlink r:id="rId3581" ref="H2550"/>
    <hyperlink r:id="rId3582" ref="J2550"/>
    <hyperlink r:id="rId3583" ref="H2551"/>
    <hyperlink r:id="rId3584" ref="J2551"/>
    <hyperlink r:id="rId3585" ref="H2552"/>
    <hyperlink r:id="rId3586" ref="H2553"/>
    <hyperlink r:id="rId3587" ref="I2553"/>
    <hyperlink r:id="rId3588" ref="H2554"/>
    <hyperlink r:id="rId3589" ref="J2555"/>
    <hyperlink r:id="rId3590" ref="H2556"/>
    <hyperlink r:id="rId3591" ref="I2556"/>
    <hyperlink r:id="rId3592" ref="J2556"/>
    <hyperlink r:id="rId3593" ref="H2557"/>
    <hyperlink r:id="rId3594" ref="H2558"/>
    <hyperlink r:id="rId3595" ref="I2558"/>
    <hyperlink r:id="rId3596" ref="H2559"/>
    <hyperlink r:id="rId3597" ref="H2560"/>
    <hyperlink r:id="rId3598" ref="I2560"/>
    <hyperlink r:id="rId3599" ref="H2561"/>
    <hyperlink r:id="rId3600" ref="J2561"/>
    <hyperlink r:id="rId3601" ref="H2562"/>
    <hyperlink r:id="rId3602" ref="I2562"/>
    <hyperlink r:id="rId3603" ref="J2562"/>
    <hyperlink r:id="rId3604" ref="H2563"/>
    <hyperlink r:id="rId3605" ref="I2563"/>
    <hyperlink r:id="rId3606" ref="J2563"/>
    <hyperlink r:id="rId3607" ref="H2564"/>
    <hyperlink r:id="rId3608" ref="J2564"/>
    <hyperlink r:id="rId3609" ref="H2565"/>
    <hyperlink r:id="rId3610" ref="I2565"/>
    <hyperlink r:id="rId3611" ref="J2566"/>
    <hyperlink r:id="rId3612" ref="H2567"/>
    <hyperlink r:id="rId3613" ref="H2568"/>
    <hyperlink r:id="rId3614" ref="H2569"/>
    <hyperlink r:id="rId3615" ref="H2570"/>
    <hyperlink r:id="rId3616" ref="H2571"/>
    <hyperlink r:id="rId3617" ref="J2572"/>
    <hyperlink r:id="rId3618" ref="J2573"/>
    <hyperlink r:id="rId3619" ref="H2574"/>
    <hyperlink r:id="rId3620" ref="J2574"/>
    <hyperlink r:id="rId3621" ref="J2575"/>
    <hyperlink r:id="rId3622" ref="H2576"/>
    <hyperlink r:id="rId3623" ref="J2576"/>
    <hyperlink r:id="rId3624" ref="J2577"/>
    <hyperlink r:id="rId3625" ref="H2578"/>
    <hyperlink r:id="rId3626" ref="I2578"/>
    <hyperlink r:id="rId3627" ref="H2579"/>
    <hyperlink r:id="rId3628" ref="J2580"/>
    <hyperlink r:id="rId3629" ref="H2581"/>
    <hyperlink r:id="rId3630" ref="J2582"/>
    <hyperlink r:id="rId3631" ref="H2583"/>
    <hyperlink r:id="rId3632" ref="H2584"/>
    <hyperlink r:id="rId3633" ref="H2585"/>
    <hyperlink r:id="rId3634" ref="M2585"/>
    <hyperlink r:id="rId3635" ref="H2586"/>
    <hyperlink r:id="rId3636" ref="H2587"/>
    <hyperlink r:id="rId3637" ref="I2587"/>
    <hyperlink r:id="rId3638" ref="H2588"/>
    <hyperlink r:id="rId3639" ref="J2589"/>
    <hyperlink r:id="rId3640" ref="H2590"/>
    <hyperlink r:id="rId3641" ref="H2591"/>
    <hyperlink r:id="rId3642" ref="H2592"/>
    <hyperlink r:id="rId3643" ref="H2593"/>
    <hyperlink r:id="rId3644" ref="H2594"/>
    <hyperlink r:id="rId3645" ref="J2594"/>
    <hyperlink r:id="rId3646" ref="H2595"/>
    <hyperlink r:id="rId3647" ref="J2596"/>
    <hyperlink r:id="rId3648" ref="H2597"/>
    <hyperlink r:id="rId3649" ref="I2597"/>
    <hyperlink r:id="rId3650" ref="J2598"/>
    <hyperlink r:id="rId3651" ref="H2599"/>
    <hyperlink r:id="rId3652" ref="I2599"/>
    <hyperlink r:id="rId3653" ref="J2599"/>
    <hyperlink r:id="rId3654" ref="H2600"/>
    <hyperlink r:id="rId3655" ref="I2601"/>
    <hyperlink r:id="rId3656" ref="H2602"/>
    <hyperlink r:id="rId3657" ref="I2602"/>
    <hyperlink r:id="rId3658" ref="H2603"/>
    <hyperlink r:id="rId3659" ref="J2604"/>
    <hyperlink r:id="rId3660" ref="H2605"/>
    <hyperlink r:id="rId3661" ref="H2606"/>
    <hyperlink r:id="rId3662" ref="J2607"/>
    <hyperlink r:id="rId3663" ref="H2608"/>
    <hyperlink r:id="rId3664" ref="H2609"/>
    <hyperlink r:id="rId3665" ref="J2609"/>
    <hyperlink r:id="rId3666" ref="H2610"/>
    <hyperlink r:id="rId3667" ref="H2611"/>
    <hyperlink r:id="rId3668" ref="I2611"/>
    <hyperlink r:id="rId3669" ref="J2611"/>
    <hyperlink r:id="rId3670" ref="H2612"/>
    <hyperlink r:id="rId3671" ref="H2613"/>
    <hyperlink r:id="rId3672" ref="I2614"/>
    <hyperlink r:id="rId3673" ref="H2615"/>
    <hyperlink r:id="rId3674" ref="J2615"/>
    <hyperlink r:id="rId3675" ref="H2616"/>
    <hyperlink r:id="rId3676" ref="H2617"/>
    <hyperlink r:id="rId3677" ref="J2617"/>
    <hyperlink r:id="rId3678" ref="H2618"/>
    <hyperlink r:id="rId3679" ref="I2619"/>
    <hyperlink r:id="rId3680" ref="H2620"/>
    <hyperlink r:id="rId3681" ref="J2620"/>
    <hyperlink r:id="rId3682" ref="H2621"/>
    <hyperlink r:id="rId3683" ref="J2621"/>
    <hyperlink r:id="rId3684" ref="J2622"/>
    <hyperlink r:id="rId3685" ref="H2623"/>
    <hyperlink r:id="rId3686" ref="J2624"/>
    <hyperlink r:id="rId3687" ref="J2625"/>
    <hyperlink r:id="rId3688" ref="J2626"/>
    <hyperlink r:id="rId3689" ref="H2627"/>
    <hyperlink r:id="rId3690" ref="I2627"/>
    <hyperlink r:id="rId3691" ref="J2627"/>
    <hyperlink r:id="rId3692" ref="H2628"/>
    <hyperlink r:id="rId3693" ref="H2629"/>
    <hyperlink r:id="rId3694" ref="J2629"/>
    <hyperlink r:id="rId3695" ref="H2630"/>
    <hyperlink r:id="rId3696" ref="I2630"/>
    <hyperlink r:id="rId3697" ref="J2630"/>
    <hyperlink r:id="rId3698" ref="H2631"/>
    <hyperlink r:id="rId3699" ref="J2631"/>
    <hyperlink r:id="rId3700" ref="H2632"/>
    <hyperlink r:id="rId3701" ref="J2633"/>
    <hyperlink r:id="rId3702" ref="H2634"/>
    <hyperlink r:id="rId3703" ref="H2635"/>
    <hyperlink r:id="rId3704" ref="I2635"/>
    <hyperlink r:id="rId3705" ref="J2635"/>
    <hyperlink r:id="rId3706" ref="H2636"/>
    <hyperlink r:id="rId3707" ref="J2636"/>
    <hyperlink r:id="rId3708" ref="H2637"/>
    <hyperlink r:id="rId3709" ref="J2637"/>
    <hyperlink r:id="rId3710" ref="H2638"/>
    <hyperlink r:id="rId3711" ref="I2638"/>
    <hyperlink r:id="rId3712" ref="J2639"/>
    <hyperlink r:id="rId3713" ref="H2640"/>
    <hyperlink r:id="rId3714" ref="J2640"/>
    <hyperlink r:id="rId3715" ref="H2641"/>
    <hyperlink r:id="rId3716" ref="H2642"/>
    <hyperlink r:id="rId3717" ref="H2643"/>
    <hyperlink r:id="rId3718" ref="H2644"/>
    <hyperlink r:id="rId3719" ref="H2645"/>
    <hyperlink r:id="rId3720" ref="H2646"/>
    <hyperlink r:id="rId3721" ref="J2646"/>
    <hyperlink r:id="rId3722" ref="H2647"/>
    <hyperlink r:id="rId3723" ref="I2647"/>
    <hyperlink r:id="rId3724" ref="H2648"/>
    <hyperlink r:id="rId3725" ref="H2649"/>
    <hyperlink r:id="rId3726" ref="I2649"/>
    <hyperlink r:id="rId3727" ref="J2649"/>
    <hyperlink r:id="rId3728" ref="J2650"/>
    <hyperlink r:id="rId3729" ref="H2651"/>
    <hyperlink r:id="rId3730" ref="H2652"/>
    <hyperlink r:id="rId3731" ref="I2652"/>
    <hyperlink r:id="rId3732" ref="J2653"/>
    <hyperlink r:id="rId3733" ref="H2654"/>
    <hyperlink r:id="rId3734" ref="J2654"/>
    <hyperlink r:id="rId3735" ref="H2655"/>
    <hyperlink r:id="rId3736" ref="H2656"/>
    <hyperlink r:id="rId3737" ref="J2657"/>
    <hyperlink r:id="rId3738" ref="H2658"/>
    <hyperlink r:id="rId3739" ref="H2659"/>
    <hyperlink r:id="rId3740" ref="I2659"/>
    <hyperlink r:id="rId3741" ref="H2660"/>
    <hyperlink r:id="rId3742" ref="H2661"/>
    <hyperlink r:id="rId3743" ref="H2662"/>
    <hyperlink r:id="rId3744" ref="H2663"/>
    <hyperlink r:id="rId3745" ref="J2663"/>
    <hyperlink r:id="rId3746" ref="H2664"/>
    <hyperlink r:id="rId3747" ref="J2665"/>
    <hyperlink r:id="rId3748" ref="J2666"/>
    <hyperlink r:id="rId3749" ref="H2667"/>
    <hyperlink r:id="rId3750" ref="I2667"/>
    <hyperlink r:id="rId3751" ref="J2667"/>
    <hyperlink r:id="rId3752" ref="H2668"/>
    <hyperlink r:id="rId3753" ref="J2668"/>
    <hyperlink r:id="rId3754" ref="I2669"/>
    <hyperlink r:id="rId3755" ref="H2670"/>
    <hyperlink r:id="rId3756" ref="I2670"/>
    <hyperlink r:id="rId3757" ref="J2670"/>
    <hyperlink r:id="rId3758" ref="H2671"/>
    <hyperlink r:id="rId3759" ref="H2672"/>
    <hyperlink r:id="rId3760" ref="J2672"/>
    <hyperlink r:id="rId3761" ref="H2673"/>
    <hyperlink r:id="rId3762" ref="J2673"/>
    <hyperlink r:id="rId3763" ref="J2674"/>
    <hyperlink r:id="rId3764" ref="H2675"/>
    <hyperlink r:id="rId3765" ref="H2676"/>
    <hyperlink r:id="rId3766" ref="J2676"/>
    <hyperlink r:id="rId3767" ref="I2677"/>
    <hyperlink r:id="rId3768" ref="H2678"/>
    <hyperlink r:id="rId3769" ref="J2678"/>
    <hyperlink r:id="rId3770" ref="J2679"/>
    <hyperlink r:id="rId3771" ref="H2680"/>
    <hyperlink r:id="rId3772" ref="I2680"/>
    <hyperlink r:id="rId3773" ref="J2680"/>
    <hyperlink r:id="rId3774" ref="H2681"/>
    <hyperlink r:id="rId3775" ref="I2681"/>
    <hyperlink r:id="rId3776" ref="H2682"/>
    <hyperlink r:id="rId3777" ref="J2682"/>
    <hyperlink r:id="rId3778" ref="H2683"/>
    <hyperlink r:id="rId3779" ref="J2683"/>
    <hyperlink r:id="rId3780" ref="H2684"/>
    <hyperlink r:id="rId3781" ref="I2684"/>
    <hyperlink r:id="rId3782" ref="J2685"/>
    <hyperlink r:id="rId3783" ref="H2686"/>
    <hyperlink r:id="rId3784" ref="J2686"/>
    <hyperlink r:id="rId3785" ref="H2687"/>
    <hyperlink r:id="rId3786" ref="I2687"/>
    <hyperlink r:id="rId3787" ref="J2687"/>
    <hyperlink r:id="rId3788" ref="H2688"/>
    <hyperlink r:id="rId3789" ref="J2688"/>
    <hyperlink r:id="rId3790" ref="J2689"/>
    <hyperlink r:id="rId3791" ref="J2690"/>
    <hyperlink r:id="rId3792" ref="H2691"/>
    <hyperlink r:id="rId3793" ref="H2692"/>
    <hyperlink r:id="rId3794" ref="H2693"/>
    <hyperlink r:id="rId3795" ref="J2693"/>
    <hyperlink r:id="rId3796" ref="H2694"/>
    <hyperlink r:id="rId3797" ref="I2694"/>
    <hyperlink r:id="rId3798" ref="H2695"/>
    <hyperlink r:id="rId3799" ref="J2695"/>
    <hyperlink r:id="rId3800" ref="H2696"/>
    <hyperlink r:id="rId3801" ref="J2696"/>
    <hyperlink r:id="rId3802" ref="H2697"/>
    <hyperlink r:id="rId3803" ref="H2698"/>
    <hyperlink r:id="rId3804" ref="J2698"/>
    <hyperlink r:id="rId3805" ref="H2699"/>
    <hyperlink r:id="rId3806" ref="H2700"/>
    <hyperlink r:id="rId3807" ref="J2700"/>
    <hyperlink r:id="rId3808" ref="H2701"/>
    <hyperlink r:id="rId3809" ref="H2702"/>
    <hyperlink r:id="rId3810" ref="I2702"/>
    <hyperlink r:id="rId3811" ref="J2703"/>
    <hyperlink r:id="rId3812" ref="H2704"/>
    <hyperlink r:id="rId3813" ref="J2704"/>
    <hyperlink r:id="rId3814" ref="H2705"/>
    <hyperlink r:id="rId3815" ref="H2706"/>
    <hyperlink r:id="rId3816" ref="J2706"/>
    <hyperlink r:id="rId3817" ref="H2707"/>
    <hyperlink r:id="rId3818" ref="H2708"/>
    <hyperlink r:id="rId3819" ref="J2708"/>
    <hyperlink r:id="rId3820" ref="H2709"/>
    <hyperlink r:id="rId3821" ref="H2710"/>
    <hyperlink r:id="rId3822" ref="H2711"/>
    <hyperlink r:id="rId3823" ref="H2712"/>
    <hyperlink r:id="rId3824" ref="H2713"/>
    <hyperlink r:id="rId3825" ref="J2713"/>
    <hyperlink r:id="rId3826" ref="H2714"/>
    <hyperlink r:id="rId3827" ref="H2715"/>
    <hyperlink r:id="rId3828" ref="H2716"/>
    <hyperlink r:id="rId3829" ref="J2716"/>
    <hyperlink r:id="rId3830" ref="H2717"/>
    <hyperlink r:id="rId3831" ref="H2718"/>
    <hyperlink r:id="rId3832" ref="J2719"/>
    <hyperlink r:id="rId3833" ref="H2720"/>
    <hyperlink r:id="rId3834" ref="I2720"/>
    <hyperlink r:id="rId3835" ref="H2721"/>
    <hyperlink r:id="rId3836" ref="H2722"/>
    <hyperlink r:id="rId3837" ref="H2723"/>
    <hyperlink r:id="rId3838" ref="I2723"/>
    <hyperlink r:id="rId3839" ref="H2724"/>
    <hyperlink r:id="rId3840" ref="I2725"/>
    <hyperlink r:id="rId3841" ref="H2726"/>
    <hyperlink r:id="rId3842" ref="H2727"/>
    <hyperlink r:id="rId3843" ref="H2728"/>
    <hyperlink r:id="rId3844" ref="H2729"/>
    <hyperlink r:id="rId3845" ref="I2729"/>
    <hyperlink r:id="rId3846" ref="H2730"/>
    <hyperlink r:id="rId3847" ref="J2731"/>
    <hyperlink r:id="rId3848" ref="H2732"/>
    <hyperlink r:id="rId3849" ref="H2733"/>
    <hyperlink r:id="rId3850" ref="J2734"/>
    <hyperlink r:id="rId3851" ref="H2735"/>
    <hyperlink r:id="rId3852" ref="I2735"/>
    <hyperlink r:id="rId3853" ref="H2736"/>
    <hyperlink r:id="rId3854" ref="H2737"/>
    <hyperlink r:id="rId3855" ref="H2738"/>
    <hyperlink r:id="rId3856" ref="I2738"/>
    <hyperlink r:id="rId3857" ref="H2739"/>
    <hyperlink r:id="rId3858" ref="I2739"/>
    <hyperlink r:id="rId3859" ref="H2740"/>
    <hyperlink r:id="rId3860" ref="I2740"/>
    <hyperlink r:id="rId3861" ref="J2740"/>
    <hyperlink r:id="rId3862" ref="K2740"/>
    <hyperlink r:id="rId3863" ref="H2741"/>
    <hyperlink r:id="rId3864" ref="J2741"/>
    <hyperlink r:id="rId3865" ref="H2742"/>
    <hyperlink r:id="rId3866" ref="I2742"/>
    <hyperlink r:id="rId3867" ref="J2742"/>
    <hyperlink r:id="rId3868" ref="J2743"/>
    <hyperlink r:id="rId3869" ref="J2744"/>
    <hyperlink r:id="rId3870" ref="J2745"/>
    <hyperlink r:id="rId3871" ref="H2746"/>
    <hyperlink r:id="rId3872" ref="H2747"/>
    <hyperlink r:id="rId3873" ref="I2747"/>
    <hyperlink r:id="rId3874" ref="H2748"/>
    <hyperlink r:id="rId3875" ref="H2749"/>
    <hyperlink r:id="rId3876" ref="H2750"/>
    <hyperlink r:id="rId3877" ref="I2750"/>
    <hyperlink r:id="rId3878" ref="J2750"/>
    <hyperlink r:id="rId3879" ref="H2751"/>
    <hyperlink r:id="rId3880" ref="H2752"/>
    <hyperlink r:id="rId3881" ref="H2753"/>
    <hyperlink r:id="rId3882" ref="I2753"/>
    <hyperlink r:id="rId3883" ref="J2753"/>
    <hyperlink r:id="rId3884" ref="H2754"/>
    <hyperlink r:id="rId3885" ref="I2754"/>
    <hyperlink r:id="rId3886" ref="J2755"/>
    <hyperlink r:id="rId3887" ref="J2756"/>
    <hyperlink r:id="rId3888" ref="H2757"/>
    <hyperlink r:id="rId3889" ref="I2758"/>
    <hyperlink r:id="rId3890" ref="H2760"/>
    <hyperlink r:id="rId3891" ref="H2761"/>
    <hyperlink r:id="rId3892" ref="J2761"/>
    <hyperlink r:id="rId3893" ref="H2762"/>
    <hyperlink r:id="rId3894" ref="J2762"/>
    <hyperlink r:id="rId3895" ref="H2763"/>
    <hyperlink r:id="rId3896" ref="J2763"/>
    <hyperlink r:id="rId3897" ref="J2764"/>
    <hyperlink r:id="rId3898" ref="H2765"/>
    <hyperlink r:id="rId3899" ref="H2766"/>
    <hyperlink r:id="rId3900" ref="J2767"/>
    <hyperlink r:id="rId3901" ref="H2768"/>
    <hyperlink r:id="rId3902" ref="I2768"/>
    <hyperlink r:id="rId3903" ref="J2768"/>
    <hyperlink r:id="rId3904" ref="H2769"/>
    <hyperlink r:id="rId3905" ref="I2769"/>
    <hyperlink r:id="rId3906" ref="J2769"/>
    <hyperlink r:id="rId3907" ref="J2770"/>
    <hyperlink r:id="rId3908" ref="H2771"/>
    <hyperlink r:id="rId3909" ref="J2771"/>
    <hyperlink r:id="rId3910" ref="H2772"/>
    <hyperlink r:id="rId3911" ref="I2772"/>
    <hyperlink r:id="rId3912" ref="J2773"/>
    <hyperlink r:id="rId3913" ref="H2774"/>
    <hyperlink r:id="rId3914" ref="I2774"/>
    <hyperlink r:id="rId3915" ref="H2775"/>
    <hyperlink r:id="rId3916" ref="I2775"/>
    <hyperlink r:id="rId3917" ref="H2776"/>
    <hyperlink r:id="rId3918" ref="J2777"/>
    <hyperlink r:id="rId3919" ref="H2778"/>
    <hyperlink r:id="rId3920" ref="J2778"/>
    <hyperlink r:id="rId3921" ref="J2779"/>
    <hyperlink r:id="rId3922" ref="J2780"/>
    <hyperlink r:id="rId3923" ref="J2781"/>
    <hyperlink r:id="rId3924" ref="H2782"/>
    <hyperlink r:id="rId3925" ref="I2782"/>
    <hyperlink r:id="rId3926" ref="J2782"/>
    <hyperlink r:id="rId3927" ref="H2783"/>
    <hyperlink r:id="rId3928" ref="H2784"/>
    <hyperlink r:id="rId3929" ref="I2784"/>
    <hyperlink r:id="rId3930" ref="J2784"/>
    <hyperlink r:id="rId3931" ref="H2785"/>
    <hyperlink r:id="rId3932" ref="H2786"/>
    <hyperlink r:id="rId3933" ref="I2786"/>
    <hyperlink r:id="rId3934" ref="H2787"/>
    <hyperlink r:id="rId3935" ref="H2788"/>
    <hyperlink r:id="rId3936" ref="I2788"/>
    <hyperlink r:id="rId3937" ref="H2789"/>
    <hyperlink r:id="rId3938" ref="I2789"/>
    <hyperlink r:id="rId3939" ref="J2790"/>
    <hyperlink r:id="rId3940" ref="H2791"/>
    <hyperlink r:id="rId3941" ref="H2792"/>
    <hyperlink r:id="rId3942" ref="J2793"/>
    <hyperlink r:id="rId3943" ref="J2794"/>
    <hyperlink r:id="rId3944" ref="H2795"/>
    <hyperlink r:id="rId3945" ref="H2796"/>
    <hyperlink r:id="rId3946" ref="H2797"/>
    <hyperlink r:id="rId3947" ref="H2798"/>
    <hyperlink r:id="rId3948" ref="H2799"/>
    <hyperlink r:id="rId3949" ref="H2800"/>
    <hyperlink r:id="rId3950" ref="I2800"/>
    <hyperlink r:id="rId3951" ref="I2801"/>
    <hyperlink r:id="rId3952" ref="H2802"/>
    <hyperlink r:id="rId3953" ref="I2802"/>
    <hyperlink r:id="rId3954" ref="H2803"/>
    <hyperlink r:id="rId3955" ref="J2803"/>
    <hyperlink r:id="rId3956" ref="I2804"/>
    <hyperlink r:id="rId3957" ref="H2805"/>
    <hyperlink r:id="rId3958" ref="H2806"/>
    <hyperlink r:id="rId3959" ref="I2807"/>
    <hyperlink r:id="rId3960" ref="H2808"/>
    <hyperlink r:id="rId3961" ref="J2809"/>
    <hyperlink r:id="rId3962" ref="H2810"/>
    <hyperlink r:id="rId3963" ref="H2811"/>
    <hyperlink r:id="rId3964" ref="H2812"/>
    <hyperlink r:id="rId3965" ref="J2812"/>
    <hyperlink r:id="rId3966" ref="H2813"/>
    <hyperlink r:id="rId3967" ref="H2814"/>
    <hyperlink r:id="rId3968" ref="H2815"/>
    <hyperlink r:id="rId3969" ref="H2816"/>
    <hyperlink r:id="rId3970" ref="H2817"/>
    <hyperlink r:id="rId3971" ref="H2818"/>
    <hyperlink r:id="rId3972" ref="H2819"/>
    <hyperlink r:id="rId3973" ref="H2820"/>
    <hyperlink r:id="rId3974" ref="I2820"/>
    <hyperlink r:id="rId3975" ref="H2821"/>
    <hyperlink r:id="rId3976" ref="J2821"/>
    <hyperlink r:id="rId3977" ref="I2822"/>
    <hyperlink r:id="rId3978" ref="J2823"/>
    <hyperlink r:id="rId3979" ref="H2824"/>
    <hyperlink r:id="rId3980" ref="I2824"/>
    <hyperlink r:id="rId3981" ref="J2824"/>
    <hyperlink r:id="rId3982" ref="J2825"/>
    <hyperlink r:id="rId3983" ref="H2826"/>
    <hyperlink r:id="rId3984" ref="H2827"/>
    <hyperlink r:id="rId3985" ref="J2828"/>
    <hyperlink r:id="rId3986" ref="H2829"/>
    <hyperlink r:id="rId3987" ref="I2830"/>
    <hyperlink r:id="rId3988" ref="H2831"/>
    <hyperlink r:id="rId3989" ref="I2831"/>
    <hyperlink r:id="rId3990" ref="J2832"/>
    <hyperlink r:id="rId3991" ref="H2833"/>
    <hyperlink r:id="rId3992" ref="I2833"/>
    <hyperlink r:id="rId3993" ref="H2834"/>
    <hyperlink r:id="rId3994" ref="I2834"/>
    <hyperlink r:id="rId3995" ref="H2835"/>
    <hyperlink r:id="rId3996" ref="I2835"/>
    <hyperlink r:id="rId3997" ref="H2836"/>
    <hyperlink r:id="rId3998" ref="J2837"/>
    <hyperlink r:id="rId3999" ref="H2838"/>
    <hyperlink r:id="rId4000" ref="I2838"/>
    <hyperlink r:id="rId4001" ref="H2839"/>
    <hyperlink r:id="rId4002" ref="I2839"/>
    <hyperlink r:id="rId4003" ref="H2840"/>
    <hyperlink r:id="rId4004" ref="I2840"/>
    <hyperlink r:id="rId4005" ref="H2841"/>
    <hyperlink r:id="rId4006" ref="I2842"/>
    <hyperlink r:id="rId4007" ref="H2843"/>
    <hyperlink r:id="rId4008" ref="H2844"/>
    <hyperlink r:id="rId4009" ref="I2844"/>
    <hyperlink r:id="rId4010" ref="J2844"/>
    <hyperlink r:id="rId4011" ref="J2845"/>
    <hyperlink r:id="rId4012" ref="H2846"/>
    <hyperlink r:id="rId4013" ref="H2847"/>
    <hyperlink r:id="rId4014" ref="H2848"/>
    <hyperlink r:id="rId4015" ref="H2849"/>
    <hyperlink r:id="rId4016" ref="I2849"/>
    <hyperlink r:id="rId4017" ref="H2850"/>
    <hyperlink r:id="rId4018" ref="H2851"/>
    <hyperlink r:id="rId4019" ref="H2852"/>
    <hyperlink r:id="rId4020" ref="H2853"/>
    <hyperlink r:id="rId4021" ref="I2853"/>
    <hyperlink r:id="rId4022" ref="H2854"/>
    <hyperlink r:id="rId4023" ref="H2855"/>
    <hyperlink r:id="rId4024" ref="H2856"/>
    <hyperlink r:id="rId4025" ref="H2857"/>
    <hyperlink r:id="rId4026" ref="J2858"/>
    <hyperlink r:id="rId4027" ref="J2859"/>
    <hyperlink r:id="rId4028" ref="H2860"/>
    <hyperlink r:id="rId4029" ref="H2861"/>
    <hyperlink r:id="rId4030" ref="H2862"/>
    <hyperlink r:id="rId4031" ref="J2863"/>
    <hyperlink r:id="rId4032" ref="H2864"/>
    <hyperlink r:id="rId4033" ref="H2865"/>
    <hyperlink r:id="rId4034" ref="H2866"/>
    <hyperlink r:id="rId4035" ref="J2866"/>
    <hyperlink r:id="rId4036" ref="H2867"/>
    <hyperlink r:id="rId4037" ref="H2868"/>
    <hyperlink r:id="rId4038" ref="H2869"/>
    <hyperlink r:id="rId4039" ref="H2870"/>
    <hyperlink r:id="rId4040" ref="H2871"/>
    <hyperlink r:id="rId4041" ref="H2872"/>
    <hyperlink r:id="rId4042" ref="H2873"/>
    <hyperlink r:id="rId4043" ref="H2874"/>
    <hyperlink r:id="rId4044" ref="H2875"/>
    <hyperlink r:id="rId4045" ref="H2876"/>
    <hyperlink r:id="rId4046" ref="H2877"/>
    <hyperlink r:id="rId4047" ref="H2878"/>
    <hyperlink r:id="rId4048" ref="H2879"/>
    <hyperlink r:id="rId4049" ref="I2879"/>
    <hyperlink r:id="rId4050" ref="J2879"/>
    <hyperlink r:id="rId4051" ref="H2880"/>
    <hyperlink r:id="rId4052" ref="H2881"/>
    <hyperlink r:id="rId4053" ref="H2882"/>
    <hyperlink r:id="rId4054" ref="H2883"/>
    <hyperlink r:id="rId4055" ref="H2884"/>
    <hyperlink r:id="rId4056" ref="H2885"/>
    <hyperlink r:id="rId4057" ref="I2885"/>
    <hyperlink r:id="rId4058" ref="H2886"/>
    <hyperlink r:id="rId4059" ref="H2887"/>
    <hyperlink r:id="rId4060" ref="H2888"/>
    <hyperlink r:id="rId4061" ref="H2889"/>
    <hyperlink r:id="rId4062" ref="H2890"/>
    <hyperlink r:id="rId4063" ref="I2890"/>
    <hyperlink r:id="rId4064" ref="J2890"/>
    <hyperlink r:id="rId4065" ref="H2891"/>
    <hyperlink r:id="rId4066" ref="H2892"/>
    <hyperlink r:id="rId4067" ref="H2893"/>
    <hyperlink r:id="rId4068" ref="H2894"/>
    <hyperlink r:id="rId4069" ref="H2895"/>
    <hyperlink r:id="rId4070" ref="H2896"/>
    <hyperlink r:id="rId4071" ref="H2897"/>
    <hyperlink r:id="rId4072" ref="H2898"/>
    <hyperlink r:id="rId4073" ref="I2898"/>
    <hyperlink r:id="rId4074" ref="H2899"/>
    <hyperlink r:id="rId4075" ref="H2900"/>
    <hyperlink r:id="rId4076" ref="H2901"/>
    <hyperlink r:id="rId4077" ref="I2901"/>
    <hyperlink r:id="rId4078" ref="H2902"/>
    <hyperlink r:id="rId4079" ref="H2903"/>
    <hyperlink r:id="rId4080" ref="J2904"/>
    <hyperlink r:id="rId4081" ref="H2905"/>
    <hyperlink r:id="rId4082" ref="I2905"/>
    <hyperlink r:id="rId4083" ref="H2906"/>
    <hyperlink r:id="rId4084" ref="H2907"/>
    <hyperlink r:id="rId4085" ref="H2908"/>
    <hyperlink r:id="rId4086" ref="H2909"/>
    <hyperlink r:id="rId4087" ref="I2909"/>
    <hyperlink r:id="rId4088" ref="H2910"/>
    <hyperlink r:id="rId4089" ref="I2910"/>
    <hyperlink r:id="rId4090" ref="H2911"/>
    <hyperlink r:id="rId4091" ref="H2912"/>
    <hyperlink r:id="rId4092" ref="H2913"/>
    <hyperlink r:id="rId4093" ref="J2913"/>
    <hyperlink r:id="rId4094" ref="H2914"/>
    <hyperlink r:id="rId4095" ref="J2915"/>
    <hyperlink r:id="rId4096" ref="H2916"/>
    <hyperlink r:id="rId4097" ref="I2916"/>
    <hyperlink r:id="rId4098" ref="I2917"/>
    <hyperlink r:id="rId4099" ref="H2918"/>
    <hyperlink r:id="rId4100" ref="H2919"/>
    <hyperlink r:id="rId4101" ref="H2920"/>
    <hyperlink r:id="rId4102" ref="I2920"/>
    <hyperlink r:id="rId4103" ref="H2921"/>
    <hyperlink r:id="rId4104" ref="H2922"/>
    <hyperlink r:id="rId4105" ref="H2923"/>
    <hyperlink r:id="rId4106" ref="J2923"/>
    <hyperlink r:id="rId4107" ref="M2923"/>
    <hyperlink r:id="rId4108" ref="H2924"/>
    <hyperlink r:id="rId4109" ref="H2925"/>
    <hyperlink r:id="rId4110" ref="M2925"/>
    <hyperlink r:id="rId4111" ref="H2926"/>
    <hyperlink r:id="rId4112" ref="H2928"/>
    <hyperlink r:id="rId4113" ref="H2929"/>
    <hyperlink r:id="rId4114" ref="I2929"/>
    <hyperlink r:id="rId4115" ref="J2930"/>
    <hyperlink r:id="rId4116" ref="H2931"/>
    <hyperlink r:id="rId4117" ref="H2932"/>
    <hyperlink r:id="rId4118" ref="L2932"/>
    <hyperlink r:id="rId4119" ref="H2933"/>
    <hyperlink r:id="rId4120" ref="H2934"/>
    <hyperlink r:id="rId4121" ref="I2935"/>
    <hyperlink r:id="rId4122" ref="H2936"/>
    <hyperlink r:id="rId4123" ref="I2936"/>
    <hyperlink r:id="rId4124" ref="H2937"/>
    <hyperlink r:id="rId4125" ref="H2938"/>
    <hyperlink r:id="rId4126" ref="I2938"/>
    <hyperlink r:id="rId4127" ref="H2939"/>
    <hyperlink r:id="rId4128" ref="H2940"/>
    <hyperlink r:id="rId4129" ref="H2941"/>
    <hyperlink r:id="rId4130" ref="H2942"/>
    <hyperlink r:id="rId4131" ref="H2943"/>
    <hyperlink r:id="rId4132" ref="I2943"/>
    <hyperlink r:id="rId4133" ref="H2944"/>
    <hyperlink r:id="rId4134" ref="I2944"/>
    <hyperlink r:id="rId4135" ref="H2945"/>
    <hyperlink r:id="rId4136" ref="H2946"/>
    <hyperlink r:id="rId4137" ref="H2947"/>
    <hyperlink r:id="rId4138" ref="I2948"/>
    <hyperlink r:id="rId4139" ref="H2949"/>
    <hyperlink r:id="rId4140" ref="H2950"/>
    <hyperlink r:id="rId4141" ref="H2951"/>
    <hyperlink r:id="rId4142" ref="H2952"/>
    <hyperlink r:id="rId4143" ref="H2953"/>
    <hyperlink r:id="rId4144" ref="H2954"/>
    <hyperlink r:id="rId4145" ref="H2955"/>
    <hyperlink r:id="rId4146" ref="H2956"/>
    <hyperlink r:id="rId4147" ref="H2957"/>
    <hyperlink r:id="rId4148" ref="H2958"/>
    <hyperlink r:id="rId4149" ref="H2959"/>
    <hyperlink r:id="rId4150" ref="H2960"/>
    <hyperlink r:id="rId4151" ref="J2961"/>
    <hyperlink r:id="rId4152" ref="H2962"/>
    <hyperlink r:id="rId4153" ref="J2962"/>
    <hyperlink r:id="rId4154" ref="H2963"/>
    <hyperlink r:id="rId4155" ref="H2964"/>
    <hyperlink r:id="rId4156" ref="J2965"/>
    <hyperlink r:id="rId4157" ref="J2966"/>
    <hyperlink r:id="rId4158" ref="H2967"/>
    <hyperlink r:id="rId4159" ref="J2968"/>
    <hyperlink r:id="rId4160" ref="J2969"/>
    <hyperlink r:id="rId4161" ref="J2970"/>
    <hyperlink r:id="rId4162" ref="J2971"/>
    <hyperlink r:id="rId4163" ref="H2972"/>
    <hyperlink r:id="rId4164" ref="H2973"/>
    <hyperlink r:id="rId4165" ref="J2974"/>
    <hyperlink r:id="rId4166" ref="J2975"/>
    <hyperlink r:id="rId4167" ref="H2976"/>
    <hyperlink r:id="rId4168" ref="J2977"/>
    <hyperlink r:id="rId4169" ref="J2978"/>
    <hyperlink r:id="rId4170" ref="J2979"/>
    <hyperlink r:id="rId4171" ref="H2980"/>
    <hyperlink r:id="rId4172" ref="J2981"/>
    <hyperlink r:id="rId4173" ref="H2982"/>
    <hyperlink r:id="rId4174" ref="I2982"/>
    <hyperlink r:id="rId4175" ref="H2983"/>
    <hyperlink r:id="rId4176" ref="H2984"/>
    <hyperlink r:id="rId4177" ref="H2985"/>
    <hyperlink r:id="rId4178" ref="I2985"/>
    <hyperlink r:id="rId4179" ref="H2986"/>
    <hyperlink r:id="rId4180" ref="I2986"/>
    <hyperlink r:id="rId4181" ref="H2987"/>
    <hyperlink r:id="rId4182" ref="I2987"/>
    <hyperlink r:id="rId4183" ref="J2987"/>
    <hyperlink r:id="rId4184" ref="H2988"/>
    <hyperlink r:id="rId4185" ref="H2989"/>
    <hyperlink r:id="rId4186" ref="I2989"/>
    <hyperlink r:id="rId4187" ref="J2989"/>
    <hyperlink r:id="rId4188" ref="J2990"/>
    <hyperlink r:id="rId4189" ref="H2991"/>
    <hyperlink r:id="rId4190" ref="J2991"/>
    <hyperlink r:id="rId4191" ref="H2992"/>
    <hyperlink r:id="rId4192" ref="J2992"/>
    <hyperlink r:id="rId4193" ref="H2993"/>
    <hyperlink r:id="rId4194" ref="H2994"/>
    <hyperlink r:id="rId4195" ref="I2994"/>
    <hyperlink r:id="rId4196" ref="H2995"/>
    <hyperlink r:id="rId4197" ref="H2996"/>
    <hyperlink r:id="rId4198" ref="J2996"/>
    <hyperlink r:id="rId4199" ref="J2997"/>
    <hyperlink r:id="rId4200" ref="J2998"/>
    <hyperlink r:id="rId4201" ref="H2999"/>
    <hyperlink r:id="rId4202" ref="I2999"/>
    <hyperlink r:id="rId4203" ref="J3000"/>
    <hyperlink r:id="rId4204" ref="H3001"/>
    <hyperlink r:id="rId4205" ref="H3002"/>
    <hyperlink r:id="rId4206" ref="H3003"/>
    <hyperlink r:id="rId4207" ref="H3004"/>
    <hyperlink r:id="rId4208" ref="I3004"/>
    <hyperlink r:id="rId4209" ref="J3004"/>
    <hyperlink r:id="rId4210" ref="H3005"/>
    <hyperlink r:id="rId4211" ref="J3005"/>
    <hyperlink r:id="rId4212" ref="H3006"/>
    <hyperlink r:id="rId4213" ref="J3007"/>
    <hyperlink r:id="rId4214" ref="H3008"/>
    <hyperlink r:id="rId4215" ref="H3009"/>
    <hyperlink r:id="rId4216" ref="J3010"/>
    <hyperlink r:id="rId4217" ref="H3011"/>
    <hyperlink r:id="rId4218" ref="I3011"/>
    <hyperlink r:id="rId4219" ref="H3012"/>
    <hyperlink r:id="rId4220" ref="H3013"/>
    <hyperlink r:id="rId4221" ref="H3014"/>
    <hyperlink r:id="rId4222" ref="I3014"/>
    <hyperlink r:id="rId4223" ref="H3015"/>
    <hyperlink r:id="rId4224" ref="H3016"/>
    <hyperlink r:id="rId4225" ref="H3017"/>
    <hyperlink r:id="rId4226" ref="I3017"/>
    <hyperlink r:id="rId4227" ref="H3018"/>
    <hyperlink r:id="rId4228" ref="H3019"/>
    <hyperlink r:id="rId4229" ref="H3020"/>
    <hyperlink r:id="rId4230" ref="H3021"/>
    <hyperlink r:id="rId4231" ref="H3022"/>
    <hyperlink r:id="rId4232" ref="H3023"/>
    <hyperlink r:id="rId4233" ref="H3024"/>
    <hyperlink r:id="rId4234" ref="H3025"/>
    <hyperlink r:id="rId4235" ref="H3026"/>
    <hyperlink r:id="rId4236" ref="H3027"/>
    <hyperlink r:id="rId4237" ref="H3028"/>
    <hyperlink r:id="rId4238" ref="J3028"/>
    <hyperlink r:id="rId4239" ref="H3029"/>
    <hyperlink r:id="rId4240" ref="H3030"/>
    <hyperlink r:id="rId4241" ref="H3031"/>
    <hyperlink r:id="rId4242" ref="H3032"/>
    <hyperlink r:id="rId4243" ref="H3033"/>
    <hyperlink r:id="rId4244" ref="K3033"/>
    <hyperlink r:id="rId4245" ref="H3034"/>
    <hyperlink r:id="rId4246" ref="I3034"/>
    <hyperlink r:id="rId4247" ref="H3035"/>
    <hyperlink r:id="rId4248" ref="K3035"/>
    <hyperlink r:id="rId4249" ref="H3036"/>
    <hyperlink r:id="rId4250" ref="H3037"/>
    <hyperlink r:id="rId4251" ref="I3037"/>
    <hyperlink r:id="rId4252" ref="H3038"/>
    <hyperlink r:id="rId4253" ref="I3038"/>
    <hyperlink r:id="rId4254" ref="J3038"/>
    <hyperlink r:id="rId4255" ref="H3039"/>
    <hyperlink r:id="rId4256" ref="H3040"/>
    <hyperlink r:id="rId4257" ref="H3041"/>
    <hyperlink r:id="rId4258" ref="J3041"/>
    <hyperlink r:id="rId4259" ref="H3042"/>
    <hyperlink r:id="rId4260" ref="J3042"/>
    <hyperlink r:id="rId4261" ref="J3043"/>
    <hyperlink r:id="rId4262" ref="H3044"/>
    <hyperlink r:id="rId4263" ref="I3044"/>
    <hyperlink r:id="rId4264" ref="H3045"/>
    <hyperlink r:id="rId4265" ref="J3045"/>
    <hyperlink r:id="rId4266" ref="H3046"/>
    <hyperlink r:id="rId4267" ref="H3047"/>
    <hyperlink r:id="rId4268" ref="I3047"/>
    <hyperlink r:id="rId4269" ref="H3048"/>
    <hyperlink r:id="rId4270" ref="H3049"/>
    <hyperlink r:id="rId4271" ref="H3050"/>
    <hyperlink r:id="rId4272" ref="J3050"/>
    <hyperlink r:id="rId4273" ref="H3051"/>
    <hyperlink r:id="rId4274" ref="J3051"/>
    <hyperlink r:id="rId4275" ref="H3052"/>
    <hyperlink r:id="rId4276" ref="J3052"/>
    <hyperlink r:id="rId4277" ref="H3053"/>
    <hyperlink r:id="rId4278" ref="H3054"/>
    <hyperlink r:id="rId4279" ref="H3055"/>
    <hyperlink r:id="rId4280" ref="H3056"/>
    <hyperlink r:id="rId4281" ref="J3056"/>
    <hyperlink r:id="rId4282" ref="H3057"/>
    <hyperlink r:id="rId4283" ref="H3058"/>
    <hyperlink r:id="rId4284" ref="I3058"/>
    <hyperlink r:id="rId4285" ref="J3059"/>
    <hyperlink r:id="rId4286" ref="H3060"/>
    <hyperlink r:id="rId4287" ref="K3060"/>
    <hyperlink r:id="rId4288" ref="H3061"/>
    <hyperlink r:id="rId4289" ref="H3062"/>
    <hyperlink r:id="rId4290" ref="H3063"/>
    <hyperlink r:id="rId4291" ref="J3063"/>
    <hyperlink r:id="rId4292" ref="J3064"/>
    <hyperlink r:id="rId4293" ref="H3065"/>
    <hyperlink r:id="rId4294" ref="H3066"/>
    <hyperlink r:id="rId4295" ref="I3066"/>
    <hyperlink r:id="rId4296" ref="J3066"/>
    <hyperlink r:id="rId4297" ref="H3067"/>
    <hyperlink r:id="rId4298" ref="I3067"/>
    <hyperlink r:id="rId4299" ref="H3068"/>
    <hyperlink r:id="rId4300" ref="H3069"/>
    <hyperlink r:id="rId4301" ref="H3070"/>
    <hyperlink r:id="rId4302" ref="I3070"/>
    <hyperlink r:id="rId4303" ref="J3070"/>
    <hyperlink r:id="rId4304" ref="H3071"/>
    <hyperlink r:id="rId4305" ref="I3071"/>
    <hyperlink r:id="rId4306" ref="J3071"/>
    <hyperlink r:id="rId4307" ref="H3072"/>
    <hyperlink r:id="rId4308" ref="I3072"/>
    <hyperlink r:id="rId4309" ref="J3072"/>
    <hyperlink r:id="rId4310" ref="H3073"/>
    <hyperlink r:id="rId4311" ref="H3074"/>
    <hyperlink r:id="rId4312" ref="H3075"/>
    <hyperlink r:id="rId4313" ref="L3075"/>
    <hyperlink r:id="rId4314" ref="H3076"/>
    <hyperlink r:id="rId4315" ref="I3076"/>
    <hyperlink r:id="rId4316" ref="J3076"/>
    <hyperlink r:id="rId4317" ref="H3077"/>
    <hyperlink r:id="rId4318" ref="I3077"/>
    <hyperlink r:id="rId4319" ref="J3077"/>
    <hyperlink r:id="rId4320" ref="H3078"/>
    <hyperlink r:id="rId4321" ref="I3078"/>
    <hyperlink r:id="rId4322" ref="K3078"/>
    <hyperlink r:id="rId4323" ref="H3079"/>
    <hyperlink r:id="rId4324" ref="I3079"/>
    <hyperlink r:id="rId4325" ref="H3080"/>
    <hyperlink r:id="rId4326" ref="J3081"/>
    <hyperlink r:id="rId4327" ref="H3082"/>
    <hyperlink r:id="rId4328" ref="H3083"/>
    <hyperlink r:id="rId4329" ref="H3084"/>
    <hyperlink r:id="rId4330" ref="I3084"/>
    <hyperlink r:id="rId4331" ref="K3084"/>
    <hyperlink r:id="rId4332" ref="H3085"/>
    <hyperlink r:id="rId4333" ref="I3085"/>
    <hyperlink r:id="rId4334" ref="H3086"/>
    <hyperlink r:id="rId4335" ref="J3086"/>
    <hyperlink r:id="rId4336" ref="K3086"/>
    <hyperlink r:id="rId4337" ref="H3087"/>
    <hyperlink r:id="rId4338" ref="H3088"/>
    <hyperlink r:id="rId4339" ref="J3088"/>
    <hyperlink r:id="rId4340" ref="L3088"/>
    <hyperlink r:id="rId4341" ref="H3089"/>
    <hyperlink r:id="rId4342" ref="I3089"/>
    <hyperlink r:id="rId4343" ref="J3089"/>
    <hyperlink r:id="rId4344" ref="H3090"/>
    <hyperlink r:id="rId4345" ref="J3090"/>
    <hyperlink r:id="rId4346" ref="H3091"/>
    <hyperlink r:id="rId4347" ref="H3092"/>
    <hyperlink r:id="rId4348" ref="J3092"/>
    <hyperlink r:id="rId4349" ref="H3093"/>
    <hyperlink r:id="rId4350" ref="I3093"/>
    <hyperlink r:id="rId4351" ref="J3093"/>
    <hyperlink r:id="rId4352" ref="H3094"/>
    <hyperlink r:id="rId4353" ref="I3094"/>
    <hyperlink r:id="rId4354" ref="J3094"/>
    <hyperlink r:id="rId4355" ref="J3095"/>
    <hyperlink r:id="rId4356" ref="J3096"/>
    <hyperlink r:id="rId4357" ref="H3097"/>
    <hyperlink r:id="rId4358" ref="I3097"/>
    <hyperlink r:id="rId4359" ref="J3097"/>
    <hyperlink r:id="rId4360" ref="H3098"/>
    <hyperlink r:id="rId4361" ref="I3098"/>
    <hyperlink r:id="rId4362" ref="H3099"/>
    <hyperlink r:id="rId4363" ref="I3099"/>
    <hyperlink r:id="rId4364" ref="H3100"/>
    <hyperlink r:id="rId4365" ref="I3100"/>
    <hyperlink r:id="rId4366" ref="J3100"/>
    <hyperlink r:id="rId4367" ref="H3101"/>
    <hyperlink r:id="rId4368" ref="H3102"/>
    <hyperlink r:id="rId4369" ref="I3102"/>
    <hyperlink r:id="rId4370" ref="H3103"/>
    <hyperlink r:id="rId4371" ref="I3103"/>
    <hyperlink r:id="rId4372" ref="H3104"/>
    <hyperlink r:id="rId4373" ref="H3105"/>
    <hyperlink r:id="rId4374" ref="I3105"/>
    <hyperlink r:id="rId4375" ref="H3106"/>
    <hyperlink r:id="rId4376" ref="I3106"/>
    <hyperlink r:id="rId4377" ref="H3107"/>
    <hyperlink r:id="rId4378" ref="I3107"/>
    <hyperlink r:id="rId4379" ref="H3108"/>
    <hyperlink r:id="rId4380" ref="H3109"/>
    <hyperlink r:id="rId4381" ref="I3109"/>
    <hyperlink r:id="rId4382" ref="H3110"/>
    <hyperlink r:id="rId4383" ref="I3110"/>
    <hyperlink r:id="rId4384" ref="H3111"/>
    <hyperlink r:id="rId4385" ref="J3111"/>
    <hyperlink r:id="rId4386" ref="H3112"/>
    <hyperlink r:id="rId4387" ref="I3112"/>
    <hyperlink r:id="rId4388" ref="J3112"/>
    <hyperlink r:id="rId4389" ref="H3113"/>
    <hyperlink r:id="rId4390" ref="I3113"/>
    <hyperlink r:id="rId4391" ref="H3114"/>
    <hyperlink r:id="rId4392" ref="J3114"/>
    <hyperlink r:id="rId4393" ref="H3115"/>
    <hyperlink r:id="rId4394" ref="I3115"/>
    <hyperlink r:id="rId4395" ref="H3116"/>
    <hyperlink r:id="rId4396" ref="I3116"/>
    <hyperlink r:id="rId4397" ref="J3116"/>
    <hyperlink r:id="rId4398" ref="H3117"/>
    <hyperlink r:id="rId4399" ref="I3117"/>
    <hyperlink r:id="rId4400" ref="K3117"/>
    <hyperlink r:id="rId4401" ref="H3118"/>
    <hyperlink r:id="rId4402" ref="I3118"/>
    <hyperlink r:id="rId4403" ref="J3118"/>
    <hyperlink r:id="rId4404" ref="H3119"/>
    <hyperlink r:id="rId4405" ref="K3119"/>
    <hyperlink r:id="rId4406" ref="H3120"/>
    <hyperlink r:id="rId4407" ref="K3120"/>
    <hyperlink r:id="rId4408" ref="H3121"/>
    <hyperlink r:id="rId4409" ref="J3121"/>
    <hyperlink r:id="rId4410" ref="H3122"/>
    <hyperlink r:id="rId4411" ref="J3122"/>
    <hyperlink r:id="rId4412" ref="H3123"/>
    <hyperlink r:id="rId4413" ref="I3123"/>
    <hyperlink r:id="rId4414" ref="J3123"/>
    <hyperlink r:id="rId4415" ref="H3124"/>
    <hyperlink r:id="rId4416" ref="I3124"/>
    <hyperlink r:id="rId4417" ref="J3124"/>
    <hyperlink r:id="rId4418" ref="H3125"/>
    <hyperlink r:id="rId4419" ref="I3125"/>
    <hyperlink r:id="rId4420" ref="H3126"/>
    <hyperlink r:id="rId4421" ref="I3126"/>
    <hyperlink r:id="rId4422" ref="H3127"/>
    <hyperlink r:id="rId4423" ref="I3127"/>
    <hyperlink r:id="rId4424" ref="J3127"/>
    <hyperlink r:id="rId4425" ref="H3128"/>
    <hyperlink r:id="rId4426" ref="H3129"/>
    <hyperlink r:id="rId4427" ref="J3129"/>
    <hyperlink r:id="rId4428" ref="H3130"/>
    <hyperlink r:id="rId4429" ref="I3130"/>
    <hyperlink r:id="rId4430" ref="J3130"/>
    <hyperlink r:id="rId4431" ref="H3131"/>
    <hyperlink r:id="rId4432" ref="I3131"/>
    <hyperlink r:id="rId4433" ref="J3131"/>
    <hyperlink r:id="rId4434" ref="H3132"/>
    <hyperlink r:id="rId4435" ref="J3132"/>
    <hyperlink r:id="rId4436" ref="H3133"/>
    <hyperlink r:id="rId4437" ref="J3133"/>
    <hyperlink r:id="rId4438" ref="H3134"/>
    <hyperlink r:id="rId4439" ref="J3134"/>
    <hyperlink r:id="rId4440" ref="J3135"/>
    <hyperlink r:id="rId4441" ref="H3136"/>
    <hyperlink r:id="rId4442" ref="J3136"/>
    <hyperlink r:id="rId4443" ref="J3137"/>
    <hyperlink r:id="rId4444" ref="H3138"/>
    <hyperlink r:id="rId4445" ref="H3139"/>
    <hyperlink r:id="rId4446" ref="H3140"/>
    <hyperlink r:id="rId4447" ref="H3141"/>
    <hyperlink r:id="rId4448" ref="J3141"/>
    <hyperlink r:id="rId4449" ref="J3142"/>
    <hyperlink r:id="rId4450" ref="H3143"/>
    <hyperlink r:id="rId4451" ref="H3144"/>
    <hyperlink r:id="rId4452" ref="H3145"/>
    <hyperlink r:id="rId4453" ref="H3146"/>
    <hyperlink r:id="rId4454" ref="H3147"/>
    <hyperlink r:id="rId4455" ref="I3147"/>
    <hyperlink r:id="rId4456" ref="H3148"/>
    <hyperlink r:id="rId4457" ref="H3149"/>
    <hyperlink r:id="rId4458" ref="I3149"/>
    <hyperlink r:id="rId4459" ref="H3150"/>
    <hyperlink r:id="rId4460" ref="J3150"/>
    <hyperlink r:id="rId4461" ref="H3151"/>
    <hyperlink r:id="rId4462" ref="H3152"/>
    <hyperlink r:id="rId4463" ref="H3153"/>
    <hyperlink r:id="rId4464" ref="H3154"/>
    <hyperlink r:id="rId4465" ref="J3154"/>
    <hyperlink r:id="rId4466" ref="H3155"/>
    <hyperlink r:id="rId4467" ref="H3156"/>
    <hyperlink r:id="rId4468" ref="J3156"/>
    <hyperlink r:id="rId4469" ref="H3157"/>
    <hyperlink r:id="rId4470" ref="H3158"/>
    <hyperlink r:id="rId4471" ref="H3159"/>
    <hyperlink r:id="rId4472" ref="J3159"/>
    <hyperlink r:id="rId4473" ref="H3160"/>
    <hyperlink r:id="rId4474" ref="H3161"/>
    <hyperlink r:id="rId4475" ref="I3161"/>
    <hyperlink r:id="rId4476" ref="H3162"/>
    <hyperlink r:id="rId4477" ref="H3163"/>
    <hyperlink r:id="rId4478" ref="H3164"/>
    <hyperlink r:id="rId4479" ref="H3165"/>
    <hyperlink r:id="rId4480" ref="J3165"/>
    <hyperlink r:id="rId4481" ref="H3166"/>
    <hyperlink r:id="rId4482" ref="I3166"/>
    <hyperlink r:id="rId4483" ref="J3166"/>
    <hyperlink r:id="rId4484" ref="H3167"/>
    <hyperlink r:id="rId4485" ref="H3168"/>
    <hyperlink r:id="rId4486" ref="H3169"/>
    <hyperlink r:id="rId4487" ref="J3169"/>
    <hyperlink r:id="rId4488" ref="H3170"/>
    <hyperlink r:id="rId4489" ref="J3170"/>
    <hyperlink r:id="rId4490" ref="H3171"/>
    <hyperlink r:id="rId4491" ref="J3171"/>
    <hyperlink r:id="rId4492" ref="H3172"/>
    <hyperlink r:id="rId4493" ref="H3173"/>
    <hyperlink r:id="rId4494" ref="I3173"/>
    <hyperlink r:id="rId4495" ref="H3174"/>
    <hyperlink r:id="rId4496" ref="H3175"/>
    <hyperlink r:id="rId4497" ref="H3176"/>
    <hyperlink r:id="rId4498" ref="I3176"/>
    <hyperlink r:id="rId4499" ref="J3176"/>
    <hyperlink r:id="rId4500" ref="H3177"/>
    <hyperlink r:id="rId4501" ref="H3178"/>
    <hyperlink r:id="rId4502" ref="H3179"/>
    <hyperlink r:id="rId4503" ref="H3180"/>
    <hyperlink r:id="rId4504" ref="H3181"/>
    <hyperlink r:id="rId4505" ref="H3182"/>
    <hyperlink r:id="rId4506" ref="I3182"/>
    <hyperlink r:id="rId4507" ref="H3183"/>
    <hyperlink r:id="rId4508" ref="I3183"/>
    <hyperlink r:id="rId4509" ref="H3184"/>
    <hyperlink r:id="rId4510" ref="H3185"/>
    <hyperlink r:id="rId4511" ref="H3186"/>
    <hyperlink r:id="rId4512" ref="H3187"/>
    <hyperlink r:id="rId4513" ref="H3188"/>
    <hyperlink r:id="rId4514" ref="H3189"/>
    <hyperlink r:id="rId4515" ref="H3190"/>
    <hyperlink r:id="rId4516" ref="H3191"/>
    <hyperlink r:id="rId4517" ref="H3192"/>
    <hyperlink r:id="rId4518" ref="H3193"/>
    <hyperlink r:id="rId4519" ref="H3194"/>
    <hyperlink r:id="rId4520" ref="I3194"/>
    <hyperlink r:id="rId4521" ref="H3195"/>
    <hyperlink r:id="rId4522" ref="H3196"/>
    <hyperlink r:id="rId4523" ref="H3197"/>
    <hyperlink r:id="rId4524" ref="I3197"/>
    <hyperlink r:id="rId4525" ref="H3198"/>
    <hyperlink r:id="rId4526" ref="J3198"/>
    <hyperlink r:id="rId4527" ref="H3199"/>
    <hyperlink r:id="rId4528" ref="I3199"/>
    <hyperlink r:id="rId4529" ref="J3199"/>
    <hyperlink r:id="rId4530" ref="H3200"/>
    <hyperlink r:id="rId4531" ref="H3201"/>
    <hyperlink r:id="rId4532" ref="I3201"/>
    <hyperlink r:id="rId4533" ref="H3202"/>
    <hyperlink r:id="rId4534" ref="I3202"/>
    <hyperlink r:id="rId4535" ref="H3203"/>
    <hyperlink r:id="rId4536" ref="I3203"/>
    <hyperlink r:id="rId4537" ref="H3204"/>
    <hyperlink r:id="rId4538" ref="J3204"/>
    <hyperlink r:id="rId4539" ref="H3205"/>
    <hyperlink r:id="rId4540" ref="H3206"/>
    <hyperlink r:id="rId4541" ref="I3206"/>
    <hyperlink r:id="rId4542" ref="H3207"/>
    <hyperlink r:id="rId4543" ref="H3208"/>
    <hyperlink r:id="rId4544" ref="J3208"/>
    <hyperlink r:id="rId4545" ref="M3208"/>
    <hyperlink r:id="rId4546" ref="H3209"/>
    <hyperlink r:id="rId4547" ref="I3209"/>
    <hyperlink r:id="rId4548" ref="H3210"/>
    <hyperlink r:id="rId4549" ref="J3211"/>
    <hyperlink r:id="rId4550" ref="H3212"/>
    <hyperlink r:id="rId4551" ref="I3212"/>
    <hyperlink r:id="rId4552" ref="J3212"/>
    <hyperlink r:id="rId4553" ref="J3213"/>
    <hyperlink r:id="rId4554" ref="H3214"/>
    <hyperlink r:id="rId4555" ref="J3214"/>
    <hyperlink r:id="rId4556" ref="H3215"/>
    <hyperlink r:id="rId4557" ref="J3216"/>
    <hyperlink r:id="rId4558" ref="H3217"/>
    <hyperlink r:id="rId4559" ref="K3217"/>
    <hyperlink r:id="rId4560" ref="H3218"/>
    <hyperlink r:id="rId4561" ref="K3218"/>
    <hyperlink r:id="rId4562" ref="H3219"/>
    <hyperlink r:id="rId4563" ref="H3220"/>
    <hyperlink r:id="rId4564" ref="I3220"/>
    <hyperlink r:id="rId4565" ref="H3221"/>
    <hyperlink r:id="rId4566" ref="J3221"/>
    <hyperlink r:id="rId4567" ref="H3222"/>
    <hyperlink r:id="rId4568" ref="J3223"/>
    <hyperlink r:id="rId4569" ref="J3224"/>
    <hyperlink r:id="rId4570" ref="H3225"/>
    <hyperlink r:id="rId4571" ref="I3225"/>
    <hyperlink r:id="rId4572" ref="H3226"/>
    <hyperlink r:id="rId4573" ref="I3226"/>
    <hyperlink r:id="rId4574" ref="H3227"/>
    <hyperlink r:id="rId4575" ref="H3228"/>
    <hyperlink r:id="rId4576" ref="H3229"/>
    <hyperlink r:id="rId4577" ref="H3230"/>
    <hyperlink r:id="rId4578" ref="H3231"/>
    <hyperlink r:id="rId4579" ref="H3232"/>
    <hyperlink r:id="rId4580" ref="H3233"/>
    <hyperlink r:id="rId4581" ref="H3234"/>
    <hyperlink r:id="rId4582" ref="H3235"/>
    <hyperlink r:id="rId4583" ref="I3235"/>
    <hyperlink r:id="rId4584" ref="H3236"/>
    <hyperlink r:id="rId4585" ref="H3237"/>
    <hyperlink r:id="rId4586" ref="J3237"/>
    <hyperlink r:id="rId4587" ref="H3238"/>
    <hyperlink r:id="rId4588" ref="I3238"/>
    <hyperlink r:id="rId4589" ref="J3238"/>
    <hyperlink r:id="rId4590" ref="H3239"/>
    <hyperlink r:id="rId4591" ref="J3239"/>
    <hyperlink r:id="rId4592" ref="H3240"/>
    <hyperlink r:id="rId4593" ref="H3241"/>
    <hyperlink r:id="rId4594" ref="I3241"/>
    <hyperlink r:id="rId4595" ref="H3242"/>
    <hyperlink r:id="rId4596" ref="H3243"/>
    <hyperlink r:id="rId4597" ref="I3243"/>
    <hyperlink r:id="rId4598" ref="H3244"/>
    <hyperlink r:id="rId4599" ref="J3245"/>
    <hyperlink r:id="rId4600" ref="J3246"/>
    <hyperlink r:id="rId4601" ref="H3247"/>
    <hyperlink r:id="rId4602" ref="H3248"/>
    <hyperlink r:id="rId4603" ref="H3249"/>
    <hyperlink r:id="rId4604" ref="H3250"/>
    <hyperlink r:id="rId4605" ref="H3251"/>
    <hyperlink r:id="rId4606" ref="H3252"/>
    <hyperlink r:id="rId4607" ref="H3253"/>
    <hyperlink r:id="rId4608" ref="H3254"/>
    <hyperlink r:id="rId4609" ref="I3254"/>
    <hyperlink r:id="rId4610" ref="J3254"/>
    <hyperlink r:id="rId4611" ref="J3255"/>
    <hyperlink r:id="rId4612" ref="J3256"/>
    <hyperlink r:id="rId4613" ref="J3257"/>
    <hyperlink r:id="rId4614" ref="J3258"/>
    <hyperlink r:id="rId4615" ref="J3259"/>
    <hyperlink r:id="rId4616" ref="J3260"/>
    <hyperlink r:id="rId4617" ref="H3261"/>
    <hyperlink r:id="rId4618" ref="J3261"/>
    <hyperlink r:id="rId4619" ref="J3262"/>
    <hyperlink r:id="rId4620" ref="H3263"/>
    <hyperlink r:id="rId4621" ref="I3263"/>
    <hyperlink r:id="rId4622" ref="J3263"/>
    <hyperlink r:id="rId4623" ref="J3264"/>
    <hyperlink r:id="rId4624" ref="J3265"/>
    <hyperlink r:id="rId4625" ref="J3266"/>
    <hyperlink r:id="rId4626" ref="J3267"/>
    <hyperlink r:id="rId4627" ref="H3268"/>
    <hyperlink r:id="rId4628" ref="H3269"/>
    <hyperlink r:id="rId4629" ref="I3269"/>
    <hyperlink r:id="rId4630" ref="J3269"/>
    <hyperlink r:id="rId4631" ref="H3270"/>
    <hyperlink r:id="rId4632" ref="J3270"/>
    <hyperlink r:id="rId4633" ref="H3271"/>
    <hyperlink r:id="rId4634" ref="L3271"/>
    <hyperlink r:id="rId4635" ref="H3272"/>
    <hyperlink r:id="rId4636" ref="L3273"/>
    <hyperlink r:id="rId4637" ref="H3274"/>
    <hyperlink r:id="rId4638" ref="H3275"/>
    <hyperlink r:id="rId4639" ref="H3276"/>
    <hyperlink r:id="rId4640" ref="I3276"/>
    <hyperlink r:id="rId4641" ref="J3276"/>
    <hyperlink r:id="rId4642" ref="H3277"/>
    <hyperlink r:id="rId4643" ref="H3278"/>
    <hyperlink r:id="rId4644" ref="I3278"/>
    <hyperlink r:id="rId4645" ref="J3278"/>
    <hyperlink r:id="rId4646" ref="H3279"/>
    <hyperlink r:id="rId4647" ref="H3280"/>
    <hyperlink r:id="rId4648" ref="J3281"/>
    <hyperlink r:id="rId4649" ref="H3282"/>
    <hyperlink r:id="rId4650" ref="I3282"/>
    <hyperlink r:id="rId4651" ref="J3282"/>
    <hyperlink r:id="rId4652" ref="H3283"/>
    <hyperlink r:id="rId4653" ref="L3283"/>
    <hyperlink r:id="rId4654" ref="H3284"/>
    <hyperlink r:id="rId4655" ref="I3284"/>
    <hyperlink r:id="rId4656" ref="J3284"/>
    <hyperlink r:id="rId4657" ref="H3285"/>
    <hyperlink r:id="rId4658" ref="H3286"/>
    <hyperlink r:id="rId4659" ref="H3287"/>
    <hyperlink r:id="rId4660" ref="H3288"/>
    <hyperlink r:id="rId4661" ref="I3288"/>
    <hyperlink r:id="rId4662" ref="J3288"/>
    <hyperlink r:id="rId4663" ref="H3289"/>
    <hyperlink r:id="rId4664" ref="J3289"/>
    <hyperlink r:id="rId4665" ref="H3290"/>
    <hyperlink r:id="rId4666" ref="H3291"/>
    <hyperlink r:id="rId4667" ref="H3292"/>
    <hyperlink r:id="rId4668" ref="I3292"/>
    <hyperlink r:id="rId4669" ref="H3293"/>
    <hyperlink r:id="rId4670" ref="H3294"/>
    <hyperlink r:id="rId4671" ref="H3295"/>
    <hyperlink r:id="rId4672" ref="H3296"/>
    <hyperlink r:id="rId4673" ref="J3296"/>
    <hyperlink r:id="rId4674" ref="J3297"/>
    <hyperlink r:id="rId4675" ref="H3298"/>
    <hyperlink r:id="rId4676" ref="H3299"/>
    <hyperlink r:id="rId4677" ref="I3299"/>
    <hyperlink r:id="rId4678" ref="H3300"/>
    <hyperlink r:id="rId4679" ref="H3301"/>
    <hyperlink r:id="rId4680" ref="H3302"/>
    <hyperlink r:id="rId4681" ref="I3302"/>
    <hyperlink r:id="rId4682" ref="H3303"/>
    <hyperlink r:id="rId4683" ref="H3304"/>
    <hyperlink r:id="rId4684" ref="H3305"/>
    <hyperlink r:id="rId4685" ref="I3306"/>
    <hyperlink r:id="rId4686" ref="H3307"/>
    <hyperlink r:id="rId4687" ref="H3308"/>
    <hyperlink r:id="rId4688" ref="H3309"/>
    <hyperlink r:id="rId4689" ref="H3310"/>
    <hyperlink r:id="rId4690" ref="H3311"/>
    <hyperlink r:id="rId4691" ref="I3311"/>
    <hyperlink r:id="rId4692" ref="H3312"/>
    <hyperlink r:id="rId4693" ref="H3313"/>
    <hyperlink r:id="rId4694" ref="H3314"/>
    <hyperlink r:id="rId4695" ref="J3316"/>
    <hyperlink r:id="rId4696" ref="I3317"/>
    <hyperlink r:id="rId4697" ref="H3318"/>
    <hyperlink r:id="rId4698" ref="H3319"/>
    <hyperlink r:id="rId4699" ref="I3319"/>
    <hyperlink r:id="rId4700" ref="H3320"/>
    <hyperlink r:id="rId4701" ref="H3321"/>
    <hyperlink r:id="rId4702" ref="I3321"/>
    <hyperlink r:id="rId4703" ref="J3321"/>
    <hyperlink r:id="rId4704" ref="H3322"/>
    <hyperlink r:id="rId4705" ref="H3323"/>
    <hyperlink r:id="rId4706" ref="H3324"/>
    <hyperlink r:id="rId4707" ref="H3325"/>
    <hyperlink r:id="rId4708" ref="H3326"/>
    <hyperlink r:id="rId4709" ref="I3326"/>
    <hyperlink r:id="rId4710" ref="J3326"/>
    <hyperlink r:id="rId4711" ref="H3327"/>
    <hyperlink r:id="rId4712" ref="H3328"/>
    <hyperlink r:id="rId4713" ref="J3329"/>
    <hyperlink r:id="rId4714" ref="H3330"/>
    <hyperlink r:id="rId4715" ref="H3331"/>
    <hyperlink r:id="rId4716" ref="I3333"/>
    <hyperlink r:id="rId4717" ref="H3334"/>
    <hyperlink r:id="rId4718" ref="I3334"/>
    <hyperlink r:id="rId4719" ref="J3334"/>
    <hyperlink r:id="rId4720" ref="H3335"/>
    <hyperlink r:id="rId4721" ref="H3336"/>
    <hyperlink r:id="rId4722" ref="H3337"/>
    <hyperlink r:id="rId4723" ref="I3337"/>
    <hyperlink r:id="rId4724" ref="H3338"/>
    <hyperlink r:id="rId4725" ref="H3339"/>
    <hyperlink r:id="rId4726" ref="H3340"/>
    <hyperlink r:id="rId4727" ref="J3341"/>
    <hyperlink r:id="rId4728" ref="H3342"/>
    <hyperlink r:id="rId4729" ref="H3343"/>
    <hyperlink r:id="rId4730" ref="H3344"/>
    <hyperlink r:id="rId4731" ref="I3344"/>
    <hyperlink r:id="rId4732" ref="H3345"/>
    <hyperlink r:id="rId4733" ref="H3346"/>
    <hyperlink r:id="rId4734" ref="J3346"/>
    <hyperlink r:id="rId4735" ref="K3346"/>
    <hyperlink r:id="rId4736" ref="H3347"/>
    <hyperlink r:id="rId4737" ref="H3348"/>
    <hyperlink r:id="rId4738" ref="H3350"/>
    <hyperlink r:id="rId4739" ref="H3351"/>
    <hyperlink r:id="rId4740" ref="H3352"/>
    <hyperlink r:id="rId4741" ref="H3353"/>
    <hyperlink r:id="rId4742" ref="H3354"/>
    <hyperlink r:id="rId4743" ref="J3354"/>
    <hyperlink r:id="rId4744" ref="H3355"/>
    <hyperlink r:id="rId4745" ref="H3356"/>
    <hyperlink r:id="rId4746" ref="H3357"/>
    <hyperlink r:id="rId4747" ref="H3358"/>
    <hyperlink r:id="rId4748" ref="I3358"/>
    <hyperlink r:id="rId4749" ref="J3358"/>
    <hyperlink r:id="rId4750" ref="H3359"/>
    <hyperlink r:id="rId4751" ref="H3360"/>
    <hyperlink r:id="rId4752" ref="H3361"/>
    <hyperlink r:id="rId4753" ref="H3362"/>
    <hyperlink r:id="rId4754" ref="H3363"/>
    <hyperlink r:id="rId4755" ref="H3364"/>
    <hyperlink r:id="rId4756" ref="H3365"/>
    <hyperlink r:id="rId4757" ref="J3366"/>
    <hyperlink r:id="rId4758" ref="H3367"/>
    <hyperlink r:id="rId4759" ref="I3367"/>
    <hyperlink r:id="rId4760" ref="H3368"/>
    <hyperlink r:id="rId4761" ref="I3368"/>
    <hyperlink r:id="rId4762" ref="H3369"/>
    <hyperlink r:id="rId4763" ref="H3370"/>
    <hyperlink r:id="rId4764" ref="H3371"/>
    <hyperlink r:id="rId4765" ref="H3372"/>
    <hyperlink r:id="rId4766" ref="H3373"/>
    <hyperlink r:id="rId4767" ref="H3374"/>
    <hyperlink r:id="rId4768" ref="H3375"/>
    <hyperlink r:id="rId4769" ref="H3376"/>
    <hyperlink r:id="rId4770" ref="H3377"/>
    <hyperlink r:id="rId4771" ref="H3378"/>
    <hyperlink r:id="rId4772" ref="H3379"/>
    <hyperlink r:id="rId4773" ref="H3380"/>
    <hyperlink r:id="rId4774" ref="H3381"/>
    <hyperlink r:id="rId4775" ref="H3382"/>
    <hyperlink r:id="rId4776" ref="H3383"/>
    <hyperlink r:id="rId4777" ref="H3384"/>
    <hyperlink r:id="rId4778" ref="I3384"/>
    <hyperlink r:id="rId4779" ref="H3385"/>
    <hyperlink r:id="rId4780" ref="H3386"/>
    <hyperlink r:id="rId4781" ref="H3387"/>
    <hyperlink r:id="rId4782" ref="H3388"/>
    <hyperlink r:id="rId4783" ref="H3389"/>
    <hyperlink r:id="rId4784" ref="I3389"/>
    <hyperlink r:id="rId4785" ref="I3390"/>
    <hyperlink r:id="rId4786" ref="J3390"/>
    <hyperlink r:id="rId4787" ref="H3392"/>
    <hyperlink r:id="rId4788" ref="J3392"/>
    <hyperlink r:id="rId4789" ref="H3393"/>
    <hyperlink r:id="rId4790" ref="H3394"/>
    <hyperlink r:id="rId4791" ref="J3394"/>
    <hyperlink r:id="rId4792" ref="H3395"/>
    <hyperlink r:id="rId4793" ref="H3396"/>
    <hyperlink r:id="rId4794" ref="H3397"/>
    <hyperlink r:id="rId4795" ref="H3398"/>
    <hyperlink r:id="rId4796" ref="H3399"/>
    <hyperlink r:id="rId4797" ref="H3400"/>
    <hyperlink r:id="rId4798" ref="H3401"/>
    <hyperlink r:id="rId4799" ref="H3403"/>
    <hyperlink r:id="rId4800" ref="H3404"/>
    <hyperlink r:id="rId4801" ref="H3405"/>
    <hyperlink r:id="rId4802" ref="H3406"/>
    <hyperlink r:id="rId4803" ref="I3406"/>
    <hyperlink r:id="rId4804" ref="H3407"/>
    <hyperlink r:id="rId4805" ref="I3407"/>
    <hyperlink r:id="rId4806" ref="H3408"/>
    <hyperlink r:id="rId4807" ref="H3409"/>
    <hyperlink r:id="rId4808" ref="H3410"/>
    <hyperlink r:id="rId4809" ref="J3410"/>
    <hyperlink r:id="rId4810" ref="H3411"/>
    <hyperlink r:id="rId4811" ref="H3412"/>
    <hyperlink r:id="rId4812" ref="H3413"/>
    <hyperlink r:id="rId4813" ref="I3413"/>
    <hyperlink r:id="rId4814" ref="J3413"/>
    <hyperlink r:id="rId4815" ref="H3414"/>
    <hyperlink r:id="rId4816" ref="H3415"/>
    <hyperlink r:id="rId4817" ref="H3416"/>
    <hyperlink r:id="rId4818" ref="H3417"/>
    <hyperlink r:id="rId4819" ref="H3418"/>
    <hyperlink r:id="rId4820" ref="I3418"/>
    <hyperlink r:id="rId4821" ref="H3419"/>
    <hyperlink r:id="rId4822" ref="H3421"/>
    <hyperlink r:id="rId4823" ref="H3422"/>
    <hyperlink r:id="rId4824" ref="I3422"/>
    <hyperlink r:id="rId4825" ref="H3423"/>
    <hyperlink r:id="rId4826" ref="J3423"/>
    <hyperlink r:id="rId4827" ref="H3424"/>
    <hyperlink r:id="rId4828" ref="H3425"/>
    <hyperlink r:id="rId4829" ref="J3425"/>
    <hyperlink r:id="rId4830" ref="H3426"/>
    <hyperlink r:id="rId4831" ref="J3426"/>
    <hyperlink r:id="rId4832" ref="H3427"/>
    <hyperlink r:id="rId4833" ref="H3428"/>
    <hyperlink r:id="rId4834" ref="H3429"/>
    <hyperlink r:id="rId4835" ref="I3429"/>
    <hyperlink r:id="rId4836" ref="H3430"/>
    <hyperlink r:id="rId4837" ref="H3431"/>
    <hyperlink r:id="rId4838" ref="I3431"/>
    <hyperlink r:id="rId4839" ref="H3432"/>
    <hyperlink r:id="rId4840" ref="H3433"/>
    <hyperlink r:id="rId4841" ref="I3433"/>
    <hyperlink r:id="rId4842" ref="H3434"/>
    <hyperlink r:id="rId4843" ref="H3435"/>
    <hyperlink r:id="rId4844" ref="H3436"/>
    <hyperlink r:id="rId4845" ref="H3437"/>
    <hyperlink r:id="rId4846" ref="I3437"/>
    <hyperlink r:id="rId4847" ref="H3438"/>
    <hyperlink r:id="rId4848" ref="H3439"/>
    <hyperlink r:id="rId4849" ref="H3440"/>
    <hyperlink r:id="rId4850" ref="H3441"/>
    <hyperlink r:id="rId4851" ref="I3441"/>
    <hyperlink r:id="rId4852" ref="H3442"/>
    <hyperlink r:id="rId4853" ref="H3443"/>
    <hyperlink r:id="rId4854" ref="H3444"/>
    <hyperlink r:id="rId4855" ref="I3444"/>
    <hyperlink r:id="rId4856" ref="H3445"/>
    <hyperlink r:id="rId4857" ref="H3446"/>
    <hyperlink r:id="rId4858" ref="H3447"/>
    <hyperlink r:id="rId4859" ref="I3447"/>
    <hyperlink r:id="rId4860" ref="J3447"/>
    <hyperlink r:id="rId4861" ref="H3448"/>
    <hyperlink r:id="rId4862" ref="J3448"/>
    <hyperlink r:id="rId4863" ref="H3449"/>
    <hyperlink r:id="rId4864" ref="H3450"/>
    <hyperlink r:id="rId4865" ref="H3451"/>
    <hyperlink r:id="rId4866" ref="H3452"/>
    <hyperlink r:id="rId4867" ref="J3452"/>
    <hyperlink r:id="rId4868" ref="H3453"/>
    <hyperlink r:id="rId4869" ref="H3454"/>
    <hyperlink r:id="rId4870" ref="H3455"/>
    <hyperlink r:id="rId4871" ref="I3455"/>
    <hyperlink r:id="rId4872" ref="H3456"/>
    <hyperlink r:id="rId4873" ref="J3456"/>
    <hyperlink r:id="rId4874" ref="H3457"/>
    <hyperlink r:id="rId4875" ref="H3458"/>
    <hyperlink r:id="rId4876" ref="H3459"/>
    <hyperlink r:id="rId4877" ref="H3460"/>
    <hyperlink r:id="rId4878" ref="H3461"/>
    <hyperlink r:id="rId4879" ref="H3462"/>
    <hyperlink r:id="rId4880" ref="I3462"/>
    <hyperlink r:id="rId4881" ref="H3463"/>
    <hyperlink r:id="rId4882" ref="H3464"/>
    <hyperlink r:id="rId4883" ref="J3464"/>
    <hyperlink r:id="rId4884" ref="H3465"/>
    <hyperlink r:id="rId4885" ref="H3466"/>
    <hyperlink r:id="rId4886" ref="H3467"/>
    <hyperlink r:id="rId4887" ref="H3468"/>
    <hyperlink r:id="rId4888" ref="H3469"/>
    <hyperlink r:id="rId4889" ref="H3470"/>
    <hyperlink r:id="rId4890" ref="K3470"/>
    <hyperlink r:id="rId4891" ref="H3471"/>
    <hyperlink r:id="rId4892" ref="J3471"/>
    <hyperlink r:id="rId4893" ref="H3472"/>
    <hyperlink r:id="rId4894" ref="H3473"/>
    <hyperlink r:id="rId4895" ref="H3474"/>
    <hyperlink r:id="rId4896" ref="J3474"/>
    <hyperlink r:id="rId4897" ref="H3475"/>
    <hyperlink r:id="rId4898" ref="I3475"/>
    <hyperlink r:id="rId4899" ref="J3475"/>
    <hyperlink r:id="rId4900" ref="H3476"/>
    <hyperlink r:id="rId4901" ref="H3477"/>
    <hyperlink r:id="rId4902" ref="H3478"/>
    <hyperlink r:id="rId4903" ref="H3479"/>
    <hyperlink r:id="rId4904" ref="H3480"/>
    <hyperlink r:id="rId4905" ref="H3481"/>
    <hyperlink r:id="rId4906" ref="J3481"/>
    <hyperlink r:id="rId4907" ref="H3482"/>
    <hyperlink r:id="rId4908" ref="H3483"/>
    <hyperlink r:id="rId4909" ref="I3483"/>
    <hyperlink r:id="rId4910" ref="H3484"/>
    <hyperlink r:id="rId4911" ref="H3485"/>
    <hyperlink r:id="rId4912" ref="H3486"/>
    <hyperlink r:id="rId4913" ref="H3487"/>
    <hyperlink r:id="rId4914" ref="I3487"/>
    <hyperlink r:id="rId4915" ref="J3488"/>
    <hyperlink r:id="rId4916" ref="I3489"/>
    <hyperlink r:id="rId4917" ref="H3490"/>
    <hyperlink r:id="rId4918" ref="I3490"/>
    <hyperlink r:id="rId4919" ref="J3490"/>
    <hyperlink r:id="rId4920" ref="H3491"/>
    <hyperlink r:id="rId4921" ref="J3492"/>
    <hyperlink r:id="rId4922" ref="J3493"/>
    <hyperlink r:id="rId4923" ref="H3497"/>
    <hyperlink r:id="rId4924" ref="I3502"/>
    <hyperlink r:id="rId4925" ref="H3503"/>
    <hyperlink r:id="rId4926" ref="H3504"/>
    <hyperlink r:id="rId4927" ref="H3505"/>
    <hyperlink r:id="rId4928" ref="J3506"/>
    <hyperlink r:id="rId4929" ref="J3507"/>
    <hyperlink r:id="rId4930" ref="H3508"/>
    <hyperlink r:id="rId4931" ref="H3509"/>
    <hyperlink r:id="rId4932" ref="J3509"/>
    <hyperlink r:id="rId4933" ref="I3510"/>
    <hyperlink r:id="rId4934" ref="H3511"/>
    <hyperlink r:id="rId4935" ref="J3512"/>
    <hyperlink r:id="rId4936" ref="J3513"/>
    <hyperlink r:id="rId4937" ref="H3514"/>
    <hyperlink r:id="rId4938" ref="H3515"/>
    <hyperlink r:id="rId4939" ref="J3515"/>
    <hyperlink r:id="rId4940" ref="J3516"/>
    <hyperlink r:id="rId4941" ref="J3517"/>
    <hyperlink r:id="rId4942" ref="J3518"/>
    <hyperlink r:id="rId4943" ref="J3519"/>
    <hyperlink r:id="rId4944" ref="H3520"/>
    <hyperlink r:id="rId4945" ref="H3521"/>
    <hyperlink r:id="rId4946" ref="H3522"/>
    <hyperlink r:id="rId4947" ref="J3522"/>
    <hyperlink r:id="rId4948" ref="J3523"/>
    <hyperlink r:id="rId4949" ref="J3524"/>
    <hyperlink r:id="rId4950" ref="H3525"/>
    <hyperlink r:id="rId4951" ref="H3526"/>
    <hyperlink r:id="rId4952" ref="J3526"/>
    <hyperlink r:id="rId4953" ref="H3527"/>
    <hyperlink r:id="rId4954" ref="H3528"/>
    <hyperlink r:id="rId4955" ref="H3529"/>
    <hyperlink r:id="rId4956" ref="H3530"/>
    <hyperlink r:id="rId4957" ref="H3531"/>
    <hyperlink r:id="rId4958" ref="H3532"/>
    <hyperlink r:id="rId4959" ref="I3532"/>
    <hyperlink r:id="rId4960" ref="H3533"/>
    <hyperlink r:id="rId4961" ref="I3533"/>
    <hyperlink r:id="rId4962" ref="J3533"/>
    <hyperlink r:id="rId4963" ref="H3534"/>
    <hyperlink r:id="rId4964" ref="H3535"/>
    <hyperlink r:id="rId4965" ref="H3536"/>
    <hyperlink r:id="rId4966" ref="H3537"/>
    <hyperlink r:id="rId4967" ref="I3537"/>
    <hyperlink r:id="rId4968" ref="H3538"/>
    <hyperlink r:id="rId4969" ref="H3539"/>
    <hyperlink r:id="rId4970" ref="H3540"/>
    <hyperlink r:id="rId4971" ref="J3541"/>
    <hyperlink r:id="rId4972" ref="H3542"/>
    <hyperlink r:id="rId4973" ref="J3542"/>
    <hyperlink r:id="rId4974" ref="H3543"/>
    <hyperlink r:id="rId4975" ref="J3543"/>
    <hyperlink r:id="rId4976" ref="J3544"/>
    <hyperlink r:id="rId4977" ref="H3545"/>
    <hyperlink r:id="rId4978" ref="J3545"/>
    <hyperlink r:id="rId4979" ref="J3546"/>
    <hyperlink r:id="rId4980" ref="H3547"/>
    <hyperlink r:id="rId4981" ref="H3548"/>
    <hyperlink r:id="rId4982" ref="H3549"/>
    <hyperlink r:id="rId4983" ref="H3550"/>
    <hyperlink r:id="rId4984" ref="J3551"/>
    <hyperlink r:id="rId4985" ref="J3552"/>
    <hyperlink r:id="rId4986" ref="J3553"/>
    <hyperlink r:id="rId4987" ref="H3554"/>
    <hyperlink r:id="rId4988" ref="I3554"/>
    <hyperlink r:id="rId4989" ref="J3554"/>
    <hyperlink r:id="rId4990" ref="H3555"/>
    <hyperlink r:id="rId4991" ref="H3556"/>
    <hyperlink r:id="rId4992" ref="H3557"/>
    <hyperlink r:id="rId4993" ref="J3557"/>
    <hyperlink r:id="rId4994" ref="H3558"/>
    <hyperlink r:id="rId4995" ref="H3559"/>
    <hyperlink r:id="rId4996" ref="H3560"/>
    <hyperlink r:id="rId4997" ref="I3560"/>
    <hyperlink r:id="rId4998" ref="H3561"/>
    <hyperlink r:id="rId4999" ref="H3562"/>
    <hyperlink r:id="rId5000" ref="I3562"/>
    <hyperlink r:id="rId5001" ref="H3563"/>
    <hyperlink r:id="rId5002" ref="J3564"/>
    <hyperlink r:id="rId5003" ref="H3565"/>
    <hyperlink r:id="rId5004" ref="H3566"/>
    <hyperlink r:id="rId5005" ref="I3566"/>
    <hyperlink r:id="rId5006" ref="J3567"/>
    <hyperlink r:id="rId5007" ref="H3568"/>
    <hyperlink r:id="rId5008" ref="J3569"/>
    <hyperlink r:id="rId5009" ref="H3570"/>
    <hyperlink r:id="rId5010" ref="I3570"/>
    <hyperlink r:id="rId5011" ref="H3571"/>
    <hyperlink r:id="rId5012" ref="J3572"/>
    <hyperlink r:id="rId5013" ref="H3573"/>
    <hyperlink r:id="rId5014" ref="H3574"/>
    <hyperlink r:id="rId5015" ref="J3575"/>
    <hyperlink r:id="rId5016" ref="H3576"/>
    <hyperlink r:id="rId5017" ref="H3577"/>
    <hyperlink r:id="rId5018" ref="H3578"/>
    <hyperlink r:id="rId5019" ref="J3579"/>
    <hyperlink r:id="rId5020" ref="J3580"/>
    <hyperlink r:id="rId5021" ref="J3581"/>
    <hyperlink r:id="rId5022" ref="H3582"/>
    <hyperlink r:id="rId5023" ref="I3582"/>
    <hyperlink r:id="rId5024" ref="H3583"/>
    <hyperlink r:id="rId5025" ref="H3584"/>
    <hyperlink r:id="rId5026" ref="H3585"/>
    <hyperlink r:id="rId5027" ref="H3586"/>
    <hyperlink r:id="rId5028" ref="H3587"/>
    <hyperlink r:id="rId5029" ref="J3587"/>
    <hyperlink r:id="rId5030" ref="H3588"/>
    <hyperlink r:id="rId5031" ref="J3588"/>
    <hyperlink r:id="rId5032" ref="H3589"/>
    <hyperlink r:id="rId5033" ref="J3589"/>
    <hyperlink r:id="rId5034" ref="H3590"/>
    <hyperlink r:id="rId5035" ref="H3591"/>
    <hyperlink r:id="rId5036" ref="I3591"/>
    <hyperlink r:id="rId5037" ref="H3592"/>
    <hyperlink r:id="rId5038" ref="H3593"/>
    <hyperlink r:id="rId5039" ref="H3594"/>
    <hyperlink r:id="rId5040" ref="H3595"/>
    <hyperlink r:id="rId5041" ref="H3596"/>
    <hyperlink r:id="rId5042" ref="I3596"/>
    <hyperlink r:id="rId5043" ref="H3597"/>
    <hyperlink r:id="rId5044" ref="H3598"/>
    <hyperlink r:id="rId5045" ref="H3599"/>
    <hyperlink r:id="rId5046" ref="H3600"/>
    <hyperlink r:id="rId5047" ref="H3601"/>
    <hyperlink r:id="rId5048" ref="H3602"/>
    <hyperlink r:id="rId5049" ref="J3603"/>
    <hyperlink r:id="rId5050" ref="H3604"/>
    <hyperlink r:id="rId5051" ref="H3605"/>
    <hyperlink r:id="rId5052" ref="H3606"/>
    <hyperlink r:id="rId5053" ref="H3607"/>
    <hyperlink r:id="rId5054" ref="H3608"/>
    <hyperlink r:id="rId5055" ref="H3609"/>
    <hyperlink r:id="rId5056" ref="H3610"/>
    <hyperlink r:id="rId5057" ref="H3611"/>
    <hyperlink r:id="rId5058" ref="J3612"/>
    <hyperlink r:id="rId5059" ref="H3613"/>
    <hyperlink r:id="rId5060" ref="H3614"/>
    <hyperlink r:id="rId5061" ref="J3615"/>
    <hyperlink r:id="rId5062" ref="H3616"/>
    <hyperlink r:id="rId5063" ref="H3617"/>
    <hyperlink r:id="rId5064" ref="H3618"/>
    <hyperlink r:id="rId5065" ref="H3619"/>
    <hyperlink r:id="rId5066" ref="H3620"/>
    <hyperlink r:id="rId5067" ref="I3620"/>
    <hyperlink r:id="rId5068" ref="H3621"/>
    <hyperlink r:id="rId5069" ref="J3622"/>
    <hyperlink r:id="rId5070" ref="J3623"/>
    <hyperlink r:id="rId5071" ref="H3624"/>
    <hyperlink r:id="rId5072" ref="H3625"/>
    <hyperlink r:id="rId5073" ref="J3626"/>
    <hyperlink r:id="rId5074" ref="H3627"/>
    <hyperlink r:id="rId5075" ref="H3628"/>
    <hyperlink r:id="rId5076" ref="I3628"/>
    <hyperlink r:id="rId5077" ref="H3629"/>
    <hyperlink r:id="rId5078" ref="H3630"/>
    <hyperlink r:id="rId5079" ref="H3631"/>
    <hyperlink r:id="rId5080" ref="I3631"/>
    <hyperlink r:id="rId5081" ref="H3632"/>
    <hyperlink r:id="rId5082" ref="I3632"/>
    <hyperlink r:id="rId5083" ref="J3633"/>
    <hyperlink r:id="rId5084" ref="H3634"/>
    <hyperlink r:id="rId5085" ref="J3635"/>
    <hyperlink r:id="rId5086" ref="J3636"/>
    <hyperlink r:id="rId5087" ref="H3637"/>
    <hyperlink r:id="rId5088" ref="H3638"/>
    <hyperlink r:id="rId5089" ref="H3639"/>
    <hyperlink r:id="rId5090" ref="H3640"/>
    <hyperlink r:id="rId5091" ref="J3640"/>
    <hyperlink r:id="rId5092" ref="H3641"/>
    <hyperlink r:id="rId5093" ref="H3642"/>
    <hyperlink r:id="rId5094" ref="H3643"/>
    <hyperlink r:id="rId5095" ref="I3643"/>
    <hyperlink r:id="rId5096" ref="H3644"/>
    <hyperlink r:id="rId5097" ref="H3645"/>
    <hyperlink r:id="rId5098" ref="H3646"/>
    <hyperlink r:id="rId5099" ref="J3647"/>
    <hyperlink r:id="rId5100" ref="J3648"/>
    <hyperlink r:id="rId5101" ref="H3649"/>
    <hyperlink r:id="rId5102" ref="H3650"/>
    <hyperlink r:id="rId5103" ref="I3650"/>
    <hyperlink r:id="rId5104" ref="H3651"/>
    <hyperlink r:id="rId5105" ref="H3652"/>
    <hyperlink r:id="rId5106" ref="H3653"/>
    <hyperlink r:id="rId5107" ref="J3653"/>
    <hyperlink r:id="rId5108" ref="H3654"/>
    <hyperlink r:id="rId5109" ref="H3655"/>
    <hyperlink r:id="rId5110" ref="H3656"/>
    <hyperlink r:id="rId5111" ref="I3657"/>
    <hyperlink r:id="rId5112" ref="J3658"/>
    <hyperlink r:id="rId5113" ref="H3659"/>
    <hyperlink r:id="rId5114" ref="H3660"/>
    <hyperlink r:id="rId5115" ref="H3661"/>
    <hyperlink r:id="rId5116" ref="J3661"/>
    <hyperlink r:id="rId5117" ref="H3662"/>
    <hyperlink r:id="rId5118" ref="I3662"/>
    <hyperlink r:id="rId5119" ref="H3663"/>
    <hyperlink r:id="rId5120" ref="H3664"/>
    <hyperlink r:id="rId5121" ref="I3664"/>
    <hyperlink r:id="rId5122" ref="H3665"/>
    <hyperlink r:id="rId5123" ref="J3666"/>
    <hyperlink r:id="rId5124" ref="J3667"/>
    <hyperlink r:id="rId5125" ref="H3668"/>
    <hyperlink r:id="rId5126" ref="H3669"/>
    <hyperlink r:id="rId5127" ref="I3669"/>
    <hyperlink r:id="rId5128" ref="H3670"/>
    <hyperlink r:id="rId5129" ref="H3671"/>
    <hyperlink r:id="rId5130" ref="H3672"/>
    <hyperlink r:id="rId5131" ref="H3673"/>
    <hyperlink r:id="rId5132" ref="J3673"/>
    <hyperlink r:id="rId5133" ref="H3674"/>
    <hyperlink r:id="rId5134" ref="I3674"/>
    <hyperlink r:id="rId5135" ref="H3675"/>
    <hyperlink r:id="rId5136" ref="H3676"/>
    <hyperlink r:id="rId5137" ref="J3676"/>
    <hyperlink r:id="rId5138" ref="H3677"/>
    <hyperlink r:id="rId5139" ref="J3677"/>
    <hyperlink r:id="rId5140" ref="H3678"/>
    <hyperlink r:id="rId5141" ref="J3679"/>
    <hyperlink r:id="rId5142" ref="H3680"/>
    <hyperlink r:id="rId5143" ref="H3681"/>
    <hyperlink r:id="rId5144" ref="H3682"/>
    <hyperlink r:id="rId5145" ref="H3683"/>
    <hyperlink r:id="rId5146" ref="H3684"/>
    <hyperlink r:id="rId5147" ref="I3684"/>
    <hyperlink r:id="rId5148" ref="H3685"/>
    <hyperlink r:id="rId5149" ref="I3685"/>
    <hyperlink r:id="rId5150" ref="H3686"/>
    <hyperlink r:id="rId5151" ref="H3687"/>
    <hyperlink r:id="rId5152" ref="I3687"/>
    <hyperlink r:id="rId5153" ref="J3687"/>
    <hyperlink r:id="rId5154" ref="H3688"/>
    <hyperlink r:id="rId5155" ref="J3688"/>
    <hyperlink r:id="rId5156" ref="J3689"/>
    <hyperlink r:id="rId5157" ref="H3690"/>
    <hyperlink r:id="rId5158" ref="J3690"/>
    <hyperlink r:id="rId5159" ref="H3691"/>
    <hyperlink r:id="rId5160" ref="I3691"/>
    <hyperlink r:id="rId5161" ref="J3691"/>
    <hyperlink r:id="rId5162" ref="H3692"/>
    <hyperlink r:id="rId5163" ref="I3692"/>
    <hyperlink r:id="rId5164" ref="H3693"/>
    <hyperlink r:id="rId5165" ref="I3693"/>
    <hyperlink r:id="rId5166" ref="J3694"/>
    <hyperlink r:id="rId5167" ref="H3695"/>
    <hyperlink r:id="rId5168" ref="H3696"/>
    <hyperlink r:id="rId5169" ref="J3696"/>
    <hyperlink r:id="rId5170" ref="H3697"/>
    <hyperlink r:id="rId5171" ref="H3698"/>
    <hyperlink r:id="rId5172" ref="H3699"/>
    <hyperlink r:id="rId5173" ref="J3699"/>
    <hyperlink r:id="rId5174" ref="H3700"/>
    <hyperlink r:id="rId5175" ref="H3701"/>
    <hyperlink r:id="rId5176" ref="H3702"/>
    <hyperlink r:id="rId5177" ref="H3703"/>
    <hyperlink r:id="rId5178" ref="I3703"/>
    <hyperlink r:id="rId5179" ref="H3704"/>
    <hyperlink r:id="rId5180" ref="I3704"/>
    <hyperlink r:id="rId5181" ref="H3705"/>
    <hyperlink r:id="rId5182" ref="H3706"/>
    <hyperlink r:id="rId5183" ref="J3707"/>
    <hyperlink r:id="rId5184" ref="H3708"/>
    <hyperlink r:id="rId5185" ref="H3709"/>
    <hyperlink r:id="rId5186" ref="I3709"/>
    <hyperlink r:id="rId5187" ref="H3710"/>
    <hyperlink r:id="rId5188" ref="H3711"/>
    <hyperlink r:id="rId5189" ref="H3712"/>
    <hyperlink r:id="rId5190" ref="H3713"/>
    <hyperlink r:id="rId5191" ref="H3714"/>
    <hyperlink r:id="rId5192" ref="H3715"/>
    <hyperlink r:id="rId5193" ref="J3715"/>
    <hyperlink r:id="rId5194" ref="H3716"/>
    <hyperlink r:id="rId5195" ref="H3717"/>
    <hyperlink r:id="rId5196" ref="J3718"/>
    <hyperlink r:id="rId5197" ref="H3719"/>
    <hyperlink r:id="rId5198" ref="J3719"/>
    <hyperlink r:id="rId5199" ref="H3720"/>
    <hyperlink r:id="rId5200" ref="H3721"/>
    <hyperlink r:id="rId5201" ref="H3722"/>
    <hyperlink r:id="rId5202" ref="H3723"/>
    <hyperlink r:id="rId5203" ref="H3724"/>
    <hyperlink r:id="rId5204" ref="I3724"/>
    <hyperlink r:id="rId5205" ref="H3725"/>
    <hyperlink r:id="rId5206" ref="J3725"/>
    <hyperlink r:id="rId5207" ref="H3726"/>
    <hyperlink r:id="rId5208" ref="I3726"/>
    <hyperlink r:id="rId5209" ref="H3727"/>
    <hyperlink r:id="rId5210" ref="H3728"/>
    <hyperlink r:id="rId5211" ref="I3728"/>
    <hyperlink r:id="rId5212" ref="J3729"/>
    <hyperlink r:id="rId5213" ref="H3730"/>
    <hyperlink r:id="rId5214" ref="H3731"/>
    <hyperlink r:id="rId5215" ref="I3731"/>
    <hyperlink r:id="rId5216" ref="H3732"/>
    <hyperlink r:id="rId5217" ref="H3733"/>
    <hyperlink r:id="rId5218" ref="H3734"/>
    <hyperlink r:id="rId5219" ref="J3734"/>
    <hyperlink r:id="rId5220" ref="H3735"/>
    <hyperlink r:id="rId5221" ref="J3735"/>
    <hyperlink r:id="rId5222" ref="H3736"/>
    <hyperlink r:id="rId5223" ref="H3737"/>
    <hyperlink r:id="rId5224" ref="H3738"/>
    <hyperlink r:id="rId5225" ref="H3739"/>
    <hyperlink r:id="rId5226" ref="H3740"/>
    <hyperlink r:id="rId5227" ref="I3740"/>
    <hyperlink r:id="rId5228" ref="J3740"/>
    <hyperlink r:id="rId5229" ref="H3741"/>
    <hyperlink r:id="rId5230" ref="J3741"/>
    <hyperlink r:id="rId5231" ref="J3742"/>
    <hyperlink r:id="rId5232" ref="H3743"/>
    <hyperlink r:id="rId5233" ref="H3744"/>
    <hyperlink r:id="rId5234" ref="H3745"/>
    <hyperlink r:id="rId5235" ref="H3746"/>
    <hyperlink r:id="rId5236" ref="J3747"/>
    <hyperlink r:id="rId5237" ref="H3748"/>
    <hyperlink r:id="rId5238" ref="H3749"/>
    <hyperlink r:id="rId5239" ref="J3750"/>
    <hyperlink r:id="rId5240" ref="H3751"/>
    <hyperlink r:id="rId5241" ref="H3752"/>
    <hyperlink r:id="rId5242" ref="J3752"/>
    <hyperlink r:id="rId5243" ref="H3753"/>
    <hyperlink r:id="rId5244" ref="J3753"/>
    <hyperlink r:id="rId5245" ref="H3754"/>
    <hyperlink r:id="rId5246" ref="H3755"/>
    <hyperlink r:id="rId5247" ref="H3756"/>
    <hyperlink r:id="rId5248" ref="H3757"/>
    <hyperlink r:id="rId5249" ref="H3758"/>
    <hyperlink r:id="rId5250" ref="H3759"/>
    <hyperlink r:id="rId5251" ref="H3760"/>
    <hyperlink r:id="rId5252" ref="H3761"/>
    <hyperlink r:id="rId5253" ref="I3761"/>
    <hyperlink r:id="rId5254" ref="H3762"/>
    <hyperlink r:id="rId5255" ref="H3763"/>
    <hyperlink r:id="rId5256" ref="H3764"/>
    <hyperlink r:id="rId5257" ref="I3765"/>
    <hyperlink r:id="rId5258" ref="H3766"/>
    <hyperlink r:id="rId5259" ref="H3767"/>
    <hyperlink r:id="rId5260" ref="H3768"/>
    <hyperlink r:id="rId5261" ref="H3769"/>
    <hyperlink r:id="rId5262" ref="H3770"/>
    <hyperlink r:id="rId5263" ref="J3770"/>
    <hyperlink r:id="rId5264" ref="H3771"/>
    <hyperlink r:id="rId5265" ref="H3772"/>
    <hyperlink r:id="rId5266" ref="J3773"/>
    <hyperlink r:id="rId5267" ref="H3774"/>
    <hyperlink r:id="rId5268" ref="H3775"/>
    <hyperlink r:id="rId5269" ref="H3776"/>
    <hyperlink r:id="rId5270" ref="I3776"/>
    <hyperlink r:id="rId5271" ref="H3777"/>
    <hyperlink r:id="rId5272" ref="I3777"/>
    <hyperlink r:id="rId5273" ref="H3778"/>
    <hyperlink r:id="rId5274" ref="H3779"/>
    <hyperlink r:id="rId5275" ref="I3779"/>
    <hyperlink r:id="rId5276" ref="J3779"/>
    <hyperlink r:id="rId5277" ref="H3780"/>
    <hyperlink r:id="rId5278" ref="H3781"/>
    <hyperlink r:id="rId5279" ref="I3781"/>
    <hyperlink r:id="rId5280" ref="H3782"/>
    <hyperlink r:id="rId5281" ref="I3782"/>
    <hyperlink r:id="rId5282" ref="H3783"/>
    <hyperlink r:id="rId5283" ref="H3784"/>
    <hyperlink r:id="rId5284" ref="H3785"/>
    <hyperlink r:id="rId5285" ref="H3786"/>
    <hyperlink r:id="rId5286" ref="H3787"/>
    <hyperlink r:id="rId5287" ref="H3788"/>
    <hyperlink r:id="rId5288" ref="H3789"/>
    <hyperlink r:id="rId5289" ref="H3790"/>
    <hyperlink r:id="rId5290" ref="H3791"/>
    <hyperlink r:id="rId5291" ref="H3792"/>
    <hyperlink r:id="rId5292" ref="I3792"/>
    <hyperlink r:id="rId5293" ref="I3793"/>
    <hyperlink r:id="rId5294" ref="J3793"/>
    <hyperlink r:id="rId5295" ref="H3794"/>
    <hyperlink r:id="rId5296" ref="H3795"/>
    <hyperlink r:id="rId5297" ref="I3795"/>
    <hyperlink r:id="rId5298" ref="H3796"/>
    <hyperlink r:id="rId5299" ref="I3796"/>
    <hyperlink r:id="rId5300" ref="H3797"/>
    <hyperlink r:id="rId5301" ref="J3797"/>
    <hyperlink r:id="rId5302" ref="K3798"/>
    <hyperlink r:id="rId5303" ref="H3799"/>
    <hyperlink r:id="rId5304" ref="H3800"/>
    <hyperlink r:id="rId5305" ref="H3801"/>
    <hyperlink r:id="rId5306" ref="J3801"/>
    <hyperlink r:id="rId5307" ref="H3802"/>
    <hyperlink r:id="rId5308" ref="H3803"/>
    <hyperlink r:id="rId5309" ref="J3803"/>
    <hyperlink r:id="rId5310" ref="H3804"/>
    <hyperlink r:id="rId5311" ref="H3805"/>
    <hyperlink r:id="rId5312" ref="H3806"/>
    <hyperlink r:id="rId5313" ref="H3807"/>
    <hyperlink r:id="rId5314" ref="I3807"/>
    <hyperlink r:id="rId5315" ref="H3808"/>
    <hyperlink r:id="rId5316" ref="H3809"/>
    <hyperlink r:id="rId5317" ref="H3810"/>
    <hyperlink r:id="rId5318" ref="I3810"/>
    <hyperlink r:id="rId5319" ref="H3811"/>
    <hyperlink r:id="rId5320" ref="J3812"/>
    <hyperlink r:id="rId5321" ref="H3813"/>
    <hyperlink r:id="rId5322" ref="H3814"/>
    <hyperlink r:id="rId5323" ref="H3815"/>
    <hyperlink r:id="rId5324" ref="H3816"/>
    <hyperlink r:id="rId5325" ref="H3817"/>
    <hyperlink r:id="rId5326" ref="I3817"/>
    <hyperlink r:id="rId5327" ref="H3818"/>
    <hyperlink r:id="rId5328" ref="H3819"/>
    <hyperlink r:id="rId5329" ref="H3820"/>
    <hyperlink r:id="rId5330" ref="H3821"/>
    <hyperlink r:id="rId5331" ref="H3822"/>
    <hyperlink r:id="rId5332" ref="H3823"/>
    <hyperlink r:id="rId5333" ref="J3823"/>
    <hyperlink r:id="rId5334" ref="H3824"/>
    <hyperlink r:id="rId5335" ref="I3824"/>
    <hyperlink r:id="rId5336" ref="H3825"/>
    <hyperlink r:id="rId5337" ref="J3825"/>
    <hyperlink r:id="rId5338" ref="H3826"/>
    <hyperlink r:id="rId5339" ref="H3827"/>
    <hyperlink r:id="rId5340" ref="H3828"/>
    <hyperlink r:id="rId5341" ref="H3829"/>
    <hyperlink r:id="rId5342" ref="I3829"/>
    <hyperlink r:id="rId5343" ref="J3830"/>
    <hyperlink r:id="rId5344" ref="H3831"/>
    <hyperlink r:id="rId5345" ref="J3832"/>
    <hyperlink r:id="rId5346" ref="J3833"/>
    <hyperlink r:id="rId5347" ref="H3834"/>
    <hyperlink r:id="rId5348" ref="H3835"/>
    <hyperlink r:id="rId5349" ref="H3836"/>
    <hyperlink r:id="rId5350" ref="J3837"/>
    <hyperlink r:id="rId5351" ref="H3838"/>
    <hyperlink r:id="rId5352" ref="H3839"/>
    <hyperlink r:id="rId5353" ref="J3840"/>
    <hyperlink r:id="rId5354" ref="H3841"/>
    <hyperlink r:id="rId5355" ref="H3842"/>
    <hyperlink r:id="rId5356" ref="I3842"/>
    <hyperlink r:id="rId5357" ref="H3843"/>
    <hyperlink r:id="rId5358" ref="H3844"/>
    <hyperlink r:id="rId5359" ref="H3845"/>
    <hyperlink r:id="rId5360" ref="J3845"/>
    <hyperlink r:id="rId5361" ref="J3846"/>
    <hyperlink r:id="rId5362" ref="I3847"/>
    <hyperlink r:id="rId5363" ref="H3848"/>
    <hyperlink r:id="rId5364" ref="H3849"/>
    <hyperlink r:id="rId5365" ref="I3849"/>
    <hyperlink r:id="rId5366" ref="H3850"/>
    <hyperlink r:id="rId5367" ref="H3851"/>
    <hyperlink r:id="rId5368" ref="I3851"/>
    <hyperlink r:id="rId5369" ref="H3852"/>
    <hyperlink r:id="rId5370" ref="J3852"/>
    <hyperlink r:id="rId5371" ref="H3853"/>
    <hyperlink r:id="rId5372" ref="I3853"/>
    <hyperlink r:id="rId5373" ref="H3854"/>
    <hyperlink r:id="rId5374" ref="I3854"/>
    <hyperlink r:id="rId5375" ref="H3855"/>
    <hyperlink r:id="rId5376" ref="I3855"/>
    <hyperlink r:id="rId5377" ref="H3856"/>
    <hyperlink r:id="rId5378" ref="H3857"/>
    <hyperlink r:id="rId5379" ref="J3858"/>
    <hyperlink r:id="rId5380" ref="H3859"/>
    <hyperlink r:id="rId5381" ref="H3860"/>
    <hyperlink r:id="rId5382" ref="H3861"/>
    <hyperlink r:id="rId5383" ref="I3861"/>
    <hyperlink r:id="rId5384" ref="H3862"/>
    <hyperlink r:id="rId5385" ref="H3863"/>
    <hyperlink r:id="rId5386" ref="H3864"/>
    <hyperlink r:id="rId5387" ref="H3865"/>
    <hyperlink r:id="rId5388" ref="H3866"/>
    <hyperlink r:id="rId5389" ref="I3866"/>
    <hyperlink r:id="rId5390" ref="H3867"/>
    <hyperlink r:id="rId5391" ref="J3867"/>
    <hyperlink r:id="rId5392" ref="J3868"/>
    <hyperlink r:id="rId5393" ref="H3869"/>
    <hyperlink r:id="rId5394" ref="I3869"/>
    <hyperlink r:id="rId5395" ref="J3870"/>
    <hyperlink r:id="rId5396" ref="J3871"/>
    <hyperlink r:id="rId5397" ref="H3872"/>
    <hyperlink r:id="rId5398" ref="H3873"/>
    <hyperlink r:id="rId5399" ref="H3874"/>
    <hyperlink r:id="rId5400" ref="H3875"/>
    <hyperlink r:id="rId5401" ref="I3875"/>
    <hyperlink r:id="rId5402" ref="H3876"/>
    <hyperlink r:id="rId5403" ref="H3877"/>
    <hyperlink r:id="rId5404" ref="H3878"/>
    <hyperlink r:id="rId5405" ref="I3878"/>
    <hyperlink r:id="rId5406" ref="H3879"/>
    <hyperlink r:id="rId5407" ref="J3879"/>
    <hyperlink r:id="rId5408" ref="H3880"/>
    <hyperlink r:id="rId5409" ref="J3880"/>
    <hyperlink r:id="rId5410" ref="H3881"/>
    <hyperlink r:id="rId5411" ref="H3882"/>
    <hyperlink r:id="rId5412" ref="H3883"/>
    <hyperlink r:id="rId5413" ref="I3883"/>
    <hyperlink r:id="rId5414" ref="J3883"/>
    <hyperlink r:id="rId5415" ref="H3884"/>
    <hyperlink r:id="rId5416" ref="H3885"/>
    <hyperlink r:id="rId5417" ref="H3886"/>
    <hyperlink r:id="rId5418" ref="H3887"/>
    <hyperlink r:id="rId5419" ref="H3888"/>
    <hyperlink r:id="rId5420" ref="I3889"/>
    <hyperlink r:id="rId5421" ref="H3890"/>
    <hyperlink r:id="rId5422" ref="H3891"/>
    <hyperlink r:id="rId5423" ref="H3892"/>
    <hyperlink r:id="rId5424" ref="H3893"/>
    <hyperlink r:id="rId5425" ref="J3894"/>
    <hyperlink r:id="rId5426" ref="H3895"/>
    <hyperlink r:id="rId5427" ref="H3896"/>
    <hyperlink r:id="rId5428" ref="H3897"/>
    <hyperlink r:id="rId5429" ref="I3897"/>
    <hyperlink r:id="rId5430" ref="J3897"/>
    <hyperlink r:id="rId5431" ref="H3898"/>
    <hyperlink r:id="rId5432" ref="J3898"/>
    <hyperlink r:id="rId5433" ref="H3899"/>
    <hyperlink r:id="rId5434" ref="J3899"/>
    <hyperlink r:id="rId5435" ref="H3900"/>
    <hyperlink r:id="rId5436" ref="J3900"/>
    <hyperlink r:id="rId5437" ref="H3901"/>
    <hyperlink r:id="rId5438" ref="I3902"/>
    <hyperlink r:id="rId5439" ref="J3902"/>
    <hyperlink r:id="rId5440" ref="H3903"/>
    <hyperlink r:id="rId5441" ref="H3904"/>
    <hyperlink r:id="rId5442" ref="J3905"/>
    <hyperlink r:id="rId5443" ref="H3906"/>
    <hyperlink r:id="rId5444" ref="H3907"/>
    <hyperlink r:id="rId5445" ref="H3908"/>
    <hyperlink r:id="rId5446" ref="H3910"/>
    <hyperlink r:id="rId5447" ref="H3911"/>
    <hyperlink r:id="rId5448" ref="H3912"/>
    <hyperlink r:id="rId5449" ref="J3913"/>
    <hyperlink r:id="rId5450" ref="H3914"/>
    <hyperlink r:id="rId5451" ref="H3915"/>
    <hyperlink r:id="rId5452" ref="J3916"/>
    <hyperlink r:id="rId5453" ref="H3917"/>
    <hyperlink r:id="rId5454" ref="H3918"/>
    <hyperlink r:id="rId5455" ref="H3919"/>
    <hyperlink r:id="rId5456" ref="I3920"/>
    <hyperlink r:id="rId5457" ref="J3920"/>
    <hyperlink r:id="rId5458" ref="H3921"/>
    <hyperlink r:id="rId5459" ref="H3922"/>
    <hyperlink r:id="rId5460" ref="J3922"/>
    <hyperlink r:id="rId5461" ref="I3923"/>
    <hyperlink r:id="rId5462" ref="J3923"/>
    <hyperlink r:id="rId5463" ref="H3924"/>
    <hyperlink r:id="rId5464" ref="J3925"/>
    <hyperlink r:id="rId5465" ref="J3926"/>
    <hyperlink r:id="rId5466" ref="J3927"/>
    <hyperlink r:id="rId5467" ref="J3928"/>
    <hyperlink r:id="rId5468" ref="H3929"/>
    <hyperlink r:id="rId5469" ref="J3930"/>
    <hyperlink r:id="rId5470" ref="J3931"/>
    <hyperlink r:id="rId5471" ref="H3932"/>
    <hyperlink r:id="rId5472" ref="J3932"/>
    <hyperlink r:id="rId5473" ref="H3933"/>
    <hyperlink r:id="rId5474" ref="J3934"/>
    <hyperlink r:id="rId5475" ref="H3935"/>
    <hyperlink r:id="rId5476" ref="J3935"/>
    <hyperlink r:id="rId5477" ref="H3936"/>
    <hyperlink r:id="rId5478" ref="J3936"/>
    <hyperlink r:id="rId5479" ref="J3937"/>
    <hyperlink r:id="rId5480" ref="H3938"/>
    <hyperlink r:id="rId5481" ref="H3939"/>
    <hyperlink r:id="rId5482" ref="J3940"/>
    <hyperlink r:id="rId5483" ref="H3941"/>
    <hyperlink r:id="rId5484" ref="J3942"/>
    <hyperlink r:id="rId5485" ref="J3943"/>
    <hyperlink r:id="rId5486" ref="H3944"/>
    <hyperlink r:id="rId5487" ref="J3944"/>
    <hyperlink r:id="rId5488" ref="H3945"/>
    <hyperlink r:id="rId5489" ref="I3945"/>
    <hyperlink r:id="rId5490" ref="J3945"/>
    <hyperlink r:id="rId5491" ref="H3946"/>
    <hyperlink r:id="rId5492" ref="I3946"/>
    <hyperlink r:id="rId5493" ref="H3947"/>
    <hyperlink r:id="rId5494" ref="J3948"/>
    <hyperlink r:id="rId5495" ref="H3949"/>
    <hyperlink r:id="rId5496" ref="H3950"/>
    <hyperlink r:id="rId5497" ref="J3950"/>
    <hyperlink r:id="rId5498" ref="J3951"/>
    <hyperlink r:id="rId5499" ref="H3952"/>
    <hyperlink r:id="rId5500" ref="J3953"/>
    <hyperlink r:id="rId5501" ref="H3954"/>
    <hyperlink r:id="rId5502" ref="J3955"/>
    <hyperlink r:id="rId5503" ref="H3956"/>
    <hyperlink r:id="rId5504" ref="J3956"/>
    <hyperlink r:id="rId5505" ref="J3957"/>
    <hyperlink r:id="rId5506" ref="J3958"/>
    <hyperlink r:id="rId5507" ref="J3959"/>
    <hyperlink r:id="rId5508" ref="H3960"/>
    <hyperlink r:id="rId5509" ref="I3960"/>
    <hyperlink r:id="rId5510" ref="J3961"/>
    <hyperlink r:id="rId5511" ref="J3962"/>
    <hyperlink r:id="rId5512" ref="H3963"/>
    <hyperlink r:id="rId5513" ref="I3963"/>
    <hyperlink r:id="rId5514" ref="J3964"/>
    <hyperlink r:id="rId5515" ref="H3965"/>
    <hyperlink r:id="rId5516" ref="I3965"/>
    <hyperlink r:id="rId5517" ref="I3966"/>
    <hyperlink r:id="rId5518" ref="H3967"/>
    <hyperlink r:id="rId5519" ref="H3968"/>
    <hyperlink r:id="rId5520" ref="H3969"/>
    <hyperlink r:id="rId5521" ref="I3969"/>
    <hyperlink r:id="rId5522" ref="J3969"/>
    <hyperlink r:id="rId5523" ref="H3970"/>
    <hyperlink r:id="rId5524" ref="H3971"/>
    <hyperlink r:id="rId5525" ref="H3972"/>
    <hyperlink r:id="rId5526" ref="H3973"/>
    <hyperlink r:id="rId5527" ref="H3974"/>
    <hyperlink r:id="rId5528" ref="H3975"/>
    <hyperlink r:id="rId5529" ref="I3975"/>
    <hyperlink r:id="rId5530" ref="J3975"/>
    <hyperlink r:id="rId5531" ref="H3976"/>
    <hyperlink r:id="rId5532" ref="H3977"/>
    <hyperlink r:id="rId5533" ref="I3977"/>
    <hyperlink r:id="rId5534" ref="H3978"/>
    <hyperlink r:id="rId5535" ref="J3978"/>
    <hyperlink r:id="rId5536" ref="H3979"/>
    <hyperlink r:id="rId5537" ref="H3980"/>
    <hyperlink r:id="rId5538" ref="I3980"/>
    <hyperlink r:id="rId5539" ref="I3981"/>
    <hyperlink r:id="rId5540" ref="H3982"/>
    <hyperlink r:id="rId5541" ref="H3983"/>
    <hyperlink r:id="rId5542" ref="H3984"/>
    <hyperlink r:id="rId5543" ref="H3985"/>
    <hyperlink r:id="rId5544" ref="H3986"/>
    <hyperlink r:id="rId5545" ref="I3986"/>
    <hyperlink r:id="rId5546" ref="J3986"/>
    <hyperlink r:id="rId5547" ref="J3987"/>
    <hyperlink r:id="rId5548" ref="H3988"/>
    <hyperlink r:id="rId5549" ref="I3988"/>
    <hyperlink r:id="rId5550" ref="H3989"/>
    <hyperlink r:id="rId5551" ref="H3990"/>
    <hyperlink r:id="rId5552" ref="I3990"/>
    <hyperlink r:id="rId5553" ref="H3991"/>
    <hyperlink r:id="rId5554" ref="H3992"/>
    <hyperlink r:id="rId5555" ref="I3992"/>
    <hyperlink r:id="rId5556" ref="J3993"/>
    <hyperlink r:id="rId5557" ref="J3994"/>
    <hyperlink r:id="rId5558" ref="H3995"/>
    <hyperlink r:id="rId5559" ref="H3996"/>
    <hyperlink r:id="rId5560" ref="I3996"/>
    <hyperlink r:id="rId5561" ref="H3997"/>
    <hyperlink r:id="rId5562" ref="I3997"/>
    <hyperlink r:id="rId5563" ref="H3998"/>
    <hyperlink r:id="rId5564" ref="H3999"/>
    <hyperlink r:id="rId5565" ref="H4000"/>
    <hyperlink r:id="rId5566" ref="H4001"/>
    <hyperlink r:id="rId5567" ref="H4002"/>
    <hyperlink r:id="rId5568" ref="H4003"/>
    <hyperlink r:id="rId5569" ref="H4004"/>
    <hyperlink r:id="rId5570" ref="J4005"/>
    <hyperlink r:id="rId5571" ref="H4006"/>
    <hyperlink r:id="rId5572" ref="I4006"/>
    <hyperlink r:id="rId5573" ref="H4007"/>
    <hyperlink r:id="rId5574" ref="H4008"/>
    <hyperlink r:id="rId5575" ref="I4008"/>
    <hyperlink r:id="rId5576" ref="J4009"/>
    <hyperlink r:id="rId5577" ref="H4010"/>
    <hyperlink r:id="rId5578" ref="H4011"/>
    <hyperlink r:id="rId5579" ref="J4012"/>
    <hyperlink r:id="rId5580" ref="J4013"/>
    <hyperlink r:id="rId5581" ref="H4014"/>
    <hyperlink r:id="rId5582" ref="I4014"/>
    <hyperlink r:id="rId5583" ref="H4015"/>
    <hyperlink r:id="rId5584" ref="H4016"/>
    <hyperlink r:id="rId5585" ref="J4016"/>
    <hyperlink r:id="rId5586" ref="I4017"/>
    <hyperlink r:id="rId5587" ref="H4018"/>
    <hyperlink r:id="rId5588" ref="I4018"/>
    <hyperlink r:id="rId5589" ref="H4019"/>
    <hyperlink r:id="rId5590" ref="I4019"/>
    <hyperlink r:id="rId5591" ref="H4020"/>
    <hyperlink r:id="rId5592" ref="H4021"/>
    <hyperlink r:id="rId5593" ref="H4022"/>
    <hyperlink r:id="rId5594" ref="H4023"/>
    <hyperlink r:id="rId5595" ref="H4024"/>
    <hyperlink r:id="rId5596" ref="I4024"/>
    <hyperlink r:id="rId5597" ref="H4025"/>
    <hyperlink r:id="rId5598" ref="J4026"/>
    <hyperlink r:id="rId5599" ref="H4027"/>
    <hyperlink r:id="rId5600" ref="H4028"/>
    <hyperlink r:id="rId5601" ref="J4029"/>
    <hyperlink r:id="rId5602" ref="H4030"/>
    <hyperlink r:id="rId5603" ref="H4031"/>
    <hyperlink r:id="rId5604" ref="H4032"/>
    <hyperlink r:id="rId5605" ref="I4032"/>
    <hyperlink r:id="rId5606" ref="H4033"/>
    <hyperlink r:id="rId5607" ref="H4034"/>
    <hyperlink r:id="rId5608" ref="I4034"/>
    <hyperlink r:id="rId5609" ref="H4035"/>
    <hyperlink r:id="rId5610" ref="H4036"/>
    <hyperlink r:id="rId5611" ref="H4037"/>
    <hyperlink r:id="rId5612" ref="J4037"/>
    <hyperlink r:id="rId5613" ref="H4038"/>
    <hyperlink r:id="rId5614" ref="I4038"/>
    <hyperlink r:id="rId5615" ref="H4039"/>
    <hyperlink r:id="rId5616" ref="I4039"/>
    <hyperlink r:id="rId5617" ref="H4040"/>
    <hyperlink r:id="rId5618" ref="I4040"/>
    <hyperlink r:id="rId5619" ref="H4041"/>
    <hyperlink r:id="rId5620" ref="H4042"/>
    <hyperlink r:id="rId5621" ref="H4043"/>
    <hyperlink r:id="rId5622" ref="I4043"/>
    <hyperlink r:id="rId5623" ref="J4044"/>
    <hyperlink r:id="rId5624" ref="H4045"/>
    <hyperlink r:id="rId5625" ref="H4046"/>
    <hyperlink r:id="rId5626" ref="H4047"/>
    <hyperlink r:id="rId5627" ref="H4048"/>
    <hyperlink r:id="rId5628" ref="H4049"/>
    <hyperlink r:id="rId5629" ref="H4050"/>
    <hyperlink r:id="rId5630" ref="H4051"/>
    <hyperlink r:id="rId5631" ref="H4052"/>
    <hyperlink r:id="rId5632" ref="J4052"/>
    <hyperlink r:id="rId5633" ref="H4053"/>
    <hyperlink r:id="rId5634" ref="H4054"/>
    <hyperlink r:id="rId5635" ref="H4055"/>
    <hyperlink r:id="rId5636" ref="J4055"/>
    <hyperlink r:id="rId5637" ref="H4056"/>
    <hyperlink r:id="rId5638" ref="I4056"/>
    <hyperlink r:id="rId5639" ref="J4056"/>
    <hyperlink r:id="rId5640" ref="J4057"/>
    <hyperlink r:id="rId5641" ref="H4058"/>
    <hyperlink r:id="rId5642" ref="I4058"/>
    <hyperlink r:id="rId5643" ref="H4059"/>
    <hyperlink r:id="rId5644" ref="J4060"/>
    <hyperlink r:id="rId5645" ref="J4061"/>
    <hyperlink r:id="rId5646" ref="H4062"/>
    <hyperlink r:id="rId5647" ref="M4062"/>
    <hyperlink r:id="rId5648" ref="J4063"/>
    <hyperlink r:id="rId5649" ref="H4064"/>
    <hyperlink r:id="rId5650" ref="J4065"/>
    <hyperlink r:id="rId5651" ref="H4066"/>
    <hyperlink r:id="rId5652" ref="J4066"/>
    <hyperlink r:id="rId5653" ref="H4067"/>
    <hyperlink r:id="rId5654" ref="I4067"/>
    <hyperlink r:id="rId5655" ref="H4068"/>
    <hyperlink r:id="rId5656" ref="I4068"/>
    <hyperlink r:id="rId5657" ref="H4069"/>
    <hyperlink r:id="rId5658" ref="I4069"/>
    <hyperlink r:id="rId5659" ref="H4070"/>
    <hyperlink r:id="rId5660" ref="H4071"/>
    <hyperlink r:id="rId5661" ref="J4071"/>
    <hyperlink r:id="rId5662" ref="H4072"/>
    <hyperlink r:id="rId5663" ref="M4072"/>
    <hyperlink r:id="rId5664" ref="H4073"/>
    <hyperlink r:id="rId5665" ref="J4074"/>
    <hyperlink r:id="rId5666" ref="H4075"/>
    <hyperlink r:id="rId5667" ref="H4076"/>
    <hyperlink r:id="rId5668" ref="J4076"/>
    <hyperlink r:id="rId5669" ref="H4077"/>
    <hyperlink r:id="rId5670" ref="H4078"/>
    <hyperlink r:id="rId5671" ref="H4079"/>
    <hyperlink r:id="rId5672" ref="H4080"/>
    <hyperlink r:id="rId5673" ref="H4081"/>
    <hyperlink r:id="rId5674" ref="I4081"/>
    <hyperlink r:id="rId5675" ref="J4082"/>
    <hyperlink r:id="rId5676" ref="H4083"/>
    <hyperlink r:id="rId5677" ref="I4083"/>
    <hyperlink r:id="rId5678" ref="J4083"/>
    <hyperlink r:id="rId5679" ref="H4084"/>
    <hyperlink r:id="rId5680" ref="H4085"/>
    <hyperlink r:id="rId5681" ref="I4085"/>
    <hyperlink r:id="rId5682" ref="H4086"/>
    <hyperlink r:id="rId5683" ref="I4086"/>
    <hyperlink r:id="rId5684" ref="H4087"/>
    <hyperlink r:id="rId5685" ref="I4087"/>
    <hyperlink r:id="rId5686" ref="H4088"/>
    <hyperlink r:id="rId5687" ref="H4089"/>
    <hyperlink r:id="rId5688" ref="H4090"/>
    <hyperlink r:id="rId5689" ref="H4091"/>
    <hyperlink r:id="rId5690" ref="H4092"/>
    <hyperlink r:id="rId5691" ref="I4092"/>
    <hyperlink r:id="rId5692" ref="J4093"/>
    <hyperlink r:id="rId5693" ref="J4094"/>
    <hyperlink r:id="rId5694" ref="H4095"/>
    <hyperlink r:id="rId5695" ref="I4095"/>
    <hyperlink r:id="rId5696" ref="M4095"/>
    <hyperlink r:id="rId5697" ref="H4096"/>
    <hyperlink r:id="rId5698" ref="I4096"/>
    <hyperlink r:id="rId5699" ref="H4097"/>
    <hyperlink r:id="rId5700" ref="I4097"/>
    <hyperlink r:id="rId5701" ref="J4097"/>
    <hyperlink r:id="rId5702" ref="H4098"/>
    <hyperlink r:id="rId5703" ref="I4098"/>
    <hyperlink r:id="rId5704" ref="H4099"/>
    <hyperlink r:id="rId5705" ref="H4100"/>
    <hyperlink r:id="rId5706" ref="I4100"/>
    <hyperlink r:id="rId5707" ref="H4101"/>
    <hyperlink r:id="rId5708" ref="J4102"/>
    <hyperlink r:id="rId5709" ref="H4103"/>
    <hyperlink r:id="rId5710" ref="I4103"/>
    <hyperlink r:id="rId5711" ref="J4104"/>
    <hyperlink r:id="rId5712" ref="H4105"/>
    <hyperlink r:id="rId5713" ref="H4106"/>
    <hyperlink r:id="rId5714" ref="H4107"/>
    <hyperlink r:id="rId5715" ref="H4108"/>
    <hyperlink r:id="rId5716" ref="H4109"/>
    <hyperlink r:id="rId5717" ref="J4110"/>
    <hyperlink r:id="rId5718" ref="H4111"/>
    <hyperlink r:id="rId5719" ref="H4112"/>
    <hyperlink r:id="rId5720" ref="H4113"/>
    <hyperlink r:id="rId5721" ref="I4113"/>
    <hyperlink r:id="rId5722" ref="J4113"/>
    <hyperlink r:id="rId5723" ref="J4114"/>
    <hyperlink r:id="rId5724" ref="H4115"/>
    <hyperlink r:id="rId5725" ref="I4115"/>
    <hyperlink r:id="rId5726" ref="J4115"/>
    <hyperlink r:id="rId5727" ref="J4116"/>
    <hyperlink r:id="rId5728" ref="H4117"/>
    <hyperlink r:id="rId5729" ref="H4118"/>
    <hyperlink r:id="rId5730" ref="I4118"/>
    <hyperlink r:id="rId5731" ref="H4119"/>
    <hyperlink r:id="rId5732" ref="I4119"/>
    <hyperlink r:id="rId5733" ref="H4120"/>
    <hyperlink r:id="rId5734" ref="I4120"/>
    <hyperlink r:id="rId5735" ref="H4121"/>
    <hyperlink r:id="rId5736" ref="I4121"/>
    <hyperlink r:id="rId5737" ref="H4122"/>
    <hyperlink r:id="rId5738" ref="H4123"/>
    <hyperlink r:id="rId5739" ref="I4123"/>
    <hyperlink r:id="rId5740" ref="H4124"/>
    <hyperlink r:id="rId5741" ref="H4125"/>
    <hyperlink r:id="rId5742" ref="H4126"/>
    <hyperlink r:id="rId5743" ref="H4127"/>
    <hyperlink r:id="rId5744" ref="I4127"/>
    <hyperlink r:id="rId5745" ref="H4128"/>
    <hyperlink r:id="rId5746" ref="H4129"/>
    <hyperlink r:id="rId5747" ref="H4130"/>
    <hyperlink r:id="rId5748" ref="H4131"/>
    <hyperlink r:id="rId5749" ref="I4131"/>
    <hyperlink r:id="rId5750" ref="H4132"/>
    <hyperlink r:id="rId5751" ref="H4133"/>
    <hyperlink r:id="rId5752" ref="H4134"/>
    <hyperlink r:id="rId5753" ref="I4134"/>
    <hyperlink r:id="rId5754" ref="H4135"/>
    <hyperlink r:id="rId5755" ref="I4135"/>
    <hyperlink r:id="rId5756" ref="H4136"/>
    <hyperlink r:id="rId5757" ref="I4136"/>
    <hyperlink r:id="rId5758" ref="J4136"/>
    <hyperlink r:id="rId5759" ref="H4137"/>
    <hyperlink r:id="rId5760" ref="I4137"/>
    <hyperlink r:id="rId5761" ref="H4138"/>
    <hyperlink r:id="rId5762" ref="H4139"/>
    <hyperlink r:id="rId5763" ref="H4140"/>
    <hyperlink r:id="rId5764" ref="H4141"/>
    <hyperlink r:id="rId5765" ref="I4141"/>
    <hyperlink r:id="rId5766" ref="H4142"/>
    <hyperlink r:id="rId5767" ref="I4142"/>
    <hyperlink r:id="rId5768" ref="H4143"/>
    <hyperlink r:id="rId5769" ref="I4143"/>
    <hyperlink r:id="rId5770" ref="J4143"/>
    <hyperlink r:id="rId5771" ref="H4144"/>
    <hyperlink r:id="rId5772" ref="J4144"/>
    <hyperlink r:id="rId5773" ref="I4145"/>
    <hyperlink r:id="rId5774" ref="H4146"/>
    <hyperlink r:id="rId5775" ref="I4146"/>
    <hyperlink r:id="rId5776" ref="H4147"/>
    <hyperlink r:id="rId5777" ref="J4147"/>
    <hyperlink r:id="rId5778" ref="H4148"/>
    <hyperlink r:id="rId5779" ref="J4148"/>
    <hyperlink r:id="rId5780" ref="H4149"/>
    <hyperlink r:id="rId5781" ref="I4149"/>
    <hyperlink r:id="rId5782" ref="H4150"/>
    <hyperlink r:id="rId5783" ref="H4151"/>
    <hyperlink r:id="rId5784" ref="H4152"/>
    <hyperlink r:id="rId5785" ref="H4153"/>
    <hyperlink r:id="rId5786" ref="I4153"/>
    <hyperlink r:id="rId5787" ref="H4154"/>
    <hyperlink r:id="rId5788" ref="I4154"/>
    <hyperlink r:id="rId5789" ref="H4155"/>
    <hyperlink r:id="rId5790" ref="H4156"/>
    <hyperlink r:id="rId5791" ref="J4156"/>
    <hyperlink r:id="rId5792" ref="H4157"/>
    <hyperlink r:id="rId5793" ref="H4158"/>
    <hyperlink r:id="rId5794" ref="I4158"/>
    <hyperlink r:id="rId5795" ref="H4159"/>
    <hyperlink r:id="rId5796" ref="H4160"/>
    <hyperlink r:id="rId5797" ref="H4161"/>
    <hyperlink r:id="rId5798" ref="I4161"/>
    <hyperlink r:id="rId5799" ref="J4161"/>
    <hyperlink r:id="rId5800" ref="H4162"/>
    <hyperlink r:id="rId5801" ref="I4162"/>
    <hyperlink r:id="rId5802" ref="J4162"/>
    <hyperlink r:id="rId5803" ref="H4163"/>
    <hyperlink r:id="rId5804" ref="H4164"/>
    <hyperlink r:id="rId5805" ref="I4164"/>
    <hyperlink r:id="rId5806" ref="H4165"/>
    <hyperlink r:id="rId5807" ref="J4165"/>
    <hyperlink r:id="rId5808" ref="H4166"/>
    <hyperlink r:id="rId5809" ref="J4166"/>
    <hyperlink r:id="rId5810" ref="H4167"/>
    <hyperlink r:id="rId5811" ref="I4167"/>
    <hyperlink r:id="rId5812" ref="J4167"/>
    <hyperlink r:id="rId5813" ref="H4168"/>
    <hyperlink r:id="rId5814" ref="H4169"/>
    <hyperlink r:id="rId5815" ref="H4170"/>
    <hyperlink r:id="rId5816" ref="I4170"/>
    <hyperlink r:id="rId5817" ref="H4171"/>
    <hyperlink r:id="rId5818" ref="I4171"/>
    <hyperlink r:id="rId5819" ref="H4172"/>
    <hyperlink r:id="rId5820" ref="J4172"/>
    <hyperlink r:id="rId5821" ref="J4173"/>
    <hyperlink r:id="rId5822" ref="H4174"/>
    <hyperlink r:id="rId5823" ref="H4175"/>
    <hyperlink r:id="rId5824" ref="I4175"/>
    <hyperlink r:id="rId5825" ref="H4176"/>
    <hyperlink r:id="rId5826" ref="I4176"/>
    <hyperlink r:id="rId5827" ref="H4177"/>
    <hyperlink r:id="rId5828" ref="H4178"/>
    <hyperlink r:id="rId5829" ref="H4179"/>
    <hyperlink r:id="rId5830" ref="H4180"/>
    <hyperlink r:id="rId5831" ref="I4180"/>
    <hyperlink r:id="rId5832" ref="J4180"/>
    <hyperlink r:id="rId5833" ref="H4181"/>
    <hyperlink r:id="rId5834" ref="J4181"/>
    <hyperlink r:id="rId5835" ref="H4182"/>
    <hyperlink r:id="rId5836" ref="I4182"/>
    <hyperlink r:id="rId5837" ref="H4183"/>
    <hyperlink r:id="rId5838" ref="H4184"/>
    <hyperlink r:id="rId5839" ref="H4185"/>
    <hyperlink r:id="rId5840" ref="I4185"/>
    <hyperlink r:id="rId5841" ref="H4186"/>
    <hyperlink r:id="rId5842" ref="J4186"/>
    <hyperlink r:id="rId5843" ref="H4187"/>
    <hyperlink r:id="rId5844" ref="I4187"/>
    <hyperlink r:id="rId5845" ref="H4188"/>
    <hyperlink r:id="rId5846" ref="H4189"/>
    <hyperlink r:id="rId5847" ref="J4189"/>
    <hyperlink r:id="rId5848" ref="H4190"/>
    <hyperlink r:id="rId5849" ref="I4190"/>
    <hyperlink r:id="rId5850" ref="H4191"/>
    <hyperlink r:id="rId5851" ref="H4192"/>
    <hyperlink r:id="rId5852" ref="J4192"/>
    <hyperlink r:id="rId5853" ref="H4193"/>
    <hyperlink r:id="rId5854" ref="H4194"/>
    <hyperlink r:id="rId5855" ref="H4195"/>
    <hyperlink r:id="rId5856" ref="J4195"/>
    <hyperlink r:id="rId5857" ref="H4196"/>
    <hyperlink r:id="rId5858" ref="I4196"/>
    <hyperlink r:id="rId5859" ref="J4196"/>
    <hyperlink r:id="rId5860" ref="H4197"/>
    <hyperlink r:id="rId5861" ref="I4197"/>
    <hyperlink r:id="rId5862" ref="H4198"/>
    <hyperlink r:id="rId5863" ref="H4199"/>
    <hyperlink r:id="rId5864" ref="H4200"/>
    <hyperlink r:id="rId5865" ref="I4200"/>
    <hyperlink r:id="rId5866" ref="H4201"/>
    <hyperlink r:id="rId5867" ref="I4201"/>
    <hyperlink r:id="rId5868" ref="H4202"/>
    <hyperlink r:id="rId5869" ref="I4202"/>
    <hyperlink r:id="rId5870" ref="H4203"/>
    <hyperlink r:id="rId5871" ref="H4204"/>
    <hyperlink r:id="rId5872" ref="H4205"/>
    <hyperlink r:id="rId5873" ref="I4205"/>
    <hyperlink r:id="rId5874" ref="H4206"/>
    <hyperlink r:id="rId5875" ref="H4207"/>
    <hyperlink r:id="rId5876" ref="H4208"/>
    <hyperlink r:id="rId5877" ref="H4209"/>
    <hyperlink r:id="rId5878" ref="H4210"/>
    <hyperlink r:id="rId5879" ref="H4211"/>
    <hyperlink r:id="rId5880" ref="I4211"/>
    <hyperlink r:id="rId5881" ref="H4212"/>
    <hyperlink r:id="rId5882" ref="I4212"/>
    <hyperlink r:id="rId5883" ref="H4213"/>
    <hyperlink r:id="rId5884" ref="H4214"/>
    <hyperlink r:id="rId5885" ref="H4215"/>
    <hyperlink r:id="rId5886" ref="I4215"/>
    <hyperlink r:id="rId5887" ref="J4215"/>
    <hyperlink r:id="rId5888" ref="H4216"/>
    <hyperlink r:id="rId5889" ref="H4217"/>
    <hyperlink r:id="rId5890" ref="H4218"/>
    <hyperlink r:id="rId5891" ref="H4219"/>
    <hyperlink r:id="rId5892" ref="H4220"/>
    <hyperlink r:id="rId5893" ref="I4220"/>
    <hyperlink r:id="rId5894" ref="H4221"/>
    <hyperlink r:id="rId5895" ref="H4222"/>
    <hyperlink r:id="rId5896" ref="H4223"/>
    <hyperlink r:id="rId5897" ref="H4224"/>
    <hyperlink r:id="rId5898" ref="H4225"/>
    <hyperlink r:id="rId5899" ref="H4226"/>
    <hyperlink r:id="rId5900" ref="I4226"/>
    <hyperlink r:id="rId5901" ref="H4227"/>
    <hyperlink r:id="rId5902" ref="H4228"/>
    <hyperlink r:id="rId5903" ref="I4228"/>
    <hyperlink r:id="rId5904" ref="H4229"/>
    <hyperlink r:id="rId5905" ref="H4230"/>
    <hyperlink r:id="rId5906" ref="H4231"/>
    <hyperlink r:id="rId5907" ref="H4232"/>
    <hyperlink r:id="rId5908" ref="H4233"/>
    <hyperlink r:id="rId5909" ref="I4233"/>
    <hyperlink r:id="rId5910" ref="J4234"/>
    <hyperlink r:id="rId5911" ref="H4235"/>
    <hyperlink r:id="rId5912" ref="J4235"/>
    <hyperlink r:id="rId5913" ref="H4236"/>
    <hyperlink r:id="rId5914" ref="H4237"/>
    <hyperlink r:id="rId5915" ref="J4237"/>
    <hyperlink r:id="rId5916" ref="H4238"/>
    <hyperlink r:id="rId5917" ref="H4239"/>
    <hyperlink r:id="rId5918" ref="H4240"/>
    <hyperlink r:id="rId5919" ref="H4241"/>
    <hyperlink r:id="rId5920" ref="I4241"/>
    <hyperlink r:id="rId5921" ref="H4242"/>
    <hyperlink r:id="rId5922" ref="H4243"/>
    <hyperlink r:id="rId5923" ref="H4244"/>
    <hyperlink r:id="rId5924" ref="H4245"/>
    <hyperlink r:id="rId5925" ref="H4246"/>
    <hyperlink r:id="rId5926" ref="H4247"/>
    <hyperlink r:id="rId5927" ref="H4248"/>
    <hyperlink r:id="rId5928" ref="H4249"/>
    <hyperlink r:id="rId5929" ref="H4250"/>
    <hyperlink r:id="rId5930" ref="H4251"/>
    <hyperlink r:id="rId5931" ref="I4251"/>
    <hyperlink r:id="rId5932" ref="H4252"/>
    <hyperlink r:id="rId5933" ref="H4253"/>
    <hyperlink r:id="rId5934" ref="I4253"/>
    <hyperlink r:id="rId5935" ref="H4254"/>
    <hyperlink r:id="rId5936" ref="H4255"/>
    <hyperlink r:id="rId5937" ref="H4256"/>
    <hyperlink r:id="rId5938" ref="H4257"/>
    <hyperlink r:id="rId5939" ref="J4257"/>
    <hyperlink r:id="rId5940" ref="H4258"/>
    <hyperlink r:id="rId5941" ref="J4258"/>
    <hyperlink r:id="rId5942" ref="H4259"/>
    <hyperlink r:id="rId5943" ref="H4260"/>
    <hyperlink r:id="rId5944" ref="H4261"/>
    <hyperlink r:id="rId5945" ref="H4262"/>
    <hyperlink r:id="rId5946" ref="I4262"/>
    <hyperlink r:id="rId5947" ref="H4263"/>
    <hyperlink r:id="rId5948" ref="H4264"/>
    <hyperlink r:id="rId5949" ref="H4265"/>
    <hyperlink r:id="rId5950" ref="H4266"/>
    <hyperlink r:id="rId5951" ref="H4267"/>
    <hyperlink r:id="rId5952" ref="H4268"/>
    <hyperlink r:id="rId5953" ref="H4269"/>
    <hyperlink r:id="rId5954" ref="H4270"/>
    <hyperlink r:id="rId5955" ref="H4271"/>
    <hyperlink r:id="rId5956" ref="H4272"/>
    <hyperlink r:id="rId5957" ref="H4273"/>
    <hyperlink r:id="rId5958" ref="H4274"/>
    <hyperlink r:id="rId5959" ref="H4275"/>
    <hyperlink r:id="rId5960" ref="I4275"/>
    <hyperlink r:id="rId5961" ref="H4276"/>
    <hyperlink r:id="rId5962" ref="H4277"/>
    <hyperlink r:id="rId5963" ref="H4278"/>
    <hyperlink r:id="rId5964" ref="H4279"/>
    <hyperlink r:id="rId5965" ref="I4279"/>
    <hyperlink r:id="rId5966" ref="H4280"/>
    <hyperlink r:id="rId5967" ref="J4280"/>
    <hyperlink r:id="rId5968" ref="H4281"/>
    <hyperlink r:id="rId5969" ref="I4281"/>
    <hyperlink r:id="rId5970" ref="H4282"/>
    <hyperlink r:id="rId5971" ref="H4283"/>
    <hyperlink r:id="rId5972" ref="I4283"/>
    <hyperlink r:id="rId5973" ref="J4284"/>
    <hyperlink r:id="rId5974" ref="H4285"/>
    <hyperlink r:id="rId5975" ref="H4286"/>
    <hyperlink r:id="rId5976" ref="H4287"/>
    <hyperlink r:id="rId5977" ref="H4288"/>
    <hyperlink r:id="rId5978" ref="I4288"/>
    <hyperlink r:id="rId5979" ref="J4288"/>
    <hyperlink r:id="rId5980" ref="H4289"/>
    <hyperlink r:id="rId5981" ref="H4290"/>
    <hyperlink r:id="rId5982" ref="H4291"/>
    <hyperlink r:id="rId5983" ref="H4292"/>
    <hyperlink r:id="rId5984" ref="H4293"/>
    <hyperlink r:id="rId5985" ref="H4294"/>
    <hyperlink r:id="rId5986" ref="H4295"/>
    <hyperlink r:id="rId5987" ref="H4296"/>
    <hyperlink r:id="rId5988" ref="H4297"/>
    <hyperlink r:id="rId5989" ref="J4297"/>
    <hyperlink r:id="rId5990" ref="H4298"/>
    <hyperlink r:id="rId5991" ref="I4299"/>
    <hyperlink r:id="rId5992" ref="H4300"/>
    <hyperlink r:id="rId5993" ref="H4301"/>
    <hyperlink r:id="rId5994" ref="H4302"/>
    <hyperlink r:id="rId5995" ref="H4303"/>
    <hyperlink r:id="rId5996" ref="J4303"/>
    <hyperlink r:id="rId5997" ref="H4304"/>
    <hyperlink r:id="rId5998" ref="H4305"/>
    <hyperlink r:id="rId5999" ref="H4306"/>
    <hyperlink r:id="rId6000" ref="H4307"/>
    <hyperlink r:id="rId6001" ref="H4308"/>
    <hyperlink r:id="rId6002" ref="H4309"/>
    <hyperlink r:id="rId6003" ref="I4309"/>
    <hyperlink r:id="rId6004" ref="H4310"/>
    <hyperlink r:id="rId6005" ref="H4311"/>
    <hyperlink r:id="rId6006" ref="H4312"/>
    <hyperlink r:id="rId6007" ref="H4313"/>
    <hyperlink r:id="rId6008" ref="I4313"/>
    <hyperlink r:id="rId6009" ref="H4314"/>
    <hyperlink r:id="rId6010" ref="I4314"/>
    <hyperlink r:id="rId6011" ref="H4315"/>
    <hyperlink r:id="rId6012" ref="H4316"/>
    <hyperlink r:id="rId6013" ref="I4316"/>
    <hyperlink r:id="rId6014" ref="H4317"/>
    <hyperlink r:id="rId6015" ref="I4317"/>
    <hyperlink r:id="rId6016" ref="H4318"/>
    <hyperlink r:id="rId6017" ref="H4319"/>
    <hyperlink r:id="rId6018" ref="J4320"/>
    <hyperlink r:id="rId6019" ref="J4321"/>
    <hyperlink r:id="rId6020" ref="J4322"/>
    <hyperlink r:id="rId6021" ref="H4323"/>
    <hyperlink r:id="rId6022" ref="J4323"/>
    <hyperlink r:id="rId6023" ref="J4324"/>
    <hyperlink r:id="rId6024" ref="H4325"/>
    <hyperlink r:id="rId6025" ref="I4325"/>
    <hyperlink r:id="rId6026" ref="J4325"/>
    <hyperlink r:id="rId6027" ref="J4326"/>
    <hyperlink r:id="rId6028" ref="H4327"/>
    <hyperlink r:id="rId6029" ref="J4327"/>
    <hyperlink r:id="rId6030" ref="J4328"/>
    <hyperlink r:id="rId6031" ref="J4329"/>
    <hyperlink r:id="rId6032" ref="J4330"/>
    <hyperlink r:id="rId6033" ref="J4331"/>
    <hyperlink r:id="rId6034" ref="H4332"/>
    <hyperlink r:id="rId6035" ref="J4332"/>
    <hyperlink r:id="rId6036" ref="J4333"/>
    <hyperlink r:id="rId6037" ref="H4334"/>
    <hyperlink r:id="rId6038" ref="J4334"/>
    <hyperlink r:id="rId6039" ref="H4335"/>
    <hyperlink r:id="rId6040" ref="J4335"/>
    <hyperlink r:id="rId6041" ref="H4336"/>
    <hyperlink r:id="rId6042" ref="J4336"/>
    <hyperlink r:id="rId6043" ref="J4337"/>
    <hyperlink r:id="rId6044" ref="J4338"/>
    <hyperlink r:id="rId6045" ref="H4339"/>
    <hyperlink r:id="rId6046" ref="J4339"/>
    <hyperlink r:id="rId6047" ref="H4340"/>
    <hyperlink r:id="rId6048" ref="I4340"/>
    <hyperlink r:id="rId6049" ref="J4340"/>
    <hyperlink r:id="rId6050" ref="H4341"/>
    <hyperlink r:id="rId6051" ref="I4341"/>
    <hyperlink r:id="rId6052" ref="J4341"/>
    <hyperlink r:id="rId6053" ref="H4342"/>
    <hyperlink r:id="rId6054" ref="I4342"/>
    <hyperlink r:id="rId6055" ref="J4342"/>
    <hyperlink r:id="rId6056" ref="H4343"/>
    <hyperlink r:id="rId6057" ref="I4343"/>
    <hyperlink r:id="rId6058" ref="J4343"/>
    <hyperlink r:id="rId6059" ref="H4344"/>
    <hyperlink r:id="rId6060" ref="J4344"/>
    <hyperlink r:id="rId6061" ref="J4345"/>
    <hyperlink r:id="rId6062" ref="J4346"/>
    <hyperlink r:id="rId6063" ref="H4347"/>
    <hyperlink r:id="rId6064" ref="I4347"/>
    <hyperlink r:id="rId6065" ref="J4347"/>
    <hyperlink r:id="rId6066" ref="H4348"/>
    <hyperlink r:id="rId6067" ref="I4348"/>
    <hyperlink r:id="rId6068" ref="J4348"/>
    <hyperlink r:id="rId6069" ref="H4349"/>
    <hyperlink r:id="rId6070" ref="J4349"/>
    <hyperlink r:id="rId6071" ref="J4350"/>
    <hyperlink r:id="rId6072" ref="J4351"/>
    <hyperlink r:id="rId6073" ref="J4352"/>
    <hyperlink r:id="rId6074" ref="H4353"/>
    <hyperlink r:id="rId6075" ref="I4353"/>
    <hyperlink r:id="rId6076" ref="J4353"/>
    <hyperlink r:id="rId6077" ref="H4354"/>
    <hyperlink r:id="rId6078" ref="I4354"/>
    <hyperlink r:id="rId6079" ref="J4354"/>
    <hyperlink r:id="rId6080" ref="H4355"/>
    <hyperlink r:id="rId6081" ref="I4355"/>
    <hyperlink r:id="rId6082" ref="J4355"/>
    <hyperlink r:id="rId6083" ref="J4356"/>
    <hyperlink r:id="rId6084" ref="J4357"/>
    <hyperlink r:id="rId6085" ref="J4358"/>
    <hyperlink r:id="rId6086" ref="H4359"/>
    <hyperlink r:id="rId6087" ref="J4359"/>
    <hyperlink r:id="rId6088" ref="H4360"/>
    <hyperlink r:id="rId6089" ref="I4360"/>
    <hyperlink r:id="rId6090" ref="J4360"/>
    <hyperlink r:id="rId6091" ref="H4361"/>
    <hyperlink r:id="rId6092" ref="H4362"/>
    <hyperlink r:id="rId6093" ref="I4362"/>
    <hyperlink r:id="rId6094" ref="H4363"/>
    <hyperlink r:id="rId6095" ref="I4363"/>
    <hyperlink r:id="rId6096" ref="H4364"/>
    <hyperlink r:id="rId6097" ref="H4365"/>
    <hyperlink r:id="rId6098" ref="I4365"/>
    <hyperlink r:id="rId6099" ref="H4366"/>
    <hyperlink r:id="rId6100" ref="I4366"/>
    <hyperlink r:id="rId6101" ref="H4367"/>
    <hyperlink r:id="rId6102" ref="H4368"/>
    <hyperlink r:id="rId6103" ref="I4368"/>
    <hyperlink r:id="rId6104" ref="H4369"/>
    <hyperlink r:id="rId6105" ref="I4369"/>
    <hyperlink r:id="rId6106" ref="H4370"/>
    <hyperlink r:id="rId6107" ref="H4371"/>
    <hyperlink r:id="rId6108" ref="I4371"/>
    <hyperlink r:id="rId6109" ref="H4372"/>
    <hyperlink r:id="rId6110" ref="H4373"/>
    <hyperlink r:id="rId6111" ref="H4374"/>
    <hyperlink r:id="rId6112" ref="I4374"/>
    <hyperlink r:id="rId6113" ref="H4375"/>
    <hyperlink r:id="rId6114" ref="I4375"/>
    <hyperlink r:id="rId6115" ref="H4376"/>
    <hyperlink r:id="rId6116" ref="H4377"/>
    <hyperlink r:id="rId6117" ref="H4378"/>
    <hyperlink r:id="rId6118" ref="H4379"/>
    <hyperlink r:id="rId6119" ref="I4379"/>
    <hyperlink r:id="rId6120" ref="H4380"/>
    <hyperlink r:id="rId6121" ref="I4380"/>
    <hyperlink r:id="rId6122" ref="H4381"/>
    <hyperlink r:id="rId6123" ref="I4381"/>
    <hyperlink r:id="rId6124" ref="H4382"/>
    <hyperlink r:id="rId6125" ref="H4383"/>
    <hyperlink r:id="rId6126" ref="H4384"/>
    <hyperlink r:id="rId6127" ref="I4384"/>
    <hyperlink r:id="rId6128" ref="H4385"/>
    <hyperlink r:id="rId6129" ref="H4386"/>
    <hyperlink r:id="rId6130" ref="H4387"/>
    <hyperlink r:id="rId6131" ref="H4388"/>
    <hyperlink r:id="rId6132" ref="H4389"/>
    <hyperlink r:id="rId6133" ref="H4390"/>
    <hyperlink r:id="rId6134" ref="I4390"/>
    <hyperlink r:id="rId6135" ref="H4391"/>
    <hyperlink r:id="rId6136" ref="I4391"/>
    <hyperlink r:id="rId6137" ref="H4392"/>
    <hyperlink r:id="rId6138" ref="I4392"/>
    <hyperlink r:id="rId6139" ref="H4393"/>
    <hyperlink r:id="rId6140" ref="H4394"/>
    <hyperlink r:id="rId6141" ref="H4395"/>
    <hyperlink r:id="rId6142" ref="H4396"/>
    <hyperlink r:id="rId6143" ref="I4396"/>
    <hyperlink r:id="rId6144" ref="H4397"/>
    <hyperlink r:id="rId6145" ref="I4397"/>
    <hyperlink r:id="rId6146" ref="H4398"/>
    <hyperlink r:id="rId6147" ref="H4399"/>
    <hyperlink r:id="rId6148" ref="H4400"/>
    <hyperlink r:id="rId6149" ref="H4401"/>
    <hyperlink r:id="rId6150" ref="H4402"/>
    <hyperlink r:id="rId6151" ref="I4402"/>
    <hyperlink r:id="rId6152" ref="H4403"/>
    <hyperlink r:id="rId6153" ref="I4403"/>
    <hyperlink r:id="rId6154" ref="H4404"/>
    <hyperlink r:id="rId6155" ref="H4405"/>
    <hyperlink r:id="rId6156" ref="H4406"/>
    <hyperlink r:id="rId6157" ref="I4406"/>
    <hyperlink r:id="rId6158" ref="H4407"/>
    <hyperlink r:id="rId6159" ref="H4408"/>
    <hyperlink r:id="rId6160" ref="H4409"/>
    <hyperlink r:id="rId6161" ref="H4410"/>
    <hyperlink r:id="rId6162" ref="I4410"/>
    <hyperlink r:id="rId6163" ref="H4411"/>
    <hyperlink r:id="rId6164" ref="I4411"/>
    <hyperlink r:id="rId6165" ref="H4412"/>
    <hyperlink r:id="rId6166" ref="H4413"/>
    <hyperlink r:id="rId6167" ref="I4413"/>
    <hyperlink r:id="rId6168" ref="H4414"/>
    <hyperlink r:id="rId6169" ref="H4415"/>
    <hyperlink r:id="rId6170" ref="H4416"/>
    <hyperlink r:id="rId6171" ref="H4417"/>
    <hyperlink r:id="rId6172" ref="H4418"/>
    <hyperlink r:id="rId6173" ref="H4419"/>
    <hyperlink r:id="rId6174" ref="H4420"/>
    <hyperlink r:id="rId6175" ref="H4421"/>
    <hyperlink r:id="rId6176" ref="H4422"/>
    <hyperlink r:id="rId6177" ref="H4423"/>
    <hyperlink r:id="rId6178" ref="H4424"/>
    <hyperlink r:id="rId6179" ref="I4424"/>
    <hyperlink r:id="rId6180" ref="H4425"/>
    <hyperlink r:id="rId6181" ref="H4426"/>
    <hyperlink r:id="rId6182" ref="H4427"/>
    <hyperlink r:id="rId6183" ref="I4427"/>
    <hyperlink r:id="rId6184" ref="H4428"/>
    <hyperlink r:id="rId6185" ref="H4429"/>
    <hyperlink r:id="rId6186" ref="I4429"/>
    <hyperlink r:id="rId6187" ref="H4430"/>
    <hyperlink r:id="rId6188" ref="I4430"/>
    <hyperlink r:id="rId6189" ref="H4431"/>
    <hyperlink r:id="rId6190" ref="H4432"/>
    <hyperlink r:id="rId6191" ref="H4433"/>
    <hyperlink r:id="rId6192" ref="H4434"/>
    <hyperlink r:id="rId6193" ref="I4434"/>
    <hyperlink r:id="rId6194" ref="H4435"/>
    <hyperlink r:id="rId6195" ref="H4436"/>
    <hyperlink r:id="rId6196" ref="I4437"/>
    <hyperlink r:id="rId6197" ref="H4438"/>
    <hyperlink r:id="rId6198" ref="J4439"/>
    <hyperlink r:id="rId6199" ref="J4440"/>
    <hyperlink r:id="rId6200" ref="H4441"/>
    <hyperlink r:id="rId6201" ref="J4441"/>
    <hyperlink r:id="rId6202" ref="H4442"/>
    <hyperlink r:id="rId6203" ref="J4442"/>
    <hyperlink r:id="rId6204" ref="H4443"/>
    <hyperlink r:id="rId6205" ref="H4444"/>
    <hyperlink r:id="rId6206" ref="J4444"/>
    <hyperlink r:id="rId6207" ref="H4445"/>
    <hyperlink r:id="rId6208" ref="J4445"/>
    <hyperlink r:id="rId6209" ref="J4446"/>
    <hyperlink r:id="rId6210" ref="H4447"/>
    <hyperlink r:id="rId6211" ref="J4447"/>
    <hyperlink r:id="rId6212" ref="H4448"/>
    <hyperlink r:id="rId6213" ref="J4449"/>
    <hyperlink r:id="rId6214" ref="H4450"/>
    <hyperlink r:id="rId6215" ref="J4450"/>
    <hyperlink r:id="rId6216" ref="H4451"/>
    <hyperlink r:id="rId6217" ref="H4452"/>
    <hyperlink r:id="rId6218" ref="I4453"/>
    <hyperlink r:id="rId6219" ref="J4454"/>
    <hyperlink r:id="rId6220" ref="H4455"/>
    <hyperlink r:id="rId6221" ref="H4456"/>
    <hyperlink r:id="rId6222" ref="H4457"/>
    <hyperlink r:id="rId6223" ref="J4457"/>
    <hyperlink r:id="rId6224" ref="I4458"/>
    <hyperlink r:id="rId6225" ref="J4458"/>
    <hyperlink r:id="rId6226" ref="J4459"/>
    <hyperlink r:id="rId6227" ref="H4460"/>
    <hyperlink r:id="rId6228" ref="I4460"/>
    <hyperlink r:id="rId6229" ref="H4461"/>
    <hyperlink r:id="rId6230" ref="H4462"/>
    <hyperlink r:id="rId6231" ref="J4462"/>
    <hyperlink r:id="rId6232" ref="H4463"/>
    <hyperlink r:id="rId6233" ref="I4464"/>
    <hyperlink r:id="rId6234" ref="H4465"/>
    <hyperlink r:id="rId6235" ref="I4465"/>
    <hyperlink r:id="rId6236" ref="J4465"/>
    <hyperlink r:id="rId6237" ref="H4466"/>
    <hyperlink r:id="rId6238" ref="I4466"/>
    <hyperlink r:id="rId6239" ref="J4466"/>
    <hyperlink r:id="rId6240" ref="H4467"/>
    <hyperlink r:id="rId6241" ref="H4468"/>
    <hyperlink r:id="rId6242" ref="J4468"/>
    <hyperlink r:id="rId6243" ref="I4469"/>
    <hyperlink r:id="rId6244" ref="J4469"/>
    <hyperlink r:id="rId6245" ref="H4470"/>
    <hyperlink r:id="rId6246" ref="I4471"/>
    <hyperlink r:id="rId6247" ref="J4472"/>
    <hyperlink r:id="rId6248" ref="H4473"/>
    <hyperlink r:id="rId6249" ref="J4473"/>
    <hyperlink r:id="rId6250" ref="H4474"/>
    <hyperlink r:id="rId6251" ref="H4475"/>
    <hyperlink r:id="rId6252" ref="J4475"/>
    <hyperlink r:id="rId6253" ref="J4476"/>
    <hyperlink r:id="rId6254" ref="H4477"/>
    <hyperlink r:id="rId6255" ref="I4477"/>
    <hyperlink r:id="rId6256" ref="J4477"/>
    <hyperlink r:id="rId6257" ref="I4478"/>
    <hyperlink r:id="rId6258" ref="J4478"/>
    <hyperlink r:id="rId6259" ref="H4479"/>
    <hyperlink r:id="rId6260" ref="H4480"/>
    <hyperlink r:id="rId6261" ref="I4480"/>
    <hyperlink r:id="rId6262" ref="H4481"/>
    <hyperlink r:id="rId6263" ref="I4482"/>
    <hyperlink r:id="rId6264" ref="J4482"/>
    <hyperlink r:id="rId6265" ref="I4483"/>
    <hyperlink r:id="rId6266" ref="H4484"/>
    <hyperlink r:id="rId6267" ref="H4485"/>
    <hyperlink r:id="rId6268" ref="J4485"/>
    <hyperlink r:id="rId6269" ref="H4486"/>
    <hyperlink r:id="rId6270" ref="H4487"/>
    <hyperlink r:id="rId6271" ref="I4487"/>
    <hyperlink r:id="rId6272" ref="H4488"/>
    <hyperlink r:id="rId6273" ref="I4488"/>
    <hyperlink r:id="rId6274" ref="J4489"/>
    <hyperlink r:id="rId6275" ref="J4490"/>
    <hyperlink r:id="rId6276" ref="H4491"/>
    <hyperlink r:id="rId6277" ref="H4492"/>
    <hyperlink r:id="rId6278" ref="J4492"/>
    <hyperlink r:id="rId6279" ref="H4493"/>
    <hyperlink r:id="rId6280" ref="J4493"/>
    <hyperlink r:id="rId6281" ref="H4494"/>
    <hyperlink r:id="rId6282" ref="H4495"/>
    <hyperlink r:id="rId6283" ref="J4495"/>
    <hyperlink r:id="rId6284" ref="J4496"/>
    <hyperlink r:id="rId6285" ref="H4497"/>
    <hyperlink r:id="rId6286" ref="J4497"/>
    <hyperlink r:id="rId6287" ref="H4498"/>
    <hyperlink r:id="rId6288" ref="J4498"/>
    <hyperlink r:id="rId6289" ref="H4499"/>
    <hyperlink r:id="rId6290" ref="H4500"/>
    <hyperlink r:id="rId6291" ref="J4501"/>
    <hyperlink r:id="rId6292" ref="H4502"/>
    <hyperlink r:id="rId6293" ref="H4503"/>
    <hyperlink r:id="rId6294" ref="J4503"/>
    <hyperlink r:id="rId6295" ref="J4504"/>
    <hyperlink r:id="rId6296" ref="H4505"/>
    <hyperlink r:id="rId6297" ref="I4505"/>
    <hyperlink r:id="rId6298" ref="J4505"/>
    <hyperlink r:id="rId6299" ref="H4506"/>
    <hyperlink r:id="rId6300" ref="J4506"/>
    <hyperlink r:id="rId6301" ref="H4507"/>
    <hyperlink r:id="rId6302" ref="H4508"/>
    <hyperlink r:id="rId6303" ref="H4509"/>
    <hyperlink r:id="rId6304" ref="H4510"/>
    <hyperlink r:id="rId6305" ref="I4510"/>
    <hyperlink r:id="rId6306" ref="H4511"/>
    <hyperlink r:id="rId6307" ref="H4512"/>
    <hyperlink r:id="rId6308" ref="J4513"/>
    <hyperlink r:id="rId6309" ref="H4514"/>
    <hyperlink r:id="rId6310" ref="H4515"/>
    <hyperlink r:id="rId6311" ref="H4516"/>
    <hyperlink r:id="rId6312" ref="J4517"/>
    <hyperlink r:id="rId6313" ref="H4518"/>
    <hyperlink r:id="rId6314" ref="J4519"/>
    <hyperlink r:id="rId6315" ref="H4520"/>
    <hyperlink r:id="rId6316" ref="J4520"/>
    <hyperlink r:id="rId6317" ref="J4521"/>
    <hyperlink r:id="rId6318" ref="H4522"/>
    <hyperlink r:id="rId6319" ref="J4522"/>
    <hyperlink r:id="rId6320" ref="H4523"/>
    <hyperlink r:id="rId6321" ref="H4524"/>
    <hyperlink r:id="rId6322" ref="I4524"/>
    <hyperlink r:id="rId6323" ref="J4524"/>
    <hyperlink r:id="rId6324" ref="I4525"/>
    <hyperlink r:id="rId6325" ref="J4525"/>
    <hyperlink r:id="rId6326" ref="J4526"/>
    <hyperlink r:id="rId6327" ref="H4527"/>
    <hyperlink r:id="rId6328" ref="J4527"/>
    <hyperlink r:id="rId6329" ref="H4528"/>
    <hyperlink r:id="rId6330" ref="H4529"/>
    <hyperlink r:id="rId6331" ref="H4530"/>
    <hyperlink r:id="rId6332" ref="H4531"/>
    <hyperlink r:id="rId6333" ref="J4531"/>
    <hyperlink r:id="rId6334" ref="H4532"/>
    <hyperlink r:id="rId6335" ref="H4533"/>
    <hyperlink r:id="rId6336" ref="H4534"/>
    <hyperlink r:id="rId6337" ref="H4535"/>
    <hyperlink r:id="rId6338" ref="H4536"/>
    <hyperlink r:id="rId6339" ref="H4537"/>
    <hyperlink r:id="rId6340" ref="H4538"/>
    <hyperlink r:id="rId6341" ref="H4539"/>
    <hyperlink r:id="rId6342" ref="H4540"/>
    <hyperlink r:id="rId6343" ref="J4541"/>
    <hyperlink r:id="rId6344" ref="J4542"/>
    <hyperlink r:id="rId6345" ref="J4543"/>
    <hyperlink r:id="rId6346" ref="H4544"/>
    <hyperlink r:id="rId6347" ref="J4544"/>
    <hyperlink r:id="rId6348" ref="J4545"/>
    <hyperlink r:id="rId6349" ref="H4546"/>
    <hyperlink r:id="rId6350" ref="J4547"/>
    <hyperlink r:id="rId6351" ref="J4548"/>
    <hyperlink r:id="rId6352" ref="H4549"/>
    <hyperlink r:id="rId6353" ref="I4549"/>
    <hyperlink r:id="rId6354" ref="H4550"/>
    <hyperlink r:id="rId6355" ref="I4550"/>
    <hyperlink r:id="rId6356" ref="L4550"/>
    <hyperlink r:id="rId6357" ref="H4551"/>
    <hyperlink r:id="rId6358" ref="I4551"/>
    <hyperlink r:id="rId6359" ref="H4552"/>
    <hyperlink r:id="rId6360" ref="H4553"/>
    <hyperlink r:id="rId6361" ref="H4554"/>
    <hyperlink r:id="rId6362" ref="H4555"/>
    <hyperlink r:id="rId6363" ref="K4555"/>
    <hyperlink r:id="rId6364" ref="H4556"/>
    <hyperlink r:id="rId6365" ref="I4556"/>
    <hyperlink r:id="rId6366" ref="K4556"/>
    <hyperlink r:id="rId6367" ref="H4557"/>
    <hyperlink r:id="rId6368" ref="J4557"/>
    <hyperlink r:id="rId6369" ref="H4558"/>
    <hyperlink r:id="rId6370" ref="H4559"/>
    <hyperlink r:id="rId6371" ref="I4559"/>
    <hyperlink r:id="rId6372" ref="H4560"/>
    <hyperlink r:id="rId6373" ref="H4561"/>
    <hyperlink r:id="rId6374" ref="H4562"/>
    <hyperlink r:id="rId6375" ref="H4563"/>
    <hyperlink r:id="rId6376" ref="H4564"/>
    <hyperlink r:id="rId6377" ref="H4565"/>
    <hyperlink r:id="rId6378" ref="H4566"/>
    <hyperlink r:id="rId6379" ref="H4567"/>
    <hyperlink r:id="rId6380" ref="H4568"/>
    <hyperlink r:id="rId6381" ref="J4569"/>
    <hyperlink r:id="rId6382" ref="H4570"/>
    <hyperlink r:id="rId6383" ref="J4571"/>
    <hyperlink r:id="rId6384" ref="H4572"/>
    <hyperlink r:id="rId6385" ref="H4573"/>
    <hyperlink r:id="rId6386" ref="H4574"/>
    <hyperlink r:id="rId6387" ref="H4575"/>
    <hyperlink r:id="rId6388" ref="J4576"/>
    <hyperlink r:id="rId6389" ref="H4577"/>
    <hyperlink r:id="rId6390" ref="H4578"/>
    <hyperlink r:id="rId6391" ref="J4578"/>
    <hyperlink r:id="rId6392" ref="J4579"/>
    <hyperlink r:id="rId6393" ref="J4580"/>
    <hyperlink r:id="rId6394" ref="H4581"/>
    <hyperlink r:id="rId6395" ref="H4582"/>
    <hyperlink r:id="rId6396" ref="H4583"/>
    <hyperlink r:id="rId6397" ref="H4584"/>
    <hyperlink r:id="rId6398" ref="H4585"/>
    <hyperlink r:id="rId6399" ref="H4586"/>
    <hyperlink r:id="rId6400" ref="H4587"/>
    <hyperlink r:id="rId6401" ref="I4587"/>
    <hyperlink r:id="rId6402" ref="J4587"/>
    <hyperlink r:id="rId6403" ref="H4588"/>
    <hyperlink r:id="rId6404" ref="J4588"/>
    <hyperlink r:id="rId6405" ref="H4589"/>
    <hyperlink r:id="rId6406" ref="I4589"/>
    <hyperlink r:id="rId6407" ref="H4590"/>
    <hyperlink r:id="rId6408" ref="H4591"/>
    <hyperlink r:id="rId6409" ref="H4592"/>
    <hyperlink r:id="rId6410" ref="H4593"/>
    <hyperlink r:id="rId6411" ref="H4594"/>
    <hyperlink r:id="rId6412" ref="H4595"/>
    <hyperlink r:id="rId6413" ref="H4596"/>
    <hyperlink r:id="rId6414" ref="H4597"/>
    <hyperlink r:id="rId6415" ref="H4598"/>
    <hyperlink r:id="rId6416" ref="I4598"/>
    <hyperlink r:id="rId6417" ref="H4599"/>
    <hyperlink r:id="rId6418" ref="H4600"/>
    <hyperlink r:id="rId6419" ref="I4600"/>
    <hyperlink r:id="rId6420" ref="H4601"/>
    <hyperlink r:id="rId6421" ref="H4602"/>
    <hyperlink r:id="rId6422" ref="H4603"/>
    <hyperlink r:id="rId6423" ref="H4604"/>
    <hyperlink r:id="rId6424" ref="H4605"/>
    <hyperlink r:id="rId6425" ref="H4606"/>
    <hyperlink r:id="rId6426" ref="H4607"/>
    <hyperlink r:id="rId6427" ref="I4607"/>
    <hyperlink r:id="rId6428" ref="H4608"/>
    <hyperlink r:id="rId6429" ref="H4609"/>
    <hyperlink r:id="rId6430" ref="J4609"/>
    <hyperlink r:id="rId6431" ref="H4610"/>
    <hyperlink r:id="rId6432" ref="H4611"/>
    <hyperlink r:id="rId6433" ref="H4612"/>
    <hyperlink r:id="rId6434" ref="H4613"/>
    <hyperlink r:id="rId6435" ref="J4613"/>
    <hyperlink r:id="rId6436" ref="H4614"/>
    <hyperlink r:id="rId6437" ref="H4615"/>
    <hyperlink r:id="rId6438" ref="H4616"/>
    <hyperlink r:id="rId6439" ref="J4616"/>
    <hyperlink r:id="rId6440" ref="H4617"/>
    <hyperlink r:id="rId6441" ref="I4617"/>
    <hyperlink r:id="rId6442" ref="H4618"/>
    <hyperlink r:id="rId6443" ref="I4618"/>
    <hyperlink r:id="rId6444" ref="H4619"/>
    <hyperlink r:id="rId6445" ref="H4620"/>
    <hyperlink r:id="rId6446" ref="I4620"/>
    <hyperlink r:id="rId6447" ref="J4620"/>
    <hyperlink r:id="rId6448" ref="H4621"/>
    <hyperlink r:id="rId6449" ref="H4622"/>
    <hyperlink r:id="rId6450" ref="I4622"/>
    <hyperlink r:id="rId6451" ref="J4622"/>
    <hyperlink r:id="rId6452" ref="H4623"/>
    <hyperlink r:id="rId6453" ref="I4623"/>
    <hyperlink r:id="rId6454" ref="H4624"/>
    <hyperlink r:id="rId6455" ref="I4624"/>
    <hyperlink r:id="rId6456" ref="H4625"/>
    <hyperlink r:id="rId6457" ref="H4626"/>
    <hyperlink r:id="rId6458" ref="H4627"/>
    <hyperlink r:id="rId6459" ref="H4628"/>
    <hyperlink r:id="rId6460" ref="I4628"/>
    <hyperlink r:id="rId6461" ref="H4629"/>
    <hyperlink r:id="rId6462" ref="J4629"/>
    <hyperlink r:id="rId6463" ref="H4630"/>
    <hyperlink r:id="rId6464" ref="I4630"/>
    <hyperlink r:id="rId6465" ref="J4630"/>
    <hyperlink r:id="rId6466" ref="H4631"/>
    <hyperlink r:id="rId6467" ref="H4632"/>
    <hyperlink r:id="rId6468" ref="H4633"/>
    <hyperlink r:id="rId6469" ref="H4634"/>
    <hyperlink r:id="rId6470" ref="J4634"/>
    <hyperlink r:id="rId6471" ref="H4635"/>
    <hyperlink r:id="rId6472" ref="J4635"/>
    <hyperlink r:id="rId6473" ref="H4636"/>
    <hyperlink r:id="rId6474" ref="H4637"/>
    <hyperlink r:id="rId6475" ref="I4637"/>
    <hyperlink r:id="rId6476" ref="H4638"/>
    <hyperlink r:id="rId6477" ref="H4639"/>
    <hyperlink r:id="rId6478" ref="I4639"/>
    <hyperlink r:id="rId6479" ref="H4640"/>
    <hyperlink r:id="rId6480" ref="H4641"/>
    <hyperlink r:id="rId6481" ref="H4642"/>
    <hyperlink r:id="rId6482" ref="I4642"/>
    <hyperlink r:id="rId6483" ref="H4643"/>
    <hyperlink r:id="rId6484" ref="I4643"/>
    <hyperlink r:id="rId6485" ref="J4643"/>
    <hyperlink r:id="rId6486" ref="H4644"/>
    <hyperlink r:id="rId6487" ref="J4644"/>
    <hyperlink r:id="rId6488" ref="H4645"/>
    <hyperlink r:id="rId6489" ref="H4646"/>
    <hyperlink r:id="rId6490" ref="I4646"/>
    <hyperlink r:id="rId6491" ref="J4646"/>
    <hyperlink r:id="rId6492" ref="H4647"/>
    <hyperlink r:id="rId6493" ref="H4648"/>
    <hyperlink r:id="rId6494" ref="J4648"/>
    <hyperlink r:id="rId6495" ref="H4649"/>
    <hyperlink r:id="rId6496" ref="I4649"/>
    <hyperlink r:id="rId6497" ref="H4650"/>
    <hyperlink r:id="rId6498" ref="I4650"/>
    <hyperlink r:id="rId6499" ref="H4651"/>
    <hyperlink r:id="rId6500" ref="H4652"/>
    <hyperlink r:id="rId6501" ref="H4653"/>
    <hyperlink r:id="rId6502" ref="I4653"/>
    <hyperlink r:id="rId6503" ref="H4654"/>
    <hyperlink r:id="rId6504" ref="I4654"/>
    <hyperlink r:id="rId6505" ref="J4654"/>
    <hyperlink r:id="rId6506" ref="H4655"/>
    <hyperlink r:id="rId6507" ref="I4655"/>
    <hyperlink r:id="rId6508" ref="H4656"/>
    <hyperlink r:id="rId6509" ref="H4657"/>
    <hyperlink r:id="rId6510" ref="H4658"/>
    <hyperlink r:id="rId6511" ref="I4658"/>
    <hyperlink r:id="rId6512" ref="H4659"/>
    <hyperlink r:id="rId6513" ref="H4660"/>
    <hyperlink r:id="rId6514" ref="I4660"/>
    <hyperlink r:id="rId6515" ref="H4661"/>
    <hyperlink r:id="rId6516" ref="H4662"/>
    <hyperlink r:id="rId6517" ref="H4663"/>
    <hyperlink r:id="rId6518" ref="H4664"/>
    <hyperlink r:id="rId6519" ref="H4665"/>
    <hyperlink r:id="rId6520" ref="H4666"/>
    <hyperlink r:id="rId6521" ref="H4667"/>
    <hyperlink r:id="rId6522" ref="H4668"/>
    <hyperlink r:id="rId6523" ref="J4668"/>
    <hyperlink r:id="rId6524" ref="H4669"/>
    <hyperlink r:id="rId6525" ref="I4669"/>
    <hyperlink r:id="rId6526" ref="H4670"/>
    <hyperlink r:id="rId6527" ref="H4671"/>
    <hyperlink r:id="rId6528" ref="H4672"/>
    <hyperlink r:id="rId6529" ref="H4673"/>
    <hyperlink r:id="rId6530" ref="H4674"/>
    <hyperlink r:id="rId6531" ref="I4674"/>
    <hyperlink r:id="rId6532" ref="H4675"/>
    <hyperlink r:id="rId6533" ref="H4676"/>
    <hyperlink r:id="rId6534" ref="H4677"/>
    <hyperlink r:id="rId6535" ref="H4678"/>
    <hyperlink r:id="rId6536" ref="H4679"/>
    <hyperlink r:id="rId6537" ref="H4680"/>
    <hyperlink r:id="rId6538" ref="H4681"/>
    <hyperlink r:id="rId6539" ref="I4681"/>
    <hyperlink r:id="rId6540" ref="H4682"/>
    <hyperlink r:id="rId6541" ref="H4683"/>
    <hyperlink r:id="rId6542" ref="I4683"/>
    <hyperlink r:id="rId6543" ref="H4684"/>
    <hyperlink r:id="rId6544" ref="I4684"/>
    <hyperlink r:id="rId6545" ref="H4685"/>
    <hyperlink r:id="rId6546" ref="H4686"/>
    <hyperlink r:id="rId6547" ref="H4687"/>
    <hyperlink r:id="rId6548" ref="H4688"/>
    <hyperlink r:id="rId6549" ref="H4689"/>
    <hyperlink r:id="rId6550" ref="I4689"/>
    <hyperlink r:id="rId6551" ref="H4690"/>
    <hyperlink r:id="rId6552" ref="H4691"/>
    <hyperlink r:id="rId6553" ref="H4692"/>
    <hyperlink r:id="rId6554" ref="H4693"/>
    <hyperlink r:id="rId6555" ref="H4694"/>
    <hyperlink r:id="rId6556" ref="H4695"/>
    <hyperlink r:id="rId6557" ref="I4695"/>
    <hyperlink r:id="rId6558" ref="J4695"/>
    <hyperlink r:id="rId6559" ref="H4696"/>
    <hyperlink r:id="rId6560" ref="I4696"/>
    <hyperlink r:id="rId6561" ref="H4697"/>
    <hyperlink r:id="rId6562" ref="I4697"/>
    <hyperlink r:id="rId6563" ref="H4698"/>
    <hyperlink r:id="rId6564" ref="H4699"/>
    <hyperlink r:id="rId6565" ref="H4700"/>
    <hyperlink r:id="rId6566" ref="H4701"/>
    <hyperlink r:id="rId6567" ref="H4702"/>
    <hyperlink r:id="rId6568" ref="H4703"/>
    <hyperlink r:id="rId6569" ref="I4703"/>
    <hyperlink r:id="rId6570" ref="H4704"/>
    <hyperlink r:id="rId6571" ref="H4705"/>
    <hyperlink r:id="rId6572" ref="I4705"/>
    <hyperlink r:id="rId6573" ref="H4706"/>
    <hyperlink r:id="rId6574" ref="H4707"/>
    <hyperlink r:id="rId6575" ref="H4708"/>
    <hyperlink r:id="rId6576" ref="H4709"/>
    <hyperlink r:id="rId6577" ref="I4709"/>
    <hyperlink r:id="rId6578" ref="H4710"/>
    <hyperlink r:id="rId6579" ref="H4711"/>
    <hyperlink r:id="rId6580" ref="I4711"/>
    <hyperlink r:id="rId6581" ref="H4712"/>
    <hyperlink r:id="rId6582" ref="H4713"/>
    <hyperlink r:id="rId6583" ref="J4713"/>
    <hyperlink r:id="rId6584" ref="H4714"/>
    <hyperlink r:id="rId6585" ref="H4715"/>
    <hyperlink r:id="rId6586" ref="H4716"/>
    <hyperlink r:id="rId6587" ref="H4717"/>
    <hyperlink r:id="rId6588" ref="I4717"/>
    <hyperlink r:id="rId6589" ref="H4718"/>
    <hyperlink r:id="rId6590" ref="H4719"/>
    <hyperlink r:id="rId6591" ref="I4719"/>
    <hyperlink r:id="rId6592" ref="H4720"/>
    <hyperlink r:id="rId6593" ref="H4721"/>
    <hyperlink r:id="rId6594" ref="I4721"/>
    <hyperlink r:id="rId6595" ref="H4722"/>
    <hyperlink r:id="rId6596" ref="H4723"/>
    <hyperlink r:id="rId6597" ref="I4723"/>
    <hyperlink r:id="rId6598" ref="H4724"/>
    <hyperlink r:id="rId6599" ref="H4725"/>
    <hyperlink r:id="rId6600" ref="H4726"/>
    <hyperlink r:id="rId6601" ref="I4726"/>
    <hyperlink r:id="rId6602" ref="H4727"/>
    <hyperlink r:id="rId6603" ref="I4727"/>
    <hyperlink r:id="rId6604" ref="H4728"/>
    <hyperlink r:id="rId6605" ref="J4728"/>
    <hyperlink r:id="rId6606" ref="H4729"/>
    <hyperlink r:id="rId6607" ref="H4730"/>
    <hyperlink r:id="rId6608" ref="H4731"/>
    <hyperlink r:id="rId6609" ref="J4731"/>
    <hyperlink r:id="rId6610" ref="H4732"/>
    <hyperlink r:id="rId6611" ref="H4733"/>
    <hyperlink r:id="rId6612" ref="H4734"/>
    <hyperlink r:id="rId6613" ref="H4735"/>
    <hyperlink r:id="rId6614" ref="H4736"/>
    <hyperlink r:id="rId6615" ref="H4737"/>
    <hyperlink r:id="rId6616" ref="H4738"/>
    <hyperlink r:id="rId6617" ref="H4739"/>
    <hyperlink r:id="rId6618" ref="H4740"/>
    <hyperlink r:id="rId6619" ref="J4740"/>
    <hyperlink r:id="rId6620" ref="H4741"/>
    <hyperlink r:id="rId6621" ref="H4742"/>
    <hyperlink r:id="rId6622" ref="H4743"/>
    <hyperlink r:id="rId6623" ref="H4744"/>
    <hyperlink r:id="rId6624" ref="H4745"/>
    <hyperlink r:id="rId6625" ref="H4746"/>
    <hyperlink r:id="rId6626" ref="I4746"/>
    <hyperlink r:id="rId6627" ref="H4747"/>
    <hyperlink r:id="rId6628" ref="J4747"/>
    <hyperlink r:id="rId6629" ref="H4748"/>
    <hyperlink r:id="rId6630" ref="I4748"/>
    <hyperlink r:id="rId6631" ref="H4749"/>
    <hyperlink r:id="rId6632" ref="J4749"/>
    <hyperlink r:id="rId6633" ref="H4750"/>
    <hyperlink r:id="rId6634" ref="H4751"/>
    <hyperlink r:id="rId6635" ref="I4751"/>
    <hyperlink r:id="rId6636" ref="H4752"/>
    <hyperlink r:id="rId6637" ref="I4752"/>
    <hyperlink r:id="rId6638" ref="J4752"/>
    <hyperlink r:id="rId6639" ref="H4753"/>
    <hyperlink r:id="rId6640" ref="H4754"/>
    <hyperlink r:id="rId6641" ref="H4755"/>
    <hyperlink r:id="rId6642" ref="H4756"/>
    <hyperlink r:id="rId6643" ref="I4756"/>
    <hyperlink r:id="rId6644" ref="H4757"/>
    <hyperlink r:id="rId6645" ref="I4757"/>
    <hyperlink r:id="rId6646" ref="H4758"/>
    <hyperlink r:id="rId6647" ref="I4758"/>
    <hyperlink r:id="rId6648" ref="H4759"/>
    <hyperlink r:id="rId6649" ref="I4759"/>
    <hyperlink r:id="rId6650" ref="H4760"/>
    <hyperlink r:id="rId6651" ref="I4760"/>
    <hyperlink r:id="rId6652" ref="H4761"/>
    <hyperlink r:id="rId6653" ref="H4762"/>
    <hyperlink r:id="rId6654" ref="I4762"/>
    <hyperlink r:id="rId6655" ref="J4762"/>
    <hyperlink r:id="rId6656" ref="H4763"/>
    <hyperlink r:id="rId6657" ref="H4764"/>
    <hyperlink r:id="rId6658" ref="H4765"/>
    <hyperlink r:id="rId6659" ref="H4766"/>
    <hyperlink r:id="rId6660" ref="I4766"/>
    <hyperlink r:id="rId6661" ref="H4767"/>
    <hyperlink r:id="rId6662" ref="H4768"/>
    <hyperlink r:id="rId6663" ref="H4769"/>
    <hyperlink r:id="rId6664" ref="H4770"/>
    <hyperlink r:id="rId6665" ref="H4771"/>
    <hyperlink r:id="rId6666" ref="I4771"/>
    <hyperlink r:id="rId6667" ref="H4772"/>
    <hyperlink r:id="rId6668" ref="J4772"/>
    <hyperlink r:id="rId6669" ref="H4773"/>
    <hyperlink r:id="rId6670" ref="H4774"/>
    <hyperlink r:id="rId6671" ref="I4774"/>
    <hyperlink r:id="rId6672" ref="H4775"/>
    <hyperlink r:id="rId6673" ref="J4775"/>
    <hyperlink r:id="rId6674" ref="H4776"/>
    <hyperlink r:id="rId6675" ref="I4776"/>
    <hyperlink r:id="rId6676" ref="H4777"/>
    <hyperlink r:id="rId6677" ref="H4778"/>
    <hyperlink r:id="rId6678" ref="I4778"/>
    <hyperlink r:id="rId6679" ref="H4779"/>
    <hyperlink r:id="rId6680" ref="H4780"/>
    <hyperlink r:id="rId6681" ref="H4781"/>
    <hyperlink r:id="rId6682" ref="I4781"/>
    <hyperlink r:id="rId6683" ref="H4782"/>
    <hyperlink r:id="rId6684" ref="I4782"/>
    <hyperlink r:id="rId6685" ref="H4783"/>
    <hyperlink r:id="rId6686" ref="H4784"/>
    <hyperlink r:id="rId6687" ref="H4785"/>
    <hyperlink r:id="rId6688" ref="H4786"/>
    <hyperlink r:id="rId6689" ref="H4787"/>
    <hyperlink r:id="rId6690" ref="H4788"/>
    <hyperlink r:id="rId6691" ref="J4788"/>
    <hyperlink r:id="rId6692" ref="H4789"/>
    <hyperlink r:id="rId6693" ref="J4789"/>
    <hyperlink r:id="rId6694" ref="J4790"/>
    <hyperlink r:id="rId6695" ref="J4791"/>
    <hyperlink r:id="rId6696" ref="J4792"/>
    <hyperlink r:id="rId6697" ref="J4793"/>
    <hyperlink r:id="rId6698" ref="J4794"/>
    <hyperlink r:id="rId6699" ref="J4795"/>
    <hyperlink r:id="rId6700" ref="J4796"/>
    <hyperlink r:id="rId6701" ref="J4797"/>
    <hyperlink r:id="rId6702" ref="J4798"/>
    <hyperlink r:id="rId6703" ref="J4799"/>
    <hyperlink r:id="rId6704" ref="J4800"/>
    <hyperlink r:id="rId6705" ref="J4801"/>
    <hyperlink r:id="rId6706" ref="J4802"/>
    <hyperlink r:id="rId6707" ref="I4803"/>
    <hyperlink r:id="rId6708" ref="I4804"/>
    <hyperlink r:id="rId6709" ref="J4804"/>
    <hyperlink r:id="rId6710" ref="I4805"/>
    <hyperlink r:id="rId6711" ref="J4805"/>
    <hyperlink r:id="rId6712" ref="J4806"/>
    <hyperlink r:id="rId6713" ref="I4807"/>
    <hyperlink r:id="rId6714" ref="J4807"/>
    <hyperlink r:id="rId6715" ref="I4808"/>
    <hyperlink r:id="rId6716" ref="I4809"/>
    <hyperlink r:id="rId6717" ref="I4810"/>
    <hyperlink r:id="rId6718" ref="J4811"/>
    <hyperlink r:id="rId6719" ref="J4812"/>
    <hyperlink r:id="rId6720" ref="J4813"/>
    <hyperlink r:id="rId6721" ref="J4814"/>
    <hyperlink r:id="rId6722" ref="J4815"/>
    <hyperlink r:id="rId6723" ref="J4816"/>
    <hyperlink r:id="rId6724" ref="J4817"/>
    <hyperlink r:id="rId6725" ref="J4818"/>
    <hyperlink r:id="rId6726" ref="J4819"/>
    <hyperlink r:id="rId6727" ref="I4820"/>
    <hyperlink r:id="rId6728" ref="J4820"/>
    <hyperlink r:id="rId6729" ref="J4821"/>
    <hyperlink r:id="rId6730" ref="J4822"/>
    <hyperlink r:id="rId6731" ref="I4823"/>
    <hyperlink r:id="rId6732" ref="J4823"/>
    <hyperlink r:id="rId6733" ref="I4824"/>
    <hyperlink r:id="rId6734" ref="I4825"/>
    <hyperlink r:id="rId6735" ref="J4826"/>
    <hyperlink r:id="rId6736" ref="J4827"/>
    <hyperlink r:id="rId6737" ref="J4828"/>
    <hyperlink r:id="rId6738" ref="J4829"/>
    <hyperlink r:id="rId6739" ref="J4830"/>
    <hyperlink r:id="rId6740" ref="J4831"/>
    <hyperlink r:id="rId6741" ref="J4832"/>
    <hyperlink r:id="rId6742" ref="J4833"/>
    <hyperlink r:id="rId6743" ref="J4834"/>
    <hyperlink r:id="rId6744" ref="I4835"/>
    <hyperlink r:id="rId6745" ref="J4836"/>
    <hyperlink r:id="rId6746" ref="J4837"/>
    <hyperlink r:id="rId6747" ref="J4838"/>
    <hyperlink r:id="rId6748" ref="J4839"/>
    <hyperlink r:id="rId6749" ref="J4840"/>
    <hyperlink r:id="rId6750" ref="J4841"/>
    <hyperlink r:id="rId6751" ref="J4842"/>
    <hyperlink r:id="rId6752" ref="J4843"/>
    <hyperlink r:id="rId6753" ref="J4844"/>
    <hyperlink r:id="rId6754" ref="J4845"/>
    <hyperlink r:id="rId6755" ref="J4846"/>
    <hyperlink r:id="rId6756" ref="J4847"/>
    <hyperlink r:id="rId6757" ref="J4848"/>
    <hyperlink r:id="rId6758" ref="J4849"/>
    <hyperlink r:id="rId6759" ref="J4850"/>
    <hyperlink r:id="rId6760" ref="H4851"/>
    <hyperlink r:id="rId6761" ref="I4851"/>
    <hyperlink r:id="rId6762" ref="J4851"/>
    <hyperlink r:id="rId6763" ref="J4852"/>
    <hyperlink r:id="rId6764" ref="J4853"/>
    <hyperlink r:id="rId6765" ref="J4854"/>
    <hyperlink r:id="rId6766" ref="H4855"/>
    <hyperlink r:id="rId6767" ref="I4855"/>
    <hyperlink r:id="rId6768" ref="H4856"/>
    <hyperlink r:id="rId6769" ref="H4857"/>
    <hyperlink r:id="rId6770" ref="I4857"/>
    <hyperlink r:id="rId6771" ref="H4858"/>
    <hyperlink r:id="rId6772" ref="H4859"/>
    <hyperlink r:id="rId6773" ref="I4859"/>
    <hyperlink r:id="rId6774" ref="H4860"/>
    <hyperlink r:id="rId6775" ref="J4861"/>
    <hyperlink r:id="rId6776" ref="H4862"/>
    <hyperlink r:id="rId6777" ref="I4862"/>
    <hyperlink r:id="rId6778" ref="H4863"/>
    <hyperlink r:id="rId6779" ref="J4864"/>
    <hyperlink r:id="rId6780" ref="H4865"/>
    <hyperlink r:id="rId6781" ref="J4865"/>
    <hyperlink r:id="rId6782" ref="H4866"/>
    <hyperlink r:id="rId6783" ref="H4867"/>
    <hyperlink r:id="rId6784" ref="H4868"/>
    <hyperlink r:id="rId6785" ref="H4869"/>
    <hyperlink r:id="rId6786" ref="H4870"/>
    <hyperlink r:id="rId6787" ref="H4871"/>
    <hyperlink r:id="rId6788" ref="J4872"/>
    <hyperlink r:id="rId6789" ref="J4873"/>
    <hyperlink r:id="rId6790" ref="J4874"/>
    <hyperlink r:id="rId6791" ref="H4875"/>
    <hyperlink r:id="rId6792" ref="J4875"/>
    <hyperlink r:id="rId6793" ref="H4876"/>
    <hyperlink r:id="rId6794" ref="H4877"/>
    <hyperlink r:id="rId6795" ref="H4878"/>
    <hyperlink r:id="rId6796" ref="H4879"/>
    <hyperlink r:id="rId6797" ref="H4880"/>
    <hyperlink r:id="rId6798" ref="H4881"/>
    <hyperlink r:id="rId6799" ref="H4882"/>
    <hyperlink r:id="rId6800" ref="J4882"/>
    <hyperlink r:id="rId6801" ref="H4883"/>
    <hyperlink r:id="rId6802" ref="I4883"/>
    <hyperlink r:id="rId6803" ref="H4884"/>
    <hyperlink r:id="rId6804" ref="H4885"/>
    <hyperlink r:id="rId6805" ref="H4886"/>
    <hyperlink r:id="rId6806" ref="H4887"/>
    <hyperlink r:id="rId6807" ref="H4888"/>
    <hyperlink r:id="rId6808" ref="J4888"/>
    <hyperlink r:id="rId6809" ref="J4889"/>
    <hyperlink r:id="rId6810" ref="H4890"/>
    <hyperlink r:id="rId6811" ref="H4891"/>
    <hyperlink r:id="rId6812" ref="H4892"/>
    <hyperlink r:id="rId6813" ref="I4892"/>
    <hyperlink r:id="rId6814" ref="H4893"/>
    <hyperlink r:id="rId6815" ref="J4893"/>
    <hyperlink r:id="rId6816" ref="H4894"/>
    <hyperlink r:id="rId6817" ref="H4895"/>
    <hyperlink r:id="rId6818" ref="H4896"/>
    <hyperlink r:id="rId6819" ref="H4897"/>
    <hyperlink r:id="rId6820" ref="H4898"/>
    <hyperlink r:id="rId6821" ref="J4898"/>
    <hyperlink r:id="rId6822" ref="H4899"/>
    <hyperlink r:id="rId6823" ref="I4899"/>
    <hyperlink r:id="rId6824" ref="H4900"/>
    <hyperlink r:id="rId6825" ref="H4901"/>
    <hyperlink r:id="rId6826" ref="H4902"/>
    <hyperlink r:id="rId6827" ref="J4903"/>
    <hyperlink r:id="rId6828" ref="H4904"/>
    <hyperlink r:id="rId6829" ref="H4905"/>
    <hyperlink r:id="rId6830" ref="H4906"/>
    <hyperlink r:id="rId6831" ref="J4906"/>
    <hyperlink r:id="rId6832" ref="H4907"/>
    <hyperlink r:id="rId6833" ref="H4908"/>
    <hyperlink r:id="rId6834" ref="I4908"/>
    <hyperlink r:id="rId6835" ref="H4909"/>
    <hyperlink r:id="rId6836" ref="J4910"/>
    <hyperlink r:id="rId6837" ref="H4911"/>
    <hyperlink r:id="rId6838" ref="J4911"/>
    <hyperlink r:id="rId6839" ref="H4912"/>
    <hyperlink r:id="rId6840" ref="I4912"/>
    <hyperlink r:id="rId6841" ref="J4912"/>
    <hyperlink r:id="rId6842" ref="H4913"/>
    <hyperlink r:id="rId6843" ref="J4913"/>
    <hyperlink r:id="rId6844" ref="H4914"/>
    <hyperlink r:id="rId6845" ref="H4915"/>
    <hyperlink r:id="rId6846" ref="H4916"/>
    <hyperlink r:id="rId6847" ref="J4917"/>
    <hyperlink r:id="rId6848" ref="H4918"/>
    <hyperlink r:id="rId6849" ref="H4919"/>
    <hyperlink r:id="rId6850" ref="J4919"/>
    <hyperlink r:id="rId6851" ref="J4920"/>
    <hyperlink r:id="rId6852" ref="H4921"/>
    <hyperlink r:id="rId6853" ref="H4922"/>
    <hyperlink r:id="rId6854" ref="J4923"/>
    <hyperlink r:id="rId6855" ref="H4924"/>
    <hyperlink r:id="rId6856" ref="I4924"/>
    <hyperlink r:id="rId6857" ref="H4925"/>
    <hyperlink r:id="rId6858" ref="H4926"/>
    <hyperlink r:id="rId6859" ref="J4927"/>
    <hyperlink r:id="rId6860" ref="H4928"/>
    <hyperlink r:id="rId6861" ref="H4929"/>
    <hyperlink r:id="rId6862" ref="J4930"/>
    <hyperlink r:id="rId6863" ref="H4931"/>
    <hyperlink r:id="rId6864" ref="J4931"/>
    <hyperlink r:id="rId6865" ref="H4932"/>
    <hyperlink r:id="rId6866" ref="J4933"/>
    <hyperlink r:id="rId6867" ref="J4934"/>
    <hyperlink r:id="rId6868" ref="H4935"/>
    <hyperlink r:id="rId6869" ref="H4936"/>
    <hyperlink r:id="rId6870" ref="H4937"/>
    <hyperlink r:id="rId6871" ref="H4938"/>
    <hyperlink r:id="rId6872" ref="H4939"/>
    <hyperlink r:id="rId6873" ref="H4940"/>
    <hyperlink r:id="rId6874" ref="H4941"/>
    <hyperlink r:id="rId6875" ref="J4941"/>
    <hyperlink r:id="rId6876" ref="H4942"/>
    <hyperlink r:id="rId6877" ref="H4943"/>
    <hyperlink r:id="rId6878" ref="H4944"/>
    <hyperlink r:id="rId6879" ref="H4945"/>
    <hyperlink r:id="rId6880" ref="H4946"/>
    <hyperlink r:id="rId6881" ref="J4946"/>
    <hyperlink r:id="rId6882" ref="H4947"/>
    <hyperlink r:id="rId6883" ref="J4947"/>
    <hyperlink r:id="rId6884" ref="H4948"/>
    <hyperlink r:id="rId6885" ref="H4949"/>
    <hyperlink r:id="rId6886" ref="J4950"/>
    <hyperlink r:id="rId6887" ref="H4951"/>
    <hyperlink r:id="rId6888" ref="H4952"/>
    <hyperlink r:id="rId6889" ref="H4953"/>
    <hyperlink r:id="rId6890" ref="H4954"/>
    <hyperlink r:id="rId6891" ref="I4954"/>
    <hyperlink r:id="rId6892" ref="J4955"/>
    <hyperlink r:id="rId6893" ref="H4956"/>
    <hyperlink r:id="rId6894" ref="H4957"/>
    <hyperlink r:id="rId6895" ref="J4957"/>
    <hyperlink r:id="rId6896" ref="H4958"/>
    <hyperlink r:id="rId6897" ref="H4959"/>
    <hyperlink r:id="rId6898" ref="H4960"/>
    <hyperlink r:id="rId6899" ref="H4961"/>
    <hyperlink r:id="rId6900" ref="H4962"/>
    <hyperlink r:id="rId6901" ref="H4963"/>
    <hyperlink r:id="rId6902" ref="H4964"/>
    <hyperlink r:id="rId6903" ref="H4965"/>
    <hyperlink r:id="rId6904" ref="H4966"/>
    <hyperlink r:id="rId6905" ref="I4966"/>
    <hyperlink r:id="rId6906" ref="J4966"/>
    <hyperlink r:id="rId6907" ref="H4967"/>
    <hyperlink r:id="rId6908" ref="H4968"/>
    <hyperlink r:id="rId6909" ref="H4969"/>
    <hyperlink r:id="rId6910" ref="H4970"/>
    <hyperlink r:id="rId6911" ref="H4971"/>
    <hyperlink r:id="rId6912" ref="H4972"/>
    <hyperlink r:id="rId6913" ref="I4973"/>
    <hyperlink r:id="rId6914" ref="H4974"/>
    <hyperlink r:id="rId6915" ref="H4975"/>
    <hyperlink r:id="rId6916" ref="H4976"/>
    <hyperlink r:id="rId6917" ref="J4977"/>
    <hyperlink r:id="rId6918" ref="H4978"/>
    <hyperlink r:id="rId6919" ref="H4979"/>
    <hyperlink r:id="rId6920" ref="H4980"/>
    <hyperlink r:id="rId6921" ref="H4981"/>
    <hyperlink r:id="rId6922" ref="H4982"/>
    <hyperlink r:id="rId6923" ref="I4982"/>
    <hyperlink r:id="rId6924" ref="H4983"/>
    <hyperlink r:id="rId6925" ref="H4984"/>
    <hyperlink r:id="rId6926" ref="J4985"/>
    <hyperlink r:id="rId6927" ref="J4986"/>
    <hyperlink r:id="rId6928" ref="H4987"/>
    <hyperlink r:id="rId6929" ref="J4987"/>
    <hyperlink r:id="rId6930" ref="H4988"/>
    <hyperlink r:id="rId6931" ref="H4989"/>
    <hyperlink r:id="rId6932" ref="I4989"/>
    <hyperlink r:id="rId6933" ref="H4990"/>
    <hyperlink r:id="rId6934" ref="H4991"/>
    <hyperlink r:id="rId6935" ref="I4991"/>
    <hyperlink r:id="rId6936" ref="H4992"/>
    <hyperlink r:id="rId6937" ref="I4992"/>
    <hyperlink r:id="rId6938" ref="H4993"/>
    <hyperlink r:id="rId6939" ref="J4993"/>
    <hyperlink r:id="rId6940" ref="H4994"/>
    <hyperlink r:id="rId6941" ref="H4995"/>
    <hyperlink r:id="rId6942" ref="H4996"/>
    <hyperlink r:id="rId6943" ref="J4997"/>
    <hyperlink r:id="rId6944" ref="H4998"/>
    <hyperlink r:id="rId6945" ref="H4999"/>
    <hyperlink r:id="rId6946" ref="H5000"/>
    <hyperlink r:id="rId6947" ref="I5000"/>
    <hyperlink r:id="rId6948" ref="J5000"/>
    <hyperlink r:id="rId6949" ref="H5001"/>
    <hyperlink r:id="rId6950" ref="J5002"/>
    <hyperlink r:id="rId6951" ref="H5003"/>
    <hyperlink r:id="rId6952" ref="H5004"/>
    <hyperlink r:id="rId6953" ref="J5005"/>
    <hyperlink r:id="rId6954" ref="H5006"/>
    <hyperlink r:id="rId6955" ref="H5007"/>
    <hyperlink r:id="rId6956" ref="J5008"/>
    <hyperlink r:id="rId6957" ref="L5008"/>
    <hyperlink r:id="rId6958" ref="H5009"/>
    <hyperlink r:id="rId6959" ref="J5009"/>
    <hyperlink r:id="rId6960" ref="H5010"/>
    <hyperlink r:id="rId6961" ref="J5010"/>
    <hyperlink r:id="rId6962" ref="H5011"/>
    <hyperlink r:id="rId6963" ref="H5012"/>
    <hyperlink r:id="rId6964" ref="H5013"/>
    <hyperlink r:id="rId6965" ref="I5013"/>
    <hyperlink r:id="rId6966" ref="H5014"/>
    <hyperlink r:id="rId6967" ref="I5014"/>
    <hyperlink r:id="rId6968" ref="J5014"/>
    <hyperlink r:id="rId6969" ref="H5015"/>
    <hyperlink r:id="rId6970" ref="J5015"/>
    <hyperlink r:id="rId6971" ref="H5016"/>
    <hyperlink r:id="rId6972" ref="I5016"/>
    <hyperlink r:id="rId6973" ref="H5017"/>
    <hyperlink r:id="rId6974" ref="J5017"/>
    <hyperlink r:id="rId6975" ref="H5018"/>
    <hyperlink r:id="rId6976" ref="H5019"/>
    <hyperlink r:id="rId6977" ref="I5019"/>
    <hyperlink r:id="rId6978" ref="H5020"/>
    <hyperlink r:id="rId6979" ref="I5020"/>
    <hyperlink r:id="rId6980" ref="J5020"/>
    <hyperlink r:id="rId6981" ref="H5021"/>
    <hyperlink r:id="rId6982" ref="I5021"/>
    <hyperlink r:id="rId6983" ref="J5021"/>
    <hyperlink r:id="rId6984" ref="H5022"/>
    <hyperlink r:id="rId6985" ref="J5022"/>
    <hyperlink r:id="rId6986" ref="H5023"/>
    <hyperlink r:id="rId6987" ref="I5023"/>
    <hyperlink r:id="rId6988" ref="H5024"/>
    <hyperlink r:id="rId6989" ref="I5024"/>
    <hyperlink r:id="rId6990" ref="H5025"/>
    <hyperlink r:id="rId6991" ref="I5025"/>
    <hyperlink r:id="rId6992" ref="H5026"/>
    <hyperlink r:id="rId6993" ref="H5027"/>
    <hyperlink r:id="rId6994" ref="I5027"/>
    <hyperlink r:id="rId6995" ref="J5027"/>
    <hyperlink r:id="rId6996" ref="H5028"/>
    <hyperlink r:id="rId6997" ref="I5028"/>
    <hyperlink r:id="rId6998" ref="H5029"/>
    <hyperlink r:id="rId6999" ref="J5029"/>
    <hyperlink r:id="rId7000" ref="H5030"/>
    <hyperlink r:id="rId7001" ref="H5031"/>
    <hyperlink r:id="rId7002" ref="J5031"/>
    <hyperlink r:id="rId7003" ref="H5032"/>
    <hyperlink r:id="rId7004" ref="J5032"/>
    <hyperlink r:id="rId7005" ref="H5033"/>
    <hyperlink r:id="rId7006" ref="I5033"/>
    <hyperlink r:id="rId7007" ref="J5033"/>
    <hyperlink r:id="rId7008" ref="H5034"/>
    <hyperlink r:id="rId7009" ref="I5034"/>
    <hyperlink r:id="rId7010" ref="J5034"/>
    <hyperlink r:id="rId7011" ref="H5035"/>
    <hyperlink r:id="rId7012" ref="I5035"/>
    <hyperlink r:id="rId7013" ref="H5036"/>
    <hyperlink r:id="rId7014" ref="H5037"/>
    <hyperlink r:id="rId7015" ref="H5038"/>
    <hyperlink r:id="rId7016" ref="I5038"/>
    <hyperlink r:id="rId7017" ref="J5038"/>
    <hyperlink r:id="rId7018" ref="H5039"/>
    <hyperlink r:id="rId7019" ref="H5040"/>
    <hyperlink r:id="rId7020" ref="I5040"/>
    <hyperlink r:id="rId7021" ref="H5041"/>
    <hyperlink r:id="rId7022" ref="I5041"/>
    <hyperlink r:id="rId7023" ref="J5041"/>
    <hyperlink r:id="rId7024" ref="H5042"/>
    <hyperlink r:id="rId7025" ref="I5042"/>
    <hyperlink r:id="rId7026" ref="H5043"/>
    <hyperlink r:id="rId7027" ref="I5043"/>
    <hyperlink r:id="rId7028" ref="H5044"/>
    <hyperlink r:id="rId7029" ref="I5044"/>
    <hyperlink r:id="rId7030" ref="H5045"/>
    <hyperlink r:id="rId7031" ref="H5046"/>
    <hyperlink r:id="rId7032" ref="H5047"/>
    <hyperlink r:id="rId7033" ref="H5048"/>
    <hyperlink r:id="rId7034" ref="H5049"/>
    <hyperlink r:id="rId7035" ref="H5050"/>
    <hyperlink r:id="rId7036" ref="H5051"/>
    <hyperlink r:id="rId7037" ref="H5052"/>
    <hyperlink r:id="rId7038" ref="I5052"/>
    <hyperlink r:id="rId7039" ref="J5052"/>
    <hyperlink r:id="rId7040" ref="H5053"/>
    <hyperlink r:id="rId7041" ref="I5053"/>
    <hyperlink r:id="rId7042" ref="H5054"/>
    <hyperlink r:id="rId7043" ref="H5055"/>
    <hyperlink r:id="rId7044" ref="H5056"/>
    <hyperlink r:id="rId7045" ref="H5057"/>
    <hyperlink r:id="rId7046" ref="H5058"/>
    <hyperlink r:id="rId7047" ref="H5059"/>
    <hyperlink r:id="rId7048" ref="H5060"/>
    <hyperlink r:id="rId7049" ref="I5060"/>
    <hyperlink r:id="rId7050" ref="H5061"/>
    <hyperlink r:id="rId7051" ref="J5061"/>
    <hyperlink r:id="rId7052" ref="H5062"/>
    <hyperlink r:id="rId7053" ref="H5063"/>
    <hyperlink r:id="rId7054" ref="H5064"/>
    <hyperlink r:id="rId7055" ref="I5064"/>
    <hyperlink r:id="rId7056" ref="H5065"/>
    <hyperlink r:id="rId7057" ref="H5066"/>
    <hyperlink r:id="rId7058" ref="H5067"/>
    <hyperlink r:id="rId7059" ref="H5068"/>
    <hyperlink r:id="rId7060" ref="I5068"/>
    <hyperlink r:id="rId7061" ref="H5069"/>
    <hyperlink r:id="rId7062" ref="H5070"/>
    <hyperlink r:id="rId7063" ref="I5070"/>
    <hyperlink r:id="rId7064" ref="H5071"/>
    <hyperlink r:id="rId7065" ref="I5071"/>
    <hyperlink r:id="rId7066" ref="H5072"/>
    <hyperlink r:id="rId7067" ref="H5073"/>
    <hyperlink r:id="rId7068" ref="H5074"/>
    <hyperlink r:id="rId7069" ref="J5074"/>
    <hyperlink r:id="rId7070" ref="J5075"/>
    <hyperlink r:id="rId7071" ref="H5076"/>
    <hyperlink r:id="rId7072" ref="I5076"/>
    <hyperlink r:id="rId7073" ref="J5076"/>
    <hyperlink r:id="rId7074" ref="J5077"/>
    <hyperlink r:id="rId7075" ref="H5078"/>
    <hyperlink r:id="rId7076" ref="I5078"/>
    <hyperlink r:id="rId7077" ref="H5079"/>
    <hyperlink r:id="rId7078" ref="I5079"/>
    <hyperlink r:id="rId7079" ref="J5079"/>
    <hyperlink r:id="rId7080" ref="H5080"/>
    <hyperlink r:id="rId7081" ref="I5080"/>
    <hyperlink r:id="rId7082" ref="H5081"/>
    <hyperlink r:id="rId7083" ref="I5081"/>
    <hyperlink r:id="rId7084" ref="H5082"/>
    <hyperlink r:id="rId7085" ref="H5083"/>
    <hyperlink r:id="rId7086" ref="H5084"/>
    <hyperlink r:id="rId7087" ref="H5085"/>
    <hyperlink r:id="rId7088" ref="I5085"/>
    <hyperlink r:id="rId7089" ref="J5085"/>
    <hyperlink r:id="rId7090" ref="H5086"/>
    <hyperlink r:id="rId7091" ref="H5087"/>
    <hyperlink r:id="rId7092" ref="I5087"/>
    <hyperlink r:id="rId7093" ref="H5088"/>
    <hyperlink r:id="rId7094" ref="I5088"/>
    <hyperlink r:id="rId7095" ref="H5089"/>
    <hyperlink r:id="rId7096" ref="H5090"/>
    <hyperlink r:id="rId7097" ref="J5090"/>
    <hyperlink r:id="rId7098" ref="J5091"/>
    <hyperlink r:id="rId7099" ref="J5092"/>
    <hyperlink r:id="rId7100" ref="H5093"/>
    <hyperlink r:id="rId7101" ref="H5094"/>
    <hyperlink r:id="rId7102" ref="I5094"/>
    <hyperlink r:id="rId7103" ref="H5095"/>
    <hyperlink r:id="rId7104" ref="H5096"/>
    <hyperlink r:id="rId7105" ref="H5097"/>
    <hyperlink r:id="rId7106" ref="H5098"/>
    <hyperlink r:id="rId7107" ref="I5098"/>
    <hyperlink r:id="rId7108" ref="H5099"/>
    <hyperlink r:id="rId7109" ref="H5100"/>
    <hyperlink r:id="rId7110" ref="H5101"/>
    <hyperlink r:id="rId7111" ref="H5102"/>
    <hyperlink r:id="rId7112" ref="H5103"/>
    <hyperlink r:id="rId7113" ref="H5104"/>
    <hyperlink r:id="rId7114" ref="I5104"/>
    <hyperlink r:id="rId7115" ref="H5105"/>
    <hyperlink r:id="rId7116" ref="I5105"/>
    <hyperlink r:id="rId7117" ref="H5106"/>
    <hyperlink r:id="rId7118" ref="J5106"/>
    <hyperlink r:id="rId7119" ref="H5107"/>
    <hyperlink r:id="rId7120" ref="H5108"/>
    <hyperlink r:id="rId7121" ref="H5109"/>
    <hyperlink r:id="rId7122" ref="H5110"/>
    <hyperlink r:id="rId7123" ref="I5110"/>
    <hyperlink r:id="rId7124" ref="H5111"/>
    <hyperlink r:id="rId7125" ref="I5111"/>
    <hyperlink r:id="rId7126" ref="J5112"/>
    <hyperlink r:id="rId7127" ref="H5113"/>
    <hyperlink r:id="rId7128" ref="H5114"/>
    <hyperlink r:id="rId7129" ref="H5115"/>
    <hyperlink r:id="rId7130" ref="I5115"/>
    <hyperlink r:id="rId7131" ref="H5116"/>
    <hyperlink r:id="rId7132" ref="H5117"/>
    <hyperlink r:id="rId7133" ref="I5117"/>
    <hyperlink r:id="rId7134" ref="H5118"/>
    <hyperlink r:id="rId7135" ref="H5119"/>
    <hyperlink r:id="rId7136" ref="H5120"/>
    <hyperlink r:id="rId7137" ref="I5120"/>
    <hyperlink r:id="rId7138" ref="H5121"/>
    <hyperlink r:id="rId7139" ref="H5122"/>
    <hyperlink r:id="rId7140" ref="I5122"/>
    <hyperlink r:id="rId7141" ref="H5123"/>
    <hyperlink r:id="rId7142" ref="I5123"/>
    <hyperlink r:id="rId7143" ref="H5124"/>
    <hyperlink r:id="rId7144" ref="I5124"/>
    <hyperlink r:id="rId7145" ref="J5124"/>
    <hyperlink r:id="rId7146" ref="H5125"/>
    <hyperlink r:id="rId7147" ref="I5125"/>
    <hyperlink r:id="rId7148" ref="H5126"/>
    <hyperlink r:id="rId7149" ref="J5126"/>
    <hyperlink r:id="rId7150" ref="H5127"/>
    <hyperlink r:id="rId7151" ref="H5128"/>
    <hyperlink r:id="rId7152" ref="H5129"/>
    <hyperlink r:id="rId7153" ref="I5129"/>
    <hyperlink r:id="rId7154" ref="H5130"/>
    <hyperlink r:id="rId7155" ref="H5131"/>
    <hyperlink r:id="rId7156" ref="H5132"/>
    <hyperlink r:id="rId7157" ref="H5133"/>
    <hyperlink r:id="rId7158" ref="H5134"/>
    <hyperlink r:id="rId7159" ref="I5134"/>
    <hyperlink r:id="rId7160" ref="H5135"/>
    <hyperlink r:id="rId7161" ref="H5136"/>
    <hyperlink r:id="rId7162" ref="H5137"/>
    <hyperlink r:id="rId7163" ref="J5137"/>
    <hyperlink r:id="rId7164" ref="H5138"/>
    <hyperlink r:id="rId7165" ref="I5138"/>
    <hyperlink r:id="rId7166" ref="H5139"/>
    <hyperlink r:id="rId7167" ref="H5140"/>
    <hyperlink r:id="rId7168" ref="I5140"/>
    <hyperlink r:id="rId7169" ref="H5141"/>
    <hyperlink r:id="rId7170" ref="I5141"/>
    <hyperlink r:id="rId7171" ref="H5142"/>
    <hyperlink r:id="rId7172" ref="I5142"/>
    <hyperlink r:id="rId7173" ref="H5143"/>
    <hyperlink r:id="rId7174" ref="H5144"/>
    <hyperlink r:id="rId7175" ref="H5145"/>
    <hyperlink r:id="rId7176" ref="H5146"/>
    <hyperlink r:id="rId7177" ref="I5146"/>
    <hyperlink r:id="rId7178" ref="H5147"/>
    <hyperlink r:id="rId7179" ref="J5147"/>
    <hyperlink r:id="rId7180" ref="H5148"/>
    <hyperlink r:id="rId7181" ref="I5148"/>
    <hyperlink r:id="rId7182" ref="H5149"/>
    <hyperlink r:id="rId7183" ref="H5150"/>
    <hyperlink r:id="rId7184" ref="J5150"/>
    <hyperlink r:id="rId7185" ref="H5151"/>
    <hyperlink r:id="rId7186" ref="I5151"/>
    <hyperlink r:id="rId7187" ref="H5152"/>
    <hyperlink r:id="rId7188" ref="I5152"/>
    <hyperlink r:id="rId7189" ref="H5153"/>
    <hyperlink r:id="rId7190" ref="H5154"/>
    <hyperlink r:id="rId7191" ref="I5154"/>
    <hyperlink r:id="rId7192" ref="J5154"/>
    <hyperlink r:id="rId7193" ref="H5155"/>
    <hyperlink r:id="rId7194" ref="H5156"/>
    <hyperlink r:id="rId7195" ref="I5156"/>
    <hyperlink r:id="rId7196" ref="H5157"/>
    <hyperlink r:id="rId7197" ref="H5158"/>
    <hyperlink r:id="rId7198" ref="H5159"/>
    <hyperlink r:id="rId7199" ref="J5159"/>
    <hyperlink r:id="rId7200" ref="H5160"/>
    <hyperlink r:id="rId7201" ref="I5160"/>
    <hyperlink r:id="rId7202" ref="H5161"/>
    <hyperlink r:id="rId7203" ref="H5162"/>
    <hyperlink r:id="rId7204" ref="H5163"/>
    <hyperlink r:id="rId7205" ref="J5163"/>
    <hyperlink r:id="rId7206" ref="H5164"/>
    <hyperlink r:id="rId7207" ref="I5164"/>
    <hyperlink r:id="rId7208" ref="J5164"/>
    <hyperlink r:id="rId7209" ref="H5165"/>
    <hyperlink r:id="rId7210" ref="H5166"/>
    <hyperlink r:id="rId7211" ref="H5167"/>
    <hyperlink r:id="rId7212" ref="H5168"/>
    <hyperlink r:id="rId7213" ref="H5169"/>
    <hyperlink r:id="rId7214" ref="I5169"/>
    <hyperlink r:id="rId7215" ref="J5169"/>
    <hyperlink r:id="rId7216" ref="H5170"/>
    <hyperlink r:id="rId7217" ref="I5170"/>
    <hyperlink r:id="rId7218" ref="H5171"/>
    <hyperlink r:id="rId7219" ref="H5172"/>
    <hyperlink r:id="rId7220" ref="H5173"/>
    <hyperlink r:id="rId7221" ref="H5174"/>
    <hyperlink r:id="rId7222" ref="H5175"/>
    <hyperlink r:id="rId7223" ref="H5176"/>
    <hyperlink r:id="rId7224" ref="I5176"/>
    <hyperlink r:id="rId7225" ref="H5177"/>
    <hyperlink r:id="rId7226" ref="I5177"/>
    <hyperlink r:id="rId7227" ref="H5178"/>
    <hyperlink r:id="rId7228" ref="H5179"/>
    <hyperlink r:id="rId7229" ref="H5180"/>
    <hyperlink r:id="rId7230" ref="H5181"/>
    <hyperlink r:id="rId7231" ref="J5181"/>
    <hyperlink r:id="rId7232" ref="H5182"/>
    <hyperlink r:id="rId7233" ref="H5183"/>
    <hyperlink r:id="rId7234" ref="H5184"/>
    <hyperlink r:id="rId7235" ref="H5185"/>
    <hyperlink r:id="rId7236" ref="I5185"/>
    <hyperlink r:id="rId7237" ref="H5186"/>
    <hyperlink r:id="rId7238" ref="H5187"/>
    <hyperlink r:id="rId7239" ref="I5187"/>
    <hyperlink r:id="rId7240" ref="H5188"/>
    <hyperlink r:id="rId7241" ref="H5189"/>
    <hyperlink r:id="rId7242" ref="H5190"/>
    <hyperlink r:id="rId7243" ref="H5191"/>
    <hyperlink r:id="rId7244" ref="J5192"/>
    <hyperlink r:id="rId7245" ref="H5193"/>
    <hyperlink r:id="rId7246" ref="I5193"/>
    <hyperlink r:id="rId7247" ref="J5193"/>
    <hyperlink r:id="rId7248" ref="H5194"/>
    <hyperlink r:id="rId7249" ref="H5195"/>
    <hyperlink r:id="rId7250" ref="I5195"/>
    <hyperlink r:id="rId7251" ref="H5196"/>
    <hyperlink r:id="rId7252" ref="J5197"/>
    <hyperlink r:id="rId7253" ref="H5198"/>
    <hyperlink r:id="rId7254" ref="H5199"/>
    <hyperlink r:id="rId7255" ref="H5200"/>
    <hyperlink r:id="rId7256" ref="J5201"/>
    <hyperlink r:id="rId7257" ref="H5202"/>
    <hyperlink r:id="rId7258" ref="J5203"/>
    <hyperlink r:id="rId7259" ref="H5204"/>
    <hyperlink r:id="rId7260" ref="J5205"/>
    <hyperlink r:id="rId7261" ref="J5206"/>
    <hyperlink r:id="rId7262" ref="J5207"/>
    <hyperlink r:id="rId7263" ref="J5208"/>
    <hyperlink r:id="rId7264" ref="H5209"/>
    <hyperlink r:id="rId7265" ref="I5209"/>
    <hyperlink r:id="rId7266" ref="J5209"/>
    <hyperlink r:id="rId7267" ref="J5210"/>
    <hyperlink r:id="rId7268" ref="J5211"/>
    <hyperlink r:id="rId7269" ref="H5212"/>
    <hyperlink r:id="rId7270" ref="I5212"/>
    <hyperlink r:id="rId7271" ref="J5213"/>
    <hyperlink r:id="rId7272" ref="H5214"/>
    <hyperlink r:id="rId7273" ref="I5214"/>
    <hyperlink r:id="rId7274" ref="H5215"/>
    <hyperlink r:id="rId7275" ref="H5216"/>
    <hyperlink r:id="rId7276" ref="J5216"/>
    <hyperlink r:id="rId7277" ref="I5217"/>
    <hyperlink r:id="rId7278" ref="J5218"/>
    <hyperlink r:id="rId7279" ref="H5219"/>
    <hyperlink r:id="rId7280" ref="I5219"/>
    <hyperlink r:id="rId7281" ref="I5220"/>
    <hyperlink r:id="rId7282" ref="H5221"/>
    <hyperlink r:id="rId7283" ref="I5222"/>
    <hyperlink r:id="rId7284" ref="H5223"/>
    <hyperlink r:id="rId7285" ref="J5224"/>
    <hyperlink r:id="rId7286" ref="I5225"/>
    <hyperlink r:id="rId7287" ref="H5226"/>
    <hyperlink r:id="rId7288" ref="I5226"/>
    <hyperlink r:id="rId7289" ref="J5226"/>
    <hyperlink r:id="rId7290" ref="J5227"/>
    <hyperlink r:id="rId7291" ref="J5228"/>
    <hyperlink r:id="rId7292" ref="J5229"/>
    <hyperlink r:id="rId7293" ref="J5230"/>
    <hyperlink r:id="rId7294" ref="H5231"/>
    <hyperlink r:id="rId7295" ref="J5231"/>
    <hyperlink r:id="rId7296" ref="J5232"/>
    <hyperlink r:id="rId7297" ref="H5233"/>
    <hyperlink r:id="rId7298" ref="J5234"/>
    <hyperlink r:id="rId7299" ref="J5235"/>
    <hyperlink r:id="rId7300" ref="J5236"/>
    <hyperlink r:id="rId7301" ref="H5237"/>
    <hyperlink r:id="rId7302" ref="J5238"/>
    <hyperlink r:id="rId7303" ref="H5239"/>
    <hyperlink r:id="rId7304" ref="J5239"/>
    <hyperlink r:id="rId7305" ref="H5240"/>
    <hyperlink r:id="rId7306" ref="J5240"/>
    <hyperlink r:id="rId7307" ref="H5241"/>
    <hyperlink r:id="rId7308" ref="I5241"/>
    <hyperlink r:id="rId7309" ref="J5242"/>
    <hyperlink r:id="rId7310" ref="H5243"/>
    <hyperlink r:id="rId7311" ref="I5243"/>
    <hyperlink r:id="rId7312" ref="J5244"/>
    <hyperlink r:id="rId7313" ref="J5245"/>
    <hyperlink r:id="rId7314" ref="J5246"/>
    <hyperlink r:id="rId7315" ref="J5247"/>
    <hyperlink r:id="rId7316" ref="H5248"/>
    <hyperlink r:id="rId7317" ref="H5249"/>
    <hyperlink r:id="rId7318" ref="H5250"/>
    <hyperlink r:id="rId7319" ref="H5251"/>
    <hyperlink r:id="rId7320" ref="H5252"/>
    <hyperlink r:id="rId7321" ref="H5253"/>
    <hyperlink r:id="rId7322" ref="J5254"/>
    <hyperlink r:id="rId7323" ref="H5255"/>
    <hyperlink r:id="rId7324" ref="H5256"/>
    <hyperlink r:id="rId7325" ref="J5257"/>
    <hyperlink r:id="rId7326" ref="H5258"/>
    <hyperlink r:id="rId7327" ref="H5259"/>
    <hyperlink r:id="rId7328" ref="H5260"/>
    <hyperlink r:id="rId7329" ref="H5261"/>
    <hyperlink r:id="rId7330" ref="H5262"/>
    <hyperlink r:id="rId7331" ref="I5262"/>
    <hyperlink r:id="rId7332" ref="J5263"/>
    <hyperlink r:id="rId7333" ref="H5264"/>
    <hyperlink r:id="rId7334" ref="J5265"/>
    <hyperlink r:id="rId7335" ref="H5266"/>
    <hyperlink r:id="rId7336" ref="H5267"/>
    <hyperlink r:id="rId7337" ref="J5268"/>
    <hyperlink r:id="rId7338" ref="H5269"/>
    <hyperlink r:id="rId7339" ref="H5270"/>
    <hyperlink r:id="rId7340" ref="H5271"/>
    <hyperlink r:id="rId7341" ref="I5271"/>
    <hyperlink r:id="rId7342" ref="J5272"/>
    <hyperlink r:id="rId7343" ref="H5273"/>
    <hyperlink r:id="rId7344" ref="H5274"/>
    <hyperlink r:id="rId7345" ref="J5275"/>
    <hyperlink r:id="rId7346" ref="H5276"/>
    <hyperlink r:id="rId7347" ref="H5277"/>
    <hyperlink r:id="rId7348" ref="H5278"/>
    <hyperlink r:id="rId7349" ref="J5278"/>
    <hyperlink r:id="rId7350" ref="H5279"/>
    <hyperlink r:id="rId7351" ref="H5280"/>
    <hyperlink r:id="rId7352" ref="I5280"/>
    <hyperlink r:id="rId7353" ref="H5281"/>
    <hyperlink r:id="rId7354" ref="I5281"/>
    <hyperlink r:id="rId7355" ref="I5282"/>
    <hyperlink r:id="rId7356" ref="H5283"/>
    <hyperlink r:id="rId7357" ref="H5284"/>
    <hyperlink r:id="rId7358" ref="I5284"/>
    <hyperlink r:id="rId7359" ref="H5285"/>
    <hyperlink r:id="rId7360" ref="L5285"/>
    <hyperlink r:id="rId7361" ref="H5286"/>
    <hyperlink r:id="rId7362" ref="I5286"/>
    <hyperlink r:id="rId7363" ref="I5287"/>
    <hyperlink r:id="rId7364" ref="H5288"/>
    <hyperlink r:id="rId7365" ref="H5289"/>
    <hyperlink r:id="rId7366" ref="J5289"/>
    <hyperlink r:id="rId7367" ref="J5290"/>
    <hyperlink r:id="rId7368" ref="H5291"/>
    <hyperlink r:id="rId7369" ref="I5291"/>
    <hyperlink r:id="rId7370" ref="J5292"/>
    <hyperlink r:id="rId7371" ref="H5293"/>
    <hyperlink r:id="rId7372" ref="I5293"/>
    <hyperlink r:id="rId7373" ref="J5293"/>
    <hyperlink r:id="rId7374" ref="J5294"/>
    <hyperlink r:id="rId7375" ref="H5295"/>
    <hyperlink r:id="rId7376" ref="J5296"/>
    <hyperlink r:id="rId7377" ref="J5297"/>
    <hyperlink r:id="rId7378" ref="H5298"/>
    <hyperlink r:id="rId7379" ref="I5298"/>
    <hyperlink r:id="rId7380" ref="H5299"/>
    <hyperlink r:id="rId7381" ref="I5299"/>
    <hyperlink r:id="rId7382" ref="H5300"/>
    <hyperlink r:id="rId7383" ref="I5300"/>
    <hyperlink r:id="rId7384" ref="J5300"/>
    <hyperlink r:id="rId7385" ref="H5301"/>
    <hyperlink r:id="rId7386" ref="I5301"/>
    <hyperlink r:id="rId7387" ref="H5302"/>
    <hyperlink r:id="rId7388" ref="H5303"/>
    <hyperlink r:id="rId7389" ref="I5303"/>
    <hyperlink r:id="rId7390" ref="H5304"/>
    <hyperlink r:id="rId7391" ref="J5304"/>
    <hyperlink r:id="rId7392" ref="H5305"/>
    <hyperlink r:id="rId7393" ref="H5306"/>
    <hyperlink r:id="rId7394" ref="I5306"/>
    <hyperlink r:id="rId7395" ref="H5307"/>
    <hyperlink r:id="rId7396" ref="I5307"/>
    <hyperlink r:id="rId7397" ref="H5308"/>
    <hyperlink r:id="rId7398" ref="I5309"/>
    <hyperlink r:id="rId7399" ref="J5310"/>
    <hyperlink r:id="rId7400" ref="H5311"/>
    <hyperlink r:id="rId7401" ref="I5311"/>
    <hyperlink r:id="rId7402" ref="J5311"/>
    <hyperlink r:id="rId7403" ref="H5312"/>
    <hyperlink r:id="rId7404" ref="H5313"/>
    <hyperlink r:id="rId7405" ref="H5314"/>
    <hyperlink r:id="rId7406" ref="J5315"/>
    <hyperlink r:id="rId7407" ref="J5316"/>
    <hyperlink r:id="rId7408" ref="H5317"/>
    <hyperlink r:id="rId7409" ref="I5317"/>
    <hyperlink r:id="rId7410" ref="H5318"/>
    <hyperlink r:id="rId7411" ref="H5319"/>
    <hyperlink r:id="rId7412" ref="H5320"/>
    <hyperlink r:id="rId7413" ref="J5321"/>
    <hyperlink r:id="rId7414" ref="H5322"/>
    <hyperlink r:id="rId7415" ref="I5322"/>
    <hyperlink r:id="rId7416" ref="H5323"/>
    <hyperlink r:id="rId7417" ref="H5324"/>
    <hyperlink r:id="rId7418" ref="I5324"/>
    <hyperlink r:id="rId7419" ref="H5325"/>
    <hyperlink r:id="rId7420" ref="L5325"/>
    <hyperlink r:id="rId7421" ref="J5326"/>
    <hyperlink r:id="rId7422" ref="H5327"/>
    <hyperlink r:id="rId7423" ref="H5328"/>
    <hyperlink r:id="rId7424" ref="H5329"/>
    <hyperlink r:id="rId7425" ref="I5329"/>
    <hyperlink r:id="rId7426" ref="H5330"/>
    <hyperlink r:id="rId7427" ref="H5331"/>
    <hyperlink r:id="rId7428" ref="H5332"/>
    <hyperlink r:id="rId7429" ref="H5333"/>
    <hyperlink r:id="rId7430" ref="J5334"/>
    <hyperlink r:id="rId7431" ref="H5335"/>
    <hyperlink r:id="rId7432" ref="J5336"/>
    <hyperlink r:id="rId7433" ref="H5337"/>
    <hyperlink r:id="rId7434" ref="H5338"/>
    <hyperlink r:id="rId7435" ref="H5339"/>
    <hyperlink r:id="rId7436" ref="I5339"/>
    <hyperlink r:id="rId7437" ref="H5340"/>
    <hyperlink r:id="rId7438" ref="H5341"/>
    <hyperlink r:id="rId7439" ref="H5342"/>
    <hyperlink r:id="rId7440" ref="I5342"/>
    <hyperlink r:id="rId7441" ref="H5343"/>
    <hyperlink r:id="rId7442" ref="H5344"/>
    <hyperlink r:id="rId7443" ref="J5344"/>
    <hyperlink r:id="rId7444" ref="H5345"/>
    <hyperlink r:id="rId7445" ref="J5346"/>
    <hyperlink r:id="rId7446" ref="H5347"/>
    <hyperlink r:id="rId7447" ref="H5348"/>
    <hyperlink r:id="rId7448" ref="H5349"/>
    <hyperlink r:id="rId7449" ref="H5350"/>
    <hyperlink r:id="rId7450" ref="H5351"/>
    <hyperlink r:id="rId7451" ref="H5352"/>
    <hyperlink r:id="rId7452" ref="H5353"/>
    <hyperlink r:id="rId7453" ref="I5353"/>
    <hyperlink r:id="rId7454" ref="H5354"/>
    <hyperlink r:id="rId7455" ref="H5355"/>
    <hyperlink r:id="rId7456" ref="J5356"/>
    <hyperlink r:id="rId7457" ref="H5357"/>
    <hyperlink r:id="rId7458" ref="H5358"/>
    <hyperlink r:id="rId7459" ref="J5359"/>
    <hyperlink r:id="rId7460" ref="H5360"/>
    <hyperlink r:id="rId7461" ref="H5361"/>
    <hyperlink r:id="rId7462" ref="H5362"/>
    <hyperlink r:id="rId7463" ref="H5363"/>
    <hyperlink r:id="rId7464" ref="H5364"/>
    <hyperlink r:id="rId7465" ref="H5365"/>
    <hyperlink r:id="rId7466" ref="J5366"/>
    <hyperlink r:id="rId7467" ref="J5367"/>
    <hyperlink r:id="rId7468" ref="H5368"/>
    <hyperlink r:id="rId7469" ref="H5369"/>
    <hyperlink r:id="rId7470" ref="H5370"/>
    <hyperlink r:id="rId7471" ref="H5371"/>
    <hyperlink r:id="rId7472" ref="H5372"/>
    <hyperlink r:id="rId7473" ref="H5373"/>
    <hyperlink r:id="rId7474" ref="H5374"/>
    <hyperlink r:id="rId7475" ref="H5375"/>
    <hyperlink r:id="rId7476" ref="J5375"/>
    <hyperlink r:id="rId7477" ref="H5376"/>
    <hyperlink r:id="rId7478" ref="I5376"/>
    <hyperlink r:id="rId7479" ref="H5377"/>
    <hyperlink r:id="rId7480" ref="J5377"/>
    <hyperlink r:id="rId7481" ref="H5378"/>
    <hyperlink r:id="rId7482" ref="H5379"/>
    <hyperlink r:id="rId7483" ref="J5380"/>
    <hyperlink r:id="rId7484" ref="H5381"/>
    <hyperlink r:id="rId7485" ref="I5381"/>
    <hyperlink r:id="rId7486" ref="H5382"/>
    <hyperlink r:id="rId7487" ref="I5382"/>
    <hyperlink r:id="rId7488" ref="H5383"/>
    <hyperlink r:id="rId7489" ref="H5384"/>
    <hyperlink r:id="rId7490" ref="I5384"/>
    <hyperlink r:id="rId7491" ref="J5384"/>
    <hyperlink r:id="rId7492" ref="H5385"/>
    <hyperlink r:id="rId7493" ref="H5386"/>
    <hyperlink r:id="rId7494" ref="J5386"/>
    <hyperlink r:id="rId7495" ref="H5387"/>
    <hyperlink r:id="rId7496" ref="H5388"/>
    <hyperlink r:id="rId7497" ref="H5389"/>
    <hyperlink r:id="rId7498" ref="H5390"/>
    <hyperlink r:id="rId7499" ref="J5390"/>
    <hyperlink r:id="rId7500" ref="J5391"/>
    <hyperlink r:id="rId7501" ref="H5392"/>
    <hyperlink r:id="rId7502" ref="H5393"/>
    <hyperlink r:id="rId7503" ref="H5394"/>
    <hyperlink r:id="rId7504" ref="H5395"/>
    <hyperlink r:id="rId7505" ref="J5396"/>
    <hyperlink r:id="rId7506" ref="H5397"/>
    <hyperlink r:id="rId7507" ref="H5398"/>
    <hyperlink r:id="rId7508" ref="H5399"/>
    <hyperlink r:id="rId7509" ref="I5399"/>
    <hyperlink r:id="rId7510" ref="J5399"/>
    <hyperlink r:id="rId7511" ref="H5400"/>
    <hyperlink r:id="rId7512" ref="J5401"/>
    <hyperlink r:id="rId7513" ref="H5402"/>
    <hyperlink r:id="rId7514" ref="H5403"/>
    <hyperlink r:id="rId7515" ref="H5405"/>
    <hyperlink r:id="rId7516" ref="I5405"/>
    <hyperlink r:id="rId7517" ref="H5406"/>
    <hyperlink r:id="rId7518" ref="H5407"/>
    <hyperlink r:id="rId7519" ref="J5407"/>
    <hyperlink r:id="rId7520" ref="H5408"/>
    <hyperlink r:id="rId7521" ref="H5409"/>
    <hyperlink r:id="rId7522" ref="H5410"/>
    <hyperlink r:id="rId7523" ref="I5410"/>
    <hyperlink r:id="rId7524" ref="H5411"/>
    <hyperlink r:id="rId7525" ref="H5412"/>
    <hyperlink r:id="rId7526" ref="I5412"/>
    <hyperlink r:id="rId7527" ref="J5412"/>
    <hyperlink r:id="rId7528" ref="H5413"/>
    <hyperlink r:id="rId7529" ref="H5414"/>
    <hyperlink r:id="rId7530" ref="I5414"/>
    <hyperlink r:id="rId7531" ref="H5415"/>
    <hyperlink r:id="rId7532" ref="H5416"/>
    <hyperlink r:id="rId7533" ref="H5417"/>
    <hyperlink r:id="rId7534" ref="J5417"/>
    <hyperlink r:id="rId7535" ref="H5418"/>
    <hyperlink r:id="rId7536" ref="H5419"/>
    <hyperlink r:id="rId7537" ref="I5419"/>
    <hyperlink r:id="rId7538" ref="H5420"/>
    <hyperlink r:id="rId7539" ref="H5421"/>
    <hyperlink r:id="rId7540" ref="J5422"/>
    <hyperlink r:id="rId7541" ref="H5423"/>
    <hyperlink r:id="rId7542" ref="H5424"/>
    <hyperlink r:id="rId7543" ref="I5424"/>
    <hyperlink r:id="rId7544" ref="H5425"/>
    <hyperlink r:id="rId7545" ref="J5425"/>
    <hyperlink r:id="rId7546" ref="J5426"/>
    <hyperlink r:id="rId7547" ref="H5427"/>
    <hyperlink r:id="rId7548" ref="H5428"/>
    <hyperlink r:id="rId7549" ref="J5429"/>
    <hyperlink r:id="rId7550" ref="H5430"/>
    <hyperlink r:id="rId7551" ref="J5431"/>
    <hyperlink r:id="rId7552" ref="H5432"/>
    <hyperlink r:id="rId7553" ref="H5433"/>
    <hyperlink r:id="rId7554" ref="I5433"/>
    <hyperlink r:id="rId7555" ref="J5433"/>
    <hyperlink r:id="rId7556" ref="J5434"/>
    <hyperlink r:id="rId7557" ref="H5435"/>
    <hyperlink r:id="rId7558" ref="H5436"/>
    <hyperlink r:id="rId7559" ref="J5436"/>
    <hyperlink r:id="rId7560" ref="H5437"/>
    <hyperlink r:id="rId7561" ref="I5437"/>
    <hyperlink r:id="rId7562" ref="H5438"/>
    <hyperlink r:id="rId7563" ref="H5439"/>
    <hyperlink r:id="rId7564" ref="H5440"/>
    <hyperlink r:id="rId7565" ref="I5441"/>
    <hyperlink r:id="rId7566" ref="J5442"/>
    <hyperlink r:id="rId7567" ref="H5443"/>
    <hyperlink r:id="rId7568" ref="I5443"/>
    <hyperlink r:id="rId7569" ref="H5444"/>
    <hyperlink r:id="rId7570" ref="J5445"/>
    <hyperlink r:id="rId7571" ref="H5446"/>
    <hyperlink r:id="rId7572" ref="I5446"/>
    <hyperlink r:id="rId7573" ref="H5447"/>
    <hyperlink r:id="rId7574" ref="J5447"/>
    <hyperlink r:id="rId7575" ref="H5448"/>
    <hyperlink r:id="rId7576" ref="H5449"/>
    <hyperlink r:id="rId7577" ref="H5450"/>
    <hyperlink r:id="rId7578" ref="H5451"/>
    <hyperlink r:id="rId7579" ref="J5452"/>
    <hyperlink r:id="rId7580" ref="H5453"/>
    <hyperlink r:id="rId7581" ref="H5454"/>
    <hyperlink r:id="rId7582" ref="H5455"/>
    <hyperlink r:id="rId7583" ref="H5456"/>
    <hyperlink r:id="rId7584" ref="H5457"/>
    <hyperlink r:id="rId7585" ref="J5458"/>
    <hyperlink r:id="rId7586" ref="H5459"/>
    <hyperlink r:id="rId7587" ref="H5460"/>
    <hyperlink r:id="rId7588" ref="I5460"/>
    <hyperlink r:id="rId7589" ref="H5461"/>
    <hyperlink r:id="rId7590" ref="J5462"/>
    <hyperlink r:id="rId7591" ref="H5463"/>
    <hyperlink r:id="rId7592" ref="H5464"/>
    <hyperlink r:id="rId7593" ref="H5465"/>
    <hyperlink r:id="rId7594" ref="J5466"/>
    <hyperlink r:id="rId7595" ref="H5467"/>
    <hyperlink r:id="rId7596" ref="J5467"/>
    <hyperlink r:id="rId7597" ref="H5468"/>
    <hyperlink r:id="rId7598" ref="J5469"/>
    <hyperlink r:id="rId7599" ref="H5470"/>
    <hyperlink r:id="rId7600" ref="H5471"/>
    <hyperlink r:id="rId7601" ref="H5472"/>
    <hyperlink r:id="rId7602" ref="I5472"/>
    <hyperlink r:id="rId7603" ref="H5473"/>
    <hyperlink r:id="rId7604" ref="H5474"/>
    <hyperlink r:id="rId7605" ref="H5475"/>
    <hyperlink r:id="rId7606" ref="J5476"/>
    <hyperlink r:id="rId7607" ref="H5477"/>
    <hyperlink r:id="rId7608" ref="I5478"/>
    <hyperlink r:id="rId7609" ref="H5479"/>
    <hyperlink r:id="rId7610" ref="H5480"/>
    <hyperlink r:id="rId7611" ref="H5481"/>
    <hyperlink r:id="rId7612" ref="H5482"/>
    <hyperlink r:id="rId7613" ref="J5483"/>
    <hyperlink r:id="rId7614" ref="J5484"/>
    <hyperlink r:id="rId7615" ref="H5485"/>
    <hyperlink r:id="rId7616" ref="I5485"/>
    <hyperlink r:id="rId7617" ref="J5486"/>
    <hyperlink r:id="rId7618" ref="J5487"/>
    <hyperlink r:id="rId7619" ref="J5488"/>
    <hyperlink r:id="rId7620" ref="H5489"/>
    <hyperlink r:id="rId7621" ref="H5490"/>
    <hyperlink r:id="rId7622" ref="I5490"/>
    <hyperlink r:id="rId7623" ref="H5491"/>
    <hyperlink r:id="rId7624" ref="H5492"/>
    <hyperlink r:id="rId7625" ref="I5492"/>
    <hyperlink r:id="rId7626" ref="H5493"/>
    <hyperlink r:id="rId7627" ref="H5495"/>
    <hyperlink r:id="rId7628" ref="I5495"/>
    <hyperlink r:id="rId7629" ref="J5495"/>
    <hyperlink r:id="rId7630" ref="H5496"/>
    <hyperlink r:id="rId7631" ref="H5497"/>
    <hyperlink r:id="rId7632" ref="H5498"/>
    <hyperlink r:id="rId7633" ref="H5499"/>
    <hyperlink r:id="rId7634" ref="J5500"/>
    <hyperlink r:id="rId7635" ref="H5501"/>
    <hyperlink r:id="rId7636" ref="I5501"/>
    <hyperlink r:id="rId7637" ref="H5502"/>
    <hyperlink r:id="rId7638" ref="H5503"/>
    <hyperlink r:id="rId7639" ref="H5504"/>
    <hyperlink r:id="rId7640" ref="J5505"/>
    <hyperlink r:id="rId7641" ref="H5506"/>
    <hyperlink r:id="rId7642" ref="H5507"/>
    <hyperlink r:id="rId7643" ref="H5508"/>
    <hyperlink r:id="rId7644" ref="H5509"/>
    <hyperlink r:id="rId7645" ref="I5509"/>
    <hyperlink r:id="rId7646" ref="J5509"/>
    <hyperlink r:id="rId7647" ref="H5510"/>
    <hyperlink r:id="rId7648" ref="H5511"/>
    <hyperlink r:id="rId7649" ref="J5511"/>
    <hyperlink r:id="rId7650" ref="J5512"/>
    <hyperlink r:id="rId7651" ref="J5513"/>
    <hyperlink r:id="rId7652" ref="J5514"/>
    <hyperlink r:id="rId7653" ref="H5515"/>
    <hyperlink r:id="rId7654" ref="H5516"/>
    <hyperlink r:id="rId7655" ref="H5517"/>
    <hyperlink r:id="rId7656" ref="H5518"/>
    <hyperlink r:id="rId7657" ref="H5519"/>
    <hyperlink r:id="rId7658" ref="H5520"/>
    <hyperlink r:id="rId7659" ref="I5521"/>
    <hyperlink r:id="rId7660" ref="H5522"/>
    <hyperlink r:id="rId7661" ref="J5522"/>
    <hyperlink r:id="rId7662" ref="H5523"/>
    <hyperlink r:id="rId7663" ref="H5524"/>
    <hyperlink r:id="rId7664" ref="H5525"/>
    <hyperlink r:id="rId7665" ref="H5526"/>
    <hyperlink r:id="rId7666" ref="H5527"/>
    <hyperlink r:id="rId7667" ref="H5528"/>
    <hyperlink r:id="rId7668" ref="H5529"/>
    <hyperlink r:id="rId7669" ref="H5530"/>
    <hyperlink r:id="rId7670" ref="H5531"/>
    <hyperlink r:id="rId7671" ref="I5531"/>
    <hyperlink r:id="rId7672" ref="H5532"/>
    <hyperlink r:id="rId7673" ref="H5533"/>
    <hyperlink r:id="rId7674" ref="H5534"/>
    <hyperlink r:id="rId7675" ref="I5534"/>
    <hyperlink r:id="rId7676" ref="H5535"/>
    <hyperlink r:id="rId7677" ref="I5535"/>
    <hyperlink r:id="rId7678" ref="J5535"/>
    <hyperlink r:id="rId7679" ref="J5536"/>
    <hyperlink r:id="rId7680" ref="H5537"/>
    <hyperlink r:id="rId7681" ref="H5538"/>
    <hyperlink r:id="rId7682" ref="J5539"/>
    <hyperlink r:id="rId7683" ref="H5540"/>
    <hyperlink r:id="rId7684" ref="J5540"/>
    <hyperlink r:id="rId7685" ref="H5541"/>
    <hyperlink r:id="rId7686" ref="H5542"/>
    <hyperlink r:id="rId7687" ref="J5543"/>
    <hyperlink r:id="rId7688" ref="H5544"/>
    <hyperlink r:id="rId7689" ref="H5545"/>
    <hyperlink r:id="rId7690" ref="H5546"/>
    <hyperlink r:id="rId7691" ref="H5547"/>
    <hyperlink r:id="rId7692" ref="H5548"/>
    <hyperlink r:id="rId7693" ref="J5549"/>
    <hyperlink r:id="rId7694" ref="H5550"/>
    <hyperlink r:id="rId7695" ref="J5551"/>
    <hyperlink r:id="rId7696" ref="H5552"/>
    <hyperlink r:id="rId7697" ref="H5553"/>
    <hyperlink r:id="rId7698" ref="H5554"/>
    <hyperlink r:id="rId7699" ref="H5555"/>
    <hyperlink r:id="rId7700" ref="I5555"/>
    <hyperlink r:id="rId7701" ref="J5555"/>
    <hyperlink r:id="rId7702" ref="H5556"/>
    <hyperlink r:id="rId7703" ref="H5557"/>
    <hyperlink r:id="rId7704" ref="I5557"/>
    <hyperlink r:id="rId7705" ref="J5558"/>
    <hyperlink r:id="rId7706" ref="H5559"/>
    <hyperlink r:id="rId7707" ref="I5559"/>
    <hyperlink r:id="rId7708" ref="J5560"/>
    <hyperlink r:id="rId7709" ref="J5561"/>
    <hyperlink r:id="rId7710" ref="H5562"/>
    <hyperlink r:id="rId7711" ref="H5563"/>
    <hyperlink r:id="rId7712" ref="H5564"/>
    <hyperlink r:id="rId7713" ref="J5565"/>
    <hyperlink r:id="rId7714" ref="J5566"/>
    <hyperlink r:id="rId7715" ref="H5567"/>
    <hyperlink r:id="rId7716" ref="J5567"/>
    <hyperlink r:id="rId7717" ref="H5568"/>
    <hyperlink r:id="rId7718" ref="H5569"/>
    <hyperlink r:id="rId7719" ref="J5569"/>
    <hyperlink r:id="rId7720" ref="H5570"/>
    <hyperlink r:id="rId7721" ref="H5571"/>
    <hyperlink r:id="rId7722" ref="H5572"/>
    <hyperlink r:id="rId7723" ref="H5573"/>
    <hyperlink r:id="rId7724" ref="H5574"/>
    <hyperlink r:id="rId7725" ref="H5575"/>
    <hyperlink r:id="rId7726" ref="J5576"/>
    <hyperlink r:id="rId7727" ref="J5577"/>
    <hyperlink r:id="rId7728" ref="H5578"/>
    <hyperlink r:id="rId7729" ref="I5578"/>
    <hyperlink r:id="rId7730" ref="J5578"/>
    <hyperlink r:id="rId7731" ref="H5579"/>
    <hyperlink r:id="rId7732" ref="I5579"/>
    <hyperlink r:id="rId7733" ref="J5579"/>
    <hyperlink r:id="rId7734" ref="J5580"/>
    <hyperlink r:id="rId7735" ref="H5581"/>
    <hyperlink r:id="rId7736" ref="I5581"/>
    <hyperlink r:id="rId7737" ref="J5582"/>
    <hyperlink r:id="rId7738" ref="H5583"/>
    <hyperlink r:id="rId7739" ref="J5583"/>
    <hyperlink r:id="rId7740" ref="H5584"/>
    <hyperlink r:id="rId7741" ref="I5584"/>
    <hyperlink r:id="rId7742" ref="H5585"/>
    <hyperlink r:id="rId7743" ref="I5585"/>
    <hyperlink r:id="rId7744" ref="H5586"/>
    <hyperlink r:id="rId7745" ref="H5587"/>
    <hyperlink r:id="rId7746" ref="J5587"/>
    <hyperlink r:id="rId7747" ref="J5588"/>
    <hyperlink r:id="rId7748" ref="J5589"/>
    <hyperlink r:id="rId7749" ref="H5590"/>
    <hyperlink r:id="rId7750" ref="H5591"/>
    <hyperlink r:id="rId7751" ref="H5592"/>
    <hyperlink r:id="rId7752" ref="H5593"/>
    <hyperlink r:id="rId7753" ref="H5594"/>
    <hyperlink r:id="rId7754" ref="J5595"/>
    <hyperlink r:id="rId7755" ref="J5596"/>
    <hyperlink r:id="rId7756" ref="H5597"/>
    <hyperlink r:id="rId7757" ref="H5598"/>
    <hyperlink r:id="rId7758" ref="J5598"/>
    <hyperlink r:id="rId7759" ref="H5599"/>
    <hyperlink r:id="rId7760" ref="H5600"/>
    <hyperlink r:id="rId7761" ref="I5600"/>
    <hyperlink r:id="rId7762" ref="H5601"/>
    <hyperlink r:id="rId7763" ref="J5601"/>
    <hyperlink r:id="rId7764" ref="J5602"/>
    <hyperlink r:id="rId7765" ref="I5603"/>
    <hyperlink r:id="rId7766" ref="H5604"/>
    <hyperlink r:id="rId7767" ref="J5604"/>
    <hyperlink r:id="rId7768" ref="J5605"/>
    <hyperlink r:id="rId7769" ref="H5606"/>
    <hyperlink r:id="rId7770" ref="I5606"/>
    <hyperlink r:id="rId7771" ref="J5606"/>
    <hyperlink r:id="rId7772" ref="H5607"/>
    <hyperlink r:id="rId7773" ref="H5608"/>
    <hyperlink r:id="rId7774" ref="H5609"/>
    <hyperlink r:id="rId7775" ref="H5610"/>
    <hyperlink r:id="rId7776" ref="H5611"/>
    <hyperlink r:id="rId7777" ref="J5611"/>
    <hyperlink r:id="rId7778" ref="J5612"/>
    <hyperlink r:id="rId7779" ref="J5613"/>
    <hyperlink r:id="rId7780" ref="H5614"/>
    <hyperlink r:id="rId7781" ref="J5615"/>
    <hyperlink r:id="rId7782" ref="J5616"/>
    <hyperlink r:id="rId7783" ref="J5617"/>
    <hyperlink r:id="rId7784" ref="H5618"/>
    <hyperlink r:id="rId7785" ref="H5619"/>
    <hyperlink r:id="rId7786" ref="I5619"/>
    <hyperlink r:id="rId7787" ref="J5620"/>
    <hyperlink r:id="rId7788" ref="H5621"/>
    <hyperlink r:id="rId7789" ref="J5621"/>
    <hyperlink r:id="rId7790" ref="H5622"/>
    <hyperlink r:id="rId7791" ref="J5622"/>
    <hyperlink r:id="rId7792" ref="J5623"/>
    <hyperlink r:id="rId7793" ref="H5624"/>
    <hyperlink r:id="rId7794" ref="J5624"/>
    <hyperlink r:id="rId7795" ref="H5625"/>
    <hyperlink r:id="rId7796" ref="J5625"/>
    <hyperlink r:id="rId7797" ref="J5626"/>
    <hyperlink r:id="rId7798" ref="H5627"/>
    <hyperlink r:id="rId7799" ref="J5628"/>
    <hyperlink r:id="rId7800" ref="J5629"/>
    <hyperlink r:id="rId7801" ref="J5630"/>
    <hyperlink r:id="rId7802" ref="I5631"/>
    <hyperlink r:id="rId7803" ref="J5632"/>
    <hyperlink r:id="rId7804" ref="J5633"/>
    <hyperlink r:id="rId7805" ref="H5634"/>
    <hyperlink r:id="rId7806" ref="H5635"/>
    <hyperlink r:id="rId7807" ref="H5636"/>
    <hyperlink r:id="rId7808" ref="J5637"/>
    <hyperlink r:id="rId7809" ref="H5638"/>
    <hyperlink r:id="rId7810" ref="H5639"/>
    <hyperlink r:id="rId7811" ref="J5640"/>
    <hyperlink r:id="rId7812" ref="H5641"/>
    <hyperlink r:id="rId7813" ref="H5642"/>
    <hyperlink r:id="rId7814" ref="H5643"/>
    <hyperlink r:id="rId7815" ref="I5643"/>
    <hyperlink r:id="rId7816" ref="H5644"/>
    <hyperlink r:id="rId7817" ref="H5645"/>
    <hyperlink r:id="rId7818" ref="J5646"/>
    <hyperlink r:id="rId7819" ref="H5647"/>
    <hyperlink r:id="rId7820" ref="I5647"/>
    <hyperlink r:id="rId7821" ref="J5648"/>
    <hyperlink r:id="rId7822" ref="H5649"/>
    <hyperlink r:id="rId7823" ref="J5650"/>
    <hyperlink r:id="rId7824" ref="H5651"/>
    <hyperlink r:id="rId7825" ref="I5651"/>
    <hyperlink r:id="rId7826" ref="H5652"/>
    <hyperlink r:id="rId7827" ref="J5653"/>
    <hyperlink r:id="rId7828" ref="H5654"/>
    <hyperlink r:id="rId7829" ref="J5655"/>
    <hyperlink r:id="rId7830" ref="H5656"/>
    <hyperlink r:id="rId7831" ref="I5656"/>
    <hyperlink r:id="rId7832" ref="J5656"/>
    <hyperlink r:id="rId7833" ref="H5657"/>
    <hyperlink r:id="rId7834" ref="H5658"/>
    <hyperlink r:id="rId7835" ref="H5659"/>
    <hyperlink r:id="rId7836" ref="I5659"/>
    <hyperlink r:id="rId7837" ref="J5659"/>
    <hyperlink r:id="rId7838" ref="H5660"/>
    <hyperlink r:id="rId7839" ref="I5660"/>
    <hyperlink r:id="rId7840" ref="H5661"/>
    <hyperlink r:id="rId7841" ref="H5662"/>
    <hyperlink r:id="rId7842" ref="J5663"/>
    <hyperlink r:id="rId7843" ref="J5664"/>
    <hyperlink r:id="rId7844" ref="H5665"/>
    <hyperlink r:id="rId7845" ref="J5665"/>
    <hyperlink r:id="rId7846" ref="H5666"/>
    <hyperlink r:id="rId7847" ref="J5667"/>
    <hyperlink r:id="rId7848" ref="H5668"/>
    <hyperlink r:id="rId7849" ref="J5669"/>
    <hyperlink r:id="rId7850" ref="H5670"/>
    <hyperlink r:id="rId7851" ref="H5671"/>
    <hyperlink r:id="rId7852" ref="J5671"/>
    <hyperlink r:id="rId7853" ref="J5672"/>
    <hyperlink r:id="rId7854" ref="J5673"/>
    <hyperlink r:id="rId7855" ref="J5674"/>
    <hyperlink r:id="rId7856" ref="H5675"/>
    <hyperlink r:id="rId7857" ref="H5676"/>
    <hyperlink r:id="rId7858" ref="H5677"/>
    <hyperlink r:id="rId7859" ref="I5677"/>
    <hyperlink r:id="rId7860" ref="J5678"/>
    <hyperlink r:id="rId7861" ref="H5679"/>
    <hyperlink r:id="rId7862" ref="J5679"/>
    <hyperlink r:id="rId7863" ref="H5680"/>
    <hyperlink r:id="rId7864" ref="J5680"/>
    <hyperlink r:id="rId7865" ref="I5681"/>
    <hyperlink r:id="rId7866" ref="J5682"/>
    <hyperlink r:id="rId7867" ref="I5683"/>
    <hyperlink r:id="rId7868" ref="H5684"/>
    <hyperlink r:id="rId7869" ref="J5685"/>
    <hyperlink r:id="rId7870" ref="J5686"/>
    <hyperlink r:id="rId7871" ref="H5687"/>
    <hyperlink r:id="rId7872" ref="H5688"/>
    <hyperlink r:id="rId7873" ref="J5689"/>
    <hyperlink r:id="rId7874" ref="H5690"/>
    <hyperlink r:id="rId7875" ref="H5691"/>
    <hyperlink r:id="rId7876" ref="J5692"/>
    <hyperlink r:id="rId7877" ref="H5693"/>
    <hyperlink r:id="rId7878" ref="H5694"/>
    <hyperlink r:id="rId7879" ref="I5694"/>
    <hyperlink r:id="rId7880" ref="J5695"/>
    <hyperlink r:id="rId7881" ref="J5696"/>
    <hyperlink r:id="rId7882" ref="J5697"/>
    <hyperlink r:id="rId7883" ref="H5698"/>
    <hyperlink r:id="rId7884" ref="H5699"/>
    <hyperlink r:id="rId7885" ref="I5699"/>
    <hyperlink r:id="rId7886" ref="H5700"/>
    <hyperlink r:id="rId7887" ref="J5701"/>
    <hyperlink r:id="rId7888" ref="H5702"/>
    <hyperlink r:id="rId7889" ref="I5702"/>
    <hyperlink r:id="rId7890" ref="J5702"/>
    <hyperlink r:id="rId7891" ref="H5703"/>
    <hyperlink r:id="rId7892" ref="J5704"/>
    <hyperlink r:id="rId7893" ref="I5705"/>
    <hyperlink r:id="rId7894" ref="J5705"/>
    <hyperlink r:id="rId7895" ref="J5706"/>
    <hyperlink r:id="rId7896" ref="J5707"/>
    <hyperlink r:id="rId7897" ref="H5708"/>
    <hyperlink r:id="rId7898" ref="H5709"/>
    <hyperlink r:id="rId7899" ref="J5709"/>
    <hyperlink r:id="rId7900" ref="J5710"/>
    <hyperlink r:id="rId7901" ref="H5711"/>
    <hyperlink r:id="rId7902" ref="H5712"/>
    <hyperlink r:id="rId7903" ref="I5712"/>
    <hyperlink r:id="rId7904" ref="J5712"/>
    <hyperlink r:id="rId7905" ref="J5713"/>
    <hyperlink r:id="rId7906" ref="H5714"/>
    <hyperlink r:id="rId7907" ref="H5715"/>
    <hyperlink r:id="rId7908" ref="H5716"/>
    <hyperlink r:id="rId7909" ref="J5717"/>
    <hyperlink r:id="rId7910" ref="H5718"/>
    <hyperlink r:id="rId7911" ref="J5719"/>
    <hyperlink r:id="rId7912" ref="H5720"/>
    <hyperlink r:id="rId7913" ref="H5721"/>
    <hyperlink r:id="rId7914" ref="H5722"/>
    <hyperlink r:id="rId7915" ref="H5723"/>
    <hyperlink r:id="rId7916" ref="J5723"/>
    <hyperlink r:id="rId7917" ref="H5724"/>
    <hyperlink r:id="rId7918" ref="I5724"/>
    <hyperlink r:id="rId7919" ref="J5725"/>
    <hyperlink r:id="rId7920" ref="H5726"/>
    <hyperlink r:id="rId7921" ref="H5727"/>
    <hyperlink r:id="rId7922" ref="J5727"/>
    <hyperlink r:id="rId7923" ref="H5728"/>
    <hyperlink r:id="rId7924" ref="H5729"/>
    <hyperlink r:id="rId7925" ref="H5730"/>
    <hyperlink r:id="rId7926" ref="H5731"/>
    <hyperlink r:id="rId7927" ref="J5732"/>
    <hyperlink r:id="rId7928" ref="H5733"/>
    <hyperlink r:id="rId7929" ref="H5734"/>
    <hyperlink r:id="rId7930" ref="J5735"/>
    <hyperlink r:id="rId7931" ref="H5736"/>
    <hyperlink r:id="rId7932" ref="I5736"/>
    <hyperlink r:id="rId7933" ref="H5737"/>
    <hyperlink r:id="rId7934" ref="I5737"/>
    <hyperlink r:id="rId7935" ref="H5738"/>
    <hyperlink r:id="rId7936" ref="H5739"/>
    <hyperlink r:id="rId7937" ref="H5740"/>
    <hyperlink r:id="rId7938" ref="J5740"/>
    <hyperlink r:id="rId7939" ref="H5741"/>
    <hyperlink r:id="rId7940" ref="H5742"/>
    <hyperlink r:id="rId7941" ref="J5742"/>
    <hyperlink r:id="rId7942" ref="J5743"/>
    <hyperlink r:id="rId7943" ref="J5744"/>
    <hyperlink r:id="rId7944" ref="H5745"/>
    <hyperlink r:id="rId7945" ref="J5745"/>
    <hyperlink r:id="rId7946" ref="H5746"/>
    <hyperlink r:id="rId7947" ref="I5746"/>
    <hyperlink r:id="rId7948" ref="H5747"/>
    <hyperlink r:id="rId7949" ref="I5747"/>
    <hyperlink r:id="rId7950" ref="H5748"/>
    <hyperlink r:id="rId7951" ref="J5749"/>
    <hyperlink r:id="rId7952" ref="H5750"/>
    <hyperlink r:id="rId7953" ref="H5751"/>
    <hyperlink r:id="rId7954" ref="I5751"/>
    <hyperlink r:id="rId7955" ref="J5751"/>
    <hyperlink r:id="rId7956" ref="H5752"/>
    <hyperlink r:id="rId7957" ref="I5752"/>
    <hyperlink r:id="rId7958" ref="J5752"/>
    <hyperlink r:id="rId7959" ref="I5753"/>
    <hyperlink r:id="rId7960" ref="J5753"/>
    <hyperlink r:id="rId7961" ref="H5754"/>
    <hyperlink r:id="rId7962" ref="H5755"/>
    <hyperlink r:id="rId7963" ref="J5755"/>
    <hyperlink r:id="rId7964" ref="H5756"/>
    <hyperlink r:id="rId7965" ref="H5757"/>
    <hyperlink r:id="rId7966" ref="H5758"/>
    <hyperlink r:id="rId7967" ref="H5759"/>
    <hyperlink r:id="rId7968" ref="H5760"/>
    <hyperlink r:id="rId7969" ref="H5761"/>
    <hyperlink r:id="rId7970" ref="H5762"/>
    <hyperlink r:id="rId7971" ref="H5763"/>
    <hyperlink r:id="rId7972" ref="I5763"/>
    <hyperlink r:id="rId7973" ref="H5764"/>
    <hyperlink r:id="rId7974" ref="J5764"/>
    <hyperlink r:id="rId7975" ref="H5765"/>
    <hyperlink r:id="rId7976" ref="H5766"/>
    <hyperlink r:id="rId7977" ref="I5767"/>
    <hyperlink r:id="rId7978" ref="H5768"/>
    <hyperlink r:id="rId7979" ref="H5769"/>
    <hyperlink r:id="rId7980" ref="H5770"/>
    <hyperlink r:id="rId7981" ref="J5770"/>
    <hyperlink r:id="rId7982" ref="J5771"/>
    <hyperlink r:id="rId7983" ref="H5772"/>
    <hyperlink r:id="rId7984" ref="H5773"/>
    <hyperlink r:id="rId7985" ref="I5773"/>
    <hyperlink r:id="rId7986" ref="I5774"/>
    <hyperlink r:id="rId7987" ref="J5775"/>
    <hyperlink r:id="rId7988" ref="H5776"/>
    <hyperlink r:id="rId7989" ref="H5777"/>
    <hyperlink r:id="rId7990" ref="I5777"/>
    <hyperlink r:id="rId7991" ref="J5778"/>
    <hyperlink r:id="rId7992" ref="J5779"/>
    <hyperlink r:id="rId7993" ref="H5780"/>
    <hyperlink r:id="rId7994" ref="J5781"/>
    <hyperlink r:id="rId7995" ref="H5782"/>
    <hyperlink r:id="rId7996" ref="I5782"/>
    <hyperlink r:id="rId7997" ref="J5783"/>
    <hyperlink r:id="rId7998" ref="H5784"/>
    <hyperlink r:id="rId7999" ref="H5785"/>
    <hyperlink r:id="rId8000" ref="H5786"/>
    <hyperlink r:id="rId8001" ref="H5787"/>
    <hyperlink r:id="rId8002" ref="H5788"/>
    <hyperlink r:id="rId8003" ref="I5788"/>
    <hyperlink r:id="rId8004" ref="J5788"/>
    <hyperlink r:id="rId8005" ref="H5789"/>
    <hyperlink r:id="rId8006" ref="I5789"/>
    <hyperlink r:id="rId8007" ref="J5790"/>
    <hyperlink r:id="rId8008" ref="H5791"/>
    <hyperlink r:id="rId8009" ref="I5792"/>
    <hyperlink r:id="rId8010" ref="I5793"/>
    <hyperlink r:id="rId8011" ref="H5794"/>
    <hyperlink r:id="rId8012" ref="J5795"/>
    <hyperlink r:id="rId8013" ref="H5796"/>
    <hyperlink r:id="rId8014" ref="H5797"/>
    <hyperlink r:id="rId8015" ref="H5798"/>
    <hyperlink r:id="rId8016" ref="H5799"/>
    <hyperlink r:id="rId8017" ref="H5800"/>
    <hyperlink r:id="rId8018" ref="H5801"/>
    <hyperlink r:id="rId8019" ref="H5802"/>
    <hyperlink r:id="rId8020" ref="I5803"/>
    <hyperlink r:id="rId8021" ref="H5804"/>
    <hyperlink r:id="rId8022" ref="H5805"/>
    <hyperlink r:id="rId8023" ref="I5805"/>
    <hyperlink r:id="rId8024" ref="J5805"/>
    <hyperlink r:id="rId8025" ref="H5806"/>
    <hyperlink r:id="rId8026" ref="H5807"/>
    <hyperlink r:id="rId8027" ref="H5808"/>
    <hyperlink r:id="rId8028" ref="H5809"/>
    <hyperlink r:id="rId8029" ref="H5810"/>
    <hyperlink r:id="rId8030" ref="H5811"/>
    <hyperlink r:id="rId8031" ref="H5812"/>
    <hyperlink r:id="rId8032" ref="H5813"/>
    <hyperlink r:id="rId8033" ref="H5814"/>
    <hyperlink r:id="rId8034" ref="H5815"/>
    <hyperlink r:id="rId8035" ref="I5815"/>
    <hyperlink r:id="rId8036" ref="J5816"/>
    <hyperlink r:id="rId8037" ref="J5817"/>
    <hyperlink r:id="rId8038" ref="H5818"/>
    <hyperlink r:id="rId8039" ref="J5819"/>
    <hyperlink r:id="rId8040" ref="H5820"/>
    <hyperlink r:id="rId8041" ref="J5820"/>
    <hyperlink r:id="rId8042" ref="H5821"/>
    <hyperlink r:id="rId8043" ref="J5821"/>
    <hyperlink r:id="rId8044" ref="J5822"/>
    <hyperlink r:id="rId8045" ref="H5823"/>
    <hyperlink r:id="rId8046" ref="H5824"/>
    <hyperlink r:id="rId8047" ref="H5825"/>
    <hyperlink r:id="rId8048" ref="H5826"/>
    <hyperlink r:id="rId8049" ref="H5827"/>
    <hyperlink r:id="rId8050" ref="H5828"/>
    <hyperlink r:id="rId8051" ref="J5829"/>
    <hyperlink r:id="rId8052" ref="H5830"/>
    <hyperlink r:id="rId8053" ref="J5830"/>
    <hyperlink r:id="rId8054" ref="J5831"/>
    <hyperlink r:id="rId8055" ref="H5832"/>
    <hyperlink r:id="rId8056" ref="H5833"/>
    <hyperlink r:id="rId8057" ref="H5834"/>
    <hyperlink r:id="rId8058" ref="H5835"/>
    <hyperlink r:id="rId8059" ref="J5835"/>
    <hyperlink r:id="rId8060" ref="H5836"/>
    <hyperlink r:id="rId8061" ref="H5837"/>
    <hyperlink r:id="rId8062" ref="J5838"/>
    <hyperlink r:id="rId8063" ref="H5839"/>
    <hyperlink r:id="rId8064" ref="I5839"/>
    <hyperlink r:id="rId8065" ref="H5840"/>
    <hyperlink r:id="rId8066" ref="H5841"/>
    <hyperlink r:id="rId8067" ref="H5842"/>
    <hyperlink r:id="rId8068" ref="I5842"/>
    <hyperlink r:id="rId8069" ref="J5843"/>
    <hyperlink r:id="rId8070" ref="H5844"/>
    <hyperlink r:id="rId8071" ref="H5845"/>
    <hyperlink r:id="rId8072" ref="H5846"/>
    <hyperlink r:id="rId8073" ref="H5847"/>
    <hyperlink r:id="rId8074" ref="H5848"/>
    <hyperlink r:id="rId8075" ref="H5849"/>
    <hyperlink r:id="rId8076" ref="H5850"/>
    <hyperlink r:id="rId8077" ref="J5850"/>
    <hyperlink r:id="rId8078" ref="I5851"/>
    <hyperlink r:id="rId8079" ref="J5852"/>
    <hyperlink r:id="rId8080" ref="H5853"/>
    <hyperlink r:id="rId8081" ref="I5853"/>
    <hyperlink r:id="rId8082" ref="H5854"/>
    <hyperlink r:id="rId8083" ref="H5855"/>
    <hyperlink r:id="rId8084" ref="J5855"/>
    <hyperlink r:id="rId8085" ref="H5856"/>
    <hyperlink r:id="rId8086" ref="J5856"/>
    <hyperlink r:id="rId8087" ref="H5857"/>
    <hyperlink r:id="rId8088" ref="J5858"/>
    <hyperlink r:id="rId8089" ref="H5859"/>
    <hyperlink r:id="rId8090" ref="H5860"/>
    <hyperlink r:id="rId8091" ref="H5861"/>
    <hyperlink r:id="rId8092" ref="I5861"/>
    <hyperlink r:id="rId8093" ref="J5862"/>
    <hyperlink r:id="rId8094" ref="H5863"/>
    <hyperlink r:id="rId8095" ref="H5864"/>
    <hyperlink r:id="rId8096" ref="J5864"/>
    <hyperlink r:id="rId8097" ref="J5865"/>
    <hyperlink r:id="rId8098" ref="H5866"/>
    <hyperlink r:id="rId8099" ref="I5866"/>
    <hyperlink r:id="rId8100" ref="H5867"/>
    <hyperlink r:id="rId8101" ref="J5868"/>
    <hyperlink r:id="rId8102" ref="J5869"/>
    <hyperlink r:id="rId8103" ref="H5871"/>
    <hyperlink r:id="rId8104" ref="H5872"/>
    <hyperlink r:id="rId8105" ref="H5873"/>
    <hyperlink r:id="rId8106" ref="H5874"/>
    <hyperlink r:id="rId8107" ref="H5875"/>
    <hyperlink r:id="rId8108" ref="H5876"/>
    <hyperlink r:id="rId8109" ref="I5876"/>
    <hyperlink r:id="rId8110" ref="J5876"/>
    <hyperlink r:id="rId8111" ref="H5877"/>
    <hyperlink r:id="rId8112" ref="I5877"/>
    <hyperlink r:id="rId8113" ref="J5877"/>
    <hyperlink r:id="rId8114" ref="J5878"/>
    <hyperlink r:id="rId8115" ref="J5879"/>
    <hyperlink r:id="rId8116" ref="H5880"/>
    <hyperlink r:id="rId8117" ref="H5881"/>
    <hyperlink r:id="rId8118" ref="J5881"/>
    <hyperlink r:id="rId8119" ref="H5882"/>
    <hyperlink r:id="rId8120" ref="J5883"/>
    <hyperlink r:id="rId8121" ref="H5884"/>
    <hyperlink r:id="rId8122" ref="J5885"/>
    <hyperlink r:id="rId8123" ref="J5886"/>
    <hyperlink r:id="rId8124" ref="H5887"/>
    <hyperlink r:id="rId8125" ref="I5887"/>
    <hyperlink r:id="rId8126" ref="I5888"/>
    <hyperlink r:id="rId8127" ref="H5889"/>
    <hyperlink r:id="rId8128" ref="J5890"/>
    <hyperlink r:id="rId8129" ref="H5891"/>
    <hyperlink r:id="rId8130" ref="H5892"/>
    <hyperlink r:id="rId8131" ref="J5893"/>
    <hyperlink r:id="rId8132" ref="J5894"/>
    <hyperlink r:id="rId8133" ref="J5895"/>
    <hyperlink r:id="rId8134" ref="H5896"/>
    <hyperlink r:id="rId8135" ref="H5897"/>
    <hyperlink r:id="rId8136" ref="H5898"/>
    <hyperlink r:id="rId8137" ref="H5899"/>
    <hyperlink r:id="rId8138" ref="H5900"/>
    <hyperlink r:id="rId8139" ref="J5900"/>
    <hyperlink r:id="rId8140" ref="J5901"/>
    <hyperlink r:id="rId8141" ref="H5902"/>
    <hyperlink r:id="rId8142" ref="J5902"/>
    <hyperlink r:id="rId8143" ref="H5903"/>
    <hyperlink r:id="rId8144" ref="J5903"/>
    <hyperlink r:id="rId8145" ref="H5904"/>
    <hyperlink r:id="rId8146" ref="I5904"/>
    <hyperlink r:id="rId8147" ref="J5904"/>
    <hyperlink r:id="rId8148" ref="H5905"/>
    <hyperlink r:id="rId8149" ref="I5905"/>
    <hyperlink r:id="rId8150" ref="J5905"/>
    <hyperlink r:id="rId8151" ref="H5906"/>
    <hyperlink r:id="rId8152" ref="H5907"/>
    <hyperlink r:id="rId8153" ref="J5907"/>
    <hyperlink r:id="rId8154" ref="J5908"/>
    <hyperlink r:id="rId8155" ref="J5909"/>
    <hyperlink r:id="rId8156" ref="H5910"/>
    <hyperlink r:id="rId8157" ref="J5911"/>
    <hyperlink r:id="rId8158" ref="H5912"/>
    <hyperlink r:id="rId8159" ref="J5913"/>
    <hyperlink r:id="rId8160" ref="I5914"/>
    <hyperlink r:id="rId8161" ref="J5914"/>
    <hyperlink r:id="rId8162" ref="H5915"/>
    <hyperlink r:id="rId8163" ref="I5916"/>
    <hyperlink r:id="rId8164" ref="J5916"/>
    <hyperlink r:id="rId8165" ref="H5917"/>
    <hyperlink r:id="rId8166" ref="J5918"/>
    <hyperlink r:id="rId8167" ref="H5919"/>
    <hyperlink r:id="rId8168" ref="H5920"/>
    <hyperlink r:id="rId8169" ref="J5921"/>
    <hyperlink r:id="rId8170" ref="H5922"/>
    <hyperlink r:id="rId8171" ref="J5923"/>
    <hyperlink r:id="rId8172" ref="J5924"/>
    <hyperlink r:id="rId8173" ref="J5925"/>
    <hyperlink r:id="rId8174" ref="H5926"/>
    <hyperlink r:id="rId8175" ref="J5926"/>
    <hyperlink r:id="rId8176" ref="H5927"/>
    <hyperlink r:id="rId8177" ref="J5927"/>
    <hyperlink r:id="rId8178" ref="J5928"/>
    <hyperlink r:id="rId8179" ref="H5929"/>
    <hyperlink r:id="rId8180" ref="I5929"/>
    <hyperlink r:id="rId8181" ref="J5929"/>
    <hyperlink r:id="rId8182" ref="H5930"/>
    <hyperlink r:id="rId8183" ref="H5931"/>
    <hyperlink r:id="rId8184" ref="H5932"/>
    <hyperlink r:id="rId8185" ref="J5933"/>
    <hyperlink r:id="rId8186" ref="H5934"/>
    <hyperlink r:id="rId8187" ref="J5935"/>
    <hyperlink r:id="rId8188" ref="H5936"/>
    <hyperlink r:id="rId8189" ref="H5937"/>
    <hyperlink r:id="rId8190" ref="H5938"/>
    <hyperlink r:id="rId8191" ref="H5939"/>
    <hyperlink r:id="rId8192" ref="I5939"/>
    <hyperlink r:id="rId8193" ref="H5940"/>
    <hyperlink r:id="rId8194" ref="H5941"/>
    <hyperlink r:id="rId8195" ref="J5941"/>
    <hyperlink r:id="rId8196" ref="H5942"/>
    <hyperlink r:id="rId8197" ref="I5942"/>
    <hyperlink r:id="rId8198" ref="J5943"/>
    <hyperlink r:id="rId8199" ref="J5944"/>
    <hyperlink r:id="rId8200" ref="H5945"/>
    <hyperlink r:id="rId8201" ref="H5946"/>
    <hyperlink r:id="rId8202" ref="H5947"/>
    <hyperlink r:id="rId8203" ref="H5948"/>
    <hyperlink r:id="rId8204" ref="H5949"/>
    <hyperlink r:id="rId8205" ref="J5949"/>
    <hyperlink r:id="rId8206" ref="H5950"/>
    <hyperlink r:id="rId8207" ref="J5951"/>
    <hyperlink r:id="rId8208" ref="H5952"/>
    <hyperlink r:id="rId8209" ref="H5953"/>
    <hyperlink r:id="rId8210" ref="J5953"/>
    <hyperlink r:id="rId8211" ref="H5954"/>
    <hyperlink r:id="rId8212" ref="J5954"/>
    <hyperlink r:id="rId8213" ref="I5955"/>
    <hyperlink r:id="rId8214" ref="J5956"/>
    <hyperlink r:id="rId8215" ref="J5957"/>
    <hyperlink r:id="rId8216" ref="H5958"/>
    <hyperlink r:id="rId8217" ref="H5959"/>
    <hyperlink r:id="rId8218" ref="H5960"/>
    <hyperlink r:id="rId8219" ref="J5961"/>
    <hyperlink r:id="rId8220" ref="H5962"/>
    <hyperlink r:id="rId8221" ref="H5963"/>
    <hyperlink r:id="rId8222" ref="H5964"/>
    <hyperlink r:id="rId8223" ref="H5965"/>
    <hyperlink r:id="rId8224" ref="H5966"/>
    <hyperlink r:id="rId8225" ref="H5967"/>
    <hyperlink r:id="rId8226" ref="H5968"/>
    <hyperlink r:id="rId8227" ref="J5968"/>
    <hyperlink r:id="rId8228" ref="J5969"/>
    <hyperlink r:id="rId8229" ref="H5970"/>
    <hyperlink r:id="rId8230" ref="I5970"/>
    <hyperlink r:id="rId8231" ref="H5971"/>
    <hyperlink r:id="rId8232" ref="H5972"/>
    <hyperlink r:id="rId8233" ref="H5973"/>
    <hyperlink r:id="rId8234" ref="H5974"/>
    <hyperlink r:id="rId8235" ref="H5975"/>
    <hyperlink r:id="rId8236" ref="J5976"/>
    <hyperlink r:id="rId8237" ref="J5977"/>
    <hyperlink r:id="rId8238" ref="H5978"/>
    <hyperlink r:id="rId8239" ref="I5978"/>
    <hyperlink r:id="rId8240" ref="H5979"/>
    <hyperlink r:id="rId8241" ref="H5980"/>
    <hyperlink r:id="rId8242" ref="H5981"/>
    <hyperlink r:id="rId8243" ref="H5982"/>
    <hyperlink r:id="rId8244" ref="J5982"/>
    <hyperlink r:id="rId8245" ref="H5983"/>
    <hyperlink r:id="rId8246" ref="H5984"/>
    <hyperlink r:id="rId8247" ref="H5985"/>
    <hyperlink r:id="rId8248" ref="J5985"/>
    <hyperlink r:id="rId8249" ref="H5986"/>
    <hyperlink r:id="rId8250" ref="H5987"/>
    <hyperlink r:id="rId8251" ref="H5988"/>
    <hyperlink r:id="rId8252" ref="I5988"/>
    <hyperlink r:id="rId8253" ref="H5989"/>
    <hyperlink r:id="rId8254" ref="I5989"/>
    <hyperlink r:id="rId8255" ref="H5990"/>
    <hyperlink r:id="rId8256" ref="I5990"/>
    <hyperlink r:id="rId8257" ref="H5991"/>
    <hyperlink r:id="rId8258" ref="J5991"/>
    <hyperlink r:id="rId8259" ref="H5992"/>
    <hyperlink r:id="rId8260" ref="I5992"/>
    <hyperlink r:id="rId8261" ref="H5993"/>
    <hyperlink r:id="rId8262" ref="I5993"/>
    <hyperlink r:id="rId8263" ref="J5994"/>
    <hyperlink r:id="rId8264" ref="J5995"/>
    <hyperlink r:id="rId8265" ref="H5996"/>
    <hyperlink r:id="rId8266" ref="I5996"/>
    <hyperlink r:id="rId8267" ref="J5997"/>
    <hyperlink r:id="rId8268" ref="J5998"/>
    <hyperlink r:id="rId8269" ref="J5999"/>
    <hyperlink r:id="rId8270" ref="J6000"/>
    <hyperlink r:id="rId8271" ref="H6001"/>
    <hyperlink r:id="rId8272" ref="I6001"/>
    <hyperlink r:id="rId8273" ref="J6001"/>
    <hyperlink r:id="rId8274" ref="H6002"/>
    <hyperlink r:id="rId8275" ref="H6003"/>
    <hyperlink r:id="rId8276" ref="J6004"/>
    <hyperlink r:id="rId8277" ref="H6005"/>
    <hyperlink r:id="rId8278" ref="J6005"/>
    <hyperlink r:id="rId8279" ref="H6006"/>
    <hyperlink r:id="rId8280" ref="H6007"/>
    <hyperlink r:id="rId8281" ref="J6008"/>
    <hyperlink r:id="rId8282" ref="H6009"/>
    <hyperlink r:id="rId8283" ref="H6010"/>
    <hyperlink r:id="rId8284" ref="H6011"/>
    <hyperlink r:id="rId8285" ref="I6011"/>
    <hyperlink r:id="rId8286" ref="H6012"/>
    <hyperlink r:id="rId8287" ref="H6013"/>
    <hyperlink r:id="rId8288" ref="J6013"/>
    <hyperlink r:id="rId8289" ref="J6014"/>
    <hyperlink r:id="rId8290" ref="H6015"/>
    <hyperlink r:id="rId8291" ref="J6016"/>
    <hyperlink r:id="rId8292" ref="H6017"/>
    <hyperlink r:id="rId8293" ref="H6018"/>
    <hyperlink r:id="rId8294" ref="H6019"/>
    <hyperlink r:id="rId8295" ref="J6020"/>
    <hyperlink r:id="rId8296" ref="J6021"/>
    <hyperlink r:id="rId8297" ref="J6022"/>
    <hyperlink r:id="rId8298" ref="H6023"/>
    <hyperlink r:id="rId8299" ref="H6024"/>
    <hyperlink r:id="rId8300" ref="I6024"/>
    <hyperlink r:id="rId8301" ref="J6024"/>
    <hyperlink r:id="rId8302" ref="J6025"/>
    <hyperlink r:id="rId8303" ref="H6026"/>
    <hyperlink r:id="rId8304" ref="H6027"/>
    <hyperlink r:id="rId8305" ref="J6028"/>
    <hyperlink r:id="rId8306" ref="H6029"/>
    <hyperlink r:id="rId8307" ref="H6030"/>
    <hyperlink r:id="rId8308" ref="H6031"/>
    <hyperlink r:id="rId8309" ref="J6032"/>
    <hyperlink r:id="rId8310" ref="H6033"/>
    <hyperlink r:id="rId8311" ref="J6034"/>
    <hyperlink r:id="rId8312" ref="J6035"/>
    <hyperlink r:id="rId8313" ref="J6036"/>
    <hyperlink r:id="rId8314" ref="J6037"/>
    <hyperlink r:id="rId8315" ref="H6038"/>
    <hyperlink r:id="rId8316" ref="J6038"/>
    <hyperlink r:id="rId8317" ref="H6039"/>
    <hyperlink r:id="rId8318" ref="I6039"/>
    <hyperlink r:id="rId8319" ref="J6039"/>
    <hyperlink r:id="rId8320" ref="H6040"/>
    <hyperlink r:id="rId8321" ref="I6040"/>
    <hyperlink r:id="rId8322" ref="J6040"/>
    <hyperlink r:id="rId8323" ref="H6041"/>
    <hyperlink r:id="rId8324" ref="H6042"/>
    <hyperlink r:id="rId8325" ref="H6043"/>
    <hyperlink r:id="rId8326" ref="I6043"/>
    <hyperlink r:id="rId8327" ref="J6043"/>
    <hyperlink r:id="rId8328" ref="J6044"/>
    <hyperlink r:id="rId8329" ref="H6045"/>
    <hyperlink r:id="rId8330" ref="J6045"/>
    <hyperlink r:id="rId8331" ref="H6046"/>
    <hyperlink r:id="rId8332" ref="H6047"/>
    <hyperlink r:id="rId8333" ref="H6048"/>
    <hyperlink r:id="rId8334" ref="H6049"/>
    <hyperlink r:id="rId8335" ref="I6049"/>
    <hyperlink r:id="rId8336" ref="H6050"/>
    <hyperlink r:id="rId8337" ref="I6050"/>
    <hyperlink r:id="rId8338" ref="J6051"/>
    <hyperlink r:id="rId8339" ref="H6052"/>
    <hyperlink r:id="rId8340" ref="I6053"/>
    <hyperlink r:id="rId8341" ref="H6054"/>
    <hyperlink r:id="rId8342" ref="H6055"/>
    <hyperlink r:id="rId8343" ref="H6056"/>
    <hyperlink r:id="rId8344" ref="H6057"/>
    <hyperlink r:id="rId8345" ref="J6058"/>
    <hyperlink r:id="rId8346" ref="J6059"/>
    <hyperlink r:id="rId8347" ref="J6060"/>
    <hyperlink r:id="rId8348" ref="H6061"/>
    <hyperlink r:id="rId8349" ref="I6061"/>
    <hyperlink r:id="rId8350" ref="J6062"/>
    <hyperlink r:id="rId8351" ref="H6063"/>
    <hyperlink r:id="rId8352" ref="H6064"/>
    <hyperlink r:id="rId8353" ref="H6065"/>
    <hyperlink r:id="rId8354" ref="H6066"/>
    <hyperlink r:id="rId8355" ref="J6066"/>
    <hyperlink r:id="rId8356" ref="J6067"/>
    <hyperlink r:id="rId8357" ref="H6068"/>
    <hyperlink r:id="rId8358" ref="H6069"/>
    <hyperlink r:id="rId8359" ref="H6070"/>
    <hyperlink r:id="rId8360" ref="J6070"/>
    <hyperlink r:id="rId8361" ref="H6071"/>
    <hyperlink r:id="rId8362" ref="H6072"/>
    <hyperlink r:id="rId8363" ref="I6072"/>
    <hyperlink r:id="rId8364" ref="J6073"/>
    <hyperlink r:id="rId8365" ref="H6074"/>
    <hyperlink r:id="rId8366" ref="I6074"/>
    <hyperlink r:id="rId8367" ref="H6075"/>
    <hyperlink r:id="rId8368" ref="J6076"/>
    <hyperlink r:id="rId8369" ref="H6077"/>
    <hyperlink r:id="rId8370" ref="I6077"/>
    <hyperlink r:id="rId8371" ref="J6078"/>
    <hyperlink r:id="rId8372" ref="H6079"/>
    <hyperlink r:id="rId8373" ref="J6079"/>
    <hyperlink r:id="rId8374" ref="H6080"/>
    <hyperlink r:id="rId8375" ref="I6080"/>
    <hyperlink r:id="rId8376" ref="J6080"/>
    <hyperlink r:id="rId8377" ref="H6081"/>
    <hyperlink r:id="rId8378" ref="J6081"/>
    <hyperlink r:id="rId8379" ref="H6082"/>
    <hyperlink r:id="rId8380" ref="I6082"/>
    <hyperlink r:id="rId8381" ref="J6082"/>
    <hyperlink r:id="rId8382" ref="H6083"/>
    <hyperlink r:id="rId8383" ref="I6083"/>
    <hyperlink r:id="rId8384" ref="H6084"/>
    <hyperlink r:id="rId8385" ref="H6085"/>
    <hyperlink r:id="rId8386" ref="I6085"/>
    <hyperlink r:id="rId8387" ref="J6085"/>
    <hyperlink r:id="rId8388" ref="H6086"/>
    <hyperlink r:id="rId8389" ref="I6086"/>
    <hyperlink r:id="rId8390" ref="J6086"/>
    <hyperlink r:id="rId8391" ref="H6087"/>
    <hyperlink r:id="rId8392" ref="J6087"/>
    <hyperlink r:id="rId8393" ref="I6088"/>
    <hyperlink r:id="rId8394" ref="J6088"/>
    <hyperlink r:id="rId8395" ref="H6089"/>
    <hyperlink r:id="rId8396" ref="I6089"/>
    <hyperlink r:id="rId8397" ref="J6090"/>
    <hyperlink r:id="rId8398" ref="H6091"/>
    <hyperlink r:id="rId8399" ref="J6092"/>
    <hyperlink r:id="rId8400" ref="J6093"/>
    <hyperlink r:id="rId8401" ref="H6094"/>
    <hyperlink r:id="rId8402" ref="H6095"/>
    <hyperlink r:id="rId8403" ref="H6096"/>
    <hyperlink r:id="rId8404" ref="J6096"/>
    <hyperlink r:id="rId8405" ref="H6097"/>
    <hyperlink r:id="rId8406" ref="J6097"/>
    <hyperlink r:id="rId8407" ref="H6098"/>
    <hyperlink r:id="rId8408" ref="H6099"/>
    <hyperlink r:id="rId8409" ref="I6099"/>
    <hyperlink r:id="rId8410" ref="J6099"/>
    <hyperlink r:id="rId8411" ref="H6100"/>
    <hyperlink r:id="rId8412" ref="I6100"/>
    <hyperlink r:id="rId8413" ref="J6101"/>
    <hyperlink r:id="rId8414" ref="H6102"/>
    <hyperlink r:id="rId8415" ref="H6103"/>
    <hyperlink r:id="rId8416" ref="J6103"/>
    <hyperlink r:id="rId8417" ref="H6104"/>
    <hyperlink r:id="rId8418" ref="I6104"/>
    <hyperlink r:id="rId8419" ref="H6105"/>
    <hyperlink r:id="rId8420" ref="H6106"/>
    <hyperlink r:id="rId8421" ref="I6106"/>
    <hyperlink r:id="rId8422" ref="H6107"/>
    <hyperlink r:id="rId8423" ref="H6108"/>
    <hyperlink r:id="rId8424" ref="H6109"/>
    <hyperlink r:id="rId8425" ref="J6109"/>
    <hyperlink r:id="rId8426" ref="H6110"/>
    <hyperlink r:id="rId8427" ref="J6110"/>
    <hyperlink r:id="rId8428" ref="H6111"/>
    <hyperlink r:id="rId8429" ref="I6111"/>
    <hyperlink r:id="rId8430" ref="H6112"/>
    <hyperlink r:id="rId8431" ref="J6112"/>
    <hyperlink r:id="rId8432" ref="H6113"/>
    <hyperlink r:id="rId8433" ref="J6114"/>
    <hyperlink r:id="rId8434" ref="H6115"/>
    <hyperlink r:id="rId8435" ref="J6115"/>
    <hyperlink r:id="rId8436" ref="H6116"/>
    <hyperlink r:id="rId8437" ref="J6116"/>
    <hyperlink r:id="rId8438" ref="H6117"/>
    <hyperlink r:id="rId8439" ref="J6118"/>
    <hyperlink r:id="rId8440" ref="H6119"/>
    <hyperlink r:id="rId8441" ref="J6119"/>
    <hyperlink r:id="rId8442" ref="J6120"/>
    <hyperlink r:id="rId8443" ref="H6121"/>
    <hyperlink r:id="rId8444" ref="J6121"/>
    <hyperlink r:id="rId8445" ref="J6122"/>
    <hyperlink r:id="rId8446" ref="H6123"/>
    <hyperlink r:id="rId8447" ref="I6123"/>
    <hyperlink r:id="rId8448" ref="J6123"/>
    <hyperlink r:id="rId8449" ref="J6124"/>
    <hyperlink r:id="rId8450" ref="H6125"/>
    <hyperlink r:id="rId8451" ref="I6125"/>
    <hyperlink r:id="rId8452" ref="J6125"/>
    <hyperlink r:id="rId8453" ref="H6126"/>
    <hyperlink r:id="rId8454" ref="J6126"/>
    <hyperlink r:id="rId8455" ref="H6127"/>
    <hyperlink r:id="rId8456" ref="I6127"/>
    <hyperlink r:id="rId8457" ref="H6128"/>
    <hyperlink r:id="rId8458" ref="J6128"/>
    <hyperlink r:id="rId8459" ref="H6129"/>
    <hyperlink r:id="rId8460" ref="J6129"/>
    <hyperlink r:id="rId8461" ref="H6130"/>
    <hyperlink r:id="rId8462" ref="I6130"/>
    <hyperlink r:id="rId8463" ref="J6130"/>
    <hyperlink r:id="rId8464" ref="H6131"/>
    <hyperlink r:id="rId8465" ref="I6131"/>
    <hyperlink r:id="rId8466" ref="J6131"/>
    <hyperlink r:id="rId8467" ref="H6132"/>
    <hyperlink r:id="rId8468" ref="I6132"/>
    <hyperlink r:id="rId8469" ref="J6132"/>
    <hyperlink r:id="rId8470" ref="H6133"/>
    <hyperlink r:id="rId8471" ref="J6133"/>
    <hyperlink r:id="rId8472" ref="H6134"/>
    <hyperlink r:id="rId8473" ref="I6134"/>
    <hyperlink r:id="rId8474" ref="H6135"/>
    <hyperlink r:id="rId8475" ref="I6135"/>
    <hyperlink r:id="rId8476" ref="H6136"/>
    <hyperlink r:id="rId8477" ref="I6136"/>
    <hyperlink r:id="rId8478" ref="H6137"/>
    <hyperlink r:id="rId8479" ref="I6137"/>
    <hyperlink r:id="rId8480" ref="H6138"/>
    <hyperlink r:id="rId8481" ref="I6138"/>
    <hyperlink r:id="rId8482" ref="J6138"/>
    <hyperlink r:id="rId8483" ref="H6139"/>
    <hyperlink r:id="rId8484" ref="J6140"/>
    <hyperlink r:id="rId8485" ref="H6141"/>
    <hyperlink r:id="rId8486" ref="J6141"/>
    <hyperlink r:id="rId8487" ref="J6142"/>
    <hyperlink r:id="rId8488" ref="H6143"/>
    <hyperlink r:id="rId8489" ref="J6143"/>
    <hyperlink r:id="rId8490" ref="H6144"/>
    <hyperlink r:id="rId8491" ref="I6144"/>
    <hyperlink r:id="rId8492" ref="J6144"/>
    <hyperlink r:id="rId8493" ref="H6145"/>
    <hyperlink r:id="rId8494" ref="J6145"/>
    <hyperlink r:id="rId8495" ref="H6146"/>
    <hyperlink r:id="rId8496" ref="J6146"/>
    <hyperlink r:id="rId8497" ref="H6147"/>
    <hyperlink r:id="rId8498" ref="J6148"/>
    <hyperlink r:id="rId8499" ref="H6149"/>
    <hyperlink r:id="rId8500" ref="J6149"/>
    <hyperlink r:id="rId8501" ref="H6150"/>
    <hyperlink r:id="rId8502" ref="H6151"/>
    <hyperlink r:id="rId8503" ref="H6152"/>
    <hyperlink r:id="rId8504" ref="I6152"/>
    <hyperlink r:id="rId8505" ref="J6152"/>
    <hyperlink r:id="rId8506" ref="H6153"/>
    <hyperlink r:id="rId8507" ref="I6153"/>
    <hyperlink r:id="rId8508" ref="H6154"/>
    <hyperlink r:id="rId8509" ref="I6154"/>
    <hyperlink r:id="rId8510" ref="H6155"/>
    <hyperlink r:id="rId8511" ref="H6156"/>
    <hyperlink r:id="rId8512" ref="H6157"/>
    <hyperlink r:id="rId8513" ref="H6158"/>
    <hyperlink r:id="rId8514" ref="H6159"/>
    <hyperlink r:id="rId8515" ref="I6159"/>
    <hyperlink r:id="rId8516" ref="H6160"/>
    <hyperlink r:id="rId8517" ref="J6160"/>
    <hyperlink r:id="rId8518" ref="H6161"/>
    <hyperlink r:id="rId8519" ref="I6161"/>
    <hyperlink r:id="rId8520" ref="J6161"/>
    <hyperlink r:id="rId8521" ref="H6162"/>
    <hyperlink r:id="rId8522" ref="H6163"/>
    <hyperlink r:id="rId8523" ref="J6163"/>
    <hyperlink r:id="rId8524" ref="H6164"/>
    <hyperlink r:id="rId8525" ref="I6164"/>
    <hyperlink r:id="rId8526" ref="H6165"/>
    <hyperlink r:id="rId8527" ref="J6165"/>
    <hyperlink r:id="rId8528" ref="H6166"/>
    <hyperlink r:id="rId8529" ref="I6166"/>
    <hyperlink r:id="rId8530" ref="H6167"/>
    <hyperlink r:id="rId8531" ref="H6168"/>
    <hyperlink r:id="rId8532" ref="H6169"/>
    <hyperlink r:id="rId8533" ref="I6169"/>
    <hyperlink r:id="rId8534" ref="J6169"/>
    <hyperlink r:id="rId8535" ref="H6170"/>
    <hyperlink r:id="rId8536" ref="I6170"/>
    <hyperlink r:id="rId8537" ref="H6171"/>
    <hyperlink r:id="rId8538" ref="I6171"/>
    <hyperlink r:id="rId8539" ref="H6172"/>
    <hyperlink r:id="rId8540" ref="I6172"/>
    <hyperlink r:id="rId8541" ref="J6172"/>
    <hyperlink r:id="rId8542" ref="H6173"/>
    <hyperlink r:id="rId8543" ref="I6173"/>
    <hyperlink r:id="rId8544" ref="H6174"/>
    <hyperlink r:id="rId8545" ref="H6175"/>
    <hyperlink r:id="rId8546" ref="I6175"/>
    <hyperlink r:id="rId8547" ref="J6175"/>
    <hyperlink r:id="rId8548" ref="H6176"/>
    <hyperlink r:id="rId8549" ref="H6177"/>
    <hyperlink r:id="rId8550" ref="I6177"/>
    <hyperlink r:id="rId8551" ref="H6178"/>
    <hyperlink r:id="rId8552" ref="I6178"/>
    <hyperlink r:id="rId8553" ref="H6179"/>
    <hyperlink r:id="rId8554" ref="I6179"/>
    <hyperlink r:id="rId8555" ref="H6180"/>
    <hyperlink r:id="rId8556" ref="I6180"/>
    <hyperlink r:id="rId8557" ref="J6180"/>
    <hyperlink r:id="rId8558" ref="J6181"/>
    <hyperlink r:id="rId8559" ref="J6182"/>
    <hyperlink r:id="rId8560" ref="J6183"/>
    <hyperlink r:id="rId8561" ref="J6184"/>
    <hyperlink r:id="rId8562" ref="J6185"/>
    <hyperlink r:id="rId8563" ref="J6186"/>
    <hyperlink r:id="rId8564" ref="J6187"/>
    <hyperlink r:id="rId8565" ref="H6188"/>
    <hyperlink r:id="rId8566" ref="J6188"/>
    <hyperlink r:id="rId8567" ref="J6189"/>
    <hyperlink r:id="rId8568" ref="J6190"/>
    <hyperlink r:id="rId8569" ref="J6191"/>
    <hyperlink r:id="rId8570" ref="J6192"/>
    <hyperlink r:id="rId8571" ref="J6193"/>
    <hyperlink r:id="rId8572" ref="J6194"/>
    <hyperlink r:id="rId8573" ref="J6195"/>
    <hyperlink r:id="rId8574" ref="J6196"/>
    <hyperlink r:id="rId8575" ref="J6197"/>
    <hyperlink r:id="rId8576" ref="J6198"/>
    <hyperlink r:id="rId8577" ref="J6199"/>
    <hyperlink r:id="rId8578" ref="J6200"/>
    <hyperlink r:id="rId8579" ref="J6201"/>
    <hyperlink r:id="rId8580" ref="J6202"/>
    <hyperlink r:id="rId8581" ref="J6203"/>
    <hyperlink r:id="rId8582" ref="J6204"/>
    <hyperlink r:id="rId8583" ref="J6205"/>
    <hyperlink r:id="rId8584" ref="J6206"/>
    <hyperlink r:id="rId8585" ref="J6207"/>
    <hyperlink r:id="rId8586" ref="J6208"/>
    <hyperlink r:id="rId8587" ref="J6209"/>
    <hyperlink r:id="rId8588" ref="J6210"/>
    <hyperlink r:id="rId8589" ref="J6211"/>
    <hyperlink r:id="rId8590" ref="J6212"/>
    <hyperlink r:id="rId8591" ref="J6213"/>
    <hyperlink r:id="rId8592" ref="J6214"/>
    <hyperlink r:id="rId8593" ref="J6215"/>
    <hyperlink r:id="rId8594" ref="J6216"/>
    <hyperlink r:id="rId8595" ref="J6217"/>
    <hyperlink r:id="rId8596" ref="J6218"/>
    <hyperlink r:id="rId8597" ref="J6219"/>
    <hyperlink r:id="rId8598" ref="J6220"/>
    <hyperlink r:id="rId8599" ref="J6221"/>
    <hyperlink r:id="rId8600" ref="J6222"/>
    <hyperlink r:id="rId8601" ref="J6223"/>
    <hyperlink r:id="rId8602" ref="H6224"/>
    <hyperlink r:id="rId8603" ref="H6225"/>
    <hyperlink r:id="rId8604" ref="H6226"/>
    <hyperlink r:id="rId8605" ref="I6226"/>
    <hyperlink r:id="rId8606" ref="H6227"/>
    <hyperlink r:id="rId8607" ref="J6227"/>
    <hyperlink r:id="rId8608" ref="H6228"/>
    <hyperlink r:id="rId8609" ref="I6228"/>
    <hyperlink r:id="rId8610" ref="H6229"/>
    <hyperlink r:id="rId8611" ref="I6229"/>
    <hyperlink r:id="rId8612" ref="H6230"/>
    <hyperlink r:id="rId8613" ref="H6231"/>
    <hyperlink r:id="rId8614" ref="I6231"/>
    <hyperlink r:id="rId8615" ref="H6232"/>
    <hyperlink r:id="rId8616" ref="J6232"/>
    <hyperlink r:id="rId8617" ref="H6233"/>
    <hyperlink r:id="rId8618" ref="H6234"/>
    <hyperlink r:id="rId8619" ref="H6235"/>
    <hyperlink r:id="rId8620" ref="I6235"/>
    <hyperlink r:id="rId8621" ref="H6236"/>
    <hyperlink r:id="rId8622" ref="I6236"/>
    <hyperlink r:id="rId8623" ref="H6237"/>
    <hyperlink r:id="rId8624" ref="I6237"/>
    <hyperlink r:id="rId8625" ref="H6238"/>
    <hyperlink r:id="rId8626" ref="I6238"/>
    <hyperlink r:id="rId8627" ref="H6239"/>
    <hyperlink r:id="rId8628" ref="H6240"/>
    <hyperlink r:id="rId8629" ref="I6240"/>
    <hyperlink r:id="rId8630" ref="H6241"/>
    <hyperlink r:id="rId8631" ref="I6241"/>
    <hyperlink r:id="rId8632" ref="H6242"/>
    <hyperlink r:id="rId8633" ref="J6242"/>
    <hyperlink r:id="rId8634" ref="H6243"/>
    <hyperlink r:id="rId8635" ref="H6244"/>
    <hyperlink r:id="rId8636" ref="I6244"/>
    <hyperlink r:id="rId8637" ref="H6245"/>
    <hyperlink r:id="rId8638" ref="I6245"/>
    <hyperlink r:id="rId8639" ref="J6245"/>
    <hyperlink r:id="rId8640" ref="H6246"/>
    <hyperlink r:id="rId8641" ref="H6247"/>
    <hyperlink r:id="rId8642" ref="I6247"/>
    <hyperlink r:id="rId8643" ref="H6248"/>
    <hyperlink r:id="rId8644" ref="H6249"/>
    <hyperlink r:id="rId8645" ref="J6249"/>
    <hyperlink r:id="rId8646" ref="H6250"/>
    <hyperlink r:id="rId8647" ref="J6250"/>
    <hyperlink r:id="rId8648" ref="H6251"/>
    <hyperlink r:id="rId8649" ref="J6251"/>
    <hyperlink r:id="rId8650" ref="H6252"/>
    <hyperlink r:id="rId8651" ref="H6253"/>
    <hyperlink r:id="rId8652" ref="I6253"/>
    <hyperlink r:id="rId8653" ref="H6254"/>
    <hyperlink r:id="rId8654" ref="I6254"/>
    <hyperlink r:id="rId8655" ref="H6255"/>
    <hyperlink r:id="rId8656" ref="I6255"/>
    <hyperlink r:id="rId8657" ref="H6256"/>
    <hyperlink r:id="rId8658" ref="I6256"/>
    <hyperlink r:id="rId8659" ref="H6257"/>
    <hyperlink r:id="rId8660" ref="I6257"/>
    <hyperlink r:id="rId8661" ref="J6257"/>
    <hyperlink r:id="rId8662" ref="H6258"/>
    <hyperlink r:id="rId8663" ref="H6259"/>
    <hyperlink r:id="rId8664" ref="I6259"/>
    <hyperlink r:id="rId8665" ref="J6259"/>
    <hyperlink r:id="rId8666" ref="H6260"/>
    <hyperlink r:id="rId8667" ref="H6261"/>
    <hyperlink r:id="rId8668" ref="H6262"/>
    <hyperlink r:id="rId8669" ref="I6262"/>
    <hyperlink r:id="rId8670" ref="J6263"/>
    <hyperlink r:id="rId8671" ref="H6264"/>
    <hyperlink r:id="rId8672" ref="H6265"/>
    <hyperlink r:id="rId8673" ref="I6265"/>
    <hyperlink r:id="rId8674" ref="H6266"/>
    <hyperlink r:id="rId8675" ref="H6267"/>
    <hyperlink r:id="rId8676" ref="I6267"/>
    <hyperlink r:id="rId8677" ref="H6268"/>
    <hyperlink r:id="rId8678" ref="I6268"/>
    <hyperlink r:id="rId8679" ref="H6269"/>
    <hyperlink r:id="rId8680" ref="H6270"/>
    <hyperlink r:id="rId8681" ref="I6270"/>
    <hyperlink r:id="rId8682" ref="H6271"/>
    <hyperlink r:id="rId8683" ref="I6271"/>
    <hyperlink r:id="rId8684" ref="H6272"/>
    <hyperlink r:id="rId8685" ref="J6273"/>
    <hyperlink r:id="rId8686" ref="H6274"/>
    <hyperlink r:id="rId8687" ref="I6274"/>
    <hyperlink r:id="rId8688" ref="H6275"/>
    <hyperlink r:id="rId8689" ref="I6275"/>
    <hyperlink r:id="rId8690" ref="H6276"/>
    <hyperlink r:id="rId8691" ref="I6276"/>
    <hyperlink r:id="rId8692" ref="H6277"/>
    <hyperlink r:id="rId8693" ref="I6277"/>
    <hyperlink r:id="rId8694" ref="H6278"/>
    <hyperlink r:id="rId8695" ref="H6279"/>
    <hyperlink r:id="rId8696" ref="H6280"/>
    <hyperlink r:id="rId8697" ref="H6281"/>
    <hyperlink r:id="rId8698" ref="H6282"/>
    <hyperlink r:id="rId8699" ref="I6282"/>
    <hyperlink r:id="rId8700" ref="H6283"/>
    <hyperlink r:id="rId8701" ref="I6283"/>
    <hyperlink r:id="rId8702" ref="H6284"/>
    <hyperlink r:id="rId8703" ref="I6284"/>
    <hyperlink r:id="rId8704" ref="H6285"/>
    <hyperlink r:id="rId8705" ref="I6285"/>
    <hyperlink r:id="rId8706" ref="H6286"/>
    <hyperlink r:id="rId8707" ref="H6287"/>
    <hyperlink r:id="rId8708" ref="H6288"/>
    <hyperlink r:id="rId8709" ref="I6288"/>
    <hyperlink r:id="rId8710" ref="J6289"/>
    <hyperlink r:id="rId8711" ref="H6290"/>
    <hyperlink r:id="rId8712" ref="I6290"/>
    <hyperlink r:id="rId8713" ref="H6291"/>
    <hyperlink r:id="rId8714" ref="I6291"/>
    <hyperlink r:id="rId8715" ref="H6292"/>
    <hyperlink r:id="rId8716" ref="J6293"/>
    <hyperlink r:id="rId8717" ref="J6294"/>
    <hyperlink r:id="rId8718" ref="H6295"/>
    <hyperlink r:id="rId8719" ref="I6295"/>
    <hyperlink r:id="rId8720" ref="H6296"/>
    <hyperlink r:id="rId8721" ref="I6296"/>
    <hyperlink r:id="rId8722" ref="H6297"/>
    <hyperlink r:id="rId8723" ref="H6298"/>
    <hyperlink r:id="rId8724" ref="J6298"/>
    <hyperlink r:id="rId8725" ref="H6299"/>
    <hyperlink r:id="rId8726" ref="I6299"/>
    <hyperlink r:id="rId8727" ref="J6300"/>
    <hyperlink r:id="rId8728" ref="H6301"/>
    <hyperlink r:id="rId8729" ref="H6302"/>
    <hyperlink r:id="rId8730" ref="H6303"/>
    <hyperlink r:id="rId8731" ref="J6303"/>
    <hyperlink r:id="rId8732" ref="H6304"/>
    <hyperlink r:id="rId8733" ref="J6305"/>
    <hyperlink r:id="rId8734" ref="H6306"/>
    <hyperlink r:id="rId8735" ref="J6306"/>
    <hyperlink r:id="rId8736" ref="H6307"/>
    <hyperlink r:id="rId8737" ref="H6308"/>
    <hyperlink r:id="rId8738" ref="H6309"/>
    <hyperlink r:id="rId8739" ref="H6310"/>
    <hyperlink r:id="rId8740" ref="I6310"/>
    <hyperlink r:id="rId8741" ref="H6311"/>
    <hyperlink r:id="rId8742" ref="J6311"/>
    <hyperlink r:id="rId8743" ref="H6312"/>
    <hyperlink r:id="rId8744" ref="I6312"/>
    <hyperlink r:id="rId8745" ref="H6313"/>
    <hyperlink r:id="rId8746" ref="I6313"/>
    <hyperlink r:id="rId8747" ref="H6314"/>
    <hyperlink r:id="rId8748" ref="H6315"/>
    <hyperlink r:id="rId8749" ref="H6316"/>
    <hyperlink r:id="rId8750" ref="I6316"/>
    <hyperlink r:id="rId8751" ref="H6317"/>
    <hyperlink r:id="rId8752" ref="J6318"/>
    <hyperlink r:id="rId8753" ref="H6319"/>
    <hyperlink r:id="rId8754" ref="J6320"/>
    <hyperlink r:id="rId8755" ref="H6321"/>
    <hyperlink r:id="rId8756" ref="H6322"/>
    <hyperlink r:id="rId8757" ref="I6322"/>
    <hyperlink r:id="rId8758" ref="H6323"/>
    <hyperlink r:id="rId8759" ref="I6323"/>
    <hyperlink r:id="rId8760" ref="K6323"/>
    <hyperlink r:id="rId8761" ref="H6324"/>
    <hyperlink r:id="rId8762" ref="H6325"/>
    <hyperlink r:id="rId8763" ref="H6326"/>
    <hyperlink r:id="rId8764" ref="J6326"/>
    <hyperlink r:id="rId8765" ref="J6327"/>
    <hyperlink r:id="rId8766" ref="H6328"/>
    <hyperlink r:id="rId8767" ref="J6329"/>
    <hyperlink r:id="rId8768" ref="H6330"/>
    <hyperlink r:id="rId8769" ref="H6331"/>
    <hyperlink r:id="rId8770" ref="H6332"/>
    <hyperlink r:id="rId8771" ref="J6332"/>
    <hyperlink r:id="rId8772" ref="J6333"/>
    <hyperlink r:id="rId8773" ref="H6334"/>
    <hyperlink r:id="rId8774" ref="I6334"/>
    <hyperlink r:id="rId8775" ref="H6335"/>
    <hyperlink r:id="rId8776" ref="J6335"/>
    <hyperlink r:id="rId8777" ref="H6336"/>
    <hyperlink r:id="rId8778" ref="I6336"/>
    <hyperlink r:id="rId8779" ref="J6337"/>
    <hyperlink r:id="rId8780" ref="H6338"/>
    <hyperlink r:id="rId8781" ref="J6338"/>
    <hyperlink r:id="rId8782" ref="H6339"/>
    <hyperlink r:id="rId8783" ref="J6339"/>
    <hyperlink r:id="rId8784" ref="H6340"/>
    <hyperlink r:id="rId8785" ref="H6341"/>
    <hyperlink r:id="rId8786" ref="L6341"/>
    <hyperlink r:id="rId8787" ref="J6342"/>
    <hyperlink r:id="rId8788" ref="H6343"/>
    <hyperlink r:id="rId8789" ref="I6343"/>
    <hyperlink r:id="rId8790" ref="H6344"/>
    <hyperlink r:id="rId8791" ref="I6344"/>
    <hyperlink r:id="rId8792" ref="J6344"/>
    <hyperlink r:id="rId8793" ref="L6344"/>
    <hyperlink r:id="rId8794" ref="H6345"/>
    <hyperlink r:id="rId8795" ref="I6345"/>
    <hyperlink r:id="rId8796" ref="H6346"/>
    <hyperlink r:id="rId8797" ref="I6346"/>
    <hyperlink r:id="rId8798" ref="H6347"/>
    <hyperlink r:id="rId8799" ref="H6348"/>
    <hyperlink r:id="rId8800" ref="H6349"/>
    <hyperlink r:id="rId8801" ref="H6350"/>
    <hyperlink r:id="rId8802" ref="J6350"/>
    <hyperlink r:id="rId8803" ref="H6351"/>
    <hyperlink r:id="rId8804" ref="H6352"/>
    <hyperlink r:id="rId8805" ref="J6353"/>
    <hyperlink r:id="rId8806" ref="J6354"/>
    <hyperlink r:id="rId8807" ref="H6355"/>
    <hyperlink r:id="rId8808" ref="J6355"/>
    <hyperlink r:id="rId8809" ref="J6356"/>
    <hyperlink r:id="rId8810" ref="J6357"/>
    <hyperlink r:id="rId8811" ref="J6358"/>
    <hyperlink r:id="rId8812" ref="H6359"/>
    <hyperlink r:id="rId8813" ref="I6359"/>
    <hyperlink r:id="rId8814" ref="J6360"/>
    <hyperlink r:id="rId8815" ref="J6361"/>
    <hyperlink r:id="rId8816" ref="H6362"/>
    <hyperlink r:id="rId8817" ref="J6362"/>
    <hyperlink r:id="rId8818" ref="H6363"/>
    <hyperlink r:id="rId8819" ref="J6364"/>
    <hyperlink r:id="rId8820" ref="H6365"/>
    <hyperlink r:id="rId8821" ref="I6365"/>
    <hyperlink r:id="rId8822" ref="H6366"/>
    <hyperlink r:id="rId8823" ref="I6366"/>
    <hyperlink r:id="rId8824" ref="J6366"/>
    <hyperlink r:id="rId8825" ref="H6367"/>
    <hyperlink r:id="rId8826" ref="J6367"/>
    <hyperlink r:id="rId8827" ref="H6368"/>
    <hyperlink r:id="rId8828" ref="J6369"/>
    <hyperlink r:id="rId8829" ref="J6370"/>
    <hyperlink r:id="rId8830" ref="J6371"/>
    <hyperlink r:id="rId8831" ref="J6372"/>
    <hyperlink r:id="rId8832" ref="H6373"/>
    <hyperlink r:id="rId8833" ref="J6373"/>
    <hyperlink r:id="rId8834" ref="J6374"/>
    <hyperlink r:id="rId8835" ref="H6375"/>
    <hyperlink r:id="rId8836" ref="I6375"/>
    <hyperlink r:id="rId8837" ref="H6376"/>
    <hyperlink r:id="rId8838" ref="I6376"/>
    <hyperlink r:id="rId8839" ref="J6377"/>
    <hyperlink r:id="rId8840" ref="H6378"/>
    <hyperlink r:id="rId8841" ref="I6378"/>
    <hyperlink r:id="rId8842" ref="H6379"/>
    <hyperlink r:id="rId8843" ref="I6379"/>
    <hyperlink r:id="rId8844" ref="H6380"/>
    <hyperlink r:id="rId8845" ref="I6380"/>
    <hyperlink r:id="rId8846" ref="J6380"/>
    <hyperlink r:id="rId8847" ref="H6381"/>
    <hyperlink r:id="rId8848" ref="I6381"/>
    <hyperlink r:id="rId8849" ref="H6382"/>
    <hyperlink r:id="rId8850" ref="K6382"/>
    <hyperlink r:id="rId8851" ref="J6383"/>
    <hyperlink r:id="rId8852" ref="J6384"/>
    <hyperlink r:id="rId8853" ref="H6385"/>
    <hyperlink r:id="rId8854" ref="J6385"/>
    <hyperlink r:id="rId8855" ref="H6386"/>
    <hyperlink r:id="rId8856" ref="H6387"/>
    <hyperlink r:id="rId8857" ref="J6388"/>
    <hyperlink r:id="rId8858" ref="J6389"/>
    <hyperlink r:id="rId8859" ref="H6390"/>
    <hyperlink r:id="rId8860" ref="H6391"/>
    <hyperlink r:id="rId8861" ref="J6391"/>
    <hyperlink r:id="rId8862" ref="J6392"/>
    <hyperlink r:id="rId8863" ref="J6393"/>
    <hyperlink r:id="rId8864" ref="J6394"/>
    <hyperlink r:id="rId8865" ref="J6395"/>
    <hyperlink r:id="rId8866" ref="H6396"/>
    <hyperlink r:id="rId8867" ref="I6396"/>
    <hyperlink r:id="rId8868" ref="H6397"/>
    <hyperlink r:id="rId8869" ref="J6397"/>
    <hyperlink r:id="rId8870" ref="J6398"/>
    <hyperlink r:id="rId8871" ref="H6399"/>
    <hyperlink r:id="rId8872" ref="I6399"/>
    <hyperlink r:id="rId8873" ref="J6399"/>
    <hyperlink r:id="rId8874" ref="J6400"/>
    <hyperlink r:id="rId8875" ref="H6401"/>
    <hyperlink r:id="rId8876" ref="I6401"/>
    <hyperlink r:id="rId8877" ref="H6402"/>
    <hyperlink r:id="rId8878" ref="J6402"/>
    <hyperlink r:id="rId8879" ref="H6403"/>
    <hyperlink r:id="rId8880" ref="J6403"/>
    <hyperlink r:id="rId8881" ref="H6404"/>
    <hyperlink r:id="rId8882" ref="H6405"/>
    <hyperlink r:id="rId8883" ref="I6405"/>
    <hyperlink r:id="rId8884" ref="H6406"/>
    <hyperlink r:id="rId8885" ref="I6406"/>
    <hyperlink r:id="rId8886" ref="J6406"/>
    <hyperlink r:id="rId8887" ref="H6407"/>
    <hyperlink r:id="rId8888" ref="J6408"/>
    <hyperlink r:id="rId8889" ref="H6409"/>
    <hyperlink r:id="rId8890" ref="J6409"/>
    <hyperlink r:id="rId8891" ref="J6410"/>
    <hyperlink r:id="rId8892" ref="H6411"/>
    <hyperlink r:id="rId8893" ref="I6411"/>
    <hyperlink r:id="rId8894" ref="J6411"/>
    <hyperlink r:id="rId8895" ref="H6412"/>
    <hyperlink r:id="rId8896" ref="H6413"/>
    <hyperlink r:id="rId8897" ref="I6413"/>
    <hyperlink r:id="rId8898" ref="J6413"/>
    <hyperlink r:id="rId8899" ref="H6414"/>
    <hyperlink r:id="rId8900" ref="H6415"/>
    <hyperlink r:id="rId8901" ref="H6416"/>
    <hyperlink r:id="rId8902" ref="J6417"/>
    <hyperlink r:id="rId8903" ref="J6418"/>
    <hyperlink r:id="rId8904" ref="H6419"/>
    <hyperlink r:id="rId8905" ref="H6420"/>
    <hyperlink r:id="rId8906" ref="I6420"/>
    <hyperlink r:id="rId8907" ref="H6421"/>
    <hyperlink r:id="rId8908" ref="J6421"/>
    <hyperlink r:id="rId8909" ref="H6422"/>
    <hyperlink r:id="rId8910" ref="I6422"/>
    <hyperlink r:id="rId8911" ref="H6423"/>
    <hyperlink r:id="rId8912" ref="I6423"/>
    <hyperlink r:id="rId8913" ref="J6423"/>
    <hyperlink r:id="rId8914" ref="J6424"/>
    <hyperlink r:id="rId8915" ref="J6425"/>
    <hyperlink r:id="rId8916" ref="J6426"/>
    <hyperlink r:id="rId8917" ref="H6427"/>
    <hyperlink r:id="rId8918" ref="I6427"/>
    <hyperlink r:id="rId8919" ref="J6428"/>
    <hyperlink r:id="rId8920" ref="H6429"/>
    <hyperlink r:id="rId8921" ref="J6429"/>
    <hyperlink r:id="rId8922" ref="J6430"/>
    <hyperlink r:id="rId8923" ref="H6431"/>
    <hyperlink r:id="rId8924" ref="J6431"/>
    <hyperlink r:id="rId8925" ref="H6432"/>
    <hyperlink r:id="rId8926" ref="J6433"/>
    <hyperlink r:id="rId8927" ref="H6434"/>
    <hyperlink r:id="rId8928" ref="J6434"/>
    <hyperlink r:id="rId8929" ref="H6435"/>
    <hyperlink r:id="rId8930" ref="H6436"/>
    <hyperlink r:id="rId8931" ref="I6436"/>
    <hyperlink r:id="rId8932" ref="J6436"/>
    <hyperlink r:id="rId8933" ref="H6437"/>
    <hyperlink r:id="rId8934" ref="J6437"/>
    <hyperlink r:id="rId8935" ref="H6438"/>
    <hyperlink r:id="rId8936" ref="I6438"/>
    <hyperlink r:id="rId8937" ref="J6438"/>
    <hyperlink r:id="rId8938" ref="J6439"/>
    <hyperlink r:id="rId8939" ref="J6440"/>
    <hyperlink r:id="rId8940" ref="H6441"/>
    <hyperlink r:id="rId8941" ref="H6442"/>
    <hyperlink r:id="rId8942" ref="J6443"/>
    <hyperlink r:id="rId8943" ref="H6444"/>
    <hyperlink r:id="rId8944" ref="J6445"/>
    <hyperlink r:id="rId8945" ref="H6446"/>
    <hyperlink r:id="rId8946" ref="J6446"/>
    <hyperlink r:id="rId8947" ref="H6447"/>
    <hyperlink r:id="rId8948" ref="J6447"/>
    <hyperlink r:id="rId8949" ref="H6448"/>
    <hyperlink r:id="rId8950" ref="I6448"/>
    <hyperlink r:id="rId8951" ref="J6448"/>
    <hyperlink r:id="rId8952" ref="H6449"/>
    <hyperlink r:id="rId8953" ref="H6450"/>
    <hyperlink r:id="rId8954" ref="H6451"/>
    <hyperlink r:id="rId8955" ref="I6451"/>
    <hyperlink r:id="rId8956" ref="H6452"/>
    <hyperlink r:id="rId8957" ref="H6453"/>
    <hyperlink r:id="rId8958" ref="J6453"/>
    <hyperlink r:id="rId8959" ref="H6454"/>
    <hyperlink r:id="rId8960" ref="J6454"/>
    <hyperlink r:id="rId8961" ref="H6455"/>
    <hyperlink r:id="rId8962" ref="I6455"/>
    <hyperlink r:id="rId8963" ref="H6456"/>
    <hyperlink r:id="rId8964" ref="I6456"/>
    <hyperlink r:id="rId8965" ref="H6457"/>
    <hyperlink r:id="rId8966" ref="K6457"/>
    <hyperlink r:id="rId8967" ref="H6458"/>
    <hyperlink r:id="rId8968" ref="I6458"/>
    <hyperlink r:id="rId8969" ref="H6459"/>
    <hyperlink r:id="rId8970" ref="J6459"/>
    <hyperlink r:id="rId8971" ref="L6459"/>
    <hyperlink r:id="rId8972" ref="H6460"/>
    <hyperlink r:id="rId8973" ref="I6460"/>
    <hyperlink r:id="rId8974" ref="H6461"/>
    <hyperlink r:id="rId8975" ref="I6461"/>
    <hyperlink r:id="rId8976" ref="H6462"/>
    <hyperlink r:id="rId8977" ref="I6462"/>
    <hyperlink r:id="rId8978" ref="J6462"/>
    <hyperlink r:id="rId8979" ref="H6463"/>
    <hyperlink r:id="rId8980" ref="J6463"/>
    <hyperlink r:id="rId8981" ref="H6464"/>
    <hyperlink r:id="rId8982" ref="I6464"/>
    <hyperlink r:id="rId8983" ref="J6464"/>
    <hyperlink r:id="rId8984" ref="L6464"/>
    <hyperlink r:id="rId8985" ref="H6465"/>
    <hyperlink r:id="rId8986" ref="I6465"/>
    <hyperlink r:id="rId8987" ref="H6466"/>
    <hyperlink r:id="rId8988" ref="I6466"/>
    <hyperlink r:id="rId8989" ref="H6467"/>
    <hyperlink r:id="rId8990" ref="I6467"/>
    <hyperlink r:id="rId8991" ref="J6467"/>
    <hyperlink r:id="rId8992" ref="K6467"/>
    <hyperlink r:id="rId8993" ref="L6467"/>
    <hyperlink r:id="rId8994" ref="H6468"/>
    <hyperlink r:id="rId8995" ref="I6468"/>
    <hyperlink r:id="rId8996" ref="J6468"/>
    <hyperlink r:id="rId8997" ref="H6469"/>
    <hyperlink r:id="rId8998" ref="I6469"/>
    <hyperlink r:id="rId8999" ref="J6469"/>
    <hyperlink r:id="rId9000" ref="P6469"/>
    <hyperlink r:id="rId9001" ref="H6470"/>
    <hyperlink r:id="rId9002" ref="I6470"/>
    <hyperlink r:id="rId9003" ref="H6471"/>
    <hyperlink r:id="rId9004" ref="I6471"/>
    <hyperlink r:id="rId9005" ref="H6472"/>
    <hyperlink r:id="rId9006" ref="H6474"/>
    <hyperlink r:id="rId9007" ref="J6474"/>
    <hyperlink r:id="rId9008" ref="L6474"/>
    <hyperlink r:id="rId9009" ref="J6475"/>
    <hyperlink r:id="rId9010" ref="H6476"/>
    <hyperlink r:id="rId9011" ref="I6476"/>
    <hyperlink r:id="rId9012" ref="J6476"/>
    <hyperlink r:id="rId9013" ref="H6477"/>
    <hyperlink r:id="rId9014" ref="I6477"/>
    <hyperlink r:id="rId9015" ref="H6478"/>
    <hyperlink r:id="rId9016" ref="I6478"/>
    <hyperlink r:id="rId9017" ref="H6479"/>
    <hyperlink r:id="rId9018" ref="I6479"/>
    <hyperlink r:id="rId9019" ref="H6480"/>
    <hyperlink r:id="rId9020" ref="I6480"/>
    <hyperlink r:id="rId9021" ref="H6481"/>
    <hyperlink r:id="rId9022" ref="I6481"/>
    <hyperlink r:id="rId9023" ref="H6482"/>
    <hyperlink r:id="rId9024" ref="I6482"/>
    <hyperlink r:id="rId9025" ref="K6482"/>
    <hyperlink r:id="rId9026" ref="H6483"/>
    <hyperlink r:id="rId9027" ref="I6483"/>
    <hyperlink r:id="rId9028" ref="H6484"/>
    <hyperlink r:id="rId9029" ref="H6485"/>
    <hyperlink r:id="rId9030" ref="I6485"/>
    <hyperlink r:id="rId9031" ref="H6486"/>
    <hyperlink r:id="rId9032" ref="I6486"/>
    <hyperlink r:id="rId9033" ref="J6486"/>
    <hyperlink r:id="rId9034" ref="H6487"/>
    <hyperlink r:id="rId9035" ref="I6487"/>
    <hyperlink r:id="rId9036" ref="J6487"/>
    <hyperlink r:id="rId9037" ref="K6487"/>
    <hyperlink r:id="rId9038" ref="H6488"/>
    <hyperlink r:id="rId9039" ref="I6488"/>
    <hyperlink r:id="rId9040" ref="H6489"/>
    <hyperlink r:id="rId9041" ref="J6490"/>
    <hyperlink r:id="rId9042" ref="H6491"/>
    <hyperlink r:id="rId9043" ref="I6491"/>
    <hyperlink r:id="rId9044" ref="J6491"/>
    <hyperlink r:id="rId9045" ref="H6492"/>
    <hyperlink r:id="rId9046" ref="I6492"/>
    <hyperlink r:id="rId9047" ref="H6493"/>
    <hyperlink r:id="rId9048" ref="I6493"/>
    <hyperlink r:id="rId9049" ref="H6494"/>
    <hyperlink r:id="rId9050" ref="I6494"/>
    <hyperlink r:id="rId9051" ref="J6494"/>
    <hyperlink r:id="rId9052" ref="J6495"/>
    <hyperlink r:id="rId9053" ref="J6496"/>
    <hyperlink r:id="rId9054" ref="J6497"/>
    <hyperlink r:id="rId9055" ref="H6498"/>
    <hyperlink r:id="rId9056" ref="I6498"/>
    <hyperlink r:id="rId9057" ref="J6498"/>
    <hyperlink r:id="rId9058" ref="H6499"/>
    <hyperlink r:id="rId9059" ref="J6499"/>
    <hyperlink r:id="rId9060" ref="H6500"/>
    <hyperlink r:id="rId9061" ref="I6500"/>
    <hyperlink r:id="rId9062" ref="H6501"/>
    <hyperlink r:id="rId9063" ref="I6501"/>
    <hyperlink r:id="rId9064" ref="H6502"/>
    <hyperlink r:id="rId9065" ref="I6502"/>
    <hyperlink r:id="rId9066" ref="J6502"/>
    <hyperlink r:id="rId9067" ref="H6503"/>
    <hyperlink r:id="rId9068" ref="J6504"/>
    <hyperlink r:id="rId9069" ref="H6505"/>
    <hyperlink r:id="rId9070" ref="I6505"/>
    <hyperlink r:id="rId9071" ref="J6505"/>
    <hyperlink r:id="rId9072" ref="H6506"/>
    <hyperlink r:id="rId9073" ref="I6506"/>
    <hyperlink r:id="rId9074" ref="H6508"/>
    <hyperlink r:id="rId9075" ref="I6508"/>
    <hyperlink r:id="rId9076" ref="J6508"/>
    <hyperlink r:id="rId9077" ref="H6509"/>
    <hyperlink r:id="rId9078" ref="I6509"/>
    <hyperlink r:id="rId9079" ref="J6509"/>
    <hyperlink r:id="rId9080" ref="J6510"/>
    <hyperlink r:id="rId9081" ref="H6511"/>
    <hyperlink r:id="rId9082" ref="H6512"/>
    <hyperlink r:id="rId9083" ref="I6512"/>
    <hyperlink r:id="rId9084" ref="L6512"/>
    <hyperlink r:id="rId9085" ref="H6513"/>
    <hyperlink r:id="rId9086" ref="I6513"/>
    <hyperlink r:id="rId9087" ref="J6513"/>
    <hyperlink r:id="rId9088" ref="H6514"/>
    <hyperlink r:id="rId9089" ref="I6514"/>
    <hyperlink r:id="rId9090" ref="L6515"/>
    <hyperlink r:id="rId9091" ref="H6516"/>
    <hyperlink r:id="rId9092" ref="J6516"/>
    <hyperlink r:id="rId9093" ref="H6517"/>
    <hyperlink r:id="rId9094" ref="I6517"/>
    <hyperlink r:id="rId9095" ref="J6518"/>
    <hyperlink r:id="rId9096" ref="J6519"/>
    <hyperlink r:id="rId9097" ref="J6520"/>
    <hyperlink r:id="rId9098" ref="J6521"/>
    <hyperlink r:id="rId9099" ref="J6522"/>
    <hyperlink r:id="rId9100" ref="H6523"/>
    <hyperlink r:id="rId9101" ref="J6523"/>
    <hyperlink r:id="rId9102" ref="J6524"/>
    <hyperlink r:id="rId9103" ref="J6525"/>
    <hyperlink r:id="rId9104" ref="J6526"/>
    <hyperlink r:id="rId9105" ref="J6527"/>
    <hyperlink r:id="rId9106" ref="H6528"/>
    <hyperlink r:id="rId9107" ref="I6528"/>
    <hyperlink r:id="rId9108" ref="J6528"/>
    <hyperlink r:id="rId9109" ref="J6529"/>
    <hyperlink r:id="rId9110" ref="J6530"/>
    <hyperlink r:id="rId9111" ref="J6531"/>
    <hyperlink r:id="rId9112" ref="J6532"/>
    <hyperlink r:id="rId9113" ref="J6533"/>
    <hyperlink r:id="rId9114" ref="J6534"/>
    <hyperlink r:id="rId9115" ref="H6535"/>
    <hyperlink r:id="rId9116" ref="J6535"/>
    <hyperlink r:id="rId9117" ref="J6536"/>
    <hyperlink r:id="rId9118" ref="J6537"/>
    <hyperlink r:id="rId9119" ref="J6538"/>
    <hyperlink r:id="rId9120" ref="J6539"/>
    <hyperlink r:id="rId9121" ref="J6540"/>
    <hyperlink r:id="rId9122" ref="J6541"/>
    <hyperlink r:id="rId9123" ref="J6542"/>
    <hyperlink r:id="rId9124" ref="J6543"/>
    <hyperlink r:id="rId9125" ref="J6544"/>
    <hyperlink r:id="rId9126" ref="J6545"/>
    <hyperlink r:id="rId9127" ref="J6546"/>
    <hyperlink r:id="rId9128" ref="J6547"/>
    <hyperlink r:id="rId9129" ref="J6548"/>
    <hyperlink r:id="rId9130" ref="J6549"/>
    <hyperlink r:id="rId9131" ref="H6550"/>
    <hyperlink r:id="rId9132" ref="J6550"/>
    <hyperlink r:id="rId9133" ref="I6551"/>
    <hyperlink r:id="rId9134" ref="J6552"/>
    <hyperlink r:id="rId9135" ref="H6553"/>
    <hyperlink r:id="rId9136" ref="J6553"/>
    <hyperlink r:id="rId9137" ref="J6554"/>
    <hyperlink r:id="rId9138" ref="J6555"/>
    <hyperlink r:id="rId9139" ref="H6556"/>
    <hyperlink r:id="rId9140" ref="J6556"/>
    <hyperlink r:id="rId9141" ref="H6557"/>
    <hyperlink r:id="rId9142" ref="H6558"/>
    <hyperlink r:id="rId9143" ref="J6559"/>
    <hyperlink r:id="rId9144" ref="J6560"/>
    <hyperlink r:id="rId9145" ref="J6561"/>
    <hyperlink r:id="rId9146" ref="J6562"/>
    <hyperlink r:id="rId9147" ref="J6563"/>
    <hyperlink r:id="rId9148" ref="J6564"/>
    <hyperlink r:id="rId9149" ref="H6565"/>
    <hyperlink r:id="rId9150" ref="I6565"/>
    <hyperlink r:id="rId9151" ref="J6565"/>
    <hyperlink r:id="rId9152" ref="J6566"/>
    <hyperlink r:id="rId9153" ref="J6567"/>
    <hyperlink r:id="rId9154" ref="J6568"/>
    <hyperlink r:id="rId9155" ref="J6569"/>
    <hyperlink r:id="rId9156" ref="H6570"/>
    <hyperlink r:id="rId9157" ref="H6571"/>
    <hyperlink r:id="rId9158" ref="J6572"/>
    <hyperlink r:id="rId9159" ref="H6573"/>
    <hyperlink r:id="rId9160" ref="J6573"/>
    <hyperlink r:id="rId9161" ref="H6574"/>
    <hyperlink r:id="rId9162" ref="J6574"/>
    <hyperlink r:id="rId9163" ref="J6575"/>
    <hyperlink r:id="rId9164" ref="J6576"/>
    <hyperlink r:id="rId9165" ref="H6577"/>
    <hyperlink r:id="rId9166" ref="J6577"/>
    <hyperlink r:id="rId9167" ref="J6578"/>
    <hyperlink r:id="rId9168" ref="J6579"/>
    <hyperlink r:id="rId9169" ref="H6580"/>
    <hyperlink r:id="rId9170" ref="J6581"/>
    <hyperlink r:id="rId9171" ref="H6582"/>
    <hyperlink r:id="rId9172" ref="H6583"/>
    <hyperlink r:id="rId9173" ref="J6583"/>
    <hyperlink r:id="rId9174" ref="I6584"/>
    <hyperlink r:id="rId9175" ref="J6584"/>
    <hyperlink r:id="rId9176" ref="H6585"/>
    <hyperlink r:id="rId9177" ref="J6585"/>
    <hyperlink r:id="rId9178" ref="J6586"/>
    <hyperlink r:id="rId9179" ref="H6587"/>
    <hyperlink r:id="rId9180" ref="J6588"/>
    <hyperlink r:id="rId9181" ref="H6589"/>
    <hyperlink r:id="rId9182" ref="H6590"/>
    <hyperlink r:id="rId9183" ref="J6590"/>
    <hyperlink r:id="rId9184" ref="H6591"/>
    <hyperlink r:id="rId9185" ref="H6592"/>
    <hyperlink r:id="rId9186" ref="I6593"/>
    <hyperlink r:id="rId9187" ref="H6594"/>
    <hyperlink r:id="rId9188" ref="I6594"/>
    <hyperlink r:id="rId9189" ref="H6595"/>
    <hyperlink r:id="rId9190" ref="J6595"/>
    <hyperlink r:id="rId9191" ref="H6596"/>
    <hyperlink r:id="rId9192" ref="J6596"/>
    <hyperlink r:id="rId9193" ref="J6597"/>
    <hyperlink r:id="rId9194" ref="J6598"/>
    <hyperlink r:id="rId9195" ref="H6599"/>
    <hyperlink r:id="rId9196" ref="I6599"/>
    <hyperlink r:id="rId9197" ref="J6599"/>
    <hyperlink r:id="rId9198" ref="J6600"/>
    <hyperlink r:id="rId9199" ref="H6601"/>
    <hyperlink r:id="rId9200" ref="J6601"/>
    <hyperlink r:id="rId9201" ref="L6602"/>
    <hyperlink r:id="rId9202" ref="H6603"/>
    <hyperlink r:id="rId9203" ref="J6603"/>
    <hyperlink r:id="rId9204" ref="H6604"/>
    <hyperlink r:id="rId9205" ref="H6605"/>
    <hyperlink r:id="rId9206" ref="I6605"/>
    <hyperlink r:id="rId9207" ref="H6606"/>
    <hyperlink r:id="rId9208" ref="J6606"/>
    <hyperlink r:id="rId9209" ref="H6607"/>
    <hyperlink r:id="rId9210" ref="H6608"/>
    <hyperlink r:id="rId9211" ref="H6609"/>
    <hyperlink r:id="rId9212" ref="H6610"/>
    <hyperlink r:id="rId9213" ref="I6610"/>
    <hyperlink r:id="rId9214" ref="I6611"/>
    <hyperlink r:id="rId9215" ref="J6612"/>
    <hyperlink r:id="rId9216" ref="H6613"/>
    <hyperlink r:id="rId9217" ref="H6614"/>
    <hyperlink r:id="rId9218" ref="J6614"/>
    <hyperlink r:id="rId9219" ref="H6615"/>
    <hyperlink r:id="rId9220" ref="I6615"/>
    <hyperlink r:id="rId9221" ref="J6615"/>
    <hyperlink r:id="rId9222" ref="H6616"/>
    <hyperlink r:id="rId9223" ref="H6617"/>
    <hyperlink r:id="rId9224" ref="H6618"/>
    <hyperlink r:id="rId9225" ref="H6619"/>
    <hyperlink r:id="rId9226" ref="H6620"/>
    <hyperlink r:id="rId9227" ref="H6621"/>
    <hyperlink r:id="rId9228" ref="H6622"/>
    <hyperlink r:id="rId9229" ref="H6623"/>
    <hyperlink r:id="rId9230" ref="H6624"/>
    <hyperlink r:id="rId9231" ref="I6624"/>
    <hyperlink r:id="rId9232" ref="J6624"/>
    <hyperlink r:id="rId9233" ref="H6625"/>
    <hyperlink r:id="rId9234" ref="J6626"/>
    <hyperlink r:id="rId9235" ref="J6627"/>
    <hyperlink r:id="rId9236" ref="H6628"/>
    <hyperlink r:id="rId9237" ref="H6629"/>
    <hyperlink r:id="rId9238" ref="H6630"/>
    <hyperlink r:id="rId9239" ref="H6631"/>
    <hyperlink r:id="rId9240" ref="J6631"/>
    <hyperlink r:id="rId9241" ref="J6632"/>
    <hyperlink r:id="rId9242" ref="H6633"/>
    <hyperlink r:id="rId9243" ref="I6633"/>
    <hyperlink r:id="rId9244" ref="H6634"/>
    <hyperlink r:id="rId9245" ref="H6635"/>
    <hyperlink r:id="rId9246" ref="J6635"/>
    <hyperlink r:id="rId9247" ref="H6636"/>
    <hyperlink r:id="rId9248" ref="J6636"/>
    <hyperlink r:id="rId9249" ref="H6637"/>
    <hyperlink r:id="rId9250" ref="J6637"/>
    <hyperlink r:id="rId9251" ref="H6638"/>
    <hyperlink r:id="rId9252" ref="H6639"/>
    <hyperlink r:id="rId9253" ref="H6640"/>
    <hyperlink r:id="rId9254" ref="I6640"/>
    <hyperlink r:id="rId9255" ref="H6641"/>
    <hyperlink r:id="rId9256" ref="H6642"/>
    <hyperlink r:id="rId9257" ref="H6643"/>
    <hyperlink r:id="rId9258" ref="H6644"/>
    <hyperlink r:id="rId9259" ref="I6644"/>
    <hyperlink r:id="rId9260" ref="H6645"/>
    <hyperlink r:id="rId9261" ref="J6645"/>
    <hyperlink r:id="rId9262" ref="H6646"/>
    <hyperlink r:id="rId9263" ref="J6647"/>
    <hyperlink r:id="rId9264" ref="H6648"/>
    <hyperlink r:id="rId9265" ref="J6648"/>
    <hyperlink r:id="rId9266" ref="H6649"/>
    <hyperlink r:id="rId9267" ref="J6649"/>
    <hyperlink r:id="rId9268" ref="J6650"/>
    <hyperlink r:id="rId9269" ref="H6651"/>
    <hyperlink r:id="rId9270" ref="H6652"/>
    <hyperlink r:id="rId9271" ref="I6652"/>
    <hyperlink r:id="rId9272" ref="J6653"/>
    <hyperlink r:id="rId9273" ref="J6654"/>
    <hyperlink r:id="rId9274" ref="H6655"/>
    <hyperlink r:id="rId9275" ref="H6656"/>
    <hyperlink r:id="rId9276" ref="I6656"/>
    <hyperlink r:id="rId9277" ref="H6657"/>
    <hyperlink r:id="rId9278" ref="J6658"/>
    <hyperlink r:id="rId9279" ref="H6659"/>
    <hyperlink r:id="rId9280" ref="H6660"/>
    <hyperlink r:id="rId9281" ref="I6660"/>
    <hyperlink r:id="rId9282" ref="J6660"/>
    <hyperlink r:id="rId9283" ref="J6661"/>
    <hyperlink r:id="rId9284" ref="H6662"/>
    <hyperlink r:id="rId9285" ref="H6663"/>
    <hyperlink r:id="rId9286" ref="H6664"/>
    <hyperlink r:id="rId9287" ref="J6664"/>
    <hyperlink r:id="rId9288" ref="J6665"/>
    <hyperlink r:id="rId9289" ref="H6666"/>
    <hyperlink r:id="rId9290" ref="H6667"/>
    <hyperlink r:id="rId9291" ref="H6668"/>
    <hyperlink r:id="rId9292" ref="I6668"/>
    <hyperlink r:id="rId9293" ref="J6668"/>
    <hyperlink r:id="rId9294" ref="H6669"/>
    <hyperlink r:id="rId9295" ref="H6670"/>
    <hyperlink r:id="rId9296" ref="H6671"/>
    <hyperlink r:id="rId9297" ref="H6672"/>
    <hyperlink r:id="rId9298" ref="I6672"/>
    <hyperlink r:id="rId9299" ref="H6673"/>
    <hyperlink r:id="rId9300" ref="H6674"/>
    <hyperlink r:id="rId9301" ref="I6674"/>
    <hyperlink r:id="rId9302" ref="H6675"/>
    <hyperlink r:id="rId9303" ref="H6676"/>
    <hyperlink r:id="rId9304" ref="H6677"/>
    <hyperlink r:id="rId9305" ref="J6678"/>
    <hyperlink r:id="rId9306" ref="H6679"/>
    <hyperlink r:id="rId9307" ref="H6680"/>
    <hyperlink r:id="rId9308" ref="J6680"/>
    <hyperlink r:id="rId9309" ref="H6681"/>
    <hyperlink r:id="rId9310" ref="J6681"/>
    <hyperlink r:id="rId9311" ref="H6682"/>
    <hyperlink r:id="rId9312" ref="I6682"/>
    <hyperlink r:id="rId9313" ref="H6683"/>
    <hyperlink r:id="rId9314" ref="H6684"/>
    <hyperlink r:id="rId9315" ref="J6684"/>
    <hyperlink r:id="rId9316" ref="H6685"/>
    <hyperlink r:id="rId9317" ref="I6685"/>
    <hyperlink r:id="rId9318" ref="J6685"/>
    <hyperlink r:id="rId9319" ref="H6686"/>
    <hyperlink r:id="rId9320" ref="I6686"/>
    <hyperlink r:id="rId9321" ref="J6686"/>
    <hyperlink r:id="rId9322" ref="H6687"/>
    <hyperlink r:id="rId9323" ref="I6687"/>
    <hyperlink r:id="rId9324" ref="J6687"/>
    <hyperlink r:id="rId9325" ref="H6688"/>
    <hyperlink r:id="rId9326" ref="H6689"/>
    <hyperlink r:id="rId9327" ref="H6690"/>
    <hyperlink r:id="rId9328" ref="I6690"/>
    <hyperlink r:id="rId9329" ref="H6691"/>
    <hyperlink r:id="rId9330" ref="I6691"/>
    <hyperlink r:id="rId9331" ref="J6691"/>
    <hyperlink r:id="rId9332" ref="H6692"/>
    <hyperlink r:id="rId9333" ref="H6693"/>
    <hyperlink r:id="rId9334" ref="H6694"/>
    <hyperlink r:id="rId9335" ref="H6695"/>
    <hyperlink r:id="rId9336" ref="I6695"/>
    <hyperlink r:id="rId9337" ref="H6696"/>
    <hyperlink r:id="rId9338" ref="I6696"/>
    <hyperlink r:id="rId9339" ref="J6697"/>
    <hyperlink r:id="rId9340" ref="H6698"/>
    <hyperlink r:id="rId9341" ref="H6699"/>
    <hyperlink r:id="rId9342" ref="H6700"/>
    <hyperlink r:id="rId9343" ref="J6700"/>
    <hyperlink r:id="rId9344" ref="H6701"/>
    <hyperlink r:id="rId9345" ref="H6702"/>
    <hyperlink r:id="rId9346" ref="H6703"/>
    <hyperlink r:id="rId9347" ref="J6703"/>
    <hyperlink r:id="rId9348" ref="H6704"/>
    <hyperlink r:id="rId9349" ref="J6704"/>
    <hyperlink r:id="rId9350" ref="L6704"/>
    <hyperlink r:id="rId9351" ref="H6705"/>
    <hyperlink r:id="rId9352" ref="J6705"/>
    <hyperlink r:id="rId9353" ref="H6706"/>
    <hyperlink r:id="rId9354" ref="J6706"/>
    <hyperlink r:id="rId9355" ref="H6707"/>
    <hyperlink r:id="rId9356" ref="H6708"/>
    <hyperlink r:id="rId9357" ref="H6709"/>
    <hyperlink r:id="rId9358" ref="H6710"/>
    <hyperlink r:id="rId9359" ref="J6710"/>
    <hyperlink r:id="rId9360" ref="H6711"/>
    <hyperlink r:id="rId9361" ref="H6712"/>
    <hyperlink r:id="rId9362" ref="H6713"/>
    <hyperlink r:id="rId9363" ref="J6713"/>
    <hyperlink r:id="rId9364" ref="J6714"/>
    <hyperlink r:id="rId9365" ref="H6715"/>
    <hyperlink r:id="rId9366" ref="H6716"/>
    <hyperlink r:id="rId9367" ref="I6716"/>
    <hyperlink r:id="rId9368" ref="J6716"/>
    <hyperlink r:id="rId9369" ref="H6717"/>
    <hyperlink r:id="rId9370" ref="J6717"/>
    <hyperlink r:id="rId9371" ref="H6718"/>
    <hyperlink r:id="rId9372" ref="H6719"/>
    <hyperlink r:id="rId9373" ref="I6719"/>
    <hyperlink r:id="rId9374" ref="J6719"/>
    <hyperlink r:id="rId9375" ref="H6720"/>
    <hyperlink r:id="rId9376" ref="I6720"/>
    <hyperlink r:id="rId9377" ref="H6721"/>
    <hyperlink r:id="rId9378" ref="J6721"/>
    <hyperlink r:id="rId9379" ref="H6722"/>
    <hyperlink r:id="rId9380" ref="J6722"/>
    <hyperlink r:id="rId9381" ref="H6723"/>
    <hyperlink r:id="rId9382" ref="J6724"/>
    <hyperlink r:id="rId9383" ref="H6725"/>
    <hyperlink r:id="rId9384" ref="J6725"/>
    <hyperlink r:id="rId9385" ref="H6726"/>
    <hyperlink r:id="rId9386" ref="J6726"/>
    <hyperlink r:id="rId9387" ref="H6727"/>
    <hyperlink r:id="rId9388" ref="H6728"/>
    <hyperlink r:id="rId9389" ref="H6729"/>
    <hyperlink r:id="rId9390" ref="I6729"/>
    <hyperlink r:id="rId9391" ref="H6730"/>
    <hyperlink r:id="rId9392" ref="I6730"/>
    <hyperlink r:id="rId9393" ref="J6730"/>
    <hyperlink r:id="rId9394" ref="H6731"/>
    <hyperlink r:id="rId9395" ref="J6731"/>
    <hyperlink r:id="rId9396" ref="H6732"/>
    <hyperlink r:id="rId9397" ref="H6733"/>
    <hyperlink r:id="rId9398" ref="J6734"/>
    <hyperlink r:id="rId9399" ref="H6735"/>
    <hyperlink r:id="rId9400" ref="J6735"/>
    <hyperlink r:id="rId9401" ref="J6736"/>
    <hyperlink r:id="rId9402" ref="H6737"/>
    <hyperlink r:id="rId9403" ref="J6738"/>
    <hyperlink r:id="rId9404" ref="H6739"/>
    <hyperlink r:id="rId9405" ref="I6739"/>
    <hyperlink r:id="rId9406" ref="J6739"/>
    <hyperlink r:id="rId9407" ref="H6740"/>
    <hyperlink r:id="rId9408" ref="J6740"/>
    <hyperlink r:id="rId9409" ref="H6741"/>
    <hyperlink r:id="rId9410" ref="I6741"/>
    <hyperlink r:id="rId9411" ref="J6741"/>
    <hyperlink r:id="rId9412" ref="H6742"/>
    <hyperlink r:id="rId9413" ref="H6743"/>
    <hyperlink r:id="rId9414" ref="J6744"/>
    <hyperlink r:id="rId9415" ref="J6745"/>
    <hyperlink r:id="rId9416" ref="J6746"/>
    <hyperlink r:id="rId9417" ref="H6747"/>
    <hyperlink r:id="rId9418" ref="J6747"/>
    <hyperlink r:id="rId9419" ref="H6748"/>
    <hyperlink r:id="rId9420" ref="J6748"/>
    <hyperlink r:id="rId9421" ref="H6749"/>
    <hyperlink r:id="rId9422" ref="J6749"/>
    <hyperlink r:id="rId9423" ref="H6750"/>
    <hyperlink r:id="rId9424" ref="I6750"/>
    <hyperlink r:id="rId9425" ref="J6750"/>
    <hyperlink r:id="rId9426" ref="H6751"/>
    <hyperlink r:id="rId9427" ref="J6751"/>
    <hyperlink r:id="rId9428" ref="H6752"/>
    <hyperlink r:id="rId9429" ref="I6752"/>
    <hyperlink r:id="rId9430" ref="H6753"/>
    <hyperlink r:id="rId9431" ref="H6754"/>
    <hyperlink r:id="rId9432" ref="I6754"/>
    <hyperlink r:id="rId9433" ref="H6755"/>
    <hyperlink r:id="rId9434" ref="H6756"/>
    <hyperlink r:id="rId9435" ref="H6757"/>
    <hyperlink r:id="rId9436" ref="H6758"/>
    <hyperlink r:id="rId9437" ref="J6758"/>
    <hyperlink r:id="rId9438" ref="H6759"/>
    <hyperlink r:id="rId9439" ref="I6759"/>
    <hyperlink r:id="rId9440" ref="J6759"/>
    <hyperlink r:id="rId9441" ref="H6760"/>
    <hyperlink r:id="rId9442" ref="I6760"/>
    <hyperlink r:id="rId9443" ref="J6760"/>
    <hyperlink r:id="rId9444" ref="H6761"/>
    <hyperlink r:id="rId9445" ref="I6761"/>
    <hyperlink r:id="rId9446" ref="J6761"/>
    <hyperlink r:id="rId9447" ref="H6762"/>
    <hyperlink r:id="rId9448" ref="H6763"/>
    <hyperlink r:id="rId9449" ref="I6763"/>
    <hyperlink r:id="rId9450" ref="H6764"/>
    <hyperlink r:id="rId9451" ref="J6764"/>
    <hyperlink r:id="rId9452" ref="J6765"/>
    <hyperlink r:id="rId9453" ref="H6766"/>
    <hyperlink r:id="rId9454" ref="I6766"/>
    <hyperlink r:id="rId9455" ref="H6767"/>
    <hyperlink r:id="rId9456" ref="I6767"/>
    <hyperlink r:id="rId9457" ref="H6768"/>
    <hyperlink r:id="rId9458" ref="I6768"/>
    <hyperlink r:id="rId9459" ref="J6768"/>
    <hyperlink r:id="rId9460" ref="H6769"/>
    <hyperlink r:id="rId9461" ref="I6769"/>
    <hyperlink r:id="rId9462" ref="J6769"/>
    <hyperlink r:id="rId9463" ref="H6770"/>
    <hyperlink r:id="rId9464" ref="J6771"/>
    <hyperlink r:id="rId9465" ref="J6772"/>
    <hyperlink r:id="rId9466" ref="H6773"/>
    <hyperlink r:id="rId9467" ref="J6774"/>
    <hyperlink r:id="rId9468" ref="H6775"/>
    <hyperlink r:id="rId9469" ref="H6776"/>
    <hyperlink r:id="rId9470" ref="H6777"/>
    <hyperlink r:id="rId9471" ref="H6778"/>
    <hyperlink r:id="rId9472" ref="J6778"/>
    <hyperlink r:id="rId9473" ref="H6779"/>
    <hyperlink r:id="rId9474" ref="J6779"/>
    <hyperlink r:id="rId9475" ref="H6780"/>
    <hyperlink r:id="rId9476" ref="H6781"/>
    <hyperlink r:id="rId9477" ref="J6782"/>
    <hyperlink r:id="rId9478" ref="H6783"/>
    <hyperlink r:id="rId9479" ref="I6783"/>
    <hyperlink r:id="rId9480" ref="J6783"/>
    <hyperlink r:id="rId9481" ref="H6784"/>
    <hyperlink r:id="rId9482" ref="H6785"/>
    <hyperlink r:id="rId9483" ref="J6785"/>
    <hyperlink r:id="rId9484" ref="J6786"/>
    <hyperlink r:id="rId9485" ref="H6787"/>
    <hyperlink r:id="rId9486" ref="H6788"/>
    <hyperlink r:id="rId9487" ref="H6789"/>
    <hyperlink r:id="rId9488" ref="H6790"/>
    <hyperlink r:id="rId9489" ref="I6790"/>
    <hyperlink r:id="rId9490" ref="J6790"/>
    <hyperlink r:id="rId9491" ref="H6791"/>
    <hyperlink r:id="rId9492" ref="H6792"/>
    <hyperlink r:id="rId9493" ref="I6792"/>
    <hyperlink r:id="rId9494" ref="H6793"/>
    <hyperlink r:id="rId9495" ref="H6794"/>
    <hyperlink r:id="rId9496" ref="J6795"/>
    <hyperlink r:id="rId9497" ref="H6796"/>
    <hyperlink r:id="rId9498" ref="I6796"/>
    <hyperlink r:id="rId9499" ref="H6797"/>
    <hyperlink r:id="rId9500" ref="I6797"/>
    <hyperlink r:id="rId9501" ref="J6797"/>
    <hyperlink r:id="rId9502" ref="J6798"/>
    <hyperlink r:id="rId9503" ref="H6799"/>
    <hyperlink r:id="rId9504" ref="J6799"/>
    <hyperlink r:id="rId9505" ref="L6799"/>
    <hyperlink r:id="rId9506" ref="H6800"/>
    <hyperlink r:id="rId9507" ref="J6800"/>
    <hyperlink r:id="rId9508" ref="H6801"/>
    <hyperlink r:id="rId9509" ref="J6801"/>
    <hyperlink r:id="rId9510" ref="H6802"/>
    <hyperlink r:id="rId9511" ref="I6802"/>
    <hyperlink r:id="rId9512" ref="J6802"/>
    <hyperlink r:id="rId9513" ref="J6803"/>
    <hyperlink r:id="rId9514" ref="H6804"/>
    <hyperlink r:id="rId9515" ref="J6805"/>
    <hyperlink r:id="rId9516" ref="J6806"/>
    <hyperlink r:id="rId9517" ref="H6807"/>
    <hyperlink r:id="rId9518" ref="J6807"/>
    <hyperlink r:id="rId9519" ref="H6808"/>
    <hyperlink r:id="rId9520" ref="J6808"/>
    <hyperlink r:id="rId9521" ref="J6809"/>
    <hyperlink r:id="rId9522" ref="H6810"/>
    <hyperlink r:id="rId9523" ref="J6810"/>
    <hyperlink r:id="rId9524" ref="H6811"/>
    <hyperlink r:id="rId9525" ref="J6812"/>
    <hyperlink r:id="rId9526" ref="H6813"/>
    <hyperlink r:id="rId9527" ref="J6813"/>
    <hyperlink r:id="rId9528" ref="H6814"/>
    <hyperlink r:id="rId9529" ref="H6815"/>
    <hyperlink r:id="rId9530" ref="J6815"/>
    <hyperlink r:id="rId9531" ref="J6816"/>
    <hyperlink r:id="rId9532" ref="J6817"/>
    <hyperlink r:id="rId9533" ref="J6818"/>
    <hyperlink r:id="rId9534" ref="H6819"/>
    <hyperlink r:id="rId9535" ref="J6820"/>
    <hyperlink r:id="rId9536" ref="I6821"/>
    <hyperlink r:id="rId9537" ref="J6822"/>
    <hyperlink r:id="rId9538" ref="H6823"/>
    <hyperlink r:id="rId9539" ref="J6823"/>
    <hyperlink r:id="rId9540" ref="H6824"/>
    <hyperlink r:id="rId9541" ref="I6824"/>
    <hyperlink r:id="rId9542" ref="J6824"/>
    <hyperlink r:id="rId9543" ref="J6825"/>
    <hyperlink r:id="rId9544" ref="H6826"/>
    <hyperlink r:id="rId9545" ref="J6827"/>
    <hyperlink r:id="rId9546" ref="H6828"/>
    <hyperlink r:id="rId9547" ref="J6828"/>
    <hyperlink r:id="rId9548" ref="J6829"/>
    <hyperlink r:id="rId9549" ref="H6830"/>
    <hyperlink r:id="rId9550" ref="J6830"/>
    <hyperlink r:id="rId9551" ref="H6831"/>
    <hyperlink r:id="rId9552" ref="J6831"/>
    <hyperlink r:id="rId9553" ref="J6832"/>
    <hyperlink r:id="rId9554" ref="H6833"/>
    <hyperlink r:id="rId9555" ref="J6833"/>
    <hyperlink r:id="rId9556" ref="H6834"/>
    <hyperlink r:id="rId9557" ref="J6834"/>
    <hyperlink r:id="rId9558" ref="J6835"/>
    <hyperlink r:id="rId9559" ref="H6836"/>
    <hyperlink r:id="rId9560" ref="J6836"/>
    <hyperlink r:id="rId9561" ref="J6837"/>
    <hyperlink r:id="rId9562" ref="H6838"/>
    <hyperlink r:id="rId9563" ref="I6838"/>
    <hyperlink r:id="rId9564" ref="J6838"/>
    <hyperlink r:id="rId9565" ref="H6839"/>
    <hyperlink r:id="rId9566" ref="H6840"/>
    <hyperlink r:id="rId9567" ref="J6840"/>
    <hyperlink r:id="rId9568" ref="J6841"/>
    <hyperlink r:id="rId9569" ref="H6842"/>
    <hyperlink r:id="rId9570" ref="J6842"/>
    <hyperlink r:id="rId9571" ref="J6843"/>
    <hyperlink r:id="rId9572" ref="J6844"/>
    <hyperlink r:id="rId9573" ref="H6845"/>
    <hyperlink r:id="rId9574" ref="J6845"/>
    <hyperlink r:id="rId9575" ref="H6846"/>
    <hyperlink r:id="rId9576" ref="J6846"/>
    <hyperlink r:id="rId9577" ref="J6847"/>
    <hyperlink r:id="rId9578" ref="H6848"/>
    <hyperlink r:id="rId9579" ref="J6848"/>
    <hyperlink r:id="rId9580" ref="H6849"/>
    <hyperlink r:id="rId9581" ref="J6849"/>
    <hyperlink r:id="rId9582" ref="H6850"/>
    <hyperlink r:id="rId9583" ref="I6850"/>
    <hyperlink r:id="rId9584" ref="H6851"/>
    <hyperlink r:id="rId9585" ref="H6852"/>
    <hyperlink r:id="rId9586" ref="I6852"/>
    <hyperlink r:id="rId9587" ref="H6853"/>
    <hyperlink r:id="rId9588" ref="I6853"/>
    <hyperlink r:id="rId9589" ref="H6854"/>
    <hyperlink r:id="rId9590" ref="J6854"/>
    <hyperlink r:id="rId9591" ref="H6855"/>
    <hyperlink r:id="rId9592" ref="H6856"/>
    <hyperlink r:id="rId9593" ref="J6856"/>
    <hyperlink r:id="rId9594" ref="H6857"/>
    <hyperlink r:id="rId9595" ref="J6857"/>
    <hyperlink r:id="rId9596" ref="H6858"/>
    <hyperlink r:id="rId9597" ref="H6859"/>
    <hyperlink r:id="rId9598" ref="I6859"/>
    <hyperlink r:id="rId9599" ref="J6859"/>
    <hyperlink r:id="rId9600" ref="H6860"/>
    <hyperlink r:id="rId9601" ref="H6861"/>
    <hyperlink r:id="rId9602" ref="J6861"/>
    <hyperlink r:id="rId9603" ref="H6862"/>
    <hyperlink r:id="rId9604" ref="I6862"/>
    <hyperlink r:id="rId9605" ref="H6863"/>
    <hyperlink r:id="rId9606" ref="J6863"/>
    <hyperlink r:id="rId9607" ref="H6864"/>
    <hyperlink r:id="rId9608" ref="I6864"/>
    <hyperlink r:id="rId9609" ref="J6864"/>
    <hyperlink r:id="rId9610" ref="H6865"/>
    <hyperlink r:id="rId9611" ref="I6865"/>
    <hyperlink r:id="rId9612" ref="H6866"/>
    <hyperlink r:id="rId9613" ref="H6867"/>
    <hyperlink r:id="rId9614" ref="H6868"/>
    <hyperlink r:id="rId9615" ref="H6869"/>
    <hyperlink r:id="rId9616" ref="H6870"/>
    <hyperlink r:id="rId9617" ref="H6871"/>
    <hyperlink r:id="rId9618" ref="H6872"/>
    <hyperlink r:id="rId9619" ref="H6873"/>
    <hyperlink r:id="rId9620" ref="H6874"/>
    <hyperlink r:id="rId9621" ref="I6874"/>
    <hyperlink r:id="rId9622" ref="H6875"/>
    <hyperlink r:id="rId9623" ref="H6876"/>
    <hyperlink r:id="rId9624" ref="I6876"/>
    <hyperlink r:id="rId9625" ref="J6876"/>
    <hyperlink r:id="rId9626" ref="H6877"/>
    <hyperlink r:id="rId9627" ref="H6878"/>
    <hyperlink r:id="rId9628" ref="H6879"/>
    <hyperlink r:id="rId9629" ref="H6880"/>
    <hyperlink r:id="rId9630" ref="H6881"/>
    <hyperlink r:id="rId9631" ref="H6882"/>
    <hyperlink r:id="rId9632" ref="H6883"/>
    <hyperlink r:id="rId9633" ref="I6883"/>
    <hyperlink r:id="rId9634" ref="H6884"/>
    <hyperlink r:id="rId9635" ref="I6884"/>
    <hyperlink r:id="rId9636" ref="H6885"/>
    <hyperlink r:id="rId9637" ref="I6885"/>
    <hyperlink r:id="rId9638" ref="H6886"/>
    <hyperlink r:id="rId9639" ref="H6887"/>
    <hyperlink r:id="rId9640" ref="I6887"/>
    <hyperlink r:id="rId9641" ref="H6888"/>
    <hyperlink r:id="rId9642" ref="I6888"/>
    <hyperlink r:id="rId9643" ref="J6888"/>
    <hyperlink r:id="rId9644" ref="H6889"/>
    <hyperlink r:id="rId9645" ref="J6889"/>
    <hyperlink r:id="rId9646" ref="H6890"/>
    <hyperlink r:id="rId9647" ref="I6890"/>
    <hyperlink r:id="rId9648" ref="H6891"/>
    <hyperlink r:id="rId9649" ref="H6892"/>
    <hyperlink r:id="rId9650" ref="H6893"/>
    <hyperlink r:id="rId9651" ref="H6894"/>
    <hyperlink r:id="rId9652" ref="H6895"/>
    <hyperlink r:id="rId9653" ref="H6896"/>
    <hyperlink r:id="rId9654" ref="H6897"/>
    <hyperlink r:id="rId9655" ref="I6897"/>
    <hyperlink r:id="rId9656" ref="H6898"/>
    <hyperlink r:id="rId9657" ref="H6899"/>
    <hyperlink r:id="rId9658" ref="I6899"/>
    <hyperlink r:id="rId9659" ref="J6899"/>
    <hyperlink r:id="rId9660" ref="H6900"/>
    <hyperlink r:id="rId9661" ref="H6901"/>
    <hyperlink r:id="rId9662" ref="H6902"/>
    <hyperlink r:id="rId9663" ref="H6903"/>
    <hyperlink r:id="rId9664" ref="J6903"/>
    <hyperlink r:id="rId9665" ref="H6904"/>
    <hyperlink r:id="rId9666" ref="H6905"/>
    <hyperlink r:id="rId9667" ref="H6906"/>
    <hyperlink r:id="rId9668" ref="H6907"/>
    <hyperlink r:id="rId9669" ref="H6908"/>
    <hyperlink r:id="rId9670" ref="J6908"/>
    <hyperlink r:id="rId9671" ref="H6909"/>
    <hyperlink r:id="rId9672" ref="H6910"/>
    <hyperlink r:id="rId9673" ref="I6910"/>
    <hyperlink r:id="rId9674" ref="H6911"/>
    <hyperlink r:id="rId9675" ref="H6912"/>
    <hyperlink r:id="rId9676" ref="H6913"/>
    <hyperlink r:id="rId9677" ref="I6913"/>
    <hyperlink r:id="rId9678" ref="H6914"/>
    <hyperlink r:id="rId9679" ref="I6914"/>
    <hyperlink r:id="rId9680" ref="H6915"/>
    <hyperlink r:id="rId9681" ref="H6916"/>
    <hyperlink r:id="rId9682" ref="H6917"/>
    <hyperlink r:id="rId9683" ref="I6917"/>
    <hyperlink r:id="rId9684" ref="H6918"/>
    <hyperlink r:id="rId9685" ref="H6919"/>
    <hyperlink r:id="rId9686" ref="I6919"/>
    <hyperlink r:id="rId9687" ref="J6919"/>
    <hyperlink r:id="rId9688" ref="H6920"/>
    <hyperlink r:id="rId9689" ref="H6921"/>
    <hyperlink r:id="rId9690" ref="H6922"/>
    <hyperlink r:id="rId9691" ref="H6923"/>
    <hyperlink r:id="rId9692" ref="H6924"/>
    <hyperlink r:id="rId9693" ref="H6925"/>
    <hyperlink r:id="rId9694" ref="H6926"/>
    <hyperlink r:id="rId9695" ref="J6926"/>
    <hyperlink r:id="rId9696" ref="H6927"/>
    <hyperlink r:id="rId9697" ref="H6928"/>
    <hyperlink r:id="rId9698" ref="H6929"/>
    <hyperlink r:id="rId9699" ref="H6930"/>
    <hyperlink r:id="rId9700" ref="H6931"/>
    <hyperlink r:id="rId9701" ref="H6932"/>
    <hyperlink r:id="rId9702" ref="H6933"/>
    <hyperlink r:id="rId9703" ref="H6934"/>
    <hyperlink r:id="rId9704" ref="H6935"/>
    <hyperlink r:id="rId9705" ref="H6936"/>
    <hyperlink r:id="rId9706" ref="H6937"/>
    <hyperlink r:id="rId9707" ref="I6937"/>
    <hyperlink r:id="rId9708" ref="H6938"/>
    <hyperlink r:id="rId9709" ref="H6939"/>
    <hyperlink r:id="rId9710" ref="H6940"/>
    <hyperlink r:id="rId9711" ref="H6941"/>
    <hyperlink r:id="rId9712" ref="H6942"/>
    <hyperlink r:id="rId9713" ref="I6942"/>
    <hyperlink r:id="rId9714" ref="H6943"/>
    <hyperlink r:id="rId9715" ref="I6943"/>
    <hyperlink r:id="rId9716" ref="H6944"/>
    <hyperlink r:id="rId9717" ref="L6944"/>
    <hyperlink r:id="rId9718" ref="J6945"/>
    <hyperlink r:id="rId9719" ref="J6946"/>
    <hyperlink r:id="rId9720" ref="H6947"/>
    <hyperlink r:id="rId9721" ref="J6947"/>
    <hyperlink r:id="rId9722" ref="J6948"/>
    <hyperlink r:id="rId9723" ref="J6949"/>
    <hyperlink r:id="rId9724" ref="H6950"/>
    <hyperlink r:id="rId9725" ref="J6951"/>
    <hyperlink r:id="rId9726" ref="J6952"/>
    <hyperlink r:id="rId9727" ref="J6953"/>
    <hyperlink r:id="rId9728" ref="J6954"/>
    <hyperlink r:id="rId9729" ref="J6955"/>
    <hyperlink r:id="rId9730" ref="J6956"/>
    <hyperlink r:id="rId9731" ref="J6957"/>
    <hyperlink r:id="rId9732" ref="J6958"/>
    <hyperlink r:id="rId9733" ref="J6959"/>
    <hyperlink r:id="rId9734" ref="J6960"/>
    <hyperlink r:id="rId9735" ref="J6961"/>
  </hyperlinks>
  <drawing r:id="rId97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25"/>
    <col customWidth="1" min="2" max="2" width="9.38"/>
    <col customWidth="1" min="3" max="3" width="17.5"/>
    <col customWidth="1" min="4" max="4" width="9.63"/>
    <col customWidth="1" min="5" max="5" width="5.63"/>
    <col customWidth="1" min="6" max="7" width="4.13"/>
    <col customWidth="1" min="8" max="8" width="43.75"/>
    <col customWidth="1" min="9" max="9" width="32.63"/>
    <col customWidth="1" min="10" max="10" width="33.25"/>
    <col customWidth="1" min="11" max="11" width="29.38"/>
    <col customWidth="1" min="12" max="12" width="3.88"/>
    <col customWidth="1" min="13" max="13" width="7.25"/>
    <col customWidth="1" min="14" max="14" width="6.13"/>
    <col customWidth="1" min="15" max="15" width="4.5"/>
    <col customWidth="1" min="16" max="16" width="4.13"/>
    <col customWidth="1" min="17" max="17" width="5.13"/>
    <col customWidth="1" min="18" max="18" width="4.25"/>
    <col customWidth="1" min="19" max="19" width="4.5"/>
  </cols>
  <sheetData>
    <row r="1">
      <c r="A1" s="7" t="s">
        <v>19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>
      <c r="B2" s="8" t="s">
        <v>20</v>
      </c>
      <c r="C2" s="8" t="s">
        <v>21</v>
      </c>
      <c r="D2" s="8" t="s">
        <v>22</v>
      </c>
      <c r="E2" s="8" t="s">
        <v>23</v>
      </c>
      <c r="H2" s="9" t="s">
        <v>24</v>
      </c>
    </row>
    <row r="3">
      <c r="B3" s="8" t="s">
        <v>20</v>
      </c>
      <c r="C3" s="8" t="s">
        <v>25</v>
      </c>
      <c r="D3" s="8" t="s">
        <v>26</v>
      </c>
      <c r="E3" s="8" t="s">
        <v>27</v>
      </c>
      <c r="H3" s="9" t="s">
        <v>28</v>
      </c>
    </row>
    <row r="4">
      <c r="A4" s="10"/>
      <c r="B4" s="8" t="s">
        <v>29</v>
      </c>
      <c r="C4" s="11" t="s">
        <v>30</v>
      </c>
      <c r="D4" s="8" t="s">
        <v>26</v>
      </c>
      <c r="E4" s="8" t="s">
        <v>31</v>
      </c>
      <c r="H4" s="9" t="s">
        <v>32</v>
      </c>
      <c r="I4" s="12" t="s">
        <v>33</v>
      </c>
    </row>
    <row r="5" ht="19.5" customHeight="1">
      <c r="A5" s="10"/>
      <c r="B5" s="4" t="s">
        <v>34</v>
      </c>
      <c r="C5" s="11" t="s">
        <v>35</v>
      </c>
      <c r="D5" s="8" t="s">
        <v>36</v>
      </c>
      <c r="E5" s="8" t="s">
        <v>36</v>
      </c>
      <c r="H5" s="9" t="s">
        <v>37</v>
      </c>
      <c r="I5" s="9" t="s">
        <v>38</v>
      </c>
    </row>
    <row r="6">
      <c r="B6" s="8" t="s">
        <v>20</v>
      </c>
      <c r="C6" s="8" t="s">
        <v>39</v>
      </c>
      <c r="D6" s="8" t="s">
        <v>36</v>
      </c>
      <c r="E6" s="8" t="s">
        <v>36</v>
      </c>
      <c r="H6" s="9" t="s">
        <v>40</v>
      </c>
      <c r="I6" s="12" t="s">
        <v>41</v>
      </c>
    </row>
    <row r="7">
      <c r="A7" s="10"/>
      <c r="B7" s="8" t="s">
        <v>20</v>
      </c>
      <c r="C7" s="11" t="s">
        <v>42</v>
      </c>
      <c r="D7" s="8" t="s">
        <v>36</v>
      </c>
      <c r="E7" s="8" t="s">
        <v>43</v>
      </c>
      <c r="H7" s="12" t="s">
        <v>44</v>
      </c>
      <c r="I7" s="9" t="s">
        <v>45</v>
      </c>
      <c r="J7" s="9" t="s">
        <v>46</v>
      </c>
    </row>
    <row r="8">
      <c r="A8" s="10"/>
      <c r="B8" s="8" t="s">
        <v>20</v>
      </c>
      <c r="C8" s="11" t="s">
        <v>47</v>
      </c>
      <c r="D8" s="8" t="s">
        <v>36</v>
      </c>
      <c r="E8" s="8" t="s">
        <v>36</v>
      </c>
      <c r="H8" s="12" t="s">
        <v>48</v>
      </c>
    </row>
    <row r="9">
      <c r="A9" s="10"/>
      <c r="B9" s="8" t="s">
        <v>20</v>
      </c>
      <c r="C9" s="11" t="s">
        <v>49</v>
      </c>
      <c r="D9" s="8" t="s">
        <v>36</v>
      </c>
      <c r="E9" s="8" t="s">
        <v>50</v>
      </c>
      <c r="H9" s="9" t="s">
        <v>51</v>
      </c>
    </row>
    <row r="10">
      <c r="A10" s="10"/>
      <c r="B10" s="8" t="s">
        <v>20</v>
      </c>
      <c r="C10" s="11" t="s">
        <v>52</v>
      </c>
      <c r="D10" s="8" t="s">
        <v>36</v>
      </c>
      <c r="E10" s="8" t="s">
        <v>36</v>
      </c>
      <c r="H10" s="12" t="s">
        <v>53</v>
      </c>
      <c r="I10" s="12" t="s">
        <v>54</v>
      </c>
    </row>
    <row r="11">
      <c r="B11" s="8" t="s">
        <v>20</v>
      </c>
      <c r="C11" s="8" t="s">
        <v>55</v>
      </c>
      <c r="D11" s="8" t="s">
        <v>56</v>
      </c>
      <c r="E11" s="8" t="s">
        <v>57</v>
      </c>
      <c r="F11" s="8" t="s">
        <v>58</v>
      </c>
      <c r="H11" s="9" t="s">
        <v>59</v>
      </c>
    </row>
    <row r="12">
      <c r="B12" s="8" t="s">
        <v>34</v>
      </c>
      <c r="C12" s="8" t="s">
        <v>60</v>
      </c>
      <c r="D12" s="8" t="s">
        <v>61</v>
      </c>
      <c r="E12" s="8" t="s">
        <v>62</v>
      </c>
      <c r="H12" s="9" t="s">
        <v>63</v>
      </c>
      <c r="I12" s="9" t="s">
        <v>64</v>
      </c>
    </row>
    <row r="13">
      <c r="B13" s="8" t="s">
        <v>20</v>
      </c>
      <c r="C13" s="8" t="s">
        <v>65</v>
      </c>
      <c r="D13" s="8" t="s">
        <v>61</v>
      </c>
      <c r="E13" s="8" t="s">
        <v>66</v>
      </c>
      <c r="H13" s="9" t="s">
        <v>67</v>
      </c>
      <c r="I13" s="9" t="s">
        <v>68</v>
      </c>
    </row>
    <row r="14">
      <c r="A14" s="10"/>
      <c r="B14" s="8" t="s">
        <v>20</v>
      </c>
      <c r="C14" s="11" t="s">
        <v>69</v>
      </c>
      <c r="D14" s="8" t="s">
        <v>70</v>
      </c>
      <c r="E14" s="8" t="s">
        <v>71</v>
      </c>
      <c r="H14" s="12" t="s">
        <v>72</v>
      </c>
      <c r="I14" s="12" t="s">
        <v>73</v>
      </c>
      <c r="J14" s="13"/>
    </row>
    <row r="15">
      <c r="B15" s="8" t="s">
        <v>20</v>
      </c>
      <c r="C15" s="8" t="s">
        <v>74</v>
      </c>
      <c r="D15" s="8" t="s">
        <v>75</v>
      </c>
      <c r="E15" s="8" t="s">
        <v>76</v>
      </c>
      <c r="F15" s="8" t="s">
        <v>77</v>
      </c>
      <c r="H15" s="9" t="s">
        <v>78</v>
      </c>
      <c r="J15" s="12" t="s">
        <v>79</v>
      </c>
    </row>
    <row r="16">
      <c r="A16" s="10"/>
      <c r="B16" s="8" t="s">
        <v>20</v>
      </c>
      <c r="C16" s="11" t="s">
        <v>80</v>
      </c>
      <c r="D16" s="8" t="s">
        <v>75</v>
      </c>
      <c r="E16" s="8" t="s">
        <v>75</v>
      </c>
      <c r="H16" s="9" t="s">
        <v>81</v>
      </c>
    </row>
    <row r="17">
      <c r="A17" s="10"/>
      <c r="B17" s="8" t="s">
        <v>20</v>
      </c>
      <c r="C17" s="11" t="s">
        <v>82</v>
      </c>
      <c r="D17" s="8" t="s">
        <v>83</v>
      </c>
      <c r="E17" s="8" t="s">
        <v>84</v>
      </c>
      <c r="H17" s="9" t="s">
        <v>85</v>
      </c>
    </row>
    <row r="18">
      <c r="B18" s="8" t="s">
        <v>34</v>
      </c>
      <c r="C18" s="14" t="s">
        <v>86</v>
      </c>
      <c r="D18" s="8" t="s">
        <v>87</v>
      </c>
      <c r="E18" s="8" t="s">
        <v>87</v>
      </c>
      <c r="H18" s="9" t="s">
        <v>88</v>
      </c>
    </row>
    <row r="19">
      <c r="B19" s="8" t="s">
        <v>34</v>
      </c>
      <c r="C19" s="14" t="s">
        <v>89</v>
      </c>
      <c r="D19" s="8" t="s">
        <v>87</v>
      </c>
      <c r="E19" s="8" t="s">
        <v>87</v>
      </c>
      <c r="H19" s="12" t="s">
        <v>90</v>
      </c>
    </row>
    <row r="20">
      <c r="B20" s="8" t="s">
        <v>34</v>
      </c>
      <c r="C20" s="14" t="s">
        <v>91</v>
      </c>
      <c r="D20" s="8" t="s">
        <v>87</v>
      </c>
      <c r="E20" s="8" t="s">
        <v>87</v>
      </c>
      <c r="H20" s="9" t="s">
        <v>92</v>
      </c>
    </row>
    <row r="21">
      <c r="A21" s="10"/>
      <c r="B21" s="8" t="s">
        <v>34</v>
      </c>
      <c r="C21" s="14" t="s">
        <v>86</v>
      </c>
      <c r="D21" s="8" t="s">
        <v>87</v>
      </c>
      <c r="E21" s="8" t="s">
        <v>87</v>
      </c>
      <c r="H21" s="9" t="s">
        <v>88</v>
      </c>
    </row>
    <row r="22">
      <c r="A22" s="10"/>
      <c r="B22" s="8" t="s">
        <v>20</v>
      </c>
      <c r="C22" s="11" t="s">
        <v>93</v>
      </c>
      <c r="D22" s="8" t="s">
        <v>87</v>
      </c>
      <c r="E22" s="8" t="s">
        <v>87</v>
      </c>
      <c r="H22" s="9" t="s">
        <v>94</v>
      </c>
    </row>
    <row r="23">
      <c r="A23" s="10"/>
      <c r="B23" s="8" t="s">
        <v>20</v>
      </c>
      <c r="C23" s="11" t="s">
        <v>95</v>
      </c>
      <c r="D23" s="8" t="s">
        <v>87</v>
      </c>
      <c r="E23" s="8" t="s">
        <v>87</v>
      </c>
      <c r="H23" s="9" t="s">
        <v>96</v>
      </c>
      <c r="I23" s="12" t="s">
        <v>97</v>
      </c>
    </row>
    <row r="24">
      <c r="B24" s="8" t="s">
        <v>20</v>
      </c>
      <c r="C24" s="8" t="s">
        <v>98</v>
      </c>
      <c r="D24" s="8" t="s">
        <v>99</v>
      </c>
      <c r="E24" s="8" t="s">
        <v>99</v>
      </c>
      <c r="H24" s="9" t="s">
        <v>100</v>
      </c>
      <c r="I24" s="12" t="s">
        <v>101</v>
      </c>
    </row>
    <row r="25">
      <c r="B25" s="8" t="s">
        <v>102</v>
      </c>
      <c r="C25" s="8" t="s">
        <v>103</v>
      </c>
      <c r="D25" s="8" t="s">
        <v>104</v>
      </c>
      <c r="E25" s="8" t="s">
        <v>104</v>
      </c>
      <c r="F25" s="8" t="s">
        <v>105</v>
      </c>
      <c r="H25" s="9" t="s">
        <v>106</v>
      </c>
      <c r="I25" s="12" t="s">
        <v>107</v>
      </c>
      <c r="J25" s="9" t="s">
        <v>108</v>
      </c>
    </row>
    <row r="26">
      <c r="A26" s="15"/>
      <c r="B26" s="16" t="s">
        <v>20</v>
      </c>
      <c r="C26" s="7" t="s">
        <v>21</v>
      </c>
      <c r="D26" s="8" t="s">
        <v>109</v>
      </c>
      <c r="E26" s="17"/>
      <c r="F26" s="18"/>
      <c r="G26" s="15"/>
      <c r="H26" s="19" t="s">
        <v>110</v>
      </c>
      <c r="I26" s="20" t="s">
        <v>111</v>
      </c>
      <c r="J26" s="20" t="s">
        <v>112</v>
      </c>
      <c r="K26" s="15"/>
      <c r="L26" s="15"/>
      <c r="M26" s="15"/>
      <c r="N26" s="15"/>
      <c r="O26" s="15"/>
      <c r="P26" s="15"/>
      <c r="Q26" s="15"/>
      <c r="R26" s="15"/>
      <c r="S26" s="15"/>
    </row>
    <row r="27">
      <c r="B27" s="8" t="s">
        <v>20</v>
      </c>
      <c r="C27" s="8" t="s">
        <v>113</v>
      </c>
      <c r="D27" s="8" t="s">
        <v>114</v>
      </c>
      <c r="E27" s="8" t="s">
        <v>115</v>
      </c>
      <c r="H27" s="9" t="s">
        <v>116</v>
      </c>
      <c r="I27" s="12" t="s">
        <v>117</v>
      </c>
    </row>
    <row r="28">
      <c r="A28" s="10"/>
      <c r="B28" s="8" t="s">
        <v>17</v>
      </c>
      <c r="C28" s="11" t="s">
        <v>118</v>
      </c>
      <c r="D28" s="8" t="s">
        <v>114</v>
      </c>
      <c r="E28" s="8" t="s">
        <v>115</v>
      </c>
      <c r="H28" s="9" t="s">
        <v>119</v>
      </c>
    </row>
    <row r="29">
      <c r="A29" s="10"/>
      <c r="B29" s="8" t="s">
        <v>20</v>
      </c>
      <c r="C29" s="11" t="s">
        <v>120</v>
      </c>
      <c r="D29" s="8" t="s">
        <v>114</v>
      </c>
      <c r="E29" s="8" t="s">
        <v>115</v>
      </c>
      <c r="H29" s="9" t="s">
        <v>121</v>
      </c>
    </row>
    <row r="30">
      <c r="A30" s="10"/>
      <c r="B30" s="8" t="s">
        <v>20</v>
      </c>
      <c r="C30" s="11" t="s">
        <v>122</v>
      </c>
      <c r="D30" s="8" t="s">
        <v>114</v>
      </c>
      <c r="E30" s="8" t="s">
        <v>115</v>
      </c>
      <c r="H30" s="9" t="s">
        <v>123</v>
      </c>
      <c r="I30" s="12" t="s">
        <v>124</v>
      </c>
    </row>
    <row r="31">
      <c r="A31" s="10"/>
      <c r="B31" s="8" t="s">
        <v>20</v>
      </c>
      <c r="C31" s="11" t="s">
        <v>125</v>
      </c>
      <c r="D31" s="8" t="s">
        <v>114</v>
      </c>
      <c r="E31" s="8" t="s">
        <v>126</v>
      </c>
      <c r="H31" s="9" t="s">
        <v>127</v>
      </c>
      <c r="J31" s="12" t="s">
        <v>128</v>
      </c>
    </row>
    <row r="32">
      <c r="B32" s="8" t="s">
        <v>17</v>
      </c>
      <c r="C32" s="8" t="s">
        <v>129</v>
      </c>
      <c r="D32" s="8" t="s">
        <v>130</v>
      </c>
      <c r="E32" s="8" t="s">
        <v>131</v>
      </c>
      <c r="H32" s="9" t="s">
        <v>132</v>
      </c>
      <c r="I32" s="12" t="s">
        <v>133</v>
      </c>
    </row>
    <row r="33">
      <c r="A33" s="10"/>
      <c r="B33" s="8" t="s">
        <v>20</v>
      </c>
      <c r="C33" s="11" t="s">
        <v>134</v>
      </c>
      <c r="D33" s="8" t="s">
        <v>130</v>
      </c>
      <c r="E33" s="8" t="s">
        <v>135</v>
      </c>
      <c r="H33" s="12" t="s">
        <v>136</v>
      </c>
    </row>
    <row r="34">
      <c r="B34" s="8" t="s">
        <v>20</v>
      </c>
      <c r="C34" s="8" t="s">
        <v>137</v>
      </c>
      <c r="D34" s="8" t="s">
        <v>138</v>
      </c>
      <c r="E34" s="8" t="s">
        <v>139</v>
      </c>
      <c r="F34" s="8" t="s">
        <v>140</v>
      </c>
      <c r="H34" s="9" t="s">
        <v>141</v>
      </c>
      <c r="J34" s="9" t="s">
        <v>142</v>
      </c>
    </row>
    <row r="35">
      <c r="B35" s="8" t="s">
        <v>20</v>
      </c>
      <c r="C35" s="8" t="s">
        <v>143</v>
      </c>
      <c r="D35" s="8" t="s">
        <v>138</v>
      </c>
      <c r="E35" s="8" t="s">
        <v>139</v>
      </c>
      <c r="F35" s="8" t="s">
        <v>140</v>
      </c>
      <c r="H35" s="12" t="s">
        <v>144</v>
      </c>
    </row>
    <row r="36">
      <c r="A36" s="10"/>
      <c r="B36" s="8" t="s">
        <v>145</v>
      </c>
      <c r="C36" s="11" t="s">
        <v>145</v>
      </c>
      <c r="D36" s="8" t="s">
        <v>138</v>
      </c>
      <c r="E36" s="8" t="s">
        <v>139</v>
      </c>
      <c r="H36" s="9" t="s">
        <v>146</v>
      </c>
    </row>
    <row r="37">
      <c r="B37" s="8" t="s">
        <v>20</v>
      </c>
      <c r="C37" s="8" t="s">
        <v>147</v>
      </c>
      <c r="D37" s="8" t="s">
        <v>148</v>
      </c>
      <c r="E37" s="8" t="s">
        <v>149</v>
      </c>
      <c r="H37" s="9" t="s">
        <v>150</v>
      </c>
      <c r="J37" s="9" t="s">
        <v>151</v>
      </c>
    </row>
    <row r="38">
      <c r="A38" s="10"/>
      <c r="B38" s="8" t="s">
        <v>20</v>
      </c>
      <c r="C38" s="11" t="s">
        <v>152</v>
      </c>
      <c r="D38" s="8" t="s">
        <v>148</v>
      </c>
      <c r="E38" s="8" t="s">
        <v>148</v>
      </c>
      <c r="H38" s="12" t="s">
        <v>153</v>
      </c>
    </row>
    <row r="39">
      <c r="A39" s="10"/>
      <c r="B39" s="8" t="s">
        <v>20</v>
      </c>
      <c r="C39" s="11" t="s">
        <v>154</v>
      </c>
      <c r="D39" s="8" t="s">
        <v>148</v>
      </c>
      <c r="E39" s="8" t="s">
        <v>148</v>
      </c>
      <c r="H39" s="12" t="s">
        <v>155</v>
      </c>
    </row>
    <row r="40">
      <c r="A40" s="10"/>
      <c r="B40" s="8" t="s">
        <v>20</v>
      </c>
      <c r="C40" s="11" t="s">
        <v>156</v>
      </c>
      <c r="D40" s="8" t="s">
        <v>148</v>
      </c>
      <c r="E40" s="8" t="s">
        <v>148</v>
      </c>
      <c r="H40" s="9" t="s">
        <v>157</v>
      </c>
    </row>
    <row r="41">
      <c r="A41" s="10"/>
      <c r="B41" s="8" t="s">
        <v>20</v>
      </c>
      <c r="C41" s="11" t="s">
        <v>158</v>
      </c>
      <c r="D41" s="8" t="s">
        <v>148</v>
      </c>
      <c r="E41" s="8" t="s">
        <v>159</v>
      </c>
      <c r="H41" s="12" t="s">
        <v>160</v>
      </c>
      <c r="I41" s="12" t="s">
        <v>161</v>
      </c>
      <c r="J41" s="9" t="s">
        <v>162</v>
      </c>
    </row>
    <row r="42">
      <c r="B42" s="8" t="s">
        <v>34</v>
      </c>
      <c r="C42" s="8" t="s">
        <v>163</v>
      </c>
      <c r="D42" s="8"/>
      <c r="H42" s="12" t="s">
        <v>164</v>
      </c>
    </row>
    <row r="43">
      <c r="A43" s="10"/>
      <c r="B43" s="8" t="s">
        <v>34</v>
      </c>
      <c r="C43" s="11" t="s">
        <v>165</v>
      </c>
      <c r="D43" s="8"/>
      <c r="E43" s="8"/>
      <c r="H43" s="9" t="s">
        <v>166</v>
      </c>
      <c r="J43" s="12" t="s">
        <v>167</v>
      </c>
    </row>
    <row r="44">
      <c r="B44" s="8" t="s">
        <v>34</v>
      </c>
      <c r="D44" s="8"/>
      <c r="H44" s="9" t="s">
        <v>168</v>
      </c>
    </row>
    <row r="45">
      <c r="A45" s="10"/>
      <c r="B45" s="8" t="s">
        <v>17</v>
      </c>
      <c r="C45" s="11" t="s">
        <v>169</v>
      </c>
      <c r="D45" s="8"/>
      <c r="E45" s="8"/>
      <c r="J45" s="12" t="s">
        <v>170</v>
      </c>
    </row>
    <row r="46">
      <c r="A46" s="10"/>
      <c r="B46" s="8" t="s">
        <v>17</v>
      </c>
      <c r="C46" s="21" t="s">
        <v>171</v>
      </c>
      <c r="D46" s="8"/>
      <c r="E46" s="8"/>
      <c r="H46" s="9" t="s">
        <v>172</v>
      </c>
    </row>
    <row r="47">
      <c r="A47" s="10"/>
      <c r="B47" s="8" t="s">
        <v>173</v>
      </c>
      <c r="C47" s="11" t="s">
        <v>174</v>
      </c>
      <c r="D47" s="8" t="s">
        <v>36</v>
      </c>
      <c r="E47" s="8" t="s">
        <v>36</v>
      </c>
      <c r="H47" s="9" t="s">
        <v>175</v>
      </c>
    </row>
    <row r="48">
      <c r="A48" s="10"/>
      <c r="B48" s="8" t="s">
        <v>20</v>
      </c>
      <c r="C48" s="11" t="s">
        <v>176</v>
      </c>
      <c r="D48" s="8" t="s">
        <v>177</v>
      </c>
      <c r="E48" s="8" t="s">
        <v>178</v>
      </c>
      <c r="F48" s="8" t="s">
        <v>179</v>
      </c>
      <c r="H48" s="9" t="s">
        <v>180</v>
      </c>
      <c r="I48" s="9" t="s">
        <v>181</v>
      </c>
      <c r="J48" s="9" t="s">
        <v>182</v>
      </c>
    </row>
    <row r="49">
      <c r="A49" s="10"/>
      <c r="B49" s="8" t="s">
        <v>20</v>
      </c>
      <c r="C49" s="11" t="s">
        <v>49</v>
      </c>
      <c r="D49" s="8" t="s">
        <v>177</v>
      </c>
      <c r="E49" s="8" t="s">
        <v>183</v>
      </c>
      <c r="H49" s="9" t="s">
        <v>184</v>
      </c>
      <c r="I49" s="12" t="s">
        <v>185</v>
      </c>
    </row>
    <row r="50">
      <c r="A50" s="10"/>
      <c r="B50" s="8" t="s">
        <v>20</v>
      </c>
      <c r="C50" s="11" t="s">
        <v>186</v>
      </c>
      <c r="D50" s="8" t="s">
        <v>177</v>
      </c>
      <c r="E50" s="8" t="s">
        <v>178</v>
      </c>
      <c r="H50" s="9" t="s">
        <v>187</v>
      </c>
      <c r="J50" s="12" t="s">
        <v>188</v>
      </c>
    </row>
    <row r="51">
      <c r="A51" s="10"/>
      <c r="B51" s="8" t="s">
        <v>20</v>
      </c>
      <c r="C51" s="11" t="s">
        <v>189</v>
      </c>
      <c r="D51" s="8" t="s">
        <v>177</v>
      </c>
      <c r="E51" s="8" t="s">
        <v>178</v>
      </c>
      <c r="H51" s="9" t="s">
        <v>190</v>
      </c>
      <c r="I51" s="9" t="s">
        <v>191</v>
      </c>
    </row>
    <row r="52">
      <c r="A52" s="10"/>
      <c r="B52" s="8" t="s">
        <v>17</v>
      </c>
      <c r="C52" s="11" t="s">
        <v>192</v>
      </c>
      <c r="D52" s="8"/>
      <c r="E52" s="8"/>
      <c r="J52" s="9" t="s">
        <v>193</v>
      </c>
    </row>
    <row r="53">
      <c r="A53" s="10"/>
      <c r="B53" s="8" t="s">
        <v>20</v>
      </c>
      <c r="C53" s="11" t="s">
        <v>194</v>
      </c>
      <c r="D53" s="8" t="s">
        <v>177</v>
      </c>
      <c r="E53" s="8" t="s">
        <v>178</v>
      </c>
      <c r="H53" s="9" t="s">
        <v>195</v>
      </c>
    </row>
    <row r="54">
      <c r="A54" s="10"/>
      <c r="B54" s="8" t="s">
        <v>20</v>
      </c>
      <c r="C54" s="11" t="s">
        <v>194</v>
      </c>
      <c r="D54" s="8" t="s">
        <v>177</v>
      </c>
      <c r="E54" s="8" t="s">
        <v>178</v>
      </c>
      <c r="F54" s="8" t="s">
        <v>196</v>
      </c>
      <c r="H54" s="9" t="s">
        <v>197</v>
      </c>
    </row>
    <row r="55">
      <c r="A55" s="10"/>
      <c r="B55" s="8" t="s">
        <v>20</v>
      </c>
      <c r="C55" s="11" t="s">
        <v>198</v>
      </c>
      <c r="D55" s="8" t="s">
        <v>177</v>
      </c>
      <c r="E55" s="8" t="s">
        <v>178</v>
      </c>
      <c r="H55" s="9" t="s">
        <v>199</v>
      </c>
      <c r="I55" s="9" t="s">
        <v>200</v>
      </c>
      <c r="J55" s="9" t="s">
        <v>201</v>
      </c>
    </row>
    <row r="56">
      <c r="A56" s="10"/>
      <c r="B56" s="8" t="s">
        <v>20</v>
      </c>
      <c r="C56" s="11" t="s">
        <v>202</v>
      </c>
      <c r="D56" s="8" t="s">
        <v>177</v>
      </c>
      <c r="E56" s="8" t="s">
        <v>178</v>
      </c>
      <c r="H56" s="9" t="s">
        <v>203</v>
      </c>
      <c r="I56" s="9" t="s">
        <v>204</v>
      </c>
    </row>
    <row r="57">
      <c r="A57" s="10"/>
      <c r="B57" s="8" t="s">
        <v>20</v>
      </c>
      <c r="C57" s="11" t="s">
        <v>205</v>
      </c>
      <c r="D57" s="8" t="s">
        <v>177</v>
      </c>
      <c r="E57" s="8" t="s">
        <v>178</v>
      </c>
      <c r="F57" s="8" t="s">
        <v>206</v>
      </c>
      <c r="H57" s="9" t="s">
        <v>207</v>
      </c>
    </row>
    <row r="58">
      <c r="A58" s="10"/>
      <c r="B58" s="8" t="s">
        <v>20</v>
      </c>
      <c r="C58" s="11" t="s">
        <v>208</v>
      </c>
      <c r="D58" s="8" t="s">
        <v>177</v>
      </c>
      <c r="E58" s="8" t="s">
        <v>178</v>
      </c>
      <c r="F58" s="8" t="s">
        <v>209</v>
      </c>
      <c r="H58" s="9" t="s">
        <v>210</v>
      </c>
      <c r="I58" s="9" t="s">
        <v>211</v>
      </c>
    </row>
    <row r="59">
      <c r="A59" s="10"/>
      <c r="B59" s="8" t="s">
        <v>20</v>
      </c>
      <c r="C59" s="11" t="s">
        <v>49</v>
      </c>
      <c r="D59" s="8" t="s">
        <v>177</v>
      </c>
      <c r="E59" s="8" t="s">
        <v>178</v>
      </c>
      <c r="H59" s="12" t="s">
        <v>212</v>
      </c>
      <c r="J59" s="9" t="s">
        <v>213</v>
      </c>
    </row>
    <row r="60">
      <c r="A60" s="10"/>
      <c r="B60" s="8" t="s">
        <v>20</v>
      </c>
      <c r="C60" s="11" t="s">
        <v>214</v>
      </c>
      <c r="D60" s="8" t="s">
        <v>177</v>
      </c>
      <c r="E60" s="8" t="s">
        <v>183</v>
      </c>
      <c r="H60" s="9" t="s">
        <v>215</v>
      </c>
    </row>
    <row r="61">
      <c r="A61" s="10"/>
      <c r="B61" s="8" t="s">
        <v>20</v>
      </c>
      <c r="C61" s="11" t="s">
        <v>216</v>
      </c>
      <c r="D61" s="8" t="s">
        <v>177</v>
      </c>
      <c r="E61" s="8" t="s">
        <v>178</v>
      </c>
      <c r="F61" s="8" t="s">
        <v>217</v>
      </c>
      <c r="H61" s="12" t="s">
        <v>218</v>
      </c>
      <c r="I61" s="12" t="s">
        <v>219</v>
      </c>
    </row>
    <row r="62">
      <c r="A62" s="10"/>
      <c r="B62" s="8" t="s">
        <v>220</v>
      </c>
      <c r="C62" s="11" t="s">
        <v>221</v>
      </c>
      <c r="D62" s="8" t="s">
        <v>26</v>
      </c>
      <c r="E62" s="8" t="s">
        <v>31</v>
      </c>
      <c r="H62" s="9" t="s">
        <v>222</v>
      </c>
    </row>
    <row r="63">
      <c r="A63" s="10"/>
      <c r="B63" s="8" t="s">
        <v>20</v>
      </c>
      <c r="C63" s="11" t="s">
        <v>223</v>
      </c>
      <c r="D63" s="8" t="s">
        <v>26</v>
      </c>
      <c r="E63" s="8" t="s">
        <v>31</v>
      </c>
      <c r="H63" s="12" t="s">
        <v>224</v>
      </c>
    </row>
    <row r="64">
      <c r="A64" s="10"/>
      <c r="B64" s="8" t="s">
        <v>20</v>
      </c>
      <c r="C64" s="11" t="s">
        <v>225</v>
      </c>
      <c r="D64" s="8" t="s">
        <v>26</v>
      </c>
      <c r="E64" s="8" t="s">
        <v>226</v>
      </c>
      <c r="H64" s="9" t="s">
        <v>227</v>
      </c>
    </row>
    <row r="65">
      <c r="A65" s="10"/>
      <c r="B65" s="8" t="s">
        <v>17</v>
      </c>
      <c r="C65" s="11" t="s">
        <v>228</v>
      </c>
      <c r="D65" s="8"/>
      <c r="E65" s="8"/>
      <c r="J65" s="12" t="s">
        <v>229</v>
      </c>
    </row>
    <row r="66">
      <c r="A66" s="10"/>
      <c r="B66" s="8" t="s">
        <v>20</v>
      </c>
      <c r="C66" s="11" t="s">
        <v>230</v>
      </c>
      <c r="D66" s="8" t="s">
        <v>26</v>
      </c>
      <c r="E66" s="8" t="s">
        <v>231</v>
      </c>
      <c r="H66" s="12" t="s">
        <v>232</v>
      </c>
      <c r="J66" s="12" t="s">
        <v>233</v>
      </c>
    </row>
    <row r="67">
      <c r="A67" s="10"/>
      <c r="B67" s="8" t="s">
        <v>20</v>
      </c>
      <c r="C67" s="11" t="s">
        <v>234</v>
      </c>
      <c r="D67" s="8" t="s">
        <v>26</v>
      </c>
      <c r="E67" s="8" t="s">
        <v>31</v>
      </c>
      <c r="H67" s="9" t="s">
        <v>235</v>
      </c>
      <c r="I67" s="12" t="s">
        <v>236</v>
      </c>
    </row>
    <row r="68">
      <c r="A68" s="10"/>
      <c r="B68" s="8" t="s">
        <v>20</v>
      </c>
      <c r="C68" s="11" t="s">
        <v>237</v>
      </c>
      <c r="D68" s="8" t="s">
        <v>36</v>
      </c>
      <c r="E68" s="8" t="s">
        <v>238</v>
      </c>
      <c r="H68" s="12" t="s">
        <v>239</v>
      </c>
    </row>
    <row r="69">
      <c r="A69" s="10"/>
      <c r="B69" s="8" t="s">
        <v>20</v>
      </c>
      <c r="C69" s="11" t="s">
        <v>240</v>
      </c>
      <c r="D69" s="8" t="s">
        <v>36</v>
      </c>
      <c r="E69" s="8" t="s">
        <v>241</v>
      </c>
      <c r="H69" s="9" t="s">
        <v>242</v>
      </c>
      <c r="I69" s="12" t="s">
        <v>243</v>
      </c>
    </row>
    <row r="70">
      <c r="A70" s="10"/>
      <c r="B70" s="8" t="s">
        <v>20</v>
      </c>
      <c r="C70" s="11" t="s">
        <v>244</v>
      </c>
      <c r="D70" s="8" t="s">
        <v>26</v>
      </c>
      <c r="E70" s="8" t="s">
        <v>31</v>
      </c>
      <c r="F70" s="8" t="s">
        <v>245</v>
      </c>
      <c r="H70" s="9" t="s">
        <v>246</v>
      </c>
      <c r="J70" s="9" t="s">
        <v>247</v>
      </c>
    </row>
    <row r="71">
      <c r="A71" s="10"/>
      <c r="B71" s="8" t="s">
        <v>20</v>
      </c>
      <c r="C71" s="11" t="s">
        <v>248</v>
      </c>
      <c r="D71" s="8" t="s">
        <v>36</v>
      </c>
      <c r="E71" s="8" t="s">
        <v>249</v>
      </c>
      <c r="H71" s="9" t="s">
        <v>250</v>
      </c>
      <c r="I71" s="12" t="s">
        <v>251</v>
      </c>
    </row>
    <row r="72">
      <c r="A72" s="10"/>
      <c r="B72" s="8" t="s">
        <v>20</v>
      </c>
      <c r="C72" s="11" t="s">
        <v>252</v>
      </c>
      <c r="D72" s="8" t="s">
        <v>36</v>
      </c>
      <c r="E72" s="8" t="s">
        <v>249</v>
      </c>
      <c r="H72" s="9" t="s">
        <v>253</v>
      </c>
    </row>
    <row r="73">
      <c r="A73" s="10"/>
      <c r="B73" s="8" t="s">
        <v>20</v>
      </c>
      <c r="C73" s="11" t="s">
        <v>254</v>
      </c>
      <c r="D73" s="8" t="s">
        <v>26</v>
      </c>
      <c r="E73" s="8" t="s">
        <v>31</v>
      </c>
      <c r="H73" s="9" t="s">
        <v>255</v>
      </c>
      <c r="I73" s="12" t="s">
        <v>256</v>
      </c>
    </row>
    <row r="74">
      <c r="A74" s="10"/>
      <c r="B74" s="8" t="s">
        <v>20</v>
      </c>
      <c r="C74" s="11" t="s">
        <v>257</v>
      </c>
      <c r="D74" s="8" t="s">
        <v>26</v>
      </c>
      <c r="E74" s="8" t="s">
        <v>31</v>
      </c>
      <c r="H74" s="9" t="s">
        <v>258</v>
      </c>
      <c r="I74" s="9" t="s">
        <v>259</v>
      </c>
    </row>
    <row r="75">
      <c r="A75" s="10"/>
      <c r="B75" s="8" t="s">
        <v>20</v>
      </c>
      <c r="C75" s="11" t="s">
        <v>260</v>
      </c>
      <c r="D75" s="8" t="s">
        <v>26</v>
      </c>
      <c r="E75" s="8" t="s">
        <v>31</v>
      </c>
      <c r="H75" s="9" t="s">
        <v>261</v>
      </c>
      <c r="I75" s="12" t="s">
        <v>262</v>
      </c>
    </row>
    <row r="76">
      <c r="A76" s="10"/>
      <c r="B76" s="8" t="s">
        <v>20</v>
      </c>
      <c r="C76" s="11" t="s">
        <v>263</v>
      </c>
      <c r="D76" s="8" t="s">
        <v>26</v>
      </c>
      <c r="E76" s="8" t="s">
        <v>264</v>
      </c>
      <c r="H76" s="9" t="s">
        <v>265</v>
      </c>
    </row>
    <row r="77">
      <c r="A77" s="10"/>
      <c r="B77" s="8" t="s">
        <v>20</v>
      </c>
      <c r="C77" s="11" t="s">
        <v>266</v>
      </c>
      <c r="D77" s="8" t="s">
        <v>26</v>
      </c>
      <c r="E77" s="8" t="s">
        <v>31</v>
      </c>
      <c r="H77" s="9" t="s">
        <v>267</v>
      </c>
    </row>
    <row r="78">
      <c r="A78" s="22"/>
      <c r="B78" s="8" t="s">
        <v>17</v>
      </c>
      <c r="C78" s="21" t="s">
        <v>268</v>
      </c>
      <c r="J78" s="12" t="s">
        <v>269</v>
      </c>
    </row>
    <row r="79">
      <c r="A79" s="22"/>
      <c r="B79" s="8" t="s">
        <v>17</v>
      </c>
      <c r="C79" s="8" t="s">
        <v>270</v>
      </c>
      <c r="J79" s="12" t="s">
        <v>271</v>
      </c>
    </row>
    <row r="80">
      <c r="A80" s="22"/>
      <c r="B80" s="8" t="s">
        <v>17</v>
      </c>
      <c r="C80" s="8" t="s">
        <v>272</v>
      </c>
      <c r="J80" s="12" t="s">
        <v>273</v>
      </c>
    </row>
    <row r="81">
      <c r="A81" s="22"/>
      <c r="B81" s="8" t="s">
        <v>20</v>
      </c>
      <c r="C81" s="8" t="s">
        <v>274</v>
      </c>
      <c r="J81" s="12" t="s">
        <v>275</v>
      </c>
    </row>
    <row r="82">
      <c r="A82" s="22"/>
      <c r="B82" s="8" t="s">
        <v>276</v>
      </c>
      <c r="C82" s="8" t="s">
        <v>277</v>
      </c>
      <c r="J82" s="12" t="s">
        <v>278</v>
      </c>
    </row>
    <row r="83">
      <c r="A83" s="22"/>
    </row>
    <row r="84">
      <c r="A84" s="22"/>
    </row>
    <row r="85">
      <c r="A85" s="22"/>
    </row>
    <row r="86">
      <c r="A86" s="22"/>
    </row>
    <row r="87">
      <c r="A87" s="22"/>
    </row>
    <row r="88">
      <c r="A88" s="22"/>
    </row>
    <row r="89">
      <c r="A89" s="22"/>
    </row>
    <row r="90">
      <c r="A90" s="22"/>
    </row>
    <row r="91">
      <c r="A91" s="22"/>
    </row>
    <row r="92">
      <c r="A92" s="22"/>
    </row>
    <row r="93">
      <c r="A93" s="22"/>
    </row>
    <row r="94">
      <c r="A94" s="22"/>
    </row>
    <row r="95">
      <c r="A95" s="22"/>
    </row>
    <row r="96">
      <c r="A96" s="22"/>
    </row>
    <row r="97">
      <c r="A97" s="22"/>
    </row>
    <row r="98">
      <c r="A98" s="22"/>
    </row>
    <row r="99">
      <c r="A99" s="22"/>
    </row>
    <row r="100">
      <c r="A100" s="22"/>
    </row>
    <row r="101">
      <c r="A101" s="22"/>
    </row>
    <row r="102">
      <c r="A102" s="22"/>
    </row>
    <row r="103">
      <c r="A103" s="22"/>
    </row>
    <row r="104">
      <c r="A104" s="22"/>
    </row>
    <row r="105">
      <c r="A105" s="22"/>
    </row>
    <row r="106">
      <c r="A106" s="22"/>
    </row>
    <row r="107">
      <c r="A107" s="22"/>
    </row>
    <row r="108">
      <c r="A108" s="22"/>
    </row>
    <row r="109">
      <c r="A109" s="22"/>
    </row>
    <row r="110">
      <c r="A110" s="22"/>
    </row>
    <row r="111">
      <c r="A111" s="22"/>
    </row>
    <row r="112">
      <c r="A112" s="22"/>
    </row>
    <row r="113">
      <c r="A113" s="22"/>
    </row>
    <row r="114">
      <c r="A114" s="22"/>
    </row>
    <row r="115">
      <c r="A115" s="22"/>
    </row>
    <row r="116">
      <c r="A116" s="22"/>
    </row>
    <row r="117">
      <c r="A117" s="22"/>
    </row>
    <row r="118">
      <c r="A118" s="22"/>
    </row>
    <row r="119">
      <c r="A119" s="22"/>
    </row>
    <row r="120">
      <c r="A120" s="22"/>
    </row>
    <row r="121">
      <c r="A121" s="22"/>
    </row>
    <row r="122">
      <c r="A122" s="22"/>
    </row>
    <row r="123">
      <c r="A123" s="22"/>
    </row>
    <row r="124">
      <c r="A124" s="22"/>
    </row>
    <row r="125">
      <c r="A125" s="22"/>
    </row>
    <row r="126">
      <c r="A126" s="22"/>
    </row>
    <row r="127">
      <c r="A127" s="22"/>
    </row>
    <row r="128">
      <c r="A128" s="22"/>
    </row>
    <row r="129">
      <c r="A129" s="22"/>
    </row>
    <row r="130">
      <c r="A130" s="22"/>
    </row>
    <row r="131">
      <c r="A131" s="22"/>
    </row>
    <row r="132">
      <c r="A132" s="22"/>
    </row>
    <row r="133">
      <c r="A133" s="22"/>
    </row>
    <row r="134">
      <c r="A134" s="22"/>
    </row>
    <row r="135">
      <c r="A135" s="22"/>
    </row>
    <row r="136">
      <c r="A136" s="22"/>
    </row>
    <row r="137">
      <c r="A137" s="22"/>
    </row>
    <row r="138">
      <c r="A138" s="22"/>
    </row>
    <row r="139">
      <c r="A139" s="22"/>
    </row>
    <row r="140">
      <c r="A140" s="22"/>
    </row>
    <row r="141">
      <c r="A141" s="22"/>
    </row>
    <row r="142">
      <c r="A142" s="22"/>
    </row>
    <row r="143">
      <c r="A143" s="22"/>
    </row>
    <row r="144">
      <c r="A144" s="22"/>
    </row>
    <row r="145">
      <c r="A145" s="22"/>
    </row>
    <row r="146">
      <c r="A146" s="22"/>
    </row>
    <row r="147">
      <c r="A147" s="22"/>
    </row>
    <row r="148">
      <c r="A148" s="22"/>
    </row>
    <row r="149">
      <c r="A149" s="22"/>
    </row>
    <row r="150">
      <c r="A150" s="22"/>
    </row>
    <row r="151">
      <c r="A151" s="22"/>
    </row>
    <row r="152">
      <c r="A152" s="22"/>
    </row>
    <row r="153">
      <c r="A153" s="22"/>
    </row>
    <row r="154">
      <c r="A154" s="22"/>
    </row>
    <row r="155">
      <c r="A155" s="22"/>
    </row>
    <row r="156">
      <c r="A156" s="22"/>
    </row>
    <row r="157">
      <c r="A157" s="22"/>
    </row>
    <row r="158">
      <c r="A158" s="22"/>
    </row>
    <row r="159">
      <c r="A159" s="22"/>
    </row>
    <row r="160">
      <c r="A160" s="22"/>
    </row>
    <row r="161">
      <c r="A161" s="22"/>
    </row>
    <row r="162">
      <c r="A162" s="22"/>
    </row>
    <row r="163">
      <c r="A163" s="22"/>
    </row>
    <row r="164">
      <c r="A164" s="22"/>
    </row>
    <row r="165">
      <c r="A165" s="22"/>
    </row>
    <row r="166">
      <c r="A166" s="22"/>
    </row>
    <row r="167">
      <c r="A167" s="22"/>
    </row>
    <row r="168">
      <c r="A168" s="22"/>
    </row>
    <row r="169">
      <c r="A169" s="22"/>
    </row>
    <row r="170">
      <c r="A170" s="22"/>
    </row>
    <row r="171">
      <c r="A171" s="22"/>
    </row>
    <row r="172">
      <c r="A172" s="22"/>
    </row>
    <row r="173">
      <c r="A173" s="22"/>
    </row>
    <row r="174">
      <c r="A174" s="22"/>
    </row>
    <row r="175">
      <c r="A175" s="22"/>
    </row>
    <row r="176">
      <c r="A176" s="22"/>
    </row>
    <row r="177">
      <c r="A177" s="22"/>
    </row>
    <row r="178">
      <c r="A178" s="22"/>
    </row>
    <row r="179">
      <c r="A179" s="22"/>
    </row>
    <row r="180">
      <c r="A180" s="22"/>
    </row>
    <row r="181">
      <c r="A181" s="22"/>
    </row>
    <row r="182">
      <c r="A182" s="22"/>
    </row>
    <row r="183">
      <c r="A183" s="22"/>
    </row>
    <row r="184">
      <c r="A184" s="22"/>
    </row>
    <row r="185">
      <c r="A185" s="22"/>
    </row>
    <row r="186">
      <c r="A186" s="22"/>
    </row>
    <row r="187">
      <c r="A187" s="22"/>
    </row>
    <row r="188">
      <c r="A188" s="22"/>
    </row>
    <row r="189">
      <c r="A189" s="22"/>
    </row>
    <row r="190">
      <c r="A190" s="22"/>
    </row>
    <row r="191">
      <c r="A191" s="22"/>
    </row>
    <row r="192">
      <c r="A192" s="22"/>
    </row>
    <row r="193">
      <c r="A193" s="22"/>
    </row>
    <row r="194">
      <c r="A194" s="22"/>
    </row>
    <row r="195">
      <c r="A195" s="22"/>
    </row>
    <row r="196">
      <c r="A196" s="22"/>
    </row>
    <row r="197">
      <c r="A197" s="22"/>
    </row>
    <row r="198">
      <c r="A198" s="22"/>
    </row>
    <row r="199">
      <c r="A199" s="22"/>
    </row>
    <row r="200">
      <c r="A200" s="22"/>
    </row>
    <row r="201">
      <c r="A201" s="22"/>
    </row>
    <row r="202">
      <c r="A202" s="22"/>
    </row>
    <row r="203">
      <c r="A203" s="22"/>
    </row>
    <row r="204">
      <c r="A204" s="22"/>
    </row>
    <row r="205">
      <c r="A205" s="22"/>
    </row>
    <row r="206">
      <c r="A206" s="22"/>
    </row>
    <row r="207">
      <c r="A207" s="22"/>
    </row>
    <row r="208">
      <c r="A208" s="22"/>
    </row>
    <row r="209">
      <c r="A209" s="22"/>
    </row>
    <row r="210">
      <c r="A210" s="22"/>
    </row>
    <row r="211">
      <c r="A211" s="22"/>
    </row>
    <row r="212">
      <c r="A212" s="22"/>
    </row>
    <row r="213">
      <c r="A213" s="22"/>
    </row>
    <row r="214">
      <c r="A214" s="22"/>
    </row>
    <row r="215">
      <c r="A215" s="22"/>
    </row>
    <row r="216">
      <c r="A216" s="22"/>
    </row>
    <row r="217">
      <c r="A217" s="22"/>
    </row>
    <row r="218">
      <c r="A218" s="22"/>
    </row>
    <row r="219">
      <c r="A219" s="22"/>
    </row>
    <row r="220">
      <c r="A220" s="22"/>
    </row>
    <row r="221">
      <c r="A221" s="22"/>
    </row>
    <row r="222">
      <c r="A222" s="22"/>
    </row>
    <row r="223">
      <c r="A223" s="22"/>
    </row>
    <row r="224">
      <c r="A224" s="22"/>
    </row>
    <row r="225">
      <c r="A225" s="22"/>
    </row>
    <row r="226">
      <c r="A226" s="22"/>
    </row>
    <row r="227">
      <c r="A227" s="22"/>
    </row>
    <row r="228">
      <c r="A228" s="22"/>
    </row>
    <row r="229">
      <c r="A229" s="22"/>
    </row>
    <row r="230">
      <c r="A230" s="22"/>
    </row>
    <row r="231">
      <c r="A231" s="22"/>
    </row>
    <row r="232">
      <c r="A232" s="22"/>
    </row>
    <row r="233">
      <c r="A233" s="22"/>
    </row>
    <row r="234">
      <c r="A234" s="22"/>
    </row>
    <row r="235">
      <c r="A235" s="22"/>
    </row>
    <row r="236">
      <c r="A236" s="22"/>
    </row>
    <row r="237">
      <c r="A237" s="22"/>
    </row>
    <row r="238">
      <c r="A238" s="22"/>
    </row>
    <row r="239">
      <c r="A239" s="22"/>
    </row>
    <row r="240">
      <c r="A240" s="22"/>
    </row>
    <row r="241">
      <c r="A241" s="22"/>
    </row>
    <row r="242">
      <c r="A242" s="22"/>
    </row>
    <row r="243">
      <c r="A243" s="22"/>
    </row>
    <row r="244">
      <c r="A244" s="22"/>
    </row>
    <row r="245">
      <c r="A245" s="22"/>
    </row>
    <row r="246">
      <c r="A246" s="22"/>
    </row>
    <row r="247">
      <c r="A247" s="22"/>
    </row>
    <row r="248">
      <c r="A248" s="22"/>
    </row>
    <row r="249">
      <c r="A249" s="22"/>
    </row>
    <row r="250">
      <c r="A250" s="22"/>
    </row>
    <row r="251">
      <c r="A251" s="22"/>
    </row>
    <row r="252">
      <c r="A252" s="22"/>
    </row>
    <row r="253">
      <c r="A253" s="22"/>
    </row>
    <row r="254">
      <c r="A254" s="22"/>
    </row>
    <row r="255">
      <c r="A255" s="22"/>
    </row>
    <row r="256">
      <c r="A256" s="22"/>
    </row>
    <row r="257">
      <c r="A257" s="22"/>
    </row>
    <row r="258">
      <c r="A258" s="22"/>
    </row>
    <row r="259">
      <c r="A259" s="22"/>
    </row>
    <row r="260">
      <c r="A260" s="22"/>
    </row>
    <row r="261">
      <c r="A261" s="22"/>
    </row>
    <row r="262">
      <c r="A262" s="22"/>
    </row>
    <row r="263">
      <c r="A263" s="22"/>
    </row>
    <row r="264">
      <c r="A264" s="22"/>
    </row>
    <row r="265">
      <c r="A265" s="22"/>
    </row>
    <row r="266">
      <c r="A266" s="22"/>
    </row>
    <row r="267">
      <c r="A267" s="22"/>
    </row>
    <row r="268">
      <c r="A268" s="22"/>
    </row>
    <row r="269">
      <c r="A269" s="22"/>
    </row>
    <row r="270">
      <c r="A270" s="22"/>
    </row>
    <row r="271">
      <c r="A271" s="22"/>
    </row>
    <row r="272">
      <c r="A272" s="22"/>
    </row>
    <row r="273">
      <c r="A273" s="22"/>
    </row>
    <row r="274">
      <c r="A274" s="22"/>
    </row>
    <row r="275">
      <c r="A275" s="22"/>
    </row>
    <row r="276">
      <c r="A276" s="22"/>
    </row>
    <row r="277">
      <c r="A277" s="22"/>
    </row>
    <row r="278">
      <c r="A278" s="22"/>
    </row>
    <row r="279">
      <c r="A279" s="22"/>
    </row>
    <row r="280">
      <c r="A280" s="22"/>
    </row>
    <row r="281">
      <c r="A281" s="22"/>
    </row>
    <row r="282">
      <c r="A282" s="22"/>
    </row>
    <row r="283">
      <c r="A283" s="22"/>
    </row>
    <row r="284">
      <c r="A284" s="22"/>
    </row>
    <row r="285">
      <c r="A285" s="22"/>
    </row>
    <row r="286">
      <c r="A286" s="22"/>
    </row>
    <row r="287">
      <c r="A287" s="22"/>
    </row>
    <row r="288">
      <c r="A288" s="22"/>
    </row>
    <row r="289">
      <c r="A289" s="22"/>
    </row>
    <row r="290">
      <c r="A290" s="22"/>
    </row>
    <row r="291">
      <c r="A291" s="22"/>
    </row>
    <row r="292">
      <c r="A292" s="22"/>
    </row>
    <row r="293">
      <c r="A293" s="22"/>
    </row>
    <row r="294">
      <c r="A294" s="22"/>
    </row>
    <row r="295">
      <c r="A295" s="22"/>
    </row>
    <row r="296">
      <c r="A296" s="22"/>
    </row>
    <row r="297">
      <c r="A297" s="22"/>
    </row>
    <row r="298">
      <c r="A298" s="22"/>
    </row>
    <row r="299">
      <c r="A299" s="22"/>
    </row>
    <row r="300">
      <c r="A300" s="22"/>
    </row>
    <row r="301">
      <c r="A301" s="22"/>
    </row>
    <row r="302">
      <c r="A302" s="22"/>
    </row>
    <row r="303">
      <c r="A303" s="22"/>
    </row>
    <row r="304">
      <c r="A304" s="22"/>
    </row>
    <row r="305">
      <c r="A305" s="22"/>
    </row>
    <row r="306">
      <c r="A306" s="22"/>
    </row>
    <row r="307">
      <c r="A307" s="22"/>
    </row>
    <row r="308">
      <c r="A308" s="22"/>
    </row>
    <row r="309">
      <c r="A309" s="22"/>
    </row>
    <row r="310">
      <c r="A310" s="22"/>
    </row>
    <row r="311">
      <c r="A311" s="22"/>
    </row>
    <row r="312">
      <c r="A312" s="22"/>
    </row>
    <row r="313">
      <c r="A313" s="22"/>
    </row>
    <row r="314">
      <c r="A314" s="22"/>
    </row>
    <row r="315">
      <c r="A315" s="22"/>
    </row>
    <row r="316">
      <c r="A316" s="22"/>
    </row>
    <row r="317">
      <c r="A317" s="22"/>
    </row>
    <row r="318">
      <c r="A318" s="22"/>
    </row>
    <row r="319">
      <c r="A319" s="22"/>
    </row>
    <row r="320">
      <c r="A320" s="22"/>
    </row>
    <row r="321">
      <c r="A321" s="22"/>
    </row>
    <row r="322">
      <c r="A322" s="22"/>
    </row>
    <row r="323">
      <c r="A323" s="22"/>
    </row>
    <row r="324">
      <c r="A324" s="22"/>
    </row>
    <row r="325">
      <c r="A325" s="22"/>
    </row>
    <row r="326">
      <c r="A326" s="22"/>
    </row>
    <row r="327">
      <c r="A327" s="22"/>
    </row>
    <row r="328">
      <c r="A328" s="22"/>
    </row>
    <row r="329">
      <c r="A329" s="22"/>
    </row>
    <row r="330">
      <c r="A330" s="22"/>
    </row>
    <row r="331">
      <c r="A331" s="22"/>
    </row>
    <row r="332">
      <c r="A332" s="22"/>
    </row>
    <row r="333">
      <c r="A333" s="22"/>
    </row>
    <row r="334">
      <c r="A334" s="22"/>
    </row>
    <row r="335">
      <c r="A335" s="22"/>
    </row>
    <row r="336">
      <c r="A336" s="22"/>
    </row>
    <row r="337">
      <c r="A337" s="22"/>
    </row>
    <row r="338">
      <c r="A338" s="22"/>
    </row>
    <row r="339">
      <c r="A339" s="22"/>
    </row>
    <row r="340">
      <c r="A340" s="22"/>
    </row>
    <row r="341">
      <c r="A341" s="22"/>
    </row>
    <row r="342">
      <c r="A342" s="22"/>
    </row>
    <row r="343">
      <c r="A343" s="22"/>
    </row>
    <row r="344">
      <c r="A344" s="22"/>
    </row>
    <row r="345">
      <c r="A345" s="22"/>
    </row>
    <row r="346">
      <c r="A346" s="22"/>
    </row>
    <row r="347">
      <c r="A347" s="22"/>
    </row>
    <row r="348">
      <c r="A348" s="22"/>
    </row>
    <row r="349">
      <c r="A349" s="22"/>
    </row>
    <row r="350">
      <c r="A350" s="22"/>
    </row>
    <row r="351">
      <c r="A351" s="22"/>
    </row>
    <row r="352">
      <c r="A352" s="22"/>
    </row>
    <row r="353">
      <c r="A353" s="22"/>
    </row>
    <row r="354">
      <c r="A354" s="22"/>
    </row>
    <row r="355">
      <c r="A355" s="22"/>
    </row>
    <row r="356">
      <c r="A356" s="22"/>
    </row>
    <row r="357">
      <c r="A357" s="22"/>
    </row>
    <row r="358">
      <c r="A358" s="22"/>
    </row>
    <row r="359">
      <c r="A359" s="22"/>
    </row>
    <row r="360">
      <c r="A360" s="22"/>
    </row>
    <row r="361">
      <c r="A361" s="22"/>
    </row>
    <row r="362">
      <c r="A362" s="22"/>
    </row>
    <row r="363">
      <c r="A363" s="22"/>
    </row>
    <row r="364">
      <c r="A364" s="22"/>
    </row>
    <row r="365">
      <c r="A365" s="22"/>
    </row>
    <row r="366">
      <c r="A366" s="22"/>
    </row>
    <row r="367">
      <c r="A367" s="22"/>
    </row>
    <row r="368">
      <c r="A368" s="22"/>
    </row>
    <row r="369">
      <c r="A369" s="22"/>
    </row>
    <row r="370">
      <c r="A370" s="22"/>
    </row>
    <row r="371">
      <c r="A371" s="22"/>
    </row>
    <row r="372">
      <c r="A372" s="22"/>
    </row>
    <row r="373">
      <c r="A373" s="22"/>
    </row>
    <row r="374">
      <c r="A374" s="22"/>
    </row>
    <row r="375">
      <c r="A375" s="22"/>
    </row>
    <row r="376">
      <c r="A376" s="22"/>
    </row>
    <row r="377">
      <c r="A377" s="22"/>
    </row>
    <row r="378">
      <c r="A378" s="22"/>
    </row>
    <row r="379">
      <c r="A379" s="22"/>
    </row>
    <row r="380">
      <c r="A380" s="22"/>
    </row>
    <row r="381">
      <c r="A381" s="22"/>
    </row>
    <row r="382">
      <c r="A382" s="22"/>
    </row>
    <row r="383">
      <c r="A383" s="22"/>
    </row>
    <row r="384">
      <c r="A384" s="22"/>
    </row>
    <row r="385">
      <c r="A385" s="22"/>
    </row>
    <row r="386">
      <c r="A386" s="22"/>
    </row>
    <row r="387">
      <c r="A387" s="22"/>
    </row>
    <row r="388">
      <c r="A388" s="22"/>
    </row>
    <row r="389">
      <c r="A389" s="22"/>
    </row>
    <row r="390">
      <c r="A390" s="22"/>
    </row>
    <row r="391">
      <c r="A391" s="22"/>
    </row>
    <row r="392">
      <c r="A392" s="22"/>
    </row>
    <row r="393">
      <c r="A393" s="22"/>
    </row>
    <row r="394">
      <c r="A394" s="22"/>
    </row>
    <row r="395">
      <c r="A395" s="22"/>
    </row>
    <row r="396">
      <c r="A396" s="22"/>
    </row>
    <row r="397">
      <c r="A397" s="22"/>
    </row>
    <row r="398">
      <c r="A398" s="22"/>
    </row>
    <row r="399">
      <c r="A399" s="22"/>
    </row>
    <row r="400">
      <c r="A400" s="22"/>
    </row>
    <row r="401">
      <c r="A401" s="22"/>
    </row>
    <row r="402">
      <c r="A402" s="22"/>
    </row>
    <row r="403">
      <c r="A403" s="22"/>
    </row>
    <row r="404">
      <c r="A404" s="22"/>
    </row>
    <row r="405">
      <c r="A405" s="22"/>
    </row>
    <row r="406">
      <c r="A406" s="22"/>
    </row>
    <row r="407">
      <c r="A407" s="22"/>
    </row>
    <row r="408">
      <c r="A408" s="22"/>
    </row>
    <row r="409">
      <c r="A409" s="22"/>
    </row>
    <row r="410">
      <c r="A410" s="22"/>
    </row>
    <row r="411">
      <c r="A411" s="22"/>
    </row>
    <row r="412">
      <c r="A412" s="22"/>
    </row>
    <row r="413">
      <c r="A413" s="22"/>
    </row>
    <row r="414">
      <c r="A414" s="22"/>
    </row>
    <row r="415">
      <c r="A415" s="22"/>
    </row>
    <row r="416">
      <c r="A416" s="22"/>
    </row>
    <row r="417">
      <c r="A417" s="22"/>
    </row>
    <row r="418">
      <c r="A418" s="22"/>
    </row>
    <row r="419">
      <c r="A419" s="22"/>
    </row>
    <row r="420">
      <c r="A420" s="22"/>
    </row>
    <row r="421">
      <c r="A421" s="22"/>
    </row>
    <row r="422">
      <c r="A422" s="22"/>
    </row>
    <row r="423">
      <c r="A423" s="22"/>
    </row>
    <row r="424">
      <c r="A424" s="22"/>
    </row>
    <row r="425">
      <c r="A425" s="22"/>
    </row>
    <row r="426">
      <c r="A426" s="22"/>
    </row>
    <row r="427">
      <c r="A427" s="22"/>
    </row>
    <row r="428">
      <c r="A428" s="22"/>
    </row>
    <row r="429">
      <c r="A429" s="22"/>
    </row>
    <row r="430">
      <c r="A430" s="22"/>
    </row>
    <row r="431">
      <c r="A431" s="22"/>
    </row>
    <row r="432">
      <c r="A432" s="22"/>
    </row>
    <row r="433">
      <c r="A433" s="22"/>
    </row>
    <row r="434">
      <c r="A434" s="22"/>
    </row>
    <row r="435">
      <c r="A435" s="22"/>
    </row>
    <row r="436">
      <c r="A436" s="22"/>
    </row>
    <row r="437">
      <c r="A437" s="22"/>
    </row>
    <row r="438">
      <c r="A438" s="22"/>
    </row>
    <row r="439">
      <c r="A439" s="22"/>
    </row>
    <row r="440">
      <c r="A440" s="22"/>
    </row>
    <row r="441">
      <c r="A441" s="22"/>
    </row>
    <row r="442">
      <c r="A442" s="22"/>
    </row>
    <row r="443">
      <c r="A443" s="22"/>
    </row>
    <row r="444">
      <c r="A444" s="22"/>
    </row>
    <row r="445">
      <c r="A445" s="22"/>
    </row>
    <row r="446">
      <c r="A446" s="22"/>
    </row>
    <row r="447">
      <c r="A447" s="22"/>
    </row>
    <row r="448">
      <c r="A448" s="22"/>
    </row>
    <row r="449">
      <c r="A449" s="22"/>
    </row>
    <row r="450">
      <c r="A450" s="22"/>
    </row>
    <row r="451">
      <c r="A451" s="22"/>
    </row>
    <row r="452">
      <c r="A452" s="22"/>
    </row>
    <row r="453">
      <c r="A453" s="22"/>
    </row>
    <row r="454">
      <c r="A454" s="22"/>
    </row>
    <row r="455">
      <c r="A455" s="22"/>
    </row>
    <row r="456">
      <c r="A456" s="22"/>
    </row>
    <row r="457">
      <c r="A457" s="22"/>
    </row>
    <row r="458">
      <c r="A458" s="22"/>
    </row>
    <row r="459">
      <c r="A459" s="22"/>
    </row>
    <row r="460">
      <c r="A460" s="22"/>
    </row>
    <row r="461">
      <c r="A461" s="22"/>
    </row>
    <row r="462">
      <c r="A462" s="22"/>
    </row>
    <row r="463">
      <c r="A463" s="22"/>
    </row>
    <row r="464">
      <c r="A464" s="22"/>
    </row>
    <row r="465">
      <c r="A465" s="22"/>
    </row>
    <row r="466">
      <c r="A466" s="22"/>
    </row>
    <row r="467">
      <c r="A467" s="22"/>
    </row>
    <row r="468">
      <c r="A468" s="22"/>
    </row>
    <row r="469">
      <c r="A469" s="22"/>
    </row>
    <row r="470">
      <c r="A470" s="22"/>
    </row>
    <row r="471">
      <c r="A471" s="22"/>
    </row>
    <row r="472">
      <c r="A472" s="22"/>
    </row>
    <row r="473">
      <c r="A473" s="22"/>
    </row>
    <row r="474">
      <c r="A474" s="22"/>
    </row>
    <row r="475">
      <c r="A475" s="22"/>
    </row>
    <row r="476">
      <c r="A476" s="22"/>
    </row>
    <row r="477">
      <c r="A477" s="22"/>
    </row>
    <row r="478">
      <c r="A478" s="22"/>
    </row>
    <row r="479">
      <c r="A479" s="22"/>
    </row>
    <row r="480">
      <c r="A480" s="22"/>
    </row>
    <row r="481">
      <c r="A481" s="22"/>
    </row>
    <row r="482">
      <c r="A482" s="22"/>
    </row>
    <row r="483">
      <c r="A483" s="22"/>
    </row>
    <row r="484">
      <c r="A484" s="22"/>
    </row>
    <row r="485">
      <c r="A485" s="22"/>
    </row>
    <row r="486">
      <c r="A486" s="22"/>
    </row>
    <row r="487">
      <c r="A487" s="22"/>
    </row>
    <row r="488">
      <c r="A488" s="22"/>
    </row>
    <row r="489">
      <c r="A489" s="22"/>
    </row>
    <row r="490">
      <c r="A490" s="22"/>
    </row>
    <row r="491">
      <c r="A491" s="22"/>
    </row>
    <row r="492">
      <c r="A492" s="22"/>
    </row>
    <row r="493">
      <c r="A493" s="22"/>
    </row>
    <row r="494">
      <c r="A494" s="22"/>
    </row>
    <row r="495">
      <c r="A495" s="22"/>
    </row>
    <row r="496">
      <c r="A496" s="22"/>
    </row>
    <row r="497">
      <c r="A497" s="22"/>
    </row>
    <row r="498">
      <c r="A498" s="22"/>
    </row>
    <row r="499">
      <c r="A499" s="22"/>
    </row>
    <row r="500">
      <c r="A500" s="22"/>
    </row>
    <row r="501">
      <c r="A501" s="22"/>
    </row>
    <row r="502">
      <c r="A502" s="22"/>
    </row>
    <row r="503">
      <c r="A503" s="22"/>
    </row>
    <row r="504">
      <c r="A504" s="22"/>
    </row>
    <row r="505">
      <c r="A505" s="22"/>
    </row>
    <row r="506">
      <c r="A506" s="22"/>
    </row>
    <row r="507">
      <c r="A507" s="22"/>
    </row>
    <row r="508">
      <c r="A508" s="22"/>
    </row>
    <row r="509">
      <c r="A509" s="22"/>
    </row>
    <row r="510">
      <c r="A510" s="22"/>
    </row>
    <row r="511">
      <c r="A511" s="22"/>
    </row>
    <row r="512">
      <c r="A512" s="22"/>
    </row>
    <row r="513">
      <c r="A513" s="22"/>
    </row>
    <row r="514">
      <c r="A514" s="22"/>
    </row>
    <row r="515">
      <c r="A515" s="22"/>
    </row>
    <row r="516">
      <c r="A516" s="22"/>
    </row>
    <row r="517">
      <c r="A517" s="22"/>
    </row>
    <row r="518">
      <c r="A518" s="22"/>
    </row>
    <row r="519">
      <c r="A519" s="22"/>
    </row>
    <row r="520">
      <c r="A520" s="22"/>
    </row>
    <row r="521">
      <c r="A521" s="22"/>
    </row>
    <row r="522">
      <c r="A522" s="22"/>
    </row>
    <row r="523">
      <c r="A523" s="22"/>
    </row>
    <row r="524">
      <c r="A524" s="22"/>
    </row>
    <row r="525">
      <c r="A525" s="22"/>
    </row>
    <row r="526">
      <c r="A526" s="22"/>
    </row>
    <row r="527">
      <c r="A527" s="22"/>
    </row>
    <row r="528">
      <c r="A528" s="22"/>
    </row>
    <row r="529">
      <c r="A529" s="22"/>
    </row>
    <row r="530">
      <c r="A530" s="22"/>
    </row>
    <row r="531">
      <c r="A531" s="22"/>
    </row>
    <row r="532">
      <c r="A532" s="22"/>
    </row>
    <row r="533">
      <c r="A533" s="22"/>
    </row>
    <row r="534">
      <c r="A534" s="22"/>
    </row>
    <row r="535">
      <c r="A535" s="22"/>
    </row>
    <row r="536">
      <c r="A536" s="22"/>
    </row>
    <row r="537">
      <c r="A537" s="22"/>
    </row>
    <row r="538">
      <c r="A538" s="22"/>
    </row>
    <row r="539">
      <c r="A539" s="22"/>
    </row>
    <row r="540">
      <c r="A540" s="22"/>
    </row>
    <row r="541">
      <c r="A541" s="22"/>
    </row>
    <row r="542">
      <c r="A542" s="22"/>
    </row>
    <row r="543">
      <c r="A543" s="22"/>
    </row>
    <row r="544">
      <c r="A544" s="22"/>
    </row>
    <row r="545">
      <c r="A545" s="22"/>
    </row>
    <row r="546">
      <c r="A546" s="22"/>
    </row>
    <row r="547">
      <c r="A547" s="22"/>
    </row>
    <row r="548">
      <c r="A548" s="22"/>
    </row>
    <row r="549">
      <c r="A549" s="22"/>
    </row>
    <row r="550">
      <c r="A550" s="22"/>
    </row>
    <row r="551">
      <c r="A551" s="22"/>
    </row>
    <row r="552">
      <c r="A552" s="22"/>
    </row>
    <row r="553">
      <c r="A553" s="22"/>
    </row>
    <row r="554">
      <c r="A554" s="22"/>
    </row>
    <row r="555">
      <c r="A555" s="22"/>
    </row>
    <row r="556">
      <c r="A556" s="22"/>
    </row>
    <row r="557">
      <c r="A557" s="22"/>
    </row>
    <row r="558">
      <c r="A558" s="22"/>
    </row>
    <row r="559">
      <c r="A559" s="22"/>
    </row>
    <row r="560">
      <c r="A560" s="22"/>
    </row>
    <row r="561">
      <c r="A561" s="22"/>
    </row>
    <row r="562">
      <c r="A562" s="22"/>
    </row>
    <row r="563">
      <c r="A563" s="22"/>
    </row>
    <row r="564">
      <c r="A564" s="22"/>
    </row>
    <row r="565">
      <c r="A565" s="22"/>
    </row>
    <row r="566">
      <c r="A566" s="22"/>
    </row>
    <row r="567">
      <c r="A567" s="22"/>
    </row>
    <row r="568">
      <c r="A568" s="22"/>
    </row>
    <row r="569">
      <c r="A569" s="22"/>
    </row>
    <row r="570">
      <c r="A570" s="22"/>
    </row>
    <row r="571">
      <c r="A571" s="22"/>
    </row>
    <row r="572">
      <c r="A572" s="22"/>
    </row>
    <row r="573">
      <c r="A573" s="22"/>
    </row>
    <row r="574">
      <c r="A574" s="22"/>
    </row>
    <row r="575">
      <c r="A575" s="22"/>
    </row>
    <row r="576">
      <c r="A576" s="22"/>
    </row>
    <row r="577">
      <c r="A577" s="22"/>
    </row>
    <row r="578">
      <c r="A578" s="22"/>
    </row>
    <row r="579">
      <c r="A579" s="22"/>
    </row>
    <row r="580">
      <c r="A580" s="22"/>
    </row>
    <row r="581">
      <c r="A581" s="22"/>
    </row>
    <row r="582">
      <c r="A582" s="22"/>
    </row>
    <row r="583">
      <c r="A583" s="22"/>
    </row>
    <row r="584">
      <c r="A584" s="22"/>
    </row>
    <row r="585">
      <c r="A585" s="22"/>
    </row>
    <row r="586">
      <c r="A586" s="22"/>
    </row>
    <row r="587">
      <c r="A587" s="22"/>
    </row>
    <row r="588">
      <c r="A588" s="22"/>
    </row>
    <row r="589">
      <c r="A589" s="22"/>
    </row>
    <row r="590">
      <c r="A590" s="22"/>
    </row>
    <row r="591">
      <c r="A591" s="22"/>
    </row>
    <row r="592">
      <c r="A592" s="22"/>
    </row>
    <row r="593">
      <c r="A593" s="22"/>
    </row>
    <row r="594">
      <c r="A594" s="22"/>
    </row>
    <row r="595">
      <c r="A595" s="22"/>
    </row>
    <row r="596">
      <c r="A596" s="22"/>
    </row>
    <row r="597">
      <c r="A597" s="22"/>
    </row>
    <row r="598">
      <c r="A598" s="22"/>
    </row>
    <row r="599">
      <c r="A599" s="22"/>
    </row>
    <row r="600">
      <c r="A600" s="22"/>
    </row>
    <row r="601">
      <c r="A601" s="22"/>
    </row>
    <row r="602">
      <c r="A602" s="22"/>
    </row>
    <row r="603">
      <c r="A603" s="22"/>
    </row>
    <row r="604">
      <c r="A604" s="22"/>
    </row>
    <row r="605">
      <c r="A605" s="22"/>
    </row>
    <row r="606">
      <c r="A606" s="22"/>
    </row>
    <row r="607">
      <c r="A607" s="22"/>
    </row>
    <row r="608">
      <c r="A608" s="22"/>
    </row>
    <row r="609">
      <c r="A609" s="22"/>
    </row>
    <row r="610">
      <c r="A610" s="22"/>
    </row>
    <row r="611">
      <c r="A611" s="22"/>
    </row>
    <row r="612">
      <c r="A612" s="22"/>
    </row>
    <row r="613">
      <c r="A613" s="22"/>
    </row>
    <row r="614">
      <c r="A614" s="22"/>
    </row>
    <row r="615">
      <c r="A615" s="22"/>
    </row>
    <row r="616">
      <c r="A616" s="22"/>
    </row>
    <row r="617">
      <c r="A617" s="22"/>
    </row>
    <row r="618">
      <c r="A618" s="22"/>
    </row>
    <row r="619">
      <c r="A619" s="22"/>
    </row>
    <row r="620">
      <c r="A620" s="22"/>
    </row>
    <row r="621">
      <c r="A621" s="22"/>
    </row>
    <row r="622">
      <c r="A622" s="22"/>
    </row>
    <row r="623">
      <c r="A623" s="22"/>
    </row>
    <row r="624">
      <c r="A624" s="22"/>
    </row>
    <row r="625">
      <c r="A625" s="22"/>
    </row>
    <row r="626">
      <c r="A626" s="22"/>
    </row>
    <row r="627">
      <c r="A627" s="22"/>
    </row>
    <row r="628">
      <c r="A628" s="22"/>
    </row>
    <row r="629">
      <c r="A629" s="22"/>
    </row>
    <row r="630">
      <c r="A630" s="22"/>
    </row>
    <row r="631">
      <c r="A631" s="22"/>
    </row>
    <row r="632">
      <c r="A632" s="22"/>
    </row>
    <row r="633">
      <c r="A633" s="22"/>
    </row>
    <row r="634">
      <c r="A634" s="22"/>
    </row>
    <row r="635">
      <c r="A635" s="22"/>
    </row>
    <row r="636">
      <c r="A636" s="22"/>
    </row>
    <row r="637">
      <c r="A637" s="22"/>
    </row>
    <row r="638">
      <c r="A638" s="22"/>
    </row>
    <row r="639">
      <c r="A639" s="22"/>
    </row>
    <row r="640">
      <c r="A640" s="22"/>
    </row>
    <row r="641">
      <c r="A641" s="22"/>
    </row>
    <row r="642">
      <c r="A642" s="22"/>
    </row>
    <row r="643">
      <c r="A643" s="22"/>
    </row>
    <row r="644">
      <c r="A644" s="22"/>
    </row>
    <row r="645">
      <c r="A645" s="22"/>
    </row>
    <row r="646">
      <c r="A646" s="22"/>
    </row>
    <row r="647">
      <c r="A647" s="22"/>
    </row>
    <row r="648">
      <c r="A648" s="22"/>
    </row>
    <row r="649">
      <c r="A649" s="22"/>
    </row>
    <row r="650">
      <c r="A650" s="22"/>
    </row>
    <row r="651">
      <c r="A651" s="22"/>
    </row>
    <row r="652">
      <c r="A652" s="22"/>
    </row>
    <row r="653">
      <c r="A653" s="22"/>
    </row>
    <row r="654">
      <c r="A654" s="22"/>
    </row>
    <row r="655">
      <c r="A655" s="22"/>
    </row>
    <row r="656">
      <c r="A656" s="22"/>
    </row>
    <row r="657">
      <c r="A657" s="22"/>
    </row>
    <row r="658">
      <c r="A658" s="22"/>
    </row>
    <row r="659">
      <c r="A659" s="22"/>
    </row>
    <row r="660">
      <c r="A660" s="22"/>
    </row>
    <row r="661">
      <c r="A661" s="22"/>
    </row>
    <row r="662">
      <c r="A662" s="22"/>
    </row>
    <row r="663">
      <c r="A663" s="22"/>
    </row>
    <row r="664">
      <c r="A664" s="22"/>
    </row>
    <row r="665">
      <c r="A665" s="22"/>
    </row>
    <row r="666">
      <c r="A666" s="22"/>
    </row>
    <row r="667">
      <c r="A667" s="22"/>
    </row>
    <row r="668">
      <c r="A668" s="22"/>
    </row>
    <row r="669">
      <c r="A669" s="22"/>
    </row>
    <row r="670">
      <c r="A670" s="22"/>
    </row>
    <row r="671">
      <c r="A671" s="22"/>
    </row>
    <row r="672">
      <c r="A672" s="22"/>
    </row>
    <row r="673">
      <c r="A673" s="22"/>
    </row>
    <row r="674">
      <c r="A674" s="22"/>
    </row>
    <row r="675">
      <c r="A675" s="22"/>
    </row>
    <row r="676">
      <c r="A676" s="22"/>
    </row>
    <row r="677">
      <c r="A677" s="22"/>
    </row>
    <row r="678">
      <c r="A678" s="22"/>
    </row>
    <row r="679">
      <c r="A679" s="22"/>
    </row>
    <row r="680">
      <c r="A680" s="22"/>
    </row>
    <row r="681">
      <c r="A681" s="22"/>
    </row>
    <row r="682">
      <c r="A682" s="22"/>
    </row>
    <row r="683">
      <c r="A683" s="22"/>
    </row>
    <row r="684">
      <c r="A684" s="22"/>
    </row>
    <row r="685">
      <c r="A685" s="22"/>
    </row>
    <row r="686">
      <c r="A686" s="22"/>
    </row>
    <row r="687">
      <c r="A687" s="22"/>
    </row>
    <row r="688">
      <c r="A688" s="22"/>
    </row>
    <row r="689">
      <c r="A689" s="22"/>
    </row>
    <row r="690">
      <c r="A690" s="22"/>
    </row>
    <row r="691">
      <c r="A691" s="22"/>
    </row>
    <row r="692">
      <c r="A692" s="22"/>
    </row>
    <row r="693">
      <c r="A693" s="22"/>
    </row>
    <row r="694">
      <c r="A694" s="22"/>
    </row>
    <row r="695">
      <c r="A695" s="22"/>
    </row>
    <row r="696">
      <c r="A696" s="22"/>
    </row>
    <row r="697">
      <c r="A697" s="22"/>
    </row>
    <row r="698">
      <c r="A698" s="22"/>
    </row>
    <row r="699">
      <c r="A699" s="22"/>
    </row>
    <row r="700">
      <c r="A700" s="22"/>
    </row>
    <row r="701">
      <c r="A701" s="22"/>
    </row>
    <row r="702">
      <c r="A702" s="22"/>
    </row>
    <row r="703">
      <c r="A703" s="22"/>
    </row>
    <row r="704">
      <c r="A704" s="22"/>
    </row>
    <row r="705">
      <c r="A705" s="22"/>
    </row>
    <row r="706">
      <c r="A706" s="22"/>
    </row>
    <row r="707">
      <c r="A707" s="22"/>
    </row>
    <row r="708">
      <c r="A708" s="22"/>
    </row>
    <row r="709">
      <c r="A709" s="22"/>
    </row>
    <row r="710">
      <c r="A710" s="22"/>
    </row>
    <row r="711">
      <c r="A711" s="22"/>
    </row>
    <row r="712">
      <c r="A712" s="22"/>
    </row>
    <row r="713">
      <c r="A713" s="22"/>
    </row>
    <row r="714">
      <c r="A714" s="22"/>
    </row>
    <row r="715">
      <c r="A715" s="22"/>
    </row>
    <row r="716">
      <c r="A716" s="22"/>
    </row>
    <row r="717">
      <c r="A717" s="22"/>
    </row>
    <row r="718">
      <c r="A718" s="22"/>
    </row>
    <row r="719">
      <c r="A719" s="22"/>
    </row>
    <row r="720">
      <c r="A720" s="22"/>
    </row>
    <row r="721">
      <c r="A721" s="22"/>
    </row>
    <row r="722">
      <c r="A722" s="22"/>
    </row>
    <row r="723">
      <c r="A723" s="22"/>
    </row>
    <row r="724">
      <c r="A724" s="22"/>
    </row>
    <row r="725">
      <c r="A725" s="22"/>
    </row>
    <row r="726">
      <c r="A726" s="22"/>
    </row>
    <row r="727">
      <c r="A727" s="22"/>
    </row>
    <row r="728">
      <c r="A728" s="22"/>
    </row>
    <row r="729">
      <c r="A729" s="22"/>
    </row>
    <row r="730">
      <c r="A730" s="22"/>
    </row>
    <row r="731">
      <c r="A731" s="22"/>
    </row>
    <row r="732">
      <c r="A732" s="22"/>
    </row>
    <row r="733">
      <c r="A733" s="22"/>
    </row>
    <row r="734">
      <c r="A734" s="22"/>
    </row>
    <row r="735">
      <c r="A735" s="22"/>
    </row>
    <row r="736">
      <c r="A736" s="22"/>
    </row>
    <row r="737">
      <c r="A737" s="22"/>
    </row>
    <row r="738">
      <c r="A738" s="22"/>
    </row>
    <row r="739">
      <c r="A739" s="22"/>
    </row>
    <row r="740">
      <c r="A740" s="22"/>
    </row>
    <row r="741">
      <c r="A741" s="22"/>
    </row>
    <row r="742">
      <c r="A742" s="22"/>
    </row>
    <row r="743">
      <c r="A743" s="22"/>
    </row>
    <row r="744">
      <c r="A744" s="22"/>
    </row>
    <row r="745">
      <c r="A745" s="22"/>
    </row>
    <row r="746">
      <c r="A746" s="22"/>
    </row>
    <row r="747">
      <c r="A747" s="22"/>
    </row>
    <row r="748">
      <c r="A748" s="22"/>
    </row>
    <row r="749">
      <c r="A749" s="22"/>
    </row>
    <row r="750">
      <c r="A750" s="22"/>
    </row>
    <row r="751">
      <c r="A751" s="22"/>
    </row>
    <row r="752">
      <c r="A752" s="22"/>
    </row>
    <row r="753">
      <c r="A753" s="22"/>
    </row>
    <row r="754">
      <c r="A754" s="22"/>
    </row>
    <row r="755">
      <c r="A755" s="22"/>
    </row>
    <row r="756">
      <c r="A756" s="22"/>
    </row>
    <row r="757">
      <c r="A757" s="22"/>
    </row>
    <row r="758">
      <c r="A758" s="22"/>
    </row>
    <row r="759">
      <c r="A759" s="22"/>
    </row>
    <row r="760">
      <c r="A760" s="22"/>
    </row>
    <row r="761">
      <c r="A761" s="22"/>
    </row>
    <row r="762">
      <c r="A762" s="22"/>
    </row>
    <row r="763">
      <c r="A763" s="22"/>
    </row>
    <row r="764">
      <c r="A764" s="22"/>
    </row>
    <row r="765">
      <c r="A765" s="22"/>
    </row>
    <row r="766">
      <c r="A766" s="22"/>
    </row>
    <row r="767">
      <c r="A767" s="22"/>
    </row>
    <row r="768">
      <c r="A768" s="22"/>
    </row>
    <row r="769">
      <c r="A769" s="22"/>
    </row>
    <row r="770">
      <c r="A770" s="22"/>
    </row>
    <row r="771">
      <c r="A771" s="22"/>
    </row>
    <row r="772">
      <c r="A772" s="22"/>
    </row>
    <row r="773">
      <c r="A773" s="22"/>
    </row>
    <row r="774">
      <c r="A774" s="22"/>
    </row>
    <row r="775">
      <c r="A775" s="22"/>
    </row>
    <row r="776">
      <c r="A776" s="22"/>
    </row>
    <row r="777">
      <c r="A777" s="22"/>
    </row>
    <row r="778">
      <c r="A778" s="22"/>
    </row>
    <row r="779">
      <c r="A779" s="22"/>
    </row>
    <row r="780">
      <c r="A780" s="22"/>
    </row>
    <row r="781">
      <c r="A781" s="22"/>
    </row>
    <row r="782">
      <c r="A782" s="22"/>
    </row>
    <row r="783">
      <c r="A783" s="22"/>
    </row>
    <row r="784">
      <c r="A784" s="22"/>
    </row>
    <row r="785">
      <c r="A785" s="22"/>
    </row>
    <row r="786">
      <c r="A786" s="22"/>
    </row>
    <row r="787">
      <c r="A787" s="22"/>
    </row>
    <row r="788">
      <c r="A788" s="22"/>
    </row>
    <row r="789">
      <c r="A789" s="22"/>
    </row>
    <row r="790">
      <c r="A790" s="22"/>
    </row>
    <row r="791">
      <c r="A791" s="22"/>
    </row>
    <row r="792">
      <c r="A792" s="22"/>
    </row>
    <row r="793">
      <c r="A793" s="22"/>
    </row>
    <row r="794">
      <c r="A794" s="22"/>
    </row>
    <row r="795">
      <c r="A795" s="22"/>
    </row>
    <row r="796">
      <c r="A796" s="22"/>
    </row>
    <row r="797">
      <c r="A797" s="22"/>
    </row>
    <row r="798">
      <c r="A798" s="22"/>
    </row>
    <row r="799">
      <c r="A799" s="22"/>
    </row>
    <row r="800">
      <c r="A800" s="22"/>
    </row>
    <row r="801">
      <c r="A801" s="22"/>
    </row>
    <row r="802">
      <c r="A802" s="22"/>
    </row>
    <row r="803">
      <c r="A803" s="22"/>
    </row>
    <row r="804">
      <c r="A804" s="22"/>
    </row>
    <row r="805">
      <c r="A805" s="22"/>
    </row>
    <row r="806">
      <c r="A806" s="22"/>
    </row>
    <row r="807">
      <c r="A807" s="22"/>
    </row>
    <row r="808">
      <c r="A808" s="22"/>
    </row>
    <row r="809">
      <c r="A809" s="22"/>
    </row>
    <row r="810">
      <c r="A810" s="22"/>
    </row>
    <row r="811">
      <c r="A811" s="22"/>
    </row>
    <row r="812">
      <c r="A812" s="22"/>
    </row>
    <row r="813">
      <c r="A813" s="22"/>
    </row>
    <row r="814">
      <c r="A814" s="22"/>
    </row>
    <row r="815">
      <c r="A815" s="22"/>
    </row>
    <row r="816">
      <c r="A816" s="22"/>
    </row>
    <row r="817">
      <c r="A817" s="22"/>
    </row>
    <row r="818">
      <c r="A818" s="22"/>
    </row>
    <row r="819">
      <c r="A819" s="22"/>
    </row>
    <row r="820">
      <c r="A820" s="22"/>
    </row>
    <row r="821">
      <c r="A821" s="22"/>
    </row>
    <row r="822">
      <c r="A822" s="22"/>
    </row>
    <row r="823">
      <c r="A823" s="22"/>
    </row>
    <row r="824">
      <c r="A824" s="22"/>
    </row>
    <row r="825">
      <c r="A825" s="22"/>
    </row>
    <row r="826">
      <c r="A826" s="22"/>
    </row>
    <row r="827">
      <c r="A827" s="22"/>
    </row>
    <row r="828">
      <c r="A828" s="22"/>
    </row>
    <row r="829">
      <c r="A829" s="22"/>
    </row>
    <row r="830">
      <c r="A830" s="22"/>
    </row>
    <row r="831">
      <c r="A831" s="22"/>
    </row>
    <row r="832">
      <c r="A832" s="22"/>
    </row>
    <row r="833">
      <c r="A833" s="22"/>
    </row>
    <row r="834">
      <c r="A834" s="22"/>
    </row>
    <row r="835">
      <c r="A835" s="22"/>
    </row>
    <row r="836">
      <c r="A836" s="22"/>
    </row>
    <row r="837">
      <c r="A837" s="22"/>
    </row>
    <row r="838">
      <c r="A838" s="22"/>
    </row>
    <row r="839">
      <c r="A839" s="22"/>
    </row>
    <row r="840">
      <c r="A840" s="22"/>
    </row>
    <row r="841">
      <c r="A841" s="22"/>
    </row>
    <row r="842">
      <c r="A842" s="22"/>
    </row>
    <row r="843">
      <c r="A843" s="22"/>
    </row>
    <row r="844">
      <c r="A844" s="22"/>
    </row>
    <row r="845">
      <c r="A845" s="22"/>
    </row>
    <row r="846">
      <c r="A846" s="22"/>
    </row>
    <row r="847">
      <c r="A847" s="22"/>
    </row>
    <row r="848">
      <c r="A848" s="22"/>
    </row>
    <row r="849">
      <c r="A849" s="22"/>
    </row>
    <row r="850">
      <c r="A850" s="22"/>
    </row>
    <row r="851">
      <c r="A851" s="22"/>
    </row>
    <row r="852">
      <c r="A852" s="22"/>
    </row>
    <row r="853">
      <c r="A853" s="22"/>
    </row>
    <row r="854">
      <c r="A854" s="22"/>
    </row>
    <row r="855">
      <c r="A855" s="22"/>
    </row>
    <row r="856">
      <c r="A856" s="22"/>
    </row>
    <row r="857">
      <c r="A857" s="22"/>
    </row>
    <row r="858">
      <c r="A858" s="22"/>
    </row>
    <row r="859">
      <c r="A859" s="22"/>
    </row>
    <row r="860">
      <c r="A860" s="22"/>
    </row>
    <row r="861">
      <c r="A861" s="22"/>
    </row>
    <row r="862">
      <c r="A862" s="22"/>
    </row>
    <row r="863">
      <c r="A863" s="22"/>
    </row>
    <row r="864">
      <c r="A864" s="22"/>
    </row>
    <row r="865">
      <c r="A865" s="22"/>
    </row>
    <row r="866">
      <c r="A866" s="22"/>
    </row>
    <row r="867">
      <c r="A867" s="22"/>
    </row>
    <row r="868">
      <c r="A868" s="22"/>
    </row>
    <row r="869">
      <c r="A869" s="22"/>
    </row>
    <row r="870">
      <c r="A870" s="22"/>
    </row>
    <row r="871">
      <c r="A871" s="22"/>
    </row>
    <row r="872">
      <c r="A872" s="22"/>
    </row>
    <row r="873">
      <c r="A873" s="22"/>
    </row>
    <row r="874">
      <c r="A874" s="22"/>
    </row>
    <row r="875">
      <c r="A875" s="22"/>
    </row>
    <row r="876">
      <c r="A876" s="22"/>
    </row>
    <row r="877">
      <c r="A877" s="22"/>
    </row>
    <row r="878">
      <c r="A878" s="22"/>
    </row>
    <row r="879">
      <c r="A879" s="22"/>
    </row>
    <row r="880">
      <c r="A880" s="22"/>
    </row>
    <row r="881">
      <c r="A881" s="22"/>
    </row>
    <row r="882">
      <c r="A882" s="22"/>
    </row>
    <row r="883">
      <c r="A883" s="22"/>
    </row>
    <row r="884">
      <c r="A884" s="22"/>
    </row>
    <row r="885">
      <c r="A885" s="22"/>
    </row>
    <row r="886">
      <c r="A886" s="22"/>
    </row>
    <row r="887">
      <c r="A887" s="22"/>
    </row>
    <row r="888">
      <c r="A888" s="22"/>
    </row>
    <row r="889">
      <c r="A889" s="22"/>
    </row>
    <row r="890">
      <c r="A890" s="22"/>
    </row>
    <row r="891">
      <c r="A891" s="22"/>
    </row>
    <row r="892">
      <c r="A892" s="22"/>
    </row>
    <row r="893">
      <c r="A893" s="22"/>
    </row>
    <row r="894">
      <c r="A894" s="22"/>
    </row>
    <row r="895">
      <c r="A895" s="22"/>
    </row>
    <row r="896">
      <c r="A896" s="22"/>
    </row>
    <row r="897">
      <c r="A897" s="22"/>
    </row>
    <row r="898">
      <c r="A898" s="22"/>
    </row>
    <row r="899">
      <c r="A899" s="22"/>
    </row>
    <row r="900">
      <c r="A900" s="22"/>
    </row>
    <row r="901">
      <c r="A901" s="22"/>
    </row>
    <row r="902">
      <c r="A902" s="22"/>
    </row>
    <row r="903">
      <c r="A903" s="22"/>
    </row>
    <row r="904">
      <c r="A904" s="22"/>
    </row>
    <row r="905">
      <c r="A905" s="22"/>
    </row>
    <row r="906">
      <c r="A906" s="22"/>
    </row>
    <row r="907">
      <c r="A907" s="22"/>
    </row>
    <row r="908">
      <c r="A908" s="22"/>
    </row>
    <row r="909">
      <c r="A909" s="22"/>
    </row>
    <row r="910">
      <c r="A910" s="22"/>
    </row>
    <row r="911">
      <c r="A911" s="22"/>
    </row>
    <row r="912">
      <c r="A912" s="22"/>
    </row>
    <row r="913">
      <c r="A913" s="22"/>
    </row>
    <row r="914">
      <c r="A914" s="22"/>
    </row>
    <row r="915">
      <c r="A915" s="22"/>
    </row>
    <row r="916">
      <c r="A916" s="22"/>
    </row>
    <row r="917">
      <c r="A917" s="22"/>
    </row>
    <row r="918">
      <c r="A918" s="22"/>
    </row>
    <row r="919">
      <c r="A919" s="22"/>
    </row>
    <row r="920">
      <c r="A920" s="22"/>
    </row>
    <row r="921">
      <c r="A921" s="22"/>
    </row>
    <row r="922">
      <c r="A922" s="22"/>
    </row>
    <row r="923">
      <c r="A923" s="22"/>
    </row>
    <row r="924">
      <c r="A924" s="22"/>
    </row>
    <row r="925">
      <c r="A925" s="22"/>
    </row>
    <row r="926">
      <c r="A926" s="22"/>
    </row>
    <row r="927">
      <c r="A927" s="22"/>
    </row>
    <row r="928">
      <c r="A928" s="22"/>
    </row>
    <row r="929">
      <c r="A929" s="22"/>
    </row>
    <row r="930">
      <c r="A930" s="22"/>
    </row>
    <row r="931">
      <c r="A931" s="22"/>
    </row>
    <row r="932">
      <c r="A932" s="22"/>
    </row>
    <row r="933">
      <c r="A933" s="22"/>
    </row>
    <row r="934">
      <c r="A934" s="22"/>
    </row>
    <row r="935">
      <c r="A935" s="22"/>
    </row>
    <row r="936">
      <c r="A936" s="22"/>
    </row>
    <row r="937">
      <c r="A937" s="22"/>
    </row>
    <row r="938">
      <c r="A938" s="22"/>
    </row>
    <row r="939">
      <c r="A939" s="22"/>
    </row>
    <row r="940">
      <c r="A940" s="22"/>
    </row>
    <row r="941">
      <c r="A941" s="22"/>
    </row>
    <row r="942">
      <c r="A942" s="22"/>
    </row>
    <row r="943">
      <c r="A943" s="22"/>
    </row>
    <row r="944">
      <c r="A944" s="22"/>
    </row>
    <row r="945">
      <c r="A945" s="22"/>
    </row>
    <row r="946">
      <c r="A946" s="22"/>
    </row>
    <row r="947">
      <c r="A947" s="22"/>
    </row>
    <row r="948">
      <c r="A948" s="22"/>
    </row>
    <row r="949">
      <c r="A949" s="22"/>
    </row>
    <row r="950">
      <c r="A950" s="22"/>
    </row>
    <row r="951">
      <c r="A951" s="22"/>
    </row>
    <row r="952">
      <c r="A952" s="22"/>
    </row>
    <row r="953">
      <c r="A953" s="22"/>
    </row>
    <row r="954">
      <c r="A954" s="22"/>
    </row>
    <row r="955">
      <c r="A955" s="22"/>
    </row>
    <row r="956">
      <c r="A956" s="22"/>
    </row>
    <row r="957">
      <c r="A957" s="22"/>
    </row>
    <row r="958">
      <c r="A958" s="22"/>
    </row>
    <row r="959">
      <c r="A959" s="22"/>
    </row>
    <row r="960">
      <c r="A960" s="22"/>
    </row>
    <row r="961">
      <c r="A961" s="22"/>
    </row>
    <row r="962">
      <c r="A962" s="22"/>
    </row>
    <row r="963">
      <c r="A963" s="22"/>
    </row>
    <row r="964">
      <c r="A964" s="22"/>
    </row>
    <row r="965">
      <c r="A965" s="22"/>
    </row>
    <row r="966">
      <c r="A966" s="22"/>
    </row>
    <row r="967">
      <c r="A967" s="22"/>
    </row>
    <row r="968">
      <c r="A968" s="22"/>
    </row>
    <row r="969">
      <c r="A969" s="22"/>
    </row>
    <row r="970">
      <c r="A970" s="22"/>
    </row>
    <row r="971">
      <c r="A971" s="22"/>
    </row>
    <row r="972">
      <c r="A972" s="22"/>
    </row>
    <row r="973">
      <c r="A973" s="22"/>
    </row>
    <row r="974">
      <c r="A974" s="22"/>
    </row>
    <row r="975">
      <c r="A975" s="22"/>
    </row>
    <row r="976">
      <c r="A976" s="22"/>
    </row>
    <row r="977">
      <c r="A977" s="22"/>
    </row>
    <row r="978">
      <c r="A978" s="22"/>
    </row>
    <row r="979">
      <c r="A979" s="22"/>
    </row>
    <row r="980">
      <c r="A980" s="22"/>
    </row>
    <row r="981">
      <c r="A981" s="22"/>
    </row>
  </sheetData>
  <conditionalFormatting sqref="A1:S1">
    <cfRule type="notContainsBlanks" dxfId="0" priority="1">
      <formula>LEN(TRIM(A1))&gt;0</formula>
    </cfRule>
  </conditionalFormatting>
  <hyperlinks>
    <hyperlink r:id="rId1" ref="H2"/>
    <hyperlink r:id="rId2" ref="H3"/>
    <hyperlink r:id="rId3" ref="H4"/>
    <hyperlink r:id="rId4" ref="I4"/>
    <hyperlink r:id="rId5" ref="H5"/>
    <hyperlink r:id="rId6" ref="I5"/>
    <hyperlink r:id="rId7" ref="H6"/>
    <hyperlink r:id="rId8" ref="I6"/>
    <hyperlink r:id="rId9" ref="H7"/>
    <hyperlink r:id="rId10" ref="I7"/>
    <hyperlink r:id="rId11" ref="J7"/>
    <hyperlink r:id="rId12" ref="H8"/>
    <hyperlink r:id="rId13" ref="H9"/>
    <hyperlink r:id="rId14" ref="H10"/>
    <hyperlink r:id="rId15" ref="I10"/>
    <hyperlink r:id="rId16" ref="H11"/>
    <hyperlink r:id="rId17" ref="H12"/>
    <hyperlink r:id="rId18" ref="I12"/>
    <hyperlink r:id="rId19" ref="H13"/>
    <hyperlink r:id="rId20" ref="I13"/>
    <hyperlink r:id="rId21" ref="H14"/>
    <hyperlink r:id="rId22" ref="I14"/>
    <hyperlink r:id="rId23" ref="H15"/>
    <hyperlink r:id="rId24" ref="J15"/>
    <hyperlink r:id="rId25" ref="H16"/>
    <hyperlink r:id="rId26" ref="H17"/>
    <hyperlink r:id="rId27" ref="H18"/>
    <hyperlink r:id="rId28" ref="H19"/>
    <hyperlink r:id="rId29" ref="H20"/>
    <hyperlink r:id="rId30" ref="H21"/>
    <hyperlink r:id="rId31" ref="H22"/>
    <hyperlink r:id="rId32" ref="H23"/>
    <hyperlink r:id="rId33" ref="I23"/>
    <hyperlink r:id="rId34" ref="H24"/>
    <hyperlink r:id="rId35" ref="I24"/>
    <hyperlink r:id="rId36" ref="H25"/>
    <hyperlink r:id="rId37" ref="I25"/>
    <hyperlink r:id="rId38" ref="J25"/>
    <hyperlink r:id="rId39" ref="H26"/>
    <hyperlink r:id="rId40" ref="I26"/>
    <hyperlink r:id="rId41" ref="J26"/>
    <hyperlink r:id="rId42" ref="H27"/>
    <hyperlink r:id="rId43" ref="I27"/>
    <hyperlink r:id="rId44" ref="H28"/>
    <hyperlink r:id="rId45" ref="H29"/>
    <hyperlink r:id="rId46" ref="H30"/>
    <hyperlink r:id="rId47" ref="I30"/>
    <hyperlink r:id="rId48" ref="H31"/>
    <hyperlink r:id="rId49" ref="J31"/>
    <hyperlink r:id="rId50" ref="H32"/>
    <hyperlink r:id="rId51" ref="I32"/>
    <hyperlink r:id="rId52" ref="H33"/>
    <hyperlink r:id="rId53" ref="H34"/>
    <hyperlink r:id="rId54" ref="J34"/>
    <hyperlink r:id="rId55" ref="H35"/>
    <hyperlink r:id="rId56" ref="H36"/>
    <hyperlink r:id="rId57" ref="H37"/>
    <hyperlink r:id="rId58" ref="J37"/>
    <hyperlink r:id="rId59" ref="H38"/>
    <hyperlink r:id="rId60" ref="H39"/>
    <hyperlink r:id="rId61" ref="H40"/>
    <hyperlink r:id="rId62" ref="H41"/>
    <hyperlink r:id="rId63" ref="I41"/>
    <hyperlink r:id="rId64" ref="J41"/>
    <hyperlink r:id="rId65" ref="H42"/>
    <hyperlink r:id="rId66" ref="H43"/>
    <hyperlink r:id="rId67" ref="J43"/>
    <hyperlink r:id="rId68" ref="H44"/>
    <hyperlink r:id="rId69" ref="J45"/>
    <hyperlink r:id="rId70" ref="H46"/>
    <hyperlink r:id="rId71" ref="H47"/>
    <hyperlink r:id="rId72" ref="H48"/>
    <hyperlink r:id="rId73" ref="I48"/>
    <hyperlink r:id="rId74" ref="J48"/>
    <hyperlink r:id="rId75" ref="H49"/>
    <hyperlink r:id="rId76" ref="I49"/>
    <hyperlink r:id="rId77" ref="H50"/>
    <hyperlink r:id="rId78" ref="J50"/>
    <hyperlink r:id="rId79" ref="H51"/>
    <hyperlink r:id="rId80" ref="I51"/>
    <hyperlink r:id="rId81" ref="J52"/>
    <hyperlink r:id="rId82" ref="H53"/>
    <hyperlink r:id="rId83" ref="H54"/>
    <hyperlink r:id="rId84" ref="H55"/>
    <hyperlink r:id="rId85" ref="I55"/>
    <hyperlink r:id="rId86" ref="J55"/>
    <hyperlink r:id="rId87" ref="H56"/>
    <hyperlink r:id="rId88" ref="I56"/>
    <hyperlink r:id="rId89" ref="H57"/>
    <hyperlink r:id="rId90" ref="H58"/>
    <hyperlink r:id="rId91" ref="I58"/>
    <hyperlink r:id="rId92" ref="H59"/>
    <hyperlink r:id="rId93" ref="J59"/>
    <hyperlink r:id="rId94" ref="H60"/>
    <hyperlink r:id="rId95" ref="H61"/>
    <hyperlink r:id="rId96" ref="I61"/>
    <hyperlink r:id="rId97" ref="H62"/>
    <hyperlink r:id="rId98" ref="H63"/>
    <hyperlink r:id="rId99" ref="H64"/>
    <hyperlink r:id="rId100" ref="J65"/>
    <hyperlink r:id="rId101" ref="H66"/>
    <hyperlink r:id="rId102" ref="J66"/>
    <hyperlink r:id="rId103" ref="H67"/>
    <hyperlink r:id="rId104" ref="I67"/>
    <hyperlink r:id="rId105" ref="H68"/>
    <hyperlink r:id="rId106" ref="H69"/>
    <hyperlink r:id="rId107" ref="I69"/>
    <hyperlink r:id="rId108" ref="H70"/>
    <hyperlink r:id="rId109" ref="J70"/>
    <hyperlink r:id="rId110" ref="H71"/>
    <hyperlink r:id="rId111" ref="I71"/>
    <hyperlink r:id="rId112" ref="H72"/>
    <hyperlink r:id="rId113" ref="H73"/>
    <hyperlink r:id="rId114" ref="I73"/>
    <hyperlink r:id="rId115" ref="H74"/>
    <hyperlink r:id="rId116" ref="I74"/>
    <hyperlink r:id="rId117" ref="H75"/>
    <hyperlink r:id="rId118" ref="I75"/>
    <hyperlink r:id="rId119" ref="H76"/>
    <hyperlink r:id="rId120" ref="H77"/>
    <hyperlink r:id="rId121" ref="J78"/>
    <hyperlink r:id="rId122" ref="J79"/>
    <hyperlink r:id="rId123" ref="J80"/>
    <hyperlink r:id="rId124" ref="J81"/>
    <hyperlink r:id="rId125" ref="J82"/>
  </hyperlinks>
  <drawing r:id="rId12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38"/>
    <col customWidth="1" min="3" max="3" width="18.75"/>
    <col customWidth="1" min="4" max="4" width="4.13"/>
    <col customWidth="1" min="5" max="5" width="6.25"/>
    <col customWidth="1" min="6" max="6" width="16.38"/>
    <col customWidth="1" min="7" max="7" width="3.0"/>
    <col customWidth="1" min="8" max="8" width="48.5"/>
    <col customWidth="1" min="9" max="9" width="26.75"/>
    <col customWidth="1" min="10" max="10" width="30.25"/>
    <col customWidth="1" min="11" max="11" width="31.75"/>
    <col customWidth="1" min="12" max="12" width="24.63"/>
    <col customWidth="1" min="13" max="13" width="11.75"/>
    <col customWidth="1" min="14" max="14" width="4.38"/>
    <col customWidth="1" min="15" max="15" width="4.5"/>
    <col customWidth="1" min="16" max="16" width="4.13"/>
    <col customWidth="1" min="17" max="17" width="5.13"/>
    <col customWidth="1" min="18" max="18" width="4.25"/>
    <col customWidth="1" min="19" max="19" width="4.5"/>
  </cols>
  <sheetData>
    <row r="1" ht="17.25" customHeight="1">
      <c r="A1" s="23" t="s">
        <v>19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ht="17.25" customHeight="1">
      <c r="A2" s="24"/>
      <c r="B2" s="23" t="s">
        <v>20</v>
      </c>
      <c r="C2" s="25" t="s">
        <v>279</v>
      </c>
      <c r="D2" s="23" t="s">
        <v>36</v>
      </c>
      <c r="E2" s="23" t="s">
        <v>43</v>
      </c>
      <c r="F2" s="24"/>
      <c r="G2" s="24"/>
      <c r="H2" s="26" t="s">
        <v>280</v>
      </c>
      <c r="I2" s="24"/>
      <c r="J2" s="24"/>
      <c r="K2" s="24"/>
      <c r="L2" s="27"/>
      <c r="M2" s="27"/>
      <c r="N2" s="27"/>
      <c r="O2" s="27"/>
      <c r="P2" s="27"/>
      <c r="Q2" s="27"/>
      <c r="R2" s="27"/>
      <c r="S2" s="27"/>
    </row>
    <row r="3" ht="17.25" customHeight="1">
      <c r="A3" s="24"/>
      <c r="B3" s="23" t="s">
        <v>20</v>
      </c>
      <c r="C3" s="23" t="s">
        <v>281</v>
      </c>
      <c r="D3" s="23" t="s">
        <v>36</v>
      </c>
      <c r="E3" s="23" t="s">
        <v>43</v>
      </c>
      <c r="F3" s="24"/>
      <c r="G3" s="24"/>
      <c r="H3" s="26" t="s">
        <v>282</v>
      </c>
      <c r="I3" s="24"/>
      <c r="J3" s="24"/>
      <c r="K3" s="24"/>
      <c r="L3" s="27"/>
      <c r="M3" s="27"/>
      <c r="N3" s="27"/>
      <c r="O3" s="27"/>
      <c r="P3" s="27"/>
      <c r="Q3" s="27"/>
      <c r="R3" s="27"/>
      <c r="S3" s="27"/>
    </row>
    <row r="4" ht="17.25" customHeight="1">
      <c r="A4" s="24"/>
      <c r="B4" s="23" t="s">
        <v>20</v>
      </c>
      <c r="C4" s="23" t="s">
        <v>283</v>
      </c>
      <c r="D4" s="23" t="s">
        <v>36</v>
      </c>
      <c r="E4" s="23" t="s">
        <v>43</v>
      </c>
      <c r="F4" s="24"/>
      <c r="G4" s="24"/>
      <c r="H4" s="26" t="s">
        <v>284</v>
      </c>
      <c r="I4" s="26" t="s">
        <v>285</v>
      </c>
      <c r="J4" s="24"/>
      <c r="K4" s="24"/>
      <c r="L4" s="27"/>
      <c r="M4" s="27"/>
      <c r="N4" s="27"/>
      <c r="O4" s="27"/>
      <c r="P4" s="27"/>
      <c r="Q4" s="27"/>
      <c r="R4" s="27"/>
      <c r="S4" s="27"/>
    </row>
    <row r="5" ht="17.25" customHeight="1">
      <c r="A5" s="24"/>
      <c r="B5" s="23" t="s">
        <v>20</v>
      </c>
      <c r="C5" s="28" t="s">
        <v>286</v>
      </c>
      <c r="D5" s="23" t="s">
        <v>36</v>
      </c>
      <c r="E5" s="23" t="s">
        <v>43</v>
      </c>
      <c r="F5" s="24"/>
      <c r="G5" s="24"/>
      <c r="H5" s="26" t="s">
        <v>287</v>
      </c>
      <c r="I5" s="29" t="s">
        <v>288</v>
      </c>
      <c r="J5" s="24"/>
      <c r="K5" s="24"/>
      <c r="L5" s="27"/>
      <c r="M5" s="27"/>
      <c r="N5" s="27"/>
      <c r="O5" s="27"/>
      <c r="P5" s="27"/>
      <c r="Q5" s="27"/>
      <c r="R5" s="27"/>
      <c r="S5" s="27"/>
    </row>
    <row r="6" ht="17.25" customHeight="1">
      <c r="A6" s="24"/>
      <c r="B6" s="23" t="s">
        <v>20</v>
      </c>
      <c r="C6" s="28" t="s">
        <v>289</v>
      </c>
      <c r="D6" s="23" t="s">
        <v>36</v>
      </c>
      <c r="E6" s="23" t="s">
        <v>43</v>
      </c>
      <c r="F6" s="24"/>
      <c r="G6" s="24"/>
      <c r="H6" s="26" t="s">
        <v>290</v>
      </c>
      <c r="I6" s="29" t="s">
        <v>291</v>
      </c>
      <c r="J6" s="24"/>
      <c r="K6" s="24"/>
      <c r="L6" s="27"/>
      <c r="M6" s="27"/>
      <c r="N6" s="27"/>
      <c r="O6" s="27"/>
      <c r="P6" s="27"/>
      <c r="Q6" s="27"/>
      <c r="R6" s="27"/>
      <c r="S6" s="27"/>
    </row>
    <row r="7" ht="17.25" customHeight="1">
      <c r="A7" s="24"/>
      <c r="B7" s="23" t="s">
        <v>20</v>
      </c>
      <c r="C7" s="23" t="s">
        <v>292</v>
      </c>
      <c r="D7" s="23" t="s">
        <v>36</v>
      </c>
      <c r="E7" s="23" t="s">
        <v>293</v>
      </c>
      <c r="F7" s="24"/>
      <c r="G7" s="24"/>
      <c r="H7" s="26" t="s">
        <v>294</v>
      </c>
      <c r="I7" s="30"/>
      <c r="J7" s="24"/>
      <c r="K7" s="24"/>
      <c r="L7" s="27"/>
      <c r="M7" s="27"/>
      <c r="N7" s="27"/>
      <c r="O7" s="27"/>
      <c r="P7" s="27"/>
      <c r="Q7" s="27"/>
      <c r="R7" s="27"/>
      <c r="S7" s="27"/>
    </row>
    <row r="8" ht="17.25" customHeight="1">
      <c r="A8" s="23"/>
      <c r="B8" s="23" t="s">
        <v>20</v>
      </c>
      <c r="C8" s="23" t="s">
        <v>295</v>
      </c>
      <c r="D8" s="23" t="s">
        <v>36</v>
      </c>
      <c r="E8" s="23" t="s">
        <v>296</v>
      </c>
      <c r="F8" s="23" t="s">
        <v>296</v>
      </c>
      <c r="G8" s="31"/>
      <c r="H8" s="26" t="s">
        <v>297</v>
      </c>
      <c r="I8" s="24"/>
      <c r="J8" s="24"/>
      <c r="K8" s="24"/>
      <c r="L8" s="27"/>
      <c r="M8" s="4" t="s">
        <v>296</v>
      </c>
      <c r="N8" s="27"/>
      <c r="O8" s="27"/>
      <c r="P8" s="27"/>
      <c r="Q8" s="27"/>
      <c r="R8" s="27"/>
      <c r="S8" s="27"/>
    </row>
    <row r="9" ht="17.25" customHeight="1">
      <c r="A9" s="23"/>
      <c r="B9" s="23" t="s">
        <v>20</v>
      </c>
      <c r="C9" s="23" t="s">
        <v>298</v>
      </c>
      <c r="D9" s="23" t="s">
        <v>36</v>
      </c>
      <c r="E9" s="23" t="s">
        <v>296</v>
      </c>
      <c r="F9" s="23" t="s">
        <v>299</v>
      </c>
      <c r="G9" s="31"/>
      <c r="H9" s="26" t="s">
        <v>300</v>
      </c>
      <c r="I9" s="24"/>
      <c r="J9" s="24"/>
      <c r="K9" s="24"/>
      <c r="L9" s="27"/>
      <c r="M9" s="27"/>
      <c r="N9" s="27"/>
      <c r="O9" s="27"/>
      <c r="P9" s="27"/>
      <c r="Q9" s="27"/>
      <c r="R9" s="27"/>
      <c r="S9" s="27"/>
    </row>
    <row r="10" ht="17.25" customHeight="1">
      <c r="A10" s="24"/>
      <c r="B10" s="23" t="s">
        <v>301</v>
      </c>
      <c r="C10" s="25" t="s">
        <v>302</v>
      </c>
      <c r="D10" s="23" t="s">
        <v>36</v>
      </c>
      <c r="E10" s="23" t="s">
        <v>303</v>
      </c>
      <c r="F10" s="24"/>
      <c r="G10" s="24"/>
      <c r="H10" s="26" t="s">
        <v>304</v>
      </c>
      <c r="I10" s="24"/>
      <c r="J10" s="26" t="s">
        <v>305</v>
      </c>
      <c r="K10" s="24"/>
      <c r="L10" s="27"/>
      <c r="M10" s="27"/>
      <c r="N10" s="27"/>
      <c r="O10" s="27"/>
      <c r="P10" s="27"/>
      <c r="Q10" s="27"/>
      <c r="R10" s="27"/>
      <c r="S10" s="27"/>
    </row>
    <row r="11" ht="17.25" customHeight="1">
      <c r="A11" s="24"/>
      <c r="B11" s="23" t="s">
        <v>20</v>
      </c>
      <c r="C11" s="23" t="s">
        <v>306</v>
      </c>
      <c r="D11" s="23" t="s">
        <v>36</v>
      </c>
      <c r="E11" s="23" t="s">
        <v>307</v>
      </c>
      <c r="F11" s="24"/>
      <c r="G11" s="24"/>
      <c r="H11" s="26" t="s">
        <v>308</v>
      </c>
      <c r="I11" s="26" t="s">
        <v>309</v>
      </c>
      <c r="J11" s="24"/>
      <c r="K11" s="24"/>
      <c r="L11" s="27"/>
      <c r="M11" s="27"/>
      <c r="N11" s="27"/>
      <c r="O11" s="27"/>
      <c r="P11" s="27"/>
      <c r="Q11" s="27"/>
      <c r="R11" s="27"/>
      <c r="S11" s="27"/>
    </row>
    <row r="12" ht="17.25" customHeight="1">
      <c r="A12" s="24"/>
      <c r="B12" s="23" t="s">
        <v>20</v>
      </c>
      <c r="C12" s="23" t="s">
        <v>310</v>
      </c>
      <c r="D12" s="23" t="s">
        <v>36</v>
      </c>
      <c r="E12" s="23" t="s">
        <v>307</v>
      </c>
      <c r="F12" s="24"/>
      <c r="G12" s="24"/>
      <c r="H12" s="26" t="s">
        <v>311</v>
      </c>
      <c r="I12" s="26" t="s">
        <v>312</v>
      </c>
      <c r="J12" s="24"/>
      <c r="K12" s="24"/>
      <c r="L12" s="27"/>
      <c r="M12" s="27"/>
      <c r="N12" s="27"/>
      <c r="O12" s="27"/>
      <c r="P12" s="27"/>
      <c r="Q12" s="27"/>
      <c r="R12" s="27"/>
      <c r="S12" s="27"/>
    </row>
    <row r="13" ht="17.25" customHeight="1">
      <c r="A13" s="23"/>
      <c r="B13" s="23" t="s">
        <v>20</v>
      </c>
      <c r="C13" s="23" t="s">
        <v>313</v>
      </c>
      <c r="D13" s="23" t="s">
        <v>36</v>
      </c>
      <c r="E13" s="23" t="s">
        <v>36</v>
      </c>
      <c r="F13" s="23" t="s">
        <v>314</v>
      </c>
      <c r="G13" s="31"/>
      <c r="H13" s="26" t="s">
        <v>315</v>
      </c>
      <c r="I13" s="26" t="s">
        <v>316</v>
      </c>
      <c r="J13" s="26" t="s">
        <v>317</v>
      </c>
      <c r="K13" s="24"/>
      <c r="L13" s="27"/>
      <c r="M13" s="27"/>
      <c r="N13" s="32" t="s">
        <v>318</v>
      </c>
      <c r="O13" s="27"/>
      <c r="P13" s="27"/>
      <c r="Q13" s="27"/>
      <c r="R13" s="27"/>
      <c r="S13" s="27"/>
    </row>
    <row r="14" ht="17.25" customHeight="1">
      <c r="A14" s="23"/>
      <c r="B14" s="23" t="s">
        <v>20</v>
      </c>
      <c r="C14" s="23" t="s">
        <v>319</v>
      </c>
      <c r="D14" s="23" t="s">
        <v>36</v>
      </c>
      <c r="E14" s="23" t="s">
        <v>36</v>
      </c>
      <c r="F14" s="23"/>
      <c r="G14" s="31"/>
      <c r="H14" s="26" t="s">
        <v>320</v>
      </c>
      <c r="I14" s="26" t="s">
        <v>321</v>
      </c>
      <c r="J14" s="33" t="s">
        <v>322</v>
      </c>
      <c r="K14" s="24"/>
      <c r="L14" s="27"/>
      <c r="M14" s="32"/>
      <c r="N14" s="32" t="s">
        <v>318</v>
      </c>
      <c r="O14" s="27"/>
      <c r="P14" s="27"/>
      <c r="Q14" s="27"/>
      <c r="R14" s="27"/>
      <c r="S14" s="27"/>
    </row>
    <row r="15" ht="17.25" customHeight="1">
      <c r="A15" s="23"/>
      <c r="B15" s="23" t="s">
        <v>20</v>
      </c>
      <c r="C15" s="23" t="s">
        <v>323</v>
      </c>
      <c r="D15" s="23" t="s">
        <v>36</v>
      </c>
      <c r="E15" s="23" t="s">
        <v>36</v>
      </c>
      <c r="F15" s="23" t="s">
        <v>324</v>
      </c>
      <c r="G15" s="31"/>
      <c r="H15" s="26" t="s">
        <v>325</v>
      </c>
      <c r="I15" s="24"/>
      <c r="J15" s="26" t="s">
        <v>326</v>
      </c>
      <c r="K15" s="24"/>
      <c r="L15" s="27"/>
      <c r="M15" s="27"/>
      <c r="N15" s="27"/>
      <c r="O15" s="27"/>
      <c r="P15" s="27"/>
      <c r="Q15" s="27"/>
      <c r="R15" s="27"/>
      <c r="S15" s="27"/>
    </row>
    <row r="16" ht="17.25" customHeight="1">
      <c r="A16" s="23"/>
      <c r="B16" s="23" t="s">
        <v>20</v>
      </c>
      <c r="C16" s="23" t="s">
        <v>327</v>
      </c>
      <c r="D16" s="23" t="s">
        <v>36</v>
      </c>
      <c r="E16" s="23" t="s">
        <v>36</v>
      </c>
      <c r="F16" s="23" t="s">
        <v>328</v>
      </c>
      <c r="G16" s="31"/>
      <c r="H16" s="26" t="s">
        <v>329</v>
      </c>
      <c r="I16" s="26" t="s">
        <v>330</v>
      </c>
      <c r="J16" s="34" t="s">
        <v>331</v>
      </c>
      <c r="K16" s="24"/>
      <c r="L16" s="27"/>
      <c r="M16" s="4" t="s">
        <v>332</v>
      </c>
      <c r="N16" s="27"/>
      <c r="O16" s="27"/>
      <c r="P16" s="27"/>
      <c r="Q16" s="27"/>
      <c r="R16" s="27"/>
      <c r="S16" s="27"/>
    </row>
    <row r="17" ht="17.25" customHeight="1">
      <c r="A17" s="23"/>
      <c r="B17" s="23" t="s">
        <v>20</v>
      </c>
      <c r="C17" s="23" t="s">
        <v>333</v>
      </c>
      <c r="D17" s="23" t="s">
        <v>36</v>
      </c>
      <c r="E17" s="23" t="s">
        <v>36</v>
      </c>
      <c r="F17" s="23" t="s">
        <v>334</v>
      </c>
      <c r="G17" s="31"/>
      <c r="H17" s="26" t="s">
        <v>335</v>
      </c>
      <c r="I17" s="31"/>
      <c r="J17" s="26" t="s">
        <v>336</v>
      </c>
      <c r="K17" s="24"/>
      <c r="L17" s="27"/>
      <c r="M17" s="27"/>
      <c r="N17" s="32" t="s">
        <v>318</v>
      </c>
      <c r="O17" s="27"/>
      <c r="P17" s="27"/>
      <c r="Q17" s="27"/>
      <c r="R17" s="27"/>
      <c r="S17" s="27"/>
    </row>
    <row r="18" ht="17.25" customHeight="1">
      <c r="A18" s="23"/>
      <c r="B18" s="23" t="s">
        <v>20</v>
      </c>
      <c r="C18" s="23" t="s">
        <v>337</v>
      </c>
      <c r="D18" s="23" t="s">
        <v>36</v>
      </c>
      <c r="E18" s="23" t="s">
        <v>36</v>
      </c>
      <c r="F18" s="23"/>
      <c r="G18" s="31"/>
      <c r="H18" s="26" t="s">
        <v>338</v>
      </c>
      <c r="I18" s="26" t="s">
        <v>339</v>
      </c>
      <c r="J18" s="26" t="s">
        <v>340</v>
      </c>
      <c r="K18" s="24"/>
      <c r="L18" s="27"/>
      <c r="M18" s="27"/>
      <c r="N18" s="27"/>
      <c r="O18" s="27"/>
      <c r="P18" s="27"/>
      <c r="Q18" s="27"/>
      <c r="R18" s="27"/>
      <c r="S18" s="27"/>
    </row>
    <row r="19" ht="17.25" customHeight="1">
      <c r="A19" s="23"/>
      <c r="B19" s="23" t="s">
        <v>102</v>
      </c>
      <c r="C19" s="23" t="s">
        <v>341</v>
      </c>
      <c r="D19" s="23" t="s">
        <v>36</v>
      </c>
      <c r="E19" s="23" t="s">
        <v>36</v>
      </c>
      <c r="F19" s="23" t="s">
        <v>342</v>
      </c>
      <c r="G19" s="31"/>
      <c r="H19" s="26" t="s">
        <v>343</v>
      </c>
      <c r="I19" s="26" t="s">
        <v>344</v>
      </c>
      <c r="J19" s="26" t="s">
        <v>345</v>
      </c>
      <c r="K19" s="24"/>
      <c r="L19" s="29" t="s">
        <v>346</v>
      </c>
      <c r="M19" s="27"/>
      <c r="N19" s="32" t="s">
        <v>318</v>
      </c>
      <c r="O19" s="27"/>
      <c r="P19" s="27"/>
      <c r="Q19" s="27"/>
      <c r="R19" s="27"/>
      <c r="S19" s="27"/>
    </row>
    <row r="20" ht="17.25" customHeight="1">
      <c r="A20" s="23"/>
      <c r="B20" s="23" t="s">
        <v>102</v>
      </c>
      <c r="C20" s="23" t="s">
        <v>347</v>
      </c>
      <c r="D20" s="23" t="s">
        <v>36</v>
      </c>
      <c r="E20" s="23" t="s">
        <v>36</v>
      </c>
      <c r="F20" s="23"/>
      <c r="G20" s="31"/>
      <c r="H20" s="26" t="s">
        <v>348</v>
      </c>
      <c r="I20" s="26" t="s">
        <v>349</v>
      </c>
      <c r="J20" s="26" t="s">
        <v>350</v>
      </c>
      <c r="K20" s="24"/>
      <c r="L20" s="27"/>
      <c r="M20" s="27"/>
      <c r="N20" s="27"/>
      <c r="O20" s="27"/>
      <c r="P20" s="27"/>
      <c r="Q20" s="27"/>
      <c r="R20" s="27"/>
      <c r="S20" s="27"/>
    </row>
    <row r="21" ht="17.25" customHeight="1">
      <c r="A21" s="23"/>
      <c r="B21" s="23" t="s">
        <v>20</v>
      </c>
      <c r="C21" s="23" t="s">
        <v>351</v>
      </c>
      <c r="D21" s="23" t="s">
        <v>36</v>
      </c>
      <c r="E21" s="23" t="s">
        <v>36</v>
      </c>
      <c r="F21" s="23" t="s">
        <v>352</v>
      </c>
      <c r="G21" s="31"/>
      <c r="H21" s="26" t="s">
        <v>353</v>
      </c>
      <c r="I21" s="26" t="s">
        <v>354</v>
      </c>
      <c r="J21" s="26" t="s">
        <v>355</v>
      </c>
      <c r="K21" s="24"/>
      <c r="L21" s="27"/>
      <c r="M21" s="27"/>
      <c r="N21" s="32" t="s">
        <v>318</v>
      </c>
      <c r="O21" s="27"/>
      <c r="P21" s="27"/>
      <c r="Q21" s="27"/>
      <c r="R21" s="27"/>
      <c r="S21" s="27"/>
    </row>
    <row r="22" ht="17.25" customHeight="1">
      <c r="A22" s="23"/>
      <c r="B22" s="23" t="s">
        <v>20</v>
      </c>
      <c r="C22" s="23" t="s">
        <v>356</v>
      </c>
      <c r="D22" s="23" t="s">
        <v>36</v>
      </c>
      <c r="E22" s="23" t="s">
        <v>36</v>
      </c>
      <c r="F22" s="23"/>
      <c r="G22" s="31"/>
      <c r="H22" s="26" t="s">
        <v>357</v>
      </c>
      <c r="I22" s="26" t="s">
        <v>358</v>
      </c>
      <c r="J22" s="33" t="s">
        <v>359</v>
      </c>
      <c r="K22" s="24"/>
      <c r="L22" s="27"/>
      <c r="M22" s="27"/>
      <c r="N22" s="32" t="s">
        <v>318</v>
      </c>
      <c r="O22" s="27"/>
      <c r="P22" s="27"/>
      <c r="Q22" s="27"/>
      <c r="R22" s="27"/>
      <c r="S22" s="27"/>
    </row>
    <row r="23" ht="17.25" customHeight="1">
      <c r="A23" s="23"/>
      <c r="B23" s="23" t="s">
        <v>20</v>
      </c>
      <c r="C23" s="23" t="s">
        <v>360</v>
      </c>
      <c r="D23" s="23" t="s">
        <v>36</v>
      </c>
      <c r="E23" s="23" t="s">
        <v>36</v>
      </c>
      <c r="F23" s="23" t="s">
        <v>361</v>
      </c>
      <c r="G23" s="31"/>
      <c r="H23" s="26" t="s">
        <v>362</v>
      </c>
      <c r="I23" s="26" t="s">
        <v>363</v>
      </c>
      <c r="J23" s="26" t="s">
        <v>364</v>
      </c>
      <c r="K23" s="24"/>
      <c r="L23" s="27"/>
      <c r="M23" s="32"/>
      <c r="N23" s="32" t="s">
        <v>318</v>
      </c>
      <c r="O23" s="27"/>
      <c r="P23" s="27"/>
      <c r="Q23" s="27"/>
      <c r="R23" s="27"/>
      <c r="S23" s="27"/>
    </row>
    <row r="24" ht="17.25" customHeight="1">
      <c r="A24" s="23"/>
      <c r="B24" s="23" t="s">
        <v>20</v>
      </c>
      <c r="C24" s="23" t="s">
        <v>365</v>
      </c>
      <c r="D24" s="23" t="s">
        <v>36</v>
      </c>
      <c r="E24" s="23" t="s">
        <v>36</v>
      </c>
      <c r="F24" s="23"/>
      <c r="G24" s="31"/>
      <c r="H24" s="26" t="s">
        <v>366</v>
      </c>
      <c r="I24" s="33" t="s">
        <v>367</v>
      </c>
      <c r="J24" s="26" t="s">
        <v>368</v>
      </c>
      <c r="K24" s="24"/>
      <c r="L24" s="27"/>
      <c r="M24" s="27"/>
      <c r="N24" s="32" t="s">
        <v>318</v>
      </c>
      <c r="O24" s="27"/>
      <c r="P24" s="27"/>
      <c r="Q24" s="27"/>
      <c r="R24" s="27"/>
      <c r="S24" s="27"/>
    </row>
    <row r="25" ht="17.25" customHeight="1">
      <c r="A25" s="23"/>
      <c r="B25" s="23" t="s">
        <v>20</v>
      </c>
      <c r="C25" s="23" t="s">
        <v>369</v>
      </c>
      <c r="D25" s="23" t="s">
        <v>36</v>
      </c>
      <c r="E25" s="23" t="s">
        <v>36</v>
      </c>
      <c r="F25" s="23"/>
      <c r="G25" s="31"/>
      <c r="H25" s="26" t="s">
        <v>370</v>
      </c>
      <c r="I25" s="26" t="s">
        <v>371</v>
      </c>
      <c r="J25" s="26" t="s">
        <v>372</v>
      </c>
      <c r="K25" s="24"/>
      <c r="L25" s="29" t="s">
        <v>373</v>
      </c>
      <c r="M25" s="27"/>
      <c r="N25" s="32" t="s">
        <v>318</v>
      </c>
      <c r="O25" s="27"/>
      <c r="P25" s="27"/>
      <c r="Q25" s="27"/>
      <c r="R25" s="27"/>
      <c r="S25" s="27"/>
    </row>
    <row r="26" ht="17.25" customHeight="1">
      <c r="A26" s="23"/>
      <c r="B26" s="23" t="s">
        <v>102</v>
      </c>
      <c r="C26" s="23" t="s">
        <v>374</v>
      </c>
      <c r="D26" s="23" t="s">
        <v>36</v>
      </c>
      <c r="E26" s="23" t="s">
        <v>36</v>
      </c>
      <c r="F26" s="23" t="s">
        <v>375</v>
      </c>
      <c r="G26" s="31"/>
      <c r="H26" s="26" t="s">
        <v>376</v>
      </c>
      <c r="I26" s="26" t="s">
        <v>377</v>
      </c>
      <c r="J26" s="26" t="s">
        <v>378</v>
      </c>
      <c r="K26" s="24"/>
      <c r="L26" s="27"/>
      <c r="M26" s="27"/>
      <c r="N26" s="27"/>
      <c r="O26" s="27"/>
      <c r="P26" s="27"/>
      <c r="Q26" s="27"/>
      <c r="R26" s="27"/>
      <c r="S26" s="27"/>
    </row>
    <row r="27" ht="17.25" customHeight="1">
      <c r="A27" s="23"/>
      <c r="B27" s="23" t="s">
        <v>20</v>
      </c>
      <c r="C27" s="23" t="s">
        <v>379</v>
      </c>
      <c r="D27" s="23" t="s">
        <v>36</v>
      </c>
      <c r="E27" s="23" t="s">
        <v>36</v>
      </c>
      <c r="F27" s="23" t="s">
        <v>380</v>
      </c>
      <c r="G27" s="31"/>
      <c r="H27" s="26" t="s">
        <v>381</v>
      </c>
      <c r="I27" s="26" t="s">
        <v>382</v>
      </c>
      <c r="J27" s="33" t="s">
        <v>383</v>
      </c>
      <c r="K27" s="26" t="s">
        <v>384</v>
      </c>
      <c r="L27" s="29" t="s">
        <v>385</v>
      </c>
      <c r="M27" s="27"/>
      <c r="N27" s="32" t="s">
        <v>318</v>
      </c>
      <c r="O27" s="27"/>
      <c r="P27" s="27"/>
      <c r="Q27" s="27"/>
      <c r="R27" s="27"/>
      <c r="S27" s="27"/>
    </row>
    <row r="28" ht="17.25" customHeight="1">
      <c r="A28" s="23"/>
      <c r="B28" s="23" t="s">
        <v>20</v>
      </c>
      <c r="C28" s="23" t="s">
        <v>386</v>
      </c>
      <c r="D28" s="23" t="s">
        <v>36</v>
      </c>
      <c r="E28" s="23" t="s">
        <v>36</v>
      </c>
      <c r="F28" s="23" t="s">
        <v>387</v>
      </c>
      <c r="G28" s="31"/>
      <c r="H28" s="26" t="s">
        <v>388</v>
      </c>
      <c r="I28" s="26" t="s">
        <v>389</v>
      </c>
      <c r="J28" s="26" t="s">
        <v>390</v>
      </c>
      <c r="K28" s="24"/>
      <c r="L28" s="27"/>
      <c r="M28" s="27"/>
      <c r="N28" s="32" t="s">
        <v>318</v>
      </c>
      <c r="O28" s="27"/>
      <c r="P28" s="27"/>
      <c r="Q28" s="27"/>
      <c r="R28" s="27"/>
      <c r="S28" s="27"/>
    </row>
    <row r="29" ht="17.25" customHeight="1">
      <c r="A29" s="23"/>
      <c r="B29" s="23" t="s">
        <v>20</v>
      </c>
      <c r="C29" s="23" t="s">
        <v>391</v>
      </c>
      <c r="D29" s="23" t="s">
        <v>36</v>
      </c>
      <c r="E29" s="23" t="s">
        <v>36</v>
      </c>
      <c r="F29" s="23" t="s">
        <v>392</v>
      </c>
      <c r="G29" s="31"/>
      <c r="H29" s="26" t="s">
        <v>393</v>
      </c>
      <c r="I29" s="26" t="s">
        <v>394</v>
      </c>
      <c r="J29" s="26" t="s">
        <v>395</v>
      </c>
      <c r="K29" s="24"/>
      <c r="L29" s="27"/>
      <c r="M29" s="27"/>
      <c r="N29" s="32" t="s">
        <v>318</v>
      </c>
      <c r="O29" s="27"/>
      <c r="P29" s="27"/>
      <c r="Q29" s="27"/>
      <c r="R29" s="27"/>
      <c r="S29" s="27"/>
    </row>
    <row r="30" ht="17.25" customHeight="1">
      <c r="A30" s="23"/>
      <c r="B30" s="23" t="s">
        <v>102</v>
      </c>
      <c r="C30" s="23" t="s">
        <v>396</v>
      </c>
      <c r="D30" s="23" t="s">
        <v>36</v>
      </c>
      <c r="E30" s="23" t="s">
        <v>36</v>
      </c>
      <c r="F30" s="23" t="s">
        <v>375</v>
      </c>
      <c r="G30" s="31"/>
      <c r="H30" s="26" t="s">
        <v>397</v>
      </c>
      <c r="I30" s="26" t="s">
        <v>398</v>
      </c>
      <c r="J30" s="26" t="s">
        <v>399</v>
      </c>
      <c r="K30" s="26" t="s">
        <v>400</v>
      </c>
      <c r="L30" s="27"/>
      <c r="M30" s="27"/>
      <c r="N30" s="32" t="s">
        <v>318</v>
      </c>
      <c r="O30" s="27"/>
      <c r="P30" s="27"/>
      <c r="Q30" s="27"/>
      <c r="R30" s="27"/>
      <c r="S30" s="27"/>
    </row>
    <row r="31" ht="17.25" customHeight="1">
      <c r="A31" s="23"/>
      <c r="B31" s="23" t="s">
        <v>20</v>
      </c>
      <c r="C31" s="23" t="s">
        <v>401</v>
      </c>
      <c r="D31" s="23" t="s">
        <v>36</v>
      </c>
      <c r="E31" s="23" t="s">
        <v>36</v>
      </c>
      <c r="F31" s="23" t="s">
        <v>402</v>
      </c>
      <c r="G31" s="31"/>
      <c r="H31" s="26" t="s">
        <v>403</v>
      </c>
      <c r="I31" s="26" t="s">
        <v>404</v>
      </c>
      <c r="J31" s="26" t="s">
        <v>405</v>
      </c>
      <c r="K31" s="24"/>
      <c r="L31" s="27"/>
      <c r="M31" s="27"/>
      <c r="N31" s="32" t="s">
        <v>318</v>
      </c>
      <c r="O31" s="27"/>
      <c r="P31" s="27"/>
      <c r="Q31" s="27"/>
      <c r="R31" s="27"/>
      <c r="S31" s="27"/>
    </row>
    <row r="32" ht="17.25" customHeight="1">
      <c r="A32" s="23"/>
      <c r="B32" s="23" t="s">
        <v>20</v>
      </c>
      <c r="C32" s="23" t="s">
        <v>406</v>
      </c>
      <c r="D32" s="23" t="s">
        <v>36</v>
      </c>
      <c r="E32" s="23" t="s">
        <v>36</v>
      </c>
      <c r="F32" s="23" t="s">
        <v>407</v>
      </c>
      <c r="G32" s="31"/>
      <c r="H32" s="26" t="s">
        <v>408</v>
      </c>
      <c r="I32" s="26" t="s">
        <v>409</v>
      </c>
      <c r="J32" s="23" t="s">
        <v>410</v>
      </c>
      <c r="K32" s="24"/>
      <c r="L32" s="27"/>
      <c r="M32" s="4" t="s">
        <v>411</v>
      </c>
      <c r="N32" s="27"/>
      <c r="O32" s="27"/>
      <c r="P32" s="27"/>
      <c r="Q32" s="27"/>
      <c r="R32" s="27"/>
      <c r="S32" s="27"/>
    </row>
    <row r="33" ht="17.25" customHeight="1">
      <c r="A33" s="23"/>
      <c r="B33" s="23" t="s">
        <v>20</v>
      </c>
      <c r="C33" s="23" t="s">
        <v>412</v>
      </c>
      <c r="D33" s="23" t="s">
        <v>36</v>
      </c>
      <c r="E33" s="23" t="s">
        <v>36</v>
      </c>
      <c r="F33" s="23" t="s">
        <v>413</v>
      </c>
      <c r="G33" s="31"/>
      <c r="H33" s="26" t="s">
        <v>414</v>
      </c>
      <c r="I33" s="26" t="s">
        <v>415</v>
      </c>
      <c r="J33" s="24"/>
      <c r="K33" s="24"/>
      <c r="L33" s="27"/>
      <c r="M33" s="27"/>
      <c r="N33" s="27"/>
      <c r="O33" s="27"/>
      <c r="P33" s="27"/>
      <c r="Q33" s="27"/>
      <c r="R33" s="27"/>
      <c r="S33" s="27"/>
    </row>
    <row r="34" ht="17.25" customHeight="1">
      <c r="A34" s="23"/>
      <c r="B34" s="23" t="s">
        <v>20</v>
      </c>
      <c r="C34" s="23" t="s">
        <v>125</v>
      </c>
      <c r="D34" s="23" t="s">
        <v>36</v>
      </c>
      <c r="E34" s="23" t="s">
        <v>36</v>
      </c>
      <c r="F34" s="23" t="s">
        <v>416</v>
      </c>
      <c r="G34" s="31"/>
      <c r="H34" s="26" t="s">
        <v>417</v>
      </c>
      <c r="I34" s="26" t="s">
        <v>418</v>
      </c>
      <c r="J34" s="24"/>
      <c r="K34" s="24"/>
      <c r="L34" s="27"/>
      <c r="M34" s="4" t="s">
        <v>419</v>
      </c>
      <c r="N34" s="32" t="s">
        <v>318</v>
      </c>
      <c r="O34" s="27"/>
      <c r="P34" s="27"/>
      <c r="Q34" s="27"/>
      <c r="R34" s="27"/>
      <c r="S34" s="27"/>
    </row>
    <row r="35" ht="17.25" customHeight="1">
      <c r="A35" s="23"/>
      <c r="B35" s="23" t="s">
        <v>20</v>
      </c>
      <c r="C35" s="23" t="s">
        <v>420</v>
      </c>
      <c r="D35" s="23" t="s">
        <v>36</v>
      </c>
      <c r="E35" s="23" t="s">
        <v>36</v>
      </c>
      <c r="F35" s="23" t="s">
        <v>421</v>
      </c>
      <c r="G35" s="31"/>
      <c r="H35" s="26" t="s">
        <v>422</v>
      </c>
      <c r="I35" s="26" t="s">
        <v>423</v>
      </c>
      <c r="J35" s="24"/>
      <c r="K35" s="24"/>
      <c r="L35" s="27"/>
      <c r="M35" s="4" t="s">
        <v>424</v>
      </c>
      <c r="N35" s="32" t="s">
        <v>318</v>
      </c>
      <c r="O35" s="27"/>
      <c r="P35" s="27"/>
      <c r="Q35" s="27"/>
      <c r="R35" s="27"/>
      <c r="S35" s="27"/>
    </row>
    <row r="36" ht="17.25" customHeight="1">
      <c r="A36" s="23"/>
      <c r="B36" s="23" t="s">
        <v>20</v>
      </c>
      <c r="C36" s="23" t="s">
        <v>425</v>
      </c>
      <c r="D36" s="23" t="s">
        <v>36</v>
      </c>
      <c r="E36" s="23" t="s">
        <v>36</v>
      </c>
      <c r="F36" s="23"/>
      <c r="G36" s="31"/>
      <c r="H36" s="26" t="s">
        <v>426</v>
      </c>
      <c r="I36" s="33" t="s">
        <v>427</v>
      </c>
      <c r="J36" s="24"/>
      <c r="K36" s="24"/>
      <c r="L36" s="27"/>
      <c r="M36" s="4" t="s">
        <v>428</v>
      </c>
      <c r="N36" s="32" t="s">
        <v>318</v>
      </c>
      <c r="O36" s="27"/>
      <c r="P36" s="27"/>
      <c r="Q36" s="27"/>
      <c r="R36" s="27"/>
      <c r="S36" s="27"/>
    </row>
    <row r="37" ht="17.25" customHeight="1">
      <c r="A37" s="23"/>
      <c r="B37" s="23" t="s">
        <v>20</v>
      </c>
      <c r="C37" s="23" t="s">
        <v>429</v>
      </c>
      <c r="D37" s="23" t="s">
        <v>36</v>
      </c>
      <c r="E37" s="23" t="s">
        <v>36</v>
      </c>
      <c r="F37" s="23"/>
      <c r="G37" s="31"/>
      <c r="H37" s="26" t="s">
        <v>430</v>
      </c>
      <c r="I37" s="26" t="s">
        <v>431</v>
      </c>
      <c r="J37" s="24"/>
      <c r="K37" s="24"/>
      <c r="L37" s="27"/>
      <c r="M37" s="27"/>
      <c r="N37" s="27"/>
      <c r="O37" s="27"/>
      <c r="P37" s="27"/>
      <c r="Q37" s="27"/>
      <c r="R37" s="27"/>
      <c r="S37" s="27"/>
    </row>
    <row r="38" ht="17.25" customHeight="1">
      <c r="A38" s="23"/>
      <c r="B38" s="23" t="s">
        <v>20</v>
      </c>
      <c r="C38" s="23" t="s">
        <v>432</v>
      </c>
      <c r="D38" s="23" t="s">
        <v>36</v>
      </c>
      <c r="E38" s="23" t="s">
        <v>36</v>
      </c>
      <c r="F38" s="23"/>
      <c r="G38" s="35"/>
      <c r="H38" s="33" t="s">
        <v>433</v>
      </c>
      <c r="I38" s="36" t="s">
        <v>434</v>
      </c>
      <c r="J38" s="24"/>
      <c r="K38" s="24"/>
      <c r="L38" s="27"/>
      <c r="M38" s="4" t="s">
        <v>435</v>
      </c>
      <c r="N38" s="32" t="s">
        <v>318</v>
      </c>
      <c r="O38" s="27"/>
      <c r="P38" s="27"/>
      <c r="Q38" s="27"/>
      <c r="R38" s="27"/>
      <c r="S38" s="27"/>
    </row>
    <row r="39" ht="17.25" customHeight="1">
      <c r="A39" s="23"/>
      <c r="B39" s="23" t="s">
        <v>20</v>
      </c>
      <c r="C39" s="23" t="s">
        <v>436</v>
      </c>
      <c r="D39" s="23" t="s">
        <v>36</v>
      </c>
      <c r="E39" s="23" t="s">
        <v>36</v>
      </c>
      <c r="F39" s="23" t="s">
        <v>334</v>
      </c>
      <c r="G39" s="31"/>
      <c r="H39" s="26" t="s">
        <v>437</v>
      </c>
      <c r="I39" s="26" t="s">
        <v>438</v>
      </c>
      <c r="J39" s="24"/>
      <c r="K39" s="24"/>
      <c r="L39" s="27"/>
      <c r="M39" s="27"/>
      <c r="N39" s="32" t="s">
        <v>318</v>
      </c>
      <c r="O39" s="27"/>
      <c r="P39" s="27"/>
      <c r="Q39" s="27"/>
      <c r="R39" s="27"/>
      <c r="S39" s="27"/>
    </row>
    <row r="40" ht="17.25" customHeight="1">
      <c r="A40" s="23"/>
      <c r="B40" s="23" t="s">
        <v>20</v>
      </c>
      <c r="C40" s="23" t="s">
        <v>439</v>
      </c>
      <c r="D40" s="23" t="s">
        <v>36</v>
      </c>
      <c r="E40" s="23" t="s">
        <v>36</v>
      </c>
      <c r="F40" s="23"/>
      <c r="G40" s="31"/>
      <c r="H40" s="26" t="s">
        <v>440</v>
      </c>
      <c r="I40" s="26" t="s">
        <v>441</v>
      </c>
      <c r="J40" s="24"/>
      <c r="K40" s="24"/>
      <c r="L40" s="27"/>
      <c r="M40" s="27"/>
      <c r="N40" s="32"/>
      <c r="O40" s="27"/>
      <c r="P40" s="27"/>
      <c r="Q40" s="27"/>
      <c r="R40" s="27"/>
      <c r="S40" s="27"/>
    </row>
    <row r="41" ht="17.25" customHeight="1">
      <c r="A41" s="23"/>
      <c r="B41" s="23" t="s">
        <v>20</v>
      </c>
      <c r="C41" s="23" t="s">
        <v>442</v>
      </c>
      <c r="D41" s="23" t="s">
        <v>36</v>
      </c>
      <c r="E41" s="23" t="s">
        <v>36</v>
      </c>
      <c r="F41" s="23"/>
      <c r="G41" s="31"/>
      <c r="H41" s="26" t="s">
        <v>443</v>
      </c>
      <c r="I41" s="26" t="s">
        <v>444</v>
      </c>
      <c r="J41" s="24"/>
      <c r="K41" s="24"/>
      <c r="L41" s="27"/>
      <c r="M41" s="4" t="s">
        <v>445</v>
      </c>
      <c r="N41" s="32" t="s">
        <v>318</v>
      </c>
      <c r="O41" s="27"/>
      <c r="P41" s="27"/>
      <c r="Q41" s="27"/>
      <c r="R41" s="27"/>
      <c r="S41" s="27"/>
    </row>
    <row r="42" ht="17.25" customHeight="1">
      <c r="A42" s="23"/>
      <c r="B42" s="23" t="s">
        <v>20</v>
      </c>
      <c r="C42" s="23" t="s">
        <v>446</v>
      </c>
      <c r="D42" s="23" t="s">
        <v>36</v>
      </c>
      <c r="E42" s="23" t="s">
        <v>36</v>
      </c>
      <c r="F42" s="23" t="s">
        <v>447</v>
      </c>
      <c r="G42" s="31"/>
      <c r="H42" s="26" t="s">
        <v>448</v>
      </c>
      <c r="I42" s="26" t="s">
        <v>449</v>
      </c>
      <c r="J42" s="24"/>
      <c r="K42" s="24"/>
      <c r="L42" s="27"/>
      <c r="M42" s="4" t="s">
        <v>450</v>
      </c>
      <c r="N42" s="32" t="s">
        <v>318</v>
      </c>
      <c r="O42" s="27"/>
      <c r="P42" s="27"/>
      <c r="Q42" s="27"/>
      <c r="R42" s="27"/>
      <c r="S42" s="27"/>
    </row>
    <row r="43" ht="17.25" customHeight="1">
      <c r="A43" s="23"/>
      <c r="B43" s="23" t="s">
        <v>20</v>
      </c>
      <c r="C43" s="23" t="s">
        <v>451</v>
      </c>
      <c r="D43" s="23" t="s">
        <v>36</v>
      </c>
      <c r="E43" s="23" t="s">
        <v>36</v>
      </c>
      <c r="F43" s="23"/>
      <c r="G43" s="31"/>
      <c r="H43" s="26" t="s">
        <v>452</v>
      </c>
      <c r="I43" s="26" t="s">
        <v>453</v>
      </c>
      <c r="J43" s="24"/>
      <c r="K43" s="24"/>
      <c r="L43" s="27"/>
      <c r="M43" s="4" t="s">
        <v>454</v>
      </c>
      <c r="N43" s="27"/>
      <c r="O43" s="27"/>
      <c r="P43" s="27"/>
      <c r="Q43" s="27"/>
      <c r="R43" s="27"/>
      <c r="S43" s="27"/>
    </row>
    <row r="44" ht="17.25" customHeight="1">
      <c r="A44" s="23"/>
      <c r="B44" s="23" t="s">
        <v>20</v>
      </c>
      <c r="C44" s="23" t="s">
        <v>455</v>
      </c>
      <c r="D44" s="23" t="s">
        <v>36</v>
      </c>
      <c r="E44" s="23" t="s">
        <v>36</v>
      </c>
      <c r="F44" s="23"/>
      <c r="G44" s="31"/>
      <c r="H44" s="26" t="s">
        <v>456</v>
      </c>
      <c r="I44" s="26" t="s">
        <v>457</v>
      </c>
      <c r="J44" s="24"/>
      <c r="K44" s="24"/>
      <c r="L44" s="27"/>
      <c r="M44" s="27"/>
      <c r="N44" s="32" t="s">
        <v>318</v>
      </c>
      <c r="O44" s="27"/>
      <c r="P44" s="27"/>
      <c r="Q44" s="27"/>
      <c r="R44" s="27"/>
      <c r="S44" s="27"/>
    </row>
    <row r="45" ht="17.25" customHeight="1">
      <c r="A45" s="23"/>
      <c r="B45" s="23" t="s">
        <v>20</v>
      </c>
      <c r="C45" s="23" t="s">
        <v>458</v>
      </c>
      <c r="D45" s="23" t="s">
        <v>36</v>
      </c>
      <c r="E45" s="23" t="s">
        <v>36</v>
      </c>
      <c r="F45" s="23" t="s">
        <v>459</v>
      </c>
      <c r="G45" s="31"/>
      <c r="H45" s="26" t="s">
        <v>460</v>
      </c>
      <c r="I45" s="26" t="s">
        <v>461</v>
      </c>
      <c r="J45" s="24"/>
      <c r="K45" s="24"/>
      <c r="L45" s="27"/>
      <c r="M45" s="27"/>
      <c r="N45" s="32" t="s">
        <v>318</v>
      </c>
      <c r="O45" s="27"/>
      <c r="P45" s="27"/>
      <c r="Q45" s="27"/>
      <c r="R45" s="27"/>
      <c r="S45" s="27"/>
    </row>
    <row r="46" ht="17.25" customHeight="1">
      <c r="A46" s="23"/>
      <c r="B46" s="23" t="s">
        <v>20</v>
      </c>
      <c r="C46" s="23" t="s">
        <v>21</v>
      </c>
      <c r="D46" s="23" t="s">
        <v>36</v>
      </c>
      <c r="E46" s="23" t="s">
        <v>36</v>
      </c>
      <c r="F46" s="23" t="s">
        <v>462</v>
      </c>
      <c r="G46" s="31"/>
      <c r="H46" s="26" t="s">
        <v>463</v>
      </c>
      <c r="I46" s="26" t="s">
        <v>464</v>
      </c>
      <c r="J46" s="24"/>
      <c r="K46" s="24"/>
      <c r="L46" s="27"/>
      <c r="M46" s="27"/>
      <c r="N46" s="32" t="s">
        <v>318</v>
      </c>
      <c r="O46" s="27"/>
      <c r="P46" s="27"/>
      <c r="Q46" s="27"/>
      <c r="R46" s="27"/>
      <c r="S46" s="27"/>
    </row>
    <row r="47" ht="17.25" customHeight="1">
      <c r="A47" s="23"/>
      <c r="B47" s="23" t="s">
        <v>20</v>
      </c>
      <c r="C47" s="23" t="s">
        <v>465</v>
      </c>
      <c r="D47" s="23" t="s">
        <v>36</v>
      </c>
      <c r="E47" s="23" t="s">
        <v>36</v>
      </c>
      <c r="F47" s="23" t="s">
        <v>466</v>
      </c>
      <c r="G47" s="31"/>
      <c r="H47" s="26" t="s">
        <v>467</v>
      </c>
      <c r="I47" s="26" t="s">
        <v>468</v>
      </c>
      <c r="J47" s="24"/>
      <c r="K47" s="24"/>
      <c r="L47" s="27"/>
      <c r="M47" s="27"/>
      <c r="N47" s="27"/>
      <c r="O47" s="27"/>
      <c r="P47" s="27"/>
      <c r="Q47" s="27"/>
      <c r="R47" s="27"/>
      <c r="S47" s="27"/>
    </row>
    <row r="48" ht="17.25" customHeight="1">
      <c r="A48" s="23"/>
      <c r="B48" s="23" t="s">
        <v>20</v>
      </c>
      <c r="C48" s="23" t="s">
        <v>469</v>
      </c>
      <c r="D48" s="23" t="s">
        <v>36</v>
      </c>
      <c r="E48" s="23" t="s">
        <v>36</v>
      </c>
      <c r="F48" s="23" t="s">
        <v>470</v>
      </c>
      <c r="G48" s="31"/>
      <c r="H48" s="26" t="s">
        <v>471</v>
      </c>
      <c r="I48" s="26" t="s">
        <v>472</v>
      </c>
      <c r="J48" s="24"/>
      <c r="K48" s="24"/>
      <c r="L48" s="27"/>
      <c r="M48" s="27"/>
      <c r="N48" s="32" t="s">
        <v>318</v>
      </c>
      <c r="O48" s="27"/>
      <c r="P48" s="27"/>
      <c r="Q48" s="27"/>
      <c r="R48" s="27"/>
      <c r="S48" s="27"/>
    </row>
    <row r="49" ht="17.25" customHeight="1">
      <c r="A49" s="23"/>
      <c r="B49" s="23" t="s">
        <v>20</v>
      </c>
      <c r="C49" s="23" t="s">
        <v>473</v>
      </c>
      <c r="D49" s="23" t="s">
        <v>36</v>
      </c>
      <c r="E49" s="23" t="s">
        <v>36</v>
      </c>
      <c r="F49" s="25" t="s">
        <v>474</v>
      </c>
      <c r="G49" s="31"/>
      <c r="H49" s="26" t="s">
        <v>475</v>
      </c>
      <c r="I49" s="26" t="s">
        <v>476</v>
      </c>
      <c r="J49" s="24"/>
      <c r="K49" s="24"/>
      <c r="L49" s="27"/>
      <c r="M49" s="4" t="s">
        <v>477</v>
      </c>
      <c r="N49" s="32" t="s">
        <v>318</v>
      </c>
      <c r="O49" s="27"/>
      <c r="P49" s="27"/>
      <c r="Q49" s="27"/>
      <c r="R49" s="27"/>
      <c r="S49" s="27"/>
    </row>
    <row r="50" ht="17.25" customHeight="1">
      <c r="A50" s="23"/>
      <c r="B50" s="23" t="s">
        <v>20</v>
      </c>
      <c r="C50" s="23" t="s">
        <v>478</v>
      </c>
      <c r="D50" s="23" t="s">
        <v>36</v>
      </c>
      <c r="E50" s="23" t="s">
        <v>36</v>
      </c>
      <c r="F50" s="23" t="s">
        <v>479</v>
      </c>
      <c r="G50" s="31"/>
      <c r="H50" s="26" t="s">
        <v>480</v>
      </c>
      <c r="I50" s="26" t="s">
        <v>481</v>
      </c>
      <c r="J50" s="24"/>
      <c r="K50" s="24"/>
      <c r="L50" s="27"/>
      <c r="M50" s="4" t="s">
        <v>482</v>
      </c>
      <c r="N50" s="32" t="s">
        <v>318</v>
      </c>
      <c r="O50" s="27"/>
      <c r="P50" s="27"/>
      <c r="Q50" s="27"/>
      <c r="R50" s="27"/>
      <c r="S50" s="27"/>
    </row>
    <row r="51" ht="17.25" customHeight="1">
      <c r="A51" s="23"/>
      <c r="B51" s="23" t="s">
        <v>20</v>
      </c>
      <c r="C51" s="23" t="s">
        <v>483</v>
      </c>
      <c r="D51" s="23" t="s">
        <v>36</v>
      </c>
      <c r="E51" s="23" t="s">
        <v>36</v>
      </c>
      <c r="F51" s="23"/>
      <c r="G51" s="31"/>
      <c r="H51" s="26" t="s">
        <v>484</v>
      </c>
      <c r="I51" s="26" t="s">
        <v>485</v>
      </c>
      <c r="J51" s="24"/>
      <c r="K51" s="24"/>
      <c r="L51" s="27"/>
      <c r="M51" s="27"/>
      <c r="N51" s="32" t="s">
        <v>318</v>
      </c>
      <c r="O51" s="27"/>
      <c r="P51" s="27"/>
      <c r="Q51" s="27"/>
      <c r="R51" s="27"/>
      <c r="S51" s="27"/>
    </row>
    <row r="52" ht="17.25" customHeight="1">
      <c r="A52" s="23"/>
      <c r="B52" s="23" t="s">
        <v>20</v>
      </c>
      <c r="C52" s="23" t="s">
        <v>379</v>
      </c>
      <c r="D52" s="23" t="s">
        <v>36</v>
      </c>
      <c r="E52" s="23" t="s">
        <v>36</v>
      </c>
      <c r="F52" s="23" t="s">
        <v>486</v>
      </c>
      <c r="G52" s="31"/>
      <c r="H52" s="26" t="s">
        <v>487</v>
      </c>
      <c r="I52" s="26" t="s">
        <v>488</v>
      </c>
      <c r="J52" s="24"/>
      <c r="K52" s="24"/>
      <c r="L52" s="27"/>
      <c r="M52" s="4" t="s">
        <v>489</v>
      </c>
      <c r="N52" s="32" t="s">
        <v>318</v>
      </c>
      <c r="O52" s="27"/>
      <c r="P52" s="27"/>
      <c r="Q52" s="27"/>
      <c r="R52" s="27"/>
      <c r="S52" s="27"/>
    </row>
    <row r="53" ht="17.25" customHeight="1">
      <c r="A53" s="23"/>
      <c r="B53" s="23" t="s">
        <v>102</v>
      </c>
      <c r="C53" s="23" t="s">
        <v>490</v>
      </c>
      <c r="D53" s="23" t="s">
        <v>36</v>
      </c>
      <c r="E53" s="23" t="s">
        <v>36</v>
      </c>
      <c r="F53" s="23" t="s">
        <v>491</v>
      </c>
      <c r="G53" s="31"/>
      <c r="H53" s="26" t="s">
        <v>492</v>
      </c>
      <c r="I53" s="26" t="s">
        <v>493</v>
      </c>
      <c r="J53" s="24"/>
      <c r="K53" s="24"/>
      <c r="L53" s="27"/>
      <c r="M53" s="27"/>
      <c r="N53" s="27"/>
      <c r="O53" s="27"/>
      <c r="P53" s="27"/>
      <c r="Q53" s="27"/>
      <c r="R53" s="27"/>
      <c r="S53" s="27"/>
    </row>
    <row r="54" ht="17.25" customHeight="1">
      <c r="A54" s="23"/>
      <c r="B54" s="23" t="s">
        <v>20</v>
      </c>
      <c r="C54" s="23" t="s">
        <v>494</v>
      </c>
      <c r="D54" s="23" t="s">
        <v>36</v>
      </c>
      <c r="E54" s="23" t="s">
        <v>36</v>
      </c>
      <c r="F54" s="23" t="s">
        <v>495</v>
      </c>
      <c r="G54" s="31"/>
      <c r="H54" s="26" t="s">
        <v>496</v>
      </c>
      <c r="I54" s="26" t="s">
        <v>497</v>
      </c>
      <c r="J54" s="24"/>
      <c r="K54" s="24"/>
      <c r="L54" s="27"/>
      <c r="M54" s="32"/>
      <c r="N54" s="32" t="s">
        <v>318</v>
      </c>
      <c r="O54" s="27"/>
      <c r="P54" s="27"/>
      <c r="Q54" s="27"/>
      <c r="R54" s="27"/>
      <c r="S54" s="27"/>
    </row>
    <row r="55" ht="17.25" customHeight="1">
      <c r="A55" s="23"/>
      <c r="B55" s="23" t="s">
        <v>20</v>
      </c>
      <c r="C55" s="23" t="s">
        <v>498</v>
      </c>
      <c r="D55" s="23" t="s">
        <v>36</v>
      </c>
      <c r="E55" s="23" t="s">
        <v>36</v>
      </c>
      <c r="F55" s="23" t="s">
        <v>499</v>
      </c>
      <c r="G55" s="31"/>
      <c r="H55" s="26" t="s">
        <v>500</v>
      </c>
      <c r="I55" s="26" t="s">
        <v>501</v>
      </c>
      <c r="J55" s="24"/>
      <c r="K55" s="24"/>
      <c r="L55" s="27"/>
      <c r="M55" s="4" t="s">
        <v>502</v>
      </c>
      <c r="N55" s="32" t="s">
        <v>318</v>
      </c>
      <c r="O55" s="27"/>
      <c r="P55" s="27"/>
      <c r="Q55" s="27"/>
      <c r="R55" s="27"/>
      <c r="S55" s="27"/>
    </row>
    <row r="56" ht="17.25" customHeight="1">
      <c r="A56" s="23"/>
      <c r="B56" s="23" t="s">
        <v>20</v>
      </c>
      <c r="C56" s="23" t="s">
        <v>503</v>
      </c>
      <c r="D56" s="23" t="s">
        <v>36</v>
      </c>
      <c r="E56" s="23" t="s">
        <v>36</v>
      </c>
      <c r="F56" s="23" t="s">
        <v>504</v>
      </c>
      <c r="G56" s="31"/>
      <c r="H56" s="26" t="s">
        <v>505</v>
      </c>
      <c r="I56" s="26" t="s">
        <v>506</v>
      </c>
      <c r="J56" s="24"/>
      <c r="K56" s="24"/>
      <c r="L56" s="27"/>
      <c r="M56" s="27"/>
      <c r="N56" s="27"/>
      <c r="O56" s="27"/>
      <c r="P56" s="27"/>
      <c r="Q56" s="27"/>
      <c r="R56" s="27"/>
      <c r="S56" s="27"/>
    </row>
    <row r="57" ht="17.25" customHeight="1">
      <c r="A57" s="23"/>
      <c r="B57" s="23" t="s">
        <v>20</v>
      </c>
      <c r="C57" s="23" t="s">
        <v>507</v>
      </c>
      <c r="D57" s="23" t="s">
        <v>36</v>
      </c>
      <c r="E57" s="23" t="s">
        <v>36</v>
      </c>
      <c r="F57" s="23"/>
      <c r="G57" s="31"/>
      <c r="H57" s="26" t="s">
        <v>508</v>
      </c>
      <c r="I57" s="26" t="s">
        <v>509</v>
      </c>
      <c r="J57" s="24"/>
      <c r="K57" s="24"/>
      <c r="L57" s="27"/>
      <c r="M57" s="27"/>
      <c r="N57" s="32" t="s">
        <v>318</v>
      </c>
      <c r="O57" s="27"/>
      <c r="P57" s="27"/>
      <c r="Q57" s="27"/>
      <c r="R57" s="27"/>
      <c r="S57" s="27"/>
    </row>
    <row r="58" ht="17.25" customHeight="1">
      <c r="A58" s="23"/>
      <c r="B58" s="23" t="s">
        <v>20</v>
      </c>
      <c r="C58" s="23" t="s">
        <v>510</v>
      </c>
      <c r="D58" s="23" t="s">
        <v>36</v>
      </c>
      <c r="E58" s="23" t="s">
        <v>36</v>
      </c>
      <c r="F58" s="23"/>
      <c r="G58" s="31"/>
      <c r="H58" s="26" t="s">
        <v>511</v>
      </c>
      <c r="I58" s="26" t="s">
        <v>512</v>
      </c>
      <c r="J58" s="24"/>
      <c r="K58" s="24"/>
      <c r="L58" s="27"/>
      <c r="M58" s="27"/>
      <c r="N58" s="27"/>
      <c r="O58" s="27"/>
      <c r="P58" s="27"/>
      <c r="Q58" s="27"/>
      <c r="R58" s="27"/>
      <c r="S58" s="27"/>
    </row>
    <row r="59" ht="17.25" customHeight="1">
      <c r="A59" s="23"/>
      <c r="B59" s="23" t="s">
        <v>20</v>
      </c>
      <c r="C59" s="23" t="s">
        <v>386</v>
      </c>
      <c r="D59" s="23" t="s">
        <v>36</v>
      </c>
      <c r="E59" s="23" t="s">
        <v>36</v>
      </c>
      <c r="F59" s="23"/>
      <c r="G59" s="31"/>
      <c r="H59" s="26" t="s">
        <v>513</v>
      </c>
      <c r="I59" s="26" t="s">
        <v>514</v>
      </c>
      <c r="J59" s="24"/>
      <c r="K59" s="24"/>
      <c r="L59" s="27"/>
      <c r="M59" s="4" t="s">
        <v>515</v>
      </c>
      <c r="N59" s="32" t="s">
        <v>318</v>
      </c>
      <c r="O59" s="27"/>
      <c r="P59" s="27"/>
      <c r="Q59" s="27"/>
      <c r="R59" s="27"/>
      <c r="S59" s="27"/>
    </row>
    <row r="60" ht="17.25" customHeight="1">
      <c r="A60" s="23"/>
      <c r="B60" s="23" t="s">
        <v>20</v>
      </c>
      <c r="C60" s="23" t="s">
        <v>356</v>
      </c>
      <c r="D60" s="23" t="s">
        <v>36</v>
      </c>
      <c r="E60" s="23" t="s">
        <v>36</v>
      </c>
      <c r="F60" s="23" t="s">
        <v>516</v>
      </c>
      <c r="G60" s="31"/>
      <c r="H60" s="26" t="s">
        <v>517</v>
      </c>
      <c r="I60" s="26" t="s">
        <v>518</v>
      </c>
      <c r="J60" s="24"/>
      <c r="K60" s="24"/>
      <c r="L60" s="27"/>
      <c r="M60" s="27"/>
      <c r="N60" s="32" t="s">
        <v>318</v>
      </c>
      <c r="O60" s="27"/>
      <c r="P60" s="27"/>
      <c r="Q60" s="27"/>
      <c r="R60" s="27"/>
      <c r="S60" s="27"/>
    </row>
    <row r="61" ht="17.25" customHeight="1">
      <c r="A61" s="23"/>
      <c r="B61" s="23" t="s">
        <v>20</v>
      </c>
      <c r="C61" s="23" t="s">
        <v>49</v>
      </c>
      <c r="D61" s="23" t="s">
        <v>36</v>
      </c>
      <c r="E61" s="23" t="s">
        <v>36</v>
      </c>
      <c r="F61" s="23" t="s">
        <v>519</v>
      </c>
      <c r="G61" s="31"/>
      <c r="H61" s="26" t="s">
        <v>520</v>
      </c>
      <c r="I61" s="26" t="s">
        <v>521</v>
      </c>
      <c r="J61" s="24"/>
      <c r="K61" s="24"/>
      <c r="L61" s="27"/>
      <c r="M61" s="27"/>
      <c r="N61" s="32" t="s">
        <v>318</v>
      </c>
      <c r="O61" s="27"/>
      <c r="P61" s="27"/>
      <c r="Q61" s="27"/>
      <c r="R61" s="27"/>
      <c r="S61" s="27"/>
    </row>
    <row r="62" ht="17.25" customHeight="1">
      <c r="A62" s="23"/>
      <c r="B62" s="23" t="s">
        <v>20</v>
      </c>
      <c r="C62" s="23" t="s">
        <v>522</v>
      </c>
      <c r="D62" s="23" t="s">
        <v>36</v>
      </c>
      <c r="E62" s="23" t="s">
        <v>36</v>
      </c>
      <c r="F62" s="23"/>
      <c r="G62" s="31"/>
      <c r="H62" s="26" t="s">
        <v>523</v>
      </c>
      <c r="I62" s="26" t="s">
        <v>524</v>
      </c>
      <c r="J62" s="24"/>
      <c r="K62" s="24"/>
      <c r="L62" s="27"/>
      <c r="M62" s="4" t="s">
        <v>525</v>
      </c>
      <c r="N62" s="32" t="s">
        <v>318</v>
      </c>
      <c r="O62" s="27"/>
      <c r="P62" s="27"/>
      <c r="Q62" s="27"/>
      <c r="R62" s="27"/>
      <c r="S62" s="27"/>
      <c r="T62" s="37"/>
      <c r="U62" s="37"/>
      <c r="V62" s="37"/>
      <c r="W62" s="37"/>
      <c r="X62" s="37"/>
      <c r="Y62" s="37"/>
      <c r="Z62" s="37"/>
    </row>
    <row r="63" ht="17.25" customHeight="1">
      <c r="A63" s="23"/>
      <c r="B63" s="23" t="s">
        <v>20</v>
      </c>
      <c r="C63" s="23" t="s">
        <v>526</v>
      </c>
      <c r="D63" s="23" t="s">
        <v>36</v>
      </c>
      <c r="E63" s="23" t="s">
        <v>36</v>
      </c>
      <c r="F63" s="23"/>
      <c r="G63" s="31"/>
      <c r="H63" s="26" t="s">
        <v>527</v>
      </c>
      <c r="I63" s="26" t="s">
        <v>528</v>
      </c>
      <c r="J63" s="24"/>
      <c r="K63" s="24"/>
      <c r="L63" s="27"/>
      <c r="M63" s="27"/>
      <c r="N63" s="32" t="s">
        <v>318</v>
      </c>
      <c r="O63" s="27"/>
      <c r="P63" s="27"/>
      <c r="Q63" s="27"/>
      <c r="R63" s="27"/>
      <c r="S63" s="27"/>
    </row>
    <row r="64" ht="17.25" customHeight="1">
      <c r="A64" s="23"/>
      <c r="B64" s="23" t="s">
        <v>20</v>
      </c>
      <c r="C64" s="23" t="s">
        <v>529</v>
      </c>
      <c r="D64" s="23" t="s">
        <v>36</v>
      </c>
      <c r="E64" s="23" t="s">
        <v>36</v>
      </c>
      <c r="F64" s="23" t="s">
        <v>530</v>
      </c>
      <c r="G64" s="31"/>
      <c r="H64" s="26" t="s">
        <v>531</v>
      </c>
      <c r="I64" s="26" t="s">
        <v>532</v>
      </c>
      <c r="J64" s="24"/>
      <c r="K64" s="24"/>
      <c r="L64" s="27"/>
      <c r="M64" s="27"/>
      <c r="N64" s="32" t="s">
        <v>318</v>
      </c>
      <c r="O64" s="27"/>
      <c r="P64" s="27"/>
      <c r="Q64" s="27"/>
      <c r="R64" s="27"/>
      <c r="S64" s="27"/>
    </row>
    <row r="65" ht="17.25" customHeight="1">
      <c r="A65" s="23"/>
      <c r="B65" s="23" t="s">
        <v>20</v>
      </c>
      <c r="C65" s="23" t="s">
        <v>533</v>
      </c>
      <c r="D65" s="23" t="s">
        <v>36</v>
      </c>
      <c r="E65" s="23" t="s">
        <v>36</v>
      </c>
      <c r="F65" s="23"/>
      <c r="G65" s="31"/>
      <c r="H65" s="26" t="s">
        <v>534</v>
      </c>
      <c r="I65" s="26" t="s">
        <v>535</v>
      </c>
      <c r="J65" s="24"/>
      <c r="K65" s="24"/>
      <c r="L65" s="27"/>
      <c r="M65" s="27"/>
      <c r="N65" s="32" t="s">
        <v>318</v>
      </c>
      <c r="O65" s="27"/>
      <c r="P65" s="27"/>
      <c r="Q65" s="27"/>
      <c r="R65" s="27"/>
      <c r="S65" s="27"/>
    </row>
    <row r="66" ht="17.25" customHeight="1">
      <c r="A66" s="23"/>
      <c r="B66" s="23" t="s">
        <v>20</v>
      </c>
      <c r="C66" s="23" t="s">
        <v>536</v>
      </c>
      <c r="D66" s="23" t="s">
        <v>36</v>
      </c>
      <c r="E66" s="23" t="s">
        <v>36</v>
      </c>
      <c r="F66" s="23"/>
      <c r="G66" s="31"/>
      <c r="H66" s="26" t="s">
        <v>537</v>
      </c>
      <c r="I66" s="26" t="s">
        <v>538</v>
      </c>
      <c r="J66" s="24"/>
      <c r="K66" s="24"/>
      <c r="L66" s="27"/>
      <c r="M66" s="27"/>
      <c r="N66" s="32" t="s">
        <v>318</v>
      </c>
      <c r="O66" s="27"/>
      <c r="P66" s="27"/>
      <c r="Q66" s="27"/>
      <c r="R66" s="27"/>
      <c r="S66" s="27"/>
    </row>
    <row r="67" ht="17.25" customHeight="1">
      <c r="A67" s="23"/>
      <c r="B67" s="23" t="s">
        <v>20</v>
      </c>
      <c r="C67" s="23" t="s">
        <v>351</v>
      </c>
      <c r="D67" s="23" t="s">
        <v>36</v>
      </c>
      <c r="E67" s="23" t="s">
        <v>36</v>
      </c>
      <c r="F67" s="23"/>
      <c r="G67" s="31"/>
      <c r="H67" s="26" t="s">
        <v>539</v>
      </c>
      <c r="I67" s="26" t="s">
        <v>540</v>
      </c>
      <c r="J67" s="24"/>
      <c r="K67" s="24"/>
      <c r="L67" s="27"/>
      <c r="M67" s="27"/>
      <c r="N67" s="32" t="s">
        <v>318</v>
      </c>
      <c r="O67" s="27"/>
      <c r="P67" s="27"/>
      <c r="Q67" s="27"/>
      <c r="R67" s="27"/>
      <c r="S67" s="27"/>
    </row>
    <row r="68" ht="17.25" customHeight="1">
      <c r="A68" s="23"/>
      <c r="B68" s="23" t="s">
        <v>20</v>
      </c>
      <c r="C68" s="23" t="s">
        <v>351</v>
      </c>
      <c r="D68" s="23" t="s">
        <v>36</v>
      </c>
      <c r="E68" s="23" t="s">
        <v>36</v>
      </c>
      <c r="F68" s="23"/>
      <c r="G68" s="31"/>
      <c r="H68" s="26" t="s">
        <v>541</v>
      </c>
      <c r="I68" s="26" t="s">
        <v>542</v>
      </c>
      <c r="J68" s="24"/>
      <c r="K68" s="24"/>
      <c r="L68" s="29" t="s">
        <v>543</v>
      </c>
      <c r="M68" s="4" t="s">
        <v>544</v>
      </c>
      <c r="N68" s="27"/>
      <c r="O68" s="27"/>
      <c r="P68" s="27"/>
      <c r="Q68" s="27"/>
      <c r="R68" s="27"/>
      <c r="S68" s="27"/>
    </row>
    <row r="69" ht="17.25" customHeight="1">
      <c r="A69" s="23"/>
      <c r="B69" s="23" t="s">
        <v>20</v>
      </c>
      <c r="C69" s="23" t="s">
        <v>545</v>
      </c>
      <c r="D69" s="23" t="s">
        <v>36</v>
      </c>
      <c r="E69" s="23" t="s">
        <v>36</v>
      </c>
      <c r="F69" s="23"/>
      <c r="G69" s="31"/>
      <c r="H69" s="26" t="s">
        <v>546</v>
      </c>
      <c r="I69" s="26" t="s">
        <v>547</v>
      </c>
      <c r="J69" s="24"/>
      <c r="K69" s="24"/>
      <c r="L69" s="27"/>
      <c r="M69" s="27"/>
      <c r="N69" s="32" t="s">
        <v>318</v>
      </c>
      <c r="O69" s="27"/>
      <c r="P69" s="27"/>
      <c r="Q69" s="27"/>
      <c r="R69" s="27"/>
      <c r="S69" s="27"/>
    </row>
    <row r="70" ht="17.25" customHeight="1">
      <c r="A70" s="23"/>
      <c r="B70" s="23" t="s">
        <v>20</v>
      </c>
      <c r="C70" s="23" t="s">
        <v>548</v>
      </c>
      <c r="D70" s="23" t="s">
        <v>36</v>
      </c>
      <c r="E70" s="23" t="s">
        <v>36</v>
      </c>
      <c r="F70" s="23" t="s">
        <v>549</v>
      </c>
      <c r="G70" s="31"/>
      <c r="H70" s="26" t="s">
        <v>550</v>
      </c>
      <c r="I70" s="26" t="s">
        <v>551</v>
      </c>
      <c r="J70" s="24"/>
      <c r="K70" s="24"/>
      <c r="L70" s="27"/>
      <c r="M70" s="27"/>
      <c r="N70" s="27"/>
      <c r="O70" s="27"/>
      <c r="P70" s="27"/>
      <c r="Q70" s="27"/>
      <c r="R70" s="27"/>
      <c r="S70" s="27"/>
    </row>
    <row r="71" ht="17.25" customHeight="1">
      <c r="A71" s="23"/>
      <c r="B71" s="23" t="s">
        <v>20</v>
      </c>
      <c r="C71" s="23" t="s">
        <v>552</v>
      </c>
      <c r="D71" s="23" t="s">
        <v>36</v>
      </c>
      <c r="E71" s="23" t="s">
        <v>36</v>
      </c>
      <c r="F71" s="23" t="s">
        <v>553</v>
      </c>
      <c r="G71" s="31"/>
      <c r="H71" s="26" t="s">
        <v>554</v>
      </c>
      <c r="I71" s="26" t="s">
        <v>555</v>
      </c>
      <c r="J71" s="24"/>
      <c r="K71" s="24"/>
      <c r="L71" s="27"/>
      <c r="M71" s="27"/>
      <c r="N71" s="32" t="s">
        <v>318</v>
      </c>
      <c r="O71" s="27"/>
      <c r="P71" s="27"/>
      <c r="Q71" s="27"/>
      <c r="R71" s="27"/>
      <c r="S71" s="27"/>
    </row>
    <row r="72" ht="17.25" customHeight="1">
      <c r="A72" s="23"/>
      <c r="B72" s="23" t="s">
        <v>20</v>
      </c>
      <c r="C72" s="23" t="s">
        <v>556</v>
      </c>
      <c r="D72" s="23" t="s">
        <v>36</v>
      </c>
      <c r="E72" s="23" t="s">
        <v>36</v>
      </c>
      <c r="F72" s="23"/>
      <c r="G72" s="31"/>
      <c r="H72" s="26" t="s">
        <v>557</v>
      </c>
      <c r="I72" s="26" t="s">
        <v>558</v>
      </c>
      <c r="J72" s="24"/>
      <c r="K72" s="24"/>
      <c r="L72" s="27"/>
      <c r="M72" s="27"/>
      <c r="N72" s="32" t="s">
        <v>318</v>
      </c>
      <c r="O72" s="27"/>
      <c r="P72" s="27"/>
      <c r="Q72" s="27"/>
      <c r="R72" s="27"/>
      <c r="S72" s="27"/>
    </row>
    <row r="73" ht="17.25" customHeight="1">
      <c r="A73" s="23"/>
      <c r="B73" s="23" t="s">
        <v>20</v>
      </c>
      <c r="C73" s="23" t="s">
        <v>559</v>
      </c>
      <c r="D73" s="23" t="s">
        <v>36</v>
      </c>
      <c r="E73" s="23" t="s">
        <v>36</v>
      </c>
      <c r="F73" s="23" t="s">
        <v>560</v>
      </c>
      <c r="G73" s="31"/>
      <c r="H73" s="26" t="s">
        <v>561</v>
      </c>
      <c r="I73" s="26" t="s">
        <v>562</v>
      </c>
      <c r="J73" s="24"/>
      <c r="K73" s="24"/>
      <c r="L73" s="27"/>
      <c r="M73" s="27"/>
      <c r="N73" s="32" t="s">
        <v>318</v>
      </c>
      <c r="O73" s="27"/>
      <c r="P73" s="27"/>
      <c r="Q73" s="27"/>
      <c r="R73" s="27"/>
      <c r="S73" s="27"/>
    </row>
    <row r="74" ht="17.25" customHeight="1">
      <c r="A74" s="23"/>
      <c r="B74" s="23" t="s">
        <v>20</v>
      </c>
      <c r="C74" s="23" t="s">
        <v>563</v>
      </c>
      <c r="D74" s="23" t="s">
        <v>36</v>
      </c>
      <c r="E74" s="23" t="s">
        <v>36</v>
      </c>
      <c r="F74" s="23" t="s">
        <v>564</v>
      </c>
      <c r="G74" s="31"/>
      <c r="H74" s="26" t="s">
        <v>565</v>
      </c>
      <c r="I74" s="26" t="s">
        <v>566</v>
      </c>
      <c r="J74" s="24"/>
      <c r="K74" s="24"/>
      <c r="L74" s="27"/>
      <c r="M74" s="27"/>
      <c r="N74" s="27"/>
      <c r="O74" s="27"/>
      <c r="P74" s="27"/>
      <c r="Q74" s="27"/>
      <c r="R74" s="27"/>
      <c r="S74" s="27"/>
    </row>
    <row r="75" ht="17.25" customHeight="1">
      <c r="A75" s="23"/>
      <c r="B75" s="23" t="s">
        <v>20</v>
      </c>
      <c r="C75" s="23" t="s">
        <v>567</v>
      </c>
      <c r="D75" s="23" t="s">
        <v>36</v>
      </c>
      <c r="E75" s="23" t="s">
        <v>36</v>
      </c>
      <c r="F75" s="23"/>
      <c r="G75" s="31"/>
      <c r="H75" s="26" t="s">
        <v>568</v>
      </c>
      <c r="I75" s="26" t="s">
        <v>569</v>
      </c>
      <c r="J75" s="24"/>
      <c r="K75" s="24"/>
      <c r="L75" s="27"/>
      <c r="M75" s="27"/>
      <c r="N75" s="32" t="s">
        <v>318</v>
      </c>
      <c r="O75" s="27"/>
      <c r="P75" s="27"/>
      <c r="Q75" s="27"/>
      <c r="R75" s="27"/>
      <c r="S75" s="27"/>
    </row>
    <row r="76" ht="17.25" customHeight="1">
      <c r="A76" s="23"/>
      <c r="B76" s="23" t="s">
        <v>20</v>
      </c>
      <c r="C76" s="23" t="s">
        <v>570</v>
      </c>
      <c r="D76" s="23" t="s">
        <v>36</v>
      </c>
      <c r="E76" s="23" t="s">
        <v>36</v>
      </c>
      <c r="F76" s="23"/>
      <c r="G76" s="31"/>
      <c r="H76" s="26" t="s">
        <v>571</v>
      </c>
      <c r="I76" s="26" t="s">
        <v>572</v>
      </c>
      <c r="J76" s="24"/>
      <c r="K76" s="24"/>
      <c r="L76" s="27"/>
      <c r="M76" s="27"/>
      <c r="N76" s="32" t="s">
        <v>318</v>
      </c>
      <c r="O76" s="27"/>
      <c r="P76" s="27"/>
      <c r="Q76" s="27"/>
      <c r="R76" s="27"/>
      <c r="S76" s="27"/>
    </row>
    <row r="77" ht="17.25" customHeight="1">
      <c r="A77" s="23"/>
      <c r="B77" s="23" t="s">
        <v>20</v>
      </c>
      <c r="C77" s="23" t="s">
        <v>573</v>
      </c>
      <c r="D77" s="23" t="s">
        <v>36</v>
      </c>
      <c r="E77" s="23" t="s">
        <v>36</v>
      </c>
      <c r="F77" s="23" t="s">
        <v>574</v>
      </c>
      <c r="G77" s="31"/>
      <c r="H77" s="26" t="s">
        <v>575</v>
      </c>
      <c r="I77" s="26" t="s">
        <v>576</v>
      </c>
      <c r="J77" s="24"/>
      <c r="K77" s="24"/>
      <c r="L77" s="27"/>
      <c r="M77" s="27"/>
      <c r="N77" s="32" t="s">
        <v>318</v>
      </c>
      <c r="O77" s="27"/>
      <c r="P77" s="27"/>
      <c r="Q77" s="27"/>
      <c r="R77" s="27"/>
      <c r="S77" s="27"/>
    </row>
    <row r="78" ht="17.25" customHeight="1">
      <c r="A78" s="23"/>
      <c r="B78" s="23" t="s">
        <v>20</v>
      </c>
      <c r="C78" s="23" t="s">
        <v>577</v>
      </c>
      <c r="D78" s="23" t="s">
        <v>36</v>
      </c>
      <c r="E78" s="23" t="s">
        <v>36</v>
      </c>
      <c r="F78" s="23" t="s">
        <v>578</v>
      </c>
      <c r="G78" s="31"/>
      <c r="H78" s="26" t="s">
        <v>579</v>
      </c>
      <c r="I78" s="26" t="s">
        <v>580</v>
      </c>
      <c r="J78" s="24"/>
      <c r="K78" s="24"/>
      <c r="L78" s="27"/>
      <c r="M78" s="27"/>
      <c r="N78" s="32" t="s">
        <v>318</v>
      </c>
      <c r="O78" s="27"/>
      <c r="P78" s="27"/>
      <c r="Q78" s="27"/>
      <c r="R78" s="27"/>
      <c r="S78" s="27"/>
    </row>
    <row r="79" ht="17.25" customHeight="1">
      <c r="A79" s="23"/>
      <c r="B79" s="23" t="s">
        <v>20</v>
      </c>
      <c r="C79" s="23" t="s">
        <v>581</v>
      </c>
      <c r="D79" s="23" t="s">
        <v>36</v>
      </c>
      <c r="E79" s="23" t="s">
        <v>36</v>
      </c>
      <c r="F79" s="23" t="s">
        <v>582</v>
      </c>
      <c r="G79" s="31"/>
      <c r="H79" s="26" t="s">
        <v>583</v>
      </c>
      <c r="I79" s="26" t="s">
        <v>584</v>
      </c>
      <c r="J79" s="24"/>
      <c r="K79" s="24"/>
      <c r="L79" s="27"/>
      <c r="M79" s="27"/>
      <c r="N79" s="32" t="s">
        <v>318</v>
      </c>
      <c r="O79" s="27"/>
      <c r="P79" s="27"/>
      <c r="Q79" s="27"/>
      <c r="R79" s="27"/>
      <c r="S79" s="27"/>
    </row>
    <row r="80" ht="17.25" customHeight="1">
      <c r="A80" s="23"/>
      <c r="B80" s="23" t="s">
        <v>102</v>
      </c>
      <c r="C80" s="23" t="s">
        <v>585</v>
      </c>
      <c r="D80" s="23" t="s">
        <v>36</v>
      </c>
      <c r="E80" s="23" t="s">
        <v>36</v>
      </c>
      <c r="F80" s="23" t="s">
        <v>586</v>
      </c>
      <c r="G80" s="31"/>
      <c r="H80" s="26" t="s">
        <v>587</v>
      </c>
      <c r="I80" s="26" t="s">
        <v>588</v>
      </c>
      <c r="J80" s="24"/>
      <c r="K80" s="24"/>
      <c r="L80" s="27"/>
      <c r="M80" s="27"/>
      <c r="N80" s="32" t="s">
        <v>318</v>
      </c>
      <c r="O80" s="27"/>
      <c r="P80" s="27"/>
      <c r="Q80" s="27"/>
      <c r="R80" s="27"/>
      <c r="S80" s="27"/>
    </row>
    <row r="81" ht="17.25" customHeight="1">
      <c r="A81" s="23"/>
      <c r="B81" s="23" t="s">
        <v>20</v>
      </c>
      <c r="C81" s="23" t="s">
        <v>589</v>
      </c>
      <c r="D81" s="23" t="s">
        <v>36</v>
      </c>
      <c r="E81" s="23" t="s">
        <v>36</v>
      </c>
      <c r="F81" s="23" t="s">
        <v>314</v>
      </c>
      <c r="G81" s="31"/>
      <c r="H81" s="26" t="s">
        <v>590</v>
      </c>
      <c r="I81" s="33" t="s">
        <v>591</v>
      </c>
      <c r="J81" s="24"/>
      <c r="K81" s="24"/>
      <c r="L81" s="27"/>
      <c r="M81" s="27"/>
      <c r="N81" s="32" t="s">
        <v>318</v>
      </c>
      <c r="O81" s="27"/>
      <c r="P81" s="27"/>
      <c r="Q81" s="27"/>
      <c r="R81" s="27"/>
      <c r="S81" s="27"/>
    </row>
    <row r="82" ht="17.25" customHeight="1">
      <c r="A82" s="23"/>
      <c r="B82" s="23" t="s">
        <v>20</v>
      </c>
      <c r="C82" s="23" t="s">
        <v>386</v>
      </c>
      <c r="D82" s="23" t="s">
        <v>36</v>
      </c>
      <c r="E82" s="23" t="s">
        <v>36</v>
      </c>
      <c r="F82" s="23" t="s">
        <v>592</v>
      </c>
      <c r="G82" s="31"/>
      <c r="H82" s="26" t="s">
        <v>593</v>
      </c>
      <c r="I82" s="26" t="s">
        <v>594</v>
      </c>
      <c r="J82" s="24"/>
      <c r="K82" s="24"/>
      <c r="L82" s="27"/>
      <c r="M82" s="27"/>
      <c r="N82" s="32" t="s">
        <v>318</v>
      </c>
      <c r="O82" s="27"/>
      <c r="P82" s="27"/>
      <c r="Q82" s="27"/>
      <c r="R82" s="27"/>
      <c r="S82" s="27"/>
    </row>
    <row r="83" ht="17.25" customHeight="1">
      <c r="A83" s="23"/>
      <c r="B83" s="23" t="s">
        <v>20</v>
      </c>
      <c r="C83" s="23" t="s">
        <v>595</v>
      </c>
      <c r="D83" s="23" t="s">
        <v>36</v>
      </c>
      <c r="E83" s="23" t="s">
        <v>36</v>
      </c>
      <c r="F83" s="23" t="s">
        <v>328</v>
      </c>
      <c r="G83" s="31"/>
      <c r="H83" s="26" t="s">
        <v>596</v>
      </c>
      <c r="I83" s="26" t="s">
        <v>597</v>
      </c>
      <c r="J83" s="24"/>
      <c r="K83" s="24"/>
      <c r="L83" s="27"/>
      <c r="M83" s="27"/>
      <c r="N83" s="32" t="s">
        <v>318</v>
      </c>
      <c r="O83" s="27"/>
      <c r="P83" s="27"/>
      <c r="Q83" s="27"/>
      <c r="R83" s="27"/>
      <c r="S83" s="27"/>
    </row>
    <row r="84" ht="17.25" customHeight="1">
      <c r="A84" s="23"/>
      <c r="B84" s="23" t="s">
        <v>20</v>
      </c>
      <c r="C84" s="23" t="s">
        <v>598</v>
      </c>
      <c r="D84" s="23" t="s">
        <v>36</v>
      </c>
      <c r="E84" s="23" t="s">
        <v>36</v>
      </c>
      <c r="F84" s="23" t="s">
        <v>599</v>
      </c>
      <c r="G84" s="31"/>
      <c r="H84" s="26" t="s">
        <v>600</v>
      </c>
      <c r="I84" s="26" t="s">
        <v>601</v>
      </c>
      <c r="J84" s="24"/>
      <c r="K84" s="24"/>
      <c r="L84" s="27"/>
      <c r="M84" s="27"/>
      <c r="N84" s="32" t="s">
        <v>318</v>
      </c>
      <c r="O84" s="27"/>
      <c r="P84" s="27"/>
      <c r="Q84" s="27"/>
      <c r="R84" s="27"/>
      <c r="S84" s="27"/>
    </row>
    <row r="85" ht="17.25" customHeight="1">
      <c r="A85" s="23"/>
      <c r="B85" s="23" t="s">
        <v>20</v>
      </c>
      <c r="C85" s="23" t="s">
        <v>602</v>
      </c>
      <c r="D85" s="23" t="s">
        <v>36</v>
      </c>
      <c r="E85" s="23" t="s">
        <v>36</v>
      </c>
      <c r="F85" s="23" t="s">
        <v>603</v>
      </c>
      <c r="G85" s="31"/>
      <c r="H85" s="26" t="s">
        <v>604</v>
      </c>
      <c r="I85" s="26" t="s">
        <v>605</v>
      </c>
      <c r="J85" s="24"/>
      <c r="K85" s="24"/>
      <c r="L85" s="27"/>
      <c r="M85" s="27"/>
      <c r="N85" s="32" t="s">
        <v>318</v>
      </c>
      <c r="O85" s="27"/>
      <c r="P85" s="27"/>
      <c r="Q85" s="27"/>
      <c r="R85" s="27"/>
      <c r="S85" s="27"/>
    </row>
    <row r="86" ht="17.25" customHeight="1">
      <c r="A86" s="23"/>
      <c r="B86" s="23" t="s">
        <v>20</v>
      </c>
      <c r="C86" s="23" t="s">
        <v>606</v>
      </c>
      <c r="D86" s="23" t="s">
        <v>36</v>
      </c>
      <c r="E86" s="23" t="s">
        <v>36</v>
      </c>
      <c r="F86" s="23"/>
      <c r="G86" s="31"/>
      <c r="H86" s="26" t="s">
        <v>607</v>
      </c>
      <c r="I86" s="36" t="s">
        <v>608</v>
      </c>
      <c r="J86" s="24"/>
      <c r="K86" s="24"/>
      <c r="L86" s="29" t="s">
        <v>609</v>
      </c>
      <c r="M86" s="27"/>
      <c r="N86" s="32" t="s">
        <v>318</v>
      </c>
      <c r="O86" s="27"/>
      <c r="P86" s="27"/>
      <c r="Q86" s="27"/>
      <c r="R86" s="27"/>
      <c r="S86" s="27"/>
    </row>
    <row r="87" ht="17.25" customHeight="1">
      <c r="A87" s="23"/>
      <c r="B87" s="23" t="s">
        <v>20</v>
      </c>
      <c r="C87" s="23" t="s">
        <v>610</v>
      </c>
      <c r="D87" s="23" t="s">
        <v>36</v>
      </c>
      <c r="E87" s="23" t="s">
        <v>36</v>
      </c>
      <c r="F87" s="23"/>
      <c r="G87" s="31"/>
      <c r="H87" s="26" t="s">
        <v>611</v>
      </c>
      <c r="I87" s="26" t="s">
        <v>612</v>
      </c>
      <c r="J87" s="24"/>
      <c r="K87" s="24"/>
      <c r="L87" s="27"/>
      <c r="M87" s="27"/>
      <c r="N87" s="32" t="s">
        <v>318</v>
      </c>
      <c r="O87" s="27"/>
      <c r="P87" s="27"/>
      <c r="Q87" s="27"/>
      <c r="R87" s="27"/>
      <c r="S87" s="27"/>
    </row>
    <row r="88" ht="17.25" customHeight="1">
      <c r="A88" s="23"/>
      <c r="B88" s="23" t="s">
        <v>20</v>
      </c>
      <c r="C88" s="23" t="s">
        <v>613</v>
      </c>
      <c r="D88" s="23" t="s">
        <v>36</v>
      </c>
      <c r="E88" s="23" t="s">
        <v>36</v>
      </c>
      <c r="F88" s="23"/>
      <c r="G88" s="31"/>
      <c r="H88" s="26" t="s">
        <v>614</v>
      </c>
      <c r="I88" s="26" t="s">
        <v>615</v>
      </c>
      <c r="J88" s="24"/>
      <c r="K88" s="24"/>
      <c r="L88" s="27"/>
      <c r="M88" s="27"/>
      <c r="N88" s="32" t="s">
        <v>318</v>
      </c>
      <c r="O88" s="27"/>
      <c r="P88" s="27"/>
      <c r="Q88" s="27"/>
      <c r="R88" s="27"/>
      <c r="S88" s="27"/>
    </row>
    <row r="89" ht="17.25" customHeight="1">
      <c r="A89" s="23"/>
      <c r="B89" s="23" t="s">
        <v>20</v>
      </c>
      <c r="C89" s="23" t="s">
        <v>616</v>
      </c>
      <c r="D89" s="23" t="s">
        <v>36</v>
      </c>
      <c r="E89" s="23" t="s">
        <v>36</v>
      </c>
      <c r="F89" s="23"/>
      <c r="G89" s="31"/>
      <c r="H89" s="26" t="s">
        <v>617</v>
      </c>
      <c r="I89" s="26" t="s">
        <v>618</v>
      </c>
      <c r="J89" s="24"/>
      <c r="K89" s="24"/>
      <c r="L89" s="27"/>
      <c r="M89" s="27"/>
      <c r="N89" s="32" t="s">
        <v>318</v>
      </c>
      <c r="O89" s="27"/>
      <c r="P89" s="27"/>
      <c r="Q89" s="27"/>
      <c r="R89" s="27"/>
      <c r="S89" s="27"/>
    </row>
    <row r="90" ht="17.25" customHeight="1">
      <c r="A90" s="23"/>
      <c r="B90" s="23" t="s">
        <v>20</v>
      </c>
      <c r="C90" s="23" t="s">
        <v>510</v>
      </c>
      <c r="D90" s="23" t="s">
        <v>36</v>
      </c>
      <c r="E90" s="23" t="s">
        <v>36</v>
      </c>
      <c r="F90" s="23" t="s">
        <v>619</v>
      </c>
      <c r="G90" s="31"/>
      <c r="H90" s="26" t="s">
        <v>620</v>
      </c>
      <c r="I90" s="26" t="s">
        <v>621</v>
      </c>
      <c r="J90" s="24"/>
      <c r="K90" s="24"/>
      <c r="L90" s="27"/>
      <c r="M90" s="27"/>
      <c r="N90" s="32" t="s">
        <v>318</v>
      </c>
      <c r="O90" s="27"/>
      <c r="P90" s="27"/>
      <c r="Q90" s="27"/>
      <c r="R90" s="27"/>
      <c r="S90" s="27"/>
    </row>
    <row r="91" ht="17.25" customHeight="1">
      <c r="A91" s="23"/>
      <c r="B91" s="23" t="s">
        <v>20</v>
      </c>
      <c r="C91" s="23" t="s">
        <v>622</v>
      </c>
      <c r="D91" s="23" t="s">
        <v>36</v>
      </c>
      <c r="E91" s="23" t="s">
        <v>36</v>
      </c>
      <c r="F91" s="23" t="s">
        <v>623</v>
      </c>
      <c r="G91" s="31"/>
      <c r="H91" s="26" t="s">
        <v>624</v>
      </c>
      <c r="I91" s="26" t="s">
        <v>625</v>
      </c>
      <c r="J91" s="24"/>
      <c r="K91" s="24"/>
      <c r="L91" s="27"/>
      <c r="M91" s="32"/>
      <c r="N91" s="32" t="s">
        <v>318</v>
      </c>
      <c r="O91" s="27"/>
      <c r="P91" s="27"/>
      <c r="Q91" s="27"/>
      <c r="R91" s="27"/>
      <c r="S91" s="27"/>
    </row>
    <row r="92" ht="17.25" customHeight="1">
      <c r="A92" s="23"/>
      <c r="B92" s="23" t="s">
        <v>20</v>
      </c>
      <c r="C92" s="23" t="s">
        <v>626</v>
      </c>
      <c r="D92" s="23" t="s">
        <v>36</v>
      </c>
      <c r="E92" s="23" t="s">
        <v>36</v>
      </c>
      <c r="F92" s="23" t="s">
        <v>627</v>
      </c>
      <c r="G92" s="31"/>
      <c r="H92" s="26" t="s">
        <v>628</v>
      </c>
      <c r="I92" s="26" t="s">
        <v>629</v>
      </c>
      <c r="J92" s="24"/>
      <c r="K92" s="24"/>
      <c r="L92" s="27"/>
      <c r="M92" s="27"/>
      <c r="N92" s="32" t="s">
        <v>318</v>
      </c>
      <c r="O92" s="27"/>
      <c r="P92" s="27"/>
      <c r="Q92" s="27"/>
      <c r="R92" s="27"/>
      <c r="S92" s="27"/>
    </row>
    <row r="93" ht="17.25" customHeight="1">
      <c r="A93" s="23"/>
      <c r="B93" s="23" t="s">
        <v>20</v>
      </c>
      <c r="C93" s="23" t="s">
        <v>630</v>
      </c>
      <c r="D93" s="23" t="s">
        <v>36</v>
      </c>
      <c r="E93" s="23" t="s">
        <v>36</v>
      </c>
      <c r="F93" s="23" t="s">
        <v>631</v>
      </c>
      <c r="G93" s="31"/>
      <c r="H93" s="26" t="s">
        <v>632</v>
      </c>
      <c r="I93" s="26" t="s">
        <v>633</v>
      </c>
      <c r="J93" s="24"/>
      <c r="K93" s="24"/>
      <c r="L93" s="27"/>
      <c r="M93" s="32"/>
      <c r="N93" s="32" t="s">
        <v>318</v>
      </c>
      <c r="O93" s="27"/>
      <c r="P93" s="27"/>
      <c r="Q93" s="27"/>
      <c r="R93" s="27"/>
      <c r="S93" s="27"/>
    </row>
    <row r="94" ht="17.25" customHeight="1">
      <c r="A94" s="23"/>
      <c r="B94" s="23" t="s">
        <v>20</v>
      </c>
      <c r="C94" s="23" t="s">
        <v>634</v>
      </c>
      <c r="D94" s="23" t="s">
        <v>36</v>
      </c>
      <c r="E94" s="23" t="s">
        <v>36</v>
      </c>
      <c r="F94" s="23" t="s">
        <v>71</v>
      </c>
      <c r="G94" s="31"/>
      <c r="H94" s="26" t="s">
        <v>635</v>
      </c>
      <c r="I94" s="26" t="s">
        <v>636</v>
      </c>
      <c r="J94" s="24"/>
      <c r="K94" s="24"/>
      <c r="L94" s="27"/>
      <c r="M94" s="27"/>
      <c r="N94" s="32" t="s">
        <v>318</v>
      </c>
      <c r="O94" s="27"/>
      <c r="P94" s="27"/>
      <c r="Q94" s="27"/>
      <c r="R94" s="27"/>
      <c r="S94" s="27"/>
    </row>
    <row r="95" ht="17.25" customHeight="1">
      <c r="A95" s="23"/>
      <c r="B95" s="23" t="s">
        <v>20</v>
      </c>
      <c r="C95" s="23" t="s">
        <v>637</v>
      </c>
      <c r="D95" s="23" t="s">
        <v>36</v>
      </c>
      <c r="E95" s="23" t="s">
        <v>36</v>
      </c>
      <c r="F95" s="23" t="s">
        <v>638</v>
      </c>
      <c r="G95" s="31"/>
      <c r="H95" s="26" t="s">
        <v>639</v>
      </c>
      <c r="I95" s="26" t="s">
        <v>640</v>
      </c>
      <c r="J95" s="24"/>
      <c r="K95" s="24"/>
      <c r="L95" s="27"/>
      <c r="M95" s="27"/>
      <c r="N95" s="32" t="s">
        <v>318</v>
      </c>
      <c r="O95" s="27"/>
      <c r="P95" s="27"/>
      <c r="Q95" s="27"/>
      <c r="R95" s="27"/>
      <c r="S95" s="27"/>
    </row>
    <row r="96" ht="17.25" customHeight="1">
      <c r="A96" s="23"/>
      <c r="B96" s="23" t="s">
        <v>20</v>
      </c>
      <c r="C96" s="23" t="s">
        <v>641</v>
      </c>
      <c r="D96" s="23" t="s">
        <v>36</v>
      </c>
      <c r="E96" s="23" t="s">
        <v>36</v>
      </c>
      <c r="F96" s="23"/>
      <c r="G96" s="31"/>
      <c r="H96" s="26" t="s">
        <v>642</v>
      </c>
      <c r="I96" s="26" t="s">
        <v>643</v>
      </c>
      <c r="J96" s="24"/>
      <c r="K96" s="24"/>
      <c r="L96" s="27"/>
      <c r="M96" s="27"/>
      <c r="N96" s="32" t="s">
        <v>318</v>
      </c>
      <c r="O96" s="27"/>
      <c r="P96" s="27"/>
      <c r="Q96" s="27"/>
      <c r="R96" s="27"/>
      <c r="S96" s="27"/>
    </row>
    <row r="97" ht="17.25" customHeight="1">
      <c r="A97" s="23"/>
      <c r="B97" s="23" t="s">
        <v>20</v>
      </c>
      <c r="C97" s="23" t="s">
        <v>644</v>
      </c>
      <c r="D97" s="23" t="s">
        <v>36</v>
      </c>
      <c r="E97" s="23" t="s">
        <v>36</v>
      </c>
      <c r="F97" s="23"/>
      <c r="G97" s="31"/>
      <c r="H97" s="26" t="s">
        <v>645</v>
      </c>
      <c r="I97" s="26" t="s">
        <v>646</v>
      </c>
      <c r="J97" s="24"/>
      <c r="K97" s="24"/>
      <c r="L97" s="27"/>
      <c r="M97" s="27"/>
      <c r="N97" s="32" t="s">
        <v>318</v>
      </c>
      <c r="O97" s="27"/>
      <c r="P97" s="27"/>
      <c r="Q97" s="27"/>
      <c r="R97" s="27"/>
      <c r="S97" s="27"/>
    </row>
    <row r="98" ht="17.25" customHeight="1">
      <c r="A98" s="23"/>
      <c r="B98" s="23" t="s">
        <v>20</v>
      </c>
      <c r="C98" s="23" t="s">
        <v>647</v>
      </c>
      <c r="D98" s="23" t="s">
        <v>36</v>
      </c>
      <c r="E98" s="23" t="s">
        <v>36</v>
      </c>
      <c r="F98" s="23" t="s">
        <v>648</v>
      </c>
      <c r="G98" s="31"/>
      <c r="H98" s="26" t="s">
        <v>649</v>
      </c>
      <c r="I98" s="24"/>
      <c r="J98" s="24"/>
      <c r="K98" s="24"/>
      <c r="L98" s="27"/>
      <c r="M98" s="27"/>
      <c r="N98" s="32" t="s">
        <v>318</v>
      </c>
      <c r="O98" s="27"/>
      <c r="P98" s="27"/>
      <c r="Q98" s="27"/>
      <c r="R98" s="27"/>
      <c r="S98" s="27"/>
    </row>
    <row r="99" ht="17.25" customHeight="1">
      <c r="A99" s="23"/>
      <c r="B99" s="23" t="s">
        <v>20</v>
      </c>
      <c r="C99" s="23" t="s">
        <v>650</v>
      </c>
      <c r="D99" s="23" t="s">
        <v>36</v>
      </c>
      <c r="E99" s="23" t="s">
        <v>36</v>
      </c>
      <c r="F99" s="23" t="s">
        <v>447</v>
      </c>
      <c r="G99" s="31"/>
      <c r="H99" s="26" t="s">
        <v>651</v>
      </c>
      <c r="I99" s="24"/>
      <c r="J99" s="24"/>
      <c r="K99" s="24"/>
      <c r="L99" s="27"/>
      <c r="M99" s="27"/>
      <c r="N99" s="27"/>
      <c r="O99" s="27"/>
      <c r="P99" s="27"/>
      <c r="Q99" s="27"/>
      <c r="R99" s="27"/>
      <c r="S99" s="27"/>
    </row>
    <row r="100" ht="17.25" customHeight="1">
      <c r="A100" s="23"/>
      <c r="B100" s="23" t="s">
        <v>20</v>
      </c>
      <c r="C100" s="23" t="s">
        <v>74</v>
      </c>
      <c r="D100" s="23" t="s">
        <v>36</v>
      </c>
      <c r="E100" s="23" t="s">
        <v>36</v>
      </c>
      <c r="F100" s="23" t="s">
        <v>652</v>
      </c>
      <c r="G100" s="31"/>
      <c r="H100" s="26" t="s">
        <v>653</v>
      </c>
      <c r="I100" s="24"/>
      <c r="J100" s="24"/>
      <c r="K100" s="24"/>
      <c r="L100" s="27"/>
      <c r="M100" s="27"/>
      <c r="N100" s="32" t="s">
        <v>318</v>
      </c>
      <c r="O100" s="27"/>
      <c r="P100" s="27"/>
      <c r="Q100" s="27"/>
      <c r="R100" s="27"/>
      <c r="S100" s="27"/>
    </row>
    <row r="101" ht="17.25" customHeight="1">
      <c r="A101" s="23"/>
      <c r="B101" s="23" t="s">
        <v>20</v>
      </c>
      <c r="C101" s="23" t="s">
        <v>654</v>
      </c>
      <c r="D101" s="23" t="s">
        <v>36</v>
      </c>
      <c r="E101" s="23" t="s">
        <v>36</v>
      </c>
      <c r="F101" s="23"/>
      <c r="G101" s="31"/>
      <c r="H101" s="26" t="s">
        <v>655</v>
      </c>
      <c r="I101" s="24"/>
      <c r="J101" s="24"/>
      <c r="K101" s="24"/>
      <c r="L101" s="27"/>
      <c r="M101" s="27"/>
      <c r="N101" s="32" t="s">
        <v>318</v>
      </c>
      <c r="O101" s="27"/>
      <c r="P101" s="27"/>
      <c r="Q101" s="27"/>
      <c r="R101" s="27"/>
      <c r="S101" s="27"/>
    </row>
    <row r="102" ht="17.25" customHeight="1">
      <c r="A102" s="23"/>
      <c r="B102" s="23" t="s">
        <v>20</v>
      </c>
      <c r="C102" s="23" t="s">
        <v>341</v>
      </c>
      <c r="D102" s="23" t="s">
        <v>36</v>
      </c>
      <c r="E102" s="23" t="s">
        <v>36</v>
      </c>
      <c r="F102" s="23"/>
      <c r="G102" s="31"/>
      <c r="H102" s="26" t="s">
        <v>656</v>
      </c>
      <c r="I102" s="24"/>
      <c r="J102" s="24"/>
      <c r="K102" s="24"/>
      <c r="L102" s="27"/>
      <c r="M102" s="27"/>
      <c r="N102" s="32" t="s">
        <v>318</v>
      </c>
      <c r="O102" s="27"/>
      <c r="P102" s="27"/>
      <c r="Q102" s="27"/>
      <c r="R102" s="27"/>
      <c r="S102" s="27"/>
    </row>
    <row r="103" ht="17.25" customHeight="1">
      <c r="A103" s="24"/>
      <c r="B103" s="23" t="s">
        <v>20</v>
      </c>
      <c r="C103" s="23" t="s">
        <v>657</v>
      </c>
      <c r="D103" s="23" t="s">
        <v>36</v>
      </c>
      <c r="E103" s="23" t="s">
        <v>36</v>
      </c>
      <c r="F103" s="24"/>
      <c r="G103" s="24"/>
      <c r="H103" s="33" t="s">
        <v>658</v>
      </c>
      <c r="I103" s="24"/>
      <c r="J103" s="24"/>
      <c r="K103" s="24"/>
      <c r="L103" s="27"/>
      <c r="M103" s="27"/>
      <c r="N103" s="27"/>
      <c r="O103" s="27"/>
      <c r="P103" s="27"/>
      <c r="Q103" s="27"/>
      <c r="R103" s="27"/>
      <c r="S103" s="27"/>
    </row>
    <row r="104" ht="17.25" customHeight="1">
      <c r="A104" s="24"/>
      <c r="B104" s="23" t="s">
        <v>20</v>
      </c>
      <c r="C104" s="23" t="s">
        <v>659</v>
      </c>
      <c r="D104" s="23" t="s">
        <v>36</v>
      </c>
      <c r="E104" s="23" t="s">
        <v>36</v>
      </c>
      <c r="F104" s="23" t="s">
        <v>660</v>
      </c>
      <c r="G104" s="24"/>
      <c r="H104" s="33" t="s">
        <v>661</v>
      </c>
      <c r="I104" s="26" t="s">
        <v>662</v>
      </c>
      <c r="J104" s="33" t="s">
        <v>663</v>
      </c>
      <c r="K104" s="24"/>
      <c r="L104" s="27"/>
      <c r="M104" s="27"/>
      <c r="N104" s="27"/>
      <c r="O104" s="27"/>
      <c r="P104" s="27"/>
      <c r="Q104" s="27"/>
      <c r="R104" s="27"/>
      <c r="S104" s="27"/>
    </row>
    <row r="105" ht="17.25" customHeight="1">
      <c r="A105" s="24"/>
      <c r="B105" s="23" t="s">
        <v>20</v>
      </c>
      <c r="C105" s="23" t="s">
        <v>664</v>
      </c>
      <c r="D105" s="23" t="s">
        <v>36</v>
      </c>
      <c r="E105" s="23" t="s">
        <v>36</v>
      </c>
      <c r="F105" s="24"/>
      <c r="G105" s="24"/>
      <c r="H105" s="33" t="s">
        <v>665</v>
      </c>
      <c r="I105" s="24"/>
      <c r="J105" s="24"/>
      <c r="K105" s="24"/>
      <c r="L105" s="27"/>
      <c r="M105" s="27"/>
      <c r="N105" s="27"/>
      <c r="O105" s="27"/>
      <c r="P105" s="27"/>
      <c r="Q105" s="27"/>
      <c r="R105" s="27"/>
      <c r="S105" s="27"/>
    </row>
    <row r="106" ht="17.25" customHeight="1">
      <c r="A106" s="24"/>
      <c r="B106" s="23" t="s">
        <v>301</v>
      </c>
      <c r="C106" s="23" t="s">
        <v>666</v>
      </c>
      <c r="D106" s="23" t="s">
        <v>36</v>
      </c>
      <c r="E106" s="23" t="s">
        <v>36</v>
      </c>
      <c r="F106" s="24"/>
      <c r="G106" s="24"/>
      <c r="H106" s="33" t="s">
        <v>667</v>
      </c>
      <c r="I106" s="26" t="s">
        <v>668</v>
      </c>
      <c r="J106" s="26" t="s">
        <v>669</v>
      </c>
      <c r="K106" s="24"/>
      <c r="L106" s="27"/>
      <c r="M106" s="27"/>
      <c r="N106" s="27"/>
      <c r="O106" s="27"/>
      <c r="P106" s="27"/>
      <c r="Q106" s="27"/>
      <c r="R106" s="27"/>
      <c r="S106" s="27"/>
    </row>
    <row r="107" ht="17.25" customHeight="1">
      <c r="A107" s="24"/>
      <c r="B107" s="23" t="s">
        <v>102</v>
      </c>
      <c r="C107" s="23" t="s">
        <v>670</v>
      </c>
      <c r="D107" s="23" t="s">
        <v>36</v>
      </c>
      <c r="E107" s="23" t="s">
        <v>36</v>
      </c>
      <c r="F107" s="23" t="s">
        <v>671</v>
      </c>
      <c r="G107" s="24"/>
      <c r="H107" s="33" t="s">
        <v>672</v>
      </c>
      <c r="I107" s="26" t="s">
        <v>673</v>
      </c>
      <c r="J107" s="26" t="s">
        <v>674</v>
      </c>
      <c r="K107" s="24"/>
      <c r="L107" s="27"/>
      <c r="M107" s="27"/>
      <c r="N107" s="27"/>
      <c r="O107" s="27"/>
      <c r="P107" s="27"/>
      <c r="Q107" s="27"/>
      <c r="R107" s="27"/>
      <c r="S107" s="27"/>
    </row>
    <row r="108" ht="17.25" customHeight="1">
      <c r="A108" s="38"/>
      <c r="B108" s="23" t="s">
        <v>20</v>
      </c>
      <c r="C108" s="28" t="s">
        <v>341</v>
      </c>
      <c r="D108" s="23" t="s">
        <v>36</v>
      </c>
      <c r="E108" s="23" t="s">
        <v>36</v>
      </c>
      <c r="F108" s="24"/>
      <c r="G108" s="24"/>
      <c r="H108" s="33" t="s">
        <v>675</v>
      </c>
      <c r="I108" s="24"/>
      <c r="J108" s="24"/>
      <c r="K108" s="24"/>
      <c r="L108" s="27"/>
      <c r="M108" s="27"/>
      <c r="N108" s="27"/>
      <c r="O108" s="27"/>
      <c r="P108" s="27"/>
      <c r="Q108" s="27"/>
      <c r="R108" s="27"/>
      <c r="S108" s="27"/>
    </row>
    <row r="109" ht="17.25" customHeight="1">
      <c r="A109" s="24"/>
      <c r="B109" s="23" t="s">
        <v>102</v>
      </c>
      <c r="C109" s="23" t="s">
        <v>74</v>
      </c>
      <c r="D109" s="23" t="s">
        <v>36</v>
      </c>
      <c r="E109" s="23" t="s">
        <v>36</v>
      </c>
      <c r="F109" s="23" t="s">
        <v>676</v>
      </c>
      <c r="G109" s="24"/>
      <c r="H109" s="26" t="s">
        <v>677</v>
      </c>
      <c r="I109" s="24"/>
      <c r="J109" s="24"/>
      <c r="K109" s="24"/>
      <c r="L109" s="27"/>
      <c r="M109" s="27"/>
      <c r="N109" s="27"/>
      <c r="O109" s="27"/>
      <c r="P109" s="27"/>
      <c r="Q109" s="27"/>
      <c r="R109" s="27"/>
      <c r="S109" s="27"/>
    </row>
    <row r="110" ht="17.25" customHeight="1">
      <c r="A110" s="24"/>
      <c r="B110" s="23" t="s">
        <v>20</v>
      </c>
      <c r="C110" s="23" t="s">
        <v>678</v>
      </c>
      <c r="D110" s="23" t="s">
        <v>36</v>
      </c>
      <c r="E110" s="23" t="s">
        <v>36</v>
      </c>
      <c r="F110" s="24"/>
      <c r="G110" s="24"/>
      <c r="H110" s="26" t="s">
        <v>679</v>
      </c>
      <c r="I110" s="24"/>
      <c r="J110" s="24"/>
      <c r="K110" s="24"/>
      <c r="L110" s="27"/>
      <c r="M110" s="27"/>
      <c r="N110" s="27"/>
      <c r="O110" s="27"/>
      <c r="P110" s="27"/>
      <c r="Q110" s="27"/>
      <c r="R110" s="27"/>
      <c r="S110" s="27"/>
    </row>
    <row r="111" ht="17.25" customHeight="1">
      <c r="A111" s="24"/>
      <c r="B111" s="23" t="s">
        <v>20</v>
      </c>
      <c r="C111" s="23" t="s">
        <v>680</v>
      </c>
      <c r="D111" s="23" t="s">
        <v>36</v>
      </c>
      <c r="E111" s="23" t="s">
        <v>36</v>
      </c>
      <c r="F111" s="24"/>
      <c r="G111" s="24"/>
      <c r="H111" s="26" t="s">
        <v>681</v>
      </c>
      <c r="I111" s="24"/>
      <c r="J111" s="24"/>
      <c r="K111" s="24"/>
      <c r="L111" s="27"/>
      <c r="M111" s="27"/>
      <c r="N111" s="27"/>
      <c r="O111" s="27"/>
      <c r="P111" s="27"/>
      <c r="Q111" s="27"/>
      <c r="R111" s="27"/>
      <c r="S111" s="27"/>
    </row>
    <row r="112" ht="17.25" customHeight="1">
      <c r="A112" s="24"/>
      <c r="B112" s="23" t="s">
        <v>20</v>
      </c>
      <c r="C112" s="28" t="s">
        <v>682</v>
      </c>
      <c r="D112" s="23" t="s">
        <v>36</v>
      </c>
      <c r="E112" s="23" t="s">
        <v>36</v>
      </c>
      <c r="F112" s="24"/>
      <c r="G112" s="24"/>
      <c r="H112" s="26" t="s">
        <v>683</v>
      </c>
      <c r="I112" s="26" t="s">
        <v>684</v>
      </c>
      <c r="J112" s="24"/>
      <c r="K112" s="24"/>
      <c r="L112" s="27"/>
      <c r="M112" s="27"/>
      <c r="N112" s="27"/>
      <c r="O112" s="27"/>
      <c r="P112" s="27"/>
      <c r="Q112" s="27"/>
      <c r="R112" s="27"/>
      <c r="S112" s="27"/>
    </row>
    <row r="113" ht="17.25" customHeight="1">
      <c r="A113" s="24"/>
      <c r="B113" s="23" t="s">
        <v>20</v>
      </c>
      <c r="C113" s="28" t="s">
        <v>685</v>
      </c>
      <c r="D113" s="23" t="s">
        <v>36</v>
      </c>
      <c r="E113" s="23" t="s">
        <v>36</v>
      </c>
      <c r="F113" s="24"/>
      <c r="G113" s="24"/>
      <c r="H113" s="26" t="s">
        <v>686</v>
      </c>
      <c r="I113" s="24"/>
      <c r="J113" s="24"/>
      <c r="K113" s="24"/>
      <c r="L113" s="27"/>
      <c r="M113" s="27"/>
      <c r="N113" s="27"/>
      <c r="O113" s="27"/>
      <c r="P113" s="27"/>
      <c r="Q113" s="27"/>
      <c r="R113" s="27"/>
      <c r="S113" s="27"/>
    </row>
    <row r="114" ht="17.25" customHeight="1">
      <c r="A114" s="24"/>
      <c r="B114" s="23" t="s">
        <v>687</v>
      </c>
      <c r="C114" s="23" t="s">
        <v>688</v>
      </c>
      <c r="D114" s="23" t="s">
        <v>36</v>
      </c>
      <c r="E114" s="23" t="s">
        <v>36</v>
      </c>
      <c r="F114" s="24"/>
      <c r="G114" s="24"/>
      <c r="H114" s="24"/>
      <c r="I114" s="24"/>
      <c r="J114" s="26" t="s">
        <v>689</v>
      </c>
      <c r="K114" s="24"/>
      <c r="L114" s="27"/>
      <c r="M114" s="27"/>
      <c r="N114" s="27"/>
      <c r="O114" s="27"/>
      <c r="P114" s="27"/>
      <c r="Q114" s="27"/>
      <c r="R114" s="27"/>
      <c r="S114" s="27"/>
    </row>
    <row r="115" ht="17.25" customHeight="1">
      <c r="A115" s="24"/>
      <c r="B115" s="23" t="s">
        <v>687</v>
      </c>
      <c r="C115" s="28" t="s">
        <v>690</v>
      </c>
      <c r="D115" s="23" t="s">
        <v>36</v>
      </c>
      <c r="E115" s="23" t="s">
        <v>36</v>
      </c>
      <c r="F115" s="24"/>
      <c r="G115" s="24"/>
      <c r="H115" s="26" t="s">
        <v>691</v>
      </c>
      <c r="I115" s="24"/>
      <c r="J115" s="24"/>
      <c r="K115" s="24"/>
      <c r="L115" s="27"/>
      <c r="M115" s="27"/>
      <c r="N115" s="27"/>
      <c r="O115" s="27"/>
      <c r="P115" s="27"/>
      <c r="Q115" s="27"/>
      <c r="R115" s="27"/>
      <c r="S115" s="27"/>
    </row>
    <row r="116" ht="17.25" customHeight="1">
      <c r="A116" s="24"/>
      <c r="B116" s="23" t="s">
        <v>20</v>
      </c>
      <c r="C116" s="23" t="s">
        <v>690</v>
      </c>
      <c r="D116" s="23" t="s">
        <v>36</v>
      </c>
      <c r="E116" s="23" t="s">
        <v>36</v>
      </c>
      <c r="F116" s="24"/>
      <c r="G116" s="24"/>
      <c r="H116" s="26" t="s">
        <v>692</v>
      </c>
      <c r="I116" s="26" t="s">
        <v>693</v>
      </c>
      <c r="J116" s="24"/>
      <c r="K116" s="24"/>
      <c r="L116" s="27"/>
      <c r="M116" s="27"/>
      <c r="N116" s="27"/>
      <c r="O116" s="27"/>
      <c r="P116" s="27"/>
      <c r="Q116" s="27"/>
      <c r="R116" s="27"/>
      <c r="S116" s="27"/>
    </row>
    <row r="117" ht="17.25" customHeight="1">
      <c r="A117" s="24"/>
      <c r="B117" s="23" t="s">
        <v>20</v>
      </c>
      <c r="C117" s="28" t="s">
        <v>694</v>
      </c>
      <c r="D117" s="23" t="s">
        <v>36</v>
      </c>
      <c r="E117" s="23" t="s">
        <v>36</v>
      </c>
      <c r="F117" s="24"/>
      <c r="G117" s="24"/>
      <c r="H117" s="26" t="s">
        <v>695</v>
      </c>
      <c r="I117" s="24"/>
      <c r="J117" s="24"/>
      <c r="K117" s="24"/>
      <c r="L117" s="27"/>
      <c r="M117" s="27"/>
      <c r="N117" s="27"/>
      <c r="O117" s="27"/>
      <c r="P117" s="27"/>
      <c r="Q117" s="27"/>
      <c r="R117" s="27"/>
      <c r="S117" s="27"/>
    </row>
    <row r="118" ht="17.25" customHeight="1">
      <c r="A118" s="24"/>
      <c r="B118" s="23" t="s">
        <v>20</v>
      </c>
      <c r="C118" s="28" t="s">
        <v>286</v>
      </c>
      <c r="D118" s="23" t="s">
        <v>36</v>
      </c>
      <c r="E118" s="23" t="s">
        <v>36</v>
      </c>
      <c r="F118" s="24"/>
      <c r="G118" s="24"/>
      <c r="H118" s="26" t="s">
        <v>696</v>
      </c>
      <c r="I118" s="26" t="s">
        <v>697</v>
      </c>
      <c r="J118" s="24"/>
      <c r="K118" s="24"/>
      <c r="L118" s="27"/>
      <c r="M118" s="27"/>
      <c r="N118" s="27"/>
      <c r="O118" s="27"/>
      <c r="P118" s="27"/>
      <c r="Q118" s="27"/>
      <c r="R118" s="27"/>
      <c r="S118" s="27"/>
    </row>
    <row r="119" ht="17.25" customHeight="1">
      <c r="A119" s="24"/>
      <c r="B119" s="23" t="s">
        <v>20</v>
      </c>
      <c r="C119" s="23" t="s">
        <v>698</v>
      </c>
      <c r="D119" s="23" t="s">
        <v>36</v>
      </c>
      <c r="E119" s="23" t="s">
        <v>36</v>
      </c>
      <c r="F119" s="24"/>
      <c r="G119" s="24"/>
      <c r="H119" s="24"/>
      <c r="I119" s="24"/>
      <c r="J119" s="26" t="s">
        <v>699</v>
      </c>
      <c r="K119" s="24"/>
      <c r="L119" s="27"/>
      <c r="M119" s="27"/>
      <c r="N119" s="27"/>
      <c r="O119" s="27"/>
      <c r="P119" s="27"/>
      <c r="Q119" s="27"/>
      <c r="R119" s="27"/>
      <c r="S119" s="27"/>
    </row>
    <row r="120" ht="17.25" customHeight="1">
      <c r="A120" s="24"/>
      <c r="B120" s="23" t="s">
        <v>20</v>
      </c>
      <c r="C120" s="23" t="s">
        <v>700</v>
      </c>
      <c r="D120" s="23" t="s">
        <v>36</v>
      </c>
      <c r="E120" s="23" t="s">
        <v>36</v>
      </c>
      <c r="F120" s="24"/>
      <c r="G120" s="24"/>
      <c r="H120" s="26" t="s">
        <v>701</v>
      </c>
      <c r="I120" s="26" t="s">
        <v>702</v>
      </c>
      <c r="J120" s="24"/>
      <c r="K120" s="24"/>
      <c r="L120" s="27"/>
      <c r="M120" s="27"/>
      <c r="N120" s="27"/>
      <c r="O120" s="27"/>
      <c r="P120" s="27"/>
      <c r="Q120" s="27"/>
      <c r="R120" s="27"/>
      <c r="S120" s="27"/>
    </row>
    <row r="121" ht="17.25" customHeight="1">
      <c r="A121" s="24"/>
      <c r="B121" s="23" t="s">
        <v>20</v>
      </c>
      <c r="C121" s="28" t="s">
        <v>703</v>
      </c>
      <c r="D121" s="23" t="s">
        <v>36</v>
      </c>
      <c r="E121" s="23" t="s">
        <v>36</v>
      </c>
      <c r="F121" s="24"/>
      <c r="G121" s="24"/>
      <c r="H121" s="26" t="s">
        <v>704</v>
      </c>
      <c r="I121" s="26" t="s">
        <v>705</v>
      </c>
      <c r="J121" s="24"/>
      <c r="K121" s="24"/>
      <c r="L121" s="27"/>
      <c r="M121" s="27"/>
      <c r="N121" s="27"/>
      <c r="O121" s="27"/>
      <c r="P121" s="27"/>
      <c r="Q121" s="27"/>
      <c r="R121" s="27"/>
      <c r="S121" s="27"/>
    </row>
    <row r="122" ht="17.25" customHeight="1">
      <c r="A122" s="24"/>
      <c r="B122" s="23" t="s">
        <v>20</v>
      </c>
      <c r="C122" s="23" t="s">
        <v>510</v>
      </c>
      <c r="D122" s="23" t="s">
        <v>36</v>
      </c>
      <c r="E122" s="23" t="s">
        <v>36</v>
      </c>
      <c r="F122" s="24"/>
      <c r="G122" s="24"/>
      <c r="H122" s="26" t="s">
        <v>706</v>
      </c>
      <c r="I122" s="24"/>
      <c r="J122" s="24"/>
      <c r="K122" s="24"/>
      <c r="L122" s="27"/>
      <c r="M122" s="27"/>
      <c r="N122" s="27"/>
      <c r="O122" s="27"/>
      <c r="P122" s="27"/>
      <c r="Q122" s="27"/>
      <c r="R122" s="27"/>
      <c r="S122" s="27"/>
    </row>
    <row r="123" ht="17.25" customHeight="1">
      <c r="A123" s="24"/>
      <c r="B123" s="23" t="s">
        <v>687</v>
      </c>
      <c r="C123" s="23" t="s">
        <v>707</v>
      </c>
      <c r="D123" s="23" t="s">
        <v>36</v>
      </c>
      <c r="E123" s="23" t="s">
        <v>36</v>
      </c>
      <c r="F123" s="24"/>
      <c r="G123" s="24"/>
      <c r="H123" s="26" t="s">
        <v>708</v>
      </c>
      <c r="I123" s="26" t="s">
        <v>709</v>
      </c>
      <c r="J123" s="24"/>
      <c r="K123" s="24"/>
      <c r="L123" s="27"/>
      <c r="M123" s="27"/>
      <c r="N123" s="27"/>
      <c r="O123" s="27"/>
      <c r="P123" s="27"/>
      <c r="Q123" s="27"/>
      <c r="R123" s="27"/>
      <c r="S123" s="27"/>
    </row>
    <row r="124" ht="17.25" customHeight="1">
      <c r="A124" s="24"/>
      <c r="B124" s="23" t="s">
        <v>102</v>
      </c>
      <c r="C124" s="23" t="s">
        <v>710</v>
      </c>
      <c r="D124" s="23" t="s">
        <v>36</v>
      </c>
      <c r="E124" s="23" t="s">
        <v>36</v>
      </c>
      <c r="F124" s="24"/>
      <c r="G124" s="24"/>
      <c r="H124" s="26" t="s">
        <v>711</v>
      </c>
      <c r="I124" s="24"/>
      <c r="J124" s="24"/>
      <c r="K124" s="24"/>
      <c r="L124" s="27"/>
      <c r="M124" s="27"/>
      <c r="N124" s="27"/>
      <c r="O124" s="27"/>
      <c r="P124" s="27"/>
      <c r="Q124" s="27"/>
      <c r="R124" s="27"/>
      <c r="S124" s="27"/>
    </row>
    <row r="125" ht="17.25" customHeight="1">
      <c r="A125" s="24"/>
      <c r="B125" s="23" t="s">
        <v>20</v>
      </c>
      <c r="C125" s="28" t="s">
        <v>712</v>
      </c>
      <c r="D125" s="23" t="s">
        <v>36</v>
      </c>
      <c r="E125" s="23" t="s">
        <v>36</v>
      </c>
      <c r="F125" s="24"/>
      <c r="G125" s="24"/>
      <c r="H125" s="26" t="s">
        <v>713</v>
      </c>
      <c r="I125" s="24"/>
      <c r="J125" s="24"/>
      <c r="K125" s="24"/>
      <c r="L125" s="27"/>
      <c r="M125" s="27"/>
      <c r="N125" s="27"/>
      <c r="O125" s="27"/>
      <c r="P125" s="27"/>
      <c r="Q125" s="27"/>
      <c r="R125" s="27"/>
      <c r="S125" s="27"/>
    </row>
    <row r="126" ht="17.25" customHeight="1">
      <c r="A126" s="24"/>
      <c r="B126" s="23" t="s">
        <v>20</v>
      </c>
      <c r="C126" s="28" t="s">
        <v>714</v>
      </c>
      <c r="D126" s="23" t="s">
        <v>36</v>
      </c>
      <c r="E126" s="23" t="s">
        <v>36</v>
      </c>
      <c r="F126" s="24"/>
      <c r="G126" s="24"/>
      <c r="H126" s="26" t="s">
        <v>715</v>
      </c>
      <c r="I126" s="26" t="s">
        <v>716</v>
      </c>
      <c r="J126" s="24"/>
      <c r="K126" s="24"/>
      <c r="L126" s="27"/>
      <c r="M126" s="27"/>
      <c r="N126" s="27"/>
      <c r="O126" s="27"/>
      <c r="P126" s="27"/>
      <c r="Q126" s="27"/>
      <c r="R126" s="27"/>
      <c r="S126" s="27"/>
    </row>
    <row r="127" ht="17.25" customHeight="1">
      <c r="A127" s="24"/>
      <c r="B127" s="23" t="s">
        <v>20</v>
      </c>
      <c r="C127" s="28" t="s">
        <v>717</v>
      </c>
      <c r="D127" s="23" t="s">
        <v>36</v>
      </c>
      <c r="E127" s="23" t="s">
        <v>36</v>
      </c>
      <c r="F127" s="24"/>
      <c r="G127" s="24"/>
      <c r="H127" s="26" t="s">
        <v>718</v>
      </c>
      <c r="I127" s="26" t="s">
        <v>719</v>
      </c>
      <c r="J127" s="24"/>
      <c r="K127" s="24"/>
      <c r="L127" s="27"/>
      <c r="M127" s="27"/>
      <c r="N127" s="27"/>
      <c r="O127" s="27"/>
      <c r="P127" s="27"/>
      <c r="Q127" s="27"/>
      <c r="R127" s="27"/>
      <c r="S127" s="27"/>
    </row>
    <row r="128" ht="17.25" customHeight="1">
      <c r="A128" s="24"/>
      <c r="B128" s="23" t="s">
        <v>720</v>
      </c>
      <c r="C128" s="23" t="s">
        <v>721</v>
      </c>
      <c r="D128" s="23" t="s">
        <v>36</v>
      </c>
      <c r="E128" s="23" t="s">
        <v>36</v>
      </c>
      <c r="F128" s="24"/>
      <c r="G128" s="24"/>
      <c r="H128" s="26" t="s">
        <v>722</v>
      </c>
      <c r="I128" s="24"/>
      <c r="J128" s="24"/>
      <c r="K128" s="24"/>
      <c r="L128" s="27"/>
      <c r="M128" s="27"/>
      <c r="N128" s="27"/>
      <c r="O128" s="27"/>
      <c r="P128" s="27"/>
      <c r="Q128" s="27"/>
      <c r="R128" s="27"/>
      <c r="S128" s="27"/>
    </row>
    <row r="129" ht="17.25" customHeight="1">
      <c r="A129" s="24"/>
      <c r="B129" s="23" t="s">
        <v>20</v>
      </c>
      <c r="C129" s="23" t="s">
        <v>678</v>
      </c>
      <c r="D129" s="23" t="s">
        <v>36</v>
      </c>
      <c r="E129" s="23" t="s">
        <v>36</v>
      </c>
      <c r="F129" s="24"/>
      <c r="G129" s="24"/>
      <c r="H129" s="26" t="s">
        <v>723</v>
      </c>
      <c r="I129" s="24"/>
      <c r="J129" s="24"/>
      <c r="K129" s="24"/>
      <c r="L129" s="27"/>
      <c r="M129" s="27"/>
      <c r="N129" s="27"/>
      <c r="O129" s="27"/>
      <c r="P129" s="27"/>
      <c r="Q129" s="27"/>
      <c r="R129" s="27"/>
      <c r="S129" s="27"/>
    </row>
    <row r="130" ht="17.25" customHeight="1">
      <c r="A130" s="24"/>
      <c r="B130" s="23" t="s">
        <v>20</v>
      </c>
      <c r="C130" s="28" t="s">
        <v>724</v>
      </c>
      <c r="D130" s="23" t="s">
        <v>36</v>
      </c>
      <c r="E130" s="23" t="s">
        <v>36</v>
      </c>
      <c r="F130" s="24"/>
      <c r="G130" s="24"/>
      <c r="H130" s="26" t="s">
        <v>725</v>
      </c>
      <c r="I130" s="39" t="s">
        <v>726</v>
      </c>
      <c r="J130" s="24"/>
      <c r="K130" s="24"/>
      <c r="L130" s="27"/>
      <c r="M130" s="27"/>
      <c r="N130" s="27"/>
      <c r="O130" s="27"/>
      <c r="P130" s="27"/>
      <c r="Q130" s="27"/>
      <c r="R130" s="27"/>
      <c r="S130" s="27"/>
    </row>
    <row r="131" ht="17.25" customHeight="1">
      <c r="A131" s="24"/>
      <c r="B131" s="23" t="s">
        <v>20</v>
      </c>
      <c r="C131" s="23" t="s">
        <v>727</v>
      </c>
      <c r="D131" s="23" t="s">
        <v>36</v>
      </c>
      <c r="E131" s="23" t="s">
        <v>36</v>
      </c>
      <c r="F131" s="24"/>
      <c r="G131" s="24"/>
      <c r="H131" s="26" t="s">
        <v>728</v>
      </c>
      <c r="I131" s="30"/>
      <c r="J131" s="24"/>
      <c r="K131" s="24"/>
      <c r="L131" s="27"/>
      <c r="M131" s="27"/>
      <c r="N131" s="27"/>
      <c r="O131" s="27"/>
      <c r="P131" s="27"/>
      <c r="Q131" s="27"/>
      <c r="R131" s="27"/>
      <c r="S131" s="27"/>
    </row>
    <row r="132" ht="17.25" customHeight="1">
      <c r="A132" s="24"/>
      <c r="B132" s="23" t="s">
        <v>20</v>
      </c>
      <c r="C132" s="23" t="s">
        <v>729</v>
      </c>
      <c r="D132" s="23" t="s">
        <v>36</v>
      </c>
      <c r="E132" s="23" t="s">
        <v>36</v>
      </c>
      <c r="F132" s="24"/>
      <c r="G132" s="24"/>
      <c r="H132" s="26" t="s">
        <v>730</v>
      </c>
      <c r="I132" s="26" t="s">
        <v>731</v>
      </c>
      <c r="J132" s="24"/>
      <c r="K132" s="24"/>
      <c r="L132" s="27"/>
      <c r="M132" s="27"/>
      <c r="N132" s="27"/>
      <c r="O132" s="27"/>
      <c r="P132" s="27"/>
      <c r="Q132" s="27"/>
      <c r="R132" s="27"/>
      <c r="S132" s="27"/>
    </row>
    <row r="133" ht="17.25" customHeight="1">
      <c r="A133" s="24"/>
      <c r="B133" s="23" t="s">
        <v>20</v>
      </c>
      <c r="C133" s="28" t="s">
        <v>732</v>
      </c>
      <c r="D133" s="23" t="s">
        <v>36</v>
      </c>
      <c r="E133" s="23" t="s">
        <v>36</v>
      </c>
      <c r="F133" s="24"/>
      <c r="G133" s="24"/>
      <c r="H133" s="26" t="s">
        <v>733</v>
      </c>
      <c r="I133" s="24"/>
      <c r="J133" s="24"/>
      <c r="K133" s="24"/>
      <c r="L133" s="27"/>
      <c r="M133" s="27"/>
      <c r="N133" s="27"/>
      <c r="O133" s="27"/>
      <c r="P133" s="27"/>
      <c r="Q133" s="27"/>
      <c r="R133" s="27"/>
      <c r="S133" s="27"/>
    </row>
    <row r="134" ht="17.25" customHeight="1">
      <c r="A134" s="24"/>
      <c r="B134" s="23" t="s">
        <v>20</v>
      </c>
      <c r="C134" s="23" t="s">
        <v>55</v>
      </c>
      <c r="D134" s="23" t="s">
        <v>36</v>
      </c>
      <c r="E134" s="23" t="s">
        <v>36</v>
      </c>
      <c r="F134" s="24"/>
      <c r="G134" s="24"/>
      <c r="H134" s="26" t="s">
        <v>734</v>
      </c>
      <c r="I134" s="24"/>
      <c r="J134" s="24"/>
      <c r="K134" s="24"/>
      <c r="L134" s="27"/>
      <c r="M134" s="27"/>
      <c r="N134" s="27"/>
      <c r="O134" s="27"/>
      <c r="P134" s="27"/>
      <c r="Q134" s="27"/>
      <c r="R134" s="27"/>
      <c r="S134" s="27"/>
    </row>
    <row r="135" ht="17.25" customHeight="1">
      <c r="A135" s="24"/>
      <c r="B135" s="23" t="s">
        <v>20</v>
      </c>
      <c r="C135" s="28" t="s">
        <v>735</v>
      </c>
      <c r="D135" s="23" t="s">
        <v>36</v>
      </c>
      <c r="E135" s="23" t="s">
        <v>36</v>
      </c>
      <c r="F135" s="24"/>
      <c r="G135" s="24"/>
      <c r="H135" s="26" t="s">
        <v>736</v>
      </c>
      <c r="I135" s="24"/>
      <c r="J135" s="24"/>
      <c r="K135" s="24"/>
      <c r="L135" s="27"/>
      <c r="M135" s="27"/>
      <c r="N135" s="27"/>
      <c r="O135" s="27"/>
      <c r="P135" s="27"/>
      <c r="Q135" s="27"/>
      <c r="R135" s="27"/>
      <c r="S135" s="27"/>
    </row>
    <row r="136" ht="17.25" customHeight="1">
      <c r="A136" s="24"/>
      <c r="B136" s="23" t="s">
        <v>276</v>
      </c>
      <c r="C136" s="28" t="s">
        <v>737</v>
      </c>
      <c r="D136" s="23" t="s">
        <v>36</v>
      </c>
      <c r="E136" s="23" t="s">
        <v>36</v>
      </c>
      <c r="F136" s="24"/>
      <c r="G136" s="24"/>
      <c r="H136" s="26" t="s">
        <v>738</v>
      </c>
      <c r="I136" s="24"/>
      <c r="J136" s="24"/>
      <c r="K136" s="24"/>
      <c r="L136" s="27"/>
      <c r="M136" s="27"/>
      <c r="N136" s="27"/>
      <c r="O136" s="27"/>
      <c r="P136" s="27"/>
      <c r="Q136" s="27"/>
      <c r="R136" s="27"/>
      <c r="S136" s="27"/>
    </row>
    <row r="137" ht="17.25" customHeight="1">
      <c r="A137" s="24"/>
      <c r="B137" s="23" t="s">
        <v>20</v>
      </c>
      <c r="C137" s="40" t="s">
        <v>739</v>
      </c>
      <c r="D137" s="23" t="s">
        <v>36</v>
      </c>
      <c r="E137" s="23" t="s">
        <v>36</v>
      </c>
      <c r="F137" s="24"/>
      <c r="G137" s="24"/>
      <c r="H137" s="26" t="s">
        <v>740</v>
      </c>
      <c r="I137" s="24"/>
      <c r="J137" s="24"/>
      <c r="K137" s="24"/>
      <c r="L137" s="27"/>
      <c r="M137" s="27"/>
      <c r="N137" s="27"/>
      <c r="O137" s="27"/>
      <c r="P137" s="27"/>
      <c r="Q137" s="27"/>
      <c r="R137" s="27"/>
      <c r="S137" s="27"/>
    </row>
    <row r="138" ht="17.25" customHeight="1">
      <c r="A138" s="24"/>
      <c r="B138" s="23" t="s">
        <v>20</v>
      </c>
      <c r="C138" s="23" t="s">
        <v>741</v>
      </c>
      <c r="D138" s="23" t="s">
        <v>36</v>
      </c>
      <c r="E138" s="23" t="s">
        <v>36</v>
      </c>
      <c r="F138" s="24"/>
      <c r="G138" s="24"/>
      <c r="H138" s="24"/>
      <c r="I138" s="24"/>
      <c r="J138" s="26" t="s">
        <v>742</v>
      </c>
      <c r="K138" s="24"/>
      <c r="L138" s="27"/>
      <c r="M138" s="27"/>
      <c r="N138" s="27"/>
      <c r="O138" s="27"/>
      <c r="P138" s="27"/>
      <c r="Q138" s="27"/>
      <c r="R138" s="27"/>
      <c r="S138" s="27"/>
    </row>
    <row r="139" ht="17.25" customHeight="1">
      <c r="A139" s="24"/>
      <c r="B139" s="23" t="s">
        <v>20</v>
      </c>
      <c r="C139" s="23" t="s">
        <v>743</v>
      </c>
      <c r="D139" s="23" t="s">
        <v>36</v>
      </c>
      <c r="E139" s="23" t="s">
        <v>36</v>
      </c>
      <c r="F139" s="24"/>
      <c r="G139" s="24"/>
      <c r="H139" s="26" t="s">
        <v>744</v>
      </c>
      <c r="I139" s="24"/>
      <c r="J139" s="24"/>
      <c r="K139" s="24"/>
      <c r="L139" s="27"/>
      <c r="M139" s="27"/>
      <c r="N139" s="27"/>
      <c r="O139" s="27"/>
      <c r="P139" s="27"/>
      <c r="Q139" s="27"/>
      <c r="R139" s="27"/>
      <c r="S139" s="27"/>
    </row>
    <row r="140" ht="17.25" customHeight="1">
      <c r="A140" s="24"/>
      <c r="B140" s="23" t="s">
        <v>20</v>
      </c>
      <c r="C140" s="28" t="s">
        <v>745</v>
      </c>
      <c r="D140" s="23" t="s">
        <v>36</v>
      </c>
      <c r="E140" s="23" t="s">
        <v>36</v>
      </c>
      <c r="F140" s="24"/>
      <c r="G140" s="24"/>
      <c r="H140" s="26" t="s">
        <v>746</v>
      </c>
      <c r="I140" s="24"/>
      <c r="J140" s="24"/>
      <c r="K140" s="24"/>
      <c r="L140" s="27"/>
      <c r="M140" s="27"/>
      <c r="N140" s="27"/>
      <c r="O140" s="27"/>
      <c r="P140" s="27"/>
      <c r="Q140" s="27"/>
      <c r="R140" s="27"/>
      <c r="S140" s="27"/>
    </row>
    <row r="141" ht="17.25" customHeight="1">
      <c r="A141" s="24"/>
      <c r="B141" s="23" t="s">
        <v>20</v>
      </c>
      <c r="C141" s="23" t="s">
        <v>747</v>
      </c>
      <c r="D141" s="23" t="s">
        <v>36</v>
      </c>
      <c r="E141" s="23" t="s">
        <v>36</v>
      </c>
      <c r="F141" s="24"/>
      <c r="G141" s="24"/>
      <c r="H141" s="26" t="s">
        <v>748</v>
      </c>
      <c r="I141" s="24"/>
      <c r="J141" s="24"/>
      <c r="K141" s="24"/>
      <c r="L141" s="27"/>
      <c r="M141" s="27"/>
      <c r="N141" s="27"/>
      <c r="O141" s="27"/>
      <c r="P141" s="27"/>
      <c r="Q141" s="27"/>
      <c r="R141" s="27"/>
      <c r="S141" s="27"/>
    </row>
    <row r="142" ht="17.25" customHeight="1">
      <c r="A142" s="24"/>
      <c r="B142" s="23" t="s">
        <v>20</v>
      </c>
      <c r="C142" s="23" t="s">
        <v>749</v>
      </c>
      <c r="D142" s="23" t="s">
        <v>36</v>
      </c>
      <c r="E142" s="23" t="s">
        <v>36</v>
      </c>
      <c r="F142" s="24"/>
      <c r="G142" s="24"/>
      <c r="H142" s="26" t="s">
        <v>750</v>
      </c>
      <c r="I142" s="26" t="s">
        <v>751</v>
      </c>
      <c r="J142" s="24"/>
      <c r="K142" s="24"/>
      <c r="L142" s="27"/>
      <c r="M142" s="27"/>
      <c r="N142" s="27"/>
      <c r="O142" s="27"/>
      <c r="P142" s="27"/>
      <c r="Q142" s="27"/>
      <c r="R142" s="27"/>
      <c r="S142" s="27"/>
    </row>
    <row r="143" ht="17.25" customHeight="1">
      <c r="A143" s="24"/>
      <c r="B143" s="23" t="s">
        <v>276</v>
      </c>
      <c r="C143" s="23" t="s">
        <v>529</v>
      </c>
      <c r="D143" s="23" t="s">
        <v>36</v>
      </c>
      <c r="E143" s="23" t="s">
        <v>36</v>
      </c>
      <c r="F143" s="23" t="s">
        <v>660</v>
      </c>
      <c r="G143" s="24"/>
      <c r="H143" s="26" t="s">
        <v>752</v>
      </c>
      <c r="I143" s="33" t="s">
        <v>753</v>
      </c>
      <c r="J143" s="24"/>
      <c r="K143" s="24"/>
      <c r="L143" s="27"/>
      <c r="M143" s="27"/>
      <c r="N143" s="27"/>
      <c r="O143" s="27"/>
      <c r="P143" s="27"/>
      <c r="Q143" s="27"/>
      <c r="R143" s="27"/>
      <c r="S143" s="27"/>
    </row>
    <row r="144" ht="17.25" customHeight="1">
      <c r="A144" s="24"/>
      <c r="B144" s="23" t="s">
        <v>20</v>
      </c>
      <c r="C144" s="23" t="s">
        <v>306</v>
      </c>
      <c r="D144" s="23" t="s">
        <v>36</v>
      </c>
      <c r="E144" s="23" t="s">
        <v>36</v>
      </c>
      <c r="F144" s="24"/>
      <c r="G144" s="24"/>
      <c r="H144" s="26" t="s">
        <v>754</v>
      </c>
      <c r="I144" s="24"/>
      <c r="J144" s="24"/>
      <c r="K144" s="24"/>
      <c r="L144" s="27"/>
      <c r="M144" s="27"/>
      <c r="N144" s="27"/>
      <c r="O144" s="27"/>
      <c r="P144" s="27"/>
      <c r="Q144" s="27"/>
      <c r="R144" s="27"/>
      <c r="S144" s="27"/>
    </row>
    <row r="145" ht="17.25" customHeight="1">
      <c r="A145" s="24"/>
      <c r="B145" s="23" t="s">
        <v>20</v>
      </c>
      <c r="C145" s="28" t="s">
        <v>755</v>
      </c>
      <c r="D145" s="23" t="s">
        <v>36</v>
      </c>
      <c r="E145" s="23" t="s">
        <v>36</v>
      </c>
      <c r="F145" s="24"/>
      <c r="G145" s="24"/>
      <c r="H145" s="26" t="s">
        <v>756</v>
      </c>
      <c r="I145" s="24"/>
      <c r="J145" s="24"/>
      <c r="K145" s="24"/>
      <c r="L145" s="27"/>
      <c r="M145" s="27"/>
      <c r="N145" s="27"/>
      <c r="O145" s="27"/>
      <c r="P145" s="27"/>
      <c r="Q145" s="27"/>
      <c r="R145" s="27"/>
      <c r="S145" s="27"/>
    </row>
    <row r="146" ht="17.25" customHeight="1">
      <c r="A146" s="24"/>
      <c r="B146" s="23" t="s">
        <v>20</v>
      </c>
      <c r="C146" s="28" t="s">
        <v>757</v>
      </c>
      <c r="D146" s="23" t="s">
        <v>36</v>
      </c>
      <c r="E146" s="23" t="s">
        <v>36</v>
      </c>
      <c r="F146" s="24"/>
      <c r="G146" s="24"/>
      <c r="H146" s="26" t="s">
        <v>758</v>
      </c>
      <c r="I146" s="26" t="s">
        <v>759</v>
      </c>
      <c r="J146" s="24"/>
      <c r="K146" s="24"/>
      <c r="L146" s="27"/>
      <c r="M146" s="27"/>
      <c r="N146" s="27"/>
      <c r="O146" s="27"/>
      <c r="P146" s="27"/>
      <c r="Q146" s="27"/>
      <c r="R146" s="27"/>
      <c r="S146" s="27"/>
    </row>
    <row r="147" ht="17.25" customHeight="1">
      <c r="A147" s="24"/>
      <c r="B147" s="23" t="s">
        <v>20</v>
      </c>
      <c r="C147" s="28" t="s">
        <v>760</v>
      </c>
      <c r="D147" s="23" t="s">
        <v>36</v>
      </c>
      <c r="E147" s="23" t="s">
        <v>36</v>
      </c>
      <c r="F147" s="24"/>
      <c r="G147" s="24"/>
      <c r="H147" s="26" t="s">
        <v>761</v>
      </c>
      <c r="I147" s="26" t="s">
        <v>762</v>
      </c>
      <c r="J147" s="24"/>
      <c r="K147" s="24"/>
      <c r="L147" s="27"/>
      <c r="M147" s="27"/>
      <c r="N147" s="27"/>
      <c r="O147" s="27"/>
      <c r="P147" s="27"/>
      <c r="Q147" s="27"/>
      <c r="R147" s="27"/>
      <c r="S147" s="27"/>
    </row>
    <row r="148" ht="17.25" customHeight="1">
      <c r="A148" s="24"/>
      <c r="B148" s="23" t="s">
        <v>20</v>
      </c>
      <c r="C148" s="23" t="s">
        <v>763</v>
      </c>
      <c r="D148" s="23" t="s">
        <v>36</v>
      </c>
      <c r="E148" s="23" t="s">
        <v>36</v>
      </c>
      <c r="F148" s="24"/>
      <c r="G148" s="24"/>
      <c r="H148" s="26" t="s">
        <v>764</v>
      </c>
      <c r="I148" s="26" t="s">
        <v>765</v>
      </c>
      <c r="J148" s="24"/>
      <c r="K148" s="24"/>
      <c r="L148" s="27"/>
      <c r="M148" s="27"/>
      <c r="N148" s="27"/>
      <c r="O148" s="27"/>
      <c r="P148" s="27"/>
      <c r="Q148" s="27"/>
      <c r="R148" s="27"/>
      <c r="S148" s="27"/>
    </row>
    <row r="149" ht="17.25" customHeight="1">
      <c r="A149" s="24"/>
      <c r="B149" s="23" t="s">
        <v>766</v>
      </c>
      <c r="C149" s="23" t="s">
        <v>767</v>
      </c>
      <c r="D149" s="23" t="s">
        <v>36</v>
      </c>
      <c r="E149" s="23" t="s">
        <v>36</v>
      </c>
      <c r="F149" s="23" t="s">
        <v>768</v>
      </c>
      <c r="G149" s="24"/>
      <c r="H149" s="26" t="s">
        <v>769</v>
      </c>
      <c r="I149" s="24"/>
      <c r="J149" s="24"/>
      <c r="K149" s="24"/>
      <c r="L149" s="27"/>
      <c r="M149" s="27"/>
      <c r="N149" s="27"/>
      <c r="O149" s="27"/>
      <c r="P149" s="27"/>
      <c r="Q149" s="27"/>
      <c r="R149" s="27"/>
      <c r="S149" s="27"/>
    </row>
    <row r="150" ht="17.25" customHeight="1">
      <c r="A150" s="24"/>
      <c r="B150" s="23" t="s">
        <v>766</v>
      </c>
      <c r="C150" s="23" t="s">
        <v>770</v>
      </c>
      <c r="D150" s="23" t="s">
        <v>36</v>
      </c>
      <c r="E150" s="23" t="s">
        <v>36</v>
      </c>
      <c r="F150" s="24"/>
      <c r="G150" s="24"/>
      <c r="H150" s="26" t="s">
        <v>771</v>
      </c>
      <c r="I150" s="24"/>
      <c r="J150" s="24"/>
      <c r="K150" s="24"/>
      <c r="L150" s="27"/>
      <c r="M150" s="27"/>
      <c r="N150" s="27"/>
      <c r="O150" s="27"/>
      <c r="P150" s="27"/>
      <c r="Q150" s="27"/>
      <c r="R150" s="27"/>
      <c r="S150" s="27"/>
    </row>
    <row r="151" ht="17.25" customHeight="1">
      <c r="A151" s="24"/>
      <c r="B151" s="23" t="s">
        <v>766</v>
      </c>
      <c r="C151" s="23" t="s">
        <v>690</v>
      </c>
      <c r="D151" s="23" t="s">
        <v>36</v>
      </c>
      <c r="E151" s="23" t="s">
        <v>36</v>
      </c>
      <c r="F151" s="23" t="s">
        <v>352</v>
      </c>
      <c r="G151" s="24"/>
      <c r="H151" s="26" t="s">
        <v>772</v>
      </c>
      <c r="I151" s="24"/>
      <c r="J151" s="24"/>
      <c r="K151" s="24"/>
      <c r="L151" s="27"/>
      <c r="M151" s="27"/>
      <c r="N151" s="27"/>
      <c r="O151" s="27"/>
      <c r="P151" s="27"/>
      <c r="Q151" s="27"/>
      <c r="R151" s="27"/>
      <c r="S151" s="27"/>
    </row>
    <row r="152" ht="17.25" customHeight="1">
      <c r="A152" s="24"/>
      <c r="B152" s="23" t="s">
        <v>20</v>
      </c>
      <c r="C152" s="28" t="s">
        <v>773</v>
      </c>
      <c r="D152" s="23" t="s">
        <v>36</v>
      </c>
      <c r="E152" s="23" t="s">
        <v>36</v>
      </c>
      <c r="F152" s="24"/>
      <c r="G152" s="24"/>
      <c r="H152" s="26" t="s">
        <v>774</v>
      </c>
      <c r="I152" s="24"/>
      <c r="J152" s="24"/>
      <c r="K152" s="24"/>
      <c r="L152" s="27"/>
      <c r="M152" s="27"/>
      <c r="N152" s="27"/>
      <c r="O152" s="27"/>
      <c r="P152" s="27"/>
      <c r="Q152" s="27"/>
      <c r="R152" s="27"/>
      <c r="S152" s="27"/>
    </row>
    <row r="153" ht="17.25" customHeight="1">
      <c r="A153" s="24"/>
      <c r="B153" s="23" t="s">
        <v>20</v>
      </c>
      <c r="C153" s="23" t="s">
        <v>773</v>
      </c>
      <c r="D153" s="23" t="s">
        <v>36</v>
      </c>
      <c r="E153" s="23" t="s">
        <v>36</v>
      </c>
      <c r="F153" s="23" t="s">
        <v>775</v>
      </c>
      <c r="G153" s="24"/>
      <c r="H153" s="26" t="s">
        <v>776</v>
      </c>
      <c r="I153" s="26" t="s">
        <v>777</v>
      </c>
      <c r="J153" s="24"/>
      <c r="K153" s="24"/>
      <c r="L153" s="27"/>
      <c r="M153" s="27"/>
      <c r="N153" s="27"/>
      <c r="O153" s="27"/>
      <c r="P153" s="27"/>
      <c r="Q153" s="27"/>
      <c r="R153" s="27"/>
      <c r="S153" s="27"/>
    </row>
    <row r="154" ht="17.25" customHeight="1">
      <c r="A154" s="24"/>
      <c r="B154" s="23" t="s">
        <v>20</v>
      </c>
      <c r="C154" s="23" t="s">
        <v>778</v>
      </c>
      <c r="D154" s="23" t="s">
        <v>36</v>
      </c>
      <c r="E154" s="23" t="s">
        <v>36</v>
      </c>
      <c r="F154" s="24"/>
      <c r="G154" s="24"/>
      <c r="H154" s="26" t="s">
        <v>779</v>
      </c>
      <c r="I154" s="24"/>
      <c r="J154" s="24"/>
      <c r="K154" s="24"/>
      <c r="L154" s="29" t="s">
        <v>780</v>
      </c>
      <c r="M154" s="27"/>
      <c r="N154" s="27"/>
      <c r="O154" s="27"/>
      <c r="P154" s="27"/>
      <c r="Q154" s="27"/>
      <c r="R154" s="27"/>
      <c r="S154" s="27"/>
      <c r="T154" s="27"/>
    </row>
    <row r="155" ht="17.25" customHeight="1">
      <c r="A155" s="24"/>
      <c r="B155" s="23" t="s">
        <v>766</v>
      </c>
      <c r="C155" s="23" t="s">
        <v>641</v>
      </c>
      <c r="D155" s="23" t="s">
        <v>36</v>
      </c>
      <c r="E155" s="23" t="s">
        <v>36</v>
      </c>
      <c r="F155" s="24"/>
      <c r="G155" s="24"/>
      <c r="H155" s="26" t="s">
        <v>781</v>
      </c>
      <c r="I155" s="26" t="s">
        <v>782</v>
      </c>
      <c r="J155" s="24"/>
      <c r="K155" s="24"/>
      <c r="L155" s="27"/>
      <c r="M155" s="27"/>
      <c r="N155" s="27"/>
      <c r="O155" s="27"/>
      <c r="P155" s="27"/>
      <c r="Q155" s="27"/>
      <c r="R155" s="27"/>
      <c r="S155" s="27"/>
    </row>
    <row r="156" ht="17.25" customHeight="1">
      <c r="A156" s="24"/>
      <c r="B156" s="23" t="s">
        <v>20</v>
      </c>
      <c r="C156" s="23" t="s">
        <v>783</v>
      </c>
      <c r="D156" s="23" t="s">
        <v>36</v>
      </c>
      <c r="E156" s="23" t="s">
        <v>36</v>
      </c>
      <c r="F156" s="24"/>
      <c r="G156" s="24"/>
      <c r="H156" s="26" t="s">
        <v>784</v>
      </c>
      <c r="I156" s="26" t="s">
        <v>785</v>
      </c>
      <c r="J156" s="24"/>
      <c r="K156" s="24"/>
      <c r="L156" s="27"/>
      <c r="M156" s="27"/>
      <c r="N156" s="27"/>
      <c r="O156" s="27"/>
      <c r="P156" s="27"/>
      <c r="Q156" s="27"/>
      <c r="R156" s="27"/>
      <c r="S156" s="27"/>
    </row>
    <row r="157" ht="17.25" customHeight="1">
      <c r="A157" s="24"/>
      <c r="B157" s="23" t="s">
        <v>20</v>
      </c>
      <c r="C157" s="28" t="s">
        <v>786</v>
      </c>
      <c r="D157" s="23" t="s">
        <v>36</v>
      </c>
      <c r="E157" s="23" t="s">
        <v>36</v>
      </c>
      <c r="F157" s="23" t="s">
        <v>787</v>
      </c>
      <c r="G157" s="24"/>
      <c r="H157" s="26" t="s">
        <v>788</v>
      </c>
      <c r="I157" s="39" t="s">
        <v>789</v>
      </c>
      <c r="J157" s="24"/>
      <c r="K157" s="24"/>
      <c r="L157" s="27"/>
      <c r="M157" s="27"/>
      <c r="N157" s="27"/>
      <c r="O157" s="27"/>
      <c r="P157" s="27"/>
      <c r="Q157" s="27"/>
      <c r="R157" s="27"/>
      <c r="S157" s="27"/>
    </row>
    <row r="158" ht="17.25" customHeight="1">
      <c r="A158" s="24"/>
      <c r="B158" s="23" t="s">
        <v>20</v>
      </c>
      <c r="C158" s="28" t="s">
        <v>790</v>
      </c>
      <c r="D158" s="23" t="s">
        <v>36</v>
      </c>
      <c r="E158" s="23" t="s">
        <v>36</v>
      </c>
      <c r="F158" s="24"/>
      <c r="G158" s="24"/>
      <c r="H158" s="26" t="s">
        <v>791</v>
      </c>
      <c r="I158" s="24"/>
      <c r="J158" s="24"/>
      <c r="K158" s="24"/>
      <c r="L158" s="27"/>
      <c r="M158" s="27"/>
      <c r="N158" s="27"/>
      <c r="O158" s="27"/>
      <c r="P158" s="27"/>
      <c r="Q158" s="27"/>
      <c r="R158" s="27"/>
      <c r="S158" s="27"/>
    </row>
    <row r="159" ht="17.25" customHeight="1">
      <c r="A159" s="24"/>
      <c r="B159" s="23" t="s">
        <v>20</v>
      </c>
      <c r="C159" s="28" t="s">
        <v>792</v>
      </c>
      <c r="D159" s="23" t="s">
        <v>36</v>
      </c>
      <c r="E159" s="23" t="s">
        <v>36</v>
      </c>
      <c r="F159" s="24"/>
      <c r="G159" s="24"/>
      <c r="H159" s="26" t="s">
        <v>793</v>
      </c>
      <c r="I159" s="24"/>
      <c r="J159" s="24"/>
      <c r="K159" s="24"/>
      <c r="L159" s="27"/>
      <c r="M159" s="27"/>
      <c r="N159" s="27"/>
      <c r="O159" s="27"/>
      <c r="P159" s="27"/>
      <c r="Q159" s="27"/>
      <c r="R159" s="27"/>
      <c r="S159" s="27"/>
    </row>
    <row r="160" ht="17.25" customHeight="1">
      <c r="A160" s="24"/>
      <c r="B160" s="23" t="s">
        <v>20</v>
      </c>
      <c r="C160" s="28" t="s">
        <v>794</v>
      </c>
      <c r="D160" s="23" t="s">
        <v>36</v>
      </c>
      <c r="E160" s="23" t="s">
        <v>36</v>
      </c>
      <c r="F160" s="24"/>
      <c r="G160" s="24"/>
      <c r="H160" s="26" t="s">
        <v>795</v>
      </c>
      <c r="I160" s="26" t="s">
        <v>796</v>
      </c>
      <c r="J160" s="24"/>
      <c r="K160" s="24"/>
      <c r="L160" s="27"/>
      <c r="M160" s="27"/>
      <c r="N160" s="27"/>
      <c r="O160" s="27"/>
      <c r="P160" s="27"/>
      <c r="Q160" s="27"/>
      <c r="R160" s="27"/>
      <c r="S160" s="27"/>
    </row>
    <row r="161" ht="17.25" customHeight="1">
      <c r="A161" s="24"/>
      <c r="B161" s="23" t="s">
        <v>20</v>
      </c>
      <c r="C161" s="28" t="s">
        <v>797</v>
      </c>
      <c r="D161" s="23" t="s">
        <v>36</v>
      </c>
      <c r="E161" s="23" t="s">
        <v>36</v>
      </c>
      <c r="F161" s="23" t="s">
        <v>798</v>
      </c>
      <c r="G161" s="24"/>
      <c r="H161" s="26" t="s">
        <v>799</v>
      </c>
      <c r="I161" s="24"/>
      <c r="J161" s="24"/>
      <c r="K161" s="24"/>
      <c r="L161" s="27"/>
      <c r="M161" s="27"/>
      <c r="N161" s="27"/>
      <c r="O161" s="27"/>
      <c r="P161" s="27"/>
      <c r="Q161" s="27"/>
      <c r="R161" s="27"/>
      <c r="S161" s="27"/>
    </row>
    <row r="162" ht="17.25" customHeight="1">
      <c r="A162" s="24"/>
      <c r="B162" s="23" t="s">
        <v>720</v>
      </c>
      <c r="C162" s="23" t="s">
        <v>800</v>
      </c>
      <c r="D162" s="23" t="s">
        <v>36</v>
      </c>
      <c r="E162" s="23" t="s">
        <v>36</v>
      </c>
      <c r="F162" s="24"/>
      <c r="G162" s="24"/>
      <c r="H162" s="26" t="s">
        <v>801</v>
      </c>
      <c r="I162" s="24"/>
      <c r="J162" s="24"/>
      <c r="K162" s="24"/>
      <c r="L162" s="27"/>
      <c r="M162" s="27"/>
      <c r="N162" s="27"/>
      <c r="O162" s="27"/>
      <c r="P162" s="27"/>
      <c r="Q162" s="27"/>
      <c r="R162" s="27"/>
      <c r="S162" s="27"/>
    </row>
    <row r="163" ht="17.25" customHeight="1">
      <c r="A163" s="24"/>
      <c r="B163" s="23" t="s">
        <v>20</v>
      </c>
      <c r="C163" s="23" t="s">
        <v>802</v>
      </c>
      <c r="D163" s="23" t="s">
        <v>36</v>
      </c>
      <c r="E163" s="23" t="s">
        <v>36</v>
      </c>
      <c r="F163" s="24"/>
      <c r="G163" s="24"/>
      <c r="H163" s="26" t="s">
        <v>803</v>
      </c>
      <c r="I163" s="24"/>
      <c r="J163" s="24"/>
      <c r="K163" s="24"/>
      <c r="L163" s="27"/>
      <c r="M163" s="27"/>
      <c r="N163" s="27"/>
      <c r="O163" s="27"/>
      <c r="P163" s="27"/>
      <c r="Q163" s="27"/>
      <c r="R163" s="27"/>
      <c r="S163" s="27"/>
    </row>
    <row r="164" ht="17.25" customHeight="1">
      <c r="A164" s="24"/>
      <c r="B164" s="23" t="s">
        <v>20</v>
      </c>
      <c r="C164" s="23" t="s">
        <v>804</v>
      </c>
      <c r="D164" s="23" t="s">
        <v>36</v>
      </c>
      <c r="E164" s="23" t="s">
        <v>36</v>
      </c>
      <c r="F164" s="24"/>
      <c r="G164" s="24"/>
      <c r="H164" s="26" t="s">
        <v>805</v>
      </c>
      <c r="I164" s="24"/>
      <c r="J164" s="24"/>
      <c r="K164" s="24"/>
      <c r="L164" s="27"/>
      <c r="M164" s="27"/>
      <c r="N164" s="27"/>
      <c r="O164" s="27"/>
      <c r="P164" s="27"/>
      <c r="Q164" s="27"/>
      <c r="R164" s="27"/>
      <c r="S164" s="27"/>
    </row>
    <row r="165" ht="17.25" customHeight="1">
      <c r="A165" s="24"/>
      <c r="B165" s="23" t="s">
        <v>20</v>
      </c>
      <c r="C165" s="23" t="s">
        <v>806</v>
      </c>
      <c r="D165" s="23" t="s">
        <v>36</v>
      </c>
      <c r="E165" s="23" t="s">
        <v>36</v>
      </c>
      <c r="F165" s="24"/>
      <c r="G165" s="24"/>
      <c r="H165" s="26" t="s">
        <v>807</v>
      </c>
      <c r="I165" s="26" t="s">
        <v>808</v>
      </c>
      <c r="J165" s="24"/>
      <c r="K165" s="24"/>
      <c r="L165" s="27"/>
      <c r="M165" s="27"/>
      <c r="N165" s="27"/>
      <c r="O165" s="27"/>
      <c r="P165" s="27"/>
      <c r="Q165" s="27"/>
      <c r="R165" s="27"/>
      <c r="S165" s="27"/>
    </row>
    <row r="166" ht="17.25" customHeight="1">
      <c r="A166" s="24"/>
      <c r="B166" s="23" t="s">
        <v>20</v>
      </c>
      <c r="C166" s="23" t="s">
        <v>678</v>
      </c>
      <c r="D166" s="23" t="s">
        <v>36</v>
      </c>
      <c r="E166" s="23" t="s">
        <v>36</v>
      </c>
      <c r="F166" s="24"/>
      <c r="G166" s="24"/>
      <c r="H166" s="26" t="s">
        <v>809</v>
      </c>
      <c r="I166" s="24"/>
      <c r="J166" s="24"/>
      <c r="K166" s="24"/>
      <c r="L166" s="27"/>
      <c r="M166" s="27"/>
      <c r="N166" s="27"/>
      <c r="O166" s="27"/>
      <c r="P166" s="27"/>
      <c r="Q166" s="27"/>
      <c r="R166" s="27"/>
      <c r="S166" s="27"/>
    </row>
    <row r="167" ht="17.25" customHeight="1">
      <c r="A167" s="24"/>
      <c r="B167" s="23" t="s">
        <v>20</v>
      </c>
      <c r="C167" s="23" t="s">
        <v>810</v>
      </c>
      <c r="D167" s="23" t="s">
        <v>36</v>
      </c>
      <c r="E167" s="23" t="s">
        <v>36</v>
      </c>
      <c r="F167" s="24"/>
      <c r="G167" s="24"/>
      <c r="H167" s="26" t="s">
        <v>811</v>
      </c>
      <c r="I167" s="26" t="s">
        <v>812</v>
      </c>
      <c r="J167" s="24"/>
      <c r="K167" s="24"/>
      <c r="L167" s="27"/>
      <c r="M167" s="27"/>
      <c r="N167" s="27"/>
      <c r="O167" s="27"/>
      <c r="P167" s="27"/>
      <c r="Q167" s="27"/>
      <c r="R167" s="27"/>
      <c r="S167" s="27"/>
    </row>
    <row r="168" ht="17.25" customHeight="1">
      <c r="A168" s="24"/>
      <c r="B168" s="23" t="s">
        <v>20</v>
      </c>
      <c r="C168" s="23" t="s">
        <v>813</v>
      </c>
      <c r="D168" s="23" t="s">
        <v>36</v>
      </c>
      <c r="E168" s="23" t="s">
        <v>36</v>
      </c>
      <c r="F168" s="24"/>
      <c r="G168" s="24"/>
      <c r="H168" s="26" t="s">
        <v>814</v>
      </c>
      <c r="I168" s="24"/>
      <c r="J168" s="24"/>
      <c r="K168" s="24"/>
      <c r="L168" s="27"/>
      <c r="M168" s="27"/>
      <c r="N168" s="27"/>
      <c r="O168" s="27"/>
      <c r="P168" s="27"/>
      <c r="Q168" s="27"/>
      <c r="R168" s="27"/>
      <c r="S168" s="27"/>
    </row>
    <row r="169" ht="17.25" customHeight="1">
      <c r="A169" s="24"/>
      <c r="B169" s="23" t="s">
        <v>20</v>
      </c>
      <c r="C169" s="28" t="s">
        <v>815</v>
      </c>
      <c r="D169" s="23" t="s">
        <v>36</v>
      </c>
      <c r="E169" s="23" t="s">
        <v>36</v>
      </c>
      <c r="F169" s="24"/>
      <c r="G169" s="24"/>
      <c r="H169" s="26" t="s">
        <v>816</v>
      </c>
      <c r="I169" s="24"/>
      <c r="J169" s="24"/>
      <c r="K169" s="24"/>
      <c r="L169" s="27"/>
      <c r="M169" s="27"/>
      <c r="N169" s="27"/>
      <c r="O169" s="27"/>
      <c r="P169" s="27"/>
      <c r="Q169" s="27"/>
      <c r="R169" s="27"/>
      <c r="S169" s="27"/>
    </row>
    <row r="170" ht="17.25" customHeight="1">
      <c r="A170" s="24"/>
      <c r="B170" s="23" t="s">
        <v>20</v>
      </c>
      <c r="C170" s="28" t="s">
        <v>817</v>
      </c>
      <c r="D170" s="23" t="s">
        <v>36</v>
      </c>
      <c r="E170" s="23" t="s">
        <v>36</v>
      </c>
      <c r="F170" s="24"/>
      <c r="G170" s="24"/>
      <c r="H170" s="26" t="s">
        <v>818</v>
      </c>
      <c r="I170" s="24"/>
      <c r="J170" s="24"/>
      <c r="K170" s="24"/>
      <c r="L170" s="27"/>
      <c r="M170" s="27"/>
      <c r="N170" s="27"/>
      <c r="O170" s="27"/>
      <c r="P170" s="27"/>
      <c r="Q170" s="27"/>
      <c r="R170" s="27"/>
      <c r="S170" s="27"/>
    </row>
    <row r="171" ht="17.25" customHeight="1">
      <c r="A171" s="24"/>
      <c r="B171" s="23" t="s">
        <v>766</v>
      </c>
      <c r="C171" s="23" t="s">
        <v>641</v>
      </c>
      <c r="D171" s="23" t="s">
        <v>36</v>
      </c>
      <c r="E171" s="23" t="s">
        <v>36</v>
      </c>
      <c r="F171" s="23" t="s">
        <v>819</v>
      </c>
      <c r="G171" s="24"/>
      <c r="H171" s="26" t="s">
        <v>820</v>
      </c>
      <c r="I171" s="26" t="s">
        <v>821</v>
      </c>
      <c r="J171" s="24"/>
      <c r="K171" s="24"/>
      <c r="L171" s="27"/>
      <c r="M171" s="27"/>
      <c r="N171" s="27"/>
      <c r="O171" s="27"/>
      <c r="P171" s="27"/>
      <c r="Q171" s="27"/>
      <c r="R171" s="27"/>
      <c r="S171" s="27"/>
    </row>
    <row r="172" ht="17.25" customHeight="1">
      <c r="A172" s="24"/>
      <c r="B172" s="23" t="s">
        <v>20</v>
      </c>
      <c r="C172" s="23" t="s">
        <v>822</v>
      </c>
      <c r="D172" s="23" t="s">
        <v>36</v>
      </c>
      <c r="E172" s="23" t="s">
        <v>36</v>
      </c>
      <c r="F172" s="24"/>
      <c r="G172" s="24"/>
      <c r="H172" s="26" t="s">
        <v>823</v>
      </c>
      <c r="I172" s="26" t="s">
        <v>824</v>
      </c>
      <c r="J172" s="24"/>
      <c r="K172" s="24"/>
      <c r="L172" s="27"/>
      <c r="M172" s="27"/>
      <c r="N172" s="27"/>
      <c r="O172" s="27"/>
      <c r="P172" s="27"/>
      <c r="Q172" s="27"/>
      <c r="R172" s="27"/>
      <c r="S172" s="27"/>
    </row>
    <row r="173" ht="17.25" customHeight="1">
      <c r="A173" s="24"/>
      <c r="B173" s="23" t="s">
        <v>20</v>
      </c>
      <c r="C173" s="23" t="s">
        <v>825</v>
      </c>
      <c r="D173" s="23" t="s">
        <v>36</v>
      </c>
      <c r="E173" s="23" t="s">
        <v>36</v>
      </c>
      <c r="F173" s="24"/>
      <c r="G173" s="24"/>
      <c r="H173" s="26" t="s">
        <v>826</v>
      </c>
      <c r="I173" s="26" t="s">
        <v>827</v>
      </c>
      <c r="J173" s="24"/>
      <c r="K173" s="24"/>
      <c r="L173" s="27"/>
      <c r="M173" s="27"/>
      <c r="N173" s="27"/>
      <c r="O173" s="27"/>
      <c r="P173" s="27"/>
      <c r="Q173" s="27"/>
      <c r="R173" s="27"/>
      <c r="S173" s="27"/>
    </row>
    <row r="174" ht="17.25" customHeight="1">
      <c r="A174" s="24"/>
      <c r="B174" s="23" t="s">
        <v>20</v>
      </c>
      <c r="C174" s="23" t="s">
        <v>828</v>
      </c>
      <c r="D174" s="23" t="s">
        <v>36</v>
      </c>
      <c r="E174" s="23" t="s">
        <v>36</v>
      </c>
      <c r="F174" s="24"/>
      <c r="G174" s="24"/>
      <c r="H174" s="26" t="s">
        <v>829</v>
      </c>
      <c r="I174" s="26" t="s">
        <v>830</v>
      </c>
      <c r="J174" s="24"/>
      <c r="K174" s="24"/>
      <c r="L174" s="27"/>
      <c r="M174" s="27"/>
      <c r="N174" s="27"/>
      <c r="O174" s="27"/>
      <c r="P174" s="27"/>
      <c r="Q174" s="27"/>
      <c r="R174" s="27"/>
      <c r="S174" s="27"/>
    </row>
    <row r="175" ht="17.25" customHeight="1">
      <c r="A175" s="24"/>
      <c r="B175" s="23" t="s">
        <v>20</v>
      </c>
      <c r="C175" s="23" t="s">
        <v>641</v>
      </c>
      <c r="D175" s="23" t="s">
        <v>36</v>
      </c>
      <c r="E175" s="23" t="s">
        <v>36</v>
      </c>
      <c r="F175" s="24"/>
      <c r="G175" s="24"/>
      <c r="H175" s="26" t="s">
        <v>831</v>
      </c>
      <c r="I175" s="24"/>
      <c r="J175" s="24"/>
      <c r="K175" s="24"/>
      <c r="L175" s="27"/>
      <c r="M175" s="27"/>
      <c r="N175" s="27"/>
      <c r="O175" s="27"/>
      <c r="P175" s="27"/>
      <c r="Q175" s="27"/>
      <c r="R175" s="27"/>
      <c r="S175" s="27"/>
    </row>
    <row r="176" ht="17.25" customHeight="1">
      <c r="A176" s="24"/>
      <c r="B176" s="23" t="s">
        <v>20</v>
      </c>
      <c r="C176" s="28" t="s">
        <v>832</v>
      </c>
      <c r="D176" s="23" t="s">
        <v>36</v>
      </c>
      <c r="E176" s="23" t="s">
        <v>36</v>
      </c>
      <c r="F176" s="24"/>
      <c r="G176" s="24"/>
      <c r="H176" s="26" t="s">
        <v>833</v>
      </c>
      <c r="I176" s="24"/>
      <c r="J176" s="24"/>
      <c r="K176" s="26" t="s">
        <v>834</v>
      </c>
      <c r="L176" s="27"/>
      <c r="M176" s="27"/>
      <c r="N176" s="27"/>
      <c r="O176" s="27"/>
      <c r="P176" s="27"/>
      <c r="Q176" s="27"/>
      <c r="R176" s="27"/>
      <c r="S176" s="27"/>
    </row>
    <row r="177" ht="17.25" customHeight="1">
      <c r="A177" s="24"/>
      <c r="B177" s="23" t="s">
        <v>20</v>
      </c>
      <c r="C177" s="28" t="s">
        <v>835</v>
      </c>
      <c r="D177" s="23" t="s">
        <v>36</v>
      </c>
      <c r="E177" s="23" t="s">
        <v>36</v>
      </c>
      <c r="F177" s="24"/>
      <c r="G177" s="24"/>
      <c r="H177" s="26" t="s">
        <v>836</v>
      </c>
      <c r="I177" s="24"/>
      <c r="J177" s="24"/>
      <c r="K177" s="24"/>
      <c r="L177" s="27"/>
      <c r="M177" s="27"/>
      <c r="N177" s="27"/>
      <c r="O177" s="27"/>
      <c r="P177" s="27"/>
      <c r="Q177" s="27"/>
      <c r="R177" s="27"/>
      <c r="S177" s="27"/>
    </row>
    <row r="178" ht="17.25" customHeight="1">
      <c r="A178" s="24"/>
      <c r="B178" s="23" t="s">
        <v>20</v>
      </c>
      <c r="C178" s="28" t="s">
        <v>837</v>
      </c>
      <c r="D178" s="23" t="s">
        <v>36</v>
      </c>
      <c r="E178" s="23" t="s">
        <v>36</v>
      </c>
      <c r="F178" s="23" t="s">
        <v>838</v>
      </c>
      <c r="G178" s="24"/>
      <c r="H178" s="26" t="s">
        <v>839</v>
      </c>
      <c r="I178" s="26" t="s">
        <v>840</v>
      </c>
      <c r="J178" s="24"/>
      <c r="K178" s="24"/>
      <c r="L178" s="27"/>
      <c r="M178" s="27"/>
      <c r="N178" s="27"/>
      <c r="O178" s="27"/>
      <c r="P178" s="27"/>
      <c r="Q178" s="27"/>
      <c r="R178" s="27"/>
      <c r="S178" s="27"/>
    </row>
    <row r="179" ht="17.25" customHeight="1">
      <c r="A179" s="24"/>
      <c r="B179" s="23" t="s">
        <v>20</v>
      </c>
      <c r="C179" s="23" t="s">
        <v>841</v>
      </c>
      <c r="D179" s="23" t="s">
        <v>36</v>
      </c>
      <c r="E179" s="23" t="s">
        <v>36</v>
      </c>
      <c r="F179" s="24"/>
      <c r="G179" s="24"/>
      <c r="H179" s="26" t="s">
        <v>842</v>
      </c>
      <c r="I179" s="24"/>
      <c r="J179" s="33" t="s">
        <v>843</v>
      </c>
      <c r="K179" s="24"/>
      <c r="L179" s="27"/>
      <c r="M179" s="27"/>
      <c r="N179" s="27"/>
      <c r="O179" s="27"/>
      <c r="P179" s="27"/>
      <c r="Q179" s="27"/>
      <c r="R179" s="27"/>
      <c r="S179" s="27"/>
    </row>
    <row r="180" ht="17.25" customHeight="1">
      <c r="A180" s="24"/>
      <c r="B180" s="23" t="s">
        <v>20</v>
      </c>
      <c r="C180" s="23" t="s">
        <v>844</v>
      </c>
      <c r="D180" s="23" t="s">
        <v>36</v>
      </c>
      <c r="E180" s="23" t="s">
        <v>36</v>
      </c>
      <c r="F180" s="24"/>
      <c r="G180" s="24"/>
      <c r="H180" s="26" t="s">
        <v>845</v>
      </c>
      <c r="I180" s="26" t="s">
        <v>846</v>
      </c>
      <c r="J180" s="24"/>
      <c r="K180" s="24"/>
      <c r="L180" s="27"/>
      <c r="M180" s="27"/>
      <c r="N180" s="27"/>
      <c r="O180" s="27"/>
      <c r="P180" s="27"/>
      <c r="Q180" s="27"/>
      <c r="R180" s="27"/>
      <c r="S180" s="27"/>
    </row>
    <row r="181" ht="17.25" customHeight="1">
      <c r="A181" s="24"/>
      <c r="B181" s="23" t="s">
        <v>20</v>
      </c>
      <c r="C181" s="28" t="s">
        <v>847</v>
      </c>
      <c r="D181" s="23" t="s">
        <v>36</v>
      </c>
      <c r="E181" s="23" t="s">
        <v>36</v>
      </c>
      <c r="F181" s="24"/>
      <c r="G181" s="24"/>
      <c r="H181" s="26" t="s">
        <v>848</v>
      </c>
      <c r="I181" s="26" t="s">
        <v>849</v>
      </c>
      <c r="J181" s="24"/>
      <c r="K181" s="24"/>
      <c r="L181" s="27"/>
      <c r="M181" s="27"/>
      <c r="N181" s="27"/>
      <c r="O181" s="27"/>
      <c r="P181" s="27"/>
      <c r="Q181" s="27"/>
      <c r="R181" s="27"/>
      <c r="S181" s="27"/>
    </row>
    <row r="182" ht="17.25" customHeight="1">
      <c r="A182" s="24"/>
      <c r="B182" s="23" t="s">
        <v>20</v>
      </c>
      <c r="C182" s="23" t="s">
        <v>850</v>
      </c>
      <c r="D182" s="23" t="s">
        <v>36</v>
      </c>
      <c r="E182" s="23" t="s">
        <v>36</v>
      </c>
      <c r="F182" s="24"/>
      <c r="G182" s="24"/>
      <c r="H182" s="24"/>
      <c r="I182" s="24"/>
      <c r="J182" s="26" t="s">
        <v>851</v>
      </c>
      <c r="K182" s="24"/>
      <c r="L182" s="27"/>
      <c r="M182" s="27"/>
      <c r="N182" s="27"/>
      <c r="O182" s="27"/>
      <c r="P182" s="27"/>
      <c r="Q182" s="27"/>
      <c r="R182" s="27"/>
      <c r="S182" s="27"/>
    </row>
    <row r="183" ht="17.25" customHeight="1">
      <c r="A183" s="24"/>
      <c r="B183" s="23" t="s">
        <v>20</v>
      </c>
      <c r="C183" s="23" t="s">
        <v>852</v>
      </c>
      <c r="D183" s="23" t="s">
        <v>36</v>
      </c>
      <c r="E183" s="23" t="s">
        <v>36</v>
      </c>
      <c r="F183" s="24"/>
      <c r="G183" s="24"/>
      <c r="H183" s="26" t="s">
        <v>853</v>
      </c>
      <c r="I183" s="26" t="s">
        <v>854</v>
      </c>
      <c r="J183" s="24"/>
      <c r="K183" s="24"/>
      <c r="L183" s="27"/>
      <c r="M183" s="27"/>
      <c r="N183" s="27"/>
      <c r="O183" s="27"/>
      <c r="P183" s="27"/>
      <c r="Q183" s="27"/>
      <c r="R183" s="27"/>
      <c r="S183" s="27"/>
    </row>
    <row r="184" ht="17.25" customHeight="1">
      <c r="A184" s="24"/>
      <c r="B184" s="23" t="s">
        <v>20</v>
      </c>
      <c r="C184" s="28" t="s">
        <v>855</v>
      </c>
      <c r="D184" s="23" t="s">
        <v>36</v>
      </c>
      <c r="E184" s="23" t="s">
        <v>36</v>
      </c>
      <c r="F184" s="24"/>
      <c r="G184" s="24"/>
      <c r="H184" s="26" t="s">
        <v>692</v>
      </c>
      <c r="I184" s="26" t="s">
        <v>856</v>
      </c>
      <c r="J184" s="24"/>
      <c r="K184" s="24"/>
      <c r="L184" s="27"/>
      <c r="M184" s="27"/>
      <c r="N184" s="27"/>
      <c r="O184" s="27"/>
      <c r="P184" s="27"/>
      <c r="Q184" s="27"/>
      <c r="R184" s="27"/>
      <c r="S184" s="27"/>
    </row>
    <row r="185" ht="17.25" customHeight="1">
      <c r="A185" s="24"/>
      <c r="B185" s="23" t="s">
        <v>20</v>
      </c>
      <c r="C185" s="28" t="s">
        <v>857</v>
      </c>
      <c r="D185" s="23" t="s">
        <v>36</v>
      </c>
      <c r="E185" s="23" t="s">
        <v>36</v>
      </c>
      <c r="F185" s="24"/>
      <c r="G185" s="24"/>
      <c r="H185" s="26" t="s">
        <v>858</v>
      </c>
      <c r="I185" s="24"/>
      <c r="J185" s="24"/>
      <c r="K185" s="24"/>
      <c r="L185" s="27"/>
      <c r="M185" s="27"/>
      <c r="N185" s="27"/>
      <c r="O185" s="27"/>
      <c r="P185" s="27"/>
      <c r="Q185" s="27"/>
      <c r="R185" s="27"/>
      <c r="S185" s="27"/>
    </row>
    <row r="186" ht="17.25" customHeight="1">
      <c r="A186" s="24"/>
      <c r="B186" s="23" t="s">
        <v>20</v>
      </c>
      <c r="C186" s="23" t="s">
        <v>841</v>
      </c>
      <c r="D186" s="23" t="s">
        <v>36</v>
      </c>
      <c r="E186" s="23" t="s">
        <v>36</v>
      </c>
      <c r="F186" s="23" t="s">
        <v>859</v>
      </c>
      <c r="G186" s="24"/>
      <c r="H186" s="26" t="s">
        <v>860</v>
      </c>
      <c r="I186" s="26" t="s">
        <v>861</v>
      </c>
      <c r="J186" s="24"/>
      <c r="K186" s="24"/>
      <c r="L186" s="27"/>
      <c r="M186" s="27"/>
      <c r="N186" s="27"/>
      <c r="O186" s="27"/>
      <c r="P186" s="27"/>
      <c r="Q186" s="27"/>
      <c r="R186" s="27"/>
      <c r="S186" s="27"/>
    </row>
    <row r="187" ht="17.25" customHeight="1">
      <c r="A187" s="24"/>
      <c r="B187" s="23" t="s">
        <v>20</v>
      </c>
      <c r="C187" s="28" t="s">
        <v>862</v>
      </c>
      <c r="D187" s="23" t="s">
        <v>36</v>
      </c>
      <c r="E187" s="23" t="s">
        <v>36</v>
      </c>
      <c r="F187" s="24"/>
      <c r="G187" s="24"/>
      <c r="H187" s="26" t="s">
        <v>863</v>
      </c>
      <c r="I187" s="26" t="s">
        <v>864</v>
      </c>
      <c r="J187" s="24"/>
      <c r="K187" s="24"/>
      <c r="L187" s="27"/>
      <c r="M187" s="27"/>
      <c r="N187" s="27"/>
      <c r="O187" s="27"/>
      <c r="P187" s="27"/>
      <c r="Q187" s="27"/>
      <c r="R187" s="27"/>
      <c r="S187" s="27"/>
    </row>
    <row r="188" ht="17.25" customHeight="1">
      <c r="A188" s="24"/>
      <c r="B188" s="23" t="s">
        <v>20</v>
      </c>
      <c r="C188" s="23" t="s">
        <v>865</v>
      </c>
      <c r="D188" s="23" t="s">
        <v>36</v>
      </c>
      <c r="E188" s="23" t="s">
        <v>36</v>
      </c>
      <c r="F188" s="24"/>
      <c r="G188" s="24"/>
      <c r="H188" s="26" t="s">
        <v>866</v>
      </c>
      <c r="I188" s="24"/>
      <c r="J188" s="24"/>
      <c r="K188" s="24"/>
      <c r="L188" s="27"/>
      <c r="M188" s="27"/>
      <c r="N188" s="27"/>
      <c r="O188" s="27"/>
      <c r="P188" s="27"/>
      <c r="Q188" s="27"/>
      <c r="R188" s="27"/>
      <c r="S188" s="27"/>
    </row>
    <row r="189" ht="17.25" customHeight="1">
      <c r="A189" s="24"/>
      <c r="B189" s="23" t="s">
        <v>20</v>
      </c>
      <c r="C189" s="28" t="s">
        <v>867</v>
      </c>
      <c r="D189" s="23" t="s">
        <v>36</v>
      </c>
      <c r="E189" s="23" t="s">
        <v>36</v>
      </c>
      <c r="F189" s="24"/>
      <c r="G189" s="24"/>
      <c r="H189" s="26" t="s">
        <v>868</v>
      </c>
      <c r="I189" s="24"/>
      <c r="J189" s="24"/>
      <c r="K189" s="24"/>
      <c r="L189" s="27"/>
      <c r="M189" s="27"/>
      <c r="N189" s="27"/>
      <c r="O189" s="27"/>
      <c r="P189" s="27"/>
      <c r="Q189" s="27"/>
      <c r="R189" s="27"/>
      <c r="S189" s="27"/>
    </row>
    <row r="190" ht="17.25" customHeight="1">
      <c r="A190" s="24"/>
      <c r="B190" s="23" t="s">
        <v>20</v>
      </c>
      <c r="C190" s="28" t="s">
        <v>869</v>
      </c>
      <c r="D190" s="23" t="s">
        <v>36</v>
      </c>
      <c r="E190" s="23" t="s">
        <v>36</v>
      </c>
      <c r="F190" s="24"/>
      <c r="G190" s="24"/>
      <c r="H190" s="26" t="s">
        <v>870</v>
      </c>
      <c r="I190" s="24"/>
      <c r="J190" s="24"/>
      <c r="K190" s="24"/>
      <c r="L190" s="27"/>
      <c r="M190" s="27"/>
      <c r="N190" s="27"/>
      <c r="O190" s="27"/>
      <c r="P190" s="27"/>
      <c r="Q190" s="27"/>
      <c r="R190" s="27"/>
      <c r="S190" s="27"/>
    </row>
    <row r="191" ht="17.25" customHeight="1">
      <c r="A191" s="24"/>
      <c r="B191" s="23" t="s">
        <v>20</v>
      </c>
      <c r="C191" s="28" t="s">
        <v>871</v>
      </c>
      <c r="D191" s="23" t="s">
        <v>36</v>
      </c>
      <c r="E191" s="23" t="s">
        <v>36</v>
      </c>
      <c r="F191" s="23" t="s">
        <v>872</v>
      </c>
      <c r="G191" s="24"/>
      <c r="H191" s="26" t="s">
        <v>873</v>
      </c>
      <c r="I191" s="24"/>
      <c r="J191" s="24"/>
      <c r="K191" s="24"/>
      <c r="L191" s="27"/>
      <c r="M191" s="27"/>
      <c r="N191" s="27"/>
      <c r="O191" s="27"/>
      <c r="P191" s="27"/>
      <c r="Q191" s="27"/>
      <c r="R191" s="27"/>
      <c r="S191" s="27"/>
    </row>
    <row r="192" ht="17.25" customHeight="1">
      <c r="A192" s="24"/>
      <c r="B192" s="23" t="s">
        <v>20</v>
      </c>
      <c r="C192" s="23" t="s">
        <v>874</v>
      </c>
      <c r="D192" s="23" t="s">
        <v>36</v>
      </c>
      <c r="E192" s="23" t="s">
        <v>36</v>
      </c>
      <c r="F192" s="24"/>
      <c r="G192" s="24"/>
      <c r="H192" s="26" t="s">
        <v>875</v>
      </c>
      <c r="I192" s="24"/>
      <c r="J192" s="24"/>
      <c r="K192" s="24"/>
      <c r="L192" s="27"/>
      <c r="M192" s="27"/>
      <c r="N192" s="27"/>
      <c r="O192" s="27"/>
      <c r="P192" s="27"/>
      <c r="Q192" s="27"/>
      <c r="R192" s="27"/>
      <c r="S192" s="27"/>
    </row>
    <row r="193" ht="17.25" customHeight="1">
      <c r="A193" s="24"/>
      <c r="B193" s="23" t="s">
        <v>20</v>
      </c>
      <c r="C193" s="23" t="s">
        <v>876</v>
      </c>
      <c r="D193" s="23" t="s">
        <v>36</v>
      </c>
      <c r="E193" s="23" t="s">
        <v>36</v>
      </c>
      <c r="F193" s="23" t="s">
        <v>877</v>
      </c>
      <c r="G193" s="24"/>
      <c r="H193" s="26" t="s">
        <v>878</v>
      </c>
      <c r="I193" s="26" t="s">
        <v>879</v>
      </c>
      <c r="J193" s="24"/>
      <c r="K193" s="24"/>
      <c r="L193" s="27"/>
      <c r="M193" s="27"/>
      <c r="N193" s="27"/>
      <c r="O193" s="27"/>
      <c r="P193" s="27"/>
      <c r="Q193" s="27"/>
      <c r="R193" s="27"/>
      <c r="S193" s="27"/>
    </row>
    <row r="194" ht="17.25" customHeight="1">
      <c r="A194" s="24"/>
      <c r="B194" s="23" t="s">
        <v>20</v>
      </c>
      <c r="C194" s="28" t="s">
        <v>880</v>
      </c>
      <c r="D194" s="23" t="s">
        <v>36</v>
      </c>
      <c r="E194" s="23" t="s">
        <v>36</v>
      </c>
      <c r="F194" s="24"/>
      <c r="G194" s="24"/>
      <c r="H194" s="26" t="s">
        <v>881</v>
      </c>
      <c r="I194" s="24"/>
      <c r="J194" s="24"/>
      <c r="K194" s="24"/>
      <c r="L194" s="27"/>
      <c r="M194" s="27"/>
      <c r="N194" s="27"/>
      <c r="O194" s="27"/>
      <c r="P194" s="27"/>
      <c r="Q194" s="27"/>
      <c r="R194" s="27"/>
      <c r="S194" s="27"/>
    </row>
    <row r="195" ht="17.25" customHeight="1">
      <c r="A195" s="24"/>
      <c r="B195" s="23" t="s">
        <v>20</v>
      </c>
      <c r="C195" s="23" t="s">
        <v>882</v>
      </c>
      <c r="D195" s="23" t="s">
        <v>36</v>
      </c>
      <c r="E195" s="23" t="s">
        <v>36</v>
      </c>
      <c r="F195" s="24"/>
      <c r="G195" s="24"/>
      <c r="H195" s="26" t="s">
        <v>883</v>
      </c>
      <c r="I195" s="26" t="s">
        <v>884</v>
      </c>
      <c r="J195" s="24"/>
      <c r="K195" s="24"/>
      <c r="L195" s="27"/>
      <c r="M195" s="27"/>
      <c r="N195" s="27"/>
      <c r="O195" s="27"/>
      <c r="P195" s="27"/>
      <c r="Q195" s="27"/>
      <c r="R195" s="27"/>
      <c r="S195" s="27"/>
    </row>
    <row r="196" ht="17.25" customHeight="1">
      <c r="A196" s="24"/>
      <c r="B196" s="23" t="s">
        <v>20</v>
      </c>
      <c r="C196" s="28" t="s">
        <v>885</v>
      </c>
      <c r="D196" s="23" t="s">
        <v>36</v>
      </c>
      <c r="E196" s="23" t="s">
        <v>36</v>
      </c>
      <c r="F196" s="24"/>
      <c r="G196" s="24"/>
      <c r="H196" s="26" t="s">
        <v>886</v>
      </c>
      <c r="I196" s="26" t="s">
        <v>887</v>
      </c>
      <c r="J196" s="24"/>
      <c r="K196" s="24"/>
      <c r="L196" s="27"/>
      <c r="M196" s="27"/>
      <c r="N196" s="27"/>
      <c r="O196" s="27"/>
      <c r="P196" s="27"/>
      <c r="Q196" s="27"/>
      <c r="R196" s="27"/>
      <c r="S196" s="27"/>
    </row>
    <row r="197" ht="17.25" customHeight="1">
      <c r="A197" s="24"/>
      <c r="B197" s="23" t="s">
        <v>20</v>
      </c>
      <c r="C197" s="23" t="s">
        <v>888</v>
      </c>
      <c r="D197" s="23" t="s">
        <v>36</v>
      </c>
      <c r="E197" s="23" t="s">
        <v>36</v>
      </c>
      <c r="F197" s="24"/>
      <c r="G197" s="24"/>
      <c r="H197" s="26" t="s">
        <v>889</v>
      </c>
      <c r="I197" s="24"/>
      <c r="J197" s="24"/>
      <c r="K197" s="24"/>
      <c r="L197" s="27"/>
      <c r="M197" s="27"/>
      <c r="N197" s="27"/>
      <c r="O197" s="27"/>
      <c r="P197" s="27"/>
      <c r="Q197" s="27"/>
      <c r="R197" s="27"/>
      <c r="S197" s="27"/>
    </row>
    <row r="198" ht="17.25" customHeight="1">
      <c r="A198" s="24"/>
      <c r="B198" s="23" t="s">
        <v>20</v>
      </c>
      <c r="C198" s="28" t="s">
        <v>890</v>
      </c>
      <c r="D198" s="23" t="s">
        <v>36</v>
      </c>
      <c r="E198" s="23" t="s">
        <v>36</v>
      </c>
      <c r="F198" s="24"/>
      <c r="G198" s="24"/>
      <c r="H198" s="26" t="s">
        <v>891</v>
      </c>
      <c r="I198" s="24"/>
      <c r="J198" s="24"/>
      <c r="K198" s="24"/>
      <c r="L198" s="27"/>
      <c r="M198" s="27"/>
      <c r="N198" s="27"/>
      <c r="O198" s="27"/>
      <c r="P198" s="27"/>
      <c r="Q198" s="27"/>
      <c r="R198" s="27"/>
      <c r="S198" s="27"/>
    </row>
    <row r="199" ht="17.25" customHeight="1">
      <c r="A199" s="24"/>
      <c r="B199" s="23" t="s">
        <v>20</v>
      </c>
      <c r="C199" s="28" t="s">
        <v>892</v>
      </c>
      <c r="D199" s="23" t="s">
        <v>36</v>
      </c>
      <c r="E199" s="23" t="s">
        <v>36</v>
      </c>
      <c r="F199" s="24"/>
      <c r="G199" s="24"/>
      <c r="H199" s="26" t="s">
        <v>893</v>
      </c>
      <c r="I199" s="26" t="s">
        <v>894</v>
      </c>
      <c r="J199" s="24"/>
      <c r="K199" s="24"/>
      <c r="L199" s="27"/>
      <c r="M199" s="27"/>
      <c r="N199" s="27"/>
      <c r="O199" s="27"/>
      <c r="P199" s="27"/>
      <c r="Q199" s="27"/>
      <c r="R199" s="27"/>
      <c r="S199" s="27"/>
    </row>
    <row r="200" ht="17.25" customHeight="1">
      <c r="A200" s="24"/>
      <c r="B200" s="23" t="s">
        <v>20</v>
      </c>
      <c r="C200" s="28" t="s">
        <v>895</v>
      </c>
      <c r="D200" s="23" t="s">
        <v>36</v>
      </c>
      <c r="E200" s="23" t="s">
        <v>36</v>
      </c>
      <c r="F200" s="24"/>
      <c r="G200" s="24"/>
      <c r="H200" s="24"/>
      <c r="I200" s="24"/>
      <c r="J200" s="26" t="s">
        <v>896</v>
      </c>
      <c r="K200" s="24"/>
      <c r="L200" s="27"/>
      <c r="M200" s="27"/>
      <c r="N200" s="27"/>
      <c r="O200" s="27"/>
      <c r="P200" s="27"/>
      <c r="Q200" s="27"/>
      <c r="R200" s="27"/>
      <c r="S200" s="27"/>
    </row>
    <row r="201" ht="17.25" customHeight="1">
      <c r="A201" s="24"/>
      <c r="B201" s="23" t="s">
        <v>20</v>
      </c>
      <c r="C201" s="23" t="s">
        <v>690</v>
      </c>
      <c r="D201" s="23" t="s">
        <v>36</v>
      </c>
      <c r="E201" s="23" t="s">
        <v>36</v>
      </c>
      <c r="F201" s="23" t="s">
        <v>447</v>
      </c>
      <c r="G201" s="24"/>
      <c r="H201" s="26" t="s">
        <v>897</v>
      </c>
      <c r="I201" s="26" t="s">
        <v>898</v>
      </c>
      <c r="J201" s="24"/>
      <c r="K201" s="24"/>
      <c r="L201" s="27"/>
      <c r="M201" s="27"/>
      <c r="N201" s="27"/>
      <c r="O201" s="27"/>
      <c r="P201" s="27"/>
      <c r="Q201" s="27"/>
      <c r="R201" s="27"/>
      <c r="S201" s="27"/>
    </row>
    <row r="202" ht="17.25" customHeight="1">
      <c r="A202" s="24"/>
      <c r="B202" s="23" t="s">
        <v>20</v>
      </c>
      <c r="C202" s="23" t="s">
        <v>899</v>
      </c>
      <c r="D202" s="23" t="s">
        <v>36</v>
      </c>
      <c r="E202" s="23" t="s">
        <v>36</v>
      </c>
      <c r="F202" s="24"/>
      <c r="G202" s="24"/>
      <c r="H202" s="26" t="s">
        <v>900</v>
      </c>
      <c r="I202" s="26" t="s">
        <v>901</v>
      </c>
      <c r="J202" s="24"/>
      <c r="K202" s="24"/>
      <c r="L202" s="27"/>
      <c r="M202" s="27"/>
      <c r="N202" s="27"/>
      <c r="O202" s="27"/>
      <c r="P202" s="27"/>
      <c r="Q202" s="27"/>
      <c r="R202" s="27"/>
      <c r="S202" s="27"/>
    </row>
    <row r="203" ht="17.25" customHeight="1">
      <c r="A203" s="24"/>
      <c r="B203" s="23" t="s">
        <v>20</v>
      </c>
      <c r="C203" s="23" t="s">
        <v>902</v>
      </c>
      <c r="D203" s="23" t="s">
        <v>36</v>
      </c>
      <c r="E203" s="23" t="s">
        <v>36</v>
      </c>
      <c r="F203" s="24"/>
      <c r="G203" s="24"/>
      <c r="H203" s="26" t="s">
        <v>903</v>
      </c>
      <c r="I203" s="26" t="s">
        <v>904</v>
      </c>
      <c r="J203" s="24"/>
      <c r="K203" s="24"/>
      <c r="L203" s="27"/>
      <c r="M203" s="27"/>
      <c r="N203" s="27"/>
      <c r="O203" s="27"/>
      <c r="P203" s="27"/>
      <c r="Q203" s="27"/>
      <c r="R203" s="27"/>
      <c r="S203" s="27"/>
    </row>
    <row r="204" ht="17.25" customHeight="1">
      <c r="A204" s="24"/>
      <c r="B204" s="23" t="s">
        <v>20</v>
      </c>
      <c r="C204" s="28" t="s">
        <v>905</v>
      </c>
      <c r="D204" s="23" t="s">
        <v>36</v>
      </c>
      <c r="E204" s="23" t="s">
        <v>36</v>
      </c>
      <c r="F204" s="24"/>
      <c r="G204" s="24"/>
      <c r="H204" s="26" t="s">
        <v>906</v>
      </c>
      <c r="I204" s="24"/>
      <c r="J204" s="24"/>
      <c r="K204" s="24"/>
      <c r="L204" s="29" t="s">
        <v>907</v>
      </c>
      <c r="M204" s="27"/>
      <c r="N204" s="27"/>
      <c r="O204" s="27"/>
      <c r="P204" s="27"/>
      <c r="Q204" s="27"/>
      <c r="R204" s="27"/>
      <c r="S204" s="27"/>
    </row>
    <row r="205" ht="17.25" customHeight="1">
      <c r="A205" s="24"/>
      <c r="B205" s="23" t="s">
        <v>276</v>
      </c>
      <c r="C205" s="23" t="s">
        <v>908</v>
      </c>
      <c r="D205" s="23" t="s">
        <v>36</v>
      </c>
      <c r="E205" s="23" t="s">
        <v>36</v>
      </c>
      <c r="F205" s="23"/>
      <c r="G205" s="24"/>
      <c r="H205" s="26" t="s">
        <v>909</v>
      </c>
      <c r="I205" s="24"/>
      <c r="J205" s="24"/>
      <c r="K205" s="24"/>
      <c r="L205" s="27"/>
      <c r="M205" s="27"/>
      <c r="N205" s="27"/>
      <c r="O205" s="27"/>
      <c r="P205" s="27"/>
      <c r="Q205" s="27"/>
      <c r="R205" s="27"/>
      <c r="S205" s="27"/>
    </row>
    <row r="206" ht="17.25" customHeight="1">
      <c r="A206" s="24"/>
      <c r="B206" s="23" t="s">
        <v>20</v>
      </c>
      <c r="C206" s="28" t="s">
        <v>910</v>
      </c>
      <c r="D206" s="23" t="s">
        <v>36</v>
      </c>
      <c r="E206" s="23" t="s">
        <v>36</v>
      </c>
      <c r="F206" s="24"/>
      <c r="G206" s="24"/>
      <c r="H206" s="26" t="s">
        <v>911</v>
      </c>
      <c r="I206" s="24"/>
      <c r="J206" s="24"/>
      <c r="K206" s="24"/>
      <c r="L206" s="27"/>
      <c r="M206" s="27"/>
      <c r="N206" s="27"/>
      <c r="O206" s="27"/>
      <c r="P206" s="27"/>
      <c r="Q206" s="27"/>
      <c r="R206" s="27"/>
      <c r="S206" s="27"/>
    </row>
    <row r="207" ht="17.25" customHeight="1">
      <c r="A207" s="24"/>
      <c r="B207" s="23" t="s">
        <v>20</v>
      </c>
      <c r="C207" s="28" t="s">
        <v>912</v>
      </c>
      <c r="D207" s="23" t="s">
        <v>36</v>
      </c>
      <c r="E207" s="23" t="s">
        <v>36</v>
      </c>
      <c r="F207" s="24"/>
      <c r="G207" s="24"/>
      <c r="H207" s="26" t="s">
        <v>913</v>
      </c>
      <c r="I207" s="24"/>
      <c r="J207" s="24"/>
      <c r="K207" s="24"/>
      <c r="L207" s="27"/>
      <c r="M207" s="27"/>
      <c r="N207" s="27"/>
      <c r="O207" s="27"/>
      <c r="P207" s="27"/>
      <c r="Q207" s="27"/>
      <c r="R207" s="27"/>
      <c r="S207" s="27"/>
    </row>
    <row r="208" ht="17.25" customHeight="1">
      <c r="A208" s="24"/>
      <c r="B208" s="23" t="s">
        <v>20</v>
      </c>
      <c r="C208" s="23" t="s">
        <v>914</v>
      </c>
      <c r="D208" s="23" t="s">
        <v>36</v>
      </c>
      <c r="E208" s="23" t="s">
        <v>36</v>
      </c>
      <c r="F208" s="24"/>
      <c r="G208" s="24"/>
      <c r="H208" s="26" t="s">
        <v>915</v>
      </c>
      <c r="I208" s="24"/>
      <c r="J208" s="24"/>
      <c r="K208" s="24"/>
      <c r="L208" s="27"/>
      <c r="M208" s="27"/>
      <c r="N208" s="27"/>
      <c r="O208" s="27"/>
      <c r="P208" s="27"/>
      <c r="Q208" s="27"/>
      <c r="R208" s="27"/>
      <c r="S208" s="27"/>
    </row>
    <row r="209" ht="17.25" customHeight="1">
      <c r="A209" s="24"/>
      <c r="B209" s="23" t="s">
        <v>20</v>
      </c>
      <c r="C209" s="28" t="s">
        <v>797</v>
      </c>
      <c r="D209" s="23" t="s">
        <v>36</v>
      </c>
      <c r="E209" s="23" t="s">
        <v>36</v>
      </c>
      <c r="F209" s="23" t="s">
        <v>859</v>
      </c>
      <c r="G209" s="24"/>
      <c r="H209" s="26" t="s">
        <v>916</v>
      </c>
      <c r="I209" s="24"/>
      <c r="J209" s="24"/>
      <c r="K209" s="24"/>
      <c r="L209" s="27"/>
      <c r="M209" s="27"/>
      <c r="N209" s="27"/>
      <c r="O209" s="27"/>
      <c r="P209" s="27"/>
      <c r="Q209" s="27"/>
      <c r="R209" s="27"/>
      <c r="S209" s="27"/>
    </row>
    <row r="210" ht="17.25" customHeight="1">
      <c r="A210" s="24"/>
      <c r="B210" s="23" t="s">
        <v>20</v>
      </c>
      <c r="C210" s="23" t="s">
        <v>917</v>
      </c>
      <c r="D210" s="23" t="s">
        <v>36</v>
      </c>
      <c r="E210" s="23" t="s">
        <v>36</v>
      </c>
      <c r="F210" s="24"/>
      <c r="G210" s="24"/>
      <c r="H210" s="26" t="s">
        <v>918</v>
      </c>
      <c r="I210" s="26" t="s">
        <v>919</v>
      </c>
      <c r="J210" s="24"/>
      <c r="K210" s="24"/>
      <c r="L210" s="27"/>
      <c r="M210" s="27"/>
      <c r="N210" s="27"/>
      <c r="O210" s="27"/>
      <c r="P210" s="27"/>
      <c r="Q210" s="27"/>
      <c r="R210" s="27"/>
      <c r="S210" s="27"/>
    </row>
    <row r="211" ht="17.25" customHeight="1">
      <c r="A211" s="24"/>
      <c r="B211" s="23" t="s">
        <v>20</v>
      </c>
      <c r="C211" s="23" t="s">
        <v>283</v>
      </c>
      <c r="D211" s="23" t="s">
        <v>36</v>
      </c>
      <c r="E211" s="23" t="s">
        <v>36</v>
      </c>
      <c r="F211" s="23"/>
      <c r="G211" s="24"/>
      <c r="H211" s="26" t="s">
        <v>920</v>
      </c>
      <c r="I211" s="26" t="s">
        <v>921</v>
      </c>
      <c r="J211" s="24"/>
      <c r="K211" s="24"/>
      <c r="L211" s="27"/>
      <c r="M211" s="27"/>
      <c r="N211" s="27"/>
      <c r="O211" s="27"/>
      <c r="P211" s="27"/>
      <c r="Q211" s="27"/>
      <c r="R211" s="27"/>
      <c r="S211" s="27"/>
    </row>
    <row r="212" ht="17.25" customHeight="1">
      <c r="A212" s="24"/>
      <c r="B212" s="23" t="s">
        <v>20</v>
      </c>
      <c r="C212" s="28" t="s">
        <v>922</v>
      </c>
      <c r="D212" s="23" t="s">
        <v>36</v>
      </c>
      <c r="E212" s="23" t="s">
        <v>36</v>
      </c>
      <c r="F212" s="24"/>
      <c r="G212" s="24"/>
      <c r="H212" s="26" t="s">
        <v>923</v>
      </c>
      <c r="I212" s="24"/>
      <c r="J212" s="24"/>
      <c r="K212" s="24"/>
      <c r="L212" s="27"/>
      <c r="M212" s="27"/>
      <c r="N212" s="27"/>
      <c r="O212" s="27"/>
      <c r="P212" s="27"/>
      <c r="Q212" s="27"/>
      <c r="R212" s="27"/>
      <c r="S212" s="27"/>
    </row>
    <row r="213" ht="17.25" customHeight="1">
      <c r="A213" s="24"/>
      <c r="B213" s="23" t="s">
        <v>276</v>
      </c>
      <c r="C213" s="23" t="s">
        <v>924</v>
      </c>
      <c r="D213" s="23" t="s">
        <v>36</v>
      </c>
      <c r="E213" s="23" t="s">
        <v>36</v>
      </c>
      <c r="F213" s="23"/>
      <c r="G213" s="24"/>
      <c r="H213" s="26" t="s">
        <v>925</v>
      </c>
      <c r="I213" s="26" t="s">
        <v>926</v>
      </c>
      <c r="J213" s="24"/>
      <c r="K213" s="24"/>
      <c r="L213" s="27"/>
      <c r="M213" s="27"/>
      <c r="N213" s="27"/>
      <c r="O213" s="27"/>
      <c r="P213" s="27"/>
      <c r="Q213" s="27"/>
      <c r="R213" s="27"/>
      <c r="S213" s="27"/>
    </row>
    <row r="214" ht="17.25" customHeight="1">
      <c r="A214" s="24"/>
      <c r="B214" s="23" t="s">
        <v>20</v>
      </c>
      <c r="C214" s="28" t="s">
        <v>927</v>
      </c>
      <c r="D214" s="23" t="s">
        <v>36</v>
      </c>
      <c r="E214" s="23" t="s">
        <v>36</v>
      </c>
      <c r="F214" s="24"/>
      <c r="G214" s="24"/>
      <c r="H214" s="26" t="s">
        <v>928</v>
      </c>
      <c r="I214" s="24"/>
      <c r="J214" s="24"/>
      <c r="K214" s="24"/>
      <c r="L214" s="27"/>
      <c r="M214" s="27"/>
      <c r="N214" s="27"/>
      <c r="O214" s="27"/>
      <c r="P214" s="27"/>
      <c r="Q214" s="27"/>
      <c r="R214" s="27"/>
      <c r="S214" s="27"/>
    </row>
    <row r="215" ht="17.25" customHeight="1">
      <c r="A215" s="24"/>
      <c r="B215" s="23" t="s">
        <v>20</v>
      </c>
      <c r="C215" s="23" t="s">
        <v>710</v>
      </c>
      <c r="D215" s="23" t="s">
        <v>36</v>
      </c>
      <c r="E215" s="23" t="s">
        <v>36</v>
      </c>
      <c r="F215" s="24"/>
      <c r="G215" s="24"/>
      <c r="H215" s="26" t="s">
        <v>929</v>
      </c>
      <c r="I215" s="24"/>
      <c r="J215" s="26" t="s">
        <v>930</v>
      </c>
      <c r="K215" s="24"/>
      <c r="L215" s="27"/>
      <c r="M215" s="27"/>
      <c r="N215" s="27"/>
      <c r="O215" s="27"/>
      <c r="P215" s="27"/>
      <c r="Q215" s="27"/>
      <c r="R215" s="27"/>
      <c r="S215" s="27"/>
    </row>
    <row r="216" ht="17.25" customHeight="1">
      <c r="A216" s="24"/>
      <c r="B216" s="23" t="s">
        <v>20</v>
      </c>
      <c r="C216" s="28" t="s">
        <v>931</v>
      </c>
      <c r="D216" s="23" t="s">
        <v>36</v>
      </c>
      <c r="E216" s="23" t="s">
        <v>36</v>
      </c>
      <c r="F216" s="24"/>
      <c r="G216" s="24"/>
      <c r="H216" s="26" t="s">
        <v>932</v>
      </c>
      <c r="I216" s="24"/>
      <c r="J216" s="24"/>
      <c r="K216" s="24"/>
      <c r="L216" s="29" t="s">
        <v>933</v>
      </c>
      <c r="M216" s="27"/>
      <c r="N216" s="27"/>
      <c r="O216" s="27"/>
      <c r="P216" s="27"/>
      <c r="Q216" s="27"/>
      <c r="R216" s="27"/>
      <c r="S216" s="27"/>
    </row>
    <row r="217" ht="17.25" customHeight="1">
      <c r="A217" s="24"/>
      <c r="B217" s="23" t="s">
        <v>20</v>
      </c>
      <c r="C217" s="23" t="s">
        <v>934</v>
      </c>
      <c r="D217" s="23" t="s">
        <v>36</v>
      </c>
      <c r="E217" s="23" t="s">
        <v>36</v>
      </c>
      <c r="F217" s="23"/>
      <c r="G217" s="24"/>
      <c r="H217" s="26" t="s">
        <v>935</v>
      </c>
      <c r="I217" s="24"/>
      <c r="J217" s="24"/>
      <c r="K217" s="24"/>
      <c r="L217" s="27"/>
      <c r="M217" s="27"/>
      <c r="N217" s="27"/>
      <c r="O217" s="27"/>
      <c r="P217" s="27"/>
      <c r="Q217" s="27"/>
      <c r="R217" s="27"/>
      <c r="S217" s="27"/>
    </row>
    <row r="218" ht="17.25" customHeight="1">
      <c r="A218" s="24"/>
      <c r="B218" s="23" t="s">
        <v>20</v>
      </c>
      <c r="C218" s="23" t="s">
        <v>936</v>
      </c>
      <c r="D218" s="23" t="s">
        <v>36</v>
      </c>
      <c r="E218" s="23" t="s">
        <v>36</v>
      </c>
      <c r="F218" s="24"/>
      <c r="G218" s="24"/>
      <c r="H218" s="26" t="s">
        <v>937</v>
      </c>
      <c r="I218" s="26" t="s">
        <v>938</v>
      </c>
      <c r="J218" s="24"/>
      <c r="K218" s="24"/>
      <c r="L218" s="27"/>
      <c r="M218" s="27"/>
      <c r="N218" s="27"/>
      <c r="O218" s="27"/>
      <c r="P218" s="27"/>
      <c r="Q218" s="27"/>
      <c r="R218" s="27"/>
      <c r="S218" s="27"/>
    </row>
    <row r="219" ht="17.25" customHeight="1">
      <c r="A219" s="24"/>
      <c r="B219" s="23" t="s">
        <v>20</v>
      </c>
      <c r="C219" s="23" t="s">
        <v>939</v>
      </c>
      <c r="D219" s="23" t="s">
        <v>36</v>
      </c>
      <c r="E219" s="23" t="s">
        <v>36</v>
      </c>
      <c r="F219" s="24"/>
      <c r="G219" s="24"/>
      <c r="H219" s="26" t="s">
        <v>940</v>
      </c>
      <c r="I219" s="26" t="s">
        <v>941</v>
      </c>
      <c r="J219" s="24"/>
      <c r="K219" s="24"/>
      <c r="L219" s="27"/>
      <c r="M219" s="27"/>
      <c r="N219" s="27"/>
      <c r="O219" s="27"/>
      <c r="P219" s="27"/>
      <c r="Q219" s="27"/>
      <c r="R219" s="27"/>
      <c r="S219" s="27"/>
    </row>
    <row r="220" ht="17.25" customHeight="1">
      <c r="A220" s="24"/>
      <c r="B220" s="23" t="s">
        <v>20</v>
      </c>
      <c r="C220" s="23" t="s">
        <v>942</v>
      </c>
      <c r="D220" s="23" t="s">
        <v>36</v>
      </c>
      <c r="E220" s="23" t="s">
        <v>36</v>
      </c>
      <c r="F220" s="24"/>
      <c r="G220" s="24"/>
      <c r="H220" s="26" t="s">
        <v>943</v>
      </c>
      <c r="I220" s="24"/>
      <c r="J220" s="24"/>
      <c r="K220" s="24"/>
      <c r="L220" s="27"/>
      <c r="M220" s="27"/>
      <c r="N220" s="27"/>
      <c r="O220" s="27"/>
      <c r="P220" s="27"/>
      <c r="Q220" s="27"/>
      <c r="R220" s="27"/>
      <c r="S220" s="27"/>
    </row>
    <row r="221" ht="17.25" customHeight="1">
      <c r="A221" s="24"/>
      <c r="B221" s="23" t="s">
        <v>20</v>
      </c>
      <c r="C221" s="23" t="s">
        <v>944</v>
      </c>
      <c r="D221" s="23" t="s">
        <v>36</v>
      </c>
      <c r="E221" s="23" t="s">
        <v>36</v>
      </c>
      <c r="F221" s="24"/>
      <c r="G221" s="24"/>
      <c r="H221" s="26" t="s">
        <v>945</v>
      </c>
      <c r="I221" s="24"/>
      <c r="J221" s="26" t="s">
        <v>946</v>
      </c>
      <c r="K221" s="24"/>
      <c r="L221" s="27"/>
      <c r="M221" s="27"/>
      <c r="N221" s="27"/>
      <c r="O221" s="27"/>
      <c r="P221" s="27"/>
      <c r="Q221" s="27"/>
      <c r="R221" s="27"/>
      <c r="S221" s="27"/>
    </row>
    <row r="222" ht="17.25" customHeight="1">
      <c r="A222" s="24"/>
      <c r="B222" s="23" t="s">
        <v>20</v>
      </c>
      <c r="C222" s="23" t="s">
        <v>306</v>
      </c>
      <c r="D222" s="23" t="s">
        <v>36</v>
      </c>
      <c r="E222" s="23" t="s">
        <v>36</v>
      </c>
      <c r="F222" s="24"/>
      <c r="G222" s="24"/>
      <c r="H222" s="33" t="s">
        <v>947</v>
      </c>
      <c r="I222" s="26" t="s">
        <v>948</v>
      </c>
      <c r="J222" s="24"/>
      <c r="K222" s="24"/>
      <c r="L222" s="27"/>
      <c r="M222" s="27"/>
      <c r="N222" s="27"/>
      <c r="O222" s="27"/>
      <c r="P222" s="27"/>
      <c r="Q222" s="27"/>
      <c r="R222" s="27"/>
      <c r="S222" s="27"/>
    </row>
    <row r="223" ht="17.25" customHeight="1">
      <c r="A223" s="24"/>
      <c r="B223" s="23" t="s">
        <v>20</v>
      </c>
      <c r="C223" s="28" t="s">
        <v>949</v>
      </c>
      <c r="D223" s="23" t="s">
        <v>36</v>
      </c>
      <c r="E223" s="23" t="s">
        <v>36</v>
      </c>
      <c r="F223" s="24"/>
      <c r="G223" s="24"/>
      <c r="H223" s="26" t="s">
        <v>950</v>
      </c>
      <c r="I223" s="24"/>
      <c r="J223" s="24"/>
      <c r="K223" s="24"/>
      <c r="L223" s="27"/>
      <c r="M223" s="27"/>
      <c r="N223" s="27"/>
      <c r="O223" s="27"/>
      <c r="P223" s="27"/>
      <c r="Q223" s="27"/>
      <c r="R223" s="27"/>
      <c r="S223" s="27"/>
    </row>
    <row r="224" ht="17.25" customHeight="1">
      <c r="A224" s="24"/>
      <c r="B224" s="23" t="s">
        <v>20</v>
      </c>
      <c r="C224" s="40" t="s">
        <v>951</v>
      </c>
      <c r="D224" s="23" t="s">
        <v>36</v>
      </c>
      <c r="E224" s="23" t="s">
        <v>36</v>
      </c>
      <c r="F224" s="24"/>
      <c r="G224" s="24"/>
      <c r="H224" s="26" t="s">
        <v>952</v>
      </c>
      <c r="I224" s="24"/>
      <c r="J224" s="24"/>
      <c r="K224" s="24"/>
      <c r="L224" s="27"/>
      <c r="M224" s="27"/>
      <c r="N224" s="27"/>
      <c r="O224" s="27"/>
      <c r="P224" s="27"/>
      <c r="Q224" s="27"/>
      <c r="R224" s="27"/>
      <c r="S224" s="27"/>
    </row>
    <row r="225" ht="17.25" customHeight="1">
      <c r="A225" s="24"/>
      <c r="B225" s="23" t="s">
        <v>20</v>
      </c>
      <c r="C225" s="23" t="s">
        <v>953</v>
      </c>
      <c r="D225" s="23" t="s">
        <v>36</v>
      </c>
      <c r="E225" s="23" t="s">
        <v>36</v>
      </c>
      <c r="F225" s="24"/>
      <c r="G225" s="24"/>
      <c r="H225" s="26" t="s">
        <v>954</v>
      </c>
      <c r="I225" s="24"/>
      <c r="J225" s="24"/>
      <c r="K225" s="24"/>
      <c r="L225" s="27"/>
      <c r="M225" s="27"/>
      <c r="N225" s="27"/>
      <c r="O225" s="27"/>
      <c r="P225" s="27"/>
      <c r="Q225" s="27"/>
      <c r="R225" s="27"/>
      <c r="S225" s="27"/>
    </row>
    <row r="226" ht="17.25" customHeight="1">
      <c r="A226" s="24"/>
      <c r="B226" s="23" t="s">
        <v>20</v>
      </c>
      <c r="C226" s="28" t="s">
        <v>955</v>
      </c>
      <c r="D226" s="23" t="s">
        <v>36</v>
      </c>
      <c r="E226" s="23" t="s">
        <v>36</v>
      </c>
      <c r="F226" s="24"/>
      <c r="G226" s="24"/>
      <c r="H226" s="26" t="s">
        <v>956</v>
      </c>
      <c r="I226" s="24"/>
      <c r="J226" s="24"/>
      <c r="K226" s="24"/>
      <c r="L226" s="27"/>
      <c r="M226" s="27"/>
      <c r="N226" s="27"/>
      <c r="O226" s="27"/>
      <c r="P226" s="27"/>
      <c r="Q226" s="27"/>
      <c r="R226" s="27"/>
      <c r="S226" s="27"/>
    </row>
    <row r="227" ht="17.25" customHeight="1">
      <c r="A227" s="24"/>
      <c r="B227" s="23" t="s">
        <v>20</v>
      </c>
      <c r="C227" s="28" t="s">
        <v>458</v>
      </c>
      <c r="D227" s="23" t="s">
        <v>36</v>
      </c>
      <c r="E227" s="23" t="s">
        <v>36</v>
      </c>
      <c r="F227" s="24"/>
      <c r="G227" s="24"/>
      <c r="H227" s="26" t="s">
        <v>957</v>
      </c>
      <c r="I227" s="26" t="s">
        <v>958</v>
      </c>
      <c r="J227" s="24"/>
      <c r="K227" s="24"/>
      <c r="L227" s="27"/>
      <c r="M227" s="27"/>
      <c r="N227" s="27"/>
      <c r="O227" s="27"/>
      <c r="P227" s="27"/>
      <c r="Q227" s="27"/>
      <c r="R227" s="27"/>
      <c r="S227" s="27"/>
    </row>
    <row r="228" ht="17.25" customHeight="1">
      <c r="A228" s="24"/>
      <c r="B228" s="23" t="s">
        <v>20</v>
      </c>
      <c r="C228" s="28" t="s">
        <v>959</v>
      </c>
      <c r="D228" s="23" t="s">
        <v>36</v>
      </c>
      <c r="E228" s="23" t="s">
        <v>36</v>
      </c>
      <c r="F228" s="24"/>
      <c r="G228" s="24"/>
      <c r="H228" s="26" t="s">
        <v>960</v>
      </c>
      <c r="I228" s="24"/>
      <c r="J228" s="24"/>
      <c r="K228" s="24"/>
      <c r="L228" s="27"/>
      <c r="M228" s="27"/>
      <c r="N228" s="27"/>
      <c r="O228" s="27"/>
      <c r="P228" s="27"/>
      <c r="Q228" s="27"/>
      <c r="R228" s="27"/>
      <c r="S228" s="27"/>
    </row>
    <row r="229" ht="17.25" customHeight="1">
      <c r="A229" s="24"/>
      <c r="B229" s="23" t="s">
        <v>20</v>
      </c>
      <c r="C229" s="28" t="s">
        <v>961</v>
      </c>
      <c r="D229" s="23" t="s">
        <v>36</v>
      </c>
      <c r="E229" s="23" t="s">
        <v>36</v>
      </c>
      <c r="F229" s="24"/>
      <c r="G229" s="24"/>
      <c r="H229" s="26" t="s">
        <v>962</v>
      </c>
      <c r="I229" s="24"/>
      <c r="J229" s="24"/>
      <c r="K229" s="24"/>
      <c r="L229" s="27"/>
      <c r="M229" s="27"/>
      <c r="N229" s="27"/>
      <c r="O229" s="27"/>
      <c r="P229" s="27"/>
      <c r="Q229" s="27"/>
      <c r="R229" s="27"/>
      <c r="S229" s="27"/>
    </row>
    <row r="230" ht="17.25" customHeight="1">
      <c r="A230" s="24"/>
      <c r="B230" s="23" t="s">
        <v>276</v>
      </c>
      <c r="C230" s="28" t="s">
        <v>963</v>
      </c>
      <c r="D230" s="23" t="s">
        <v>36</v>
      </c>
      <c r="E230" s="23" t="s">
        <v>36</v>
      </c>
      <c r="F230" s="24"/>
      <c r="G230" s="24"/>
      <c r="H230" s="26" t="s">
        <v>964</v>
      </c>
      <c r="I230" s="26" t="s">
        <v>965</v>
      </c>
      <c r="J230" s="24"/>
      <c r="K230" s="24"/>
      <c r="L230" s="27"/>
      <c r="M230" s="27"/>
      <c r="N230" s="27"/>
      <c r="O230" s="27"/>
      <c r="P230" s="27"/>
      <c r="Q230" s="27"/>
      <c r="R230" s="27"/>
      <c r="S230" s="27"/>
    </row>
    <row r="231" ht="17.25" customHeight="1">
      <c r="A231" s="24"/>
      <c r="B231" s="23" t="s">
        <v>20</v>
      </c>
      <c r="C231" s="28" t="s">
        <v>966</v>
      </c>
      <c r="D231" s="23" t="s">
        <v>36</v>
      </c>
      <c r="E231" s="23" t="s">
        <v>36</v>
      </c>
      <c r="F231" s="24"/>
      <c r="G231" s="24"/>
      <c r="H231" s="26" t="s">
        <v>967</v>
      </c>
      <c r="I231" s="24"/>
      <c r="J231" s="24"/>
      <c r="K231" s="24"/>
      <c r="L231" s="27"/>
      <c r="M231" s="27"/>
      <c r="N231" s="27"/>
      <c r="O231" s="27"/>
      <c r="P231" s="27"/>
      <c r="Q231" s="27"/>
      <c r="R231" s="27"/>
      <c r="S231" s="27"/>
    </row>
    <row r="232" ht="17.25" customHeight="1">
      <c r="A232" s="24"/>
      <c r="B232" s="23" t="s">
        <v>20</v>
      </c>
      <c r="C232" s="28" t="s">
        <v>968</v>
      </c>
      <c r="D232" s="23" t="s">
        <v>36</v>
      </c>
      <c r="E232" s="23" t="s">
        <v>36</v>
      </c>
      <c r="F232" s="24"/>
      <c r="G232" s="24"/>
      <c r="H232" s="24"/>
      <c r="I232" s="24"/>
      <c r="J232" s="26" t="s">
        <v>969</v>
      </c>
      <c r="K232" s="24"/>
      <c r="L232" s="27"/>
      <c r="M232" s="27"/>
      <c r="N232" s="27"/>
      <c r="O232" s="27"/>
      <c r="P232" s="27"/>
      <c r="Q232" s="27"/>
      <c r="R232" s="27"/>
      <c r="S232" s="27"/>
    </row>
    <row r="233" ht="17.25" customHeight="1">
      <c r="A233" s="24"/>
      <c r="B233" s="23" t="s">
        <v>20</v>
      </c>
      <c r="C233" s="23" t="s">
        <v>970</v>
      </c>
      <c r="D233" s="23" t="s">
        <v>36</v>
      </c>
      <c r="E233" s="23" t="s">
        <v>36</v>
      </c>
      <c r="F233" s="24"/>
      <c r="G233" s="24"/>
      <c r="H233" s="26" t="s">
        <v>971</v>
      </c>
      <c r="I233" s="24"/>
      <c r="J233" s="24"/>
      <c r="K233" s="24"/>
      <c r="L233" s="27"/>
      <c r="M233" s="27"/>
      <c r="N233" s="27"/>
      <c r="O233" s="27"/>
      <c r="P233" s="27"/>
      <c r="Q233" s="27"/>
      <c r="R233" s="27"/>
      <c r="S233" s="27"/>
    </row>
    <row r="234" ht="17.25" customHeight="1">
      <c r="A234" s="24"/>
      <c r="B234" s="23" t="s">
        <v>20</v>
      </c>
      <c r="C234" s="28" t="s">
        <v>890</v>
      </c>
      <c r="D234" s="23" t="s">
        <v>36</v>
      </c>
      <c r="E234" s="23" t="s">
        <v>36</v>
      </c>
      <c r="F234" s="24"/>
      <c r="G234" s="24"/>
      <c r="H234" s="26" t="s">
        <v>972</v>
      </c>
      <c r="I234" s="24"/>
      <c r="J234" s="24"/>
      <c r="K234" s="24"/>
      <c r="L234" s="27"/>
      <c r="M234" s="27"/>
      <c r="N234" s="27"/>
      <c r="O234" s="27"/>
      <c r="P234" s="27"/>
      <c r="Q234" s="27"/>
      <c r="R234" s="27"/>
      <c r="S234" s="27"/>
    </row>
    <row r="235" ht="17.25" customHeight="1">
      <c r="A235" s="24"/>
      <c r="B235" s="23" t="s">
        <v>20</v>
      </c>
      <c r="C235" s="23" t="s">
        <v>973</v>
      </c>
      <c r="D235" s="23" t="s">
        <v>36</v>
      </c>
      <c r="E235" s="23" t="s">
        <v>36</v>
      </c>
      <c r="F235" s="24"/>
      <c r="G235" s="24"/>
      <c r="H235" s="26" t="s">
        <v>974</v>
      </c>
      <c r="I235" s="26" t="s">
        <v>975</v>
      </c>
      <c r="J235" s="24"/>
      <c r="K235" s="24"/>
      <c r="L235" s="27"/>
      <c r="M235" s="27"/>
      <c r="N235" s="27"/>
      <c r="O235" s="27"/>
      <c r="P235" s="27"/>
      <c r="Q235" s="27"/>
      <c r="R235" s="27"/>
      <c r="S235" s="27"/>
    </row>
    <row r="236" ht="17.25" customHeight="1">
      <c r="A236" s="24"/>
      <c r="B236" s="23" t="s">
        <v>20</v>
      </c>
      <c r="C236" s="23" t="s">
        <v>976</v>
      </c>
      <c r="D236" s="23" t="s">
        <v>36</v>
      </c>
      <c r="E236" s="23" t="s">
        <v>36</v>
      </c>
      <c r="F236" s="24"/>
      <c r="G236" s="24"/>
      <c r="H236" s="33" t="s">
        <v>977</v>
      </c>
      <c r="I236" s="24"/>
      <c r="J236" s="24"/>
      <c r="K236" s="24"/>
      <c r="L236" s="27"/>
      <c r="M236" s="27"/>
      <c r="N236" s="27"/>
      <c r="O236" s="27"/>
      <c r="P236" s="27"/>
      <c r="Q236" s="27"/>
      <c r="R236" s="27"/>
      <c r="S236" s="27"/>
    </row>
    <row r="237" ht="17.25" customHeight="1">
      <c r="A237" s="24"/>
      <c r="B237" s="23" t="s">
        <v>20</v>
      </c>
      <c r="C237" s="28" t="s">
        <v>978</v>
      </c>
      <c r="D237" s="23" t="s">
        <v>36</v>
      </c>
      <c r="E237" s="23" t="s">
        <v>36</v>
      </c>
      <c r="F237" s="24"/>
      <c r="G237" s="24"/>
      <c r="H237" s="26" t="s">
        <v>979</v>
      </c>
      <c r="I237" s="24"/>
      <c r="J237" s="24"/>
      <c r="K237" s="24"/>
      <c r="L237" s="27"/>
      <c r="M237" s="27"/>
      <c r="N237" s="27"/>
      <c r="O237" s="27"/>
      <c r="P237" s="27"/>
      <c r="Q237" s="27"/>
      <c r="R237" s="27"/>
      <c r="S237" s="27"/>
    </row>
    <row r="238" ht="17.25" customHeight="1">
      <c r="A238" s="24"/>
      <c r="B238" s="23" t="s">
        <v>20</v>
      </c>
      <c r="C238" s="28" t="s">
        <v>356</v>
      </c>
      <c r="D238" s="23" t="s">
        <v>36</v>
      </c>
      <c r="E238" s="23" t="s">
        <v>36</v>
      </c>
      <c r="F238" s="24"/>
      <c r="G238" s="24"/>
      <c r="H238" s="26" t="s">
        <v>980</v>
      </c>
      <c r="I238" s="24"/>
      <c r="J238" s="24"/>
      <c r="K238" s="24"/>
      <c r="L238" s="27"/>
      <c r="M238" s="27"/>
      <c r="N238" s="27"/>
      <c r="O238" s="27"/>
      <c r="P238" s="27"/>
      <c r="Q238" s="27"/>
      <c r="R238" s="27"/>
      <c r="S238" s="27"/>
    </row>
    <row r="239" ht="17.25" customHeight="1">
      <c r="A239" s="24"/>
      <c r="B239" s="23" t="s">
        <v>20</v>
      </c>
      <c r="C239" s="23" t="s">
        <v>914</v>
      </c>
      <c r="D239" s="23" t="s">
        <v>36</v>
      </c>
      <c r="E239" s="23" t="s">
        <v>36</v>
      </c>
      <c r="F239" s="24"/>
      <c r="G239" s="24"/>
      <c r="H239" s="26" t="s">
        <v>981</v>
      </c>
      <c r="I239" s="24"/>
      <c r="J239" s="24"/>
      <c r="K239" s="24"/>
      <c r="L239" s="27"/>
      <c r="M239" s="27"/>
      <c r="N239" s="27"/>
      <c r="O239" s="27"/>
      <c r="P239" s="27"/>
      <c r="Q239" s="27"/>
      <c r="R239" s="27"/>
      <c r="S239" s="27"/>
    </row>
    <row r="240" ht="17.25" customHeight="1">
      <c r="A240" s="24"/>
      <c r="B240" s="23" t="s">
        <v>20</v>
      </c>
      <c r="C240" s="23" t="s">
        <v>690</v>
      </c>
      <c r="D240" s="23" t="s">
        <v>36</v>
      </c>
      <c r="E240" s="23" t="s">
        <v>36</v>
      </c>
      <c r="F240" s="24"/>
      <c r="G240" s="24"/>
      <c r="H240" s="26" t="s">
        <v>982</v>
      </c>
      <c r="I240" s="26" t="s">
        <v>983</v>
      </c>
      <c r="J240" s="24"/>
      <c r="K240" s="24"/>
      <c r="L240" s="27"/>
      <c r="M240" s="27"/>
      <c r="N240" s="27"/>
      <c r="O240" s="27"/>
      <c r="P240" s="27"/>
      <c r="Q240" s="27"/>
      <c r="R240" s="27"/>
      <c r="S240" s="27"/>
    </row>
    <row r="241" ht="17.25" customHeight="1">
      <c r="A241" s="24"/>
      <c r="B241" s="23"/>
      <c r="C241" s="23" t="s">
        <v>984</v>
      </c>
      <c r="D241" s="23" t="s">
        <v>36</v>
      </c>
      <c r="E241" s="23" t="s">
        <v>36</v>
      </c>
      <c r="F241" s="24"/>
      <c r="G241" s="24"/>
      <c r="H241" s="26" t="s">
        <v>985</v>
      </c>
      <c r="I241" s="24"/>
      <c r="J241" s="24"/>
      <c r="K241" s="24"/>
      <c r="L241" s="27"/>
      <c r="M241" s="27"/>
      <c r="N241" s="27"/>
      <c r="O241" s="27"/>
      <c r="P241" s="27"/>
      <c r="Q241" s="27"/>
      <c r="R241" s="27"/>
      <c r="S241" s="27"/>
    </row>
    <row r="242" ht="17.25" customHeight="1">
      <c r="A242" s="24"/>
      <c r="B242" s="23"/>
      <c r="C242" s="23" t="s">
        <v>986</v>
      </c>
      <c r="D242" s="23" t="s">
        <v>36</v>
      </c>
      <c r="E242" s="23" t="s">
        <v>36</v>
      </c>
      <c r="F242" s="24"/>
      <c r="G242" s="24"/>
      <c r="H242" s="26" t="s">
        <v>987</v>
      </c>
      <c r="I242" s="24"/>
      <c r="J242" s="24"/>
      <c r="K242" s="24"/>
      <c r="L242" s="27"/>
      <c r="M242" s="27"/>
      <c r="N242" s="27"/>
      <c r="O242" s="27"/>
      <c r="P242" s="27"/>
      <c r="Q242" s="27"/>
      <c r="R242" s="27"/>
      <c r="S242" s="27"/>
    </row>
    <row r="243" ht="17.25" customHeight="1">
      <c r="A243" s="24"/>
      <c r="B243" s="23" t="s">
        <v>20</v>
      </c>
      <c r="C243" s="28" t="s">
        <v>988</v>
      </c>
      <c r="D243" s="23" t="s">
        <v>36</v>
      </c>
      <c r="E243" s="23" t="s">
        <v>36</v>
      </c>
      <c r="F243" s="24"/>
      <c r="G243" s="24"/>
      <c r="H243" s="24"/>
      <c r="I243" s="24"/>
      <c r="J243" s="41" t="s">
        <v>989</v>
      </c>
      <c r="K243" s="24"/>
      <c r="L243" s="27"/>
      <c r="M243" s="27"/>
      <c r="N243" s="27"/>
      <c r="O243" s="27"/>
      <c r="P243" s="27"/>
      <c r="Q243" s="27"/>
      <c r="R243" s="27"/>
      <c r="S243" s="27"/>
    </row>
    <row r="244" ht="17.25" customHeight="1">
      <c r="A244" s="24"/>
      <c r="B244" s="23" t="s">
        <v>20</v>
      </c>
      <c r="C244" s="23" t="s">
        <v>990</v>
      </c>
      <c r="D244" s="23" t="s">
        <v>36</v>
      </c>
      <c r="E244" s="23" t="s">
        <v>36</v>
      </c>
      <c r="F244" s="24"/>
      <c r="G244" s="24"/>
      <c r="H244" s="26" t="s">
        <v>991</v>
      </c>
      <c r="I244" s="26" t="s">
        <v>992</v>
      </c>
      <c r="J244" s="24"/>
      <c r="K244" s="24"/>
      <c r="L244" s="27"/>
      <c r="M244" s="27"/>
      <c r="N244" s="27"/>
      <c r="O244" s="27"/>
      <c r="P244" s="27"/>
      <c r="Q244" s="27"/>
      <c r="R244" s="27"/>
      <c r="S244" s="27"/>
    </row>
    <row r="245" ht="17.25" customHeight="1">
      <c r="A245" s="24"/>
      <c r="B245" s="23" t="s">
        <v>20</v>
      </c>
      <c r="C245" s="23" t="s">
        <v>510</v>
      </c>
      <c r="D245" s="23" t="s">
        <v>36</v>
      </c>
      <c r="E245" s="23" t="s">
        <v>36</v>
      </c>
      <c r="F245" s="24"/>
      <c r="G245" s="24"/>
      <c r="H245" s="26" t="s">
        <v>993</v>
      </c>
      <c r="I245" s="26" t="s">
        <v>994</v>
      </c>
      <c r="J245" s="24"/>
      <c r="K245" s="24"/>
      <c r="L245" s="27"/>
      <c r="M245" s="27"/>
      <c r="N245" s="27"/>
      <c r="O245" s="27"/>
      <c r="P245" s="27"/>
      <c r="Q245" s="27"/>
      <c r="R245" s="27"/>
      <c r="S245" s="27"/>
    </row>
    <row r="246" ht="17.25" customHeight="1">
      <c r="A246" s="24"/>
      <c r="B246" s="23" t="s">
        <v>20</v>
      </c>
      <c r="C246" s="23" t="s">
        <v>995</v>
      </c>
      <c r="D246" s="23" t="s">
        <v>36</v>
      </c>
      <c r="E246" s="23" t="s">
        <v>36</v>
      </c>
      <c r="F246" s="24"/>
      <c r="G246" s="24"/>
      <c r="H246" s="26" t="s">
        <v>996</v>
      </c>
      <c r="I246" s="24"/>
      <c r="J246" s="24"/>
      <c r="K246" s="24"/>
      <c r="L246" s="27"/>
      <c r="M246" s="27"/>
      <c r="N246" s="27"/>
      <c r="O246" s="27"/>
      <c r="P246" s="27"/>
      <c r="Q246" s="27"/>
      <c r="R246" s="27"/>
      <c r="S246" s="27"/>
    </row>
    <row r="247" ht="17.25" customHeight="1">
      <c r="A247" s="24"/>
      <c r="B247" s="23" t="s">
        <v>20</v>
      </c>
      <c r="C247" s="23" t="s">
        <v>997</v>
      </c>
      <c r="D247" s="23" t="s">
        <v>36</v>
      </c>
      <c r="E247" s="23" t="s">
        <v>36</v>
      </c>
      <c r="F247" s="24"/>
      <c r="G247" s="24"/>
      <c r="H247" s="26" t="s">
        <v>998</v>
      </c>
      <c r="I247" s="24"/>
      <c r="J247" s="24"/>
      <c r="K247" s="24"/>
      <c r="L247" s="27"/>
      <c r="M247" s="27"/>
      <c r="N247" s="27"/>
      <c r="O247" s="27"/>
      <c r="P247" s="27"/>
      <c r="Q247" s="27"/>
      <c r="R247" s="27"/>
      <c r="S247" s="27"/>
    </row>
    <row r="248" ht="17.25" customHeight="1">
      <c r="A248" s="24"/>
      <c r="B248" s="23" t="s">
        <v>20</v>
      </c>
      <c r="C248" s="23" t="s">
        <v>999</v>
      </c>
      <c r="D248" s="23" t="s">
        <v>36</v>
      </c>
      <c r="E248" s="23" t="s">
        <v>36</v>
      </c>
      <c r="F248" s="24"/>
      <c r="G248" s="24"/>
      <c r="H248" s="26" t="s">
        <v>1000</v>
      </c>
      <c r="I248" s="24"/>
      <c r="J248" s="24"/>
      <c r="K248" s="24"/>
      <c r="L248" s="27"/>
      <c r="M248" s="27"/>
      <c r="N248" s="27"/>
      <c r="O248" s="27"/>
      <c r="P248" s="27"/>
      <c r="Q248" s="27"/>
      <c r="R248" s="27"/>
      <c r="S248" s="27"/>
    </row>
    <row r="249" ht="17.25" customHeight="1">
      <c r="A249" s="24"/>
      <c r="B249" s="23" t="s">
        <v>20</v>
      </c>
      <c r="C249" s="23" t="s">
        <v>905</v>
      </c>
      <c r="D249" s="23" t="s">
        <v>36</v>
      </c>
      <c r="E249" s="23" t="s">
        <v>36</v>
      </c>
      <c r="F249" s="24"/>
      <c r="G249" s="24"/>
      <c r="H249" s="26" t="s">
        <v>1001</v>
      </c>
      <c r="I249" s="24"/>
      <c r="J249" s="24"/>
      <c r="K249" s="24"/>
      <c r="L249" s="27"/>
      <c r="M249" s="27"/>
      <c r="N249" s="27"/>
      <c r="O249" s="27"/>
      <c r="P249" s="27"/>
      <c r="Q249" s="27"/>
      <c r="R249" s="27"/>
      <c r="S249" s="27"/>
    </row>
    <row r="250" ht="17.25" customHeight="1">
      <c r="A250" s="24"/>
      <c r="B250" s="23" t="s">
        <v>20</v>
      </c>
      <c r="C250" s="23" t="s">
        <v>739</v>
      </c>
      <c r="D250" s="23" t="s">
        <v>36</v>
      </c>
      <c r="E250" s="23" t="s">
        <v>36</v>
      </c>
      <c r="F250" s="24"/>
      <c r="G250" s="24"/>
      <c r="H250" s="26" t="s">
        <v>1002</v>
      </c>
      <c r="I250" s="24"/>
      <c r="J250" s="26" t="s">
        <v>1003</v>
      </c>
      <c r="K250" s="24"/>
      <c r="L250" s="27"/>
      <c r="M250" s="27"/>
      <c r="N250" s="27"/>
      <c r="O250" s="27"/>
      <c r="P250" s="27"/>
      <c r="Q250" s="27"/>
      <c r="R250" s="27"/>
      <c r="S250" s="27"/>
    </row>
    <row r="251" ht="17.25" customHeight="1">
      <c r="A251" s="24"/>
      <c r="B251" s="23" t="s">
        <v>20</v>
      </c>
      <c r="C251" s="23" t="s">
        <v>1004</v>
      </c>
      <c r="D251" s="23" t="s">
        <v>36</v>
      </c>
      <c r="E251" s="23" t="s">
        <v>36</v>
      </c>
      <c r="F251" s="24"/>
      <c r="G251" s="24"/>
      <c r="H251" s="26" t="s">
        <v>1005</v>
      </c>
      <c r="I251" s="26" t="s">
        <v>1006</v>
      </c>
      <c r="J251" s="24"/>
      <c r="K251" s="24"/>
      <c r="L251" s="27"/>
      <c r="M251" s="27"/>
      <c r="N251" s="27"/>
      <c r="O251" s="27"/>
      <c r="P251" s="27"/>
      <c r="Q251" s="27"/>
      <c r="R251" s="27"/>
      <c r="S251" s="27"/>
    </row>
    <row r="252" ht="17.25" customHeight="1">
      <c r="A252" s="24"/>
      <c r="B252" s="23" t="s">
        <v>276</v>
      </c>
      <c r="C252" s="23" t="s">
        <v>1007</v>
      </c>
      <c r="D252" s="23" t="s">
        <v>36</v>
      </c>
      <c r="E252" s="23" t="s">
        <v>36</v>
      </c>
      <c r="F252" s="24"/>
      <c r="G252" s="24"/>
      <c r="H252" s="26" t="s">
        <v>1008</v>
      </c>
      <c r="I252" s="24"/>
      <c r="J252" s="24"/>
      <c r="K252" s="24"/>
      <c r="L252" s="27"/>
      <c r="M252" s="27"/>
      <c r="N252" s="27"/>
      <c r="O252" s="27"/>
      <c r="P252" s="27"/>
      <c r="Q252" s="27"/>
      <c r="R252" s="27"/>
      <c r="S252" s="27"/>
    </row>
    <row r="253" ht="17.25" customHeight="1">
      <c r="A253" s="24"/>
      <c r="B253" s="23" t="s">
        <v>20</v>
      </c>
      <c r="C253" s="28" t="s">
        <v>1009</v>
      </c>
      <c r="D253" s="23" t="s">
        <v>36</v>
      </c>
      <c r="E253" s="23" t="s">
        <v>36</v>
      </c>
      <c r="F253" s="24"/>
      <c r="G253" s="24"/>
      <c r="H253" s="26" t="s">
        <v>1010</v>
      </c>
      <c r="I253" s="24"/>
      <c r="J253" s="24"/>
      <c r="K253" s="24"/>
      <c r="L253" s="27"/>
      <c r="M253" s="27"/>
      <c r="N253" s="27"/>
      <c r="O253" s="27"/>
      <c r="P253" s="27"/>
      <c r="Q253" s="27"/>
      <c r="R253" s="27"/>
      <c r="S253" s="27"/>
    </row>
    <row r="254" ht="17.25" customHeight="1">
      <c r="A254" s="24"/>
      <c r="B254" s="23" t="s">
        <v>20</v>
      </c>
      <c r="C254" s="23" t="s">
        <v>1011</v>
      </c>
      <c r="D254" s="23" t="s">
        <v>36</v>
      </c>
      <c r="E254" s="23" t="s">
        <v>36</v>
      </c>
      <c r="F254" s="24"/>
      <c r="G254" s="24"/>
      <c r="H254" s="26" t="s">
        <v>1012</v>
      </c>
      <c r="I254" s="24"/>
      <c r="J254" s="24"/>
      <c r="K254" s="24"/>
      <c r="L254" s="27"/>
      <c r="M254" s="27"/>
      <c r="N254" s="27"/>
      <c r="O254" s="27"/>
      <c r="P254" s="27"/>
      <c r="Q254" s="27"/>
      <c r="R254" s="27"/>
      <c r="S254" s="27"/>
    </row>
    <row r="255" ht="17.25" customHeight="1">
      <c r="A255" s="24"/>
      <c r="B255" s="23" t="s">
        <v>20</v>
      </c>
      <c r="C255" s="28" t="s">
        <v>1013</v>
      </c>
      <c r="D255" s="23" t="s">
        <v>36</v>
      </c>
      <c r="E255" s="23" t="s">
        <v>36</v>
      </c>
      <c r="F255" s="24"/>
      <c r="G255" s="24"/>
      <c r="H255" s="26" t="s">
        <v>1014</v>
      </c>
      <c r="I255" s="24"/>
      <c r="J255" s="24"/>
      <c r="K255" s="24"/>
      <c r="L255" s="27"/>
      <c r="M255" s="27"/>
      <c r="N255" s="27"/>
      <c r="O255" s="27"/>
      <c r="P255" s="27"/>
      <c r="Q255" s="27"/>
      <c r="R255" s="27"/>
      <c r="S255" s="27"/>
    </row>
    <row r="256" ht="17.25" customHeight="1">
      <c r="A256" s="24"/>
      <c r="B256" s="23" t="s">
        <v>20</v>
      </c>
      <c r="C256" s="23" t="s">
        <v>1015</v>
      </c>
      <c r="D256" s="23" t="s">
        <v>36</v>
      </c>
      <c r="E256" s="23" t="s">
        <v>36</v>
      </c>
      <c r="F256" s="24"/>
      <c r="G256" s="24"/>
      <c r="H256" s="26" t="s">
        <v>1016</v>
      </c>
      <c r="I256" s="24"/>
      <c r="J256" s="26" t="s">
        <v>1017</v>
      </c>
      <c r="K256" s="24"/>
      <c r="L256" s="27"/>
      <c r="M256" s="27"/>
      <c r="N256" s="27"/>
      <c r="O256" s="27"/>
      <c r="P256" s="27"/>
      <c r="Q256" s="27"/>
      <c r="R256" s="27"/>
      <c r="S256" s="27"/>
    </row>
    <row r="257" ht="17.25" customHeight="1">
      <c r="A257" s="24"/>
      <c r="B257" s="23" t="s">
        <v>20</v>
      </c>
      <c r="C257" s="28" t="s">
        <v>1018</v>
      </c>
      <c r="D257" s="23" t="s">
        <v>36</v>
      </c>
      <c r="E257" s="23" t="s">
        <v>36</v>
      </c>
      <c r="F257" s="24"/>
      <c r="G257" s="24"/>
      <c r="H257" s="26" t="s">
        <v>1019</v>
      </c>
      <c r="I257" s="24"/>
      <c r="J257" s="24"/>
      <c r="K257" s="24"/>
      <c r="L257" s="27"/>
      <c r="M257" s="27"/>
      <c r="N257" s="27"/>
      <c r="O257" s="27"/>
      <c r="P257" s="27"/>
      <c r="Q257" s="27"/>
      <c r="R257" s="27"/>
      <c r="S257" s="27"/>
    </row>
    <row r="258" ht="17.25" customHeight="1">
      <c r="A258" s="24"/>
      <c r="B258" s="23" t="s">
        <v>20</v>
      </c>
      <c r="C258" s="23" t="s">
        <v>1020</v>
      </c>
      <c r="D258" s="23" t="s">
        <v>36</v>
      </c>
      <c r="E258" s="23" t="s">
        <v>36</v>
      </c>
      <c r="F258" s="24"/>
      <c r="G258" s="24"/>
      <c r="H258" s="26" t="s">
        <v>1021</v>
      </c>
      <c r="I258" s="24"/>
      <c r="J258" s="24"/>
      <c r="K258" s="24"/>
      <c r="L258" s="27"/>
      <c r="M258" s="27"/>
      <c r="N258" s="27"/>
      <c r="O258" s="27"/>
      <c r="P258" s="27"/>
      <c r="Q258" s="27"/>
      <c r="R258" s="27"/>
      <c r="S258" s="27"/>
    </row>
    <row r="259" ht="17.25" customHeight="1">
      <c r="A259" s="24"/>
      <c r="B259" s="23" t="s">
        <v>20</v>
      </c>
      <c r="C259" s="28" t="s">
        <v>727</v>
      </c>
      <c r="D259" s="23" t="s">
        <v>36</v>
      </c>
      <c r="E259" s="23" t="s">
        <v>36</v>
      </c>
      <c r="F259" s="24"/>
      <c r="G259" s="24"/>
      <c r="H259" s="26" t="s">
        <v>1022</v>
      </c>
      <c r="I259" s="24"/>
      <c r="J259" s="24"/>
      <c r="K259" s="24"/>
      <c r="L259" s="27"/>
      <c r="M259" s="27"/>
      <c r="N259" s="27"/>
      <c r="O259" s="27"/>
      <c r="P259" s="27"/>
      <c r="Q259" s="27"/>
      <c r="R259" s="27"/>
      <c r="S259" s="27"/>
    </row>
    <row r="260" ht="17.25" customHeight="1">
      <c r="A260" s="24"/>
      <c r="B260" s="23" t="s">
        <v>20</v>
      </c>
      <c r="C260" s="23" t="s">
        <v>1023</v>
      </c>
      <c r="D260" s="23" t="s">
        <v>36</v>
      </c>
      <c r="E260" s="23" t="s">
        <v>36</v>
      </c>
      <c r="F260" s="24"/>
      <c r="G260" s="24"/>
      <c r="H260" s="26" t="s">
        <v>1024</v>
      </c>
      <c r="I260" s="24"/>
      <c r="J260" s="24"/>
      <c r="K260" s="24"/>
      <c r="L260" s="27"/>
      <c r="M260" s="27"/>
      <c r="N260" s="27"/>
      <c r="O260" s="27"/>
      <c r="P260" s="27"/>
      <c r="Q260" s="27"/>
      <c r="R260" s="27"/>
      <c r="S260" s="27"/>
    </row>
    <row r="261" ht="17.25" customHeight="1">
      <c r="A261" s="24"/>
      <c r="B261" s="23" t="s">
        <v>20</v>
      </c>
      <c r="C261" s="28" t="s">
        <v>1025</v>
      </c>
      <c r="D261" s="23" t="s">
        <v>36</v>
      </c>
      <c r="E261" s="23" t="s">
        <v>36</v>
      </c>
      <c r="F261" s="24"/>
      <c r="G261" s="24"/>
      <c r="H261" s="24"/>
      <c r="I261" s="24"/>
      <c r="J261" s="26" t="s">
        <v>1026</v>
      </c>
      <c r="K261" s="24"/>
      <c r="L261" s="27"/>
      <c r="M261" s="27"/>
      <c r="N261" s="27"/>
      <c r="O261" s="27"/>
      <c r="P261" s="27"/>
      <c r="Q261" s="27"/>
      <c r="R261" s="27"/>
      <c r="S261" s="27"/>
    </row>
    <row r="262" ht="17.25" customHeight="1">
      <c r="A262" s="24"/>
      <c r="B262" s="23" t="s">
        <v>20</v>
      </c>
      <c r="C262" s="40" t="s">
        <v>1027</v>
      </c>
      <c r="D262" s="23" t="s">
        <v>36</v>
      </c>
      <c r="E262" s="23" t="s">
        <v>36</v>
      </c>
      <c r="F262" s="24"/>
      <c r="G262" s="24"/>
      <c r="H262" s="26" t="s">
        <v>1028</v>
      </c>
      <c r="I262" s="26" t="s">
        <v>1029</v>
      </c>
      <c r="J262" s="24"/>
      <c r="K262" s="24"/>
      <c r="L262" s="27"/>
      <c r="M262" s="27"/>
      <c r="N262" s="27"/>
      <c r="O262" s="27"/>
      <c r="P262" s="27"/>
      <c r="Q262" s="27"/>
      <c r="R262" s="27"/>
      <c r="S262" s="27"/>
    </row>
    <row r="263" ht="17.25" customHeight="1">
      <c r="A263" s="24"/>
      <c r="B263" s="23" t="s">
        <v>20</v>
      </c>
      <c r="C263" s="28" t="s">
        <v>1030</v>
      </c>
      <c r="D263" s="23" t="s">
        <v>36</v>
      </c>
      <c r="E263" s="23" t="s">
        <v>36</v>
      </c>
      <c r="F263" s="24"/>
      <c r="G263" s="24"/>
      <c r="H263" s="26" t="s">
        <v>1031</v>
      </c>
      <c r="I263" s="24"/>
      <c r="J263" s="24"/>
      <c r="K263" s="24"/>
      <c r="L263" s="27"/>
      <c r="M263" s="27"/>
      <c r="N263" s="27"/>
      <c r="O263" s="27"/>
      <c r="P263" s="27"/>
      <c r="Q263" s="27"/>
      <c r="R263" s="27"/>
      <c r="S263" s="27"/>
    </row>
    <row r="264" ht="17.25" customHeight="1">
      <c r="A264" s="24"/>
      <c r="B264" s="23" t="s">
        <v>276</v>
      </c>
      <c r="C264" s="28" t="s">
        <v>1032</v>
      </c>
      <c r="D264" s="23" t="s">
        <v>36</v>
      </c>
      <c r="E264" s="23" t="s">
        <v>36</v>
      </c>
      <c r="F264" s="24"/>
      <c r="G264" s="24"/>
      <c r="H264" s="26" t="s">
        <v>1033</v>
      </c>
      <c r="I264" s="24"/>
      <c r="J264" s="24"/>
      <c r="K264" s="24"/>
      <c r="L264" s="27"/>
      <c r="M264" s="27"/>
      <c r="N264" s="27"/>
      <c r="O264" s="27"/>
      <c r="P264" s="27"/>
      <c r="Q264" s="27"/>
      <c r="R264" s="27"/>
      <c r="S264" s="27"/>
    </row>
    <row r="265" ht="17.25" customHeight="1">
      <c r="A265" s="24"/>
      <c r="B265" s="23" t="s">
        <v>20</v>
      </c>
      <c r="C265" s="23" t="s">
        <v>1034</v>
      </c>
      <c r="D265" s="23" t="s">
        <v>36</v>
      </c>
      <c r="E265" s="23" t="s">
        <v>36</v>
      </c>
      <c r="F265" s="24"/>
      <c r="G265" s="24"/>
      <c r="H265" s="24"/>
      <c r="I265" s="26" t="s">
        <v>1035</v>
      </c>
      <c r="J265" s="24"/>
      <c r="K265" s="24"/>
      <c r="L265" s="27"/>
      <c r="M265" s="27"/>
      <c r="N265" s="27"/>
      <c r="O265" s="27"/>
      <c r="P265" s="27"/>
      <c r="Q265" s="27"/>
      <c r="R265" s="27"/>
      <c r="S265" s="27"/>
    </row>
    <row r="266" ht="17.25" customHeight="1">
      <c r="A266" s="24"/>
      <c r="B266" s="23" t="s">
        <v>20</v>
      </c>
      <c r="C266" s="28" t="s">
        <v>1036</v>
      </c>
      <c r="D266" s="23" t="s">
        <v>36</v>
      </c>
      <c r="E266" s="23" t="s">
        <v>36</v>
      </c>
      <c r="F266" s="24"/>
      <c r="G266" s="24"/>
      <c r="H266" s="26" t="s">
        <v>1037</v>
      </c>
      <c r="I266" s="24"/>
      <c r="J266" s="24"/>
      <c r="K266" s="24"/>
      <c r="L266" s="27"/>
      <c r="M266" s="27"/>
      <c r="N266" s="27"/>
      <c r="O266" s="27"/>
      <c r="P266" s="27"/>
      <c r="Q266" s="27"/>
      <c r="R266" s="27"/>
      <c r="S266" s="27"/>
    </row>
    <row r="267" ht="17.25" customHeight="1">
      <c r="A267" s="24"/>
      <c r="B267" s="23" t="s">
        <v>276</v>
      </c>
      <c r="C267" s="23" t="s">
        <v>770</v>
      </c>
      <c r="D267" s="23" t="s">
        <v>36</v>
      </c>
      <c r="E267" s="23" t="s">
        <v>36</v>
      </c>
      <c r="F267" s="24"/>
      <c r="G267" s="24"/>
      <c r="H267" s="26" t="s">
        <v>1038</v>
      </c>
      <c r="I267" s="26" t="s">
        <v>1039</v>
      </c>
      <c r="J267" s="24"/>
      <c r="K267" s="24"/>
      <c r="L267" s="27"/>
      <c r="M267" s="27"/>
      <c r="N267" s="27"/>
      <c r="O267" s="27"/>
      <c r="P267" s="27"/>
      <c r="Q267" s="27"/>
      <c r="R267" s="27"/>
      <c r="S267" s="27"/>
    </row>
    <row r="268" ht="17.25" customHeight="1">
      <c r="A268" s="24"/>
      <c r="B268" s="23" t="s">
        <v>17</v>
      </c>
      <c r="C268" s="23" t="s">
        <v>1040</v>
      </c>
      <c r="D268" s="23" t="s">
        <v>36</v>
      </c>
      <c r="E268" s="23" t="s">
        <v>36</v>
      </c>
      <c r="F268" s="24"/>
      <c r="G268" s="24"/>
      <c r="H268" s="26" t="s">
        <v>1041</v>
      </c>
      <c r="I268" s="24"/>
      <c r="J268" s="24"/>
      <c r="K268" s="24"/>
      <c r="L268" s="27"/>
      <c r="M268" s="27"/>
      <c r="N268" s="27"/>
      <c r="O268" s="27"/>
      <c r="P268" s="27"/>
      <c r="Q268" s="27"/>
      <c r="R268" s="27"/>
      <c r="S268" s="27"/>
    </row>
    <row r="269" ht="17.25" customHeight="1">
      <c r="A269" s="24"/>
      <c r="B269" s="23" t="s">
        <v>20</v>
      </c>
      <c r="C269" s="28" t="s">
        <v>248</v>
      </c>
      <c r="D269" s="23" t="s">
        <v>36</v>
      </c>
      <c r="E269" s="23" t="s">
        <v>36</v>
      </c>
      <c r="F269" s="24"/>
      <c r="G269" s="24"/>
      <c r="H269" s="26" t="s">
        <v>1042</v>
      </c>
      <c r="I269" s="24"/>
      <c r="J269" s="24"/>
      <c r="K269" s="24"/>
      <c r="L269" s="27"/>
      <c r="M269" s="27"/>
      <c r="N269" s="27"/>
      <c r="O269" s="27"/>
      <c r="P269" s="27"/>
      <c r="Q269" s="27"/>
      <c r="R269" s="27"/>
      <c r="S269" s="27"/>
    </row>
    <row r="270" ht="17.25" customHeight="1">
      <c r="A270" s="24"/>
      <c r="B270" s="23" t="s">
        <v>20</v>
      </c>
      <c r="C270" s="28" t="s">
        <v>1043</v>
      </c>
      <c r="D270" s="23" t="s">
        <v>36</v>
      </c>
      <c r="E270" s="23" t="s">
        <v>36</v>
      </c>
      <c r="F270" s="24"/>
      <c r="G270" s="24"/>
      <c r="H270" s="26" t="s">
        <v>1044</v>
      </c>
      <c r="I270" s="24"/>
      <c r="J270" s="24"/>
      <c r="K270" s="24"/>
      <c r="L270" s="27"/>
      <c r="M270" s="27"/>
      <c r="N270" s="27"/>
      <c r="O270" s="27"/>
      <c r="P270" s="27"/>
      <c r="Q270" s="27"/>
      <c r="R270" s="27"/>
      <c r="S270" s="27"/>
    </row>
    <row r="271" ht="17.25" customHeight="1">
      <c r="A271" s="24"/>
      <c r="B271" s="23" t="s">
        <v>276</v>
      </c>
      <c r="C271" s="23" t="s">
        <v>1045</v>
      </c>
      <c r="D271" s="23" t="s">
        <v>36</v>
      </c>
      <c r="E271" s="23" t="s">
        <v>36</v>
      </c>
      <c r="F271" s="24"/>
      <c r="G271" s="24"/>
      <c r="H271" s="26" t="s">
        <v>1046</v>
      </c>
      <c r="I271" s="24"/>
      <c r="J271" s="24"/>
      <c r="K271" s="24"/>
      <c r="L271" s="27"/>
      <c r="M271" s="27"/>
      <c r="N271" s="27"/>
      <c r="O271" s="27"/>
      <c r="P271" s="27"/>
      <c r="Q271" s="27"/>
      <c r="R271" s="27"/>
      <c r="S271" s="27"/>
    </row>
    <row r="272" ht="17.25" customHeight="1">
      <c r="A272" s="24"/>
      <c r="B272" s="23" t="s">
        <v>20</v>
      </c>
      <c r="C272" s="23" t="s">
        <v>1047</v>
      </c>
      <c r="D272" s="23" t="s">
        <v>36</v>
      </c>
      <c r="E272" s="23" t="s">
        <v>36</v>
      </c>
      <c r="F272" s="24"/>
      <c r="G272" s="24"/>
      <c r="H272" s="26" t="s">
        <v>1048</v>
      </c>
      <c r="I272" s="39" t="s">
        <v>1049</v>
      </c>
      <c r="J272" s="24"/>
      <c r="K272" s="24"/>
      <c r="L272" s="27"/>
      <c r="M272" s="27"/>
      <c r="N272" s="27"/>
      <c r="O272" s="27"/>
      <c r="P272" s="27"/>
      <c r="Q272" s="27"/>
      <c r="R272" s="27"/>
      <c r="S272" s="27"/>
    </row>
    <row r="273" ht="17.25" customHeight="1">
      <c r="A273" s="24"/>
      <c r="B273" s="23" t="s">
        <v>20</v>
      </c>
      <c r="C273" s="23" t="s">
        <v>1050</v>
      </c>
      <c r="D273" s="23" t="s">
        <v>36</v>
      </c>
      <c r="E273" s="23" t="s">
        <v>36</v>
      </c>
      <c r="F273" s="24"/>
      <c r="G273" s="24"/>
      <c r="H273" s="24"/>
      <c r="I273" s="42"/>
      <c r="J273" s="26" t="s">
        <v>1051</v>
      </c>
      <c r="K273" s="24"/>
      <c r="L273" s="27"/>
      <c r="M273" s="27"/>
      <c r="N273" s="27"/>
      <c r="O273" s="27"/>
      <c r="P273" s="27"/>
      <c r="Q273" s="27"/>
      <c r="R273" s="27"/>
      <c r="S273" s="27"/>
    </row>
    <row r="274" ht="17.25" customHeight="1">
      <c r="A274" s="24"/>
      <c r="B274" s="23" t="s">
        <v>20</v>
      </c>
      <c r="C274" s="28" t="s">
        <v>1052</v>
      </c>
      <c r="D274" s="23" t="s">
        <v>36</v>
      </c>
      <c r="E274" s="23" t="s">
        <v>36</v>
      </c>
      <c r="F274" s="24"/>
      <c r="G274" s="24"/>
      <c r="H274" s="26" t="s">
        <v>1053</v>
      </c>
      <c r="I274" s="26" t="s">
        <v>1054</v>
      </c>
      <c r="J274" s="24"/>
      <c r="K274" s="24"/>
      <c r="L274" s="27"/>
      <c r="M274" s="27"/>
      <c r="N274" s="27"/>
      <c r="O274" s="27"/>
      <c r="P274" s="27"/>
      <c r="Q274" s="27"/>
      <c r="R274" s="27"/>
      <c r="S274" s="27"/>
    </row>
    <row r="275" ht="17.25" customHeight="1">
      <c r="A275" s="24"/>
      <c r="B275" s="23" t="s">
        <v>276</v>
      </c>
      <c r="C275" s="28" t="s">
        <v>1055</v>
      </c>
      <c r="D275" s="23" t="s">
        <v>36</v>
      </c>
      <c r="E275" s="23" t="s">
        <v>36</v>
      </c>
      <c r="F275" s="24"/>
      <c r="G275" s="24"/>
      <c r="H275" s="26" t="s">
        <v>1056</v>
      </c>
      <c r="I275" s="24"/>
      <c r="J275" s="24"/>
      <c r="K275" s="24"/>
      <c r="L275" s="27"/>
      <c r="M275" s="27"/>
      <c r="N275" s="27"/>
      <c r="O275" s="27"/>
      <c r="P275" s="27"/>
      <c r="Q275" s="27"/>
      <c r="R275" s="27"/>
      <c r="S275" s="27"/>
    </row>
    <row r="276" ht="17.25" customHeight="1">
      <c r="A276" s="24"/>
      <c r="B276" s="23" t="s">
        <v>20</v>
      </c>
      <c r="C276" s="28" t="s">
        <v>1057</v>
      </c>
      <c r="D276" s="23" t="s">
        <v>36</v>
      </c>
      <c r="E276" s="23" t="s">
        <v>36</v>
      </c>
      <c r="F276" s="24"/>
      <c r="G276" s="24"/>
      <c r="H276" s="26" t="s">
        <v>711</v>
      </c>
      <c r="I276" s="26" t="s">
        <v>1058</v>
      </c>
      <c r="J276" s="24"/>
      <c r="K276" s="24"/>
      <c r="L276" s="27"/>
      <c r="M276" s="27"/>
      <c r="N276" s="27"/>
      <c r="O276" s="27"/>
      <c r="P276" s="27"/>
      <c r="Q276" s="27"/>
      <c r="R276" s="27"/>
      <c r="S276" s="27"/>
    </row>
    <row r="277" ht="17.25" customHeight="1">
      <c r="A277" s="24"/>
      <c r="B277" s="23" t="s">
        <v>20</v>
      </c>
      <c r="C277" s="23" t="s">
        <v>1015</v>
      </c>
      <c r="D277" s="23" t="s">
        <v>36</v>
      </c>
      <c r="E277" s="23" t="s">
        <v>36</v>
      </c>
      <c r="F277" s="24"/>
      <c r="G277" s="24"/>
      <c r="H277" s="26" t="s">
        <v>1059</v>
      </c>
      <c r="I277" s="24"/>
      <c r="J277" s="24"/>
      <c r="K277" s="24"/>
      <c r="L277" s="27"/>
      <c r="M277" s="27"/>
      <c r="N277" s="27"/>
      <c r="O277" s="27"/>
      <c r="P277" s="27"/>
      <c r="Q277" s="27"/>
      <c r="R277" s="27"/>
      <c r="S277" s="27"/>
    </row>
    <row r="278" ht="17.25" customHeight="1">
      <c r="A278" s="24"/>
      <c r="B278" s="23" t="s">
        <v>20</v>
      </c>
      <c r="C278" s="23" t="s">
        <v>936</v>
      </c>
      <c r="D278" s="23" t="s">
        <v>36</v>
      </c>
      <c r="E278" s="23" t="s">
        <v>36</v>
      </c>
      <c r="F278" s="24"/>
      <c r="G278" s="24"/>
      <c r="H278" s="26" t="s">
        <v>1060</v>
      </c>
      <c r="I278" s="24"/>
      <c r="J278" s="24"/>
      <c r="K278" s="24"/>
      <c r="L278" s="27"/>
      <c r="M278" s="27"/>
      <c r="N278" s="27"/>
      <c r="O278" s="27"/>
      <c r="P278" s="27"/>
      <c r="Q278" s="27"/>
      <c r="R278" s="27"/>
      <c r="S278" s="27"/>
    </row>
    <row r="279" ht="17.25" customHeight="1">
      <c r="A279" s="24"/>
      <c r="B279" s="23" t="s">
        <v>20</v>
      </c>
      <c r="C279" s="23" t="s">
        <v>74</v>
      </c>
      <c r="D279" s="23" t="s">
        <v>36</v>
      </c>
      <c r="E279" s="23" t="s">
        <v>36</v>
      </c>
      <c r="F279" s="24"/>
      <c r="G279" s="24"/>
      <c r="H279" s="26" t="s">
        <v>1061</v>
      </c>
      <c r="I279" s="26" t="s">
        <v>1062</v>
      </c>
      <c r="J279" s="24"/>
      <c r="K279" s="24"/>
      <c r="L279" s="27"/>
      <c r="M279" s="27"/>
      <c r="N279" s="27"/>
      <c r="O279" s="27"/>
      <c r="P279" s="27"/>
      <c r="Q279" s="27"/>
      <c r="R279" s="27"/>
      <c r="S279" s="27"/>
    </row>
    <row r="280" ht="17.25" customHeight="1">
      <c r="A280" s="24"/>
      <c r="B280" s="23" t="s">
        <v>20</v>
      </c>
      <c r="C280" s="23" t="s">
        <v>1063</v>
      </c>
      <c r="D280" s="23" t="s">
        <v>36</v>
      </c>
      <c r="E280" s="23" t="s">
        <v>36</v>
      </c>
      <c r="F280" s="24"/>
      <c r="G280" s="24"/>
      <c r="H280" s="26" t="s">
        <v>1064</v>
      </c>
      <c r="I280" s="24"/>
      <c r="J280" s="24"/>
      <c r="K280" s="24"/>
      <c r="L280" s="27"/>
      <c r="M280" s="27"/>
      <c r="N280" s="27"/>
      <c r="O280" s="27"/>
      <c r="P280" s="27"/>
      <c r="Q280" s="27"/>
      <c r="R280" s="27"/>
      <c r="S280" s="27"/>
    </row>
    <row r="281" ht="17.25" customHeight="1">
      <c r="A281" s="24"/>
      <c r="B281" s="23" t="s">
        <v>20</v>
      </c>
      <c r="C281" s="23" t="s">
        <v>1065</v>
      </c>
      <c r="D281" s="23" t="s">
        <v>36</v>
      </c>
      <c r="E281" s="23" t="s">
        <v>36</v>
      </c>
      <c r="F281" s="24"/>
      <c r="G281" s="24"/>
      <c r="H281" s="26" t="s">
        <v>1066</v>
      </c>
      <c r="I281" s="26" t="s">
        <v>1067</v>
      </c>
      <c r="J281" s="24"/>
      <c r="K281" s="24"/>
      <c r="L281" s="27"/>
      <c r="M281" s="27"/>
      <c r="N281" s="27"/>
      <c r="O281" s="27"/>
      <c r="P281" s="27"/>
      <c r="Q281" s="27"/>
      <c r="R281" s="27"/>
      <c r="S281" s="27"/>
    </row>
    <row r="282" ht="17.25" customHeight="1">
      <c r="A282" s="24"/>
      <c r="B282" s="23" t="s">
        <v>20</v>
      </c>
      <c r="C282" s="23" t="s">
        <v>1068</v>
      </c>
      <c r="D282" s="23" t="s">
        <v>36</v>
      </c>
      <c r="E282" s="23" t="s">
        <v>36</v>
      </c>
      <c r="F282" s="24"/>
      <c r="G282" s="24"/>
      <c r="H282" s="26" t="s">
        <v>1069</v>
      </c>
      <c r="I282" s="24"/>
      <c r="J282" s="24"/>
      <c r="K282" s="24"/>
      <c r="L282" s="27"/>
      <c r="M282" s="27"/>
      <c r="N282" s="27"/>
      <c r="O282" s="27"/>
      <c r="P282" s="27"/>
      <c r="Q282" s="27"/>
      <c r="R282" s="27"/>
      <c r="S282" s="27"/>
    </row>
    <row r="283" ht="17.25" customHeight="1">
      <c r="A283" s="24"/>
      <c r="B283" s="23" t="s">
        <v>20</v>
      </c>
      <c r="C283" s="23" t="s">
        <v>717</v>
      </c>
      <c r="D283" s="23" t="s">
        <v>36</v>
      </c>
      <c r="E283" s="23" t="s">
        <v>36</v>
      </c>
      <c r="F283" s="24"/>
      <c r="G283" s="24"/>
      <c r="H283" s="26" t="s">
        <v>1070</v>
      </c>
      <c r="I283" s="24"/>
      <c r="J283" s="24"/>
      <c r="K283" s="24"/>
      <c r="L283" s="27"/>
      <c r="M283" s="27"/>
      <c r="N283" s="27"/>
      <c r="O283" s="27"/>
      <c r="P283" s="27"/>
      <c r="Q283" s="27"/>
      <c r="R283" s="27"/>
      <c r="S283" s="27"/>
    </row>
    <row r="284" ht="17.25" customHeight="1">
      <c r="A284" s="24"/>
      <c r="B284" s="23" t="s">
        <v>20</v>
      </c>
      <c r="C284" s="23" t="s">
        <v>306</v>
      </c>
      <c r="D284" s="23" t="s">
        <v>36</v>
      </c>
      <c r="E284" s="23" t="s">
        <v>36</v>
      </c>
      <c r="F284" s="23" t="s">
        <v>1071</v>
      </c>
      <c r="G284" s="24"/>
      <c r="H284" s="26" t="s">
        <v>1072</v>
      </c>
      <c r="I284" s="26" t="s">
        <v>1073</v>
      </c>
      <c r="J284" s="24"/>
      <c r="K284" s="24"/>
      <c r="L284" s="27"/>
      <c r="M284" s="27"/>
      <c r="N284" s="27"/>
      <c r="O284" s="27"/>
      <c r="P284" s="27"/>
      <c r="Q284" s="27"/>
      <c r="R284" s="27"/>
      <c r="S284" s="27"/>
    </row>
    <row r="285" ht="17.25" customHeight="1">
      <c r="A285" s="24"/>
      <c r="B285" s="23" t="s">
        <v>20</v>
      </c>
      <c r="C285" s="28" t="s">
        <v>1074</v>
      </c>
      <c r="D285" s="23" t="s">
        <v>36</v>
      </c>
      <c r="E285" s="23" t="s">
        <v>36</v>
      </c>
      <c r="F285" s="24"/>
      <c r="G285" s="24"/>
      <c r="H285" s="26" t="s">
        <v>1075</v>
      </c>
      <c r="I285" s="26" t="s">
        <v>1076</v>
      </c>
      <c r="J285" s="24"/>
      <c r="K285" s="24"/>
      <c r="L285" s="27"/>
      <c r="M285" s="27"/>
      <c r="N285" s="27"/>
      <c r="O285" s="27"/>
      <c r="P285" s="27"/>
      <c r="Q285" s="27"/>
      <c r="R285" s="27"/>
      <c r="S285" s="27"/>
    </row>
    <row r="286" ht="17.25" customHeight="1">
      <c r="A286" s="24"/>
      <c r="B286" s="23" t="s">
        <v>20</v>
      </c>
      <c r="C286" s="28" t="s">
        <v>1077</v>
      </c>
      <c r="D286" s="23" t="s">
        <v>36</v>
      </c>
      <c r="E286" s="23" t="s">
        <v>36</v>
      </c>
      <c r="F286" s="24"/>
      <c r="G286" s="24"/>
      <c r="H286" s="26" t="s">
        <v>1078</v>
      </c>
      <c r="I286" s="26" t="s">
        <v>1079</v>
      </c>
      <c r="J286" s="24"/>
      <c r="K286" s="24"/>
      <c r="L286" s="27"/>
      <c r="M286" s="27"/>
      <c r="N286" s="27"/>
      <c r="O286" s="27"/>
      <c r="P286" s="27"/>
      <c r="Q286" s="27"/>
      <c r="R286" s="27"/>
      <c r="S286" s="27"/>
    </row>
    <row r="287" ht="17.25" customHeight="1">
      <c r="A287" s="24"/>
      <c r="B287" s="23" t="s">
        <v>20</v>
      </c>
      <c r="C287" s="28" t="s">
        <v>1080</v>
      </c>
      <c r="D287" s="23" t="s">
        <v>36</v>
      </c>
      <c r="E287" s="23" t="s">
        <v>36</v>
      </c>
      <c r="F287" s="24"/>
      <c r="G287" s="24"/>
      <c r="H287" s="26" t="s">
        <v>1081</v>
      </c>
      <c r="I287" s="24"/>
      <c r="J287" s="24"/>
      <c r="K287" s="24"/>
      <c r="L287" s="27"/>
      <c r="M287" s="27"/>
      <c r="N287" s="27"/>
      <c r="O287" s="27"/>
      <c r="P287" s="27"/>
      <c r="Q287" s="27"/>
      <c r="R287" s="27"/>
      <c r="S287" s="27"/>
    </row>
    <row r="288" ht="17.25" customHeight="1">
      <c r="A288" s="24"/>
      <c r="B288" s="23" t="s">
        <v>20</v>
      </c>
      <c r="C288" s="23" t="s">
        <v>386</v>
      </c>
      <c r="D288" s="23" t="s">
        <v>36</v>
      </c>
      <c r="E288" s="23" t="s">
        <v>36</v>
      </c>
      <c r="F288" s="24"/>
      <c r="G288" s="24"/>
      <c r="H288" s="26" t="s">
        <v>1082</v>
      </c>
      <c r="I288" s="24"/>
      <c r="J288" s="24"/>
      <c r="K288" s="24"/>
      <c r="L288" s="27"/>
      <c r="M288" s="27"/>
      <c r="N288" s="27"/>
      <c r="O288" s="27"/>
      <c r="P288" s="27"/>
      <c r="Q288" s="27"/>
      <c r="R288" s="27"/>
      <c r="S288" s="27"/>
    </row>
    <row r="289" ht="17.25" customHeight="1">
      <c r="A289" s="24"/>
      <c r="B289" s="23" t="s">
        <v>20</v>
      </c>
      <c r="C289" s="23" t="s">
        <v>1083</v>
      </c>
      <c r="D289" s="23" t="s">
        <v>36</v>
      </c>
      <c r="E289" s="23" t="s">
        <v>36</v>
      </c>
      <c r="F289" s="24"/>
      <c r="G289" s="24"/>
      <c r="H289" s="26" t="s">
        <v>1084</v>
      </c>
      <c r="I289" s="24"/>
      <c r="J289" s="24"/>
      <c r="K289" s="24"/>
      <c r="L289" s="27"/>
      <c r="M289" s="27"/>
      <c r="N289" s="27"/>
      <c r="O289" s="27"/>
      <c r="P289" s="27"/>
      <c r="Q289" s="27"/>
      <c r="R289" s="27"/>
      <c r="S289" s="27"/>
    </row>
    <row r="290" ht="17.25" customHeight="1">
      <c r="A290" s="24"/>
      <c r="B290" s="23" t="s">
        <v>20</v>
      </c>
      <c r="C290" s="23" t="s">
        <v>1085</v>
      </c>
      <c r="D290" s="23" t="s">
        <v>36</v>
      </c>
      <c r="E290" s="23" t="s">
        <v>36</v>
      </c>
      <c r="F290" s="24"/>
      <c r="G290" s="24"/>
      <c r="H290" s="26" t="s">
        <v>1086</v>
      </c>
      <c r="I290" s="26" t="s">
        <v>1087</v>
      </c>
      <c r="J290" s="24"/>
      <c r="K290" s="24"/>
      <c r="L290" s="27"/>
      <c r="M290" s="27"/>
      <c r="N290" s="27"/>
      <c r="O290" s="27"/>
      <c r="P290" s="27"/>
      <c r="Q290" s="27"/>
      <c r="R290" s="27"/>
      <c r="S290" s="27"/>
    </row>
    <row r="291" ht="17.25" customHeight="1">
      <c r="A291" s="24"/>
      <c r="B291" s="23" t="s">
        <v>20</v>
      </c>
      <c r="C291" s="23" t="s">
        <v>1088</v>
      </c>
      <c r="D291" s="23" t="s">
        <v>36</v>
      </c>
      <c r="E291" s="23" t="s">
        <v>36</v>
      </c>
      <c r="F291" s="24"/>
      <c r="G291" s="24"/>
      <c r="H291" s="26" t="s">
        <v>1089</v>
      </c>
      <c r="I291" s="24"/>
      <c r="J291" s="26" t="s">
        <v>1090</v>
      </c>
      <c r="K291" s="24"/>
      <c r="L291" s="27"/>
      <c r="M291" s="27"/>
      <c r="N291" s="27"/>
      <c r="O291" s="27"/>
      <c r="P291" s="27"/>
      <c r="Q291" s="27"/>
      <c r="R291" s="27"/>
      <c r="S291" s="27"/>
    </row>
    <row r="292" ht="17.25" customHeight="1">
      <c r="A292" s="24"/>
      <c r="B292" s="23" t="s">
        <v>20</v>
      </c>
      <c r="C292" s="28" t="s">
        <v>1091</v>
      </c>
      <c r="D292" s="23" t="s">
        <v>36</v>
      </c>
      <c r="E292" s="23" t="s">
        <v>36</v>
      </c>
      <c r="F292" s="24"/>
      <c r="G292" s="24"/>
      <c r="H292" s="26" t="s">
        <v>1092</v>
      </c>
      <c r="I292" s="24"/>
      <c r="J292" s="24"/>
      <c r="K292" s="24"/>
      <c r="L292" s="27"/>
      <c r="M292" s="27"/>
      <c r="N292" s="27"/>
      <c r="O292" s="27"/>
      <c r="P292" s="27"/>
      <c r="Q292" s="27"/>
      <c r="R292" s="27"/>
      <c r="S292" s="27"/>
    </row>
    <row r="293" ht="17.25" customHeight="1">
      <c r="A293" s="24"/>
      <c r="B293" s="23" t="s">
        <v>102</v>
      </c>
      <c r="C293" s="23" t="s">
        <v>670</v>
      </c>
      <c r="D293" s="23" t="s">
        <v>36</v>
      </c>
      <c r="E293" s="23" t="s">
        <v>36</v>
      </c>
      <c r="F293" s="24"/>
      <c r="G293" s="24"/>
      <c r="H293" s="26" t="s">
        <v>1093</v>
      </c>
      <c r="I293" s="24"/>
      <c r="J293" s="26" t="s">
        <v>1094</v>
      </c>
      <c r="K293" s="24"/>
      <c r="L293" s="29" t="s">
        <v>1095</v>
      </c>
      <c r="M293" s="27"/>
      <c r="N293" s="27"/>
      <c r="O293" s="27"/>
      <c r="P293" s="27"/>
      <c r="Q293" s="27"/>
      <c r="R293" s="27"/>
      <c r="S293" s="27"/>
    </row>
    <row r="294" ht="17.25" customHeight="1">
      <c r="A294" s="24"/>
      <c r="B294" s="23" t="s">
        <v>102</v>
      </c>
      <c r="C294" s="23" t="s">
        <v>74</v>
      </c>
      <c r="D294" s="23" t="s">
        <v>36</v>
      </c>
      <c r="E294" s="23" t="s">
        <v>36</v>
      </c>
      <c r="F294" s="24"/>
      <c r="G294" s="24"/>
      <c r="H294" s="26" t="s">
        <v>1096</v>
      </c>
      <c r="I294" s="24"/>
      <c r="J294" s="24"/>
      <c r="K294" s="24"/>
      <c r="L294" s="29" t="s">
        <v>1097</v>
      </c>
      <c r="M294" s="27"/>
      <c r="N294" s="27"/>
      <c r="O294" s="27"/>
      <c r="P294" s="27"/>
      <c r="Q294" s="27"/>
      <c r="R294" s="27"/>
      <c r="S294" s="27"/>
    </row>
    <row r="295" ht="17.25" customHeight="1">
      <c r="A295" s="24"/>
      <c r="B295" s="23" t="s">
        <v>102</v>
      </c>
      <c r="C295" s="23" t="s">
        <v>727</v>
      </c>
      <c r="D295" s="23" t="s">
        <v>36</v>
      </c>
      <c r="E295" s="23" t="s">
        <v>36</v>
      </c>
      <c r="F295" s="24"/>
      <c r="G295" s="24"/>
      <c r="H295" s="26" t="s">
        <v>1098</v>
      </c>
      <c r="I295" s="24"/>
      <c r="J295" s="24"/>
      <c r="K295" s="24"/>
      <c r="L295" s="27"/>
      <c r="M295" s="27"/>
      <c r="N295" s="27"/>
      <c r="O295" s="27"/>
      <c r="P295" s="27"/>
      <c r="Q295" s="27"/>
      <c r="R295" s="27"/>
      <c r="S295" s="27"/>
    </row>
    <row r="296" ht="17.25" customHeight="1">
      <c r="A296" s="24"/>
      <c r="B296" s="23" t="s">
        <v>102</v>
      </c>
      <c r="C296" s="23" t="s">
        <v>1099</v>
      </c>
      <c r="D296" s="23" t="s">
        <v>36</v>
      </c>
      <c r="E296" s="23" t="s">
        <v>36</v>
      </c>
      <c r="F296" s="24"/>
      <c r="G296" s="24"/>
      <c r="H296" s="24"/>
      <c r="I296" s="26" t="s">
        <v>1100</v>
      </c>
      <c r="J296" s="24"/>
      <c r="K296" s="24"/>
      <c r="L296" s="27"/>
      <c r="M296" s="27"/>
      <c r="N296" s="27"/>
      <c r="O296" s="27"/>
      <c r="P296" s="27"/>
      <c r="Q296" s="27"/>
      <c r="R296" s="27"/>
      <c r="S296" s="27"/>
    </row>
    <row r="297" ht="17.25" customHeight="1">
      <c r="A297" s="24"/>
      <c r="B297" s="23" t="s">
        <v>20</v>
      </c>
      <c r="C297" s="23" t="s">
        <v>1101</v>
      </c>
      <c r="D297" s="23" t="s">
        <v>36</v>
      </c>
      <c r="E297" s="23" t="s">
        <v>36</v>
      </c>
      <c r="F297" s="24"/>
      <c r="G297" s="24"/>
      <c r="H297" s="24"/>
      <c r="I297" s="24"/>
      <c r="J297" s="26" t="s">
        <v>1102</v>
      </c>
      <c r="K297" s="24"/>
      <c r="L297" s="27"/>
      <c r="M297" s="27"/>
      <c r="N297" s="27"/>
      <c r="O297" s="27"/>
      <c r="P297" s="27"/>
      <c r="Q297" s="27"/>
      <c r="R297" s="27"/>
      <c r="S297" s="27"/>
    </row>
    <row r="298" ht="17.25" customHeight="1">
      <c r="A298" s="24"/>
      <c r="B298" s="23" t="s">
        <v>102</v>
      </c>
      <c r="C298" s="28" t="s">
        <v>1027</v>
      </c>
      <c r="D298" s="23" t="s">
        <v>36</v>
      </c>
      <c r="E298" s="23" t="s">
        <v>36</v>
      </c>
      <c r="F298" s="23" t="s">
        <v>1103</v>
      </c>
      <c r="G298" s="24"/>
      <c r="H298" s="26" t="s">
        <v>1104</v>
      </c>
      <c r="I298" s="26" t="s">
        <v>1105</v>
      </c>
      <c r="J298" s="24"/>
      <c r="K298" s="24"/>
      <c r="L298" s="27"/>
      <c r="M298" s="27"/>
      <c r="N298" s="27"/>
      <c r="O298" s="27"/>
      <c r="P298" s="27"/>
      <c r="Q298" s="27"/>
      <c r="R298" s="27"/>
      <c r="S298" s="27"/>
    </row>
    <row r="299" ht="17.25" customHeight="1">
      <c r="A299" s="24"/>
      <c r="B299" s="23" t="s">
        <v>20</v>
      </c>
      <c r="C299" s="28" t="s">
        <v>1106</v>
      </c>
      <c r="D299" s="23" t="s">
        <v>36</v>
      </c>
      <c r="E299" s="23" t="s">
        <v>36</v>
      </c>
      <c r="F299" s="24"/>
      <c r="G299" s="24"/>
      <c r="H299" s="26" t="s">
        <v>1107</v>
      </c>
      <c r="I299" s="24"/>
      <c r="J299" s="24"/>
      <c r="K299" s="24"/>
      <c r="L299" s="27"/>
      <c r="M299" s="27"/>
      <c r="N299" s="27"/>
      <c r="O299" s="27"/>
      <c r="P299" s="27"/>
      <c r="Q299" s="27"/>
      <c r="R299" s="27"/>
      <c r="S299" s="27"/>
    </row>
    <row r="300" ht="17.25" customHeight="1">
      <c r="A300" s="24"/>
      <c r="B300" s="23" t="s">
        <v>20</v>
      </c>
      <c r="C300" s="28" t="s">
        <v>1108</v>
      </c>
      <c r="D300" s="23" t="s">
        <v>36</v>
      </c>
      <c r="E300" s="23" t="s">
        <v>36</v>
      </c>
      <c r="F300" s="24"/>
      <c r="G300" s="24"/>
      <c r="H300" s="26" t="s">
        <v>1109</v>
      </c>
      <c r="I300" s="24"/>
      <c r="J300" s="24"/>
      <c r="K300" s="24"/>
      <c r="L300" s="27"/>
      <c r="M300" s="27"/>
      <c r="N300" s="27"/>
      <c r="O300" s="27"/>
      <c r="P300" s="27"/>
      <c r="Q300" s="27"/>
      <c r="R300" s="27"/>
      <c r="S300" s="27"/>
    </row>
    <row r="301" ht="17.25" customHeight="1">
      <c r="A301" s="24"/>
      <c r="B301" s="23" t="s">
        <v>20</v>
      </c>
      <c r="C301" s="23" t="s">
        <v>286</v>
      </c>
      <c r="D301" s="23" t="s">
        <v>36</v>
      </c>
      <c r="E301" s="23" t="s">
        <v>36</v>
      </c>
      <c r="F301" s="24"/>
      <c r="G301" s="24"/>
      <c r="H301" s="24"/>
      <c r="I301" s="26" t="s">
        <v>1110</v>
      </c>
      <c r="J301" s="24"/>
      <c r="K301" s="24"/>
      <c r="L301" s="27"/>
      <c r="M301" s="27"/>
      <c r="N301" s="27"/>
      <c r="O301" s="27"/>
      <c r="P301" s="27"/>
      <c r="Q301" s="27"/>
      <c r="R301" s="27"/>
      <c r="S301" s="27"/>
    </row>
    <row r="302" ht="17.25" customHeight="1">
      <c r="A302" s="24"/>
      <c r="B302" s="23" t="s">
        <v>20</v>
      </c>
      <c r="C302" s="23" t="s">
        <v>1111</v>
      </c>
      <c r="D302" s="23" t="s">
        <v>36</v>
      </c>
      <c r="E302" s="23" t="s">
        <v>36</v>
      </c>
      <c r="F302" s="24"/>
      <c r="G302" s="24"/>
      <c r="H302" s="26" t="s">
        <v>1112</v>
      </c>
      <c r="I302" s="26" t="s">
        <v>1113</v>
      </c>
      <c r="J302" s="24"/>
      <c r="K302" s="24"/>
      <c r="L302" s="27"/>
      <c r="M302" s="27"/>
      <c r="N302" s="27"/>
      <c r="O302" s="27"/>
      <c r="P302" s="27"/>
      <c r="Q302" s="27"/>
      <c r="R302" s="27"/>
      <c r="S302" s="27"/>
    </row>
    <row r="303" ht="17.25" customHeight="1">
      <c r="A303" s="24"/>
      <c r="B303" s="23" t="s">
        <v>20</v>
      </c>
      <c r="C303" s="23" t="s">
        <v>1114</v>
      </c>
      <c r="D303" s="23" t="s">
        <v>36</v>
      </c>
      <c r="E303" s="23" t="s">
        <v>36</v>
      </c>
      <c r="F303" s="24"/>
      <c r="G303" s="24"/>
      <c r="H303" s="31" t="s">
        <v>0</v>
      </c>
      <c r="I303" s="24"/>
      <c r="J303" s="26" t="s">
        <v>1115</v>
      </c>
      <c r="K303" s="24"/>
      <c r="L303" s="27"/>
      <c r="M303" s="27"/>
      <c r="N303" s="27"/>
      <c r="O303" s="27"/>
      <c r="P303" s="27"/>
      <c r="Q303" s="27"/>
      <c r="R303" s="27"/>
      <c r="S303" s="27"/>
    </row>
    <row r="304" ht="17.25" customHeight="1">
      <c r="A304" s="24"/>
      <c r="B304" s="23" t="s">
        <v>20</v>
      </c>
      <c r="C304" s="28" t="s">
        <v>1116</v>
      </c>
      <c r="D304" s="23" t="s">
        <v>36</v>
      </c>
      <c r="E304" s="23" t="s">
        <v>36</v>
      </c>
      <c r="F304" s="24"/>
      <c r="G304" s="24"/>
      <c r="H304" s="26" t="s">
        <v>1117</v>
      </c>
      <c r="I304" s="26" t="s">
        <v>1118</v>
      </c>
      <c r="J304" s="26" t="s">
        <v>1119</v>
      </c>
      <c r="K304" s="26" t="s">
        <v>1120</v>
      </c>
      <c r="L304" s="29" t="s">
        <v>1121</v>
      </c>
      <c r="M304" s="27"/>
      <c r="N304" s="27"/>
      <c r="O304" s="27"/>
      <c r="P304" s="27"/>
      <c r="Q304" s="27"/>
      <c r="R304" s="27"/>
      <c r="S304" s="27"/>
    </row>
    <row r="305" ht="17.25" customHeight="1">
      <c r="A305" s="24"/>
      <c r="B305" s="23" t="s">
        <v>276</v>
      </c>
      <c r="C305" s="28" t="s">
        <v>1122</v>
      </c>
      <c r="D305" s="23" t="s">
        <v>36</v>
      </c>
      <c r="E305" s="23" t="s">
        <v>36</v>
      </c>
      <c r="F305" s="24"/>
      <c r="G305" s="24"/>
      <c r="H305" s="26" t="s">
        <v>1123</v>
      </c>
      <c r="I305" s="26" t="s">
        <v>1124</v>
      </c>
      <c r="J305" s="26" t="s">
        <v>1125</v>
      </c>
      <c r="K305" s="24"/>
      <c r="L305" s="27"/>
      <c r="M305" s="27"/>
      <c r="N305" s="27"/>
      <c r="O305" s="27"/>
      <c r="P305" s="27"/>
      <c r="Q305" s="27"/>
      <c r="R305" s="27"/>
      <c r="S305" s="27"/>
    </row>
    <row r="306" ht="17.25" customHeight="1">
      <c r="A306" s="24"/>
      <c r="B306" s="23" t="s">
        <v>20</v>
      </c>
      <c r="C306" s="23" t="s">
        <v>763</v>
      </c>
      <c r="D306" s="23" t="s">
        <v>36</v>
      </c>
      <c r="E306" s="23" t="s">
        <v>36</v>
      </c>
      <c r="F306" s="24"/>
      <c r="G306" s="24"/>
      <c r="H306" s="26" t="s">
        <v>1126</v>
      </c>
      <c r="I306" s="24"/>
      <c r="J306" s="24"/>
      <c r="K306" s="24"/>
      <c r="L306" s="27"/>
      <c r="M306" s="27"/>
      <c r="N306" s="27"/>
      <c r="O306" s="27"/>
      <c r="P306" s="27"/>
      <c r="Q306" s="27"/>
      <c r="R306" s="27"/>
      <c r="S306" s="27"/>
    </row>
    <row r="307" ht="17.25" customHeight="1">
      <c r="A307" s="24"/>
      <c r="B307" s="23" t="s">
        <v>20</v>
      </c>
      <c r="C307" s="23" t="s">
        <v>347</v>
      </c>
      <c r="D307" s="23" t="s">
        <v>36</v>
      </c>
      <c r="E307" s="23" t="s">
        <v>36</v>
      </c>
      <c r="F307" s="24"/>
      <c r="G307" s="24"/>
      <c r="H307" s="26" t="s">
        <v>1127</v>
      </c>
      <c r="I307" s="26" t="s">
        <v>1128</v>
      </c>
      <c r="J307" s="24"/>
      <c r="K307" s="24"/>
      <c r="L307" s="27"/>
      <c r="M307" s="27"/>
      <c r="N307" s="27"/>
      <c r="O307" s="27"/>
      <c r="P307" s="27"/>
      <c r="Q307" s="27"/>
      <c r="R307" s="27"/>
      <c r="S307" s="27"/>
    </row>
    <row r="308" ht="17.25" customHeight="1">
      <c r="A308" s="24"/>
      <c r="B308" s="23" t="s">
        <v>20</v>
      </c>
      <c r="C308" s="23" t="s">
        <v>804</v>
      </c>
      <c r="D308" s="23" t="s">
        <v>36</v>
      </c>
      <c r="E308" s="23" t="s">
        <v>36</v>
      </c>
      <c r="F308" s="24"/>
      <c r="G308" s="24"/>
      <c r="H308" s="26" t="s">
        <v>1129</v>
      </c>
      <c r="I308" s="24"/>
      <c r="J308" s="24"/>
      <c r="K308" s="24"/>
      <c r="L308" s="27"/>
      <c r="M308" s="27"/>
      <c r="N308" s="27"/>
      <c r="O308" s="27"/>
      <c r="P308" s="27"/>
      <c r="Q308" s="27"/>
      <c r="R308" s="27"/>
      <c r="S308" s="27"/>
    </row>
    <row r="309" ht="17.25" customHeight="1">
      <c r="A309" s="24"/>
      <c r="B309" s="23" t="s">
        <v>20</v>
      </c>
      <c r="C309" s="23" t="s">
        <v>1130</v>
      </c>
      <c r="D309" s="23" t="s">
        <v>36</v>
      </c>
      <c r="E309" s="23" t="s">
        <v>36</v>
      </c>
      <c r="F309" s="24"/>
      <c r="G309" s="24"/>
      <c r="H309" s="26" t="s">
        <v>1131</v>
      </c>
      <c r="I309" s="24"/>
      <c r="J309" s="24"/>
      <c r="K309" s="24"/>
      <c r="L309" s="27"/>
      <c r="M309" s="27"/>
      <c r="N309" s="27"/>
      <c r="O309" s="27"/>
      <c r="P309" s="27"/>
      <c r="Q309" s="27"/>
      <c r="R309" s="27"/>
      <c r="S309" s="27"/>
    </row>
    <row r="310" ht="17.25" customHeight="1">
      <c r="A310" s="24"/>
      <c r="B310" s="23" t="s">
        <v>20</v>
      </c>
      <c r="C310" s="23" t="s">
        <v>1132</v>
      </c>
      <c r="D310" s="23" t="s">
        <v>36</v>
      </c>
      <c r="E310" s="23" t="s">
        <v>36</v>
      </c>
      <c r="F310" s="24"/>
      <c r="G310" s="24"/>
      <c r="H310" s="24"/>
      <c r="I310" s="24"/>
      <c r="J310" s="26" t="s">
        <v>1133</v>
      </c>
      <c r="K310" s="24"/>
      <c r="L310" s="27"/>
      <c r="M310" s="27"/>
      <c r="N310" s="27"/>
      <c r="O310" s="27"/>
      <c r="P310" s="27"/>
      <c r="Q310" s="27"/>
      <c r="R310" s="27"/>
      <c r="S310" s="27"/>
    </row>
    <row r="311" ht="17.25" customHeight="1">
      <c r="A311" s="24"/>
      <c r="B311" s="23" t="s">
        <v>20</v>
      </c>
      <c r="C311" s="23" t="s">
        <v>1134</v>
      </c>
      <c r="D311" s="23" t="s">
        <v>36</v>
      </c>
      <c r="E311" s="23" t="s">
        <v>36</v>
      </c>
      <c r="F311" s="24"/>
      <c r="G311" s="24"/>
      <c r="H311" s="26" t="s">
        <v>1135</v>
      </c>
      <c r="I311" s="26" t="s">
        <v>1136</v>
      </c>
      <c r="J311" s="24"/>
      <c r="K311" s="24"/>
      <c r="L311" s="27"/>
      <c r="M311" s="27"/>
      <c r="N311" s="27"/>
      <c r="O311" s="27"/>
      <c r="P311" s="27"/>
      <c r="Q311" s="27"/>
      <c r="R311" s="27"/>
      <c r="S311" s="27"/>
    </row>
    <row r="312" ht="17.25" customHeight="1">
      <c r="A312" s="24"/>
      <c r="B312" s="23" t="s">
        <v>20</v>
      </c>
      <c r="C312" s="23" t="s">
        <v>1137</v>
      </c>
      <c r="D312" s="23" t="s">
        <v>36</v>
      </c>
      <c r="E312" s="23" t="s">
        <v>36</v>
      </c>
      <c r="F312" s="24"/>
      <c r="G312" s="24"/>
      <c r="H312" s="26" t="s">
        <v>1138</v>
      </c>
      <c r="I312" s="26" t="s">
        <v>1139</v>
      </c>
      <c r="J312" s="24"/>
      <c r="K312" s="24"/>
      <c r="L312" s="27"/>
      <c r="M312" s="27"/>
      <c r="N312" s="27"/>
      <c r="O312" s="27"/>
      <c r="P312" s="27"/>
      <c r="Q312" s="27"/>
      <c r="R312" s="27"/>
      <c r="S312" s="27"/>
    </row>
    <row r="313" ht="17.25" customHeight="1">
      <c r="A313" s="24"/>
      <c r="B313" s="23" t="s">
        <v>20</v>
      </c>
      <c r="C313" s="28" t="s">
        <v>1140</v>
      </c>
      <c r="D313" s="23" t="s">
        <v>36</v>
      </c>
      <c r="E313" s="23" t="s">
        <v>36</v>
      </c>
      <c r="F313" s="24"/>
      <c r="G313" s="24"/>
      <c r="H313" s="26" t="s">
        <v>1141</v>
      </c>
      <c r="I313" s="24"/>
      <c r="J313" s="24"/>
      <c r="K313" s="24"/>
      <c r="L313" s="27"/>
      <c r="M313" s="27"/>
      <c r="N313" s="27"/>
      <c r="O313" s="27"/>
      <c r="P313" s="27"/>
      <c r="Q313" s="27"/>
      <c r="R313" s="27"/>
      <c r="S313" s="27"/>
    </row>
    <row r="314" ht="17.25" customHeight="1">
      <c r="A314" s="24"/>
      <c r="B314" s="23" t="s">
        <v>20</v>
      </c>
      <c r="C314" s="23" t="s">
        <v>1142</v>
      </c>
      <c r="D314" s="23" t="s">
        <v>36</v>
      </c>
      <c r="E314" s="23" t="s">
        <v>36</v>
      </c>
      <c r="F314" s="24"/>
      <c r="G314" s="24"/>
      <c r="H314" s="24"/>
      <c r="I314" s="24"/>
      <c r="J314" s="26" t="s">
        <v>1143</v>
      </c>
      <c r="K314" s="24"/>
      <c r="L314" s="27"/>
      <c r="M314" s="27"/>
      <c r="N314" s="27"/>
      <c r="O314" s="27"/>
      <c r="P314" s="27"/>
      <c r="Q314" s="27"/>
      <c r="R314" s="27"/>
      <c r="S314" s="27"/>
    </row>
    <row r="315" ht="17.25" customHeight="1">
      <c r="A315" s="24"/>
      <c r="B315" s="23" t="s">
        <v>20</v>
      </c>
      <c r="C315" s="23" t="s">
        <v>1144</v>
      </c>
      <c r="D315" s="23" t="s">
        <v>36</v>
      </c>
      <c r="E315" s="23" t="s">
        <v>36</v>
      </c>
      <c r="F315" s="24"/>
      <c r="G315" s="24"/>
      <c r="H315" s="26" t="s">
        <v>1145</v>
      </c>
      <c r="I315" s="24"/>
      <c r="J315" s="26" t="s">
        <v>1146</v>
      </c>
      <c r="K315" s="24"/>
      <c r="L315" s="27"/>
      <c r="M315" s="27"/>
      <c r="N315" s="27"/>
      <c r="O315" s="27"/>
      <c r="P315" s="27"/>
      <c r="Q315" s="27"/>
      <c r="R315" s="27"/>
      <c r="S315" s="27"/>
    </row>
    <row r="316" ht="17.25" customHeight="1">
      <c r="A316" s="24"/>
      <c r="B316" s="23" t="s">
        <v>20</v>
      </c>
      <c r="C316" s="28" t="s">
        <v>1147</v>
      </c>
      <c r="D316" s="23" t="s">
        <v>36</v>
      </c>
      <c r="E316" s="23" t="s">
        <v>36</v>
      </c>
      <c r="F316" s="24"/>
      <c r="G316" s="24"/>
      <c r="H316" s="26" t="s">
        <v>1148</v>
      </c>
      <c r="I316" s="24"/>
      <c r="J316" s="26" t="s">
        <v>1149</v>
      </c>
      <c r="K316" s="24"/>
      <c r="L316" s="27"/>
      <c r="M316" s="27"/>
      <c r="N316" s="27"/>
      <c r="O316" s="27"/>
      <c r="P316" s="27"/>
      <c r="Q316" s="27"/>
      <c r="R316" s="27"/>
      <c r="S316" s="27"/>
    </row>
    <row r="317" ht="17.25" customHeight="1">
      <c r="A317" s="24"/>
      <c r="B317" s="23" t="s">
        <v>20</v>
      </c>
      <c r="C317" s="28" t="s">
        <v>1150</v>
      </c>
      <c r="D317" s="23" t="s">
        <v>36</v>
      </c>
      <c r="E317" s="23" t="s">
        <v>36</v>
      </c>
      <c r="F317" s="24"/>
      <c r="G317" s="24"/>
      <c r="H317" s="26" t="s">
        <v>1151</v>
      </c>
      <c r="I317" s="24"/>
      <c r="J317" s="24"/>
      <c r="K317" s="24"/>
      <c r="L317" s="27"/>
      <c r="M317" s="27"/>
      <c r="N317" s="27"/>
      <c r="O317" s="27"/>
      <c r="P317" s="27"/>
      <c r="Q317" s="27"/>
      <c r="R317" s="27"/>
      <c r="S317" s="27"/>
    </row>
    <row r="318" ht="17.25" customHeight="1">
      <c r="A318" s="24"/>
      <c r="B318" s="23" t="s">
        <v>20</v>
      </c>
      <c r="C318" s="28" t="s">
        <v>1152</v>
      </c>
      <c r="D318" s="23" t="s">
        <v>36</v>
      </c>
      <c r="E318" s="23" t="s">
        <v>36</v>
      </c>
      <c r="F318" s="24"/>
      <c r="G318" s="24"/>
      <c r="H318" s="26" t="s">
        <v>1153</v>
      </c>
      <c r="I318" s="39" t="s">
        <v>1154</v>
      </c>
      <c r="J318" s="24"/>
      <c r="K318" s="24"/>
      <c r="L318" s="27"/>
      <c r="M318" s="27"/>
      <c r="N318" s="27"/>
      <c r="O318" s="27"/>
      <c r="P318" s="27"/>
      <c r="Q318" s="27"/>
      <c r="R318" s="27"/>
      <c r="S318" s="27"/>
    </row>
    <row r="319" ht="17.25" customHeight="1">
      <c r="A319" s="24"/>
      <c r="B319" s="23" t="s">
        <v>20</v>
      </c>
      <c r="C319" s="28" t="s">
        <v>1155</v>
      </c>
      <c r="D319" s="23" t="s">
        <v>36</v>
      </c>
      <c r="E319" s="23" t="s">
        <v>36</v>
      </c>
      <c r="F319" s="24"/>
      <c r="G319" s="24"/>
      <c r="H319" s="26" t="s">
        <v>1156</v>
      </c>
      <c r="I319" s="26" t="s">
        <v>1157</v>
      </c>
      <c r="J319" s="24"/>
      <c r="K319" s="24"/>
      <c r="L319" s="27"/>
      <c r="M319" s="27"/>
      <c r="N319" s="27"/>
      <c r="O319" s="27"/>
      <c r="P319" s="27"/>
      <c r="Q319" s="27"/>
      <c r="R319" s="27"/>
      <c r="S319" s="27"/>
    </row>
    <row r="320" ht="17.25" customHeight="1">
      <c r="A320" s="24"/>
      <c r="B320" s="23" t="s">
        <v>20</v>
      </c>
      <c r="C320" s="23" t="s">
        <v>1158</v>
      </c>
      <c r="D320" s="23" t="s">
        <v>36</v>
      </c>
      <c r="E320" s="23" t="s">
        <v>36</v>
      </c>
      <c r="F320" s="24"/>
      <c r="G320" s="24"/>
      <c r="H320" s="24"/>
      <c r="I320" s="24"/>
      <c r="J320" s="26" t="s">
        <v>1159</v>
      </c>
      <c r="K320" s="24"/>
      <c r="L320" s="43" t="s">
        <v>1160</v>
      </c>
      <c r="M320" s="27"/>
      <c r="N320" s="27"/>
      <c r="O320" s="27"/>
      <c r="P320" s="27"/>
      <c r="Q320" s="27"/>
      <c r="R320" s="27"/>
      <c r="S320" s="27"/>
    </row>
    <row r="321" ht="17.25" customHeight="1">
      <c r="A321" s="24"/>
      <c r="B321" s="23" t="s">
        <v>20</v>
      </c>
      <c r="C321" s="23" t="s">
        <v>963</v>
      </c>
      <c r="D321" s="23" t="s">
        <v>36</v>
      </c>
      <c r="E321" s="23" t="s">
        <v>36</v>
      </c>
      <c r="F321" s="24"/>
      <c r="G321" s="24"/>
      <c r="H321" s="26" t="s">
        <v>1161</v>
      </c>
      <c r="I321" s="26" t="s">
        <v>1162</v>
      </c>
      <c r="J321" s="24"/>
      <c r="K321" s="24"/>
      <c r="L321" s="27"/>
      <c r="M321" s="27"/>
      <c r="N321" s="27"/>
      <c r="O321" s="27"/>
      <c r="P321" s="27"/>
      <c r="Q321" s="27"/>
      <c r="R321" s="27"/>
      <c r="S321" s="27"/>
    </row>
    <row r="322" ht="17.25" customHeight="1">
      <c r="A322" s="24"/>
      <c r="B322" s="23" t="s">
        <v>720</v>
      </c>
      <c r="C322" s="23" t="s">
        <v>1163</v>
      </c>
      <c r="D322" s="23" t="s">
        <v>36</v>
      </c>
      <c r="E322" s="23" t="s">
        <v>36</v>
      </c>
      <c r="F322" s="24"/>
      <c r="G322" s="24"/>
      <c r="H322" s="26" t="s">
        <v>1164</v>
      </c>
      <c r="I322" s="24"/>
      <c r="J322" s="24"/>
      <c r="K322" s="24"/>
      <c r="L322" s="27"/>
      <c r="M322" s="27"/>
      <c r="N322" s="27"/>
      <c r="O322" s="27"/>
      <c r="P322" s="27"/>
      <c r="Q322" s="27"/>
      <c r="R322" s="27"/>
      <c r="S322" s="27"/>
    </row>
    <row r="323" ht="17.25" customHeight="1">
      <c r="A323" s="24"/>
      <c r="B323" s="23" t="s">
        <v>20</v>
      </c>
      <c r="C323" s="28" t="s">
        <v>1165</v>
      </c>
      <c r="D323" s="23" t="s">
        <v>36</v>
      </c>
      <c r="E323" s="23" t="s">
        <v>36</v>
      </c>
      <c r="F323" s="24"/>
      <c r="G323" s="24"/>
      <c r="H323" s="26" t="s">
        <v>1166</v>
      </c>
      <c r="I323" s="26" t="s">
        <v>1167</v>
      </c>
      <c r="J323" s="24"/>
      <c r="K323" s="24"/>
      <c r="L323" s="27"/>
      <c r="M323" s="27"/>
      <c r="N323" s="27"/>
      <c r="O323" s="27"/>
      <c r="P323" s="27"/>
      <c r="Q323" s="27"/>
      <c r="R323" s="27"/>
      <c r="S323" s="27"/>
    </row>
    <row r="324" ht="17.25" customHeight="1">
      <c r="A324" s="24"/>
      <c r="B324" s="23" t="s">
        <v>20</v>
      </c>
      <c r="C324" s="28" t="s">
        <v>1168</v>
      </c>
      <c r="D324" s="23" t="s">
        <v>36</v>
      </c>
      <c r="E324" s="23" t="s">
        <v>36</v>
      </c>
      <c r="F324" s="24"/>
      <c r="G324" s="24"/>
      <c r="H324" s="26" t="s">
        <v>1169</v>
      </c>
      <c r="I324" s="24"/>
      <c r="J324" s="26" t="s">
        <v>1170</v>
      </c>
      <c r="K324" s="24"/>
      <c r="L324" s="27"/>
      <c r="M324" s="27"/>
      <c r="N324" s="27"/>
      <c r="O324" s="27"/>
      <c r="P324" s="27"/>
      <c r="Q324" s="27"/>
      <c r="R324" s="27"/>
      <c r="S324" s="27"/>
    </row>
    <row r="325" ht="17.25" customHeight="1">
      <c r="A325" s="24"/>
      <c r="B325" s="23" t="s">
        <v>20</v>
      </c>
      <c r="C325" s="28" t="s">
        <v>1171</v>
      </c>
      <c r="D325" s="23" t="s">
        <v>36</v>
      </c>
      <c r="E325" s="23" t="s">
        <v>36</v>
      </c>
      <c r="F325" s="24"/>
      <c r="G325" s="24"/>
      <c r="H325" s="26" t="s">
        <v>1172</v>
      </c>
      <c r="I325" s="26" t="s">
        <v>1173</v>
      </c>
      <c r="J325" s="24"/>
      <c r="K325" s="24"/>
      <c r="L325" s="27"/>
      <c r="M325" s="27"/>
      <c r="N325" s="27"/>
      <c r="O325" s="27"/>
      <c r="P325" s="27"/>
      <c r="Q325" s="27"/>
      <c r="R325" s="27"/>
      <c r="S325" s="27"/>
    </row>
    <row r="326" ht="17.25" customHeight="1">
      <c r="A326" s="24"/>
      <c r="B326" s="23" t="s">
        <v>20</v>
      </c>
      <c r="C326" s="28" t="s">
        <v>1174</v>
      </c>
      <c r="D326" s="23" t="s">
        <v>36</v>
      </c>
      <c r="E326" s="23" t="s">
        <v>36</v>
      </c>
      <c r="F326" s="24"/>
      <c r="G326" s="24"/>
      <c r="H326" s="26" t="s">
        <v>1175</v>
      </c>
      <c r="I326" s="26" t="s">
        <v>1176</v>
      </c>
      <c r="J326" s="24"/>
      <c r="K326" s="24"/>
      <c r="L326" s="27"/>
      <c r="M326" s="27"/>
      <c r="N326" s="27"/>
      <c r="O326" s="27"/>
      <c r="P326" s="27"/>
      <c r="Q326" s="27"/>
      <c r="R326" s="27"/>
      <c r="S326" s="27"/>
    </row>
    <row r="327" ht="17.25" customHeight="1">
      <c r="A327" s="24"/>
      <c r="B327" s="23" t="s">
        <v>20</v>
      </c>
      <c r="C327" s="23" t="s">
        <v>1177</v>
      </c>
      <c r="D327" s="23" t="s">
        <v>36</v>
      </c>
      <c r="E327" s="23" t="s">
        <v>36</v>
      </c>
      <c r="F327" s="24"/>
      <c r="G327" s="24"/>
      <c r="H327" s="26" t="s">
        <v>1178</v>
      </c>
      <c r="I327" s="26" t="s">
        <v>1179</v>
      </c>
      <c r="J327" s="24"/>
      <c r="K327" s="24"/>
      <c r="L327" s="27"/>
      <c r="M327" s="27"/>
      <c r="N327" s="27"/>
      <c r="O327" s="27"/>
      <c r="P327" s="27"/>
      <c r="Q327" s="27"/>
      <c r="R327" s="27"/>
      <c r="S327" s="27"/>
    </row>
    <row r="328" ht="17.25" customHeight="1">
      <c r="A328" s="24"/>
      <c r="B328" s="23" t="s">
        <v>20</v>
      </c>
      <c r="C328" s="23" t="s">
        <v>1180</v>
      </c>
      <c r="D328" s="23" t="s">
        <v>36</v>
      </c>
      <c r="E328" s="23" t="s">
        <v>36</v>
      </c>
      <c r="F328" s="24"/>
      <c r="G328" s="24"/>
      <c r="H328" s="26" t="s">
        <v>1181</v>
      </c>
      <c r="I328" s="26" t="s">
        <v>1182</v>
      </c>
      <c r="J328" s="24"/>
      <c r="K328" s="24"/>
      <c r="L328" s="27"/>
      <c r="M328" s="27"/>
      <c r="N328" s="27"/>
      <c r="O328" s="27"/>
      <c r="P328" s="27"/>
      <c r="Q328" s="27"/>
      <c r="R328" s="27"/>
      <c r="S328" s="27"/>
    </row>
    <row r="329" ht="17.25" customHeight="1">
      <c r="A329" s="24"/>
      <c r="B329" s="23" t="s">
        <v>20</v>
      </c>
      <c r="C329" s="23" t="s">
        <v>356</v>
      </c>
      <c r="D329" s="23" t="s">
        <v>36</v>
      </c>
      <c r="E329" s="23" t="s">
        <v>36</v>
      </c>
      <c r="F329" s="24"/>
      <c r="G329" s="24"/>
      <c r="H329" s="26" t="s">
        <v>1183</v>
      </c>
      <c r="I329" s="26" t="s">
        <v>1184</v>
      </c>
      <c r="J329" s="24"/>
      <c r="K329" s="24"/>
      <c r="L329" s="27"/>
      <c r="M329" s="27"/>
      <c r="N329" s="27"/>
      <c r="O329" s="27"/>
      <c r="P329" s="27"/>
      <c r="Q329" s="27"/>
      <c r="R329" s="27"/>
      <c r="S329" s="27"/>
    </row>
    <row r="330" ht="17.25" customHeight="1">
      <c r="A330" s="24"/>
      <c r="B330" s="23" t="s">
        <v>20</v>
      </c>
      <c r="C330" s="28" t="s">
        <v>1185</v>
      </c>
      <c r="D330" s="23" t="s">
        <v>36</v>
      </c>
      <c r="E330" s="23" t="s">
        <v>36</v>
      </c>
      <c r="F330" s="24"/>
      <c r="G330" s="24"/>
      <c r="H330" s="26" t="s">
        <v>1186</v>
      </c>
      <c r="I330" s="24"/>
      <c r="J330" s="24"/>
      <c r="K330" s="24"/>
      <c r="L330" s="27"/>
      <c r="M330" s="27"/>
      <c r="N330" s="27"/>
      <c r="O330" s="27"/>
      <c r="P330" s="27"/>
      <c r="Q330" s="27"/>
      <c r="R330" s="27"/>
      <c r="S330" s="27"/>
    </row>
    <row r="331" ht="17.25" customHeight="1">
      <c r="A331" s="24"/>
      <c r="B331" s="23" t="s">
        <v>720</v>
      </c>
      <c r="C331" s="23" t="s">
        <v>1187</v>
      </c>
      <c r="D331" s="23" t="s">
        <v>36</v>
      </c>
      <c r="E331" s="23" t="s">
        <v>36</v>
      </c>
      <c r="F331" s="24"/>
      <c r="G331" s="24"/>
      <c r="H331" s="24"/>
      <c r="I331" s="24"/>
      <c r="J331" s="26" t="s">
        <v>1188</v>
      </c>
      <c r="K331" s="24"/>
      <c r="L331" s="27"/>
      <c r="M331" s="27"/>
      <c r="N331" s="27"/>
      <c r="O331" s="27"/>
      <c r="P331" s="27"/>
      <c r="Q331" s="27"/>
      <c r="R331" s="27"/>
      <c r="S331" s="27"/>
    </row>
    <row r="332" ht="17.25" customHeight="1">
      <c r="A332" s="24"/>
      <c r="B332" s="23" t="s">
        <v>20</v>
      </c>
      <c r="C332" s="23" t="s">
        <v>1189</v>
      </c>
      <c r="D332" s="23" t="s">
        <v>36</v>
      </c>
      <c r="E332" s="23" t="s">
        <v>36</v>
      </c>
      <c r="F332" s="24"/>
      <c r="G332" s="24"/>
      <c r="H332" s="26" t="s">
        <v>1190</v>
      </c>
      <c r="I332" s="26" t="s">
        <v>1191</v>
      </c>
      <c r="J332" s="24"/>
      <c r="K332" s="24"/>
      <c r="L332" s="27"/>
      <c r="M332" s="27"/>
      <c r="N332" s="27"/>
      <c r="O332" s="27"/>
      <c r="P332" s="27"/>
      <c r="Q332" s="27"/>
      <c r="R332" s="27"/>
      <c r="S332" s="27"/>
    </row>
    <row r="333" ht="17.25" customHeight="1">
      <c r="A333" s="24"/>
      <c r="B333" s="23" t="s">
        <v>102</v>
      </c>
      <c r="C333" s="23" t="s">
        <v>690</v>
      </c>
      <c r="D333" s="23" t="s">
        <v>36</v>
      </c>
      <c r="E333" s="23" t="s">
        <v>36</v>
      </c>
      <c r="F333" s="24"/>
      <c r="G333" s="24"/>
      <c r="H333" s="26" t="s">
        <v>1192</v>
      </c>
      <c r="I333" s="26" t="s">
        <v>1193</v>
      </c>
      <c r="J333" s="24"/>
      <c r="K333" s="24"/>
      <c r="L333" s="27"/>
      <c r="M333" s="27"/>
      <c r="N333" s="27"/>
      <c r="O333" s="27"/>
      <c r="P333" s="27"/>
      <c r="Q333" s="27"/>
      <c r="R333" s="27"/>
      <c r="S333" s="27"/>
    </row>
    <row r="334" ht="17.25" customHeight="1">
      <c r="A334" s="24"/>
      <c r="B334" s="23" t="s">
        <v>20</v>
      </c>
      <c r="C334" s="28" t="s">
        <v>1194</v>
      </c>
      <c r="D334" s="23" t="s">
        <v>36</v>
      </c>
      <c r="E334" s="23" t="s">
        <v>36</v>
      </c>
      <c r="F334" s="24"/>
      <c r="G334" s="24"/>
      <c r="H334" s="26" t="s">
        <v>1195</v>
      </c>
      <c r="I334" s="24"/>
      <c r="J334" s="24"/>
      <c r="K334" s="24"/>
      <c r="L334" s="27"/>
      <c r="M334" s="27"/>
      <c r="N334" s="27"/>
      <c r="O334" s="27"/>
      <c r="P334" s="27"/>
      <c r="Q334" s="27"/>
      <c r="R334" s="27"/>
      <c r="S334" s="27"/>
    </row>
    <row r="335" ht="17.25" customHeight="1">
      <c r="A335" s="24"/>
      <c r="B335" s="23" t="s">
        <v>20</v>
      </c>
      <c r="C335" s="23" t="s">
        <v>1196</v>
      </c>
      <c r="D335" s="23" t="s">
        <v>36</v>
      </c>
      <c r="E335" s="23" t="s">
        <v>36</v>
      </c>
      <c r="F335" s="24"/>
      <c r="G335" s="24"/>
      <c r="H335" s="26" t="s">
        <v>1197</v>
      </c>
      <c r="I335" s="26" t="s">
        <v>1198</v>
      </c>
      <c r="J335" s="24"/>
      <c r="K335" s="24"/>
      <c r="L335" s="27"/>
      <c r="M335" s="27"/>
      <c r="N335" s="27"/>
      <c r="O335" s="27"/>
      <c r="P335" s="27"/>
      <c r="Q335" s="27"/>
      <c r="R335" s="27"/>
      <c r="S335" s="27"/>
    </row>
    <row r="336" ht="17.25" customHeight="1">
      <c r="A336" s="24"/>
      <c r="B336" s="23" t="s">
        <v>20</v>
      </c>
      <c r="C336" s="40" t="s">
        <v>1199</v>
      </c>
      <c r="D336" s="23" t="s">
        <v>36</v>
      </c>
      <c r="E336" s="23" t="s">
        <v>36</v>
      </c>
      <c r="F336" s="24"/>
      <c r="G336" s="24"/>
      <c r="H336" s="26" t="s">
        <v>1200</v>
      </c>
      <c r="I336" s="24"/>
      <c r="J336" s="24"/>
      <c r="K336" s="24"/>
      <c r="L336" s="27"/>
      <c r="M336" s="27"/>
      <c r="N336" s="27"/>
      <c r="O336" s="27"/>
      <c r="P336" s="27"/>
      <c r="Q336" s="27"/>
      <c r="R336" s="27"/>
      <c r="S336" s="27"/>
    </row>
    <row r="337" ht="17.25" customHeight="1">
      <c r="A337" s="24"/>
      <c r="B337" s="23" t="s">
        <v>20</v>
      </c>
      <c r="C337" s="23" t="s">
        <v>1201</v>
      </c>
      <c r="D337" s="23" t="s">
        <v>36</v>
      </c>
      <c r="E337" s="23" t="s">
        <v>36</v>
      </c>
      <c r="F337" s="24"/>
      <c r="G337" s="24"/>
      <c r="H337" s="26" t="s">
        <v>1202</v>
      </c>
      <c r="I337" s="26" t="s">
        <v>1203</v>
      </c>
      <c r="J337" s="24"/>
      <c r="K337" s="24"/>
      <c r="L337" s="27"/>
      <c r="M337" s="27"/>
      <c r="N337" s="27"/>
      <c r="O337" s="27"/>
      <c r="P337" s="27"/>
      <c r="Q337" s="27"/>
      <c r="R337" s="27"/>
      <c r="S337" s="27"/>
    </row>
    <row r="338" ht="17.25" customHeight="1">
      <c r="A338" s="24"/>
      <c r="B338" s="23" t="s">
        <v>720</v>
      </c>
      <c r="C338" s="23" t="s">
        <v>678</v>
      </c>
      <c r="D338" s="23" t="s">
        <v>36</v>
      </c>
      <c r="E338" s="23" t="s">
        <v>36</v>
      </c>
      <c r="F338" s="24"/>
      <c r="G338" s="24"/>
      <c r="H338" s="26" t="s">
        <v>1204</v>
      </c>
      <c r="I338" s="24"/>
      <c r="J338" s="26" t="s">
        <v>1205</v>
      </c>
      <c r="K338" s="24"/>
      <c r="L338" s="27"/>
      <c r="M338" s="27"/>
      <c r="N338" s="27"/>
      <c r="O338" s="27"/>
      <c r="P338" s="27"/>
      <c r="Q338" s="27"/>
      <c r="R338" s="27"/>
      <c r="S338" s="27"/>
    </row>
    <row r="339" ht="17.25" customHeight="1">
      <c r="A339" s="24"/>
      <c r="B339" s="23" t="s">
        <v>1206</v>
      </c>
      <c r="C339" s="23" t="s">
        <v>1207</v>
      </c>
      <c r="D339" s="23" t="s">
        <v>36</v>
      </c>
      <c r="E339" s="23" t="s">
        <v>36</v>
      </c>
      <c r="F339" s="24"/>
      <c r="G339" s="24"/>
      <c r="H339" s="26" t="s">
        <v>1208</v>
      </c>
      <c r="I339" s="24"/>
      <c r="J339" s="24"/>
      <c r="K339" s="24"/>
      <c r="L339" s="29" t="s">
        <v>1209</v>
      </c>
      <c r="M339" s="27"/>
      <c r="N339" s="27"/>
      <c r="O339" s="27"/>
      <c r="P339" s="27"/>
      <c r="Q339" s="27"/>
      <c r="R339" s="27"/>
      <c r="S339" s="27"/>
    </row>
    <row r="340" ht="17.25" customHeight="1">
      <c r="A340" s="24"/>
      <c r="B340" s="23" t="s">
        <v>20</v>
      </c>
      <c r="C340" s="23" t="s">
        <v>1210</v>
      </c>
      <c r="D340" s="23" t="s">
        <v>36</v>
      </c>
      <c r="E340" s="23" t="s">
        <v>36</v>
      </c>
      <c r="F340" s="24"/>
      <c r="G340" s="24"/>
      <c r="H340" s="24"/>
      <c r="I340" s="24"/>
      <c r="J340" s="26" t="s">
        <v>1211</v>
      </c>
      <c r="K340" s="24"/>
      <c r="L340" s="27"/>
      <c r="M340" s="27"/>
      <c r="N340" s="27"/>
      <c r="O340" s="27"/>
      <c r="P340" s="27"/>
      <c r="Q340" s="27"/>
      <c r="R340" s="27"/>
      <c r="S340" s="27"/>
    </row>
    <row r="341" ht="17.25" customHeight="1">
      <c r="A341" s="24"/>
      <c r="B341" s="23" t="s">
        <v>20</v>
      </c>
      <c r="C341" s="23" t="s">
        <v>1212</v>
      </c>
      <c r="D341" s="23" t="s">
        <v>36</v>
      </c>
      <c r="E341" s="23" t="s">
        <v>36</v>
      </c>
      <c r="F341" s="24"/>
      <c r="G341" s="24"/>
      <c r="H341" s="26" t="s">
        <v>1213</v>
      </c>
      <c r="I341" s="26" t="s">
        <v>1214</v>
      </c>
      <c r="J341" s="24"/>
      <c r="K341" s="24"/>
      <c r="L341" s="27"/>
      <c r="M341" s="27"/>
      <c r="N341" s="27"/>
      <c r="O341" s="27"/>
      <c r="P341" s="27"/>
      <c r="Q341" s="27"/>
      <c r="R341" s="27"/>
      <c r="S341" s="27"/>
    </row>
    <row r="342" ht="17.25" customHeight="1">
      <c r="A342" s="24"/>
      <c r="B342" s="23" t="s">
        <v>20</v>
      </c>
      <c r="C342" s="23" t="s">
        <v>1215</v>
      </c>
      <c r="D342" s="23" t="s">
        <v>36</v>
      </c>
      <c r="E342" s="23" t="s">
        <v>36</v>
      </c>
      <c r="F342" s="24"/>
      <c r="G342" s="24"/>
      <c r="H342" s="26" t="s">
        <v>1216</v>
      </c>
      <c r="I342" s="24"/>
      <c r="J342" s="24"/>
      <c r="K342" s="24"/>
      <c r="L342" s="27"/>
      <c r="M342" s="27"/>
      <c r="N342" s="27"/>
      <c r="O342" s="27"/>
      <c r="P342" s="27"/>
      <c r="Q342" s="27"/>
      <c r="R342" s="27"/>
      <c r="S342" s="27"/>
    </row>
    <row r="343" ht="17.25" customHeight="1">
      <c r="A343" s="24"/>
      <c r="B343" s="23" t="s">
        <v>20</v>
      </c>
      <c r="C343" s="40" t="s">
        <v>1217</v>
      </c>
      <c r="D343" s="23" t="s">
        <v>36</v>
      </c>
      <c r="E343" s="23" t="s">
        <v>36</v>
      </c>
      <c r="F343" s="24"/>
      <c r="G343" s="24"/>
      <c r="H343" s="26" t="s">
        <v>1218</v>
      </c>
      <c r="I343" s="24"/>
      <c r="J343" s="24"/>
      <c r="K343" s="24"/>
      <c r="L343" s="27"/>
      <c r="M343" s="27"/>
      <c r="N343" s="27"/>
      <c r="O343" s="27"/>
      <c r="P343" s="27"/>
      <c r="Q343" s="27"/>
      <c r="R343" s="27"/>
      <c r="S343" s="27"/>
    </row>
    <row r="344" ht="17.25" customHeight="1">
      <c r="A344" s="24"/>
      <c r="B344" s="23" t="s">
        <v>20</v>
      </c>
      <c r="C344" s="23" t="s">
        <v>137</v>
      </c>
      <c r="D344" s="23" t="s">
        <v>36</v>
      </c>
      <c r="E344" s="23" t="s">
        <v>36</v>
      </c>
      <c r="F344" s="24"/>
      <c r="G344" s="24"/>
      <c r="H344" s="26" t="s">
        <v>1219</v>
      </c>
      <c r="I344" s="24"/>
      <c r="J344" s="24"/>
      <c r="K344" s="24"/>
      <c r="L344" s="29" t="s">
        <v>1220</v>
      </c>
      <c r="M344" s="27"/>
      <c r="N344" s="27"/>
      <c r="O344" s="27"/>
      <c r="P344" s="27"/>
      <c r="Q344" s="27"/>
      <c r="R344" s="27"/>
      <c r="S344" s="27"/>
    </row>
    <row r="345" ht="17.25" customHeight="1">
      <c r="A345" s="24"/>
      <c r="B345" s="23" t="s">
        <v>20</v>
      </c>
      <c r="C345" s="23" t="s">
        <v>1221</v>
      </c>
      <c r="D345" s="23" t="s">
        <v>36</v>
      </c>
      <c r="E345" s="23" t="s">
        <v>36</v>
      </c>
      <c r="F345" s="24"/>
      <c r="G345" s="24"/>
      <c r="H345" s="26" t="s">
        <v>1222</v>
      </c>
      <c r="I345" s="24"/>
      <c r="J345" s="24"/>
      <c r="K345" s="24"/>
      <c r="L345" s="27"/>
      <c r="M345" s="27"/>
      <c r="N345" s="27"/>
      <c r="O345" s="27"/>
      <c r="P345" s="27"/>
      <c r="Q345" s="27"/>
      <c r="R345" s="27"/>
      <c r="S345" s="27"/>
    </row>
    <row r="346" ht="17.25" customHeight="1">
      <c r="A346" s="24"/>
      <c r="B346" s="23" t="s">
        <v>20</v>
      </c>
      <c r="C346" s="28" t="s">
        <v>1223</v>
      </c>
      <c r="D346" s="23" t="s">
        <v>36</v>
      </c>
      <c r="E346" s="23" t="s">
        <v>36</v>
      </c>
      <c r="F346" s="24"/>
      <c r="G346" s="24"/>
      <c r="H346" s="26" t="s">
        <v>1224</v>
      </c>
      <c r="I346" s="24"/>
      <c r="J346" s="24"/>
      <c r="K346" s="24"/>
      <c r="L346" s="27"/>
      <c r="M346" s="27"/>
      <c r="N346" s="27"/>
      <c r="O346" s="27"/>
      <c r="P346" s="27"/>
      <c r="Q346" s="27"/>
      <c r="R346" s="27"/>
      <c r="S346" s="27"/>
    </row>
    <row r="347" ht="17.25" customHeight="1">
      <c r="A347" s="24"/>
      <c r="B347" s="23" t="s">
        <v>20</v>
      </c>
      <c r="C347" s="28" t="s">
        <v>1225</v>
      </c>
      <c r="D347" s="23" t="s">
        <v>36</v>
      </c>
      <c r="E347" s="23" t="s">
        <v>36</v>
      </c>
      <c r="F347" s="24"/>
      <c r="G347" s="24"/>
      <c r="H347" s="26" t="s">
        <v>1226</v>
      </c>
      <c r="I347" s="26" t="s">
        <v>1227</v>
      </c>
      <c r="J347" s="24"/>
      <c r="K347" s="24"/>
      <c r="L347" s="27"/>
      <c r="M347" s="27"/>
      <c r="N347" s="27"/>
      <c r="O347" s="27"/>
      <c r="P347" s="27"/>
      <c r="Q347" s="27"/>
      <c r="R347" s="27"/>
      <c r="S347" s="27"/>
    </row>
    <row r="348" ht="17.25" customHeight="1">
      <c r="A348" s="24"/>
      <c r="B348" s="23" t="s">
        <v>20</v>
      </c>
      <c r="C348" s="23" t="s">
        <v>1228</v>
      </c>
      <c r="D348" s="23" t="s">
        <v>36</v>
      </c>
      <c r="E348" s="23" t="s">
        <v>36</v>
      </c>
      <c r="F348" s="24"/>
      <c r="G348" s="24"/>
      <c r="H348" s="24"/>
      <c r="I348" s="24"/>
      <c r="J348" s="26" t="s">
        <v>1229</v>
      </c>
      <c r="K348" s="24"/>
      <c r="L348" s="27"/>
      <c r="M348" s="27"/>
      <c r="N348" s="27"/>
      <c r="O348" s="27"/>
      <c r="P348" s="27"/>
      <c r="Q348" s="27"/>
      <c r="R348" s="27"/>
      <c r="S348" s="27"/>
    </row>
    <row r="349" ht="17.25" customHeight="1">
      <c r="A349" s="24"/>
      <c r="B349" s="23" t="s">
        <v>20</v>
      </c>
      <c r="C349" s="23" t="s">
        <v>1230</v>
      </c>
      <c r="D349" s="23" t="s">
        <v>36</v>
      </c>
      <c r="E349" s="23" t="s">
        <v>36</v>
      </c>
      <c r="F349" s="24"/>
      <c r="G349" s="24"/>
      <c r="H349" s="26" t="s">
        <v>1231</v>
      </c>
      <c r="I349" s="24"/>
      <c r="J349" s="24"/>
      <c r="K349" s="24"/>
      <c r="L349" s="27"/>
      <c r="M349" s="27"/>
      <c r="N349" s="27"/>
      <c r="O349" s="27"/>
      <c r="P349" s="27"/>
      <c r="Q349" s="27"/>
      <c r="R349" s="27"/>
      <c r="S349" s="27"/>
    </row>
    <row r="350" ht="17.25" customHeight="1">
      <c r="A350" s="24"/>
      <c r="B350" s="23" t="s">
        <v>20</v>
      </c>
      <c r="C350" s="28" t="s">
        <v>1232</v>
      </c>
      <c r="D350" s="23" t="s">
        <v>36</v>
      </c>
      <c r="E350" s="23" t="s">
        <v>36</v>
      </c>
      <c r="F350" s="24"/>
      <c r="G350" s="24"/>
      <c r="H350" s="26" t="s">
        <v>1233</v>
      </c>
      <c r="I350" s="24"/>
      <c r="J350" s="24"/>
      <c r="K350" s="24"/>
      <c r="L350" s="27"/>
      <c r="M350" s="27"/>
      <c r="N350" s="27"/>
      <c r="O350" s="27"/>
      <c r="P350" s="27"/>
      <c r="Q350" s="27"/>
      <c r="R350" s="27"/>
      <c r="S350" s="27"/>
    </row>
    <row r="351" ht="17.25" customHeight="1">
      <c r="A351" s="24"/>
      <c r="B351" s="23" t="s">
        <v>276</v>
      </c>
      <c r="C351" s="23" t="s">
        <v>1234</v>
      </c>
      <c r="D351" s="23" t="s">
        <v>36</v>
      </c>
      <c r="E351" s="23" t="s">
        <v>36</v>
      </c>
      <c r="F351" s="24"/>
      <c r="G351" s="24"/>
      <c r="H351" s="26" t="s">
        <v>1235</v>
      </c>
      <c r="I351" s="26" t="s">
        <v>1236</v>
      </c>
      <c r="J351" s="24"/>
      <c r="K351" s="24"/>
      <c r="L351" s="27"/>
      <c r="M351" s="27"/>
      <c r="N351" s="27"/>
      <c r="O351" s="27"/>
      <c r="P351" s="27"/>
      <c r="Q351" s="27"/>
      <c r="R351" s="27"/>
      <c r="S351" s="27"/>
    </row>
    <row r="352" ht="17.25" customHeight="1">
      <c r="A352" s="24"/>
      <c r="B352" s="23" t="s">
        <v>20</v>
      </c>
      <c r="C352" s="28" t="s">
        <v>1237</v>
      </c>
      <c r="D352" s="23" t="s">
        <v>36</v>
      </c>
      <c r="E352" s="23" t="s">
        <v>36</v>
      </c>
      <c r="F352" s="24"/>
      <c r="G352" s="24"/>
      <c r="H352" s="26" t="s">
        <v>1238</v>
      </c>
      <c r="I352" s="24"/>
      <c r="J352" s="24"/>
      <c r="K352" s="24"/>
      <c r="L352" s="27"/>
      <c r="M352" s="27"/>
      <c r="N352" s="27"/>
      <c r="O352" s="27"/>
      <c r="P352" s="27"/>
      <c r="Q352" s="27"/>
      <c r="R352" s="27"/>
      <c r="S352" s="27"/>
    </row>
    <row r="353" ht="17.25" customHeight="1">
      <c r="A353" s="24"/>
      <c r="B353" s="23" t="s">
        <v>20</v>
      </c>
      <c r="C353" s="23" t="s">
        <v>1239</v>
      </c>
      <c r="D353" s="23" t="s">
        <v>36</v>
      </c>
      <c r="E353" s="23" t="s">
        <v>36</v>
      </c>
      <c r="F353" s="24"/>
      <c r="G353" s="24"/>
      <c r="H353" s="26" t="s">
        <v>1240</v>
      </c>
      <c r="I353" s="24"/>
      <c r="J353" s="24"/>
      <c r="K353" s="24"/>
      <c r="L353" s="27"/>
      <c r="M353" s="27"/>
      <c r="N353" s="27"/>
      <c r="O353" s="27"/>
      <c r="P353" s="27"/>
      <c r="Q353" s="27"/>
      <c r="R353" s="27"/>
      <c r="S353" s="27"/>
    </row>
    <row r="354" ht="17.25" customHeight="1">
      <c r="A354" s="24"/>
      <c r="B354" s="23" t="s">
        <v>20</v>
      </c>
      <c r="C354" s="23" t="s">
        <v>1241</v>
      </c>
      <c r="D354" s="23" t="s">
        <v>36</v>
      </c>
      <c r="E354" s="23" t="s">
        <v>36</v>
      </c>
      <c r="F354" s="24"/>
      <c r="G354" s="24"/>
      <c r="H354" s="26" t="s">
        <v>1242</v>
      </c>
      <c r="I354" s="24"/>
      <c r="J354" s="24"/>
      <c r="K354" s="24"/>
      <c r="L354" s="27"/>
      <c r="M354" s="27"/>
      <c r="N354" s="27"/>
      <c r="O354" s="27"/>
      <c r="P354" s="27"/>
      <c r="Q354" s="27"/>
      <c r="R354" s="27"/>
      <c r="S354" s="27"/>
    </row>
    <row r="355" ht="17.25" customHeight="1">
      <c r="A355" s="24"/>
      <c r="B355" s="23" t="s">
        <v>20</v>
      </c>
      <c r="C355" s="23" t="s">
        <v>874</v>
      </c>
      <c r="D355" s="23" t="s">
        <v>36</v>
      </c>
      <c r="E355" s="23" t="s">
        <v>36</v>
      </c>
      <c r="F355" s="24"/>
      <c r="G355" s="24"/>
      <c r="H355" s="26" t="s">
        <v>1243</v>
      </c>
      <c r="I355" s="24"/>
      <c r="J355" s="24"/>
      <c r="K355" s="24"/>
      <c r="L355" s="29" t="s">
        <v>1244</v>
      </c>
      <c r="M355" s="27"/>
      <c r="N355" s="27"/>
      <c r="O355" s="27"/>
      <c r="P355" s="27"/>
      <c r="Q355" s="27"/>
      <c r="R355" s="27"/>
      <c r="S355" s="27"/>
    </row>
    <row r="356" ht="17.25" customHeight="1">
      <c r="A356" s="24"/>
      <c r="B356" s="23" t="s">
        <v>720</v>
      </c>
      <c r="C356" s="23" t="s">
        <v>1245</v>
      </c>
      <c r="D356" s="23" t="s">
        <v>36</v>
      </c>
      <c r="E356" s="23" t="s">
        <v>36</v>
      </c>
      <c r="F356" s="24"/>
      <c r="G356" s="24"/>
      <c r="H356" s="26" t="s">
        <v>1246</v>
      </c>
      <c r="I356" s="26" t="s">
        <v>1247</v>
      </c>
      <c r="J356" s="24"/>
      <c r="K356" s="24"/>
      <c r="L356" s="27"/>
      <c r="M356" s="27"/>
      <c r="N356" s="27"/>
      <c r="O356" s="27"/>
      <c r="P356" s="27"/>
      <c r="Q356" s="27"/>
      <c r="R356" s="27"/>
      <c r="S356" s="27"/>
    </row>
    <row r="357" ht="17.25" customHeight="1">
      <c r="A357" s="24"/>
      <c r="B357" s="23" t="s">
        <v>720</v>
      </c>
      <c r="C357" s="28" t="s">
        <v>1248</v>
      </c>
      <c r="D357" s="23" t="s">
        <v>36</v>
      </c>
      <c r="E357" s="23" t="s">
        <v>36</v>
      </c>
      <c r="F357" s="24"/>
      <c r="G357" s="24"/>
      <c r="H357" s="26" t="s">
        <v>1249</v>
      </c>
      <c r="I357" s="24"/>
      <c r="J357" s="24"/>
      <c r="K357" s="24"/>
      <c r="L357" s="29" t="s">
        <v>1250</v>
      </c>
      <c r="M357" s="27"/>
      <c r="N357" s="27"/>
      <c r="O357" s="27"/>
      <c r="P357" s="27"/>
      <c r="Q357" s="27"/>
      <c r="R357" s="27"/>
      <c r="S357" s="27"/>
    </row>
    <row r="358" ht="17.25" customHeight="1">
      <c r="A358" s="24"/>
      <c r="B358" s="23" t="s">
        <v>720</v>
      </c>
      <c r="C358" s="23" t="s">
        <v>510</v>
      </c>
      <c r="D358" s="23" t="s">
        <v>36</v>
      </c>
      <c r="E358" s="23" t="s">
        <v>36</v>
      </c>
      <c r="F358" s="24"/>
      <c r="G358" s="24"/>
      <c r="H358" s="26" t="s">
        <v>1251</v>
      </c>
      <c r="I358" s="24"/>
      <c r="J358" s="26" t="s">
        <v>1252</v>
      </c>
      <c r="K358" s="24"/>
      <c r="L358" s="27"/>
      <c r="M358" s="27"/>
      <c r="N358" s="27"/>
      <c r="O358" s="27"/>
      <c r="P358" s="27"/>
      <c r="Q358" s="27"/>
      <c r="R358" s="27"/>
      <c r="S358" s="27"/>
    </row>
    <row r="359" ht="17.25" customHeight="1">
      <c r="A359" s="24"/>
      <c r="B359" s="23" t="s">
        <v>20</v>
      </c>
      <c r="C359" s="23" t="s">
        <v>1253</v>
      </c>
      <c r="D359" s="23" t="s">
        <v>36</v>
      </c>
      <c r="E359" s="23" t="s">
        <v>36</v>
      </c>
      <c r="F359" s="24"/>
      <c r="G359" s="24"/>
      <c r="H359" s="24"/>
      <c r="I359" s="24"/>
      <c r="J359" s="26" t="s">
        <v>1254</v>
      </c>
      <c r="K359" s="24"/>
      <c r="L359" s="27"/>
      <c r="M359" s="27"/>
      <c r="N359" s="27"/>
      <c r="O359" s="27"/>
      <c r="P359" s="27"/>
      <c r="Q359" s="27"/>
      <c r="R359" s="27"/>
      <c r="S359" s="27"/>
    </row>
    <row r="360" ht="17.25" customHeight="1">
      <c r="A360" s="24"/>
      <c r="B360" s="23" t="s">
        <v>20</v>
      </c>
      <c r="C360" s="28" t="s">
        <v>707</v>
      </c>
      <c r="D360" s="23" t="s">
        <v>36</v>
      </c>
      <c r="E360" s="23" t="s">
        <v>36</v>
      </c>
      <c r="F360" s="24"/>
      <c r="G360" s="24"/>
      <c r="H360" s="26" t="s">
        <v>1255</v>
      </c>
      <c r="I360" s="26" t="s">
        <v>1256</v>
      </c>
      <c r="J360" s="24"/>
      <c r="K360" s="24"/>
      <c r="L360" s="27"/>
      <c r="M360" s="27"/>
      <c r="N360" s="27"/>
      <c r="O360" s="27"/>
      <c r="P360" s="27"/>
      <c r="Q360" s="27"/>
      <c r="R360" s="27"/>
      <c r="S360" s="27"/>
    </row>
    <row r="361" ht="17.25" customHeight="1">
      <c r="A361" s="24"/>
      <c r="B361" s="23" t="s">
        <v>20</v>
      </c>
      <c r="C361" s="28" t="s">
        <v>1257</v>
      </c>
      <c r="D361" s="23" t="s">
        <v>36</v>
      </c>
      <c r="E361" s="23" t="s">
        <v>36</v>
      </c>
      <c r="F361" s="24"/>
      <c r="G361" s="24"/>
      <c r="H361" s="24"/>
      <c r="I361" s="24"/>
      <c r="J361" s="26" t="s">
        <v>1258</v>
      </c>
      <c r="K361" s="24"/>
      <c r="L361" s="27"/>
      <c r="M361" s="27"/>
      <c r="N361" s="27"/>
      <c r="O361" s="27"/>
      <c r="P361" s="27"/>
      <c r="Q361" s="27"/>
      <c r="R361" s="27"/>
      <c r="S361" s="27"/>
    </row>
    <row r="362" ht="17.25" customHeight="1">
      <c r="A362" s="24"/>
      <c r="B362" s="23" t="s">
        <v>20</v>
      </c>
      <c r="C362" s="23" t="s">
        <v>1259</v>
      </c>
      <c r="D362" s="23" t="s">
        <v>36</v>
      </c>
      <c r="E362" s="23" t="s">
        <v>36</v>
      </c>
      <c r="F362" s="24"/>
      <c r="G362" s="24"/>
      <c r="H362" s="26" t="s">
        <v>1260</v>
      </c>
      <c r="I362" s="24"/>
      <c r="J362" s="26" t="s">
        <v>1261</v>
      </c>
      <c r="K362" s="24"/>
      <c r="L362" s="27"/>
      <c r="M362" s="27"/>
      <c r="N362" s="27"/>
      <c r="O362" s="27"/>
      <c r="P362" s="27"/>
      <c r="Q362" s="27"/>
      <c r="R362" s="27"/>
      <c r="S362" s="27"/>
    </row>
    <row r="363" ht="17.25" customHeight="1">
      <c r="A363" s="24"/>
      <c r="B363" s="23" t="s">
        <v>20</v>
      </c>
      <c r="C363" s="23" t="s">
        <v>1262</v>
      </c>
      <c r="D363" s="23" t="s">
        <v>36</v>
      </c>
      <c r="E363" s="23" t="s">
        <v>36</v>
      </c>
      <c r="F363" s="24"/>
      <c r="G363" s="24"/>
      <c r="H363" s="26" t="s">
        <v>1263</v>
      </c>
      <c r="I363" s="26" t="s">
        <v>1264</v>
      </c>
      <c r="J363" s="24"/>
      <c r="K363" s="24"/>
      <c r="L363" s="27"/>
      <c r="M363" s="27"/>
      <c r="N363" s="27"/>
      <c r="O363" s="27"/>
      <c r="P363" s="27"/>
      <c r="Q363" s="27"/>
      <c r="R363" s="27"/>
      <c r="S363" s="27"/>
    </row>
    <row r="364" ht="17.25" customHeight="1">
      <c r="A364" s="24"/>
      <c r="B364" s="23" t="s">
        <v>20</v>
      </c>
      <c r="C364" s="28" t="s">
        <v>1265</v>
      </c>
      <c r="D364" s="23" t="s">
        <v>36</v>
      </c>
      <c r="E364" s="23" t="s">
        <v>36</v>
      </c>
      <c r="F364" s="24"/>
      <c r="G364" s="24"/>
      <c r="H364" s="26" t="s">
        <v>1266</v>
      </c>
      <c r="I364" s="24"/>
      <c r="J364" s="24"/>
      <c r="K364" s="24"/>
      <c r="L364" s="27"/>
      <c r="M364" s="27"/>
      <c r="N364" s="27"/>
      <c r="O364" s="27"/>
      <c r="P364" s="27"/>
      <c r="Q364" s="27"/>
      <c r="R364" s="27"/>
      <c r="S364" s="27"/>
    </row>
    <row r="365" ht="17.25" customHeight="1">
      <c r="A365" s="24"/>
      <c r="B365" s="23" t="s">
        <v>20</v>
      </c>
      <c r="C365" s="23" t="s">
        <v>74</v>
      </c>
      <c r="D365" s="23" t="s">
        <v>36</v>
      </c>
      <c r="E365" s="23" t="s">
        <v>36</v>
      </c>
      <c r="F365" s="24"/>
      <c r="G365" s="24"/>
      <c r="H365" s="26" t="s">
        <v>1267</v>
      </c>
      <c r="I365" s="24"/>
      <c r="J365" s="24"/>
      <c r="K365" s="24"/>
      <c r="L365" s="27"/>
      <c r="M365" s="27"/>
      <c r="N365" s="27"/>
      <c r="O365" s="27"/>
      <c r="P365" s="27"/>
      <c r="Q365" s="27"/>
      <c r="R365" s="27"/>
      <c r="S365" s="27"/>
    </row>
    <row r="366" ht="17.25" customHeight="1">
      <c r="A366" s="24"/>
      <c r="B366" s="23" t="s">
        <v>20</v>
      </c>
      <c r="C366" s="40" t="s">
        <v>1268</v>
      </c>
      <c r="D366" s="23" t="s">
        <v>36</v>
      </c>
      <c r="E366" s="23" t="s">
        <v>36</v>
      </c>
      <c r="F366" s="24"/>
      <c r="G366" s="24"/>
      <c r="H366" s="26" t="s">
        <v>1269</v>
      </c>
      <c r="I366" s="39" t="s">
        <v>1270</v>
      </c>
      <c r="J366" s="24"/>
      <c r="K366" s="24"/>
      <c r="L366" s="27"/>
      <c r="M366" s="27"/>
      <c r="N366" s="27"/>
      <c r="O366" s="27"/>
      <c r="P366" s="27"/>
      <c r="Q366" s="27"/>
      <c r="R366" s="27"/>
      <c r="S366" s="27"/>
    </row>
    <row r="367" ht="17.25" customHeight="1">
      <c r="A367" s="24"/>
      <c r="B367" s="23" t="s">
        <v>20</v>
      </c>
      <c r="C367" s="23" t="s">
        <v>1271</v>
      </c>
      <c r="D367" s="23" t="s">
        <v>36</v>
      </c>
      <c r="E367" s="23" t="s">
        <v>36</v>
      </c>
      <c r="F367" s="24"/>
      <c r="G367" s="24"/>
      <c r="H367" s="26" t="s">
        <v>1272</v>
      </c>
      <c r="I367" s="26" t="s">
        <v>1273</v>
      </c>
      <c r="J367" s="24"/>
      <c r="K367" s="24"/>
      <c r="L367" s="27"/>
      <c r="M367" s="27"/>
      <c r="N367" s="27"/>
      <c r="O367" s="27"/>
      <c r="P367" s="27"/>
      <c r="Q367" s="27"/>
      <c r="R367" s="27"/>
      <c r="S367" s="27"/>
    </row>
    <row r="368" ht="17.25" customHeight="1">
      <c r="A368" s="24"/>
      <c r="B368" s="23" t="s">
        <v>20</v>
      </c>
      <c r="C368" s="23" t="s">
        <v>1274</v>
      </c>
      <c r="D368" s="23" t="s">
        <v>36</v>
      </c>
      <c r="E368" s="23" t="s">
        <v>36</v>
      </c>
      <c r="F368" s="24"/>
      <c r="G368" s="24"/>
      <c r="H368" s="26" t="s">
        <v>1275</v>
      </c>
      <c r="I368" s="26" t="s">
        <v>1276</v>
      </c>
      <c r="J368" s="24"/>
      <c r="K368" s="24"/>
      <c r="L368" s="27"/>
      <c r="M368" s="27"/>
      <c r="N368" s="27"/>
      <c r="O368" s="27"/>
      <c r="P368" s="27"/>
      <c r="Q368" s="27"/>
      <c r="R368" s="27"/>
      <c r="S368" s="27"/>
    </row>
    <row r="369" ht="17.25" customHeight="1">
      <c r="A369" s="24"/>
      <c r="B369" s="23" t="s">
        <v>20</v>
      </c>
      <c r="C369" s="23" t="s">
        <v>1277</v>
      </c>
      <c r="D369" s="23" t="s">
        <v>36</v>
      </c>
      <c r="E369" s="23" t="s">
        <v>36</v>
      </c>
      <c r="F369" s="24"/>
      <c r="G369" s="24"/>
      <c r="H369" s="26" t="s">
        <v>1278</v>
      </c>
      <c r="I369" s="26" t="s">
        <v>1279</v>
      </c>
      <c r="J369" s="24"/>
      <c r="K369" s="24"/>
      <c r="L369" s="27"/>
      <c r="M369" s="27"/>
      <c r="N369" s="27"/>
      <c r="O369" s="27"/>
      <c r="P369" s="27"/>
      <c r="Q369" s="27"/>
      <c r="R369" s="27"/>
      <c r="S369" s="27"/>
    </row>
    <row r="370" ht="17.25" customHeight="1">
      <c r="A370" s="24"/>
      <c r="B370" s="23" t="s">
        <v>20</v>
      </c>
      <c r="C370" s="28" t="s">
        <v>1280</v>
      </c>
      <c r="D370" s="23" t="s">
        <v>36</v>
      </c>
      <c r="E370" s="23" t="s">
        <v>36</v>
      </c>
      <c r="F370" s="24"/>
      <c r="G370" s="24"/>
      <c r="H370" s="33" t="s">
        <v>1281</v>
      </c>
      <c r="I370" s="24"/>
      <c r="J370" s="24"/>
      <c r="K370" s="24"/>
      <c r="L370" s="27"/>
      <c r="M370" s="27"/>
      <c r="N370" s="27"/>
      <c r="O370" s="27"/>
      <c r="P370" s="27"/>
      <c r="Q370" s="27"/>
      <c r="R370" s="27"/>
      <c r="S370" s="27"/>
    </row>
    <row r="371" ht="17.25" customHeight="1">
      <c r="A371" s="24"/>
      <c r="B371" s="23" t="s">
        <v>20</v>
      </c>
      <c r="C371" s="23" t="s">
        <v>1282</v>
      </c>
      <c r="D371" s="23" t="s">
        <v>36</v>
      </c>
      <c r="E371" s="23" t="s">
        <v>36</v>
      </c>
      <c r="F371" s="24"/>
      <c r="G371" s="24"/>
      <c r="H371" s="26" t="s">
        <v>1283</v>
      </c>
      <c r="I371" s="26" t="s">
        <v>1284</v>
      </c>
      <c r="J371" s="24"/>
      <c r="K371" s="24"/>
      <c r="L371" s="27"/>
      <c r="M371" s="27"/>
      <c r="N371" s="27"/>
      <c r="O371" s="27"/>
      <c r="P371" s="27"/>
      <c r="Q371" s="27"/>
      <c r="R371" s="27"/>
      <c r="S371" s="27"/>
    </row>
    <row r="372" ht="17.25" customHeight="1">
      <c r="A372" s="24"/>
      <c r="B372" s="23" t="s">
        <v>20</v>
      </c>
      <c r="C372" s="23" t="s">
        <v>1065</v>
      </c>
      <c r="D372" s="23" t="s">
        <v>36</v>
      </c>
      <c r="E372" s="23" t="s">
        <v>36</v>
      </c>
      <c r="F372" s="24"/>
      <c r="G372" s="24"/>
      <c r="H372" s="26" t="s">
        <v>1285</v>
      </c>
      <c r="I372" s="24"/>
      <c r="J372" s="24"/>
      <c r="K372" s="24"/>
      <c r="L372" s="27"/>
      <c r="M372" s="27"/>
      <c r="N372" s="27"/>
      <c r="O372" s="27"/>
      <c r="P372" s="27"/>
      <c r="Q372" s="27"/>
      <c r="R372" s="27"/>
      <c r="S372" s="27"/>
    </row>
    <row r="373" ht="17.25" customHeight="1">
      <c r="A373" s="24"/>
      <c r="B373" s="23" t="s">
        <v>20</v>
      </c>
      <c r="C373" s="23" t="s">
        <v>386</v>
      </c>
      <c r="D373" s="23" t="s">
        <v>36</v>
      </c>
      <c r="E373" s="23" t="s">
        <v>36</v>
      </c>
      <c r="F373" s="24"/>
      <c r="G373" s="24"/>
      <c r="H373" s="26" t="s">
        <v>1286</v>
      </c>
      <c r="I373" s="26" t="s">
        <v>1287</v>
      </c>
      <c r="J373" s="26" t="s">
        <v>1288</v>
      </c>
      <c r="K373" s="24"/>
      <c r="L373" s="27"/>
      <c r="M373" s="27"/>
      <c r="N373" s="27"/>
      <c r="O373" s="27"/>
      <c r="P373" s="27"/>
      <c r="Q373" s="27"/>
      <c r="R373" s="27"/>
      <c r="S373" s="27"/>
    </row>
    <row r="374" ht="17.25" customHeight="1">
      <c r="A374" s="24"/>
      <c r="B374" s="23" t="s">
        <v>20</v>
      </c>
      <c r="C374" s="28" t="s">
        <v>1289</v>
      </c>
      <c r="D374" s="23" t="s">
        <v>36</v>
      </c>
      <c r="E374" s="23" t="s">
        <v>36</v>
      </c>
      <c r="F374" s="24"/>
      <c r="G374" s="24"/>
      <c r="H374" s="26" t="s">
        <v>1290</v>
      </c>
      <c r="I374" s="26" t="s">
        <v>1291</v>
      </c>
      <c r="J374" s="24"/>
      <c r="K374" s="24"/>
      <c r="L374" s="27"/>
      <c r="M374" s="27"/>
      <c r="N374" s="27"/>
      <c r="O374" s="27"/>
      <c r="P374" s="27"/>
      <c r="Q374" s="27"/>
      <c r="R374" s="27"/>
      <c r="S374" s="27"/>
    </row>
    <row r="375" ht="17.25" customHeight="1">
      <c r="A375" s="24"/>
      <c r="B375" s="23" t="s">
        <v>20</v>
      </c>
      <c r="C375" s="28" t="s">
        <v>1292</v>
      </c>
      <c r="D375" s="23" t="s">
        <v>36</v>
      </c>
      <c r="E375" s="23" t="s">
        <v>36</v>
      </c>
      <c r="F375" s="24"/>
      <c r="G375" s="24"/>
      <c r="H375" s="26" t="s">
        <v>1293</v>
      </c>
      <c r="I375" s="26" t="s">
        <v>1294</v>
      </c>
      <c r="J375" s="24"/>
      <c r="K375" s="24"/>
      <c r="L375" s="27"/>
      <c r="M375" s="27"/>
      <c r="N375" s="27"/>
      <c r="O375" s="27"/>
      <c r="P375" s="27"/>
      <c r="Q375" s="27"/>
      <c r="R375" s="27"/>
      <c r="S375" s="27"/>
    </row>
    <row r="376" ht="17.25" customHeight="1">
      <c r="A376" s="24"/>
      <c r="B376" s="23" t="s">
        <v>20</v>
      </c>
      <c r="C376" s="28" t="s">
        <v>1295</v>
      </c>
      <c r="D376" s="23" t="s">
        <v>36</v>
      </c>
      <c r="E376" s="23" t="s">
        <v>36</v>
      </c>
      <c r="F376" s="24"/>
      <c r="G376" s="24"/>
      <c r="H376" s="26" t="s">
        <v>1296</v>
      </c>
      <c r="I376" s="24"/>
      <c r="J376" s="26" t="s">
        <v>1297</v>
      </c>
      <c r="K376" s="24"/>
      <c r="L376" s="27"/>
      <c r="M376" s="27"/>
      <c r="N376" s="27"/>
      <c r="O376" s="27"/>
      <c r="P376" s="27"/>
      <c r="Q376" s="27"/>
      <c r="R376" s="27"/>
      <c r="S376" s="27"/>
    </row>
    <row r="377" ht="17.25" customHeight="1">
      <c r="A377" s="24"/>
      <c r="B377" s="23" t="s">
        <v>20</v>
      </c>
      <c r="C377" s="23" t="s">
        <v>1298</v>
      </c>
      <c r="D377" s="23" t="s">
        <v>36</v>
      </c>
      <c r="E377" s="23" t="s">
        <v>36</v>
      </c>
      <c r="F377" s="24"/>
      <c r="G377" s="24"/>
      <c r="H377" s="26" t="s">
        <v>1299</v>
      </c>
      <c r="I377" s="26" t="s">
        <v>1300</v>
      </c>
      <c r="J377" s="26" t="s">
        <v>1301</v>
      </c>
      <c r="K377" s="24"/>
      <c r="L377" s="27"/>
      <c r="M377" s="27"/>
      <c r="N377" s="27"/>
      <c r="O377" s="27"/>
      <c r="P377" s="27"/>
      <c r="Q377" s="27"/>
      <c r="R377" s="27"/>
      <c r="S377" s="27"/>
    </row>
    <row r="378" ht="17.25" customHeight="1">
      <c r="A378" s="24"/>
      <c r="B378" s="23" t="s">
        <v>20</v>
      </c>
      <c r="C378" s="28" t="s">
        <v>1302</v>
      </c>
      <c r="D378" s="23" t="s">
        <v>36</v>
      </c>
      <c r="E378" s="23" t="s">
        <v>36</v>
      </c>
      <c r="F378" s="24"/>
      <c r="G378" s="24"/>
      <c r="H378" s="26" t="s">
        <v>1303</v>
      </c>
      <c r="I378" s="24"/>
      <c r="J378" s="24"/>
      <c r="K378" s="24"/>
      <c r="L378" s="27"/>
      <c r="M378" s="27"/>
      <c r="N378" s="27"/>
      <c r="O378" s="27"/>
      <c r="P378" s="27"/>
      <c r="Q378" s="27"/>
      <c r="R378" s="27"/>
      <c r="S378" s="27"/>
    </row>
    <row r="379" ht="17.25" customHeight="1">
      <c r="A379" s="24"/>
      <c r="B379" s="23" t="s">
        <v>20</v>
      </c>
      <c r="C379" s="23" t="s">
        <v>1304</v>
      </c>
      <c r="D379" s="23" t="s">
        <v>36</v>
      </c>
      <c r="E379" s="23" t="s">
        <v>36</v>
      </c>
      <c r="F379" s="24"/>
      <c r="G379" s="24"/>
      <c r="H379" s="26" t="s">
        <v>1305</v>
      </c>
      <c r="I379" s="26" t="s">
        <v>1306</v>
      </c>
      <c r="J379" s="24"/>
      <c r="K379" s="24"/>
      <c r="L379" s="27"/>
      <c r="M379" s="27"/>
      <c r="N379" s="27"/>
      <c r="O379" s="27"/>
      <c r="P379" s="27"/>
      <c r="Q379" s="27"/>
      <c r="R379" s="27"/>
      <c r="S379" s="27"/>
    </row>
    <row r="380" ht="17.25" customHeight="1">
      <c r="A380" s="24"/>
      <c r="B380" s="23" t="s">
        <v>20</v>
      </c>
      <c r="C380" s="28" t="s">
        <v>1307</v>
      </c>
      <c r="D380" s="23" t="s">
        <v>36</v>
      </c>
      <c r="E380" s="23" t="s">
        <v>36</v>
      </c>
      <c r="F380" s="24"/>
      <c r="G380" s="24"/>
      <c r="H380" s="26" t="s">
        <v>1308</v>
      </c>
      <c r="I380" s="24"/>
      <c r="J380" s="24"/>
      <c r="K380" s="24"/>
      <c r="L380" s="27"/>
      <c r="M380" s="27"/>
      <c r="N380" s="27"/>
      <c r="O380" s="27"/>
      <c r="P380" s="27"/>
      <c r="Q380" s="27"/>
      <c r="R380" s="27"/>
      <c r="S380" s="27"/>
    </row>
    <row r="381" ht="17.25" customHeight="1">
      <c r="A381" s="24"/>
      <c r="B381" s="23" t="s">
        <v>20</v>
      </c>
      <c r="C381" s="23" t="s">
        <v>890</v>
      </c>
      <c r="D381" s="23" t="s">
        <v>36</v>
      </c>
      <c r="E381" s="23" t="s">
        <v>36</v>
      </c>
      <c r="F381" s="24"/>
      <c r="G381" s="24"/>
      <c r="H381" s="24"/>
      <c r="I381" s="24"/>
      <c r="J381" s="26" t="s">
        <v>1309</v>
      </c>
      <c r="K381" s="24"/>
      <c r="L381" s="27"/>
      <c r="M381" s="27"/>
      <c r="N381" s="27"/>
      <c r="O381" s="27"/>
      <c r="P381" s="27"/>
      <c r="Q381" s="27"/>
      <c r="R381" s="27"/>
      <c r="S381" s="27"/>
    </row>
    <row r="382" ht="17.25" customHeight="1">
      <c r="A382" s="24"/>
      <c r="B382" s="23" t="s">
        <v>20</v>
      </c>
      <c r="C382" s="28" t="s">
        <v>1310</v>
      </c>
      <c r="D382" s="23" t="s">
        <v>36</v>
      </c>
      <c r="E382" s="23" t="s">
        <v>36</v>
      </c>
      <c r="F382" s="24"/>
      <c r="G382" s="24"/>
      <c r="H382" s="26" t="s">
        <v>1311</v>
      </c>
      <c r="I382" s="24"/>
      <c r="J382" s="24"/>
      <c r="K382" s="24"/>
      <c r="L382" s="27"/>
      <c r="M382" s="27"/>
      <c r="N382" s="27"/>
      <c r="O382" s="27"/>
      <c r="P382" s="27"/>
      <c r="Q382" s="27"/>
      <c r="R382" s="27"/>
      <c r="S382" s="27"/>
    </row>
    <row r="383" ht="17.25" customHeight="1">
      <c r="A383" s="24"/>
      <c r="B383" s="23" t="s">
        <v>20</v>
      </c>
      <c r="C383" s="23" t="s">
        <v>1312</v>
      </c>
      <c r="D383" s="23" t="s">
        <v>36</v>
      </c>
      <c r="E383" s="23" t="s">
        <v>36</v>
      </c>
      <c r="F383" s="24"/>
      <c r="G383" s="24"/>
      <c r="H383" s="26" t="s">
        <v>1313</v>
      </c>
      <c r="I383" s="24"/>
      <c r="J383" s="24"/>
      <c r="K383" s="24"/>
      <c r="L383" s="27"/>
      <c r="M383" s="27"/>
      <c r="N383" s="27"/>
      <c r="O383" s="27"/>
      <c r="P383" s="27"/>
      <c r="Q383" s="27"/>
      <c r="R383" s="27"/>
      <c r="S383" s="27"/>
    </row>
    <row r="384" ht="17.25" customHeight="1">
      <c r="A384" s="24"/>
      <c r="B384" s="23" t="s">
        <v>20</v>
      </c>
      <c r="C384" s="23" t="s">
        <v>1314</v>
      </c>
      <c r="D384" s="23" t="s">
        <v>36</v>
      </c>
      <c r="E384" s="23" t="s">
        <v>36</v>
      </c>
      <c r="F384" s="24"/>
      <c r="G384" s="24"/>
      <c r="H384" s="26" t="s">
        <v>1315</v>
      </c>
      <c r="I384" s="24"/>
      <c r="J384" s="24"/>
      <c r="K384" s="24"/>
      <c r="L384" s="27"/>
      <c r="M384" s="27"/>
      <c r="N384" s="27"/>
      <c r="O384" s="27"/>
      <c r="P384" s="27"/>
      <c r="Q384" s="27"/>
      <c r="R384" s="27"/>
      <c r="S384" s="27"/>
    </row>
    <row r="385" ht="17.25" customHeight="1">
      <c r="A385" s="24"/>
      <c r="B385" s="23" t="s">
        <v>20</v>
      </c>
      <c r="C385" s="28" t="s">
        <v>1316</v>
      </c>
      <c r="D385" s="23" t="s">
        <v>36</v>
      </c>
      <c r="E385" s="23" t="s">
        <v>36</v>
      </c>
      <c r="F385" s="24"/>
      <c r="G385" s="24"/>
      <c r="H385" s="26" t="s">
        <v>1317</v>
      </c>
      <c r="I385" s="24"/>
      <c r="J385" s="24"/>
      <c r="K385" s="24"/>
      <c r="L385" s="27"/>
      <c r="M385" s="27"/>
      <c r="N385" s="27"/>
      <c r="O385" s="27"/>
      <c r="P385" s="27"/>
      <c r="Q385" s="27"/>
      <c r="R385" s="27"/>
      <c r="S385" s="27"/>
    </row>
    <row r="386" ht="17.25" customHeight="1">
      <c r="A386" s="24"/>
      <c r="B386" s="23" t="s">
        <v>20</v>
      </c>
      <c r="C386" s="23" t="s">
        <v>1318</v>
      </c>
      <c r="D386" s="23" t="s">
        <v>36</v>
      </c>
      <c r="E386" s="23" t="s">
        <v>36</v>
      </c>
      <c r="F386" s="24"/>
      <c r="G386" s="24"/>
      <c r="H386" s="26" t="s">
        <v>1319</v>
      </c>
      <c r="I386" s="26" t="s">
        <v>1320</v>
      </c>
      <c r="J386" s="24"/>
      <c r="K386" s="24"/>
      <c r="L386" s="27"/>
      <c r="M386" s="27"/>
      <c r="N386" s="27"/>
      <c r="O386" s="27"/>
      <c r="P386" s="27"/>
      <c r="Q386" s="27"/>
      <c r="R386" s="27"/>
      <c r="S386" s="27"/>
    </row>
    <row r="387" ht="17.25" customHeight="1">
      <c r="A387" s="24"/>
      <c r="B387" s="23" t="s">
        <v>766</v>
      </c>
      <c r="C387" s="23" t="s">
        <v>1321</v>
      </c>
      <c r="D387" s="23" t="s">
        <v>36</v>
      </c>
      <c r="E387" s="23" t="s">
        <v>36</v>
      </c>
      <c r="F387" s="24"/>
      <c r="G387" s="24"/>
      <c r="H387" s="26" t="s">
        <v>1322</v>
      </c>
      <c r="I387" s="41" t="s">
        <v>1323</v>
      </c>
      <c r="J387" s="24"/>
      <c r="K387" s="24"/>
      <c r="L387" s="27"/>
      <c r="M387" s="27"/>
      <c r="N387" s="27"/>
      <c r="O387" s="27"/>
      <c r="P387" s="27"/>
      <c r="Q387" s="27"/>
      <c r="R387" s="27"/>
      <c r="S387" s="27"/>
    </row>
    <row r="388" ht="17.25" customHeight="1">
      <c r="A388" s="24"/>
      <c r="B388" s="23" t="s">
        <v>20</v>
      </c>
      <c r="C388" s="23" t="s">
        <v>1324</v>
      </c>
      <c r="D388" s="23" t="s">
        <v>36</v>
      </c>
      <c r="E388" s="23" t="s">
        <v>36</v>
      </c>
      <c r="F388" s="24"/>
      <c r="G388" s="24"/>
      <c r="H388" s="24"/>
      <c r="I388" s="24"/>
      <c r="J388" s="26" t="s">
        <v>1325</v>
      </c>
      <c r="K388" s="24"/>
      <c r="L388" s="27"/>
      <c r="M388" s="27"/>
      <c r="N388" s="27"/>
      <c r="O388" s="27"/>
      <c r="P388" s="27"/>
      <c r="Q388" s="27"/>
      <c r="R388" s="27"/>
      <c r="S388" s="27"/>
    </row>
    <row r="389" ht="17.25" customHeight="1">
      <c r="A389" s="24"/>
      <c r="B389" s="23" t="s">
        <v>20</v>
      </c>
      <c r="C389" s="23" t="s">
        <v>1326</v>
      </c>
      <c r="D389" s="23" t="s">
        <v>36</v>
      </c>
      <c r="E389" s="23" t="s">
        <v>36</v>
      </c>
      <c r="F389" s="24"/>
      <c r="G389" s="24"/>
      <c r="H389" s="24"/>
      <c r="I389" s="24"/>
      <c r="J389" s="26" t="s">
        <v>1327</v>
      </c>
      <c r="K389" s="24"/>
      <c r="L389" s="27"/>
      <c r="M389" s="27"/>
      <c r="N389" s="27"/>
      <c r="O389" s="27"/>
      <c r="P389" s="27"/>
      <c r="Q389" s="27"/>
      <c r="R389" s="27"/>
      <c r="S389" s="27"/>
    </row>
    <row r="390" ht="17.25" customHeight="1">
      <c r="A390" s="24"/>
      <c r="B390" s="23" t="s">
        <v>20</v>
      </c>
      <c r="C390" s="23" t="s">
        <v>698</v>
      </c>
      <c r="D390" s="23" t="s">
        <v>36</v>
      </c>
      <c r="E390" s="23" t="s">
        <v>36</v>
      </c>
      <c r="F390" s="24"/>
      <c r="G390" s="24"/>
      <c r="H390" s="26" t="s">
        <v>1328</v>
      </c>
      <c r="I390" s="26" t="s">
        <v>1329</v>
      </c>
      <c r="J390" s="26" t="s">
        <v>1330</v>
      </c>
      <c r="K390" s="24"/>
      <c r="L390" s="27"/>
      <c r="M390" s="27"/>
      <c r="N390" s="27"/>
      <c r="O390" s="27"/>
      <c r="P390" s="27"/>
      <c r="Q390" s="27"/>
      <c r="R390" s="27"/>
      <c r="S390" s="27"/>
    </row>
    <row r="391" ht="17.25" customHeight="1">
      <c r="A391" s="24"/>
      <c r="B391" s="23" t="s">
        <v>20</v>
      </c>
      <c r="C391" s="28" t="s">
        <v>1331</v>
      </c>
      <c r="D391" s="23" t="s">
        <v>36</v>
      </c>
      <c r="E391" s="23" t="s">
        <v>36</v>
      </c>
      <c r="F391" s="24"/>
      <c r="G391" s="24"/>
      <c r="H391" s="26" t="s">
        <v>1332</v>
      </c>
      <c r="I391" s="26" t="s">
        <v>1333</v>
      </c>
      <c r="J391" s="24"/>
      <c r="K391" s="24"/>
      <c r="L391" s="27"/>
      <c r="M391" s="27"/>
      <c r="N391" s="27"/>
      <c r="O391" s="27"/>
      <c r="P391" s="27"/>
      <c r="Q391" s="27"/>
      <c r="R391" s="27"/>
      <c r="S391" s="27"/>
    </row>
    <row r="392" ht="17.25" customHeight="1">
      <c r="A392" s="24"/>
      <c r="B392" s="23" t="s">
        <v>766</v>
      </c>
      <c r="C392" s="23" t="s">
        <v>1334</v>
      </c>
      <c r="D392" s="23" t="s">
        <v>36</v>
      </c>
      <c r="E392" s="23" t="s">
        <v>36</v>
      </c>
      <c r="F392" s="24"/>
      <c r="G392" s="24"/>
      <c r="H392" s="26" t="s">
        <v>1335</v>
      </c>
      <c r="I392" s="44" t="s">
        <v>1336</v>
      </c>
      <c r="J392" s="24"/>
      <c r="K392" s="24"/>
      <c r="L392" s="27"/>
      <c r="M392" s="27"/>
      <c r="N392" s="27"/>
      <c r="O392" s="27"/>
      <c r="P392" s="27"/>
      <c r="Q392" s="27"/>
      <c r="R392" s="27"/>
      <c r="S392" s="27"/>
    </row>
    <row r="393" ht="17.25" customHeight="1">
      <c r="A393" s="24"/>
      <c r="B393" s="23" t="s">
        <v>720</v>
      </c>
      <c r="C393" s="23" t="s">
        <v>341</v>
      </c>
      <c r="D393" s="23" t="s">
        <v>36</v>
      </c>
      <c r="E393" s="23" t="s">
        <v>36</v>
      </c>
      <c r="F393" s="24"/>
      <c r="G393" s="24"/>
      <c r="H393" s="26" t="s">
        <v>1337</v>
      </c>
      <c r="I393" s="29" t="s">
        <v>1338</v>
      </c>
      <c r="J393" s="24"/>
      <c r="K393" s="24"/>
      <c r="L393" s="27"/>
      <c r="M393" s="27"/>
      <c r="N393" s="27"/>
      <c r="O393" s="27"/>
      <c r="P393" s="27"/>
      <c r="Q393" s="27"/>
      <c r="R393" s="27"/>
      <c r="S393" s="27"/>
    </row>
    <row r="394" ht="17.25" customHeight="1">
      <c r="A394" s="24"/>
      <c r="B394" s="23" t="s">
        <v>1339</v>
      </c>
      <c r="C394" s="23" t="s">
        <v>1340</v>
      </c>
      <c r="D394" s="23" t="s">
        <v>36</v>
      </c>
      <c r="E394" s="23" t="s">
        <v>36</v>
      </c>
      <c r="F394" s="24"/>
      <c r="G394" s="24"/>
      <c r="H394" s="26" t="s">
        <v>1341</v>
      </c>
      <c r="I394" s="24"/>
      <c r="J394" s="24"/>
      <c r="K394" s="24"/>
      <c r="L394" s="27"/>
      <c r="M394" s="27"/>
      <c r="N394" s="27"/>
      <c r="O394" s="27"/>
      <c r="P394" s="27"/>
      <c r="Q394" s="27"/>
      <c r="R394" s="27"/>
      <c r="S394" s="27"/>
    </row>
    <row r="395" ht="17.25" customHeight="1">
      <c r="A395" s="24"/>
      <c r="B395" s="23" t="s">
        <v>20</v>
      </c>
      <c r="C395" s="23" t="s">
        <v>1342</v>
      </c>
      <c r="D395" s="23" t="s">
        <v>36</v>
      </c>
      <c r="E395" s="23" t="s">
        <v>36</v>
      </c>
      <c r="F395" s="24"/>
      <c r="G395" s="24"/>
      <c r="H395" s="24"/>
      <c r="I395" s="24"/>
      <c r="J395" s="26" t="s">
        <v>1343</v>
      </c>
      <c r="K395" s="24"/>
      <c r="L395" s="27"/>
      <c r="M395" s="27"/>
      <c r="N395" s="27"/>
      <c r="O395" s="27"/>
      <c r="P395" s="27"/>
      <c r="Q395" s="27"/>
      <c r="R395" s="27"/>
      <c r="S395" s="27"/>
    </row>
    <row r="396" ht="17.25" customHeight="1">
      <c r="A396" s="24"/>
      <c r="B396" s="23" t="s">
        <v>20</v>
      </c>
      <c r="C396" s="23" t="s">
        <v>1344</v>
      </c>
      <c r="D396" s="23" t="s">
        <v>36</v>
      </c>
      <c r="E396" s="23" t="s">
        <v>36</v>
      </c>
      <c r="F396" s="24"/>
      <c r="G396" s="24"/>
      <c r="H396" s="24"/>
      <c r="I396" s="24"/>
      <c r="J396" s="33" t="s">
        <v>1345</v>
      </c>
      <c r="K396" s="24"/>
      <c r="L396" s="27"/>
      <c r="M396" s="27"/>
      <c r="N396" s="27"/>
      <c r="O396" s="27"/>
      <c r="P396" s="27"/>
      <c r="Q396" s="27"/>
      <c r="R396" s="27"/>
      <c r="S396" s="27"/>
    </row>
    <row r="397" ht="17.25" customHeight="1">
      <c r="A397" s="24"/>
      <c r="B397" s="23" t="s">
        <v>20</v>
      </c>
      <c r="C397" s="23" t="s">
        <v>1346</v>
      </c>
      <c r="D397" s="23" t="s">
        <v>36</v>
      </c>
      <c r="E397" s="23" t="s">
        <v>36</v>
      </c>
      <c r="F397" s="24"/>
      <c r="G397" s="24"/>
      <c r="H397" s="26" t="s">
        <v>1347</v>
      </c>
      <c r="I397" s="24"/>
      <c r="J397" s="24"/>
      <c r="K397" s="24"/>
      <c r="L397" s="27"/>
      <c r="M397" s="27"/>
      <c r="N397" s="27"/>
      <c r="O397" s="27"/>
      <c r="P397" s="27"/>
      <c r="Q397" s="27"/>
      <c r="R397" s="27"/>
      <c r="S397" s="27"/>
    </row>
    <row r="398" ht="17.25" customHeight="1">
      <c r="A398" s="24"/>
      <c r="B398" s="23" t="s">
        <v>20</v>
      </c>
      <c r="C398" s="23" t="s">
        <v>55</v>
      </c>
      <c r="D398" s="23" t="s">
        <v>36</v>
      </c>
      <c r="E398" s="23" t="s">
        <v>36</v>
      </c>
      <c r="F398" s="24"/>
      <c r="G398" s="24"/>
      <c r="H398" s="26" t="s">
        <v>1348</v>
      </c>
      <c r="I398" s="24"/>
      <c r="J398" s="29" t="s">
        <v>1349</v>
      </c>
      <c r="K398" s="24"/>
      <c r="L398" s="27"/>
      <c r="M398" s="27"/>
      <c r="N398" s="27"/>
      <c r="O398" s="27"/>
      <c r="P398" s="27"/>
      <c r="Q398" s="27"/>
      <c r="R398" s="27"/>
      <c r="S398" s="27"/>
    </row>
    <row r="399" ht="17.25" customHeight="1">
      <c r="A399" s="24"/>
      <c r="B399" s="23" t="s">
        <v>20</v>
      </c>
      <c r="C399" s="28" t="s">
        <v>1350</v>
      </c>
      <c r="D399" s="23" t="s">
        <v>36</v>
      </c>
      <c r="E399" s="23" t="s">
        <v>36</v>
      </c>
      <c r="F399" s="24"/>
      <c r="G399" s="24"/>
      <c r="H399" s="26" t="s">
        <v>1351</v>
      </c>
      <c r="I399" s="24"/>
      <c r="J399" s="26" t="s">
        <v>1133</v>
      </c>
      <c r="K399" s="24"/>
      <c r="L399" s="27"/>
      <c r="M399" s="27"/>
      <c r="N399" s="27"/>
      <c r="O399" s="27"/>
      <c r="P399" s="27"/>
      <c r="Q399" s="27"/>
      <c r="R399" s="27"/>
      <c r="S399" s="27"/>
    </row>
    <row r="400" ht="17.25" customHeight="1">
      <c r="A400" s="24"/>
      <c r="B400" s="23" t="s">
        <v>20</v>
      </c>
      <c r="C400" s="23" t="s">
        <v>1352</v>
      </c>
      <c r="D400" s="23" t="s">
        <v>36</v>
      </c>
      <c r="E400" s="23" t="s">
        <v>36</v>
      </c>
      <c r="F400" s="24"/>
      <c r="G400" s="24"/>
      <c r="H400" s="26" t="s">
        <v>1353</v>
      </c>
      <c r="I400" s="45" t="s">
        <v>1354</v>
      </c>
      <c r="J400" s="24"/>
      <c r="K400" s="24"/>
      <c r="L400" s="27"/>
      <c r="M400" s="27"/>
      <c r="N400" s="27"/>
      <c r="O400" s="27"/>
      <c r="P400" s="27"/>
      <c r="Q400" s="27"/>
      <c r="R400" s="27"/>
      <c r="S400" s="27"/>
    </row>
    <row r="401" ht="17.25" customHeight="1">
      <c r="A401" s="24"/>
      <c r="B401" s="23" t="s">
        <v>20</v>
      </c>
      <c r="C401" s="28" t="s">
        <v>1355</v>
      </c>
      <c r="D401" s="23" t="s">
        <v>36</v>
      </c>
      <c r="E401" s="23" t="s">
        <v>36</v>
      </c>
      <c r="F401" s="24"/>
      <c r="G401" s="24"/>
      <c r="H401" s="26" t="s">
        <v>1356</v>
      </c>
      <c r="I401" s="46"/>
      <c r="J401" s="29" t="s">
        <v>1357</v>
      </c>
      <c r="K401" s="24"/>
      <c r="L401" s="27"/>
      <c r="M401" s="27"/>
      <c r="N401" s="27"/>
      <c r="O401" s="27"/>
      <c r="P401" s="27"/>
      <c r="Q401" s="27"/>
      <c r="R401" s="27"/>
      <c r="S401" s="27"/>
    </row>
    <row r="402" ht="17.25" customHeight="1">
      <c r="A402" s="24"/>
      <c r="B402" s="23" t="s">
        <v>20</v>
      </c>
      <c r="C402" s="23" t="s">
        <v>1358</v>
      </c>
      <c r="D402" s="23" t="s">
        <v>36</v>
      </c>
      <c r="E402" s="23" t="s">
        <v>36</v>
      </c>
      <c r="F402" s="24"/>
      <c r="G402" s="24"/>
      <c r="H402" s="24"/>
      <c r="I402" s="24"/>
      <c r="J402" s="26" t="s">
        <v>1359</v>
      </c>
      <c r="K402" s="24"/>
      <c r="L402" s="27"/>
      <c r="M402" s="27"/>
      <c r="N402" s="27"/>
      <c r="O402" s="27"/>
      <c r="P402" s="27"/>
      <c r="Q402" s="27"/>
      <c r="R402" s="27"/>
      <c r="S402" s="27"/>
    </row>
    <row r="403" ht="17.25" customHeight="1">
      <c r="A403" s="24"/>
      <c r="B403" s="23" t="s">
        <v>276</v>
      </c>
      <c r="C403" s="23" t="s">
        <v>1360</v>
      </c>
      <c r="D403" s="23" t="s">
        <v>36</v>
      </c>
      <c r="E403" s="23" t="s">
        <v>36</v>
      </c>
      <c r="F403" s="24"/>
      <c r="G403" s="24"/>
      <c r="H403" s="26" t="s">
        <v>1361</v>
      </c>
      <c r="I403" s="29" t="s">
        <v>1362</v>
      </c>
      <c r="J403" s="24"/>
      <c r="K403" s="24"/>
      <c r="L403" s="27"/>
      <c r="M403" s="27"/>
      <c r="N403" s="27"/>
      <c r="O403" s="27"/>
      <c r="P403" s="27"/>
      <c r="Q403" s="27"/>
      <c r="R403" s="27"/>
      <c r="S403" s="27"/>
    </row>
    <row r="404" ht="17.25" customHeight="1">
      <c r="A404" s="24"/>
      <c r="B404" s="23" t="s">
        <v>102</v>
      </c>
      <c r="C404" s="23" t="s">
        <v>396</v>
      </c>
      <c r="D404" s="23" t="s">
        <v>36</v>
      </c>
      <c r="E404" s="23" t="s">
        <v>36</v>
      </c>
      <c r="F404" s="24"/>
      <c r="G404" s="24"/>
      <c r="H404" s="24"/>
      <c r="I404" s="24"/>
      <c r="J404" s="26" t="s">
        <v>1363</v>
      </c>
      <c r="K404" s="24"/>
      <c r="L404" s="27"/>
      <c r="M404" s="27"/>
      <c r="N404" s="27"/>
      <c r="O404" s="27"/>
      <c r="P404" s="27"/>
      <c r="Q404" s="27"/>
      <c r="R404" s="27"/>
      <c r="S404" s="27"/>
    </row>
    <row r="405" ht="17.25" customHeight="1">
      <c r="A405" s="24"/>
      <c r="B405" s="23" t="s">
        <v>20</v>
      </c>
      <c r="C405" s="23" t="s">
        <v>763</v>
      </c>
      <c r="D405" s="23" t="s">
        <v>36</v>
      </c>
      <c r="E405" s="23" t="s">
        <v>36</v>
      </c>
      <c r="F405" s="24"/>
      <c r="G405" s="24"/>
      <c r="H405" s="26" t="s">
        <v>1364</v>
      </c>
      <c r="I405" s="26" t="s">
        <v>1365</v>
      </c>
      <c r="J405" s="26" t="s">
        <v>1366</v>
      </c>
      <c r="K405" s="24"/>
      <c r="L405" s="27"/>
      <c r="M405" s="27"/>
      <c r="N405" s="27"/>
      <c r="O405" s="27"/>
      <c r="P405" s="27"/>
      <c r="Q405" s="27"/>
      <c r="R405" s="27"/>
      <c r="S405" s="27"/>
    </row>
    <row r="406" ht="17.25" customHeight="1">
      <c r="A406" s="24"/>
      <c r="B406" s="23" t="s">
        <v>20</v>
      </c>
      <c r="C406" s="23" t="s">
        <v>113</v>
      </c>
      <c r="D406" s="23" t="s">
        <v>36</v>
      </c>
      <c r="E406" s="23" t="s">
        <v>36</v>
      </c>
      <c r="F406" s="24"/>
      <c r="G406" s="24"/>
      <c r="H406" s="26" t="s">
        <v>1367</v>
      </c>
      <c r="I406" s="29" t="s">
        <v>1368</v>
      </c>
      <c r="J406" s="24"/>
      <c r="K406" s="24"/>
      <c r="L406" s="27"/>
      <c r="M406" s="27"/>
      <c r="N406" s="27"/>
      <c r="O406" s="27"/>
      <c r="P406" s="27"/>
      <c r="Q406" s="27"/>
      <c r="R406" s="27"/>
      <c r="S406" s="27"/>
    </row>
    <row r="407" ht="17.25" customHeight="1">
      <c r="A407" s="24"/>
      <c r="B407" s="23" t="s">
        <v>20</v>
      </c>
      <c r="C407" s="28" t="s">
        <v>1369</v>
      </c>
      <c r="D407" s="23" t="s">
        <v>36</v>
      </c>
      <c r="E407" s="23" t="s">
        <v>36</v>
      </c>
      <c r="F407" s="24"/>
      <c r="G407" s="24"/>
      <c r="H407" s="26" t="s">
        <v>1370</v>
      </c>
      <c r="I407" s="24"/>
      <c r="J407" s="24"/>
      <c r="K407" s="24"/>
      <c r="L407" s="27"/>
      <c r="M407" s="27"/>
      <c r="N407" s="27"/>
      <c r="O407" s="27"/>
      <c r="P407" s="27"/>
      <c r="Q407" s="27"/>
      <c r="R407" s="27"/>
      <c r="S407" s="27"/>
    </row>
    <row r="408" ht="17.25" customHeight="1">
      <c r="A408" s="24"/>
      <c r="B408" s="23" t="s">
        <v>20</v>
      </c>
      <c r="C408" s="28" t="s">
        <v>1371</v>
      </c>
      <c r="D408" s="23" t="s">
        <v>36</v>
      </c>
      <c r="E408" s="23" t="s">
        <v>36</v>
      </c>
      <c r="F408" s="24"/>
      <c r="G408" s="24"/>
      <c r="H408" s="26" t="s">
        <v>1372</v>
      </c>
      <c r="I408" s="24"/>
      <c r="J408" s="24"/>
      <c r="K408" s="24"/>
      <c r="L408" s="27"/>
      <c r="M408" s="27"/>
      <c r="N408" s="27"/>
      <c r="O408" s="27"/>
      <c r="P408" s="27"/>
      <c r="Q408" s="27"/>
      <c r="R408" s="27"/>
      <c r="S408" s="27"/>
    </row>
    <row r="409" ht="17.25" customHeight="1">
      <c r="A409" s="24"/>
      <c r="B409" s="23" t="s">
        <v>20</v>
      </c>
      <c r="C409" s="28" t="s">
        <v>205</v>
      </c>
      <c r="D409" s="23" t="s">
        <v>36</v>
      </c>
      <c r="E409" s="23" t="s">
        <v>36</v>
      </c>
      <c r="F409" s="24"/>
      <c r="G409" s="24"/>
      <c r="H409" s="26" t="s">
        <v>1373</v>
      </c>
      <c r="I409" s="29" t="s">
        <v>1374</v>
      </c>
      <c r="J409" s="24"/>
      <c r="K409" s="24"/>
      <c r="L409" s="27"/>
      <c r="M409" s="27"/>
      <c r="N409" s="27"/>
      <c r="O409" s="27"/>
      <c r="P409" s="27"/>
      <c r="Q409" s="27"/>
      <c r="R409" s="27"/>
      <c r="S409" s="27"/>
    </row>
    <row r="410" ht="17.25" customHeight="1">
      <c r="A410" s="24"/>
      <c r="B410" s="23" t="s">
        <v>20</v>
      </c>
      <c r="C410" s="23" t="s">
        <v>1375</v>
      </c>
      <c r="D410" s="23" t="s">
        <v>36</v>
      </c>
      <c r="E410" s="23" t="s">
        <v>36</v>
      </c>
      <c r="F410" s="24"/>
      <c r="G410" s="24"/>
      <c r="H410" s="26" t="s">
        <v>1376</v>
      </c>
      <c r="I410" s="24"/>
      <c r="J410" s="24"/>
      <c r="K410" s="24"/>
      <c r="L410" s="27"/>
      <c r="M410" s="27"/>
      <c r="N410" s="27"/>
      <c r="O410" s="27"/>
      <c r="P410" s="27"/>
      <c r="Q410" s="27"/>
      <c r="R410" s="27"/>
      <c r="S410" s="27"/>
    </row>
    <row r="411" ht="17.25" customHeight="1">
      <c r="A411" s="24"/>
      <c r="B411" s="23" t="s">
        <v>20</v>
      </c>
      <c r="C411" s="28" t="s">
        <v>810</v>
      </c>
      <c r="D411" s="23" t="s">
        <v>36</v>
      </c>
      <c r="E411" s="23" t="s">
        <v>36</v>
      </c>
      <c r="F411" s="24"/>
      <c r="G411" s="24"/>
      <c r="H411" s="26" t="s">
        <v>1377</v>
      </c>
      <c r="I411" s="24"/>
      <c r="J411" s="24"/>
      <c r="K411" s="24"/>
      <c r="L411" s="27"/>
      <c r="M411" s="27"/>
      <c r="N411" s="27"/>
      <c r="O411" s="27"/>
      <c r="P411" s="27"/>
      <c r="Q411" s="27"/>
      <c r="R411" s="27"/>
      <c r="S411" s="27"/>
    </row>
    <row r="412" ht="17.25" customHeight="1">
      <c r="A412" s="24"/>
      <c r="B412" s="23" t="s">
        <v>20</v>
      </c>
      <c r="C412" s="28" t="s">
        <v>1378</v>
      </c>
      <c r="D412" s="23" t="s">
        <v>36</v>
      </c>
      <c r="E412" s="23" t="s">
        <v>36</v>
      </c>
      <c r="F412" s="24"/>
      <c r="G412" s="24"/>
      <c r="H412" s="26" t="s">
        <v>1379</v>
      </c>
      <c r="I412" s="29" t="s">
        <v>1380</v>
      </c>
      <c r="J412" s="24"/>
      <c r="K412" s="24"/>
      <c r="L412" s="27"/>
      <c r="M412" s="27"/>
      <c r="N412" s="27"/>
      <c r="O412" s="27"/>
      <c r="P412" s="27"/>
      <c r="Q412" s="27"/>
      <c r="R412" s="27"/>
      <c r="S412" s="27"/>
    </row>
    <row r="413" ht="17.25" customHeight="1">
      <c r="A413" s="24"/>
      <c r="B413" s="23" t="s">
        <v>20</v>
      </c>
      <c r="C413" s="23" t="s">
        <v>1381</v>
      </c>
      <c r="D413" s="23" t="s">
        <v>36</v>
      </c>
      <c r="E413" s="23" t="s">
        <v>36</v>
      </c>
      <c r="F413" s="24"/>
      <c r="G413" s="24"/>
      <c r="H413" s="26" t="s">
        <v>1382</v>
      </c>
      <c r="I413" s="24"/>
      <c r="J413" s="24"/>
      <c r="K413" s="24"/>
      <c r="L413" s="27"/>
      <c r="M413" s="27"/>
      <c r="N413" s="27"/>
      <c r="O413" s="27"/>
      <c r="P413" s="27"/>
      <c r="Q413" s="27"/>
      <c r="R413" s="27"/>
      <c r="S413" s="27"/>
    </row>
    <row r="414" ht="17.25" customHeight="1">
      <c r="A414" s="24"/>
      <c r="B414" s="23" t="s">
        <v>20</v>
      </c>
      <c r="C414" s="28" t="s">
        <v>857</v>
      </c>
      <c r="D414" s="23" t="s">
        <v>36</v>
      </c>
      <c r="E414" s="23" t="s">
        <v>36</v>
      </c>
      <c r="F414" s="24"/>
      <c r="G414" s="24"/>
      <c r="H414" s="26" t="s">
        <v>1383</v>
      </c>
      <c r="I414" s="29" t="s">
        <v>1384</v>
      </c>
      <c r="J414" s="24"/>
      <c r="K414" s="24"/>
      <c r="L414" s="27"/>
      <c r="M414" s="27"/>
      <c r="N414" s="27"/>
      <c r="O414" s="27"/>
      <c r="P414" s="27"/>
      <c r="Q414" s="27"/>
      <c r="R414" s="27"/>
      <c r="S414" s="27"/>
    </row>
    <row r="415" ht="17.25" customHeight="1">
      <c r="A415" s="24"/>
      <c r="B415" s="23" t="s">
        <v>720</v>
      </c>
      <c r="C415" s="23" t="s">
        <v>1385</v>
      </c>
      <c r="D415" s="23" t="s">
        <v>36</v>
      </c>
      <c r="E415" s="23" t="s">
        <v>36</v>
      </c>
      <c r="F415" s="24"/>
      <c r="G415" s="24"/>
      <c r="H415" s="26" t="s">
        <v>1386</v>
      </c>
      <c r="I415" s="24"/>
      <c r="J415" s="24"/>
      <c r="K415" s="24"/>
      <c r="L415" s="27"/>
      <c r="M415" s="27"/>
      <c r="N415" s="27"/>
      <c r="O415" s="27"/>
      <c r="P415" s="27"/>
      <c r="Q415" s="27"/>
      <c r="R415" s="27"/>
      <c r="S415" s="27"/>
    </row>
    <row r="416" ht="17.25" customHeight="1">
      <c r="A416" s="24"/>
      <c r="B416" s="23" t="s">
        <v>20</v>
      </c>
      <c r="C416" s="28" t="s">
        <v>1108</v>
      </c>
      <c r="D416" s="23" t="s">
        <v>36</v>
      </c>
      <c r="E416" s="23" t="s">
        <v>36</v>
      </c>
      <c r="F416" s="24"/>
      <c r="G416" s="24"/>
      <c r="H416" s="26" t="s">
        <v>1387</v>
      </c>
      <c r="I416" s="26" t="s">
        <v>1388</v>
      </c>
      <c r="J416" s="26" t="s">
        <v>1389</v>
      </c>
      <c r="K416" s="24"/>
      <c r="L416" s="27"/>
      <c r="M416" s="27"/>
      <c r="N416" s="27"/>
      <c r="O416" s="27"/>
      <c r="P416" s="27"/>
      <c r="Q416" s="27"/>
      <c r="R416" s="27"/>
      <c r="S416" s="27"/>
    </row>
    <row r="417" ht="17.25" customHeight="1">
      <c r="A417" s="24"/>
      <c r="B417" s="23" t="s">
        <v>20</v>
      </c>
      <c r="C417" s="28" t="s">
        <v>1310</v>
      </c>
      <c r="D417" s="23" t="s">
        <v>36</v>
      </c>
      <c r="E417" s="23" t="s">
        <v>36</v>
      </c>
      <c r="F417" s="24"/>
      <c r="G417" s="24"/>
      <c r="H417" s="26" t="s">
        <v>1390</v>
      </c>
      <c r="I417" s="24"/>
      <c r="J417" s="24"/>
      <c r="K417" s="24"/>
      <c r="L417" s="27"/>
      <c r="M417" s="27"/>
      <c r="N417" s="27"/>
      <c r="O417" s="27"/>
      <c r="P417" s="27"/>
      <c r="Q417" s="27"/>
      <c r="R417" s="27"/>
      <c r="S417" s="27"/>
    </row>
    <row r="418" ht="17.25" customHeight="1">
      <c r="A418" s="24"/>
      <c r="B418" s="23" t="s">
        <v>20</v>
      </c>
      <c r="C418" s="28" t="s">
        <v>1391</v>
      </c>
      <c r="D418" s="23" t="s">
        <v>36</v>
      </c>
      <c r="E418" s="23" t="s">
        <v>36</v>
      </c>
      <c r="F418" s="24"/>
      <c r="G418" s="24"/>
      <c r="H418" s="26" t="s">
        <v>1392</v>
      </c>
      <c r="I418" s="24"/>
      <c r="J418" s="24"/>
      <c r="K418" s="24"/>
      <c r="L418" s="27"/>
      <c r="M418" s="27"/>
      <c r="N418" s="27"/>
      <c r="O418" s="27"/>
      <c r="P418" s="27"/>
      <c r="Q418" s="27"/>
      <c r="R418" s="27"/>
      <c r="S418" s="27"/>
    </row>
    <row r="419" ht="17.25" customHeight="1">
      <c r="A419" s="24"/>
      <c r="B419" s="23" t="s">
        <v>20</v>
      </c>
      <c r="C419" s="23" t="s">
        <v>1393</v>
      </c>
      <c r="D419" s="23" t="s">
        <v>36</v>
      </c>
      <c r="E419" s="23" t="s">
        <v>36</v>
      </c>
      <c r="F419" s="24"/>
      <c r="G419" s="24"/>
      <c r="H419" s="26" t="s">
        <v>1394</v>
      </c>
      <c r="I419" s="24"/>
      <c r="J419" s="24"/>
      <c r="K419" s="24"/>
      <c r="L419" s="27"/>
      <c r="M419" s="27"/>
      <c r="N419" s="27"/>
      <c r="O419" s="27"/>
      <c r="P419" s="27"/>
      <c r="Q419" s="27"/>
      <c r="R419" s="27"/>
      <c r="S419" s="27"/>
    </row>
    <row r="420" ht="17.25" customHeight="1">
      <c r="A420" s="24"/>
      <c r="B420" s="23" t="s">
        <v>720</v>
      </c>
      <c r="C420" s="23" t="s">
        <v>1395</v>
      </c>
      <c r="D420" s="23" t="s">
        <v>36</v>
      </c>
      <c r="E420" s="23" t="s">
        <v>36</v>
      </c>
      <c r="F420" s="24"/>
      <c r="G420" s="24"/>
      <c r="H420" s="24"/>
      <c r="I420" s="24"/>
      <c r="J420" s="26" t="s">
        <v>1396</v>
      </c>
      <c r="K420" s="24"/>
      <c r="L420" s="27"/>
      <c r="M420" s="27"/>
      <c r="N420" s="27"/>
      <c r="O420" s="27"/>
      <c r="P420" s="27"/>
      <c r="Q420" s="27"/>
      <c r="R420" s="27"/>
      <c r="S420" s="27"/>
    </row>
    <row r="421" ht="17.25" customHeight="1">
      <c r="A421" s="24"/>
      <c r="B421" s="23" t="s">
        <v>20</v>
      </c>
      <c r="C421" s="28" t="s">
        <v>1397</v>
      </c>
      <c r="D421" s="23" t="s">
        <v>36</v>
      </c>
      <c r="E421" s="23" t="s">
        <v>36</v>
      </c>
      <c r="F421" s="24"/>
      <c r="G421" s="24"/>
      <c r="H421" s="26" t="s">
        <v>1398</v>
      </c>
      <c r="I421" s="24"/>
      <c r="J421" s="24"/>
      <c r="K421" s="24"/>
      <c r="L421" s="27"/>
      <c r="M421" s="27"/>
      <c r="N421" s="27"/>
      <c r="O421" s="27"/>
      <c r="P421" s="27"/>
      <c r="Q421" s="27"/>
      <c r="R421" s="27"/>
      <c r="S421" s="27"/>
    </row>
    <row r="422" ht="17.25" customHeight="1">
      <c r="A422" s="24"/>
      <c r="B422" s="23" t="s">
        <v>20</v>
      </c>
      <c r="C422" s="23" t="s">
        <v>1399</v>
      </c>
      <c r="D422" s="23" t="s">
        <v>36</v>
      </c>
      <c r="E422" s="23" t="s">
        <v>36</v>
      </c>
      <c r="F422" s="24"/>
      <c r="G422" s="24"/>
      <c r="H422" s="26" t="s">
        <v>1400</v>
      </c>
      <c r="I422" s="29" t="s">
        <v>1401</v>
      </c>
      <c r="J422" s="24"/>
      <c r="K422" s="24"/>
      <c r="L422" s="27"/>
      <c r="M422" s="27"/>
      <c r="N422" s="27"/>
      <c r="O422" s="27"/>
      <c r="P422" s="27"/>
      <c r="Q422" s="27"/>
      <c r="R422" s="27"/>
      <c r="S422" s="27"/>
    </row>
    <row r="423" ht="17.25" customHeight="1">
      <c r="A423" s="24"/>
      <c r="B423" s="23" t="s">
        <v>20</v>
      </c>
      <c r="C423" s="28" t="s">
        <v>1402</v>
      </c>
      <c r="D423" s="23" t="s">
        <v>36</v>
      </c>
      <c r="E423" s="23" t="s">
        <v>36</v>
      </c>
      <c r="F423" s="24"/>
      <c r="G423" s="24"/>
      <c r="H423" s="26" t="s">
        <v>1403</v>
      </c>
      <c r="I423" s="47" t="s">
        <v>1404</v>
      </c>
      <c r="J423" s="24"/>
      <c r="K423" s="24"/>
      <c r="L423" s="27"/>
      <c r="M423" s="27"/>
      <c r="N423" s="27"/>
      <c r="O423" s="27"/>
      <c r="P423" s="27"/>
      <c r="Q423" s="27"/>
      <c r="R423" s="27"/>
      <c r="S423" s="27"/>
    </row>
    <row r="424" ht="17.25" customHeight="1">
      <c r="A424" s="24"/>
      <c r="B424" s="23" t="s">
        <v>20</v>
      </c>
      <c r="C424" s="28" t="s">
        <v>1405</v>
      </c>
      <c r="D424" s="23" t="s">
        <v>36</v>
      </c>
      <c r="E424" s="23" t="s">
        <v>36</v>
      </c>
      <c r="F424" s="24"/>
      <c r="G424" s="24"/>
      <c r="H424" s="26" t="s">
        <v>1406</v>
      </c>
      <c r="I424" s="29" t="s">
        <v>1407</v>
      </c>
      <c r="J424" s="24"/>
      <c r="K424" s="24"/>
      <c r="L424" s="27"/>
      <c r="M424" s="27"/>
      <c r="N424" s="27"/>
      <c r="O424" s="27"/>
      <c r="P424" s="27"/>
      <c r="Q424" s="27"/>
      <c r="R424" s="27"/>
      <c r="S424" s="27"/>
    </row>
    <row r="425" ht="17.25" customHeight="1">
      <c r="A425" s="48"/>
      <c r="B425" s="49" t="s">
        <v>20</v>
      </c>
      <c r="C425" s="11" t="s">
        <v>1408</v>
      </c>
      <c r="D425" s="23" t="s">
        <v>36</v>
      </c>
      <c r="E425" s="49" t="s">
        <v>36</v>
      </c>
      <c r="F425" s="48"/>
      <c r="G425" s="48"/>
      <c r="H425" s="50" t="s">
        <v>1409</v>
      </c>
      <c r="I425" s="48"/>
      <c r="J425" s="48"/>
      <c r="K425" s="48"/>
    </row>
    <row r="426" ht="17.25" customHeight="1">
      <c r="A426" s="48"/>
      <c r="B426" s="23" t="s">
        <v>20</v>
      </c>
      <c r="C426" s="11" t="s">
        <v>951</v>
      </c>
      <c r="D426" s="49" t="s">
        <v>36</v>
      </c>
      <c r="E426" s="49" t="s">
        <v>36</v>
      </c>
      <c r="F426" s="48"/>
      <c r="G426" s="48"/>
      <c r="H426" s="50" t="s">
        <v>1410</v>
      </c>
      <c r="I426" s="12" t="s">
        <v>1411</v>
      </c>
      <c r="J426" s="48"/>
      <c r="K426" s="48"/>
    </row>
    <row r="427" ht="17.25" customHeight="1">
      <c r="A427" s="48"/>
      <c r="B427" s="49" t="s">
        <v>20</v>
      </c>
      <c r="C427" s="49" t="s">
        <v>1412</v>
      </c>
      <c r="D427" s="49" t="s">
        <v>36</v>
      </c>
      <c r="E427" s="49" t="s">
        <v>36</v>
      </c>
      <c r="F427" s="48"/>
      <c r="G427" s="48"/>
      <c r="H427" s="50" t="s">
        <v>1413</v>
      </c>
      <c r="I427" s="48"/>
      <c r="J427" s="48"/>
      <c r="K427" s="48"/>
    </row>
    <row r="428" ht="17.25" customHeight="1">
      <c r="A428" s="48"/>
      <c r="B428" s="49" t="s">
        <v>20</v>
      </c>
      <c r="C428" s="49" t="s">
        <v>1414</v>
      </c>
      <c r="D428" s="49" t="s">
        <v>36</v>
      </c>
      <c r="E428" s="49" t="s">
        <v>36</v>
      </c>
      <c r="F428" s="48"/>
      <c r="G428" s="48"/>
      <c r="H428" s="50" t="s">
        <v>1415</v>
      </c>
      <c r="I428" s="51" t="s">
        <v>1416</v>
      </c>
      <c r="J428" s="48"/>
      <c r="K428" s="48"/>
    </row>
    <row r="429" ht="17.25" customHeight="1">
      <c r="A429" s="48"/>
      <c r="B429" s="49" t="s">
        <v>20</v>
      </c>
      <c r="C429" s="11" t="s">
        <v>1417</v>
      </c>
      <c r="D429" s="49" t="s">
        <v>36</v>
      </c>
      <c r="E429" s="49" t="s">
        <v>36</v>
      </c>
      <c r="F429" s="48"/>
      <c r="G429" s="48"/>
      <c r="H429" s="50" t="s">
        <v>1418</v>
      </c>
      <c r="I429" s="12" t="s">
        <v>1419</v>
      </c>
      <c r="J429" s="48"/>
      <c r="K429" s="48"/>
    </row>
    <row r="430" ht="17.25" customHeight="1">
      <c r="A430" s="48"/>
      <c r="B430" s="49" t="s">
        <v>720</v>
      </c>
      <c r="C430" s="11" t="s">
        <v>1420</v>
      </c>
      <c r="D430" s="49" t="s">
        <v>36</v>
      </c>
      <c r="E430" s="49" t="s">
        <v>36</v>
      </c>
      <c r="F430" s="48"/>
      <c r="G430" s="48"/>
      <c r="H430" s="50" t="s">
        <v>1421</v>
      </c>
      <c r="I430" s="52"/>
      <c r="J430" s="48"/>
      <c r="K430" s="48"/>
    </row>
    <row r="431" ht="17.25" customHeight="1">
      <c r="A431" s="48"/>
      <c r="B431" s="49" t="s">
        <v>20</v>
      </c>
      <c r="C431" s="53" t="s">
        <v>1342</v>
      </c>
      <c r="D431" s="49" t="s">
        <v>36</v>
      </c>
      <c r="E431" s="49" t="s">
        <v>36</v>
      </c>
      <c r="F431" s="48"/>
      <c r="G431" s="48"/>
      <c r="H431" s="50" t="s">
        <v>1422</v>
      </c>
      <c r="I431" s="54"/>
      <c r="J431" s="48"/>
      <c r="K431" s="48"/>
    </row>
    <row r="432" ht="17.25" customHeight="1">
      <c r="A432" s="48"/>
      <c r="B432" s="49" t="s">
        <v>20</v>
      </c>
      <c r="C432" s="49" t="s">
        <v>1423</v>
      </c>
      <c r="D432" s="49" t="s">
        <v>36</v>
      </c>
      <c r="E432" s="49" t="s">
        <v>36</v>
      </c>
      <c r="F432" s="48"/>
      <c r="G432" s="48"/>
      <c r="H432" s="50" t="s">
        <v>1424</v>
      </c>
      <c r="I432" s="48"/>
      <c r="J432" s="48"/>
      <c r="K432" s="48"/>
    </row>
    <row r="433" ht="17.25" customHeight="1">
      <c r="A433" s="48"/>
      <c r="B433" s="49" t="s">
        <v>20</v>
      </c>
      <c r="C433" s="11" t="s">
        <v>685</v>
      </c>
      <c r="D433" s="49" t="s">
        <v>36</v>
      </c>
      <c r="E433" s="49" t="s">
        <v>36</v>
      </c>
      <c r="F433" s="48"/>
      <c r="G433" s="48"/>
      <c r="H433" s="50" t="s">
        <v>1425</v>
      </c>
      <c r="I433" s="48"/>
      <c r="J433" s="48"/>
      <c r="K433" s="48"/>
    </row>
    <row r="434" ht="17.25" customHeight="1">
      <c r="A434" s="48"/>
      <c r="B434" s="49" t="s">
        <v>20</v>
      </c>
      <c r="C434" s="11" t="s">
        <v>1426</v>
      </c>
      <c r="D434" s="49" t="s">
        <v>36</v>
      </c>
      <c r="E434" s="49" t="s">
        <v>36</v>
      </c>
      <c r="F434" s="48"/>
      <c r="G434" s="48"/>
      <c r="H434" s="50" t="s">
        <v>1427</v>
      </c>
      <c r="I434" s="12" t="s">
        <v>1428</v>
      </c>
      <c r="J434" s="48"/>
      <c r="K434" s="48"/>
    </row>
    <row r="435" ht="17.25" customHeight="1">
      <c r="A435" s="48"/>
      <c r="B435" s="49" t="s">
        <v>20</v>
      </c>
      <c r="C435" s="11" t="s">
        <v>386</v>
      </c>
      <c r="D435" s="49" t="s">
        <v>36</v>
      </c>
      <c r="E435" s="49" t="s">
        <v>36</v>
      </c>
      <c r="F435" s="48"/>
      <c r="G435" s="48"/>
      <c r="H435" s="50" t="s">
        <v>1429</v>
      </c>
      <c r="I435" s="12" t="s">
        <v>1430</v>
      </c>
      <c r="J435" s="48"/>
      <c r="K435" s="48"/>
    </row>
    <row r="436" ht="17.25" customHeight="1">
      <c r="A436" s="48"/>
      <c r="B436" s="49" t="s">
        <v>20</v>
      </c>
      <c r="C436" s="11" t="s">
        <v>347</v>
      </c>
      <c r="D436" s="49" t="s">
        <v>36</v>
      </c>
      <c r="E436" s="49" t="s">
        <v>36</v>
      </c>
      <c r="F436" s="48"/>
      <c r="G436" s="48"/>
      <c r="H436" s="50" t="s">
        <v>1431</v>
      </c>
      <c r="I436" s="48"/>
      <c r="J436" s="48"/>
      <c r="K436" s="48"/>
    </row>
    <row r="437" ht="17.25" customHeight="1">
      <c r="A437" s="48"/>
      <c r="B437" s="49" t="s">
        <v>20</v>
      </c>
      <c r="C437" s="11" t="s">
        <v>1432</v>
      </c>
      <c r="D437" s="49" t="s">
        <v>36</v>
      </c>
      <c r="E437" s="49" t="s">
        <v>36</v>
      </c>
      <c r="F437" s="48"/>
      <c r="G437" s="48"/>
      <c r="H437" s="50" t="s">
        <v>1433</v>
      </c>
      <c r="I437" s="48"/>
      <c r="J437" s="48"/>
      <c r="K437" s="48"/>
    </row>
    <row r="438" ht="17.25" customHeight="1">
      <c r="A438" s="48"/>
      <c r="B438" s="49" t="s">
        <v>20</v>
      </c>
      <c r="C438" s="11" t="s">
        <v>1434</v>
      </c>
      <c r="D438" s="49" t="s">
        <v>36</v>
      </c>
      <c r="E438" s="49" t="s">
        <v>36</v>
      </c>
      <c r="F438" s="48"/>
      <c r="G438" s="48"/>
      <c r="H438" s="50" t="s">
        <v>1435</v>
      </c>
      <c r="I438" s="48"/>
      <c r="J438" s="48"/>
      <c r="K438" s="48"/>
    </row>
    <row r="439" ht="17.25" customHeight="1">
      <c r="A439" s="48"/>
      <c r="B439" s="49" t="s">
        <v>276</v>
      </c>
      <c r="C439" s="49" t="s">
        <v>1045</v>
      </c>
      <c r="D439" s="49" t="s">
        <v>36</v>
      </c>
      <c r="E439" s="49" t="s">
        <v>36</v>
      </c>
      <c r="F439" s="48"/>
      <c r="G439" s="48"/>
      <c r="H439" s="50" t="s">
        <v>1436</v>
      </c>
      <c r="I439" s="48"/>
      <c r="J439" s="48"/>
      <c r="K439" s="48"/>
    </row>
    <row r="440" ht="17.25" customHeight="1">
      <c r="A440" s="48"/>
      <c r="B440" s="49" t="s">
        <v>20</v>
      </c>
      <c r="C440" s="11" t="s">
        <v>1437</v>
      </c>
      <c r="D440" s="49" t="s">
        <v>36</v>
      </c>
      <c r="E440" s="49" t="s">
        <v>36</v>
      </c>
      <c r="F440" s="48"/>
      <c r="G440" s="48"/>
      <c r="H440" s="50" t="s">
        <v>1438</v>
      </c>
      <c r="I440" s="48"/>
      <c r="J440" s="48"/>
      <c r="K440" s="48"/>
    </row>
    <row r="441" ht="17.25" customHeight="1">
      <c r="A441" s="48"/>
      <c r="B441" s="49" t="s">
        <v>20</v>
      </c>
      <c r="C441" s="11" t="s">
        <v>1439</v>
      </c>
      <c r="D441" s="49" t="s">
        <v>36</v>
      </c>
      <c r="E441" s="49" t="s">
        <v>36</v>
      </c>
      <c r="F441" s="48"/>
      <c r="G441" s="48"/>
      <c r="H441" s="50" t="s">
        <v>1440</v>
      </c>
      <c r="I441" s="51" t="s">
        <v>1441</v>
      </c>
      <c r="J441" s="48"/>
      <c r="K441" s="48"/>
    </row>
    <row r="442" ht="17.25" customHeight="1">
      <c r="A442" s="48"/>
      <c r="B442" s="49" t="s">
        <v>20</v>
      </c>
      <c r="C442" s="11" t="s">
        <v>1442</v>
      </c>
      <c r="D442" s="49" t="s">
        <v>36</v>
      </c>
      <c r="E442" s="49" t="s">
        <v>36</v>
      </c>
      <c r="F442" s="48"/>
      <c r="G442" s="48"/>
      <c r="H442" s="50" t="s">
        <v>1443</v>
      </c>
      <c r="I442" s="12" t="s">
        <v>1444</v>
      </c>
      <c r="J442" s="48"/>
      <c r="K442" s="48"/>
    </row>
    <row r="443" ht="17.25" customHeight="1">
      <c r="A443" s="48"/>
      <c r="B443" s="49" t="s">
        <v>20</v>
      </c>
      <c r="C443" s="11" t="s">
        <v>1445</v>
      </c>
      <c r="D443" s="49" t="s">
        <v>36</v>
      </c>
      <c r="E443" s="49" t="s">
        <v>36</v>
      </c>
      <c r="F443" s="48"/>
      <c r="G443" s="48"/>
      <c r="H443" s="50" t="s">
        <v>1446</v>
      </c>
      <c r="I443" s="12" t="s">
        <v>1447</v>
      </c>
      <c r="J443" s="48"/>
      <c r="K443" s="48"/>
    </row>
    <row r="444" ht="17.25" customHeight="1">
      <c r="A444" s="48"/>
      <c r="B444" s="49" t="s">
        <v>720</v>
      </c>
      <c r="C444" s="11" t="s">
        <v>1448</v>
      </c>
      <c r="D444" s="49" t="s">
        <v>36</v>
      </c>
      <c r="E444" s="49" t="s">
        <v>36</v>
      </c>
      <c r="F444" s="48"/>
      <c r="G444" s="48"/>
      <c r="H444" s="50" t="s">
        <v>1449</v>
      </c>
      <c r="I444" s="52"/>
      <c r="J444" s="48"/>
      <c r="K444" s="48"/>
    </row>
    <row r="445" ht="17.25" customHeight="1">
      <c r="A445" s="48"/>
      <c r="B445" s="49" t="s">
        <v>20</v>
      </c>
      <c r="C445" s="11" t="s">
        <v>1450</v>
      </c>
      <c r="D445" s="49" t="s">
        <v>36</v>
      </c>
      <c r="E445" s="49" t="s">
        <v>36</v>
      </c>
      <c r="F445" s="48"/>
      <c r="G445" s="48"/>
      <c r="H445" s="50" t="s">
        <v>1451</v>
      </c>
      <c r="I445" s="54"/>
      <c r="J445" s="48"/>
      <c r="K445" s="48"/>
    </row>
    <row r="446" ht="17.25" customHeight="1">
      <c r="A446" s="48"/>
      <c r="B446" s="49" t="s">
        <v>276</v>
      </c>
      <c r="C446" s="11" t="s">
        <v>1452</v>
      </c>
      <c r="D446" s="49" t="s">
        <v>36</v>
      </c>
      <c r="E446" s="49" t="s">
        <v>36</v>
      </c>
      <c r="F446" s="48"/>
      <c r="G446" s="48"/>
      <c r="H446" s="50" t="s">
        <v>1453</v>
      </c>
      <c r="I446" s="12" t="s">
        <v>1454</v>
      </c>
      <c r="J446" s="48"/>
      <c r="K446" s="48"/>
    </row>
    <row r="447" ht="17.25" customHeight="1">
      <c r="A447" s="48"/>
      <c r="B447" s="49" t="s">
        <v>20</v>
      </c>
      <c r="C447" s="11" t="s">
        <v>1455</v>
      </c>
      <c r="D447" s="49" t="s">
        <v>36</v>
      </c>
      <c r="E447" s="49" t="s">
        <v>36</v>
      </c>
      <c r="F447" s="48"/>
      <c r="G447" s="48"/>
      <c r="H447" s="50" t="s">
        <v>1456</v>
      </c>
      <c r="I447" s="48"/>
      <c r="J447" s="48"/>
      <c r="K447" s="48"/>
    </row>
    <row r="448" ht="17.25" customHeight="1">
      <c r="A448" s="48"/>
      <c r="B448" s="49" t="s">
        <v>20</v>
      </c>
      <c r="C448" s="11" t="s">
        <v>1108</v>
      </c>
      <c r="D448" s="49" t="s">
        <v>36</v>
      </c>
      <c r="E448" s="49" t="s">
        <v>36</v>
      </c>
      <c r="F448" s="48"/>
      <c r="G448" s="48"/>
      <c r="H448" s="50" t="s">
        <v>1457</v>
      </c>
      <c r="I448" s="50" t="s">
        <v>1458</v>
      </c>
      <c r="J448" s="55" t="s">
        <v>1459</v>
      </c>
      <c r="K448" s="48"/>
    </row>
    <row r="449" ht="17.25" customHeight="1">
      <c r="A449" s="48"/>
      <c r="B449" s="49" t="s">
        <v>20</v>
      </c>
      <c r="C449" s="11" t="s">
        <v>1460</v>
      </c>
      <c r="D449" s="49" t="s">
        <v>36</v>
      </c>
      <c r="E449" s="49" t="s">
        <v>36</v>
      </c>
      <c r="F449" s="48"/>
      <c r="G449" s="48"/>
      <c r="H449" s="50" t="s">
        <v>1461</v>
      </c>
      <c r="I449" s="56" t="s">
        <v>1462</v>
      </c>
      <c r="J449" s="48"/>
      <c r="K449" s="48"/>
    </row>
    <row r="450" ht="17.25" customHeight="1">
      <c r="A450" s="48"/>
      <c r="B450" s="49" t="s">
        <v>276</v>
      </c>
      <c r="C450" s="49" t="s">
        <v>1463</v>
      </c>
      <c r="D450" s="49" t="s">
        <v>36</v>
      </c>
      <c r="E450" s="49" t="s">
        <v>36</v>
      </c>
      <c r="F450" s="48"/>
      <c r="G450" s="48"/>
      <c r="H450" s="50" t="s">
        <v>1464</v>
      </c>
      <c r="I450" s="12" t="s">
        <v>1465</v>
      </c>
      <c r="J450" s="48"/>
      <c r="K450" s="48"/>
    </row>
    <row r="451" ht="17.25" customHeight="1">
      <c r="A451" s="48"/>
      <c r="B451" s="49" t="s">
        <v>20</v>
      </c>
      <c r="C451" s="11" t="s">
        <v>1466</v>
      </c>
      <c r="D451" s="49" t="s">
        <v>36</v>
      </c>
      <c r="E451" s="49" t="s">
        <v>36</v>
      </c>
      <c r="F451" s="48"/>
      <c r="G451" s="48"/>
      <c r="H451" s="50" t="s">
        <v>1467</v>
      </c>
      <c r="I451" s="12" t="s">
        <v>1468</v>
      </c>
      <c r="J451" s="48"/>
      <c r="K451" s="48"/>
    </row>
    <row r="452" ht="17.25" customHeight="1">
      <c r="A452" s="48"/>
      <c r="B452" s="49" t="s">
        <v>102</v>
      </c>
      <c r="C452" s="49" t="s">
        <v>963</v>
      </c>
      <c r="D452" s="49" t="s">
        <v>36</v>
      </c>
      <c r="E452" s="49" t="s">
        <v>36</v>
      </c>
      <c r="F452" s="48"/>
      <c r="G452" s="48"/>
      <c r="H452" s="50" t="s">
        <v>1469</v>
      </c>
      <c r="I452" s="48"/>
      <c r="J452" s="48"/>
      <c r="K452" s="48"/>
    </row>
    <row r="453" ht="17.25" customHeight="1">
      <c r="A453" s="48"/>
      <c r="B453" s="49" t="s">
        <v>20</v>
      </c>
      <c r="C453" s="11" t="s">
        <v>1470</v>
      </c>
      <c r="D453" s="49" t="s">
        <v>36</v>
      </c>
      <c r="E453" s="49" t="s">
        <v>36</v>
      </c>
      <c r="F453" s="48"/>
      <c r="G453" s="48"/>
      <c r="H453" s="50" t="s">
        <v>1471</v>
      </c>
      <c r="I453" s="12" t="s">
        <v>1472</v>
      </c>
      <c r="J453" s="48"/>
      <c r="K453" s="48"/>
    </row>
    <row r="454" ht="17.25" customHeight="1">
      <c r="A454" s="48"/>
      <c r="B454" s="49" t="s">
        <v>20</v>
      </c>
      <c r="C454" s="49" t="s">
        <v>1473</v>
      </c>
      <c r="D454" s="49" t="s">
        <v>36</v>
      </c>
      <c r="E454" s="49" t="s">
        <v>36</v>
      </c>
      <c r="F454" s="48"/>
      <c r="G454" s="48"/>
      <c r="H454" s="50" t="s">
        <v>1474</v>
      </c>
      <c r="I454" s="12" t="s">
        <v>1475</v>
      </c>
      <c r="J454" s="48"/>
      <c r="K454" s="48"/>
    </row>
    <row r="455" ht="17.25" customHeight="1">
      <c r="A455" s="48"/>
      <c r="B455" s="49" t="s">
        <v>20</v>
      </c>
      <c r="C455" s="49" t="s">
        <v>1476</v>
      </c>
      <c r="D455" s="49" t="s">
        <v>36</v>
      </c>
      <c r="E455" s="49" t="s">
        <v>36</v>
      </c>
      <c r="F455" s="48"/>
      <c r="G455" s="48"/>
      <c r="H455" s="50" t="s">
        <v>1477</v>
      </c>
      <c r="I455" s="12" t="s">
        <v>1478</v>
      </c>
      <c r="J455" s="48"/>
      <c r="K455" s="48"/>
    </row>
    <row r="456" ht="17.25" customHeight="1">
      <c r="A456" s="48"/>
      <c r="B456" s="49" t="s">
        <v>20</v>
      </c>
      <c r="C456" s="49" t="s">
        <v>1479</v>
      </c>
      <c r="D456" s="49" t="s">
        <v>36</v>
      </c>
      <c r="E456" s="49" t="s">
        <v>36</v>
      </c>
      <c r="F456" s="48"/>
      <c r="G456" s="48"/>
      <c r="H456" s="50" t="s">
        <v>1480</v>
      </c>
      <c r="I456" s="48"/>
      <c r="J456" s="48"/>
      <c r="K456" s="48"/>
    </row>
    <row r="457" ht="17.25" customHeight="1">
      <c r="A457" s="48"/>
      <c r="B457" s="49" t="s">
        <v>276</v>
      </c>
      <c r="C457" s="49" t="s">
        <v>641</v>
      </c>
      <c r="D457" s="49" t="s">
        <v>36</v>
      </c>
      <c r="E457" s="49" t="s">
        <v>36</v>
      </c>
      <c r="F457" s="48"/>
      <c r="G457" s="48"/>
      <c r="H457" s="50" t="s">
        <v>1481</v>
      </c>
      <c r="I457" s="48"/>
      <c r="J457" s="48"/>
      <c r="K457" s="48"/>
    </row>
    <row r="458" ht="17.25" customHeight="1">
      <c r="A458" s="57"/>
      <c r="B458" s="49"/>
      <c r="C458" s="49" t="s">
        <v>1482</v>
      </c>
      <c r="D458" s="49" t="s">
        <v>36</v>
      </c>
      <c r="E458" s="49" t="s">
        <v>36</v>
      </c>
      <c r="F458" s="48"/>
      <c r="G458" s="48"/>
      <c r="H458" s="48"/>
      <c r="I458" s="48"/>
      <c r="J458" s="50" t="s">
        <v>1483</v>
      </c>
      <c r="K458" s="48"/>
    </row>
    <row r="459" ht="17.25" customHeight="1">
      <c r="A459" s="58"/>
      <c r="B459" s="49"/>
      <c r="C459" s="49" t="s">
        <v>1484</v>
      </c>
      <c r="D459" s="49" t="s">
        <v>36</v>
      </c>
      <c r="E459" s="49" t="s">
        <v>36</v>
      </c>
      <c r="F459" s="48"/>
      <c r="G459" s="48"/>
      <c r="H459" s="48"/>
      <c r="I459" s="48"/>
      <c r="J459" s="50" t="s">
        <v>1485</v>
      </c>
      <c r="K459" s="48"/>
    </row>
    <row r="460" ht="17.25" customHeight="1">
      <c r="A460" s="48"/>
      <c r="B460" s="49" t="s">
        <v>20</v>
      </c>
      <c r="C460" s="49" t="s">
        <v>1486</v>
      </c>
      <c r="D460" s="49" t="s">
        <v>36</v>
      </c>
      <c r="E460" s="49" t="s">
        <v>36</v>
      </c>
      <c r="F460" s="48"/>
      <c r="G460" s="48"/>
      <c r="H460" s="50" t="s">
        <v>1487</v>
      </c>
      <c r="I460" s="12" t="s">
        <v>1488</v>
      </c>
      <c r="J460" s="48"/>
      <c r="K460" s="48"/>
    </row>
    <row r="461" ht="17.25" customHeight="1">
      <c r="A461" s="59"/>
      <c r="B461" s="49" t="s">
        <v>1489</v>
      </c>
      <c r="C461" s="49" t="s">
        <v>1490</v>
      </c>
      <c r="D461" s="49" t="s">
        <v>36</v>
      </c>
      <c r="E461" s="49" t="s">
        <v>36</v>
      </c>
      <c r="F461" s="48"/>
      <c r="G461" s="48"/>
      <c r="H461" s="55" t="s">
        <v>1491</v>
      </c>
      <c r="I461" s="48"/>
      <c r="J461" s="50" t="s">
        <v>1492</v>
      </c>
      <c r="K461" s="48"/>
    </row>
    <row r="462" ht="17.25" customHeight="1">
      <c r="A462" s="57"/>
      <c r="B462" s="49" t="s">
        <v>1489</v>
      </c>
      <c r="C462" s="60" t="s">
        <v>1493</v>
      </c>
      <c r="D462" s="49" t="s">
        <v>36</v>
      </c>
      <c r="E462" s="49" t="s">
        <v>36</v>
      </c>
      <c r="F462" s="48"/>
      <c r="G462" s="48"/>
      <c r="H462" s="48"/>
      <c r="I462" s="48"/>
      <c r="J462" s="50" t="s">
        <v>1494</v>
      </c>
      <c r="K462" s="48"/>
    </row>
    <row r="463" ht="17.25" customHeight="1">
      <c r="A463" s="57"/>
      <c r="B463" s="49" t="s">
        <v>220</v>
      </c>
      <c r="C463" s="60" t="s">
        <v>1495</v>
      </c>
      <c r="D463" s="49" t="s">
        <v>36</v>
      </c>
      <c r="E463" s="49" t="s">
        <v>36</v>
      </c>
      <c r="F463" s="48"/>
      <c r="G463" s="48"/>
      <c r="H463" s="55" t="s">
        <v>1496</v>
      </c>
      <c r="I463" s="48"/>
      <c r="J463" s="50" t="s">
        <v>1497</v>
      </c>
      <c r="K463" s="48"/>
    </row>
    <row r="464" ht="17.25" customHeight="1">
      <c r="A464" s="59"/>
      <c r="B464" s="49" t="s">
        <v>1489</v>
      </c>
      <c r="C464" s="49" t="s">
        <v>1498</v>
      </c>
      <c r="D464" s="49" t="s">
        <v>1499</v>
      </c>
      <c r="E464" s="49" t="s">
        <v>36</v>
      </c>
      <c r="F464" s="48"/>
      <c r="G464" s="48"/>
      <c r="H464" s="48"/>
      <c r="I464" s="48"/>
      <c r="J464" s="50" t="s">
        <v>1500</v>
      </c>
      <c r="K464" s="48"/>
    </row>
    <row r="465" ht="17.25" customHeight="1">
      <c r="A465" s="59"/>
      <c r="B465" s="48"/>
      <c r="C465" s="49" t="s">
        <v>1501</v>
      </c>
      <c r="D465" s="49" t="s">
        <v>36</v>
      </c>
      <c r="E465" s="49" t="s">
        <v>36</v>
      </c>
      <c r="F465" s="48"/>
      <c r="G465" s="48"/>
      <c r="H465" s="48"/>
      <c r="I465" s="48"/>
      <c r="J465" s="50" t="s">
        <v>1502</v>
      </c>
      <c r="K465" s="48"/>
    </row>
    <row r="466" ht="17.25" customHeight="1">
      <c r="A466" s="59"/>
      <c r="B466" s="48"/>
      <c r="C466" s="49" t="s">
        <v>29</v>
      </c>
      <c r="D466" s="49" t="s">
        <v>36</v>
      </c>
      <c r="E466" s="49" t="s">
        <v>36</v>
      </c>
      <c r="F466" s="48"/>
      <c r="G466" s="48"/>
      <c r="H466" s="48"/>
      <c r="I466" s="48"/>
      <c r="J466" s="61" t="s">
        <v>1503</v>
      </c>
      <c r="K466" s="48"/>
    </row>
    <row r="467" ht="17.25" customHeight="1">
      <c r="A467" s="59"/>
      <c r="B467" s="49" t="s">
        <v>1489</v>
      </c>
      <c r="C467" s="49" t="s">
        <v>1504</v>
      </c>
      <c r="D467" s="49" t="s">
        <v>36</v>
      </c>
      <c r="E467" s="49" t="s">
        <v>36</v>
      </c>
      <c r="F467" s="48"/>
      <c r="G467" s="48"/>
      <c r="H467" s="48"/>
      <c r="I467" s="48"/>
      <c r="J467" s="55" t="s">
        <v>1505</v>
      </c>
      <c r="K467" s="48"/>
    </row>
    <row r="468" ht="17.25" customHeight="1">
      <c r="A468" s="59"/>
      <c r="B468" s="49" t="s">
        <v>220</v>
      </c>
      <c r="C468" s="49" t="s">
        <v>1506</v>
      </c>
      <c r="D468" s="49" t="s">
        <v>36</v>
      </c>
      <c r="E468" s="49" t="s">
        <v>36</v>
      </c>
      <c r="F468" s="48"/>
      <c r="G468" s="48"/>
      <c r="H468" s="48"/>
      <c r="I468" s="48"/>
      <c r="J468" s="50" t="s">
        <v>1507</v>
      </c>
      <c r="K468" s="48"/>
    </row>
    <row r="469" ht="17.25" customHeight="1">
      <c r="A469" s="59"/>
      <c r="B469" s="49" t="s">
        <v>220</v>
      </c>
      <c r="C469" s="49" t="s">
        <v>1508</v>
      </c>
      <c r="D469" s="49" t="s">
        <v>36</v>
      </c>
      <c r="E469" s="49" t="s">
        <v>36</v>
      </c>
      <c r="F469" s="48"/>
      <c r="G469" s="48"/>
      <c r="H469" s="48"/>
      <c r="I469" s="48"/>
      <c r="J469" s="50" t="s">
        <v>1509</v>
      </c>
      <c r="K469" s="48"/>
    </row>
    <row r="470" ht="17.25" customHeight="1">
      <c r="A470" s="59"/>
      <c r="B470" s="48"/>
      <c r="C470" s="49" t="s">
        <v>1510</v>
      </c>
      <c r="D470" s="49" t="s">
        <v>36</v>
      </c>
      <c r="E470" s="49" t="s">
        <v>36</v>
      </c>
      <c r="F470" s="48"/>
      <c r="G470" s="48"/>
      <c r="H470" s="48"/>
      <c r="I470" s="48"/>
      <c r="J470" s="50" t="s">
        <v>1511</v>
      </c>
      <c r="K470" s="48"/>
    </row>
    <row r="471" ht="17.25" customHeight="1">
      <c r="A471" s="59"/>
      <c r="B471" s="48"/>
      <c r="C471" s="49" t="s">
        <v>1512</v>
      </c>
      <c r="D471" s="49" t="s">
        <v>36</v>
      </c>
      <c r="E471" s="49" t="s">
        <v>36</v>
      </c>
      <c r="F471" s="48"/>
      <c r="G471" s="48"/>
      <c r="H471" s="48"/>
      <c r="I471" s="48"/>
      <c r="J471" s="50" t="s">
        <v>1513</v>
      </c>
      <c r="K471" s="48"/>
    </row>
    <row r="472" ht="17.25" customHeight="1">
      <c r="A472" s="57"/>
      <c r="B472" s="48"/>
      <c r="C472" s="49" t="s">
        <v>931</v>
      </c>
      <c r="D472" s="49" t="s">
        <v>36</v>
      </c>
      <c r="E472" s="49" t="s">
        <v>36</v>
      </c>
      <c r="F472" s="48"/>
      <c r="G472" s="48"/>
      <c r="H472" s="48"/>
      <c r="I472" s="48"/>
      <c r="J472" s="61" t="s">
        <v>1514</v>
      </c>
      <c r="K472" s="48"/>
    </row>
    <row r="473" ht="17.25" customHeight="1">
      <c r="A473" s="59"/>
      <c r="B473" s="49" t="s">
        <v>220</v>
      </c>
      <c r="C473" s="49" t="s">
        <v>1515</v>
      </c>
      <c r="D473" s="49" t="s">
        <v>36</v>
      </c>
      <c r="E473" s="49" t="s">
        <v>36</v>
      </c>
      <c r="F473" s="48"/>
      <c r="G473" s="48"/>
      <c r="H473" s="55" t="s">
        <v>1516</v>
      </c>
      <c r="I473" s="48"/>
      <c r="J473" s="50" t="s">
        <v>1517</v>
      </c>
      <c r="K473" s="48"/>
    </row>
    <row r="474" ht="17.25" customHeight="1">
      <c r="A474" s="58"/>
      <c r="B474" s="48"/>
      <c r="C474" s="49" t="s">
        <v>1518</v>
      </c>
      <c r="D474" s="49" t="s">
        <v>36</v>
      </c>
      <c r="E474" s="49" t="s">
        <v>36</v>
      </c>
      <c r="F474" s="48"/>
      <c r="G474" s="48"/>
      <c r="H474" s="48"/>
      <c r="I474" s="48"/>
      <c r="J474" s="61" t="s">
        <v>1519</v>
      </c>
      <c r="K474" s="48"/>
    </row>
    <row r="475" ht="17.25" customHeight="1">
      <c r="A475" s="58"/>
      <c r="B475" s="48"/>
      <c r="C475" s="49" t="s">
        <v>1520</v>
      </c>
      <c r="D475" s="49" t="s">
        <v>36</v>
      </c>
      <c r="E475" s="49" t="s">
        <v>36</v>
      </c>
      <c r="F475" s="48"/>
      <c r="G475" s="48"/>
      <c r="H475" s="48"/>
      <c r="I475" s="48"/>
      <c r="J475" s="50" t="s">
        <v>1521</v>
      </c>
      <c r="K475" s="48"/>
    </row>
    <row r="476" ht="17.25" customHeight="1">
      <c r="A476" s="59"/>
      <c r="B476" s="49" t="s">
        <v>276</v>
      </c>
      <c r="C476" s="49" t="s">
        <v>1522</v>
      </c>
      <c r="D476" s="49" t="s">
        <v>36</v>
      </c>
      <c r="E476" s="49" t="s">
        <v>36</v>
      </c>
      <c r="F476" s="48"/>
      <c r="G476" s="48"/>
      <c r="H476" s="48"/>
      <c r="I476" s="48"/>
      <c r="J476" s="50" t="s">
        <v>1523</v>
      </c>
      <c r="K476" s="48"/>
    </row>
    <row r="477" ht="17.25" customHeight="1">
      <c r="A477" s="58"/>
      <c r="B477" s="49"/>
      <c r="C477" s="49" t="s">
        <v>1524</v>
      </c>
      <c r="D477" s="49" t="s">
        <v>36</v>
      </c>
      <c r="E477" s="49" t="s">
        <v>36</v>
      </c>
      <c r="F477" s="48"/>
      <c r="G477" s="48"/>
      <c r="H477" s="48"/>
      <c r="I477" s="48"/>
      <c r="J477" s="50" t="s">
        <v>1525</v>
      </c>
      <c r="K477" s="48"/>
    </row>
    <row r="478" ht="17.25" customHeight="1">
      <c r="A478" s="48"/>
      <c r="B478" s="48"/>
      <c r="C478" s="49" t="s">
        <v>1526</v>
      </c>
      <c r="D478" s="49" t="s">
        <v>36</v>
      </c>
      <c r="E478" s="49" t="s">
        <v>36</v>
      </c>
      <c r="F478" s="48"/>
      <c r="G478" s="48"/>
      <c r="H478" s="55" t="s">
        <v>1527</v>
      </c>
      <c r="I478" s="55" t="s">
        <v>1528</v>
      </c>
      <c r="J478" s="50" t="s">
        <v>1529</v>
      </c>
      <c r="K478" s="48"/>
    </row>
    <row r="479" ht="17.25" customHeight="1">
      <c r="A479" s="59"/>
      <c r="B479" s="48"/>
      <c r="C479" s="49" t="s">
        <v>1530</v>
      </c>
      <c r="D479" s="49" t="s">
        <v>36</v>
      </c>
      <c r="E479" s="49" t="s">
        <v>36</v>
      </c>
      <c r="F479" s="48"/>
      <c r="G479" s="48"/>
      <c r="H479" s="48"/>
      <c r="I479" s="48"/>
      <c r="J479" s="55" t="s">
        <v>1531</v>
      </c>
      <c r="K479" s="48"/>
    </row>
    <row r="480" ht="17.25" customHeight="1">
      <c r="A480" s="58"/>
      <c r="B480" s="49" t="s">
        <v>20</v>
      </c>
      <c r="C480" s="49" t="s">
        <v>1532</v>
      </c>
      <c r="D480" s="49" t="s">
        <v>36</v>
      </c>
      <c r="E480" s="49" t="s">
        <v>36</v>
      </c>
      <c r="F480" s="48"/>
      <c r="G480" s="48"/>
      <c r="H480" s="48"/>
      <c r="I480" s="48"/>
      <c r="J480" s="50" t="s">
        <v>1533</v>
      </c>
      <c r="K480" s="48"/>
    </row>
    <row r="481" ht="17.25" customHeight="1">
      <c r="A481" s="57"/>
      <c r="B481" s="49" t="s">
        <v>276</v>
      </c>
      <c r="C481" s="49" t="s">
        <v>1534</v>
      </c>
      <c r="D481" s="49" t="s">
        <v>36</v>
      </c>
      <c r="E481" s="49" t="s">
        <v>36</v>
      </c>
      <c r="F481" s="48"/>
      <c r="G481" s="48"/>
      <c r="H481" s="48"/>
      <c r="I481" s="48"/>
      <c r="J481" s="50" t="s">
        <v>1535</v>
      </c>
      <c r="K481" s="48"/>
    </row>
    <row r="482" ht="17.25" customHeight="1">
      <c r="A482" s="57"/>
      <c r="B482" s="49" t="s">
        <v>20</v>
      </c>
      <c r="C482" s="49" t="s">
        <v>1536</v>
      </c>
      <c r="D482" s="49" t="s">
        <v>36</v>
      </c>
      <c r="E482" s="49" t="s">
        <v>36</v>
      </c>
      <c r="F482" s="48"/>
      <c r="G482" s="48"/>
      <c r="H482" s="48"/>
      <c r="I482" s="48"/>
      <c r="J482" s="50" t="s">
        <v>1537</v>
      </c>
      <c r="K482" s="48"/>
    </row>
    <row r="483" ht="17.25" customHeight="1">
      <c r="A483" s="58"/>
      <c r="B483" s="49" t="s">
        <v>20</v>
      </c>
      <c r="C483" s="49" t="s">
        <v>1538</v>
      </c>
      <c r="D483" s="49" t="s">
        <v>36</v>
      </c>
      <c r="E483" s="49" t="s">
        <v>36</v>
      </c>
      <c r="F483" s="48"/>
      <c r="G483" s="48"/>
      <c r="H483" s="48"/>
      <c r="I483" s="48"/>
      <c r="J483" s="50" t="s">
        <v>1539</v>
      </c>
      <c r="K483" s="48"/>
    </row>
    <row r="484" ht="17.25" customHeight="1">
      <c r="A484" s="57"/>
      <c r="B484" s="49" t="s">
        <v>20</v>
      </c>
      <c r="C484" s="62" t="s">
        <v>1540</v>
      </c>
      <c r="D484" s="49" t="s">
        <v>36</v>
      </c>
      <c r="E484" s="49" t="s">
        <v>36</v>
      </c>
      <c r="F484" s="48"/>
      <c r="G484" s="48"/>
      <c r="H484" s="48"/>
      <c r="I484" s="48"/>
      <c r="J484" s="50" t="s">
        <v>1541</v>
      </c>
      <c r="K484" s="48"/>
    </row>
    <row r="485" ht="17.25" customHeight="1">
      <c r="A485" s="57"/>
      <c r="B485" s="49"/>
      <c r="C485" s="49" t="s">
        <v>1542</v>
      </c>
      <c r="D485" s="49" t="s">
        <v>36</v>
      </c>
      <c r="E485" s="49" t="s">
        <v>36</v>
      </c>
      <c r="F485" s="48"/>
      <c r="G485" s="48"/>
      <c r="H485" s="55" t="s">
        <v>1543</v>
      </c>
      <c r="I485" s="55" t="s">
        <v>1544</v>
      </c>
      <c r="J485" s="61" t="s">
        <v>1545</v>
      </c>
      <c r="K485" s="48"/>
    </row>
    <row r="486" ht="17.25" customHeight="1">
      <c r="A486" s="48"/>
      <c r="B486" s="48"/>
      <c r="C486" s="49" t="s">
        <v>1546</v>
      </c>
      <c r="D486" s="49" t="s">
        <v>36</v>
      </c>
      <c r="E486" s="49" t="s">
        <v>36</v>
      </c>
      <c r="F486" s="48"/>
      <c r="G486" s="48"/>
      <c r="H486" s="48"/>
      <c r="I486" s="48"/>
      <c r="J486" s="50" t="s">
        <v>1547</v>
      </c>
      <c r="K486" s="48"/>
    </row>
    <row r="487" ht="17.25" customHeight="1">
      <c r="A487" s="48"/>
      <c r="B487" s="49" t="s">
        <v>20</v>
      </c>
      <c r="C487" s="49" t="s">
        <v>1548</v>
      </c>
      <c r="D487" s="49" t="s">
        <v>36</v>
      </c>
      <c r="E487" s="49" t="s">
        <v>36</v>
      </c>
      <c r="F487" s="48"/>
      <c r="G487" s="48"/>
      <c r="H487" s="48"/>
      <c r="I487" s="48"/>
      <c r="J487" s="50" t="s">
        <v>1549</v>
      </c>
      <c r="K487" s="48"/>
    </row>
    <row r="488" ht="17.25" customHeight="1">
      <c r="A488" s="48"/>
      <c r="B488" s="49" t="s">
        <v>20</v>
      </c>
      <c r="C488" s="49" t="s">
        <v>1550</v>
      </c>
      <c r="D488" s="49" t="s">
        <v>36</v>
      </c>
      <c r="E488" s="49" t="s">
        <v>36</v>
      </c>
      <c r="F488" s="48"/>
      <c r="G488" s="48"/>
      <c r="H488" s="48"/>
      <c r="I488" s="48"/>
      <c r="J488" s="50" t="s">
        <v>1551</v>
      </c>
      <c r="K488" s="48"/>
    </row>
    <row r="489" ht="17.25" customHeight="1">
      <c r="A489" s="48"/>
      <c r="B489" s="49" t="s">
        <v>20</v>
      </c>
      <c r="C489" s="49" t="s">
        <v>1552</v>
      </c>
      <c r="D489" s="49" t="s">
        <v>1499</v>
      </c>
      <c r="E489" s="49" t="s">
        <v>36</v>
      </c>
      <c r="F489" s="48"/>
      <c r="G489" s="48"/>
      <c r="H489" s="48"/>
      <c r="I489" s="48"/>
      <c r="J489" s="50" t="s">
        <v>1553</v>
      </c>
      <c r="K489" s="48"/>
    </row>
    <row r="490" ht="17.25" customHeight="1">
      <c r="A490" s="49"/>
      <c r="B490" s="49" t="s">
        <v>20</v>
      </c>
      <c r="C490" s="49" t="s">
        <v>1554</v>
      </c>
      <c r="D490" s="49" t="s">
        <v>36</v>
      </c>
      <c r="E490" s="49" t="s">
        <v>1555</v>
      </c>
      <c r="F490" s="49" t="s">
        <v>1555</v>
      </c>
      <c r="G490" s="59"/>
      <c r="H490" s="50" t="s">
        <v>1556</v>
      </c>
      <c r="I490" s="50" t="s">
        <v>1557</v>
      </c>
      <c r="J490" s="50" t="s">
        <v>1558</v>
      </c>
      <c r="K490" s="48"/>
      <c r="L490" s="12" t="s">
        <v>1559</v>
      </c>
      <c r="M490" s="8" t="s">
        <v>1560</v>
      </c>
      <c r="N490" s="37" t="s">
        <v>318</v>
      </c>
    </row>
    <row r="491" ht="17.25" customHeight="1">
      <c r="A491" s="48"/>
      <c r="B491" s="49" t="s">
        <v>20</v>
      </c>
      <c r="C491" s="49" t="s">
        <v>1561</v>
      </c>
      <c r="D491" s="49" t="s">
        <v>36</v>
      </c>
      <c r="E491" s="49" t="s">
        <v>1562</v>
      </c>
      <c r="F491" s="48"/>
      <c r="G491" s="48"/>
      <c r="H491" s="48"/>
      <c r="I491" s="48"/>
      <c r="J491" s="50" t="s">
        <v>1563</v>
      </c>
      <c r="K491" s="48"/>
    </row>
    <row r="492" ht="17.25" customHeight="1">
      <c r="A492" s="48"/>
      <c r="B492" s="49" t="s">
        <v>20</v>
      </c>
      <c r="C492" s="49" t="s">
        <v>1564</v>
      </c>
      <c r="D492" s="49" t="s">
        <v>36</v>
      </c>
      <c r="E492" s="49" t="s">
        <v>1565</v>
      </c>
      <c r="F492" s="48"/>
      <c r="G492" s="59"/>
      <c r="H492" s="50" t="s">
        <v>1566</v>
      </c>
      <c r="I492" s="48"/>
      <c r="J492" s="48"/>
      <c r="K492" s="48"/>
    </row>
    <row r="493" ht="17.25" customHeight="1">
      <c r="A493" s="48"/>
      <c r="B493" s="49" t="s">
        <v>20</v>
      </c>
      <c r="C493" s="11" t="s">
        <v>1567</v>
      </c>
      <c r="D493" s="49" t="s">
        <v>36</v>
      </c>
      <c r="E493" s="49" t="s">
        <v>1568</v>
      </c>
      <c r="F493" s="48"/>
      <c r="G493" s="48"/>
      <c r="H493" s="50" t="s">
        <v>1569</v>
      </c>
      <c r="I493" s="48"/>
      <c r="J493" s="48"/>
      <c r="K493" s="48"/>
    </row>
    <row r="494" ht="17.25" customHeight="1">
      <c r="A494" s="48"/>
      <c r="B494" s="49" t="s">
        <v>20</v>
      </c>
      <c r="C494" s="11" t="s">
        <v>1083</v>
      </c>
      <c r="D494" s="49" t="s">
        <v>36</v>
      </c>
      <c r="E494" s="49" t="s">
        <v>1568</v>
      </c>
      <c r="F494" s="48"/>
      <c r="G494" s="48"/>
      <c r="H494" s="50" t="s">
        <v>1570</v>
      </c>
      <c r="I494" s="48"/>
      <c r="J494" s="48"/>
      <c r="K494" s="48"/>
    </row>
    <row r="495" ht="17.25" customHeight="1">
      <c r="A495" s="48"/>
      <c r="B495" s="49" t="s">
        <v>20</v>
      </c>
      <c r="C495" s="49" t="s">
        <v>1571</v>
      </c>
      <c r="D495" s="49" t="s">
        <v>36</v>
      </c>
      <c r="E495" s="49" t="s">
        <v>1568</v>
      </c>
      <c r="F495" s="48"/>
      <c r="G495" s="48"/>
      <c r="H495" s="50" t="s">
        <v>1572</v>
      </c>
      <c r="I495" s="48"/>
      <c r="J495" s="48"/>
      <c r="K495" s="48"/>
    </row>
    <row r="496" ht="17.25" customHeight="1">
      <c r="A496" s="48"/>
      <c r="B496" s="49" t="s">
        <v>1573</v>
      </c>
      <c r="C496" s="11" t="s">
        <v>1574</v>
      </c>
      <c r="D496" s="49" t="s">
        <v>36</v>
      </c>
      <c r="E496" s="49" t="s">
        <v>1568</v>
      </c>
      <c r="F496" s="48"/>
      <c r="G496" s="48"/>
      <c r="H496" s="50" t="s">
        <v>1575</v>
      </c>
      <c r="I496" s="63" t="s">
        <v>1576</v>
      </c>
      <c r="J496" s="48"/>
      <c r="K496" s="48"/>
    </row>
    <row r="497" ht="17.25" customHeight="1">
      <c r="A497" s="48"/>
      <c r="B497" s="49" t="s">
        <v>20</v>
      </c>
      <c r="C497" s="49" t="s">
        <v>1047</v>
      </c>
      <c r="D497" s="49" t="s">
        <v>36</v>
      </c>
      <c r="E497" s="49" t="s">
        <v>1568</v>
      </c>
      <c r="F497" s="48"/>
      <c r="G497" s="48"/>
      <c r="H497" s="50" t="s">
        <v>1577</v>
      </c>
      <c r="I497" s="50" t="s">
        <v>1578</v>
      </c>
      <c r="J497" s="48"/>
      <c r="K497" s="48"/>
    </row>
    <row r="498" ht="17.25" customHeight="1">
      <c r="A498" s="48"/>
      <c r="B498" s="49" t="s">
        <v>20</v>
      </c>
      <c r="C498" s="11" t="s">
        <v>1399</v>
      </c>
      <c r="D498" s="49" t="s">
        <v>36</v>
      </c>
      <c r="E498" s="49" t="s">
        <v>1568</v>
      </c>
      <c r="F498" s="48"/>
      <c r="G498" s="48"/>
      <c r="H498" s="50" t="s">
        <v>1579</v>
      </c>
      <c r="I498" s="50" t="s">
        <v>1580</v>
      </c>
      <c r="J498" s="48"/>
      <c r="K498" s="48"/>
    </row>
    <row r="499" ht="17.25" customHeight="1">
      <c r="A499" s="48"/>
      <c r="B499" s="49" t="s">
        <v>20</v>
      </c>
      <c r="C499" s="49" t="s">
        <v>1237</v>
      </c>
      <c r="D499" s="49" t="s">
        <v>36</v>
      </c>
      <c r="E499" s="49" t="s">
        <v>1568</v>
      </c>
      <c r="F499" s="49"/>
      <c r="G499" s="48"/>
      <c r="H499" s="48"/>
      <c r="I499" s="48"/>
      <c r="J499" s="50" t="s">
        <v>1581</v>
      </c>
      <c r="K499" s="48"/>
    </row>
    <row r="500" ht="17.25" customHeight="1">
      <c r="A500" s="48"/>
      <c r="B500" s="49" t="s">
        <v>17</v>
      </c>
      <c r="C500" s="64" t="s">
        <v>1582</v>
      </c>
      <c r="D500" s="49" t="s">
        <v>36</v>
      </c>
      <c r="E500" s="49" t="s">
        <v>50</v>
      </c>
      <c r="F500" s="49" t="s">
        <v>1583</v>
      </c>
      <c r="G500" s="48"/>
      <c r="H500" s="50" t="s">
        <v>1584</v>
      </c>
      <c r="I500" s="48"/>
      <c r="J500" s="48"/>
      <c r="K500" s="48"/>
    </row>
    <row r="501" ht="17.25" customHeight="1">
      <c r="A501" s="48"/>
      <c r="B501" s="48"/>
      <c r="C501" s="49" t="s">
        <v>1585</v>
      </c>
      <c r="D501" s="49" t="s">
        <v>36</v>
      </c>
      <c r="E501" s="49" t="s">
        <v>31</v>
      </c>
      <c r="F501" s="48"/>
      <c r="G501" s="48"/>
      <c r="H501" s="48"/>
      <c r="I501" s="48"/>
      <c r="J501" s="50" t="s">
        <v>1586</v>
      </c>
      <c r="K501" s="48"/>
    </row>
    <row r="502" ht="17.25" customHeight="1">
      <c r="A502" s="49"/>
      <c r="B502" s="49" t="s">
        <v>20</v>
      </c>
      <c r="C502" s="49" t="s">
        <v>1587</v>
      </c>
      <c r="D502" s="49" t="s">
        <v>36</v>
      </c>
      <c r="E502" s="49" t="s">
        <v>62</v>
      </c>
      <c r="F502" s="49"/>
      <c r="G502" s="65"/>
      <c r="H502" s="55" t="s">
        <v>1588</v>
      </c>
      <c r="I502" s="55" t="s">
        <v>1589</v>
      </c>
      <c r="J502" s="48"/>
      <c r="K502" s="48"/>
    </row>
    <row r="503" ht="17.25" customHeight="1">
      <c r="A503" s="49"/>
      <c r="B503" s="49" t="s">
        <v>20</v>
      </c>
      <c r="C503" s="49" t="s">
        <v>1590</v>
      </c>
      <c r="D503" s="49" t="s">
        <v>36</v>
      </c>
      <c r="E503" s="49" t="s">
        <v>1591</v>
      </c>
      <c r="F503" s="49" t="s">
        <v>1592</v>
      </c>
      <c r="G503" s="59"/>
      <c r="H503" s="50" t="s">
        <v>1593</v>
      </c>
      <c r="I503" s="50" t="s">
        <v>1594</v>
      </c>
      <c r="J503" s="48"/>
      <c r="K503" s="48"/>
      <c r="M503" s="8" t="s">
        <v>1591</v>
      </c>
    </row>
    <row r="504" ht="17.25" customHeight="1">
      <c r="A504" s="48"/>
      <c r="B504" s="49" t="s">
        <v>276</v>
      </c>
      <c r="C504" s="49" t="s">
        <v>1595</v>
      </c>
      <c r="D504" s="49" t="s">
        <v>36</v>
      </c>
      <c r="E504" s="49" t="s">
        <v>1591</v>
      </c>
      <c r="F504" s="48"/>
      <c r="G504" s="48"/>
      <c r="H504" s="48"/>
      <c r="I504" s="48"/>
      <c r="J504" s="50" t="s">
        <v>1596</v>
      </c>
      <c r="K504" s="48"/>
    </row>
    <row r="505" ht="17.25" customHeight="1">
      <c r="A505" s="49"/>
      <c r="B505" s="49" t="s">
        <v>1597</v>
      </c>
      <c r="C505" s="49" t="s">
        <v>1598</v>
      </c>
      <c r="D505" s="49" t="s">
        <v>36</v>
      </c>
      <c r="E505" s="49"/>
      <c r="F505" s="49" t="s">
        <v>1599</v>
      </c>
      <c r="G505" s="59"/>
      <c r="H505" s="50" t="s">
        <v>1600</v>
      </c>
      <c r="I505" s="50" t="s">
        <v>1601</v>
      </c>
      <c r="J505" s="48"/>
      <c r="K505" s="48"/>
    </row>
    <row r="506" ht="17.25" customHeight="1">
      <c r="A506" s="49"/>
      <c r="B506" s="49" t="s">
        <v>1597</v>
      </c>
      <c r="C506" s="49" t="s">
        <v>35</v>
      </c>
      <c r="D506" s="49" t="s">
        <v>36</v>
      </c>
      <c r="E506" s="48"/>
      <c r="F506" s="48"/>
      <c r="G506" s="59"/>
      <c r="H506" s="50" t="s">
        <v>37</v>
      </c>
      <c r="I506" s="50" t="s">
        <v>38</v>
      </c>
      <c r="J506" s="48"/>
      <c r="K506" s="50" t="s">
        <v>1602</v>
      </c>
    </row>
    <row r="507" ht="17.25" customHeight="1">
      <c r="A507" s="49"/>
      <c r="B507" s="49" t="s">
        <v>1597</v>
      </c>
      <c r="C507" s="49" t="s">
        <v>1603</v>
      </c>
      <c r="D507" s="49" t="s">
        <v>36</v>
      </c>
      <c r="E507" s="59"/>
      <c r="F507" s="59"/>
      <c r="G507" s="59"/>
      <c r="H507" s="50" t="s">
        <v>1604</v>
      </c>
      <c r="I507" s="50" t="s">
        <v>1605</v>
      </c>
      <c r="J507" s="59"/>
      <c r="K507" s="50" t="s">
        <v>1606</v>
      </c>
    </row>
    <row r="508" ht="17.25" customHeight="1">
      <c r="A508" s="49"/>
      <c r="B508" s="49" t="s">
        <v>1597</v>
      </c>
      <c r="C508" s="49" t="s">
        <v>1607</v>
      </c>
      <c r="D508" s="49" t="s">
        <v>36</v>
      </c>
      <c r="E508" s="49"/>
      <c r="F508" s="49"/>
      <c r="G508" s="59"/>
      <c r="H508" s="50" t="s">
        <v>1608</v>
      </c>
      <c r="I508" s="50" t="s">
        <v>1609</v>
      </c>
      <c r="J508" s="48"/>
      <c r="K508" s="48"/>
    </row>
    <row r="509" ht="17.25" customHeight="1">
      <c r="A509" s="49"/>
      <c r="B509" s="49" t="s">
        <v>1597</v>
      </c>
      <c r="C509" s="49" t="s">
        <v>1610</v>
      </c>
      <c r="D509" s="49" t="s">
        <v>36</v>
      </c>
      <c r="E509" s="49"/>
      <c r="F509" s="49"/>
      <c r="G509" s="59"/>
      <c r="H509" s="50" t="s">
        <v>1611</v>
      </c>
      <c r="I509" s="50" t="s">
        <v>1612</v>
      </c>
      <c r="J509" s="48"/>
      <c r="K509" s="48"/>
    </row>
    <row r="510" ht="17.25" customHeight="1">
      <c r="A510" s="49"/>
      <c r="B510" s="49" t="s">
        <v>1597</v>
      </c>
      <c r="C510" s="49" t="s">
        <v>1613</v>
      </c>
      <c r="D510" s="49" t="s">
        <v>36</v>
      </c>
      <c r="E510" s="59"/>
      <c r="F510" s="59"/>
      <c r="G510" s="59"/>
      <c r="H510" s="50" t="s">
        <v>1614</v>
      </c>
      <c r="I510" s="50" t="s">
        <v>1615</v>
      </c>
      <c r="J510" s="48"/>
      <c r="K510" s="48"/>
    </row>
    <row r="511" ht="17.25" customHeight="1">
      <c r="A511" s="49"/>
      <c r="B511" s="49" t="s">
        <v>1597</v>
      </c>
      <c r="C511" s="49" t="s">
        <v>1616</v>
      </c>
      <c r="D511" s="49" t="s">
        <v>36</v>
      </c>
      <c r="E511" s="49"/>
      <c r="F511" s="49"/>
      <c r="G511" s="59"/>
      <c r="H511" s="50" t="s">
        <v>1617</v>
      </c>
      <c r="I511" s="50" t="s">
        <v>1618</v>
      </c>
      <c r="J511" s="48"/>
      <c r="K511" s="50" t="s">
        <v>1619</v>
      </c>
    </row>
    <row r="512" ht="17.25" customHeight="1">
      <c r="A512" s="49"/>
      <c r="B512" s="49" t="s">
        <v>1597</v>
      </c>
      <c r="C512" s="49" t="s">
        <v>1620</v>
      </c>
      <c r="D512" s="49" t="s">
        <v>36</v>
      </c>
      <c r="E512" s="59"/>
      <c r="F512" s="59"/>
      <c r="G512" s="59"/>
      <c r="H512" s="50" t="s">
        <v>1621</v>
      </c>
      <c r="I512" s="50" t="s">
        <v>1622</v>
      </c>
      <c r="J512" s="50" t="s">
        <v>1623</v>
      </c>
      <c r="K512" s="48"/>
      <c r="L512" s="37"/>
    </row>
    <row r="513" ht="17.25" customHeight="1">
      <c r="A513" s="49"/>
      <c r="B513" s="49" t="s">
        <v>1597</v>
      </c>
      <c r="C513" s="49" t="s">
        <v>1624</v>
      </c>
      <c r="D513" s="49" t="s">
        <v>36</v>
      </c>
      <c r="E513" s="59"/>
      <c r="F513" s="59"/>
      <c r="G513" s="59"/>
      <c r="H513" s="50" t="s">
        <v>1625</v>
      </c>
      <c r="I513" s="50" t="s">
        <v>1626</v>
      </c>
      <c r="J513" s="48"/>
      <c r="K513" s="48"/>
    </row>
    <row r="514" ht="17.25" customHeight="1">
      <c r="A514" s="49"/>
      <c r="B514" s="49" t="s">
        <v>1597</v>
      </c>
      <c r="C514" s="49" t="s">
        <v>1627</v>
      </c>
      <c r="D514" s="49" t="s">
        <v>36</v>
      </c>
      <c r="E514" s="59"/>
      <c r="F514" s="59"/>
      <c r="G514" s="59"/>
      <c r="H514" s="50" t="s">
        <v>1628</v>
      </c>
      <c r="I514" s="50" t="s">
        <v>1629</v>
      </c>
      <c r="J514" s="48"/>
      <c r="K514" s="48"/>
    </row>
    <row r="515" ht="17.25" customHeight="1">
      <c r="A515" s="49"/>
      <c r="B515" s="49" t="s">
        <v>1597</v>
      </c>
      <c r="C515" s="49" t="s">
        <v>1630</v>
      </c>
      <c r="D515" s="49" t="s">
        <v>36</v>
      </c>
      <c r="E515" s="59"/>
      <c r="F515" s="59"/>
      <c r="G515" s="59"/>
      <c r="H515" s="50" t="s">
        <v>1631</v>
      </c>
      <c r="I515" s="50" t="s">
        <v>1632</v>
      </c>
      <c r="J515" s="50" t="s">
        <v>1633</v>
      </c>
      <c r="K515" s="50" t="s">
        <v>1634</v>
      </c>
    </row>
    <row r="516" ht="17.25" customHeight="1">
      <c r="A516" s="49"/>
      <c r="B516" s="49" t="s">
        <v>1597</v>
      </c>
      <c r="C516" s="49" t="s">
        <v>1635</v>
      </c>
      <c r="D516" s="49" t="s">
        <v>36</v>
      </c>
      <c r="E516" s="49"/>
      <c r="F516" s="49"/>
      <c r="G516" s="59"/>
      <c r="H516" s="50" t="s">
        <v>1636</v>
      </c>
      <c r="I516" s="55" t="s">
        <v>1637</v>
      </c>
      <c r="J516" s="48"/>
      <c r="K516" s="48"/>
    </row>
    <row r="517" ht="17.25" customHeight="1">
      <c r="A517" s="49"/>
      <c r="B517" s="49" t="s">
        <v>1597</v>
      </c>
      <c r="C517" s="49" t="s">
        <v>1638</v>
      </c>
      <c r="D517" s="49" t="s">
        <v>36</v>
      </c>
      <c r="E517" s="59"/>
      <c r="F517" s="59"/>
      <c r="G517" s="59"/>
      <c r="H517" s="50" t="s">
        <v>1639</v>
      </c>
      <c r="I517" s="50" t="s">
        <v>1640</v>
      </c>
      <c r="J517" s="48"/>
      <c r="K517" s="48"/>
    </row>
    <row r="518" ht="17.25" customHeight="1">
      <c r="A518" s="49"/>
      <c r="B518" s="49" t="s">
        <v>1597</v>
      </c>
      <c r="C518" s="49" t="s">
        <v>1641</v>
      </c>
      <c r="D518" s="49" t="s">
        <v>36</v>
      </c>
      <c r="E518" s="48"/>
      <c r="F518" s="48"/>
      <c r="G518" s="59"/>
      <c r="H518" s="50" t="s">
        <v>1642</v>
      </c>
      <c r="I518" s="50" t="s">
        <v>1643</v>
      </c>
      <c r="J518" s="50" t="s">
        <v>1644</v>
      </c>
      <c r="K518" s="50" t="s">
        <v>1645</v>
      </c>
      <c r="L518" s="12" t="s">
        <v>1646</v>
      </c>
    </row>
    <row r="519" ht="17.25" customHeight="1">
      <c r="A519" s="49"/>
      <c r="B519" s="49" t="s">
        <v>1597</v>
      </c>
      <c r="C519" s="49" t="s">
        <v>1647</v>
      </c>
      <c r="D519" s="49" t="s">
        <v>36</v>
      </c>
      <c r="E519" s="48"/>
      <c r="F519" s="48"/>
      <c r="G519" s="59"/>
      <c r="H519" s="50" t="s">
        <v>1648</v>
      </c>
      <c r="I519" s="48"/>
      <c r="J519" s="48"/>
      <c r="K519" s="48"/>
    </row>
    <row r="520" ht="17.25" customHeight="1">
      <c r="A520" s="49"/>
      <c r="B520" s="49" t="s">
        <v>1597</v>
      </c>
      <c r="C520" s="49" t="s">
        <v>1649</v>
      </c>
      <c r="D520" s="49" t="s">
        <v>36</v>
      </c>
      <c r="E520" s="59"/>
      <c r="F520" s="59"/>
      <c r="G520" s="59"/>
      <c r="H520" s="50" t="s">
        <v>1650</v>
      </c>
      <c r="I520" s="48"/>
      <c r="J520" s="48"/>
      <c r="K520" s="48"/>
    </row>
    <row r="521" ht="17.25" customHeight="1">
      <c r="A521" s="49"/>
      <c r="B521" s="49" t="s">
        <v>1597</v>
      </c>
      <c r="C521" s="49" t="s">
        <v>1651</v>
      </c>
      <c r="D521" s="49" t="s">
        <v>36</v>
      </c>
      <c r="E521" s="59"/>
      <c r="F521" s="59"/>
      <c r="G521" s="59"/>
      <c r="H521" s="50" t="s">
        <v>1652</v>
      </c>
      <c r="I521" s="48"/>
      <c r="J521" s="48"/>
      <c r="K521" s="48"/>
    </row>
    <row r="522" ht="17.25" customHeight="1">
      <c r="A522" s="49"/>
      <c r="B522" s="49" t="s">
        <v>1597</v>
      </c>
      <c r="C522" s="49" t="s">
        <v>1653</v>
      </c>
      <c r="D522" s="49" t="s">
        <v>36</v>
      </c>
      <c r="E522" s="49"/>
      <c r="F522" s="49"/>
      <c r="G522" s="59"/>
      <c r="H522" s="50" t="s">
        <v>1654</v>
      </c>
      <c r="I522" s="48"/>
      <c r="J522" s="48"/>
      <c r="K522" s="48"/>
    </row>
    <row r="523" ht="17.25" customHeight="1">
      <c r="A523" s="49"/>
      <c r="B523" s="49" t="s">
        <v>1597</v>
      </c>
      <c r="C523" s="49" t="s">
        <v>1655</v>
      </c>
      <c r="D523" s="49" t="s">
        <v>36</v>
      </c>
      <c r="E523" s="48"/>
      <c r="F523" s="48"/>
      <c r="G523" s="59"/>
      <c r="H523" s="50" t="s">
        <v>1656</v>
      </c>
      <c r="I523" s="48"/>
      <c r="J523" s="48"/>
      <c r="K523" s="48"/>
    </row>
    <row r="524" ht="17.25" customHeight="1">
      <c r="A524" s="49"/>
      <c r="B524" s="49" t="s">
        <v>1597</v>
      </c>
      <c r="C524" s="49" t="s">
        <v>1657</v>
      </c>
      <c r="D524" s="49" t="s">
        <v>36</v>
      </c>
      <c r="E524" s="59"/>
      <c r="F524" s="59"/>
      <c r="G524" s="59"/>
      <c r="H524" s="50" t="s">
        <v>1658</v>
      </c>
      <c r="I524" s="48"/>
      <c r="J524" s="48"/>
      <c r="K524" s="48"/>
    </row>
    <row r="525" ht="17.25" customHeight="1">
      <c r="A525" s="49"/>
      <c r="B525" s="49" t="s">
        <v>1597</v>
      </c>
      <c r="C525" s="49" t="s">
        <v>1659</v>
      </c>
      <c r="D525" s="49" t="s">
        <v>36</v>
      </c>
      <c r="E525" s="59"/>
      <c r="F525" s="59"/>
      <c r="G525" s="59"/>
      <c r="H525" s="50" t="s">
        <v>1660</v>
      </c>
      <c r="I525" s="48"/>
      <c r="J525" s="48"/>
      <c r="K525" s="48"/>
    </row>
    <row r="526" ht="17.25" customHeight="1">
      <c r="A526" s="49"/>
      <c r="B526" s="49" t="s">
        <v>220</v>
      </c>
      <c r="C526" s="49" t="s">
        <v>454</v>
      </c>
      <c r="D526" s="49" t="s">
        <v>36</v>
      </c>
      <c r="E526" s="59"/>
      <c r="F526" s="59"/>
      <c r="G526" s="59"/>
      <c r="H526" s="50" t="s">
        <v>1661</v>
      </c>
      <c r="I526" s="50" t="s">
        <v>453</v>
      </c>
      <c r="J526" s="48"/>
      <c r="K526" s="48"/>
    </row>
    <row r="527" ht="17.25" customHeight="1">
      <c r="A527" s="49"/>
      <c r="B527" s="49" t="s">
        <v>220</v>
      </c>
      <c r="C527" s="49" t="s">
        <v>1662</v>
      </c>
      <c r="D527" s="49" t="s">
        <v>36</v>
      </c>
      <c r="E527" s="59"/>
      <c r="F527" s="59"/>
      <c r="G527" s="59"/>
      <c r="H527" s="50" t="s">
        <v>1663</v>
      </c>
      <c r="I527" s="50" t="s">
        <v>1664</v>
      </c>
      <c r="J527" s="48"/>
      <c r="K527" s="48"/>
    </row>
    <row r="528" ht="17.25" customHeight="1">
      <c r="A528" s="49"/>
      <c r="B528" s="49" t="s">
        <v>220</v>
      </c>
      <c r="C528" s="49" t="s">
        <v>1665</v>
      </c>
      <c r="D528" s="49" t="s">
        <v>36</v>
      </c>
      <c r="E528" s="49"/>
      <c r="F528" s="49"/>
      <c r="G528" s="59"/>
      <c r="H528" s="50" t="s">
        <v>1666</v>
      </c>
      <c r="I528" s="50" t="s">
        <v>1667</v>
      </c>
      <c r="J528" s="48"/>
      <c r="K528" s="48"/>
      <c r="L528" s="12" t="s">
        <v>1668</v>
      </c>
    </row>
    <row r="529" ht="17.25" customHeight="1">
      <c r="A529" s="49"/>
      <c r="B529" s="49" t="s">
        <v>220</v>
      </c>
      <c r="C529" s="49" t="s">
        <v>1669</v>
      </c>
      <c r="D529" s="49" t="s">
        <v>36</v>
      </c>
      <c r="E529" s="48"/>
      <c r="F529" s="48"/>
      <c r="G529" s="59"/>
      <c r="H529" s="50" t="s">
        <v>1670</v>
      </c>
      <c r="I529" s="50" t="s">
        <v>1671</v>
      </c>
      <c r="J529" s="48"/>
      <c r="K529" s="48"/>
    </row>
    <row r="530" ht="17.25" customHeight="1">
      <c r="A530" s="49"/>
      <c r="B530" s="49" t="s">
        <v>220</v>
      </c>
      <c r="C530" s="49" t="s">
        <v>1672</v>
      </c>
      <c r="D530" s="49" t="s">
        <v>36</v>
      </c>
      <c r="E530" s="48"/>
      <c r="F530" s="48"/>
      <c r="G530" s="59"/>
      <c r="H530" s="50" t="s">
        <v>1673</v>
      </c>
      <c r="I530" s="50" t="s">
        <v>1674</v>
      </c>
      <c r="J530" s="48"/>
      <c r="K530" s="48"/>
    </row>
    <row r="531" ht="17.25" customHeight="1">
      <c r="A531" s="49"/>
      <c r="B531" s="49" t="s">
        <v>220</v>
      </c>
      <c r="C531" s="49" t="s">
        <v>1675</v>
      </c>
      <c r="D531" s="49" t="s">
        <v>36</v>
      </c>
      <c r="E531" s="59"/>
      <c r="F531" s="59"/>
      <c r="G531" s="59"/>
      <c r="H531" s="50" t="s">
        <v>1676</v>
      </c>
      <c r="I531" s="50" t="s">
        <v>1677</v>
      </c>
      <c r="J531" s="48"/>
      <c r="K531" s="48"/>
    </row>
    <row r="532" ht="17.25" customHeight="1">
      <c r="A532" s="49"/>
      <c r="B532" s="49" t="s">
        <v>220</v>
      </c>
      <c r="C532" s="49" t="s">
        <v>1678</v>
      </c>
      <c r="D532" s="49" t="s">
        <v>36</v>
      </c>
      <c r="E532" s="59"/>
      <c r="F532" s="59"/>
      <c r="G532" s="59"/>
      <c r="H532" s="50" t="s">
        <v>1679</v>
      </c>
      <c r="I532" s="50" t="s">
        <v>1680</v>
      </c>
      <c r="J532" s="48"/>
      <c r="K532" s="50" t="s">
        <v>1681</v>
      </c>
    </row>
    <row r="533" ht="17.25" customHeight="1">
      <c r="A533" s="49"/>
      <c r="B533" s="49" t="s">
        <v>220</v>
      </c>
      <c r="C533" s="49" t="s">
        <v>1682</v>
      </c>
      <c r="D533" s="49" t="s">
        <v>36</v>
      </c>
      <c r="E533" s="59"/>
      <c r="F533" s="59"/>
      <c r="G533" s="59"/>
      <c r="H533" s="50" t="s">
        <v>1683</v>
      </c>
      <c r="I533" s="50" t="s">
        <v>1684</v>
      </c>
      <c r="J533" s="48"/>
      <c r="K533" s="48"/>
    </row>
    <row r="534" ht="17.25" customHeight="1">
      <c r="A534" s="49"/>
      <c r="B534" s="49" t="s">
        <v>220</v>
      </c>
      <c r="C534" s="49" t="s">
        <v>1685</v>
      </c>
      <c r="D534" s="49" t="s">
        <v>36</v>
      </c>
      <c r="E534" s="59"/>
      <c r="F534" s="59"/>
      <c r="G534" s="59"/>
      <c r="H534" s="50" t="s">
        <v>1686</v>
      </c>
      <c r="I534" s="50" t="s">
        <v>409</v>
      </c>
      <c r="J534" s="50" t="s">
        <v>1687</v>
      </c>
      <c r="K534" s="48"/>
    </row>
    <row r="535" ht="17.25" customHeight="1">
      <c r="A535" s="49"/>
      <c r="B535" s="49" t="s">
        <v>220</v>
      </c>
      <c r="C535" s="49" t="s">
        <v>1688</v>
      </c>
      <c r="D535" s="49" t="s">
        <v>36</v>
      </c>
      <c r="E535" s="48"/>
      <c r="F535" s="48"/>
      <c r="G535" s="59"/>
      <c r="H535" s="50" t="s">
        <v>1689</v>
      </c>
      <c r="I535" s="50" t="s">
        <v>1690</v>
      </c>
      <c r="J535" s="48"/>
      <c r="K535" s="48"/>
    </row>
    <row r="536" ht="17.25" customHeight="1">
      <c r="A536" s="49"/>
      <c r="B536" s="49" t="s">
        <v>220</v>
      </c>
      <c r="C536" s="49" t="s">
        <v>1691</v>
      </c>
      <c r="D536" s="49" t="s">
        <v>36</v>
      </c>
      <c r="E536" s="59"/>
      <c r="F536" s="59"/>
      <c r="G536" s="59"/>
      <c r="H536" s="50" t="s">
        <v>1692</v>
      </c>
      <c r="I536" s="50" t="s">
        <v>1693</v>
      </c>
      <c r="J536" s="48"/>
      <c r="K536" s="48"/>
    </row>
    <row r="537" ht="17.25" customHeight="1">
      <c r="A537" s="49"/>
      <c r="B537" s="49" t="s">
        <v>220</v>
      </c>
      <c r="C537" s="49" t="s">
        <v>1694</v>
      </c>
      <c r="D537" s="49" t="s">
        <v>36</v>
      </c>
      <c r="E537" s="48"/>
      <c r="F537" s="48"/>
      <c r="G537" s="59"/>
      <c r="H537" s="50" t="s">
        <v>1695</v>
      </c>
      <c r="I537" s="66" t="s">
        <v>1696</v>
      </c>
      <c r="J537" s="48"/>
      <c r="K537" s="48"/>
    </row>
    <row r="538" ht="17.25" customHeight="1">
      <c r="A538" s="49"/>
      <c r="B538" s="49" t="s">
        <v>220</v>
      </c>
      <c r="C538" s="49" t="s">
        <v>1697</v>
      </c>
      <c r="D538" s="49" t="s">
        <v>36</v>
      </c>
      <c r="E538" s="59"/>
      <c r="F538" s="59"/>
      <c r="G538" s="59"/>
      <c r="H538" s="50" t="s">
        <v>1698</v>
      </c>
      <c r="I538" s="50" t="s">
        <v>1699</v>
      </c>
      <c r="J538" s="59"/>
      <c r="K538" s="50" t="s">
        <v>1700</v>
      </c>
      <c r="L538" s="12" t="s">
        <v>1701</v>
      </c>
    </row>
    <row r="539" ht="17.25" customHeight="1">
      <c r="A539" s="49"/>
      <c r="B539" s="49" t="s">
        <v>220</v>
      </c>
      <c r="C539" s="49" t="s">
        <v>1702</v>
      </c>
      <c r="D539" s="49" t="s">
        <v>36</v>
      </c>
      <c r="E539" s="59"/>
      <c r="F539" s="59"/>
      <c r="G539" s="59"/>
      <c r="H539" s="50" t="s">
        <v>1703</v>
      </c>
      <c r="I539" s="50" t="s">
        <v>1704</v>
      </c>
      <c r="J539" s="48"/>
      <c r="K539" s="48"/>
    </row>
    <row r="540" ht="17.25" customHeight="1">
      <c r="A540" s="49"/>
      <c r="B540" s="49" t="s">
        <v>220</v>
      </c>
      <c r="C540" s="49" t="s">
        <v>1705</v>
      </c>
      <c r="D540" s="49" t="s">
        <v>36</v>
      </c>
      <c r="E540" s="59"/>
      <c r="F540" s="59"/>
      <c r="G540" s="59"/>
      <c r="H540" s="50" t="s">
        <v>1706</v>
      </c>
      <c r="I540" s="50" t="s">
        <v>1707</v>
      </c>
      <c r="J540" s="48"/>
      <c r="K540" s="48"/>
    </row>
    <row r="541" ht="17.25" customHeight="1">
      <c r="A541" s="49"/>
      <c r="B541" s="49" t="s">
        <v>220</v>
      </c>
      <c r="C541" s="49" t="s">
        <v>1708</v>
      </c>
      <c r="D541" s="49" t="s">
        <v>36</v>
      </c>
      <c r="E541" s="59"/>
      <c r="F541" s="59"/>
      <c r="G541" s="59"/>
      <c r="H541" s="50" t="s">
        <v>1709</v>
      </c>
      <c r="I541" s="50" t="s">
        <v>1710</v>
      </c>
      <c r="J541" s="55" t="s">
        <v>1711</v>
      </c>
      <c r="K541" s="50" t="s">
        <v>1712</v>
      </c>
    </row>
    <row r="542" ht="17.25" customHeight="1">
      <c r="A542" s="49"/>
      <c r="B542" s="49" t="s">
        <v>220</v>
      </c>
      <c r="C542" s="49" t="s">
        <v>1713</v>
      </c>
      <c r="D542" s="49" t="s">
        <v>36</v>
      </c>
      <c r="E542" s="59"/>
      <c r="F542" s="59"/>
      <c r="G542" s="59"/>
      <c r="H542" s="50" t="s">
        <v>1714</v>
      </c>
      <c r="I542" s="50" t="s">
        <v>1715</v>
      </c>
      <c r="J542" s="48"/>
      <c r="K542" s="48"/>
    </row>
    <row r="543" ht="17.25" customHeight="1">
      <c r="A543" s="49"/>
      <c r="B543" s="49" t="s">
        <v>220</v>
      </c>
      <c r="C543" s="49" t="s">
        <v>1716</v>
      </c>
      <c r="D543" s="49" t="s">
        <v>36</v>
      </c>
      <c r="E543" s="48"/>
      <c r="F543" s="48"/>
      <c r="G543" s="59"/>
      <c r="H543" s="50" t="s">
        <v>1717</v>
      </c>
      <c r="I543" s="50" t="s">
        <v>1718</v>
      </c>
      <c r="J543" s="48"/>
      <c r="K543" s="50" t="s">
        <v>1719</v>
      </c>
    </row>
    <row r="544" ht="17.25" customHeight="1">
      <c r="A544" s="49"/>
      <c r="B544" s="49" t="s">
        <v>220</v>
      </c>
      <c r="C544" s="49" t="s">
        <v>1720</v>
      </c>
      <c r="D544" s="49" t="s">
        <v>36</v>
      </c>
      <c r="E544" s="59"/>
      <c r="F544" s="59"/>
      <c r="G544" s="59"/>
      <c r="H544" s="50" t="s">
        <v>1721</v>
      </c>
      <c r="I544" s="50" t="s">
        <v>1722</v>
      </c>
      <c r="J544" s="48"/>
      <c r="K544" s="48"/>
    </row>
    <row r="545" ht="17.25" customHeight="1">
      <c r="A545" s="49"/>
      <c r="B545" s="49" t="s">
        <v>220</v>
      </c>
      <c r="C545" s="49" t="s">
        <v>1723</v>
      </c>
      <c r="D545" s="49" t="s">
        <v>36</v>
      </c>
      <c r="E545" s="59"/>
      <c r="F545" s="59"/>
      <c r="G545" s="59"/>
      <c r="H545" s="50" t="s">
        <v>1724</v>
      </c>
      <c r="I545" s="50" t="s">
        <v>1725</v>
      </c>
      <c r="J545" s="48"/>
      <c r="K545" s="48"/>
    </row>
    <row r="546" ht="17.25" customHeight="1">
      <c r="A546" s="49"/>
      <c r="B546" s="49" t="s">
        <v>220</v>
      </c>
      <c r="C546" s="49" t="s">
        <v>1726</v>
      </c>
      <c r="D546" s="49" t="s">
        <v>36</v>
      </c>
      <c r="E546" s="48"/>
      <c r="F546" s="48"/>
      <c r="G546" s="59"/>
      <c r="H546" s="50" t="s">
        <v>1727</v>
      </c>
      <c r="I546" s="50" t="s">
        <v>1728</v>
      </c>
      <c r="J546" s="48"/>
      <c r="K546" s="48"/>
    </row>
    <row r="547" ht="17.25" customHeight="1">
      <c r="A547" s="49"/>
      <c r="B547" s="49" t="s">
        <v>220</v>
      </c>
      <c r="C547" s="49" t="s">
        <v>1729</v>
      </c>
      <c r="D547" s="49" t="s">
        <v>36</v>
      </c>
      <c r="E547" s="59"/>
      <c r="F547" s="59"/>
      <c r="G547" s="59"/>
      <c r="H547" s="50" t="s">
        <v>1730</v>
      </c>
      <c r="I547" s="67" t="s">
        <v>1731</v>
      </c>
      <c r="J547" s="50" t="s">
        <v>1732</v>
      </c>
      <c r="K547" s="48"/>
    </row>
    <row r="548" ht="17.25" customHeight="1">
      <c r="A548" s="58">
        <v>2.2456837E7</v>
      </c>
      <c r="B548" s="49" t="s">
        <v>220</v>
      </c>
      <c r="C548" s="49" t="s">
        <v>1733</v>
      </c>
      <c r="D548" s="49" t="s">
        <v>36</v>
      </c>
      <c r="E548" s="59"/>
      <c r="F548" s="59"/>
      <c r="G548" s="59"/>
      <c r="H548" s="59"/>
      <c r="I548" s="59"/>
      <c r="J548" s="50" t="s">
        <v>1734</v>
      </c>
      <c r="K548" s="48"/>
    </row>
    <row r="549" ht="17.25" customHeight="1">
      <c r="A549" s="49"/>
      <c r="B549" s="49" t="s">
        <v>220</v>
      </c>
      <c r="C549" s="49" t="s">
        <v>1733</v>
      </c>
      <c r="D549" s="49" t="s">
        <v>36</v>
      </c>
      <c r="E549" s="59"/>
      <c r="F549" s="59"/>
      <c r="G549" s="59"/>
      <c r="H549" s="50" t="s">
        <v>1735</v>
      </c>
      <c r="I549" s="50" t="s">
        <v>1736</v>
      </c>
      <c r="J549" s="50" t="s">
        <v>1737</v>
      </c>
      <c r="K549" s="48"/>
    </row>
    <row r="550" ht="17.25" customHeight="1">
      <c r="A550" s="49"/>
      <c r="B550" s="49" t="s">
        <v>220</v>
      </c>
      <c r="C550" s="49" t="s">
        <v>525</v>
      </c>
      <c r="D550" s="49" t="s">
        <v>36</v>
      </c>
      <c r="E550" s="59"/>
      <c r="F550" s="59"/>
      <c r="G550" s="59"/>
      <c r="H550" s="50" t="s">
        <v>1738</v>
      </c>
      <c r="I550" s="50" t="s">
        <v>1739</v>
      </c>
      <c r="J550" s="48"/>
      <c r="K550" s="48"/>
    </row>
    <row r="551" ht="17.25" customHeight="1">
      <c r="A551" s="49"/>
      <c r="B551" s="49" t="s">
        <v>220</v>
      </c>
      <c r="C551" s="49" t="s">
        <v>1740</v>
      </c>
      <c r="D551" s="49" t="s">
        <v>36</v>
      </c>
      <c r="E551" s="48"/>
      <c r="F551" s="48"/>
      <c r="G551" s="59"/>
      <c r="H551" s="50" t="s">
        <v>1741</v>
      </c>
      <c r="I551" s="50" t="s">
        <v>1742</v>
      </c>
      <c r="J551" s="48"/>
      <c r="K551" s="48"/>
    </row>
    <row r="552" ht="17.25" customHeight="1">
      <c r="A552" s="49"/>
      <c r="B552" s="49" t="s">
        <v>220</v>
      </c>
      <c r="C552" s="49" t="s">
        <v>1743</v>
      </c>
      <c r="D552" s="49" t="s">
        <v>36</v>
      </c>
      <c r="E552" s="48"/>
      <c r="F552" s="48"/>
      <c r="G552" s="59"/>
      <c r="H552" s="50" t="s">
        <v>1744</v>
      </c>
      <c r="I552" s="50" t="s">
        <v>1745</v>
      </c>
      <c r="J552" s="50" t="s">
        <v>1746</v>
      </c>
      <c r="K552" s="48"/>
    </row>
    <row r="553" ht="17.25" customHeight="1">
      <c r="A553" s="49"/>
      <c r="B553" s="49" t="s">
        <v>220</v>
      </c>
      <c r="C553" s="49" t="s">
        <v>419</v>
      </c>
      <c r="D553" s="49" t="s">
        <v>36</v>
      </c>
      <c r="E553" s="48"/>
      <c r="F553" s="48"/>
      <c r="G553" s="59"/>
      <c r="H553" s="50" t="s">
        <v>1747</v>
      </c>
      <c r="I553" s="50" t="s">
        <v>1748</v>
      </c>
      <c r="J553" s="48"/>
      <c r="K553" s="48"/>
    </row>
    <row r="554" ht="17.25" customHeight="1">
      <c r="A554" s="49"/>
      <c r="B554" s="49" t="s">
        <v>220</v>
      </c>
      <c r="C554" s="49" t="s">
        <v>1749</v>
      </c>
      <c r="D554" s="49" t="s">
        <v>36</v>
      </c>
      <c r="E554" s="59"/>
      <c r="F554" s="59"/>
      <c r="G554" s="59"/>
      <c r="H554" s="50" t="s">
        <v>1750</v>
      </c>
      <c r="I554" s="50" t="s">
        <v>629</v>
      </c>
      <c r="J554" s="48"/>
      <c r="K554" s="48"/>
    </row>
    <row r="555" ht="17.25" customHeight="1">
      <c r="A555" s="49"/>
      <c r="B555" s="49" t="s">
        <v>220</v>
      </c>
      <c r="C555" s="49" t="s">
        <v>1751</v>
      </c>
      <c r="D555" s="49" t="s">
        <v>36</v>
      </c>
      <c r="E555" s="59"/>
      <c r="F555" s="59"/>
      <c r="G555" s="59"/>
      <c r="H555" s="50" t="s">
        <v>1752</v>
      </c>
      <c r="I555" s="50" t="s">
        <v>1753</v>
      </c>
      <c r="J555" s="48"/>
      <c r="K555" s="48"/>
    </row>
    <row r="556" ht="17.25" customHeight="1">
      <c r="A556" s="49"/>
      <c r="B556" s="49" t="s">
        <v>220</v>
      </c>
      <c r="C556" s="49" t="s">
        <v>1754</v>
      </c>
      <c r="D556" s="49" t="s">
        <v>36</v>
      </c>
      <c r="E556" s="48"/>
      <c r="F556" s="48"/>
      <c r="G556" s="59"/>
      <c r="H556" s="50" t="s">
        <v>1755</v>
      </c>
      <c r="I556" s="55" t="s">
        <v>1756</v>
      </c>
      <c r="J556" s="48"/>
      <c r="K556" s="48"/>
      <c r="L556" s="12" t="s">
        <v>1757</v>
      </c>
    </row>
    <row r="557" ht="17.25" customHeight="1">
      <c r="A557" s="49"/>
      <c r="B557" s="49" t="s">
        <v>220</v>
      </c>
      <c r="C557" s="49" t="s">
        <v>1758</v>
      </c>
      <c r="D557" s="49" t="s">
        <v>36</v>
      </c>
      <c r="E557" s="48"/>
      <c r="F557" s="48"/>
      <c r="G557" s="59"/>
      <c r="H557" s="50" t="s">
        <v>1759</v>
      </c>
      <c r="I557" s="50" t="s">
        <v>1760</v>
      </c>
      <c r="J557" s="48"/>
      <c r="K557" s="48"/>
    </row>
    <row r="558" ht="17.25" customHeight="1">
      <c r="A558" s="49"/>
      <c r="B558" s="49" t="s">
        <v>220</v>
      </c>
      <c r="C558" s="49" t="s">
        <v>435</v>
      </c>
      <c r="D558" s="49" t="s">
        <v>36</v>
      </c>
      <c r="E558" s="59"/>
      <c r="F558" s="59"/>
      <c r="G558" s="59"/>
      <c r="H558" s="50" t="s">
        <v>1761</v>
      </c>
      <c r="I558" s="55" t="s">
        <v>1762</v>
      </c>
      <c r="J558" s="55" t="s">
        <v>1497</v>
      </c>
      <c r="K558" s="50" t="s">
        <v>1763</v>
      </c>
      <c r="L558" s="12" t="s">
        <v>1764</v>
      </c>
    </row>
    <row r="559" ht="17.25" customHeight="1">
      <c r="A559" s="49"/>
      <c r="B559" s="49" t="s">
        <v>220</v>
      </c>
      <c r="C559" s="49" t="s">
        <v>1765</v>
      </c>
      <c r="D559" s="49" t="s">
        <v>36</v>
      </c>
      <c r="E559" s="59"/>
      <c r="F559" s="59"/>
      <c r="G559" s="59"/>
      <c r="H559" s="50" t="s">
        <v>1766</v>
      </c>
      <c r="I559" s="50" t="s">
        <v>1767</v>
      </c>
      <c r="J559" s="50" t="s">
        <v>1768</v>
      </c>
      <c r="K559" s="50" t="s">
        <v>1769</v>
      </c>
    </row>
    <row r="560" ht="17.25" customHeight="1">
      <c r="A560" s="49"/>
      <c r="B560" s="49" t="s">
        <v>220</v>
      </c>
      <c r="C560" s="49" t="s">
        <v>1770</v>
      </c>
      <c r="D560" s="49" t="s">
        <v>36</v>
      </c>
      <c r="E560" s="48"/>
      <c r="F560" s="48"/>
      <c r="G560" s="59"/>
      <c r="H560" s="50" t="s">
        <v>1771</v>
      </c>
      <c r="I560" s="50" t="s">
        <v>1772</v>
      </c>
      <c r="J560" s="50" t="s">
        <v>1773</v>
      </c>
      <c r="K560" s="48"/>
    </row>
    <row r="561" ht="17.25" customHeight="1">
      <c r="A561" s="49"/>
      <c r="B561" s="49" t="s">
        <v>220</v>
      </c>
      <c r="C561" s="49" t="s">
        <v>1774</v>
      </c>
      <c r="D561" s="49" t="s">
        <v>36</v>
      </c>
      <c r="E561" s="59"/>
      <c r="F561" s="59"/>
      <c r="G561" s="59"/>
      <c r="H561" s="50" t="s">
        <v>1775</v>
      </c>
      <c r="I561" s="50" t="s">
        <v>1776</v>
      </c>
      <c r="J561" s="48"/>
      <c r="K561" s="48"/>
    </row>
    <row r="562" ht="17.25" customHeight="1">
      <c r="A562" s="49"/>
      <c r="B562" s="49" t="s">
        <v>220</v>
      </c>
      <c r="C562" s="49" t="s">
        <v>1777</v>
      </c>
      <c r="D562" s="49" t="s">
        <v>36</v>
      </c>
      <c r="E562" s="48"/>
      <c r="F562" s="48"/>
      <c r="G562" s="59"/>
      <c r="H562" s="50" t="s">
        <v>1778</v>
      </c>
      <c r="I562" s="50" t="s">
        <v>1779</v>
      </c>
      <c r="J562" s="48"/>
      <c r="K562" s="48"/>
    </row>
    <row r="563" ht="17.25" customHeight="1">
      <c r="A563" s="49"/>
      <c r="B563" s="49" t="s">
        <v>220</v>
      </c>
      <c r="C563" s="49" t="s">
        <v>1780</v>
      </c>
      <c r="D563" s="49" t="s">
        <v>36</v>
      </c>
      <c r="E563" s="48"/>
      <c r="F563" s="48"/>
      <c r="G563" s="59"/>
      <c r="H563" s="50" t="s">
        <v>1781</v>
      </c>
      <c r="I563" s="50" t="s">
        <v>1782</v>
      </c>
      <c r="J563" s="48"/>
      <c r="K563" s="48"/>
    </row>
    <row r="564" ht="17.25" customHeight="1">
      <c r="A564" s="49"/>
      <c r="B564" s="49" t="s">
        <v>220</v>
      </c>
      <c r="C564" s="49" t="s">
        <v>1783</v>
      </c>
      <c r="D564" s="49" t="s">
        <v>36</v>
      </c>
      <c r="E564" s="48"/>
      <c r="F564" s="48"/>
      <c r="G564" s="59"/>
      <c r="H564" s="50" t="s">
        <v>1784</v>
      </c>
      <c r="I564" s="50" t="s">
        <v>1785</v>
      </c>
      <c r="J564" s="48"/>
      <c r="K564" s="48"/>
    </row>
    <row r="565" ht="17.25" customHeight="1">
      <c r="A565" s="49"/>
      <c r="B565" s="49" t="s">
        <v>220</v>
      </c>
      <c r="C565" s="49" t="s">
        <v>1786</v>
      </c>
      <c r="D565" s="49" t="s">
        <v>36</v>
      </c>
      <c r="E565" s="59"/>
      <c r="F565" s="59"/>
      <c r="G565" s="59"/>
      <c r="H565" s="50" t="s">
        <v>1787</v>
      </c>
      <c r="I565" s="50" t="s">
        <v>1788</v>
      </c>
      <c r="J565" s="50" t="s">
        <v>1789</v>
      </c>
      <c r="K565" s="48"/>
      <c r="L565" s="12" t="s">
        <v>1790</v>
      </c>
    </row>
    <row r="566" ht="17.25" customHeight="1">
      <c r="A566" s="49"/>
      <c r="B566" s="49" t="s">
        <v>220</v>
      </c>
      <c r="C566" s="49" t="s">
        <v>1791</v>
      </c>
      <c r="D566" s="49" t="s">
        <v>36</v>
      </c>
      <c r="E566" s="48"/>
      <c r="F566" s="48"/>
      <c r="G566" s="59"/>
      <c r="H566" s="50" t="s">
        <v>1792</v>
      </c>
      <c r="I566" s="50" t="s">
        <v>1793</v>
      </c>
      <c r="J566" s="50" t="s">
        <v>1794</v>
      </c>
      <c r="K566" s="50" t="s">
        <v>1795</v>
      </c>
    </row>
    <row r="567" ht="17.25" customHeight="1">
      <c r="A567" s="49"/>
      <c r="B567" s="49" t="s">
        <v>220</v>
      </c>
      <c r="C567" s="49" t="s">
        <v>1796</v>
      </c>
      <c r="D567" s="49" t="s">
        <v>36</v>
      </c>
      <c r="E567" s="48"/>
      <c r="F567" s="48"/>
      <c r="G567" s="59"/>
      <c r="H567" s="50" t="s">
        <v>1797</v>
      </c>
      <c r="I567" s="66" t="s">
        <v>1798</v>
      </c>
      <c r="J567" s="50" t="s">
        <v>1799</v>
      </c>
      <c r="K567" s="50" t="s">
        <v>1800</v>
      </c>
    </row>
    <row r="568" ht="17.25" customHeight="1">
      <c r="A568" s="49"/>
      <c r="B568" s="49" t="s">
        <v>220</v>
      </c>
      <c r="C568" s="49" t="s">
        <v>1801</v>
      </c>
      <c r="D568" s="49" t="s">
        <v>36</v>
      </c>
      <c r="E568" s="59"/>
      <c r="F568" s="59"/>
      <c r="G568" s="59"/>
      <c r="H568" s="50" t="s">
        <v>1802</v>
      </c>
      <c r="I568" s="55" t="s">
        <v>1803</v>
      </c>
      <c r="J568" s="48"/>
      <c r="K568" s="48"/>
    </row>
    <row r="569" ht="17.25" customHeight="1">
      <c r="A569" s="49"/>
      <c r="B569" s="49" t="s">
        <v>220</v>
      </c>
      <c r="C569" s="49" t="s">
        <v>1804</v>
      </c>
      <c r="D569" s="49" t="s">
        <v>36</v>
      </c>
      <c r="E569" s="48"/>
      <c r="F569" s="48"/>
      <c r="G569" s="59"/>
      <c r="H569" s="50" t="s">
        <v>1805</v>
      </c>
      <c r="I569" s="50" t="s">
        <v>1806</v>
      </c>
      <c r="J569" s="48"/>
      <c r="K569" s="48"/>
    </row>
    <row r="570" ht="17.25" customHeight="1">
      <c r="A570" s="49"/>
      <c r="B570" s="49" t="s">
        <v>220</v>
      </c>
      <c r="C570" s="49" t="s">
        <v>1807</v>
      </c>
      <c r="D570" s="49" t="s">
        <v>36</v>
      </c>
      <c r="E570" s="59"/>
      <c r="F570" s="59"/>
      <c r="G570" s="59"/>
      <c r="H570" s="50" t="s">
        <v>1808</v>
      </c>
      <c r="I570" s="50" t="s">
        <v>1809</v>
      </c>
      <c r="J570" s="68" t="s">
        <v>1810</v>
      </c>
      <c r="K570" s="50" t="s">
        <v>1811</v>
      </c>
    </row>
    <row r="571" ht="17.25" customHeight="1">
      <c r="A571" s="49"/>
      <c r="B571" s="49" t="s">
        <v>220</v>
      </c>
      <c r="C571" s="49" t="s">
        <v>1812</v>
      </c>
      <c r="D571" s="49" t="s">
        <v>36</v>
      </c>
      <c r="E571" s="48"/>
      <c r="F571" s="48"/>
      <c r="G571" s="59"/>
      <c r="H571" s="50" t="s">
        <v>1813</v>
      </c>
      <c r="I571" s="50" t="s">
        <v>1814</v>
      </c>
      <c r="J571" s="50" t="s">
        <v>1815</v>
      </c>
      <c r="K571" s="48"/>
    </row>
    <row r="572" ht="17.25" customHeight="1">
      <c r="A572" s="49"/>
      <c r="B572" s="49" t="s">
        <v>220</v>
      </c>
      <c r="C572" s="49" t="s">
        <v>1816</v>
      </c>
      <c r="D572" s="49" t="s">
        <v>36</v>
      </c>
      <c r="E572" s="48"/>
      <c r="F572" s="48"/>
      <c r="G572" s="59"/>
      <c r="H572" s="50" t="s">
        <v>1817</v>
      </c>
      <c r="I572" s="50" t="s">
        <v>1818</v>
      </c>
      <c r="J572" s="50" t="s">
        <v>1819</v>
      </c>
      <c r="K572" s="48"/>
    </row>
    <row r="573" ht="17.25" customHeight="1">
      <c r="A573" s="49"/>
      <c r="B573" s="49" t="s">
        <v>220</v>
      </c>
      <c r="C573" s="49" t="s">
        <v>1820</v>
      </c>
      <c r="D573" s="49" t="s">
        <v>36</v>
      </c>
      <c r="E573" s="59"/>
      <c r="F573" s="59"/>
      <c r="G573" s="59"/>
      <c r="H573" s="50" t="s">
        <v>1821</v>
      </c>
      <c r="I573" s="55" t="s">
        <v>1822</v>
      </c>
      <c r="J573" s="50" t="s">
        <v>1823</v>
      </c>
      <c r="K573" s="48"/>
    </row>
    <row r="574" ht="17.25" customHeight="1">
      <c r="A574" s="49"/>
      <c r="B574" s="49" t="s">
        <v>220</v>
      </c>
      <c r="C574" s="49" t="s">
        <v>1824</v>
      </c>
      <c r="D574" s="49" t="s">
        <v>36</v>
      </c>
      <c r="E574" s="48"/>
      <c r="F574" s="48"/>
      <c r="G574" s="59"/>
      <c r="H574" s="50" t="s">
        <v>1825</v>
      </c>
      <c r="I574" s="50" t="s">
        <v>1826</v>
      </c>
      <c r="J574" s="48"/>
      <c r="K574" s="48"/>
    </row>
    <row r="575" ht="17.25" customHeight="1">
      <c r="A575" s="49"/>
      <c r="B575" s="49" t="s">
        <v>220</v>
      </c>
      <c r="C575" s="49" t="s">
        <v>1827</v>
      </c>
      <c r="D575" s="49" t="s">
        <v>36</v>
      </c>
      <c r="E575" s="48"/>
      <c r="F575" s="48"/>
      <c r="G575" s="59"/>
      <c r="H575" s="50" t="s">
        <v>1828</v>
      </c>
      <c r="I575" s="50" t="s">
        <v>1829</v>
      </c>
      <c r="J575" s="48"/>
      <c r="K575" s="48"/>
    </row>
    <row r="576" ht="17.25" customHeight="1">
      <c r="A576" s="49"/>
      <c r="B576" s="49" t="s">
        <v>220</v>
      </c>
      <c r="C576" s="49" t="s">
        <v>1830</v>
      </c>
      <c r="D576" s="49" t="s">
        <v>36</v>
      </c>
      <c r="E576" s="59"/>
      <c r="F576" s="59"/>
      <c r="G576" s="59"/>
      <c r="H576" s="50" t="s">
        <v>1831</v>
      </c>
      <c r="I576" s="50" t="s">
        <v>1832</v>
      </c>
      <c r="J576" s="55" t="s">
        <v>1833</v>
      </c>
      <c r="K576" s="48"/>
    </row>
    <row r="577" ht="17.25" customHeight="1">
      <c r="A577" s="49"/>
      <c r="B577" s="49" t="s">
        <v>220</v>
      </c>
      <c r="C577" s="49" t="s">
        <v>1834</v>
      </c>
      <c r="D577" s="49" t="s">
        <v>36</v>
      </c>
      <c r="E577" s="48"/>
      <c r="F577" s="48"/>
      <c r="G577" s="59"/>
      <c r="H577" s="50" t="s">
        <v>1835</v>
      </c>
      <c r="I577" s="66" t="s">
        <v>1836</v>
      </c>
      <c r="J577" s="50" t="s">
        <v>1837</v>
      </c>
      <c r="K577" s="48"/>
      <c r="L577" s="12" t="s">
        <v>1838</v>
      </c>
    </row>
    <row r="578" ht="17.25" customHeight="1">
      <c r="A578" s="49"/>
      <c r="B578" s="49" t="s">
        <v>220</v>
      </c>
      <c r="C578" s="49" t="s">
        <v>1839</v>
      </c>
      <c r="D578" s="49" t="s">
        <v>36</v>
      </c>
      <c r="E578" s="59"/>
      <c r="F578" s="59"/>
      <c r="G578" s="59"/>
      <c r="H578" s="50" t="s">
        <v>1840</v>
      </c>
      <c r="I578" s="55" t="s">
        <v>1841</v>
      </c>
      <c r="J578" s="59"/>
      <c r="K578" s="48"/>
    </row>
    <row r="579" ht="17.25" customHeight="1">
      <c r="A579" s="49"/>
      <c r="B579" s="49" t="s">
        <v>220</v>
      </c>
      <c r="C579" s="49" t="s">
        <v>1842</v>
      </c>
      <c r="D579" s="49" t="s">
        <v>36</v>
      </c>
      <c r="E579" s="59"/>
      <c r="F579" s="59"/>
      <c r="G579" s="59"/>
      <c r="H579" s="50" t="s">
        <v>1843</v>
      </c>
      <c r="I579" s="55" t="s">
        <v>1844</v>
      </c>
      <c r="J579" s="50" t="s">
        <v>1517</v>
      </c>
      <c r="K579" s="48"/>
    </row>
    <row r="580" ht="17.25" customHeight="1">
      <c r="A580" s="49"/>
      <c r="B580" s="49" t="s">
        <v>220</v>
      </c>
      <c r="C580" s="49" t="s">
        <v>1845</v>
      </c>
      <c r="D580" s="49" t="s">
        <v>36</v>
      </c>
      <c r="E580" s="48"/>
      <c r="F580" s="48"/>
      <c r="G580" s="48"/>
      <c r="H580" s="48"/>
      <c r="I580" s="66" t="s">
        <v>1846</v>
      </c>
      <c r="J580" s="48"/>
      <c r="K580" s="48"/>
    </row>
    <row r="581" ht="17.25" customHeight="1">
      <c r="A581" s="49"/>
      <c r="B581" s="49" t="s">
        <v>220</v>
      </c>
      <c r="C581" s="49" t="s">
        <v>1847</v>
      </c>
      <c r="D581" s="49" t="s">
        <v>36</v>
      </c>
      <c r="E581" s="48"/>
      <c r="F581" s="48"/>
      <c r="G581" s="59"/>
      <c r="H581" s="50" t="s">
        <v>1848</v>
      </c>
      <c r="I581" s="66" t="s">
        <v>1849</v>
      </c>
      <c r="J581" s="48"/>
      <c r="K581" s="48"/>
    </row>
    <row r="582" ht="17.25" customHeight="1">
      <c r="A582" s="49"/>
      <c r="B582" s="49" t="s">
        <v>220</v>
      </c>
      <c r="C582" s="49" t="s">
        <v>1850</v>
      </c>
      <c r="D582" s="49" t="s">
        <v>36</v>
      </c>
      <c r="E582" s="59"/>
      <c r="F582" s="59"/>
      <c r="G582" s="59"/>
      <c r="H582" s="50" t="s">
        <v>1851</v>
      </c>
      <c r="I582" s="66" t="s">
        <v>1852</v>
      </c>
      <c r="J582" s="48"/>
      <c r="K582" s="48"/>
    </row>
    <row r="583" ht="17.25" customHeight="1">
      <c r="A583" s="49"/>
      <c r="B583" s="49" t="s">
        <v>220</v>
      </c>
      <c r="C583" s="49" t="s">
        <v>1853</v>
      </c>
      <c r="D583" s="49" t="s">
        <v>36</v>
      </c>
      <c r="E583" s="59"/>
      <c r="F583" s="59"/>
      <c r="G583" s="59"/>
      <c r="H583" s="50" t="s">
        <v>1854</v>
      </c>
      <c r="I583" s="55" t="s">
        <v>1855</v>
      </c>
      <c r="J583" s="48"/>
      <c r="K583" s="50" t="s">
        <v>1856</v>
      </c>
      <c r="L583" s="12" t="s">
        <v>1857</v>
      </c>
    </row>
    <row r="584" ht="17.25" customHeight="1">
      <c r="A584" s="49"/>
      <c r="B584" s="49" t="s">
        <v>220</v>
      </c>
      <c r="C584" s="49" t="s">
        <v>1858</v>
      </c>
      <c r="D584" s="49" t="s">
        <v>36</v>
      </c>
      <c r="E584" s="59"/>
      <c r="F584" s="59"/>
      <c r="G584" s="59"/>
      <c r="H584" s="50" t="s">
        <v>1859</v>
      </c>
      <c r="I584" s="48"/>
      <c r="J584" s="48"/>
      <c r="K584" s="48"/>
    </row>
    <row r="585" ht="17.25" customHeight="1">
      <c r="A585" s="49"/>
      <c r="B585" s="49" t="s">
        <v>220</v>
      </c>
      <c r="C585" s="49" t="s">
        <v>1860</v>
      </c>
      <c r="D585" s="49" t="s">
        <v>36</v>
      </c>
      <c r="E585" s="48"/>
      <c r="F585" s="48"/>
      <c r="G585" s="59"/>
      <c r="H585" s="50" t="s">
        <v>1861</v>
      </c>
      <c r="I585" s="48"/>
      <c r="J585" s="48"/>
      <c r="K585" s="48"/>
    </row>
    <row r="586" ht="17.25" customHeight="1">
      <c r="A586" s="49"/>
      <c r="B586" s="49" t="s">
        <v>220</v>
      </c>
      <c r="C586" s="49" t="s">
        <v>1862</v>
      </c>
      <c r="D586" s="49" t="s">
        <v>36</v>
      </c>
      <c r="E586" s="65"/>
      <c r="F586" s="65"/>
      <c r="G586" s="65"/>
      <c r="H586" s="55" t="s">
        <v>1863</v>
      </c>
      <c r="I586" s="48"/>
      <c r="J586" s="48"/>
      <c r="K586" s="48"/>
    </row>
    <row r="587" ht="17.25" customHeight="1">
      <c r="A587" s="49"/>
      <c r="B587" s="49" t="s">
        <v>220</v>
      </c>
      <c r="C587" s="49" t="s">
        <v>1864</v>
      </c>
      <c r="D587" s="49" t="s">
        <v>36</v>
      </c>
      <c r="E587" s="48"/>
      <c r="F587" s="48"/>
      <c r="G587" s="59"/>
      <c r="H587" s="50" t="s">
        <v>1865</v>
      </c>
      <c r="I587" s="48"/>
      <c r="J587" s="48"/>
      <c r="K587" s="48"/>
    </row>
    <row r="588" ht="17.25" customHeight="1">
      <c r="A588" s="49"/>
      <c r="B588" s="49" t="s">
        <v>220</v>
      </c>
      <c r="C588" s="49" t="s">
        <v>1866</v>
      </c>
      <c r="D588" s="49" t="s">
        <v>36</v>
      </c>
      <c r="E588" s="59"/>
      <c r="F588" s="59"/>
      <c r="G588" s="59"/>
      <c r="H588" s="50" t="s">
        <v>1867</v>
      </c>
      <c r="I588" s="48"/>
      <c r="J588" s="48"/>
      <c r="K588" s="48"/>
    </row>
    <row r="589" ht="17.25" customHeight="1">
      <c r="A589" s="49"/>
      <c r="B589" s="49" t="s">
        <v>220</v>
      </c>
      <c r="C589" s="49" t="s">
        <v>1868</v>
      </c>
      <c r="D589" s="49" t="s">
        <v>36</v>
      </c>
      <c r="E589" s="59"/>
      <c r="F589" s="59"/>
      <c r="G589" s="59"/>
      <c r="H589" s="50" t="s">
        <v>1869</v>
      </c>
      <c r="I589" s="69"/>
      <c r="J589" s="48"/>
      <c r="K589" s="50" t="s">
        <v>1870</v>
      </c>
    </row>
    <row r="590" ht="17.25" customHeight="1">
      <c r="A590" s="49"/>
      <c r="B590" s="49" t="s">
        <v>220</v>
      </c>
      <c r="C590" s="49" t="s">
        <v>1871</v>
      </c>
      <c r="D590" s="49" t="s">
        <v>36</v>
      </c>
      <c r="E590" s="59"/>
      <c r="F590" s="59"/>
      <c r="G590" s="59"/>
      <c r="H590" s="50" t="s">
        <v>1872</v>
      </c>
      <c r="I590" s="48"/>
      <c r="J590" s="48"/>
      <c r="K590" s="48"/>
    </row>
    <row r="591" ht="17.25" customHeight="1">
      <c r="A591" s="49"/>
      <c r="B591" s="49" t="s">
        <v>220</v>
      </c>
      <c r="C591" s="49" t="s">
        <v>1873</v>
      </c>
      <c r="D591" s="49" t="s">
        <v>36</v>
      </c>
      <c r="E591" s="59"/>
      <c r="F591" s="59"/>
      <c r="G591" s="59"/>
      <c r="H591" s="50" t="s">
        <v>1874</v>
      </c>
      <c r="I591" s="48"/>
      <c r="J591" s="48"/>
      <c r="K591" s="50" t="s">
        <v>1875</v>
      </c>
    </row>
    <row r="592" ht="17.25" customHeight="1">
      <c r="A592" s="49"/>
      <c r="B592" s="49" t="s">
        <v>220</v>
      </c>
      <c r="C592" s="49" t="s">
        <v>477</v>
      </c>
      <c r="D592" s="49" t="s">
        <v>36</v>
      </c>
      <c r="E592" s="59"/>
      <c r="F592" s="59"/>
      <c r="G592" s="59"/>
      <c r="H592" s="50" t="s">
        <v>1876</v>
      </c>
      <c r="I592" s="65"/>
      <c r="J592" s="65"/>
      <c r="K592" s="48"/>
    </row>
    <row r="593" ht="17.25" customHeight="1">
      <c r="A593" s="49"/>
      <c r="B593" s="49" t="s">
        <v>220</v>
      </c>
      <c r="C593" s="49" t="s">
        <v>1877</v>
      </c>
      <c r="D593" s="49" t="s">
        <v>36</v>
      </c>
      <c r="E593" s="48"/>
      <c r="F593" s="48"/>
      <c r="G593" s="59"/>
      <c r="H593" s="50" t="s">
        <v>1878</v>
      </c>
      <c r="I593" s="48"/>
      <c r="J593" s="50" t="s">
        <v>1879</v>
      </c>
      <c r="K593" s="48"/>
    </row>
    <row r="594" ht="17.25" customHeight="1">
      <c r="A594" s="49"/>
      <c r="B594" s="49" t="s">
        <v>220</v>
      </c>
      <c r="C594" s="49" t="s">
        <v>1880</v>
      </c>
      <c r="D594" s="49" t="s">
        <v>36</v>
      </c>
      <c r="E594" s="59"/>
      <c r="F594" s="59"/>
      <c r="G594" s="59"/>
      <c r="H594" s="50" t="s">
        <v>1881</v>
      </c>
      <c r="I594" s="48"/>
      <c r="J594" s="48"/>
      <c r="K594" s="48"/>
    </row>
    <row r="595" ht="17.25" customHeight="1">
      <c r="A595" s="49"/>
      <c r="B595" s="49" t="s">
        <v>220</v>
      </c>
      <c r="C595" s="49" t="s">
        <v>1882</v>
      </c>
      <c r="D595" s="49" t="s">
        <v>36</v>
      </c>
      <c r="E595" s="59"/>
      <c r="F595" s="59"/>
      <c r="G595" s="59"/>
      <c r="H595" s="50" t="s">
        <v>1883</v>
      </c>
      <c r="I595" s="48"/>
      <c r="J595" s="48"/>
      <c r="K595" s="48"/>
    </row>
    <row r="596" ht="17.25" customHeight="1">
      <c r="A596" s="49"/>
      <c r="B596" s="49" t="s">
        <v>220</v>
      </c>
      <c r="C596" s="49" t="s">
        <v>1884</v>
      </c>
      <c r="D596" s="49" t="s">
        <v>36</v>
      </c>
      <c r="E596" s="59"/>
      <c r="F596" s="59"/>
      <c r="G596" s="59"/>
      <c r="H596" s="50" t="s">
        <v>1885</v>
      </c>
      <c r="I596" s="48"/>
      <c r="J596" s="48"/>
      <c r="K596" s="48"/>
    </row>
    <row r="597" ht="17.25" customHeight="1">
      <c r="A597" s="49"/>
      <c r="B597" s="49" t="s">
        <v>220</v>
      </c>
      <c r="C597" s="49" t="s">
        <v>1886</v>
      </c>
      <c r="D597" s="49" t="s">
        <v>36</v>
      </c>
      <c r="E597" s="48"/>
      <c r="F597" s="48"/>
      <c r="G597" s="59"/>
      <c r="H597" s="50" t="s">
        <v>1887</v>
      </c>
      <c r="I597" s="69"/>
      <c r="J597" s="48"/>
      <c r="K597" s="48"/>
    </row>
    <row r="598" ht="17.25" customHeight="1">
      <c r="A598" s="49"/>
      <c r="B598" s="49" t="s">
        <v>220</v>
      </c>
      <c r="C598" s="49" t="s">
        <v>1888</v>
      </c>
      <c r="D598" s="49" t="s">
        <v>36</v>
      </c>
      <c r="E598" s="59"/>
      <c r="F598" s="59"/>
      <c r="G598" s="59"/>
      <c r="H598" s="50" t="s">
        <v>1889</v>
      </c>
      <c r="I598" s="48"/>
      <c r="J598" s="48"/>
      <c r="K598" s="48"/>
    </row>
    <row r="599" ht="17.25" customHeight="1">
      <c r="A599" s="49"/>
      <c r="B599" s="49" t="s">
        <v>220</v>
      </c>
      <c r="C599" s="49" t="s">
        <v>1890</v>
      </c>
      <c r="D599" s="49" t="s">
        <v>36</v>
      </c>
      <c r="E599" s="48"/>
      <c r="F599" s="48"/>
      <c r="G599" s="59"/>
      <c r="H599" s="50" t="s">
        <v>1891</v>
      </c>
      <c r="I599" s="48"/>
      <c r="J599" s="48"/>
      <c r="K599" s="48"/>
    </row>
    <row r="600" ht="17.25" customHeight="1">
      <c r="A600" s="49"/>
      <c r="B600" s="49" t="s">
        <v>220</v>
      </c>
      <c r="C600" s="49" t="s">
        <v>1892</v>
      </c>
      <c r="D600" s="49" t="s">
        <v>36</v>
      </c>
      <c r="E600" s="48"/>
      <c r="F600" s="48"/>
      <c r="G600" s="59"/>
      <c r="H600" s="50" t="s">
        <v>1893</v>
      </c>
      <c r="I600" s="70"/>
      <c r="J600" s="48"/>
      <c r="K600" s="48"/>
    </row>
    <row r="601" ht="17.25" customHeight="1">
      <c r="A601" s="49"/>
      <c r="B601" s="49" t="s">
        <v>220</v>
      </c>
      <c r="C601" s="49" t="s">
        <v>1894</v>
      </c>
      <c r="D601" s="49" t="s">
        <v>36</v>
      </c>
      <c r="E601" s="48"/>
      <c r="F601" s="48"/>
      <c r="G601" s="59"/>
      <c r="H601" s="50" t="s">
        <v>1895</v>
      </c>
      <c r="I601" s="48"/>
      <c r="J601" s="48"/>
      <c r="K601" s="48"/>
    </row>
    <row r="602" ht="17.25" customHeight="1">
      <c r="A602" s="49"/>
      <c r="B602" s="49" t="s">
        <v>220</v>
      </c>
      <c r="C602" s="49" t="s">
        <v>1896</v>
      </c>
      <c r="D602" s="49" t="s">
        <v>36</v>
      </c>
      <c r="E602" s="59"/>
      <c r="F602" s="59"/>
      <c r="G602" s="59"/>
      <c r="H602" s="50" t="s">
        <v>1897</v>
      </c>
      <c r="I602" s="48"/>
      <c r="J602" s="48"/>
      <c r="K602" s="50" t="s">
        <v>1898</v>
      </c>
    </row>
    <row r="603" ht="17.25" customHeight="1">
      <c r="A603" s="49"/>
      <c r="B603" s="49" t="s">
        <v>1899</v>
      </c>
      <c r="C603" s="49" t="s">
        <v>1900</v>
      </c>
      <c r="D603" s="49" t="s">
        <v>36</v>
      </c>
      <c r="E603" s="49"/>
      <c r="F603" s="49" t="s">
        <v>1901</v>
      </c>
      <c r="G603" s="59"/>
      <c r="H603" s="50" t="s">
        <v>1902</v>
      </c>
      <c r="I603" s="50" t="s">
        <v>1903</v>
      </c>
      <c r="J603" s="50" t="s">
        <v>1904</v>
      </c>
      <c r="K603" s="48"/>
      <c r="L603" s="12" t="s">
        <v>1905</v>
      </c>
    </row>
    <row r="604" ht="17.25" customHeight="1">
      <c r="A604" s="49"/>
      <c r="B604" s="49" t="s">
        <v>1899</v>
      </c>
      <c r="C604" s="49" t="s">
        <v>1906</v>
      </c>
      <c r="D604" s="49" t="s">
        <v>36</v>
      </c>
      <c r="E604" s="48"/>
      <c r="F604" s="48"/>
      <c r="G604" s="59"/>
      <c r="H604" s="50" t="s">
        <v>1907</v>
      </c>
      <c r="I604" s="50" t="s">
        <v>1908</v>
      </c>
      <c r="J604" s="50" t="s">
        <v>1909</v>
      </c>
      <c r="K604" s="50" t="s">
        <v>1910</v>
      </c>
      <c r="L604" s="12" t="s">
        <v>1911</v>
      </c>
    </row>
    <row r="605" ht="17.25" customHeight="1">
      <c r="A605" s="49"/>
      <c r="B605" s="49" t="s">
        <v>1899</v>
      </c>
      <c r="C605" s="49" t="s">
        <v>1490</v>
      </c>
      <c r="D605" s="49" t="s">
        <v>36</v>
      </c>
      <c r="E605" s="48"/>
      <c r="F605" s="48"/>
      <c r="G605" s="59"/>
      <c r="H605" s="50" t="s">
        <v>1912</v>
      </c>
      <c r="I605" s="50" t="s">
        <v>1913</v>
      </c>
      <c r="J605" s="50" t="s">
        <v>1492</v>
      </c>
      <c r="K605" s="50" t="s">
        <v>1914</v>
      </c>
      <c r="L605" s="12" t="s">
        <v>1915</v>
      </c>
    </row>
    <row r="606" ht="17.25" customHeight="1">
      <c r="A606" s="49"/>
      <c r="B606" s="49" t="s">
        <v>1899</v>
      </c>
      <c r="C606" s="49" t="s">
        <v>1916</v>
      </c>
      <c r="D606" s="49" t="s">
        <v>36</v>
      </c>
      <c r="E606" s="48"/>
      <c r="F606" s="48"/>
      <c r="G606" s="59"/>
      <c r="H606" s="50" t="s">
        <v>1917</v>
      </c>
      <c r="I606" s="48"/>
      <c r="J606" s="48"/>
      <c r="K606" s="48"/>
    </row>
    <row r="607" ht="17.25" customHeight="1">
      <c r="A607" s="49"/>
      <c r="B607" s="49" t="s">
        <v>1899</v>
      </c>
      <c r="C607" s="49" t="s">
        <v>1918</v>
      </c>
      <c r="D607" s="49" t="s">
        <v>36</v>
      </c>
      <c r="E607" s="48"/>
      <c r="F607" s="48"/>
      <c r="G607" s="59"/>
      <c r="H607" s="50" t="s">
        <v>1919</v>
      </c>
      <c r="I607" s="48"/>
      <c r="J607" s="48"/>
      <c r="K607" s="50" t="s">
        <v>1920</v>
      </c>
      <c r="L607" s="12" t="s">
        <v>1921</v>
      </c>
    </row>
    <row r="608" ht="17.25" customHeight="1">
      <c r="A608" s="49"/>
      <c r="B608" s="49" t="s">
        <v>1899</v>
      </c>
      <c r="C608" s="49" t="s">
        <v>1922</v>
      </c>
      <c r="D608" s="49" t="s">
        <v>36</v>
      </c>
      <c r="E608" s="59"/>
      <c r="F608" s="59"/>
      <c r="G608" s="59"/>
      <c r="H608" s="50" t="s">
        <v>1923</v>
      </c>
      <c r="I608" s="48"/>
      <c r="J608" s="50" t="s">
        <v>1924</v>
      </c>
      <c r="K608" s="48"/>
    </row>
    <row r="609" ht="17.25" customHeight="1">
      <c r="A609" s="49"/>
      <c r="B609" s="49" t="s">
        <v>20</v>
      </c>
      <c r="C609" s="49" t="s">
        <v>1925</v>
      </c>
      <c r="D609" s="49" t="s">
        <v>36</v>
      </c>
      <c r="E609" s="49"/>
      <c r="F609" s="49"/>
      <c r="G609" s="59"/>
      <c r="H609" s="50" t="s">
        <v>1926</v>
      </c>
      <c r="I609" s="50" t="s">
        <v>1927</v>
      </c>
      <c r="J609" s="50" t="s">
        <v>1928</v>
      </c>
      <c r="K609" s="50" t="s">
        <v>1929</v>
      </c>
      <c r="L609" s="12" t="s">
        <v>1930</v>
      </c>
      <c r="N609" s="37" t="s">
        <v>318</v>
      </c>
    </row>
    <row r="610" ht="17.25" customHeight="1">
      <c r="A610" s="49"/>
      <c r="B610" s="49" t="s">
        <v>102</v>
      </c>
      <c r="C610" s="49" t="s">
        <v>1931</v>
      </c>
      <c r="D610" s="49" t="s">
        <v>36</v>
      </c>
      <c r="E610" s="49"/>
      <c r="F610" s="49" t="s">
        <v>1932</v>
      </c>
      <c r="G610" s="59"/>
      <c r="H610" s="50" t="s">
        <v>1933</v>
      </c>
      <c r="I610" s="50" t="s">
        <v>1934</v>
      </c>
      <c r="J610" s="50" t="s">
        <v>1935</v>
      </c>
      <c r="K610" s="50" t="s">
        <v>1936</v>
      </c>
      <c r="N610" s="37" t="s">
        <v>318</v>
      </c>
    </row>
    <row r="611" ht="17.25" customHeight="1">
      <c r="A611" s="49"/>
      <c r="B611" s="49" t="s">
        <v>20</v>
      </c>
      <c r="C611" s="49" t="s">
        <v>1937</v>
      </c>
      <c r="D611" s="49" t="s">
        <v>36</v>
      </c>
      <c r="E611" s="49"/>
      <c r="F611" s="49" t="s">
        <v>380</v>
      </c>
      <c r="G611" s="59"/>
      <c r="H611" s="50" t="s">
        <v>1938</v>
      </c>
      <c r="I611" s="50" t="s">
        <v>1939</v>
      </c>
      <c r="J611" s="50" t="s">
        <v>1940</v>
      </c>
      <c r="K611" s="48"/>
      <c r="N611" s="37" t="s">
        <v>318</v>
      </c>
    </row>
    <row r="612" ht="17.25" customHeight="1">
      <c r="A612" s="49"/>
      <c r="B612" s="49" t="s">
        <v>20</v>
      </c>
      <c r="C612" s="49" t="s">
        <v>1941</v>
      </c>
      <c r="D612" s="49" t="s">
        <v>36</v>
      </c>
      <c r="E612" s="49"/>
      <c r="F612" s="49" t="s">
        <v>1942</v>
      </c>
      <c r="G612" s="59"/>
      <c r="H612" s="50" t="s">
        <v>1943</v>
      </c>
      <c r="I612" s="48"/>
      <c r="J612" s="50" t="s">
        <v>1944</v>
      </c>
      <c r="K612" s="48"/>
    </row>
    <row r="613" ht="17.25" customHeight="1">
      <c r="A613" s="49"/>
      <c r="B613" s="49" t="s">
        <v>20</v>
      </c>
      <c r="C613" s="49" t="s">
        <v>749</v>
      </c>
      <c r="D613" s="49" t="s">
        <v>36</v>
      </c>
      <c r="E613" s="49"/>
      <c r="F613" s="49"/>
      <c r="G613" s="59"/>
      <c r="H613" s="50" t="s">
        <v>1945</v>
      </c>
      <c r="I613" s="48"/>
      <c r="J613" s="50" t="s">
        <v>1946</v>
      </c>
      <c r="K613" s="48"/>
    </row>
    <row r="614" ht="17.25" customHeight="1">
      <c r="A614" s="49"/>
      <c r="B614" s="49" t="s">
        <v>20</v>
      </c>
      <c r="C614" s="49" t="s">
        <v>1947</v>
      </c>
      <c r="D614" s="49" t="s">
        <v>36</v>
      </c>
      <c r="E614" s="49"/>
      <c r="F614" s="49" t="s">
        <v>1948</v>
      </c>
      <c r="G614" s="59"/>
      <c r="H614" s="50" t="s">
        <v>1949</v>
      </c>
      <c r="I614" s="55" t="s">
        <v>1950</v>
      </c>
      <c r="J614" s="50" t="s">
        <v>1951</v>
      </c>
      <c r="K614" s="48"/>
    </row>
    <row r="615" ht="17.25" customHeight="1">
      <c r="A615" s="49"/>
      <c r="B615" s="49" t="s">
        <v>20</v>
      </c>
      <c r="C615" s="49" t="s">
        <v>1952</v>
      </c>
      <c r="D615" s="49" t="s">
        <v>36</v>
      </c>
      <c r="E615" s="49"/>
      <c r="F615" s="49" t="s">
        <v>1953</v>
      </c>
      <c r="G615" s="48"/>
      <c r="H615" s="48"/>
      <c r="I615" s="48"/>
      <c r="J615" s="50" t="s">
        <v>1954</v>
      </c>
      <c r="K615" s="48"/>
    </row>
    <row r="616" ht="17.25" customHeight="1">
      <c r="A616" s="49"/>
      <c r="B616" s="49" t="s">
        <v>20</v>
      </c>
      <c r="C616" s="49" t="s">
        <v>1955</v>
      </c>
      <c r="D616" s="49" t="s">
        <v>36</v>
      </c>
      <c r="E616" s="49"/>
      <c r="F616" s="49"/>
      <c r="G616" s="59"/>
      <c r="H616" s="50" t="s">
        <v>1956</v>
      </c>
      <c r="I616" s="50" t="s">
        <v>1957</v>
      </c>
      <c r="J616" s="50" t="s">
        <v>1958</v>
      </c>
      <c r="K616" s="48"/>
      <c r="N616" s="37" t="s">
        <v>318</v>
      </c>
    </row>
    <row r="617" ht="17.25" customHeight="1">
      <c r="A617" s="49"/>
      <c r="B617" s="49" t="s">
        <v>20</v>
      </c>
      <c r="C617" s="49" t="s">
        <v>1959</v>
      </c>
      <c r="D617" s="49" t="s">
        <v>36</v>
      </c>
      <c r="E617" s="49"/>
      <c r="F617" s="49"/>
      <c r="G617" s="59"/>
      <c r="H617" s="50" t="s">
        <v>1960</v>
      </c>
      <c r="I617" s="48"/>
      <c r="J617" s="50" t="s">
        <v>1961</v>
      </c>
      <c r="K617" s="48"/>
      <c r="M617" s="8" t="s">
        <v>332</v>
      </c>
      <c r="N617" s="37" t="s">
        <v>318</v>
      </c>
    </row>
    <row r="618" ht="17.25" customHeight="1">
      <c r="A618" s="49"/>
      <c r="B618" s="49" t="s">
        <v>102</v>
      </c>
      <c r="C618" s="49" t="s">
        <v>698</v>
      </c>
      <c r="D618" s="49" t="s">
        <v>36</v>
      </c>
      <c r="E618" s="49"/>
      <c r="F618" s="49" t="s">
        <v>1962</v>
      </c>
      <c r="G618" s="59"/>
      <c r="H618" s="50" t="s">
        <v>1963</v>
      </c>
      <c r="I618" s="50" t="s">
        <v>1964</v>
      </c>
      <c r="J618" s="50" t="s">
        <v>1965</v>
      </c>
      <c r="K618" s="50" t="s">
        <v>1966</v>
      </c>
      <c r="N618" s="37" t="s">
        <v>318</v>
      </c>
    </row>
    <row r="619" ht="17.25" customHeight="1">
      <c r="A619" s="49"/>
      <c r="B619" s="49" t="s">
        <v>102</v>
      </c>
      <c r="C619" s="49" t="s">
        <v>1967</v>
      </c>
      <c r="D619" s="49" t="s">
        <v>36</v>
      </c>
      <c r="E619" s="49"/>
      <c r="F619" s="49" t="s">
        <v>1968</v>
      </c>
      <c r="G619" s="59"/>
      <c r="H619" s="50" t="s">
        <v>1969</v>
      </c>
      <c r="I619" s="48"/>
      <c r="J619" s="50" t="s">
        <v>1970</v>
      </c>
      <c r="K619" s="48"/>
    </row>
    <row r="620" ht="17.25" customHeight="1">
      <c r="A620" s="49"/>
      <c r="B620" s="49" t="s">
        <v>20</v>
      </c>
      <c r="C620" s="49" t="s">
        <v>341</v>
      </c>
      <c r="D620" s="49" t="s">
        <v>36</v>
      </c>
      <c r="E620" s="49"/>
      <c r="F620" s="49" t="s">
        <v>1971</v>
      </c>
      <c r="G620" s="59"/>
      <c r="H620" s="50" t="s">
        <v>1972</v>
      </c>
      <c r="I620" s="50" t="s">
        <v>1973</v>
      </c>
      <c r="J620" s="50" t="s">
        <v>1974</v>
      </c>
      <c r="K620" s="48"/>
      <c r="N620" s="37" t="s">
        <v>318</v>
      </c>
    </row>
    <row r="621" ht="17.25" customHeight="1">
      <c r="A621" s="49"/>
      <c r="B621" s="49" t="s">
        <v>102</v>
      </c>
      <c r="C621" s="49" t="s">
        <v>1975</v>
      </c>
      <c r="D621" s="49" t="s">
        <v>36</v>
      </c>
      <c r="E621" s="49"/>
      <c r="F621" s="49" t="s">
        <v>1976</v>
      </c>
      <c r="G621" s="59"/>
      <c r="H621" s="50" t="s">
        <v>1977</v>
      </c>
      <c r="I621" s="50" t="s">
        <v>1978</v>
      </c>
      <c r="J621" s="50" t="s">
        <v>1979</v>
      </c>
      <c r="K621" s="50" t="s">
        <v>1980</v>
      </c>
      <c r="N621" s="37" t="s">
        <v>318</v>
      </c>
    </row>
    <row r="622" ht="17.25" customHeight="1">
      <c r="A622" s="49"/>
      <c r="B622" s="49" t="s">
        <v>1981</v>
      </c>
      <c r="C622" s="49" t="s">
        <v>1982</v>
      </c>
      <c r="D622" s="49" t="s">
        <v>36</v>
      </c>
      <c r="E622" s="49"/>
      <c r="F622" s="49" t="s">
        <v>1953</v>
      </c>
      <c r="G622" s="48"/>
      <c r="H622" s="48"/>
      <c r="I622" s="48"/>
      <c r="J622" s="55" t="s">
        <v>1983</v>
      </c>
      <c r="K622" s="48"/>
    </row>
    <row r="623" ht="17.25" customHeight="1">
      <c r="A623" s="49"/>
      <c r="B623" s="49" t="s">
        <v>20</v>
      </c>
      <c r="C623" s="49" t="s">
        <v>351</v>
      </c>
      <c r="D623" s="49" t="s">
        <v>36</v>
      </c>
      <c r="E623" s="49"/>
      <c r="F623" s="49" t="s">
        <v>1984</v>
      </c>
      <c r="G623" s="59"/>
      <c r="H623" s="50" t="s">
        <v>1985</v>
      </c>
      <c r="I623" s="50" t="s">
        <v>1986</v>
      </c>
      <c r="J623" s="50" t="s">
        <v>1987</v>
      </c>
      <c r="K623" s="48"/>
      <c r="N623" s="37" t="s">
        <v>318</v>
      </c>
    </row>
    <row r="624" ht="17.25" customHeight="1">
      <c r="A624" s="49"/>
      <c r="B624" s="49" t="s">
        <v>20</v>
      </c>
      <c r="C624" s="49" t="s">
        <v>270</v>
      </c>
      <c r="D624" s="49" t="s">
        <v>36</v>
      </c>
      <c r="E624" s="49"/>
      <c r="F624" s="49" t="s">
        <v>314</v>
      </c>
      <c r="G624" s="59"/>
      <c r="H624" s="50" t="s">
        <v>1988</v>
      </c>
      <c r="I624" s="50" t="s">
        <v>1989</v>
      </c>
      <c r="J624" s="50" t="s">
        <v>1990</v>
      </c>
      <c r="K624" s="48"/>
      <c r="N624" s="37" t="s">
        <v>318</v>
      </c>
    </row>
    <row r="625" ht="17.25" customHeight="1">
      <c r="A625" s="49"/>
      <c r="B625" s="49" t="s">
        <v>20</v>
      </c>
      <c r="C625" s="49" t="s">
        <v>1991</v>
      </c>
      <c r="D625" s="49" t="s">
        <v>36</v>
      </c>
      <c r="E625" s="49"/>
      <c r="F625" s="49" t="s">
        <v>1992</v>
      </c>
      <c r="G625" s="59"/>
      <c r="H625" s="50" t="s">
        <v>1993</v>
      </c>
      <c r="I625" s="50" t="s">
        <v>1994</v>
      </c>
      <c r="J625" s="50" t="s">
        <v>1995</v>
      </c>
      <c r="K625" s="48"/>
      <c r="N625" s="37" t="s">
        <v>318</v>
      </c>
    </row>
    <row r="626" ht="17.25" customHeight="1">
      <c r="A626" s="49"/>
      <c r="B626" s="49" t="s">
        <v>20</v>
      </c>
      <c r="C626" s="49" t="s">
        <v>1996</v>
      </c>
      <c r="D626" s="49" t="s">
        <v>36</v>
      </c>
      <c r="E626" s="49"/>
      <c r="F626" s="49" t="s">
        <v>1997</v>
      </c>
      <c r="G626" s="59"/>
      <c r="H626" s="50" t="s">
        <v>1998</v>
      </c>
      <c r="I626" s="50" t="s">
        <v>1999</v>
      </c>
      <c r="J626" s="50" t="s">
        <v>2000</v>
      </c>
      <c r="K626" s="48"/>
    </row>
    <row r="627" ht="17.25" customHeight="1">
      <c r="A627" s="49"/>
      <c r="B627" s="49" t="s">
        <v>20</v>
      </c>
      <c r="C627" s="49" t="s">
        <v>1996</v>
      </c>
      <c r="D627" s="49" t="s">
        <v>36</v>
      </c>
      <c r="E627" s="49"/>
      <c r="F627" s="49" t="s">
        <v>238</v>
      </c>
      <c r="G627" s="59"/>
      <c r="H627" s="50" t="s">
        <v>1998</v>
      </c>
      <c r="I627" s="50" t="s">
        <v>1999</v>
      </c>
      <c r="J627" s="50" t="s">
        <v>2000</v>
      </c>
      <c r="K627" s="48"/>
    </row>
    <row r="628" ht="17.25" customHeight="1">
      <c r="A628" s="49"/>
      <c r="B628" s="49" t="s">
        <v>20</v>
      </c>
      <c r="C628" s="49" t="s">
        <v>2001</v>
      </c>
      <c r="D628" s="49" t="s">
        <v>36</v>
      </c>
      <c r="E628" s="49"/>
      <c r="F628" s="49" t="s">
        <v>2002</v>
      </c>
      <c r="G628" s="59"/>
      <c r="H628" s="50" t="s">
        <v>2003</v>
      </c>
      <c r="I628" s="59"/>
      <c r="J628" s="50" t="s">
        <v>2004</v>
      </c>
      <c r="K628" s="50" t="s">
        <v>2005</v>
      </c>
    </row>
    <row r="629" ht="17.25" customHeight="1">
      <c r="A629" s="49"/>
      <c r="B629" s="49" t="s">
        <v>20</v>
      </c>
      <c r="C629" s="49" t="s">
        <v>2006</v>
      </c>
      <c r="D629" s="49" t="s">
        <v>36</v>
      </c>
      <c r="E629" s="49"/>
      <c r="F629" s="49" t="s">
        <v>2007</v>
      </c>
      <c r="G629" s="65"/>
      <c r="H629" s="55" t="s">
        <v>2008</v>
      </c>
      <c r="I629" s="48"/>
      <c r="J629" s="55" t="s">
        <v>2009</v>
      </c>
      <c r="K629" s="48"/>
    </row>
    <row r="630" ht="17.25" customHeight="1">
      <c r="A630" s="49"/>
      <c r="B630" s="49" t="s">
        <v>20</v>
      </c>
      <c r="C630" s="49" t="s">
        <v>2010</v>
      </c>
      <c r="D630" s="49" t="s">
        <v>36</v>
      </c>
      <c r="E630" s="49"/>
      <c r="F630" s="49"/>
      <c r="G630" s="59"/>
      <c r="H630" s="50" t="s">
        <v>2011</v>
      </c>
      <c r="I630" s="50" t="s">
        <v>2012</v>
      </c>
      <c r="J630" s="50" t="s">
        <v>2013</v>
      </c>
      <c r="K630" s="48"/>
    </row>
    <row r="631" ht="17.25" customHeight="1">
      <c r="A631" s="49"/>
      <c r="B631" s="49" t="s">
        <v>20</v>
      </c>
      <c r="C631" s="49" t="s">
        <v>2014</v>
      </c>
      <c r="D631" s="49" t="s">
        <v>36</v>
      </c>
      <c r="E631" s="49"/>
      <c r="F631" s="49"/>
      <c r="G631" s="59"/>
      <c r="H631" s="50" t="s">
        <v>2015</v>
      </c>
      <c r="I631" s="50" t="s">
        <v>2016</v>
      </c>
      <c r="J631" s="50" t="s">
        <v>2017</v>
      </c>
      <c r="K631" s="48"/>
      <c r="N631" s="37" t="s">
        <v>318</v>
      </c>
    </row>
    <row r="632" ht="17.25" customHeight="1">
      <c r="A632" s="49"/>
      <c r="B632" s="49" t="s">
        <v>20</v>
      </c>
      <c r="C632" s="49" t="s">
        <v>2018</v>
      </c>
      <c r="D632" s="49" t="s">
        <v>36</v>
      </c>
      <c r="E632" s="49"/>
      <c r="F632" s="49"/>
      <c r="G632" s="59"/>
      <c r="H632" s="50" t="s">
        <v>2019</v>
      </c>
      <c r="I632" s="55" t="s">
        <v>2020</v>
      </c>
      <c r="J632" s="50" t="s">
        <v>2021</v>
      </c>
      <c r="K632" s="48"/>
      <c r="L632" s="12" t="s">
        <v>2022</v>
      </c>
      <c r="M632" s="8" t="s">
        <v>2023</v>
      </c>
      <c r="N632" s="37" t="s">
        <v>318</v>
      </c>
    </row>
    <row r="633" ht="17.25" customHeight="1">
      <c r="A633" s="49"/>
      <c r="B633" s="49" t="s">
        <v>20</v>
      </c>
      <c r="C633" s="49" t="s">
        <v>2024</v>
      </c>
      <c r="D633" s="49" t="s">
        <v>36</v>
      </c>
      <c r="E633" s="49"/>
      <c r="F633" s="49"/>
      <c r="G633" s="59"/>
      <c r="H633" s="50" t="s">
        <v>2025</v>
      </c>
      <c r="I633" s="50" t="s">
        <v>2026</v>
      </c>
      <c r="J633" s="50" t="s">
        <v>2027</v>
      </c>
      <c r="K633" s="48"/>
    </row>
    <row r="634" ht="17.25" customHeight="1">
      <c r="A634" s="49"/>
      <c r="B634" s="49" t="s">
        <v>20</v>
      </c>
      <c r="C634" s="49" t="s">
        <v>341</v>
      </c>
      <c r="D634" s="49" t="s">
        <v>36</v>
      </c>
      <c r="E634" s="49"/>
      <c r="F634" s="49" t="s">
        <v>2028</v>
      </c>
      <c r="G634" s="59"/>
      <c r="H634" s="50" t="s">
        <v>2029</v>
      </c>
      <c r="I634" s="50" t="s">
        <v>2030</v>
      </c>
      <c r="J634" s="50" t="s">
        <v>2031</v>
      </c>
      <c r="K634" s="48"/>
      <c r="N634" s="37" t="s">
        <v>318</v>
      </c>
    </row>
    <row r="635" ht="17.25" customHeight="1">
      <c r="A635" s="49"/>
      <c r="B635" s="49" t="s">
        <v>20</v>
      </c>
      <c r="C635" s="49" t="s">
        <v>2032</v>
      </c>
      <c r="D635" s="49" t="s">
        <v>36</v>
      </c>
      <c r="E635" s="49"/>
      <c r="F635" s="49"/>
      <c r="G635" s="59"/>
      <c r="H635" s="50" t="s">
        <v>2033</v>
      </c>
      <c r="I635" s="50" t="s">
        <v>2034</v>
      </c>
      <c r="J635" s="50" t="s">
        <v>2035</v>
      </c>
      <c r="K635" s="48"/>
      <c r="N635" s="37" t="s">
        <v>318</v>
      </c>
    </row>
    <row r="636" ht="17.25" customHeight="1">
      <c r="A636" s="49"/>
      <c r="B636" s="49" t="s">
        <v>20</v>
      </c>
      <c r="C636" s="49" t="s">
        <v>2036</v>
      </c>
      <c r="D636" s="49" t="s">
        <v>36</v>
      </c>
      <c r="E636" s="49"/>
      <c r="F636" s="49"/>
      <c r="G636" s="59"/>
      <c r="H636" s="50" t="s">
        <v>2037</v>
      </c>
      <c r="I636" s="50" t="s">
        <v>2038</v>
      </c>
      <c r="J636" s="50" t="s">
        <v>2039</v>
      </c>
      <c r="K636" s="48"/>
      <c r="N636" s="37" t="s">
        <v>318</v>
      </c>
    </row>
    <row r="637" ht="17.25" customHeight="1">
      <c r="A637" s="49"/>
      <c r="B637" s="49" t="s">
        <v>20</v>
      </c>
      <c r="C637" s="49" t="s">
        <v>2040</v>
      </c>
      <c r="D637" s="49" t="s">
        <v>36</v>
      </c>
      <c r="E637" s="49"/>
      <c r="F637" s="49"/>
      <c r="G637" s="59"/>
      <c r="H637" s="50" t="s">
        <v>2041</v>
      </c>
      <c r="I637" s="55" t="s">
        <v>2042</v>
      </c>
      <c r="J637" s="50" t="s">
        <v>2043</v>
      </c>
      <c r="K637" s="48"/>
      <c r="N637" s="37" t="s">
        <v>318</v>
      </c>
    </row>
    <row r="638" ht="17.25" customHeight="1">
      <c r="A638" s="49"/>
      <c r="B638" s="49" t="s">
        <v>20</v>
      </c>
      <c r="C638" s="49" t="s">
        <v>2044</v>
      </c>
      <c r="D638" s="49" t="s">
        <v>36</v>
      </c>
      <c r="E638" s="49"/>
      <c r="F638" s="49" t="s">
        <v>2045</v>
      </c>
      <c r="G638" s="59"/>
      <c r="H638" s="50" t="s">
        <v>2046</v>
      </c>
      <c r="I638" s="50" t="s">
        <v>2047</v>
      </c>
      <c r="J638" s="50" t="s">
        <v>2048</v>
      </c>
      <c r="K638" s="48"/>
    </row>
    <row r="639" ht="17.25" customHeight="1">
      <c r="A639" s="49"/>
      <c r="B639" s="49" t="s">
        <v>20</v>
      </c>
      <c r="C639" s="49" t="s">
        <v>794</v>
      </c>
      <c r="D639" s="49" t="s">
        <v>36</v>
      </c>
      <c r="E639" s="49"/>
      <c r="F639" s="49" t="s">
        <v>2049</v>
      </c>
      <c r="G639" s="59"/>
      <c r="H639" s="50" t="s">
        <v>2050</v>
      </c>
      <c r="I639" s="48"/>
      <c r="J639" s="50" t="s">
        <v>2051</v>
      </c>
      <c r="K639" s="48"/>
    </row>
    <row r="640" ht="17.25" customHeight="1">
      <c r="A640" s="49"/>
      <c r="B640" s="49" t="s">
        <v>102</v>
      </c>
      <c r="C640" s="49" t="s">
        <v>2052</v>
      </c>
      <c r="D640" s="49" t="s">
        <v>36</v>
      </c>
      <c r="E640" s="49"/>
      <c r="F640" s="49" t="s">
        <v>2053</v>
      </c>
      <c r="G640" s="59"/>
      <c r="H640" s="50" t="s">
        <v>2054</v>
      </c>
      <c r="I640" s="71" t="s">
        <v>2055</v>
      </c>
      <c r="J640" s="71" t="s">
        <v>2056</v>
      </c>
      <c r="K640" s="71" t="s">
        <v>2057</v>
      </c>
      <c r="N640" s="37" t="s">
        <v>318</v>
      </c>
    </row>
    <row r="641" ht="17.25" customHeight="1">
      <c r="A641" s="49"/>
      <c r="B641" s="49" t="s">
        <v>20</v>
      </c>
      <c r="C641" s="49" t="s">
        <v>2058</v>
      </c>
      <c r="D641" s="49" t="s">
        <v>36</v>
      </c>
      <c r="E641" s="49"/>
      <c r="F641" s="49" t="s">
        <v>2059</v>
      </c>
      <c r="G641" s="59"/>
      <c r="H641" s="50" t="s">
        <v>2060</v>
      </c>
      <c r="I641" s="48"/>
      <c r="J641" s="50" t="s">
        <v>2061</v>
      </c>
      <c r="K641" s="48"/>
    </row>
    <row r="642" ht="17.25" customHeight="1">
      <c r="A642" s="49"/>
      <c r="B642" s="49" t="s">
        <v>20</v>
      </c>
      <c r="C642" s="49" t="s">
        <v>2062</v>
      </c>
      <c r="D642" s="49" t="s">
        <v>36</v>
      </c>
      <c r="E642" s="49"/>
      <c r="F642" s="49"/>
      <c r="G642" s="59"/>
      <c r="H642" s="50" t="s">
        <v>2063</v>
      </c>
      <c r="I642" s="50" t="s">
        <v>2064</v>
      </c>
      <c r="J642" s="50" t="s">
        <v>2065</v>
      </c>
      <c r="K642" s="48"/>
      <c r="N642" s="37" t="s">
        <v>318</v>
      </c>
    </row>
    <row r="643" ht="17.25" customHeight="1">
      <c r="A643" s="49"/>
      <c r="B643" s="49" t="s">
        <v>20</v>
      </c>
      <c r="C643" s="49" t="s">
        <v>2066</v>
      </c>
      <c r="D643" s="49" t="s">
        <v>36</v>
      </c>
      <c r="E643" s="49"/>
      <c r="F643" s="49"/>
      <c r="G643" s="59"/>
      <c r="H643" s="50" t="s">
        <v>2067</v>
      </c>
      <c r="I643" s="50" t="s">
        <v>2068</v>
      </c>
      <c r="J643" s="50" t="s">
        <v>2069</v>
      </c>
      <c r="K643" s="48"/>
      <c r="L643" s="12" t="s">
        <v>2070</v>
      </c>
      <c r="N643" s="37" t="s">
        <v>318</v>
      </c>
    </row>
    <row r="644" ht="17.25" customHeight="1">
      <c r="A644" s="49"/>
      <c r="B644" s="49" t="s">
        <v>20</v>
      </c>
      <c r="C644" s="49" t="s">
        <v>2071</v>
      </c>
      <c r="D644" s="49" t="s">
        <v>36</v>
      </c>
      <c r="E644" s="49"/>
      <c r="F644" s="49"/>
      <c r="G644" s="59"/>
      <c r="H644" s="50" t="s">
        <v>2072</v>
      </c>
      <c r="I644" s="55" t="s">
        <v>2073</v>
      </c>
      <c r="J644" s="55" t="s">
        <v>2074</v>
      </c>
      <c r="K644" s="48"/>
    </row>
    <row r="645" ht="17.25" customHeight="1">
      <c r="A645" s="49"/>
      <c r="B645" s="49" t="s">
        <v>20</v>
      </c>
      <c r="C645" s="49" t="s">
        <v>2075</v>
      </c>
      <c r="D645" s="49" t="s">
        <v>36</v>
      </c>
      <c r="E645" s="49"/>
      <c r="F645" s="49" t="s">
        <v>2076</v>
      </c>
      <c r="G645" s="59"/>
      <c r="H645" s="50" t="s">
        <v>2077</v>
      </c>
      <c r="I645" s="48"/>
      <c r="J645" s="50" t="s">
        <v>2078</v>
      </c>
      <c r="K645" s="48"/>
    </row>
    <row r="646" ht="17.25" customHeight="1">
      <c r="A646" s="49"/>
      <c r="B646" s="49" t="s">
        <v>20</v>
      </c>
      <c r="C646" s="49" t="s">
        <v>2079</v>
      </c>
      <c r="D646" s="49" t="s">
        <v>36</v>
      </c>
      <c r="E646" s="49"/>
      <c r="F646" s="49"/>
      <c r="G646" s="59"/>
      <c r="H646" s="50" t="s">
        <v>2080</v>
      </c>
      <c r="I646" s="50" t="s">
        <v>2081</v>
      </c>
      <c r="J646" s="50" t="s">
        <v>2082</v>
      </c>
      <c r="K646" s="50" t="s">
        <v>2083</v>
      </c>
    </row>
    <row r="647" ht="17.25" customHeight="1">
      <c r="A647" s="49"/>
      <c r="B647" s="49" t="s">
        <v>20</v>
      </c>
      <c r="C647" s="49" t="s">
        <v>2079</v>
      </c>
      <c r="D647" s="49" t="s">
        <v>36</v>
      </c>
      <c r="E647" s="49"/>
      <c r="F647" s="49"/>
      <c r="G647" s="59"/>
      <c r="H647" s="50" t="s">
        <v>2084</v>
      </c>
      <c r="I647" s="50" t="s">
        <v>2085</v>
      </c>
      <c r="J647" s="55" t="s">
        <v>2086</v>
      </c>
      <c r="K647" s="50" t="s">
        <v>2087</v>
      </c>
      <c r="L647" s="12" t="s">
        <v>2088</v>
      </c>
    </row>
    <row r="648" ht="17.25" customHeight="1">
      <c r="A648" s="49"/>
      <c r="B648" s="49" t="s">
        <v>20</v>
      </c>
      <c r="C648" s="49" t="s">
        <v>2089</v>
      </c>
      <c r="D648" s="49" t="s">
        <v>36</v>
      </c>
      <c r="E648" s="49"/>
      <c r="F648" s="49" t="s">
        <v>2090</v>
      </c>
      <c r="G648" s="59"/>
      <c r="H648" s="50" t="s">
        <v>2091</v>
      </c>
      <c r="I648" s="50" t="s">
        <v>2092</v>
      </c>
      <c r="J648" s="50" t="s">
        <v>2093</v>
      </c>
      <c r="K648" s="50" t="s">
        <v>2094</v>
      </c>
    </row>
    <row r="649" ht="17.25" customHeight="1">
      <c r="A649" s="49"/>
      <c r="B649" s="49" t="s">
        <v>20</v>
      </c>
      <c r="C649" s="49" t="s">
        <v>2095</v>
      </c>
      <c r="D649" s="49" t="s">
        <v>36</v>
      </c>
      <c r="E649" s="49"/>
      <c r="F649" s="49" t="s">
        <v>2096</v>
      </c>
      <c r="G649" s="59"/>
      <c r="H649" s="50" t="s">
        <v>2097</v>
      </c>
      <c r="I649" s="50" t="s">
        <v>2098</v>
      </c>
      <c r="J649" s="50" t="s">
        <v>2099</v>
      </c>
      <c r="K649" s="48"/>
      <c r="L649" s="12" t="s">
        <v>2100</v>
      </c>
    </row>
    <row r="650" ht="17.25" customHeight="1">
      <c r="A650" s="49"/>
      <c r="B650" s="49" t="s">
        <v>20</v>
      </c>
      <c r="C650" s="49" t="s">
        <v>2101</v>
      </c>
      <c r="D650" s="49" t="s">
        <v>36</v>
      </c>
      <c r="E650" s="49"/>
      <c r="F650" s="49"/>
      <c r="G650" s="59"/>
      <c r="H650" s="50" t="s">
        <v>2102</v>
      </c>
      <c r="I650" s="50" t="s">
        <v>2103</v>
      </c>
      <c r="J650" s="50" t="s">
        <v>2104</v>
      </c>
      <c r="K650" s="48"/>
    </row>
    <row r="651" ht="17.25" customHeight="1">
      <c r="A651" s="49"/>
      <c r="B651" s="49" t="s">
        <v>20</v>
      </c>
      <c r="C651" s="49" t="s">
        <v>2105</v>
      </c>
      <c r="D651" s="49" t="s">
        <v>36</v>
      </c>
      <c r="E651" s="49"/>
      <c r="F651" s="49" t="s">
        <v>2106</v>
      </c>
      <c r="G651" s="59"/>
      <c r="H651" s="50" t="s">
        <v>2107</v>
      </c>
      <c r="I651" s="50" t="s">
        <v>2108</v>
      </c>
      <c r="J651" s="50" t="s">
        <v>2109</v>
      </c>
      <c r="K651" s="48"/>
      <c r="N651" s="37" t="s">
        <v>318</v>
      </c>
    </row>
    <row r="652" ht="17.25" customHeight="1">
      <c r="A652" s="49"/>
      <c r="B652" s="49" t="s">
        <v>20</v>
      </c>
      <c r="C652" s="49" t="s">
        <v>2110</v>
      </c>
      <c r="D652" s="49" t="s">
        <v>36</v>
      </c>
      <c r="E652" s="49"/>
      <c r="F652" s="49" t="s">
        <v>2111</v>
      </c>
      <c r="G652" s="59"/>
      <c r="H652" s="50" t="s">
        <v>2112</v>
      </c>
      <c r="I652" s="50" t="s">
        <v>2113</v>
      </c>
      <c r="J652" s="50" t="s">
        <v>2114</v>
      </c>
      <c r="K652" s="48"/>
      <c r="N652" s="37" t="s">
        <v>318</v>
      </c>
    </row>
    <row r="653" ht="17.25" customHeight="1">
      <c r="A653" s="49"/>
      <c r="B653" s="49" t="s">
        <v>102</v>
      </c>
      <c r="C653" s="49" t="s">
        <v>1207</v>
      </c>
      <c r="D653" s="49" t="s">
        <v>36</v>
      </c>
      <c r="E653" s="49"/>
      <c r="F653" s="49" t="s">
        <v>2115</v>
      </c>
      <c r="G653" s="59"/>
      <c r="H653" s="50" t="s">
        <v>2116</v>
      </c>
      <c r="I653" s="55" t="s">
        <v>2117</v>
      </c>
      <c r="J653" s="50" t="s">
        <v>2118</v>
      </c>
      <c r="K653" s="50" t="s">
        <v>2119</v>
      </c>
      <c r="N653" s="37" t="s">
        <v>318</v>
      </c>
    </row>
    <row r="654" ht="17.25" customHeight="1">
      <c r="A654" s="49"/>
      <c r="B654" s="49" t="s">
        <v>20</v>
      </c>
      <c r="C654" s="49" t="s">
        <v>2120</v>
      </c>
      <c r="D654" s="49" t="s">
        <v>36</v>
      </c>
      <c r="E654" s="49"/>
      <c r="F654" s="49" t="s">
        <v>2121</v>
      </c>
      <c r="G654" s="59"/>
      <c r="H654" s="50" t="s">
        <v>2122</v>
      </c>
      <c r="I654" s="50" t="s">
        <v>2123</v>
      </c>
      <c r="J654" s="50" t="s">
        <v>2124</v>
      </c>
      <c r="K654" s="48"/>
    </row>
    <row r="655" ht="17.25" customHeight="1">
      <c r="A655" s="49"/>
      <c r="B655" s="49" t="s">
        <v>20</v>
      </c>
      <c r="C655" s="49" t="s">
        <v>2125</v>
      </c>
      <c r="D655" s="49" t="s">
        <v>36</v>
      </c>
      <c r="E655" s="49"/>
      <c r="F655" s="49" t="s">
        <v>2126</v>
      </c>
      <c r="G655" s="59"/>
      <c r="H655" s="50" t="s">
        <v>2127</v>
      </c>
      <c r="I655" s="50" t="s">
        <v>2128</v>
      </c>
      <c r="J655" s="50" t="s">
        <v>2129</v>
      </c>
      <c r="K655" s="48"/>
    </row>
    <row r="656" ht="17.25" customHeight="1">
      <c r="A656" s="49"/>
      <c r="B656" s="49" t="s">
        <v>20</v>
      </c>
      <c r="C656" s="49" t="s">
        <v>2130</v>
      </c>
      <c r="D656" s="49" t="s">
        <v>36</v>
      </c>
      <c r="E656" s="49"/>
      <c r="F656" s="49"/>
      <c r="G656" s="59"/>
      <c r="H656" s="50" t="s">
        <v>2131</v>
      </c>
      <c r="I656" s="50" t="s">
        <v>2132</v>
      </c>
      <c r="J656" s="50" t="s">
        <v>2133</v>
      </c>
      <c r="K656" s="48"/>
    </row>
    <row r="657" ht="17.25" customHeight="1">
      <c r="A657" s="49"/>
      <c r="B657" s="49" t="s">
        <v>20</v>
      </c>
      <c r="C657" s="49" t="s">
        <v>55</v>
      </c>
      <c r="D657" s="49" t="s">
        <v>36</v>
      </c>
      <c r="E657" s="49"/>
      <c r="F657" s="49"/>
      <c r="G657" s="59"/>
      <c r="H657" s="50" t="s">
        <v>2134</v>
      </c>
      <c r="I657" s="50" t="s">
        <v>2135</v>
      </c>
      <c r="J657" s="50" t="s">
        <v>2136</v>
      </c>
      <c r="K657" s="48"/>
    </row>
    <row r="658" ht="17.25" customHeight="1">
      <c r="A658" s="49"/>
      <c r="B658" s="49" t="s">
        <v>102</v>
      </c>
      <c r="C658" s="49" t="s">
        <v>74</v>
      </c>
      <c r="D658" s="49" t="s">
        <v>36</v>
      </c>
      <c r="E658" s="49"/>
      <c r="F658" s="49" t="s">
        <v>2137</v>
      </c>
      <c r="G658" s="59"/>
      <c r="H658" s="50" t="s">
        <v>2138</v>
      </c>
      <c r="I658" s="55" t="s">
        <v>2139</v>
      </c>
      <c r="J658" s="50" t="s">
        <v>2140</v>
      </c>
      <c r="K658" s="55" t="s">
        <v>2141</v>
      </c>
    </row>
    <row r="659" ht="17.25" customHeight="1">
      <c r="A659" s="49"/>
      <c r="B659" s="49" t="s">
        <v>20</v>
      </c>
      <c r="C659" s="49" t="s">
        <v>2142</v>
      </c>
      <c r="D659" s="49" t="s">
        <v>36</v>
      </c>
      <c r="E659" s="49"/>
      <c r="F659" s="49" t="s">
        <v>2143</v>
      </c>
      <c r="G659" s="59"/>
      <c r="H659" s="50" t="s">
        <v>2144</v>
      </c>
      <c r="I659" s="50" t="s">
        <v>2145</v>
      </c>
      <c r="J659" s="50" t="s">
        <v>2146</v>
      </c>
      <c r="K659" s="48"/>
    </row>
    <row r="660" ht="17.25" customHeight="1">
      <c r="A660" s="49"/>
      <c r="B660" s="49" t="s">
        <v>20</v>
      </c>
      <c r="C660" s="49" t="s">
        <v>2147</v>
      </c>
      <c r="D660" s="49" t="s">
        <v>36</v>
      </c>
      <c r="E660" s="49"/>
      <c r="F660" s="49"/>
      <c r="G660" s="59"/>
      <c r="H660" s="50" t="s">
        <v>2148</v>
      </c>
      <c r="I660" s="72" t="s">
        <v>2149</v>
      </c>
      <c r="J660" s="55" t="s">
        <v>2150</v>
      </c>
      <c r="K660" s="48"/>
    </row>
    <row r="661" ht="17.25" customHeight="1">
      <c r="A661" s="49"/>
      <c r="B661" s="49" t="s">
        <v>20</v>
      </c>
      <c r="C661" s="49" t="s">
        <v>2151</v>
      </c>
      <c r="D661" s="49" t="s">
        <v>36</v>
      </c>
      <c r="E661" s="49"/>
      <c r="F661" s="49" t="s">
        <v>2028</v>
      </c>
      <c r="G661" s="59"/>
      <c r="H661" s="50" t="s">
        <v>2152</v>
      </c>
      <c r="I661" s="48"/>
      <c r="J661" s="50" t="s">
        <v>2153</v>
      </c>
      <c r="K661" s="48"/>
      <c r="M661" s="8" t="s">
        <v>2154</v>
      </c>
      <c r="N661" s="37" t="s">
        <v>318</v>
      </c>
    </row>
    <row r="662" ht="17.25" customHeight="1">
      <c r="A662" s="49"/>
      <c r="B662" s="49" t="s">
        <v>20</v>
      </c>
      <c r="C662" s="49" t="s">
        <v>2155</v>
      </c>
      <c r="D662" s="49" t="s">
        <v>36</v>
      </c>
      <c r="E662" s="49"/>
      <c r="F662" s="49"/>
      <c r="G662" s="59"/>
      <c r="H662" s="50" t="s">
        <v>2156</v>
      </c>
      <c r="I662" s="50" t="s">
        <v>2157</v>
      </c>
      <c r="J662" s="50" t="s">
        <v>2158</v>
      </c>
      <c r="K662" s="48"/>
    </row>
    <row r="663" ht="17.25" customHeight="1">
      <c r="A663" s="49"/>
      <c r="B663" s="49" t="s">
        <v>20</v>
      </c>
      <c r="C663" s="49" t="s">
        <v>2159</v>
      </c>
      <c r="D663" s="49" t="s">
        <v>36</v>
      </c>
      <c r="E663" s="49"/>
      <c r="F663" s="49" t="s">
        <v>2160</v>
      </c>
      <c r="G663" s="59"/>
      <c r="H663" s="50" t="s">
        <v>2161</v>
      </c>
      <c r="I663" s="50" t="s">
        <v>2162</v>
      </c>
      <c r="J663" s="50" t="s">
        <v>2163</v>
      </c>
      <c r="K663" s="48"/>
    </row>
    <row r="664" ht="17.25" customHeight="1">
      <c r="A664" s="49"/>
      <c r="B664" s="49" t="s">
        <v>20</v>
      </c>
      <c r="C664" s="49" t="s">
        <v>2164</v>
      </c>
      <c r="D664" s="49" t="s">
        <v>36</v>
      </c>
      <c r="E664" s="49"/>
      <c r="F664" s="49" t="s">
        <v>798</v>
      </c>
      <c r="G664" s="59"/>
      <c r="H664" s="50" t="s">
        <v>2165</v>
      </c>
      <c r="I664" s="50" t="s">
        <v>2166</v>
      </c>
      <c r="J664" s="50" t="s">
        <v>2167</v>
      </c>
      <c r="K664" s="48"/>
      <c r="N664" s="37" t="s">
        <v>318</v>
      </c>
    </row>
    <row r="665" ht="17.25" customHeight="1">
      <c r="A665" s="49"/>
      <c r="B665" s="49" t="s">
        <v>20</v>
      </c>
      <c r="C665" s="49" t="s">
        <v>2168</v>
      </c>
      <c r="D665" s="49" t="s">
        <v>36</v>
      </c>
      <c r="E665" s="49"/>
      <c r="F665" s="49"/>
      <c r="G665" s="59"/>
      <c r="H665" s="50" t="s">
        <v>2169</v>
      </c>
      <c r="I665" s="50" t="s">
        <v>2170</v>
      </c>
      <c r="J665" s="50" t="s">
        <v>2171</v>
      </c>
      <c r="K665" s="48"/>
      <c r="N665" s="37" t="s">
        <v>318</v>
      </c>
    </row>
    <row r="666" ht="17.25" customHeight="1">
      <c r="A666" s="49"/>
      <c r="B666" s="49" t="s">
        <v>20</v>
      </c>
      <c r="C666" s="49" t="s">
        <v>2172</v>
      </c>
      <c r="D666" s="49" t="s">
        <v>36</v>
      </c>
      <c r="E666" s="49"/>
      <c r="F666" s="49"/>
      <c r="G666" s="59"/>
      <c r="H666" s="50" t="s">
        <v>2173</v>
      </c>
      <c r="I666" s="50" t="s">
        <v>2174</v>
      </c>
      <c r="J666" s="50" t="s">
        <v>2175</v>
      </c>
      <c r="K666" s="48"/>
    </row>
    <row r="667" ht="17.25" customHeight="1">
      <c r="A667" s="49"/>
      <c r="B667" s="49" t="s">
        <v>20</v>
      </c>
      <c r="C667" s="49" t="s">
        <v>2176</v>
      </c>
      <c r="D667" s="49" t="s">
        <v>36</v>
      </c>
      <c r="E667" s="49"/>
      <c r="F667" s="49" t="s">
        <v>2177</v>
      </c>
      <c r="G667" s="59"/>
      <c r="H667" s="50" t="s">
        <v>2178</v>
      </c>
      <c r="I667" s="50" t="s">
        <v>2179</v>
      </c>
      <c r="J667" s="55" t="s">
        <v>2180</v>
      </c>
      <c r="K667" s="48"/>
    </row>
    <row r="668" ht="17.25" customHeight="1">
      <c r="A668" s="49"/>
      <c r="B668" s="49" t="s">
        <v>20</v>
      </c>
      <c r="C668" s="49" t="s">
        <v>2181</v>
      </c>
      <c r="D668" s="49" t="s">
        <v>36</v>
      </c>
      <c r="E668" s="49"/>
      <c r="F668" s="49" t="s">
        <v>2182</v>
      </c>
      <c r="G668" s="59"/>
      <c r="H668" s="50" t="s">
        <v>2183</v>
      </c>
      <c r="I668" s="55" t="s">
        <v>2184</v>
      </c>
      <c r="J668" s="48"/>
      <c r="K668" s="48"/>
    </row>
    <row r="669" ht="17.25" customHeight="1">
      <c r="A669" s="49"/>
      <c r="B669" s="49" t="s">
        <v>20</v>
      </c>
      <c r="C669" s="49" t="s">
        <v>2185</v>
      </c>
      <c r="D669" s="49" t="s">
        <v>36</v>
      </c>
      <c r="E669" s="49"/>
      <c r="F669" s="49"/>
      <c r="G669" s="59"/>
      <c r="H669" s="50" t="s">
        <v>2186</v>
      </c>
      <c r="I669" s="55" t="s">
        <v>2187</v>
      </c>
      <c r="J669" s="48"/>
      <c r="K669" s="48"/>
      <c r="L669" s="12" t="s">
        <v>2188</v>
      </c>
      <c r="N669" s="37" t="s">
        <v>318</v>
      </c>
    </row>
    <row r="670" ht="17.25" customHeight="1">
      <c r="A670" s="49"/>
      <c r="B670" s="49" t="s">
        <v>20</v>
      </c>
      <c r="C670" s="49" t="s">
        <v>794</v>
      </c>
      <c r="D670" s="49" t="s">
        <v>36</v>
      </c>
      <c r="E670" s="49"/>
      <c r="F670" s="49" t="s">
        <v>2189</v>
      </c>
      <c r="G670" s="59"/>
      <c r="H670" s="50" t="s">
        <v>2190</v>
      </c>
      <c r="I670" s="50" t="s">
        <v>2191</v>
      </c>
      <c r="J670" s="48"/>
      <c r="K670" s="48"/>
    </row>
    <row r="671" ht="17.25" customHeight="1">
      <c r="A671" s="49"/>
      <c r="B671" s="49" t="s">
        <v>20</v>
      </c>
      <c r="C671" s="49" t="s">
        <v>2192</v>
      </c>
      <c r="D671" s="49" t="s">
        <v>36</v>
      </c>
      <c r="E671" s="49"/>
      <c r="F671" s="49" t="s">
        <v>2193</v>
      </c>
      <c r="G671" s="59"/>
      <c r="H671" s="50" t="s">
        <v>2194</v>
      </c>
      <c r="I671" s="50" t="s">
        <v>2195</v>
      </c>
      <c r="J671" s="48"/>
      <c r="K671" s="48"/>
    </row>
    <row r="672" ht="17.25" customHeight="1">
      <c r="A672" s="49"/>
      <c r="B672" s="49" t="s">
        <v>20</v>
      </c>
      <c r="C672" s="49" t="s">
        <v>74</v>
      </c>
      <c r="D672" s="49" t="s">
        <v>36</v>
      </c>
      <c r="E672" s="49"/>
      <c r="F672" s="49" t="s">
        <v>2196</v>
      </c>
      <c r="G672" s="59"/>
      <c r="H672" s="50" t="s">
        <v>2197</v>
      </c>
      <c r="I672" s="50" t="s">
        <v>2198</v>
      </c>
      <c r="J672" s="48"/>
      <c r="K672" s="48"/>
      <c r="N672" s="37" t="s">
        <v>318</v>
      </c>
    </row>
    <row r="673" ht="17.25" customHeight="1">
      <c r="A673" s="49"/>
      <c r="B673" s="49" t="s">
        <v>20</v>
      </c>
      <c r="C673" s="49" t="s">
        <v>2199</v>
      </c>
      <c r="D673" s="49" t="s">
        <v>36</v>
      </c>
      <c r="E673" s="49"/>
      <c r="F673" s="49" t="s">
        <v>2200</v>
      </c>
      <c r="G673" s="59"/>
      <c r="H673" s="50" t="s">
        <v>1480</v>
      </c>
      <c r="I673" s="50" t="s">
        <v>2201</v>
      </c>
      <c r="J673" s="48"/>
      <c r="K673" s="48"/>
    </row>
    <row r="674" ht="17.25" customHeight="1">
      <c r="A674" s="49"/>
      <c r="B674" s="49" t="s">
        <v>20</v>
      </c>
      <c r="C674" s="49" t="s">
        <v>2202</v>
      </c>
      <c r="D674" s="49" t="s">
        <v>36</v>
      </c>
      <c r="E674" s="49"/>
      <c r="F674" s="49" t="s">
        <v>2203</v>
      </c>
      <c r="G674" s="59"/>
      <c r="H674" s="50" t="s">
        <v>2204</v>
      </c>
      <c r="I674" s="50" t="s">
        <v>2205</v>
      </c>
      <c r="J674" s="48"/>
      <c r="K674" s="48"/>
    </row>
    <row r="675" ht="17.25" customHeight="1">
      <c r="A675" s="49"/>
      <c r="B675" s="49" t="s">
        <v>20</v>
      </c>
      <c r="C675" s="49" t="s">
        <v>2206</v>
      </c>
      <c r="D675" s="49" t="s">
        <v>36</v>
      </c>
      <c r="E675" s="49"/>
      <c r="F675" s="49" t="s">
        <v>2207</v>
      </c>
      <c r="G675" s="59"/>
      <c r="H675" s="50" t="s">
        <v>2208</v>
      </c>
      <c r="I675" s="50" t="s">
        <v>2209</v>
      </c>
      <c r="J675" s="48"/>
      <c r="K675" s="48"/>
    </row>
    <row r="676" ht="17.25" customHeight="1">
      <c r="A676" s="49"/>
      <c r="B676" s="49" t="s">
        <v>20</v>
      </c>
      <c r="C676" s="49" t="s">
        <v>2210</v>
      </c>
      <c r="D676" s="49" t="s">
        <v>36</v>
      </c>
      <c r="E676" s="49"/>
      <c r="F676" s="49"/>
      <c r="G676" s="59"/>
      <c r="H676" s="50" t="s">
        <v>2211</v>
      </c>
      <c r="I676" s="50" t="s">
        <v>1707</v>
      </c>
      <c r="J676" s="48"/>
      <c r="K676" s="48"/>
      <c r="N676" s="37" t="s">
        <v>318</v>
      </c>
    </row>
    <row r="677" ht="17.25" customHeight="1">
      <c r="A677" s="49"/>
      <c r="B677" s="49" t="s">
        <v>20</v>
      </c>
      <c r="C677" s="49" t="s">
        <v>2212</v>
      </c>
      <c r="D677" s="49" t="s">
        <v>36</v>
      </c>
      <c r="E677" s="49"/>
      <c r="F677" s="49"/>
      <c r="G677" s="59"/>
      <c r="H677" s="50" t="s">
        <v>2213</v>
      </c>
      <c r="I677" s="55" t="s">
        <v>1722</v>
      </c>
      <c r="J677" s="48"/>
      <c r="K677" s="48"/>
      <c r="M677" s="8" t="s">
        <v>1720</v>
      </c>
      <c r="N677" s="37" t="s">
        <v>318</v>
      </c>
    </row>
    <row r="678" ht="17.25" customHeight="1">
      <c r="A678" s="49"/>
      <c r="B678" s="49" t="s">
        <v>20</v>
      </c>
      <c r="C678" s="49" t="s">
        <v>2214</v>
      </c>
      <c r="D678" s="49" t="s">
        <v>36</v>
      </c>
      <c r="E678" s="49"/>
      <c r="F678" s="49"/>
      <c r="G678" s="59"/>
      <c r="H678" s="50" t="s">
        <v>2215</v>
      </c>
      <c r="I678" s="50" t="s">
        <v>2216</v>
      </c>
      <c r="J678" s="48"/>
      <c r="K678" s="48"/>
      <c r="M678" s="8" t="s">
        <v>2217</v>
      </c>
      <c r="N678" s="37" t="s">
        <v>318</v>
      </c>
    </row>
    <row r="679" ht="17.25" customHeight="1">
      <c r="A679" s="49"/>
      <c r="B679" s="49" t="s">
        <v>20</v>
      </c>
      <c r="C679" s="49" t="s">
        <v>2052</v>
      </c>
      <c r="D679" s="49" t="s">
        <v>36</v>
      </c>
      <c r="E679" s="49"/>
      <c r="F679" s="49" t="s">
        <v>2218</v>
      </c>
      <c r="G679" s="59"/>
      <c r="H679" s="50" t="s">
        <v>2219</v>
      </c>
      <c r="I679" s="50" t="s">
        <v>2220</v>
      </c>
      <c r="J679" s="48"/>
      <c r="K679" s="48"/>
    </row>
    <row r="680" ht="17.25" customHeight="1">
      <c r="A680" s="49"/>
      <c r="B680" s="49" t="s">
        <v>20</v>
      </c>
      <c r="C680" s="49" t="s">
        <v>2221</v>
      </c>
      <c r="D680" s="49" t="s">
        <v>36</v>
      </c>
      <c r="E680" s="49"/>
      <c r="F680" s="49" t="s">
        <v>623</v>
      </c>
      <c r="G680" s="59"/>
      <c r="H680" s="50" t="s">
        <v>2222</v>
      </c>
      <c r="I680" s="50" t="s">
        <v>2223</v>
      </c>
      <c r="J680" s="48"/>
      <c r="K680" s="48"/>
      <c r="N680" s="37" t="s">
        <v>318</v>
      </c>
    </row>
    <row r="681" ht="17.25" customHeight="1">
      <c r="A681" s="49"/>
      <c r="B681" s="49" t="s">
        <v>20</v>
      </c>
      <c r="C681" s="49" t="s">
        <v>2224</v>
      </c>
      <c r="D681" s="49" t="s">
        <v>36</v>
      </c>
      <c r="E681" s="49"/>
      <c r="F681" s="49"/>
      <c r="G681" s="59"/>
      <c r="H681" s="50" t="s">
        <v>2225</v>
      </c>
      <c r="I681" s="50" t="s">
        <v>2226</v>
      </c>
      <c r="J681" s="48"/>
      <c r="K681" s="48"/>
      <c r="L681" s="12" t="s">
        <v>2227</v>
      </c>
      <c r="M681" s="8" t="s">
        <v>2228</v>
      </c>
      <c r="N681" s="37" t="s">
        <v>318</v>
      </c>
    </row>
    <row r="682" ht="17.25" customHeight="1">
      <c r="A682" s="49"/>
      <c r="B682" s="49" t="s">
        <v>102</v>
      </c>
      <c r="C682" s="49" t="s">
        <v>2229</v>
      </c>
      <c r="D682" s="49" t="s">
        <v>36</v>
      </c>
      <c r="E682" s="49"/>
      <c r="F682" s="49" t="s">
        <v>2230</v>
      </c>
      <c r="G682" s="59"/>
      <c r="H682" s="50" t="s">
        <v>2231</v>
      </c>
      <c r="I682" s="50" t="s">
        <v>2232</v>
      </c>
      <c r="J682" s="48"/>
      <c r="K682" s="48"/>
      <c r="N682" s="37" t="s">
        <v>318</v>
      </c>
    </row>
    <row r="683" ht="17.25" customHeight="1">
      <c r="A683" s="49"/>
      <c r="B683" s="49" t="s">
        <v>20</v>
      </c>
      <c r="C683" s="49" t="s">
        <v>2233</v>
      </c>
      <c r="D683" s="49" t="s">
        <v>36</v>
      </c>
      <c r="E683" s="49"/>
      <c r="F683" s="49"/>
      <c r="G683" s="59"/>
      <c r="H683" s="50" t="s">
        <v>2234</v>
      </c>
      <c r="I683" s="50" t="s">
        <v>2235</v>
      </c>
      <c r="J683" s="48"/>
      <c r="K683" s="48"/>
    </row>
    <row r="684" ht="17.25" customHeight="1">
      <c r="A684" s="49"/>
      <c r="B684" s="49" t="s">
        <v>20</v>
      </c>
      <c r="C684" s="49" t="s">
        <v>281</v>
      </c>
      <c r="D684" s="49" t="s">
        <v>36</v>
      </c>
      <c r="E684" s="49"/>
      <c r="F684" s="49" t="s">
        <v>2106</v>
      </c>
      <c r="G684" s="59"/>
      <c r="H684" s="50" t="s">
        <v>2236</v>
      </c>
      <c r="I684" s="50" t="s">
        <v>2237</v>
      </c>
      <c r="J684" s="48"/>
      <c r="K684" s="48"/>
      <c r="N684" s="37" t="s">
        <v>318</v>
      </c>
    </row>
    <row r="685" ht="17.25" customHeight="1">
      <c r="A685" s="49"/>
      <c r="B685" s="49" t="s">
        <v>20</v>
      </c>
      <c r="C685" s="49" t="s">
        <v>2238</v>
      </c>
      <c r="D685" s="49" t="s">
        <v>36</v>
      </c>
      <c r="E685" s="49"/>
      <c r="F685" s="49"/>
      <c r="G685" s="59"/>
      <c r="H685" s="50" t="s">
        <v>2239</v>
      </c>
      <c r="I685" s="50" t="s">
        <v>2240</v>
      </c>
      <c r="J685" s="48"/>
      <c r="K685" s="48"/>
      <c r="N685" s="37" t="s">
        <v>318</v>
      </c>
    </row>
    <row r="686" ht="17.25" customHeight="1">
      <c r="A686" s="49"/>
      <c r="B686" s="49" t="s">
        <v>20</v>
      </c>
      <c r="C686" s="49" t="s">
        <v>2241</v>
      </c>
      <c r="D686" s="49" t="s">
        <v>36</v>
      </c>
      <c r="E686" s="49"/>
      <c r="F686" s="49" t="s">
        <v>2242</v>
      </c>
      <c r="G686" s="59"/>
      <c r="H686" s="50" t="s">
        <v>2243</v>
      </c>
      <c r="I686" s="50" t="s">
        <v>2244</v>
      </c>
      <c r="J686" s="48"/>
      <c r="K686" s="48"/>
      <c r="N686" s="37" t="s">
        <v>318</v>
      </c>
    </row>
    <row r="687" ht="17.25" customHeight="1">
      <c r="A687" s="49"/>
      <c r="B687" s="49" t="s">
        <v>20</v>
      </c>
      <c r="C687" s="49" t="s">
        <v>2245</v>
      </c>
      <c r="D687" s="49" t="s">
        <v>36</v>
      </c>
      <c r="E687" s="49"/>
      <c r="F687" s="49"/>
      <c r="G687" s="59"/>
      <c r="H687" s="50" t="s">
        <v>2246</v>
      </c>
      <c r="I687" s="50" t="s">
        <v>2247</v>
      </c>
      <c r="J687" s="48"/>
      <c r="K687" s="48"/>
      <c r="N687" s="37" t="s">
        <v>318</v>
      </c>
    </row>
    <row r="688" ht="17.25" customHeight="1">
      <c r="A688" s="49"/>
      <c r="B688" s="49" t="s">
        <v>20</v>
      </c>
      <c r="C688" s="49" t="s">
        <v>2248</v>
      </c>
      <c r="D688" s="49" t="s">
        <v>36</v>
      </c>
      <c r="E688" s="49"/>
      <c r="F688" s="49"/>
      <c r="G688" s="59"/>
      <c r="H688" s="50" t="s">
        <v>2249</v>
      </c>
      <c r="I688" s="50" t="s">
        <v>2250</v>
      </c>
      <c r="J688" s="48"/>
      <c r="K688" s="48"/>
      <c r="N688" s="37" t="s">
        <v>318</v>
      </c>
    </row>
    <row r="689" ht="17.25" customHeight="1">
      <c r="A689" s="49"/>
      <c r="B689" s="49" t="s">
        <v>20</v>
      </c>
      <c r="C689" s="49" t="s">
        <v>2251</v>
      </c>
      <c r="D689" s="49" t="s">
        <v>36</v>
      </c>
      <c r="E689" s="49"/>
      <c r="F689" s="49" t="s">
        <v>2252</v>
      </c>
      <c r="G689" s="59"/>
      <c r="H689" s="50" t="s">
        <v>2253</v>
      </c>
      <c r="I689" s="50" t="s">
        <v>2254</v>
      </c>
      <c r="J689" s="48"/>
      <c r="K689" s="48"/>
    </row>
    <row r="690" ht="17.25" customHeight="1">
      <c r="A690" s="49"/>
      <c r="B690" s="49" t="s">
        <v>20</v>
      </c>
      <c r="C690" s="49" t="s">
        <v>1616</v>
      </c>
      <c r="D690" s="49" t="s">
        <v>36</v>
      </c>
      <c r="E690" s="49"/>
      <c r="F690" s="49" t="s">
        <v>2096</v>
      </c>
      <c r="G690" s="59"/>
      <c r="H690" s="50" t="s">
        <v>2255</v>
      </c>
      <c r="I690" s="50" t="s">
        <v>2256</v>
      </c>
      <c r="J690" s="48"/>
      <c r="K690" s="48"/>
      <c r="N690" s="37" t="s">
        <v>318</v>
      </c>
    </row>
    <row r="691" ht="17.25" customHeight="1">
      <c r="A691" s="49"/>
      <c r="B691" s="49" t="s">
        <v>20</v>
      </c>
      <c r="C691" s="49" t="s">
        <v>1274</v>
      </c>
      <c r="D691" s="49" t="s">
        <v>36</v>
      </c>
      <c r="E691" s="49"/>
      <c r="F691" s="49" t="s">
        <v>2257</v>
      </c>
      <c r="G691" s="59"/>
      <c r="H691" s="50" t="s">
        <v>2258</v>
      </c>
      <c r="I691" s="50" t="s">
        <v>2259</v>
      </c>
      <c r="J691" s="48"/>
      <c r="K691" s="48"/>
      <c r="N691" s="37" t="s">
        <v>318</v>
      </c>
    </row>
    <row r="692" ht="17.25" customHeight="1">
      <c r="A692" s="49"/>
      <c r="B692" s="49" t="s">
        <v>20</v>
      </c>
      <c r="C692" s="49" t="s">
        <v>2260</v>
      </c>
      <c r="D692" s="49" t="s">
        <v>36</v>
      </c>
      <c r="E692" s="49"/>
      <c r="F692" s="49"/>
      <c r="G692" s="59"/>
      <c r="H692" s="50" t="s">
        <v>2261</v>
      </c>
      <c r="I692" s="50" t="s">
        <v>2262</v>
      </c>
      <c r="J692" s="48"/>
      <c r="K692" s="48"/>
      <c r="L692" s="12" t="s">
        <v>2263</v>
      </c>
    </row>
    <row r="693" ht="17.25" customHeight="1">
      <c r="A693" s="49"/>
      <c r="B693" s="49" t="s">
        <v>20</v>
      </c>
      <c r="C693" s="49" t="s">
        <v>2264</v>
      </c>
      <c r="D693" s="49" t="s">
        <v>36</v>
      </c>
      <c r="E693" s="49"/>
      <c r="F693" s="49"/>
      <c r="G693" s="59"/>
      <c r="H693" s="50" t="s">
        <v>2265</v>
      </c>
      <c r="I693" s="50" t="s">
        <v>2266</v>
      </c>
      <c r="J693" s="48"/>
      <c r="K693" s="48"/>
    </row>
    <row r="694" ht="17.25" customHeight="1">
      <c r="A694" s="49"/>
      <c r="B694" s="49" t="s">
        <v>20</v>
      </c>
      <c r="C694" s="49" t="s">
        <v>2267</v>
      </c>
      <c r="D694" s="49" t="s">
        <v>36</v>
      </c>
      <c r="E694" s="49"/>
      <c r="F694" s="49"/>
      <c r="G694" s="59"/>
      <c r="H694" s="50" t="s">
        <v>2268</v>
      </c>
      <c r="I694" s="50" t="s">
        <v>2269</v>
      </c>
      <c r="J694" s="48"/>
      <c r="K694" s="48"/>
      <c r="N694" s="37" t="s">
        <v>318</v>
      </c>
    </row>
    <row r="695" ht="17.25" customHeight="1">
      <c r="A695" s="49"/>
      <c r="B695" s="49" t="s">
        <v>20</v>
      </c>
      <c r="C695" s="49" t="s">
        <v>1473</v>
      </c>
      <c r="D695" s="49" t="s">
        <v>36</v>
      </c>
      <c r="E695" s="49"/>
      <c r="F695" s="49" t="s">
        <v>2270</v>
      </c>
      <c r="G695" s="59"/>
      <c r="H695" s="50" t="s">
        <v>2271</v>
      </c>
      <c r="I695" s="50" t="s">
        <v>2272</v>
      </c>
      <c r="J695" s="48"/>
      <c r="K695" s="48"/>
      <c r="N695" s="37" t="s">
        <v>318</v>
      </c>
    </row>
    <row r="696" ht="17.25" customHeight="1">
      <c r="A696" s="49"/>
      <c r="B696" s="49" t="s">
        <v>20</v>
      </c>
      <c r="C696" s="49" t="s">
        <v>2273</v>
      </c>
      <c r="D696" s="49" t="s">
        <v>36</v>
      </c>
      <c r="E696" s="49"/>
      <c r="F696" s="49"/>
      <c r="G696" s="59"/>
      <c r="H696" s="50" t="s">
        <v>2274</v>
      </c>
      <c r="I696" s="50" t="s">
        <v>2275</v>
      </c>
      <c r="J696" s="48"/>
      <c r="K696" s="48"/>
      <c r="N696" s="37" t="s">
        <v>318</v>
      </c>
    </row>
    <row r="697" ht="17.25" customHeight="1">
      <c r="A697" s="49"/>
      <c r="B697" s="49" t="s">
        <v>20</v>
      </c>
      <c r="C697" s="49" t="s">
        <v>2276</v>
      </c>
      <c r="D697" s="49" t="s">
        <v>36</v>
      </c>
      <c r="E697" s="49"/>
      <c r="F697" s="49" t="s">
        <v>2277</v>
      </c>
      <c r="G697" s="59"/>
      <c r="H697" s="50" t="s">
        <v>2278</v>
      </c>
      <c r="I697" s="50" t="s">
        <v>2279</v>
      </c>
      <c r="J697" s="48"/>
      <c r="K697" s="48"/>
    </row>
    <row r="698" ht="17.25" customHeight="1">
      <c r="A698" s="49"/>
      <c r="B698" s="49" t="s">
        <v>102</v>
      </c>
      <c r="C698" s="49" t="s">
        <v>2280</v>
      </c>
      <c r="D698" s="49" t="s">
        <v>36</v>
      </c>
      <c r="E698" s="49"/>
      <c r="F698" s="49" t="s">
        <v>2281</v>
      </c>
      <c r="G698" s="59"/>
      <c r="H698" s="50" t="s">
        <v>2282</v>
      </c>
      <c r="I698" s="50" t="s">
        <v>2283</v>
      </c>
      <c r="J698" s="48"/>
      <c r="K698" s="48"/>
    </row>
    <row r="699" ht="17.25" customHeight="1">
      <c r="A699" s="49"/>
      <c r="B699" s="49" t="s">
        <v>20</v>
      </c>
      <c r="C699" s="49" t="s">
        <v>2284</v>
      </c>
      <c r="D699" s="49" t="s">
        <v>36</v>
      </c>
      <c r="E699" s="49"/>
      <c r="F699" s="49" t="s">
        <v>2285</v>
      </c>
      <c r="G699" s="59"/>
      <c r="H699" s="50" t="s">
        <v>2286</v>
      </c>
      <c r="I699" s="50" t="s">
        <v>2287</v>
      </c>
      <c r="J699" s="48"/>
      <c r="K699" s="48"/>
      <c r="N699" s="37"/>
    </row>
    <row r="700" ht="17.25" customHeight="1">
      <c r="A700" s="49"/>
      <c r="B700" s="49" t="s">
        <v>20</v>
      </c>
      <c r="C700" s="49" t="s">
        <v>2251</v>
      </c>
      <c r="D700" s="49" t="s">
        <v>36</v>
      </c>
      <c r="E700" s="49"/>
      <c r="F700" s="49" t="s">
        <v>2288</v>
      </c>
      <c r="G700" s="59"/>
      <c r="H700" s="50" t="s">
        <v>2289</v>
      </c>
      <c r="I700" s="50" t="s">
        <v>2290</v>
      </c>
      <c r="J700" s="48"/>
      <c r="K700" s="48"/>
      <c r="N700" s="37" t="s">
        <v>318</v>
      </c>
    </row>
    <row r="701" ht="17.25" customHeight="1">
      <c r="A701" s="49"/>
      <c r="B701" s="49" t="s">
        <v>20</v>
      </c>
      <c r="C701" s="49" t="s">
        <v>2291</v>
      </c>
      <c r="D701" s="49" t="s">
        <v>36</v>
      </c>
      <c r="E701" s="49"/>
      <c r="F701" s="49"/>
      <c r="G701" s="59"/>
      <c r="H701" s="50" t="s">
        <v>2292</v>
      </c>
      <c r="I701" s="50" t="s">
        <v>2293</v>
      </c>
      <c r="J701" s="48"/>
      <c r="K701" s="48"/>
      <c r="N701" s="37" t="s">
        <v>318</v>
      </c>
    </row>
    <row r="702" ht="17.25" customHeight="1">
      <c r="A702" s="49"/>
      <c r="B702" s="49" t="s">
        <v>20</v>
      </c>
      <c r="C702" s="49" t="s">
        <v>2294</v>
      </c>
      <c r="D702" s="49" t="s">
        <v>36</v>
      </c>
      <c r="E702" s="49"/>
      <c r="F702" s="49"/>
      <c r="G702" s="59"/>
      <c r="H702" s="50" t="s">
        <v>2295</v>
      </c>
      <c r="I702" s="50" t="s">
        <v>2296</v>
      </c>
      <c r="J702" s="48"/>
      <c r="K702" s="48"/>
    </row>
    <row r="703" ht="17.25" customHeight="1">
      <c r="A703" s="49"/>
      <c r="B703" s="49" t="s">
        <v>20</v>
      </c>
      <c r="C703" s="49" t="s">
        <v>2297</v>
      </c>
      <c r="D703" s="49" t="s">
        <v>36</v>
      </c>
      <c r="E703" s="49"/>
      <c r="F703" s="49" t="s">
        <v>631</v>
      </c>
      <c r="G703" s="59"/>
      <c r="H703" s="50" t="s">
        <v>2298</v>
      </c>
      <c r="I703" s="50" t="s">
        <v>2299</v>
      </c>
      <c r="J703" s="48"/>
      <c r="K703" s="48"/>
    </row>
    <row r="704" ht="17.25" customHeight="1">
      <c r="A704" s="49"/>
      <c r="B704" s="49" t="s">
        <v>20</v>
      </c>
      <c r="C704" s="49" t="s">
        <v>2300</v>
      </c>
      <c r="D704" s="49" t="s">
        <v>36</v>
      </c>
      <c r="E704" s="49"/>
      <c r="F704" s="49" t="s">
        <v>1948</v>
      </c>
      <c r="G704" s="59"/>
      <c r="H704" s="50" t="s">
        <v>2301</v>
      </c>
      <c r="I704" s="50" t="s">
        <v>2302</v>
      </c>
      <c r="J704" s="48"/>
      <c r="K704" s="48"/>
      <c r="N704" s="37" t="s">
        <v>318</v>
      </c>
    </row>
    <row r="705" ht="17.25" customHeight="1">
      <c r="A705" s="49"/>
      <c r="B705" s="49" t="s">
        <v>20</v>
      </c>
      <c r="C705" s="49" t="s">
        <v>2303</v>
      </c>
      <c r="D705" s="49" t="s">
        <v>36</v>
      </c>
      <c r="E705" s="49"/>
      <c r="F705" s="49" t="s">
        <v>519</v>
      </c>
      <c r="G705" s="59"/>
      <c r="H705" s="50" t="s">
        <v>2304</v>
      </c>
      <c r="I705" s="50" t="s">
        <v>2305</v>
      </c>
      <c r="J705" s="48"/>
      <c r="K705" s="48"/>
    </row>
    <row r="706" ht="17.25" customHeight="1">
      <c r="A706" s="49"/>
      <c r="B706" s="49" t="s">
        <v>20</v>
      </c>
      <c r="C706" s="49" t="s">
        <v>2306</v>
      </c>
      <c r="D706" s="49" t="s">
        <v>36</v>
      </c>
      <c r="E706" s="49"/>
      <c r="F706" s="49" t="s">
        <v>2307</v>
      </c>
      <c r="G706" s="59"/>
      <c r="H706" s="50" t="s">
        <v>2308</v>
      </c>
      <c r="I706" s="50" t="s">
        <v>2309</v>
      </c>
      <c r="J706" s="48"/>
      <c r="K706" s="48"/>
    </row>
    <row r="707" ht="17.25" customHeight="1">
      <c r="A707" s="49"/>
      <c r="B707" s="49" t="s">
        <v>20</v>
      </c>
      <c r="C707" s="49" t="s">
        <v>2310</v>
      </c>
      <c r="D707" s="49" t="s">
        <v>36</v>
      </c>
      <c r="E707" s="49"/>
      <c r="F707" s="49"/>
      <c r="G707" s="59"/>
      <c r="H707" s="50" t="s">
        <v>2311</v>
      </c>
      <c r="I707" s="50" t="s">
        <v>2312</v>
      </c>
      <c r="J707" s="48"/>
      <c r="K707" s="48"/>
    </row>
    <row r="708" ht="17.25" customHeight="1">
      <c r="A708" s="49"/>
      <c r="B708" s="49" t="s">
        <v>20</v>
      </c>
      <c r="C708" s="49" t="s">
        <v>2313</v>
      </c>
      <c r="D708" s="49" t="s">
        <v>36</v>
      </c>
      <c r="E708" s="49"/>
      <c r="F708" s="49" t="s">
        <v>2314</v>
      </c>
      <c r="G708" s="59"/>
      <c r="H708" s="50" t="s">
        <v>2315</v>
      </c>
      <c r="I708" s="50" t="s">
        <v>2316</v>
      </c>
      <c r="J708" s="48"/>
      <c r="K708" s="48"/>
      <c r="N708" s="37" t="s">
        <v>318</v>
      </c>
    </row>
    <row r="709" ht="17.25" customHeight="1">
      <c r="A709" s="49"/>
      <c r="B709" s="49" t="s">
        <v>20</v>
      </c>
      <c r="C709" s="49" t="s">
        <v>2317</v>
      </c>
      <c r="D709" s="49" t="s">
        <v>36</v>
      </c>
      <c r="E709" s="49"/>
      <c r="F709" s="49" t="s">
        <v>2318</v>
      </c>
      <c r="G709" s="59"/>
      <c r="H709" s="50" t="s">
        <v>2319</v>
      </c>
      <c r="I709" s="50" t="s">
        <v>2320</v>
      </c>
      <c r="J709" s="48"/>
      <c r="K709" s="48"/>
    </row>
    <row r="710" ht="17.25" customHeight="1">
      <c r="A710" s="49"/>
      <c r="B710" s="49" t="s">
        <v>20</v>
      </c>
      <c r="C710" s="49" t="s">
        <v>2321</v>
      </c>
      <c r="D710" s="49" t="s">
        <v>36</v>
      </c>
      <c r="E710" s="49"/>
      <c r="F710" s="49"/>
      <c r="G710" s="59"/>
      <c r="H710" s="50" t="s">
        <v>2322</v>
      </c>
      <c r="I710" s="50" t="s">
        <v>2323</v>
      </c>
      <c r="J710" s="48"/>
      <c r="K710" s="48"/>
      <c r="N710" s="37" t="s">
        <v>318</v>
      </c>
    </row>
    <row r="711" ht="17.25" customHeight="1">
      <c r="A711" s="49"/>
      <c r="B711" s="49" t="s">
        <v>20</v>
      </c>
      <c r="C711" s="49" t="s">
        <v>2324</v>
      </c>
      <c r="D711" s="49" t="s">
        <v>36</v>
      </c>
      <c r="E711" s="49"/>
      <c r="F711" s="49"/>
      <c r="G711" s="59"/>
      <c r="H711" s="50" t="s">
        <v>2325</v>
      </c>
      <c r="I711" s="50" t="s">
        <v>2326</v>
      </c>
      <c r="J711" s="48"/>
      <c r="K711" s="48"/>
    </row>
    <row r="712" ht="17.25" customHeight="1">
      <c r="A712" s="49"/>
      <c r="B712" s="49" t="s">
        <v>20</v>
      </c>
      <c r="C712" s="49" t="s">
        <v>2327</v>
      </c>
      <c r="D712" s="49" t="s">
        <v>36</v>
      </c>
      <c r="E712" s="49"/>
      <c r="F712" s="49" t="s">
        <v>2328</v>
      </c>
      <c r="G712" s="59"/>
      <c r="H712" s="50" t="s">
        <v>2329</v>
      </c>
      <c r="I712" s="50" t="s">
        <v>2330</v>
      </c>
      <c r="J712" s="48"/>
      <c r="K712" s="48"/>
    </row>
    <row r="713" ht="17.25" customHeight="1">
      <c r="A713" s="49"/>
      <c r="B713" s="49" t="s">
        <v>20</v>
      </c>
      <c r="C713" s="49" t="s">
        <v>2331</v>
      </c>
      <c r="D713" s="49" t="s">
        <v>36</v>
      </c>
      <c r="E713" s="49"/>
      <c r="F713" s="49" t="s">
        <v>2332</v>
      </c>
      <c r="G713" s="59"/>
      <c r="H713" s="50" t="s">
        <v>2333</v>
      </c>
      <c r="I713" s="50" t="s">
        <v>2334</v>
      </c>
      <c r="J713" s="48"/>
      <c r="K713" s="48"/>
    </row>
    <row r="714" ht="17.25" customHeight="1">
      <c r="A714" s="49"/>
      <c r="B714" s="49" t="s">
        <v>20</v>
      </c>
      <c r="C714" s="49" t="s">
        <v>2335</v>
      </c>
      <c r="D714" s="49" t="s">
        <v>36</v>
      </c>
      <c r="E714" s="49"/>
      <c r="F714" s="49" t="s">
        <v>2336</v>
      </c>
      <c r="G714" s="59"/>
      <c r="H714" s="50" t="s">
        <v>2337</v>
      </c>
      <c r="I714" s="50" t="s">
        <v>2338</v>
      </c>
      <c r="J714" s="48"/>
      <c r="K714" s="48"/>
    </row>
    <row r="715" ht="17.25" customHeight="1">
      <c r="A715" s="49"/>
      <c r="B715" s="49" t="s">
        <v>20</v>
      </c>
      <c r="C715" s="49" t="s">
        <v>2339</v>
      </c>
      <c r="D715" s="49" t="s">
        <v>36</v>
      </c>
      <c r="E715" s="49"/>
      <c r="F715" s="49"/>
      <c r="G715" s="59"/>
      <c r="H715" s="50" t="s">
        <v>2340</v>
      </c>
      <c r="I715" s="50" t="s">
        <v>2341</v>
      </c>
      <c r="J715" s="48"/>
      <c r="K715" s="48"/>
    </row>
    <row r="716" ht="17.25" customHeight="1">
      <c r="A716" s="49"/>
      <c r="B716" s="49" t="s">
        <v>20</v>
      </c>
      <c r="C716" s="49" t="s">
        <v>2172</v>
      </c>
      <c r="D716" s="49" t="s">
        <v>36</v>
      </c>
      <c r="E716" s="49"/>
      <c r="F716" s="49" t="s">
        <v>2342</v>
      </c>
      <c r="G716" s="59"/>
      <c r="H716" s="50" t="s">
        <v>2343</v>
      </c>
      <c r="I716" s="50" t="s">
        <v>2344</v>
      </c>
      <c r="J716" s="48"/>
      <c r="K716" s="48"/>
    </row>
    <row r="717" ht="17.25" customHeight="1">
      <c r="A717" s="49"/>
      <c r="B717" s="49" t="s">
        <v>20</v>
      </c>
      <c r="C717" s="49" t="s">
        <v>2345</v>
      </c>
      <c r="D717" s="49" t="s">
        <v>36</v>
      </c>
      <c r="E717" s="49"/>
      <c r="F717" s="49" t="s">
        <v>2346</v>
      </c>
      <c r="G717" s="59"/>
      <c r="H717" s="50" t="s">
        <v>2347</v>
      </c>
      <c r="I717" s="50" t="s">
        <v>2348</v>
      </c>
      <c r="J717" s="48"/>
      <c r="K717" s="48"/>
    </row>
    <row r="718" ht="17.25" customHeight="1">
      <c r="A718" s="49"/>
      <c r="B718" s="49" t="s">
        <v>20</v>
      </c>
      <c r="C718" s="49" t="s">
        <v>2349</v>
      </c>
      <c r="D718" s="49" t="s">
        <v>36</v>
      </c>
      <c r="E718" s="49"/>
      <c r="F718" s="49" t="s">
        <v>603</v>
      </c>
      <c r="G718" s="59"/>
      <c r="H718" s="50" t="s">
        <v>2350</v>
      </c>
      <c r="I718" s="50" t="s">
        <v>2351</v>
      </c>
      <c r="J718" s="48"/>
      <c r="K718" s="48"/>
      <c r="N718" s="37" t="s">
        <v>318</v>
      </c>
    </row>
    <row r="719" ht="17.25" customHeight="1">
      <c r="A719" s="49"/>
      <c r="B719" s="49" t="s">
        <v>20</v>
      </c>
      <c r="C719" s="49" t="s">
        <v>2352</v>
      </c>
      <c r="D719" s="49" t="s">
        <v>36</v>
      </c>
      <c r="E719" s="49"/>
      <c r="F719" s="49" t="s">
        <v>2353</v>
      </c>
      <c r="G719" s="59"/>
      <c r="H719" s="50" t="s">
        <v>2354</v>
      </c>
      <c r="I719" s="50" t="s">
        <v>2355</v>
      </c>
      <c r="J719" s="48"/>
      <c r="K719" s="48"/>
    </row>
    <row r="720" ht="17.25" customHeight="1">
      <c r="A720" s="49"/>
      <c r="B720" s="49" t="s">
        <v>20</v>
      </c>
      <c r="C720" s="49" t="s">
        <v>2202</v>
      </c>
      <c r="D720" s="49" t="s">
        <v>36</v>
      </c>
      <c r="E720" s="49"/>
      <c r="F720" s="49" t="s">
        <v>1948</v>
      </c>
      <c r="G720" s="59"/>
      <c r="H720" s="50" t="s">
        <v>2356</v>
      </c>
      <c r="I720" s="50" t="s">
        <v>2357</v>
      </c>
      <c r="J720" s="48"/>
      <c r="K720" s="48"/>
      <c r="N720" s="37" t="s">
        <v>318</v>
      </c>
    </row>
    <row r="721" ht="17.25" customHeight="1">
      <c r="A721" s="49"/>
      <c r="B721" s="49" t="s">
        <v>20</v>
      </c>
      <c r="C721" s="49" t="s">
        <v>2358</v>
      </c>
      <c r="D721" s="49" t="s">
        <v>36</v>
      </c>
      <c r="E721" s="49"/>
      <c r="F721" s="49"/>
      <c r="G721" s="59"/>
      <c r="H721" s="50" t="s">
        <v>2359</v>
      </c>
      <c r="I721" s="50" t="s">
        <v>2360</v>
      </c>
      <c r="J721" s="48"/>
      <c r="K721" s="48"/>
    </row>
    <row r="722" ht="17.25" customHeight="1">
      <c r="A722" s="49"/>
      <c r="B722" s="49" t="s">
        <v>20</v>
      </c>
      <c r="C722" s="49" t="s">
        <v>2361</v>
      </c>
      <c r="D722" s="49" t="s">
        <v>36</v>
      </c>
      <c r="E722" s="49"/>
      <c r="F722" s="49"/>
      <c r="G722" s="59"/>
      <c r="H722" s="50" t="s">
        <v>2362</v>
      </c>
      <c r="I722" s="50" t="s">
        <v>2363</v>
      </c>
      <c r="J722" s="48"/>
      <c r="K722" s="48"/>
    </row>
    <row r="723" ht="17.25" customHeight="1">
      <c r="A723" s="49"/>
      <c r="B723" s="49" t="s">
        <v>2364</v>
      </c>
      <c r="C723" s="49" t="s">
        <v>2110</v>
      </c>
      <c r="D723" s="49" t="s">
        <v>36</v>
      </c>
      <c r="E723" s="49"/>
      <c r="F723" s="49" t="s">
        <v>1948</v>
      </c>
      <c r="G723" s="59"/>
      <c r="H723" s="50" t="s">
        <v>2365</v>
      </c>
      <c r="I723" s="55" t="s">
        <v>2366</v>
      </c>
      <c r="J723" s="48"/>
      <c r="K723" s="48"/>
      <c r="N723" s="37" t="s">
        <v>318</v>
      </c>
    </row>
    <row r="724" ht="17.25" customHeight="1">
      <c r="A724" s="49"/>
      <c r="B724" s="49" t="s">
        <v>20</v>
      </c>
      <c r="C724" s="49" t="s">
        <v>794</v>
      </c>
      <c r="D724" s="49" t="s">
        <v>36</v>
      </c>
      <c r="E724" s="49"/>
      <c r="F724" s="49" t="s">
        <v>2367</v>
      </c>
      <c r="G724" s="59"/>
      <c r="H724" s="50" t="s">
        <v>2368</v>
      </c>
      <c r="I724" s="50" t="s">
        <v>2369</v>
      </c>
      <c r="J724" s="48"/>
      <c r="K724" s="48"/>
      <c r="N724" s="37" t="s">
        <v>318</v>
      </c>
    </row>
    <row r="725" ht="17.25" customHeight="1">
      <c r="A725" s="49"/>
      <c r="B725" s="49" t="s">
        <v>20</v>
      </c>
      <c r="C725" s="49" t="s">
        <v>2202</v>
      </c>
      <c r="D725" s="49" t="s">
        <v>36</v>
      </c>
      <c r="E725" s="49"/>
      <c r="F725" s="49"/>
      <c r="G725" s="59"/>
      <c r="H725" s="50" t="s">
        <v>2370</v>
      </c>
      <c r="I725" s="50" t="s">
        <v>2371</v>
      </c>
      <c r="J725" s="48"/>
      <c r="K725" s="48"/>
      <c r="N725" s="37" t="s">
        <v>318</v>
      </c>
    </row>
    <row r="726" ht="17.25" customHeight="1">
      <c r="A726" s="49"/>
      <c r="B726" s="49" t="s">
        <v>20</v>
      </c>
      <c r="C726" s="49" t="s">
        <v>2372</v>
      </c>
      <c r="D726" s="49" t="s">
        <v>36</v>
      </c>
      <c r="E726" s="49"/>
      <c r="F726" s="49"/>
      <c r="G726" s="59"/>
      <c r="H726" s="50" t="s">
        <v>2373</v>
      </c>
      <c r="I726" s="50" t="s">
        <v>2374</v>
      </c>
      <c r="J726" s="48"/>
      <c r="K726" s="48"/>
      <c r="N726" s="37" t="s">
        <v>318</v>
      </c>
    </row>
    <row r="727" ht="17.25" customHeight="1">
      <c r="A727" s="49"/>
      <c r="B727" s="49" t="s">
        <v>20</v>
      </c>
      <c r="C727" s="49" t="s">
        <v>2375</v>
      </c>
      <c r="D727" s="49" t="s">
        <v>36</v>
      </c>
      <c r="E727" s="49"/>
      <c r="F727" s="49"/>
      <c r="G727" s="59"/>
      <c r="H727" s="50" t="s">
        <v>2376</v>
      </c>
      <c r="I727" s="50" t="s">
        <v>2377</v>
      </c>
      <c r="J727" s="48"/>
      <c r="K727" s="48"/>
      <c r="N727" s="37" t="s">
        <v>318</v>
      </c>
    </row>
    <row r="728" ht="17.25" customHeight="1">
      <c r="A728" s="49"/>
      <c r="B728" s="49" t="s">
        <v>20</v>
      </c>
      <c r="C728" s="49" t="s">
        <v>2378</v>
      </c>
      <c r="D728" s="49" t="s">
        <v>36</v>
      </c>
      <c r="E728" s="49"/>
      <c r="F728" s="49"/>
      <c r="G728" s="59"/>
      <c r="H728" s="50" t="s">
        <v>2379</v>
      </c>
      <c r="I728" s="50" t="s">
        <v>2380</v>
      </c>
      <c r="J728" s="48"/>
      <c r="K728" s="48"/>
      <c r="N728" s="37" t="s">
        <v>318</v>
      </c>
    </row>
    <row r="729" ht="17.25" customHeight="1">
      <c r="A729" s="49"/>
      <c r="B729" s="49" t="s">
        <v>20</v>
      </c>
      <c r="C729" s="49" t="s">
        <v>2381</v>
      </c>
      <c r="D729" s="49" t="s">
        <v>36</v>
      </c>
      <c r="E729" s="49"/>
      <c r="F729" s="49"/>
      <c r="G729" s="59"/>
      <c r="H729" s="50" t="s">
        <v>2382</v>
      </c>
      <c r="I729" s="50" t="s">
        <v>2383</v>
      </c>
      <c r="J729" s="48"/>
      <c r="K729" s="48"/>
    </row>
    <row r="730" ht="17.25" customHeight="1">
      <c r="A730" s="49"/>
      <c r="B730" s="49" t="s">
        <v>20</v>
      </c>
      <c r="C730" s="49" t="s">
        <v>2381</v>
      </c>
      <c r="D730" s="49" t="s">
        <v>36</v>
      </c>
      <c r="E730" s="49"/>
      <c r="F730" s="49"/>
      <c r="G730" s="59"/>
      <c r="H730" s="50" t="s">
        <v>2384</v>
      </c>
      <c r="I730" s="50" t="s">
        <v>2385</v>
      </c>
      <c r="J730" s="48"/>
      <c r="K730" s="48"/>
    </row>
    <row r="731" ht="17.25" customHeight="1">
      <c r="A731" s="49"/>
      <c r="B731" s="49" t="s">
        <v>20</v>
      </c>
      <c r="C731" s="49" t="s">
        <v>2386</v>
      </c>
      <c r="D731" s="49" t="s">
        <v>36</v>
      </c>
      <c r="E731" s="49"/>
      <c r="F731" s="49"/>
      <c r="G731" s="59"/>
      <c r="H731" s="50" t="s">
        <v>2387</v>
      </c>
      <c r="I731" s="55" t="s">
        <v>2388</v>
      </c>
      <c r="J731" s="48"/>
      <c r="K731" s="48"/>
      <c r="N731" s="37" t="s">
        <v>318</v>
      </c>
    </row>
    <row r="732" ht="17.25" customHeight="1">
      <c r="A732" s="49"/>
      <c r="B732" s="49" t="s">
        <v>20</v>
      </c>
      <c r="C732" s="49" t="s">
        <v>2389</v>
      </c>
      <c r="D732" s="49" t="s">
        <v>36</v>
      </c>
      <c r="E732" s="49"/>
      <c r="F732" s="49"/>
      <c r="G732" s="59"/>
      <c r="H732" s="50" t="s">
        <v>2390</v>
      </c>
      <c r="I732" s="50" t="s">
        <v>2391</v>
      </c>
      <c r="J732" s="48"/>
      <c r="K732" s="48"/>
      <c r="N732" s="37" t="s">
        <v>318</v>
      </c>
    </row>
    <row r="733" ht="17.25" customHeight="1">
      <c r="A733" s="49"/>
      <c r="B733" s="49" t="s">
        <v>20</v>
      </c>
      <c r="C733" s="49" t="s">
        <v>2392</v>
      </c>
      <c r="D733" s="49" t="s">
        <v>36</v>
      </c>
      <c r="E733" s="49"/>
      <c r="F733" s="49" t="s">
        <v>2393</v>
      </c>
      <c r="G733" s="59"/>
      <c r="H733" s="50" t="s">
        <v>2394</v>
      </c>
      <c r="I733" s="50" t="s">
        <v>2395</v>
      </c>
      <c r="J733" s="48"/>
      <c r="K733" s="48"/>
      <c r="L733" s="12" t="s">
        <v>2396</v>
      </c>
      <c r="N733" s="37" t="s">
        <v>318</v>
      </c>
    </row>
    <row r="734" ht="17.25" customHeight="1">
      <c r="A734" s="49"/>
      <c r="B734" s="49" t="s">
        <v>20</v>
      </c>
      <c r="C734" s="49" t="s">
        <v>2397</v>
      </c>
      <c r="D734" s="49" t="s">
        <v>36</v>
      </c>
      <c r="E734" s="49"/>
      <c r="F734" s="49" t="s">
        <v>2398</v>
      </c>
      <c r="G734" s="59"/>
      <c r="H734" s="50" t="s">
        <v>2399</v>
      </c>
      <c r="I734" s="50" t="s">
        <v>2400</v>
      </c>
      <c r="J734" s="48"/>
      <c r="K734" s="48"/>
      <c r="N734" s="37" t="s">
        <v>318</v>
      </c>
    </row>
    <row r="735" ht="17.25" customHeight="1">
      <c r="A735" s="49"/>
      <c r="B735" s="49" t="s">
        <v>20</v>
      </c>
      <c r="C735" s="49" t="s">
        <v>2401</v>
      </c>
      <c r="D735" s="49" t="s">
        <v>36</v>
      </c>
      <c r="E735" s="49"/>
      <c r="F735" s="49" t="s">
        <v>623</v>
      </c>
      <c r="G735" s="59"/>
      <c r="H735" s="50" t="s">
        <v>2402</v>
      </c>
      <c r="I735" s="50" t="s">
        <v>2403</v>
      </c>
      <c r="J735" s="48"/>
      <c r="K735" s="48"/>
      <c r="N735" s="37" t="s">
        <v>318</v>
      </c>
    </row>
    <row r="736" ht="17.25" customHeight="1">
      <c r="A736" s="49"/>
      <c r="B736" s="49" t="s">
        <v>20</v>
      </c>
      <c r="C736" s="49" t="s">
        <v>2404</v>
      </c>
      <c r="D736" s="49" t="s">
        <v>36</v>
      </c>
      <c r="E736" s="49"/>
      <c r="F736" s="49"/>
      <c r="G736" s="59"/>
      <c r="H736" s="50" t="s">
        <v>2405</v>
      </c>
      <c r="I736" s="50" t="s">
        <v>2406</v>
      </c>
      <c r="J736" s="48"/>
      <c r="K736" s="48"/>
      <c r="N736" s="37" t="s">
        <v>318</v>
      </c>
    </row>
    <row r="737" ht="17.25" customHeight="1">
      <c r="A737" s="49"/>
      <c r="B737" s="49" t="s">
        <v>20</v>
      </c>
      <c r="C737" s="49" t="s">
        <v>2407</v>
      </c>
      <c r="D737" s="49" t="s">
        <v>36</v>
      </c>
      <c r="E737" s="49"/>
      <c r="F737" s="49"/>
      <c r="G737" s="59"/>
      <c r="H737" s="50" t="s">
        <v>2408</v>
      </c>
      <c r="I737" s="50" t="s">
        <v>2409</v>
      </c>
      <c r="J737" s="48"/>
      <c r="K737" s="48"/>
      <c r="N737" s="37" t="s">
        <v>318</v>
      </c>
    </row>
    <row r="738" ht="17.25" customHeight="1">
      <c r="A738" s="49"/>
      <c r="B738" s="49" t="s">
        <v>20</v>
      </c>
      <c r="C738" s="49" t="s">
        <v>806</v>
      </c>
      <c r="D738" s="49" t="s">
        <v>36</v>
      </c>
      <c r="E738" s="49"/>
      <c r="F738" s="49"/>
      <c r="G738" s="59"/>
      <c r="H738" s="50" t="s">
        <v>2410</v>
      </c>
      <c r="I738" s="50" t="s">
        <v>2411</v>
      </c>
      <c r="J738" s="48"/>
      <c r="K738" s="48"/>
      <c r="N738" s="37" t="s">
        <v>318</v>
      </c>
    </row>
    <row r="739" ht="17.25" customHeight="1">
      <c r="A739" s="49"/>
      <c r="B739" s="49" t="s">
        <v>20</v>
      </c>
      <c r="C739" s="49" t="s">
        <v>2412</v>
      </c>
      <c r="D739" s="49" t="s">
        <v>36</v>
      </c>
      <c r="E739" s="49"/>
      <c r="F739" s="49" t="s">
        <v>2413</v>
      </c>
      <c r="G739" s="59"/>
      <c r="H739" s="50" t="s">
        <v>2414</v>
      </c>
      <c r="I739" s="50" t="s">
        <v>2415</v>
      </c>
      <c r="J739" s="48"/>
      <c r="K739" s="48"/>
    </row>
    <row r="740" ht="17.25" customHeight="1">
      <c r="A740" s="49"/>
      <c r="B740" s="49" t="s">
        <v>20</v>
      </c>
      <c r="C740" s="49" t="s">
        <v>2416</v>
      </c>
      <c r="D740" s="49" t="s">
        <v>36</v>
      </c>
      <c r="E740" s="49"/>
      <c r="F740" s="49" t="s">
        <v>2417</v>
      </c>
      <c r="G740" s="59"/>
      <c r="H740" s="50" t="s">
        <v>2418</v>
      </c>
      <c r="I740" s="50" t="s">
        <v>2419</v>
      </c>
      <c r="J740" s="48"/>
      <c r="K740" s="48"/>
      <c r="N740" s="37" t="s">
        <v>318</v>
      </c>
    </row>
    <row r="741" ht="17.25" customHeight="1">
      <c r="A741" s="49"/>
      <c r="B741" s="49" t="s">
        <v>20</v>
      </c>
      <c r="C741" s="49" t="s">
        <v>2420</v>
      </c>
      <c r="D741" s="49" t="s">
        <v>36</v>
      </c>
      <c r="E741" s="49"/>
      <c r="F741" s="49" t="s">
        <v>2421</v>
      </c>
      <c r="G741" s="59"/>
      <c r="H741" s="50" t="s">
        <v>2422</v>
      </c>
      <c r="I741" s="50" t="s">
        <v>2423</v>
      </c>
      <c r="J741" s="48"/>
      <c r="K741" s="48"/>
      <c r="N741" s="37" t="s">
        <v>318</v>
      </c>
    </row>
    <row r="742" ht="17.25" customHeight="1">
      <c r="A742" s="49"/>
      <c r="B742" s="49" t="s">
        <v>20</v>
      </c>
      <c r="C742" s="49" t="s">
        <v>2424</v>
      </c>
      <c r="D742" s="49" t="s">
        <v>36</v>
      </c>
      <c r="E742" s="49"/>
      <c r="F742" s="49" t="s">
        <v>2425</v>
      </c>
      <c r="G742" s="59"/>
      <c r="H742" s="50" t="s">
        <v>2426</v>
      </c>
      <c r="I742" s="50" t="s">
        <v>2427</v>
      </c>
      <c r="J742" s="48"/>
      <c r="K742" s="48"/>
      <c r="N742" s="37" t="s">
        <v>318</v>
      </c>
    </row>
    <row r="743" ht="17.25" customHeight="1">
      <c r="A743" s="49"/>
      <c r="B743" s="49" t="s">
        <v>20</v>
      </c>
      <c r="C743" s="49" t="s">
        <v>2428</v>
      </c>
      <c r="D743" s="49" t="s">
        <v>36</v>
      </c>
      <c r="E743" s="49"/>
      <c r="F743" s="49"/>
      <c r="G743" s="59"/>
      <c r="H743" s="50" t="s">
        <v>2429</v>
      </c>
      <c r="I743" s="50" t="s">
        <v>2430</v>
      </c>
      <c r="J743" s="48"/>
      <c r="K743" s="48"/>
    </row>
    <row r="744" ht="17.25" customHeight="1">
      <c r="A744" s="49"/>
      <c r="B744" s="49" t="s">
        <v>20</v>
      </c>
      <c r="C744" s="49" t="s">
        <v>1262</v>
      </c>
      <c r="D744" s="49" t="s">
        <v>36</v>
      </c>
      <c r="E744" s="49"/>
      <c r="F744" s="49" t="s">
        <v>2106</v>
      </c>
      <c r="G744" s="59"/>
      <c r="H744" s="50" t="s">
        <v>2431</v>
      </c>
      <c r="I744" s="50" t="s">
        <v>2432</v>
      </c>
      <c r="J744" s="48"/>
      <c r="K744" s="48"/>
    </row>
    <row r="745" ht="17.25" customHeight="1">
      <c r="A745" s="49"/>
      <c r="B745" s="49" t="s">
        <v>20</v>
      </c>
      <c r="C745" s="49" t="s">
        <v>1298</v>
      </c>
      <c r="D745" s="49" t="s">
        <v>36</v>
      </c>
      <c r="E745" s="49"/>
      <c r="F745" s="49" t="s">
        <v>2433</v>
      </c>
      <c r="G745" s="59"/>
      <c r="H745" s="50" t="s">
        <v>2434</v>
      </c>
      <c r="I745" s="50" t="s">
        <v>2435</v>
      </c>
      <c r="J745" s="48"/>
      <c r="K745" s="48"/>
    </row>
    <row r="746" ht="17.25" customHeight="1">
      <c r="A746" s="49"/>
      <c r="B746" s="49" t="s">
        <v>20</v>
      </c>
      <c r="C746" s="49" t="s">
        <v>2436</v>
      </c>
      <c r="D746" s="49" t="s">
        <v>36</v>
      </c>
      <c r="E746" s="49"/>
      <c r="F746" s="49"/>
      <c r="G746" s="59"/>
      <c r="H746" s="50" t="s">
        <v>2437</v>
      </c>
      <c r="I746" s="50" t="s">
        <v>2438</v>
      </c>
      <c r="J746" s="48"/>
      <c r="K746" s="48"/>
    </row>
    <row r="747" ht="17.25" customHeight="1">
      <c r="A747" s="49"/>
      <c r="B747" s="49" t="s">
        <v>20</v>
      </c>
      <c r="C747" s="49" t="s">
        <v>2439</v>
      </c>
      <c r="D747" s="49" t="s">
        <v>36</v>
      </c>
      <c r="E747" s="49"/>
      <c r="F747" s="49" t="s">
        <v>2440</v>
      </c>
      <c r="G747" s="59"/>
      <c r="H747" s="50" t="s">
        <v>2441</v>
      </c>
      <c r="I747" s="50" t="s">
        <v>2442</v>
      </c>
      <c r="J747" s="59"/>
      <c r="K747" s="48"/>
      <c r="L747" s="37"/>
    </row>
    <row r="748" ht="17.25" customHeight="1">
      <c r="A748" s="49"/>
      <c r="B748" s="49" t="s">
        <v>20</v>
      </c>
      <c r="C748" s="49" t="s">
        <v>2443</v>
      </c>
      <c r="D748" s="49" t="s">
        <v>36</v>
      </c>
      <c r="E748" s="49"/>
      <c r="F748" s="49"/>
      <c r="G748" s="59"/>
      <c r="H748" s="50" t="s">
        <v>2444</v>
      </c>
      <c r="I748" s="55" t="s">
        <v>2445</v>
      </c>
      <c r="J748" s="48"/>
      <c r="K748" s="48"/>
    </row>
    <row r="749" ht="17.25" customHeight="1">
      <c r="A749" s="49"/>
      <c r="B749" s="49" t="s">
        <v>20</v>
      </c>
      <c r="C749" s="49" t="s">
        <v>1239</v>
      </c>
      <c r="D749" s="49" t="s">
        <v>36</v>
      </c>
      <c r="E749" s="49"/>
      <c r="F749" s="49"/>
      <c r="G749" s="59"/>
      <c r="H749" s="50" t="s">
        <v>2446</v>
      </c>
      <c r="I749" s="50" t="s">
        <v>2447</v>
      </c>
      <c r="J749" s="48"/>
      <c r="K749" s="48"/>
    </row>
    <row r="750" ht="17.25" customHeight="1">
      <c r="A750" s="49"/>
      <c r="B750" s="49" t="s">
        <v>20</v>
      </c>
      <c r="C750" s="49" t="s">
        <v>2448</v>
      </c>
      <c r="D750" s="49" t="s">
        <v>36</v>
      </c>
      <c r="E750" s="49"/>
      <c r="F750" s="49"/>
      <c r="G750" s="59"/>
      <c r="H750" s="50" t="s">
        <v>2449</v>
      </c>
      <c r="I750" s="50" t="s">
        <v>2450</v>
      </c>
      <c r="J750" s="48"/>
      <c r="K750" s="48"/>
    </row>
    <row r="751" ht="17.25" customHeight="1">
      <c r="A751" s="49"/>
      <c r="B751" s="49" t="s">
        <v>20</v>
      </c>
      <c r="C751" s="49" t="s">
        <v>2451</v>
      </c>
      <c r="D751" s="49" t="s">
        <v>36</v>
      </c>
      <c r="E751" s="49"/>
      <c r="F751" s="49"/>
      <c r="G751" s="59"/>
      <c r="H751" s="50" t="s">
        <v>2452</v>
      </c>
      <c r="I751" s="50" t="s">
        <v>2453</v>
      </c>
      <c r="J751" s="48"/>
      <c r="K751" s="48"/>
    </row>
    <row r="752" ht="17.25" customHeight="1">
      <c r="A752" s="49"/>
      <c r="B752" s="49" t="s">
        <v>20</v>
      </c>
      <c r="C752" s="49" t="s">
        <v>2454</v>
      </c>
      <c r="D752" s="49" t="s">
        <v>36</v>
      </c>
      <c r="E752" s="49"/>
      <c r="F752" s="49"/>
      <c r="G752" s="59"/>
      <c r="H752" s="50" t="s">
        <v>2455</v>
      </c>
      <c r="I752" s="50" t="s">
        <v>2456</v>
      </c>
      <c r="J752" s="48"/>
      <c r="K752" s="48"/>
    </row>
    <row r="753" ht="17.25" customHeight="1">
      <c r="A753" s="49"/>
      <c r="B753" s="49" t="s">
        <v>20</v>
      </c>
      <c r="C753" s="49" t="s">
        <v>2457</v>
      </c>
      <c r="D753" s="49" t="s">
        <v>36</v>
      </c>
      <c r="E753" s="49"/>
      <c r="F753" s="49" t="s">
        <v>519</v>
      </c>
      <c r="G753" s="59"/>
      <c r="H753" s="50" t="s">
        <v>2458</v>
      </c>
      <c r="I753" s="50" t="s">
        <v>2459</v>
      </c>
      <c r="J753" s="48"/>
      <c r="K753" s="48"/>
    </row>
    <row r="754" ht="17.25" customHeight="1">
      <c r="A754" s="49"/>
      <c r="B754" s="49" t="s">
        <v>20</v>
      </c>
      <c r="C754" s="49" t="s">
        <v>2460</v>
      </c>
      <c r="D754" s="49" t="s">
        <v>36</v>
      </c>
      <c r="E754" s="49"/>
      <c r="F754" s="49" t="s">
        <v>2461</v>
      </c>
      <c r="G754" s="59"/>
      <c r="H754" s="50" t="s">
        <v>2462</v>
      </c>
      <c r="I754" s="50" t="s">
        <v>2463</v>
      </c>
      <c r="J754" s="48"/>
      <c r="K754" s="48"/>
    </row>
    <row r="755" ht="17.25" customHeight="1">
      <c r="A755" s="49"/>
      <c r="B755" s="49" t="s">
        <v>20</v>
      </c>
      <c r="C755" s="49" t="s">
        <v>2018</v>
      </c>
      <c r="D755" s="49" t="s">
        <v>36</v>
      </c>
      <c r="E755" s="49"/>
      <c r="F755" s="49" t="s">
        <v>447</v>
      </c>
      <c r="G755" s="59"/>
      <c r="H755" s="50" t="s">
        <v>2464</v>
      </c>
      <c r="I755" s="50" t="s">
        <v>2465</v>
      </c>
      <c r="J755" s="48"/>
      <c r="K755" s="48"/>
    </row>
    <row r="756" ht="17.25" customHeight="1">
      <c r="A756" s="49"/>
      <c r="B756" s="49" t="s">
        <v>20</v>
      </c>
      <c r="C756" s="49" t="s">
        <v>2466</v>
      </c>
      <c r="D756" s="49" t="s">
        <v>36</v>
      </c>
      <c r="E756" s="49"/>
      <c r="F756" s="49" t="s">
        <v>652</v>
      </c>
      <c r="G756" s="59"/>
      <c r="H756" s="50" t="s">
        <v>2467</v>
      </c>
      <c r="I756" s="50" t="s">
        <v>2468</v>
      </c>
      <c r="J756" s="48"/>
      <c r="K756" s="48"/>
    </row>
    <row r="757" ht="17.25" customHeight="1">
      <c r="A757" s="49"/>
      <c r="B757" s="49" t="s">
        <v>20</v>
      </c>
      <c r="C757" s="49" t="s">
        <v>2469</v>
      </c>
      <c r="D757" s="49" t="s">
        <v>36</v>
      </c>
      <c r="E757" s="49"/>
      <c r="F757" s="49"/>
      <c r="G757" s="59"/>
      <c r="H757" s="50" t="s">
        <v>2470</v>
      </c>
      <c r="I757" s="50" t="s">
        <v>2471</v>
      </c>
      <c r="J757" s="48"/>
      <c r="K757" s="48"/>
    </row>
    <row r="758" ht="17.25" customHeight="1">
      <c r="A758" s="49"/>
      <c r="B758" s="49" t="s">
        <v>20</v>
      </c>
      <c r="C758" s="49" t="s">
        <v>2472</v>
      </c>
      <c r="D758" s="49" t="s">
        <v>36</v>
      </c>
      <c r="E758" s="49"/>
      <c r="F758" s="49" t="s">
        <v>2473</v>
      </c>
      <c r="G758" s="59"/>
      <c r="H758" s="50" t="s">
        <v>2474</v>
      </c>
      <c r="I758" s="50" t="s">
        <v>2475</v>
      </c>
      <c r="J758" s="48"/>
      <c r="K758" s="48"/>
    </row>
    <row r="759" ht="17.25" customHeight="1">
      <c r="A759" s="49"/>
      <c r="B759" s="49" t="s">
        <v>20</v>
      </c>
      <c r="C759" s="49" t="s">
        <v>634</v>
      </c>
      <c r="D759" s="49" t="s">
        <v>36</v>
      </c>
      <c r="E759" s="49"/>
      <c r="F759" s="49" t="s">
        <v>504</v>
      </c>
      <c r="G759" s="59"/>
      <c r="H759" s="50" t="s">
        <v>2476</v>
      </c>
      <c r="I759" s="50" t="s">
        <v>2477</v>
      </c>
      <c r="J759" s="48"/>
      <c r="K759" s="48"/>
    </row>
    <row r="760" ht="17.25" customHeight="1">
      <c r="A760" s="49"/>
      <c r="B760" s="49" t="s">
        <v>20</v>
      </c>
      <c r="C760" s="49" t="s">
        <v>2478</v>
      </c>
      <c r="D760" s="49" t="s">
        <v>36</v>
      </c>
      <c r="E760" s="49"/>
      <c r="F760" s="49" t="s">
        <v>2479</v>
      </c>
      <c r="G760" s="59"/>
      <c r="H760" s="50" t="s">
        <v>2480</v>
      </c>
      <c r="I760" s="50" t="s">
        <v>2481</v>
      </c>
      <c r="J760" s="48"/>
      <c r="K760" s="48"/>
    </row>
    <row r="761" ht="17.25" customHeight="1">
      <c r="A761" s="49"/>
      <c r="B761" s="49" t="s">
        <v>20</v>
      </c>
      <c r="C761" s="49" t="s">
        <v>2460</v>
      </c>
      <c r="D761" s="49" t="s">
        <v>36</v>
      </c>
      <c r="E761" s="49"/>
      <c r="F761" s="49" t="s">
        <v>2482</v>
      </c>
      <c r="G761" s="59"/>
      <c r="H761" s="50" t="s">
        <v>2483</v>
      </c>
      <c r="I761" s="50" t="s">
        <v>2484</v>
      </c>
      <c r="J761" s="48"/>
      <c r="K761" s="48"/>
    </row>
    <row r="762" ht="17.25" customHeight="1">
      <c r="A762" s="49"/>
      <c r="B762" s="49" t="s">
        <v>20</v>
      </c>
      <c r="C762" s="49" t="s">
        <v>2485</v>
      </c>
      <c r="D762" s="49" t="s">
        <v>36</v>
      </c>
      <c r="E762" s="49"/>
      <c r="F762" s="49" t="s">
        <v>447</v>
      </c>
      <c r="G762" s="59"/>
      <c r="H762" s="50" t="s">
        <v>2486</v>
      </c>
      <c r="I762" s="50" t="s">
        <v>2487</v>
      </c>
      <c r="J762" s="48"/>
      <c r="K762" s="48"/>
    </row>
    <row r="763" ht="17.25" customHeight="1">
      <c r="A763" s="49"/>
      <c r="B763" s="49" t="s">
        <v>20</v>
      </c>
      <c r="C763" s="49" t="s">
        <v>2488</v>
      </c>
      <c r="D763" s="49" t="s">
        <v>36</v>
      </c>
      <c r="E763" s="49"/>
      <c r="F763" s="49" t="s">
        <v>2489</v>
      </c>
      <c r="G763" s="59"/>
      <c r="H763" s="50" t="s">
        <v>2490</v>
      </c>
      <c r="I763" s="50" t="s">
        <v>2491</v>
      </c>
      <c r="J763" s="48"/>
      <c r="K763" s="48"/>
    </row>
    <row r="764" ht="17.25" customHeight="1">
      <c r="A764" s="49"/>
      <c r="B764" s="49" t="s">
        <v>20</v>
      </c>
      <c r="C764" s="49" t="s">
        <v>2492</v>
      </c>
      <c r="D764" s="49" t="s">
        <v>36</v>
      </c>
      <c r="E764" s="49"/>
      <c r="F764" s="49" t="s">
        <v>2493</v>
      </c>
      <c r="G764" s="59"/>
      <c r="H764" s="50" t="s">
        <v>2494</v>
      </c>
      <c r="I764" s="50" t="s">
        <v>2495</v>
      </c>
      <c r="J764" s="48"/>
      <c r="K764" s="48"/>
    </row>
    <row r="765" ht="17.25" customHeight="1">
      <c r="A765" s="49"/>
      <c r="B765" s="49" t="s">
        <v>20</v>
      </c>
      <c r="C765" s="49" t="s">
        <v>2496</v>
      </c>
      <c r="D765" s="49" t="s">
        <v>36</v>
      </c>
      <c r="E765" s="49"/>
      <c r="F765" s="49" t="s">
        <v>2497</v>
      </c>
      <c r="G765" s="59"/>
      <c r="H765" s="50" t="s">
        <v>2498</v>
      </c>
      <c r="I765" s="50" t="s">
        <v>2499</v>
      </c>
      <c r="J765" s="48"/>
      <c r="K765" s="48"/>
    </row>
    <row r="766" ht="17.25" customHeight="1">
      <c r="A766" s="49"/>
      <c r="B766" s="49" t="s">
        <v>20</v>
      </c>
      <c r="C766" s="49" t="s">
        <v>2500</v>
      </c>
      <c r="D766" s="49" t="s">
        <v>36</v>
      </c>
      <c r="E766" s="49"/>
      <c r="F766" s="49"/>
      <c r="G766" s="59"/>
      <c r="H766" s="50" t="s">
        <v>2501</v>
      </c>
      <c r="I766" s="50" t="s">
        <v>2502</v>
      </c>
      <c r="J766" s="48"/>
      <c r="K766" s="48"/>
    </row>
    <row r="767" ht="17.25" customHeight="1">
      <c r="A767" s="49"/>
      <c r="B767" s="49" t="s">
        <v>20</v>
      </c>
      <c r="C767" s="49" t="s">
        <v>2503</v>
      </c>
      <c r="D767" s="49" t="s">
        <v>36</v>
      </c>
      <c r="E767" s="49"/>
      <c r="F767" s="49"/>
      <c r="G767" s="59"/>
      <c r="H767" s="50" t="s">
        <v>2504</v>
      </c>
      <c r="I767" s="50" t="s">
        <v>2505</v>
      </c>
      <c r="J767" s="48"/>
      <c r="K767" s="48"/>
    </row>
    <row r="768" ht="17.25" customHeight="1">
      <c r="A768" s="49"/>
      <c r="B768" s="49" t="s">
        <v>20</v>
      </c>
      <c r="C768" s="49" t="s">
        <v>2506</v>
      </c>
      <c r="D768" s="49" t="s">
        <v>36</v>
      </c>
      <c r="E768" s="49"/>
      <c r="F768" s="49"/>
      <c r="G768" s="59"/>
      <c r="H768" s="50" t="s">
        <v>2507</v>
      </c>
      <c r="I768" s="50" t="s">
        <v>2508</v>
      </c>
      <c r="J768" s="48"/>
      <c r="K768" s="48"/>
    </row>
    <row r="769" ht="17.25" customHeight="1">
      <c r="A769" s="49"/>
      <c r="B769" s="49" t="s">
        <v>20</v>
      </c>
      <c r="C769" s="49" t="s">
        <v>2509</v>
      </c>
      <c r="D769" s="49" t="s">
        <v>36</v>
      </c>
      <c r="E769" s="49"/>
      <c r="F769" s="49"/>
      <c r="G769" s="59"/>
      <c r="H769" s="50" t="s">
        <v>2510</v>
      </c>
      <c r="I769" s="50" t="s">
        <v>2511</v>
      </c>
      <c r="J769" s="48"/>
      <c r="K769" s="48"/>
    </row>
    <row r="770" ht="17.25" customHeight="1">
      <c r="A770" s="49"/>
      <c r="B770" s="49" t="s">
        <v>20</v>
      </c>
      <c r="C770" s="49" t="s">
        <v>2512</v>
      </c>
      <c r="D770" s="49" t="s">
        <v>36</v>
      </c>
      <c r="E770" s="49"/>
      <c r="F770" s="49"/>
      <c r="G770" s="59"/>
      <c r="H770" s="50" t="s">
        <v>2513</v>
      </c>
      <c r="I770" s="50" t="s">
        <v>2514</v>
      </c>
      <c r="J770" s="48"/>
      <c r="K770" s="48"/>
    </row>
    <row r="771" ht="17.25" customHeight="1">
      <c r="A771" s="49"/>
      <c r="B771" s="49" t="s">
        <v>20</v>
      </c>
      <c r="C771" s="49" t="s">
        <v>2515</v>
      </c>
      <c r="D771" s="49" t="s">
        <v>36</v>
      </c>
      <c r="E771" s="49"/>
      <c r="F771" s="49"/>
      <c r="G771" s="59"/>
      <c r="H771" s="50" t="s">
        <v>2516</v>
      </c>
      <c r="I771" s="50" t="s">
        <v>2517</v>
      </c>
      <c r="J771" s="48"/>
      <c r="K771" s="48"/>
    </row>
    <row r="772" ht="17.25" customHeight="1">
      <c r="A772" s="49"/>
      <c r="B772" s="49" t="s">
        <v>20</v>
      </c>
      <c r="C772" s="49" t="s">
        <v>2518</v>
      </c>
      <c r="D772" s="49" t="s">
        <v>36</v>
      </c>
      <c r="E772" s="49"/>
      <c r="F772" s="49" t="s">
        <v>2519</v>
      </c>
      <c r="G772" s="59"/>
      <c r="H772" s="50" t="s">
        <v>2520</v>
      </c>
      <c r="I772" s="50" t="s">
        <v>2521</v>
      </c>
      <c r="J772" s="48"/>
      <c r="K772" s="48"/>
    </row>
    <row r="773" ht="17.25" customHeight="1">
      <c r="A773" s="49"/>
      <c r="B773" s="49" t="s">
        <v>20</v>
      </c>
      <c r="C773" s="49" t="s">
        <v>2522</v>
      </c>
      <c r="D773" s="49" t="s">
        <v>36</v>
      </c>
      <c r="E773" s="49"/>
      <c r="F773" s="49"/>
      <c r="G773" s="59"/>
      <c r="H773" s="50" t="s">
        <v>2523</v>
      </c>
      <c r="I773" s="55" t="s">
        <v>2524</v>
      </c>
      <c r="J773" s="48"/>
      <c r="K773" s="48"/>
    </row>
    <row r="774" ht="17.25" customHeight="1">
      <c r="A774" s="49"/>
      <c r="B774" s="49" t="s">
        <v>20</v>
      </c>
      <c r="C774" s="49" t="s">
        <v>2525</v>
      </c>
      <c r="D774" s="49" t="s">
        <v>36</v>
      </c>
      <c r="E774" s="49"/>
      <c r="F774" s="49"/>
      <c r="G774" s="59"/>
      <c r="H774" s="50" t="s">
        <v>2526</v>
      </c>
      <c r="I774" s="50" t="s">
        <v>2527</v>
      </c>
      <c r="J774" s="48"/>
      <c r="K774" s="48"/>
    </row>
    <row r="775" ht="17.25" customHeight="1">
      <c r="A775" s="49"/>
      <c r="B775" s="49" t="s">
        <v>20</v>
      </c>
      <c r="C775" s="49" t="s">
        <v>2528</v>
      </c>
      <c r="D775" s="49" t="s">
        <v>36</v>
      </c>
      <c r="E775" s="49"/>
      <c r="F775" s="49" t="s">
        <v>2529</v>
      </c>
      <c r="G775" s="59"/>
      <c r="H775" s="50" t="s">
        <v>2530</v>
      </c>
      <c r="I775" s="50" t="s">
        <v>2531</v>
      </c>
      <c r="J775" s="48"/>
      <c r="K775" s="48"/>
    </row>
    <row r="776" ht="17.25" customHeight="1">
      <c r="A776" s="49"/>
      <c r="B776" s="49" t="s">
        <v>20</v>
      </c>
      <c r="C776" s="49" t="s">
        <v>2532</v>
      </c>
      <c r="D776" s="49" t="s">
        <v>36</v>
      </c>
      <c r="E776" s="49"/>
      <c r="F776" s="49"/>
      <c r="G776" s="59"/>
      <c r="H776" s="50" t="s">
        <v>2533</v>
      </c>
      <c r="I776" s="50" t="s">
        <v>2534</v>
      </c>
      <c r="J776" s="48"/>
      <c r="K776" s="48"/>
    </row>
    <row r="777" ht="17.25" customHeight="1">
      <c r="A777" s="49"/>
      <c r="B777" s="49" t="s">
        <v>20</v>
      </c>
      <c r="C777" s="49" t="s">
        <v>2535</v>
      </c>
      <c r="D777" s="49" t="s">
        <v>36</v>
      </c>
      <c r="E777" s="49"/>
      <c r="F777" s="49" t="s">
        <v>2059</v>
      </c>
      <c r="G777" s="59"/>
      <c r="H777" s="50" t="s">
        <v>2536</v>
      </c>
      <c r="I777" s="50" t="s">
        <v>2537</v>
      </c>
      <c r="J777" s="48"/>
      <c r="K777" s="48"/>
    </row>
    <row r="778" ht="17.25" customHeight="1">
      <c r="A778" s="49"/>
      <c r="B778" s="49" t="s">
        <v>20</v>
      </c>
      <c r="C778" s="49" t="s">
        <v>2538</v>
      </c>
      <c r="D778" s="49" t="s">
        <v>36</v>
      </c>
      <c r="E778" s="49"/>
      <c r="F778" s="49" t="s">
        <v>2539</v>
      </c>
      <c r="G778" s="59"/>
      <c r="H778" s="50" t="s">
        <v>2540</v>
      </c>
      <c r="I778" s="50" t="s">
        <v>2541</v>
      </c>
      <c r="J778" s="48"/>
      <c r="K778" s="48"/>
    </row>
    <row r="779" ht="17.25" customHeight="1">
      <c r="A779" s="49"/>
      <c r="B779" s="49" t="s">
        <v>1206</v>
      </c>
      <c r="C779" s="49" t="s">
        <v>2542</v>
      </c>
      <c r="D779" s="49" t="s">
        <v>36</v>
      </c>
      <c r="E779" s="49"/>
      <c r="F779" s="49"/>
      <c r="G779" s="59"/>
      <c r="H779" s="50" t="s">
        <v>2543</v>
      </c>
      <c r="I779" s="55" t="s">
        <v>2544</v>
      </c>
      <c r="J779" s="48"/>
      <c r="K779" s="48"/>
    </row>
    <row r="780" ht="17.25" customHeight="1">
      <c r="A780" s="49"/>
      <c r="B780" s="49" t="s">
        <v>20</v>
      </c>
      <c r="C780" s="49" t="s">
        <v>2066</v>
      </c>
      <c r="D780" s="49" t="s">
        <v>36</v>
      </c>
      <c r="E780" s="49"/>
      <c r="F780" s="49" t="s">
        <v>2545</v>
      </c>
      <c r="G780" s="59"/>
      <c r="H780" s="50" t="s">
        <v>2546</v>
      </c>
      <c r="I780" s="50" t="s">
        <v>2546</v>
      </c>
      <c r="J780" s="48"/>
      <c r="K780" s="48"/>
      <c r="N780" s="37" t="s">
        <v>318</v>
      </c>
    </row>
    <row r="781" ht="17.25" customHeight="1">
      <c r="A781" s="49"/>
      <c r="B781" s="49" t="s">
        <v>20</v>
      </c>
      <c r="C781" s="49" t="s">
        <v>763</v>
      </c>
      <c r="D781" s="49" t="s">
        <v>36</v>
      </c>
      <c r="E781" s="49"/>
      <c r="F781" s="49" t="s">
        <v>2547</v>
      </c>
      <c r="G781" s="59"/>
      <c r="H781" s="50" t="s">
        <v>2548</v>
      </c>
      <c r="I781" s="48"/>
      <c r="J781" s="48"/>
      <c r="K781" s="48"/>
      <c r="N781" s="37" t="s">
        <v>318</v>
      </c>
    </row>
    <row r="782" ht="17.25" customHeight="1">
      <c r="A782" s="49"/>
      <c r="B782" s="49" t="s">
        <v>20</v>
      </c>
      <c r="C782" s="49" t="s">
        <v>2549</v>
      </c>
      <c r="D782" s="49" t="s">
        <v>36</v>
      </c>
      <c r="E782" s="49"/>
      <c r="F782" s="49" t="s">
        <v>2550</v>
      </c>
      <c r="G782" s="59"/>
      <c r="H782" s="50" t="s">
        <v>2551</v>
      </c>
      <c r="I782" s="48"/>
      <c r="J782" s="48"/>
      <c r="K782" s="48"/>
      <c r="N782" s="37" t="s">
        <v>318</v>
      </c>
    </row>
    <row r="783" ht="17.25" customHeight="1">
      <c r="A783" s="49"/>
      <c r="B783" s="49" t="s">
        <v>20</v>
      </c>
      <c r="C783" s="49" t="s">
        <v>2552</v>
      </c>
      <c r="D783" s="49" t="s">
        <v>36</v>
      </c>
      <c r="E783" s="49"/>
      <c r="F783" s="49" t="s">
        <v>2553</v>
      </c>
      <c r="G783" s="59"/>
      <c r="H783" s="50" t="s">
        <v>2554</v>
      </c>
      <c r="I783" s="48"/>
      <c r="J783" s="48"/>
      <c r="K783" s="48"/>
      <c r="N783" s="37" t="s">
        <v>318</v>
      </c>
    </row>
    <row r="784" ht="17.25" customHeight="1">
      <c r="A784" s="49"/>
      <c r="B784" s="49" t="s">
        <v>20</v>
      </c>
      <c r="C784" s="49" t="s">
        <v>2555</v>
      </c>
      <c r="D784" s="49" t="s">
        <v>36</v>
      </c>
      <c r="E784" s="49"/>
      <c r="F784" s="49" t="s">
        <v>2556</v>
      </c>
      <c r="G784" s="59"/>
      <c r="H784" s="50" t="s">
        <v>2557</v>
      </c>
      <c r="I784" s="48"/>
      <c r="J784" s="48"/>
      <c r="K784" s="48"/>
    </row>
    <row r="785" ht="17.25" customHeight="1">
      <c r="A785" s="49"/>
      <c r="B785" s="49" t="s">
        <v>20</v>
      </c>
      <c r="C785" s="49" t="s">
        <v>2558</v>
      </c>
      <c r="D785" s="49" t="s">
        <v>36</v>
      </c>
      <c r="E785" s="49"/>
      <c r="F785" s="49" t="s">
        <v>2417</v>
      </c>
      <c r="G785" s="59"/>
      <c r="H785" s="50" t="s">
        <v>2559</v>
      </c>
      <c r="I785" s="48"/>
      <c r="J785" s="48"/>
      <c r="K785" s="48"/>
    </row>
    <row r="786" ht="17.25" customHeight="1">
      <c r="A786" s="49"/>
      <c r="B786" s="49" t="s">
        <v>20</v>
      </c>
      <c r="C786" s="49" t="s">
        <v>2560</v>
      </c>
      <c r="D786" s="49" t="s">
        <v>36</v>
      </c>
      <c r="E786" s="49"/>
      <c r="F786" s="49" t="s">
        <v>504</v>
      </c>
      <c r="G786" s="59"/>
      <c r="H786" s="50" t="s">
        <v>2561</v>
      </c>
      <c r="I786" s="48"/>
      <c r="J786" s="48"/>
      <c r="K786" s="48"/>
      <c r="L786" s="12" t="s">
        <v>2562</v>
      </c>
    </row>
    <row r="787" ht="17.25" customHeight="1">
      <c r="A787" s="49"/>
      <c r="B787" s="49" t="s">
        <v>20</v>
      </c>
      <c r="C787" s="49" t="s">
        <v>2563</v>
      </c>
      <c r="D787" s="49" t="s">
        <v>36</v>
      </c>
      <c r="E787" s="49"/>
      <c r="F787" s="49" t="s">
        <v>1571</v>
      </c>
      <c r="G787" s="59"/>
      <c r="H787" s="50" t="s">
        <v>2564</v>
      </c>
      <c r="I787" s="48"/>
      <c r="J787" s="48"/>
      <c r="K787" s="48"/>
    </row>
    <row r="788" ht="17.25" customHeight="1">
      <c r="A788" s="49"/>
      <c r="B788" s="49" t="s">
        <v>20</v>
      </c>
      <c r="C788" s="49" t="s">
        <v>2565</v>
      </c>
      <c r="D788" s="49" t="s">
        <v>36</v>
      </c>
      <c r="E788" s="49"/>
      <c r="F788" s="49"/>
      <c r="G788" s="59"/>
      <c r="H788" s="50" t="s">
        <v>2566</v>
      </c>
      <c r="I788" s="48"/>
      <c r="J788" s="48"/>
      <c r="K788" s="48"/>
    </row>
    <row r="789" ht="17.25" customHeight="1">
      <c r="A789" s="49"/>
      <c r="B789" s="49" t="s">
        <v>20</v>
      </c>
      <c r="C789" s="49" t="s">
        <v>1342</v>
      </c>
      <c r="D789" s="49" t="s">
        <v>36</v>
      </c>
      <c r="E789" s="49"/>
      <c r="F789" s="49" t="s">
        <v>2332</v>
      </c>
      <c r="G789" s="59"/>
      <c r="H789" s="50" t="s">
        <v>2567</v>
      </c>
      <c r="I789" s="48"/>
      <c r="J789" s="48"/>
      <c r="K789" s="48"/>
    </row>
    <row r="790" ht="17.25" customHeight="1">
      <c r="A790" s="49"/>
      <c r="B790" s="49" t="s">
        <v>20</v>
      </c>
      <c r="C790" s="49" t="s">
        <v>1342</v>
      </c>
      <c r="D790" s="49" t="s">
        <v>36</v>
      </c>
      <c r="E790" s="49"/>
      <c r="F790" s="49" t="s">
        <v>447</v>
      </c>
      <c r="G790" s="59"/>
      <c r="H790" s="50" t="s">
        <v>2568</v>
      </c>
      <c r="I790" s="48"/>
      <c r="J790" s="48"/>
      <c r="K790" s="48"/>
    </row>
    <row r="791" ht="17.25" customHeight="1">
      <c r="A791" s="49"/>
      <c r="B791" s="49" t="s">
        <v>20</v>
      </c>
      <c r="C791" s="49" t="s">
        <v>2569</v>
      </c>
      <c r="D791" s="49" t="s">
        <v>36</v>
      </c>
      <c r="E791" s="49"/>
      <c r="F791" s="49" t="s">
        <v>2570</v>
      </c>
      <c r="G791" s="59"/>
      <c r="H791" s="50" t="s">
        <v>2571</v>
      </c>
      <c r="I791" s="48"/>
      <c r="J791" s="48"/>
      <c r="K791" s="48"/>
    </row>
    <row r="792" ht="17.25" customHeight="1">
      <c r="A792" s="49"/>
      <c r="B792" s="49" t="s">
        <v>20</v>
      </c>
      <c r="C792" s="49" t="s">
        <v>2572</v>
      </c>
      <c r="D792" s="49" t="s">
        <v>36</v>
      </c>
      <c r="E792" s="49"/>
      <c r="F792" s="49" t="s">
        <v>2573</v>
      </c>
      <c r="G792" s="59"/>
      <c r="H792" s="50" t="s">
        <v>2574</v>
      </c>
      <c r="I792" s="48"/>
      <c r="J792" s="48"/>
      <c r="K792" s="48"/>
    </row>
    <row r="793" ht="17.25" customHeight="1">
      <c r="A793" s="49"/>
      <c r="B793" s="49" t="s">
        <v>102</v>
      </c>
      <c r="C793" s="49" t="s">
        <v>707</v>
      </c>
      <c r="D793" s="49" t="s">
        <v>36</v>
      </c>
      <c r="E793" s="49"/>
      <c r="F793" s="49" t="s">
        <v>2575</v>
      </c>
      <c r="G793" s="59"/>
      <c r="H793" s="50" t="s">
        <v>2576</v>
      </c>
      <c r="I793" s="48"/>
      <c r="J793" s="48"/>
      <c r="K793" s="48"/>
    </row>
    <row r="794" ht="17.25" customHeight="1">
      <c r="A794" s="49"/>
      <c r="B794" s="49" t="s">
        <v>20</v>
      </c>
      <c r="C794" s="49" t="s">
        <v>2577</v>
      </c>
      <c r="D794" s="49" t="s">
        <v>36</v>
      </c>
      <c r="E794" s="49"/>
      <c r="F794" s="49"/>
      <c r="G794" s="59"/>
      <c r="H794" s="50" t="s">
        <v>2578</v>
      </c>
      <c r="I794" s="48"/>
      <c r="J794" s="48"/>
      <c r="K794" s="48"/>
      <c r="N794" s="37" t="s">
        <v>318</v>
      </c>
    </row>
    <row r="795" ht="17.25" customHeight="1">
      <c r="A795" s="49"/>
      <c r="B795" s="49" t="s">
        <v>20</v>
      </c>
      <c r="C795" s="49" t="s">
        <v>2579</v>
      </c>
      <c r="D795" s="49" t="s">
        <v>36</v>
      </c>
      <c r="E795" s="49"/>
      <c r="F795" s="49" t="s">
        <v>2580</v>
      </c>
      <c r="G795" s="59"/>
      <c r="H795" s="50" t="s">
        <v>2581</v>
      </c>
      <c r="I795" s="48"/>
      <c r="J795" s="48"/>
      <c r="K795" s="48"/>
    </row>
    <row r="796" ht="17.25" customHeight="1">
      <c r="A796" s="49"/>
      <c r="B796" s="49" t="s">
        <v>20</v>
      </c>
      <c r="C796" s="49" t="s">
        <v>2582</v>
      </c>
      <c r="D796" s="49" t="s">
        <v>36</v>
      </c>
      <c r="E796" s="49"/>
      <c r="F796" s="49"/>
      <c r="G796" s="59"/>
      <c r="H796" s="50" t="s">
        <v>2583</v>
      </c>
      <c r="I796" s="65"/>
      <c r="J796" s="48"/>
      <c r="K796" s="48"/>
    </row>
    <row r="797" ht="17.25" customHeight="1">
      <c r="A797" s="23"/>
      <c r="B797" s="49" t="s">
        <v>20</v>
      </c>
      <c r="C797" s="49" t="s">
        <v>2584</v>
      </c>
      <c r="D797" s="49" t="s">
        <v>36</v>
      </c>
      <c r="E797" s="49"/>
      <c r="F797" s="49" t="s">
        <v>2585</v>
      </c>
      <c r="G797" s="59"/>
      <c r="H797" s="50" t="s">
        <v>2586</v>
      </c>
      <c r="I797" s="48"/>
      <c r="J797" s="48"/>
      <c r="K797" s="48"/>
    </row>
    <row r="798" ht="17.25" customHeight="1">
      <c r="A798" s="23"/>
      <c r="B798" s="49" t="s">
        <v>20</v>
      </c>
      <c r="C798" s="49" t="s">
        <v>2587</v>
      </c>
      <c r="D798" s="49" t="s">
        <v>36</v>
      </c>
      <c r="E798" s="49"/>
      <c r="F798" s="49"/>
      <c r="G798" s="59"/>
      <c r="H798" s="50" t="s">
        <v>2588</v>
      </c>
      <c r="I798" s="48"/>
      <c r="J798" s="48"/>
      <c r="K798" s="48"/>
    </row>
    <row r="799" ht="17.25" customHeight="1">
      <c r="A799" s="49"/>
      <c r="B799" s="49" t="s">
        <v>20</v>
      </c>
      <c r="C799" s="49" t="s">
        <v>2589</v>
      </c>
      <c r="D799" s="49" t="s">
        <v>36</v>
      </c>
      <c r="E799" s="49"/>
      <c r="F799" s="49"/>
      <c r="G799" s="59"/>
      <c r="H799" s="50" t="s">
        <v>2590</v>
      </c>
      <c r="I799" s="48"/>
      <c r="J799" s="48"/>
      <c r="K799" s="48"/>
    </row>
    <row r="800" ht="17.25" customHeight="1">
      <c r="A800" s="49"/>
      <c r="B800" s="49" t="s">
        <v>20</v>
      </c>
      <c r="C800" s="49" t="s">
        <v>2591</v>
      </c>
      <c r="D800" s="49" t="s">
        <v>36</v>
      </c>
      <c r="E800" s="49"/>
      <c r="F800" s="49" t="s">
        <v>2556</v>
      </c>
      <c r="G800" s="59"/>
      <c r="H800" s="50" t="s">
        <v>2592</v>
      </c>
      <c r="I800" s="48"/>
      <c r="J800" s="48"/>
      <c r="K800" s="48"/>
    </row>
    <row r="801" ht="17.25" customHeight="1">
      <c r="A801" s="23"/>
      <c r="B801" s="49" t="s">
        <v>20</v>
      </c>
      <c r="C801" s="23" t="s">
        <v>2206</v>
      </c>
      <c r="D801" s="49" t="s">
        <v>36</v>
      </c>
      <c r="E801" s="49"/>
      <c r="F801" s="49"/>
      <c r="G801" s="59"/>
      <c r="H801" s="50" t="s">
        <v>2593</v>
      </c>
      <c r="I801" s="48"/>
      <c r="J801" s="48"/>
      <c r="K801" s="48"/>
    </row>
    <row r="802" ht="17.25" customHeight="1">
      <c r="A802" s="23"/>
      <c r="B802" s="49" t="s">
        <v>20</v>
      </c>
      <c r="C802" s="23" t="s">
        <v>2594</v>
      </c>
      <c r="D802" s="49" t="s">
        <v>36</v>
      </c>
      <c r="E802" s="49"/>
      <c r="F802" s="49" t="s">
        <v>2595</v>
      </c>
      <c r="G802" s="59"/>
      <c r="H802" s="50" t="s">
        <v>2596</v>
      </c>
      <c r="I802" s="48"/>
      <c r="J802" s="48"/>
      <c r="K802" s="48"/>
    </row>
    <row r="803" ht="17.25" customHeight="1">
      <c r="A803" s="49"/>
      <c r="B803" s="49" t="s">
        <v>20</v>
      </c>
      <c r="C803" s="49" t="s">
        <v>2597</v>
      </c>
      <c r="D803" s="49" t="s">
        <v>36</v>
      </c>
      <c r="E803" s="49"/>
      <c r="F803" s="49"/>
      <c r="G803" s="59"/>
      <c r="H803" s="50" t="s">
        <v>2598</v>
      </c>
      <c r="I803" s="48"/>
      <c r="J803" s="48"/>
      <c r="K803" s="48"/>
    </row>
    <row r="804" ht="17.25" customHeight="1">
      <c r="A804" s="49"/>
      <c r="B804" s="49" t="s">
        <v>20</v>
      </c>
      <c r="C804" s="49" t="s">
        <v>2599</v>
      </c>
      <c r="D804" s="49" t="s">
        <v>36</v>
      </c>
      <c r="E804" s="49"/>
      <c r="F804" s="49"/>
      <c r="G804" s="59"/>
      <c r="H804" s="50" t="s">
        <v>2600</v>
      </c>
      <c r="I804" s="48"/>
      <c r="J804" s="48"/>
      <c r="K804" s="48"/>
    </row>
    <row r="805" ht="17.25" customHeight="1">
      <c r="A805" s="49"/>
      <c r="B805" s="49" t="s">
        <v>20</v>
      </c>
      <c r="C805" s="49" t="s">
        <v>2601</v>
      </c>
      <c r="D805" s="49" t="s">
        <v>36</v>
      </c>
      <c r="E805" s="49"/>
      <c r="F805" s="49" t="s">
        <v>2602</v>
      </c>
      <c r="G805" s="59"/>
      <c r="H805" s="50" t="s">
        <v>2603</v>
      </c>
      <c r="I805" s="48"/>
      <c r="J805" s="24"/>
      <c r="K805" s="48"/>
    </row>
    <row r="806" ht="17.25" customHeight="1">
      <c r="A806" s="49"/>
      <c r="B806" s="49" t="s">
        <v>20</v>
      </c>
      <c r="C806" s="49" t="s">
        <v>2604</v>
      </c>
      <c r="D806" s="49" t="s">
        <v>36</v>
      </c>
      <c r="E806" s="49"/>
      <c r="F806" s="49"/>
      <c r="G806" s="59"/>
      <c r="H806" s="50" t="s">
        <v>2605</v>
      </c>
      <c r="I806" s="48"/>
      <c r="J806" s="48"/>
      <c r="K806" s="48"/>
      <c r="L806" s="12" t="s">
        <v>2606</v>
      </c>
    </row>
    <row r="807" ht="17.25" customHeight="1">
      <c r="A807" s="49"/>
      <c r="B807" s="49" t="s">
        <v>1597</v>
      </c>
      <c r="C807" s="49" t="s">
        <v>847</v>
      </c>
      <c r="D807" s="49" t="s">
        <v>36</v>
      </c>
      <c r="E807" s="48"/>
      <c r="F807" s="48"/>
      <c r="G807" s="59"/>
      <c r="H807" s="50" t="s">
        <v>2607</v>
      </c>
      <c r="I807" s="48"/>
      <c r="J807" s="48"/>
      <c r="K807" s="48"/>
    </row>
    <row r="808" ht="17.25" customHeight="1">
      <c r="A808" s="49"/>
      <c r="B808" s="49" t="s">
        <v>220</v>
      </c>
      <c r="C808" s="49" t="s">
        <v>2608</v>
      </c>
      <c r="D808" s="49" t="s">
        <v>36</v>
      </c>
      <c r="E808" s="48"/>
      <c r="F808" s="48"/>
      <c r="G808" s="59"/>
      <c r="H808" s="50" t="s">
        <v>2609</v>
      </c>
      <c r="I808" s="50" t="s">
        <v>2610</v>
      </c>
      <c r="J808" s="48"/>
      <c r="K808" s="48"/>
    </row>
    <row r="809" ht="17.25" customHeight="1">
      <c r="A809" s="49"/>
      <c r="B809" s="49" t="s">
        <v>220</v>
      </c>
      <c r="C809" s="49" t="s">
        <v>2611</v>
      </c>
      <c r="D809" s="49" t="s">
        <v>36</v>
      </c>
      <c r="E809" s="48"/>
      <c r="F809" s="48"/>
      <c r="G809" s="59"/>
      <c r="H809" s="50" t="s">
        <v>2612</v>
      </c>
      <c r="I809" s="50" t="s">
        <v>2613</v>
      </c>
      <c r="J809" s="48"/>
      <c r="K809" s="48"/>
    </row>
    <row r="810" ht="17.25" customHeight="1">
      <c r="A810" s="49"/>
      <c r="B810" s="49" t="s">
        <v>220</v>
      </c>
      <c r="C810" s="49" t="s">
        <v>428</v>
      </c>
      <c r="D810" s="49" t="s">
        <v>36</v>
      </c>
      <c r="E810" s="48"/>
      <c r="F810" s="48"/>
      <c r="G810" s="59"/>
      <c r="H810" s="50" t="s">
        <v>2614</v>
      </c>
      <c r="I810" s="55" t="s">
        <v>2615</v>
      </c>
      <c r="J810" s="50" t="s">
        <v>2616</v>
      </c>
      <c r="K810" s="48"/>
    </row>
    <row r="811" ht="17.25" customHeight="1">
      <c r="A811" s="23"/>
      <c r="B811" s="49" t="s">
        <v>276</v>
      </c>
      <c r="C811" s="49" t="s">
        <v>2617</v>
      </c>
      <c r="D811" s="49" t="s">
        <v>36</v>
      </c>
      <c r="E811" s="49"/>
      <c r="F811" s="49" t="s">
        <v>2618</v>
      </c>
      <c r="G811" s="59"/>
      <c r="H811" s="50" t="s">
        <v>2619</v>
      </c>
      <c r="I811" s="50" t="s">
        <v>2620</v>
      </c>
      <c r="J811" s="26" t="s">
        <v>2621</v>
      </c>
      <c r="K811" s="48"/>
    </row>
    <row r="812" ht="17.25" customHeight="1">
      <c r="A812" s="49"/>
      <c r="B812" s="49" t="s">
        <v>20</v>
      </c>
      <c r="C812" s="49" t="s">
        <v>2622</v>
      </c>
      <c r="D812" s="49" t="s">
        <v>36</v>
      </c>
      <c r="E812" s="49"/>
      <c r="F812" s="49" t="s">
        <v>2623</v>
      </c>
      <c r="G812" s="59"/>
      <c r="H812" s="50" t="s">
        <v>2624</v>
      </c>
      <c r="I812" s="48"/>
      <c r="J812" s="48"/>
      <c r="K812" s="48"/>
    </row>
    <row r="813" ht="17.25" customHeight="1">
      <c r="A813" s="23"/>
      <c r="B813" s="49" t="s">
        <v>20</v>
      </c>
      <c r="C813" s="49" t="s">
        <v>2625</v>
      </c>
      <c r="D813" s="49" t="s">
        <v>36</v>
      </c>
      <c r="E813" s="49"/>
      <c r="F813" s="49" t="s">
        <v>2207</v>
      </c>
      <c r="G813" s="59"/>
      <c r="H813" s="50" t="s">
        <v>2626</v>
      </c>
      <c r="I813" s="48"/>
      <c r="J813" s="24"/>
      <c r="K813" s="48"/>
    </row>
    <row r="814" ht="17.25" customHeight="1">
      <c r="A814" s="23"/>
      <c r="B814" s="49" t="s">
        <v>20</v>
      </c>
      <c r="C814" s="49" t="s">
        <v>2627</v>
      </c>
      <c r="D814" s="49" t="s">
        <v>36</v>
      </c>
      <c r="E814" s="49"/>
      <c r="F814" s="49" t="s">
        <v>2628</v>
      </c>
      <c r="G814" s="59"/>
      <c r="H814" s="50" t="s">
        <v>2629</v>
      </c>
      <c r="I814" s="48"/>
      <c r="J814" s="48"/>
      <c r="K814" s="48"/>
    </row>
    <row r="815" ht="17.25" customHeight="1">
      <c r="A815" s="49"/>
      <c r="B815" s="49" t="s">
        <v>20</v>
      </c>
      <c r="C815" s="49" t="s">
        <v>2630</v>
      </c>
      <c r="D815" s="49" t="s">
        <v>36</v>
      </c>
      <c r="E815" s="49"/>
      <c r="F815" s="49" t="s">
        <v>2631</v>
      </c>
      <c r="G815" s="59"/>
      <c r="H815" s="50" t="s">
        <v>2632</v>
      </c>
      <c r="I815" s="48"/>
      <c r="J815" s="48"/>
      <c r="K815" s="48"/>
    </row>
    <row r="816" ht="17.25" customHeight="1">
      <c r="A816" s="23"/>
      <c r="B816" s="49" t="s">
        <v>20</v>
      </c>
      <c r="C816" s="49" t="s">
        <v>205</v>
      </c>
      <c r="D816" s="49" t="s">
        <v>36</v>
      </c>
      <c r="E816" s="49"/>
      <c r="F816" s="49" t="s">
        <v>2633</v>
      </c>
      <c r="G816" s="65"/>
      <c r="H816" s="55" t="s">
        <v>2634</v>
      </c>
      <c r="I816" s="48"/>
      <c r="J816" s="48"/>
      <c r="K816" s="48"/>
    </row>
    <row r="817" ht="17.25" customHeight="1">
      <c r="A817" s="49"/>
      <c r="B817" s="49" t="s">
        <v>20</v>
      </c>
      <c r="C817" s="49" t="s">
        <v>2635</v>
      </c>
      <c r="D817" s="49" t="s">
        <v>36</v>
      </c>
      <c r="E817" s="49"/>
      <c r="F817" s="49" t="s">
        <v>1571</v>
      </c>
      <c r="G817" s="59"/>
      <c r="H817" s="50" t="s">
        <v>2636</v>
      </c>
      <c r="I817" s="48"/>
      <c r="J817" s="48"/>
      <c r="K817" s="48"/>
    </row>
    <row r="818" ht="17.25" customHeight="1">
      <c r="A818" s="49"/>
      <c r="B818" s="49" t="s">
        <v>20</v>
      </c>
      <c r="C818" s="49" t="s">
        <v>2637</v>
      </c>
      <c r="D818" s="49" t="s">
        <v>36</v>
      </c>
      <c r="E818" s="49"/>
      <c r="F818" s="49" t="s">
        <v>314</v>
      </c>
      <c r="G818" s="59"/>
      <c r="H818" s="50" t="s">
        <v>2638</v>
      </c>
      <c r="I818" s="48"/>
      <c r="J818" s="48"/>
      <c r="K818" s="48"/>
    </row>
    <row r="819" ht="17.25" customHeight="1">
      <c r="A819" s="23"/>
      <c r="B819" s="49" t="s">
        <v>20</v>
      </c>
      <c r="C819" s="49" t="s">
        <v>2639</v>
      </c>
      <c r="D819" s="49" t="s">
        <v>36</v>
      </c>
      <c r="E819" s="49"/>
      <c r="F819" s="49" t="s">
        <v>1571</v>
      </c>
      <c r="G819" s="59"/>
      <c r="H819" s="50" t="s">
        <v>2640</v>
      </c>
      <c r="I819" s="48"/>
      <c r="J819" s="48"/>
      <c r="K819" s="48"/>
    </row>
    <row r="820" ht="17.25" customHeight="1">
      <c r="A820" s="23"/>
      <c r="B820" s="49" t="s">
        <v>20</v>
      </c>
      <c r="C820" s="49" t="s">
        <v>2641</v>
      </c>
      <c r="D820" s="49" t="s">
        <v>36</v>
      </c>
      <c r="E820" s="49"/>
      <c r="F820" s="49" t="s">
        <v>2633</v>
      </c>
      <c r="G820" s="59"/>
      <c r="H820" s="50" t="s">
        <v>2642</v>
      </c>
      <c r="I820" s="48"/>
      <c r="J820" s="48"/>
      <c r="K820" s="48"/>
    </row>
    <row r="821" ht="17.25" customHeight="1">
      <c r="A821" s="23"/>
      <c r="B821" s="49" t="s">
        <v>20</v>
      </c>
      <c r="C821" s="49" t="s">
        <v>2643</v>
      </c>
      <c r="D821" s="49" t="s">
        <v>36</v>
      </c>
      <c r="E821" s="49"/>
      <c r="F821" s="49" t="s">
        <v>2644</v>
      </c>
      <c r="G821" s="59"/>
      <c r="H821" s="50" t="s">
        <v>2645</v>
      </c>
      <c r="I821" s="48"/>
      <c r="J821" s="48"/>
      <c r="K821" s="48"/>
    </row>
    <row r="822" ht="17.25" customHeight="1">
      <c r="A822" s="23"/>
      <c r="B822" s="49" t="s">
        <v>20</v>
      </c>
      <c r="C822" s="49" t="s">
        <v>2646</v>
      </c>
      <c r="D822" s="49" t="s">
        <v>36</v>
      </c>
      <c r="E822" s="49"/>
      <c r="F822" s="49" t="s">
        <v>2647</v>
      </c>
      <c r="G822" s="59"/>
      <c r="H822" s="50" t="s">
        <v>2648</v>
      </c>
      <c r="I822" s="48"/>
      <c r="J822" s="48"/>
      <c r="K822" s="48"/>
    </row>
    <row r="823" ht="17.25" customHeight="1">
      <c r="A823" s="23"/>
      <c r="B823" s="49" t="s">
        <v>20</v>
      </c>
      <c r="C823" s="23" t="s">
        <v>1047</v>
      </c>
      <c r="D823" s="49" t="s">
        <v>36</v>
      </c>
      <c r="E823" s="49"/>
      <c r="F823" s="49" t="s">
        <v>2649</v>
      </c>
      <c r="G823" s="59"/>
      <c r="H823" s="50" t="s">
        <v>1048</v>
      </c>
      <c r="I823" s="48"/>
      <c r="J823" s="48"/>
      <c r="K823" s="48"/>
    </row>
    <row r="824" ht="17.25" customHeight="1">
      <c r="A824" s="23"/>
      <c r="B824" s="49" t="s">
        <v>20</v>
      </c>
      <c r="C824" s="49" t="s">
        <v>2650</v>
      </c>
      <c r="D824" s="49" t="s">
        <v>36</v>
      </c>
      <c r="E824" s="49"/>
      <c r="F824" s="49" t="s">
        <v>2651</v>
      </c>
      <c r="G824" s="59"/>
      <c r="H824" s="50" t="s">
        <v>2652</v>
      </c>
      <c r="I824" s="48"/>
      <c r="J824" s="24"/>
      <c r="K824" s="48"/>
    </row>
    <row r="825" ht="17.25" customHeight="1">
      <c r="A825" s="49"/>
      <c r="B825" s="49" t="s">
        <v>20</v>
      </c>
      <c r="C825" s="49" t="s">
        <v>2653</v>
      </c>
      <c r="D825" s="49" t="s">
        <v>36</v>
      </c>
      <c r="E825" s="49"/>
      <c r="F825" s="49"/>
      <c r="G825" s="59"/>
      <c r="H825" s="50" t="s">
        <v>484</v>
      </c>
      <c r="I825" s="48"/>
      <c r="J825" s="48"/>
      <c r="K825" s="48"/>
    </row>
    <row r="826" ht="17.25" customHeight="1">
      <c r="A826" s="49"/>
      <c r="B826" s="49" t="s">
        <v>20</v>
      </c>
      <c r="C826" s="49" t="s">
        <v>2654</v>
      </c>
      <c r="D826" s="49" t="s">
        <v>36</v>
      </c>
      <c r="E826" s="49"/>
      <c r="F826" s="49" t="s">
        <v>2655</v>
      </c>
      <c r="G826" s="59"/>
      <c r="H826" s="50" t="s">
        <v>2656</v>
      </c>
      <c r="I826" s="48"/>
      <c r="J826" s="48"/>
      <c r="K826" s="48"/>
    </row>
    <row r="827" ht="17.25" customHeight="1">
      <c r="A827" s="49"/>
      <c r="B827" s="49" t="s">
        <v>20</v>
      </c>
      <c r="C827" s="49" t="s">
        <v>458</v>
      </c>
      <c r="D827" s="49" t="s">
        <v>36</v>
      </c>
      <c r="E827" s="49"/>
      <c r="F827" s="49"/>
      <c r="G827" s="59"/>
      <c r="H827" s="50" t="s">
        <v>2657</v>
      </c>
      <c r="I827" s="48"/>
      <c r="J827" s="48"/>
      <c r="K827" s="48"/>
    </row>
    <row r="828" ht="17.25" customHeight="1">
      <c r="A828" s="49"/>
      <c r="B828" s="49" t="s">
        <v>20</v>
      </c>
      <c r="C828" s="49" t="s">
        <v>2658</v>
      </c>
      <c r="D828" s="49" t="s">
        <v>36</v>
      </c>
      <c r="E828" s="49"/>
      <c r="F828" s="49" t="s">
        <v>2659</v>
      </c>
      <c r="G828" s="59"/>
      <c r="H828" s="50" t="s">
        <v>2660</v>
      </c>
      <c r="I828" s="48"/>
      <c r="J828" s="48"/>
      <c r="K828" s="48"/>
    </row>
    <row r="829" ht="17.25" customHeight="1">
      <c r="A829" s="49"/>
      <c r="B829" s="49" t="s">
        <v>20</v>
      </c>
      <c r="C829" s="49" t="s">
        <v>2661</v>
      </c>
      <c r="D829" s="49" t="s">
        <v>36</v>
      </c>
      <c r="E829" s="49"/>
      <c r="F829" s="49" t="s">
        <v>1571</v>
      </c>
      <c r="G829" s="59"/>
      <c r="H829" s="50" t="s">
        <v>2662</v>
      </c>
      <c r="I829" s="48"/>
      <c r="J829" s="48"/>
      <c r="K829" s="48"/>
    </row>
    <row r="830" ht="17.25" customHeight="1">
      <c r="A830" s="49"/>
      <c r="B830" s="49" t="s">
        <v>20</v>
      </c>
      <c r="C830" s="49" t="s">
        <v>794</v>
      </c>
      <c r="D830" s="49" t="s">
        <v>36</v>
      </c>
      <c r="E830" s="49"/>
      <c r="F830" s="49" t="s">
        <v>2663</v>
      </c>
      <c r="G830" s="59"/>
      <c r="H830" s="50" t="s">
        <v>1098</v>
      </c>
      <c r="I830" s="48"/>
      <c r="J830" s="48"/>
      <c r="K830" s="48"/>
    </row>
    <row r="831" ht="17.25" customHeight="1">
      <c r="A831" s="49"/>
      <c r="B831" s="49" t="s">
        <v>20</v>
      </c>
      <c r="C831" s="49" t="s">
        <v>2664</v>
      </c>
      <c r="D831" s="49" t="s">
        <v>36</v>
      </c>
      <c r="E831" s="48"/>
      <c r="F831" s="49" t="s">
        <v>2665</v>
      </c>
      <c r="G831" s="48"/>
      <c r="H831" s="48"/>
      <c r="I831" s="55" t="s">
        <v>2666</v>
      </c>
      <c r="J831" s="48"/>
      <c r="K831" s="48"/>
      <c r="M831" s="8" t="s">
        <v>525</v>
      </c>
      <c r="N831" s="37" t="s">
        <v>318</v>
      </c>
    </row>
    <row r="832" ht="17.25" customHeight="1">
      <c r="A832" s="48"/>
      <c r="B832" s="49" t="s">
        <v>276</v>
      </c>
      <c r="C832" s="49" t="s">
        <v>2667</v>
      </c>
      <c r="D832" s="49" t="s">
        <v>36</v>
      </c>
      <c r="E832" s="48"/>
      <c r="F832" s="48"/>
      <c r="G832" s="48"/>
      <c r="H832" s="48"/>
      <c r="I832" s="48"/>
      <c r="J832" s="50" t="s">
        <v>2668</v>
      </c>
      <c r="K832" s="48"/>
    </row>
    <row r="833" ht="17.25" customHeight="1">
      <c r="A833" s="48"/>
      <c r="B833" s="49" t="s">
        <v>20</v>
      </c>
      <c r="C833" s="49" t="s">
        <v>2669</v>
      </c>
      <c r="D833" s="49" t="s">
        <v>36</v>
      </c>
      <c r="E833" s="48"/>
      <c r="F833" s="48"/>
      <c r="G833" s="48"/>
      <c r="H833" s="48"/>
      <c r="I833" s="48"/>
      <c r="J833" s="50" t="s">
        <v>2670</v>
      </c>
      <c r="K833" s="48"/>
    </row>
    <row r="834" ht="17.25" customHeight="1">
      <c r="A834" s="48"/>
      <c r="B834" s="49" t="s">
        <v>20</v>
      </c>
      <c r="C834" s="49" t="s">
        <v>2671</v>
      </c>
      <c r="D834" s="49" t="s">
        <v>36</v>
      </c>
      <c r="E834" s="49"/>
      <c r="F834" s="48"/>
      <c r="G834" s="48"/>
      <c r="H834" s="48"/>
      <c r="I834" s="48"/>
      <c r="J834" s="50" t="s">
        <v>2672</v>
      </c>
      <c r="K834" s="48"/>
    </row>
    <row r="835" ht="17.25" customHeight="1">
      <c r="A835" s="48"/>
      <c r="B835" s="49" t="s">
        <v>17</v>
      </c>
      <c r="C835" s="49" t="s">
        <v>2673</v>
      </c>
      <c r="D835" s="49" t="s">
        <v>36</v>
      </c>
      <c r="E835" s="48"/>
      <c r="F835" s="48"/>
      <c r="G835" s="48"/>
      <c r="H835" s="48"/>
      <c r="I835" s="48"/>
      <c r="J835" s="50" t="s">
        <v>2674</v>
      </c>
      <c r="K835" s="48"/>
    </row>
    <row r="836" ht="17.25" customHeight="1">
      <c r="A836" s="48"/>
      <c r="B836" s="49" t="s">
        <v>17</v>
      </c>
      <c r="C836" s="49" t="s">
        <v>2675</v>
      </c>
      <c r="D836" s="49" t="s">
        <v>36</v>
      </c>
      <c r="E836" s="48"/>
      <c r="F836" s="48"/>
      <c r="G836" s="48"/>
      <c r="H836" s="48"/>
      <c r="I836" s="48"/>
      <c r="J836" s="50" t="s">
        <v>2676</v>
      </c>
      <c r="K836" s="48"/>
    </row>
    <row r="837" ht="17.25" customHeight="1">
      <c r="A837" s="48"/>
      <c r="B837" s="49" t="s">
        <v>20</v>
      </c>
      <c r="C837" s="49" t="s">
        <v>2677</v>
      </c>
      <c r="D837" s="49" t="s">
        <v>36</v>
      </c>
      <c r="E837" s="48"/>
      <c r="F837" s="48"/>
      <c r="G837" s="48"/>
      <c r="H837" s="48"/>
      <c r="I837" s="48"/>
      <c r="J837" s="50" t="s">
        <v>2678</v>
      </c>
      <c r="K837" s="48"/>
    </row>
    <row r="838" ht="17.25" customHeight="1">
      <c r="A838" s="48"/>
      <c r="B838" s="49" t="s">
        <v>20</v>
      </c>
      <c r="C838" s="49" t="s">
        <v>2679</v>
      </c>
      <c r="D838" s="49" t="s">
        <v>36</v>
      </c>
      <c r="E838" s="48"/>
      <c r="F838" s="48"/>
      <c r="G838" s="48"/>
      <c r="H838" s="48"/>
      <c r="I838" s="48"/>
      <c r="J838" s="50" t="s">
        <v>2680</v>
      </c>
      <c r="K838" s="48"/>
    </row>
    <row r="839" ht="17.25" customHeight="1">
      <c r="A839" s="48"/>
      <c r="B839" s="49" t="s">
        <v>20</v>
      </c>
      <c r="C839" s="49" t="s">
        <v>2681</v>
      </c>
      <c r="D839" s="49" t="s">
        <v>36</v>
      </c>
      <c r="E839" s="48"/>
      <c r="F839" s="48"/>
      <c r="G839" s="48"/>
      <c r="H839" s="48"/>
      <c r="I839" s="48"/>
      <c r="J839" s="50" t="s">
        <v>2682</v>
      </c>
      <c r="K839" s="48"/>
    </row>
    <row r="840" ht="17.25" customHeight="1">
      <c r="A840" s="48"/>
      <c r="B840" s="49" t="s">
        <v>20</v>
      </c>
      <c r="C840" s="49" t="s">
        <v>2683</v>
      </c>
      <c r="D840" s="49" t="s">
        <v>36</v>
      </c>
      <c r="E840" s="49" t="s">
        <v>43</v>
      </c>
      <c r="F840" s="48"/>
      <c r="G840" s="48"/>
      <c r="H840" s="48"/>
      <c r="I840" s="48"/>
      <c r="J840" s="50" t="s">
        <v>2684</v>
      </c>
      <c r="K840" s="48"/>
    </row>
    <row r="841" ht="17.25" customHeight="1">
      <c r="A841" s="48"/>
      <c r="B841" s="49" t="s">
        <v>276</v>
      </c>
      <c r="C841" s="49" t="s">
        <v>2685</v>
      </c>
      <c r="D841" s="49" t="s">
        <v>36</v>
      </c>
      <c r="E841" s="48"/>
      <c r="F841" s="48"/>
      <c r="G841" s="48"/>
      <c r="H841" s="48"/>
      <c r="I841" s="48"/>
      <c r="J841" s="50" t="s">
        <v>2686</v>
      </c>
      <c r="K841" s="48"/>
    </row>
    <row r="842" ht="17.25" customHeight="1">
      <c r="A842" s="48"/>
      <c r="B842" s="49" t="s">
        <v>20</v>
      </c>
      <c r="C842" s="49" t="s">
        <v>2687</v>
      </c>
      <c r="D842" s="49" t="s">
        <v>36</v>
      </c>
      <c r="E842" s="48"/>
      <c r="F842" s="48"/>
      <c r="G842" s="48"/>
      <c r="H842" s="55" t="s">
        <v>2688</v>
      </c>
      <c r="I842" s="50" t="s">
        <v>2689</v>
      </c>
      <c r="J842" s="50" t="s">
        <v>2690</v>
      </c>
      <c r="K842" s="48"/>
    </row>
    <row r="843" ht="17.25" customHeight="1">
      <c r="A843" s="48"/>
      <c r="B843" s="49" t="s">
        <v>276</v>
      </c>
      <c r="C843" s="49" t="s">
        <v>2691</v>
      </c>
      <c r="D843" s="49" t="s">
        <v>36</v>
      </c>
      <c r="E843" s="48"/>
      <c r="F843" s="48"/>
      <c r="G843" s="48"/>
      <c r="H843" s="48"/>
      <c r="I843" s="48"/>
      <c r="J843" s="50" t="s">
        <v>368</v>
      </c>
      <c r="K843" s="48"/>
    </row>
    <row r="844" ht="17.25" customHeight="1">
      <c r="A844" s="48"/>
      <c r="B844" s="49" t="s">
        <v>20</v>
      </c>
      <c r="C844" s="49" t="s">
        <v>2692</v>
      </c>
      <c r="D844" s="49" t="s">
        <v>36</v>
      </c>
      <c r="E844" s="48"/>
      <c r="F844" s="48"/>
      <c r="G844" s="48"/>
      <c r="H844" s="48"/>
      <c r="I844" s="48"/>
      <c r="J844" s="50" t="s">
        <v>2693</v>
      </c>
      <c r="K844" s="48"/>
    </row>
    <row r="845" ht="17.25" customHeight="1">
      <c r="A845" s="48"/>
      <c r="B845" s="49" t="s">
        <v>20</v>
      </c>
      <c r="C845" s="49" t="s">
        <v>2694</v>
      </c>
      <c r="D845" s="49" t="s">
        <v>36</v>
      </c>
      <c r="E845" s="48"/>
      <c r="F845" s="48"/>
      <c r="G845" s="48"/>
      <c r="H845" s="50" t="s">
        <v>2695</v>
      </c>
      <c r="I845" s="12" t="s">
        <v>2696</v>
      </c>
      <c r="J845" s="48"/>
      <c r="K845" s="48"/>
    </row>
    <row r="846" ht="17.25" customHeight="1">
      <c r="A846" s="48"/>
      <c r="B846" s="49" t="s">
        <v>276</v>
      </c>
      <c r="C846" s="49" t="s">
        <v>2697</v>
      </c>
      <c r="D846" s="49" t="s">
        <v>36</v>
      </c>
      <c r="E846" s="48"/>
      <c r="F846" s="48"/>
      <c r="G846" s="48"/>
      <c r="H846" s="55" t="s">
        <v>2698</v>
      </c>
      <c r="I846" s="48"/>
      <c r="J846" s="50" t="s">
        <v>2699</v>
      </c>
      <c r="K846" s="48"/>
    </row>
    <row r="847" ht="17.25" customHeight="1">
      <c r="A847" s="48"/>
      <c r="B847" s="49" t="s">
        <v>20</v>
      </c>
      <c r="C847" s="49" t="s">
        <v>2147</v>
      </c>
      <c r="D847" s="49" t="s">
        <v>36</v>
      </c>
      <c r="E847" s="48"/>
      <c r="F847" s="48"/>
      <c r="G847" s="48"/>
      <c r="H847" s="48"/>
      <c r="I847" s="48"/>
      <c r="J847" s="50" t="s">
        <v>2700</v>
      </c>
      <c r="K847" s="48"/>
    </row>
    <row r="848" ht="17.25" customHeight="1">
      <c r="A848" s="48"/>
      <c r="B848" s="49" t="s">
        <v>276</v>
      </c>
      <c r="C848" s="49" t="s">
        <v>1274</v>
      </c>
      <c r="D848" s="49" t="s">
        <v>36</v>
      </c>
      <c r="E848" s="48"/>
      <c r="F848" s="48"/>
      <c r="G848" s="48"/>
      <c r="H848" s="48"/>
      <c r="I848" s="48"/>
      <c r="J848" s="50" t="s">
        <v>2701</v>
      </c>
      <c r="K848" s="48"/>
    </row>
    <row r="849" ht="17.25" customHeight="1">
      <c r="A849" s="48"/>
      <c r="B849" s="49" t="s">
        <v>20</v>
      </c>
      <c r="C849" s="49" t="s">
        <v>1414</v>
      </c>
      <c r="D849" s="49" t="s">
        <v>36</v>
      </c>
      <c r="E849" s="48"/>
      <c r="F849" s="48"/>
      <c r="G849" s="48"/>
      <c r="H849" s="48"/>
      <c r="I849" s="48"/>
      <c r="J849" s="50" t="s">
        <v>2702</v>
      </c>
      <c r="K849" s="48"/>
    </row>
    <row r="850" ht="17.25" customHeight="1">
      <c r="A850" s="48"/>
      <c r="B850" s="49" t="s">
        <v>17</v>
      </c>
      <c r="C850" s="49" t="s">
        <v>2703</v>
      </c>
      <c r="D850" s="49" t="s">
        <v>36</v>
      </c>
      <c r="E850" s="48"/>
      <c r="F850" s="48"/>
      <c r="G850" s="48"/>
      <c r="H850" s="48"/>
      <c r="I850" s="48"/>
      <c r="J850" s="50" t="s">
        <v>2704</v>
      </c>
      <c r="K850" s="48"/>
    </row>
    <row r="851" ht="17.25" customHeight="1">
      <c r="A851" s="48"/>
      <c r="B851" s="49" t="s">
        <v>20</v>
      </c>
      <c r="C851" s="49" t="s">
        <v>1310</v>
      </c>
      <c r="D851" s="49" t="s">
        <v>36</v>
      </c>
      <c r="E851" s="48"/>
      <c r="F851" s="48"/>
      <c r="G851" s="48"/>
      <c r="H851" s="48"/>
      <c r="I851" s="48"/>
      <c r="J851" s="50" t="s">
        <v>2705</v>
      </c>
      <c r="K851" s="48"/>
    </row>
    <row r="852" ht="17.25" customHeight="1">
      <c r="A852" s="48"/>
      <c r="B852" s="49" t="s">
        <v>20</v>
      </c>
      <c r="C852" s="49" t="s">
        <v>2703</v>
      </c>
      <c r="D852" s="49" t="s">
        <v>36</v>
      </c>
      <c r="E852" s="48"/>
      <c r="F852" s="48"/>
      <c r="G852" s="48"/>
      <c r="H852" s="48"/>
      <c r="I852" s="48"/>
      <c r="J852" s="50" t="s">
        <v>2706</v>
      </c>
      <c r="K852" s="48"/>
    </row>
    <row r="853" ht="17.25" customHeight="1">
      <c r="A853" s="48"/>
      <c r="B853" s="49" t="s">
        <v>20</v>
      </c>
      <c r="C853" s="49" t="s">
        <v>2707</v>
      </c>
      <c r="D853" s="49" t="s">
        <v>36</v>
      </c>
      <c r="E853" s="48"/>
      <c r="F853" s="48"/>
      <c r="G853" s="48"/>
      <c r="H853" s="48"/>
      <c r="I853" s="48"/>
      <c r="J853" s="50" t="s">
        <v>2708</v>
      </c>
      <c r="K853" s="48"/>
    </row>
    <row r="854" ht="17.25" customHeight="1">
      <c r="A854" s="48"/>
      <c r="B854" s="49" t="s">
        <v>20</v>
      </c>
      <c r="C854" s="49" t="s">
        <v>2709</v>
      </c>
      <c r="D854" s="49" t="s">
        <v>36</v>
      </c>
      <c r="E854" s="48"/>
      <c r="F854" s="48"/>
      <c r="G854" s="48"/>
      <c r="H854" s="48"/>
      <c r="I854" s="48"/>
      <c r="J854" s="50" t="s">
        <v>2710</v>
      </c>
      <c r="K854" s="48"/>
    </row>
    <row r="855" ht="17.25" customHeight="1">
      <c r="A855" s="48"/>
      <c r="B855" s="49" t="s">
        <v>20</v>
      </c>
      <c r="C855" s="49" t="s">
        <v>2711</v>
      </c>
      <c r="D855" s="49" t="s">
        <v>36</v>
      </c>
      <c r="E855" s="48"/>
      <c r="F855" s="48"/>
      <c r="G855" s="48"/>
      <c r="H855" s="48"/>
      <c r="I855" s="48"/>
      <c r="J855" s="50" t="s">
        <v>2712</v>
      </c>
      <c r="K855" s="48"/>
    </row>
    <row r="856" ht="17.25" customHeight="1">
      <c r="A856" s="48"/>
      <c r="B856" s="49" t="s">
        <v>20</v>
      </c>
      <c r="C856" s="49" t="s">
        <v>2713</v>
      </c>
      <c r="D856" s="49" t="s">
        <v>36</v>
      </c>
      <c r="E856" s="48"/>
      <c r="F856" s="48"/>
      <c r="G856" s="48"/>
      <c r="H856" s="48"/>
      <c r="I856" s="48"/>
      <c r="J856" s="50" t="s">
        <v>2714</v>
      </c>
      <c r="K856" s="48"/>
    </row>
    <row r="857" ht="17.25" customHeight="1">
      <c r="A857" s="48"/>
      <c r="B857" s="49" t="s">
        <v>20</v>
      </c>
      <c r="C857" s="49" t="s">
        <v>2715</v>
      </c>
      <c r="D857" s="49" t="s">
        <v>36</v>
      </c>
      <c r="E857" s="48"/>
      <c r="F857" s="48"/>
      <c r="G857" s="48"/>
      <c r="H857" s="48"/>
      <c r="I857" s="48"/>
      <c r="J857" s="50" t="s">
        <v>2716</v>
      </c>
      <c r="K857" s="48"/>
    </row>
    <row r="858" ht="17.25" customHeight="1">
      <c r="A858" s="48"/>
      <c r="B858" s="49" t="s">
        <v>20</v>
      </c>
      <c r="C858" s="49" t="s">
        <v>2110</v>
      </c>
      <c r="D858" s="49" t="s">
        <v>36</v>
      </c>
      <c r="E858" s="48"/>
      <c r="F858" s="48"/>
      <c r="G858" s="48"/>
      <c r="H858" s="48"/>
      <c r="I858" s="48"/>
      <c r="J858" s="50" t="s">
        <v>2717</v>
      </c>
      <c r="K858" s="48"/>
    </row>
    <row r="859" ht="17.25" customHeight="1">
      <c r="A859" s="48"/>
      <c r="B859" s="49" t="s">
        <v>20</v>
      </c>
      <c r="C859" s="49" t="s">
        <v>2718</v>
      </c>
      <c r="D859" s="49" t="s">
        <v>36</v>
      </c>
      <c r="E859" s="48"/>
      <c r="F859" s="48"/>
      <c r="G859" s="48"/>
      <c r="H859" s="48"/>
      <c r="I859" s="48"/>
      <c r="J859" s="50" t="s">
        <v>2719</v>
      </c>
      <c r="K859" s="48"/>
    </row>
    <row r="860" ht="17.25" customHeight="1">
      <c r="A860" s="48"/>
      <c r="B860" s="49" t="s">
        <v>276</v>
      </c>
      <c r="C860" s="49" t="s">
        <v>1045</v>
      </c>
      <c r="D860" s="49" t="s">
        <v>36</v>
      </c>
      <c r="E860" s="49" t="s">
        <v>553</v>
      </c>
      <c r="F860" s="48"/>
      <c r="G860" s="48"/>
      <c r="H860" s="55" t="s">
        <v>2720</v>
      </c>
      <c r="I860" s="50" t="s">
        <v>2721</v>
      </c>
      <c r="J860" s="50" t="s">
        <v>2722</v>
      </c>
      <c r="K860" s="48"/>
    </row>
    <row r="861" ht="17.25" customHeight="1">
      <c r="A861" s="48"/>
      <c r="B861" s="49" t="s">
        <v>276</v>
      </c>
      <c r="C861" s="49" t="s">
        <v>2723</v>
      </c>
      <c r="D861" s="49" t="s">
        <v>36</v>
      </c>
      <c r="E861" s="48"/>
      <c r="F861" s="48"/>
      <c r="G861" s="48"/>
      <c r="H861" s="48"/>
      <c r="I861" s="48"/>
      <c r="J861" s="50" t="s">
        <v>2724</v>
      </c>
      <c r="K861" s="48"/>
    </row>
    <row r="862" ht="17.25" customHeight="1">
      <c r="A862" s="48"/>
      <c r="B862" s="49" t="s">
        <v>17</v>
      </c>
      <c r="C862" s="49" t="s">
        <v>2725</v>
      </c>
      <c r="D862" s="49" t="s">
        <v>36</v>
      </c>
      <c r="E862" s="48"/>
      <c r="F862" s="48"/>
      <c r="G862" s="48"/>
      <c r="H862" s="48"/>
      <c r="I862" s="48"/>
      <c r="J862" s="50" t="s">
        <v>2726</v>
      </c>
      <c r="K862" s="48"/>
    </row>
    <row r="863" ht="17.25" customHeight="1">
      <c r="A863" s="48"/>
      <c r="B863" s="49" t="s">
        <v>20</v>
      </c>
      <c r="C863" s="49" t="s">
        <v>2727</v>
      </c>
      <c r="D863" s="49" t="s">
        <v>36</v>
      </c>
      <c r="E863" s="48"/>
      <c r="F863" s="48"/>
      <c r="G863" s="48"/>
      <c r="H863" s="48"/>
      <c r="I863" s="48"/>
      <c r="J863" s="50" t="s">
        <v>2728</v>
      </c>
      <c r="K863" s="48"/>
    </row>
    <row r="864" ht="17.25" customHeight="1">
      <c r="A864" s="48"/>
      <c r="B864" s="49" t="s">
        <v>20</v>
      </c>
      <c r="C864" s="49" t="s">
        <v>1221</v>
      </c>
      <c r="D864" s="49" t="s">
        <v>36</v>
      </c>
      <c r="E864" s="48"/>
      <c r="F864" s="48"/>
      <c r="G864" s="48"/>
      <c r="H864" s="48"/>
      <c r="I864" s="48"/>
      <c r="J864" s="50" t="s">
        <v>2729</v>
      </c>
      <c r="K864" s="48"/>
    </row>
    <row r="865" ht="17.25" customHeight="1">
      <c r="A865" s="48"/>
      <c r="B865" s="49" t="s">
        <v>20</v>
      </c>
      <c r="C865" s="49" t="s">
        <v>2730</v>
      </c>
      <c r="D865" s="49" t="s">
        <v>36</v>
      </c>
      <c r="E865" s="48"/>
      <c r="F865" s="48"/>
      <c r="G865" s="48"/>
      <c r="H865" s="48"/>
      <c r="I865" s="48"/>
      <c r="J865" s="50" t="s">
        <v>2731</v>
      </c>
      <c r="K865" s="48"/>
    </row>
    <row r="866" ht="17.25" customHeight="1">
      <c r="A866" s="48"/>
      <c r="B866" s="49" t="s">
        <v>2364</v>
      </c>
      <c r="C866" s="49" t="s">
        <v>2732</v>
      </c>
      <c r="D866" s="49" t="s">
        <v>36</v>
      </c>
      <c r="E866" s="48"/>
      <c r="F866" s="48"/>
      <c r="G866" s="48"/>
      <c r="H866" s="48"/>
      <c r="I866" s="48"/>
      <c r="J866" s="50" t="s">
        <v>2733</v>
      </c>
      <c r="K866" s="48"/>
    </row>
    <row r="867" ht="17.25" customHeight="1">
      <c r="A867" s="48"/>
      <c r="B867" s="49" t="s">
        <v>17</v>
      </c>
      <c r="C867" s="49" t="s">
        <v>2734</v>
      </c>
      <c r="D867" s="49" t="s">
        <v>36</v>
      </c>
      <c r="E867" s="48"/>
      <c r="F867" s="48"/>
      <c r="G867" s="48"/>
      <c r="H867" s="48"/>
      <c r="I867" s="48"/>
      <c r="J867" s="50" t="s">
        <v>2735</v>
      </c>
      <c r="K867" s="48"/>
    </row>
    <row r="868" ht="17.25" customHeight="1">
      <c r="A868" s="48"/>
      <c r="B868" s="49" t="s">
        <v>17</v>
      </c>
      <c r="C868" s="49" t="s">
        <v>2736</v>
      </c>
      <c r="D868" s="49" t="s">
        <v>36</v>
      </c>
      <c r="E868" s="48"/>
      <c r="F868" s="48"/>
      <c r="G868" s="48"/>
      <c r="H868" s="48"/>
      <c r="I868" s="48"/>
      <c r="J868" s="50" t="s">
        <v>2737</v>
      </c>
      <c r="K868" s="48"/>
    </row>
    <row r="869" ht="17.25" customHeight="1">
      <c r="A869" s="48"/>
      <c r="B869" s="49" t="s">
        <v>20</v>
      </c>
      <c r="C869" s="49" t="s">
        <v>2738</v>
      </c>
      <c r="D869" s="49" t="s">
        <v>36</v>
      </c>
      <c r="E869" s="48"/>
      <c r="F869" s="48"/>
      <c r="G869" s="48"/>
      <c r="H869" s="48"/>
      <c r="I869" s="48"/>
      <c r="J869" s="73" t="s">
        <v>2739</v>
      </c>
      <c r="K869" s="48"/>
    </row>
    <row r="870" ht="17.25" customHeight="1">
      <c r="A870" s="48"/>
      <c r="B870" s="49" t="s">
        <v>20</v>
      </c>
      <c r="C870" s="49" t="s">
        <v>2740</v>
      </c>
      <c r="D870" s="49" t="s">
        <v>36</v>
      </c>
      <c r="E870" s="48"/>
      <c r="F870" s="48"/>
      <c r="G870" s="48"/>
      <c r="H870" s="48"/>
      <c r="I870" s="48"/>
      <c r="J870" s="50" t="s">
        <v>2741</v>
      </c>
      <c r="K870" s="48"/>
    </row>
    <row r="871" ht="17.25" customHeight="1">
      <c r="A871" s="48"/>
      <c r="B871" s="49" t="s">
        <v>20</v>
      </c>
      <c r="C871" s="49" t="s">
        <v>2742</v>
      </c>
      <c r="D871" s="49" t="s">
        <v>36</v>
      </c>
      <c r="E871" s="48"/>
      <c r="F871" s="48"/>
      <c r="G871" s="48"/>
      <c r="H871" s="48"/>
      <c r="I871" s="48"/>
      <c r="J871" s="50" t="s">
        <v>2743</v>
      </c>
      <c r="K871" s="48"/>
    </row>
    <row r="872" ht="17.25" customHeight="1">
      <c r="A872" s="48"/>
      <c r="B872" s="49" t="s">
        <v>17</v>
      </c>
      <c r="C872" s="49" t="s">
        <v>2744</v>
      </c>
      <c r="D872" s="49" t="s">
        <v>36</v>
      </c>
      <c r="E872" s="48"/>
      <c r="F872" s="48"/>
      <c r="G872" s="48"/>
      <c r="H872" s="48"/>
      <c r="I872" s="48"/>
      <c r="J872" s="50" t="s">
        <v>2745</v>
      </c>
      <c r="K872" s="48"/>
    </row>
    <row r="873" ht="17.25" customHeight="1">
      <c r="A873" s="48"/>
      <c r="B873" s="49" t="s">
        <v>276</v>
      </c>
      <c r="C873" s="49" t="s">
        <v>2746</v>
      </c>
      <c r="D873" s="49" t="s">
        <v>36</v>
      </c>
      <c r="E873" s="48"/>
      <c r="F873" s="48"/>
      <c r="G873" s="48"/>
      <c r="H873" s="48"/>
      <c r="I873" s="48"/>
      <c r="J873" s="50" t="s">
        <v>2747</v>
      </c>
      <c r="K873" s="48"/>
    </row>
    <row r="874" ht="17.25" customHeight="1">
      <c r="A874" s="48"/>
      <c r="B874" s="49" t="s">
        <v>20</v>
      </c>
      <c r="C874" s="49" t="s">
        <v>281</v>
      </c>
      <c r="D874" s="49" t="s">
        <v>36</v>
      </c>
      <c r="E874" s="49" t="s">
        <v>43</v>
      </c>
      <c r="F874" s="48"/>
      <c r="G874" s="48"/>
      <c r="H874" s="48"/>
      <c r="I874" s="48"/>
      <c r="J874" s="50" t="s">
        <v>2748</v>
      </c>
      <c r="K874" s="48"/>
    </row>
    <row r="875" ht="17.25" customHeight="1">
      <c r="A875" s="48"/>
      <c r="B875" s="49" t="s">
        <v>17</v>
      </c>
      <c r="C875" s="49" t="s">
        <v>2749</v>
      </c>
      <c r="D875" s="49" t="s">
        <v>36</v>
      </c>
      <c r="E875" s="48"/>
      <c r="F875" s="48"/>
      <c r="G875" s="48"/>
      <c r="H875" s="48"/>
      <c r="I875" s="48"/>
      <c r="J875" s="50" t="s">
        <v>2750</v>
      </c>
      <c r="K875" s="48"/>
    </row>
    <row r="876" ht="17.25" customHeight="1">
      <c r="A876" s="48"/>
      <c r="B876" s="49" t="s">
        <v>2364</v>
      </c>
      <c r="C876" s="49" t="s">
        <v>2751</v>
      </c>
      <c r="D876" s="49" t="s">
        <v>36</v>
      </c>
      <c r="E876" s="48"/>
      <c r="F876" s="48"/>
      <c r="G876" s="48"/>
      <c r="H876" s="48"/>
      <c r="I876" s="48"/>
      <c r="J876" s="50" t="s">
        <v>2752</v>
      </c>
      <c r="K876" s="48"/>
    </row>
    <row r="877" ht="17.25" customHeight="1">
      <c r="A877" s="48"/>
      <c r="B877" s="49" t="s">
        <v>20</v>
      </c>
      <c r="C877" s="49" t="s">
        <v>2753</v>
      </c>
      <c r="D877" s="49" t="s">
        <v>36</v>
      </c>
      <c r="E877" s="48"/>
      <c r="F877" s="48"/>
      <c r="G877" s="48"/>
      <c r="H877" s="48"/>
      <c r="I877" s="48"/>
      <c r="J877" s="50" t="s">
        <v>2754</v>
      </c>
      <c r="K877" s="48"/>
    </row>
    <row r="878" ht="17.25" customHeight="1">
      <c r="A878" s="48"/>
      <c r="B878" s="49" t="s">
        <v>20</v>
      </c>
      <c r="C878" s="49" t="s">
        <v>2755</v>
      </c>
      <c r="D878" s="49" t="s">
        <v>36</v>
      </c>
      <c r="E878" s="48"/>
      <c r="F878" s="48"/>
      <c r="G878" s="48"/>
      <c r="H878" s="48"/>
      <c r="I878" s="48"/>
      <c r="J878" s="50" t="s">
        <v>2756</v>
      </c>
      <c r="K878" s="48"/>
    </row>
    <row r="879" ht="17.25" customHeight="1">
      <c r="A879" s="48"/>
      <c r="B879" s="49" t="s">
        <v>20</v>
      </c>
      <c r="C879" s="49" t="s">
        <v>794</v>
      </c>
      <c r="D879" s="49" t="s">
        <v>36</v>
      </c>
      <c r="E879" s="48"/>
      <c r="F879" s="48"/>
      <c r="G879" s="48"/>
      <c r="H879" s="48"/>
      <c r="I879" s="48"/>
      <c r="J879" s="50" t="s">
        <v>2757</v>
      </c>
      <c r="K879" s="48"/>
    </row>
    <row r="880" ht="17.25" customHeight="1">
      <c r="A880" s="48"/>
      <c r="B880" s="49" t="s">
        <v>20</v>
      </c>
      <c r="C880" s="49" t="s">
        <v>2212</v>
      </c>
      <c r="D880" s="49" t="s">
        <v>36</v>
      </c>
      <c r="E880" s="48"/>
      <c r="F880" s="48"/>
      <c r="G880" s="48"/>
      <c r="H880" s="50" t="s">
        <v>2758</v>
      </c>
      <c r="I880" s="48"/>
      <c r="J880" s="48"/>
      <c r="K880" s="48"/>
    </row>
    <row r="881" ht="17.2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</row>
    <row r="882" ht="17.2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</row>
    <row r="883" ht="17.2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</row>
    <row r="884" ht="17.2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</row>
    <row r="885" ht="17.2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</row>
    <row r="886" ht="17.2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</row>
    <row r="887" ht="17.2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</row>
    <row r="888" ht="17.2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</row>
    <row r="889" ht="17.2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</row>
    <row r="890" ht="17.2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</row>
    <row r="891" ht="17.2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</row>
    <row r="892" ht="17.2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</row>
    <row r="893" ht="17.2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</row>
    <row r="894" ht="17.2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</row>
    <row r="895" ht="17.2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</row>
    <row r="896" ht="17.2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</row>
    <row r="897" ht="17.2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</row>
    <row r="898" ht="17.2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</row>
    <row r="899" ht="17.2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</row>
    <row r="900" ht="17.2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</row>
    <row r="901" ht="17.2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</row>
    <row r="902" ht="17.2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</row>
    <row r="903" ht="17.2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</row>
    <row r="904" ht="17.2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</row>
    <row r="905" ht="17.2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</row>
    <row r="906" ht="17.2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</row>
    <row r="907" ht="17.2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</row>
    <row r="908" ht="17.2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</row>
    <row r="909" ht="17.2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</row>
    <row r="910" ht="17.2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</row>
    <row r="911" ht="17.2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</row>
    <row r="912" ht="17.2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</row>
    <row r="913" ht="17.2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</row>
    <row r="914" ht="17.2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</row>
    <row r="915" ht="17.2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</row>
    <row r="916" ht="17.2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</row>
    <row r="917" ht="17.2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</row>
    <row r="918" ht="17.2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</row>
    <row r="919" ht="17.2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</row>
    <row r="920" ht="17.2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</row>
    <row r="921" ht="17.2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</row>
    <row r="922" ht="17.2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</row>
    <row r="923" ht="17.2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</row>
    <row r="924" ht="17.2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</row>
    <row r="925" ht="17.2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</row>
    <row r="926" ht="17.2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</row>
    <row r="927" ht="17.2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</row>
    <row r="928" ht="17.2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</row>
    <row r="929" ht="17.2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</row>
    <row r="930" ht="17.2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</row>
    <row r="931" ht="17.2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</row>
    <row r="932" ht="17.2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</row>
    <row r="933" ht="17.2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</row>
    <row r="934" ht="17.2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</row>
    <row r="935" ht="17.2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</row>
    <row r="936" ht="17.2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</row>
    <row r="937" ht="17.2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</row>
    <row r="938" ht="17.2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</row>
    <row r="939" ht="17.2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</row>
    <row r="940" ht="17.2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</row>
    <row r="941" ht="17.2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</row>
    <row r="942" ht="17.2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</row>
    <row r="943" ht="17.2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</row>
    <row r="944" ht="17.2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</row>
    <row r="945" ht="17.2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</row>
    <row r="946" ht="17.2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</row>
    <row r="947" ht="17.2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</row>
    <row r="948" ht="17.2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</row>
    <row r="949" ht="17.2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</row>
    <row r="950" ht="17.2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</row>
    <row r="951" ht="17.2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</row>
    <row r="952" ht="17.2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</row>
    <row r="953" ht="17.2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</row>
    <row r="954" ht="17.2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</row>
    <row r="955" ht="17.2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</row>
    <row r="956" ht="17.2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</row>
    <row r="957" ht="17.2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</row>
    <row r="958" ht="17.2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</row>
    <row r="959" ht="17.2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</row>
    <row r="960" ht="17.2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</row>
    <row r="961" ht="17.2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</row>
    <row r="962" ht="17.2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</row>
    <row r="963" ht="17.2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</row>
    <row r="964" ht="17.2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</row>
    <row r="965" ht="17.2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</row>
    <row r="966" ht="17.2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</row>
    <row r="967" ht="17.2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</row>
    <row r="968" ht="17.2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</row>
    <row r="969" ht="17.2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</row>
    <row r="970" ht="17.2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</row>
    <row r="971" ht="17.2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</row>
    <row r="972" ht="17.2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</row>
    <row r="973" ht="17.2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</row>
    <row r="974" ht="17.2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</row>
    <row r="975" ht="17.2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</row>
    <row r="976" ht="17.2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</row>
    <row r="977" ht="17.2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</row>
    <row r="978" ht="17.2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</row>
    <row r="979" ht="17.2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</row>
    <row r="980" ht="17.2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</row>
    <row r="981" ht="17.2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</row>
    <row r="982" ht="17.2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</row>
    <row r="983" ht="17.2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</row>
    <row r="984" ht="17.2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</row>
    <row r="985" ht="17.2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</row>
    <row r="986" ht="17.2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</row>
    <row r="987" ht="17.2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</row>
    <row r="988" ht="17.2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</row>
  </sheetData>
  <conditionalFormatting sqref="A1:Z1">
    <cfRule type="notContainsBlanks" dxfId="0" priority="1">
      <formula>LEN(TRIM(A1))&gt;0</formula>
    </cfRule>
  </conditionalFormatting>
  <hyperlinks>
    <hyperlink r:id="rId1" ref="H2"/>
    <hyperlink r:id="rId2" ref="H3"/>
    <hyperlink r:id="rId3" ref="H4"/>
    <hyperlink r:id="rId4" ref="I4"/>
    <hyperlink r:id="rId5" ref="H5"/>
    <hyperlink r:id="rId6" ref="I5"/>
    <hyperlink r:id="rId7" ref="H6"/>
    <hyperlink r:id="rId8" ref="I6"/>
    <hyperlink r:id="rId9" ref="H7"/>
    <hyperlink r:id="rId10" ref="H8"/>
    <hyperlink r:id="rId11" ref="H9"/>
    <hyperlink r:id="rId12" ref="H10"/>
    <hyperlink r:id="rId13" ref="J10"/>
    <hyperlink r:id="rId14" ref="H11"/>
    <hyperlink r:id="rId15" ref="I11"/>
    <hyperlink r:id="rId16" ref="H12"/>
    <hyperlink r:id="rId17" ref="I12"/>
    <hyperlink r:id="rId18" ref="H13"/>
    <hyperlink r:id="rId19" ref="I13"/>
    <hyperlink r:id="rId20" ref="J13"/>
    <hyperlink r:id="rId21" ref="H14"/>
    <hyperlink r:id="rId22" ref="I14"/>
    <hyperlink r:id="rId23" ref="J14"/>
    <hyperlink r:id="rId24" ref="H15"/>
    <hyperlink r:id="rId25" ref="J15"/>
    <hyperlink r:id="rId26" ref="H16"/>
    <hyperlink r:id="rId27" ref="I16"/>
    <hyperlink r:id="rId28" ref="J16"/>
    <hyperlink r:id="rId29" ref="H17"/>
    <hyperlink r:id="rId30" ref="J17"/>
    <hyperlink r:id="rId31" ref="H18"/>
    <hyperlink r:id="rId32" ref="I18"/>
    <hyperlink r:id="rId33" ref="J18"/>
    <hyperlink r:id="rId34" ref="H19"/>
    <hyperlink r:id="rId35" ref="I19"/>
    <hyperlink r:id="rId36" ref="J19"/>
    <hyperlink r:id="rId37" ref="L19"/>
    <hyperlink r:id="rId38" ref="H20"/>
    <hyperlink r:id="rId39" ref="I20"/>
    <hyperlink r:id="rId40" ref="J20"/>
    <hyperlink r:id="rId41" ref="H21"/>
    <hyperlink r:id="rId42" ref="I21"/>
    <hyperlink r:id="rId43" ref="J21"/>
    <hyperlink r:id="rId44" ref="H22"/>
    <hyperlink r:id="rId45" ref="I22"/>
    <hyperlink r:id="rId46" ref="J22"/>
    <hyperlink r:id="rId47" ref="H23"/>
    <hyperlink r:id="rId48" ref="I23"/>
    <hyperlink r:id="rId49" ref="J23"/>
    <hyperlink r:id="rId50" ref="H24"/>
    <hyperlink r:id="rId51" ref="I24"/>
    <hyperlink r:id="rId52" ref="J24"/>
    <hyperlink r:id="rId53" ref="H25"/>
    <hyperlink r:id="rId54" ref="I25"/>
    <hyperlink r:id="rId55" ref="J25"/>
    <hyperlink r:id="rId56" ref="L25"/>
    <hyperlink r:id="rId57" ref="H26"/>
    <hyperlink r:id="rId58" ref="I26"/>
    <hyperlink r:id="rId59" ref="J26"/>
    <hyperlink r:id="rId60" ref="H27"/>
    <hyperlink r:id="rId61" ref="I27"/>
    <hyperlink r:id="rId62" ref="J27"/>
    <hyperlink r:id="rId63" ref="K27"/>
    <hyperlink r:id="rId64" ref="L27"/>
    <hyperlink r:id="rId65" ref="H28"/>
    <hyperlink r:id="rId66" ref="I28"/>
    <hyperlink r:id="rId67" ref="J28"/>
    <hyperlink r:id="rId68" ref="H29"/>
    <hyperlink r:id="rId69" ref="I29"/>
    <hyperlink r:id="rId70" ref="J29"/>
    <hyperlink r:id="rId71" ref="H30"/>
    <hyperlink r:id="rId72" ref="I30"/>
    <hyperlink r:id="rId73" ref="J30"/>
    <hyperlink r:id="rId74" ref="K30"/>
    <hyperlink r:id="rId75" ref="H31"/>
    <hyperlink r:id="rId76" ref="I31"/>
    <hyperlink r:id="rId77" ref="J31"/>
    <hyperlink r:id="rId78" ref="H32"/>
    <hyperlink r:id="rId79" ref="I32"/>
    <hyperlink r:id="rId80" ref="H33"/>
    <hyperlink r:id="rId81" ref="I33"/>
    <hyperlink r:id="rId82" ref="H34"/>
    <hyperlink r:id="rId83" ref="I34"/>
    <hyperlink r:id="rId84" ref="H35"/>
    <hyperlink r:id="rId85" ref="I35"/>
    <hyperlink r:id="rId86" ref="H36"/>
    <hyperlink r:id="rId87" ref="I36"/>
    <hyperlink r:id="rId88" ref="H37"/>
    <hyperlink r:id="rId89" ref="I37"/>
    <hyperlink r:id="rId90" ref="H38"/>
    <hyperlink r:id="rId91" ref="I38"/>
    <hyperlink r:id="rId92" ref="H39"/>
    <hyperlink r:id="rId93" ref="I39"/>
    <hyperlink r:id="rId94" ref="H40"/>
    <hyperlink r:id="rId95" ref="I40"/>
    <hyperlink r:id="rId96" ref="H41"/>
    <hyperlink r:id="rId97" ref="I41"/>
    <hyperlink r:id="rId98" ref="H42"/>
    <hyperlink r:id="rId99" ref="I42"/>
    <hyperlink r:id="rId100" ref="H43"/>
    <hyperlink r:id="rId101" ref="I43"/>
    <hyperlink r:id="rId102" ref="H44"/>
    <hyperlink r:id="rId103" ref="I44"/>
    <hyperlink r:id="rId104" ref="H45"/>
    <hyperlink r:id="rId105" ref="I45"/>
    <hyperlink r:id="rId106" ref="H46"/>
    <hyperlink r:id="rId107" ref="I46"/>
    <hyperlink r:id="rId108" ref="H47"/>
    <hyperlink r:id="rId109" ref="I47"/>
    <hyperlink r:id="rId110" ref="H48"/>
    <hyperlink r:id="rId111" ref="I48"/>
    <hyperlink r:id="rId112" ref="H49"/>
    <hyperlink r:id="rId113" ref="I49"/>
    <hyperlink r:id="rId114" ref="H50"/>
    <hyperlink r:id="rId115" ref="I50"/>
    <hyperlink r:id="rId116" ref="H51"/>
    <hyperlink r:id="rId117" ref="I51"/>
    <hyperlink r:id="rId118" ref="H52"/>
    <hyperlink r:id="rId119" ref="I52"/>
    <hyperlink r:id="rId120" ref="H53"/>
    <hyperlink r:id="rId121" ref="I53"/>
    <hyperlink r:id="rId122" ref="H54"/>
    <hyperlink r:id="rId123" ref="I54"/>
    <hyperlink r:id="rId124" ref="H55"/>
    <hyperlink r:id="rId125" ref="I55"/>
    <hyperlink r:id="rId126" ref="H56"/>
    <hyperlink r:id="rId127" ref="I56"/>
    <hyperlink r:id="rId128" ref="H57"/>
    <hyperlink r:id="rId129" ref="I57"/>
    <hyperlink r:id="rId130" ref="H58"/>
    <hyperlink r:id="rId131" ref="I58"/>
    <hyperlink r:id="rId132" ref="H59"/>
    <hyperlink r:id="rId133" ref="I59"/>
    <hyperlink r:id="rId134" ref="H60"/>
    <hyperlink r:id="rId135" ref="I60"/>
    <hyperlink r:id="rId136" ref="H61"/>
    <hyperlink r:id="rId137" ref="I61"/>
    <hyperlink r:id="rId138" ref="H62"/>
    <hyperlink r:id="rId139" ref="I62"/>
    <hyperlink r:id="rId140" ref="H63"/>
    <hyperlink r:id="rId141" ref="I63"/>
    <hyperlink r:id="rId142" ref="H64"/>
    <hyperlink r:id="rId143" ref="I64"/>
    <hyperlink r:id="rId144" ref="H65"/>
    <hyperlink r:id="rId145" ref="I65"/>
    <hyperlink r:id="rId146" ref="H66"/>
    <hyperlink r:id="rId147" ref="I66"/>
    <hyperlink r:id="rId148" ref="H67"/>
    <hyperlink r:id="rId149" ref="I67"/>
    <hyperlink r:id="rId150" ref="H68"/>
    <hyperlink r:id="rId151" ref="I68"/>
    <hyperlink r:id="rId152" ref="L68"/>
    <hyperlink r:id="rId153" ref="H69"/>
    <hyperlink r:id="rId154" ref="I69"/>
    <hyperlink r:id="rId155" ref="H70"/>
    <hyperlink r:id="rId156" ref="I70"/>
    <hyperlink r:id="rId157" ref="H71"/>
    <hyperlink r:id="rId158" ref="I71"/>
    <hyperlink r:id="rId159" ref="H72"/>
    <hyperlink r:id="rId160" ref="I72"/>
    <hyperlink r:id="rId161" ref="H73"/>
    <hyperlink r:id="rId162" ref="I73"/>
    <hyperlink r:id="rId163" ref="H74"/>
    <hyperlink r:id="rId164" ref="I74"/>
    <hyperlink r:id="rId165" ref="H75"/>
    <hyperlink r:id="rId166" ref="I75"/>
    <hyperlink r:id="rId167" ref="H76"/>
    <hyperlink r:id="rId168" ref="I76"/>
    <hyperlink r:id="rId169" ref="H77"/>
    <hyperlink r:id="rId170" ref="I77"/>
    <hyperlink r:id="rId171" ref="H78"/>
    <hyperlink r:id="rId172" ref="I78"/>
    <hyperlink r:id="rId173" ref="H79"/>
    <hyperlink r:id="rId174" ref="I79"/>
    <hyperlink r:id="rId175" ref="H80"/>
    <hyperlink r:id="rId176" ref="I80"/>
    <hyperlink r:id="rId177" ref="H81"/>
    <hyperlink r:id="rId178" ref="I81"/>
    <hyperlink r:id="rId179" ref="H82"/>
    <hyperlink r:id="rId180" ref="I82"/>
    <hyperlink r:id="rId181" ref="H83"/>
    <hyperlink r:id="rId182" ref="I83"/>
    <hyperlink r:id="rId183" ref="H84"/>
    <hyperlink r:id="rId184" ref="I84"/>
    <hyperlink r:id="rId185" ref="H85"/>
    <hyperlink r:id="rId186" ref="I85"/>
    <hyperlink r:id="rId187" ref="H86"/>
    <hyperlink r:id="rId188" ref="I86"/>
    <hyperlink r:id="rId189" ref="L86"/>
    <hyperlink r:id="rId190" ref="H87"/>
    <hyperlink r:id="rId191" ref="I87"/>
    <hyperlink r:id="rId192" ref="H88"/>
    <hyperlink r:id="rId193" ref="I88"/>
    <hyperlink r:id="rId194" ref="H89"/>
    <hyperlink r:id="rId195" ref="I89"/>
    <hyperlink r:id="rId196" ref="H90"/>
    <hyperlink r:id="rId197" ref="I90"/>
    <hyperlink r:id="rId198" ref="H91"/>
    <hyperlink r:id="rId199" ref="I91"/>
    <hyperlink r:id="rId200" ref="H92"/>
    <hyperlink r:id="rId201" ref="I92"/>
    <hyperlink r:id="rId202" ref="H93"/>
    <hyperlink r:id="rId203" ref="I93"/>
    <hyperlink r:id="rId204" ref="H94"/>
    <hyperlink r:id="rId205" ref="I94"/>
    <hyperlink r:id="rId206" ref="H95"/>
    <hyperlink r:id="rId207" ref="I95"/>
    <hyperlink r:id="rId208" ref="H96"/>
    <hyperlink r:id="rId209" ref="I96"/>
    <hyperlink r:id="rId210" ref="H97"/>
    <hyperlink r:id="rId211" ref="I97"/>
    <hyperlink r:id="rId212" ref="H98"/>
    <hyperlink r:id="rId213" ref="H99"/>
    <hyperlink r:id="rId214" ref="H100"/>
    <hyperlink r:id="rId215" ref="H101"/>
    <hyperlink r:id="rId216" ref="H102"/>
    <hyperlink r:id="rId217" ref="H103"/>
    <hyperlink r:id="rId218" ref="H104"/>
    <hyperlink r:id="rId219" ref="I104"/>
    <hyperlink r:id="rId220" ref="J104"/>
    <hyperlink r:id="rId221" ref="H105"/>
    <hyperlink r:id="rId222" ref="H106"/>
    <hyperlink r:id="rId223" ref="I106"/>
    <hyperlink r:id="rId224" ref="J106"/>
    <hyperlink r:id="rId225" ref="H107"/>
    <hyperlink r:id="rId226" ref="I107"/>
    <hyperlink r:id="rId227" ref="J107"/>
    <hyperlink r:id="rId228" ref="H108"/>
    <hyperlink r:id="rId229" ref="H109"/>
    <hyperlink r:id="rId230" ref="H110"/>
    <hyperlink r:id="rId231" ref="H111"/>
    <hyperlink r:id="rId232" ref="H112"/>
    <hyperlink r:id="rId233" ref="I112"/>
    <hyperlink r:id="rId234" ref="H113"/>
    <hyperlink r:id="rId235" ref="J114"/>
    <hyperlink r:id="rId236" ref="H115"/>
    <hyperlink r:id="rId237" ref="H116"/>
    <hyperlink r:id="rId238" ref="I116"/>
    <hyperlink r:id="rId239" ref="H117"/>
    <hyperlink r:id="rId240" ref="H118"/>
    <hyperlink r:id="rId241" ref="I118"/>
    <hyperlink r:id="rId242" ref="J119"/>
    <hyperlink r:id="rId243" ref="H120"/>
    <hyperlink r:id="rId244" ref="I120"/>
    <hyperlink r:id="rId245" ref="H121"/>
    <hyperlink r:id="rId246" ref="I121"/>
    <hyperlink r:id="rId247" ref="H122"/>
    <hyperlink r:id="rId248" ref="H123"/>
    <hyperlink r:id="rId249" ref="I123"/>
    <hyperlink r:id="rId250" ref="H124"/>
    <hyperlink r:id="rId251" ref="H125"/>
    <hyperlink r:id="rId252" ref="H126"/>
    <hyperlink r:id="rId253" ref="I126"/>
    <hyperlink r:id="rId254" ref="H127"/>
    <hyperlink r:id="rId255" ref="I127"/>
    <hyperlink r:id="rId256" ref="H128"/>
    <hyperlink r:id="rId257" ref="H129"/>
    <hyperlink r:id="rId258" ref="H130"/>
    <hyperlink r:id="rId259" ref="I130"/>
    <hyperlink r:id="rId260" ref="H131"/>
    <hyperlink r:id="rId261" ref="H132"/>
    <hyperlink r:id="rId262" ref="I132"/>
    <hyperlink r:id="rId263" ref="H133"/>
    <hyperlink r:id="rId264" ref="H134"/>
    <hyperlink r:id="rId265" ref="H135"/>
    <hyperlink r:id="rId266" ref="H136"/>
    <hyperlink r:id="rId267" ref="H137"/>
    <hyperlink r:id="rId268" ref="J138"/>
    <hyperlink r:id="rId269" ref="H139"/>
    <hyperlink r:id="rId270" ref="H140"/>
    <hyperlink r:id="rId271" ref="H141"/>
    <hyperlink r:id="rId272" ref="H142"/>
    <hyperlink r:id="rId273" ref="I142"/>
    <hyperlink r:id="rId274" ref="H143"/>
    <hyperlink r:id="rId275" ref="I143"/>
    <hyperlink r:id="rId276" ref="H144"/>
    <hyperlink r:id="rId277" ref="H145"/>
    <hyperlink r:id="rId278" ref="H146"/>
    <hyperlink r:id="rId279" ref="I146"/>
    <hyperlink r:id="rId280" ref="H147"/>
    <hyperlink r:id="rId281" ref="I147"/>
    <hyperlink r:id="rId282" ref="H148"/>
    <hyperlink r:id="rId283" ref="I148"/>
    <hyperlink r:id="rId284" ref="H149"/>
    <hyperlink r:id="rId285" ref="H150"/>
    <hyperlink r:id="rId286" ref="H151"/>
    <hyperlink r:id="rId287" ref="H152"/>
    <hyperlink r:id="rId288" ref="H153"/>
    <hyperlink r:id="rId289" ref="I153"/>
    <hyperlink r:id="rId290" ref="H154"/>
    <hyperlink r:id="rId291" ref="L154"/>
    <hyperlink r:id="rId292" ref="H155"/>
    <hyperlink r:id="rId293" ref="I155"/>
    <hyperlink r:id="rId294" ref="H156"/>
    <hyperlink r:id="rId295" ref="I156"/>
    <hyperlink r:id="rId296" ref="H157"/>
    <hyperlink r:id="rId297" ref="I157"/>
    <hyperlink r:id="rId298" ref="H158"/>
    <hyperlink r:id="rId299" ref="H159"/>
    <hyperlink r:id="rId300" ref="H160"/>
    <hyperlink r:id="rId301" ref="I160"/>
    <hyperlink r:id="rId302" ref="H161"/>
    <hyperlink r:id="rId303" ref="H162"/>
    <hyperlink r:id="rId304" ref="H163"/>
    <hyperlink r:id="rId305" ref="H164"/>
    <hyperlink r:id="rId306" ref="H165"/>
    <hyperlink r:id="rId307" ref="I165"/>
    <hyperlink r:id="rId308" ref="H166"/>
    <hyperlink r:id="rId309" ref="H167"/>
    <hyperlink r:id="rId310" ref="I167"/>
    <hyperlink r:id="rId311" ref="H168"/>
    <hyperlink r:id="rId312" ref="H169"/>
    <hyperlink r:id="rId313" ref="H170"/>
    <hyperlink r:id="rId314" ref="H171"/>
    <hyperlink r:id="rId315" ref="I171"/>
    <hyperlink r:id="rId316" ref="H172"/>
    <hyperlink r:id="rId317" ref="I172"/>
    <hyperlink r:id="rId318" ref="H173"/>
    <hyperlink r:id="rId319" ref="I173"/>
    <hyperlink r:id="rId320" ref="H174"/>
    <hyperlink r:id="rId321" ref="I174"/>
    <hyperlink r:id="rId322" ref="H175"/>
    <hyperlink r:id="rId323" ref="H176"/>
    <hyperlink r:id="rId324" ref="K176"/>
    <hyperlink r:id="rId325" ref="H177"/>
    <hyperlink r:id="rId326" ref="H178"/>
    <hyperlink r:id="rId327" ref="I178"/>
    <hyperlink r:id="rId328" ref="H179"/>
    <hyperlink r:id="rId329" ref="J179"/>
    <hyperlink r:id="rId330" ref="H180"/>
    <hyperlink r:id="rId331" ref="I180"/>
    <hyperlink r:id="rId332" ref="H181"/>
    <hyperlink r:id="rId333" ref="I181"/>
    <hyperlink r:id="rId334" ref="J182"/>
    <hyperlink r:id="rId335" ref="H183"/>
    <hyperlink r:id="rId336" ref="I183"/>
    <hyperlink r:id="rId337" ref="H184"/>
    <hyperlink r:id="rId338" ref="I184"/>
    <hyperlink r:id="rId339" ref="H185"/>
    <hyperlink r:id="rId340" ref="H186"/>
    <hyperlink r:id="rId341" ref="I186"/>
    <hyperlink r:id="rId342" ref="H187"/>
    <hyperlink r:id="rId343" ref="I187"/>
    <hyperlink r:id="rId344" ref="H188"/>
    <hyperlink r:id="rId345" ref="H189"/>
    <hyperlink r:id="rId346" ref="H190"/>
    <hyperlink r:id="rId347" ref="H191"/>
    <hyperlink r:id="rId348" ref="H192"/>
    <hyperlink r:id="rId349" ref="H193"/>
    <hyperlink r:id="rId350" ref="I193"/>
    <hyperlink r:id="rId351" ref="H194"/>
    <hyperlink r:id="rId352" ref="H195"/>
    <hyperlink r:id="rId353" ref="I195"/>
    <hyperlink r:id="rId354" ref="H196"/>
    <hyperlink r:id="rId355" ref="I196"/>
    <hyperlink r:id="rId356" ref="H197"/>
    <hyperlink r:id="rId357" ref="H198"/>
    <hyperlink r:id="rId358" ref="H199"/>
    <hyperlink r:id="rId359" ref="I199"/>
    <hyperlink r:id="rId360" ref="J200"/>
    <hyperlink r:id="rId361" ref="H201"/>
    <hyperlink r:id="rId362" ref="I201"/>
    <hyperlink r:id="rId363" ref="H202"/>
    <hyperlink r:id="rId364" ref="I202"/>
    <hyperlink r:id="rId365" ref="H203"/>
    <hyperlink r:id="rId366" ref="I203"/>
    <hyperlink r:id="rId367" ref="H204"/>
    <hyperlink r:id="rId368" ref="L204"/>
    <hyperlink r:id="rId369" ref="H205"/>
    <hyperlink r:id="rId370" ref="H206"/>
    <hyperlink r:id="rId371" ref="H207"/>
    <hyperlink r:id="rId372" ref="H208"/>
    <hyperlink r:id="rId373" ref="H209"/>
    <hyperlink r:id="rId374" ref="H210"/>
    <hyperlink r:id="rId375" ref="I210"/>
    <hyperlink r:id="rId376" ref="H211"/>
    <hyperlink r:id="rId377" ref="I211"/>
    <hyperlink r:id="rId378" ref="H212"/>
    <hyperlink r:id="rId379" ref="H213"/>
    <hyperlink r:id="rId380" ref="I213"/>
    <hyperlink r:id="rId381" ref="H214"/>
    <hyperlink r:id="rId382" ref="H215"/>
    <hyperlink r:id="rId383" ref="J215"/>
    <hyperlink r:id="rId384" ref="H216"/>
    <hyperlink r:id="rId385" ref="L216"/>
    <hyperlink r:id="rId386" ref="H217"/>
    <hyperlink r:id="rId387" ref="H218"/>
    <hyperlink r:id="rId388" ref="I218"/>
    <hyperlink r:id="rId389" ref="H219"/>
    <hyperlink r:id="rId390" ref="I219"/>
    <hyperlink r:id="rId391" ref="H220"/>
    <hyperlink r:id="rId392" ref="H221"/>
    <hyperlink r:id="rId393" ref="J221"/>
    <hyperlink r:id="rId394" ref="H222"/>
    <hyperlink r:id="rId395" ref="I222"/>
    <hyperlink r:id="rId396" ref="H223"/>
    <hyperlink r:id="rId397" ref="H224"/>
    <hyperlink r:id="rId398" ref="H225"/>
    <hyperlink r:id="rId399" ref="H226"/>
    <hyperlink r:id="rId400" ref="H227"/>
    <hyperlink r:id="rId401" ref="I227"/>
    <hyperlink r:id="rId402" ref="H228"/>
    <hyperlink r:id="rId403" ref="H229"/>
    <hyperlink r:id="rId404" ref="H230"/>
    <hyperlink r:id="rId405" ref="I230"/>
    <hyperlink r:id="rId406" ref="H231"/>
    <hyperlink r:id="rId407" ref="J232"/>
    <hyperlink r:id="rId408" ref="H233"/>
    <hyperlink r:id="rId409" ref="H234"/>
    <hyperlink r:id="rId410" ref="H235"/>
    <hyperlink r:id="rId411" ref="I235"/>
    <hyperlink r:id="rId412" ref="H236"/>
    <hyperlink r:id="rId413" ref="H237"/>
    <hyperlink r:id="rId414" ref="H238"/>
    <hyperlink r:id="rId415" ref="H239"/>
    <hyperlink r:id="rId416" ref="H240"/>
    <hyperlink r:id="rId417" ref="I240"/>
    <hyperlink r:id="rId418" ref="H241"/>
    <hyperlink r:id="rId419" ref="H242"/>
    <hyperlink r:id="rId420" ref="J243"/>
    <hyperlink r:id="rId421" ref="H244"/>
    <hyperlink r:id="rId422" ref="I244"/>
    <hyperlink r:id="rId423" ref="H245"/>
    <hyperlink r:id="rId424" ref="I245"/>
    <hyperlink r:id="rId425" ref="H246"/>
    <hyperlink r:id="rId426" ref="H247"/>
    <hyperlink r:id="rId427" ref="H248"/>
    <hyperlink r:id="rId428" ref="H249"/>
    <hyperlink r:id="rId429" ref="H250"/>
    <hyperlink r:id="rId430" ref="J250"/>
    <hyperlink r:id="rId431" ref="H251"/>
    <hyperlink r:id="rId432" ref="I251"/>
    <hyperlink r:id="rId433" ref="H252"/>
    <hyperlink r:id="rId434" ref="H253"/>
    <hyperlink r:id="rId435" ref="H254"/>
    <hyperlink r:id="rId436" ref="H255"/>
    <hyperlink r:id="rId437" ref="H256"/>
    <hyperlink r:id="rId438" ref="J256"/>
    <hyperlink r:id="rId439" ref="H257"/>
    <hyperlink r:id="rId440" ref="H258"/>
    <hyperlink r:id="rId441" ref="H259"/>
    <hyperlink r:id="rId442" ref="H260"/>
    <hyperlink r:id="rId443" ref="J261"/>
    <hyperlink r:id="rId444" ref="H262"/>
    <hyperlink r:id="rId445" ref="I262"/>
    <hyperlink r:id="rId446" ref="H263"/>
    <hyperlink r:id="rId447" ref="H264"/>
    <hyperlink r:id="rId448" ref="I265"/>
    <hyperlink r:id="rId449" ref="H266"/>
    <hyperlink r:id="rId450" ref="H267"/>
    <hyperlink r:id="rId451" ref="I267"/>
    <hyperlink r:id="rId452" ref="H268"/>
    <hyperlink r:id="rId453" ref="H269"/>
    <hyperlink r:id="rId454" ref="H270"/>
    <hyperlink r:id="rId455" ref="H271"/>
    <hyperlink r:id="rId456" ref="H272"/>
    <hyperlink r:id="rId457" ref="I272"/>
    <hyperlink r:id="rId458" ref="J273"/>
    <hyperlink r:id="rId459" ref="H274"/>
    <hyperlink r:id="rId460" ref="I274"/>
    <hyperlink r:id="rId461" ref="H275"/>
    <hyperlink r:id="rId462" ref="H276"/>
    <hyperlink r:id="rId463" ref="I276"/>
    <hyperlink r:id="rId464" ref="H277"/>
    <hyperlink r:id="rId465" ref="H278"/>
    <hyperlink r:id="rId466" ref="H279"/>
    <hyperlink r:id="rId467" ref="I279"/>
    <hyperlink r:id="rId468" ref="H280"/>
    <hyperlink r:id="rId469" ref="H281"/>
    <hyperlink r:id="rId470" ref="I281"/>
    <hyperlink r:id="rId471" ref="H282"/>
    <hyperlink r:id="rId472" ref="H283"/>
    <hyperlink r:id="rId473" ref="H284"/>
    <hyperlink r:id="rId474" ref="I284"/>
    <hyperlink r:id="rId475" ref="H285"/>
    <hyperlink r:id="rId476" ref="I285"/>
    <hyperlink r:id="rId477" ref="H286"/>
    <hyperlink r:id="rId478" ref="I286"/>
    <hyperlink r:id="rId479" ref="H287"/>
    <hyperlink r:id="rId480" ref="H288"/>
    <hyperlink r:id="rId481" ref="H289"/>
    <hyperlink r:id="rId482" ref="H290"/>
    <hyperlink r:id="rId483" ref="I290"/>
    <hyperlink r:id="rId484" ref="H291"/>
    <hyperlink r:id="rId485" ref="J291"/>
    <hyperlink r:id="rId486" ref="H292"/>
    <hyperlink r:id="rId487" ref="H293"/>
    <hyperlink r:id="rId488" ref="J293"/>
    <hyperlink r:id="rId489" ref="L293"/>
    <hyperlink r:id="rId490" ref="H294"/>
    <hyperlink r:id="rId491" ref="L294"/>
    <hyperlink r:id="rId492" ref="H295"/>
    <hyperlink r:id="rId493" ref="I296"/>
    <hyperlink r:id="rId494" ref="J297"/>
    <hyperlink r:id="rId495" ref="H298"/>
    <hyperlink r:id="rId496" ref="I298"/>
    <hyperlink r:id="rId497" ref="H299"/>
    <hyperlink r:id="rId498" ref="H300"/>
    <hyperlink r:id="rId499" ref="I301"/>
    <hyperlink r:id="rId500" ref="H302"/>
    <hyperlink r:id="rId501" ref="I302"/>
    <hyperlink r:id="rId502" ref="J303"/>
    <hyperlink r:id="rId503" ref="H304"/>
    <hyperlink r:id="rId504" ref="I304"/>
    <hyperlink r:id="rId505" ref="J304"/>
    <hyperlink r:id="rId506" ref="K304"/>
    <hyperlink r:id="rId507" ref="L304"/>
    <hyperlink r:id="rId508" ref="H305"/>
    <hyperlink r:id="rId509" ref="I305"/>
    <hyperlink r:id="rId510" ref="J305"/>
    <hyperlink r:id="rId511" ref="H306"/>
    <hyperlink r:id="rId512" ref="H307"/>
    <hyperlink r:id="rId513" ref="I307"/>
    <hyperlink r:id="rId514" ref="H308"/>
    <hyperlink r:id="rId515" ref="H309"/>
    <hyperlink r:id="rId516" ref="J310"/>
    <hyperlink r:id="rId517" ref="H311"/>
    <hyperlink r:id="rId518" ref="I311"/>
    <hyperlink r:id="rId519" ref="H312"/>
    <hyperlink r:id="rId520" ref="I312"/>
    <hyperlink r:id="rId521" ref="H313"/>
    <hyperlink r:id="rId522" ref="J314"/>
    <hyperlink r:id="rId523" ref="H315"/>
    <hyperlink r:id="rId524" ref="J315"/>
    <hyperlink r:id="rId525" ref="H316"/>
    <hyperlink r:id="rId526" ref="J316"/>
    <hyperlink r:id="rId527" ref="H317"/>
    <hyperlink r:id="rId528" ref="H318"/>
    <hyperlink r:id="rId529" ref="I318"/>
    <hyperlink r:id="rId530" ref="H319"/>
    <hyperlink r:id="rId531" ref="I319"/>
    <hyperlink r:id="rId532" ref="J320"/>
    <hyperlink r:id="rId533" ref="L320"/>
    <hyperlink r:id="rId534" ref="H321"/>
    <hyperlink r:id="rId535" ref="I321"/>
    <hyperlink r:id="rId536" ref="H322"/>
    <hyperlink r:id="rId537" ref="H323"/>
    <hyperlink r:id="rId538" ref="I323"/>
    <hyperlink r:id="rId539" ref="H324"/>
    <hyperlink r:id="rId540" ref="J324"/>
    <hyperlink r:id="rId541" ref="H325"/>
    <hyperlink r:id="rId542" ref="I325"/>
    <hyperlink r:id="rId543" ref="H326"/>
    <hyperlink r:id="rId544" ref="I326"/>
    <hyperlink r:id="rId545" ref="H327"/>
    <hyperlink r:id="rId546" ref="I327"/>
    <hyperlink r:id="rId547" ref="H328"/>
    <hyperlink r:id="rId548" ref="I328"/>
    <hyperlink r:id="rId549" ref="H329"/>
    <hyperlink r:id="rId550" ref="I329"/>
    <hyperlink r:id="rId551" ref="H330"/>
    <hyperlink r:id="rId552" ref="J331"/>
    <hyperlink r:id="rId553" ref="H332"/>
    <hyperlink r:id="rId554" ref="I332"/>
    <hyperlink r:id="rId555" ref="H333"/>
    <hyperlink r:id="rId556" ref="I333"/>
    <hyperlink r:id="rId557" ref="H334"/>
    <hyperlink r:id="rId558" ref="H335"/>
    <hyperlink r:id="rId559" ref="I335"/>
    <hyperlink r:id="rId560" ref="H336"/>
    <hyperlink r:id="rId561" ref="H337"/>
    <hyperlink r:id="rId562" ref="I337"/>
    <hyperlink r:id="rId563" ref="H338"/>
    <hyperlink r:id="rId564" ref="J338"/>
    <hyperlink r:id="rId565" ref="H339"/>
    <hyperlink r:id="rId566" ref="L339"/>
    <hyperlink r:id="rId567" ref="J340"/>
    <hyperlink r:id="rId568" ref="H341"/>
    <hyperlink r:id="rId569" ref="I341"/>
    <hyperlink r:id="rId570" ref="H342"/>
    <hyperlink r:id="rId571" ref="H343"/>
    <hyperlink r:id="rId572" ref="H344"/>
    <hyperlink r:id="rId573" ref="L344"/>
    <hyperlink r:id="rId574" ref="H345"/>
    <hyperlink r:id="rId575" ref="H346"/>
    <hyperlink r:id="rId576" ref="H347"/>
    <hyperlink r:id="rId577" ref="I347"/>
    <hyperlink r:id="rId578" ref="J348"/>
    <hyperlink r:id="rId579" ref="H349"/>
    <hyperlink r:id="rId580" ref="H350"/>
    <hyperlink r:id="rId581" ref="H351"/>
    <hyperlink r:id="rId582" ref="I351"/>
    <hyperlink r:id="rId583" ref="H352"/>
    <hyperlink r:id="rId584" ref="H353"/>
    <hyperlink r:id="rId585" ref="H354"/>
    <hyperlink r:id="rId586" ref="H355"/>
    <hyperlink r:id="rId587" ref="L355"/>
    <hyperlink r:id="rId588" ref="H356"/>
    <hyperlink r:id="rId589" ref="I356"/>
    <hyperlink r:id="rId590" ref="H357"/>
    <hyperlink r:id="rId591" ref="L357"/>
    <hyperlink r:id="rId592" ref="H358"/>
    <hyperlink r:id="rId593" ref="J358"/>
    <hyperlink r:id="rId594" ref="J359"/>
    <hyperlink r:id="rId595" ref="H360"/>
    <hyperlink r:id="rId596" ref="I360"/>
    <hyperlink r:id="rId597" ref="J361"/>
    <hyperlink r:id="rId598" ref="H362"/>
    <hyperlink r:id="rId599" ref="J362"/>
    <hyperlink r:id="rId600" ref="H363"/>
    <hyperlink r:id="rId601" ref="I363"/>
    <hyperlink r:id="rId602" ref="H364"/>
    <hyperlink r:id="rId603" ref="H365"/>
    <hyperlink r:id="rId604" ref="H366"/>
    <hyperlink r:id="rId605" ref="I366"/>
    <hyperlink r:id="rId606" ref="H367"/>
    <hyperlink r:id="rId607" ref="I367"/>
    <hyperlink r:id="rId608" ref="H368"/>
    <hyperlink r:id="rId609" ref="I368"/>
    <hyperlink r:id="rId610" ref="H369"/>
    <hyperlink r:id="rId611" ref="I369"/>
    <hyperlink r:id="rId612" ref="H370"/>
    <hyperlink r:id="rId613" ref="H371"/>
    <hyperlink r:id="rId614" ref="I371"/>
    <hyperlink r:id="rId615" ref="H372"/>
    <hyperlink r:id="rId616" ref="H373"/>
    <hyperlink r:id="rId617" ref="I373"/>
    <hyperlink r:id="rId618" ref="J373"/>
    <hyperlink r:id="rId619" ref="H374"/>
    <hyperlink r:id="rId620" ref="I374"/>
    <hyperlink r:id="rId621" ref="H375"/>
    <hyperlink r:id="rId622" ref="I375"/>
    <hyperlink r:id="rId623" ref="H376"/>
    <hyperlink r:id="rId624" ref="J376"/>
    <hyperlink r:id="rId625" ref="H377"/>
    <hyperlink r:id="rId626" ref="I377"/>
    <hyperlink r:id="rId627" ref="J377"/>
    <hyperlink r:id="rId628" ref="H378"/>
    <hyperlink r:id="rId629" ref="H379"/>
    <hyperlink r:id="rId630" ref="I379"/>
    <hyperlink r:id="rId631" ref="H380"/>
    <hyperlink r:id="rId632" ref="J381"/>
    <hyperlink r:id="rId633" ref="H382"/>
    <hyperlink r:id="rId634" ref="H383"/>
    <hyperlink r:id="rId635" ref="H384"/>
    <hyperlink r:id="rId636" ref="H385"/>
    <hyperlink r:id="rId637" ref="H386"/>
    <hyperlink r:id="rId638" ref="I386"/>
    <hyperlink r:id="rId639" ref="H387"/>
    <hyperlink r:id="rId640" ref="I387"/>
    <hyperlink r:id="rId641" ref="J388"/>
    <hyperlink r:id="rId642" ref="J389"/>
    <hyperlink r:id="rId643" ref="H390"/>
    <hyperlink r:id="rId644" ref="I390"/>
    <hyperlink r:id="rId645" ref="J390"/>
    <hyperlink r:id="rId646" ref="H391"/>
    <hyperlink r:id="rId647" ref="I391"/>
    <hyperlink r:id="rId648" ref="H392"/>
    <hyperlink r:id="rId649" ref="I392"/>
    <hyperlink r:id="rId650" ref="H393"/>
    <hyperlink r:id="rId651" ref="I393"/>
    <hyperlink r:id="rId652" ref="H394"/>
    <hyperlink r:id="rId653" ref="J395"/>
    <hyperlink r:id="rId654" ref="J396"/>
    <hyperlink r:id="rId655" ref="H397"/>
    <hyperlink r:id="rId656" ref="H398"/>
    <hyperlink r:id="rId657" ref="J398"/>
    <hyperlink r:id="rId658" ref="H399"/>
    <hyperlink r:id="rId659" ref="J399"/>
    <hyperlink r:id="rId660" ref="H400"/>
    <hyperlink r:id="rId661" ref="I400"/>
    <hyperlink r:id="rId662" ref="H401"/>
    <hyperlink r:id="rId663" ref="J401"/>
    <hyperlink r:id="rId664" ref="J402"/>
    <hyperlink r:id="rId665" ref="H403"/>
    <hyperlink r:id="rId666" ref="I403"/>
    <hyperlink r:id="rId667" ref="J404"/>
    <hyperlink r:id="rId668" ref="H405"/>
    <hyperlink r:id="rId669" ref="I405"/>
    <hyperlink r:id="rId670" ref="J405"/>
    <hyperlink r:id="rId671" ref="H406"/>
    <hyperlink r:id="rId672" ref="I406"/>
    <hyperlink r:id="rId673" ref="H407"/>
    <hyperlink r:id="rId674" ref="H408"/>
    <hyperlink r:id="rId675" ref="H409"/>
    <hyperlink r:id="rId676" ref="I409"/>
    <hyperlink r:id="rId677" ref="H410"/>
    <hyperlink r:id="rId678" ref="H411"/>
    <hyperlink r:id="rId679" ref="H412"/>
    <hyperlink r:id="rId680" ref="I412"/>
    <hyperlink r:id="rId681" ref="H413"/>
    <hyperlink r:id="rId682" ref="H414"/>
    <hyperlink r:id="rId683" ref="I414"/>
    <hyperlink r:id="rId684" ref="H415"/>
    <hyperlink r:id="rId685" ref="H416"/>
    <hyperlink r:id="rId686" ref="I416"/>
    <hyperlink r:id="rId687" ref="J416"/>
    <hyperlink r:id="rId688" ref="H417"/>
    <hyperlink r:id="rId689" ref="H418"/>
    <hyperlink r:id="rId690" ref="H419"/>
    <hyperlink r:id="rId691" ref="J420"/>
    <hyperlink r:id="rId692" ref="H421"/>
    <hyperlink r:id="rId693" ref="H422"/>
    <hyperlink r:id="rId694" ref="I422"/>
    <hyperlink r:id="rId695" ref="H423"/>
    <hyperlink r:id="rId696" ref="I423"/>
    <hyperlink r:id="rId697" ref="H424"/>
    <hyperlink r:id="rId698" ref="I424"/>
    <hyperlink r:id="rId699" ref="H425"/>
    <hyperlink r:id="rId700" ref="H426"/>
    <hyperlink r:id="rId701" ref="I426"/>
    <hyperlink r:id="rId702" ref="H427"/>
    <hyperlink r:id="rId703" ref="H428"/>
    <hyperlink r:id="rId704" ref="I428"/>
    <hyperlink r:id="rId705" ref="H429"/>
    <hyperlink r:id="rId706" ref="I429"/>
    <hyperlink r:id="rId707" ref="H430"/>
    <hyperlink r:id="rId708" ref="H431"/>
    <hyperlink r:id="rId709" ref="H432"/>
    <hyperlink r:id="rId710" ref="H433"/>
    <hyperlink r:id="rId711" ref="H434"/>
    <hyperlink r:id="rId712" ref="I434"/>
    <hyperlink r:id="rId713" ref="H435"/>
    <hyperlink r:id="rId714" ref="I435"/>
    <hyperlink r:id="rId715" ref="H436"/>
    <hyperlink r:id="rId716" ref="H437"/>
    <hyperlink r:id="rId717" ref="H438"/>
    <hyperlink r:id="rId718" ref="H439"/>
    <hyperlink r:id="rId719" ref="H440"/>
    <hyperlink r:id="rId720" ref="H441"/>
    <hyperlink r:id="rId721" ref="I441"/>
    <hyperlink r:id="rId722" ref="H442"/>
    <hyperlink r:id="rId723" ref="I442"/>
    <hyperlink r:id="rId724" ref="H443"/>
    <hyperlink r:id="rId725" ref="I443"/>
    <hyperlink r:id="rId726" ref="H444"/>
    <hyperlink r:id="rId727" ref="H445"/>
    <hyperlink r:id="rId728" ref="H446"/>
    <hyperlink r:id="rId729" ref="I446"/>
    <hyperlink r:id="rId730" ref="H447"/>
    <hyperlink r:id="rId731" ref="H448"/>
    <hyperlink r:id="rId732" ref="I448"/>
    <hyperlink r:id="rId733" ref="J448"/>
    <hyperlink r:id="rId734" ref="H449"/>
    <hyperlink r:id="rId735" ref="I449"/>
    <hyperlink r:id="rId736" ref="H450"/>
    <hyperlink r:id="rId737" ref="I450"/>
    <hyperlink r:id="rId738" ref="H451"/>
    <hyperlink r:id="rId739" ref="I451"/>
    <hyperlink r:id="rId740" ref="H452"/>
    <hyperlink r:id="rId741" ref="H453"/>
    <hyperlink r:id="rId742" ref="I453"/>
    <hyperlink r:id="rId743" ref="H454"/>
    <hyperlink r:id="rId744" ref="I454"/>
    <hyperlink r:id="rId745" ref="H455"/>
    <hyperlink r:id="rId746" ref="I455"/>
    <hyperlink r:id="rId747" ref="H456"/>
    <hyperlink r:id="rId748" ref="H457"/>
    <hyperlink r:id="rId749" ref="J458"/>
    <hyperlink r:id="rId750" ref="J459"/>
    <hyperlink r:id="rId751" ref="H460"/>
    <hyperlink r:id="rId752" ref="I460"/>
    <hyperlink r:id="rId753" ref="H461"/>
    <hyperlink r:id="rId754" ref="J461"/>
    <hyperlink r:id="rId755" ref="J462"/>
    <hyperlink r:id="rId756" ref="H463"/>
    <hyperlink r:id="rId757" ref="J463"/>
    <hyperlink r:id="rId758" ref="J464"/>
    <hyperlink r:id="rId759" ref="J465"/>
    <hyperlink r:id="rId760" ref="J466"/>
    <hyperlink r:id="rId761" ref="J467"/>
    <hyperlink r:id="rId762" ref="J468"/>
    <hyperlink r:id="rId763" ref="J469"/>
    <hyperlink r:id="rId764" ref="J470"/>
    <hyperlink r:id="rId765" ref="J471"/>
    <hyperlink r:id="rId766" ref="J472"/>
    <hyperlink r:id="rId767" ref="H473"/>
    <hyperlink r:id="rId768" ref="J473"/>
    <hyperlink r:id="rId769" ref="J474"/>
    <hyperlink r:id="rId770" ref="J475"/>
    <hyperlink r:id="rId771" ref="J476"/>
    <hyperlink r:id="rId772" ref="J477"/>
    <hyperlink r:id="rId773" ref="H478"/>
    <hyperlink r:id="rId774" ref="I478"/>
    <hyperlink r:id="rId775" ref="J478"/>
    <hyperlink r:id="rId776" ref="J479"/>
    <hyperlink r:id="rId777" ref="J480"/>
    <hyperlink r:id="rId778" ref="J481"/>
    <hyperlink r:id="rId779" ref="J482"/>
    <hyperlink r:id="rId780" ref="J483"/>
    <hyperlink r:id="rId781" ref="J484"/>
    <hyperlink r:id="rId782" ref="H485"/>
    <hyperlink r:id="rId783" ref="I485"/>
    <hyperlink r:id="rId784" ref="J485"/>
    <hyperlink r:id="rId785" ref="J486"/>
    <hyperlink r:id="rId786" ref="J487"/>
    <hyperlink r:id="rId787" ref="J488"/>
    <hyperlink r:id="rId788" ref="J489"/>
    <hyperlink r:id="rId789" ref="H490"/>
    <hyperlink r:id="rId790" ref="I490"/>
    <hyperlink r:id="rId791" ref="J490"/>
    <hyperlink r:id="rId792" ref="L490"/>
    <hyperlink r:id="rId793" ref="J491"/>
    <hyperlink r:id="rId794" ref="H492"/>
    <hyperlink r:id="rId795" ref="H493"/>
    <hyperlink r:id="rId796" ref="H494"/>
    <hyperlink r:id="rId797" ref="H495"/>
    <hyperlink r:id="rId798" ref="H496"/>
    <hyperlink r:id="rId799" ref="I496"/>
    <hyperlink r:id="rId800" ref="H497"/>
    <hyperlink r:id="rId801" ref="I497"/>
    <hyperlink r:id="rId802" ref="H498"/>
    <hyperlink r:id="rId803" ref="I498"/>
    <hyperlink r:id="rId804" ref="J499"/>
    <hyperlink r:id="rId805" ref="H500"/>
    <hyperlink r:id="rId806" ref="J501"/>
    <hyperlink r:id="rId807" ref="H502"/>
    <hyperlink r:id="rId808" ref="I502"/>
    <hyperlink r:id="rId809" ref="H503"/>
    <hyperlink r:id="rId810" ref="I503"/>
    <hyperlink r:id="rId811" ref="J504"/>
    <hyperlink r:id="rId812" ref="H505"/>
    <hyperlink r:id="rId813" ref="I505"/>
    <hyperlink r:id="rId814" ref="H506"/>
    <hyperlink r:id="rId815" ref="I506"/>
    <hyperlink r:id="rId816" ref="K506"/>
    <hyperlink r:id="rId817" ref="H507"/>
    <hyperlink r:id="rId818" ref="I507"/>
    <hyperlink r:id="rId819" ref="K507"/>
    <hyperlink r:id="rId820" ref="H508"/>
    <hyperlink r:id="rId821" ref="I508"/>
    <hyperlink r:id="rId822" ref="H509"/>
    <hyperlink r:id="rId823" ref="I509"/>
    <hyperlink r:id="rId824" ref="H510"/>
    <hyperlink r:id="rId825" ref="I510"/>
    <hyperlink r:id="rId826" ref="H511"/>
    <hyperlink r:id="rId827" ref="I511"/>
    <hyperlink r:id="rId828" ref="K511"/>
    <hyperlink r:id="rId829" ref="H512"/>
    <hyperlink r:id="rId830" ref="I512"/>
    <hyperlink r:id="rId831" ref="J512"/>
    <hyperlink r:id="rId832" ref="H513"/>
    <hyperlink r:id="rId833" ref="I513"/>
    <hyperlink r:id="rId834" ref="H514"/>
    <hyperlink r:id="rId835" ref="I514"/>
    <hyperlink r:id="rId836" ref="H515"/>
    <hyperlink r:id="rId837" ref="I515"/>
    <hyperlink r:id="rId838" ref="J515"/>
    <hyperlink r:id="rId839" ref="K515"/>
    <hyperlink r:id="rId840" ref="H516"/>
    <hyperlink r:id="rId841" ref="I516"/>
    <hyperlink r:id="rId842" ref="H517"/>
    <hyperlink r:id="rId843" ref="I517"/>
    <hyperlink r:id="rId844" ref="H518"/>
    <hyperlink r:id="rId845" ref="I518"/>
    <hyperlink r:id="rId846" ref="J518"/>
    <hyperlink r:id="rId847" ref="K518"/>
    <hyperlink r:id="rId848" ref="L518"/>
    <hyperlink r:id="rId849" ref="H519"/>
    <hyperlink r:id="rId850" ref="H520"/>
    <hyperlink r:id="rId851" ref="H521"/>
    <hyperlink r:id="rId852" ref="H522"/>
    <hyperlink r:id="rId853" ref="H523"/>
    <hyperlink r:id="rId854" ref="H524"/>
    <hyperlink r:id="rId855" ref="H525"/>
    <hyperlink r:id="rId856" ref="H526"/>
    <hyperlink r:id="rId857" ref="I526"/>
    <hyperlink r:id="rId858" ref="H527"/>
    <hyperlink r:id="rId859" ref="I527"/>
    <hyperlink r:id="rId860" ref="H528"/>
    <hyperlink r:id="rId861" ref="I528"/>
    <hyperlink r:id="rId862" ref="L528"/>
    <hyperlink r:id="rId863" ref="H529"/>
    <hyperlink r:id="rId864" ref="I529"/>
    <hyperlink r:id="rId865" ref="H530"/>
    <hyperlink r:id="rId866" ref="I530"/>
    <hyperlink r:id="rId867" ref="H531"/>
    <hyperlink r:id="rId868" ref="I531"/>
    <hyperlink r:id="rId869" ref="H532"/>
    <hyperlink r:id="rId870" ref="I532"/>
    <hyperlink r:id="rId871" ref="K532"/>
    <hyperlink r:id="rId872" ref="H533"/>
    <hyperlink r:id="rId873" ref="I533"/>
    <hyperlink r:id="rId874" ref="H534"/>
    <hyperlink r:id="rId875" ref="I534"/>
    <hyperlink r:id="rId876" ref="J534"/>
    <hyperlink r:id="rId877" ref="H535"/>
    <hyperlink r:id="rId878" ref="I535"/>
    <hyperlink r:id="rId879" ref="H536"/>
    <hyperlink r:id="rId880" ref="I536"/>
    <hyperlink r:id="rId881" ref="H537"/>
    <hyperlink r:id="rId882" ref="I537"/>
    <hyperlink r:id="rId883" ref="H538"/>
    <hyperlink r:id="rId884" ref="I538"/>
    <hyperlink r:id="rId885" ref="K538"/>
    <hyperlink r:id="rId886" ref="L538"/>
    <hyperlink r:id="rId887" ref="H539"/>
    <hyperlink r:id="rId888" ref="I539"/>
    <hyperlink r:id="rId889" ref="H540"/>
    <hyperlink r:id="rId890" ref="I540"/>
    <hyperlink r:id="rId891" ref="H541"/>
    <hyperlink r:id="rId892" ref="I541"/>
    <hyperlink r:id="rId893" ref="J541"/>
    <hyperlink r:id="rId894" ref="K541"/>
    <hyperlink r:id="rId895" ref="H542"/>
    <hyperlink r:id="rId896" ref="I542"/>
    <hyperlink r:id="rId897" ref="H543"/>
    <hyperlink r:id="rId898" ref="I543"/>
    <hyperlink r:id="rId899" ref="K543"/>
    <hyperlink r:id="rId900" ref="H544"/>
    <hyperlink r:id="rId901" ref="I544"/>
    <hyperlink r:id="rId902" ref="H545"/>
    <hyperlink r:id="rId903" ref="I545"/>
    <hyperlink r:id="rId904" ref="H546"/>
    <hyperlink r:id="rId905" ref="I546"/>
    <hyperlink r:id="rId906" ref="H547"/>
    <hyperlink r:id="rId907" ref="I547"/>
    <hyperlink r:id="rId908" ref="J547"/>
    <hyperlink r:id="rId909" ref="J548"/>
    <hyperlink r:id="rId910" ref="H549"/>
    <hyperlink r:id="rId911" ref="I549"/>
    <hyperlink r:id="rId912" ref="J549"/>
    <hyperlink r:id="rId913" ref="H550"/>
    <hyperlink r:id="rId914" ref="I550"/>
    <hyperlink r:id="rId915" ref="H551"/>
    <hyperlink r:id="rId916" ref="I551"/>
    <hyperlink r:id="rId917" ref="H552"/>
    <hyperlink r:id="rId918" ref="I552"/>
    <hyperlink r:id="rId919" ref="J552"/>
    <hyperlink r:id="rId920" ref="H553"/>
    <hyperlink r:id="rId921" ref="I553"/>
    <hyperlink r:id="rId922" ref="H554"/>
    <hyperlink r:id="rId923" ref="I554"/>
    <hyperlink r:id="rId924" ref="H555"/>
    <hyperlink r:id="rId925" ref="I555"/>
    <hyperlink r:id="rId926" ref="H556"/>
    <hyperlink r:id="rId927" ref="I556"/>
    <hyperlink r:id="rId928" ref="L556"/>
    <hyperlink r:id="rId929" ref="H557"/>
    <hyperlink r:id="rId930" ref="I557"/>
    <hyperlink r:id="rId931" ref="H558"/>
    <hyperlink r:id="rId932" ref="I558"/>
    <hyperlink r:id="rId933" ref="J558"/>
    <hyperlink r:id="rId934" ref="K558"/>
    <hyperlink r:id="rId935" ref="L558"/>
    <hyperlink r:id="rId936" ref="H559"/>
    <hyperlink r:id="rId937" ref="I559"/>
    <hyperlink r:id="rId938" ref="J559"/>
    <hyperlink r:id="rId939" ref="K559"/>
    <hyperlink r:id="rId940" ref="H560"/>
    <hyperlink r:id="rId941" ref="I560"/>
    <hyperlink r:id="rId942" ref="J560"/>
    <hyperlink r:id="rId943" ref="H561"/>
    <hyperlink r:id="rId944" ref="I561"/>
    <hyperlink r:id="rId945" ref="H562"/>
    <hyperlink r:id="rId946" ref="I562"/>
    <hyperlink r:id="rId947" ref="H563"/>
    <hyperlink r:id="rId948" ref="I563"/>
    <hyperlink r:id="rId949" ref="H564"/>
    <hyperlink r:id="rId950" ref="I564"/>
    <hyperlink r:id="rId951" ref="H565"/>
    <hyperlink r:id="rId952" ref="I565"/>
    <hyperlink r:id="rId953" ref="J565"/>
    <hyperlink r:id="rId954" ref="L565"/>
    <hyperlink r:id="rId955" ref="H566"/>
    <hyperlink r:id="rId956" ref="I566"/>
    <hyperlink r:id="rId957" ref="J566"/>
    <hyperlink r:id="rId958" ref="K566"/>
    <hyperlink r:id="rId959" ref="H567"/>
    <hyperlink r:id="rId960" ref="I567"/>
    <hyperlink r:id="rId961" ref="J567"/>
    <hyperlink r:id="rId962" ref="K567"/>
    <hyperlink r:id="rId963" ref="H568"/>
    <hyperlink r:id="rId964" ref="I568"/>
    <hyperlink r:id="rId965" ref="H569"/>
    <hyperlink r:id="rId966" ref="I569"/>
    <hyperlink r:id="rId967" ref="H570"/>
    <hyperlink r:id="rId968" ref="I570"/>
    <hyperlink r:id="rId969" ref="J570"/>
    <hyperlink r:id="rId970" ref="K570"/>
    <hyperlink r:id="rId971" ref="H571"/>
    <hyperlink r:id="rId972" ref="I571"/>
    <hyperlink r:id="rId973" ref="J571"/>
    <hyperlink r:id="rId974" ref="H572"/>
    <hyperlink r:id="rId975" ref="I572"/>
    <hyperlink r:id="rId976" ref="J572"/>
    <hyperlink r:id="rId977" ref="H573"/>
    <hyperlink r:id="rId978" ref="I573"/>
    <hyperlink r:id="rId979" ref="J573"/>
    <hyperlink r:id="rId980" ref="H574"/>
    <hyperlink r:id="rId981" ref="I574"/>
    <hyperlink r:id="rId982" ref="H575"/>
    <hyperlink r:id="rId983" ref="I575"/>
    <hyperlink r:id="rId984" ref="H576"/>
    <hyperlink r:id="rId985" ref="I576"/>
    <hyperlink r:id="rId986" ref="J576"/>
    <hyperlink r:id="rId987" ref="H577"/>
    <hyperlink r:id="rId988" ref="I577"/>
    <hyperlink r:id="rId989" ref="J577"/>
    <hyperlink r:id="rId990" ref="L577"/>
    <hyperlink r:id="rId991" ref="H578"/>
    <hyperlink r:id="rId992" ref="I578"/>
    <hyperlink r:id="rId993" ref="H579"/>
    <hyperlink r:id="rId994" ref="I579"/>
    <hyperlink r:id="rId995" ref="J579"/>
    <hyperlink r:id="rId996" ref="I580"/>
    <hyperlink r:id="rId997" ref="H581"/>
    <hyperlink r:id="rId998" ref="I581"/>
    <hyperlink r:id="rId999" ref="H582"/>
    <hyperlink r:id="rId1000" ref="I582"/>
    <hyperlink r:id="rId1001" ref="H583"/>
    <hyperlink r:id="rId1002" ref="I583"/>
    <hyperlink r:id="rId1003" ref="K583"/>
    <hyperlink r:id="rId1004" ref="L583"/>
    <hyperlink r:id="rId1005" ref="H584"/>
    <hyperlink r:id="rId1006" ref="H585"/>
    <hyperlink r:id="rId1007" ref="H586"/>
    <hyperlink r:id="rId1008" ref="H587"/>
    <hyperlink r:id="rId1009" ref="H588"/>
    <hyperlink r:id="rId1010" ref="H589"/>
    <hyperlink r:id="rId1011" ref="K589"/>
    <hyperlink r:id="rId1012" ref="H590"/>
    <hyperlink r:id="rId1013" ref="H591"/>
    <hyperlink r:id="rId1014" ref="K591"/>
    <hyperlink r:id="rId1015" ref="H592"/>
    <hyperlink r:id="rId1016" ref="H593"/>
    <hyperlink r:id="rId1017" ref="J593"/>
    <hyperlink r:id="rId1018" ref="H594"/>
    <hyperlink r:id="rId1019" ref="H595"/>
    <hyperlink r:id="rId1020" ref="H596"/>
    <hyperlink r:id="rId1021" ref="H597"/>
    <hyperlink r:id="rId1022" ref="H598"/>
    <hyperlink r:id="rId1023" ref="H599"/>
    <hyperlink r:id="rId1024" ref="H600"/>
    <hyperlink r:id="rId1025" ref="H601"/>
    <hyperlink r:id="rId1026" ref="H602"/>
    <hyperlink r:id="rId1027" ref="K602"/>
    <hyperlink r:id="rId1028" ref="H603"/>
    <hyperlink r:id="rId1029" ref="I603"/>
    <hyperlink r:id="rId1030" ref="J603"/>
    <hyperlink r:id="rId1031" ref="L603"/>
    <hyperlink r:id="rId1032" ref="H604"/>
    <hyperlink r:id="rId1033" ref="I604"/>
    <hyperlink r:id="rId1034" ref="J604"/>
    <hyperlink r:id="rId1035" ref="K604"/>
    <hyperlink r:id="rId1036" ref="L604"/>
    <hyperlink r:id="rId1037" ref="H605"/>
    <hyperlink r:id="rId1038" ref="I605"/>
    <hyperlink r:id="rId1039" ref="J605"/>
    <hyperlink r:id="rId1040" ref="K605"/>
    <hyperlink r:id="rId1041" ref="L605"/>
    <hyperlink r:id="rId1042" ref="H606"/>
    <hyperlink r:id="rId1043" ref="H607"/>
    <hyperlink r:id="rId1044" ref="K607"/>
    <hyperlink r:id="rId1045" ref="L607"/>
    <hyperlink r:id="rId1046" ref="H608"/>
    <hyperlink r:id="rId1047" ref="J608"/>
    <hyperlink r:id="rId1048" ref="H609"/>
    <hyperlink r:id="rId1049" ref="I609"/>
    <hyperlink r:id="rId1050" ref="J609"/>
    <hyperlink r:id="rId1051" ref="K609"/>
    <hyperlink r:id="rId1052" ref="L609"/>
    <hyperlink r:id="rId1053" ref="H610"/>
    <hyperlink r:id="rId1054" ref="I610"/>
    <hyperlink r:id="rId1055" ref="J610"/>
    <hyperlink r:id="rId1056" ref="K610"/>
    <hyperlink r:id="rId1057" ref="H611"/>
    <hyperlink r:id="rId1058" ref="I611"/>
    <hyperlink r:id="rId1059" ref="J611"/>
    <hyperlink r:id="rId1060" ref="H612"/>
    <hyperlink r:id="rId1061" ref="J612"/>
    <hyperlink r:id="rId1062" ref="H613"/>
    <hyperlink r:id="rId1063" ref="J613"/>
    <hyperlink r:id="rId1064" ref="H614"/>
    <hyperlink r:id="rId1065" ref="I614"/>
    <hyperlink r:id="rId1066" ref="J614"/>
    <hyperlink r:id="rId1067" ref="J615"/>
    <hyperlink r:id="rId1068" ref="H616"/>
    <hyperlink r:id="rId1069" ref="I616"/>
    <hyperlink r:id="rId1070" ref="J616"/>
    <hyperlink r:id="rId1071" ref="H617"/>
    <hyperlink r:id="rId1072" ref="J617"/>
    <hyperlink r:id="rId1073" ref="H618"/>
    <hyperlink r:id="rId1074" ref="I618"/>
    <hyperlink r:id="rId1075" ref="J618"/>
    <hyperlink r:id="rId1076" ref="K618"/>
    <hyperlink r:id="rId1077" ref="H619"/>
    <hyperlink r:id="rId1078" ref="J619"/>
    <hyperlink r:id="rId1079" ref="H620"/>
    <hyperlink r:id="rId1080" ref="I620"/>
    <hyperlink r:id="rId1081" ref="J620"/>
    <hyperlink r:id="rId1082" ref="H621"/>
    <hyperlink r:id="rId1083" ref="I621"/>
    <hyperlink r:id="rId1084" ref="J621"/>
    <hyperlink r:id="rId1085" ref="K621"/>
    <hyperlink r:id="rId1086" ref="J622"/>
    <hyperlink r:id="rId1087" ref="H623"/>
    <hyperlink r:id="rId1088" ref="I623"/>
    <hyperlink r:id="rId1089" ref="J623"/>
    <hyperlink r:id="rId1090" ref="H624"/>
    <hyperlink r:id="rId1091" ref="I624"/>
    <hyperlink r:id="rId1092" ref="J624"/>
    <hyperlink r:id="rId1093" ref="H625"/>
    <hyperlink r:id="rId1094" ref="I625"/>
    <hyperlink r:id="rId1095" ref="J625"/>
    <hyperlink r:id="rId1096" ref="H626"/>
    <hyperlink r:id="rId1097" ref="I626"/>
    <hyperlink r:id="rId1098" ref="J626"/>
    <hyperlink r:id="rId1099" ref="H627"/>
    <hyperlink r:id="rId1100" ref="I627"/>
    <hyperlink r:id="rId1101" ref="J627"/>
    <hyperlink r:id="rId1102" ref="H628"/>
    <hyperlink r:id="rId1103" ref="J628"/>
    <hyperlink r:id="rId1104" ref="K628"/>
    <hyperlink r:id="rId1105" ref="H629"/>
    <hyperlink r:id="rId1106" ref="J629"/>
    <hyperlink r:id="rId1107" ref="H630"/>
    <hyperlink r:id="rId1108" ref="I630"/>
    <hyperlink r:id="rId1109" ref="J630"/>
    <hyperlink r:id="rId1110" ref="H631"/>
    <hyperlink r:id="rId1111" ref="I631"/>
    <hyperlink r:id="rId1112" ref="J631"/>
    <hyperlink r:id="rId1113" ref="H632"/>
    <hyperlink r:id="rId1114" ref="I632"/>
    <hyperlink r:id="rId1115" ref="J632"/>
    <hyperlink r:id="rId1116" ref="L632"/>
    <hyperlink r:id="rId1117" ref="H633"/>
    <hyperlink r:id="rId1118" ref="I633"/>
    <hyperlink r:id="rId1119" ref="J633"/>
    <hyperlink r:id="rId1120" ref="H634"/>
    <hyperlink r:id="rId1121" ref="I634"/>
    <hyperlink r:id="rId1122" ref="J634"/>
    <hyperlink r:id="rId1123" ref="H635"/>
    <hyperlink r:id="rId1124" ref="I635"/>
    <hyperlink r:id="rId1125" ref="J635"/>
    <hyperlink r:id="rId1126" ref="H636"/>
    <hyperlink r:id="rId1127" ref="I636"/>
    <hyperlink r:id="rId1128" ref="J636"/>
    <hyperlink r:id="rId1129" ref="H637"/>
    <hyperlink r:id="rId1130" ref="I637"/>
    <hyperlink r:id="rId1131" ref="J637"/>
    <hyperlink r:id="rId1132" ref="H638"/>
    <hyperlink r:id="rId1133" ref="I638"/>
    <hyperlink r:id="rId1134" ref="J638"/>
    <hyperlink r:id="rId1135" ref="H639"/>
    <hyperlink r:id="rId1136" ref="J639"/>
    <hyperlink r:id="rId1137" ref="H640"/>
    <hyperlink r:id="rId1138" ref="I640"/>
    <hyperlink r:id="rId1139" ref="J640"/>
    <hyperlink r:id="rId1140" ref="K640"/>
    <hyperlink r:id="rId1141" ref="H641"/>
    <hyperlink r:id="rId1142" ref="J641"/>
    <hyperlink r:id="rId1143" ref="H642"/>
    <hyperlink r:id="rId1144" ref="I642"/>
    <hyperlink r:id="rId1145" ref="J642"/>
    <hyperlink r:id="rId1146" ref="H643"/>
    <hyperlink r:id="rId1147" ref="I643"/>
    <hyperlink r:id="rId1148" ref="J643"/>
    <hyperlink r:id="rId1149" ref="L643"/>
    <hyperlink r:id="rId1150" ref="H644"/>
    <hyperlink r:id="rId1151" ref="I644"/>
    <hyperlink r:id="rId1152" ref="J644"/>
    <hyperlink r:id="rId1153" ref="H645"/>
    <hyperlink r:id="rId1154" ref="J645"/>
    <hyperlink r:id="rId1155" ref="H646"/>
    <hyperlink r:id="rId1156" ref="I646"/>
    <hyperlink r:id="rId1157" ref="J646"/>
    <hyperlink r:id="rId1158" ref="K646"/>
    <hyperlink r:id="rId1159" ref="H647"/>
    <hyperlink r:id="rId1160" ref="I647"/>
    <hyperlink r:id="rId1161" ref="J647"/>
    <hyperlink r:id="rId1162" ref="K647"/>
    <hyperlink r:id="rId1163" ref="L647"/>
    <hyperlink r:id="rId1164" ref="H648"/>
    <hyperlink r:id="rId1165" ref="I648"/>
    <hyperlink r:id="rId1166" ref="J648"/>
    <hyperlink r:id="rId1167" ref="K648"/>
    <hyperlink r:id="rId1168" ref="H649"/>
    <hyperlink r:id="rId1169" ref="I649"/>
    <hyperlink r:id="rId1170" ref="J649"/>
    <hyperlink r:id="rId1171" ref="L649"/>
    <hyperlink r:id="rId1172" ref="H650"/>
    <hyperlink r:id="rId1173" ref="I650"/>
    <hyperlink r:id="rId1174" ref="J650"/>
    <hyperlink r:id="rId1175" ref="H651"/>
    <hyperlink r:id="rId1176" ref="I651"/>
    <hyperlink r:id="rId1177" ref="J651"/>
    <hyperlink r:id="rId1178" ref="H652"/>
    <hyperlink r:id="rId1179" ref="I652"/>
    <hyperlink r:id="rId1180" ref="J652"/>
    <hyperlink r:id="rId1181" ref="H653"/>
    <hyperlink r:id="rId1182" ref="I653"/>
    <hyperlink r:id="rId1183" ref="J653"/>
    <hyperlink r:id="rId1184" ref="K653"/>
    <hyperlink r:id="rId1185" ref="H654"/>
    <hyperlink r:id="rId1186" ref="I654"/>
    <hyperlink r:id="rId1187" ref="J654"/>
    <hyperlink r:id="rId1188" ref="H655"/>
    <hyperlink r:id="rId1189" ref="I655"/>
    <hyperlink r:id="rId1190" ref="J655"/>
    <hyperlink r:id="rId1191" ref="H656"/>
    <hyperlink r:id="rId1192" ref="I656"/>
    <hyperlink r:id="rId1193" ref="J656"/>
    <hyperlink r:id="rId1194" ref="H657"/>
    <hyperlink r:id="rId1195" ref="I657"/>
    <hyperlink r:id="rId1196" ref="J657"/>
    <hyperlink r:id="rId1197" ref="H658"/>
    <hyperlink r:id="rId1198" ref="I658"/>
    <hyperlink r:id="rId1199" ref="J658"/>
    <hyperlink r:id="rId1200" ref="K658"/>
    <hyperlink r:id="rId1201" ref="H659"/>
    <hyperlink r:id="rId1202" ref="I659"/>
    <hyperlink r:id="rId1203" ref="J659"/>
    <hyperlink r:id="rId1204" ref="H660"/>
    <hyperlink r:id="rId1205" ref="I660"/>
    <hyperlink r:id="rId1206" ref="J660"/>
    <hyperlink r:id="rId1207" ref="H661"/>
    <hyperlink r:id="rId1208" ref="J661"/>
    <hyperlink r:id="rId1209" ref="H662"/>
    <hyperlink r:id="rId1210" ref="I662"/>
    <hyperlink r:id="rId1211" ref="J662"/>
    <hyperlink r:id="rId1212" ref="H663"/>
    <hyperlink r:id="rId1213" ref="I663"/>
    <hyperlink r:id="rId1214" ref="J663"/>
    <hyperlink r:id="rId1215" ref="H664"/>
    <hyperlink r:id="rId1216" ref="I664"/>
    <hyperlink r:id="rId1217" ref="J664"/>
    <hyperlink r:id="rId1218" ref="H665"/>
    <hyperlink r:id="rId1219" ref="I665"/>
    <hyperlink r:id="rId1220" ref="J665"/>
    <hyperlink r:id="rId1221" ref="H666"/>
    <hyperlink r:id="rId1222" ref="I666"/>
    <hyperlink r:id="rId1223" ref="J666"/>
    <hyperlink r:id="rId1224" ref="H667"/>
    <hyperlink r:id="rId1225" ref="I667"/>
    <hyperlink r:id="rId1226" ref="J667"/>
    <hyperlink r:id="rId1227" ref="H668"/>
    <hyperlink r:id="rId1228" ref="I668"/>
    <hyperlink r:id="rId1229" ref="H669"/>
    <hyperlink r:id="rId1230" ref="I669"/>
    <hyperlink r:id="rId1231" ref="L669"/>
    <hyperlink r:id="rId1232" ref="H670"/>
    <hyperlink r:id="rId1233" ref="I670"/>
    <hyperlink r:id="rId1234" ref="H671"/>
    <hyperlink r:id="rId1235" ref="I671"/>
    <hyperlink r:id="rId1236" ref="H672"/>
    <hyperlink r:id="rId1237" ref="I672"/>
    <hyperlink r:id="rId1238" ref="H673"/>
    <hyperlink r:id="rId1239" ref="I673"/>
    <hyperlink r:id="rId1240" ref="H674"/>
    <hyperlink r:id="rId1241" ref="I674"/>
    <hyperlink r:id="rId1242" ref="H675"/>
    <hyperlink r:id="rId1243" ref="I675"/>
    <hyperlink r:id="rId1244" ref="H676"/>
    <hyperlink r:id="rId1245" ref="I676"/>
    <hyperlink r:id="rId1246" ref="H677"/>
    <hyperlink r:id="rId1247" ref="I677"/>
    <hyperlink r:id="rId1248" ref="H678"/>
    <hyperlink r:id="rId1249" ref="I678"/>
    <hyperlink r:id="rId1250" ref="H679"/>
    <hyperlink r:id="rId1251" ref="I679"/>
    <hyperlink r:id="rId1252" ref="H680"/>
    <hyperlink r:id="rId1253" ref="I680"/>
    <hyperlink r:id="rId1254" ref="H681"/>
    <hyperlink r:id="rId1255" ref="I681"/>
    <hyperlink r:id="rId1256" ref="L681"/>
    <hyperlink r:id="rId1257" ref="H682"/>
    <hyperlink r:id="rId1258" ref="I682"/>
    <hyperlink r:id="rId1259" ref="H683"/>
    <hyperlink r:id="rId1260" ref="I683"/>
    <hyperlink r:id="rId1261" ref="H684"/>
    <hyperlink r:id="rId1262" ref="I684"/>
    <hyperlink r:id="rId1263" ref="H685"/>
    <hyperlink r:id="rId1264" ref="I685"/>
    <hyperlink r:id="rId1265" ref="H686"/>
    <hyperlink r:id="rId1266" ref="I686"/>
    <hyperlink r:id="rId1267" ref="H687"/>
    <hyperlink r:id="rId1268" ref="I687"/>
    <hyperlink r:id="rId1269" ref="H688"/>
    <hyperlink r:id="rId1270" ref="I688"/>
    <hyperlink r:id="rId1271" ref="H689"/>
    <hyperlink r:id="rId1272" ref="I689"/>
    <hyperlink r:id="rId1273" ref="H690"/>
    <hyperlink r:id="rId1274" ref="I690"/>
    <hyperlink r:id="rId1275" ref="H691"/>
    <hyperlink r:id="rId1276" ref="I691"/>
    <hyperlink r:id="rId1277" ref="H692"/>
    <hyperlink r:id="rId1278" ref="I692"/>
    <hyperlink r:id="rId1279" ref="L692"/>
    <hyperlink r:id="rId1280" ref="H693"/>
    <hyperlink r:id="rId1281" ref="I693"/>
    <hyperlink r:id="rId1282" ref="H694"/>
    <hyperlink r:id="rId1283" ref="I694"/>
    <hyperlink r:id="rId1284" ref="H695"/>
    <hyperlink r:id="rId1285" ref="I695"/>
    <hyperlink r:id="rId1286" ref="H696"/>
    <hyperlink r:id="rId1287" ref="I696"/>
    <hyperlink r:id="rId1288" ref="H697"/>
    <hyperlink r:id="rId1289" ref="I697"/>
    <hyperlink r:id="rId1290" ref="H698"/>
    <hyperlink r:id="rId1291" ref="I698"/>
    <hyperlink r:id="rId1292" ref="H699"/>
    <hyperlink r:id="rId1293" ref="I699"/>
    <hyperlink r:id="rId1294" ref="H700"/>
    <hyperlink r:id="rId1295" ref="I700"/>
    <hyperlink r:id="rId1296" ref="H701"/>
    <hyperlink r:id="rId1297" ref="I701"/>
    <hyperlink r:id="rId1298" ref="H702"/>
    <hyperlink r:id="rId1299" ref="I702"/>
    <hyperlink r:id="rId1300" ref="H703"/>
    <hyperlink r:id="rId1301" ref="I703"/>
    <hyperlink r:id="rId1302" ref="H704"/>
    <hyperlink r:id="rId1303" ref="I704"/>
    <hyperlink r:id="rId1304" ref="H705"/>
    <hyperlink r:id="rId1305" ref="I705"/>
    <hyperlink r:id="rId1306" ref="H706"/>
    <hyperlink r:id="rId1307" ref="I706"/>
    <hyperlink r:id="rId1308" ref="H707"/>
    <hyperlink r:id="rId1309" ref="I707"/>
    <hyperlink r:id="rId1310" ref="H708"/>
    <hyperlink r:id="rId1311" ref="I708"/>
    <hyperlink r:id="rId1312" ref="H709"/>
    <hyperlink r:id="rId1313" ref="I709"/>
    <hyperlink r:id="rId1314" ref="H710"/>
    <hyperlink r:id="rId1315" ref="I710"/>
    <hyperlink r:id="rId1316" ref="H711"/>
    <hyperlink r:id="rId1317" ref="I711"/>
    <hyperlink r:id="rId1318" ref="H712"/>
    <hyperlink r:id="rId1319" ref="I712"/>
    <hyperlink r:id="rId1320" ref="H713"/>
    <hyperlink r:id="rId1321" ref="I713"/>
    <hyperlink r:id="rId1322" ref="H714"/>
    <hyperlink r:id="rId1323" ref="I714"/>
    <hyperlink r:id="rId1324" ref="H715"/>
    <hyperlink r:id="rId1325" ref="I715"/>
    <hyperlink r:id="rId1326" ref="H716"/>
    <hyperlink r:id="rId1327" ref="I716"/>
    <hyperlink r:id="rId1328" ref="H717"/>
    <hyperlink r:id="rId1329" ref="I717"/>
    <hyperlink r:id="rId1330" ref="H718"/>
    <hyperlink r:id="rId1331" ref="I718"/>
    <hyperlink r:id="rId1332" ref="H719"/>
    <hyperlink r:id="rId1333" ref="I719"/>
    <hyperlink r:id="rId1334" ref="H720"/>
    <hyperlink r:id="rId1335" ref="I720"/>
    <hyperlink r:id="rId1336" ref="H721"/>
    <hyperlink r:id="rId1337" ref="I721"/>
    <hyperlink r:id="rId1338" ref="H722"/>
    <hyperlink r:id="rId1339" ref="I722"/>
    <hyperlink r:id="rId1340" ref="H723"/>
    <hyperlink r:id="rId1341" ref="I723"/>
    <hyperlink r:id="rId1342" ref="H724"/>
    <hyperlink r:id="rId1343" ref="I724"/>
    <hyperlink r:id="rId1344" ref="H725"/>
    <hyperlink r:id="rId1345" ref="I725"/>
    <hyperlink r:id="rId1346" ref="H726"/>
    <hyperlink r:id="rId1347" ref="I726"/>
    <hyperlink r:id="rId1348" ref="H727"/>
    <hyperlink r:id="rId1349" ref="I727"/>
    <hyperlink r:id="rId1350" ref="H728"/>
    <hyperlink r:id="rId1351" ref="I728"/>
    <hyperlink r:id="rId1352" ref="H729"/>
    <hyperlink r:id="rId1353" ref="I729"/>
    <hyperlink r:id="rId1354" ref="H730"/>
    <hyperlink r:id="rId1355" ref="I730"/>
    <hyperlink r:id="rId1356" ref="H731"/>
    <hyperlink r:id="rId1357" ref="I731"/>
    <hyperlink r:id="rId1358" ref="H732"/>
    <hyperlink r:id="rId1359" ref="I732"/>
    <hyperlink r:id="rId1360" ref="H733"/>
    <hyperlink r:id="rId1361" ref="I733"/>
    <hyperlink r:id="rId1362" ref="L733"/>
    <hyperlink r:id="rId1363" ref="H734"/>
    <hyperlink r:id="rId1364" ref="I734"/>
    <hyperlink r:id="rId1365" ref="H735"/>
    <hyperlink r:id="rId1366" ref="I735"/>
    <hyperlink r:id="rId1367" ref="H736"/>
    <hyperlink r:id="rId1368" ref="I736"/>
    <hyperlink r:id="rId1369" ref="H737"/>
    <hyperlink r:id="rId1370" ref="I737"/>
    <hyperlink r:id="rId1371" ref="H738"/>
    <hyperlink r:id="rId1372" ref="I738"/>
    <hyperlink r:id="rId1373" ref="H739"/>
    <hyperlink r:id="rId1374" ref="I739"/>
    <hyperlink r:id="rId1375" ref="H740"/>
    <hyperlink r:id="rId1376" ref="I740"/>
    <hyperlink r:id="rId1377" ref="H741"/>
    <hyperlink r:id="rId1378" ref="I741"/>
    <hyperlink r:id="rId1379" ref="H742"/>
    <hyperlink r:id="rId1380" ref="I742"/>
    <hyperlink r:id="rId1381" ref="H743"/>
    <hyperlink r:id="rId1382" ref="I743"/>
    <hyperlink r:id="rId1383" ref="H744"/>
    <hyperlink r:id="rId1384" ref="I744"/>
    <hyperlink r:id="rId1385" ref="H745"/>
    <hyperlink r:id="rId1386" ref="I745"/>
    <hyperlink r:id="rId1387" ref="H746"/>
    <hyperlink r:id="rId1388" ref="I746"/>
    <hyperlink r:id="rId1389" ref="H747"/>
    <hyperlink r:id="rId1390" ref="I747"/>
    <hyperlink r:id="rId1391" ref="H748"/>
    <hyperlink r:id="rId1392" ref="I748"/>
    <hyperlink r:id="rId1393" ref="H749"/>
    <hyperlink r:id="rId1394" ref="I749"/>
    <hyperlink r:id="rId1395" ref="H750"/>
    <hyperlink r:id="rId1396" ref="I750"/>
    <hyperlink r:id="rId1397" ref="H751"/>
    <hyperlink r:id="rId1398" ref="I751"/>
    <hyperlink r:id="rId1399" ref="H752"/>
    <hyperlink r:id="rId1400" ref="I752"/>
    <hyperlink r:id="rId1401" ref="H753"/>
    <hyperlink r:id="rId1402" ref="I753"/>
    <hyperlink r:id="rId1403" ref="H754"/>
    <hyperlink r:id="rId1404" ref="I754"/>
    <hyperlink r:id="rId1405" ref="H755"/>
    <hyperlink r:id="rId1406" ref="I755"/>
    <hyperlink r:id="rId1407" ref="H756"/>
    <hyperlink r:id="rId1408" ref="I756"/>
    <hyperlink r:id="rId1409" ref="H757"/>
    <hyperlink r:id="rId1410" ref="I757"/>
    <hyperlink r:id="rId1411" ref="H758"/>
    <hyperlink r:id="rId1412" ref="I758"/>
    <hyperlink r:id="rId1413" ref="H759"/>
    <hyperlink r:id="rId1414" ref="I759"/>
    <hyperlink r:id="rId1415" ref="H760"/>
    <hyperlink r:id="rId1416" ref="I760"/>
    <hyperlink r:id="rId1417" ref="H761"/>
    <hyperlink r:id="rId1418" ref="I761"/>
    <hyperlink r:id="rId1419" ref="H762"/>
    <hyperlink r:id="rId1420" ref="I762"/>
    <hyperlink r:id="rId1421" ref="H763"/>
    <hyperlink r:id="rId1422" ref="I763"/>
    <hyperlink r:id="rId1423" ref="H764"/>
    <hyperlink r:id="rId1424" ref="I764"/>
    <hyperlink r:id="rId1425" ref="H765"/>
    <hyperlink r:id="rId1426" ref="I765"/>
    <hyperlink r:id="rId1427" ref="H766"/>
    <hyperlink r:id="rId1428" ref="I766"/>
    <hyperlink r:id="rId1429" ref="H767"/>
    <hyperlink r:id="rId1430" ref="I767"/>
    <hyperlink r:id="rId1431" ref="H768"/>
    <hyperlink r:id="rId1432" ref="I768"/>
    <hyperlink r:id="rId1433" ref="H769"/>
    <hyperlink r:id="rId1434" ref="I769"/>
    <hyperlink r:id="rId1435" ref="H770"/>
    <hyperlink r:id="rId1436" ref="I770"/>
    <hyperlink r:id="rId1437" ref="H771"/>
    <hyperlink r:id="rId1438" ref="I771"/>
    <hyperlink r:id="rId1439" ref="H772"/>
    <hyperlink r:id="rId1440" ref="I772"/>
    <hyperlink r:id="rId1441" ref="H773"/>
    <hyperlink r:id="rId1442" ref="I773"/>
    <hyperlink r:id="rId1443" ref="H774"/>
    <hyperlink r:id="rId1444" ref="I774"/>
    <hyperlink r:id="rId1445" ref="H775"/>
    <hyperlink r:id="rId1446" ref="I775"/>
    <hyperlink r:id="rId1447" ref="H776"/>
    <hyperlink r:id="rId1448" ref="I776"/>
    <hyperlink r:id="rId1449" ref="H777"/>
    <hyperlink r:id="rId1450" ref="I777"/>
    <hyperlink r:id="rId1451" ref="H778"/>
    <hyperlink r:id="rId1452" ref="I778"/>
    <hyperlink r:id="rId1453" ref="H779"/>
    <hyperlink r:id="rId1454" ref="I779"/>
    <hyperlink r:id="rId1455" ref="H780"/>
    <hyperlink r:id="rId1456" ref="I780"/>
    <hyperlink r:id="rId1457" ref="H781"/>
    <hyperlink r:id="rId1458" ref="H782"/>
    <hyperlink r:id="rId1459" ref="H783"/>
    <hyperlink r:id="rId1460" ref="H784"/>
    <hyperlink r:id="rId1461" ref="H785"/>
    <hyperlink r:id="rId1462" ref="H786"/>
    <hyperlink r:id="rId1463" ref="L786"/>
    <hyperlink r:id="rId1464" ref="H787"/>
    <hyperlink r:id="rId1465" ref="H788"/>
    <hyperlink r:id="rId1466" ref="H789"/>
    <hyperlink r:id="rId1467" ref="H790"/>
    <hyperlink r:id="rId1468" ref="H791"/>
    <hyperlink r:id="rId1469" ref="H792"/>
    <hyperlink r:id="rId1470" ref="H793"/>
    <hyperlink r:id="rId1471" ref="H794"/>
    <hyperlink r:id="rId1472" ref="H795"/>
    <hyperlink r:id="rId1473" ref="H796"/>
    <hyperlink r:id="rId1474" ref="H797"/>
    <hyperlink r:id="rId1475" ref="H798"/>
    <hyperlink r:id="rId1476" ref="H799"/>
    <hyperlink r:id="rId1477" ref="H800"/>
    <hyperlink r:id="rId1478" ref="H801"/>
    <hyperlink r:id="rId1479" ref="H802"/>
    <hyperlink r:id="rId1480" ref="H803"/>
    <hyperlink r:id="rId1481" ref="H804"/>
    <hyperlink r:id="rId1482" ref="H805"/>
    <hyperlink r:id="rId1483" ref="H806"/>
    <hyperlink r:id="rId1484" ref="L806"/>
    <hyperlink r:id="rId1485" ref="H807"/>
    <hyperlink r:id="rId1486" ref="H808"/>
    <hyperlink r:id="rId1487" ref="I808"/>
    <hyperlink r:id="rId1488" ref="H809"/>
    <hyperlink r:id="rId1489" ref="I809"/>
    <hyperlink r:id="rId1490" ref="H810"/>
    <hyperlink r:id="rId1491" ref="I810"/>
    <hyperlink r:id="rId1492" ref="J810"/>
    <hyperlink r:id="rId1493" ref="H811"/>
    <hyperlink r:id="rId1494" ref="I811"/>
    <hyperlink r:id="rId1495" ref="J811"/>
    <hyperlink r:id="rId1496" ref="H812"/>
    <hyperlink r:id="rId1497" ref="H813"/>
    <hyperlink r:id="rId1498" ref="H814"/>
    <hyperlink r:id="rId1499" ref="H815"/>
    <hyperlink r:id="rId1500" ref="H816"/>
    <hyperlink r:id="rId1501" ref="H817"/>
    <hyperlink r:id="rId1502" ref="H818"/>
    <hyperlink r:id="rId1503" ref="H819"/>
    <hyperlink r:id="rId1504" ref="H820"/>
    <hyperlink r:id="rId1505" ref="H821"/>
    <hyperlink r:id="rId1506" ref="H822"/>
    <hyperlink r:id="rId1507" ref="H823"/>
    <hyperlink r:id="rId1508" ref="H824"/>
    <hyperlink r:id="rId1509" ref="H825"/>
    <hyperlink r:id="rId1510" ref="H826"/>
    <hyperlink r:id="rId1511" ref="H827"/>
    <hyperlink r:id="rId1512" ref="H828"/>
    <hyperlink r:id="rId1513" ref="H829"/>
    <hyperlink r:id="rId1514" ref="H830"/>
    <hyperlink r:id="rId1515" ref="I831"/>
    <hyperlink r:id="rId1516" ref="J832"/>
    <hyperlink r:id="rId1517" ref="J833"/>
    <hyperlink r:id="rId1518" ref="J834"/>
    <hyperlink r:id="rId1519" ref="J835"/>
    <hyperlink r:id="rId1520" ref="J836"/>
    <hyperlink r:id="rId1521" ref="J837"/>
    <hyperlink r:id="rId1522" ref="J838"/>
    <hyperlink r:id="rId1523" ref="J839"/>
    <hyperlink r:id="rId1524" ref="J840"/>
    <hyperlink r:id="rId1525" ref="J841"/>
    <hyperlink r:id="rId1526" ref="H842"/>
    <hyperlink r:id="rId1527" ref="I842"/>
    <hyperlink r:id="rId1528" ref="J842"/>
    <hyperlink r:id="rId1529" ref="J843"/>
    <hyperlink r:id="rId1530" ref="J844"/>
    <hyperlink r:id="rId1531" ref="H845"/>
    <hyperlink r:id="rId1532" ref="I845"/>
    <hyperlink r:id="rId1533" ref="H846"/>
    <hyperlink r:id="rId1534" ref="J846"/>
    <hyperlink r:id="rId1535" ref="J847"/>
    <hyperlink r:id="rId1536" ref="J848"/>
    <hyperlink r:id="rId1537" ref="J849"/>
    <hyperlink r:id="rId1538" ref="J850"/>
    <hyperlink r:id="rId1539" ref="J851"/>
    <hyperlink r:id="rId1540" ref="J852"/>
    <hyperlink r:id="rId1541" ref="J853"/>
    <hyperlink r:id="rId1542" ref="J854"/>
    <hyperlink r:id="rId1543" ref="J855"/>
    <hyperlink r:id="rId1544" ref="J856"/>
    <hyperlink r:id="rId1545" ref="J857"/>
    <hyperlink r:id="rId1546" ref="J858"/>
    <hyperlink r:id="rId1547" ref="J859"/>
    <hyperlink r:id="rId1548" ref="H860"/>
    <hyperlink r:id="rId1549" ref="I860"/>
    <hyperlink r:id="rId1550" ref="J860"/>
    <hyperlink r:id="rId1551" ref="J861"/>
    <hyperlink r:id="rId1552" ref="J862"/>
    <hyperlink r:id="rId1553" ref="J863"/>
    <hyperlink r:id="rId1554" ref="J864"/>
    <hyperlink r:id="rId1555" ref="J865"/>
    <hyperlink r:id="rId1556" ref="J866"/>
    <hyperlink r:id="rId1557" ref="J867"/>
    <hyperlink r:id="rId1558" ref="J868"/>
    <hyperlink r:id="rId1559" ref="J869"/>
    <hyperlink r:id="rId1560" ref="J870"/>
    <hyperlink r:id="rId1561" ref="J871"/>
    <hyperlink r:id="rId1562" ref="J872"/>
    <hyperlink r:id="rId1563" ref="J873"/>
    <hyperlink r:id="rId1564" ref="J874"/>
    <hyperlink r:id="rId1565" ref="J875"/>
    <hyperlink r:id="rId1566" ref="J876"/>
    <hyperlink r:id="rId1567" ref="J877"/>
    <hyperlink r:id="rId1568" ref="J878"/>
    <hyperlink r:id="rId1569" ref="J879"/>
    <hyperlink r:id="rId1570" ref="H880"/>
  </hyperlinks>
  <drawing r:id="rId157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5.75"/>
    <col customWidth="1" min="3" max="3" width="16.75"/>
    <col customWidth="1" min="4" max="4" width="6.63"/>
    <col customWidth="1" min="5" max="5" width="6.88"/>
    <col customWidth="1" min="6" max="6" width="6.75"/>
    <col customWidth="1" min="7" max="7" width="5.5"/>
    <col customWidth="1" min="8" max="8" width="45.5"/>
    <col customWidth="1" min="9" max="9" width="32.88"/>
    <col customWidth="1" min="10" max="10" width="34.38"/>
    <col customWidth="1" min="11" max="11" width="8.25"/>
    <col customWidth="1" min="12" max="12" width="7.88"/>
    <col customWidth="1" min="13" max="13" width="6.38"/>
    <col customWidth="1" min="14" max="14" width="7.13"/>
    <col customWidth="1" min="15" max="16" width="7.25"/>
    <col customWidth="1" min="17" max="17" width="7.63"/>
    <col customWidth="1" min="18" max="18" width="8.63"/>
    <col customWidth="1" min="19" max="29" width="10.0"/>
  </cols>
  <sheetData>
    <row r="1" ht="17.25" customHeight="1">
      <c r="A1" s="2" t="s">
        <v>19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>
      <c r="A2" s="74">
        <v>14540.0</v>
      </c>
      <c r="B2" s="2" t="s">
        <v>20</v>
      </c>
      <c r="C2" s="4" t="s">
        <v>2229</v>
      </c>
      <c r="D2" s="4" t="s">
        <v>130</v>
      </c>
      <c r="E2" s="4" t="s">
        <v>2759</v>
      </c>
      <c r="F2" s="4" t="s">
        <v>2760</v>
      </c>
      <c r="G2" s="32"/>
      <c r="H2" s="29" t="s">
        <v>2761</v>
      </c>
      <c r="I2" s="43" t="s">
        <v>2762</v>
      </c>
      <c r="J2" s="29" t="s">
        <v>2763</v>
      </c>
      <c r="K2" s="27"/>
      <c r="L2" s="27"/>
      <c r="M2" s="27"/>
      <c r="N2" s="27"/>
      <c r="O2" s="27"/>
      <c r="P2" s="27"/>
      <c r="Q2" s="27"/>
      <c r="R2" s="27"/>
      <c r="S2" s="27"/>
    </row>
    <row r="3">
      <c r="A3" s="75">
        <v>14589.0</v>
      </c>
      <c r="B3" s="2" t="s">
        <v>20</v>
      </c>
      <c r="C3" s="4" t="s">
        <v>698</v>
      </c>
      <c r="D3" s="4" t="s">
        <v>130</v>
      </c>
      <c r="E3" s="4" t="s">
        <v>2759</v>
      </c>
      <c r="F3" s="27"/>
      <c r="G3" s="32"/>
      <c r="H3" s="29" t="s">
        <v>2764</v>
      </c>
      <c r="I3" s="29" t="s">
        <v>2765</v>
      </c>
      <c r="J3" s="29" t="s">
        <v>2766</v>
      </c>
      <c r="K3" s="27"/>
      <c r="L3" s="27"/>
      <c r="M3" s="27"/>
      <c r="N3" s="27"/>
      <c r="O3" s="27"/>
      <c r="P3" s="27"/>
      <c r="Q3" s="27"/>
      <c r="R3" s="27"/>
      <c r="S3" s="27"/>
    </row>
    <row r="4">
      <c r="A4" s="74">
        <v>14626.0</v>
      </c>
      <c r="B4" s="2" t="s">
        <v>20</v>
      </c>
      <c r="C4" s="4" t="s">
        <v>755</v>
      </c>
      <c r="D4" s="4" t="s">
        <v>130</v>
      </c>
      <c r="E4" s="4" t="s">
        <v>2759</v>
      </c>
      <c r="F4" s="27"/>
      <c r="G4" s="32"/>
      <c r="H4" s="29" t="s">
        <v>2767</v>
      </c>
      <c r="I4" s="27"/>
      <c r="J4" s="29" t="s">
        <v>2768</v>
      </c>
      <c r="K4" s="27"/>
      <c r="L4" s="27"/>
      <c r="M4" s="27"/>
      <c r="N4" s="27"/>
      <c r="O4" s="27"/>
      <c r="P4" s="27"/>
      <c r="Q4" s="27"/>
      <c r="R4" s="27"/>
      <c r="S4" s="27"/>
    </row>
    <row r="5">
      <c r="A5" s="76">
        <v>14627.0</v>
      </c>
      <c r="B5" s="2" t="s">
        <v>20</v>
      </c>
      <c r="C5" s="4" t="s">
        <v>2769</v>
      </c>
      <c r="D5" s="4" t="s">
        <v>130</v>
      </c>
      <c r="E5" s="4" t="s">
        <v>2759</v>
      </c>
      <c r="F5" s="27"/>
      <c r="G5" s="77"/>
      <c r="H5" s="43" t="s">
        <v>2770</v>
      </c>
      <c r="I5" s="27"/>
      <c r="J5" s="43" t="s">
        <v>2771</v>
      </c>
      <c r="K5" s="27"/>
      <c r="L5" s="27"/>
      <c r="M5" s="27"/>
      <c r="N5" s="27"/>
      <c r="O5" s="27"/>
      <c r="P5" s="27"/>
      <c r="Q5" s="27"/>
      <c r="R5" s="27"/>
      <c r="S5" s="32" t="s">
        <v>2772</v>
      </c>
      <c r="T5" s="37"/>
      <c r="U5" s="37"/>
      <c r="V5" s="37"/>
      <c r="W5" s="37"/>
      <c r="X5" s="37"/>
      <c r="Y5" s="37"/>
      <c r="Z5" s="37"/>
      <c r="AA5" s="37"/>
      <c r="AB5" s="37"/>
      <c r="AC5" s="37"/>
    </row>
    <row r="6">
      <c r="A6" s="74">
        <v>14842.0</v>
      </c>
      <c r="B6" s="2" t="s">
        <v>20</v>
      </c>
      <c r="C6" s="4" t="s">
        <v>2773</v>
      </c>
      <c r="D6" s="4" t="s">
        <v>130</v>
      </c>
      <c r="E6" s="4" t="s">
        <v>2759</v>
      </c>
      <c r="F6" s="27"/>
      <c r="G6" s="32"/>
      <c r="H6" s="29" t="s">
        <v>2774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>
      <c r="A7" s="74">
        <v>14989.0</v>
      </c>
      <c r="B7" s="2" t="s">
        <v>20</v>
      </c>
      <c r="C7" s="4" t="s">
        <v>2775</v>
      </c>
      <c r="D7" s="4" t="s">
        <v>130</v>
      </c>
      <c r="E7" s="4" t="s">
        <v>2759</v>
      </c>
      <c r="F7" s="27"/>
      <c r="G7" s="32"/>
      <c r="H7" s="29" t="s">
        <v>2776</v>
      </c>
      <c r="I7" s="27"/>
      <c r="J7" s="29" t="s">
        <v>2777</v>
      </c>
      <c r="K7" s="27"/>
      <c r="L7" s="27"/>
      <c r="M7" s="27"/>
      <c r="N7" s="27"/>
      <c r="O7" s="27"/>
      <c r="P7" s="27"/>
      <c r="Q7" s="27"/>
      <c r="R7" s="27"/>
      <c r="S7" s="27"/>
    </row>
    <row r="8">
      <c r="A8" s="75">
        <v>14990.0</v>
      </c>
      <c r="B8" s="2" t="s">
        <v>20</v>
      </c>
      <c r="C8" s="4" t="s">
        <v>2778</v>
      </c>
      <c r="D8" s="4" t="s">
        <v>130</v>
      </c>
      <c r="E8" s="4" t="s">
        <v>2759</v>
      </c>
      <c r="F8" s="27"/>
      <c r="G8" s="77"/>
      <c r="H8" s="43" t="s">
        <v>2779</v>
      </c>
      <c r="I8" s="29" t="s">
        <v>2780</v>
      </c>
      <c r="J8" s="43" t="s">
        <v>2781</v>
      </c>
      <c r="K8" s="27"/>
      <c r="L8" s="27"/>
      <c r="M8" s="27"/>
      <c r="N8" s="27"/>
      <c r="O8" s="27"/>
      <c r="P8" s="27"/>
      <c r="Q8" s="27"/>
      <c r="R8" s="27"/>
      <c r="S8" s="27"/>
    </row>
    <row r="9">
      <c r="A9" s="74">
        <v>14999.0</v>
      </c>
      <c r="B9" s="2" t="s">
        <v>20</v>
      </c>
      <c r="C9" s="4" t="s">
        <v>2782</v>
      </c>
      <c r="D9" s="4" t="s">
        <v>130</v>
      </c>
      <c r="E9" s="4" t="s">
        <v>2759</v>
      </c>
      <c r="F9" s="27"/>
      <c r="G9" s="32"/>
      <c r="H9" s="29" t="s">
        <v>2783</v>
      </c>
      <c r="I9" s="27"/>
      <c r="J9" s="29" t="s">
        <v>2784</v>
      </c>
      <c r="K9" s="27"/>
      <c r="L9" s="27"/>
      <c r="M9" s="27"/>
      <c r="N9" s="27"/>
      <c r="O9" s="27"/>
      <c r="P9" s="27"/>
      <c r="Q9" s="27"/>
      <c r="R9" s="27"/>
      <c r="S9" s="27"/>
    </row>
    <row r="10">
      <c r="A10" s="74">
        <v>19939.0</v>
      </c>
      <c r="B10" s="2" t="s">
        <v>20</v>
      </c>
      <c r="C10" s="4" t="s">
        <v>2785</v>
      </c>
      <c r="D10" s="4" t="s">
        <v>130</v>
      </c>
      <c r="E10" s="4" t="s">
        <v>2759</v>
      </c>
      <c r="F10" s="27"/>
      <c r="G10" s="32"/>
      <c r="H10" s="29" t="s">
        <v>2786</v>
      </c>
      <c r="I10" s="43" t="s">
        <v>2787</v>
      </c>
      <c r="J10" s="27"/>
      <c r="K10" s="27"/>
      <c r="L10" s="27"/>
      <c r="M10" s="27"/>
      <c r="N10" s="27"/>
      <c r="O10" s="27"/>
      <c r="P10" s="27"/>
      <c r="Q10" s="27"/>
      <c r="R10" s="27"/>
      <c r="S10" s="27"/>
    </row>
    <row r="11">
      <c r="A11" s="74">
        <v>25083.0</v>
      </c>
      <c r="B11" s="2" t="s">
        <v>20</v>
      </c>
      <c r="C11" s="4" t="s">
        <v>2212</v>
      </c>
      <c r="D11" s="4" t="s">
        <v>130</v>
      </c>
      <c r="E11" s="4" t="s">
        <v>2759</v>
      </c>
      <c r="F11" s="27"/>
      <c r="G11" s="77"/>
      <c r="H11" s="43" t="s">
        <v>2788</v>
      </c>
      <c r="I11" s="29" t="s">
        <v>2789</v>
      </c>
      <c r="J11" s="27"/>
      <c r="K11" s="27"/>
      <c r="L11" s="27"/>
      <c r="M11" s="27"/>
      <c r="N11" s="27"/>
      <c r="O11" s="27"/>
      <c r="P11" s="27"/>
      <c r="Q11" s="27"/>
      <c r="R11" s="27"/>
      <c r="S11" s="27"/>
    </row>
    <row r="12">
      <c r="A12" s="74">
        <v>25084.0</v>
      </c>
      <c r="B12" s="2" t="s">
        <v>20</v>
      </c>
      <c r="C12" s="4" t="s">
        <v>837</v>
      </c>
      <c r="D12" s="4" t="s">
        <v>130</v>
      </c>
      <c r="E12" s="4" t="s">
        <v>2759</v>
      </c>
      <c r="F12" s="27"/>
      <c r="G12" s="77"/>
      <c r="H12" s="43" t="s">
        <v>2790</v>
      </c>
      <c r="I12" s="29" t="s">
        <v>2791</v>
      </c>
      <c r="J12" s="29" t="s">
        <v>2792</v>
      </c>
      <c r="K12" s="27"/>
      <c r="L12" s="29" t="s">
        <v>2793</v>
      </c>
      <c r="M12" s="27"/>
      <c r="N12" s="27"/>
      <c r="O12" s="27"/>
      <c r="P12" s="27"/>
      <c r="Q12" s="27"/>
      <c r="R12" s="27"/>
      <c r="S12" s="27"/>
    </row>
    <row r="13">
      <c r="A13" s="2"/>
      <c r="B13" s="2" t="s">
        <v>276</v>
      </c>
      <c r="C13" s="4" t="s">
        <v>347</v>
      </c>
      <c r="D13" s="4" t="s">
        <v>130</v>
      </c>
      <c r="E13" s="4" t="s">
        <v>2759</v>
      </c>
      <c r="F13" s="27"/>
      <c r="G13" s="77"/>
      <c r="H13" s="43" t="s">
        <v>2794</v>
      </c>
      <c r="I13" s="32"/>
      <c r="J13" s="27"/>
      <c r="K13" s="27"/>
      <c r="L13" s="27"/>
      <c r="M13" s="27"/>
      <c r="N13" s="27"/>
      <c r="O13" s="27"/>
      <c r="P13" s="27"/>
      <c r="Q13" s="27"/>
      <c r="R13" s="27"/>
      <c r="S13" s="27"/>
    </row>
    <row r="14">
      <c r="A14" s="2"/>
      <c r="B14" s="2" t="s">
        <v>20</v>
      </c>
      <c r="C14" s="4" t="s">
        <v>2795</v>
      </c>
      <c r="D14" s="4" t="s">
        <v>130</v>
      </c>
      <c r="E14" s="4" t="s">
        <v>2759</v>
      </c>
      <c r="F14" s="27"/>
      <c r="G14" s="32"/>
      <c r="H14" s="29" t="s">
        <v>2796</v>
      </c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</row>
    <row r="15">
      <c r="A15" s="2"/>
      <c r="B15" s="2" t="s">
        <v>20</v>
      </c>
      <c r="C15" s="4" t="s">
        <v>2797</v>
      </c>
      <c r="D15" s="4" t="s">
        <v>130</v>
      </c>
      <c r="E15" s="4" t="s">
        <v>2759</v>
      </c>
      <c r="F15" s="27"/>
      <c r="G15" s="32"/>
      <c r="H15" s="29" t="s">
        <v>2798</v>
      </c>
      <c r="I15" s="43" t="s">
        <v>2799</v>
      </c>
      <c r="J15" s="29" t="s">
        <v>2800</v>
      </c>
      <c r="K15" s="27"/>
      <c r="L15" s="27"/>
      <c r="M15" s="27"/>
      <c r="N15" s="27"/>
      <c r="O15" s="27"/>
      <c r="P15" s="27"/>
      <c r="Q15" s="27"/>
      <c r="R15" s="27"/>
      <c r="S15" s="27"/>
    </row>
    <row r="16">
      <c r="A16" s="2"/>
      <c r="B16" s="2" t="s">
        <v>20</v>
      </c>
      <c r="C16" s="4" t="s">
        <v>2801</v>
      </c>
      <c r="D16" s="4" t="s">
        <v>130</v>
      </c>
      <c r="E16" s="4" t="s">
        <v>2759</v>
      </c>
      <c r="F16" s="27"/>
      <c r="G16" s="32"/>
      <c r="H16" s="29" t="s">
        <v>2802</v>
      </c>
      <c r="I16" s="29" t="s">
        <v>2803</v>
      </c>
      <c r="J16" s="27"/>
      <c r="K16" s="27"/>
      <c r="L16" s="27"/>
      <c r="M16" s="27"/>
      <c r="N16" s="27"/>
      <c r="O16" s="27"/>
      <c r="P16" s="27"/>
      <c r="Q16" s="27"/>
      <c r="R16" s="27"/>
      <c r="S16" s="27"/>
    </row>
    <row r="17">
      <c r="A17" s="2"/>
      <c r="B17" s="2" t="s">
        <v>20</v>
      </c>
      <c r="C17" s="4" t="s">
        <v>2804</v>
      </c>
      <c r="D17" s="4" t="s">
        <v>130</v>
      </c>
      <c r="E17" s="4" t="s">
        <v>2759</v>
      </c>
      <c r="F17" s="27"/>
      <c r="G17" s="32"/>
      <c r="H17" s="29" t="s">
        <v>2805</v>
      </c>
      <c r="I17" s="29" t="s">
        <v>2806</v>
      </c>
      <c r="J17" s="27"/>
      <c r="K17" s="27"/>
      <c r="L17" s="27"/>
      <c r="M17" s="27"/>
      <c r="N17" s="27"/>
      <c r="O17" s="27"/>
      <c r="P17" s="27"/>
      <c r="Q17" s="27"/>
      <c r="R17" s="27"/>
      <c r="S17" s="27"/>
    </row>
    <row r="18">
      <c r="A18" s="2"/>
      <c r="B18" s="2" t="s">
        <v>20</v>
      </c>
      <c r="C18" s="4" t="s">
        <v>1649</v>
      </c>
      <c r="D18" s="4" t="s">
        <v>130</v>
      </c>
      <c r="E18" s="4" t="s">
        <v>2759</v>
      </c>
      <c r="F18" s="27"/>
      <c r="G18" s="32"/>
      <c r="H18" s="29" t="s">
        <v>2807</v>
      </c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</row>
    <row r="19">
      <c r="A19" s="2"/>
      <c r="B19" s="2" t="s">
        <v>20</v>
      </c>
      <c r="C19" s="4" t="s">
        <v>74</v>
      </c>
      <c r="D19" s="4" t="s">
        <v>130</v>
      </c>
      <c r="E19" s="4" t="s">
        <v>2759</v>
      </c>
      <c r="F19" s="27"/>
      <c r="G19" s="77"/>
      <c r="H19" s="43" t="s">
        <v>2808</v>
      </c>
      <c r="I19" s="29" t="s">
        <v>2809</v>
      </c>
      <c r="J19" s="29" t="s">
        <v>2810</v>
      </c>
      <c r="K19" s="27"/>
      <c r="L19" s="27"/>
      <c r="M19" s="27"/>
      <c r="N19" s="27"/>
      <c r="O19" s="27"/>
      <c r="P19" s="27"/>
      <c r="Q19" s="27"/>
      <c r="R19" s="27"/>
      <c r="S19" s="32" t="s">
        <v>2772</v>
      </c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>
      <c r="A20" s="2"/>
      <c r="B20" s="2" t="s">
        <v>20</v>
      </c>
      <c r="C20" s="4" t="s">
        <v>2811</v>
      </c>
      <c r="D20" s="4" t="s">
        <v>130</v>
      </c>
      <c r="E20" s="4" t="s">
        <v>2759</v>
      </c>
      <c r="F20" s="27"/>
      <c r="G20" s="32"/>
      <c r="H20" s="29" t="s">
        <v>2812</v>
      </c>
      <c r="I20" s="29" t="s">
        <v>2813</v>
      </c>
      <c r="J20" s="29" t="s">
        <v>2814</v>
      </c>
      <c r="K20" s="27"/>
      <c r="L20" s="27"/>
      <c r="M20" s="27"/>
      <c r="N20" s="27"/>
      <c r="O20" s="27"/>
      <c r="P20" s="27"/>
      <c r="Q20" s="27"/>
      <c r="R20" s="27"/>
      <c r="S20" s="27"/>
    </row>
    <row r="21">
      <c r="A21" s="2"/>
      <c r="B21" s="2" t="s">
        <v>20</v>
      </c>
      <c r="C21" s="4" t="s">
        <v>2815</v>
      </c>
      <c r="D21" s="4" t="s">
        <v>130</v>
      </c>
      <c r="E21" s="4" t="s">
        <v>2759</v>
      </c>
      <c r="F21" s="27"/>
      <c r="G21" s="77"/>
      <c r="H21" s="43" t="s">
        <v>2816</v>
      </c>
      <c r="I21" s="29" t="s">
        <v>2817</v>
      </c>
      <c r="J21" s="27"/>
      <c r="K21" s="27"/>
      <c r="L21" s="27"/>
      <c r="M21" s="27"/>
      <c r="N21" s="27"/>
      <c r="O21" s="27"/>
      <c r="P21" s="27"/>
      <c r="Q21" s="27"/>
      <c r="R21" s="27"/>
      <c r="S21" s="27"/>
    </row>
    <row r="22">
      <c r="A22" s="2"/>
      <c r="B22" s="2" t="s">
        <v>20</v>
      </c>
      <c r="C22" s="4" t="s">
        <v>2818</v>
      </c>
      <c r="D22" s="4" t="s">
        <v>130</v>
      </c>
      <c r="E22" s="4" t="s">
        <v>2759</v>
      </c>
      <c r="F22" s="27"/>
      <c r="G22" s="77"/>
      <c r="H22" s="43" t="s">
        <v>2819</v>
      </c>
      <c r="I22" s="29" t="s">
        <v>2820</v>
      </c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>
      <c r="A23" s="2"/>
      <c r="B23" s="2" t="s">
        <v>20</v>
      </c>
      <c r="C23" s="4" t="s">
        <v>2821</v>
      </c>
      <c r="D23" s="4" t="s">
        <v>130</v>
      </c>
      <c r="E23" s="4" t="s">
        <v>2759</v>
      </c>
      <c r="F23" s="27"/>
      <c r="G23" s="77"/>
      <c r="H23" s="43" t="s">
        <v>2822</v>
      </c>
      <c r="I23" s="29" t="s">
        <v>2823</v>
      </c>
      <c r="J23" s="27"/>
      <c r="K23" s="27"/>
      <c r="L23" s="27"/>
      <c r="M23" s="27"/>
      <c r="N23" s="27"/>
      <c r="O23" s="27"/>
      <c r="P23" s="27"/>
      <c r="Q23" s="27"/>
      <c r="R23" s="27"/>
      <c r="S23" s="27"/>
    </row>
    <row r="24">
      <c r="A24" s="2"/>
      <c r="B24" s="2" t="s">
        <v>20</v>
      </c>
      <c r="C24" s="4" t="s">
        <v>396</v>
      </c>
      <c r="D24" s="4" t="s">
        <v>130</v>
      </c>
      <c r="E24" s="4" t="s">
        <v>2759</v>
      </c>
      <c r="F24" s="27"/>
      <c r="G24" s="77"/>
      <c r="H24" s="43" t="s">
        <v>2824</v>
      </c>
      <c r="I24" s="29" t="s">
        <v>2825</v>
      </c>
      <c r="J24" s="27"/>
      <c r="K24" s="27"/>
      <c r="L24" s="27"/>
      <c r="M24" s="27"/>
      <c r="N24" s="27"/>
      <c r="O24" s="27"/>
      <c r="P24" s="27"/>
      <c r="Q24" s="27"/>
      <c r="R24" s="27"/>
      <c r="S24" s="27"/>
    </row>
    <row r="25">
      <c r="A25" s="2"/>
      <c r="B25" s="2" t="s">
        <v>20</v>
      </c>
      <c r="C25" s="4" t="s">
        <v>2120</v>
      </c>
      <c r="D25" s="4" t="s">
        <v>130</v>
      </c>
      <c r="E25" s="4" t="s">
        <v>2759</v>
      </c>
      <c r="F25" s="27"/>
      <c r="G25" s="77"/>
      <c r="H25" s="43" t="s">
        <v>2826</v>
      </c>
      <c r="I25" s="32"/>
      <c r="J25" s="27"/>
      <c r="K25" s="27"/>
      <c r="L25" s="27"/>
      <c r="M25" s="27"/>
      <c r="N25" s="27"/>
      <c r="O25" s="27"/>
      <c r="P25" s="27"/>
      <c r="Q25" s="27"/>
      <c r="R25" s="27"/>
      <c r="S25" s="27"/>
    </row>
    <row r="26">
      <c r="A26" s="2"/>
      <c r="B26" s="2" t="s">
        <v>20</v>
      </c>
      <c r="C26" s="4" t="s">
        <v>2229</v>
      </c>
      <c r="D26" s="4" t="s">
        <v>130</v>
      </c>
      <c r="E26" s="4" t="s">
        <v>2759</v>
      </c>
      <c r="F26" s="27"/>
      <c r="G26" s="77"/>
      <c r="H26" s="43" t="s">
        <v>2827</v>
      </c>
      <c r="I26" s="29" t="s">
        <v>2828</v>
      </c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>
      <c r="A27" s="2"/>
      <c r="B27" s="2" t="s">
        <v>20</v>
      </c>
      <c r="C27" s="4" t="s">
        <v>2233</v>
      </c>
      <c r="D27" s="4" t="s">
        <v>130</v>
      </c>
      <c r="E27" s="4" t="s">
        <v>2759</v>
      </c>
      <c r="F27" s="27"/>
      <c r="G27" s="77"/>
      <c r="H27" s="43" t="s">
        <v>2829</v>
      </c>
      <c r="I27" s="32"/>
      <c r="J27" s="27"/>
      <c r="K27" s="27"/>
      <c r="L27" s="27"/>
      <c r="M27" s="27"/>
      <c r="N27" s="27"/>
      <c r="O27" s="27"/>
      <c r="P27" s="27"/>
      <c r="Q27" s="27"/>
      <c r="R27" s="27"/>
      <c r="S27" s="27"/>
    </row>
    <row r="28">
      <c r="A28" s="2"/>
      <c r="B28" s="2" t="s">
        <v>20</v>
      </c>
      <c r="C28" s="4" t="s">
        <v>755</v>
      </c>
      <c r="D28" s="4" t="s">
        <v>130</v>
      </c>
      <c r="E28" s="4" t="s">
        <v>2759</v>
      </c>
      <c r="F28" s="27"/>
      <c r="G28" s="77"/>
      <c r="H28" s="43" t="s">
        <v>2767</v>
      </c>
      <c r="I28" s="29" t="s">
        <v>2830</v>
      </c>
      <c r="J28" s="27"/>
      <c r="K28" s="27"/>
      <c r="L28" s="27"/>
      <c r="M28" s="27"/>
      <c r="N28" s="27"/>
      <c r="O28" s="27"/>
      <c r="P28" s="27"/>
      <c r="Q28" s="27"/>
      <c r="R28" s="27"/>
      <c r="S28" s="27"/>
    </row>
    <row r="29">
      <c r="A29" s="4"/>
      <c r="B29" s="4" t="s">
        <v>20</v>
      </c>
      <c r="C29" s="4" t="s">
        <v>2831</v>
      </c>
      <c r="D29" s="4" t="s">
        <v>130</v>
      </c>
      <c r="E29" s="4" t="s">
        <v>2759</v>
      </c>
      <c r="F29" s="4" t="s">
        <v>2832</v>
      </c>
      <c r="G29" s="77"/>
      <c r="H29" s="43" t="s">
        <v>2833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</row>
    <row r="30">
      <c r="A30" s="2"/>
      <c r="B30" s="2" t="s">
        <v>2364</v>
      </c>
      <c r="C30" s="4" t="s">
        <v>678</v>
      </c>
      <c r="D30" s="4" t="s">
        <v>130</v>
      </c>
      <c r="E30" s="4" t="s">
        <v>2759</v>
      </c>
      <c r="F30" s="27"/>
      <c r="G30" s="32"/>
      <c r="H30" s="29" t="s">
        <v>2834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</row>
    <row r="31">
      <c r="A31" s="74">
        <v>14488.0</v>
      </c>
      <c r="B31" s="2" t="s">
        <v>20</v>
      </c>
      <c r="C31" s="4" t="s">
        <v>2835</v>
      </c>
      <c r="D31" s="4" t="s">
        <v>130</v>
      </c>
      <c r="E31" s="4" t="s">
        <v>131</v>
      </c>
      <c r="F31" s="4" t="s">
        <v>2836</v>
      </c>
      <c r="G31" s="77"/>
      <c r="H31" s="43" t="s">
        <v>2837</v>
      </c>
      <c r="I31" s="29" t="s">
        <v>2838</v>
      </c>
      <c r="J31" s="29" t="s">
        <v>2839</v>
      </c>
      <c r="K31" s="27"/>
      <c r="L31" s="27"/>
      <c r="M31" s="27"/>
      <c r="N31" s="4" t="s">
        <v>2840</v>
      </c>
      <c r="O31" s="27"/>
      <c r="P31" s="27"/>
      <c r="Q31" s="27"/>
      <c r="R31" s="27"/>
      <c r="S31" s="27"/>
    </row>
    <row r="32">
      <c r="A32" s="74">
        <v>14548.0</v>
      </c>
      <c r="B32" s="2" t="s">
        <v>20</v>
      </c>
      <c r="C32" s="4" t="s">
        <v>2841</v>
      </c>
      <c r="D32" s="4" t="s">
        <v>130</v>
      </c>
      <c r="E32" s="4" t="s">
        <v>131</v>
      </c>
      <c r="F32" s="27"/>
      <c r="G32" s="32"/>
      <c r="H32" s="29" t="s">
        <v>2842</v>
      </c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</row>
    <row r="33">
      <c r="A33" s="1">
        <v>14550.0</v>
      </c>
      <c r="B33" s="2" t="s">
        <v>20</v>
      </c>
      <c r="C33" s="4" t="s">
        <v>2843</v>
      </c>
      <c r="D33" s="4" t="s">
        <v>130</v>
      </c>
      <c r="E33" s="4" t="s">
        <v>131</v>
      </c>
      <c r="F33" s="27"/>
      <c r="G33" s="32"/>
      <c r="H33" s="29" t="s">
        <v>2844</v>
      </c>
      <c r="I33" s="29" t="s">
        <v>2845</v>
      </c>
      <c r="J33" s="29" t="s">
        <v>2846</v>
      </c>
      <c r="K33" s="27"/>
      <c r="L33" s="27"/>
      <c r="M33" s="27"/>
      <c r="N33" s="27"/>
      <c r="O33" s="27"/>
      <c r="P33" s="27"/>
      <c r="Q33" s="27"/>
      <c r="R33" s="27"/>
      <c r="S33" s="27"/>
    </row>
    <row r="34">
      <c r="A34" s="74">
        <v>14578.0</v>
      </c>
      <c r="B34" s="2" t="s">
        <v>20</v>
      </c>
      <c r="C34" s="4" t="s">
        <v>2847</v>
      </c>
      <c r="D34" s="4" t="s">
        <v>130</v>
      </c>
      <c r="E34" s="4" t="s">
        <v>131</v>
      </c>
      <c r="F34" s="27"/>
      <c r="G34" s="77"/>
      <c r="H34" s="43" t="s">
        <v>2848</v>
      </c>
      <c r="I34" s="29" t="s">
        <v>2849</v>
      </c>
      <c r="J34" s="29" t="s">
        <v>2850</v>
      </c>
      <c r="K34" s="29" t="s">
        <v>2851</v>
      </c>
      <c r="L34" s="29" t="s">
        <v>2852</v>
      </c>
      <c r="M34" s="27"/>
      <c r="N34" s="27"/>
      <c r="O34" s="27"/>
      <c r="P34" s="27"/>
      <c r="Q34" s="27"/>
      <c r="R34" s="29" t="s">
        <v>2853</v>
      </c>
      <c r="S34" s="32" t="s">
        <v>2772</v>
      </c>
      <c r="T34" s="37"/>
      <c r="U34" s="37"/>
      <c r="V34" s="37"/>
      <c r="W34" s="37"/>
      <c r="X34" s="37"/>
      <c r="Y34" s="37"/>
      <c r="Z34" s="37"/>
      <c r="AA34" s="37"/>
      <c r="AB34" s="37"/>
      <c r="AC34" s="37"/>
    </row>
    <row r="35">
      <c r="A35" s="74">
        <v>14668.0</v>
      </c>
      <c r="B35" s="2" t="s">
        <v>20</v>
      </c>
      <c r="C35" s="4" t="s">
        <v>49</v>
      </c>
      <c r="D35" s="4" t="s">
        <v>130</v>
      </c>
      <c r="E35" s="4" t="s">
        <v>131</v>
      </c>
      <c r="F35" s="4" t="s">
        <v>2836</v>
      </c>
      <c r="G35" s="77"/>
      <c r="H35" s="43" t="s">
        <v>2854</v>
      </c>
      <c r="I35" s="43" t="s">
        <v>2855</v>
      </c>
      <c r="J35" s="29" t="s">
        <v>2856</v>
      </c>
      <c r="K35" s="27"/>
      <c r="L35" s="27"/>
      <c r="M35" s="27"/>
      <c r="N35" s="27"/>
      <c r="O35" s="27"/>
      <c r="P35" s="27"/>
      <c r="Q35" s="27"/>
      <c r="R35" s="27"/>
      <c r="S35" s="32" t="s">
        <v>2772</v>
      </c>
      <c r="T35" s="37"/>
      <c r="U35" s="37"/>
      <c r="V35" s="37"/>
      <c r="W35" s="37"/>
      <c r="X35" s="37"/>
      <c r="Y35" s="37"/>
      <c r="Z35" s="37"/>
      <c r="AA35" s="37"/>
      <c r="AB35" s="37"/>
      <c r="AC35" s="37"/>
    </row>
    <row r="36">
      <c r="A36" s="74">
        <v>14973.0</v>
      </c>
      <c r="B36" s="2" t="s">
        <v>20</v>
      </c>
      <c r="C36" s="4" t="s">
        <v>281</v>
      </c>
      <c r="D36" s="4" t="s">
        <v>130</v>
      </c>
      <c r="E36" s="4" t="s">
        <v>131</v>
      </c>
      <c r="F36" s="27"/>
      <c r="G36" s="32"/>
      <c r="H36" s="29" t="s">
        <v>2857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</row>
    <row r="37">
      <c r="A37" s="74">
        <v>15116.0</v>
      </c>
      <c r="B37" s="2" t="s">
        <v>20</v>
      </c>
      <c r="C37" s="4" t="s">
        <v>386</v>
      </c>
      <c r="D37" s="4" t="s">
        <v>130</v>
      </c>
      <c r="E37" s="4" t="s">
        <v>131</v>
      </c>
      <c r="F37" s="27"/>
      <c r="G37" s="77"/>
      <c r="H37" s="43" t="s">
        <v>2858</v>
      </c>
      <c r="I37" s="29" t="s">
        <v>2859</v>
      </c>
      <c r="J37" s="29" t="s">
        <v>2860</v>
      </c>
      <c r="K37" s="27"/>
      <c r="L37" s="27"/>
      <c r="M37" s="27"/>
      <c r="N37" s="27"/>
      <c r="O37" s="27"/>
      <c r="P37" s="27"/>
      <c r="Q37" s="27"/>
      <c r="R37" s="27"/>
      <c r="S37" s="27"/>
    </row>
    <row r="38">
      <c r="A38" s="74">
        <v>18301.0</v>
      </c>
      <c r="B38" s="2" t="s">
        <v>20</v>
      </c>
      <c r="C38" s="4" t="s">
        <v>2861</v>
      </c>
      <c r="D38" s="4" t="s">
        <v>130</v>
      </c>
      <c r="E38" s="4" t="s">
        <v>131</v>
      </c>
      <c r="F38" s="27"/>
      <c r="G38" s="77"/>
      <c r="H38" s="43" t="s">
        <v>2862</v>
      </c>
      <c r="I38" s="29" t="s">
        <v>2863</v>
      </c>
      <c r="J38" s="27"/>
      <c r="K38" s="27"/>
      <c r="L38" s="27"/>
      <c r="M38" s="27"/>
      <c r="N38" s="27"/>
      <c r="O38" s="27"/>
      <c r="P38" s="27"/>
      <c r="Q38" s="27"/>
      <c r="R38" s="27"/>
      <c r="S38" s="27"/>
    </row>
    <row r="39">
      <c r="A39" s="74">
        <v>23280.0</v>
      </c>
      <c r="B39" s="2" t="s">
        <v>20</v>
      </c>
      <c r="C39" s="4" t="s">
        <v>794</v>
      </c>
      <c r="D39" s="4" t="s">
        <v>130</v>
      </c>
      <c r="E39" s="4" t="s">
        <v>131</v>
      </c>
      <c r="F39" s="27"/>
      <c r="G39" s="77"/>
      <c r="H39" s="43" t="s">
        <v>2864</v>
      </c>
      <c r="I39" s="27"/>
      <c r="J39" s="29" t="s">
        <v>1837</v>
      </c>
      <c r="K39" s="27"/>
      <c r="L39" s="29" t="s">
        <v>1838</v>
      </c>
      <c r="M39" s="27"/>
      <c r="N39" s="4" t="s">
        <v>2840</v>
      </c>
      <c r="O39" s="27"/>
      <c r="P39" s="27"/>
      <c r="Q39" s="27"/>
      <c r="R39" s="27"/>
      <c r="S39" s="27"/>
    </row>
    <row r="40">
      <c r="A40" s="74">
        <v>24218.0</v>
      </c>
      <c r="B40" s="2" t="s">
        <v>20</v>
      </c>
      <c r="C40" s="4" t="s">
        <v>1975</v>
      </c>
      <c r="D40" s="4" t="s">
        <v>130</v>
      </c>
      <c r="E40" s="4" t="s">
        <v>131</v>
      </c>
      <c r="F40" s="27"/>
      <c r="G40" s="77"/>
      <c r="H40" s="43" t="s">
        <v>2865</v>
      </c>
      <c r="I40" s="27"/>
      <c r="J40" s="29" t="s">
        <v>2866</v>
      </c>
      <c r="K40" s="27"/>
      <c r="L40" s="27"/>
      <c r="M40" s="27"/>
      <c r="N40" s="27"/>
      <c r="O40" s="27"/>
      <c r="P40" s="27"/>
      <c r="Q40" s="27"/>
      <c r="R40" s="27"/>
      <c r="S40" s="27"/>
    </row>
    <row r="41">
      <c r="A41" s="1">
        <v>32237.0</v>
      </c>
      <c r="B41" s="2" t="s">
        <v>20</v>
      </c>
      <c r="C41" s="4" t="s">
        <v>2032</v>
      </c>
      <c r="D41" s="4" t="s">
        <v>130</v>
      </c>
      <c r="E41" s="4" t="s">
        <v>131</v>
      </c>
      <c r="F41" s="27"/>
      <c r="G41" s="77"/>
      <c r="H41" s="43" t="s">
        <v>2867</v>
      </c>
      <c r="I41" s="29" t="s">
        <v>2868</v>
      </c>
      <c r="J41" s="43" t="s">
        <v>2869</v>
      </c>
      <c r="K41" s="27"/>
      <c r="L41" s="27"/>
      <c r="M41" s="27"/>
      <c r="N41" s="27"/>
      <c r="O41" s="27"/>
      <c r="P41" s="27"/>
      <c r="Q41" s="27"/>
      <c r="R41" s="27"/>
      <c r="S41" s="27"/>
    </row>
    <row r="42">
      <c r="A42" s="2"/>
      <c r="B42" s="2" t="s">
        <v>34</v>
      </c>
      <c r="C42" s="4" t="s">
        <v>2870</v>
      </c>
      <c r="D42" s="4" t="s">
        <v>130</v>
      </c>
      <c r="E42" s="4" t="s">
        <v>131</v>
      </c>
      <c r="F42" s="27"/>
      <c r="G42" s="77"/>
      <c r="H42" s="43" t="s">
        <v>2871</v>
      </c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</row>
    <row r="43">
      <c r="A43" s="2"/>
      <c r="B43" s="2" t="s">
        <v>220</v>
      </c>
      <c r="C43" s="4" t="s">
        <v>2872</v>
      </c>
      <c r="D43" s="4" t="s">
        <v>130</v>
      </c>
      <c r="E43" s="4" t="s">
        <v>131</v>
      </c>
      <c r="F43" s="27"/>
      <c r="G43" s="77"/>
      <c r="H43" s="43" t="s">
        <v>2873</v>
      </c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</row>
    <row r="44">
      <c r="A44" s="2"/>
      <c r="B44" s="2" t="s">
        <v>220</v>
      </c>
      <c r="C44" s="4" t="s">
        <v>2874</v>
      </c>
      <c r="D44" s="4" t="s">
        <v>130</v>
      </c>
      <c r="E44" s="4" t="s">
        <v>131</v>
      </c>
      <c r="F44" s="27"/>
      <c r="G44" s="32"/>
      <c r="H44" s="29" t="s">
        <v>2875</v>
      </c>
      <c r="I44" s="29" t="s">
        <v>2876</v>
      </c>
      <c r="J44" s="27"/>
      <c r="K44" s="27"/>
      <c r="L44" s="27"/>
      <c r="M44" s="27"/>
      <c r="N44" s="27"/>
      <c r="O44" s="27"/>
      <c r="P44" s="27"/>
      <c r="Q44" s="27"/>
      <c r="R44" s="27"/>
      <c r="S44" s="27"/>
    </row>
    <row r="45">
      <c r="A45" s="2"/>
      <c r="B45" s="2" t="s">
        <v>220</v>
      </c>
      <c r="C45" s="4" t="s">
        <v>1834</v>
      </c>
      <c r="D45" s="4" t="s">
        <v>130</v>
      </c>
      <c r="E45" s="4" t="s">
        <v>131</v>
      </c>
      <c r="F45" s="27"/>
      <c r="G45" s="32"/>
      <c r="H45" s="29" t="s">
        <v>1835</v>
      </c>
      <c r="I45" s="29" t="s">
        <v>1836</v>
      </c>
      <c r="J45" s="27"/>
      <c r="K45" s="27"/>
      <c r="L45" s="27"/>
      <c r="M45" s="27"/>
      <c r="N45" s="27"/>
      <c r="O45" s="27"/>
      <c r="P45" s="27"/>
      <c r="Q45" s="27"/>
      <c r="R45" s="27"/>
      <c r="S45" s="27"/>
    </row>
    <row r="46">
      <c r="A46" s="2"/>
      <c r="B46" s="2" t="s">
        <v>220</v>
      </c>
      <c r="C46" s="4" t="s">
        <v>2877</v>
      </c>
      <c r="D46" s="4" t="s">
        <v>130</v>
      </c>
      <c r="E46" s="4" t="s">
        <v>131</v>
      </c>
      <c r="F46" s="27"/>
      <c r="G46" s="77"/>
      <c r="H46" s="43" t="s">
        <v>2878</v>
      </c>
      <c r="I46" s="29" t="s">
        <v>2879</v>
      </c>
      <c r="J46" s="27"/>
      <c r="K46" s="27"/>
      <c r="L46" s="27"/>
      <c r="M46" s="27"/>
      <c r="N46" s="27"/>
      <c r="O46" s="27"/>
      <c r="P46" s="27"/>
      <c r="Q46" s="27"/>
      <c r="R46" s="27"/>
      <c r="S46" s="27"/>
    </row>
    <row r="47">
      <c r="A47" s="2"/>
      <c r="B47" s="2" t="s">
        <v>20</v>
      </c>
      <c r="C47" s="4" t="s">
        <v>1360</v>
      </c>
      <c r="D47" s="4" t="s">
        <v>130</v>
      </c>
      <c r="E47" s="4" t="s">
        <v>131</v>
      </c>
      <c r="F47" s="4" t="s">
        <v>2836</v>
      </c>
      <c r="G47" s="77"/>
      <c r="H47" s="43" t="s">
        <v>2880</v>
      </c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32" t="s">
        <v>2881</v>
      </c>
      <c r="T47" s="37"/>
      <c r="U47" s="37"/>
      <c r="V47" s="37"/>
      <c r="W47" s="37"/>
      <c r="X47" s="37"/>
      <c r="Y47" s="37"/>
      <c r="Z47" s="37"/>
      <c r="AA47" s="37"/>
      <c r="AB47" s="37"/>
      <c r="AC47" s="37"/>
    </row>
    <row r="48">
      <c r="A48" s="2"/>
      <c r="B48" s="2" t="s">
        <v>20</v>
      </c>
      <c r="C48" s="4" t="s">
        <v>2882</v>
      </c>
      <c r="D48" s="4" t="s">
        <v>130</v>
      </c>
      <c r="E48" s="4" t="s">
        <v>131</v>
      </c>
      <c r="F48" s="27"/>
      <c r="G48" s="77"/>
      <c r="H48" s="43" t="s">
        <v>2883</v>
      </c>
      <c r="I48" s="27"/>
      <c r="J48" s="27"/>
      <c r="K48" s="27"/>
      <c r="L48" s="27"/>
      <c r="M48" s="27"/>
      <c r="N48" s="4" t="s">
        <v>2884</v>
      </c>
      <c r="O48" s="27"/>
      <c r="P48" s="27"/>
      <c r="Q48" s="27"/>
      <c r="R48" s="27"/>
      <c r="S48" s="32" t="s">
        <v>2881</v>
      </c>
      <c r="T48" s="37"/>
      <c r="U48" s="37"/>
      <c r="V48" s="37"/>
      <c r="W48" s="37"/>
      <c r="X48" s="37"/>
      <c r="Y48" s="37"/>
      <c r="Z48" s="37"/>
      <c r="AA48" s="37"/>
      <c r="AB48" s="37"/>
      <c r="AC48" s="37"/>
    </row>
    <row r="49">
      <c r="A49" s="2"/>
      <c r="B49" s="2" t="s">
        <v>20</v>
      </c>
      <c r="C49" s="4" t="s">
        <v>990</v>
      </c>
      <c r="D49" s="4" t="s">
        <v>130</v>
      </c>
      <c r="E49" s="4" t="s">
        <v>131</v>
      </c>
      <c r="F49" s="4" t="s">
        <v>2885</v>
      </c>
      <c r="G49" s="77"/>
      <c r="H49" s="43" t="s">
        <v>2886</v>
      </c>
      <c r="I49" s="29" t="s">
        <v>2887</v>
      </c>
      <c r="J49" s="27"/>
      <c r="K49" s="27"/>
      <c r="L49" s="27"/>
      <c r="M49" s="27"/>
      <c r="N49" s="4" t="s">
        <v>2888</v>
      </c>
      <c r="O49" s="27"/>
      <c r="P49" s="27"/>
      <c r="Q49" s="27"/>
      <c r="R49" s="27"/>
      <c r="S49" s="27"/>
    </row>
    <row r="50">
      <c r="A50" s="2"/>
      <c r="B50" s="2" t="s">
        <v>20</v>
      </c>
      <c r="C50" s="4" t="s">
        <v>2889</v>
      </c>
      <c r="D50" s="4" t="s">
        <v>130</v>
      </c>
      <c r="E50" s="4" t="s">
        <v>131</v>
      </c>
      <c r="F50" s="27"/>
      <c r="G50" s="32"/>
      <c r="H50" s="29" t="s">
        <v>2890</v>
      </c>
      <c r="I50" s="29" t="s">
        <v>2891</v>
      </c>
      <c r="J50" s="27"/>
      <c r="K50" s="27"/>
      <c r="L50" s="27"/>
      <c r="M50" s="27"/>
      <c r="N50" s="27"/>
      <c r="O50" s="27"/>
      <c r="P50" s="27"/>
      <c r="Q50" s="27"/>
      <c r="R50" s="27"/>
      <c r="S50" s="27"/>
    </row>
    <row r="51">
      <c r="A51" s="2"/>
      <c r="B51" s="2" t="s">
        <v>20</v>
      </c>
      <c r="C51" s="4" t="s">
        <v>2892</v>
      </c>
      <c r="D51" s="4" t="s">
        <v>130</v>
      </c>
      <c r="E51" s="4" t="s">
        <v>131</v>
      </c>
      <c r="F51" s="27"/>
      <c r="G51" s="77"/>
      <c r="H51" s="43" t="s">
        <v>2893</v>
      </c>
      <c r="I51" s="29" t="s">
        <v>2894</v>
      </c>
      <c r="J51" s="27"/>
      <c r="K51" s="27"/>
      <c r="L51" s="27"/>
      <c r="M51" s="27"/>
      <c r="N51" s="27"/>
      <c r="O51" s="27"/>
      <c r="P51" s="27"/>
      <c r="Q51" s="27"/>
      <c r="R51" s="27"/>
      <c r="S51" s="27"/>
    </row>
    <row r="52">
      <c r="A52" s="2"/>
      <c r="B52" s="2" t="s">
        <v>20</v>
      </c>
      <c r="C52" s="4" t="s">
        <v>2535</v>
      </c>
      <c r="D52" s="4" t="s">
        <v>130</v>
      </c>
      <c r="E52" s="4" t="s">
        <v>131</v>
      </c>
      <c r="F52" s="27"/>
      <c r="G52" s="32"/>
      <c r="H52" s="29" t="s">
        <v>2895</v>
      </c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</row>
    <row r="53">
      <c r="A53" s="2"/>
      <c r="B53" s="2" t="s">
        <v>20</v>
      </c>
      <c r="C53" s="4" t="s">
        <v>286</v>
      </c>
      <c r="D53" s="4" t="s">
        <v>130</v>
      </c>
      <c r="E53" s="4" t="s">
        <v>131</v>
      </c>
      <c r="F53" s="27"/>
      <c r="G53" s="32"/>
      <c r="H53" s="29" t="s">
        <v>2896</v>
      </c>
      <c r="I53" s="29" t="s">
        <v>2897</v>
      </c>
      <c r="J53" s="43" t="s">
        <v>2898</v>
      </c>
      <c r="K53" s="27"/>
      <c r="L53" s="27"/>
      <c r="M53" s="27"/>
      <c r="N53" s="27"/>
      <c r="O53" s="27"/>
      <c r="P53" s="27"/>
      <c r="Q53" s="27"/>
      <c r="R53" s="27"/>
      <c r="S53" s="27"/>
    </row>
    <row r="54">
      <c r="A54" s="2"/>
      <c r="B54" s="2" t="s">
        <v>20</v>
      </c>
      <c r="C54" s="4" t="s">
        <v>641</v>
      </c>
      <c r="D54" s="4" t="s">
        <v>130</v>
      </c>
      <c r="E54" s="4" t="s">
        <v>131</v>
      </c>
      <c r="F54" s="27"/>
      <c r="G54" s="77"/>
      <c r="H54" s="43" t="s">
        <v>2899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</row>
    <row r="55">
      <c r="A55" s="2"/>
      <c r="B55" s="2" t="s">
        <v>20</v>
      </c>
      <c r="C55" s="4" t="s">
        <v>2900</v>
      </c>
      <c r="D55" s="4" t="s">
        <v>130</v>
      </c>
      <c r="E55" s="4" t="s">
        <v>131</v>
      </c>
      <c r="F55" s="27"/>
      <c r="G55" s="77"/>
      <c r="H55" s="43" t="s">
        <v>2901</v>
      </c>
      <c r="I55" s="29" t="s">
        <v>2902</v>
      </c>
      <c r="J55" s="27"/>
      <c r="K55" s="27"/>
      <c r="L55" s="27"/>
      <c r="M55" s="27"/>
      <c r="N55" s="27"/>
      <c r="O55" s="27"/>
      <c r="P55" s="27"/>
      <c r="Q55" s="27"/>
      <c r="R55" s="27"/>
      <c r="S55" s="27"/>
    </row>
    <row r="56">
      <c r="A56" s="2"/>
      <c r="B56" s="2" t="s">
        <v>20</v>
      </c>
      <c r="C56" s="4" t="s">
        <v>2903</v>
      </c>
      <c r="D56" s="4" t="s">
        <v>130</v>
      </c>
      <c r="E56" s="4" t="s">
        <v>131</v>
      </c>
      <c r="F56" s="4" t="s">
        <v>2904</v>
      </c>
      <c r="G56" s="32"/>
      <c r="H56" s="32"/>
      <c r="I56" s="27"/>
      <c r="J56" s="29" t="s">
        <v>2905</v>
      </c>
      <c r="K56" s="27"/>
      <c r="L56" s="27"/>
      <c r="M56" s="27"/>
      <c r="N56" s="27"/>
      <c r="O56" s="27"/>
      <c r="P56" s="27"/>
      <c r="Q56" s="27"/>
      <c r="R56" s="27"/>
      <c r="S56" s="27"/>
    </row>
    <row r="57">
      <c r="A57" s="2"/>
      <c r="B57" s="2" t="s">
        <v>20</v>
      </c>
      <c r="C57" s="4" t="s">
        <v>2906</v>
      </c>
      <c r="D57" s="4" t="s">
        <v>130</v>
      </c>
      <c r="E57" s="4" t="s">
        <v>131</v>
      </c>
      <c r="F57" s="27"/>
      <c r="G57" s="32"/>
      <c r="H57" s="29" t="s">
        <v>2907</v>
      </c>
      <c r="I57" s="43" t="s">
        <v>2908</v>
      </c>
      <c r="J57" s="27"/>
      <c r="K57" s="29" t="s">
        <v>2909</v>
      </c>
      <c r="L57" s="27"/>
      <c r="M57" s="27"/>
      <c r="N57" s="27"/>
      <c r="O57" s="27"/>
      <c r="P57" s="27"/>
      <c r="Q57" s="27"/>
      <c r="R57" s="27"/>
      <c r="S57" s="27"/>
    </row>
    <row r="58">
      <c r="A58" s="2"/>
      <c r="B58" s="2" t="s">
        <v>20</v>
      </c>
      <c r="C58" s="4" t="s">
        <v>1399</v>
      </c>
      <c r="D58" s="4" t="s">
        <v>130</v>
      </c>
      <c r="E58" s="4" t="s">
        <v>131</v>
      </c>
      <c r="F58" s="27"/>
      <c r="G58" s="77"/>
      <c r="H58" s="43" t="s">
        <v>2910</v>
      </c>
      <c r="I58" s="29" t="s">
        <v>2911</v>
      </c>
      <c r="J58" s="27"/>
      <c r="K58" s="27"/>
      <c r="L58" s="27"/>
      <c r="M58" s="27"/>
      <c r="N58" s="27"/>
      <c r="O58" s="27"/>
      <c r="P58" s="27"/>
      <c r="Q58" s="27"/>
      <c r="R58" s="27"/>
      <c r="S58" s="27"/>
    </row>
    <row r="59">
      <c r="A59" s="2"/>
      <c r="B59" s="2" t="s">
        <v>20</v>
      </c>
      <c r="C59" s="4" t="s">
        <v>2912</v>
      </c>
      <c r="D59" s="4" t="s">
        <v>130</v>
      </c>
      <c r="E59" s="4" t="s">
        <v>131</v>
      </c>
      <c r="F59" s="27"/>
      <c r="G59" s="77"/>
      <c r="H59" s="43" t="s">
        <v>2913</v>
      </c>
      <c r="I59" s="29" t="s">
        <v>2914</v>
      </c>
      <c r="J59" s="27"/>
      <c r="K59" s="27"/>
      <c r="L59" s="27"/>
      <c r="M59" s="27"/>
      <c r="N59" s="27"/>
      <c r="O59" s="27"/>
      <c r="P59" s="27"/>
      <c r="Q59" s="27"/>
      <c r="R59" s="27"/>
      <c r="S59" s="27"/>
    </row>
    <row r="60">
      <c r="A60" s="2"/>
      <c r="B60" s="2" t="s">
        <v>20</v>
      </c>
      <c r="C60" s="4" t="s">
        <v>386</v>
      </c>
      <c r="D60" s="4" t="s">
        <v>130</v>
      </c>
      <c r="E60" s="4" t="s">
        <v>131</v>
      </c>
      <c r="F60" s="27"/>
      <c r="G60" s="77"/>
      <c r="H60" s="43" t="s">
        <v>2915</v>
      </c>
      <c r="I60" s="29" t="s">
        <v>2859</v>
      </c>
      <c r="J60" s="27"/>
      <c r="K60" s="27"/>
      <c r="L60" s="27"/>
      <c r="M60" s="27"/>
      <c r="N60" s="27"/>
      <c r="O60" s="27"/>
      <c r="P60" s="27"/>
      <c r="Q60" s="27"/>
      <c r="R60" s="27"/>
      <c r="S60" s="27"/>
    </row>
    <row r="61">
      <c r="A61" s="2"/>
      <c r="B61" s="2" t="s">
        <v>20</v>
      </c>
      <c r="C61" s="4" t="s">
        <v>2916</v>
      </c>
      <c r="D61" s="4" t="s">
        <v>130</v>
      </c>
      <c r="E61" s="4" t="s">
        <v>131</v>
      </c>
      <c r="F61" s="27"/>
      <c r="G61" s="77"/>
      <c r="H61" s="43" t="s">
        <v>2917</v>
      </c>
      <c r="I61" s="29" t="s">
        <v>2918</v>
      </c>
      <c r="J61" s="27"/>
      <c r="K61" s="27"/>
      <c r="L61" s="27"/>
      <c r="M61" s="27"/>
      <c r="N61" s="27"/>
      <c r="O61" s="27"/>
      <c r="P61" s="27"/>
      <c r="Q61" s="27"/>
      <c r="R61" s="27"/>
      <c r="S61" s="27"/>
    </row>
    <row r="62">
      <c r="A62" s="2"/>
      <c r="B62" s="2" t="s">
        <v>20</v>
      </c>
      <c r="C62" s="4" t="s">
        <v>2919</v>
      </c>
      <c r="D62" s="4" t="s">
        <v>130</v>
      </c>
      <c r="E62" s="4" t="s">
        <v>131</v>
      </c>
      <c r="F62" s="27"/>
      <c r="G62" s="32"/>
      <c r="H62" s="29" t="s">
        <v>2920</v>
      </c>
      <c r="I62" s="29" t="s">
        <v>2921</v>
      </c>
      <c r="J62" s="27"/>
      <c r="K62" s="27"/>
      <c r="L62" s="27"/>
      <c r="M62" s="27"/>
      <c r="N62" s="27"/>
      <c r="O62" s="27"/>
      <c r="P62" s="27"/>
      <c r="Q62" s="27"/>
      <c r="R62" s="27"/>
      <c r="S62" s="27"/>
    </row>
    <row r="63">
      <c r="A63" s="2"/>
      <c r="B63" s="2" t="s">
        <v>20</v>
      </c>
      <c r="C63" s="4" t="s">
        <v>2229</v>
      </c>
      <c r="D63" s="4" t="s">
        <v>130</v>
      </c>
      <c r="E63" s="4" t="s">
        <v>131</v>
      </c>
      <c r="F63" s="4" t="s">
        <v>2922</v>
      </c>
      <c r="G63" s="77"/>
      <c r="H63" s="43" t="s">
        <v>2923</v>
      </c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</row>
    <row r="64">
      <c r="A64" s="2"/>
      <c r="B64" s="2" t="s">
        <v>20</v>
      </c>
      <c r="C64" s="4" t="s">
        <v>2924</v>
      </c>
      <c r="D64" s="4" t="s">
        <v>130</v>
      </c>
      <c r="E64" s="4" t="s">
        <v>131</v>
      </c>
      <c r="F64" s="27"/>
      <c r="G64" s="77"/>
      <c r="H64" s="43" t="s">
        <v>2925</v>
      </c>
      <c r="I64" s="43" t="s">
        <v>2926</v>
      </c>
      <c r="J64" s="29" t="s">
        <v>2927</v>
      </c>
      <c r="K64" s="27"/>
      <c r="L64" s="27"/>
      <c r="M64" s="27"/>
      <c r="N64" s="27"/>
      <c r="O64" s="27"/>
      <c r="P64" s="27"/>
      <c r="Q64" s="27"/>
      <c r="R64" s="27"/>
      <c r="S64" s="27"/>
    </row>
    <row r="65">
      <c r="A65" s="2"/>
      <c r="B65" s="2" t="s">
        <v>20</v>
      </c>
      <c r="C65" s="4" t="s">
        <v>2928</v>
      </c>
      <c r="D65" s="4" t="s">
        <v>130</v>
      </c>
      <c r="E65" s="4" t="s">
        <v>131</v>
      </c>
      <c r="F65" s="27"/>
      <c r="G65" s="77"/>
      <c r="H65" s="43" t="s">
        <v>2907</v>
      </c>
      <c r="I65" s="29" t="s">
        <v>2866</v>
      </c>
      <c r="J65" s="27"/>
      <c r="K65" s="27"/>
      <c r="L65" s="27"/>
      <c r="M65" s="27"/>
      <c r="N65" s="27"/>
      <c r="O65" s="27"/>
      <c r="P65" s="27"/>
      <c r="Q65" s="27"/>
      <c r="R65" s="27"/>
      <c r="S65" s="27"/>
    </row>
    <row r="66">
      <c r="A66" s="2"/>
      <c r="B66" s="2" t="s">
        <v>20</v>
      </c>
      <c r="C66" s="4" t="s">
        <v>2929</v>
      </c>
      <c r="D66" s="4" t="s">
        <v>130</v>
      </c>
      <c r="E66" s="4" t="s">
        <v>131</v>
      </c>
      <c r="F66" s="27"/>
      <c r="G66" s="77"/>
      <c r="H66" s="43" t="s">
        <v>2930</v>
      </c>
      <c r="I66" s="29" t="s">
        <v>2931</v>
      </c>
      <c r="J66" s="27"/>
      <c r="K66" s="27"/>
      <c r="L66" s="27"/>
      <c r="M66" s="27"/>
      <c r="N66" s="27"/>
      <c r="O66" s="27"/>
      <c r="P66" s="27"/>
      <c r="Q66" s="27"/>
      <c r="R66" s="27"/>
      <c r="S66" s="27"/>
    </row>
    <row r="67">
      <c r="A67" s="2"/>
      <c r="B67" s="2" t="s">
        <v>20</v>
      </c>
      <c r="C67" s="4" t="s">
        <v>2932</v>
      </c>
      <c r="D67" s="4" t="s">
        <v>130</v>
      </c>
      <c r="E67" s="4" t="s">
        <v>131</v>
      </c>
      <c r="F67" s="27"/>
      <c r="G67" s="32"/>
      <c r="H67" s="29" t="s">
        <v>2933</v>
      </c>
      <c r="I67" s="43" t="s">
        <v>2934</v>
      </c>
      <c r="J67" s="43" t="s">
        <v>2935</v>
      </c>
      <c r="K67" s="27"/>
      <c r="L67" s="27"/>
      <c r="M67" s="27"/>
      <c r="N67" s="27"/>
      <c r="O67" s="27"/>
      <c r="P67" s="27"/>
      <c r="Q67" s="27"/>
      <c r="R67" s="27"/>
      <c r="S67" s="27"/>
    </row>
    <row r="68">
      <c r="A68" s="2"/>
      <c r="B68" s="2" t="s">
        <v>20</v>
      </c>
      <c r="C68" s="4" t="s">
        <v>1262</v>
      </c>
      <c r="D68" s="4" t="s">
        <v>130</v>
      </c>
      <c r="E68" s="4" t="s">
        <v>131</v>
      </c>
      <c r="F68" s="27"/>
      <c r="G68" s="77"/>
      <c r="H68" s="43" t="s">
        <v>2936</v>
      </c>
      <c r="I68" s="43" t="s">
        <v>2937</v>
      </c>
      <c r="J68" s="43" t="s">
        <v>2938</v>
      </c>
      <c r="K68" s="27"/>
      <c r="L68" s="27"/>
      <c r="M68" s="27"/>
      <c r="N68" s="27"/>
      <c r="O68" s="27"/>
      <c r="P68" s="27"/>
      <c r="Q68" s="27"/>
      <c r="R68" s="27"/>
      <c r="S68" s="27"/>
    </row>
    <row r="69">
      <c r="A69" s="2"/>
      <c r="B69" s="2" t="s">
        <v>20</v>
      </c>
      <c r="C69" s="4" t="s">
        <v>2939</v>
      </c>
      <c r="D69" s="4" t="s">
        <v>130</v>
      </c>
      <c r="E69" s="4" t="s">
        <v>131</v>
      </c>
      <c r="F69" s="27"/>
      <c r="G69" s="77"/>
      <c r="H69" s="43" t="s">
        <v>2940</v>
      </c>
      <c r="I69" s="77"/>
      <c r="J69" s="27"/>
      <c r="K69" s="27"/>
      <c r="L69" s="27"/>
      <c r="M69" s="27"/>
      <c r="N69" s="27"/>
      <c r="O69" s="27"/>
      <c r="P69" s="27"/>
      <c r="Q69" s="27"/>
      <c r="R69" s="27"/>
      <c r="S69" s="27"/>
    </row>
    <row r="70">
      <c r="A70" s="2"/>
      <c r="B70" s="2" t="s">
        <v>20</v>
      </c>
      <c r="C70" s="4" t="s">
        <v>1399</v>
      </c>
      <c r="D70" s="4" t="s">
        <v>130</v>
      </c>
      <c r="E70" s="4" t="s">
        <v>131</v>
      </c>
      <c r="F70" s="27"/>
      <c r="G70" s="77"/>
      <c r="H70" s="43" t="s">
        <v>2941</v>
      </c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</row>
    <row r="71">
      <c r="A71" s="2"/>
      <c r="B71" s="2" t="s">
        <v>20</v>
      </c>
      <c r="C71" s="4" t="s">
        <v>2942</v>
      </c>
      <c r="D71" s="4" t="s">
        <v>130</v>
      </c>
      <c r="E71" s="4" t="s">
        <v>131</v>
      </c>
      <c r="F71" s="27"/>
      <c r="G71" s="77"/>
      <c r="H71" s="43" t="s">
        <v>2943</v>
      </c>
      <c r="I71" s="27"/>
      <c r="J71" s="29" t="s">
        <v>2944</v>
      </c>
      <c r="K71" s="27"/>
      <c r="L71" s="27"/>
      <c r="M71" s="27"/>
      <c r="N71" s="27"/>
      <c r="O71" s="27"/>
      <c r="P71" s="27"/>
      <c r="Q71" s="27"/>
      <c r="R71" s="27"/>
      <c r="S71" s="27"/>
    </row>
    <row r="72">
      <c r="A72" s="2"/>
      <c r="B72" s="2" t="s">
        <v>20</v>
      </c>
      <c r="C72" s="4" t="s">
        <v>2079</v>
      </c>
      <c r="D72" s="4" t="s">
        <v>130</v>
      </c>
      <c r="E72" s="4" t="s">
        <v>131</v>
      </c>
      <c r="F72" s="27"/>
      <c r="G72" s="77"/>
      <c r="H72" s="43" t="s">
        <v>2945</v>
      </c>
      <c r="I72" s="29" t="s">
        <v>2946</v>
      </c>
      <c r="J72" s="43" t="s">
        <v>2947</v>
      </c>
      <c r="K72" s="27"/>
      <c r="L72" s="27"/>
      <c r="M72" s="27"/>
      <c r="N72" s="27"/>
      <c r="O72" s="27"/>
      <c r="P72" s="27"/>
      <c r="Q72" s="27"/>
      <c r="R72" s="27"/>
      <c r="S72" s="27"/>
    </row>
    <row r="73">
      <c r="A73" s="2"/>
      <c r="B73" s="2" t="s">
        <v>20</v>
      </c>
      <c r="C73" s="4" t="s">
        <v>2948</v>
      </c>
      <c r="D73" s="4" t="s">
        <v>130</v>
      </c>
      <c r="E73" s="4" t="s">
        <v>131</v>
      </c>
      <c r="F73" s="4" t="s">
        <v>2836</v>
      </c>
      <c r="G73" s="77"/>
      <c r="H73" s="43" t="s">
        <v>2949</v>
      </c>
      <c r="I73" s="29" t="s">
        <v>2950</v>
      </c>
      <c r="J73" s="43" t="s">
        <v>2951</v>
      </c>
      <c r="K73" s="27"/>
      <c r="L73" s="27"/>
      <c r="M73" s="27"/>
      <c r="N73" s="27"/>
      <c r="O73" s="27"/>
      <c r="P73" s="27"/>
      <c r="Q73" s="27"/>
      <c r="R73" s="27"/>
      <c r="S73" s="27"/>
    </row>
    <row r="74">
      <c r="A74" s="2"/>
      <c r="B74" s="2" t="s">
        <v>20</v>
      </c>
      <c r="C74" s="4" t="s">
        <v>2952</v>
      </c>
      <c r="D74" s="4" t="s">
        <v>130</v>
      </c>
      <c r="E74" s="4" t="s">
        <v>131</v>
      </c>
      <c r="F74" s="27"/>
      <c r="G74" s="77"/>
      <c r="H74" s="43" t="s">
        <v>2953</v>
      </c>
      <c r="I74" s="29" t="s">
        <v>2954</v>
      </c>
      <c r="J74" s="27"/>
      <c r="K74" s="27"/>
      <c r="L74" s="27"/>
      <c r="M74" s="27"/>
      <c r="N74" s="27"/>
      <c r="O74" s="27"/>
      <c r="P74" s="27"/>
      <c r="Q74" s="27"/>
      <c r="R74" s="27"/>
      <c r="S74" s="27"/>
    </row>
    <row r="75">
      <c r="A75" s="2"/>
      <c r="B75" s="2" t="s">
        <v>102</v>
      </c>
      <c r="C75" s="4" t="s">
        <v>2955</v>
      </c>
      <c r="D75" s="4" t="s">
        <v>130</v>
      </c>
      <c r="E75" s="4" t="s">
        <v>131</v>
      </c>
      <c r="F75" s="27"/>
      <c r="G75" s="77"/>
      <c r="H75" s="43" t="s">
        <v>2956</v>
      </c>
      <c r="I75" s="29" t="s">
        <v>2957</v>
      </c>
      <c r="J75" s="29" t="s">
        <v>2958</v>
      </c>
      <c r="K75" s="27"/>
      <c r="L75" s="27"/>
      <c r="M75" s="27"/>
      <c r="N75" s="27"/>
      <c r="O75" s="27"/>
      <c r="P75" s="27"/>
      <c r="Q75" s="27"/>
      <c r="R75" s="27"/>
      <c r="S75" s="27"/>
    </row>
    <row r="76">
      <c r="A76" s="78"/>
      <c r="B76" s="2" t="s">
        <v>1206</v>
      </c>
      <c r="C76" s="4" t="s">
        <v>2959</v>
      </c>
      <c r="D76" s="4" t="s">
        <v>130</v>
      </c>
      <c r="E76" s="4" t="s">
        <v>131</v>
      </c>
      <c r="F76" s="4" t="s">
        <v>2836</v>
      </c>
      <c r="G76" s="32"/>
      <c r="H76" s="29" t="s">
        <v>2960</v>
      </c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</row>
    <row r="77">
      <c r="A77" s="78"/>
      <c r="B77" s="2" t="s">
        <v>20</v>
      </c>
      <c r="C77" s="4" t="s">
        <v>2478</v>
      </c>
      <c r="D77" s="4" t="s">
        <v>130</v>
      </c>
      <c r="E77" s="4" t="s">
        <v>131</v>
      </c>
      <c r="F77" s="27"/>
      <c r="G77" s="27"/>
      <c r="H77" s="29" t="s">
        <v>2961</v>
      </c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</row>
    <row r="78">
      <c r="A78" s="2"/>
      <c r="B78" s="2" t="s">
        <v>29</v>
      </c>
      <c r="C78" s="4" t="s">
        <v>2962</v>
      </c>
      <c r="D78" s="4" t="s">
        <v>130</v>
      </c>
      <c r="E78" s="4" t="s">
        <v>2963</v>
      </c>
      <c r="F78" s="27"/>
      <c r="G78" s="32"/>
      <c r="H78" s="29" t="s">
        <v>2964</v>
      </c>
      <c r="I78" s="29" t="s">
        <v>2965</v>
      </c>
      <c r="J78" s="27"/>
      <c r="K78" s="27"/>
      <c r="L78" s="27"/>
      <c r="M78" s="27"/>
      <c r="N78" s="27"/>
      <c r="O78" s="27"/>
      <c r="P78" s="27"/>
      <c r="Q78" s="27"/>
      <c r="R78" s="27"/>
      <c r="S78" s="27"/>
    </row>
    <row r="79">
      <c r="A79" s="2"/>
      <c r="B79" s="2" t="s">
        <v>220</v>
      </c>
      <c r="C79" s="4" t="s">
        <v>2966</v>
      </c>
      <c r="D79" s="4" t="s">
        <v>130</v>
      </c>
      <c r="E79" s="4" t="s">
        <v>2963</v>
      </c>
      <c r="F79" s="27"/>
      <c r="G79" s="32"/>
      <c r="H79" s="29" t="s">
        <v>2967</v>
      </c>
      <c r="I79" s="29" t="s">
        <v>2968</v>
      </c>
      <c r="J79" s="27"/>
      <c r="K79" s="27"/>
      <c r="L79" s="27"/>
      <c r="M79" s="27"/>
      <c r="N79" s="27"/>
      <c r="O79" s="27"/>
      <c r="P79" s="27"/>
      <c r="Q79" s="27"/>
      <c r="R79" s="27"/>
      <c r="S79" s="27"/>
    </row>
    <row r="80">
      <c r="A80" s="2"/>
      <c r="B80" s="2" t="s">
        <v>20</v>
      </c>
      <c r="C80" s="4" t="s">
        <v>2969</v>
      </c>
      <c r="D80" s="4" t="s">
        <v>130</v>
      </c>
      <c r="E80" s="4" t="s">
        <v>2963</v>
      </c>
      <c r="F80" s="27"/>
      <c r="G80" s="32"/>
      <c r="H80" s="29" t="s">
        <v>2970</v>
      </c>
      <c r="I80" s="27"/>
      <c r="J80" s="32"/>
      <c r="K80" s="27"/>
      <c r="L80" s="27"/>
      <c r="M80" s="27"/>
      <c r="N80" s="27"/>
      <c r="O80" s="27"/>
      <c r="P80" s="27"/>
      <c r="Q80" s="27"/>
      <c r="R80" s="27"/>
      <c r="S80" s="27"/>
      <c r="T80" s="37"/>
      <c r="U80" s="37"/>
      <c r="V80" s="37"/>
      <c r="W80" s="37"/>
      <c r="X80" s="37"/>
      <c r="Y80" s="37"/>
      <c r="Z80" s="37"/>
      <c r="AA80" s="37"/>
      <c r="AB80" s="37"/>
      <c r="AC80" s="37"/>
    </row>
    <row r="81">
      <c r="A81" s="2"/>
      <c r="B81" s="2" t="s">
        <v>20</v>
      </c>
      <c r="C81" s="4" t="s">
        <v>2971</v>
      </c>
      <c r="D81" s="4" t="s">
        <v>130</v>
      </c>
      <c r="E81" s="4" t="s">
        <v>2963</v>
      </c>
      <c r="F81" s="27"/>
      <c r="G81" s="77"/>
      <c r="H81" s="43" t="s">
        <v>2972</v>
      </c>
      <c r="I81" s="29" t="s">
        <v>2973</v>
      </c>
      <c r="J81" s="29" t="s">
        <v>2974</v>
      </c>
      <c r="K81" s="29" t="s">
        <v>2975</v>
      </c>
      <c r="L81" s="27"/>
      <c r="M81" s="4" t="s">
        <v>2966</v>
      </c>
      <c r="N81" s="27"/>
      <c r="O81" s="29" t="s">
        <v>2976</v>
      </c>
      <c r="P81" s="27"/>
      <c r="Q81" s="27"/>
      <c r="R81" s="27"/>
      <c r="S81" s="32" t="s">
        <v>2977</v>
      </c>
      <c r="T81" s="37"/>
      <c r="U81" s="37"/>
      <c r="V81" s="37"/>
      <c r="W81" s="37"/>
      <c r="X81" s="37"/>
      <c r="Y81" s="37"/>
      <c r="Z81" s="37"/>
      <c r="AA81" s="37"/>
      <c r="AB81" s="37"/>
      <c r="AC81" s="37"/>
    </row>
    <row r="82">
      <c r="A82" s="2"/>
      <c r="B82" s="2" t="s">
        <v>20</v>
      </c>
      <c r="C82" s="4" t="s">
        <v>2978</v>
      </c>
      <c r="D82" s="4" t="s">
        <v>130</v>
      </c>
      <c r="E82" s="4" t="s">
        <v>2963</v>
      </c>
      <c r="F82" s="27"/>
      <c r="G82" s="77"/>
      <c r="H82" s="43" t="s">
        <v>2979</v>
      </c>
      <c r="I82" s="29" t="s">
        <v>2980</v>
      </c>
      <c r="J82" s="27"/>
      <c r="K82" s="27"/>
      <c r="L82" s="27"/>
      <c r="M82" s="27"/>
      <c r="N82" s="27"/>
      <c r="O82" s="27"/>
      <c r="P82" s="27"/>
      <c r="Q82" s="27"/>
      <c r="R82" s="27"/>
      <c r="S82" s="32" t="s">
        <v>2977</v>
      </c>
    </row>
    <row r="83">
      <c r="A83" s="2"/>
      <c r="B83" s="2" t="s">
        <v>20</v>
      </c>
      <c r="C83" s="4" t="s">
        <v>2981</v>
      </c>
      <c r="D83" s="4" t="s">
        <v>130</v>
      </c>
      <c r="E83" s="4" t="s">
        <v>2963</v>
      </c>
      <c r="F83" s="27" t="s">
        <v>2982</v>
      </c>
      <c r="G83" s="77"/>
      <c r="H83" s="43" t="s">
        <v>2983</v>
      </c>
      <c r="I83" s="29" t="s">
        <v>2984</v>
      </c>
      <c r="J83" s="27"/>
      <c r="K83" s="27"/>
      <c r="L83" s="27"/>
      <c r="M83" s="27"/>
      <c r="N83" s="27"/>
      <c r="O83" s="27"/>
      <c r="P83" s="27"/>
      <c r="Q83" s="27"/>
      <c r="R83" s="27"/>
      <c r="S83" s="27"/>
    </row>
    <row r="84">
      <c r="A84" s="2"/>
      <c r="B84" s="2" t="s">
        <v>20</v>
      </c>
      <c r="C84" s="4" t="s">
        <v>2229</v>
      </c>
      <c r="D84" s="4" t="s">
        <v>130</v>
      </c>
      <c r="E84" s="4" t="s">
        <v>2963</v>
      </c>
      <c r="F84" s="27"/>
      <c r="G84" s="77"/>
      <c r="H84" s="43" t="s">
        <v>2985</v>
      </c>
      <c r="I84" s="29" t="s">
        <v>2986</v>
      </c>
      <c r="J84" s="29" t="s">
        <v>2987</v>
      </c>
      <c r="K84" s="29" t="s">
        <v>2988</v>
      </c>
      <c r="L84" s="27"/>
      <c r="M84" s="27"/>
      <c r="N84" s="27"/>
      <c r="O84" s="27"/>
      <c r="P84" s="27"/>
      <c r="Q84" s="27"/>
      <c r="R84" s="27"/>
      <c r="S84" s="27"/>
    </row>
    <row r="85">
      <c r="A85" s="2"/>
      <c r="B85" s="2" t="s">
        <v>20</v>
      </c>
      <c r="C85" s="4" t="s">
        <v>2989</v>
      </c>
      <c r="D85" s="4" t="s">
        <v>130</v>
      </c>
      <c r="E85" s="4" t="s">
        <v>2963</v>
      </c>
      <c r="F85" s="4" t="s">
        <v>2990</v>
      </c>
      <c r="G85" s="77"/>
      <c r="H85" s="43" t="s">
        <v>2991</v>
      </c>
      <c r="I85" s="29" t="s">
        <v>2992</v>
      </c>
      <c r="J85" s="27"/>
      <c r="K85" s="27"/>
      <c r="L85" s="27"/>
      <c r="M85" s="27"/>
      <c r="N85" s="27"/>
      <c r="O85" s="27"/>
      <c r="P85" s="27"/>
      <c r="Q85" s="27"/>
      <c r="R85" s="27"/>
      <c r="S85" s="27"/>
    </row>
    <row r="86">
      <c r="A86" s="2"/>
      <c r="B86" s="2" t="s">
        <v>20</v>
      </c>
      <c r="C86" s="4" t="s">
        <v>1108</v>
      </c>
      <c r="D86" s="4" t="s">
        <v>130</v>
      </c>
      <c r="E86" s="4" t="s">
        <v>2963</v>
      </c>
      <c r="F86" s="4" t="s">
        <v>2993</v>
      </c>
      <c r="G86" s="77"/>
      <c r="H86" s="43" t="s">
        <v>2994</v>
      </c>
      <c r="I86" s="29" t="s">
        <v>2995</v>
      </c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37"/>
      <c r="U86" s="37"/>
      <c r="V86" s="37"/>
      <c r="W86" s="37"/>
      <c r="X86" s="37"/>
      <c r="Y86" s="37"/>
      <c r="Z86" s="37"/>
      <c r="AA86" s="37"/>
      <c r="AB86" s="37"/>
      <c r="AC86" s="37"/>
    </row>
    <row r="87">
      <c r="A87" s="2"/>
      <c r="B87" s="2" t="s">
        <v>20</v>
      </c>
      <c r="C87" s="4" t="s">
        <v>74</v>
      </c>
      <c r="D87" s="4" t="s">
        <v>130</v>
      </c>
      <c r="E87" s="4" t="s">
        <v>2963</v>
      </c>
      <c r="F87" s="4" t="s">
        <v>2993</v>
      </c>
      <c r="G87" s="77"/>
      <c r="H87" s="43" t="s">
        <v>2996</v>
      </c>
      <c r="I87" s="29" t="s">
        <v>2997</v>
      </c>
      <c r="J87" s="29" t="s">
        <v>2998</v>
      </c>
      <c r="K87" s="27"/>
      <c r="L87" s="27"/>
      <c r="M87" s="27"/>
      <c r="N87" s="27"/>
      <c r="O87" s="27"/>
      <c r="P87" s="27"/>
      <c r="Q87" s="27"/>
      <c r="R87" s="27"/>
      <c r="S87" s="32" t="s">
        <v>2772</v>
      </c>
    </row>
    <row r="88">
      <c r="A88" s="2"/>
      <c r="B88" s="2" t="s">
        <v>20</v>
      </c>
      <c r="C88" s="4" t="s">
        <v>2999</v>
      </c>
      <c r="D88" s="4" t="s">
        <v>130</v>
      </c>
      <c r="E88" s="4" t="s">
        <v>2963</v>
      </c>
      <c r="F88" s="4" t="s">
        <v>2993</v>
      </c>
      <c r="G88" s="32"/>
      <c r="H88" s="29" t="s">
        <v>2994</v>
      </c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</row>
    <row r="89">
      <c r="A89" s="2"/>
      <c r="B89" s="2" t="s">
        <v>20</v>
      </c>
      <c r="C89" s="4" t="s">
        <v>3000</v>
      </c>
      <c r="D89" s="4" t="s">
        <v>130</v>
      </c>
      <c r="E89" s="4" t="s">
        <v>2963</v>
      </c>
      <c r="F89" s="4" t="s">
        <v>3001</v>
      </c>
      <c r="G89" s="77"/>
      <c r="H89" s="43" t="s">
        <v>3002</v>
      </c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</row>
    <row r="90">
      <c r="A90" s="2"/>
      <c r="B90" s="2" t="s">
        <v>20</v>
      </c>
      <c r="C90" s="4" t="s">
        <v>21</v>
      </c>
      <c r="D90" s="4" t="s">
        <v>130</v>
      </c>
      <c r="E90" s="4" t="s">
        <v>2963</v>
      </c>
      <c r="F90" s="27"/>
      <c r="G90" s="77"/>
      <c r="H90" s="43" t="s">
        <v>3003</v>
      </c>
      <c r="I90" s="29" t="s">
        <v>3004</v>
      </c>
      <c r="J90" s="27"/>
      <c r="K90" s="27"/>
      <c r="L90" s="27"/>
      <c r="M90" s="27"/>
      <c r="N90" s="27"/>
      <c r="O90" s="27"/>
      <c r="P90" s="27"/>
      <c r="Q90" s="27"/>
      <c r="R90" s="27"/>
      <c r="S90" s="27"/>
    </row>
    <row r="91">
      <c r="A91" s="2"/>
      <c r="B91" s="2" t="s">
        <v>20</v>
      </c>
      <c r="C91" s="4" t="s">
        <v>3005</v>
      </c>
      <c r="D91" s="4" t="s">
        <v>130</v>
      </c>
      <c r="E91" s="4" t="s">
        <v>2963</v>
      </c>
      <c r="F91" s="27"/>
      <c r="G91" s="77"/>
      <c r="H91" s="43" t="s">
        <v>3006</v>
      </c>
      <c r="I91" s="29" t="s">
        <v>3007</v>
      </c>
      <c r="J91" s="27"/>
      <c r="K91" s="27"/>
      <c r="L91" s="27"/>
      <c r="M91" s="27"/>
      <c r="N91" s="27"/>
      <c r="O91" s="27"/>
      <c r="P91" s="27"/>
      <c r="Q91" s="27"/>
      <c r="R91" s="27"/>
      <c r="S91" s="27"/>
    </row>
    <row r="92">
      <c r="A92" s="2"/>
      <c r="B92" s="2" t="s">
        <v>20</v>
      </c>
      <c r="C92" s="4" t="s">
        <v>356</v>
      </c>
      <c r="D92" s="4" t="s">
        <v>130</v>
      </c>
      <c r="E92" s="4" t="s">
        <v>2963</v>
      </c>
      <c r="F92" s="27"/>
      <c r="G92" s="77"/>
      <c r="H92" s="43" t="s">
        <v>3008</v>
      </c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</row>
    <row r="93">
      <c r="A93" s="2"/>
      <c r="B93" s="2" t="s">
        <v>20</v>
      </c>
      <c r="C93" s="4" t="s">
        <v>3009</v>
      </c>
      <c r="D93" s="4" t="s">
        <v>130</v>
      </c>
      <c r="E93" s="4" t="s">
        <v>2963</v>
      </c>
      <c r="F93" s="27"/>
      <c r="G93" s="77"/>
      <c r="H93" s="43" t="s">
        <v>3010</v>
      </c>
      <c r="I93" s="29" t="s">
        <v>3011</v>
      </c>
      <c r="J93" s="27"/>
      <c r="K93" s="27"/>
      <c r="L93" s="27"/>
      <c r="M93" s="27"/>
      <c r="N93" s="27"/>
      <c r="O93" s="27"/>
      <c r="P93" s="27"/>
      <c r="Q93" s="27"/>
      <c r="R93" s="27"/>
      <c r="S93" s="27"/>
    </row>
    <row r="94">
      <c r="A94" s="2"/>
      <c r="B94" s="2" t="s">
        <v>20</v>
      </c>
      <c r="C94" s="4" t="s">
        <v>1201</v>
      </c>
      <c r="D94" s="4" t="s">
        <v>130</v>
      </c>
      <c r="E94" s="4" t="s">
        <v>2963</v>
      </c>
      <c r="F94" s="27"/>
      <c r="G94" s="77"/>
      <c r="H94" s="43" t="s">
        <v>3012</v>
      </c>
      <c r="I94" s="27"/>
      <c r="J94" s="43" t="s">
        <v>3013</v>
      </c>
      <c r="K94" s="27"/>
      <c r="L94" s="27"/>
      <c r="M94" s="27"/>
      <c r="N94" s="27"/>
      <c r="O94" s="27"/>
      <c r="P94" s="27"/>
      <c r="Q94" s="27"/>
      <c r="R94" s="27"/>
      <c r="S94" s="27"/>
    </row>
    <row r="95">
      <c r="A95" s="2"/>
      <c r="B95" s="2" t="s">
        <v>20</v>
      </c>
      <c r="C95" s="4" t="s">
        <v>1925</v>
      </c>
      <c r="D95" s="4" t="s">
        <v>130</v>
      </c>
      <c r="E95" s="4" t="s">
        <v>2963</v>
      </c>
      <c r="F95" s="27"/>
      <c r="G95" s="77"/>
      <c r="H95" s="43" t="s">
        <v>3014</v>
      </c>
      <c r="I95" s="29" t="s">
        <v>3015</v>
      </c>
      <c r="J95" s="27"/>
      <c r="K95" s="27"/>
      <c r="L95" s="27"/>
      <c r="M95" s="27"/>
      <c r="N95" s="27"/>
      <c r="O95" s="27"/>
      <c r="P95" s="27"/>
      <c r="Q95" s="27"/>
      <c r="R95" s="27"/>
      <c r="S95" s="27"/>
    </row>
    <row r="96">
      <c r="A96" s="2"/>
      <c r="B96" s="2" t="s">
        <v>20</v>
      </c>
      <c r="C96" s="4" t="s">
        <v>341</v>
      </c>
      <c r="D96" s="4" t="s">
        <v>130</v>
      </c>
      <c r="E96" s="4" t="s">
        <v>2963</v>
      </c>
      <c r="F96" s="27"/>
      <c r="G96" s="77"/>
      <c r="H96" s="43" t="s">
        <v>3016</v>
      </c>
      <c r="I96" s="29" t="s">
        <v>3017</v>
      </c>
      <c r="J96" s="27"/>
      <c r="K96" s="27"/>
      <c r="L96" s="27"/>
      <c r="M96" s="27"/>
      <c r="N96" s="27"/>
      <c r="O96" s="27"/>
      <c r="P96" s="27"/>
      <c r="Q96" s="27"/>
      <c r="R96" s="27"/>
      <c r="S96" s="27"/>
    </row>
    <row r="97">
      <c r="A97" s="2"/>
      <c r="B97" s="2" t="s">
        <v>20</v>
      </c>
      <c r="C97" s="4" t="s">
        <v>3018</v>
      </c>
      <c r="D97" s="4" t="s">
        <v>130</v>
      </c>
      <c r="E97" s="4" t="s">
        <v>2963</v>
      </c>
      <c r="F97" s="27"/>
      <c r="G97" s="77"/>
      <c r="H97" s="43" t="s">
        <v>3019</v>
      </c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</row>
    <row r="98">
      <c r="A98" s="2"/>
      <c r="B98" s="2" t="s">
        <v>20</v>
      </c>
      <c r="C98" s="4" t="s">
        <v>3020</v>
      </c>
      <c r="D98" s="4" t="s">
        <v>130</v>
      </c>
      <c r="E98" s="4" t="s">
        <v>2963</v>
      </c>
      <c r="F98" s="27"/>
      <c r="G98" s="77"/>
      <c r="H98" s="43" t="s">
        <v>3021</v>
      </c>
      <c r="I98" s="29" t="s">
        <v>3022</v>
      </c>
      <c r="J98" s="27"/>
      <c r="K98" s="27"/>
      <c r="L98" s="27"/>
      <c r="M98" s="27"/>
      <c r="N98" s="27"/>
      <c r="O98" s="27"/>
      <c r="P98" s="27"/>
      <c r="Q98" s="27"/>
      <c r="R98" s="27"/>
      <c r="S98" s="27"/>
    </row>
    <row r="99">
      <c r="A99" s="2"/>
      <c r="B99" s="2" t="s">
        <v>3023</v>
      </c>
      <c r="C99" s="4" t="s">
        <v>3024</v>
      </c>
      <c r="D99" s="4" t="s">
        <v>130</v>
      </c>
      <c r="E99" s="4" t="s">
        <v>2963</v>
      </c>
      <c r="F99" s="27"/>
      <c r="G99" s="77"/>
      <c r="H99" s="43" t="s">
        <v>3025</v>
      </c>
      <c r="I99" s="29" t="s">
        <v>3026</v>
      </c>
      <c r="J99" s="27"/>
      <c r="K99" s="27"/>
      <c r="L99" s="27"/>
      <c r="M99" s="27"/>
      <c r="N99" s="27"/>
      <c r="O99" s="27"/>
      <c r="P99" s="27"/>
      <c r="Q99" s="27"/>
      <c r="R99" s="27"/>
      <c r="S99" s="27"/>
    </row>
    <row r="100">
      <c r="A100" s="2"/>
      <c r="B100" s="2" t="s">
        <v>3027</v>
      </c>
      <c r="C100" s="4" t="s">
        <v>882</v>
      </c>
      <c r="D100" s="4" t="s">
        <v>130</v>
      </c>
      <c r="E100" s="4" t="s">
        <v>2963</v>
      </c>
      <c r="F100" s="4" t="s">
        <v>3028</v>
      </c>
      <c r="G100" s="77"/>
      <c r="H100" s="43" t="s">
        <v>3029</v>
      </c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</row>
    <row r="101">
      <c r="A101" s="78"/>
      <c r="B101" s="2" t="s">
        <v>20</v>
      </c>
      <c r="C101" s="4" t="s">
        <v>3030</v>
      </c>
      <c r="D101" s="4" t="s">
        <v>130</v>
      </c>
      <c r="E101" s="4" t="s">
        <v>2963</v>
      </c>
      <c r="F101" s="27"/>
      <c r="G101" s="32"/>
      <c r="H101" s="29" t="s">
        <v>3031</v>
      </c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</row>
    <row r="102">
      <c r="A102" s="1">
        <v>14722.0</v>
      </c>
      <c r="B102" s="2" t="s">
        <v>20</v>
      </c>
      <c r="C102" s="4" t="s">
        <v>3032</v>
      </c>
      <c r="D102" s="4" t="s">
        <v>130</v>
      </c>
      <c r="E102" s="4" t="s">
        <v>3033</v>
      </c>
      <c r="F102" s="27"/>
      <c r="G102" s="77"/>
      <c r="H102" s="43" t="s">
        <v>3034</v>
      </c>
      <c r="I102" s="29" t="s">
        <v>3035</v>
      </c>
      <c r="J102" s="27"/>
      <c r="K102" s="27"/>
      <c r="L102" s="27"/>
      <c r="M102" s="27"/>
      <c r="N102" s="27"/>
      <c r="O102" s="27"/>
      <c r="P102" s="27"/>
      <c r="Q102" s="27"/>
      <c r="R102" s="27"/>
      <c r="S102" s="27"/>
    </row>
    <row r="103">
      <c r="A103" s="1">
        <v>15144.0</v>
      </c>
      <c r="B103" s="2" t="s">
        <v>20</v>
      </c>
      <c r="C103" s="4" t="s">
        <v>3036</v>
      </c>
      <c r="D103" s="4" t="s">
        <v>130</v>
      </c>
      <c r="E103" s="4" t="s">
        <v>3033</v>
      </c>
      <c r="F103" s="27"/>
      <c r="G103" s="32"/>
      <c r="H103" s="29" t="s">
        <v>3037</v>
      </c>
      <c r="I103" s="29" t="s">
        <v>3038</v>
      </c>
      <c r="J103" s="27"/>
      <c r="K103" s="27"/>
      <c r="L103" s="27"/>
      <c r="M103" s="27"/>
      <c r="N103" s="27"/>
      <c r="O103" s="27"/>
      <c r="P103" s="27"/>
      <c r="Q103" s="27"/>
      <c r="R103" s="27"/>
      <c r="S103" s="27"/>
    </row>
    <row r="104">
      <c r="A104" s="1">
        <v>19934.0</v>
      </c>
      <c r="B104" s="2" t="s">
        <v>20</v>
      </c>
      <c r="C104" s="4" t="s">
        <v>3039</v>
      </c>
      <c r="D104" s="4" t="s">
        <v>130</v>
      </c>
      <c r="E104" s="4" t="s">
        <v>3033</v>
      </c>
      <c r="F104" s="4" t="s">
        <v>3040</v>
      </c>
      <c r="G104" s="77"/>
      <c r="H104" s="43" t="s">
        <v>3041</v>
      </c>
      <c r="I104" s="43" t="s">
        <v>3042</v>
      </c>
      <c r="J104" s="27"/>
      <c r="K104" s="27"/>
      <c r="L104" s="27"/>
      <c r="M104" s="27"/>
      <c r="N104" s="27"/>
      <c r="O104" s="27"/>
      <c r="P104" s="27"/>
      <c r="Q104" s="27"/>
      <c r="R104" s="27"/>
      <c r="S104" s="27"/>
    </row>
    <row r="105">
      <c r="A105" s="1">
        <v>32376.0</v>
      </c>
      <c r="B105" s="2" t="s">
        <v>20</v>
      </c>
      <c r="C105" s="4" t="s">
        <v>790</v>
      </c>
      <c r="D105" s="4" t="s">
        <v>130</v>
      </c>
      <c r="E105" s="4" t="s">
        <v>3033</v>
      </c>
      <c r="F105" s="27"/>
      <c r="G105" s="77"/>
      <c r="H105" s="43" t="s">
        <v>3043</v>
      </c>
      <c r="I105" s="29" t="s">
        <v>3044</v>
      </c>
      <c r="J105" s="27"/>
      <c r="K105" s="27"/>
      <c r="L105" s="27"/>
      <c r="M105" s="27"/>
      <c r="N105" s="27"/>
      <c r="O105" s="27"/>
      <c r="P105" s="27"/>
      <c r="Q105" s="27"/>
      <c r="R105" s="27"/>
      <c r="S105" s="27"/>
    </row>
    <row r="106">
      <c r="A106" s="2"/>
      <c r="B106" s="2" t="s">
        <v>220</v>
      </c>
      <c r="C106" s="4" t="s">
        <v>3045</v>
      </c>
      <c r="D106" s="4" t="s">
        <v>130</v>
      </c>
      <c r="E106" s="4" t="s">
        <v>3033</v>
      </c>
      <c r="F106" s="27"/>
      <c r="G106" s="32"/>
      <c r="H106" s="29" t="s">
        <v>3046</v>
      </c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</row>
    <row r="107">
      <c r="A107" s="2"/>
      <c r="B107" s="2" t="s">
        <v>20</v>
      </c>
      <c r="C107" s="4" t="s">
        <v>1463</v>
      </c>
      <c r="D107" s="4" t="s">
        <v>130</v>
      </c>
      <c r="E107" s="4" t="s">
        <v>3033</v>
      </c>
      <c r="F107" s="27"/>
      <c r="G107" s="77"/>
      <c r="H107" s="43" t="s">
        <v>3047</v>
      </c>
      <c r="I107" s="29" t="s">
        <v>3048</v>
      </c>
      <c r="J107" s="29" t="s">
        <v>3049</v>
      </c>
      <c r="K107" s="27"/>
      <c r="L107" s="27"/>
      <c r="M107" s="27"/>
      <c r="N107" s="27"/>
      <c r="O107" s="27"/>
      <c r="P107" s="27"/>
      <c r="Q107" s="27"/>
      <c r="R107" s="27"/>
      <c r="S107" s="27"/>
    </row>
    <row r="108">
      <c r="A108" s="2"/>
      <c r="B108" s="2" t="s">
        <v>20</v>
      </c>
      <c r="C108" s="4" t="s">
        <v>529</v>
      </c>
      <c r="D108" s="4" t="s">
        <v>130</v>
      </c>
      <c r="E108" s="4" t="s">
        <v>3033</v>
      </c>
      <c r="F108" s="27"/>
      <c r="G108" s="77"/>
      <c r="H108" s="43" t="s">
        <v>3050</v>
      </c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</row>
    <row r="109">
      <c r="A109" s="2"/>
      <c r="B109" s="2" t="s">
        <v>20</v>
      </c>
      <c r="C109" s="4" t="s">
        <v>698</v>
      </c>
      <c r="D109" s="4" t="s">
        <v>130</v>
      </c>
      <c r="E109" s="4" t="s">
        <v>3033</v>
      </c>
      <c r="F109" s="27"/>
      <c r="G109" s="77"/>
      <c r="H109" s="43" t="s">
        <v>3051</v>
      </c>
      <c r="I109" s="29" t="s">
        <v>3052</v>
      </c>
      <c r="J109" s="27"/>
      <c r="K109" s="27"/>
      <c r="L109" s="27"/>
      <c r="M109" s="27"/>
      <c r="N109" s="27"/>
      <c r="O109" s="27"/>
      <c r="P109" s="27"/>
      <c r="Q109" s="27"/>
      <c r="R109" s="27"/>
      <c r="S109" s="27"/>
    </row>
    <row r="110">
      <c r="A110" s="2"/>
      <c r="B110" s="2" t="s">
        <v>20</v>
      </c>
      <c r="C110" s="4" t="s">
        <v>3053</v>
      </c>
      <c r="D110" s="4" t="s">
        <v>130</v>
      </c>
      <c r="E110" s="4" t="s">
        <v>3033</v>
      </c>
      <c r="F110" s="27"/>
      <c r="G110" s="77"/>
      <c r="H110" s="43" t="s">
        <v>3054</v>
      </c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</row>
    <row r="111">
      <c r="A111" s="2"/>
      <c r="B111" s="2" t="s">
        <v>20</v>
      </c>
      <c r="C111" s="4" t="s">
        <v>458</v>
      </c>
      <c r="D111" s="4" t="s">
        <v>130</v>
      </c>
      <c r="E111" s="4" t="s">
        <v>3033</v>
      </c>
      <c r="F111" s="27"/>
      <c r="G111" s="77"/>
      <c r="H111" s="43" t="s">
        <v>3055</v>
      </c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</row>
    <row r="112">
      <c r="A112" s="2"/>
      <c r="B112" s="2" t="s">
        <v>20</v>
      </c>
      <c r="C112" s="4" t="s">
        <v>3056</v>
      </c>
      <c r="D112" s="4" t="s">
        <v>130</v>
      </c>
      <c r="E112" s="4" t="s">
        <v>3033</v>
      </c>
      <c r="F112" s="27"/>
      <c r="G112" s="77"/>
      <c r="H112" s="43" t="s">
        <v>3057</v>
      </c>
      <c r="I112" s="29" t="s">
        <v>3058</v>
      </c>
      <c r="J112" s="27"/>
      <c r="K112" s="27"/>
      <c r="L112" s="27"/>
      <c r="M112" s="27"/>
      <c r="N112" s="27"/>
      <c r="O112" s="27"/>
      <c r="P112" s="27"/>
      <c r="Q112" s="27"/>
      <c r="R112" s="27"/>
      <c r="S112" s="27"/>
    </row>
    <row r="113">
      <c r="A113" s="2"/>
      <c r="B113" s="2" t="s">
        <v>20</v>
      </c>
      <c r="C113" s="4" t="s">
        <v>3059</v>
      </c>
      <c r="D113" s="4" t="s">
        <v>130</v>
      </c>
      <c r="E113" s="4" t="s">
        <v>3033</v>
      </c>
      <c r="F113" s="27"/>
      <c r="G113" s="77"/>
      <c r="H113" s="43" t="s">
        <v>3060</v>
      </c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</row>
    <row r="114">
      <c r="A114" s="2"/>
      <c r="B114" s="2" t="s">
        <v>20</v>
      </c>
      <c r="C114" s="27" t="s">
        <v>3061</v>
      </c>
      <c r="D114" s="4" t="s">
        <v>130</v>
      </c>
      <c r="E114" s="4" t="s">
        <v>3033</v>
      </c>
      <c r="F114" s="4" t="s">
        <v>3062</v>
      </c>
      <c r="G114" s="77"/>
      <c r="H114" s="43" t="s">
        <v>3063</v>
      </c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</row>
    <row r="115">
      <c r="A115" s="2"/>
      <c r="B115" s="2" t="s">
        <v>20</v>
      </c>
      <c r="C115" s="4" t="s">
        <v>49</v>
      </c>
      <c r="D115" s="4" t="s">
        <v>130</v>
      </c>
      <c r="E115" s="4" t="s">
        <v>3033</v>
      </c>
      <c r="F115" s="27"/>
      <c r="G115" s="77"/>
      <c r="H115" s="43" t="s">
        <v>3064</v>
      </c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</row>
    <row r="116">
      <c r="A116" s="2"/>
      <c r="B116" s="2" t="s">
        <v>20</v>
      </c>
      <c r="C116" s="4" t="s">
        <v>641</v>
      </c>
      <c r="D116" s="4" t="s">
        <v>130</v>
      </c>
      <c r="E116" s="4" t="s">
        <v>3033</v>
      </c>
      <c r="F116" s="27"/>
      <c r="G116" s="77"/>
      <c r="H116" s="43" t="s">
        <v>3065</v>
      </c>
      <c r="I116" s="32"/>
      <c r="J116" s="27"/>
      <c r="K116" s="27"/>
      <c r="L116" s="27"/>
      <c r="M116" s="27"/>
      <c r="N116" s="27"/>
      <c r="O116" s="27"/>
      <c r="P116" s="27"/>
      <c r="Q116" s="27"/>
      <c r="R116" s="27"/>
      <c r="S116" s="27"/>
    </row>
    <row r="117">
      <c r="A117" s="2"/>
      <c r="B117" s="2" t="s">
        <v>20</v>
      </c>
      <c r="C117" s="4" t="s">
        <v>641</v>
      </c>
      <c r="D117" s="4" t="s">
        <v>130</v>
      </c>
      <c r="E117" s="4" t="s">
        <v>3033</v>
      </c>
      <c r="F117" s="4" t="s">
        <v>3066</v>
      </c>
      <c r="G117" s="77"/>
      <c r="H117" s="43" t="s">
        <v>3067</v>
      </c>
      <c r="I117" s="29" t="s">
        <v>3068</v>
      </c>
      <c r="J117" s="27"/>
      <c r="K117" s="27"/>
      <c r="L117" s="27"/>
      <c r="M117" s="27"/>
      <c r="N117" s="27"/>
      <c r="O117" s="27"/>
      <c r="P117" s="27"/>
      <c r="Q117" s="27"/>
      <c r="R117" s="27"/>
      <c r="S117" s="27"/>
    </row>
    <row r="118">
      <c r="A118" s="2"/>
      <c r="B118" s="2" t="s">
        <v>20</v>
      </c>
      <c r="C118" s="4" t="s">
        <v>3069</v>
      </c>
      <c r="D118" s="4" t="s">
        <v>130</v>
      </c>
      <c r="E118" s="4" t="s">
        <v>3033</v>
      </c>
      <c r="F118" s="27"/>
      <c r="G118" s="77"/>
      <c r="H118" s="43" t="s">
        <v>3070</v>
      </c>
      <c r="I118" s="29" t="s">
        <v>3071</v>
      </c>
      <c r="J118" s="29" t="s">
        <v>3072</v>
      </c>
      <c r="K118" s="27"/>
      <c r="L118" s="27"/>
      <c r="M118" s="27"/>
      <c r="N118" s="27"/>
      <c r="O118" s="27"/>
      <c r="P118" s="27"/>
      <c r="Q118" s="27"/>
      <c r="R118" s="27"/>
      <c r="S118" s="27"/>
    </row>
    <row r="119">
      <c r="A119" s="2"/>
      <c r="B119" s="2" t="s">
        <v>20</v>
      </c>
      <c r="C119" s="4" t="s">
        <v>3073</v>
      </c>
      <c r="D119" s="4" t="s">
        <v>130</v>
      </c>
      <c r="E119" s="4" t="s">
        <v>3033</v>
      </c>
      <c r="F119" s="27"/>
      <c r="G119" s="77"/>
      <c r="H119" s="43" t="s">
        <v>3074</v>
      </c>
      <c r="I119" s="29" t="s">
        <v>3075</v>
      </c>
      <c r="J119" s="27"/>
      <c r="K119" s="27"/>
      <c r="L119" s="27"/>
      <c r="M119" s="27"/>
      <c r="N119" s="27"/>
      <c r="O119" s="27"/>
      <c r="P119" s="27"/>
      <c r="Q119" s="27"/>
      <c r="R119" s="27"/>
      <c r="S119" s="27"/>
    </row>
    <row r="120">
      <c r="A120" s="2"/>
      <c r="B120" s="2" t="s">
        <v>20</v>
      </c>
      <c r="C120" s="4" t="s">
        <v>770</v>
      </c>
      <c r="D120" s="4" t="s">
        <v>130</v>
      </c>
      <c r="E120" s="4" t="s">
        <v>3033</v>
      </c>
      <c r="F120" s="27"/>
      <c r="G120" s="77"/>
      <c r="H120" s="43" t="s">
        <v>3076</v>
      </c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</row>
    <row r="121">
      <c r="A121" s="2"/>
      <c r="B121" s="2" t="s">
        <v>20</v>
      </c>
      <c r="C121" s="4" t="s">
        <v>3077</v>
      </c>
      <c r="D121" s="4" t="s">
        <v>130</v>
      </c>
      <c r="E121" s="4" t="s">
        <v>3033</v>
      </c>
      <c r="F121" s="27"/>
      <c r="G121" s="77"/>
      <c r="H121" s="43" t="s">
        <v>3078</v>
      </c>
      <c r="I121" s="29" t="s">
        <v>3079</v>
      </c>
      <c r="J121" s="29" t="s">
        <v>3080</v>
      </c>
      <c r="K121" s="27"/>
      <c r="L121" s="27"/>
      <c r="M121" s="27"/>
      <c r="N121" s="27"/>
      <c r="O121" s="27"/>
      <c r="P121" s="27"/>
      <c r="Q121" s="27"/>
      <c r="R121" s="27"/>
      <c r="S121" s="27"/>
    </row>
    <row r="122">
      <c r="A122" s="2"/>
      <c r="B122" s="2" t="s">
        <v>20</v>
      </c>
      <c r="C122" s="4" t="s">
        <v>3081</v>
      </c>
      <c r="D122" s="4" t="s">
        <v>130</v>
      </c>
      <c r="E122" s="4" t="s">
        <v>3033</v>
      </c>
      <c r="F122" s="27"/>
      <c r="G122" s="77"/>
      <c r="H122" s="43" t="s">
        <v>3082</v>
      </c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</row>
    <row r="123">
      <c r="A123" s="2"/>
      <c r="B123" s="2" t="s">
        <v>2364</v>
      </c>
      <c r="C123" s="4" t="s">
        <v>1108</v>
      </c>
      <c r="D123" s="4" t="s">
        <v>130</v>
      </c>
      <c r="E123" s="4" t="s">
        <v>3033</v>
      </c>
      <c r="F123" s="27"/>
      <c r="G123" s="77"/>
      <c r="H123" s="43" t="s">
        <v>3083</v>
      </c>
      <c r="I123" s="29" t="s">
        <v>3084</v>
      </c>
      <c r="J123" s="29" t="s">
        <v>3085</v>
      </c>
      <c r="K123" s="27"/>
      <c r="L123" s="27"/>
      <c r="M123" s="27"/>
      <c r="N123" s="27"/>
      <c r="O123" s="27"/>
      <c r="P123" s="27"/>
      <c r="Q123" s="27"/>
      <c r="R123" s="27"/>
      <c r="S123" s="27"/>
    </row>
    <row r="124">
      <c r="A124" s="2"/>
      <c r="B124" s="2" t="s">
        <v>301</v>
      </c>
      <c r="C124" s="4" t="s">
        <v>3086</v>
      </c>
      <c r="D124" s="4" t="s">
        <v>130</v>
      </c>
      <c r="E124" s="4" t="s">
        <v>3033</v>
      </c>
      <c r="F124" s="27"/>
      <c r="G124" s="77"/>
      <c r="H124" s="43" t="s">
        <v>3087</v>
      </c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</row>
    <row r="125">
      <c r="A125" s="2"/>
      <c r="B125" s="2" t="s">
        <v>20</v>
      </c>
      <c r="C125" s="4" t="s">
        <v>3088</v>
      </c>
      <c r="D125" s="4" t="s">
        <v>130</v>
      </c>
      <c r="E125" s="4" t="s">
        <v>3089</v>
      </c>
      <c r="F125" s="27"/>
      <c r="G125" s="77"/>
      <c r="H125" s="43" t="s">
        <v>3090</v>
      </c>
      <c r="I125" s="29" t="s">
        <v>3091</v>
      </c>
      <c r="J125" s="27"/>
      <c r="K125" s="27"/>
      <c r="L125" s="27"/>
      <c r="M125" s="27"/>
      <c r="N125" s="27"/>
      <c r="O125" s="27"/>
      <c r="P125" s="27"/>
      <c r="Q125" s="27"/>
      <c r="R125" s="27"/>
      <c r="S125" s="27"/>
    </row>
    <row r="126">
      <c r="A126" s="2"/>
      <c r="B126" s="2" t="s">
        <v>20</v>
      </c>
      <c r="C126" s="4" t="s">
        <v>2284</v>
      </c>
      <c r="D126" s="4" t="s">
        <v>130</v>
      </c>
      <c r="E126" s="4" t="s">
        <v>3089</v>
      </c>
      <c r="F126" s="27"/>
      <c r="G126" s="77"/>
      <c r="H126" s="43" t="s">
        <v>3092</v>
      </c>
      <c r="I126" s="29" t="s">
        <v>3093</v>
      </c>
      <c r="J126" s="27"/>
      <c r="K126" s="27"/>
      <c r="L126" s="27"/>
      <c r="M126" s="27"/>
      <c r="N126" s="27"/>
      <c r="O126" s="27"/>
      <c r="P126" s="27"/>
      <c r="Q126" s="27"/>
      <c r="R126" s="27"/>
      <c r="S126" s="27"/>
    </row>
    <row r="127">
      <c r="A127" s="2"/>
      <c r="B127" s="2" t="s">
        <v>20</v>
      </c>
      <c r="C127" s="4" t="s">
        <v>3094</v>
      </c>
      <c r="D127" s="4" t="s">
        <v>130</v>
      </c>
      <c r="E127" s="4" t="s">
        <v>3089</v>
      </c>
      <c r="F127" s="27"/>
      <c r="G127" s="77"/>
      <c r="H127" s="43" t="s">
        <v>3095</v>
      </c>
      <c r="I127" s="29" t="s">
        <v>3096</v>
      </c>
      <c r="J127" s="27"/>
      <c r="K127" s="27"/>
      <c r="L127" s="27"/>
      <c r="M127" s="27"/>
      <c r="N127" s="27"/>
      <c r="O127" s="27"/>
      <c r="P127" s="27"/>
      <c r="Q127" s="27"/>
      <c r="R127" s="27"/>
      <c r="S127" s="27"/>
    </row>
    <row r="128">
      <c r="A128" s="2"/>
      <c r="B128" s="2" t="s">
        <v>20</v>
      </c>
      <c r="C128" s="4" t="s">
        <v>3097</v>
      </c>
      <c r="D128" s="4" t="s">
        <v>130</v>
      </c>
      <c r="E128" s="4" t="s">
        <v>3089</v>
      </c>
      <c r="F128" s="27"/>
      <c r="G128" s="32"/>
      <c r="H128" s="32"/>
      <c r="I128" s="32"/>
      <c r="J128" s="43" t="s">
        <v>3098</v>
      </c>
      <c r="K128" s="27"/>
      <c r="L128" s="27"/>
      <c r="M128" s="27"/>
      <c r="N128" s="27"/>
      <c r="O128" s="27"/>
      <c r="P128" s="27"/>
      <c r="Q128" s="27"/>
      <c r="R128" s="27"/>
      <c r="S128" s="27"/>
    </row>
    <row r="129">
      <c r="A129" s="2"/>
      <c r="B129" s="2" t="s">
        <v>20</v>
      </c>
      <c r="C129" s="4" t="s">
        <v>3099</v>
      </c>
      <c r="D129" s="4" t="s">
        <v>130</v>
      </c>
      <c r="E129" s="4" t="s">
        <v>3089</v>
      </c>
      <c r="F129" s="27"/>
      <c r="G129" s="77"/>
      <c r="H129" s="43" t="s">
        <v>3100</v>
      </c>
      <c r="I129" s="32"/>
      <c r="J129" s="27"/>
      <c r="K129" s="27"/>
      <c r="L129" s="27"/>
      <c r="M129" s="27"/>
      <c r="N129" s="27"/>
      <c r="O129" s="27"/>
      <c r="P129" s="27"/>
      <c r="Q129" s="27"/>
      <c r="R129" s="27"/>
      <c r="S129" s="27"/>
    </row>
    <row r="130">
      <c r="A130" s="2"/>
      <c r="B130" s="2" t="s">
        <v>20</v>
      </c>
      <c r="C130" s="4" t="s">
        <v>3101</v>
      </c>
      <c r="D130" s="4" t="s">
        <v>130</v>
      </c>
      <c r="E130" s="4" t="s">
        <v>3089</v>
      </c>
      <c r="F130" s="27"/>
      <c r="G130" s="77"/>
      <c r="H130" s="43" t="s">
        <v>3102</v>
      </c>
      <c r="I130" s="29" t="s">
        <v>3103</v>
      </c>
      <c r="J130" s="27"/>
      <c r="K130" s="27"/>
      <c r="L130" s="27"/>
      <c r="M130" s="27"/>
      <c r="N130" s="27"/>
      <c r="O130" s="27"/>
      <c r="P130" s="27"/>
      <c r="Q130" s="27"/>
      <c r="R130" s="27"/>
      <c r="S130" s="27"/>
    </row>
    <row r="131">
      <c r="A131" s="2"/>
      <c r="B131" s="2" t="s">
        <v>20</v>
      </c>
      <c r="C131" s="4" t="s">
        <v>3104</v>
      </c>
      <c r="D131" s="4" t="s">
        <v>130</v>
      </c>
      <c r="E131" s="4" t="s">
        <v>3089</v>
      </c>
      <c r="F131" s="27"/>
      <c r="G131" s="32"/>
      <c r="H131" s="32"/>
      <c r="I131" s="32"/>
      <c r="J131" s="43" t="s">
        <v>3105</v>
      </c>
      <c r="K131" s="27"/>
      <c r="L131" s="27"/>
      <c r="M131" s="27"/>
      <c r="N131" s="27"/>
      <c r="O131" s="27"/>
      <c r="P131" s="27"/>
      <c r="Q131" s="27"/>
      <c r="R131" s="27"/>
      <c r="S131" s="27"/>
    </row>
    <row r="132">
      <c r="A132" s="2"/>
      <c r="B132" s="2" t="s">
        <v>20</v>
      </c>
      <c r="C132" s="4" t="s">
        <v>3106</v>
      </c>
      <c r="D132" s="4" t="s">
        <v>130</v>
      </c>
      <c r="E132" s="4" t="s">
        <v>3089</v>
      </c>
      <c r="F132" s="27"/>
      <c r="G132" s="77"/>
      <c r="H132" s="43" t="s">
        <v>3107</v>
      </c>
      <c r="I132" s="32"/>
      <c r="J132" s="29" t="s">
        <v>3108</v>
      </c>
      <c r="K132" s="27"/>
      <c r="L132" s="27"/>
      <c r="M132" s="27"/>
      <c r="N132" s="27"/>
      <c r="O132" s="27"/>
      <c r="P132" s="27"/>
      <c r="Q132" s="27"/>
      <c r="R132" s="27"/>
      <c r="S132" s="27"/>
    </row>
    <row r="133">
      <c r="A133" s="2"/>
      <c r="B133" s="2" t="s">
        <v>20</v>
      </c>
      <c r="C133" s="4" t="s">
        <v>3109</v>
      </c>
      <c r="D133" s="4" t="s">
        <v>130</v>
      </c>
      <c r="E133" s="4" t="s">
        <v>3089</v>
      </c>
      <c r="F133" s="4" t="s">
        <v>3110</v>
      </c>
      <c r="G133" s="77"/>
      <c r="H133" s="43" t="s">
        <v>3111</v>
      </c>
      <c r="I133" s="29" t="s">
        <v>3112</v>
      </c>
      <c r="J133" s="29" t="s">
        <v>3113</v>
      </c>
      <c r="K133" s="27"/>
      <c r="L133" s="27"/>
      <c r="M133" s="27"/>
      <c r="N133" s="27"/>
      <c r="O133" s="27"/>
      <c r="P133" s="27"/>
      <c r="Q133" s="27"/>
      <c r="R133" s="27"/>
      <c r="S133" s="27"/>
    </row>
    <row r="134">
      <c r="A134" s="2"/>
      <c r="B134" s="2" t="s">
        <v>20</v>
      </c>
      <c r="C134" s="4" t="s">
        <v>3114</v>
      </c>
      <c r="D134" s="4" t="s">
        <v>130</v>
      </c>
      <c r="E134" s="4" t="s">
        <v>3089</v>
      </c>
      <c r="F134" s="4" t="s">
        <v>3115</v>
      </c>
      <c r="G134" s="77"/>
      <c r="H134" s="43" t="s">
        <v>3116</v>
      </c>
      <c r="I134" s="29" t="s">
        <v>3117</v>
      </c>
      <c r="J134" s="27"/>
      <c r="K134" s="27"/>
      <c r="L134" s="27"/>
      <c r="M134" s="27"/>
      <c r="N134" s="27"/>
      <c r="O134" s="27"/>
      <c r="P134" s="27"/>
      <c r="Q134" s="27"/>
      <c r="R134" s="27"/>
      <c r="S134" s="27"/>
    </row>
    <row r="135">
      <c r="A135" s="2"/>
      <c r="B135" s="2" t="s">
        <v>20</v>
      </c>
      <c r="C135" s="4" t="s">
        <v>3118</v>
      </c>
      <c r="D135" s="4" t="s">
        <v>130</v>
      </c>
      <c r="E135" s="4" t="s">
        <v>3089</v>
      </c>
      <c r="F135" s="27"/>
      <c r="G135" s="77"/>
      <c r="H135" s="43" t="s">
        <v>3119</v>
      </c>
      <c r="I135" s="29" t="s">
        <v>3120</v>
      </c>
      <c r="J135" s="43" t="s">
        <v>3121</v>
      </c>
      <c r="K135" s="27"/>
      <c r="L135" s="27"/>
      <c r="M135" s="27"/>
      <c r="N135" s="27"/>
      <c r="O135" s="27"/>
      <c r="P135" s="27"/>
      <c r="Q135" s="27"/>
      <c r="R135" s="27"/>
      <c r="S135" s="27"/>
    </row>
    <row r="136">
      <c r="A136" s="2"/>
      <c r="B136" s="2" t="s">
        <v>20</v>
      </c>
      <c r="C136" s="4" t="s">
        <v>3122</v>
      </c>
      <c r="D136" s="4" t="s">
        <v>130</v>
      </c>
      <c r="E136" s="4" t="s">
        <v>3089</v>
      </c>
      <c r="F136" s="27"/>
      <c r="G136" s="32"/>
      <c r="H136" s="29" t="s">
        <v>3123</v>
      </c>
      <c r="I136" s="29" t="s">
        <v>3124</v>
      </c>
      <c r="J136" s="27"/>
      <c r="K136" s="27"/>
      <c r="L136" s="27"/>
      <c r="M136" s="27"/>
      <c r="N136" s="27"/>
      <c r="O136" s="27"/>
      <c r="P136" s="27"/>
      <c r="Q136" s="27"/>
      <c r="R136" s="27"/>
      <c r="S136" s="27"/>
    </row>
    <row r="137">
      <c r="A137" s="2"/>
      <c r="B137" s="2" t="s">
        <v>20</v>
      </c>
      <c r="C137" s="4" t="s">
        <v>3125</v>
      </c>
      <c r="D137" s="4" t="s">
        <v>130</v>
      </c>
      <c r="E137" s="4" t="s">
        <v>3089</v>
      </c>
      <c r="F137" s="27"/>
      <c r="G137" s="32"/>
      <c r="H137" s="29" t="s">
        <v>3126</v>
      </c>
      <c r="I137" s="29" t="s">
        <v>3127</v>
      </c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</row>
    <row r="138">
      <c r="A138" s="2"/>
      <c r="B138" s="2" t="s">
        <v>20</v>
      </c>
      <c r="C138" s="4" t="s">
        <v>458</v>
      </c>
      <c r="D138" s="4" t="s">
        <v>130</v>
      </c>
      <c r="E138" s="4" t="s">
        <v>3128</v>
      </c>
      <c r="F138" s="27"/>
      <c r="G138" s="77"/>
      <c r="H138" s="43" t="s">
        <v>3129</v>
      </c>
      <c r="I138" s="29" t="s">
        <v>3130</v>
      </c>
      <c r="J138" s="29" t="s">
        <v>3131</v>
      </c>
      <c r="K138" s="29" t="s">
        <v>3132</v>
      </c>
      <c r="L138" s="27"/>
      <c r="M138" s="27"/>
      <c r="N138" s="27"/>
      <c r="O138" s="27"/>
      <c r="P138" s="27"/>
      <c r="Q138" s="27"/>
      <c r="R138" s="27"/>
      <c r="S138" s="32" t="s">
        <v>2772</v>
      </c>
    </row>
    <row r="139">
      <c r="A139" s="2"/>
      <c r="B139" s="2" t="s">
        <v>20</v>
      </c>
      <c r="C139" s="4" t="s">
        <v>2052</v>
      </c>
      <c r="D139" s="4" t="s">
        <v>130</v>
      </c>
      <c r="E139" s="4" t="s">
        <v>3128</v>
      </c>
      <c r="F139" s="27"/>
      <c r="G139" s="77"/>
      <c r="H139" s="43" t="s">
        <v>3133</v>
      </c>
      <c r="I139" s="29" t="s">
        <v>3134</v>
      </c>
      <c r="J139" s="27"/>
      <c r="K139" s="27"/>
      <c r="L139" s="27"/>
      <c r="M139" s="27"/>
      <c r="N139" s="27"/>
      <c r="O139" s="27"/>
      <c r="P139" s="27"/>
      <c r="Q139" s="27"/>
      <c r="R139" s="27"/>
      <c r="S139" s="27"/>
    </row>
    <row r="140">
      <c r="A140" s="2"/>
      <c r="B140" s="2" t="s">
        <v>20</v>
      </c>
      <c r="C140" s="4" t="s">
        <v>3135</v>
      </c>
      <c r="D140" s="4" t="s">
        <v>130</v>
      </c>
      <c r="E140" s="4" t="s">
        <v>3128</v>
      </c>
      <c r="F140" s="4" t="s">
        <v>3136</v>
      </c>
      <c r="G140" s="77"/>
      <c r="H140" s="43" t="s">
        <v>3137</v>
      </c>
      <c r="I140" s="29" t="s">
        <v>3138</v>
      </c>
      <c r="J140" s="27"/>
      <c r="K140" s="27"/>
      <c r="L140" s="27"/>
      <c r="M140" s="27"/>
      <c r="N140" s="27"/>
      <c r="O140" s="27"/>
      <c r="P140" s="27"/>
      <c r="Q140" s="27"/>
      <c r="R140" s="27"/>
      <c r="S140" s="27"/>
    </row>
    <row r="141">
      <c r="A141" s="2"/>
      <c r="B141" s="2" t="s">
        <v>20</v>
      </c>
      <c r="C141" s="4" t="s">
        <v>21</v>
      </c>
      <c r="D141" s="4" t="s">
        <v>130</v>
      </c>
      <c r="E141" s="4" t="s">
        <v>3128</v>
      </c>
      <c r="F141" s="27"/>
      <c r="G141" s="77"/>
      <c r="H141" s="43" t="s">
        <v>3139</v>
      </c>
      <c r="I141" s="29" t="s">
        <v>3140</v>
      </c>
      <c r="J141" s="27"/>
      <c r="K141" s="27"/>
      <c r="L141" s="27"/>
      <c r="M141" s="27"/>
      <c r="N141" s="27"/>
      <c r="O141" s="27"/>
      <c r="P141" s="27"/>
      <c r="Q141" s="27"/>
      <c r="R141" s="27"/>
      <c r="S141" s="27"/>
    </row>
    <row r="142">
      <c r="A142" s="2"/>
      <c r="B142" s="2" t="s">
        <v>20</v>
      </c>
      <c r="C142" s="4" t="s">
        <v>2229</v>
      </c>
      <c r="D142" s="4" t="s">
        <v>130</v>
      </c>
      <c r="E142" s="4" t="s">
        <v>3128</v>
      </c>
      <c r="F142" s="27"/>
      <c r="G142" s="77"/>
      <c r="H142" s="43" t="s">
        <v>3141</v>
      </c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</row>
    <row r="143">
      <c r="A143" s="2"/>
      <c r="B143" s="2" t="s">
        <v>20</v>
      </c>
      <c r="C143" s="4" t="s">
        <v>770</v>
      </c>
      <c r="D143" s="4" t="s">
        <v>130</v>
      </c>
      <c r="E143" s="4" t="s">
        <v>3128</v>
      </c>
      <c r="F143" s="27"/>
      <c r="G143" s="77"/>
      <c r="H143" s="43" t="s">
        <v>3142</v>
      </c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</row>
    <row r="144">
      <c r="A144" s="2"/>
      <c r="B144" s="2" t="s">
        <v>20</v>
      </c>
      <c r="C144" s="4" t="s">
        <v>2971</v>
      </c>
      <c r="D144" s="4" t="s">
        <v>130</v>
      </c>
      <c r="E144" s="4" t="s">
        <v>3128</v>
      </c>
      <c r="F144" s="27"/>
      <c r="G144" s="27"/>
      <c r="H144" s="27"/>
      <c r="I144" s="27"/>
      <c r="J144" s="29" t="s">
        <v>3143</v>
      </c>
      <c r="K144" s="27"/>
      <c r="L144" s="27"/>
      <c r="M144" s="27"/>
      <c r="N144" s="27"/>
      <c r="O144" s="27"/>
      <c r="P144" s="27"/>
      <c r="Q144" s="27"/>
      <c r="R144" s="27"/>
      <c r="S144" s="27"/>
    </row>
    <row r="145">
      <c r="A145" s="2"/>
      <c r="B145" s="2" t="s">
        <v>20</v>
      </c>
      <c r="C145" s="4" t="s">
        <v>3144</v>
      </c>
      <c r="D145" s="4" t="s">
        <v>130</v>
      </c>
      <c r="E145" s="4" t="s">
        <v>3128</v>
      </c>
      <c r="F145" s="27"/>
      <c r="G145" s="77"/>
      <c r="H145" s="43" t="s">
        <v>3145</v>
      </c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</row>
    <row r="146">
      <c r="A146" s="2"/>
      <c r="B146" s="2" t="s">
        <v>20</v>
      </c>
      <c r="C146" s="4" t="s">
        <v>3146</v>
      </c>
      <c r="D146" s="4" t="s">
        <v>130</v>
      </c>
      <c r="E146" s="4" t="s">
        <v>3128</v>
      </c>
      <c r="F146" s="27"/>
      <c r="G146" s="77"/>
      <c r="H146" s="43" t="s">
        <v>3147</v>
      </c>
      <c r="I146" s="29" t="s">
        <v>3148</v>
      </c>
      <c r="J146" s="29" t="s">
        <v>3149</v>
      </c>
      <c r="K146" s="27"/>
      <c r="L146" s="27"/>
      <c r="M146" s="27"/>
      <c r="N146" s="27"/>
      <c r="O146" s="27"/>
      <c r="P146" s="27"/>
      <c r="Q146" s="27"/>
      <c r="R146" s="27"/>
      <c r="S146" s="27"/>
    </row>
    <row r="147">
      <c r="A147" s="2"/>
      <c r="B147" s="2" t="s">
        <v>20</v>
      </c>
      <c r="C147" s="4" t="s">
        <v>2478</v>
      </c>
      <c r="D147" s="4" t="s">
        <v>130</v>
      </c>
      <c r="E147" s="4" t="s">
        <v>3128</v>
      </c>
      <c r="F147" s="27"/>
      <c r="G147" s="77"/>
      <c r="H147" s="43" t="s">
        <v>3150</v>
      </c>
      <c r="I147" s="29" t="s">
        <v>3151</v>
      </c>
      <c r="J147" s="27"/>
      <c r="K147" s="27"/>
      <c r="L147" s="27"/>
      <c r="M147" s="27"/>
      <c r="N147" s="27"/>
      <c r="O147" s="27"/>
      <c r="P147" s="27"/>
      <c r="Q147" s="27"/>
      <c r="R147" s="27"/>
      <c r="S147" s="27"/>
    </row>
    <row r="148">
      <c r="A148" s="2"/>
      <c r="B148" s="2" t="s">
        <v>20</v>
      </c>
      <c r="C148" s="4" t="s">
        <v>3152</v>
      </c>
      <c r="D148" s="4" t="s">
        <v>130</v>
      </c>
      <c r="E148" s="4" t="s">
        <v>3128</v>
      </c>
      <c r="F148" s="27"/>
      <c r="G148" s="32"/>
      <c r="H148" s="29" t="s">
        <v>3153</v>
      </c>
      <c r="I148" s="29" t="s">
        <v>3154</v>
      </c>
      <c r="J148" s="27"/>
      <c r="K148" s="27"/>
      <c r="L148" s="27"/>
      <c r="M148" s="27"/>
      <c r="N148" s="27"/>
      <c r="O148" s="27"/>
      <c r="P148" s="27"/>
      <c r="Q148" s="27"/>
      <c r="R148" s="27"/>
      <c r="S148" s="27"/>
    </row>
    <row r="149">
      <c r="A149" s="2"/>
      <c r="B149" s="2" t="s">
        <v>20</v>
      </c>
      <c r="C149" s="4" t="s">
        <v>3155</v>
      </c>
      <c r="D149" s="4" t="s">
        <v>130</v>
      </c>
      <c r="E149" s="4" t="s">
        <v>3128</v>
      </c>
      <c r="F149" s="4" t="s">
        <v>3156</v>
      </c>
      <c r="G149" s="32"/>
      <c r="H149" s="29" t="s">
        <v>3157</v>
      </c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</row>
    <row r="150">
      <c r="A150" s="2"/>
      <c r="B150" s="2" t="s">
        <v>20</v>
      </c>
      <c r="C150" s="4" t="s">
        <v>3158</v>
      </c>
      <c r="D150" s="4" t="s">
        <v>130</v>
      </c>
      <c r="E150" s="4" t="s">
        <v>3128</v>
      </c>
      <c r="F150" s="27"/>
      <c r="G150" s="32"/>
      <c r="H150" s="29" t="s">
        <v>3159</v>
      </c>
      <c r="I150" s="29" t="s">
        <v>3160</v>
      </c>
      <c r="J150" s="29" t="s">
        <v>3161</v>
      </c>
      <c r="K150" s="27"/>
      <c r="L150" s="27"/>
      <c r="M150" s="27"/>
      <c r="N150" s="27"/>
      <c r="O150" s="27"/>
      <c r="P150" s="27"/>
      <c r="Q150" s="27"/>
      <c r="R150" s="27"/>
      <c r="S150" s="27"/>
    </row>
    <row r="151">
      <c r="A151" s="2"/>
      <c r="B151" s="2" t="s">
        <v>20</v>
      </c>
      <c r="C151" s="4" t="s">
        <v>42</v>
      </c>
      <c r="D151" s="4" t="s">
        <v>130</v>
      </c>
      <c r="E151" s="4" t="s">
        <v>3128</v>
      </c>
      <c r="F151" s="27"/>
      <c r="G151" s="32"/>
      <c r="H151" s="29" t="s">
        <v>3162</v>
      </c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</row>
    <row r="152">
      <c r="A152" s="1">
        <v>18305.0</v>
      </c>
      <c r="B152" s="2" t="s">
        <v>20</v>
      </c>
      <c r="C152" s="4" t="s">
        <v>3163</v>
      </c>
      <c r="D152" s="4" t="s">
        <v>130</v>
      </c>
      <c r="E152" s="4" t="s">
        <v>3164</v>
      </c>
      <c r="F152" s="27"/>
      <c r="G152" s="77"/>
      <c r="H152" s="43" t="s">
        <v>3165</v>
      </c>
      <c r="I152" s="29" t="s">
        <v>3166</v>
      </c>
      <c r="J152" s="27"/>
      <c r="K152" s="27"/>
      <c r="L152" s="27"/>
      <c r="M152" s="27"/>
      <c r="N152" s="27"/>
      <c r="O152" s="27"/>
      <c r="P152" s="27"/>
      <c r="Q152" s="27"/>
      <c r="R152" s="27"/>
      <c r="S152" s="27"/>
    </row>
    <row r="153">
      <c r="A153" s="2"/>
      <c r="B153" s="2" t="s">
        <v>220</v>
      </c>
      <c r="C153" s="4" t="s">
        <v>3167</v>
      </c>
      <c r="D153" s="4" t="s">
        <v>130</v>
      </c>
      <c r="E153" s="4" t="s">
        <v>3164</v>
      </c>
      <c r="F153" s="27"/>
      <c r="G153" s="32"/>
      <c r="H153" s="29" t="s">
        <v>3168</v>
      </c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</row>
    <row r="154">
      <c r="A154" s="2"/>
      <c r="B154" s="2" t="s">
        <v>20</v>
      </c>
      <c r="C154" s="4" t="s">
        <v>3169</v>
      </c>
      <c r="D154" s="4" t="s">
        <v>130</v>
      </c>
      <c r="E154" s="4" t="s">
        <v>3164</v>
      </c>
      <c r="F154" s="4" t="s">
        <v>3170</v>
      </c>
      <c r="G154" s="77"/>
      <c r="H154" s="43" t="s">
        <v>3171</v>
      </c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</row>
    <row r="155">
      <c r="A155" s="2"/>
      <c r="B155" s="2" t="s">
        <v>20</v>
      </c>
      <c r="C155" s="4" t="s">
        <v>3172</v>
      </c>
      <c r="D155" s="4" t="s">
        <v>130</v>
      </c>
      <c r="E155" s="4" t="s">
        <v>3164</v>
      </c>
      <c r="F155" s="4" t="s">
        <v>3173</v>
      </c>
      <c r="G155" s="77"/>
      <c r="H155" s="43" t="s">
        <v>3174</v>
      </c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</row>
    <row r="156">
      <c r="A156" s="2"/>
      <c r="B156" s="2" t="s">
        <v>20</v>
      </c>
      <c r="C156" s="4" t="s">
        <v>3175</v>
      </c>
      <c r="D156" s="4" t="s">
        <v>130</v>
      </c>
      <c r="E156" s="4" t="s">
        <v>3164</v>
      </c>
      <c r="F156" s="27"/>
      <c r="G156" s="77"/>
      <c r="H156" s="43" t="s">
        <v>3176</v>
      </c>
      <c r="I156" s="29" t="s">
        <v>3177</v>
      </c>
      <c r="J156" s="27"/>
      <c r="K156" s="27"/>
      <c r="L156" s="27"/>
      <c r="M156" s="27"/>
      <c r="N156" s="27"/>
      <c r="O156" s="27"/>
      <c r="P156" s="27"/>
      <c r="Q156" s="27"/>
      <c r="R156" s="27"/>
      <c r="S156" s="27"/>
    </row>
    <row r="157">
      <c r="A157" s="2"/>
      <c r="B157" s="2" t="s">
        <v>20</v>
      </c>
      <c r="C157" s="4" t="s">
        <v>3178</v>
      </c>
      <c r="D157" s="4" t="s">
        <v>130</v>
      </c>
      <c r="E157" s="4" t="s">
        <v>3164</v>
      </c>
      <c r="F157" s="4" t="s">
        <v>3179</v>
      </c>
      <c r="G157" s="77"/>
      <c r="H157" s="43" t="s">
        <v>3180</v>
      </c>
      <c r="I157" s="29" t="s">
        <v>3181</v>
      </c>
      <c r="J157" s="27"/>
      <c r="K157" s="27"/>
      <c r="L157" s="27"/>
      <c r="M157" s="27"/>
      <c r="N157" s="27"/>
      <c r="O157" s="27"/>
      <c r="P157" s="27"/>
      <c r="Q157" s="27"/>
      <c r="R157" s="27"/>
      <c r="S157" s="27"/>
    </row>
    <row r="158">
      <c r="A158" s="2"/>
      <c r="B158" s="2" t="s">
        <v>20</v>
      </c>
      <c r="C158" s="4" t="s">
        <v>3182</v>
      </c>
      <c r="D158" s="4" t="s">
        <v>130</v>
      </c>
      <c r="E158" s="4" t="s">
        <v>3164</v>
      </c>
      <c r="F158" s="27"/>
      <c r="G158" s="77"/>
      <c r="H158" s="43" t="s">
        <v>3183</v>
      </c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</row>
    <row r="159">
      <c r="A159" s="2"/>
      <c r="B159" s="2" t="s">
        <v>20</v>
      </c>
      <c r="C159" s="4" t="s">
        <v>458</v>
      </c>
      <c r="D159" s="4" t="s">
        <v>130</v>
      </c>
      <c r="E159" s="4" t="s">
        <v>3164</v>
      </c>
      <c r="F159" s="27"/>
      <c r="G159" s="77"/>
      <c r="H159" s="43" t="s">
        <v>3184</v>
      </c>
      <c r="I159" s="29" t="s">
        <v>3185</v>
      </c>
      <c r="J159" s="27"/>
      <c r="K159" s="27"/>
      <c r="L159" s="27"/>
      <c r="M159" s="27"/>
      <c r="N159" s="27"/>
      <c r="O159" s="27"/>
      <c r="P159" s="27"/>
      <c r="Q159" s="27"/>
      <c r="R159" s="27"/>
      <c r="S159" s="27"/>
    </row>
    <row r="160">
      <c r="A160" s="2"/>
      <c r="B160" s="2" t="s">
        <v>20</v>
      </c>
      <c r="C160" s="4" t="s">
        <v>3186</v>
      </c>
      <c r="D160" s="4" t="s">
        <v>130</v>
      </c>
      <c r="E160" s="4" t="s">
        <v>3164</v>
      </c>
      <c r="F160" s="27"/>
      <c r="G160" s="32"/>
      <c r="H160" s="29" t="s">
        <v>3187</v>
      </c>
      <c r="I160" s="29" t="s">
        <v>3188</v>
      </c>
      <c r="J160" s="27"/>
      <c r="K160" s="27"/>
      <c r="L160" s="27"/>
      <c r="M160" s="27"/>
      <c r="N160" s="27"/>
      <c r="O160" s="27"/>
      <c r="P160" s="27"/>
      <c r="Q160" s="27"/>
      <c r="R160" s="27"/>
      <c r="S160" s="27"/>
    </row>
    <row r="161">
      <c r="A161" s="2"/>
      <c r="B161" s="2" t="s">
        <v>20</v>
      </c>
      <c r="C161" s="4" t="s">
        <v>3169</v>
      </c>
      <c r="D161" s="4" t="s">
        <v>130</v>
      </c>
      <c r="E161" s="4" t="s">
        <v>3164</v>
      </c>
      <c r="F161" s="27"/>
      <c r="G161" s="77"/>
      <c r="H161" s="43" t="s">
        <v>3189</v>
      </c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</row>
    <row r="162">
      <c r="A162" s="2"/>
      <c r="B162" s="2" t="s">
        <v>20</v>
      </c>
      <c r="C162" s="4" t="s">
        <v>3190</v>
      </c>
      <c r="D162" s="4" t="s">
        <v>130</v>
      </c>
      <c r="E162" s="4" t="s">
        <v>3164</v>
      </c>
      <c r="F162" s="27"/>
      <c r="G162" s="77"/>
      <c r="H162" s="43" t="s">
        <v>3191</v>
      </c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</row>
    <row r="163">
      <c r="A163" s="2"/>
      <c r="B163" s="2" t="s">
        <v>20</v>
      </c>
      <c r="C163" s="4" t="s">
        <v>3192</v>
      </c>
      <c r="D163" s="4" t="s">
        <v>130</v>
      </c>
      <c r="E163" s="4" t="s">
        <v>3164</v>
      </c>
      <c r="F163" s="27"/>
      <c r="G163" s="77"/>
      <c r="H163" s="43" t="s">
        <v>3193</v>
      </c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</row>
    <row r="164">
      <c r="A164" s="2"/>
      <c r="B164" s="2" t="s">
        <v>20</v>
      </c>
      <c r="C164" s="4" t="s">
        <v>529</v>
      </c>
      <c r="D164" s="4" t="s">
        <v>130</v>
      </c>
      <c r="E164" s="4" t="s">
        <v>3164</v>
      </c>
      <c r="F164" s="27"/>
      <c r="G164" s="77"/>
      <c r="H164" s="43" t="s">
        <v>3194</v>
      </c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</row>
    <row r="165">
      <c r="A165" s="2"/>
      <c r="B165" s="2" t="s">
        <v>20</v>
      </c>
      <c r="C165" s="4" t="s">
        <v>3195</v>
      </c>
      <c r="D165" s="4" t="s">
        <v>130</v>
      </c>
      <c r="E165" s="4" t="s">
        <v>3164</v>
      </c>
      <c r="F165" s="27"/>
      <c r="G165" s="32"/>
      <c r="H165" s="29" t="s">
        <v>3196</v>
      </c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</row>
    <row r="166">
      <c r="A166" s="2"/>
      <c r="B166" s="2" t="s">
        <v>20</v>
      </c>
      <c r="C166" s="4" t="s">
        <v>3175</v>
      </c>
      <c r="D166" s="4" t="s">
        <v>130</v>
      </c>
      <c r="E166" s="4" t="s">
        <v>3164</v>
      </c>
      <c r="F166" s="27"/>
      <c r="G166" s="32"/>
      <c r="H166" s="29" t="s">
        <v>3197</v>
      </c>
      <c r="I166" s="29" t="s">
        <v>3198</v>
      </c>
      <c r="J166" s="27"/>
      <c r="K166" s="27"/>
      <c r="L166" s="27"/>
      <c r="M166" s="27"/>
      <c r="N166" s="27"/>
      <c r="O166" s="27"/>
      <c r="P166" s="27"/>
      <c r="Q166" s="27"/>
      <c r="R166" s="27"/>
      <c r="S166" s="27"/>
    </row>
    <row r="167">
      <c r="A167" s="2"/>
      <c r="B167" s="2" t="s">
        <v>20</v>
      </c>
      <c r="C167" s="4" t="s">
        <v>3199</v>
      </c>
      <c r="D167" s="4" t="s">
        <v>130</v>
      </c>
      <c r="E167" s="4" t="s">
        <v>3164</v>
      </c>
      <c r="F167" s="27"/>
      <c r="G167" s="32"/>
      <c r="H167" s="29" t="s">
        <v>3200</v>
      </c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</row>
    <row r="168">
      <c r="A168" s="1">
        <v>14762.0</v>
      </c>
      <c r="B168" s="2" t="s">
        <v>20</v>
      </c>
      <c r="C168" s="4" t="s">
        <v>21</v>
      </c>
      <c r="D168" s="4" t="s">
        <v>130</v>
      </c>
      <c r="E168" s="4" t="s">
        <v>3201</v>
      </c>
      <c r="F168" s="27"/>
      <c r="G168" s="77"/>
      <c r="H168" s="43" t="s">
        <v>3202</v>
      </c>
      <c r="I168" s="27"/>
      <c r="J168" s="29" t="s">
        <v>3203</v>
      </c>
      <c r="K168" s="27"/>
      <c r="L168" s="27"/>
      <c r="M168" s="27"/>
      <c r="N168" s="27"/>
      <c r="O168" s="27"/>
      <c r="P168" s="27"/>
      <c r="Q168" s="27"/>
      <c r="R168" s="27"/>
      <c r="S168" s="27"/>
    </row>
    <row r="169">
      <c r="A169" s="1">
        <v>15292.0</v>
      </c>
      <c r="B169" s="2" t="s">
        <v>20</v>
      </c>
      <c r="C169" s="4" t="s">
        <v>3204</v>
      </c>
      <c r="D169" s="4" t="s">
        <v>130</v>
      </c>
      <c r="E169" s="4" t="s">
        <v>3201</v>
      </c>
      <c r="F169" s="27"/>
      <c r="G169" s="77"/>
      <c r="H169" s="43" t="s">
        <v>3205</v>
      </c>
      <c r="I169" s="29" t="s">
        <v>3206</v>
      </c>
      <c r="J169" s="27"/>
      <c r="K169" s="27"/>
      <c r="L169" s="27"/>
      <c r="M169" s="27"/>
      <c r="N169" s="27"/>
      <c r="O169" s="27"/>
      <c r="P169" s="27"/>
      <c r="Q169" s="27"/>
      <c r="R169" s="27"/>
      <c r="S169" s="27"/>
    </row>
    <row r="170">
      <c r="A170" s="1">
        <v>15310.0</v>
      </c>
      <c r="B170" s="2" t="s">
        <v>20</v>
      </c>
      <c r="C170" s="4" t="s">
        <v>3207</v>
      </c>
      <c r="D170" s="4" t="s">
        <v>130</v>
      </c>
      <c r="E170" s="4" t="s">
        <v>3201</v>
      </c>
      <c r="F170" s="27"/>
      <c r="G170" s="77"/>
      <c r="H170" s="43" t="s">
        <v>3208</v>
      </c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</row>
    <row r="171">
      <c r="A171" s="1">
        <v>29403.0</v>
      </c>
      <c r="B171" s="2" t="s">
        <v>20</v>
      </c>
      <c r="C171" s="4" t="s">
        <v>3209</v>
      </c>
      <c r="D171" s="4" t="s">
        <v>130</v>
      </c>
      <c r="E171" s="4" t="s">
        <v>3201</v>
      </c>
      <c r="F171" s="27"/>
      <c r="G171" s="77"/>
      <c r="H171" s="43" t="s">
        <v>3210</v>
      </c>
      <c r="I171" s="29" t="s">
        <v>3211</v>
      </c>
      <c r="J171" s="29" t="s">
        <v>3212</v>
      </c>
      <c r="K171" s="27"/>
      <c r="L171" s="27"/>
      <c r="M171" s="27"/>
      <c r="N171" s="27"/>
      <c r="O171" s="27"/>
      <c r="P171" s="27"/>
      <c r="Q171" s="27"/>
      <c r="R171" s="27"/>
      <c r="S171" s="27"/>
    </row>
    <row r="172">
      <c r="A172" s="2"/>
      <c r="B172" s="2" t="s">
        <v>20</v>
      </c>
      <c r="C172" s="4" t="s">
        <v>74</v>
      </c>
      <c r="D172" s="4" t="s">
        <v>130</v>
      </c>
      <c r="E172" s="4" t="s">
        <v>3201</v>
      </c>
      <c r="F172" s="4" t="s">
        <v>3213</v>
      </c>
      <c r="G172" s="32"/>
      <c r="H172" s="29" t="s">
        <v>3214</v>
      </c>
      <c r="I172" s="27"/>
      <c r="J172" s="29" t="s">
        <v>3215</v>
      </c>
      <c r="K172" s="27"/>
      <c r="L172" s="27"/>
      <c r="M172" s="27"/>
      <c r="N172" s="27"/>
      <c r="O172" s="27"/>
      <c r="P172" s="27"/>
      <c r="Q172" s="27"/>
      <c r="R172" s="27"/>
      <c r="S172" s="27"/>
    </row>
    <row r="173">
      <c r="A173" s="2"/>
      <c r="B173" s="2" t="s">
        <v>20</v>
      </c>
      <c r="C173" s="4" t="s">
        <v>806</v>
      </c>
      <c r="D173" s="4" t="s">
        <v>130</v>
      </c>
      <c r="E173" s="4" t="s">
        <v>3201</v>
      </c>
      <c r="F173" s="27"/>
      <c r="G173" s="77"/>
      <c r="H173" s="43" t="s">
        <v>3216</v>
      </c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</row>
    <row r="174">
      <c r="A174" s="2"/>
      <c r="B174" s="2" t="s">
        <v>20</v>
      </c>
      <c r="C174" s="4" t="s">
        <v>770</v>
      </c>
      <c r="D174" s="4" t="s">
        <v>130</v>
      </c>
      <c r="E174" s="4" t="s">
        <v>3201</v>
      </c>
      <c r="F174" s="27"/>
      <c r="G174" s="32"/>
      <c r="H174" s="29" t="s">
        <v>3217</v>
      </c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</row>
    <row r="175">
      <c r="A175" s="2"/>
      <c r="B175" s="2" t="s">
        <v>20</v>
      </c>
      <c r="C175" s="4" t="s">
        <v>3218</v>
      </c>
      <c r="D175" s="4" t="s">
        <v>130</v>
      </c>
      <c r="E175" s="4" t="s">
        <v>3062</v>
      </c>
      <c r="F175" s="27"/>
      <c r="G175" s="77"/>
      <c r="H175" s="43" t="s">
        <v>3219</v>
      </c>
      <c r="I175" s="29" t="s">
        <v>3220</v>
      </c>
      <c r="J175" s="27"/>
      <c r="K175" s="27"/>
      <c r="L175" s="27"/>
      <c r="M175" s="27"/>
      <c r="N175" s="27"/>
      <c r="O175" s="27"/>
      <c r="P175" s="27"/>
      <c r="Q175" s="27"/>
      <c r="R175" s="27"/>
      <c r="S175" s="27"/>
    </row>
    <row r="176">
      <c r="A176" s="2"/>
      <c r="B176" s="2" t="s">
        <v>20</v>
      </c>
      <c r="C176" s="4" t="s">
        <v>2775</v>
      </c>
      <c r="D176" s="4" t="s">
        <v>130</v>
      </c>
      <c r="E176" s="4" t="s">
        <v>3062</v>
      </c>
      <c r="F176" s="27"/>
      <c r="G176" s="77"/>
      <c r="H176" s="43" t="s">
        <v>3221</v>
      </c>
      <c r="I176" s="29" t="s">
        <v>3222</v>
      </c>
      <c r="J176" s="27"/>
      <c r="K176" s="27"/>
      <c r="L176" s="27"/>
      <c r="M176" s="27"/>
      <c r="N176" s="27"/>
      <c r="O176" s="27"/>
      <c r="P176" s="27"/>
      <c r="Q176" s="27"/>
      <c r="R176" s="27"/>
      <c r="S176" s="27"/>
    </row>
    <row r="177">
      <c r="A177" s="2"/>
      <c r="B177" s="2" t="s">
        <v>20</v>
      </c>
      <c r="C177" s="4" t="s">
        <v>21</v>
      </c>
      <c r="D177" s="4" t="s">
        <v>130</v>
      </c>
      <c r="E177" s="4" t="s">
        <v>3223</v>
      </c>
      <c r="F177" s="27"/>
      <c r="G177" s="77"/>
      <c r="H177" s="43" t="s">
        <v>3224</v>
      </c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</row>
    <row r="178">
      <c r="A178" s="1">
        <v>14559.0</v>
      </c>
      <c r="B178" s="2" t="s">
        <v>20</v>
      </c>
      <c r="C178" s="4" t="s">
        <v>3225</v>
      </c>
      <c r="D178" s="4" t="s">
        <v>130</v>
      </c>
      <c r="E178" s="4" t="s">
        <v>3226</v>
      </c>
      <c r="F178" s="27"/>
      <c r="G178" s="32"/>
      <c r="H178" s="29" t="s">
        <v>3227</v>
      </c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</row>
    <row r="179">
      <c r="A179" s="1">
        <v>14561.0</v>
      </c>
      <c r="B179" s="2" t="s">
        <v>20</v>
      </c>
      <c r="C179" s="4" t="s">
        <v>1360</v>
      </c>
      <c r="D179" s="4" t="s">
        <v>130</v>
      </c>
      <c r="E179" s="4" t="s">
        <v>3226</v>
      </c>
      <c r="F179" s="27"/>
      <c r="G179" s="77"/>
      <c r="H179" s="43" t="s">
        <v>3228</v>
      </c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</row>
    <row r="180">
      <c r="A180" s="1">
        <v>14566.0</v>
      </c>
      <c r="B180" s="2" t="s">
        <v>20</v>
      </c>
      <c r="C180" s="4" t="s">
        <v>3229</v>
      </c>
      <c r="D180" s="4" t="s">
        <v>130</v>
      </c>
      <c r="E180" s="4" t="s">
        <v>3226</v>
      </c>
      <c r="F180" s="27"/>
      <c r="G180" s="77"/>
      <c r="H180" s="43" t="s">
        <v>3230</v>
      </c>
      <c r="I180" s="29" t="s">
        <v>3231</v>
      </c>
      <c r="J180" s="27"/>
      <c r="K180" s="27"/>
      <c r="L180" s="27"/>
      <c r="M180" s="27"/>
      <c r="N180" s="27"/>
      <c r="O180" s="27"/>
      <c r="P180" s="27"/>
      <c r="Q180" s="27"/>
      <c r="R180" s="27"/>
      <c r="S180" s="27"/>
    </row>
    <row r="181">
      <c r="A181" s="1">
        <v>14568.0</v>
      </c>
      <c r="B181" s="2" t="s">
        <v>20</v>
      </c>
      <c r="C181" s="4" t="s">
        <v>3232</v>
      </c>
      <c r="D181" s="4" t="s">
        <v>130</v>
      </c>
      <c r="E181" s="4" t="s">
        <v>3226</v>
      </c>
      <c r="F181" s="27"/>
      <c r="G181" s="77"/>
      <c r="H181" s="43" t="s">
        <v>3233</v>
      </c>
      <c r="I181" s="29" t="s">
        <v>3234</v>
      </c>
      <c r="J181" s="29" t="s">
        <v>3235</v>
      </c>
      <c r="K181" s="27"/>
      <c r="L181" s="27"/>
      <c r="M181" s="27"/>
      <c r="N181" s="27"/>
      <c r="O181" s="27"/>
      <c r="P181" s="27"/>
      <c r="Q181" s="27"/>
      <c r="R181" s="27"/>
      <c r="S181" s="27"/>
    </row>
    <row r="182">
      <c r="A182" s="1">
        <v>14902.0</v>
      </c>
      <c r="B182" s="2" t="s">
        <v>20</v>
      </c>
      <c r="C182" s="4" t="s">
        <v>3236</v>
      </c>
      <c r="D182" s="4" t="s">
        <v>130</v>
      </c>
      <c r="E182" s="4" t="s">
        <v>3226</v>
      </c>
      <c r="F182" s="27"/>
      <c r="G182" s="77"/>
      <c r="H182" s="43" t="s">
        <v>3237</v>
      </c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</row>
    <row r="183">
      <c r="A183" s="1">
        <v>14979.0</v>
      </c>
      <c r="B183" s="2" t="s">
        <v>20</v>
      </c>
      <c r="C183" s="4" t="s">
        <v>3238</v>
      </c>
      <c r="D183" s="4" t="s">
        <v>130</v>
      </c>
      <c r="E183" s="4" t="s">
        <v>3226</v>
      </c>
      <c r="F183" s="27"/>
      <c r="G183" s="32"/>
      <c r="H183" s="29" t="s">
        <v>3239</v>
      </c>
      <c r="I183" s="29" t="s">
        <v>3240</v>
      </c>
      <c r="J183" s="29" t="s">
        <v>3241</v>
      </c>
      <c r="K183" s="27"/>
      <c r="L183" s="27"/>
      <c r="M183" s="27"/>
      <c r="N183" s="27"/>
      <c r="O183" s="27"/>
      <c r="P183" s="27"/>
      <c r="Q183" s="27"/>
      <c r="R183" s="27"/>
      <c r="S183" s="27"/>
    </row>
    <row r="184">
      <c r="A184" s="1">
        <v>14983.0</v>
      </c>
      <c r="B184" s="2" t="s">
        <v>20</v>
      </c>
      <c r="C184" s="4" t="s">
        <v>2267</v>
      </c>
      <c r="D184" s="4" t="s">
        <v>130</v>
      </c>
      <c r="E184" s="4" t="s">
        <v>3226</v>
      </c>
      <c r="F184" s="27"/>
      <c r="G184" s="32"/>
      <c r="H184" s="29" t="s">
        <v>3242</v>
      </c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</row>
    <row r="185">
      <c r="A185" s="1">
        <v>15187.0</v>
      </c>
      <c r="B185" s="2" t="s">
        <v>20</v>
      </c>
      <c r="C185" s="4" t="s">
        <v>735</v>
      </c>
      <c r="D185" s="4" t="s">
        <v>130</v>
      </c>
      <c r="E185" s="4" t="s">
        <v>3226</v>
      </c>
      <c r="F185" s="27"/>
      <c r="G185" s="32"/>
      <c r="H185" s="29" t="s">
        <v>3243</v>
      </c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</row>
    <row r="186">
      <c r="A186" s="1">
        <v>15207.0</v>
      </c>
      <c r="B186" s="2" t="s">
        <v>20</v>
      </c>
      <c r="C186" s="4" t="s">
        <v>698</v>
      </c>
      <c r="D186" s="4" t="s">
        <v>130</v>
      </c>
      <c r="E186" s="4" t="s">
        <v>3226</v>
      </c>
      <c r="F186" s="27"/>
      <c r="G186" s="32"/>
      <c r="H186" s="29" t="s">
        <v>3244</v>
      </c>
      <c r="I186" s="29" t="s">
        <v>3245</v>
      </c>
      <c r="J186" s="29" t="s">
        <v>3246</v>
      </c>
      <c r="K186" s="27"/>
      <c r="L186" s="27"/>
      <c r="M186" s="27"/>
      <c r="N186" s="27"/>
      <c r="O186" s="27"/>
      <c r="P186" s="27"/>
      <c r="Q186" s="27"/>
      <c r="R186" s="27"/>
      <c r="S186" s="27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A187" s="1">
        <v>15245.0</v>
      </c>
      <c r="B187" s="2" t="s">
        <v>20</v>
      </c>
      <c r="C187" s="4" t="s">
        <v>641</v>
      </c>
      <c r="D187" s="4" t="s">
        <v>130</v>
      </c>
      <c r="E187" s="4" t="s">
        <v>3226</v>
      </c>
      <c r="F187" s="27"/>
      <c r="G187" s="32"/>
      <c r="H187" s="29" t="s">
        <v>3247</v>
      </c>
      <c r="I187" s="29" t="s">
        <v>3248</v>
      </c>
      <c r="J187" s="27"/>
      <c r="K187" s="27"/>
      <c r="L187" s="27"/>
      <c r="M187" s="27"/>
      <c r="N187" s="27"/>
      <c r="O187" s="27"/>
      <c r="P187" s="4" t="s">
        <v>3249</v>
      </c>
      <c r="Q187" s="27"/>
      <c r="R187" s="27"/>
      <c r="S187" s="4" t="s">
        <v>3250</v>
      </c>
    </row>
    <row r="188">
      <c r="A188" s="1">
        <v>15306.0</v>
      </c>
      <c r="B188" s="2" t="s">
        <v>20</v>
      </c>
      <c r="C188" s="4" t="s">
        <v>2542</v>
      </c>
      <c r="D188" s="4" t="s">
        <v>130</v>
      </c>
      <c r="E188" s="4" t="s">
        <v>3226</v>
      </c>
      <c r="F188" s="27"/>
      <c r="G188" s="77"/>
      <c r="H188" s="43" t="s">
        <v>3251</v>
      </c>
      <c r="I188" s="27"/>
      <c r="J188" s="43" t="s">
        <v>3252</v>
      </c>
      <c r="K188" s="27"/>
      <c r="L188" s="27"/>
      <c r="M188" s="27"/>
      <c r="N188" s="27"/>
      <c r="O188" s="27"/>
      <c r="P188" s="27"/>
      <c r="Q188" s="27"/>
      <c r="R188" s="27"/>
      <c r="S188" s="27"/>
    </row>
    <row r="189">
      <c r="A189" s="1">
        <v>18307.0</v>
      </c>
      <c r="B189" s="2" t="s">
        <v>20</v>
      </c>
      <c r="C189" s="4" t="s">
        <v>49</v>
      </c>
      <c r="D189" s="4" t="s">
        <v>130</v>
      </c>
      <c r="E189" s="4" t="s">
        <v>3226</v>
      </c>
      <c r="F189" s="27"/>
      <c r="G189" s="32"/>
      <c r="H189" s="29" t="s">
        <v>3253</v>
      </c>
      <c r="I189" s="29" t="s">
        <v>3254</v>
      </c>
      <c r="J189" s="27"/>
      <c r="K189" s="27"/>
      <c r="L189" s="27"/>
      <c r="M189" s="27"/>
      <c r="N189" s="27"/>
      <c r="O189" s="27"/>
      <c r="P189" s="27"/>
      <c r="Q189" s="27"/>
      <c r="R189" s="27"/>
      <c r="S189" s="27"/>
    </row>
    <row r="190">
      <c r="A190" s="1">
        <v>18316.0</v>
      </c>
      <c r="B190" s="2" t="s">
        <v>20</v>
      </c>
      <c r="C190" s="4" t="s">
        <v>2971</v>
      </c>
      <c r="D190" s="4" t="s">
        <v>130</v>
      </c>
      <c r="E190" s="4" t="s">
        <v>3226</v>
      </c>
      <c r="F190" s="29" t="s">
        <v>3255</v>
      </c>
      <c r="G190" s="32"/>
      <c r="H190" s="29" t="s">
        <v>3256</v>
      </c>
      <c r="I190" s="29" t="s">
        <v>3257</v>
      </c>
      <c r="J190" s="29" t="s">
        <v>3258</v>
      </c>
      <c r="K190" s="29" t="s">
        <v>3259</v>
      </c>
      <c r="L190" s="27"/>
      <c r="M190" s="27"/>
      <c r="N190" s="4" t="s">
        <v>3260</v>
      </c>
      <c r="O190" s="27"/>
      <c r="P190" s="27"/>
      <c r="Q190" s="27"/>
      <c r="R190" s="27"/>
      <c r="S190" s="27"/>
    </row>
    <row r="191">
      <c r="A191" s="1">
        <v>20406.0</v>
      </c>
      <c r="B191" s="2" t="s">
        <v>20</v>
      </c>
      <c r="C191" s="4" t="s">
        <v>2775</v>
      </c>
      <c r="D191" s="4" t="s">
        <v>130</v>
      </c>
      <c r="E191" s="4" t="s">
        <v>3226</v>
      </c>
      <c r="F191" s="27"/>
      <c r="G191" s="32"/>
      <c r="H191" s="29" t="s">
        <v>3261</v>
      </c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</row>
    <row r="192">
      <c r="A192" s="1">
        <v>20832.0</v>
      </c>
      <c r="B192" s="2" t="s">
        <v>20</v>
      </c>
      <c r="C192" s="4" t="s">
        <v>2889</v>
      </c>
      <c r="D192" s="4" t="s">
        <v>130</v>
      </c>
      <c r="E192" s="4" t="s">
        <v>3226</v>
      </c>
      <c r="F192" s="27"/>
      <c r="G192" s="32"/>
      <c r="H192" s="29" t="s">
        <v>3262</v>
      </c>
      <c r="I192" s="29" t="s">
        <v>3263</v>
      </c>
      <c r="J192" s="27"/>
      <c r="K192" s="27"/>
      <c r="L192" s="27"/>
      <c r="M192" s="27"/>
      <c r="N192" s="27"/>
      <c r="O192" s="27"/>
      <c r="P192" s="27"/>
      <c r="Q192" s="27"/>
      <c r="R192" s="27"/>
      <c r="S192" s="27"/>
    </row>
    <row r="193">
      <c r="A193" s="1">
        <v>21545.0</v>
      </c>
      <c r="B193" s="2" t="s">
        <v>20</v>
      </c>
      <c r="C193" s="4" t="s">
        <v>3264</v>
      </c>
      <c r="D193" s="4" t="s">
        <v>130</v>
      </c>
      <c r="E193" s="4" t="s">
        <v>3226</v>
      </c>
      <c r="F193" s="27"/>
      <c r="G193" s="32"/>
      <c r="H193" s="29" t="s">
        <v>3265</v>
      </c>
      <c r="I193" s="29" t="s">
        <v>3266</v>
      </c>
      <c r="J193" s="27"/>
      <c r="K193" s="27"/>
      <c r="L193" s="27"/>
      <c r="M193" s="27"/>
      <c r="N193" s="27"/>
      <c r="O193" s="27"/>
      <c r="P193" s="27"/>
      <c r="Q193" s="27"/>
      <c r="R193" s="27"/>
      <c r="S193" s="27"/>
    </row>
    <row r="194">
      <c r="A194" s="1">
        <v>26634.0</v>
      </c>
      <c r="B194" s="2" t="s">
        <v>20</v>
      </c>
      <c r="C194" s="4" t="s">
        <v>3267</v>
      </c>
      <c r="D194" s="4" t="s">
        <v>130</v>
      </c>
      <c r="E194" s="4" t="s">
        <v>3226</v>
      </c>
      <c r="F194" s="27"/>
      <c r="G194" s="32"/>
      <c r="H194" s="29" t="s">
        <v>3268</v>
      </c>
      <c r="I194" s="29" t="s">
        <v>3269</v>
      </c>
      <c r="J194" s="27"/>
      <c r="K194" s="27"/>
      <c r="L194" s="27"/>
      <c r="M194" s="27"/>
      <c r="N194" s="27"/>
      <c r="O194" s="27"/>
      <c r="P194" s="27"/>
      <c r="Q194" s="27"/>
      <c r="R194" s="27"/>
      <c r="S194" s="27"/>
    </row>
    <row r="195">
      <c r="A195" s="1">
        <v>28028.0</v>
      </c>
      <c r="B195" s="2" t="s">
        <v>20</v>
      </c>
      <c r="C195" s="4" t="s">
        <v>3270</v>
      </c>
      <c r="D195" s="4" t="s">
        <v>130</v>
      </c>
      <c r="E195" s="4" t="s">
        <v>3226</v>
      </c>
      <c r="F195" s="27"/>
      <c r="G195" s="32"/>
      <c r="H195" s="29" t="s">
        <v>3271</v>
      </c>
      <c r="I195" s="27"/>
      <c r="J195" s="29" t="s">
        <v>3272</v>
      </c>
      <c r="K195" s="27"/>
      <c r="L195" s="27"/>
      <c r="M195" s="27"/>
      <c r="N195" s="27"/>
      <c r="O195" s="27"/>
      <c r="P195" s="27"/>
      <c r="Q195" s="27"/>
      <c r="R195" s="27"/>
      <c r="S195" s="27"/>
    </row>
    <row r="196">
      <c r="A196" s="2"/>
      <c r="B196" s="2" t="s">
        <v>276</v>
      </c>
      <c r="C196" s="4" t="s">
        <v>3273</v>
      </c>
      <c r="D196" s="4" t="s">
        <v>130</v>
      </c>
      <c r="E196" s="4" t="s">
        <v>3226</v>
      </c>
      <c r="F196" s="27"/>
      <c r="G196" s="32"/>
      <c r="H196" s="29" t="s">
        <v>3274</v>
      </c>
      <c r="I196" s="29" t="s">
        <v>3266</v>
      </c>
      <c r="J196" s="27"/>
      <c r="K196" s="27"/>
      <c r="L196" s="27"/>
      <c r="M196" s="27"/>
      <c r="N196" s="27"/>
      <c r="O196" s="27"/>
      <c r="P196" s="27"/>
      <c r="Q196" s="27"/>
      <c r="R196" s="27"/>
      <c r="S196" s="27"/>
    </row>
    <row r="197">
      <c r="A197" s="2"/>
      <c r="B197" s="2" t="s">
        <v>34</v>
      </c>
      <c r="C197" s="4" t="s">
        <v>3275</v>
      </c>
      <c r="D197" s="4" t="s">
        <v>130</v>
      </c>
      <c r="E197" s="4" t="s">
        <v>3226</v>
      </c>
      <c r="F197" s="27"/>
      <c r="G197" s="32"/>
      <c r="H197" s="29" t="s">
        <v>3276</v>
      </c>
      <c r="I197" s="29" t="s">
        <v>3277</v>
      </c>
      <c r="J197" s="27"/>
      <c r="K197" s="27"/>
      <c r="L197" s="27"/>
      <c r="M197" s="27"/>
      <c r="N197" s="27"/>
      <c r="O197" s="27"/>
      <c r="P197" s="27"/>
      <c r="Q197" s="27"/>
      <c r="R197" s="27"/>
      <c r="S197" s="27"/>
    </row>
    <row r="198">
      <c r="A198" s="2"/>
      <c r="B198" s="2" t="s">
        <v>34</v>
      </c>
      <c r="C198" s="4" t="s">
        <v>3278</v>
      </c>
      <c r="D198" s="4" t="s">
        <v>130</v>
      </c>
      <c r="E198" s="4" t="s">
        <v>3226</v>
      </c>
      <c r="F198" s="27"/>
      <c r="G198" s="32"/>
      <c r="H198" s="29" t="s">
        <v>3279</v>
      </c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</row>
    <row r="199">
      <c r="A199" s="2"/>
      <c r="B199" s="2" t="s">
        <v>220</v>
      </c>
      <c r="C199" s="4" t="s">
        <v>3280</v>
      </c>
      <c r="D199" s="4" t="s">
        <v>130</v>
      </c>
      <c r="E199" s="4" t="s">
        <v>3226</v>
      </c>
      <c r="F199" s="27"/>
      <c r="G199" s="32"/>
      <c r="H199" s="29" t="s">
        <v>3281</v>
      </c>
      <c r="I199" s="29" t="s">
        <v>3282</v>
      </c>
      <c r="J199" s="29" t="s">
        <v>3283</v>
      </c>
      <c r="K199" s="27"/>
      <c r="L199" s="27"/>
      <c r="M199" s="27"/>
      <c r="N199" s="27"/>
      <c r="O199" s="27"/>
      <c r="P199" s="27"/>
      <c r="Q199" s="27"/>
      <c r="R199" s="27"/>
      <c r="S199" s="27"/>
    </row>
    <row r="200">
      <c r="A200" s="2"/>
      <c r="B200" s="2" t="s">
        <v>1899</v>
      </c>
      <c r="C200" s="4" t="s">
        <v>3284</v>
      </c>
      <c r="D200" s="4" t="s">
        <v>130</v>
      </c>
      <c r="E200" s="4" t="s">
        <v>3226</v>
      </c>
      <c r="F200" s="27"/>
      <c r="G200" s="32"/>
      <c r="H200" s="29" t="s">
        <v>3285</v>
      </c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</row>
    <row r="201">
      <c r="A201" s="2"/>
      <c r="B201" s="2" t="s">
        <v>17</v>
      </c>
      <c r="C201" s="4" t="s">
        <v>3286</v>
      </c>
      <c r="D201" s="4" t="s">
        <v>130</v>
      </c>
      <c r="E201" s="4" t="s">
        <v>3226</v>
      </c>
      <c r="F201" s="27"/>
      <c r="G201" s="32"/>
      <c r="H201" s="29" t="s">
        <v>3287</v>
      </c>
      <c r="I201" s="27"/>
      <c r="J201" s="29" t="s">
        <v>3288</v>
      </c>
      <c r="K201" s="27"/>
      <c r="L201" s="27"/>
      <c r="M201" s="27"/>
      <c r="N201" s="27"/>
      <c r="O201" s="27"/>
      <c r="P201" s="27"/>
      <c r="Q201" s="27"/>
      <c r="R201" s="27"/>
      <c r="S201" s="27"/>
    </row>
    <row r="202">
      <c r="A202" s="2"/>
      <c r="B202" s="2" t="s">
        <v>20</v>
      </c>
      <c r="C202" s="4" t="s">
        <v>3289</v>
      </c>
      <c r="D202" s="4" t="s">
        <v>130</v>
      </c>
      <c r="E202" s="4" t="s">
        <v>3226</v>
      </c>
      <c r="F202" s="27"/>
      <c r="G202" s="77"/>
      <c r="H202" s="43" t="s">
        <v>3290</v>
      </c>
      <c r="I202" s="29" t="s">
        <v>3291</v>
      </c>
      <c r="J202" s="27"/>
      <c r="K202" s="27"/>
      <c r="L202" s="27"/>
      <c r="M202" s="27"/>
      <c r="N202" s="27"/>
      <c r="O202" s="27"/>
      <c r="P202" s="29" t="s">
        <v>3292</v>
      </c>
      <c r="Q202" s="27"/>
      <c r="R202" s="27"/>
      <c r="S202" s="27"/>
    </row>
    <row r="203">
      <c r="A203" s="2"/>
      <c r="B203" s="2" t="s">
        <v>20</v>
      </c>
      <c r="C203" s="4" t="s">
        <v>2066</v>
      </c>
      <c r="D203" s="4" t="s">
        <v>130</v>
      </c>
      <c r="E203" s="4" t="s">
        <v>3226</v>
      </c>
      <c r="F203" s="27"/>
      <c r="G203" s="32"/>
      <c r="H203" s="29" t="s">
        <v>3293</v>
      </c>
      <c r="I203" s="29" t="s">
        <v>3294</v>
      </c>
      <c r="J203" s="27"/>
      <c r="K203" s="27"/>
      <c r="L203" s="27"/>
      <c r="M203" s="27"/>
      <c r="N203" s="27"/>
      <c r="O203" s="27"/>
      <c r="P203" s="27"/>
      <c r="Q203" s="27"/>
      <c r="R203" s="27"/>
      <c r="S203" s="27"/>
    </row>
    <row r="204">
      <c r="A204" s="2"/>
      <c r="B204" s="2" t="s">
        <v>20</v>
      </c>
      <c r="C204" s="4" t="s">
        <v>770</v>
      </c>
      <c r="D204" s="4" t="s">
        <v>130</v>
      </c>
      <c r="E204" s="4" t="s">
        <v>3226</v>
      </c>
      <c r="F204" s="27"/>
      <c r="G204" s="77"/>
      <c r="H204" s="43" t="s">
        <v>3295</v>
      </c>
      <c r="I204" s="29" t="s">
        <v>3296</v>
      </c>
      <c r="J204" s="27"/>
      <c r="K204" s="27"/>
      <c r="L204" s="27"/>
      <c r="M204" s="27"/>
      <c r="N204" s="27"/>
      <c r="O204" s="27"/>
      <c r="P204" s="27"/>
      <c r="Q204" s="27"/>
      <c r="R204" s="27"/>
      <c r="S204" s="27"/>
    </row>
    <row r="205">
      <c r="A205" s="2"/>
      <c r="B205" s="2" t="s">
        <v>20</v>
      </c>
      <c r="C205" s="4" t="s">
        <v>3297</v>
      </c>
      <c r="D205" s="4" t="s">
        <v>130</v>
      </c>
      <c r="E205" s="4" t="s">
        <v>3226</v>
      </c>
      <c r="F205" s="27"/>
      <c r="G205" s="32"/>
      <c r="H205" s="29" t="s">
        <v>3298</v>
      </c>
      <c r="I205" s="29" t="s">
        <v>3299</v>
      </c>
      <c r="J205" s="29" t="s">
        <v>3300</v>
      </c>
      <c r="K205" s="27"/>
      <c r="L205" s="27"/>
      <c r="M205" s="27"/>
      <c r="N205" s="4" t="s">
        <v>3301</v>
      </c>
      <c r="O205" s="27"/>
      <c r="P205" s="27"/>
      <c r="Q205" s="27"/>
      <c r="R205" s="27"/>
      <c r="S205" s="27"/>
    </row>
    <row r="206">
      <c r="A206" s="2"/>
      <c r="B206" s="2" t="s">
        <v>20</v>
      </c>
      <c r="C206" s="4" t="s">
        <v>386</v>
      </c>
      <c r="D206" s="4" t="s">
        <v>130</v>
      </c>
      <c r="E206" s="4" t="s">
        <v>3226</v>
      </c>
      <c r="F206" s="27"/>
      <c r="G206" s="32"/>
      <c r="H206" s="29" t="s">
        <v>3302</v>
      </c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</row>
    <row r="207">
      <c r="A207" s="2"/>
      <c r="B207" s="2" t="s">
        <v>20</v>
      </c>
      <c r="C207" s="4" t="s">
        <v>3303</v>
      </c>
      <c r="D207" s="4" t="s">
        <v>130</v>
      </c>
      <c r="E207" s="4" t="s">
        <v>3226</v>
      </c>
      <c r="F207" s="27"/>
      <c r="G207" s="32"/>
      <c r="H207" s="29" t="s">
        <v>3304</v>
      </c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</row>
    <row r="208">
      <c r="A208" s="2"/>
      <c r="B208" s="2" t="s">
        <v>20</v>
      </c>
      <c r="C208" s="4" t="s">
        <v>3305</v>
      </c>
      <c r="D208" s="4" t="s">
        <v>130</v>
      </c>
      <c r="E208" s="4" t="s">
        <v>3226</v>
      </c>
      <c r="F208" s="27"/>
      <c r="G208" s="77"/>
      <c r="H208" s="43" t="s">
        <v>3306</v>
      </c>
      <c r="I208" s="29" t="s">
        <v>3307</v>
      </c>
      <c r="J208" s="43" t="s">
        <v>3308</v>
      </c>
      <c r="K208" s="27"/>
      <c r="L208" s="27"/>
      <c r="M208" s="27"/>
      <c r="N208" s="27"/>
      <c r="O208" s="27"/>
      <c r="P208" s="27"/>
      <c r="Q208" s="27"/>
      <c r="R208" s="27"/>
      <c r="S208" s="27"/>
    </row>
    <row r="209">
      <c r="A209" s="2"/>
      <c r="B209" s="2" t="s">
        <v>20</v>
      </c>
      <c r="C209" s="4" t="s">
        <v>3209</v>
      </c>
      <c r="D209" s="4" t="s">
        <v>130</v>
      </c>
      <c r="E209" s="4" t="s">
        <v>3226</v>
      </c>
      <c r="F209" s="27"/>
      <c r="G209" s="32"/>
      <c r="H209" s="29" t="s">
        <v>3309</v>
      </c>
      <c r="I209" s="27"/>
      <c r="J209" s="29" t="s">
        <v>3310</v>
      </c>
      <c r="K209" s="27"/>
      <c r="L209" s="27"/>
      <c r="M209" s="27"/>
      <c r="N209" s="27"/>
      <c r="O209" s="27"/>
      <c r="P209" s="27"/>
      <c r="Q209" s="27"/>
      <c r="R209" s="27"/>
      <c r="S209" s="27"/>
    </row>
    <row r="210">
      <c r="A210" s="2"/>
      <c r="B210" s="2" t="s">
        <v>20</v>
      </c>
      <c r="C210" s="4" t="s">
        <v>176</v>
      </c>
      <c r="D210" s="4" t="s">
        <v>130</v>
      </c>
      <c r="E210" s="4" t="s">
        <v>3226</v>
      </c>
      <c r="F210" s="27"/>
      <c r="G210" s="32"/>
      <c r="H210" s="29" t="s">
        <v>3311</v>
      </c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</row>
    <row r="211">
      <c r="A211" s="2"/>
      <c r="B211" s="2" t="s">
        <v>20</v>
      </c>
      <c r="C211" s="4" t="s">
        <v>2999</v>
      </c>
      <c r="D211" s="4" t="s">
        <v>130</v>
      </c>
      <c r="E211" s="4" t="s">
        <v>3226</v>
      </c>
      <c r="F211" s="27"/>
      <c r="G211" s="32"/>
      <c r="H211" s="29" t="s">
        <v>3312</v>
      </c>
      <c r="I211" s="29" t="s">
        <v>3313</v>
      </c>
      <c r="J211" s="27"/>
      <c r="K211" s="27"/>
      <c r="L211" s="27"/>
      <c r="M211" s="27"/>
      <c r="N211" s="27"/>
      <c r="O211" s="27"/>
      <c r="P211" s="27"/>
      <c r="Q211" s="27"/>
      <c r="R211" s="27"/>
      <c r="S211" s="27"/>
    </row>
    <row r="212">
      <c r="A212" s="2"/>
      <c r="B212" s="2" t="s">
        <v>20</v>
      </c>
      <c r="C212" s="4" t="s">
        <v>2172</v>
      </c>
      <c r="D212" s="4" t="s">
        <v>130</v>
      </c>
      <c r="E212" s="4" t="s">
        <v>3226</v>
      </c>
      <c r="F212" s="27"/>
      <c r="G212" s="32"/>
      <c r="H212" s="29" t="s">
        <v>3314</v>
      </c>
      <c r="I212" s="29" t="s">
        <v>3315</v>
      </c>
      <c r="J212" s="27"/>
      <c r="K212" s="27"/>
      <c r="L212" s="27"/>
      <c r="M212" s="27"/>
      <c r="N212" s="27"/>
      <c r="O212" s="27"/>
      <c r="P212" s="27"/>
      <c r="Q212" s="27"/>
      <c r="R212" s="27"/>
      <c r="S212" s="27"/>
    </row>
    <row r="213">
      <c r="A213" s="2"/>
      <c r="B213" s="2" t="s">
        <v>20</v>
      </c>
      <c r="C213" s="4" t="s">
        <v>3316</v>
      </c>
      <c r="D213" s="4" t="s">
        <v>130</v>
      </c>
      <c r="E213" s="4" t="s">
        <v>3226</v>
      </c>
      <c r="F213" s="27"/>
      <c r="G213" s="77"/>
      <c r="H213" s="43" t="s">
        <v>3317</v>
      </c>
      <c r="I213" s="29" t="s">
        <v>3318</v>
      </c>
      <c r="J213" s="27"/>
      <c r="K213" s="27"/>
      <c r="L213" s="27"/>
      <c r="M213" s="27"/>
      <c r="N213" s="27"/>
      <c r="O213" s="27"/>
      <c r="P213" s="27"/>
      <c r="Q213" s="27"/>
      <c r="R213" s="27"/>
      <c r="S213" s="27"/>
    </row>
    <row r="214">
      <c r="A214" s="2"/>
      <c r="B214" s="2" t="s">
        <v>20</v>
      </c>
      <c r="C214" s="4" t="s">
        <v>2202</v>
      </c>
      <c r="D214" s="4" t="s">
        <v>130</v>
      </c>
      <c r="E214" s="4" t="s">
        <v>3226</v>
      </c>
      <c r="F214" s="27"/>
      <c r="G214" s="32"/>
      <c r="H214" s="29" t="s">
        <v>3319</v>
      </c>
      <c r="I214" s="29" t="s">
        <v>3320</v>
      </c>
      <c r="J214" s="29" t="s">
        <v>3321</v>
      </c>
      <c r="K214" s="27"/>
      <c r="L214" s="27"/>
      <c r="M214" s="27"/>
      <c r="N214" s="27"/>
      <c r="O214" s="27"/>
      <c r="P214" s="27"/>
      <c r="Q214" s="27"/>
      <c r="R214" s="27"/>
      <c r="S214" s="27"/>
    </row>
    <row r="215">
      <c r="A215" s="2"/>
      <c r="B215" s="2" t="s">
        <v>102</v>
      </c>
      <c r="C215" s="4" t="s">
        <v>458</v>
      </c>
      <c r="D215" s="4" t="s">
        <v>130</v>
      </c>
      <c r="E215" s="4" t="s">
        <v>3226</v>
      </c>
      <c r="F215" s="4" t="s">
        <v>3322</v>
      </c>
      <c r="G215" s="32"/>
      <c r="H215" s="29" t="s">
        <v>3323</v>
      </c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</row>
    <row r="216">
      <c r="A216" s="78"/>
      <c r="B216" s="2" t="s">
        <v>20</v>
      </c>
      <c r="C216" s="4" t="s">
        <v>1274</v>
      </c>
      <c r="D216" s="27"/>
      <c r="E216" s="4" t="s">
        <v>3226</v>
      </c>
      <c r="F216" s="27"/>
      <c r="G216" s="32"/>
      <c r="H216" s="29" t="s">
        <v>3324</v>
      </c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</row>
    <row r="217">
      <c r="A217" s="80"/>
      <c r="B217" s="2" t="s">
        <v>20</v>
      </c>
      <c r="C217" s="4" t="s">
        <v>3325</v>
      </c>
      <c r="D217" s="81"/>
      <c r="E217" s="4" t="s">
        <v>3226</v>
      </c>
      <c r="F217" s="81"/>
      <c r="G217" s="32"/>
      <c r="H217" s="29" t="s">
        <v>3326</v>
      </c>
      <c r="I217" s="29" t="s">
        <v>3327</v>
      </c>
      <c r="J217" s="81"/>
      <c r="K217" s="81"/>
      <c r="L217" s="81"/>
      <c r="M217" s="81"/>
      <c r="N217" s="81"/>
      <c r="O217" s="81"/>
      <c r="P217" s="81"/>
      <c r="Q217" s="81"/>
      <c r="R217" s="81"/>
      <c r="S217" s="81"/>
    </row>
    <row r="218">
      <c r="A218" s="78"/>
      <c r="B218" s="2" t="s">
        <v>20</v>
      </c>
      <c r="C218" s="4" t="s">
        <v>3172</v>
      </c>
      <c r="D218" s="27"/>
      <c r="E218" s="4" t="s">
        <v>3226</v>
      </c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</row>
    <row r="219">
      <c r="A219" s="1">
        <v>17757.0</v>
      </c>
      <c r="B219" s="2" t="s">
        <v>20</v>
      </c>
      <c r="C219" s="4" t="s">
        <v>3328</v>
      </c>
      <c r="D219" s="4" t="s">
        <v>130</v>
      </c>
      <c r="E219" s="4" t="s">
        <v>3329</v>
      </c>
      <c r="F219" s="4" t="s">
        <v>3330</v>
      </c>
      <c r="G219" s="32"/>
      <c r="H219" s="29" t="s">
        <v>3331</v>
      </c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</row>
    <row r="220">
      <c r="A220" s="2"/>
      <c r="B220" s="2" t="s">
        <v>20</v>
      </c>
      <c r="C220" s="4" t="s">
        <v>374</v>
      </c>
      <c r="D220" s="4" t="s">
        <v>130</v>
      </c>
      <c r="E220" s="4" t="s">
        <v>3329</v>
      </c>
      <c r="F220" s="4" t="s">
        <v>3332</v>
      </c>
      <c r="G220" s="32"/>
      <c r="H220" s="29" t="s">
        <v>3333</v>
      </c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</row>
    <row r="221">
      <c r="A221" s="2"/>
      <c r="B221" s="2" t="s">
        <v>20</v>
      </c>
      <c r="C221" s="4" t="s">
        <v>3334</v>
      </c>
      <c r="D221" s="4" t="s">
        <v>130</v>
      </c>
      <c r="E221" s="4" t="s">
        <v>3329</v>
      </c>
      <c r="F221" s="4" t="s">
        <v>3335</v>
      </c>
      <c r="G221" s="32"/>
      <c r="H221" s="29" t="s">
        <v>3336</v>
      </c>
      <c r="I221" s="29" t="s">
        <v>3337</v>
      </c>
      <c r="J221" s="27"/>
      <c r="K221" s="27"/>
      <c r="L221" s="27"/>
      <c r="M221" s="27"/>
      <c r="N221" s="27"/>
      <c r="O221" s="27"/>
      <c r="P221" s="27"/>
      <c r="Q221" s="27"/>
      <c r="R221" s="27"/>
      <c r="S221" s="27"/>
    </row>
    <row r="222">
      <c r="A222" s="1">
        <v>24523.0</v>
      </c>
      <c r="B222" s="2" t="s">
        <v>20</v>
      </c>
      <c r="C222" s="4" t="s">
        <v>3192</v>
      </c>
      <c r="D222" s="4" t="s">
        <v>130</v>
      </c>
      <c r="E222" s="4" t="s">
        <v>3338</v>
      </c>
      <c r="F222" s="27"/>
      <c r="G222" s="32"/>
      <c r="H222" s="29" t="s">
        <v>3339</v>
      </c>
      <c r="I222" s="29" t="s">
        <v>3340</v>
      </c>
      <c r="J222" s="29" t="s">
        <v>3341</v>
      </c>
      <c r="K222" s="27"/>
      <c r="L222" s="27"/>
      <c r="M222" s="27"/>
      <c r="N222" s="27"/>
      <c r="O222" s="27"/>
      <c r="P222" s="27"/>
      <c r="Q222" s="27"/>
      <c r="R222" s="27"/>
      <c r="S222" s="27"/>
    </row>
    <row r="223">
      <c r="A223" s="1">
        <v>20639.0</v>
      </c>
      <c r="B223" s="2" t="s">
        <v>20</v>
      </c>
      <c r="C223" s="4" t="s">
        <v>2542</v>
      </c>
      <c r="D223" s="4" t="s">
        <v>130</v>
      </c>
      <c r="E223" s="4" t="s">
        <v>3342</v>
      </c>
      <c r="F223" s="27"/>
      <c r="G223" s="32"/>
      <c r="H223" s="29" t="s">
        <v>3343</v>
      </c>
      <c r="I223" s="29" t="s">
        <v>3344</v>
      </c>
      <c r="J223" s="27"/>
      <c r="K223" s="27"/>
      <c r="L223" s="27"/>
      <c r="M223" s="27"/>
      <c r="N223" s="27"/>
      <c r="O223" s="27"/>
      <c r="P223" s="27"/>
      <c r="Q223" s="27"/>
      <c r="R223" s="27"/>
      <c r="S223" s="27"/>
    </row>
    <row r="224">
      <c r="A224" s="2"/>
      <c r="B224" s="2" t="s">
        <v>20</v>
      </c>
      <c r="C224" s="4" t="s">
        <v>3345</v>
      </c>
      <c r="D224" s="4" t="s">
        <v>130</v>
      </c>
      <c r="E224" s="4" t="s">
        <v>3342</v>
      </c>
      <c r="F224" s="27"/>
      <c r="G224" s="77"/>
      <c r="H224" s="43" t="s">
        <v>3346</v>
      </c>
      <c r="I224" s="29" t="s">
        <v>3347</v>
      </c>
      <c r="J224" s="27"/>
      <c r="K224" s="27"/>
      <c r="L224" s="27"/>
      <c r="M224" s="27"/>
      <c r="N224" s="27"/>
      <c r="O224" s="27"/>
      <c r="P224" s="27"/>
      <c r="Q224" s="27"/>
      <c r="R224" s="27"/>
      <c r="S224" s="27"/>
    </row>
    <row r="225">
      <c r="A225" s="1">
        <v>15058.0</v>
      </c>
      <c r="B225" s="2" t="s">
        <v>20</v>
      </c>
      <c r="C225" s="4" t="s">
        <v>2172</v>
      </c>
      <c r="D225" s="4" t="s">
        <v>130</v>
      </c>
      <c r="E225" s="4" t="s">
        <v>3348</v>
      </c>
      <c r="F225" s="27"/>
      <c r="G225" s="77"/>
      <c r="H225" s="43" t="s">
        <v>3349</v>
      </c>
      <c r="I225" s="29" t="s">
        <v>3350</v>
      </c>
      <c r="J225" s="27"/>
      <c r="K225" s="27"/>
      <c r="L225" s="27"/>
      <c r="M225" s="27"/>
      <c r="N225" s="27"/>
      <c r="O225" s="27"/>
      <c r="P225" s="27"/>
      <c r="Q225" s="27"/>
      <c r="R225" s="27"/>
      <c r="S225" s="27"/>
    </row>
    <row r="226">
      <c r="A226" s="1">
        <v>15065.0</v>
      </c>
      <c r="B226" s="2" t="s">
        <v>20</v>
      </c>
      <c r="C226" s="4" t="s">
        <v>3351</v>
      </c>
      <c r="D226" s="4" t="s">
        <v>130</v>
      </c>
      <c r="E226" s="4" t="s">
        <v>3348</v>
      </c>
      <c r="F226" s="27"/>
      <c r="G226" s="77"/>
      <c r="H226" s="43" t="s">
        <v>3352</v>
      </c>
      <c r="I226" s="29" t="s">
        <v>3353</v>
      </c>
      <c r="J226" s="27"/>
      <c r="K226" s="27"/>
      <c r="L226" s="27"/>
      <c r="M226" s="27"/>
      <c r="N226" s="27"/>
      <c r="O226" s="27"/>
      <c r="P226" s="27"/>
      <c r="Q226" s="27"/>
      <c r="R226" s="27"/>
      <c r="S226" s="27"/>
    </row>
    <row r="227">
      <c r="A227" s="1">
        <v>15073.0</v>
      </c>
      <c r="B227" s="2" t="s">
        <v>20</v>
      </c>
      <c r="C227" s="4" t="s">
        <v>176</v>
      </c>
      <c r="D227" s="4" t="s">
        <v>130</v>
      </c>
      <c r="E227" s="4" t="s">
        <v>3348</v>
      </c>
      <c r="F227" s="4" t="s">
        <v>3354</v>
      </c>
      <c r="G227" s="77"/>
      <c r="H227" s="43" t="s">
        <v>3355</v>
      </c>
      <c r="I227" s="29" t="s">
        <v>3356</v>
      </c>
      <c r="J227" s="27"/>
      <c r="K227" s="27"/>
      <c r="L227" s="27"/>
      <c r="M227" s="27"/>
      <c r="N227" s="27"/>
      <c r="O227" s="27"/>
      <c r="P227" s="27"/>
      <c r="Q227" s="27"/>
      <c r="R227" s="27"/>
      <c r="S227" s="27"/>
    </row>
    <row r="228">
      <c r="A228" s="1">
        <v>23279.0</v>
      </c>
      <c r="B228" s="2" t="s">
        <v>20</v>
      </c>
      <c r="C228" s="4" t="s">
        <v>3357</v>
      </c>
      <c r="D228" s="4" t="s">
        <v>130</v>
      </c>
      <c r="E228" s="4" t="s">
        <v>3348</v>
      </c>
      <c r="F228" s="27"/>
      <c r="G228" s="77"/>
      <c r="H228" s="43" t="s">
        <v>3358</v>
      </c>
      <c r="I228" s="27"/>
      <c r="J228" s="29" t="s">
        <v>3359</v>
      </c>
      <c r="K228" s="27"/>
      <c r="L228" s="27"/>
      <c r="M228" s="27"/>
      <c r="N228" s="27"/>
      <c r="O228" s="27"/>
      <c r="P228" s="27"/>
      <c r="Q228" s="27"/>
      <c r="R228" s="27"/>
      <c r="S228" s="27"/>
    </row>
    <row r="229">
      <c r="A229" s="2"/>
      <c r="B229" s="2" t="s">
        <v>720</v>
      </c>
      <c r="C229" s="4" t="s">
        <v>145</v>
      </c>
      <c r="D229" s="4" t="s">
        <v>130</v>
      </c>
      <c r="E229" s="4" t="s">
        <v>3348</v>
      </c>
      <c r="F229" s="27"/>
      <c r="G229" s="27"/>
      <c r="H229" s="27"/>
      <c r="I229" s="27"/>
      <c r="J229" s="29" t="s">
        <v>3360</v>
      </c>
      <c r="K229" s="27"/>
      <c r="L229" s="27"/>
      <c r="M229" s="27"/>
      <c r="N229" s="27"/>
      <c r="O229" s="27"/>
      <c r="P229" s="27"/>
      <c r="Q229" s="27"/>
      <c r="R229" s="27"/>
      <c r="S229" s="27"/>
    </row>
    <row r="230">
      <c r="A230" s="2"/>
      <c r="B230" s="2" t="s">
        <v>20</v>
      </c>
      <c r="C230" s="4" t="s">
        <v>3361</v>
      </c>
      <c r="D230" s="4" t="s">
        <v>130</v>
      </c>
      <c r="E230" s="4" t="s">
        <v>3348</v>
      </c>
      <c r="F230" s="27"/>
      <c r="G230" s="32"/>
      <c r="H230" s="29" t="s">
        <v>3362</v>
      </c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</row>
    <row r="231">
      <c r="A231" s="2"/>
      <c r="B231" s="2" t="s">
        <v>20</v>
      </c>
      <c r="C231" s="4" t="s">
        <v>2036</v>
      </c>
      <c r="D231" s="4" t="s">
        <v>130</v>
      </c>
      <c r="E231" s="4" t="s">
        <v>3348</v>
      </c>
      <c r="F231" s="27"/>
      <c r="G231" s="77"/>
      <c r="H231" s="43" t="s">
        <v>3363</v>
      </c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</row>
    <row r="232">
      <c r="A232" s="2"/>
      <c r="B232" s="2" t="s">
        <v>20</v>
      </c>
      <c r="C232" s="4" t="s">
        <v>3364</v>
      </c>
      <c r="D232" s="4" t="s">
        <v>130</v>
      </c>
      <c r="E232" s="4" t="s">
        <v>3348</v>
      </c>
      <c r="F232" s="27"/>
      <c r="G232" s="32"/>
      <c r="H232" s="29" t="s">
        <v>3365</v>
      </c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</row>
    <row r="233">
      <c r="A233" s="2"/>
      <c r="B233" s="2" t="s">
        <v>20</v>
      </c>
      <c r="C233" s="4" t="s">
        <v>2284</v>
      </c>
      <c r="D233" s="4" t="s">
        <v>130</v>
      </c>
      <c r="E233" s="4" t="s">
        <v>3348</v>
      </c>
      <c r="F233" s="27"/>
      <c r="G233" s="77"/>
      <c r="H233" s="43" t="s">
        <v>3366</v>
      </c>
      <c r="I233" s="29" t="s">
        <v>3367</v>
      </c>
      <c r="J233" s="29" t="s">
        <v>3368</v>
      </c>
      <c r="K233" s="27"/>
      <c r="L233" s="27"/>
      <c r="M233" s="27"/>
      <c r="N233" s="27"/>
      <c r="O233" s="27"/>
      <c r="P233" s="27"/>
      <c r="Q233" s="27"/>
      <c r="R233" s="27"/>
      <c r="S233" s="27"/>
    </row>
    <row r="234">
      <c r="A234" s="2"/>
      <c r="B234" s="2" t="s">
        <v>20</v>
      </c>
      <c r="C234" s="4" t="s">
        <v>458</v>
      </c>
      <c r="D234" s="4" t="s">
        <v>130</v>
      </c>
      <c r="E234" s="4" t="s">
        <v>3348</v>
      </c>
      <c r="F234" s="27"/>
      <c r="G234" s="77"/>
      <c r="H234" s="43" t="s">
        <v>3369</v>
      </c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</row>
    <row r="235">
      <c r="A235" s="1">
        <v>21551.0</v>
      </c>
      <c r="B235" s="2" t="s">
        <v>20</v>
      </c>
      <c r="C235" s="4" t="s">
        <v>1221</v>
      </c>
      <c r="D235" s="4" t="s">
        <v>130</v>
      </c>
      <c r="E235" s="4" t="s">
        <v>135</v>
      </c>
      <c r="F235" s="27"/>
      <c r="G235" s="32"/>
      <c r="H235" s="29" t="s">
        <v>3370</v>
      </c>
      <c r="I235" s="29" t="s">
        <v>3371</v>
      </c>
      <c r="J235" s="29" t="s">
        <v>3372</v>
      </c>
      <c r="K235" s="27"/>
      <c r="L235" s="27"/>
      <c r="M235" s="27"/>
      <c r="N235" s="4" t="s">
        <v>3301</v>
      </c>
      <c r="O235" s="27"/>
      <c r="P235" s="29" t="s">
        <v>3373</v>
      </c>
      <c r="Q235" s="27"/>
      <c r="R235" s="27"/>
      <c r="S235" s="27"/>
    </row>
    <row r="236">
      <c r="A236" s="1">
        <v>22339.0</v>
      </c>
      <c r="B236" s="2" t="s">
        <v>20</v>
      </c>
      <c r="C236" s="4" t="s">
        <v>3374</v>
      </c>
      <c r="D236" s="4" t="s">
        <v>130</v>
      </c>
      <c r="E236" s="4" t="s">
        <v>135</v>
      </c>
      <c r="F236" s="27"/>
      <c r="G236" s="77"/>
      <c r="H236" s="43" t="s">
        <v>3375</v>
      </c>
      <c r="I236" s="29" t="s">
        <v>3376</v>
      </c>
      <c r="J236" s="29" t="s">
        <v>3377</v>
      </c>
      <c r="K236" s="27"/>
      <c r="L236" s="27"/>
      <c r="M236" s="27"/>
      <c r="N236" s="27"/>
      <c r="O236" s="27"/>
      <c r="P236" s="27"/>
      <c r="Q236" s="27"/>
      <c r="R236" s="27"/>
      <c r="S236" s="27"/>
    </row>
    <row r="237">
      <c r="A237" s="1">
        <v>26609.0</v>
      </c>
      <c r="B237" s="2" t="s">
        <v>20</v>
      </c>
      <c r="C237" s="4" t="s">
        <v>3378</v>
      </c>
      <c r="D237" s="4" t="s">
        <v>130</v>
      </c>
      <c r="E237" s="4" t="s">
        <v>135</v>
      </c>
      <c r="F237" s="27"/>
      <c r="G237" s="77"/>
      <c r="H237" s="43" t="s">
        <v>3379</v>
      </c>
      <c r="I237" s="29" t="s">
        <v>3380</v>
      </c>
      <c r="J237" s="27"/>
      <c r="K237" s="27"/>
      <c r="L237" s="27"/>
      <c r="M237" s="27"/>
      <c r="N237" s="27"/>
      <c r="O237" s="27"/>
      <c r="P237" s="27"/>
      <c r="Q237" s="27"/>
      <c r="R237" s="27"/>
      <c r="S237" s="27"/>
    </row>
    <row r="238">
      <c r="A238" s="1">
        <v>27818.0</v>
      </c>
      <c r="B238" s="2" t="s">
        <v>20</v>
      </c>
      <c r="C238" s="4" t="s">
        <v>3381</v>
      </c>
      <c r="D238" s="4" t="s">
        <v>130</v>
      </c>
      <c r="E238" s="4" t="s">
        <v>135</v>
      </c>
      <c r="F238" s="27"/>
      <c r="G238" s="77"/>
      <c r="H238" s="43" t="s">
        <v>3382</v>
      </c>
      <c r="I238" s="27"/>
      <c r="J238" s="29" t="s">
        <v>3383</v>
      </c>
      <c r="K238" s="27"/>
      <c r="L238" s="27"/>
      <c r="M238" s="27"/>
      <c r="N238" s="27"/>
      <c r="O238" s="27"/>
      <c r="P238" s="27"/>
      <c r="Q238" s="27"/>
      <c r="R238" s="27"/>
      <c r="S238" s="27"/>
    </row>
    <row r="239">
      <c r="A239" s="2"/>
      <c r="B239" s="2" t="s">
        <v>220</v>
      </c>
      <c r="C239" s="4" t="s">
        <v>3384</v>
      </c>
      <c r="D239" s="4" t="s">
        <v>130</v>
      </c>
      <c r="E239" s="4" t="s">
        <v>135</v>
      </c>
      <c r="F239" s="27"/>
      <c r="G239" s="77"/>
      <c r="H239" s="43" t="s">
        <v>3385</v>
      </c>
      <c r="I239" s="29" t="s">
        <v>3386</v>
      </c>
      <c r="J239" s="27"/>
      <c r="K239" s="27"/>
      <c r="L239" s="27"/>
      <c r="M239" s="27"/>
      <c r="N239" s="27"/>
      <c r="O239" s="27"/>
      <c r="P239" s="27"/>
      <c r="Q239" s="27"/>
      <c r="R239" s="27"/>
      <c r="S239" s="27"/>
    </row>
    <row r="240">
      <c r="A240" s="2"/>
      <c r="B240" s="2" t="s">
        <v>220</v>
      </c>
      <c r="C240" s="4" t="s">
        <v>3387</v>
      </c>
      <c r="D240" s="4" t="s">
        <v>130</v>
      </c>
      <c r="E240" s="4" t="s">
        <v>135</v>
      </c>
      <c r="F240" s="27"/>
      <c r="G240" s="32"/>
      <c r="H240" s="29" t="s">
        <v>3388</v>
      </c>
      <c r="I240" s="29" t="s">
        <v>3389</v>
      </c>
      <c r="J240" s="27"/>
      <c r="K240" s="29" t="s">
        <v>3390</v>
      </c>
      <c r="L240" s="27"/>
      <c r="M240" s="27"/>
      <c r="N240" s="27"/>
      <c r="O240" s="27"/>
      <c r="P240" s="27"/>
      <c r="Q240" s="27"/>
      <c r="R240" s="27"/>
      <c r="S240" s="27"/>
    </row>
    <row r="241">
      <c r="A241" s="2"/>
      <c r="B241" s="2" t="s">
        <v>20</v>
      </c>
      <c r="C241" s="4" t="s">
        <v>137</v>
      </c>
      <c r="D241" s="4" t="s">
        <v>130</v>
      </c>
      <c r="E241" s="4" t="s">
        <v>135</v>
      </c>
      <c r="F241" s="4" t="s">
        <v>3391</v>
      </c>
      <c r="G241" s="32"/>
      <c r="H241" s="29" t="s">
        <v>3392</v>
      </c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</row>
    <row r="242">
      <c r="A242" s="2"/>
      <c r="B242" s="2" t="s">
        <v>20</v>
      </c>
      <c r="C242" s="4" t="s">
        <v>341</v>
      </c>
      <c r="D242" s="4" t="s">
        <v>130</v>
      </c>
      <c r="E242" s="4" t="s">
        <v>135</v>
      </c>
      <c r="F242" s="27"/>
      <c r="G242" s="77"/>
      <c r="H242" s="43" t="s">
        <v>3393</v>
      </c>
      <c r="I242" s="29" t="s">
        <v>3394</v>
      </c>
      <c r="J242" s="29" t="s">
        <v>3395</v>
      </c>
      <c r="K242" s="27"/>
      <c r="L242" s="27"/>
      <c r="M242" s="27"/>
      <c r="N242" s="27"/>
      <c r="O242" s="27"/>
      <c r="P242" s="27"/>
      <c r="Q242" s="27"/>
      <c r="R242" s="27"/>
      <c r="S242" s="27"/>
    </row>
    <row r="243">
      <c r="A243" s="2"/>
      <c r="B243" s="2" t="s">
        <v>20</v>
      </c>
      <c r="C243" s="4" t="s">
        <v>707</v>
      </c>
      <c r="D243" s="4" t="s">
        <v>130</v>
      </c>
      <c r="E243" s="4" t="s">
        <v>135</v>
      </c>
      <c r="F243" s="27"/>
      <c r="G243" s="77"/>
      <c r="H243" s="43" t="s">
        <v>3396</v>
      </c>
      <c r="I243" s="29" t="s">
        <v>3397</v>
      </c>
      <c r="J243" s="29" t="s">
        <v>3398</v>
      </c>
      <c r="K243" s="27"/>
      <c r="L243" s="27"/>
      <c r="M243" s="27"/>
      <c r="N243" s="27"/>
      <c r="O243" s="27"/>
      <c r="P243" s="27"/>
      <c r="Q243" s="27"/>
      <c r="R243" s="27"/>
      <c r="S243" s="27"/>
    </row>
    <row r="244">
      <c r="A244" s="2"/>
      <c r="B244" s="2" t="s">
        <v>20</v>
      </c>
      <c r="C244" s="4" t="s">
        <v>2284</v>
      </c>
      <c r="D244" s="4" t="s">
        <v>130</v>
      </c>
      <c r="E244" s="4" t="s">
        <v>135</v>
      </c>
      <c r="F244" s="27"/>
      <c r="G244" s="32"/>
      <c r="H244" s="29" t="s">
        <v>3399</v>
      </c>
      <c r="I244" s="29" t="s">
        <v>3400</v>
      </c>
      <c r="J244" s="27"/>
      <c r="K244" s="27"/>
      <c r="L244" s="27"/>
      <c r="M244" s="27"/>
      <c r="N244" s="27"/>
      <c r="O244" s="27"/>
      <c r="P244" s="29" t="s">
        <v>3401</v>
      </c>
      <c r="Q244" s="27"/>
      <c r="R244" s="27"/>
      <c r="S244" s="27"/>
    </row>
    <row r="245">
      <c r="A245" s="2"/>
      <c r="B245" s="2" t="s">
        <v>20</v>
      </c>
      <c r="C245" s="4" t="s">
        <v>3036</v>
      </c>
      <c r="D245" s="4" t="s">
        <v>130</v>
      </c>
      <c r="E245" s="4" t="s">
        <v>135</v>
      </c>
      <c r="F245" s="27"/>
      <c r="G245" s="32"/>
      <c r="H245" s="29" t="s">
        <v>3402</v>
      </c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</row>
    <row r="246">
      <c r="A246" s="2"/>
      <c r="B246" s="2" t="s">
        <v>20</v>
      </c>
      <c r="C246" s="4" t="s">
        <v>3403</v>
      </c>
      <c r="D246" s="4" t="s">
        <v>130</v>
      </c>
      <c r="E246" s="4" t="s">
        <v>135</v>
      </c>
      <c r="F246" s="27"/>
      <c r="G246" s="32"/>
      <c r="H246" s="29" t="s">
        <v>3404</v>
      </c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</row>
    <row r="247">
      <c r="A247" s="2"/>
      <c r="B247" s="2" t="s">
        <v>20</v>
      </c>
      <c r="C247" s="4" t="s">
        <v>3192</v>
      </c>
      <c r="D247" s="4" t="s">
        <v>130</v>
      </c>
      <c r="E247" s="4" t="s">
        <v>135</v>
      </c>
      <c r="F247" s="4" t="s">
        <v>3405</v>
      </c>
      <c r="G247" s="32"/>
      <c r="H247" s="29" t="s">
        <v>3406</v>
      </c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</row>
    <row r="248">
      <c r="A248" s="2"/>
      <c r="B248" s="2" t="s">
        <v>20</v>
      </c>
      <c r="C248" s="4" t="s">
        <v>3209</v>
      </c>
      <c r="D248" s="4" t="s">
        <v>130</v>
      </c>
      <c r="E248" s="4" t="s">
        <v>135</v>
      </c>
      <c r="F248" s="27"/>
      <c r="G248" s="27"/>
      <c r="H248" s="27"/>
      <c r="I248" s="27"/>
      <c r="J248" s="43" t="s">
        <v>3407</v>
      </c>
      <c r="K248" s="27"/>
      <c r="L248" s="27"/>
      <c r="M248" s="27"/>
      <c r="N248" s="27"/>
      <c r="O248" s="27"/>
      <c r="P248" s="27"/>
      <c r="Q248" s="27"/>
      <c r="R248" s="27"/>
      <c r="S248" s="27"/>
    </row>
    <row r="249">
      <c r="A249" s="2"/>
      <c r="B249" s="2" t="s">
        <v>20</v>
      </c>
      <c r="C249" s="4" t="s">
        <v>3408</v>
      </c>
      <c r="D249" s="4" t="s">
        <v>130</v>
      </c>
      <c r="E249" s="4" t="s">
        <v>135</v>
      </c>
      <c r="F249" s="27"/>
      <c r="G249" s="32"/>
      <c r="H249" s="29" t="s">
        <v>3409</v>
      </c>
      <c r="I249" s="29" t="s">
        <v>3410</v>
      </c>
      <c r="J249" s="27"/>
      <c r="K249" s="27"/>
      <c r="L249" s="27"/>
      <c r="M249" s="27"/>
      <c r="N249" s="27"/>
      <c r="O249" s="27"/>
      <c r="P249" s="27"/>
      <c r="Q249" s="27"/>
      <c r="R249" s="27"/>
      <c r="S249" s="27"/>
    </row>
    <row r="250">
      <c r="A250" s="2"/>
      <c r="B250" s="2" t="s">
        <v>20</v>
      </c>
      <c r="C250" s="4" t="s">
        <v>3411</v>
      </c>
      <c r="D250" s="4" t="s">
        <v>130</v>
      </c>
      <c r="E250" s="4" t="s">
        <v>135</v>
      </c>
      <c r="F250" s="27"/>
      <c r="G250" s="32"/>
      <c r="H250" s="29" t="s">
        <v>3412</v>
      </c>
      <c r="I250" s="29" t="s">
        <v>3413</v>
      </c>
      <c r="J250" s="27"/>
      <c r="K250" s="27"/>
      <c r="L250" s="27"/>
      <c r="M250" s="27"/>
      <c r="N250" s="27"/>
      <c r="O250" s="27"/>
      <c r="P250" s="27"/>
      <c r="Q250" s="27"/>
      <c r="R250" s="27"/>
      <c r="S250" s="27"/>
    </row>
    <row r="251">
      <c r="A251" s="2"/>
      <c r="B251" s="2" t="s">
        <v>20</v>
      </c>
      <c r="C251" s="4" t="s">
        <v>74</v>
      </c>
      <c r="D251" s="4" t="s">
        <v>130</v>
      </c>
      <c r="E251" s="4" t="s">
        <v>135</v>
      </c>
      <c r="F251" s="27"/>
      <c r="G251" s="32"/>
      <c r="H251" s="29" t="s">
        <v>3414</v>
      </c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</row>
    <row r="252">
      <c r="A252" s="2"/>
      <c r="B252" s="2" t="s">
        <v>1206</v>
      </c>
      <c r="C252" s="4" t="s">
        <v>3415</v>
      </c>
      <c r="D252" s="4" t="s">
        <v>130</v>
      </c>
      <c r="E252" s="4" t="s">
        <v>135</v>
      </c>
      <c r="F252" s="27"/>
      <c r="G252" s="32"/>
      <c r="H252" s="29" t="s">
        <v>3416</v>
      </c>
      <c r="I252" s="27"/>
      <c r="J252" s="29" t="s">
        <v>3417</v>
      </c>
      <c r="K252" s="27"/>
      <c r="L252" s="27"/>
      <c r="M252" s="27"/>
      <c r="N252" s="27"/>
      <c r="O252" s="27"/>
      <c r="P252" s="27"/>
      <c r="Q252" s="27"/>
      <c r="R252" s="27"/>
      <c r="S252" s="27"/>
    </row>
    <row r="253">
      <c r="A253" s="1">
        <v>30978.0</v>
      </c>
      <c r="B253" s="2" t="s">
        <v>20</v>
      </c>
      <c r="C253" s="82" t="s">
        <v>3418</v>
      </c>
      <c r="D253" s="4" t="s">
        <v>130</v>
      </c>
      <c r="E253" s="82" t="s">
        <v>3419</v>
      </c>
      <c r="F253" s="4" t="s">
        <v>3420</v>
      </c>
      <c r="G253" s="77"/>
      <c r="H253" s="43" t="s">
        <v>3421</v>
      </c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</row>
    <row r="254">
      <c r="A254" s="1">
        <v>24701.0</v>
      </c>
      <c r="B254" s="2" t="s">
        <v>20</v>
      </c>
      <c r="C254" s="4" t="s">
        <v>678</v>
      </c>
      <c r="D254" s="4" t="s">
        <v>130</v>
      </c>
      <c r="E254" s="4" t="s">
        <v>3422</v>
      </c>
      <c r="F254" s="27"/>
      <c r="G254" s="32"/>
      <c r="H254" s="29" t="s">
        <v>3423</v>
      </c>
      <c r="I254" s="29" t="s">
        <v>3424</v>
      </c>
      <c r="J254" s="27"/>
      <c r="K254" s="27"/>
      <c r="L254" s="27"/>
      <c r="M254" s="27"/>
      <c r="N254" s="27"/>
      <c r="O254" s="27"/>
      <c r="P254" s="27"/>
      <c r="Q254" s="27"/>
      <c r="R254" s="27"/>
      <c r="S254" s="27"/>
    </row>
    <row r="255">
      <c r="A255" s="1">
        <v>31506.0</v>
      </c>
      <c r="B255" s="2" t="s">
        <v>20</v>
      </c>
      <c r="C255" s="83" t="s">
        <v>3425</v>
      </c>
      <c r="D255" s="4" t="s">
        <v>130</v>
      </c>
      <c r="E255" s="4" t="s">
        <v>3422</v>
      </c>
      <c r="F255" s="27"/>
      <c r="G255" s="77"/>
      <c r="H255" s="43" t="s">
        <v>3426</v>
      </c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</row>
    <row r="256">
      <c r="A256" s="1">
        <v>14887.0</v>
      </c>
      <c r="B256" s="2" t="s">
        <v>20</v>
      </c>
      <c r="C256" s="4" t="s">
        <v>3427</v>
      </c>
      <c r="D256" s="4" t="s">
        <v>130</v>
      </c>
      <c r="E256" s="4" t="s">
        <v>3428</v>
      </c>
      <c r="F256" s="27"/>
      <c r="G256" s="77"/>
      <c r="H256" s="43" t="s">
        <v>3429</v>
      </c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</row>
    <row r="257">
      <c r="A257" s="2"/>
      <c r="B257" s="2" t="s">
        <v>276</v>
      </c>
      <c r="C257" s="4" t="s">
        <v>3430</v>
      </c>
      <c r="D257" s="4" t="s">
        <v>130</v>
      </c>
      <c r="E257" s="4" t="s">
        <v>3428</v>
      </c>
      <c r="F257" s="27"/>
      <c r="G257" s="32"/>
      <c r="H257" s="29" t="s">
        <v>3431</v>
      </c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</row>
    <row r="258">
      <c r="A258" s="2"/>
      <c r="B258" s="2" t="s">
        <v>20</v>
      </c>
      <c r="C258" s="4" t="s">
        <v>1975</v>
      </c>
      <c r="D258" s="4" t="s">
        <v>130</v>
      </c>
      <c r="E258" s="4" t="s">
        <v>3428</v>
      </c>
      <c r="F258" s="27"/>
      <c r="G258" s="32"/>
      <c r="H258" s="29" t="s">
        <v>3432</v>
      </c>
      <c r="I258" s="27"/>
      <c r="J258" s="43" t="s">
        <v>3433</v>
      </c>
      <c r="K258" s="27"/>
      <c r="L258" s="27"/>
      <c r="M258" s="27"/>
      <c r="N258" s="27"/>
      <c r="O258" s="27"/>
      <c r="P258" s="27"/>
      <c r="Q258" s="27"/>
      <c r="R258" s="27"/>
      <c r="S258" s="27"/>
    </row>
    <row r="259">
      <c r="A259" s="4"/>
      <c r="B259" s="4" t="s">
        <v>20</v>
      </c>
      <c r="C259" s="4" t="s">
        <v>2229</v>
      </c>
      <c r="D259" s="4" t="s">
        <v>130</v>
      </c>
      <c r="E259" s="4" t="s">
        <v>3428</v>
      </c>
      <c r="F259" s="4" t="s">
        <v>3434</v>
      </c>
      <c r="G259" s="32"/>
      <c r="H259" s="29" t="s">
        <v>3435</v>
      </c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</row>
    <row r="260">
      <c r="A260" s="2"/>
      <c r="B260" s="2" t="s">
        <v>20</v>
      </c>
      <c r="C260" s="4" t="s">
        <v>3436</v>
      </c>
      <c r="D260" s="4" t="s">
        <v>130</v>
      </c>
      <c r="E260" s="4" t="s">
        <v>3428</v>
      </c>
      <c r="F260" s="27"/>
      <c r="G260" s="32"/>
      <c r="H260" s="29" t="s">
        <v>3437</v>
      </c>
      <c r="I260" s="29" t="s">
        <v>3438</v>
      </c>
      <c r="J260" s="27"/>
      <c r="K260" s="27"/>
      <c r="L260" s="27"/>
      <c r="M260" s="27"/>
      <c r="N260" s="27"/>
      <c r="O260" s="27"/>
      <c r="P260" s="27"/>
      <c r="Q260" s="27"/>
      <c r="R260" s="27"/>
      <c r="S260" s="27"/>
    </row>
    <row r="261">
      <c r="A261" s="2"/>
      <c r="B261" s="2" t="s">
        <v>20</v>
      </c>
      <c r="C261" s="4" t="s">
        <v>1088</v>
      </c>
      <c r="D261" s="4" t="s">
        <v>130</v>
      </c>
      <c r="E261" s="4" t="s">
        <v>3428</v>
      </c>
      <c r="F261" s="4" t="s">
        <v>3439</v>
      </c>
      <c r="G261" s="32"/>
      <c r="H261" s="29" t="s">
        <v>3440</v>
      </c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</row>
    <row r="262">
      <c r="A262" s="2"/>
      <c r="B262" s="2" t="s">
        <v>20</v>
      </c>
      <c r="C262" s="4" t="s">
        <v>678</v>
      </c>
      <c r="D262" s="4" t="s">
        <v>130</v>
      </c>
      <c r="E262" s="4" t="s">
        <v>3428</v>
      </c>
      <c r="F262" s="27"/>
      <c r="G262" s="32"/>
      <c r="H262" s="29" t="s">
        <v>3441</v>
      </c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</row>
    <row r="263">
      <c r="A263" s="2"/>
      <c r="B263" s="2" t="s">
        <v>1981</v>
      </c>
      <c r="C263" s="4" t="s">
        <v>3442</v>
      </c>
      <c r="D263" s="4" t="s">
        <v>130</v>
      </c>
      <c r="E263" s="4" t="s">
        <v>3428</v>
      </c>
      <c r="F263" s="27"/>
      <c r="G263" s="32"/>
      <c r="H263" s="29" t="s">
        <v>3443</v>
      </c>
      <c r="I263" s="29" t="s">
        <v>3444</v>
      </c>
      <c r="J263" s="29" t="s">
        <v>3445</v>
      </c>
      <c r="K263" s="27"/>
      <c r="L263" s="27"/>
      <c r="M263" s="27"/>
      <c r="N263" s="27"/>
      <c r="O263" s="27"/>
      <c r="P263" s="27"/>
      <c r="Q263" s="27"/>
      <c r="R263" s="27"/>
      <c r="S263" s="27"/>
    </row>
    <row r="264">
      <c r="A264" s="2"/>
      <c r="B264" s="2" t="s">
        <v>20</v>
      </c>
      <c r="C264" s="4" t="s">
        <v>272</v>
      </c>
      <c r="D264" s="4" t="s">
        <v>130</v>
      </c>
      <c r="E264" s="4" t="s">
        <v>3446</v>
      </c>
      <c r="F264" s="4" t="s">
        <v>3447</v>
      </c>
      <c r="G264" s="32"/>
      <c r="H264" s="29" t="s">
        <v>3448</v>
      </c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</row>
    <row r="265">
      <c r="A265" s="2"/>
      <c r="B265" s="2" t="s">
        <v>20</v>
      </c>
      <c r="C265" s="4" t="s">
        <v>3449</v>
      </c>
      <c r="D265" s="4" t="s">
        <v>130</v>
      </c>
      <c r="E265" s="4" t="s">
        <v>3446</v>
      </c>
      <c r="F265" s="4" t="s">
        <v>3447</v>
      </c>
      <c r="G265" s="32"/>
      <c r="H265" s="29" t="s">
        <v>3450</v>
      </c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</row>
    <row r="266">
      <c r="A266" s="1">
        <v>14595.0</v>
      </c>
      <c r="B266" s="2" t="s">
        <v>20</v>
      </c>
      <c r="C266" s="4" t="s">
        <v>3451</v>
      </c>
      <c r="D266" s="4" t="s">
        <v>130</v>
      </c>
      <c r="E266" s="4" t="s">
        <v>3452</v>
      </c>
      <c r="F266" s="27"/>
      <c r="G266" s="77"/>
      <c r="H266" s="43" t="s">
        <v>3453</v>
      </c>
      <c r="I266" s="29" t="s">
        <v>3454</v>
      </c>
      <c r="J266" s="29" t="s">
        <v>3455</v>
      </c>
      <c r="K266" s="27"/>
      <c r="L266" s="27"/>
      <c r="M266" s="27"/>
      <c r="N266" s="27"/>
      <c r="O266" s="27"/>
      <c r="P266" s="27"/>
      <c r="Q266" s="27"/>
      <c r="R266" s="27"/>
      <c r="S266" s="27"/>
    </row>
    <row r="267">
      <c r="A267" s="1">
        <v>23407.0</v>
      </c>
      <c r="B267" s="2" t="s">
        <v>20</v>
      </c>
      <c r="C267" s="4" t="s">
        <v>3456</v>
      </c>
      <c r="D267" s="4" t="s">
        <v>130</v>
      </c>
      <c r="E267" s="4" t="s">
        <v>3452</v>
      </c>
      <c r="F267" s="27"/>
      <c r="G267" s="32"/>
      <c r="H267" s="29" t="s">
        <v>3457</v>
      </c>
      <c r="I267" s="29" t="s">
        <v>3458</v>
      </c>
      <c r="J267" s="27"/>
      <c r="K267" s="27"/>
      <c r="L267" s="27"/>
      <c r="M267" s="27"/>
      <c r="N267" s="27"/>
      <c r="O267" s="27"/>
      <c r="P267" s="27"/>
      <c r="Q267" s="27"/>
      <c r="R267" s="27"/>
      <c r="S267" s="27"/>
    </row>
    <row r="268">
      <c r="A268" s="1">
        <v>24258.0</v>
      </c>
      <c r="B268" s="2" t="s">
        <v>20</v>
      </c>
      <c r="C268" s="4" t="s">
        <v>3209</v>
      </c>
      <c r="D268" s="4" t="s">
        <v>130</v>
      </c>
      <c r="E268" s="4" t="s">
        <v>3452</v>
      </c>
      <c r="F268" s="27"/>
      <c r="G268" s="32"/>
      <c r="H268" s="29" t="s">
        <v>3459</v>
      </c>
      <c r="I268" s="27"/>
      <c r="J268" s="29" t="s">
        <v>3460</v>
      </c>
      <c r="K268" s="27"/>
      <c r="L268" s="27"/>
      <c r="M268" s="27"/>
      <c r="N268" s="27"/>
      <c r="O268" s="27"/>
      <c r="P268" s="27"/>
      <c r="Q268" s="27"/>
      <c r="R268" s="27"/>
      <c r="S268" s="27"/>
    </row>
    <row r="269">
      <c r="A269" s="1">
        <v>24790.0</v>
      </c>
      <c r="B269" s="2" t="s">
        <v>20</v>
      </c>
      <c r="C269" s="4" t="s">
        <v>3461</v>
      </c>
      <c r="D269" s="4" t="s">
        <v>130</v>
      </c>
      <c r="E269" s="4" t="s">
        <v>3452</v>
      </c>
      <c r="F269" s="27"/>
      <c r="G269" s="32"/>
      <c r="H269" s="29" t="s">
        <v>3462</v>
      </c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</row>
    <row r="270">
      <c r="A270" s="2"/>
      <c r="B270" s="2" t="s">
        <v>20</v>
      </c>
      <c r="C270" s="4" t="s">
        <v>3463</v>
      </c>
      <c r="D270" s="4" t="s">
        <v>130</v>
      </c>
      <c r="E270" s="4" t="s">
        <v>3452</v>
      </c>
      <c r="F270" s="4" t="s">
        <v>3464</v>
      </c>
      <c r="G270" s="32"/>
      <c r="H270" s="29" t="s">
        <v>3465</v>
      </c>
      <c r="I270" s="27"/>
      <c r="J270" s="29" t="s">
        <v>3466</v>
      </c>
      <c r="K270" s="27"/>
      <c r="L270" s="27"/>
      <c r="M270" s="27"/>
      <c r="N270" s="27"/>
      <c r="O270" s="27"/>
      <c r="P270" s="27"/>
      <c r="Q270" s="27"/>
      <c r="R270" s="27"/>
      <c r="S270" s="27"/>
    </row>
    <row r="271">
      <c r="A271" s="1">
        <v>14614.0</v>
      </c>
      <c r="B271" s="2" t="s">
        <v>20</v>
      </c>
      <c r="C271" s="4" t="s">
        <v>3467</v>
      </c>
      <c r="D271" s="4" t="s">
        <v>130</v>
      </c>
      <c r="E271" s="4" t="s">
        <v>3468</v>
      </c>
      <c r="F271" s="27"/>
      <c r="G271" s="77"/>
      <c r="H271" s="43" t="s">
        <v>3469</v>
      </c>
      <c r="I271" s="29" t="s">
        <v>3470</v>
      </c>
      <c r="J271" s="27"/>
      <c r="K271" s="27"/>
      <c r="L271" s="27"/>
      <c r="M271" s="27"/>
      <c r="N271" s="27"/>
      <c r="O271" s="27"/>
      <c r="P271" s="27"/>
      <c r="Q271" s="27"/>
      <c r="R271" s="27"/>
      <c r="S271" s="27"/>
    </row>
    <row r="272">
      <c r="A272" s="1">
        <v>24199.0</v>
      </c>
      <c r="B272" s="2" t="s">
        <v>20</v>
      </c>
      <c r="C272" s="4" t="s">
        <v>3471</v>
      </c>
      <c r="D272" s="4" t="s">
        <v>130</v>
      </c>
      <c r="E272" s="4" t="s">
        <v>3468</v>
      </c>
      <c r="F272" s="4" t="s">
        <v>3472</v>
      </c>
      <c r="G272" s="27"/>
      <c r="H272" s="27"/>
      <c r="I272" s="27"/>
      <c r="J272" s="29" t="s">
        <v>3473</v>
      </c>
      <c r="K272" s="27"/>
      <c r="L272" s="27"/>
      <c r="M272" s="27"/>
      <c r="N272" s="27"/>
      <c r="O272" s="27"/>
      <c r="P272" s="27"/>
      <c r="Q272" s="27"/>
      <c r="R272" s="27"/>
      <c r="S272" s="27"/>
    </row>
    <row r="273">
      <c r="A273" s="2"/>
      <c r="B273" s="2" t="s">
        <v>20</v>
      </c>
      <c r="C273" s="4" t="s">
        <v>3474</v>
      </c>
      <c r="D273" s="4" t="s">
        <v>130</v>
      </c>
      <c r="E273" s="4" t="s">
        <v>3468</v>
      </c>
      <c r="F273" s="27"/>
      <c r="G273" s="32"/>
      <c r="H273" s="29" t="s">
        <v>3475</v>
      </c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</row>
    <row r="274">
      <c r="A274" s="2"/>
      <c r="B274" s="2" t="s">
        <v>20</v>
      </c>
      <c r="C274" s="4" t="s">
        <v>2797</v>
      </c>
      <c r="D274" s="4" t="s">
        <v>130</v>
      </c>
      <c r="E274" s="4" t="s">
        <v>3468</v>
      </c>
      <c r="F274" s="4" t="s">
        <v>3476</v>
      </c>
      <c r="G274" s="32"/>
      <c r="H274" s="29" t="s">
        <v>3477</v>
      </c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</row>
    <row r="275">
      <c r="A275" s="2"/>
      <c r="B275" s="2" t="s">
        <v>20</v>
      </c>
      <c r="C275" s="4" t="s">
        <v>347</v>
      </c>
      <c r="D275" s="4" t="s">
        <v>130</v>
      </c>
      <c r="E275" s="4" t="s">
        <v>3468</v>
      </c>
      <c r="F275" s="27"/>
      <c r="G275" s="77"/>
      <c r="H275" s="43" t="s">
        <v>3478</v>
      </c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</row>
    <row r="276">
      <c r="A276" s="2"/>
      <c r="B276" s="2" t="s">
        <v>20</v>
      </c>
      <c r="C276" s="4" t="s">
        <v>3479</v>
      </c>
      <c r="D276" s="4" t="s">
        <v>130</v>
      </c>
      <c r="E276" s="4" t="s">
        <v>3468</v>
      </c>
      <c r="F276" s="27"/>
      <c r="G276" s="77"/>
      <c r="H276" s="43" t="s">
        <v>3480</v>
      </c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</row>
    <row r="277">
      <c r="A277" s="2"/>
      <c r="B277" s="2" t="s">
        <v>20</v>
      </c>
      <c r="C277" s="4" t="s">
        <v>3209</v>
      </c>
      <c r="D277" s="4" t="s">
        <v>130</v>
      </c>
      <c r="E277" s="4" t="s">
        <v>3468</v>
      </c>
      <c r="F277" s="27"/>
      <c r="G277" s="27"/>
      <c r="H277" s="27"/>
      <c r="I277" s="27"/>
      <c r="J277" s="29" t="s">
        <v>3481</v>
      </c>
      <c r="K277" s="27"/>
      <c r="L277" s="27"/>
      <c r="M277" s="27"/>
      <c r="N277" s="27"/>
      <c r="O277" s="27"/>
      <c r="P277" s="27"/>
      <c r="Q277" s="27"/>
      <c r="R277" s="27"/>
      <c r="S277" s="27"/>
    </row>
    <row r="278">
      <c r="A278" s="1">
        <v>14603.0</v>
      </c>
      <c r="B278" s="2" t="s">
        <v>20</v>
      </c>
      <c r="C278" s="4" t="s">
        <v>3482</v>
      </c>
      <c r="D278" s="4" t="s">
        <v>130</v>
      </c>
      <c r="E278" s="4" t="s">
        <v>3483</v>
      </c>
      <c r="F278" s="27"/>
      <c r="G278" s="77"/>
      <c r="H278" s="43" t="s">
        <v>3484</v>
      </c>
      <c r="I278" s="43" t="s">
        <v>3485</v>
      </c>
      <c r="J278" s="27"/>
      <c r="K278" s="27"/>
      <c r="L278" s="27"/>
      <c r="M278" s="27"/>
      <c r="N278" s="27"/>
      <c r="O278" s="27"/>
      <c r="P278" s="27"/>
      <c r="Q278" s="27"/>
      <c r="R278" s="27"/>
      <c r="S278" s="27"/>
    </row>
    <row r="279">
      <c r="A279" s="1">
        <v>14926.0</v>
      </c>
      <c r="B279" s="2" t="s">
        <v>20</v>
      </c>
      <c r="C279" s="4" t="s">
        <v>786</v>
      </c>
      <c r="D279" s="4" t="s">
        <v>130</v>
      </c>
      <c r="E279" s="4" t="s">
        <v>3483</v>
      </c>
      <c r="F279" s="27"/>
      <c r="G279" s="77"/>
      <c r="H279" s="43" t="s">
        <v>3486</v>
      </c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</row>
    <row r="280">
      <c r="A280" s="1">
        <v>14927.0</v>
      </c>
      <c r="B280" s="2" t="s">
        <v>20</v>
      </c>
      <c r="C280" s="4" t="s">
        <v>707</v>
      </c>
      <c r="D280" s="4" t="s">
        <v>130</v>
      </c>
      <c r="E280" s="4" t="s">
        <v>3483</v>
      </c>
      <c r="F280" s="27"/>
      <c r="G280" s="77"/>
      <c r="H280" s="43" t="s">
        <v>3487</v>
      </c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</row>
    <row r="281">
      <c r="A281" s="1">
        <v>15032.0</v>
      </c>
      <c r="B281" s="2" t="s">
        <v>20</v>
      </c>
      <c r="C281" s="4" t="s">
        <v>3488</v>
      </c>
      <c r="D281" s="4" t="s">
        <v>130</v>
      </c>
      <c r="E281" s="4" t="s">
        <v>3483</v>
      </c>
      <c r="F281" s="27"/>
      <c r="G281" s="77"/>
      <c r="H281" s="43" t="s">
        <v>3489</v>
      </c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</row>
    <row r="282">
      <c r="A282" s="1">
        <v>21661.0</v>
      </c>
      <c r="B282" s="2" t="s">
        <v>20</v>
      </c>
      <c r="C282" s="4" t="s">
        <v>3490</v>
      </c>
      <c r="D282" s="4" t="s">
        <v>130</v>
      </c>
      <c r="E282" s="4" t="s">
        <v>3483</v>
      </c>
      <c r="F282" s="27"/>
      <c r="G282" s="77"/>
      <c r="H282" s="43" t="s">
        <v>3491</v>
      </c>
      <c r="I282" s="29" t="s">
        <v>3492</v>
      </c>
      <c r="J282" s="27"/>
      <c r="K282" s="27"/>
      <c r="L282" s="27"/>
      <c r="M282" s="27"/>
      <c r="N282" s="27"/>
      <c r="O282" s="27"/>
      <c r="P282" s="27"/>
      <c r="Q282" s="27"/>
      <c r="R282" s="27"/>
      <c r="S282" s="27"/>
    </row>
    <row r="283">
      <c r="A283" s="1">
        <v>27828.0</v>
      </c>
      <c r="B283" s="2" t="s">
        <v>20</v>
      </c>
      <c r="C283" s="4" t="s">
        <v>3192</v>
      </c>
      <c r="D283" s="4" t="s">
        <v>130</v>
      </c>
      <c r="E283" s="4" t="s">
        <v>3483</v>
      </c>
      <c r="F283" s="27"/>
      <c r="G283" s="77"/>
      <c r="H283" s="43" t="s">
        <v>3493</v>
      </c>
      <c r="I283" s="29" t="s">
        <v>3494</v>
      </c>
      <c r="J283" s="27"/>
      <c r="K283" s="27"/>
      <c r="L283" s="27"/>
      <c r="M283" s="27"/>
      <c r="N283" s="27"/>
      <c r="O283" s="27"/>
      <c r="P283" s="27"/>
      <c r="Q283" s="27"/>
      <c r="R283" s="27"/>
      <c r="S283" s="27"/>
    </row>
    <row r="284">
      <c r="A284" s="1">
        <v>27829.0</v>
      </c>
      <c r="B284" s="2" t="s">
        <v>20</v>
      </c>
      <c r="C284" s="4" t="s">
        <v>3495</v>
      </c>
      <c r="D284" s="4" t="s">
        <v>130</v>
      </c>
      <c r="E284" s="4" t="s">
        <v>3483</v>
      </c>
      <c r="F284" s="27"/>
      <c r="G284" s="77"/>
      <c r="H284" s="43" t="s">
        <v>3496</v>
      </c>
      <c r="I284" s="27"/>
      <c r="J284" s="29" t="s">
        <v>3497</v>
      </c>
      <c r="K284" s="27"/>
      <c r="L284" s="27"/>
      <c r="M284" s="27"/>
      <c r="N284" s="27"/>
      <c r="O284" s="27"/>
      <c r="P284" s="27"/>
      <c r="Q284" s="27"/>
      <c r="R284" s="27"/>
      <c r="S284" s="27"/>
    </row>
    <row r="285">
      <c r="A285" s="1">
        <v>27830.0</v>
      </c>
      <c r="B285" s="2" t="s">
        <v>20</v>
      </c>
      <c r="C285" s="4" t="s">
        <v>3498</v>
      </c>
      <c r="D285" s="4" t="s">
        <v>130</v>
      </c>
      <c r="E285" s="4" t="s">
        <v>3483</v>
      </c>
      <c r="F285" s="27"/>
      <c r="G285" s="32"/>
      <c r="H285" s="29" t="s">
        <v>3499</v>
      </c>
      <c r="I285" s="29" t="s">
        <v>3500</v>
      </c>
      <c r="J285" s="27"/>
      <c r="K285" s="27"/>
      <c r="L285" s="27"/>
      <c r="M285" s="27"/>
      <c r="N285" s="27"/>
      <c r="O285" s="27"/>
      <c r="P285" s="27"/>
      <c r="Q285" s="27"/>
      <c r="R285" s="27"/>
      <c r="S285" s="27"/>
    </row>
    <row r="286">
      <c r="A286" s="1">
        <v>28554.0</v>
      </c>
      <c r="B286" s="2" t="s">
        <v>20</v>
      </c>
      <c r="C286" s="4" t="s">
        <v>3144</v>
      </c>
      <c r="D286" s="4" t="s">
        <v>130</v>
      </c>
      <c r="E286" s="4" t="s">
        <v>3483</v>
      </c>
      <c r="F286" s="27"/>
      <c r="G286" s="32"/>
      <c r="H286" s="29" t="s">
        <v>3501</v>
      </c>
      <c r="I286" s="29" t="s">
        <v>3502</v>
      </c>
      <c r="J286" s="27"/>
      <c r="K286" s="27"/>
      <c r="L286" s="27"/>
      <c r="M286" s="27"/>
      <c r="N286" s="27"/>
      <c r="O286" s="27"/>
      <c r="P286" s="27"/>
      <c r="Q286" s="27"/>
      <c r="R286" s="27"/>
      <c r="S286" s="27"/>
    </row>
    <row r="287">
      <c r="A287" s="1">
        <v>29407.0</v>
      </c>
      <c r="B287" s="2" t="s">
        <v>20</v>
      </c>
      <c r="C287" s="4" t="s">
        <v>3503</v>
      </c>
      <c r="D287" s="4" t="s">
        <v>130</v>
      </c>
      <c r="E287" s="4" t="s">
        <v>3483</v>
      </c>
      <c r="F287" s="27"/>
      <c r="G287" s="32"/>
      <c r="H287" s="29" t="s">
        <v>3504</v>
      </c>
      <c r="I287" s="29" t="s">
        <v>3505</v>
      </c>
      <c r="J287" s="27"/>
      <c r="K287" s="27"/>
      <c r="L287" s="27"/>
      <c r="M287" s="27"/>
      <c r="N287" s="27"/>
      <c r="O287" s="27"/>
      <c r="P287" s="27"/>
      <c r="Q287" s="27"/>
      <c r="R287" s="27"/>
      <c r="S287" s="27"/>
    </row>
    <row r="288">
      <c r="A288" s="1">
        <v>31695.0</v>
      </c>
      <c r="B288" s="2" t="s">
        <v>20</v>
      </c>
      <c r="C288" s="4" t="s">
        <v>356</v>
      </c>
      <c r="D288" s="4" t="s">
        <v>130</v>
      </c>
      <c r="E288" s="4" t="s">
        <v>3483</v>
      </c>
      <c r="F288" s="27"/>
      <c r="G288" s="32"/>
      <c r="H288" s="29" t="s">
        <v>3506</v>
      </c>
      <c r="I288" s="29" t="s">
        <v>3507</v>
      </c>
      <c r="J288" s="27"/>
      <c r="K288" s="27"/>
      <c r="L288" s="27"/>
      <c r="M288" s="27"/>
      <c r="N288" s="27"/>
      <c r="O288" s="27"/>
      <c r="P288" s="27"/>
      <c r="Q288" s="27"/>
      <c r="R288" s="27"/>
      <c r="S288" s="27"/>
    </row>
    <row r="289">
      <c r="A289" s="2"/>
      <c r="B289" s="2" t="s">
        <v>20</v>
      </c>
      <c r="C289" s="4" t="s">
        <v>3508</v>
      </c>
      <c r="D289" s="4" t="s">
        <v>130</v>
      </c>
      <c r="E289" s="4" t="s">
        <v>3483</v>
      </c>
      <c r="F289" s="27"/>
      <c r="G289" s="32"/>
      <c r="H289" s="29" t="s">
        <v>3509</v>
      </c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</row>
    <row r="290">
      <c r="A290" s="2"/>
      <c r="B290" s="2" t="s">
        <v>20</v>
      </c>
      <c r="C290" s="4" t="s">
        <v>3510</v>
      </c>
      <c r="D290" s="4" t="s">
        <v>130</v>
      </c>
      <c r="E290" s="4" t="s">
        <v>3483</v>
      </c>
      <c r="F290" s="27"/>
      <c r="G290" s="32"/>
      <c r="H290" s="29" t="s">
        <v>3511</v>
      </c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</row>
    <row r="291">
      <c r="A291" s="2"/>
      <c r="B291" s="2" t="s">
        <v>20</v>
      </c>
      <c r="C291" s="4" t="s">
        <v>2233</v>
      </c>
      <c r="D291" s="4" t="s">
        <v>130</v>
      </c>
      <c r="E291" s="4" t="s">
        <v>3483</v>
      </c>
      <c r="F291" s="27"/>
      <c r="G291" s="32"/>
      <c r="H291" s="29" t="s">
        <v>3512</v>
      </c>
      <c r="I291" s="29" t="s">
        <v>3513</v>
      </c>
      <c r="J291" s="27"/>
      <c r="K291" s="27"/>
      <c r="L291" s="27"/>
      <c r="M291" s="27"/>
      <c r="N291" s="27"/>
      <c r="O291" s="27"/>
      <c r="P291" s="27"/>
      <c r="Q291" s="27"/>
      <c r="R291" s="27"/>
      <c r="S291" s="27"/>
    </row>
    <row r="292">
      <c r="A292" s="2"/>
      <c r="B292" s="2" t="s">
        <v>20</v>
      </c>
      <c r="C292" s="4" t="s">
        <v>510</v>
      </c>
      <c r="D292" s="4" t="s">
        <v>130</v>
      </c>
      <c r="E292" s="4" t="s">
        <v>3483</v>
      </c>
      <c r="F292" s="27"/>
      <c r="G292" s="32"/>
      <c r="H292" s="29" t="s">
        <v>3514</v>
      </c>
      <c r="I292" s="29" t="s">
        <v>3515</v>
      </c>
      <c r="J292" s="27"/>
      <c r="K292" s="27"/>
      <c r="L292" s="27"/>
      <c r="M292" s="27"/>
      <c r="N292" s="27"/>
      <c r="O292" s="27"/>
      <c r="P292" s="27"/>
      <c r="Q292" s="27"/>
      <c r="R292" s="27"/>
      <c r="S292" s="27"/>
    </row>
    <row r="293">
      <c r="A293" s="2"/>
      <c r="B293" s="2" t="s">
        <v>20</v>
      </c>
      <c r="C293" s="4" t="s">
        <v>386</v>
      </c>
      <c r="D293" s="4" t="s">
        <v>130</v>
      </c>
      <c r="E293" s="4" t="s">
        <v>3483</v>
      </c>
      <c r="F293" s="27"/>
      <c r="G293" s="77"/>
      <c r="H293" s="43" t="s">
        <v>3516</v>
      </c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</row>
    <row r="294">
      <c r="A294" s="2"/>
      <c r="B294" s="2" t="s">
        <v>20</v>
      </c>
      <c r="C294" s="4" t="s">
        <v>3517</v>
      </c>
      <c r="D294" s="4" t="s">
        <v>130</v>
      </c>
      <c r="E294" s="4" t="s">
        <v>3483</v>
      </c>
      <c r="F294" s="27"/>
      <c r="G294" s="32"/>
      <c r="H294" s="29" t="s">
        <v>3518</v>
      </c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</row>
    <row r="295">
      <c r="A295" s="2"/>
      <c r="B295" s="2" t="s">
        <v>34</v>
      </c>
      <c r="C295" s="4" t="s">
        <v>3519</v>
      </c>
      <c r="D295" s="4" t="s">
        <v>130</v>
      </c>
      <c r="E295" s="27"/>
      <c r="F295" s="27"/>
      <c r="G295" s="32"/>
      <c r="H295" s="29" t="s">
        <v>3520</v>
      </c>
      <c r="I295" s="29" t="s">
        <v>3521</v>
      </c>
      <c r="J295" s="29" t="s">
        <v>3522</v>
      </c>
      <c r="K295" s="27"/>
      <c r="L295" s="27"/>
      <c r="M295" s="27"/>
      <c r="N295" s="27"/>
      <c r="O295" s="27"/>
      <c r="P295" s="27"/>
      <c r="Q295" s="27"/>
      <c r="R295" s="27"/>
      <c r="S295" s="27"/>
    </row>
    <row r="296">
      <c r="A296" s="2"/>
      <c r="B296" s="2" t="s">
        <v>34</v>
      </c>
      <c r="C296" s="4" t="s">
        <v>3523</v>
      </c>
      <c r="D296" s="4" t="s">
        <v>130</v>
      </c>
      <c r="E296" s="4"/>
      <c r="F296" s="27"/>
      <c r="G296" s="32"/>
      <c r="H296" s="29" t="s">
        <v>3524</v>
      </c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</row>
    <row r="297">
      <c r="A297" s="2"/>
      <c r="B297" s="2" t="s">
        <v>34</v>
      </c>
      <c r="C297" s="4" t="s">
        <v>3525</v>
      </c>
      <c r="D297" s="4" t="s">
        <v>130</v>
      </c>
      <c r="E297" s="27"/>
      <c r="F297" s="27"/>
      <c r="G297" s="32"/>
      <c r="H297" s="29" t="s">
        <v>3526</v>
      </c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</row>
    <row r="298">
      <c r="A298" s="2"/>
      <c r="B298" s="2" t="s">
        <v>34</v>
      </c>
      <c r="C298" s="4" t="s">
        <v>3527</v>
      </c>
      <c r="D298" s="4" t="s">
        <v>130</v>
      </c>
      <c r="E298" s="27"/>
      <c r="F298" s="27"/>
      <c r="G298" s="32"/>
      <c r="H298" s="29" t="s">
        <v>3528</v>
      </c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</row>
    <row r="299">
      <c r="A299" s="2"/>
      <c r="B299" s="2" t="s">
        <v>34</v>
      </c>
      <c r="C299" s="4" t="s">
        <v>3529</v>
      </c>
      <c r="D299" s="4" t="s">
        <v>130</v>
      </c>
      <c r="E299" s="27"/>
      <c r="F299" s="27"/>
      <c r="G299" s="77"/>
      <c r="H299" s="43" t="s">
        <v>3530</v>
      </c>
      <c r="I299" s="29" t="s">
        <v>3531</v>
      </c>
      <c r="J299" s="27"/>
      <c r="K299" s="27"/>
      <c r="L299" s="27"/>
      <c r="M299" s="27"/>
      <c r="N299" s="27"/>
      <c r="O299" s="27"/>
      <c r="P299" s="27"/>
      <c r="Q299" s="27"/>
      <c r="R299" s="27"/>
      <c r="S299" s="27"/>
    </row>
    <row r="300">
      <c r="A300" s="2"/>
      <c r="B300" s="2" t="s">
        <v>34</v>
      </c>
      <c r="C300" s="4" t="s">
        <v>3532</v>
      </c>
      <c r="D300" s="4" t="s">
        <v>130</v>
      </c>
      <c r="E300" s="27"/>
      <c r="F300" s="27"/>
      <c r="G300" s="77"/>
      <c r="H300" s="43" t="s">
        <v>1625</v>
      </c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</row>
    <row r="301">
      <c r="A301" s="78"/>
      <c r="B301" s="2" t="s">
        <v>3533</v>
      </c>
      <c r="C301" s="4" t="s">
        <v>3534</v>
      </c>
      <c r="D301" s="4" t="s">
        <v>130</v>
      </c>
      <c r="E301" s="27"/>
      <c r="F301" s="27"/>
      <c r="G301" s="77"/>
      <c r="H301" s="43" t="s">
        <v>3535</v>
      </c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</row>
    <row r="302">
      <c r="A302" s="78"/>
      <c r="B302" s="2" t="s">
        <v>3536</v>
      </c>
      <c r="C302" s="4" t="s">
        <v>3537</v>
      </c>
      <c r="D302" s="4" t="s">
        <v>130</v>
      </c>
      <c r="E302" s="27"/>
      <c r="F302" s="27"/>
      <c r="G302" s="77"/>
      <c r="H302" s="43" t="s">
        <v>3538</v>
      </c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</row>
    <row r="303">
      <c r="A303" s="78"/>
      <c r="B303" s="2" t="s">
        <v>34</v>
      </c>
      <c r="C303" s="4" t="s">
        <v>3539</v>
      </c>
      <c r="D303" s="4" t="s">
        <v>130</v>
      </c>
      <c r="E303" s="27"/>
      <c r="F303" s="27"/>
      <c r="G303" s="77"/>
      <c r="H303" s="43" t="s">
        <v>3540</v>
      </c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</row>
    <row r="304">
      <c r="A304" s="78"/>
      <c r="B304" s="2" t="s">
        <v>34</v>
      </c>
      <c r="C304" s="4" t="s">
        <v>3541</v>
      </c>
      <c r="D304" s="4" t="s">
        <v>130</v>
      </c>
      <c r="E304" s="27"/>
      <c r="F304" s="27"/>
      <c r="G304" s="77"/>
      <c r="H304" s="43" t="s">
        <v>3542</v>
      </c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</row>
    <row r="305">
      <c r="A305" s="78"/>
      <c r="B305" s="2" t="s">
        <v>34</v>
      </c>
      <c r="C305" s="4" t="s">
        <v>3543</v>
      </c>
      <c r="D305" s="4" t="s">
        <v>130</v>
      </c>
      <c r="E305" s="27"/>
      <c r="F305" s="27"/>
      <c r="G305" s="77"/>
      <c r="H305" s="43" t="s">
        <v>3544</v>
      </c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</row>
    <row r="306">
      <c r="A306" s="78"/>
      <c r="B306" s="2" t="s">
        <v>34</v>
      </c>
      <c r="C306" s="4" t="s">
        <v>3545</v>
      </c>
      <c r="D306" s="4" t="s">
        <v>130</v>
      </c>
      <c r="E306" s="27"/>
      <c r="F306" s="27"/>
      <c r="G306" s="77"/>
      <c r="H306" s="43" t="s">
        <v>3546</v>
      </c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</row>
    <row r="307">
      <c r="A307" s="78"/>
      <c r="B307" s="2" t="s">
        <v>34</v>
      </c>
      <c r="C307" s="4" t="s">
        <v>3547</v>
      </c>
      <c r="D307" s="4" t="s">
        <v>130</v>
      </c>
      <c r="E307" s="27"/>
      <c r="F307" s="27"/>
      <c r="G307" s="77"/>
      <c r="H307" s="43" t="s">
        <v>3548</v>
      </c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</row>
    <row r="308">
      <c r="A308" s="22"/>
      <c r="B308" s="7" t="s">
        <v>17</v>
      </c>
      <c r="C308" s="8" t="s">
        <v>3549</v>
      </c>
      <c r="D308" s="8" t="s">
        <v>130</v>
      </c>
      <c r="E308" s="8" t="s">
        <v>3452</v>
      </c>
      <c r="J308" s="12" t="s">
        <v>3550</v>
      </c>
    </row>
    <row r="309">
      <c r="A309" s="22"/>
      <c r="B309" s="7" t="s">
        <v>20</v>
      </c>
      <c r="C309" s="8" t="s">
        <v>3551</v>
      </c>
      <c r="D309" s="8" t="s">
        <v>130</v>
      </c>
      <c r="E309" s="8" t="s">
        <v>135</v>
      </c>
      <c r="H309" s="9" t="s">
        <v>3552</v>
      </c>
      <c r="J309" s="12" t="s">
        <v>3553</v>
      </c>
    </row>
    <row r="310">
      <c r="A310" s="22"/>
      <c r="B310" s="7" t="s">
        <v>17</v>
      </c>
      <c r="C310" s="8" t="s">
        <v>786</v>
      </c>
      <c r="D310" s="8" t="s">
        <v>130</v>
      </c>
      <c r="E310" s="8" t="s">
        <v>131</v>
      </c>
      <c r="J310" s="12" t="s">
        <v>3554</v>
      </c>
    </row>
    <row r="311">
      <c r="A311" s="22"/>
      <c r="B311" s="7" t="s">
        <v>17</v>
      </c>
      <c r="C311" s="8" t="s">
        <v>3555</v>
      </c>
      <c r="D311" s="8" t="s">
        <v>130</v>
      </c>
      <c r="E311" s="8" t="s">
        <v>3033</v>
      </c>
      <c r="J311" s="12" t="s">
        <v>3556</v>
      </c>
    </row>
    <row r="312">
      <c r="A312" s="22"/>
      <c r="B312" s="7" t="s">
        <v>20</v>
      </c>
      <c r="C312" s="8" t="s">
        <v>3557</v>
      </c>
      <c r="D312" s="8" t="s">
        <v>130</v>
      </c>
      <c r="E312" s="8" t="s">
        <v>135</v>
      </c>
      <c r="J312" s="12" t="s">
        <v>3558</v>
      </c>
    </row>
    <row r="313">
      <c r="A313" s="22"/>
      <c r="B313" s="7" t="s">
        <v>20</v>
      </c>
      <c r="C313" s="8" t="s">
        <v>3559</v>
      </c>
      <c r="D313" s="8" t="s">
        <v>130</v>
      </c>
      <c r="E313" s="8" t="s">
        <v>3033</v>
      </c>
      <c r="J313" s="12" t="s">
        <v>3560</v>
      </c>
    </row>
    <row r="314">
      <c r="A314" s="22"/>
      <c r="B314" s="7" t="s">
        <v>20</v>
      </c>
      <c r="C314" s="8" t="s">
        <v>3209</v>
      </c>
      <c r="D314" s="8" t="s">
        <v>130</v>
      </c>
      <c r="E314" s="8" t="s">
        <v>131</v>
      </c>
      <c r="J314" s="12" t="s">
        <v>3561</v>
      </c>
    </row>
    <row r="315">
      <c r="A315" s="22"/>
      <c r="B315" s="7" t="s">
        <v>20</v>
      </c>
      <c r="C315" s="8" t="s">
        <v>3562</v>
      </c>
      <c r="D315" s="8" t="s">
        <v>130</v>
      </c>
      <c r="E315" s="8" t="s">
        <v>3226</v>
      </c>
      <c r="J315" s="12" t="s">
        <v>3563</v>
      </c>
    </row>
    <row r="316">
      <c r="A316" s="22"/>
      <c r="B316" s="7" t="s">
        <v>20</v>
      </c>
      <c r="C316" s="8" t="s">
        <v>3564</v>
      </c>
      <c r="D316" s="8" t="s">
        <v>130</v>
      </c>
      <c r="E316" s="8" t="s">
        <v>3089</v>
      </c>
      <c r="J316" s="12" t="s">
        <v>3108</v>
      </c>
    </row>
    <row r="317">
      <c r="A317" s="22"/>
      <c r="B317" s="7" t="s">
        <v>20</v>
      </c>
      <c r="C317" s="8" t="s">
        <v>3565</v>
      </c>
      <c r="D317" s="8" t="s">
        <v>130</v>
      </c>
      <c r="E317" s="8" t="s">
        <v>3476</v>
      </c>
      <c r="J317" s="12" t="s">
        <v>3566</v>
      </c>
    </row>
    <row r="318">
      <c r="A318" s="22"/>
      <c r="B318" s="22"/>
    </row>
    <row r="319">
      <c r="A319" s="22"/>
      <c r="B319" s="22"/>
    </row>
    <row r="320">
      <c r="A320" s="22"/>
      <c r="B320" s="22"/>
    </row>
    <row r="321">
      <c r="A321" s="22"/>
      <c r="B321" s="22"/>
    </row>
    <row r="322">
      <c r="A322" s="22"/>
      <c r="B322" s="22"/>
    </row>
    <row r="323">
      <c r="A323" s="22"/>
      <c r="B323" s="22"/>
    </row>
    <row r="324">
      <c r="A324" s="22"/>
      <c r="B324" s="22"/>
    </row>
    <row r="325">
      <c r="A325" s="22"/>
      <c r="B325" s="22"/>
    </row>
    <row r="326">
      <c r="A326" s="22"/>
      <c r="B326" s="22"/>
    </row>
    <row r="327">
      <c r="A327" s="22"/>
      <c r="B327" s="22"/>
    </row>
    <row r="328">
      <c r="A328" s="22"/>
      <c r="B328" s="22"/>
    </row>
    <row r="329">
      <c r="A329" s="22"/>
      <c r="B329" s="22"/>
    </row>
    <row r="330">
      <c r="A330" s="22"/>
      <c r="B330" s="22"/>
    </row>
    <row r="331">
      <c r="A331" s="22"/>
      <c r="B331" s="22"/>
    </row>
    <row r="332">
      <c r="A332" s="22"/>
      <c r="B332" s="22"/>
    </row>
    <row r="333">
      <c r="A333" s="22"/>
      <c r="B333" s="22"/>
    </row>
    <row r="334">
      <c r="A334" s="22"/>
      <c r="B334" s="22"/>
    </row>
    <row r="335">
      <c r="A335" s="22"/>
      <c r="B335" s="22"/>
    </row>
    <row r="336">
      <c r="A336" s="22"/>
      <c r="B336" s="22"/>
    </row>
    <row r="337">
      <c r="A337" s="22"/>
      <c r="B337" s="22"/>
    </row>
    <row r="338">
      <c r="A338" s="22"/>
      <c r="B338" s="22"/>
    </row>
    <row r="339">
      <c r="A339" s="22"/>
      <c r="B339" s="22"/>
    </row>
    <row r="340">
      <c r="A340" s="22"/>
      <c r="B340" s="22"/>
    </row>
    <row r="341">
      <c r="A341" s="22"/>
      <c r="B341" s="22"/>
    </row>
    <row r="342">
      <c r="A342" s="22"/>
      <c r="B342" s="22"/>
    </row>
    <row r="343">
      <c r="A343" s="22"/>
      <c r="B343" s="22"/>
    </row>
    <row r="344">
      <c r="A344" s="22"/>
      <c r="B344" s="22"/>
    </row>
    <row r="345">
      <c r="A345" s="22"/>
      <c r="B345" s="22"/>
    </row>
    <row r="346">
      <c r="A346" s="22"/>
      <c r="B346" s="22"/>
    </row>
    <row r="347">
      <c r="A347" s="22"/>
      <c r="B347" s="22"/>
    </row>
    <row r="348">
      <c r="A348" s="22"/>
      <c r="B348" s="22"/>
    </row>
    <row r="349">
      <c r="A349" s="22"/>
      <c r="B349" s="22"/>
    </row>
    <row r="350">
      <c r="A350" s="22"/>
      <c r="B350" s="22"/>
    </row>
    <row r="351">
      <c r="A351" s="22"/>
      <c r="B351" s="22"/>
    </row>
    <row r="352">
      <c r="A352" s="22"/>
      <c r="B352" s="22"/>
    </row>
    <row r="353">
      <c r="A353" s="22"/>
      <c r="B353" s="22"/>
    </row>
    <row r="354">
      <c r="A354" s="22"/>
      <c r="B354" s="22"/>
    </row>
    <row r="355">
      <c r="A355" s="22"/>
      <c r="B355" s="22"/>
    </row>
    <row r="356">
      <c r="A356" s="22"/>
      <c r="B356" s="22"/>
    </row>
    <row r="357">
      <c r="A357" s="22"/>
      <c r="B357" s="22"/>
    </row>
    <row r="358">
      <c r="A358" s="22"/>
      <c r="B358" s="22"/>
    </row>
    <row r="359">
      <c r="A359" s="22"/>
      <c r="B359" s="22"/>
    </row>
    <row r="360">
      <c r="A360" s="22"/>
      <c r="B360" s="22"/>
    </row>
    <row r="361">
      <c r="A361" s="22"/>
      <c r="B361" s="22"/>
    </row>
    <row r="362">
      <c r="A362" s="22"/>
      <c r="B362" s="22"/>
    </row>
    <row r="363">
      <c r="A363" s="22"/>
      <c r="B363" s="22"/>
    </row>
    <row r="364">
      <c r="A364" s="22"/>
      <c r="B364" s="22"/>
    </row>
    <row r="365">
      <c r="A365" s="22"/>
      <c r="B365" s="22"/>
    </row>
    <row r="366">
      <c r="A366" s="22"/>
      <c r="B366" s="22"/>
    </row>
    <row r="367">
      <c r="A367" s="22"/>
      <c r="B367" s="22"/>
    </row>
    <row r="368">
      <c r="A368" s="22"/>
      <c r="B368" s="22"/>
    </row>
    <row r="369">
      <c r="A369" s="22"/>
      <c r="B369" s="22"/>
    </row>
    <row r="370">
      <c r="A370" s="22"/>
      <c r="B370" s="22"/>
    </row>
    <row r="371">
      <c r="A371" s="22"/>
      <c r="B371" s="22"/>
    </row>
    <row r="372">
      <c r="A372" s="22"/>
      <c r="B372" s="22"/>
    </row>
    <row r="373">
      <c r="A373" s="22"/>
      <c r="B373" s="22"/>
    </row>
    <row r="374">
      <c r="A374" s="22"/>
      <c r="B374" s="22"/>
    </row>
    <row r="375">
      <c r="A375" s="22"/>
      <c r="B375" s="22"/>
    </row>
    <row r="376">
      <c r="A376" s="22"/>
      <c r="B376" s="22"/>
    </row>
    <row r="377">
      <c r="A377" s="22"/>
      <c r="B377" s="22"/>
    </row>
    <row r="378">
      <c r="A378" s="22"/>
      <c r="B378" s="22"/>
    </row>
    <row r="379">
      <c r="A379" s="22"/>
      <c r="B379" s="22"/>
    </row>
    <row r="380">
      <c r="A380" s="22"/>
      <c r="B380" s="22"/>
    </row>
    <row r="381">
      <c r="A381" s="22"/>
      <c r="B381" s="22"/>
    </row>
    <row r="382">
      <c r="A382" s="22"/>
      <c r="B382" s="22"/>
    </row>
    <row r="383">
      <c r="A383" s="22"/>
      <c r="B383" s="22"/>
    </row>
    <row r="384">
      <c r="A384" s="22"/>
      <c r="B384" s="22"/>
    </row>
    <row r="385">
      <c r="A385" s="22"/>
      <c r="B385" s="22"/>
    </row>
    <row r="386">
      <c r="A386" s="22"/>
      <c r="B386" s="22"/>
    </row>
    <row r="387">
      <c r="A387" s="22"/>
      <c r="B387" s="22"/>
    </row>
    <row r="388">
      <c r="A388" s="22"/>
      <c r="B388" s="22"/>
    </row>
    <row r="389">
      <c r="A389" s="22"/>
      <c r="B389" s="22"/>
    </row>
    <row r="390">
      <c r="A390" s="22"/>
      <c r="B390" s="22"/>
    </row>
    <row r="391">
      <c r="A391" s="22"/>
      <c r="B391" s="22"/>
    </row>
    <row r="392">
      <c r="A392" s="22"/>
      <c r="B392" s="22"/>
    </row>
    <row r="393">
      <c r="A393" s="22"/>
      <c r="B393" s="22"/>
    </row>
    <row r="394">
      <c r="A394" s="22"/>
      <c r="B394" s="22"/>
    </row>
    <row r="395">
      <c r="A395" s="22"/>
      <c r="B395" s="22"/>
    </row>
    <row r="396">
      <c r="A396" s="22"/>
      <c r="B396" s="22"/>
    </row>
    <row r="397">
      <c r="A397" s="22"/>
      <c r="B397" s="22"/>
    </row>
    <row r="398">
      <c r="A398" s="22"/>
      <c r="B398" s="22"/>
    </row>
    <row r="399">
      <c r="A399" s="22"/>
      <c r="B399" s="22"/>
    </row>
    <row r="400">
      <c r="A400" s="22"/>
      <c r="B400" s="22"/>
    </row>
    <row r="401">
      <c r="A401" s="22"/>
      <c r="B401" s="22"/>
    </row>
    <row r="402">
      <c r="A402" s="22"/>
      <c r="B402" s="22"/>
    </row>
    <row r="403">
      <c r="A403" s="22"/>
      <c r="B403" s="22"/>
    </row>
    <row r="404">
      <c r="A404" s="22"/>
      <c r="B404" s="22"/>
    </row>
    <row r="405">
      <c r="A405" s="22"/>
      <c r="B405" s="22"/>
    </row>
    <row r="406">
      <c r="A406" s="22"/>
      <c r="B406" s="22"/>
    </row>
    <row r="407">
      <c r="A407" s="22"/>
      <c r="B407" s="22"/>
    </row>
    <row r="408">
      <c r="A408" s="22"/>
      <c r="B408" s="22"/>
    </row>
    <row r="409">
      <c r="A409" s="22"/>
      <c r="B409" s="22"/>
    </row>
    <row r="410">
      <c r="A410" s="22"/>
      <c r="B410" s="22"/>
    </row>
    <row r="411">
      <c r="A411" s="22"/>
      <c r="B411" s="22"/>
    </row>
    <row r="412">
      <c r="A412" s="22"/>
      <c r="B412" s="22"/>
    </row>
    <row r="413">
      <c r="A413" s="22"/>
      <c r="B413" s="22"/>
    </row>
    <row r="414">
      <c r="A414" s="22"/>
      <c r="B414" s="22"/>
    </row>
    <row r="415">
      <c r="A415" s="22"/>
      <c r="B415" s="22"/>
    </row>
    <row r="416">
      <c r="A416" s="22"/>
      <c r="B416" s="22"/>
    </row>
    <row r="417">
      <c r="A417" s="22"/>
      <c r="B417" s="22"/>
    </row>
    <row r="418">
      <c r="A418" s="22"/>
      <c r="B418" s="22"/>
    </row>
    <row r="419">
      <c r="A419" s="22"/>
      <c r="B419" s="22"/>
    </row>
    <row r="420">
      <c r="A420" s="22"/>
      <c r="B420" s="22"/>
    </row>
    <row r="421">
      <c r="A421" s="22"/>
      <c r="B421" s="22"/>
    </row>
    <row r="422">
      <c r="A422" s="22"/>
      <c r="B422" s="22"/>
    </row>
    <row r="423">
      <c r="A423" s="22"/>
      <c r="B423" s="22"/>
    </row>
    <row r="424">
      <c r="A424" s="22"/>
      <c r="B424" s="22"/>
    </row>
    <row r="425">
      <c r="A425" s="22"/>
      <c r="B425" s="22"/>
    </row>
    <row r="426">
      <c r="A426" s="22"/>
      <c r="B426" s="22"/>
    </row>
    <row r="427">
      <c r="A427" s="22"/>
      <c r="B427" s="22"/>
    </row>
    <row r="428">
      <c r="A428" s="22"/>
      <c r="B428" s="22"/>
    </row>
    <row r="429">
      <c r="A429" s="22"/>
      <c r="B429" s="22"/>
    </row>
    <row r="430">
      <c r="A430" s="22"/>
      <c r="B430" s="22"/>
    </row>
    <row r="431">
      <c r="A431" s="22"/>
      <c r="B431" s="22"/>
    </row>
    <row r="432">
      <c r="A432" s="22"/>
      <c r="B432" s="22"/>
    </row>
    <row r="433">
      <c r="A433" s="22"/>
      <c r="B433" s="22"/>
    </row>
    <row r="434">
      <c r="A434" s="22"/>
      <c r="B434" s="22"/>
    </row>
    <row r="435">
      <c r="A435" s="22"/>
      <c r="B435" s="22"/>
    </row>
    <row r="436">
      <c r="A436" s="22"/>
      <c r="B436" s="22"/>
    </row>
    <row r="437">
      <c r="A437" s="22"/>
      <c r="B437" s="22"/>
    </row>
    <row r="438">
      <c r="A438" s="22"/>
      <c r="B438" s="22"/>
    </row>
    <row r="439">
      <c r="A439" s="22"/>
      <c r="B439" s="22"/>
    </row>
    <row r="440">
      <c r="A440" s="22"/>
      <c r="B440" s="22"/>
    </row>
    <row r="441">
      <c r="A441" s="22"/>
      <c r="B441" s="22"/>
    </row>
    <row r="442">
      <c r="A442" s="22"/>
      <c r="B442" s="22"/>
    </row>
    <row r="443">
      <c r="A443" s="22"/>
      <c r="B443" s="22"/>
    </row>
    <row r="444">
      <c r="A444" s="22"/>
      <c r="B444" s="22"/>
    </row>
    <row r="445">
      <c r="A445" s="22"/>
      <c r="B445" s="22"/>
    </row>
    <row r="446">
      <c r="A446" s="22"/>
      <c r="B446" s="22"/>
    </row>
    <row r="447">
      <c r="A447" s="22"/>
      <c r="B447" s="22"/>
    </row>
    <row r="448">
      <c r="A448" s="22"/>
      <c r="B448" s="22"/>
    </row>
    <row r="449">
      <c r="A449" s="22"/>
      <c r="B449" s="22"/>
    </row>
    <row r="450">
      <c r="A450" s="22"/>
      <c r="B450" s="22"/>
    </row>
    <row r="451">
      <c r="A451" s="22"/>
      <c r="B451" s="22"/>
    </row>
    <row r="452">
      <c r="A452" s="22"/>
      <c r="B452" s="22"/>
    </row>
    <row r="453">
      <c r="A453" s="22"/>
      <c r="B453" s="22"/>
    </row>
    <row r="454">
      <c r="A454" s="22"/>
      <c r="B454" s="22"/>
    </row>
    <row r="455">
      <c r="A455" s="22"/>
      <c r="B455" s="22"/>
    </row>
    <row r="456">
      <c r="A456" s="22"/>
      <c r="B456" s="22"/>
    </row>
    <row r="457">
      <c r="A457" s="22"/>
      <c r="B457" s="22"/>
    </row>
    <row r="458">
      <c r="A458" s="22"/>
      <c r="B458" s="22"/>
    </row>
    <row r="459">
      <c r="A459" s="22"/>
      <c r="B459" s="22"/>
    </row>
    <row r="460">
      <c r="A460" s="22"/>
      <c r="B460" s="22"/>
    </row>
    <row r="461">
      <c r="A461" s="22"/>
      <c r="B461" s="22"/>
    </row>
    <row r="462">
      <c r="A462" s="22"/>
      <c r="B462" s="22"/>
    </row>
    <row r="463">
      <c r="A463" s="22"/>
      <c r="B463" s="22"/>
    </row>
    <row r="464">
      <c r="A464" s="22"/>
      <c r="B464" s="22"/>
    </row>
    <row r="465">
      <c r="A465" s="22"/>
      <c r="B465" s="22"/>
    </row>
    <row r="466">
      <c r="A466" s="22"/>
      <c r="B466" s="22"/>
    </row>
    <row r="467">
      <c r="A467" s="22"/>
      <c r="B467" s="22"/>
    </row>
    <row r="468">
      <c r="A468" s="22"/>
      <c r="B468" s="22"/>
    </row>
    <row r="469">
      <c r="A469" s="22"/>
      <c r="B469" s="22"/>
    </row>
    <row r="470">
      <c r="A470" s="22"/>
      <c r="B470" s="22"/>
    </row>
    <row r="471">
      <c r="A471" s="22"/>
      <c r="B471" s="22"/>
    </row>
    <row r="472">
      <c r="A472" s="22"/>
      <c r="B472" s="22"/>
    </row>
    <row r="473">
      <c r="A473" s="22"/>
      <c r="B473" s="22"/>
    </row>
    <row r="474">
      <c r="A474" s="22"/>
      <c r="B474" s="22"/>
    </row>
    <row r="475">
      <c r="A475" s="22"/>
      <c r="B475" s="22"/>
    </row>
    <row r="476">
      <c r="A476" s="22"/>
      <c r="B476" s="22"/>
    </row>
    <row r="477">
      <c r="A477" s="22"/>
      <c r="B477" s="22"/>
    </row>
    <row r="478">
      <c r="A478" s="22"/>
      <c r="B478" s="22"/>
    </row>
    <row r="479">
      <c r="A479" s="22"/>
      <c r="B479" s="22"/>
    </row>
    <row r="480">
      <c r="A480" s="22"/>
      <c r="B480" s="22"/>
    </row>
    <row r="481">
      <c r="A481" s="22"/>
      <c r="B481" s="22"/>
    </row>
    <row r="482">
      <c r="A482" s="22"/>
      <c r="B482" s="22"/>
    </row>
    <row r="483">
      <c r="A483" s="22"/>
      <c r="B483" s="22"/>
    </row>
    <row r="484">
      <c r="A484" s="22"/>
      <c r="B484" s="22"/>
    </row>
    <row r="485">
      <c r="A485" s="22"/>
      <c r="B485" s="22"/>
    </row>
    <row r="486">
      <c r="A486" s="22"/>
      <c r="B486" s="22"/>
    </row>
    <row r="487">
      <c r="A487" s="22"/>
      <c r="B487" s="22"/>
    </row>
    <row r="488">
      <c r="A488" s="22"/>
      <c r="B488" s="22"/>
    </row>
    <row r="489">
      <c r="A489" s="22"/>
      <c r="B489" s="22"/>
    </row>
    <row r="490">
      <c r="A490" s="22"/>
      <c r="B490" s="22"/>
    </row>
    <row r="491">
      <c r="A491" s="22"/>
      <c r="B491" s="22"/>
    </row>
    <row r="492">
      <c r="A492" s="22"/>
      <c r="B492" s="22"/>
    </row>
    <row r="493">
      <c r="A493" s="22"/>
      <c r="B493" s="22"/>
    </row>
    <row r="494">
      <c r="A494" s="22"/>
      <c r="B494" s="22"/>
    </row>
    <row r="495">
      <c r="A495" s="22"/>
      <c r="B495" s="22"/>
    </row>
    <row r="496">
      <c r="A496" s="22"/>
      <c r="B496" s="22"/>
    </row>
    <row r="497">
      <c r="A497" s="22"/>
      <c r="B497" s="22"/>
    </row>
    <row r="498">
      <c r="A498" s="22"/>
      <c r="B498" s="22"/>
    </row>
    <row r="499">
      <c r="A499" s="22"/>
      <c r="B499" s="22"/>
    </row>
    <row r="500">
      <c r="A500" s="22"/>
      <c r="B500" s="22"/>
    </row>
    <row r="501">
      <c r="A501" s="22"/>
      <c r="B501" s="22"/>
    </row>
    <row r="502">
      <c r="A502" s="22"/>
      <c r="B502" s="22"/>
    </row>
    <row r="503">
      <c r="A503" s="22"/>
      <c r="B503" s="22"/>
    </row>
    <row r="504">
      <c r="A504" s="22"/>
      <c r="B504" s="22"/>
    </row>
    <row r="505">
      <c r="A505" s="22"/>
      <c r="B505" s="22"/>
    </row>
    <row r="506">
      <c r="A506" s="22"/>
      <c r="B506" s="22"/>
    </row>
    <row r="507">
      <c r="A507" s="22"/>
      <c r="B507" s="22"/>
    </row>
    <row r="508">
      <c r="A508" s="22"/>
      <c r="B508" s="22"/>
    </row>
    <row r="509">
      <c r="A509" s="22"/>
      <c r="B509" s="22"/>
    </row>
    <row r="510">
      <c r="A510" s="22"/>
      <c r="B510" s="22"/>
    </row>
    <row r="511">
      <c r="A511" s="22"/>
      <c r="B511" s="22"/>
    </row>
    <row r="512">
      <c r="A512" s="22"/>
      <c r="B512" s="22"/>
    </row>
    <row r="513">
      <c r="A513" s="22"/>
      <c r="B513" s="22"/>
    </row>
    <row r="514">
      <c r="A514" s="22"/>
      <c r="B514" s="22"/>
    </row>
    <row r="515">
      <c r="A515" s="22"/>
      <c r="B515" s="22"/>
    </row>
    <row r="516">
      <c r="A516" s="22"/>
      <c r="B516" s="22"/>
    </row>
    <row r="517">
      <c r="A517" s="22"/>
      <c r="B517" s="22"/>
    </row>
    <row r="518">
      <c r="A518" s="22"/>
      <c r="B518" s="22"/>
    </row>
    <row r="519">
      <c r="A519" s="22"/>
      <c r="B519" s="22"/>
    </row>
    <row r="520">
      <c r="A520" s="22"/>
      <c r="B520" s="22"/>
    </row>
    <row r="521">
      <c r="A521" s="22"/>
      <c r="B521" s="22"/>
    </row>
    <row r="522">
      <c r="A522" s="22"/>
      <c r="B522" s="22"/>
    </row>
    <row r="523">
      <c r="A523" s="22"/>
      <c r="B523" s="22"/>
    </row>
    <row r="524">
      <c r="A524" s="22"/>
      <c r="B524" s="22"/>
    </row>
    <row r="525">
      <c r="A525" s="22"/>
      <c r="B525" s="22"/>
    </row>
    <row r="526">
      <c r="A526" s="22"/>
      <c r="B526" s="22"/>
    </row>
    <row r="527">
      <c r="A527" s="22"/>
      <c r="B527" s="22"/>
    </row>
    <row r="528">
      <c r="A528" s="22"/>
      <c r="B528" s="22"/>
    </row>
    <row r="529">
      <c r="A529" s="22"/>
      <c r="B529" s="22"/>
    </row>
    <row r="530">
      <c r="A530" s="22"/>
      <c r="B530" s="22"/>
    </row>
    <row r="531">
      <c r="A531" s="22"/>
      <c r="B531" s="22"/>
    </row>
    <row r="532">
      <c r="A532" s="22"/>
      <c r="B532" s="22"/>
    </row>
    <row r="533">
      <c r="A533" s="22"/>
      <c r="B533" s="22"/>
    </row>
    <row r="534">
      <c r="A534" s="22"/>
      <c r="B534" s="22"/>
    </row>
    <row r="535">
      <c r="A535" s="22"/>
      <c r="B535" s="22"/>
    </row>
    <row r="536">
      <c r="A536" s="22"/>
      <c r="B536" s="22"/>
    </row>
    <row r="537">
      <c r="A537" s="22"/>
      <c r="B537" s="22"/>
    </row>
    <row r="538">
      <c r="A538" s="22"/>
      <c r="B538" s="22"/>
    </row>
    <row r="539">
      <c r="A539" s="22"/>
      <c r="B539" s="22"/>
    </row>
    <row r="540">
      <c r="A540" s="22"/>
      <c r="B540" s="22"/>
    </row>
    <row r="541">
      <c r="A541" s="22"/>
      <c r="B541" s="22"/>
    </row>
    <row r="542">
      <c r="A542" s="22"/>
      <c r="B542" s="22"/>
    </row>
    <row r="543">
      <c r="A543" s="22"/>
      <c r="B543" s="22"/>
    </row>
    <row r="544">
      <c r="A544" s="22"/>
      <c r="B544" s="22"/>
    </row>
    <row r="545">
      <c r="A545" s="22"/>
      <c r="B545" s="22"/>
    </row>
    <row r="546">
      <c r="A546" s="22"/>
      <c r="B546" s="22"/>
    </row>
    <row r="547">
      <c r="A547" s="22"/>
      <c r="B547" s="22"/>
    </row>
    <row r="548">
      <c r="A548" s="22"/>
      <c r="B548" s="22"/>
    </row>
    <row r="549">
      <c r="A549" s="22"/>
      <c r="B549" s="22"/>
    </row>
    <row r="550">
      <c r="A550" s="22"/>
      <c r="B550" s="22"/>
    </row>
    <row r="551">
      <c r="A551" s="22"/>
      <c r="B551" s="22"/>
    </row>
    <row r="552">
      <c r="A552" s="22"/>
      <c r="B552" s="22"/>
    </row>
    <row r="553">
      <c r="A553" s="22"/>
      <c r="B553" s="22"/>
    </row>
    <row r="554">
      <c r="A554" s="22"/>
      <c r="B554" s="22"/>
    </row>
    <row r="555">
      <c r="A555" s="22"/>
      <c r="B555" s="22"/>
    </row>
    <row r="556">
      <c r="A556" s="22"/>
      <c r="B556" s="22"/>
    </row>
    <row r="557">
      <c r="A557" s="22"/>
      <c r="B557" s="22"/>
    </row>
    <row r="558">
      <c r="A558" s="22"/>
      <c r="B558" s="22"/>
    </row>
    <row r="559">
      <c r="A559" s="22"/>
      <c r="B559" s="22"/>
    </row>
    <row r="560">
      <c r="A560" s="22"/>
      <c r="B560" s="22"/>
    </row>
    <row r="561">
      <c r="A561" s="22"/>
      <c r="B561" s="22"/>
    </row>
    <row r="562">
      <c r="A562" s="22"/>
      <c r="B562" s="22"/>
    </row>
    <row r="563">
      <c r="A563" s="22"/>
      <c r="B563" s="22"/>
    </row>
    <row r="564">
      <c r="A564" s="22"/>
      <c r="B564" s="22"/>
    </row>
    <row r="565">
      <c r="A565" s="22"/>
      <c r="B565" s="22"/>
    </row>
    <row r="566">
      <c r="A566" s="22"/>
      <c r="B566" s="22"/>
    </row>
    <row r="567">
      <c r="A567" s="22"/>
      <c r="B567" s="22"/>
    </row>
    <row r="568">
      <c r="A568" s="22"/>
      <c r="B568" s="22"/>
    </row>
    <row r="569">
      <c r="A569" s="22"/>
      <c r="B569" s="22"/>
    </row>
    <row r="570">
      <c r="A570" s="22"/>
      <c r="B570" s="22"/>
    </row>
    <row r="571">
      <c r="A571" s="22"/>
      <c r="B571" s="22"/>
    </row>
    <row r="572">
      <c r="A572" s="22"/>
      <c r="B572" s="22"/>
    </row>
    <row r="573">
      <c r="A573" s="22"/>
      <c r="B573" s="22"/>
    </row>
    <row r="574">
      <c r="A574" s="22"/>
      <c r="B574" s="22"/>
    </row>
    <row r="575">
      <c r="A575" s="22"/>
      <c r="B575" s="22"/>
    </row>
    <row r="576">
      <c r="A576" s="22"/>
      <c r="B576" s="22"/>
    </row>
    <row r="577">
      <c r="A577" s="22"/>
      <c r="B577" s="22"/>
    </row>
    <row r="578">
      <c r="A578" s="22"/>
      <c r="B578" s="22"/>
    </row>
    <row r="579">
      <c r="A579" s="22"/>
      <c r="B579" s="22"/>
    </row>
    <row r="580">
      <c r="A580" s="22"/>
      <c r="B580" s="22"/>
    </row>
    <row r="581">
      <c r="A581" s="22"/>
      <c r="B581" s="22"/>
    </row>
    <row r="582">
      <c r="A582" s="22"/>
      <c r="B582" s="22"/>
    </row>
    <row r="583">
      <c r="A583" s="22"/>
      <c r="B583" s="22"/>
    </row>
    <row r="584">
      <c r="A584" s="22"/>
      <c r="B584" s="22"/>
    </row>
    <row r="585">
      <c r="A585" s="22"/>
      <c r="B585" s="22"/>
    </row>
    <row r="586">
      <c r="A586" s="22"/>
      <c r="B586" s="22"/>
    </row>
    <row r="587">
      <c r="A587" s="22"/>
      <c r="B587" s="22"/>
    </row>
    <row r="588">
      <c r="A588" s="22"/>
      <c r="B588" s="22"/>
    </row>
    <row r="589">
      <c r="A589" s="22"/>
      <c r="B589" s="22"/>
    </row>
    <row r="590">
      <c r="A590" s="22"/>
      <c r="B590" s="22"/>
    </row>
    <row r="591">
      <c r="A591" s="22"/>
      <c r="B591" s="22"/>
    </row>
    <row r="592">
      <c r="A592" s="22"/>
      <c r="B592" s="22"/>
    </row>
    <row r="593">
      <c r="A593" s="22"/>
      <c r="B593" s="22"/>
    </row>
    <row r="594">
      <c r="A594" s="22"/>
      <c r="B594" s="22"/>
    </row>
    <row r="595">
      <c r="A595" s="22"/>
      <c r="B595" s="22"/>
    </row>
    <row r="596">
      <c r="A596" s="22"/>
      <c r="B596" s="22"/>
    </row>
    <row r="597">
      <c r="A597" s="22"/>
      <c r="B597" s="22"/>
    </row>
    <row r="598">
      <c r="A598" s="22"/>
      <c r="B598" s="22"/>
    </row>
    <row r="599">
      <c r="A599" s="22"/>
      <c r="B599" s="22"/>
    </row>
    <row r="600">
      <c r="A600" s="22"/>
      <c r="B600" s="22"/>
    </row>
    <row r="601">
      <c r="A601" s="22"/>
      <c r="B601" s="22"/>
    </row>
    <row r="602">
      <c r="A602" s="22"/>
      <c r="B602" s="22"/>
    </row>
    <row r="603">
      <c r="A603" s="22"/>
      <c r="B603" s="22"/>
    </row>
    <row r="604">
      <c r="A604" s="22"/>
      <c r="B604" s="22"/>
    </row>
    <row r="605">
      <c r="A605" s="22"/>
      <c r="B605" s="22"/>
    </row>
    <row r="606">
      <c r="A606" s="22"/>
      <c r="B606" s="22"/>
    </row>
    <row r="607">
      <c r="A607" s="22"/>
      <c r="B607" s="22"/>
    </row>
    <row r="608">
      <c r="A608" s="22"/>
      <c r="B608" s="22"/>
    </row>
    <row r="609">
      <c r="A609" s="22"/>
      <c r="B609" s="22"/>
    </row>
    <row r="610">
      <c r="A610" s="22"/>
      <c r="B610" s="22"/>
    </row>
    <row r="611">
      <c r="A611" s="22"/>
      <c r="B611" s="22"/>
    </row>
    <row r="612">
      <c r="A612" s="22"/>
      <c r="B612" s="22"/>
    </row>
    <row r="613">
      <c r="A613" s="22"/>
      <c r="B613" s="22"/>
    </row>
    <row r="614">
      <c r="A614" s="22"/>
      <c r="B614" s="22"/>
    </row>
    <row r="615">
      <c r="A615" s="22"/>
      <c r="B615" s="22"/>
    </row>
    <row r="616">
      <c r="A616" s="22"/>
      <c r="B616" s="22"/>
    </row>
    <row r="617">
      <c r="A617" s="22"/>
      <c r="B617" s="22"/>
    </row>
    <row r="618">
      <c r="A618" s="22"/>
      <c r="B618" s="22"/>
    </row>
    <row r="619">
      <c r="A619" s="22"/>
      <c r="B619" s="22"/>
    </row>
    <row r="620">
      <c r="A620" s="22"/>
      <c r="B620" s="22"/>
    </row>
    <row r="621">
      <c r="A621" s="22"/>
      <c r="B621" s="22"/>
    </row>
    <row r="622">
      <c r="A622" s="22"/>
      <c r="B622" s="22"/>
    </row>
    <row r="623">
      <c r="A623" s="22"/>
      <c r="B623" s="22"/>
    </row>
    <row r="624">
      <c r="A624" s="22"/>
      <c r="B624" s="22"/>
    </row>
    <row r="625">
      <c r="A625" s="22"/>
      <c r="B625" s="22"/>
    </row>
    <row r="626">
      <c r="A626" s="22"/>
      <c r="B626" s="22"/>
    </row>
    <row r="627">
      <c r="A627" s="22"/>
      <c r="B627" s="22"/>
    </row>
    <row r="628">
      <c r="A628" s="22"/>
      <c r="B628" s="22"/>
    </row>
    <row r="629">
      <c r="A629" s="22"/>
      <c r="B629" s="22"/>
    </row>
    <row r="630">
      <c r="A630" s="22"/>
      <c r="B630" s="22"/>
    </row>
    <row r="631">
      <c r="A631" s="22"/>
      <c r="B631" s="22"/>
    </row>
    <row r="632">
      <c r="A632" s="22"/>
      <c r="B632" s="22"/>
    </row>
    <row r="633">
      <c r="A633" s="22"/>
      <c r="B633" s="22"/>
    </row>
    <row r="634">
      <c r="A634" s="22"/>
      <c r="B634" s="22"/>
    </row>
    <row r="635">
      <c r="A635" s="22"/>
      <c r="B635" s="22"/>
    </row>
    <row r="636">
      <c r="A636" s="22"/>
      <c r="B636" s="22"/>
    </row>
    <row r="637">
      <c r="A637" s="22"/>
      <c r="B637" s="22"/>
    </row>
    <row r="638">
      <c r="A638" s="22"/>
      <c r="B638" s="22"/>
    </row>
    <row r="639">
      <c r="A639" s="22"/>
      <c r="B639" s="22"/>
    </row>
    <row r="640">
      <c r="A640" s="22"/>
      <c r="B640" s="22"/>
    </row>
    <row r="641">
      <c r="A641" s="22"/>
      <c r="B641" s="22"/>
    </row>
    <row r="642">
      <c r="A642" s="22"/>
      <c r="B642" s="22"/>
    </row>
    <row r="643">
      <c r="A643" s="22"/>
      <c r="B643" s="22"/>
    </row>
    <row r="644">
      <c r="A644" s="22"/>
      <c r="B644" s="22"/>
    </row>
    <row r="645">
      <c r="A645" s="22"/>
      <c r="B645" s="22"/>
    </row>
    <row r="646">
      <c r="A646" s="22"/>
      <c r="B646" s="22"/>
    </row>
    <row r="647">
      <c r="A647" s="22"/>
      <c r="B647" s="22"/>
    </row>
    <row r="648">
      <c r="A648" s="22"/>
      <c r="B648" s="22"/>
    </row>
    <row r="649">
      <c r="A649" s="22"/>
      <c r="B649" s="22"/>
    </row>
    <row r="650">
      <c r="A650" s="22"/>
      <c r="B650" s="22"/>
    </row>
    <row r="651">
      <c r="A651" s="22"/>
      <c r="B651" s="22"/>
    </row>
    <row r="652">
      <c r="A652" s="22"/>
      <c r="B652" s="22"/>
    </row>
    <row r="653">
      <c r="A653" s="22"/>
      <c r="B653" s="22"/>
    </row>
    <row r="654">
      <c r="A654" s="22"/>
      <c r="B654" s="22"/>
    </row>
    <row r="655">
      <c r="A655" s="22"/>
      <c r="B655" s="22"/>
    </row>
    <row r="656">
      <c r="A656" s="22"/>
      <c r="B656" s="22"/>
    </row>
    <row r="657">
      <c r="A657" s="22"/>
      <c r="B657" s="22"/>
    </row>
    <row r="658">
      <c r="A658" s="22"/>
      <c r="B658" s="22"/>
    </row>
    <row r="659">
      <c r="A659" s="22"/>
      <c r="B659" s="22"/>
    </row>
    <row r="660">
      <c r="A660" s="22"/>
      <c r="B660" s="22"/>
    </row>
    <row r="661">
      <c r="A661" s="22"/>
      <c r="B661" s="22"/>
    </row>
    <row r="662">
      <c r="A662" s="22"/>
      <c r="B662" s="22"/>
    </row>
    <row r="663">
      <c r="A663" s="22"/>
      <c r="B663" s="22"/>
    </row>
    <row r="664">
      <c r="A664" s="22"/>
      <c r="B664" s="22"/>
    </row>
    <row r="665">
      <c r="A665" s="22"/>
      <c r="B665" s="22"/>
    </row>
    <row r="666">
      <c r="A666" s="22"/>
      <c r="B666" s="22"/>
    </row>
    <row r="667">
      <c r="A667" s="22"/>
      <c r="B667" s="22"/>
    </row>
    <row r="668">
      <c r="A668" s="22"/>
      <c r="B668" s="22"/>
    </row>
    <row r="669">
      <c r="A669" s="22"/>
      <c r="B669" s="22"/>
    </row>
    <row r="670">
      <c r="A670" s="22"/>
      <c r="B670" s="22"/>
    </row>
    <row r="671">
      <c r="A671" s="22"/>
      <c r="B671" s="22"/>
    </row>
    <row r="672">
      <c r="A672" s="22"/>
      <c r="B672" s="22"/>
    </row>
    <row r="673">
      <c r="A673" s="22"/>
      <c r="B673" s="22"/>
    </row>
    <row r="674">
      <c r="A674" s="22"/>
      <c r="B674" s="22"/>
    </row>
    <row r="675">
      <c r="A675" s="22"/>
      <c r="B675" s="22"/>
    </row>
    <row r="676">
      <c r="A676" s="22"/>
      <c r="B676" s="22"/>
    </row>
    <row r="677">
      <c r="A677" s="22"/>
      <c r="B677" s="22"/>
    </row>
    <row r="678">
      <c r="A678" s="22"/>
      <c r="B678" s="22"/>
    </row>
    <row r="679">
      <c r="A679" s="22"/>
      <c r="B679" s="22"/>
    </row>
    <row r="680">
      <c r="A680" s="22"/>
      <c r="B680" s="22"/>
    </row>
    <row r="681">
      <c r="A681" s="22"/>
      <c r="B681" s="22"/>
    </row>
    <row r="682">
      <c r="A682" s="22"/>
      <c r="B682" s="22"/>
    </row>
    <row r="683">
      <c r="A683" s="22"/>
      <c r="B683" s="22"/>
    </row>
    <row r="684">
      <c r="A684" s="22"/>
      <c r="B684" s="22"/>
    </row>
    <row r="685">
      <c r="A685" s="22"/>
      <c r="B685" s="22"/>
    </row>
    <row r="686">
      <c r="A686" s="22"/>
      <c r="B686" s="22"/>
    </row>
    <row r="687">
      <c r="A687" s="22"/>
      <c r="B687" s="22"/>
    </row>
    <row r="688">
      <c r="A688" s="22"/>
      <c r="B688" s="22"/>
    </row>
    <row r="689">
      <c r="A689" s="22"/>
      <c r="B689" s="22"/>
    </row>
    <row r="690">
      <c r="A690" s="22"/>
      <c r="B690" s="22"/>
    </row>
    <row r="691">
      <c r="A691" s="22"/>
      <c r="B691" s="22"/>
    </row>
    <row r="692">
      <c r="A692" s="22"/>
      <c r="B692" s="22"/>
    </row>
    <row r="693">
      <c r="A693" s="22"/>
      <c r="B693" s="22"/>
    </row>
    <row r="694">
      <c r="A694" s="22"/>
      <c r="B694" s="22"/>
    </row>
    <row r="695">
      <c r="A695" s="22"/>
      <c r="B695" s="22"/>
    </row>
    <row r="696">
      <c r="A696" s="22"/>
      <c r="B696" s="22"/>
    </row>
    <row r="697">
      <c r="A697" s="22"/>
      <c r="B697" s="22"/>
    </row>
    <row r="698">
      <c r="A698" s="22"/>
      <c r="B698" s="22"/>
    </row>
    <row r="699">
      <c r="A699" s="22"/>
      <c r="B699" s="22"/>
    </row>
    <row r="700">
      <c r="A700" s="22"/>
      <c r="B700" s="22"/>
    </row>
    <row r="701">
      <c r="A701" s="22"/>
      <c r="B701" s="22"/>
    </row>
    <row r="702">
      <c r="A702" s="22"/>
      <c r="B702" s="22"/>
    </row>
    <row r="703">
      <c r="A703" s="22"/>
      <c r="B703" s="22"/>
    </row>
    <row r="704">
      <c r="A704" s="22"/>
      <c r="B704" s="22"/>
    </row>
    <row r="705">
      <c r="A705" s="22"/>
      <c r="B705" s="22"/>
    </row>
    <row r="706">
      <c r="A706" s="22"/>
      <c r="B706" s="22"/>
    </row>
    <row r="707">
      <c r="A707" s="22"/>
      <c r="B707" s="22"/>
    </row>
    <row r="708">
      <c r="A708" s="22"/>
      <c r="B708" s="22"/>
    </row>
    <row r="709">
      <c r="A709" s="22"/>
      <c r="B709" s="22"/>
    </row>
    <row r="710">
      <c r="A710" s="22"/>
      <c r="B710" s="22"/>
    </row>
    <row r="711">
      <c r="A711" s="22"/>
      <c r="B711" s="22"/>
    </row>
    <row r="712">
      <c r="A712" s="22"/>
      <c r="B712" s="22"/>
    </row>
    <row r="713">
      <c r="A713" s="22"/>
      <c r="B713" s="22"/>
    </row>
    <row r="714">
      <c r="A714" s="22"/>
      <c r="B714" s="22"/>
    </row>
    <row r="715">
      <c r="A715" s="22"/>
      <c r="B715" s="22"/>
    </row>
    <row r="716">
      <c r="A716" s="22"/>
      <c r="B716" s="22"/>
    </row>
    <row r="717">
      <c r="A717" s="22"/>
      <c r="B717" s="22"/>
    </row>
    <row r="718">
      <c r="A718" s="22"/>
      <c r="B718" s="22"/>
    </row>
    <row r="719">
      <c r="A719" s="22"/>
      <c r="B719" s="22"/>
    </row>
    <row r="720">
      <c r="A720" s="22"/>
      <c r="B720" s="22"/>
    </row>
    <row r="721">
      <c r="A721" s="22"/>
      <c r="B721" s="22"/>
    </row>
    <row r="722">
      <c r="A722" s="22"/>
      <c r="B722" s="22"/>
    </row>
    <row r="723">
      <c r="A723" s="22"/>
      <c r="B723" s="22"/>
    </row>
    <row r="724">
      <c r="A724" s="22"/>
      <c r="B724" s="22"/>
    </row>
    <row r="725">
      <c r="A725" s="22"/>
      <c r="B725" s="22"/>
    </row>
    <row r="726">
      <c r="A726" s="22"/>
      <c r="B726" s="22"/>
    </row>
    <row r="727">
      <c r="A727" s="22"/>
      <c r="B727" s="22"/>
    </row>
    <row r="728">
      <c r="A728" s="22"/>
      <c r="B728" s="22"/>
    </row>
    <row r="729">
      <c r="A729" s="22"/>
      <c r="B729" s="22"/>
    </row>
    <row r="730">
      <c r="A730" s="22"/>
      <c r="B730" s="22"/>
    </row>
    <row r="731">
      <c r="A731" s="22"/>
      <c r="B731" s="22"/>
    </row>
    <row r="732">
      <c r="A732" s="22"/>
      <c r="B732" s="22"/>
    </row>
    <row r="733">
      <c r="A733" s="22"/>
      <c r="B733" s="22"/>
    </row>
    <row r="734">
      <c r="A734" s="22"/>
      <c r="B734" s="22"/>
    </row>
    <row r="735">
      <c r="A735" s="22"/>
      <c r="B735" s="22"/>
    </row>
    <row r="736">
      <c r="A736" s="22"/>
      <c r="B736" s="22"/>
    </row>
    <row r="737">
      <c r="A737" s="22"/>
      <c r="B737" s="22"/>
    </row>
    <row r="738">
      <c r="A738" s="22"/>
      <c r="B738" s="22"/>
    </row>
    <row r="739">
      <c r="A739" s="22"/>
      <c r="B739" s="22"/>
    </row>
    <row r="740">
      <c r="A740" s="22"/>
      <c r="B740" s="22"/>
    </row>
    <row r="741">
      <c r="A741" s="22"/>
      <c r="B741" s="22"/>
    </row>
    <row r="742">
      <c r="A742" s="22"/>
      <c r="B742" s="22"/>
    </row>
    <row r="743">
      <c r="A743" s="22"/>
      <c r="B743" s="22"/>
    </row>
    <row r="744">
      <c r="A744" s="22"/>
      <c r="B744" s="22"/>
    </row>
    <row r="745">
      <c r="A745" s="22"/>
      <c r="B745" s="22"/>
    </row>
    <row r="746">
      <c r="A746" s="22"/>
      <c r="B746" s="22"/>
    </row>
    <row r="747">
      <c r="A747" s="22"/>
      <c r="B747" s="22"/>
    </row>
    <row r="748">
      <c r="A748" s="22"/>
      <c r="B748" s="22"/>
    </row>
    <row r="749">
      <c r="A749" s="22"/>
      <c r="B749" s="22"/>
    </row>
    <row r="750">
      <c r="A750" s="22"/>
      <c r="B750" s="22"/>
    </row>
    <row r="751">
      <c r="A751" s="22"/>
      <c r="B751" s="22"/>
    </row>
    <row r="752">
      <c r="A752" s="22"/>
      <c r="B752" s="22"/>
    </row>
    <row r="753">
      <c r="A753" s="22"/>
      <c r="B753" s="22"/>
    </row>
    <row r="754">
      <c r="A754" s="22"/>
      <c r="B754" s="22"/>
    </row>
    <row r="755">
      <c r="A755" s="22"/>
      <c r="B755" s="22"/>
    </row>
    <row r="756">
      <c r="A756" s="22"/>
      <c r="B756" s="22"/>
    </row>
  </sheetData>
  <autoFilter ref="$A$1:$S$317">
    <sortState ref="A1:S317">
      <sortCondition ref="E1:E317"/>
    </sortState>
  </autoFilter>
  <conditionalFormatting sqref="A1:AC1">
    <cfRule type="notContainsBlanks" dxfId="0" priority="1">
      <formula>LEN(TRIM(A1))&gt;0</formula>
    </cfRule>
  </conditionalFormatting>
  <hyperlinks>
    <hyperlink r:id="rId1" ref="H2"/>
    <hyperlink r:id="rId2" ref="I2"/>
    <hyperlink r:id="rId3" ref="J2"/>
    <hyperlink r:id="rId4" ref="H3"/>
    <hyperlink r:id="rId5" ref="I3"/>
    <hyperlink r:id="rId6" ref="J3"/>
    <hyperlink r:id="rId7" ref="H4"/>
    <hyperlink r:id="rId8" ref="J4"/>
    <hyperlink r:id="rId9" ref="H5"/>
    <hyperlink r:id="rId10" ref="J5"/>
    <hyperlink r:id="rId11" ref="H6"/>
    <hyperlink r:id="rId12" ref="H7"/>
    <hyperlink r:id="rId13" ref="J7"/>
    <hyperlink r:id="rId14" ref="H8"/>
    <hyperlink r:id="rId15" ref="I8"/>
    <hyperlink r:id="rId16" ref="J8"/>
    <hyperlink r:id="rId17" ref="H9"/>
    <hyperlink r:id="rId18" ref="J9"/>
    <hyperlink r:id="rId19" ref="H10"/>
    <hyperlink r:id="rId20" ref="I10"/>
    <hyperlink r:id="rId21" ref="H11"/>
    <hyperlink r:id="rId22" ref="I11"/>
    <hyperlink r:id="rId23" ref="H12"/>
    <hyperlink r:id="rId24" ref="I12"/>
    <hyperlink r:id="rId25" ref="J12"/>
    <hyperlink r:id="rId26" ref="L12"/>
    <hyperlink r:id="rId27" ref="H13"/>
    <hyperlink r:id="rId28" ref="H14"/>
    <hyperlink r:id="rId29" ref="H15"/>
    <hyperlink r:id="rId30" ref="I15"/>
    <hyperlink r:id="rId31" ref="J15"/>
    <hyperlink r:id="rId32" ref="H16"/>
    <hyperlink r:id="rId33" ref="I16"/>
    <hyperlink r:id="rId34" ref="H17"/>
    <hyperlink r:id="rId35" ref="I17"/>
    <hyperlink r:id="rId36" ref="H18"/>
    <hyperlink r:id="rId37" ref="H19"/>
    <hyperlink r:id="rId38" ref="I19"/>
    <hyperlink r:id="rId39" ref="J19"/>
    <hyperlink r:id="rId40" ref="H20"/>
    <hyperlink r:id="rId41" ref="I20"/>
    <hyperlink r:id="rId42" ref="J20"/>
    <hyperlink r:id="rId43" ref="H21"/>
    <hyperlink r:id="rId44" ref="I21"/>
    <hyperlink r:id="rId45" ref="H22"/>
    <hyperlink r:id="rId46" ref="I22"/>
    <hyperlink r:id="rId47" ref="H23"/>
    <hyperlink r:id="rId48" ref="I23"/>
    <hyperlink r:id="rId49" ref="H24"/>
    <hyperlink r:id="rId50" ref="I24"/>
    <hyperlink r:id="rId51" ref="H25"/>
    <hyperlink r:id="rId52" ref="H26"/>
    <hyperlink r:id="rId53" ref="I26"/>
    <hyperlink r:id="rId54" ref="H27"/>
    <hyperlink r:id="rId55" ref="H28"/>
    <hyperlink r:id="rId56" ref="I28"/>
    <hyperlink r:id="rId57" ref="H29"/>
    <hyperlink r:id="rId58" ref="H30"/>
    <hyperlink r:id="rId59" ref="H31"/>
    <hyperlink r:id="rId60" ref="I31"/>
    <hyperlink r:id="rId61" ref="J31"/>
    <hyperlink r:id="rId62" ref="H32"/>
    <hyperlink r:id="rId63" ref="H33"/>
    <hyperlink r:id="rId64" ref="I33"/>
    <hyperlink r:id="rId65" ref="J33"/>
    <hyperlink r:id="rId66" ref="H34"/>
    <hyperlink r:id="rId67" ref="I34"/>
    <hyperlink r:id="rId68" ref="J34"/>
    <hyperlink r:id="rId69" ref="K34"/>
    <hyperlink r:id="rId70" ref="L34"/>
    <hyperlink r:id="rId71" ref="R34"/>
    <hyperlink r:id="rId72" ref="H35"/>
    <hyperlink r:id="rId73" ref="I35"/>
    <hyperlink r:id="rId74" ref="J35"/>
    <hyperlink r:id="rId75" ref="H36"/>
    <hyperlink r:id="rId76" ref="H37"/>
    <hyperlink r:id="rId77" ref="I37"/>
    <hyperlink r:id="rId78" ref="J37"/>
    <hyperlink r:id="rId79" ref="H38"/>
    <hyperlink r:id="rId80" ref="I38"/>
    <hyperlink r:id="rId81" ref="H39"/>
    <hyperlink r:id="rId82" ref="J39"/>
    <hyperlink r:id="rId83" ref="L39"/>
    <hyperlink r:id="rId84" ref="H40"/>
    <hyperlink r:id="rId85" ref="J40"/>
    <hyperlink r:id="rId86" ref="H41"/>
    <hyperlink r:id="rId87" ref="I41"/>
    <hyperlink r:id="rId88" ref="J41"/>
    <hyperlink r:id="rId89" ref="H42"/>
    <hyperlink r:id="rId90" ref="H43"/>
    <hyperlink r:id="rId91" ref="H44"/>
    <hyperlink r:id="rId92" ref="I44"/>
    <hyperlink r:id="rId93" ref="H45"/>
    <hyperlink r:id="rId94" ref="I45"/>
    <hyperlink r:id="rId95" ref="H46"/>
    <hyperlink r:id="rId96" ref="I46"/>
    <hyperlink r:id="rId97" ref="H47"/>
    <hyperlink r:id="rId98" ref="H48"/>
    <hyperlink r:id="rId99" ref="H49"/>
    <hyperlink r:id="rId100" ref="I49"/>
    <hyperlink r:id="rId101" ref="H50"/>
    <hyperlink r:id="rId102" ref="I50"/>
    <hyperlink r:id="rId103" ref="H51"/>
    <hyperlink r:id="rId104" ref="I51"/>
    <hyperlink r:id="rId105" ref="H52"/>
    <hyperlink r:id="rId106" ref="H53"/>
    <hyperlink r:id="rId107" ref="I53"/>
    <hyperlink r:id="rId108" ref="J53"/>
    <hyperlink r:id="rId109" ref="H54"/>
    <hyperlink r:id="rId110" ref="H55"/>
    <hyperlink r:id="rId111" ref="I55"/>
    <hyperlink r:id="rId112" ref="J56"/>
    <hyperlink r:id="rId113" ref="H57"/>
    <hyperlink r:id="rId114" ref="I57"/>
    <hyperlink r:id="rId115" ref="K57"/>
    <hyperlink r:id="rId116" ref="H58"/>
    <hyperlink r:id="rId117" ref="I58"/>
    <hyperlink r:id="rId118" ref="H59"/>
    <hyperlink r:id="rId119" ref="I59"/>
    <hyperlink r:id="rId120" ref="H60"/>
    <hyperlink r:id="rId121" ref="I60"/>
    <hyperlink r:id="rId122" ref="H61"/>
    <hyperlink r:id="rId123" ref="I61"/>
    <hyperlink r:id="rId124" ref="H62"/>
    <hyperlink r:id="rId125" ref="I62"/>
    <hyperlink r:id="rId126" ref="H63"/>
    <hyperlink r:id="rId127" ref="H64"/>
    <hyperlink r:id="rId128" ref="I64"/>
    <hyperlink r:id="rId129" ref="J64"/>
    <hyperlink r:id="rId130" ref="H65"/>
    <hyperlink r:id="rId131" ref="I65"/>
    <hyperlink r:id="rId132" ref="H66"/>
    <hyperlink r:id="rId133" ref="I66"/>
    <hyperlink r:id="rId134" ref="H67"/>
    <hyperlink r:id="rId135" ref="I67"/>
    <hyperlink r:id="rId136" ref="J67"/>
    <hyperlink r:id="rId137" ref="H68"/>
    <hyperlink r:id="rId138" ref="I68"/>
    <hyperlink r:id="rId139" ref="J68"/>
    <hyperlink r:id="rId140" ref="H69"/>
    <hyperlink r:id="rId141" ref="H70"/>
    <hyperlink r:id="rId142" ref="H71"/>
    <hyperlink r:id="rId143" ref="J71"/>
    <hyperlink r:id="rId144" ref="H72"/>
    <hyperlink r:id="rId145" ref="I72"/>
    <hyperlink r:id="rId146" ref="J72"/>
    <hyperlink r:id="rId147" ref="H73"/>
    <hyperlink r:id="rId148" ref="I73"/>
    <hyperlink r:id="rId149" ref="J73"/>
    <hyperlink r:id="rId150" ref="H74"/>
    <hyperlink r:id="rId151" ref="I74"/>
    <hyperlink r:id="rId152" ref="H75"/>
    <hyperlink r:id="rId153" ref="I75"/>
    <hyperlink r:id="rId154" ref="J75"/>
    <hyperlink r:id="rId155" ref="H76"/>
    <hyperlink r:id="rId156" ref="H77"/>
    <hyperlink r:id="rId157" ref="H78"/>
    <hyperlink r:id="rId158" ref="I78"/>
    <hyperlink r:id="rId159" ref="H79"/>
    <hyperlink r:id="rId160" ref="I79"/>
    <hyperlink r:id="rId161" ref="H80"/>
    <hyperlink r:id="rId162" ref="H81"/>
    <hyperlink r:id="rId163" ref="I81"/>
    <hyperlink r:id="rId164" ref="J81"/>
    <hyperlink r:id="rId165" ref="K81"/>
    <hyperlink r:id="rId166" ref="O81"/>
    <hyperlink r:id="rId167" ref="H82"/>
    <hyperlink r:id="rId168" ref="I82"/>
    <hyperlink r:id="rId169" ref="H83"/>
    <hyperlink r:id="rId170" ref="I83"/>
    <hyperlink r:id="rId171" ref="H84"/>
    <hyperlink r:id="rId172" ref="I84"/>
    <hyperlink r:id="rId173" ref="J84"/>
    <hyperlink r:id="rId174" ref="K84"/>
    <hyperlink r:id="rId175" ref="H85"/>
    <hyperlink r:id="rId176" ref="I85"/>
    <hyperlink r:id="rId177" ref="H86"/>
    <hyperlink r:id="rId178" ref="I86"/>
    <hyperlink r:id="rId179" ref="H87"/>
    <hyperlink r:id="rId180" ref="I87"/>
    <hyperlink r:id="rId181" ref="J87"/>
    <hyperlink r:id="rId182" ref="H88"/>
    <hyperlink r:id="rId183" ref="H89"/>
    <hyperlink r:id="rId184" ref="H90"/>
    <hyperlink r:id="rId185" ref="I90"/>
    <hyperlink r:id="rId186" ref="H91"/>
    <hyperlink r:id="rId187" ref="I91"/>
    <hyperlink r:id="rId188" ref="H92"/>
    <hyperlink r:id="rId189" ref="H93"/>
    <hyperlink r:id="rId190" ref="I93"/>
    <hyperlink r:id="rId191" ref="H94"/>
    <hyperlink r:id="rId192" ref="J94"/>
    <hyperlink r:id="rId193" ref="H95"/>
    <hyperlink r:id="rId194" ref="I95"/>
    <hyperlink r:id="rId195" ref="H96"/>
    <hyperlink r:id="rId196" ref="I96"/>
    <hyperlink r:id="rId197" ref="H97"/>
    <hyperlink r:id="rId198" ref="H98"/>
    <hyperlink r:id="rId199" ref="I98"/>
    <hyperlink r:id="rId200" ref="H99"/>
    <hyperlink r:id="rId201" ref="I99"/>
    <hyperlink r:id="rId202" ref="H100"/>
    <hyperlink r:id="rId203" ref="H101"/>
    <hyperlink r:id="rId204" ref="H102"/>
    <hyperlink r:id="rId205" ref="I102"/>
    <hyperlink r:id="rId206" ref="H103"/>
    <hyperlink r:id="rId207" ref="I103"/>
    <hyperlink r:id="rId208" ref="H104"/>
    <hyperlink r:id="rId209" ref="I104"/>
    <hyperlink r:id="rId210" ref="H105"/>
    <hyperlink r:id="rId211" ref="I105"/>
    <hyperlink r:id="rId212" ref="H106"/>
    <hyperlink r:id="rId213" ref="H107"/>
    <hyperlink r:id="rId214" ref="I107"/>
    <hyperlink r:id="rId215" ref="J107"/>
    <hyperlink r:id="rId216" ref="H108"/>
    <hyperlink r:id="rId217" ref="H109"/>
    <hyperlink r:id="rId218" ref="I109"/>
    <hyperlink r:id="rId219" ref="H110"/>
    <hyperlink r:id="rId220" ref="H111"/>
    <hyperlink r:id="rId221" ref="H112"/>
    <hyperlink r:id="rId222" ref="I112"/>
    <hyperlink r:id="rId223" ref="H113"/>
    <hyperlink r:id="rId224" ref="H114"/>
    <hyperlink r:id="rId225" ref="H115"/>
    <hyperlink r:id="rId226" ref="H116"/>
    <hyperlink r:id="rId227" ref="H117"/>
    <hyperlink r:id="rId228" ref="I117"/>
    <hyperlink r:id="rId229" ref="H118"/>
    <hyperlink r:id="rId230" ref="I118"/>
    <hyperlink r:id="rId231" ref="J118"/>
    <hyperlink r:id="rId232" ref="H119"/>
    <hyperlink r:id="rId233" ref="I119"/>
    <hyperlink r:id="rId234" ref="H120"/>
    <hyperlink r:id="rId235" ref="H121"/>
    <hyperlink r:id="rId236" ref="I121"/>
    <hyperlink r:id="rId237" ref="J121"/>
    <hyperlink r:id="rId238" ref="H122"/>
    <hyperlink r:id="rId239" ref="H123"/>
    <hyperlink r:id="rId240" ref="I123"/>
    <hyperlink r:id="rId241" ref="J123"/>
    <hyperlink r:id="rId242" ref="H124"/>
    <hyperlink r:id="rId243" ref="H125"/>
    <hyperlink r:id="rId244" ref="I125"/>
    <hyperlink r:id="rId245" ref="H126"/>
    <hyperlink r:id="rId246" ref="I126"/>
    <hyperlink r:id="rId247" ref="H127"/>
    <hyperlink r:id="rId248" ref="I127"/>
    <hyperlink r:id="rId249" ref="J128"/>
    <hyperlink r:id="rId250" ref="H129"/>
    <hyperlink r:id="rId251" ref="H130"/>
    <hyperlink r:id="rId252" ref="I130"/>
    <hyperlink r:id="rId253" ref="J131"/>
    <hyperlink r:id="rId254" ref="H132"/>
    <hyperlink r:id="rId255" ref="J132"/>
    <hyperlink r:id="rId256" ref="H133"/>
    <hyperlink r:id="rId257" ref="I133"/>
    <hyperlink r:id="rId258" ref="J133"/>
    <hyperlink r:id="rId259" ref="H134"/>
    <hyperlink r:id="rId260" ref="I134"/>
    <hyperlink r:id="rId261" ref="H135"/>
    <hyperlink r:id="rId262" ref="I135"/>
    <hyperlink r:id="rId263" ref="J135"/>
    <hyperlink r:id="rId264" ref="H136"/>
    <hyperlink r:id="rId265" ref="I136"/>
    <hyperlink r:id="rId266" ref="H137"/>
    <hyperlink r:id="rId267" ref="I137"/>
    <hyperlink r:id="rId268" ref="H138"/>
    <hyperlink r:id="rId269" ref="I138"/>
    <hyperlink r:id="rId270" ref="J138"/>
    <hyperlink r:id="rId271" ref="K138"/>
    <hyperlink r:id="rId272" ref="H139"/>
    <hyperlink r:id="rId273" ref="I139"/>
    <hyperlink r:id="rId274" ref="H140"/>
    <hyperlink r:id="rId275" ref="I140"/>
    <hyperlink r:id="rId276" ref="H141"/>
    <hyperlink r:id="rId277" ref="I141"/>
    <hyperlink r:id="rId278" ref="H142"/>
    <hyperlink r:id="rId279" ref="H143"/>
    <hyperlink r:id="rId280" ref="J144"/>
    <hyperlink r:id="rId281" ref="H145"/>
    <hyperlink r:id="rId282" ref="H146"/>
    <hyperlink r:id="rId283" ref="I146"/>
    <hyperlink r:id="rId284" ref="J146"/>
    <hyperlink r:id="rId285" ref="H147"/>
    <hyperlink r:id="rId286" ref="I147"/>
    <hyperlink r:id="rId287" ref="H148"/>
    <hyperlink r:id="rId288" ref="I148"/>
    <hyperlink r:id="rId289" ref="H149"/>
    <hyperlink r:id="rId290" ref="H150"/>
    <hyperlink r:id="rId291" ref="I150"/>
    <hyperlink r:id="rId292" ref="J150"/>
    <hyperlink r:id="rId293" ref="H151"/>
    <hyperlink r:id="rId294" ref="H152"/>
    <hyperlink r:id="rId295" ref="I152"/>
    <hyperlink r:id="rId296" ref="H153"/>
    <hyperlink r:id="rId297" ref="H154"/>
    <hyperlink r:id="rId298" ref="H155"/>
    <hyperlink r:id="rId299" ref="H156"/>
    <hyperlink r:id="rId300" ref="I156"/>
    <hyperlink r:id="rId301" ref="H157"/>
    <hyperlink r:id="rId302" ref="I157"/>
    <hyperlink r:id="rId303" ref="H158"/>
    <hyperlink r:id="rId304" ref="H159"/>
    <hyperlink r:id="rId305" ref="I159"/>
    <hyperlink r:id="rId306" ref="H160"/>
    <hyperlink r:id="rId307" ref="I160"/>
    <hyperlink r:id="rId308" ref="H161"/>
    <hyperlink r:id="rId309" ref="H162"/>
    <hyperlink r:id="rId310" ref="H163"/>
    <hyperlink r:id="rId311" ref="H164"/>
    <hyperlink r:id="rId312" ref="H165"/>
    <hyperlink r:id="rId313" ref="H166"/>
    <hyperlink r:id="rId314" ref="I166"/>
    <hyperlink r:id="rId315" ref="H167"/>
    <hyperlink r:id="rId316" ref="H168"/>
    <hyperlink r:id="rId317" ref="J168"/>
    <hyperlink r:id="rId318" ref="H169"/>
    <hyperlink r:id="rId319" ref="I169"/>
    <hyperlink r:id="rId320" ref="H170"/>
    <hyperlink r:id="rId321" ref="H171"/>
    <hyperlink r:id="rId322" ref="I171"/>
    <hyperlink r:id="rId323" ref="J171"/>
    <hyperlink r:id="rId324" ref="H172"/>
    <hyperlink r:id="rId325" ref="J172"/>
    <hyperlink r:id="rId326" ref="H173"/>
    <hyperlink r:id="rId327" ref="H174"/>
    <hyperlink r:id="rId328" ref="H175"/>
    <hyperlink r:id="rId329" ref="I175"/>
    <hyperlink r:id="rId330" ref="H176"/>
    <hyperlink r:id="rId331" ref="I176"/>
    <hyperlink r:id="rId332" ref="H177"/>
    <hyperlink r:id="rId333" ref="H178"/>
    <hyperlink r:id="rId334" ref="H179"/>
    <hyperlink r:id="rId335" ref="H180"/>
    <hyperlink r:id="rId336" ref="I180"/>
    <hyperlink r:id="rId337" ref="H181"/>
    <hyperlink r:id="rId338" ref="I181"/>
    <hyperlink r:id="rId339" ref="J181"/>
    <hyperlink r:id="rId340" ref="H182"/>
    <hyperlink r:id="rId341" ref="H183"/>
    <hyperlink r:id="rId342" ref="I183"/>
    <hyperlink r:id="rId343" ref="J183"/>
    <hyperlink r:id="rId344" ref="H184"/>
    <hyperlink r:id="rId345" ref="H185"/>
    <hyperlink r:id="rId346" ref="H186"/>
    <hyperlink r:id="rId347" ref="I186"/>
    <hyperlink r:id="rId348" ref="J186"/>
    <hyperlink r:id="rId349" ref="H187"/>
    <hyperlink r:id="rId350" ref="I187"/>
    <hyperlink r:id="rId351" ref="H188"/>
    <hyperlink r:id="rId352" ref="J188"/>
    <hyperlink r:id="rId353" ref="H189"/>
    <hyperlink r:id="rId354" ref="I189"/>
    <hyperlink r:id="rId355" ref="F190"/>
    <hyperlink r:id="rId356" ref="H190"/>
    <hyperlink r:id="rId357" ref="I190"/>
    <hyperlink r:id="rId358" ref="J190"/>
    <hyperlink r:id="rId359" ref="K190"/>
    <hyperlink r:id="rId360" ref="H191"/>
    <hyperlink r:id="rId361" ref="H192"/>
    <hyperlink r:id="rId362" ref="I192"/>
    <hyperlink r:id="rId363" ref="H193"/>
    <hyperlink r:id="rId364" ref="I193"/>
    <hyperlink r:id="rId365" ref="H194"/>
    <hyperlink r:id="rId366" ref="I194"/>
    <hyperlink r:id="rId367" ref="H195"/>
    <hyperlink r:id="rId368" ref="J195"/>
    <hyperlink r:id="rId369" ref="H196"/>
    <hyperlink r:id="rId370" ref="I196"/>
    <hyperlink r:id="rId371" ref="H197"/>
    <hyperlink r:id="rId372" ref="I197"/>
    <hyperlink r:id="rId373" ref="H198"/>
    <hyperlink r:id="rId374" ref="H199"/>
    <hyperlink r:id="rId375" ref="I199"/>
    <hyperlink r:id="rId376" ref="J199"/>
    <hyperlink r:id="rId377" ref="H200"/>
    <hyperlink r:id="rId378" ref="H201"/>
    <hyperlink r:id="rId379" ref="J201"/>
    <hyperlink r:id="rId380" ref="H202"/>
    <hyperlink r:id="rId381" ref="I202"/>
    <hyperlink r:id="rId382" ref="P202"/>
    <hyperlink r:id="rId383" ref="H203"/>
    <hyperlink r:id="rId384" ref="I203"/>
    <hyperlink r:id="rId385" ref="H204"/>
    <hyperlink r:id="rId386" ref="I204"/>
    <hyperlink r:id="rId387" ref="H205"/>
    <hyperlink r:id="rId388" ref="I205"/>
    <hyperlink r:id="rId389" ref="J205"/>
    <hyperlink r:id="rId390" ref="H206"/>
    <hyperlink r:id="rId391" ref="H207"/>
    <hyperlink r:id="rId392" ref="H208"/>
    <hyperlink r:id="rId393" ref="I208"/>
    <hyperlink r:id="rId394" ref="J208"/>
    <hyperlink r:id="rId395" ref="H209"/>
    <hyperlink r:id="rId396" ref="J209"/>
    <hyperlink r:id="rId397" ref="H210"/>
    <hyperlink r:id="rId398" ref="H211"/>
    <hyperlink r:id="rId399" ref="I211"/>
    <hyperlink r:id="rId400" ref="H212"/>
    <hyperlink r:id="rId401" ref="I212"/>
    <hyperlink r:id="rId402" ref="H213"/>
    <hyperlink r:id="rId403" ref="I213"/>
    <hyperlink r:id="rId404" ref="H214"/>
    <hyperlink r:id="rId405" ref="I214"/>
    <hyperlink r:id="rId406" ref="J214"/>
    <hyperlink r:id="rId407" ref="H215"/>
    <hyperlink r:id="rId408" ref="H216"/>
    <hyperlink r:id="rId409" ref="H217"/>
    <hyperlink r:id="rId410" ref="I217"/>
    <hyperlink r:id="rId411" ref="H219"/>
    <hyperlink r:id="rId412" ref="H220"/>
    <hyperlink r:id="rId413" ref="H221"/>
    <hyperlink r:id="rId414" ref="I221"/>
    <hyperlink r:id="rId415" ref="H222"/>
    <hyperlink r:id="rId416" ref="I222"/>
    <hyperlink r:id="rId417" ref="J222"/>
    <hyperlink r:id="rId418" ref="H223"/>
    <hyperlink r:id="rId419" ref="I223"/>
    <hyperlink r:id="rId420" ref="H224"/>
    <hyperlink r:id="rId421" ref="I224"/>
    <hyperlink r:id="rId422" ref="H225"/>
    <hyperlink r:id="rId423" ref="I225"/>
    <hyperlink r:id="rId424" ref="H226"/>
    <hyperlink r:id="rId425" ref="I226"/>
    <hyperlink r:id="rId426" ref="H227"/>
    <hyperlink r:id="rId427" ref="I227"/>
    <hyperlink r:id="rId428" ref="H228"/>
    <hyperlink r:id="rId429" ref="J228"/>
    <hyperlink r:id="rId430" ref="J229"/>
    <hyperlink r:id="rId431" ref="H230"/>
    <hyperlink r:id="rId432" ref="H231"/>
    <hyperlink r:id="rId433" ref="H232"/>
    <hyperlink r:id="rId434" ref="H233"/>
    <hyperlink r:id="rId435" ref="I233"/>
    <hyperlink r:id="rId436" ref="J233"/>
    <hyperlink r:id="rId437" ref="H234"/>
    <hyperlink r:id="rId438" ref="H235"/>
    <hyperlink r:id="rId439" ref="I235"/>
    <hyperlink r:id="rId440" ref="J235"/>
    <hyperlink r:id="rId441" ref="P235"/>
    <hyperlink r:id="rId442" ref="H236"/>
    <hyperlink r:id="rId443" ref="I236"/>
    <hyperlink r:id="rId444" ref="J236"/>
    <hyperlink r:id="rId445" ref="H237"/>
    <hyperlink r:id="rId446" ref="I237"/>
    <hyperlink r:id="rId447" ref="H238"/>
    <hyperlink r:id="rId448" ref="J238"/>
    <hyperlink r:id="rId449" ref="H239"/>
    <hyperlink r:id="rId450" ref="I239"/>
    <hyperlink r:id="rId451" ref="H240"/>
    <hyperlink r:id="rId452" ref="I240"/>
    <hyperlink r:id="rId453" ref="K240"/>
    <hyperlink r:id="rId454" ref="H241"/>
    <hyperlink r:id="rId455" ref="H242"/>
    <hyperlink r:id="rId456" ref="I242"/>
    <hyperlink r:id="rId457" ref="J242"/>
    <hyperlink r:id="rId458" ref="H243"/>
    <hyperlink r:id="rId459" ref="I243"/>
    <hyperlink r:id="rId460" ref="J243"/>
    <hyperlink r:id="rId461" ref="H244"/>
    <hyperlink r:id="rId462" ref="I244"/>
    <hyperlink r:id="rId463" ref="P244"/>
    <hyperlink r:id="rId464" ref="H245"/>
    <hyperlink r:id="rId465" ref="H246"/>
    <hyperlink r:id="rId466" ref="H247"/>
    <hyperlink r:id="rId467" ref="J248"/>
    <hyperlink r:id="rId468" ref="H249"/>
    <hyperlink r:id="rId469" ref="I249"/>
    <hyperlink r:id="rId470" ref="H250"/>
    <hyperlink r:id="rId471" ref="I250"/>
    <hyperlink r:id="rId472" ref="H251"/>
    <hyperlink r:id="rId473" ref="H252"/>
    <hyperlink r:id="rId474" ref="J252"/>
    <hyperlink r:id="rId475" ref="H253"/>
    <hyperlink r:id="rId476" ref="H254"/>
    <hyperlink r:id="rId477" ref="I254"/>
    <hyperlink r:id="rId478" ref="H255"/>
    <hyperlink r:id="rId479" ref="H256"/>
    <hyperlink r:id="rId480" ref="H257"/>
    <hyperlink r:id="rId481" ref="H258"/>
    <hyperlink r:id="rId482" ref="J258"/>
    <hyperlink r:id="rId483" ref="H259"/>
    <hyperlink r:id="rId484" ref="H260"/>
    <hyperlink r:id="rId485" ref="I260"/>
    <hyperlink r:id="rId486" ref="H261"/>
    <hyperlink r:id="rId487" ref="H262"/>
    <hyperlink r:id="rId488" ref="H263"/>
    <hyperlink r:id="rId489" ref="I263"/>
    <hyperlink r:id="rId490" ref="J263"/>
    <hyperlink r:id="rId491" ref="H264"/>
    <hyperlink r:id="rId492" ref="H265"/>
    <hyperlink r:id="rId493" ref="H266"/>
    <hyperlink r:id="rId494" ref="I266"/>
    <hyperlink r:id="rId495" ref="J266"/>
    <hyperlink r:id="rId496" ref="H267"/>
    <hyperlink r:id="rId497" ref="I267"/>
    <hyperlink r:id="rId498" ref="H268"/>
    <hyperlink r:id="rId499" ref="J268"/>
    <hyperlink r:id="rId500" ref="H269"/>
    <hyperlink r:id="rId501" ref="H270"/>
    <hyperlink r:id="rId502" ref="J270"/>
    <hyperlink r:id="rId503" ref="H271"/>
    <hyperlink r:id="rId504" ref="I271"/>
    <hyperlink r:id="rId505" ref="J272"/>
    <hyperlink r:id="rId506" ref="H273"/>
    <hyperlink r:id="rId507" ref="H274"/>
    <hyperlink r:id="rId508" ref="H275"/>
    <hyperlink r:id="rId509" ref="H276"/>
    <hyperlink r:id="rId510" ref="J277"/>
    <hyperlink r:id="rId511" ref="H278"/>
    <hyperlink r:id="rId512" ref="I278"/>
    <hyperlink r:id="rId513" ref="H279"/>
    <hyperlink r:id="rId514" ref="H280"/>
    <hyperlink r:id="rId515" ref="H281"/>
    <hyperlink r:id="rId516" ref="H282"/>
    <hyperlink r:id="rId517" ref="I282"/>
    <hyperlink r:id="rId518" ref="H283"/>
    <hyperlink r:id="rId519" ref="I283"/>
    <hyperlink r:id="rId520" ref="H284"/>
    <hyperlink r:id="rId521" ref="J284"/>
    <hyperlink r:id="rId522" ref="H285"/>
    <hyperlink r:id="rId523" ref="I285"/>
    <hyperlink r:id="rId524" ref="H286"/>
    <hyperlink r:id="rId525" ref="I286"/>
    <hyperlink r:id="rId526" ref="H287"/>
    <hyperlink r:id="rId527" ref="I287"/>
    <hyperlink r:id="rId528" ref="H288"/>
    <hyperlink r:id="rId529" ref="I288"/>
    <hyperlink r:id="rId530" ref="H289"/>
    <hyperlink r:id="rId531" ref="H290"/>
    <hyperlink r:id="rId532" ref="H291"/>
    <hyperlink r:id="rId533" ref="I291"/>
    <hyperlink r:id="rId534" ref="H292"/>
    <hyperlink r:id="rId535" ref="I292"/>
    <hyperlink r:id="rId536" ref="H293"/>
    <hyperlink r:id="rId537" ref="H294"/>
    <hyperlink r:id="rId538" ref="H295"/>
    <hyperlink r:id="rId539" ref="I295"/>
    <hyperlink r:id="rId540" ref="J295"/>
    <hyperlink r:id="rId541" ref="H296"/>
    <hyperlink r:id="rId542" ref="H297"/>
    <hyperlink r:id="rId543" ref="H298"/>
    <hyperlink r:id="rId544" ref="H299"/>
    <hyperlink r:id="rId545" ref="I299"/>
    <hyperlink r:id="rId546" ref="H300"/>
    <hyperlink r:id="rId547" ref="H301"/>
    <hyperlink r:id="rId548" ref="H302"/>
    <hyperlink r:id="rId549" ref="H303"/>
    <hyperlink r:id="rId550" ref="H304"/>
    <hyperlink r:id="rId551" ref="H305"/>
    <hyperlink r:id="rId552" ref="H306"/>
    <hyperlink r:id="rId553" ref="H307"/>
    <hyperlink r:id="rId554" ref="J308"/>
    <hyperlink r:id="rId555" ref="H309"/>
    <hyperlink r:id="rId556" ref="J309"/>
    <hyperlink r:id="rId557" ref="J310"/>
    <hyperlink r:id="rId558" ref="J311"/>
    <hyperlink r:id="rId559" ref="J312"/>
    <hyperlink r:id="rId560" ref="J313"/>
    <hyperlink r:id="rId561" ref="J314"/>
    <hyperlink r:id="rId562" ref="J315"/>
    <hyperlink r:id="rId563" ref="J316"/>
    <hyperlink r:id="rId564" ref="J317"/>
  </hyperlinks>
  <drawing r:id="rId56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2" width="6.25"/>
    <col customWidth="1" min="3" max="3" width="28.63"/>
    <col customWidth="1" min="4" max="4" width="4.25"/>
    <col customWidth="1" min="6" max="6" width="5.63"/>
    <col customWidth="1" min="7" max="7" width="3.0"/>
    <col customWidth="1" min="8" max="8" width="41.75"/>
    <col customWidth="1" min="9" max="9" width="24.5"/>
    <col customWidth="1" min="10" max="10" width="27.63"/>
    <col customWidth="1" min="12" max="12" width="4.5"/>
    <col customWidth="1" min="13" max="13" width="18.25"/>
    <col customWidth="1" min="14" max="14" width="7.25"/>
    <col customWidth="1" min="15" max="15" width="4.38"/>
    <col customWidth="1" min="16" max="16" width="4.5"/>
    <col customWidth="1" min="17" max="17" width="4.13"/>
    <col customWidth="1" min="18" max="18" width="5.13"/>
    <col customWidth="1" min="19" max="19" width="4.25"/>
    <col customWidth="1" min="20" max="20" width="4.5"/>
  </cols>
  <sheetData>
    <row r="1">
      <c r="A1" s="1" t="s">
        <v>19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3567</v>
      </c>
      <c r="K1" s="1" t="s">
        <v>10</v>
      </c>
      <c r="L1" s="1" t="s">
        <v>3568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2"/>
      <c r="V1" s="22"/>
      <c r="W1" s="22"/>
      <c r="X1" s="22"/>
      <c r="Y1" s="22"/>
      <c r="Z1" s="22"/>
      <c r="AA1" s="22"/>
      <c r="AB1" s="22"/>
    </row>
    <row r="2">
      <c r="A2" s="28">
        <v>10200.0</v>
      </c>
      <c r="B2" s="2" t="s">
        <v>20</v>
      </c>
      <c r="C2" s="4" t="s">
        <v>3209</v>
      </c>
      <c r="D2" s="28" t="s">
        <v>3569</v>
      </c>
      <c r="E2" s="4" t="s">
        <v>3570</v>
      </c>
      <c r="F2" s="28"/>
      <c r="G2" s="28"/>
      <c r="H2" s="84" t="s">
        <v>3571</v>
      </c>
      <c r="I2" s="28"/>
      <c r="J2" s="84" t="s">
        <v>3572</v>
      </c>
      <c r="K2" s="28"/>
      <c r="L2" s="28"/>
      <c r="M2" s="28"/>
      <c r="N2" s="28"/>
      <c r="O2" s="28"/>
      <c r="P2" s="28"/>
      <c r="Q2" s="28"/>
      <c r="R2" s="28"/>
      <c r="S2" s="28"/>
      <c r="T2" s="28"/>
      <c r="U2" s="11"/>
      <c r="V2" s="11"/>
      <c r="W2" s="11"/>
      <c r="X2" s="11"/>
      <c r="Y2" s="11"/>
      <c r="Z2" s="11"/>
      <c r="AA2" s="11"/>
      <c r="AB2" s="11"/>
    </row>
    <row r="3">
      <c r="A3" s="32">
        <v>10294.0</v>
      </c>
      <c r="B3" s="2" t="s">
        <v>20</v>
      </c>
      <c r="C3" s="4" t="s">
        <v>3573</v>
      </c>
      <c r="D3" s="4" t="s">
        <v>3569</v>
      </c>
      <c r="E3" s="4" t="s">
        <v>3570</v>
      </c>
      <c r="F3" s="27"/>
      <c r="G3" s="27"/>
      <c r="H3" s="29" t="s">
        <v>3574</v>
      </c>
      <c r="I3" s="29" t="s">
        <v>3575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</row>
    <row r="4">
      <c r="A4" s="32">
        <v>10241.0</v>
      </c>
      <c r="B4" s="2" t="s">
        <v>20</v>
      </c>
      <c r="C4" s="4" t="s">
        <v>3576</v>
      </c>
      <c r="D4" s="4" t="s">
        <v>3569</v>
      </c>
      <c r="E4" s="4" t="s">
        <v>3570</v>
      </c>
      <c r="F4" s="27"/>
      <c r="G4" s="27"/>
      <c r="H4" s="27"/>
      <c r="I4" s="27"/>
      <c r="J4" s="29" t="s">
        <v>3577</v>
      </c>
      <c r="K4" s="27"/>
      <c r="L4" s="27"/>
      <c r="M4" s="27"/>
      <c r="N4" s="27"/>
      <c r="O4" s="27"/>
      <c r="P4" s="27"/>
      <c r="Q4" s="27"/>
      <c r="R4" s="27"/>
      <c r="S4" s="27"/>
      <c r="T4" s="27"/>
    </row>
    <row r="5">
      <c r="A5" s="32">
        <v>29583.0</v>
      </c>
      <c r="B5" s="2" t="s">
        <v>20</v>
      </c>
      <c r="C5" s="4" t="s">
        <v>1262</v>
      </c>
      <c r="D5" s="4" t="s">
        <v>3569</v>
      </c>
      <c r="E5" s="4" t="s">
        <v>3570</v>
      </c>
      <c r="F5" s="27"/>
      <c r="G5" s="27"/>
      <c r="H5" s="29" t="s">
        <v>3578</v>
      </c>
      <c r="I5" s="29" t="s">
        <v>3579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>
      <c r="A6" s="32">
        <v>10293.0</v>
      </c>
      <c r="B6" s="2" t="s">
        <v>20</v>
      </c>
      <c r="C6" s="4" t="s">
        <v>3580</v>
      </c>
      <c r="D6" s="4" t="s">
        <v>3569</v>
      </c>
      <c r="E6" s="4" t="s">
        <v>3570</v>
      </c>
      <c r="F6" s="27"/>
      <c r="G6" s="32">
        <v>1.0</v>
      </c>
      <c r="H6" s="27"/>
      <c r="I6" s="29" t="s">
        <v>3581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</row>
    <row r="7">
      <c r="A7" s="27"/>
      <c r="B7" s="4" t="s">
        <v>276</v>
      </c>
      <c r="C7" s="4" t="s">
        <v>3582</v>
      </c>
      <c r="D7" s="4" t="s">
        <v>3569</v>
      </c>
      <c r="E7" s="4" t="s">
        <v>3570</v>
      </c>
      <c r="F7" s="27"/>
      <c r="G7" s="27"/>
      <c r="H7" s="43" t="s">
        <v>3583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</row>
    <row r="8">
      <c r="A8" s="27"/>
      <c r="B8" s="4" t="s">
        <v>20</v>
      </c>
      <c r="C8" s="4" t="s">
        <v>3584</v>
      </c>
      <c r="D8" s="4" t="s">
        <v>3569</v>
      </c>
      <c r="E8" s="4" t="s">
        <v>3570</v>
      </c>
      <c r="F8" s="27"/>
      <c r="G8" s="27"/>
      <c r="H8" s="43" t="s">
        <v>3585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</row>
    <row r="9">
      <c r="A9" s="27"/>
      <c r="B9" s="4" t="s">
        <v>20</v>
      </c>
      <c r="C9" s="4" t="s">
        <v>3586</v>
      </c>
      <c r="D9" s="4" t="s">
        <v>3569</v>
      </c>
      <c r="E9" s="4" t="s">
        <v>3570</v>
      </c>
      <c r="F9" s="27"/>
      <c r="G9" s="32" t="s">
        <v>318</v>
      </c>
      <c r="H9" s="43" t="s">
        <v>3587</v>
      </c>
      <c r="I9" s="29" t="s">
        <v>3588</v>
      </c>
      <c r="J9" s="43" t="s">
        <v>3589</v>
      </c>
      <c r="K9" s="27"/>
      <c r="L9" s="27"/>
      <c r="M9" s="27"/>
      <c r="N9" s="27"/>
      <c r="O9" s="27"/>
      <c r="P9" s="27"/>
      <c r="Q9" s="27"/>
      <c r="R9" s="27"/>
      <c r="S9" s="27"/>
      <c r="T9" s="27"/>
    </row>
    <row r="10">
      <c r="A10" s="27"/>
      <c r="B10" s="4" t="s">
        <v>20</v>
      </c>
      <c r="C10" s="4" t="s">
        <v>3590</v>
      </c>
      <c r="D10" s="4" t="s">
        <v>3569</v>
      </c>
      <c r="E10" s="4" t="s">
        <v>3570</v>
      </c>
      <c r="F10" s="27"/>
      <c r="G10" s="27"/>
      <c r="H10" s="43" t="s">
        <v>3591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</row>
    <row r="11">
      <c r="A11" s="27"/>
      <c r="B11" s="2" t="s">
        <v>20</v>
      </c>
      <c r="C11" s="4" t="s">
        <v>3592</v>
      </c>
      <c r="D11" s="4" t="s">
        <v>3569</v>
      </c>
      <c r="E11" s="4" t="s">
        <v>3570</v>
      </c>
      <c r="F11" s="27"/>
      <c r="G11" s="27"/>
      <c r="H11" s="29" t="s">
        <v>3593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</row>
    <row r="12">
      <c r="A12" s="32">
        <v>10163.0</v>
      </c>
      <c r="B12" s="2" t="s">
        <v>20</v>
      </c>
      <c r="C12" s="4" t="s">
        <v>3594</v>
      </c>
      <c r="D12" s="4" t="s">
        <v>3569</v>
      </c>
      <c r="E12" s="4" t="s">
        <v>3570</v>
      </c>
      <c r="F12" s="27"/>
      <c r="G12" s="27"/>
      <c r="H12" s="29" t="s">
        <v>3595</v>
      </c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</row>
    <row r="13">
      <c r="A13" s="27"/>
      <c r="B13" s="4" t="s">
        <v>20</v>
      </c>
      <c r="C13" s="4" t="s">
        <v>3596</v>
      </c>
      <c r="D13" s="4" t="s">
        <v>3569</v>
      </c>
      <c r="E13" s="4" t="s">
        <v>3570</v>
      </c>
      <c r="F13" s="4" t="s">
        <v>3597</v>
      </c>
      <c r="G13" s="27"/>
      <c r="H13" s="43" t="s">
        <v>3598</v>
      </c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</row>
    <row r="14">
      <c r="A14" s="27"/>
      <c r="B14" s="4" t="s">
        <v>20</v>
      </c>
      <c r="C14" s="4" t="s">
        <v>3599</v>
      </c>
      <c r="D14" s="4" t="s">
        <v>3569</v>
      </c>
      <c r="E14" s="4" t="s">
        <v>3570</v>
      </c>
      <c r="F14" s="4" t="s">
        <v>3597</v>
      </c>
      <c r="G14" s="27"/>
      <c r="H14" s="43" t="s">
        <v>3600</v>
      </c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</row>
    <row r="15">
      <c r="A15" s="32">
        <v>19844.0</v>
      </c>
      <c r="B15" s="2" t="s">
        <v>20</v>
      </c>
      <c r="C15" s="4" t="s">
        <v>1975</v>
      </c>
      <c r="D15" s="4" t="s">
        <v>3569</v>
      </c>
      <c r="E15" s="4" t="s">
        <v>26</v>
      </c>
      <c r="F15" s="4" t="s">
        <v>3601</v>
      </c>
      <c r="G15" s="27"/>
      <c r="H15" s="29" t="s">
        <v>3602</v>
      </c>
      <c r="I15" s="29" t="s">
        <v>3603</v>
      </c>
      <c r="J15" s="29" t="s">
        <v>3604</v>
      </c>
      <c r="K15" s="27"/>
      <c r="L15" s="27"/>
      <c r="M15" s="27"/>
      <c r="N15" s="27"/>
      <c r="O15" s="27"/>
      <c r="P15" s="27"/>
      <c r="Q15" s="27"/>
      <c r="R15" s="27"/>
      <c r="S15" s="27"/>
      <c r="T15" s="27"/>
    </row>
    <row r="16">
      <c r="A16" s="32">
        <v>18296.0</v>
      </c>
      <c r="B16" s="2" t="s">
        <v>20</v>
      </c>
      <c r="C16" s="4" t="s">
        <v>205</v>
      </c>
      <c r="D16" s="4" t="s">
        <v>3569</v>
      </c>
      <c r="E16" s="4" t="s">
        <v>26</v>
      </c>
      <c r="F16" s="4" t="s">
        <v>3601</v>
      </c>
      <c r="G16" s="27"/>
      <c r="H16" s="29" t="s">
        <v>3605</v>
      </c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</row>
    <row r="17">
      <c r="A17" s="32">
        <v>18295.0</v>
      </c>
      <c r="B17" s="2" t="s">
        <v>20</v>
      </c>
      <c r="C17" s="4" t="s">
        <v>74</v>
      </c>
      <c r="D17" s="4" t="s">
        <v>3569</v>
      </c>
      <c r="E17" s="4" t="s">
        <v>26</v>
      </c>
      <c r="F17" s="4" t="s">
        <v>3601</v>
      </c>
      <c r="G17" s="27"/>
      <c r="H17" s="29" t="s">
        <v>3606</v>
      </c>
      <c r="I17" s="29" t="s">
        <v>3607</v>
      </c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</row>
    <row r="18">
      <c r="A18" s="32">
        <v>17968.0</v>
      </c>
      <c r="B18" s="2" t="s">
        <v>20</v>
      </c>
      <c r="C18" s="4" t="s">
        <v>3592</v>
      </c>
      <c r="D18" s="4" t="s">
        <v>3569</v>
      </c>
      <c r="E18" s="4" t="s">
        <v>26</v>
      </c>
      <c r="F18" s="4" t="s">
        <v>3601</v>
      </c>
      <c r="G18" s="27"/>
      <c r="H18" s="29" t="s">
        <v>3608</v>
      </c>
      <c r="I18" s="85"/>
      <c r="J18" s="29" t="s">
        <v>3609</v>
      </c>
      <c r="K18" s="27"/>
      <c r="L18" s="27"/>
      <c r="M18" s="27"/>
      <c r="N18" s="27"/>
      <c r="O18" s="27"/>
      <c r="P18" s="27"/>
      <c r="Q18" s="27"/>
      <c r="R18" s="27"/>
      <c r="S18" s="27"/>
      <c r="T18" s="27"/>
    </row>
    <row r="19">
      <c r="A19" s="27"/>
      <c r="B19" s="2" t="s">
        <v>20</v>
      </c>
      <c r="C19" s="4" t="s">
        <v>3610</v>
      </c>
      <c r="D19" s="4" t="s">
        <v>3569</v>
      </c>
      <c r="E19" s="4" t="s">
        <v>26</v>
      </c>
      <c r="F19" s="4" t="s">
        <v>3601</v>
      </c>
      <c r="G19" s="27"/>
      <c r="H19" s="29" t="s">
        <v>3611</v>
      </c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</row>
    <row r="20">
      <c r="A20" s="27"/>
      <c r="B20" s="2" t="s">
        <v>20</v>
      </c>
      <c r="C20" s="4" t="s">
        <v>3612</v>
      </c>
      <c r="D20" s="4" t="s">
        <v>3569</v>
      </c>
      <c r="E20" s="4" t="s">
        <v>26</v>
      </c>
      <c r="F20" s="4" t="s">
        <v>3601</v>
      </c>
      <c r="G20" s="32">
        <v>1.0</v>
      </c>
      <c r="H20" s="29" t="s">
        <v>3613</v>
      </c>
      <c r="I20" s="43" t="s">
        <v>3614</v>
      </c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</row>
    <row r="21">
      <c r="A21" s="27"/>
      <c r="B21" s="2" t="s">
        <v>20</v>
      </c>
      <c r="C21" s="4" t="s">
        <v>3615</v>
      </c>
      <c r="D21" s="4" t="s">
        <v>3569</v>
      </c>
      <c r="E21" s="4" t="s">
        <v>26</v>
      </c>
      <c r="F21" s="4" t="s">
        <v>3601</v>
      </c>
      <c r="G21" s="32">
        <v>1.0</v>
      </c>
      <c r="H21" s="27"/>
      <c r="I21" s="29" t="s">
        <v>3616</v>
      </c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</row>
    <row r="22">
      <c r="A22" s="27"/>
      <c r="B22" s="4" t="s">
        <v>20</v>
      </c>
      <c r="C22" s="4" t="s">
        <v>3617</v>
      </c>
      <c r="D22" s="4" t="s">
        <v>3569</v>
      </c>
      <c r="E22" s="4" t="s">
        <v>26</v>
      </c>
      <c r="F22" s="4" t="s">
        <v>3601</v>
      </c>
      <c r="G22" s="27"/>
      <c r="H22" s="43" t="s">
        <v>3618</v>
      </c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</row>
    <row r="23">
      <c r="A23" s="27"/>
      <c r="B23" s="4" t="s">
        <v>276</v>
      </c>
      <c r="C23" s="4" t="s">
        <v>458</v>
      </c>
      <c r="D23" s="4" t="s">
        <v>3569</v>
      </c>
      <c r="E23" s="4" t="s">
        <v>26</v>
      </c>
      <c r="F23" s="4" t="s">
        <v>3601</v>
      </c>
      <c r="G23" s="27"/>
      <c r="H23" s="43" t="s">
        <v>3619</v>
      </c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</row>
    <row r="24">
      <c r="A24" s="27"/>
      <c r="B24" s="4" t="s">
        <v>20</v>
      </c>
      <c r="C24" s="4" t="s">
        <v>3620</v>
      </c>
      <c r="D24" s="4" t="s">
        <v>3569</v>
      </c>
      <c r="E24" s="4" t="s">
        <v>26</v>
      </c>
      <c r="F24" s="4" t="s">
        <v>3601</v>
      </c>
      <c r="G24" s="27"/>
      <c r="H24" s="29" t="s">
        <v>3621</v>
      </c>
      <c r="I24" s="27"/>
      <c r="J24" s="32" t="s">
        <v>318</v>
      </c>
      <c r="K24" s="27"/>
      <c r="L24" s="27"/>
      <c r="M24" s="27"/>
      <c r="N24" s="27"/>
      <c r="O24" s="27"/>
      <c r="P24" s="27"/>
      <c r="Q24" s="27"/>
      <c r="R24" s="27"/>
      <c r="S24" s="27"/>
      <c r="T24" s="27"/>
    </row>
    <row r="25">
      <c r="A25" s="27"/>
      <c r="B25" s="4" t="s">
        <v>20</v>
      </c>
      <c r="C25" s="4" t="s">
        <v>3622</v>
      </c>
      <c r="D25" s="4" t="s">
        <v>3569</v>
      </c>
      <c r="E25" s="4" t="s">
        <v>26</v>
      </c>
      <c r="F25" s="4" t="s">
        <v>3623</v>
      </c>
      <c r="G25" s="27"/>
      <c r="H25" s="43" t="s">
        <v>3624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</row>
    <row r="26">
      <c r="A26" s="32">
        <v>23313.0</v>
      </c>
      <c r="B26" s="2" t="s">
        <v>20</v>
      </c>
      <c r="C26" s="4" t="s">
        <v>3625</v>
      </c>
      <c r="D26" s="4" t="s">
        <v>3569</v>
      </c>
      <c r="E26" s="4" t="s">
        <v>26</v>
      </c>
      <c r="F26" s="4" t="s">
        <v>3623</v>
      </c>
      <c r="G26" s="27"/>
      <c r="H26" s="29" t="s">
        <v>3626</v>
      </c>
      <c r="I26" s="29" t="s">
        <v>3627</v>
      </c>
      <c r="J26" s="29" t="s">
        <v>3628</v>
      </c>
      <c r="K26" s="27"/>
      <c r="L26" s="27"/>
      <c r="M26" s="27"/>
      <c r="N26" s="27"/>
      <c r="O26" s="27"/>
      <c r="P26" s="27"/>
      <c r="Q26" s="27"/>
      <c r="R26" s="27"/>
      <c r="S26" s="27"/>
      <c r="T26" s="27"/>
    </row>
    <row r="27">
      <c r="A27" s="32">
        <v>19296.0</v>
      </c>
      <c r="B27" s="2" t="s">
        <v>20</v>
      </c>
      <c r="C27" s="4" t="s">
        <v>3629</v>
      </c>
      <c r="D27" s="4" t="s">
        <v>3569</v>
      </c>
      <c r="E27" s="4" t="s">
        <v>26</v>
      </c>
      <c r="F27" s="4" t="s">
        <v>3630</v>
      </c>
      <c r="G27" s="27"/>
      <c r="H27" s="27"/>
      <c r="I27" s="27"/>
      <c r="J27" s="29" t="s">
        <v>3631</v>
      </c>
      <c r="K27" s="27"/>
      <c r="L27" s="27"/>
      <c r="M27" s="27"/>
      <c r="N27" s="27"/>
      <c r="O27" s="27"/>
      <c r="P27" s="27"/>
      <c r="Q27" s="27"/>
      <c r="R27" s="27"/>
      <c r="S27" s="27"/>
      <c r="T27" s="27"/>
    </row>
    <row r="28">
      <c r="A28" s="32">
        <v>29665.0</v>
      </c>
      <c r="B28" s="2" t="s">
        <v>20</v>
      </c>
      <c r="C28" s="4" t="s">
        <v>1150</v>
      </c>
      <c r="D28" s="4" t="s">
        <v>3569</v>
      </c>
      <c r="E28" s="4" t="s">
        <v>26</v>
      </c>
      <c r="F28" s="4" t="s">
        <v>3630</v>
      </c>
      <c r="G28" s="27"/>
      <c r="H28" s="29" t="s">
        <v>3632</v>
      </c>
      <c r="I28" s="29" t="s">
        <v>3633</v>
      </c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</row>
    <row r="29">
      <c r="A29" s="4"/>
      <c r="B29" s="2" t="s">
        <v>20</v>
      </c>
      <c r="C29" s="4" t="s">
        <v>137</v>
      </c>
      <c r="D29" s="4" t="s">
        <v>3569</v>
      </c>
      <c r="E29" s="4" t="s">
        <v>26</v>
      </c>
      <c r="F29" s="4" t="s">
        <v>2552</v>
      </c>
      <c r="G29" s="27"/>
      <c r="H29" s="86" t="s">
        <v>3634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</row>
    <row r="30">
      <c r="A30" s="32">
        <v>17971.0</v>
      </c>
      <c r="B30" s="2" t="s">
        <v>20</v>
      </c>
      <c r="C30" s="4" t="s">
        <v>3635</v>
      </c>
      <c r="D30" s="4" t="s">
        <v>3569</v>
      </c>
      <c r="E30" s="4" t="s">
        <v>26</v>
      </c>
      <c r="F30" s="4" t="s">
        <v>2552</v>
      </c>
      <c r="G30" s="27"/>
      <c r="H30" s="29" t="s">
        <v>3636</v>
      </c>
      <c r="I30" s="87" t="s">
        <v>3637</v>
      </c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</row>
    <row r="31">
      <c r="A31" s="32">
        <v>10096.0</v>
      </c>
      <c r="B31" s="2" t="s">
        <v>20</v>
      </c>
      <c r="C31" s="4" t="s">
        <v>3638</v>
      </c>
      <c r="D31" s="4" t="s">
        <v>3569</v>
      </c>
      <c r="E31" s="4" t="s">
        <v>26</v>
      </c>
      <c r="F31" s="4" t="s">
        <v>2552</v>
      </c>
      <c r="G31" s="27"/>
      <c r="H31" s="29" t="s">
        <v>3639</v>
      </c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</row>
    <row r="32">
      <c r="A32" s="32">
        <v>23540.0</v>
      </c>
      <c r="B32" s="2" t="s">
        <v>20</v>
      </c>
      <c r="C32" s="4" t="s">
        <v>3640</v>
      </c>
      <c r="D32" s="4" t="s">
        <v>3569</v>
      </c>
      <c r="E32" s="4" t="s">
        <v>26</v>
      </c>
      <c r="F32" s="4" t="s">
        <v>2552</v>
      </c>
      <c r="G32" s="27"/>
      <c r="H32" s="29" t="s">
        <v>3641</v>
      </c>
      <c r="I32" s="29" t="s">
        <v>3642</v>
      </c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</row>
    <row r="33">
      <c r="A33" s="27"/>
      <c r="B33" s="2" t="s">
        <v>20</v>
      </c>
      <c r="C33" s="4" t="s">
        <v>3643</v>
      </c>
      <c r="D33" s="4" t="s">
        <v>3569</v>
      </c>
      <c r="E33" s="4" t="s">
        <v>26</v>
      </c>
      <c r="F33" s="4" t="s">
        <v>2552</v>
      </c>
      <c r="G33" s="27"/>
      <c r="H33" s="27"/>
      <c r="I33" s="27"/>
      <c r="J33" s="29" t="s">
        <v>3644</v>
      </c>
      <c r="K33" s="27"/>
      <c r="L33" s="27"/>
      <c r="M33" s="27"/>
      <c r="N33" s="27"/>
      <c r="O33" s="27"/>
      <c r="P33" s="27"/>
      <c r="Q33" s="27"/>
      <c r="R33" s="27"/>
      <c r="S33" s="27"/>
      <c r="T33" s="27"/>
    </row>
    <row r="34">
      <c r="A34" s="32">
        <v>29515.0</v>
      </c>
      <c r="B34" s="2" t="s">
        <v>20</v>
      </c>
      <c r="C34" s="4" t="s">
        <v>3645</v>
      </c>
      <c r="D34" s="4" t="s">
        <v>3569</v>
      </c>
      <c r="E34" s="4" t="s">
        <v>26</v>
      </c>
      <c r="F34" s="4" t="s">
        <v>3646</v>
      </c>
      <c r="G34" s="27"/>
      <c r="H34" s="27"/>
      <c r="I34" s="27"/>
      <c r="J34" s="29" t="s">
        <v>3647</v>
      </c>
      <c r="K34" s="27"/>
      <c r="L34" s="27"/>
      <c r="M34" s="27"/>
      <c r="N34" s="27"/>
      <c r="O34" s="27"/>
      <c r="P34" s="27"/>
      <c r="Q34" s="27"/>
      <c r="R34" s="27"/>
      <c r="S34" s="27"/>
      <c r="T34" s="27"/>
    </row>
    <row r="35">
      <c r="A35" s="27"/>
      <c r="B35" s="4" t="s">
        <v>20</v>
      </c>
      <c r="C35" s="4" t="s">
        <v>510</v>
      </c>
      <c r="D35" s="4" t="s">
        <v>3569</v>
      </c>
      <c r="E35" s="4" t="s">
        <v>26</v>
      </c>
      <c r="F35" s="4" t="s">
        <v>3648</v>
      </c>
      <c r="G35" s="27"/>
      <c r="H35" s="29" t="s">
        <v>3649</v>
      </c>
      <c r="I35" s="32" t="s">
        <v>318</v>
      </c>
      <c r="J35" s="32" t="s">
        <v>318</v>
      </c>
      <c r="K35" s="27"/>
      <c r="L35" s="27"/>
      <c r="M35" s="27"/>
      <c r="N35" s="27"/>
      <c r="O35" s="27"/>
      <c r="P35" s="27"/>
      <c r="Q35" s="27"/>
      <c r="R35" s="27"/>
      <c r="S35" s="27"/>
      <c r="T35" s="27"/>
    </row>
    <row r="36">
      <c r="A36" s="27"/>
      <c r="B36" s="4" t="s">
        <v>20</v>
      </c>
      <c r="C36" s="4" t="s">
        <v>3635</v>
      </c>
      <c r="D36" s="4" t="s">
        <v>3569</v>
      </c>
      <c r="E36" s="4" t="s">
        <v>26</v>
      </c>
      <c r="F36" s="4" t="s">
        <v>3648</v>
      </c>
      <c r="G36" s="27"/>
      <c r="H36" s="43" t="s">
        <v>3650</v>
      </c>
      <c r="I36" s="43" t="s">
        <v>3651</v>
      </c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</row>
    <row r="37">
      <c r="A37" s="32">
        <v>10141.0</v>
      </c>
      <c r="B37" s="2" t="s">
        <v>20</v>
      </c>
      <c r="C37" s="4" t="s">
        <v>1975</v>
      </c>
      <c r="D37" s="4" t="s">
        <v>3569</v>
      </c>
      <c r="E37" s="4" t="s">
        <v>3652</v>
      </c>
      <c r="F37" s="4" t="s">
        <v>3653</v>
      </c>
      <c r="G37" s="27"/>
      <c r="H37" s="29" t="s">
        <v>3654</v>
      </c>
      <c r="I37" s="29" t="s">
        <v>3655</v>
      </c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</row>
    <row r="38">
      <c r="A38" s="32">
        <v>10244.0</v>
      </c>
      <c r="B38" s="2" t="s">
        <v>20</v>
      </c>
      <c r="C38" s="4" t="s">
        <v>1257</v>
      </c>
      <c r="D38" s="4" t="s">
        <v>3569</v>
      </c>
      <c r="E38" s="4" t="s">
        <v>3652</v>
      </c>
      <c r="F38" s="4" t="s">
        <v>3656</v>
      </c>
      <c r="G38" s="27"/>
      <c r="H38" s="29" t="s">
        <v>3657</v>
      </c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</row>
    <row r="39">
      <c r="A39" s="27"/>
      <c r="B39" s="2" t="s">
        <v>20</v>
      </c>
      <c r="C39" s="4" t="s">
        <v>3658</v>
      </c>
      <c r="D39" s="4" t="s">
        <v>3569</v>
      </c>
      <c r="E39" s="4" t="s">
        <v>3652</v>
      </c>
      <c r="F39" s="4" t="s">
        <v>3656</v>
      </c>
      <c r="G39" s="27"/>
      <c r="H39" s="29" t="s">
        <v>3659</v>
      </c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</row>
    <row r="40">
      <c r="A40" s="32">
        <v>21050.0</v>
      </c>
      <c r="B40" s="2" t="s">
        <v>20</v>
      </c>
      <c r="C40" s="4" t="s">
        <v>3660</v>
      </c>
      <c r="D40" s="4" t="s">
        <v>3569</v>
      </c>
      <c r="E40" s="4" t="s">
        <v>3652</v>
      </c>
      <c r="F40" s="4" t="s">
        <v>3656</v>
      </c>
      <c r="G40" s="27"/>
      <c r="H40" s="29" t="s">
        <v>3661</v>
      </c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</row>
    <row r="41">
      <c r="A41" s="27"/>
      <c r="B41" s="2" t="s">
        <v>20</v>
      </c>
      <c r="C41" s="4" t="s">
        <v>3662</v>
      </c>
      <c r="D41" s="4" t="s">
        <v>3569</v>
      </c>
      <c r="E41" s="4" t="s">
        <v>3652</v>
      </c>
      <c r="F41" s="4" t="s">
        <v>3656</v>
      </c>
      <c r="G41" s="27"/>
      <c r="H41" s="29" t="s">
        <v>3663</v>
      </c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</row>
    <row r="42">
      <c r="A42" s="27"/>
      <c r="B42" s="4" t="s">
        <v>20</v>
      </c>
      <c r="C42" s="4" t="s">
        <v>3209</v>
      </c>
      <c r="D42" s="4" t="s">
        <v>3569</v>
      </c>
      <c r="E42" s="4" t="s">
        <v>3652</v>
      </c>
      <c r="F42" s="4" t="s">
        <v>3656</v>
      </c>
      <c r="G42" s="32">
        <v>1.0</v>
      </c>
      <c r="H42" s="43" t="s">
        <v>3664</v>
      </c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</row>
    <row r="43">
      <c r="A43" s="27"/>
      <c r="B43" s="4" t="s">
        <v>20</v>
      </c>
      <c r="C43" s="4" t="s">
        <v>3665</v>
      </c>
      <c r="D43" s="4" t="s">
        <v>3569</v>
      </c>
      <c r="E43" s="4" t="s">
        <v>3652</v>
      </c>
      <c r="F43" s="4" t="s">
        <v>3656</v>
      </c>
      <c r="G43" s="27"/>
      <c r="H43" s="43" t="s">
        <v>3666</v>
      </c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</row>
    <row r="44">
      <c r="A44" s="27"/>
      <c r="B44" s="2" t="s">
        <v>20</v>
      </c>
      <c r="C44" s="4" t="s">
        <v>3667</v>
      </c>
      <c r="D44" s="4" t="s">
        <v>3569</v>
      </c>
      <c r="E44" s="4" t="s">
        <v>3652</v>
      </c>
      <c r="F44" s="4" t="s">
        <v>3668</v>
      </c>
      <c r="G44" s="27"/>
      <c r="H44" s="29" t="s">
        <v>3669</v>
      </c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</row>
    <row r="45">
      <c r="A45" s="32">
        <v>20787.0</v>
      </c>
      <c r="B45" s="27"/>
      <c r="C45" s="4" t="s">
        <v>855</v>
      </c>
      <c r="D45" s="4" t="s">
        <v>3569</v>
      </c>
      <c r="E45" s="4" t="s">
        <v>3652</v>
      </c>
      <c r="F45" s="27"/>
      <c r="G45" s="27"/>
      <c r="H45" s="27"/>
      <c r="I45" s="27"/>
      <c r="J45" s="29" t="s">
        <v>3670</v>
      </c>
      <c r="K45" s="27"/>
      <c r="L45" s="27"/>
      <c r="M45" s="27"/>
      <c r="N45" s="27"/>
      <c r="O45" s="27"/>
      <c r="P45" s="27"/>
      <c r="Q45" s="27"/>
      <c r="R45" s="27"/>
      <c r="S45" s="27"/>
      <c r="T45" s="27"/>
    </row>
    <row r="46">
      <c r="A46" s="32">
        <v>10429.0</v>
      </c>
      <c r="B46" s="27"/>
      <c r="C46" s="4" t="s">
        <v>3671</v>
      </c>
      <c r="D46" s="4" t="s">
        <v>3569</v>
      </c>
      <c r="E46" s="4" t="s">
        <v>3652</v>
      </c>
      <c r="F46" s="27"/>
      <c r="G46" s="27"/>
      <c r="H46" s="29" t="s">
        <v>3672</v>
      </c>
      <c r="I46" s="29" t="s">
        <v>3673</v>
      </c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</row>
    <row r="47">
      <c r="A47" s="27"/>
      <c r="B47" s="2" t="s">
        <v>3674</v>
      </c>
      <c r="C47" s="4" t="s">
        <v>3186</v>
      </c>
      <c r="D47" s="4" t="s">
        <v>3569</v>
      </c>
      <c r="E47" s="4" t="s">
        <v>3652</v>
      </c>
      <c r="F47" s="27"/>
      <c r="G47" s="27"/>
      <c r="H47" s="29" t="s">
        <v>3675</v>
      </c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</row>
    <row r="48">
      <c r="A48" s="27"/>
      <c r="B48" s="4" t="s">
        <v>20</v>
      </c>
      <c r="C48" s="4" t="s">
        <v>3676</v>
      </c>
      <c r="D48" s="4" t="s">
        <v>3569</v>
      </c>
      <c r="E48" s="4" t="s">
        <v>3652</v>
      </c>
      <c r="F48" s="27"/>
      <c r="G48" s="27"/>
      <c r="H48" s="43" t="s">
        <v>3677</v>
      </c>
      <c r="I48" s="29" t="s">
        <v>3678</v>
      </c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</row>
    <row r="49">
      <c r="A49" s="32">
        <v>20808.0</v>
      </c>
      <c r="B49" s="2" t="s">
        <v>20</v>
      </c>
      <c r="C49" s="4" t="s">
        <v>3679</v>
      </c>
      <c r="D49" s="4" t="s">
        <v>3569</v>
      </c>
      <c r="E49" s="4" t="s">
        <v>3680</v>
      </c>
      <c r="F49" s="4" t="s">
        <v>3681</v>
      </c>
      <c r="G49" s="27"/>
      <c r="H49" s="27"/>
      <c r="I49" s="27"/>
      <c r="J49" s="29" t="s">
        <v>3682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</row>
    <row r="50">
      <c r="A50" s="32">
        <v>10331.0</v>
      </c>
      <c r="B50" s="2" t="s">
        <v>20</v>
      </c>
      <c r="C50" s="4" t="s">
        <v>1257</v>
      </c>
      <c r="D50" s="4" t="s">
        <v>3569</v>
      </c>
      <c r="E50" s="4" t="s">
        <v>3680</v>
      </c>
      <c r="F50" s="4" t="s">
        <v>3681</v>
      </c>
      <c r="G50" s="27"/>
      <c r="H50" s="29" t="s">
        <v>3683</v>
      </c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</row>
    <row r="51">
      <c r="A51" s="27"/>
      <c r="B51" s="4" t="s">
        <v>20</v>
      </c>
      <c r="C51" s="4" t="s">
        <v>3684</v>
      </c>
      <c r="D51" s="4" t="s">
        <v>3569</v>
      </c>
      <c r="E51" s="4" t="s">
        <v>3680</v>
      </c>
      <c r="F51" s="4" t="s">
        <v>3681</v>
      </c>
      <c r="G51" s="27"/>
      <c r="H51" s="43" t="s">
        <v>3685</v>
      </c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</row>
    <row r="52">
      <c r="A52" s="32">
        <v>23315.0</v>
      </c>
      <c r="B52" s="2" t="s">
        <v>20</v>
      </c>
      <c r="C52" s="4" t="s">
        <v>841</v>
      </c>
      <c r="D52" s="4" t="s">
        <v>3569</v>
      </c>
      <c r="E52" s="4" t="s">
        <v>3680</v>
      </c>
      <c r="F52" s="4" t="s">
        <v>3686</v>
      </c>
      <c r="G52" s="27"/>
      <c r="H52" s="27"/>
      <c r="I52" s="27"/>
      <c r="J52" s="29" t="s">
        <v>3687</v>
      </c>
      <c r="K52" s="27"/>
      <c r="L52" s="27"/>
      <c r="M52" s="27"/>
      <c r="N52" s="27"/>
      <c r="O52" s="27"/>
      <c r="P52" s="27"/>
      <c r="Q52" s="27"/>
      <c r="R52" s="27"/>
      <c r="S52" s="27"/>
      <c r="T52" s="27"/>
    </row>
    <row r="53">
      <c r="A53" s="27"/>
      <c r="B53" s="2" t="s">
        <v>20</v>
      </c>
      <c r="C53" s="4" t="s">
        <v>3688</v>
      </c>
      <c r="D53" s="4" t="s">
        <v>3569</v>
      </c>
      <c r="E53" s="4" t="s">
        <v>3680</v>
      </c>
      <c r="F53" s="4" t="s">
        <v>3686</v>
      </c>
      <c r="G53" s="27"/>
      <c r="H53" s="27"/>
      <c r="I53" s="27"/>
      <c r="J53" s="29" t="s">
        <v>3687</v>
      </c>
      <c r="K53" s="27"/>
      <c r="L53" s="27"/>
      <c r="M53" s="27"/>
      <c r="N53" s="27"/>
      <c r="O53" s="27"/>
      <c r="P53" s="27"/>
      <c r="Q53" s="27"/>
      <c r="R53" s="27"/>
      <c r="S53" s="27"/>
      <c r="T53" s="27"/>
    </row>
    <row r="54">
      <c r="A54" s="27"/>
      <c r="B54" s="4" t="s">
        <v>20</v>
      </c>
      <c r="C54" s="4" t="s">
        <v>3689</v>
      </c>
      <c r="D54" s="4" t="s">
        <v>3569</v>
      </c>
      <c r="E54" s="4" t="s">
        <v>3680</v>
      </c>
      <c r="F54" s="4" t="s">
        <v>3690</v>
      </c>
      <c r="G54" s="27"/>
      <c r="H54" s="43" t="s">
        <v>3691</v>
      </c>
      <c r="I54" s="43" t="s">
        <v>3692</v>
      </c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</row>
    <row r="55">
      <c r="A55" s="32">
        <v>19274.0</v>
      </c>
      <c r="B55" s="2" t="s">
        <v>20</v>
      </c>
      <c r="C55" s="4" t="s">
        <v>3693</v>
      </c>
      <c r="D55" s="4" t="s">
        <v>3569</v>
      </c>
      <c r="E55" s="4" t="s">
        <v>3680</v>
      </c>
      <c r="F55" s="4" t="s">
        <v>3694</v>
      </c>
      <c r="G55" s="27"/>
      <c r="H55" s="29" t="s">
        <v>3695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</row>
    <row r="56">
      <c r="A56" s="32">
        <v>10218.0</v>
      </c>
      <c r="B56" s="2" t="s">
        <v>20</v>
      </c>
      <c r="C56" s="4" t="s">
        <v>3696</v>
      </c>
      <c r="D56" s="4" t="s">
        <v>3569</v>
      </c>
      <c r="E56" s="4" t="s">
        <v>3680</v>
      </c>
      <c r="F56" s="27"/>
      <c r="G56" s="27"/>
      <c r="H56" s="29" t="s">
        <v>3697</v>
      </c>
      <c r="I56" s="27"/>
      <c r="J56" s="29" t="s">
        <v>3698</v>
      </c>
      <c r="K56" s="27"/>
      <c r="L56" s="27"/>
      <c r="M56" s="27"/>
      <c r="N56" s="27"/>
      <c r="O56" s="27"/>
      <c r="P56" s="27"/>
      <c r="Q56" s="27"/>
      <c r="R56" s="27"/>
      <c r="S56" s="27"/>
      <c r="T56" s="27"/>
    </row>
    <row r="57">
      <c r="A57" s="32">
        <v>10143.0</v>
      </c>
      <c r="B57" s="2" t="s">
        <v>20</v>
      </c>
      <c r="C57" s="4" t="s">
        <v>3699</v>
      </c>
      <c r="D57" s="4" t="s">
        <v>3569</v>
      </c>
      <c r="E57" s="4" t="s">
        <v>3680</v>
      </c>
      <c r="F57" s="27"/>
      <c r="G57" s="27"/>
      <c r="H57" s="27"/>
      <c r="I57" s="29" t="s">
        <v>3700</v>
      </c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</row>
    <row r="58">
      <c r="A58" s="27"/>
      <c r="B58" s="2" t="s">
        <v>20</v>
      </c>
      <c r="C58" s="4" t="s">
        <v>2066</v>
      </c>
      <c r="D58" s="4" t="s">
        <v>3569</v>
      </c>
      <c r="E58" s="4" t="s">
        <v>3680</v>
      </c>
      <c r="F58" s="27"/>
      <c r="G58" s="27"/>
      <c r="H58" s="29" t="s">
        <v>3701</v>
      </c>
      <c r="I58" s="29" t="s">
        <v>3702</v>
      </c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</row>
    <row r="59">
      <c r="A59" s="27"/>
      <c r="B59" s="2" t="s">
        <v>20</v>
      </c>
      <c r="C59" s="4" t="s">
        <v>3592</v>
      </c>
      <c r="D59" s="4" t="s">
        <v>3569</v>
      </c>
      <c r="E59" s="4" t="s">
        <v>3680</v>
      </c>
      <c r="F59" s="27"/>
      <c r="G59" s="27"/>
      <c r="H59" s="29" t="s">
        <v>3703</v>
      </c>
      <c r="I59" s="29" t="s">
        <v>3704</v>
      </c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</row>
    <row r="60">
      <c r="A60" s="27"/>
      <c r="B60" s="4" t="s">
        <v>20</v>
      </c>
      <c r="C60" s="4" t="s">
        <v>3705</v>
      </c>
      <c r="D60" s="4" t="s">
        <v>3569</v>
      </c>
      <c r="E60" s="4" t="s">
        <v>3680</v>
      </c>
      <c r="F60" s="27"/>
      <c r="G60" s="27"/>
      <c r="H60" s="43" t="s">
        <v>3706</v>
      </c>
      <c r="I60" s="32" t="s">
        <v>318</v>
      </c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</row>
    <row r="61">
      <c r="A61" s="27"/>
      <c r="B61" s="4" t="s">
        <v>20</v>
      </c>
      <c r="C61" s="4" t="s">
        <v>74</v>
      </c>
      <c r="D61" s="4" t="s">
        <v>3569</v>
      </c>
      <c r="E61" s="4" t="s">
        <v>3680</v>
      </c>
      <c r="F61" s="27"/>
      <c r="G61" s="27"/>
      <c r="H61" s="43" t="s">
        <v>3707</v>
      </c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</row>
    <row r="62">
      <c r="A62" s="27"/>
      <c r="B62" s="4" t="s">
        <v>20</v>
      </c>
      <c r="C62" s="4" t="s">
        <v>49</v>
      </c>
      <c r="D62" s="4" t="s">
        <v>3569</v>
      </c>
      <c r="E62" s="4" t="s">
        <v>3680</v>
      </c>
      <c r="F62" s="27"/>
      <c r="G62" s="27"/>
      <c r="H62" s="43" t="s">
        <v>3708</v>
      </c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</row>
    <row r="63">
      <c r="A63" s="27"/>
      <c r="B63" s="4" t="s">
        <v>20</v>
      </c>
      <c r="C63" s="4" t="s">
        <v>1207</v>
      </c>
      <c r="D63" s="4" t="s">
        <v>3569</v>
      </c>
      <c r="E63" s="4" t="s">
        <v>3680</v>
      </c>
      <c r="F63" s="27"/>
      <c r="G63" s="27"/>
      <c r="H63" s="43" t="s">
        <v>3709</v>
      </c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</row>
    <row r="64">
      <c r="A64" s="27"/>
      <c r="B64" s="4" t="s">
        <v>20</v>
      </c>
      <c r="C64" s="4" t="s">
        <v>3710</v>
      </c>
      <c r="D64" s="4" t="s">
        <v>3569</v>
      </c>
      <c r="E64" s="4" t="s">
        <v>3680</v>
      </c>
      <c r="F64" s="27"/>
      <c r="G64" s="27"/>
      <c r="H64" s="29" t="s">
        <v>3711</v>
      </c>
      <c r="I64" s="29" t="s">
        <v>3712</v>
      </c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</row>
    <row r="65">
      <c r="A65" s="27"/>
      <c r="B65" s="4" t="s">
        <v>20</v>
      </c>
      <c r="C65" s="4" t="s">
        <v>3713</v>
      </c>
      <c r="D65" s="4" t="s">
        <v>3569</v>
      </c>
      <c r="E65" s="4" t="s">
        <v>3680</v>
      </c>
      <c r="F65" s="27"/>
      <c r="G65" s="27"/>
      <c r="H65" s="43" t="s">
        <v>3714</v>
      </c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</row>
    <row r="66">
      <c r="A66" s="27"/>
      <c r="B66" s="4" t="s">
        <v>20</v>
      </c>
      <c r="C66" s="4" t="s">
        <v>3715</v>
      </c>
      <c r="D66" s="4" t="s">
        <v>3569</v>
      </c>
      <c r="E66" s="4" t="s">
        <v>3569</v>
      </c>
      <c r="F66" s="4" t="s">
        <v>3716</v>
      </c>
      <c r="G66" s="27"/>
      <c r="H66" s="27"/>
      <c r="I66" s="27"/>
      <c r="J66" s="29" t="s">
        <v>3717</v>
      </c>
      <c r="K66" s="27"/>
      <c r="L66" s="27"/>
      <c r="M66" s="27"/>
      <c r="N66" s="27"/>
      <c r="O66" s="27"/>
      <c r="P66" s="27"/>
      <c r="Q66" s="27"/>
      <c r="R66" s="27"/>
      <c r="S66" s="27"/>
      <c r="T66" s="27"/>
    </row>
    <row r="67">
      <c r="A67" s="32">
        <v>10418.0</v>
      </c>
      <c r="B67" s="2" t="s">
        <v>20</v>
      </c>
      <c r="C67" s="4" t="s">
        <v>685</v>
      </c>
      <c r="D67" s="4" t="s">
        <v>3569</v>
      </c>
      <c r="E67" s="4" t="s">
        <v>3569</v>
      </c>
      <c r="F67" s="4" t="s">
        <v>3718</v>
      </c>
      <c r="G67" s="27"/>
      <c r="H67" s="29" t="s">
        <v>3719</v>
      </c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</row>
    <row r="68">
      <c r="A68" s="32">
        <v>10215.0</v>
      </c>
      <c r="B68" s="2" t="s">
        <v>20</v>
      </c>
      <c r="C68" s="4" t="s">
        <v>3720</v>
      </c>
      <c r="D68" s="4" t="s">
        <v>3569</v>
      </c>
      <c r="E68" s="4" t="s">
        <v>3569</v>
      </c>
      <c r="F68" s="4" t="s">
        <v>3718</v>
      </c>
      <c r="G68" s="27"/>
      <c r="H68" s="29" t="s">
        <v>3721</v>
      </c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</row>
    <row r="69">
      <c r="A69" s="32">
        <v>10189.0</v>
      </c>
      <c r="B69" s="2" t="s">
        <v>20</v>
      </c>
      <c r="C69" s="4" t="s">
        <v>3722</v>
      </c>
      <c r="D69" s="4" t="s">
        <v>3569</v>
      </c>
      <c r="E69" s="4" t="s">
        <v>3569</v>
      </c>
      <c r="F69" s="4" t="s">
        <v>3718</v>
      </c>
      <c r="G69" s="27"/>
      <c r="H69" s="27"/>
      <c r="I69" s="27"/>
      <c r="J69" s="29" t="s">
        <v>3723</v>
      </c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>
      <c r="A70" s="32">
        <v>10159.0</v>
      </c>
      <c r="B70" s="2" t="s">
        <v>20</v>
      </c>
      <c r="C70" s="4" t="s">
        <v>841</v>
      </c>
      <c r="D70" s="4" t="s">
        <v>3569</v>
      </c>
      <c r="E70" s="4" t="s">
        <v>3569</v>
      </c>
      <c r="F70" s="4" t="s">
        <v>3718</v>
      </c>
      <c r="G70" s="27"/>
      <c r="H70" s="29" t="s">
        <v>3724</v>
      </c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>
      <c r="A71" s="27"/>
      <c r="B71" s="2" t="s">
        <v>20</v>
      </c>
      <c r="C71" s="4" t="s">
        <v>1975</v>
      </c>
      <c r="D71" s="4" t="s">
        <v>3569</v>
      </c>
      <c r="E71" s="4" t="s">
        <v>3569</v>
      </c>
      <c r="F71" s="4" t="s">
        <v>3718</v>
      </c>
      <c r="G71" s="27"/>
      <c r="H71" s="29" t="s">
        <v>3725</v>
      </c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>
      <c r="A72" s="27"/>
      <c r="B72" s="4" t="s">
        <v>20</v>
      </c>
      <c r="C72" s="4" t="s">
        <v>2889</v>
      </c>
      <c r="D72" s="4" t="s">
        <v>3569</v>
      </c>
      <c r="E72" s="4" t="s">
        <v>3569</v>
      </c>
      <c r="F72" s="4" t="s">
        <v>3718</v>
      </c>
      <c r="G72" s="27"/>
      <c r="H72" s="43" t="s">
        <v>3726</v>
      </c>
      <c r="I72" s="43" t="s">
        <v>3727</v>
      </c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>
      <c r="A73" s="27"/>
      <c r="B73" s="4" t="s">
        <v>20</v>
      </c>
      <c r="C73" s="4" t="s">
        <v>3643</v>
      </c>
      <c r="D73" s="4" t="s">
        <v>3569</v>
      </c>
      <c r="E73" s="4" t="s">
        <v>3569</v>
      </c>
      <c r="F73" s="4" t="s">
        <v>3718</v>
      </c>
      <c r="G73" s="27"/>
      <c r="H73" s="29" t="s">
        <v>3728</v>
      </c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>
      <c r="A74" s="27"/>
      <c r="B74" s="4" t="s">
        <v>20</v>
      </c>
      <c r="C74" s="4" t="s">
        <v>3729</v>
      </c>
      <c r="D74" s="4" t="s">
        <v>3569</v>
      </c>
      <c r="E74" s="4" t="s">
        <v>3569</v>
      </c>
      <c r="F74" s="4" t="s">
        <v>3718</v>
      </c>
      <c r="G74" s="27"/>
      <c r="H74" s="43" t="s">
        <v>3730</v>
      </c>
      <c r="I74" s="29" t="s">
        <v>3731</v>
      </c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>
      <c r="A75" s="27"/>
      <c r="B75" s="4" t="s">
        <v>20</v>
      </c>
      <c r="C75" s="4" t="s">
        <v>3732</v>
      </c>
      <c r="D75" s="4" t="s">
        <v>3569</v>
      </c>
      <c r="E75" s="4" t="s">
        <v>3569</v>
      </c>
      <c r="F75" s="4" t="s">
        <v>3718</v>
      </c>
      <c r="G75" s="32">
        <v>1.0</v>
      </c>
      <c r="H75" s="29" t="s">
        <v>3733</v>
      </c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>
      <c r="A76" s="27"/>
      <c r="B76" s="4" t="s">
        <v>20</v>
      </c>
      <c r="C76" s="4" t="s">
        <v>2172</v>
      </c>
      <c r="D76" s="4" t="s">
        <v>3569</v>
      </c>
      <c r="E76" s="4" t="s">
        <v>3569</v>
      </c>
      <c r="F76" s="4" t="s">
        <v>3718</v>
      </c>
      <c r="G76" s="27"/>
      <c r="H76" s="43" t="s">
        <v>3734</v>
      </c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>
      <c r="A77" s="27"/>
      <c r="B77" s="4" t="s">
        <v>20</v>
      </c>
      <c r="C77" s="4" t="s">
        <v>882</v>
      </c>
      <c r="D77" s="4" t="s">
        <v>3569</v>
      </c>
      <c r="E77" s="4" t="s">
        <v>3569</v>
      </c>
      <c r="F77" s="4" t="s">
        <v>3718</v>
      </c>
      <c r="G77" s="27"/>
      <c r="H77" s="43" t="s">
        <v>3735</v>
      </c>
      <c r="I77" s="27"/>
      <c r="J77" s="43" t="s">
        <v>3736</v>
      </c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>
      <c r="A78" s="27"/>
      <c r="B78" s="4" t="s">
        <v>102</v>
      </c>
      <c r="C78" s="4" t="s">
        <v>3737</v>
      </c>
      <c r="D78" s="4" t="s">
        <v>3569</v>
      </c>
      <c r="E78" s="4" t="s">
        <v>3569</v>
      </c>
      <c r="F78" s="4" t="s">
        <v>3738</v>
      </c>
      <c r="G78" s="27"/>
      <c r="H78" s="43" t="s">
        <v>3739</v>
      </c>
      <c r="I78" s="43" t="s">
        <v>3740</v>
      </c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>
      <c r="A79" s="27"/>
      <c r="B79" s="4" t="s">
        <v>102</v>
      </c>
      <c r="C79" s="4" t="s">
        <v>1975</v>
      </c>
      <c r="D79" s="4" t="s">
        <v>3569</v>
      </c>
      <c r="E79" s="4" t="s">
        <v>3569</v>
      </c>
      <c r="F79" s="4" t="s">
        <v>3741</v>
      </c>
      <c r="G79" s="27"/>
      <c r="H79" s="43" t="s">
        <v>3742</v>
      </c>
      <c r="I79" s="29" t="s">
        <v>3743</v>
      </c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>
      <c r="A80" s="27"/>
      <c r="B80" s="4" t="s">
        <v>20</v>
      </c>
      <c r="C80" s="4" t="s">
        <v>3744</v>
      </c>
      <c r="D80" s="4" t="s">
        <v>3569</v>
      </c>
      <c r="E80" s="4" t="s">
        <v>3569</v>
      </c>
      <c r="F80" s="4" t="s">
        <v>3745</v>
      </c>
      <c r="G80" s="27"/>
      <c r="H80" s="43" t="s">
        <v>3746</v>
      </c>
      <c r="I80" s="43" t="s">
        <v>3747</v>
      </c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>
      <c r="A81" s="27"/>
      <c r="B81" s="4" t="s">
        <v>20</v>
      </c>
      <c r="C81" s="4" t="s">
        <v>3748</v>
      </c>
      <c r="D81" s="4" t="s">
        <v>3569</v>
      </c>
      <c r="E81" s="4" t="s">
        <v>3569</v>
      </c>
      <c r="F81" s="4" t="s">
        <v>3749</v>
      </c>
      <c r="G81" s="27"/>
      <c r="H81" s="43" t="s">
        <v>3750</v>
      </c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>
      <c r="A82" s="27"/>
      <c r="B82" s="4" t="s">
        <v>20</v>
      </c>
      <c r="C82" s="4" t="s">
        <v>3751</v>
      </c>
      <c r="D82" s="4" t="s">
        <v>3569</v>
      </c>
      <c r="E82" s="4" t="s">
        <v>3569</v>
      </c>
      <c r="F82" s="4" t="s">
        <v>3752</v>
      </c>
      <c r="G82" s="27"/>
      <c r="H82" s="43" t="s">
        <v>3753</v>
      </c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>
      <c r="A83" s="27"/>
      <c r="B83" s="4" t="s">
        <v>20</v>
      </c>
      <c r="C83" s="4" t="s">
        <v>3754</v>
      </c>
      <c r="D83" s="4" t="s">
        <v>3569</v>
      </c>
      <c r="E83" s="4" t="s">
        <v>3569</v>
      </c>
      <c r="F83" s="4" t="s">
        <v>3755</v>
      </c>
      <c r="G83" s="27"/>
      <c r="H83" s="43" t="s">
        <v>3756</v>
      </c>
      <c r="I83" s="43" t="s">
        <v>3757</v>
      </c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>
      <c r="A84" s="27"/>
      <c r="B84" s="4" t="s">
        <v>20</v>
      </c>
      <c r="C84" s="4" t="s">
        <v>3758</v>
      </c>
      <c r="D84" s="4" t="s">
        <v>3569</v>
      </c>
      <c r="E84" s="4" t="s">
        <v>3569</v>
      </c>
      <c r="F84" s="4" t="s">
        <v>3759</v>
      </c>
      <c r="G84" s="27"/>
      <c r="H84" s="27"/>
      <c r="I84" s="27"/>
      <c r="J84" s="29" t="s">
        <v>3760</v>
      </c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>
      <c r="A85" s="27"/>
      <c r="B85" s="4" t="s">
        <v>20</v>
      </c>
      <c r="C85" s="4" t="s">
        <v>3761</v>
      </c>
      <c r="D85" s="4" t="s">
        <v>3569</v>
      </c>
      <c r="E85" s="4" t="s">
        <v>3569</v>
      </c>
      <c r="F85" s="4" t="s">
        <v>3762</v>
      </c>
      <c r="G85" s="27"/>
      <c r="H85" s="43" t="s">
        <v>3763</v>
      </c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</row>
    <row r="86">
      <c r="A86" s="2"/>
      <c r="B86" s="2" t="s">
        <v>20</v>
      </c>
      <c r="C86" s="4" t="s">
        <v>3764</v>
      </c>
      <c r="D86" s="4" t="s">
        <v>3569</v>
      </c>
      <c r="E86" s="4" t="s">
        <v>3569</v>
      </c>
      <c r="F86" s="4" t="s">
        <v>3428</v>
      </c>
      <c r="G86" s="27"/>
      <c r="H86" s="29" t="s">
        <v>3765</v>
      </c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</row>
    <row r="87">
      <c r="A87" s="32" t="s">
        <v>3766</v>
      </c>
      <c r="B87" s="2" t="s">
        <v>20</v>
      </c>
      <c r="C87" s="4" t="s">
        <v>3767</v>
      </c>
      <c r="D87" s="4" t="s">
        <v>3569</v>
      </c>
      <c r="E87" s="4" t="s">
        <v>3569</v>
      </c>
      <c r="F87" s="4" t="s">
        <v>3768</v>
      </c>
      <c r="G87" s="27"/>
      <c r="H87" s="29" t="s">
        <v>3769</v>
      </c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</row>
    <row r="88">
      <c r="A88" s="27"/>
      <c r="B88" s="4" t="s">
        <v>20</v>
      </c>
      <c r="C88" s="4" t="s">
        <v>3770</v>
      </c>
      <c r="D88" s="4" t="s">
        <v>3569</v>
      </c>
      <c r="E88" s="4" t="s">
        <v>3569</v>
      </c>
      <c r="F88" s="4" t="s">
        <v>3771</v>
      </c>
      <c r="G88" s="27"/>
      <c r="H88" s="29" t="s">
        <v>3772</v>
      </c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</row>
    <row r="89">
      <c r="A89" s="27"/>
      <c r="B89" s="4" t="s">
        <v>20</v>
      </c>
      <c r="C89" s="4" t="s">
        <v>3773</v>
      </c>
      <c r="D89" s="4" t="s">
        <v>3569</v>
      </c>
      <c r="E89" s="4" t="s">
        <v>3569</v>
      </c>
      <c r="F89" s="4" t="s">
        <v>3771</v>
      </c>
      <c r="G89" s="27"/>
      <c r="H89" s="43" t="s">
        <v>3774</v>
      </c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</row>
    <row r="90">
      <c r="A90" s="27"/>
      <c r="B90" s="4" t="s">
        <v>276</v>
      </c>
      <c r="C90" s="4" t="s">
        <v>3775</v>
      </c>
      <c r="D90" s="4" t="s">
        <v>3569</v>
      </c>
      <c r="E90" s="4" t="s">
        <v>3569</v>
      </c>
      <c r="F90" s="4" t="s">
        <v>3771</v>
      </c>
      <c r="G90" s="27"/>
      <c r="H90" s="43" t="s">
        <v>3776</v>
      </c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</row>
    <row r="91">
      <c r="A91" s="27"/>
      <c r="B91" s="4" t="s">
        <v>276</v>
      </c>
      <c r="C91" s="4" t="s">
        <v>3622</v>
      </c>
      <c r="D91" s="4" t="s">
        <v>3569</v>
      </c>
      <c r="E91" s="4" t="s">
        <v>3569</v>
      </c>
      <c r="F91" s="4" t="s">
        <v>3777</v>
      </c>
      <c r="G91" s="27"/>
      <c r="H91" s="43" t="s">
        <v>3778</v>
      </c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</row>
    <row r="92">
      <c r="A92" s="32">
        <v>32647.0</v>
      </c>
      <c r="B92" s="4" t="s">
        <v>3779</v>
      </c>
      <c r="C92" s="4" t="s">
        <v>3780</v>
      </c>
      <c r="D92" s="4" t="s">
        <v>3569</v>
      </c>
      <c r="E92" s="4" t="s">
        <v>3569</v>
      </c>
      <c r="F92" s="27"/>
      <c r="G92" s="27"/>
      <c r="H92" s="29" t="s">
        <v>3781</v>
      </c>
      <c r="I92" s="27"/>
      <c r="J92" s="29" t="s">
        <v>3782</v>
      </c>
      <c r="K92" s="27"/>
      <c r="L92" s="27"/>
      <c r="M92" s="27"/>
      <c r="N92" s="27"/>
      <c r="O92" s="27"/>
      <c r="P92" s="27"/>
      <c r="Q92" s="27"/>
      <c r="R92" s="27"/>
      <c r="S92" s="27"/>
      <c r="T92" s="27"/>
    </row>
    <row r="93">
      <c r="A93" s="32">
        <v>32646.0</v>
      </c>
      <c r="B93" s="2" t="s">
        <v>20</v>
      </c>
      <c r="C93" s="4" t="s">
        <v>2155</v>
      </c>
      <c r="D93" s="4" t="s">
        <v>3569</v>
      </c>
      <c r="E93" s="4" t="s">
        <v>3569</v>
      </c>
      <c r="F93" s="27"/>
      <c r="G93" s="27"/>
      <c r="H93" s="29" t="s">
        <v>3783</v>
      </c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</row>
    <row r="94">
      <c r="A94" s="32">
        <v>32645.0</v>
      </c>
      <c r="B94" s="2" t="s">
        <v>20</v>
      </c>
      <c r="C94" s="4" t="s">
        <v>3784</v>
      </c>
      <c r="D94" s="4" t="s">
        <v>3569</v>
      </c>
      <c r="E94" s="4" t="s">
        <v>3569</v>
      </c>
      <c r="F94" s="27"/>
      <c r="G94" s="27"/>
      <c r="H94" s="29" t="s">
        <v>3785</v>
      </c>
      <c r="I94" s="88" t="s">
        <v>0</v>
      </c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</row>
    <row r="95">
      <c r="A95" s="32">
        <v>32644.0</v>
      </c>
      <c r="B95" s="2" t="s">
        <v>20</v>
      </c>
      <c r="C95" s="4" t="s">
        <v>3786</v>
      </c>
      <c r="D95" s="4" t="s">
        <v>3569</v>
      </c>
      <c r="E95" s="4" t="s">
        <v>3569</v>
      </c>
      <c r="F95" s="27"/>
      <c r="G95" s="27"/>
      <c r="H95" s="29" t="s">
        <v>3787</v>
      </c>
      <c r="I95" s="27"/>
      <c r="J95" s="29" t="s">
        <v>3788</v>
      </c>
      <c r="K95" s="27"/>
      <c r="L95" s="27"/>
      <c r="M95" s="27"/>
      <c r="N95" s="27"/>
      <c r="O95" s="27"/>
      <c r="P95" s="27"/>
      <c r="Q95" s="27"/>
      <c r="R95" s="27"/>
      <c r="S95" s="27"/>
      <c r="T95" s="27"/>
    </row>
    <row r="96">
      <c r="A96" s="32">
        <v>29350.0</v>
      </c>
      <c r="B96" s="2" t="s">
        <v>20</v>
      </c>
      <c r="C96" s="4" t="s">
        <v>3789</v>
      </c>
      <c r="D96" s="4" t="s">
        <v>3569</v>
      </c>
      <c r="E96" s="4" t="s">
        <v>3569</v>
      </c>
      <c r="F96" s="27"/>
      <c r="G96" s="27"/>
      <c r="H96" s="29" t="s">
        <v>3790</v>
      </c>
      <c r="I96" s="29" t="s">
        <v>3791</v>
      </c>
      <c r="J96" s="29" t="s">
        <v>3792</v>
      </c>
      <c r="K96" s="27"/>
      <c r="L96" s="27"/>
      <c r="M96" s="27"/>
      <c r="N96" s="27"/>
      <c r="O96" s="27"/>
      <c r="P96" s="27"/>
      <c r="Q96" s="27"/>
      <c r="R96" s="27"/>
      <c r="S96" s="27"/>
      <c r="T96" s="27"/>
    </row>
    <row r="97">
      <c r="A97" s="32">
        <v>26512.0</v>
      </c>
      <c r="B97" s="2" t="s">
        <v>20</v>
      </c>
      <c r="C97" s="4" t="s">
        <v>3793</v>
      </c>
      <c r="D97" s="4" t="s">
        <v>3569</v>
      </c>
      <c r="E97" s="4" t="s">
        <v>3569</v>
      </c>
      <c r="F97" s="27"/>
      <c r="G97" s="27"/>
      <c r="H97" s="27"/>
      <c r="I97" s="27"/>
      <c r="J97" s="29" t="s">
        <v>3794</v>
      </c>
      <c r="K97" s="27"/>
      <c r="L97" s="27"/>
      <c r="M97" s="27"/>
      <c r="N97" s="27"/>
      <c r="O97" s="27"/>
      <c r="P97" s="27"/>
      <c r="Q97" s="27"/>
      <c r="R97" s="27"/>
      <c r="S97" s="27"/>
      <c r="T97" s="27"/>
    </row>
    <row r="98">
      <c r="A98" s="32">
        <v>26510.0</v>
      </c>
      <c r="B98" s="2" t="s">
        <v>20</v>
      </c>
      <c r="C98" s="4" t="s">
        <v>988</v>
      </c>
      <c r="D98" s="4" t="s">
        <v>3569</v>
      </c>
      <c r="E98" s="4" t="s">
        <v>3569</v>
      </c>
      <c r="F98" s="27"/>
      <c r="G98" s="27"/>
      <c r="H98" s="29" t="s">
        <v>3795</v>
      </c>
      <c r="I98" s="87" t="s">
        <v>3796</v>
      </c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</row>
    <row r="99">
      <c r="A99" s="32">
        <v>23321.0</v>
      </c>
      <c r="B99" s="2" t="s">
        <v>20</v>
      </c>
      <c r="C99" s="4" t="s">
        <v>841</v>
      </c>
      <c r="D99" s="4" t="s">
        <v>3569</v>
      </c>
      <c r="E99" s="4" t="s">
        <v>3569</v>
      </c>
      <c r="F99" s="27"/>
      <c r="G99" s="27"/>
      <c r="H99" s="29" t="s">
        <v>3797</v>
      </c>
      <c r="I99" s="29" t="s">
        <v>3798</v>
      </c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</row>
    <row r="100">
      <c r="A100" s="32">
        <v>22152.0</v>
      </c>
      <c r="B100" s="2" t="s">
        <v>20</v>
      </c>
      <c r="C100" s="4" t="s">
        <v>3799</v>
      </c>
      <c r="D100" s="4" t="s">
        <v>3569</v>
      </c>
      <c r="E100" s="4" t="s">
        <v>3569</v>
      </c>
      <c r="F100" s="27"/>
      <c r="G100" s="27"/>
      <c r="H100" s="27"/>
      <c r="I100" s="27"/>
      <c r="J100" s="29" t="s">
        <v>3800</v>
      </c>
      <c r="K100" s="27"/>
      <c r="L100" s="27"/>
      <c r="M100" s="27"/>
      <c r="N100" s="27"/>
      <c r="O100" s="27"/>
      <c r="P100" s="27"/>
      <c r="Q100" s="27"/>
      <c r="R100" s="27"/>
      <c r="S100" s="27"/>
      <c r="T100" s="27"/>
    </row>
    <row r="101">
      <c r="A101" s="32">
        <v>22150.0</v>
      </c>
      <c r="B101" s="2" t="s">
        <v>20</v>
      </c>
      <c r="C101" s="4" t="s">
        <v>3801</v>
      </c>
      <c r="D101" s="4" t="s">
        <v>3569</v>
      </c>
      <c r="E101" s="4" t="s">
        <v>3569</v>
      </c>
      <c r="F101" s="27"/>
      <c r="G101" s="27"/>
      <c r="H101" s="27"/>
      <c r="I101" s="27"/>
      <c r="J101" s="29" t="s">
        <v>3802</v>
      </c>
      <c r="K101" s="27"/>
      <c r="L101" s="27"/>
      <c r="M101" s="27"/>
      <c r="N101" s="27"/>
      <c r="O101" s="27"/>
      <c r="P101" s="27"/>
      <c r="Q101" s="27"/>
      <c r="R101" s="27"/>
      <c r="S101" s="27"/>
      <c r="T101" s="27"/>
    </row>
    <row r="102">
      <c r="A102" s="32">
        <v>21310.0</v>
      </c>
      <c r="B102" s="2" t="s">
        <v>20</v>
      </c>
      <c r="C102" s="4" t="s">
        <v>3803</v>
      </c>
      <c r="D102" s="4" t="s">
        <v>3569</v>
      </c>
      <c r="E102" s="4" t="s">
        <v>3569</v>
      </c>
      <c r="F102" s="27"/>
      <c r="G102" s="27"/>
      <c r="H102" s="29" t="s">
        <v>3804</v>
      </c>
      <c r="I102" s="27"/>
      <c r="J102" s="27"/>
      <c r="K102" s="27"/>
      <c r="L102" s="27"/>
      <c r="M102" s="29" t="s">
        <v>3805</v>
      </c>
      <c r="N102" s="27"/>
      <c r="O102" s="27"/>
      <c r="P102" s="27"/>
      <c r="Q102" s="27"/>
      <c r="R102" s="27"/>
      <c r="S102" s="27"/>
      <c r="T102" s="27"/>
    </row>
    <row r="103">
      <c r="A103" s="32">
        <v>20694.0</v>
      </c>
      <c r="B103" s="2" t="s">
        <v>20</v>
      </c>
      <c r="C103" s="4" t="s">
        <v>3806</v>
      </c>
      <c r="D103" s="4" t="s">
        <v>3569</v>
      </c>
      <c r="E103" s="4" t="s">
        <v>3569</v>
      </c>
      <c r="F103" s="27"/>
      <c r="G103" s="27"/>
      <c r="H103" s="27"/>
      <c r="I103" s="27"/>
      <c r="J103" s="29" t="s">
        <v>3807</v>
      </c>
      <c r="K103" s="27"/>
      <c r="L103" s="27"/>
      <c r="M103" s="27"/>
      <c r="N103" s="27"/>
      <c r="O103" s="27"/>
      <c r="P103" s="27"/>
      <c r="Q103" s="27"/>
      <c r="R103" s="27"/>
      <c r="S103" s="27"/>
      <c r="T103" s="27"/>
    </row>
    <row r="104">
      <c r="A104" s="32">
        <v>20140.0</v>
      </c>
      <c r="B104" s="2" t="s">
        <v>20</v>
      </c>
      <c r="C104" s="4" t="s">
        <v>3808</v>
      </c>
      <c r="D104" s="4" t="s">
        <v>3569</v>
      </c>
      <c r="E104" s="4" t="s">
        <v>3569</v>
      </c>
      <c r="F104" s="27"/>
      <c r="G104" s="27"/>
      <c r="H104" s="29" t="s">
        <v>3809</v>
      </c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</row>
    <row r="105">
      <c r="A105" s="32">
        <v>19840.0</v>
      </c>
      <c r="B105" s="2" t="s">
        <v>20</v>
      </c>
      <c r="C105" s="4" t="s">
        <v>3810</v>
      </c>
      <c r="D105" s="4" t="s">
        <v>3569</v>
      </c>
      <c r="E105" s="4" t="s">
        <v>3569</v>
      </c>
      <c r="F105" s="27"/>
      <c r="G105" s="27"/>
      <c r="H105" s="27"/>
      <c r="I105" s="27"/>
      <c r="J105" s="29" t="s">
        <v>3811</v>
      </c>
      <c r="K105" s="27"/>
      <c r="L105" s="27"/>
      <c r="M105" s="27"/>
      <c r="N105" s="27"/>
      <c r="O105" s="27"/>
      <c r="P105" s="27"/>
      <c r="Q105" s="27"/>
      <c r="R105" s="27"/>
      <c r="S105" s="27"/>
      <c r="T105" s="27"/>
    </row>
    <row r="106">
      <c r="A106" s="32">
        <v>18428.0</v>
      </c>
      <c r="B106" s="2" t="s">
        <v>20</v>
      </c>
      <c r="C106" s="4" t="s">
        <v>3812</v>
      </c>
      <c r="D106" s="4" t="s">
        <v>3569</v>
      </c>
      <c r="E106" s="4" t="s">
        <v>3569</v>
      </c>
      <c r="F106" s="27"/>
      <c r="G106" s="27"/>
      <c r="H106" s="29" t="s">
        <v>3813</v>
      </c>
      <c r="I106" s="27"/>
      <c r="J106" s="29" t="s">
        <v>3814</v>
      </c>
      <c r="K106" s="27"/>
      <c r="L106" s="27"/>
      <c r="M106" s="27"/>
      <c r="N106" s="27"/>
      <c r="O106" s="27"/>
      <c r="P106" s="27"/>
      <c r="Q106" s="27"/>
      <c r="R106" s="27"/>
      <c r="S106" s="27"/>
      <c r="T106" s="27"/>
    </row>
    <row r="107">
      <c r="A107" s="32">
        <v>18427.0</v>
      </c>
      <c r="B107" s="2" t="s">
        <v>20</v>
      </c>
      <c r="C107" s="4" t="s">
        <v>3815</v>
      </c>
      <c r="D107" s="4" t="s">
        <v>3569</v>
      </c>
      <c r="E107" s="4" t="s">
        <v>3569</v>
      </c>
      <c r="F107" s="27"/>
      <c r="G107" s="27"/>
      <c r="H107" s="29" t="s">
        <v>3816</v>
      </c>
      <c r="I107" s="29" t="s">
        <v>3817</v>
      </c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</row>
    <row r="108">
      <c r="A108" s="27"/>
      <c r="B108" s="2" t="s">
        <v>20</v>
      </c>
      <c r="C108" s="4" t="s">
        <v>963</v>
      </c>
      <c r="D108" s="4" t="s">
        <v>3569</v>
      </c>
      <c r="E108" s="4" t="s">
        <v>3569</v>
      </c>
      <c r="F108" s="27"/>
      <c r="G108" s="27"/>
      <c r="H108" s="29" t="s">
        <v>3818</v>
      </c>
      <c r="I108" s="29" t="s">
        <v>3819</v>
      </c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</row>
    <row r="109">
      <c r="A109" s="32">
        <v>10430.0</v>
      </c>
      <c r="B109" s="2" t="s">
        <v>20</v>
      </c>
      <c r="C109" s="4" t="s">
        <v>3820</v>
      </c>
      <c r="D109" s="4" t="s">
        <v>3569</v>
      </c>
      <c r="E109" s="4" t="s">
        <v>3569</v>
      </c>
      <c r="F109" s="27"/>
      <c r="G109" s="27"/>
      <c r="H109" s="29" t="s">
        <v>3821</v>
      </c>
      <c r="I109" s="29" t="s">
        <v>3822</v>
      </c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</row>
    <row r="110">
      <c r="A110" s="32">
        <v>10398.0</v>
      </c>
      <c r="B110" s="2" t="s">
        <v>20</v>
      </c>
      <c r="C110" s="4" t="s">
        <v>3823</v>
      </c>
      <c r="D110" s="4" t="s">
        <v>3569</v>
      </c>
      <c r="E110" s="4" t="s">
        <v>3569</v>
      </c>
      <c r="F110" s="27"/>
      <c r="G110" s="27"/>
      <c r="H110" s="29" t="s">
        <v>3824</v>
      </c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</row>
    <row r="111">
      <c r="A111" s="32">
        <v>10350.0</v>
      </c>
      <c r="B111" s="2" t="s">
        <v>20</v>
      </c>
      <c r="C111" s="4" t="s">
        <v>3780</v>
      </c>
      <c r="D111" s="4" t="s">
        <v>3569</v>
      </c>
      <c r="E111" s="4" t="s">
        <v>3569</v>
      </c>
      <c r="F111" s="27"/>
      <c r="G111" s="27"/>
      <c r="H111" s="29" t="s">
        <v>3781</v>
      </c>
      <c r="I111" s="27"/>
      <c r="J111" s="29" t="s">
        <v>3782</v>
      </c>
      <c r="K111" s="27"/>
      <c r="L111" s="27"/>
      <c r="M111" s="27"/>
      <c r="N111" s="27"/>
      <c r="O111" s="27"/>
      <c r="P111" s="27"/>
      <c r="Q111" s="27"/>
      <c r="R111" s="27"/>
      <c r="S111" s="27"/>
      <c r="T111" s="27"/>
    </row>
    <row r="112">
      <c r="A112" s="32">
        <v>10283.0</v>
      </c>
      <c r="B112" s="2" t="s">
        <v>20</v>
      </c>
      <c r="C112" s="4" t="s">
        <v>3770</v>
      </c>
      <c r="D112" s="4" t="s">
        <v>3569</v>
      </c>
      <c r="E112" s="4" t="s">
        <v>3569</v>
      </c>
      <c r="F112" s="27"/>
      <c r="G112" s="27"/>
      <c r="H112" s="29" t="s">
        <v>3825</v>
      </c>
      <c r="I112" s="27"/>
      <c r="J112" s="27"/>
      <c r="K112" s="27"/>
      <c r="L112" s="27"/>
      <c r="M112" s="29" t="s">
        <v>3826</v>
      </c>
      <c r="N112" s="27"/>
      <c r="O112" s="27"/>
      <c r="P112" s="27"/>
      <c r="Q112" s="27"/>
      <c r="R112" s="27"/>
      <c r="S112" s="27"/>
      <c r="T112" s="27"/>
    </row>
    <row r="113">
      <c r="A113" s="32">
        <v>10270.0</v>
      </c>
      <c r="B113" s="2" t="s">
        <v>20</v>
      </c>
      <c r="C113" s="4" t="s">
        <v>3209</v>
      </c>
      <c r="D113" s="4" t="s">
        <v>3569</v>
      </c>
      <c r="E113" s="4" t="s">
        <v>3569</v>
      </c>
      <c r="F113" s="27"/>
      <c r="G113" s="27"/>
      <c r="H113" s="29" t="s">
        <v>3827</v>
      </c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</row>
    <row r="114">
      <c r="A114" s="32">
        <v>10238.0</v>
      </c>
      <c r="B114" s="27"/>
      <c r="C114" s="4" t="s">
        <v>0</v>
      </c>
      <c r="D114" s="4" t="s">
        <v>3569</v>
      </c>
      <c r="E114" s="4" t="s">
        <v>3569</v>
      </c>
      <c r="F114" s="27"/>
      <c r="G114" s="27"/>
      <c r="H114" s="27"/>
      <c r="I114" s="27"/>
      <c r="J114" s="29" t="s">
        <v>3828</v>
      </c>
      <c r="K114" s="27"/>
      <c r="L114" s="27"/>
      <c r="M114" s="27"/>
      <c r="N114" s="27"/>
      <c r="O114" s="27"/>
      <c r="P114" s="27"/>
      <c r="Q114" s="27"/>
      <c r="R114" s="27"/>
      <c r="S114" s="27"/>
      <c r="T114" s="27"/>
    </row>
    <row r="115">
      <c r="A115" s="32">
        <v>10235.0</v>
      </c>
      <c r="B115" s="2" t="s">
        <v>20</v>
      </c>
      <c r="C115" s="4" t="s">
        <v>3829</v>
      </c>
      <c r="D115" s="4" t="s">
        <v>3569</v>
      </c>
      <c r="E115" s="4" t="s">
        <v>3569</v>
      </c>
      <c r="F115" s="27"/>
      <c r="G115" s="27"/>
      <c r="H115" s="29" t="s">
        <v>3830</v>
      </c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</row>
    <row r="116">
      <c r="A116" s="32">
        <v>10228.0</v>
      </c>
      <c r="B116" s="2" t="s">
        <v>20</v>
      </c>
      <c r="C116" s="4" t="s">
        <v>3831</v>
      </c>
      <c r="D116" s="4" t="s">
        <v>3569</v>
      </c>
      <c r="E116" s="4" t="s">
        <v>3569</v>
      </c>
      <c r="F116" s="27"/>
      <c r="G116" s="27"/>
      <c r="H116" s="29" t="s">
        <v>3832</v>
      </c>
      <c r="I116" s="27"/>
      <c r="J116" s="29" t="s">
        <v>3833</v>
      </c>
      <c r="K116" s="27"/>
      <c r="L116" s="27"/>
      <c r="M116" s="27"/>
      <c r="N116" s="27"/>
      <c r="O116" s="27"/>
      <c r="P116" s="27"/>
      <c r="Q116" s="27"/>
      <c r="R116" s="27"/>
      <c r="S116" s="27"/>
      <c r="T116" s="27"/>
    </row>
    <row r="117">
      <c r="A117" s="32">
        <v>10227.0</v>
      </c>
      <c r="B117" s="2" t="s">
        <v>20</v>
      </c>
      <c r="C117" s="4" t="s">
        <v>3834</v>
      </c>
      <c r="D117" s="4" t="s">
        <v>3569</v>
      </c>
      <c r="E117" s="4" t="s">
        <v>3569</v>
      </c>
      <c r="F117" s="27"/>
      <c r="G117" s="27"/>
      <c r="H117" s="29" t="s">
        <v>3835</v>
      </c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</row>
    <row r="118">
      <c r="A118" s="32">
        <v>10175.0</v>
      </c>
      <c r="B118" s="2" t="s">
        <v>20</v>
      </c>
      <c r="C118" s="4" t="s">
        <v>3836</v>
      </c>
      <c r="D118" s="4" t="s">
        <v>3569</v>
      </c>
      <c r="E118" s="4" t="s">
        <v>3569</v>
      </c>
      <c r="F118" s="27"/>
      <c r="G118" s="27"/>
      <c r="H118" s="29" t="s">
        <v>3837</v>
      </c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</row>
    <row r="119">
      <c r="A119" s="32">
        <v>10174.0</v>
      </c>
      <c r="B119" s="2" t="s">
        <v>20</v>
      </c>
      <c r="C119" s="4" t="s">
        <v>3592</v>
      </c>
      <c r="D119" s="4" t="s">
        <v>3569</v>
      </c>
      <c r="E119" s="4" t="s">
        <v>3569</v>
      </c>
      <c r="F119" s="27"/>
      <c r="G119" s="27"/>
      <c r="H119" s="29" t="s">
        <v>3838</v>
      </c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</row>
    <row r="120">
      <c r="A120" s="32">
        <v>10134.0</v>
      </c>
      <c r="B120" s="2" t="s">
        <v>20</v>
      </c>
      <c r="C120" s="4" t="s">
        <v>3658</v>
      </c>
      <c r="D120" s="4" t="s">
        <v>3569</v>
      </c>
      <c r="E120" s="4" t="s">
        <v>3569</v>
      </c>
      <c r="F120" s="27"/>
      <c r="G120" s="27"/>
      <c r="H120" s="29" t="s">
        <v>3839</v>
      </c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</row>
    <row r="121">
      <c r="A121" s="27"/>
      <c r="B121" s="2" t="s">
        <v>20</v>
      </c>
      <c r="C121" s="4" t="s">
        <v>3840</v>
      </c>
      <c r="D121" s="4" t="s">
        <v>3569</v>
      </c>
      <c r="E121" s="4" t="s">
        <v>3569</v>
      </c>
      <c r="F121" s="27"/>
      <c r="G121" s="27"/>
      <c r="H121" s="29" t="s">
        <v>3841</v>
      </c>
      <c r="I121" s="29" t="s">
        <v>3842</v>
      </c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</row>
    <row r="122">
      <c r="A122" s="32">
        <v>10130.0</v>
      </c>
      <c r="B122" s="2" t="s">
        <v>20</v>
      </c>
      <c r="C122" s="4" t="s">
        <v>3843</v>
      </c>
      <c r="D122" s="4" t="s">
        <v>3569</v>
      </c>
      <c r="E122" s="4" t="s">
        <v>3569</v>
      </c>
      <c r="F122" s="27"/>
      <c r="G122" s="27"/>
      <c r="H122" s="27"/>
      <c r="I122" s="27"/>
      <c r="J122" s="29" t="s">
        <v>3844</v>
      </c>
      <c r="K122" s="27"/>
      <c r="L122" s="27"/>
      <c r="M122" s="27"/>
      <c r="N122" s="27"/>
      <c r="O122" s="27"/>
      <c r="P122" s="27"/>
      <c r="Q122" s="27"/>
      <c r="R122" s="27"/>
      <c r="S122" s="27"/>
      <c r="T122" s="27"/>
    </row>
    <row r="123">
      <c r="A123" s="32">
        <v>101129.0</v>
      </c>
      <c r="B123" s="2" t="s">
        <v>20</v>
      </c>
      <c r="C123" s="4" t="s">
        <v>3845</v>
      </c>
      <c r="D123" s="4" t="s">
        <v>3569</v>
      </c>
      <c r="E123" s="4" t="s">
        <v>3569</v>
      </c>
      <c r="F123" s="27"/>
      <c r="G123" s="27"/>
      <c r="H123" s="29" t="s">
        <v>3846</v>
      </c>
      <c r="I123" s="29" t="s">
        <v>3847</v>
      </c>
      <c r="J123" s="29" t="s">
        <v>3848</v>
      </c>
      <c r="K123" s="27"/>
      <c r="L123" s="27"/>
      <c r="M123" s="27"/>
      <c r="N123" s="27"/>
      <c r="O123" s="27"/>
      <c r="P123" s="27"/>
      <c r="Q123" s="27"/>
      <c r="R123" s="27"/>
      <c r="S123" s="27"/>
      <c r="T123" s="27"/>
    </row>
    <row r="124">
      <c r="A124" s="32">
        <v>10127.0</v>
      </c>
      <c r="B124" s="2" t="s">
        <v>20</v>
      </c>
      <c r="C124" s="4" t="s">
        <v>3849</v>
      </c>
      <c r="D124" s="4" t="s">
        <v>3569</v>
      </c>
      <c r="E124" s="4" t="s">
        <v>3569</v>
      </c>
      <c r="F124" s="27"/>
      <c r="G124" s="27"/>
      <c r="H124" s="29" t="s">
        <v>3850</v>
      </c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</row>
    <row r="125">
      <c r="A125" s="27"/>
      <c r="B125" s="2" t="s">
        <v>20</v>
      </c>
      <c r="C125" s="4" t="s">
        <v>3851</v>
      </c>
      <c r="D125" s="4" t="s">
        <v>3569</v>
      </c>
      <c r="E125" s="4" t="s">
        <v>3569</v>
      </c>
      <c r="F125" s="27"/>
      <c r="G125" s="27"/>
      <c r="H125" s="29" t="s">
        <v>3852</v>
      </c>
      <c r="I125" s="29" t="s">
        <v>3853</v>
      </c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</row>
    <row r="126">
      <c r="A126" s="27"/>
      <c r="B126" s="2" t="s">
        <v>20</v>
      </c>
      <c r="C126" s="4" t="s">
        <v>2155</v>
      </c>
      <c r="D126" s="4" t="s">
        <v>3569</v>
      </c>
      <c r="E126" s="4" t="s">
        <v>3569</v>
      </c>
      <c r="F126" s="27"/>
      <c r="G126" s="27"/>
      <c r="H126" s="29" t="s">
        <v>3854</v>
      </c>
      <c r="I126" s="43" t="s">
        <v>3855</v>
      </c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</row>
    <row r="127">
      <c r="A127" s="27"/>
      <c r="B127" s="2" t="s">
        <v>20</v>
      </c>
      <c r="C127" s="4" t="s">
        <v>3856</v>
      </c>
      <c r="D127" s="4" t="s">
        <v>3569</v>
      </c>
      <c r="E127" s="4" t="s">
        <v>3569</v>
      </c>
      <c r="F127" s="27"/>
      <c r="G127" s="27"/>
      <c r="H127" s="29" t="s">
        <v>3857</v>
      </c>
      <c r="I127" s="43" t="s">
        <v>3858</v>
      </c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</row>
    <row r="128">
      <c r="A128" s="27"/>
      <c r="B128" s="2" t="s">
        <v>20</v>
      </c>
      <c r="C128" s="4" t="s">
        <v>3859</v>
      </c>
      <c r="D128" s="4" t="s">
        <v>3569</v>
      </c>
      <c r="E128" s="4" t="s">
        <v>3569</v>
      </c>
      <c r="F128" s="27"/>
      <c r="G128" s="27"/>
      <c r="H128" s="29" t="s">
        <v>3860</v>
      </c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</row>
    <row r="129">
      <c r="A129" s="27"/>
      <c r="B129" s="2" t="s">
        <v>20</v>
      </c>
      <c r="C129" s="4" t="s">
        <v>3861</v>
      </c>
      <c r="D129" s="4" t="s">
        <v>3569</v>
      </c>
      <c r="E129" s="4" t="s">
        <v>3569</v>
      </c>
      <c r="F129" s="27"/>
      <c r="G129" s="27"/>
      <c r="H129" s="29" t="s">
        <v>3862</v>
      </c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</row>
    <row r="130">
      <c r="A130" s="27"/>
      <c r="B130" s="2" t="s">
        <v>20</v>
      </c>
      <c r="C130" s="4" t="s">
        <v>3863</v>
      </c>
      <c r="D130" s="4" t="s">
        <v>3569</v>
      </c>
      <c r="E130" s="4" t="s">
        <v>3569</v>
      </c>
      <c r="F130" s="27"/>
      <c r="G130" s="27"/>
      <c r="H130" s="29" t="s">
        <v>3864</v>
      </c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</row>
    <row r="131">
      <c r="A131" s="27"/>
      <c r="B131" s="2" t="s">
        <v>3865</v>
      </c>
      <c r="C131" s="4" t="s">
        <v>3866</v>
      </c>
      <c r="D131" s="4" t="s">
        <v>3569</v>
      </c>
      <c r="E131" s="4" t="s">
        <v>3569</v>
      </c>
      <c r="F131" s="27"/>
      <c r="G131" s="27"/>
      <c r="H131" s="29" t="s">
        <v>3867</v>
      </c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</row>
    <row r="132">
      <c r="A132" s="27"/>
      <c r="B132" s="2" t="s">
        <v>20</v>
      </c>
      <c r="C132" s="4" t="s">
        <v>3868</v>
      </c>
      <c r="D132" s="4" t="s">
        <v>3569</v>
      </c>
      <c r="E132" s="4" t="s">
        <v>3569</v>
      </c>
      <c r="F132" s="27"/>
      <c r="G132" s="27"/>
      <c r="H132" s="29" t="s">
        <v>3869</v>
      </c>
      <c r="I132" s="29" t="s">
        <v>3870</v>
      </c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</row>
    <row r="133">
      <c r="A133" s="27"/>
      <c r="B133" s="2" t="s">
        <v>20</v>
      </c>
      <c r="C133" s="4" t="s">
        <v>3871</v>
      </c>
      <c r="D133" s="4" t="s">
        <v>3569</v>
      </c>
      <c r="E133" s="4" t="s">
        <v>3569</v>
      </c>
      <c r="F133" s="27"/>
      <c r="G133" s="27"/>
      <c r="H133" s="27"/>
      <c r="I133" s="27"/>
      <c r="J133" s="29" t="s">
        <v>3872</v>
      </c>
      <c r="K133" s="27"/>
      <c r="L133" s="27"/>
      <c r="M133" s="27"/>
      <c r="N133" s="27"/>
      <c r="O133" s="27"/>
      <c r="P133" s="27"/>
      <c r="Q133" s="27"/>
      <c r="R133" s="27"/>
      <c r="S133" s="27"/>
      <c r="T133" s="27"/>
    </row>
    <row r="134">
      <c r="A134" s="27"/>
      <c r="B134" s="2" t="s">
        <v>20</v>
      </c>
      <c r="C134" s="4" t="s">
        <v>3873</v>
      </c>
      <c r="D134" s="4" t="s">
        <v>3569</v>
      </c>
      <c r="E134" s="4" t="s">
        <v>3569</v>
      </c>
      <c r="F134" s="27"/>
      <c r="G134" s="27"/>
      <c r="H134" s="27"/>
      <c r="I134" s="27"/>
      <c r="J134" s="29" t="s">
        <v>3828</v>
      </c>
      <c r="K134" s="27"/>
      <c r="L134" s="27"/>
      <c r="M134" s="27"/>
      <c r="N134" s="27"/>
      <c r="O134" s="27"/>
      <c r="P134" s="27"/>
      <c r="Q134" s="27"/>
      <c r="R134" s="27"/>
      <c r="S134" s="27"/>
      <c r="T134" s="27"/>
    </row>
    <row r="135">
      <c r="A135" s="27"/>
      <c r="B135" s="4" t="s">
        <v>20</v>
      </c>
      <c r="C135" s="4" t="s">
        <v>3874</v>
      </c>
      <c r="D135" s="4" t="s">
        <v>3569</v>
      </c>
      <c r="E135" s="4" t="s">
        <v>3569</v>
      </c>
      <c r="F135" s="27"/>
      <c r="G135" s="27"/>
      <c r="H135" s="29" t="s">
        <v>3875</v>
      </c>
      <c r="I135" s="29" t="s">
        <v>3876</v>
      </c>
      <c r="J135" s="27"/>
      <c r="K135" s="27"/>
      <c r="L135" s="27"/>
      <c r="M135" s="29" t="s">
        <v>3877</v>
      </c>
      <c r="N135" s="27"/>
      <c r="O135" s="27"/>
      <c r="P135" s="27"/>
      <c r="Q135" s="27"/>
      <c r="R135" s="27"/>
      <c r="S135" s="27"/>
      <c r="T135" s="27"/>
    </row>
    <row r="136">
      <c r="A136" s="27"/>
      <c r="B136" s="4" t="s">
        <v>20</v>
      </c>
      <c r="C136" s="4" t="s">
        <v>3878</v>
      </c>
      <c r="D136" s="4" t="s">
        <v>3569</v>
      </c>
      <c r="E136" s="4" t="s">
        <v>3569</v>
      </c>
      <c r="F136" s="27"/>
      <c r="G136" s="27"/>
      <c r="H136" s="29" t="s">
        <v>3879</v>
      </c>
      <c r="I136" s="29" t="s">
        <v>3880</v>
      </c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</row>
    <row r="137">
      <c r="A137" s="27"/>
      <c r="B137" s="4" t="s">
        <v>20</v>
      </c>
      <c r="C137" s="4" t="s">
        <v>3881</v>
      </c>
      <c r="D137" s="4" t="s">
        <v>3569</v>
      </c>
      <c r="E137" s="4" t="s">
        <v>3569</v>
      </c>
      <c r="F137" s="27"/>
      <c r="G137" s="27"/>
      <c r="H137" s="29" t="s">
        <v>3850</v>
      </c>
      <c r="I137" s="29" t="s">
        <v>3882</v>
      </c>
      <c r="J137" s="29" t="s">
        <v>3883</v>
      </c>
      <c r="K137" s="27"/>
      <c r="L137" s="27"/>
      <c r="M137" s="27"/>
      <c r="N137" s="27"/>
      <c r="O137" s="27"/>
      <c r="P137" s="27"/>
      <c r="Q137" s="27"/>
      <c r="R137" s="27"/>
      <c r="S137" s="27"/>
      <c r="T137" s="27"/>
    </row>
    <row r="138">
      <c r="A138" s="27"/>
      <c r="B138" s="4" t="s">
        <v>20</v>
      </c>
      <c r="C138" s="4" t="s">
        <v>3761</v>
      </c>
      <c r="D138" s="4" t="s">
        <v>3569</v>
      </c>
      <c r="E138" s="4" t="s">
        <v>3569</v>
      </c>
      <c r="F138" s="27"/>
      <c r="G138" s="27"/>
      <c r="H138" s="29" t="s">
        <v>3884</v>
      </c>
      <c r="I138" s="29" t="s">
        <v>3885</v>
      </c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</row>
    <row r="139">
      <c r="A139" s="27"/>
      <c r="B139" s="4" t="s">
        <v>20</v>
      </c>
      <c r="C139" s="4" t="s">
        <v>3886</v>
      </c>
      <c r="D139" s="4" t="s">
        <v>3569</v>
      </c>
      <c r="E139" s="4" t="s">
        <v>3569</v>
      </c>
      <c r="F139" s="27"/>
      <c r="G139" s="27"/>
      <c r="H139" s="29" t="s">
        <v>3887</v>
      </c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</row>
    <row r="140">
      <c r="A140" s="27"/>
      <c r="B140" s="4" t="s">
        <v>20</v>
      </c>
      <c r="C140" s="4" t="s">
        <v>29</v>
      </c>
      <c r="D140" s="4" t="s">
        <v>3569</v>
      </c>
      <c r="E140" s="4" t="s">
        <v>3569</v>
      </c>
      <c r="F140" s="27"/>
      <c r="G140" s="27"/>
      <c r="H140" s="29" t="s">
        <v>3888</v>
      </c>
      <c r="I140" s="29" t="s">
        <v>3889</v>
      </c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</row>
    <row r="141">
      <c r="A141" s="27"/>
      <c r="B141" s="4" t="s">
        <v>20</v>
      </c>
      <c r="C141" s="4" t="s">
        <v>3662</v>
      </c>
      <c r="D141" s="4" t="s">
        <v>3569</v>
      </c>
      <c r="E141" s="4" t="s">
        <v>3569</v>
      </c>
      <c r="F141" s="27"/>
      <c r="G141" s="27"/>
      <c r="H141" s="29" t="s">
        <v>3890</v>
      </c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</row>
    <row r="142">
      <c r="A142" s="27"/>
      <c r="B142" s="4" t="s">
        <v>20</v>
      </c>
      <c r="C142" s="4" t="s">
        <v>685</v>
      </c>
      <c r="D142" s="4" t="s">
        <v>3569</v>
      </c>
      <c r="E142" s="4" t="s">
        <v>3569</v>
      </c>
      <c r="F142" s="27"/>
      <c r="G142" s="27"/>
      <c r="H142" s="4" t="s">
        <v>3891</v>
      </c>
      <c r="I142" s="27"/>
      <c r="J142" s="43" t="s">
        <v>3892</v>
      </c>
      <c r="K142" s="27"/>
      <c r="L142" s="27"/>
      <c r="M142" s="27"/>
      <c r="N142" s="27"/>
      <c r="O142" s="27"/>
      <c r="P142" s="27"/>
      <c r="Q142" s="27"/>
      <c r="R142" s="27"/>
      <c r="S142" s="27"/>
      <c r="T142" s="27"/>
    </row>
    <row r="143">
      <c r="A143" s="27"/>
      <c r="B143" s="4" t="s">
        <v>20</v>
      </c>
      <c r="C143" s="4" t="s">
        <v>3662</v>
      </c>
      <c r="D143" s="4" t="s">
        <v>3569</v>
      </c>
      <c r="E143" s="4" t="s">
        <v>3569</v>
      </c>
      <c r="F143" s="27"/>
      <c r="G143" s="27"/>
      <c r="H143" s="29" t="s">
        <v>3893</v>
      </c>
      <c r="I143" s="29" t="s">
        <v>3894</v>
      </c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</row>
    <row r="144">
      <c r="A144" s="27"/>
      <c r="B144" s="4" t="s">
        <v>20</v>
      </c>
      <c r="C144" s="4" t="s">
        <v>3895</v>
      </c>
      <c r="D144" s="4" t="s">
        <v>3569</v>
      </c>
      <c r="E144" s="4" t="s">
        <v>3569</v>
      </c>
      <c r="F144" s="27"/>
      <c r="G144" s="27"/>
      <c r="H144" s="27"/>
      <c r="I144" s="27"/>
      <c r="J144" s="29" t="s">
        <v>3896</v>
      </c>
      <c r="K144" s="27"/>
      <c r="L144" s="27"/>
      <c r="M144" s="27"/>
      <c r="N144" s="27"/>
      <c r="O144" s="27"/>
      <c r="P144" s="27"/>
      <c r="Q144" s="27"/>
      <c r="R144" s="27"/>
      <c r="S144" s="27"/>
      <c r="T144" s="27"/>
    </row>
    <row r="145">
      <c r="A145" s="27"/>
      <c r="B145" s="4" t="s">
        <v>20</v>
      </c>
      <c r="C145" s="4" t="s">
        <v>3806</v>
      </c>
      <c r="D145" s="4" t="s">
        <v>3569</v>
      </c>
      <c r="E145" s="4" t="s">
        <v>3569</v>
      </c>
      <c r="F145" s="27"/>
      <c r="G145" s="27"/>
      <c r="H145" s="29" t="s">
        <v>3897</v>
      </c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</row>
    <row r="146">
      <c r="A146" s="27"/>
      <c r="B146" s="4" t="s">
        <v>20</v>
      </c>
      <c r="C146" s="4" t="s">
        <v>3898</v>
      </c>
      <c r="D146" s="4" t="s">
        <v>3569</v>
      </c>
      <c r="E146" s="4" t="s">
        <v>3569</v>
      </c>
      <c r="F146" s="27"/>
      <c r="G146" s="27"/>
      <c r="H146" s="29" t="s">
        <v>3899</v>
      </c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</row>
    <row r="147">
      <c r="A147" s="27"/>
      <c r="B147" s="4" t="s">
        <v>20</v>
      </c>
      <c r="C147" s="4" t="s">
        <v>3900</v>
      </c>
      <c r="D147" s="4" t="s">
        <v>3569</v>
      </c>
      <c r="E147" s="4" t="s">
        <v>3569</v>
      </c>
      <c r="F147" s="27"/>
      <c r="G147" s="27"/>
      <c r="H147" s="29" t="s">
        <v>3901</v>
      </c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</row>
    <row r="148">
      <c r="A148" s="27"/>
      <c r="B148" s="4" t="s">
        <v>20</v>
      </c>
      <c r="C148" s="4" t="s">
        <v>3768</v>
      </c>
      <c r="D148" s="4" t="s">
        <v>3569</v>
      </c>
      <c r="E148" s="4" t="s">
        <v>3569</v>
      </c>
      <c r="F148" s="27"/>
      <c r="G148" s="27"/>
      <c r="H148" s="29" t="s">
        <v>3902</v>
      </c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</row>
    <row r="149">
      <c r="A149" s="27"/>
      <c r="B149" s="4" t="s">
        <v>20</v>
      </c>
      <c r="C149" s="4" t="s">
        <v>1452</v>
      </c>
      <c r="D149" s="4" t="s">
        <v>3569</v>
      </c>
      <c r="E149" s="4" t="s">
        <v>3569</v>
      </c>
      <c r="F149" s="27"/>
      <c r="G149" s="27"/>
      <c r="H149" s="29" t="s">
        <v>3903</v>
      </c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</row>
    <row r="150">
      <c r="A150" s="27"/>
      <c r="B150" s="4" t="s">
        <v>20</v>
      </c>
      <c r="C150" s="4" t="s">
        <v>3904</v>
      </c>
      <c r="D150" s="4" t="s">
        <v>3569</v>
      </c>
      <c r="E150" s="4" t="s">
        <v>3569</v>
      </c>
      <c r="F150" s="27"/>
      <c r="G150" s="27"/>
      <c r="H150" s="27"/>
      <c r="I150" s="27"/>
      <c r="J150" s="29" t="s">
        <v>3905</v>
      </c>
      <c r="K150" s="27"/>
      <c r="L150" s="27"/>
      <c r="M150" s="27"/>
      <c r="N150" s="27"/>
      <c r="O150" s="27"/>
      <c r="P150" s="27"/>
      <c r="Q150" s="27"/>
      <c r="R150" s="27"/>
      <c r="S150" s="27"/>
      <c r="T150" s="27"/>
    </row>
    <row r="151">
      <c r="A151" s="27"/>
      <c r="B151" s="4" t="s">
        <v>20</v>
      </c>
      <c r="C151" s="4" t="s">
        <v>942</v>
      </c>
      <c r="D151" s="4" t="s">
        <v>3569</v>
      </c>
      <c r="E151" s="4" t="s">
        <v>3569</v>
      </c>
      <c r="F151" s="27"/>
      <c r="G151" s="27"/>
      <c r="H151" s="29" t="s">
        <v>3906</v>
      </c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</row>
    <row r="152">
      <c r="A152" s="27"/>
      <c r="B152" s="4" t="s">
        <v>17</v>
      </c>
      <c r="C152" s="4" t="s">
        <v>3907</v>
      </c>
      <c r="D152" s="4" t="s">
        <v>3569</v>
      </c>
      <c r="E152" s="4" t="s">
        <v>3569</v>
      </c>
      <c r="F152" s="27"/>
      <c r="G152" s="27"/>
      <c r="H152" s="29" t="s">
        <v>3908</v>
      </c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</row>
    <row r="153">
      <c r="A153" s="27"/>
      <c r="B153" s="2" t="s">
        <v>20</v>
      </c>
      <c r="C153" s="4" t="s">
        <v>855</v>
      </c>
      <c r="D153" s="4" t="s">
        <v>3569</v>
      </c>
      <c r="E153" s="4" t="s">
        <v>3569</v>
      </c>
      <c r="F153" s="27"/>
      <c r="G153" s="27"/>
      <c r="H153" s="29" t="s">
        <v>3909</v>
      </c>
      <c r="I153" s="29" t="s">
        <v>3910</v>
      </c>
      <c r="J153" s="29" t="s">
        <v>3670</v>
      </c>
      <c r="K153" s="27"/>
      <c r="L153" s="27"/>
      <c r="M153" s="27"/>
      <c r="N153" s="27"/>
      <c r="O153" s="27"/>
      <c r="P153" s="27"/>
      <c r="Q153" s="27"/>
      <c r="R153" s="27"/>
      <c r="S153" s="27"/>
      <c r="T153" s="27"/>
    </row>
    <row r="154">
      <c r="A154" s="32">
        <v>21895.0</v>
      </c>
      <c r="B154" s="2" t="s">
        <v>20</v>
      </c>
      <c r="C154" s="4" t="s">
        <v>1952</v>
      </c>
      <c r="D154" s="4" t="s">
        <v>3569</v>
      </c>
      <c r="E154" s="4" t="s">
        <v>3569</v>
      </c>
      <c r="F154" s="27"/>
      <c r="G154" s="27"/>
      <c r="H154" s="27"/>
      <c r="I154" s="27"/>
      <c r="J154" s="29" t="s">
        <v>3911</v>
      </c>
      <c r="K154" s="27"/>
      <c r="L154" s="27"/>
      <c r="M154" s="27"/>
      <c r="N154" s="27"/>
      <c r="O154" s="27"/>
      <c r="P154" s="27"/>
      <c r="Q154" s="27"/>
      <c r="R154" s="27"/>
      <c r="S154" s="27"/>
      <c r="T154" s="27"/>
    </row>
    <row r="155">
      <c r="A155" s="27"/>
      <c r="B155" s="2" t="s">
        <v>20</v>
      </c>
      <c r="C155" s="4" t="s">
        <v>1975</v>
      </c>
      <c r="D155" s="4" t="s">
        <v>3569</v>
      </c>
      <c r="E155" s="4" t="s">
        <v>3569</v>
      </c>
      <c r="F155" s="27"/>
      <c r="G155" s="27"/>
      <c r="H155" s="43" t="s">
        <v>3912</v>
      </c>
      <c r="I155" s="43" t="s">
        <v>3913</v>
      </c>
      <c r="J155" s="29" t="s">
        <v>3914</v>
      </c>
      <c r="K155" s="27"/>
      <c r="L155" s="27"/>
      <c r="M155" s="27"/>
      <c r="N155" s="27"/>
      <c r="O155" s="27"/>
      <c r="P155" s="27"/>
      <c r="Q155" s="27"/>
      <c r="R155" s="27"/>
      <c r="S155" s="27"/>
      <c r="T155" s="27"/>
    </row>
    <row r="156">
      <c r="A156" s="27"/>
      <c r="B156" s="2" t="s">
        <v>20</v>
      </c>
      <c r="C156" s="4" t="s">
        <v>3806</v>
      </c>
      <c r="D156" s="4" t="s">
        <v>3569</v>
      </c>
      <c r="E156" s="4" t="s">
        <v>3569</v>
      </c>
      <c r="F156" s="27"/>
      <c r="G156" s="27"/>
      <c r="H156" s="27"/>
      <c r="I156" s="27"/>
      <c r="J156" s="29" t="s">
        <v>3807</v>
      </c>
      <c r="K156" s="27"/>
      <c r="L156" s="27"/>
      <c r="M156" s="27"/>
      <c r="N156" s="27"/>
      <c r="O156" s="27"/>
      <c r="P156" s="27"/>
      <c r="Q156" s="27"/>
      <c r="R156" s="27"/>
      <c r="S156" s="27"/>
      <c r="T156" s="27"/>
    </row>
    <row r="157">
      <c r="A157" s="27"/>
      <c r="B157" s="4" t="s">
        <v>20</v>
      </c>
      <c r="C157" s="4" t="s">
        <v>374</v>
      </c>
      <c r="D157" s="4" t="s">
        <v>3569</v>
      </c>
      <c r="E157" s="4" t="s">
        <v>3569</v>
      </c>
      <c r="F157" s="27"/>
      <c r="G157" s="27"/>
      <c r="H157" s="29" t="s">
        <v>3915</v>
      </c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</row>
    <row r="158">
      <c r="A158" s="27"/>
      <c r="B158" s="4" t="s">
        <v>20</v>
      </c>
      <c r="C158" s="4" t="s">
        <v>272</v>
      </c>
      <c r="D158" s="4" t="s">
        <v>3569</v>
      </c>
      <c r="E158" s="4" t="s">
        <v>3569</v>
      </c>
      <c r="F158" s="27"/>
      <c r="G158" s="27"/>
      <c r="H158" s="29" t="s">
        <v>3916</v>
      </c>
      <c r="I158" s="43" t="s">
        <v>3917</v>
      </c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</row>
    <row r="159">
      <c r="A159" s="27"/>
      <c r="B159" s="4" t="s">
        <v>20</v>
      </c>
      <c r="C159" s="4" t="s">
        <v>3918</v>
      </c>
      <c r="D159" s="4" t="s">
        <v>3569</v>
      </c>
      <c r="E159" s="4" t="s">
        <v>3569</v>
      </c>
      <c r="F159" s="27"/>
      <c r="G159" s="27"/>
      <c r="H159" s="43" t="s">
        <v>3919</v>
      </c>
      <c r="I159" s="29" t="s">
        <v>3920</v>
      </c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</row>
    <row r="160">
      <c r="A160" s="27"/>
      <c r="B160" s="4" t="s">
        <v>20</v>
      </c>
      <c r="C160" s="4" t="s">
        <v>3921</v>
      </c>
      <c r="D160" s="4" t="s">
        <v>3569</v>
      </c>
      <c r="E160" s="4" t="s">
        <v>3569</v>
      </c>
      <c r="F160" s="27"/>
      <c r="G160" s="27"/>
      <c r="H160" s="43" t="s">
        <v>3922</v>
      </c>
      <c r="I160" s="43" t="s">
        <v>3923</v>
      </c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</row>
    <row r="161">
      <c r="A161" s="27"/>
      <c r="B161" s="4" t="s">
        <v>276</v>
      </c>
      <c r="C161" s="4" t="s">
        <v>3924</v>
      </c>
      <c r="D161" s="4" t="s">
        <v>3569</v>
      </c>
      <c r="E161" s="4" t="s">
        <v>3569</v>
      </c>
      <c r="F161" s="27"/>
      <c r="G161" s="27"/>
      <c r="H161" s="29" t="s">
        <v>3925</v>
      </c>
      <c r="I161" s="43" t="s">
        <v>3926</v>
      </c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</row>
    <row r="162">
      <c r="A162" s="27"/>
      <c r="B162" s="4" t="s">
        <v>20</v>
      </c>
      <c r="C162" s="4" t="s">
        <v>3927</v>
      </c>
      <c r="D162" s="4" t="s">
        <v>3569</v>
      </c>
      <c r="E162" s="4" t="s">
        <v>3569</v>
      </c>
      <c r="F162" s="27"/>
      <c r="G162" s="27"/>
      <c r="H162" s="43" t="s">
        <v>3928</v>
      </c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</row>
    <row r="163">
      <c r="A163" s="27"/>
      <c r="B163" s="4" t="s">
        <v>20</v>
      </c>
      <c r="C163" s="4" t="s">
        <v>3929</v>
      </c>
      <c r="D163" s="4" t="s">
        <v>3569</v>
      </c>
      <c r="E163" s="4" t="s">
        <v>3569</v>
      </c>
      <c r="F163" s="27"/>
      <c r="G163" s="27"/>
      <c r="H163" s="43" t="s">
        <v>3930</v>
      </c>
      <c r="I163" s="43" t="s">
        <v>3931</v>
      </c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</row>
    <row r="164">
      <c r="A164" s="27"/>
      <c r="B164" s="4" t="s">
        <v>20</v>
      </c>
      <c r="C164" s="4" t="s">
        <v>3932</v>
      </c>
      <c r="D164" s="4" t="s">
        <v>3569</v>
      </c>
      <c r="E164" s="4" t="s">
        <v>3569</v>
      </c>
      <c r="F164" s="27"/>
      <c r="G164" s="27"/>
      <c r="H164" s="43" t="s">
        <v>3933</v>
      </c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</row>
    <row r="165">
      <c r="A165" s="27"/>
      <c r="B165" s="4" t="s">
        <v>20</v>
      </c>
      <c r="C165" s="4" t="s">
        <v>3934</v>
      </c>
      <c r="D165" s="4" t="s">
        <v>3569</v>
      </c>
      <c r="E165" s="4" t="s">
        <v>3569</v>
      </c>
      <c r="F165" s="27"/>
      <c r="G165" s="27"/>
      <c r="H165" s="43" t="s">
        <v>3935</v>
      </c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</row>
    <row r="166">
      <c r="A166" s="27"/>
      <c r="B166" s="4" t="s">
        <v>20</v>
      </c>
      <c r="C166" s="4" t="s">
        <v>3936</v>
      </c>
      <c r="D166" s="4" t="s">
        <v>3569</v>
      </c>
      <c r="E166" s="4" t="s">
        <v>3569</v>
      </c>
      <c r="F166" s="27"/>
      <c r="G166" s="27"/>
      <c r="H166" s="43" t="s">
        <v>3937</v>
      </c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</row>
    <row r="167">
      <c r="A167" s="27"/>
      <c r="B167" s="4" t="s">
        <v>20</v>
      </c>
      <c r="C167" s="4" t="s">
        <v>770</v>
      </c>
      <c r="D167" s="4" t="s">
        <v>3569</v>
      </c>
      <c r="E167" s="4" t="s">
        <v>3569</v>
      </c>
      <c r="F167" s="27"/>
      <c r="G167" s="27"/>
      <c r="H167" s="43" t="s">
        <v>3938</v>
      </c>
      <c r="I167" s="43" t="s">
        <v>3939</v>
      </c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</row>
    <row r="168">
      <c r="A168" s="27"/>
      <c r="B168" s="4" t="s">
        <v>20</v>
      </c>
      <c r="C168" s="4" t="s">
        <v>3940</v>
      </c>
      <c r="D168" s="4" t="s">
        <v>3569</v>
      </c>
      <c r="E168" s="4" t="s">
        <v>3569</v>
      </c>
      <c r="F168" s="27"/>
      <c r="G168" s="27"/>
      <c r="H168" s="43" t="s">
        <v>3941</v>
      </c>
      <c r="I168" s="32" t="s">
        <v>318</v>
      </c>
      <c r="J168" s="32" t="s">
        <v>318</v>
      </c>
      <c r="K168" s="27"/>
      <c r="L168" s="27"/>
      <c r="M168" s="27"/>
      <c r="N168" s="27"/>
      <c r="O168" s="27"/>
      <c r="P168" s="27"/>
      <c r="Q168" s="27"/>
      <c r="R168" s="27"/>
      <c r="S168" s="27"/>
      <c r="T168" s="27"/>
    </row>
    <row r="169">
      <c r="A169" s="27"/>
      <c r="B169" s="4" t="s">
        <v>20</v>
      </c>
      <c r="C169" s="4" t="s">
        <v>3942</v>
      </c>
      <c r="D169" s="4" t="s">
        <v>3569</v>
      </c>
      <c r="E169" s="4" t="s">
        <v>3569</v>
      </c>
      <c r="F169" s="27"/>
      <c r="G169" s="27"/>
      <c r="H169" s="29" t="s">
        <v>3943</v>
      </c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</row>
    <row r="170">
      <c r="A170" s="27"/>
      <c r="B170" s="4" t="s">
        <v>20</v>
      </c>
      <c r="C170" s="4" t="s">
        <v>3944</v>
      </c>
      <c r="D170" s="4" t="s">
        <v>3569</v>
      </c>
      <c r="E170" s="4" t="s">
        <v>3569</v>
      </c>
      <c r="F170" s="27"/>
      <c r="G170" s="27"/>
      <c r="H170" s="29" t="s">
        <v>3945</v>
      </c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</row>
    <row r="171">
      <c r="A171" s="27"/>
      <c r="B171" s="4" t="s">
        <v>20</v>
      </c>
      <c r="C171" s="4" t="s">
        <v>2587</v>
      </c>
      <c r="D171" s="4" t="s">
        <v>3569</v>
      </c>
      <c r="E171" s="4" t="s">
        <v>3569</v>
      </c>
      <c r="F171" s="27"/>
      <c r="G171" s="27"/>
      <c r="H171" s="43" t="s">
        <v>3946</v>
      </c>
      <c r="I171" s="43" t="s">
        <v>3947</v>
      </c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</row>
    <row r="172">
      <c r="A172" s="27"/>
      <c r="B172" s="4" t="s">
        <v>20</v>
      </c>
      <c r="C172" s="4" t="s">
        <v>3948</v>
      </c>
      <c r="D172" s="4" t="s">
        <v>3569</v>
      </c>
      <c r="E172" s="4" t="s">
        <v>3569</v>
      </c>
      <c r="F172" s="27"/>
      <c r="G172" s="27"/>
      <c r="H172" s="43" t="s">
        <v>3949</v>
      </c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</row>
    <row r="173">
      <c r="A173" s="27"/>
      <c r="B173" s="4" t="s">
        <v>276</v>
      </c>
      <c r="C173" s="4" t="s">
        <v>1282</v>
      </c>
      <c r="D173" s="4" t="s">
        <v>3569</v>
      </c>
      <c r="E173" s="4" t="s">
        <v>3569</v>
      </c>
      <c r="F173" s="27"/>
      <c r="G173" s="27"/>
      <c r="H173" s="43" t="s">
        <v>3950</v>
      </c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</row>
    <row r="174">
      <c r="A174" s="27"/>
      <c r="B174" s="4" t="s">
        <v>20</v>
      </c>
      <c r="C174" s="4" t="s">
        <v>3951</v>
      </c>
      <c r="D174" s="4" t="s">
        <v>3569</v>
      </c>
      <c r="E174" s="4" t="s">
        <v>3569</v>
      </c>
      <c r="F174" s="27"/>
      <c r="G174" s="27"/>
      <c r="H174" s="43" t="s">
        <v>3952</v>
      </c>
      <c r="I174" s="43" t="s">
        <v>3953</v>
      </c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</row>
    <row r="175">
      <c r="A175" s="27"/>
      <c r="B175" s="4" t="s">
        <v>20</v>
      </c>
      <c r="C175" s="4" t="s">
        <v>3954</v>
      </c>
      <c r="D175" s="4" t="s">
        <v>3569</v>
      </c>
      <c r="E175" s="4" t="s">
        <v>3569</v>
      </c>
      <c r="F175" s="27"/>
      <c r="G175" s="27"/>
      <c r="H175" s="43" t="s">
        <v>3955</v>
      </c>
      <c r="I175" s="43" t="s">
        <v>3956</v>
      </c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</row>
    <row r="176">
      <c r="A176" s="27"/>
      <c r="B176" s="4" t="s">
        <v>276</v>
      </c>
      <c r="C176" s="4" t="s">
        <v>3957</v>
      </c>
      <c r="D176" s="4" t="s">
        <v>3569</v>
      </c>
      <c r="E176" s="4" t="s">
        <v>3569</v>
      </c>
      <c r="F176" s="27"/>
      <c r="G176" s="27"/>
      <c r="H176" s="29" t="s">
        <v>3958</v>
      </c>
      <c r="I176" s="43" t="s">
        <v>3959</v>
      </c>
      <c r="J176" s="43" t="s">
        <v>3960</v>
      </c>
      <c r="K176" s="27"/>
      <c r="L176" s="27"/>
      <c r="M176" s="27"/>
      <c r="N176" s="27"/>
      <c r="O176" s="27"/>
      <c r="P176" s="27"/>
      <c r="Q176" s="27"/>
      <c r="R176" s="27"/>
      <c r="S176" s="27"/>
      <c r="T176" s="27"/>
    </row>
    <row r="177">
      <c r="A177" s="27"/>
      <c r="B177" s="4" t="s">
        <v>276</v>
      </c>
      <c r="C177" s="4" t="s">
        <v>3961</v>
      </c>
      <c r="D177" s="4" t="s">
        <v>3569</v>
      </c>
      <c r="E177" s="4" t="s">
        <v>3569</v>
      </c>
      <c r="F177" s="27"/>
      <c r="G177" s="27"/>
      <c r="H177" s="43" t="s">
        <v>3962</v>
      </c>
      <c r="I177" s="43" t="s">
        <v>3963</v>
      </c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</row>
    <row r="178">
      <c r="A178" s="27"/>
      <c r="B178" s="4" t="s">
        <v>20</v>
      </c>
      <c r="C178" s="4" t="s">
        <v>42</v>
      </c>
      <c r="D178" s="4" t="s">
        <v>3569</v>
      </c>
      <c r="E178" s="4" t="s">
        <v>3569</v>
      </c>
      <c r="F178" s="27"/>
      <c r="G178" s="32" t="s">
        <v>318</v>
      </c>
      <c r="H178" s="43" t="s">
        <v>3964</v>
      </c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</row>
    <row r="179">
      <c r="A179" s="27"/>
      <c r="B179" s="4" t="s">
        <v>20</v>
      </c>
      <c r="C179" s="4" t="s">
        <v>1045</v>
      </c>
      <c r="D179" s="4" t="s">
        <v>3569</v>
      </c>
      <c r="E179" s="4" t="s">
        <v>3569</v>
      </c>
      <c r="F179" s="27"/>
      <c r="G179" s="27"/>
      <c r="H179" s="29" t="s">
        <v>3965</v>
      </c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</row>
    <row r="180">
      <c r="A180" s="27"/>
      <c r="B180" s="4" t="s">
        <v>20</v>
      </c>
      <c r="C180" s="4" t="s">
        <v>770</v>
      </c>
      <c r="D180" s="4" t="s">
        <v>3569</v>
      </c>
      <c r="E180" s="4" t="s">
        <v>3569</v>
      </c>
      <c r="F180" s="27"/>
      <c r="G180" s="27"/>
      <c r="H180" s="29" t="s">
        <v>3966</v>
      </c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</row>
    <row r="181">
      <c r="A181" s="27"/>
      <c r="B181" s="4" t="s">
        <v>20</v>
      </c>
      <c r="C181" s="4" t="s">
        <v>3967</v>
      </c>
      <c r="D181" s="4" t="s">
        <v>3569</v>
      </c>
      <c r="E181" s="4" t="s">
        <v>3569</v>
      </c>
      <c r="F181" s="27"/>
      <c r="G181" s="27"/>
      <c r="H181" s="43" t="s">
        <v>3968</v>
      </c>
      <c r="I181" s="43" t="s">
        <v>3870</v>
      </c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</row>
    <row r="182">
      <c r="A182" s="27"/>
      <c r="B182" s="4" t="s">
        <v>20</v>
      </c>
      <c r="C182" s="4" t="s">
        <v>3662</v>
      </c>
      <c r="D182" s="4" t="s">
        <v>3569</v>
      </c>
      <c r="E182" s="4" t="s">
        <v>3569</v>
      </c>
      <c r="F182" s="27"/>
      <c r="G182" s="27"/>
      <c r="H182" s="29" t="s">
        <v>3969</v>
      </c>
      <c r="I182" s="43" t="s">
        <v>3970</v>
      </c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</row>
    <row r="183">
      <c r="A183" s="27"/>
      <c r="B183" s="4" t="s">
        <v>276</v>
      </c>
      <c r="C183" s="4" t="s">
        <v>3971</v>
      </c>
      <c r="D183" s="4" t="s">
        <v>3569</v>
      </c>
      <c r="E183" s="4" t="s">
        <v>3569</v>
      </c>
      <c r="F183" s="27"/>
      <c r="G183" s="27"/>
      <c r="H183" s="29" t="s">
        <v>3972</v>
      </c>
      <c r="I183" s="43" t="s">
        <v>3973</v>
      </c>
      <c r="J183" s="43" t="s">
        <v>3974</v>
      </c>
      <c r="K183" s="27"/>
      <c r="L183" s="27"/>
      <c r="M183" s="27"/>
      <c r="N183" s="27"/>
      <c r="O183" s="27"/>
      <c r="P183" s="27"/>
      <c r="Q183" s="27"/>
      <c r="R183" s="27"/>
      <c r="S183" s="27"/>
      <c r="T183" s="27"/>
    </row>
    <row r="184">
      <c r="A184" s="27"/>
      <c r="B184" s="4" t="s">
        <v>276</v>
      </c>
      <c r="C184" s="4" t="s">
        <v>3975</v>
      </c>
      <c r="D184" s="4" t="s">
        <v>3569</v>
      </c>
      <c r="E184" s="4" t="s">
        <v>3569</v>
      </c>
      <c r="F184" s="27"/>
      <c r="G184" s="27"/>
      <c r="H184" s="43" t="s">
        <v>3976</v>
      </c>
      <c r="I184" s="27"/>
      <c r="J184" s="43" t="s">
        <v>3802</v>
      </c>
      <c r="K184" s="27"/>
      <c r="L184" s="27"/>
      <c r="M184" s="27"/>
      <c r="N184" s="27"/>
      <c r="O184" s="27"/>
      <c r="P184" s="27"/>
      <c r="Q184" s="27"/>
      <c r="R184" s="27"/>
      <c r="S184" s="27"/>
      <c r="T184" s="27"/>
    </row>
    <row r="185">
      <c r="A185" s="27"/>
      <c r="B185" s="4" t="s">
        <v>34</v>
      </c>
      <c r="C185" s="4" t="s">
        <v>3977</v>
      </c>
      <c r="D185" s="4" t="s">
        <v>3569</v>
      </c>
      <c r="E185" s="4" t="s">
        <v>3569</v>
      </c>
      <c r="F185" s="27"/>
      <c r="G185" s="27"/>
      <c r="H185" s="27"/>
      <c r="I185" s="29" t="s">
        <v>3978</v>
      </c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</row>
    <row r="186">
      <c r="A186" s="27"/>
      <c r="B186" s="4" t="s">
        <v>20</v>
      </c>
      <c r="C186" s="4" t="s">
        <v>3979</v>
      </c>
      <c r="D186" s="4" t="s">
        <v>3569</v>
      </c>
      <c r="E186" s="4" t="s">
        <v>3569</v>
      </c>
      <c r="F186" s="27"/>
      <c r="G186" s="27"/>
      <c r="H186" s="43" t="s">
        <v>3980</v>
      </c>
      <c r="I186" s="43" t="s">
        <v>3981</v>
      </c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</row>
    <row r="187">
      <c r="A187" s="27"/>
      <c r="B187" s="4" t="s">
        <v>301</v>
      </c>
      <c r="C187" s="4" t="s">
        <v>3982</v>
      </c>
      <c r="D187" s="4" t="s">
        <v>3569</v>
      </c>
      <c r="E187" s="4" t="s">
        <v>3569</v>
      </c>
      <c r="F187" s="27"/>
      <c r="G187" s="27"/>
      <c r="H187" s="43" t="s">
        <v>3983</v>
      </c>
      <c r="I187" s="27"/>
      <c r="J187" s="43" t="s">
        <v>3984</v>
      </c>
      <c r="K187" s="27"/>
      <c r="L187" s="27"/>
      <c r="M187" s="27"/>
      <c r="N187" s="27"/>
      <c r="O187" s="27"/>
      <c r="P187" s="27"/>
      <c r="Q187" s="27"/>
      <c r="R187" s="27"/>
      <c r="S187" s="27"/>
      <c r="T187" s="27"/>
    </row>
    <row r="188">
      <c r="A188" s="27"/>
      <c r="B188" s="4" t="s">
        <v>20</v>
      </c>
      <c r="C188" s="4" t="s">
        <v>3985</v>
      </c>
      <c r="D188" s="4" t="s">
        <v>3569</v>
      </c>
      <c r="E188" s="4" t="s">
        <v>3569</v>
      </c>
      <c r="F188" s="27"/>
      <c r="G188" s="27"/>
      <c r="H188" s="43" t="s">
        <v>3986</v>
      </c>
      <c r="I188" s="27"/>
      <c r="J188" s="29" t="s">
        <v>3987</v>
      </c>
      <c r="K188" s="27"/>
      <c r="L188" s="27"/>
      <c r="M188" s="27"/>
      <c r="N188" s="27"/>
      <c r="O188" s="27"/>
      <c r="P188" s="27"/>
      <c r="Q188" s="27"/>
      <c r="R188" s="27"/>
      <c r="S188" s="27"/>
      <c r="T188" s="27"/>
    </row>
    <row r="189">
      <c r="A189" s="27"/>
      <c r="B189" s="4" t="s">
        <v>20</v>
      </c>
      <c r="C189" s="4" t="s">
        <v>3988</v>
      </c>
      <c r="D189" s="4" t="s">
        <v>3569</v>
      </c>
      <c r="E189" s="4" t="s">
        <v>3569</v>
      </c>
      <c r="F189" s="27"/>
      <c r="G189" s="27"/>
      <c r="H189" s="29" t="s">
        <v>3989</v>
      </c>
      <c r="I189" s="29" t="s">
        <v>3990</v>
      </c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</row>
    <row r="190">
      <c r="A190" s="27"/>
      <c r="B190" s="4" t="s">
        <v>20</v>
      </c>
      <c r="C190" s="4" t="s">
        <v>3991</v>
      </c>
      <c r="D190" s="4" t="s">
        <v>3569</v>
      </c>
      <c r="E190" s="4" t="s">
        <v>3569</v>
      </c>
      <c r="F190" s="27"/>
      <c r="G190" s="27"/>
      <c r="H190" s="43" t="s">
        <v>3992</v>
      </c>
      <c r="I190" s="27"/>
      <c r="J190" s="32" t="s">
        <v>318</v>
      </c>
      <c r="K190" s="27"/>
      <c r="L190" s="27"/>
      <c r="M190" s="27"/>
      <c r="N190" s="27"/>
      <c r="O190" s="27"/>
      <c r="P190" s="27"/>
      <c r="Q190" s="27"/>
      <c r="R190" s="27"/>
      <c r="S190" s="27"/>
      <c r="T190" s="27"/>
    </row>
    <row r="191">
      <c r="A191" s="27"/>
      <c r="B191" s="4" t="s">
        <v>20</v>
      </c>
      <c r="C191" s="4" t="s">
        <v>2120</v>
      </c>
      <c r="D191" s="4" t="s">
        <v>3569</v>
      </c>
      <c r="E191" s="4" t="s">
        <v>3569</v>
      </c>
      <c r="F191" s="27"/>
      <c r="G191" s="27"/>
      <c r="H191" s="43" t="s">
        <v>3993</v>
      </c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</row>
    <row r="192">
      <c r="A192" s="27"/>
      <c r="B192" s="4" t="s">
        <v>276</v>
      </c>
      <c r="C192" s="4" t="s">
        <v>529</v>
      </c>
      <c r="D192" s="4" t="s">
        <v>3569</v>
      </c>
      <c r="E192" s="4" t="s">
        <v>3569</v>
      </c>
      <c r="F192" s="27"/>
      <c r="G192" s="27"/>
      <c r="H192" s="43" t="s">
        <v>3994</v>
      </c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</row>
    <row r="193">
      <c r="A193" s="27"/>
      <c r="B193" s="4" t="s">
        <v>720</v>
      </c>
      <c r="C193" s="4" t="s">
        <v>724</v>
      </c>
      <c r="D193" s="4" t="s">
        <v>3569</v>
      </c>
      <c r="E193" s="4" t="s">
        <v>3569</v>
      </c>
      <c r="F193" s="27"/>
      <c r="G193" s="27"/>
      <c r="H193" s="43" t="s">
        <v>3995</v>
      </c>
      <c r="I193" s="43" t="s">
        <v>3996</v>
      </c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</row>
    <row r="194">
      <c r="A194" s="27"/>
      <c r="B194" s="4" t="s">
        <v>20</v>
      </c>
      <c r="C194" s="4" t="s">
        <v>970</v>
      </c>
      <c r="D194" s="4" t="s">
        <v>3569</v>
      </c>
      <c r="E194" s="4" t="s">
        <v>3569</v>
      </c>
      <c r="F194" s="27"/>
      <c r="G194" s="27"/>
      <c r="H194" s="43" t="s">
        <v>3997</v>
      </c>
      <c r="I194" s="29" t="s">
        <v>3998</v>
      </c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</row>
    <row r="195">
      <c r="A195" s="27"/>
      <c r="B195" s="4" t="s">
        <v>276</v>
      </c>
      <c r="C195" s="4" t="s">
        <v>3999</v>
      </c>
      <c r="D195" s="4" t="s">
        <v>3569</v>
      </c>
      <c r="E195" s="4" t="s">
        <v>3569</v>
      </c>
      <c r="F195" s="27"/>
      <c r="G195" s="27"/>
      <c r="H195" s="43" t="s">
        <v>4000</v>
      </c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</row>
    <row r="196">
      <c r="A196" s="27"/>
      <c r="B196" s="4" t="s">
        <v>20</v>
      </c>
      <c r="C196" s="4" t="s">
        <v>4001</v>
      </c>
      <c r="D196" s="4" t="s">
        <v>3569</v>
      </c>
      <c r="E196" s="4" t="s">
        <v>3569</v>
      </c>
      <c r="F196" s="27"/>
      <c r="G196" s="27"/>
      <c r="H196" s="43" t="s">
        <v>4002</v>
      </c>
      <c r="I196" s="27"/>
      <c r="J196" s="43" t="s">
        <v>4003</v>
      </c>
      <c r="K196" s="27"/>
      <c r="L196" s="27"/>
      <c r="M196" s="27"/>
      <c r="N196" s="27"/>
      <c r="O196" s="27"/>
      <c r="P196" s="27"/>
      <c r="Q196" s="27"/>
      <c r="R196" s="27"/>
      <c r="S196" s="27"/>
      <c r="T196" s="27"/>
    </row>
    <row r="197">
      <c r="A197" s="27"/>
      <c r="B197" s="4" t="s">
        <v>20</v>
      </c>
      <c r="C197" s="4" t="s">
        <v>4004</v>
      </c>
      <c r="D197" s="4" t="s">
        <v>3569</v>
      </c>
      <c r="E197" s="4" t="s">
        <v>3569</v>
      </c>
      <c r="F197" s="27"/>
      <c r="G197" s="27"/>
      <c r="H197" s="43" t="s">
        <v>4005</v>
      </c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</row>
    <row r="198">
      <c r="A198" s="27"/>
      <c r="B198" s="4" t="s">
        <v>276</v>
      </c>
      <c r="C198" s="4" t="s">
        <v>4006</v>
      </c>
      <c r="D198" s="4" t="s">
        <v>3569</v>
      </c>
      <c r="E198" s="4" t="s">
        <v>3569</v>
      </c>
      <c r="F198" s="27"/>
      <c r="G198" s="27"/>
      <c r="H198" s="43" t="s">
        <v>4007</v>
      </c>
      <c r="I198" s="43" t="s">
        <v>3963</v>
      </c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</row>
    <row r="199">
      <c r="A199" s="27"/>
      <c r="B199" s="4" t="s">
        <v>20</v>
      </c>
      <c r="C199" s="4" t="s">
        <v>2460</v>
      </c>
      <c r="D199" s="4" t="s">
        <v>3569</v>
      </c>
      <c r="E199" s="4" t="s">
        <v>3569</v>
      </c>
      <c r="F199" s="27"/>
      <c r="G199" s="27"/>
      <c r="H199" s="29" t="s">
        <v>4008</v>
      </c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</row>
    <row r="200">
      <c r="A200" s="27"/>
      <c r="B200" s="4" t="s">
        <v>20</v>
      </c>
      <c r="C200" s="4" t="s">
        <v>1262</v>
      </c>
      <c r="D200" s="4" t="s">
        <v>3569</v>
      </c>
      <c r="E200" s="4" t="s">
        <v>3569</v>
      </c>
      <c r="F200" s="27"/>
      <c r="G200" s="27"/>
      <c r="H200" s="43" t="s">
        <v>4009</v>
      </c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</row>
    <row r="201">
      <c r="A201" s="27"/>
      <c r="B201" s="4" t="s">
        <v>20</v>
      </c>
      <c r="C201" s="4" t="s">
        <v>4010</v>
      </c>
      <c r="D201" s="4" t="s">
        <v>3569</v>
      </c>
      <c r="E201" s="4" t="s">
        <v>3569</v>
      </c>
      <c r="F201" s="27"/>
      <c r="G201" s="27"/>
      <c r="H201" s="29" t="s">
        <v>4011</v>
      </c>
      <c r="I201" s="43" t="s">
        <v>4012</v>
      </c>
      <c r="J201" s="43" t="s">
        <v>4013</v>
      </c>
      <c r="K201" s="27"/>
      <c r="L201" s="27"/>
      <c r="M201" s="27"/>
      <c r="N201" s="27"/>
      <c r="O201" s="27"/>
      <c r="P201" s="27"/>
      <c r="Q201" s="27"/>
      <c r="R201" s="27"/>
      <c r="S201" s="27"/>
      <c r="T201" s="27"/>
    </row>
    <row r="202">
      <c r="A202" s="27"/>
      <c r="B202" s="4" t="s">
        <v>20</v>
      </c>
      <c r="C202" s="4" t="s">
        <v>3886</v>
      </c>
      <c r="D202" s="4" t="s">
        <v>3569</v>
      </c>
      <c r="E202" s="4" t="s">
        <v>3569</v>
      </c>
      <c r="F202" s="27"/>
      <c r="G202" s="27"/>
      <c r="H202" s="43" t="s">
        <v>4014</v>
      </c>
      <c r="I202" s="43" t="s">
        <v>4015</v>
      </c>
      <c r="J202" s="43" t="s">
        <v>4016</v>
      </c>
      <c r="K202" s="27"/>
      <c r="L202" s="27"/>
      <c r="M202" s="27"/>
      <c r="N202" s="27"/>
      <c r="O202" s="27"/>
      <c r="P202" s="27"/>
      <c r="Q202" s="27"/>
      <c r="R202" s="27"/>
      <c r="S202" s="27"/>
      <c r="T202" s="27"/>
    </row>
    <row r="203">
      <c r="A203" s="27"/>
      <c r="B203" s="4" t="s">
        <v>20</v>
      </c>
      <c r="C203" s="4" t="s">
        <v>4017</v>
      </c>
      <c r="D203" s="4" t="s">
        <v>3569</v>
      </c>
      <c r="E203" s="4" t="s">
        <v>3569</v>
      </c>
      <c r="F203" s="27"/>
      <c r="G203" s="27"/>
      <c r="H203" s="43" t="s">
        <v>4018</v>
      </c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</row>
    <row r="204">
      <c r="C204" s="8"/>
    </row>
    <row r="205">
      <c r="C205" s="8"/>
    </row>
    <row r="206">
      <c r="C206" s="8"/>
    </row>
    <row r="207">
      <c r="C207" s="8"/>
    </row>
    <row r="208">
      <c r="C208" s="8"/>
    </row>
    <row r="209">
      <c r="C209" s="8"/>
    </row>
    <row r="210">
      <c r="C210" s="8"/>
    </row>
    <row r="211">
      <c r="C211" s="8"/>
    </row>
    <row r="212">
      <c r="C212" s="8"/>
    </row>
    <row r="213">
      <c r="C213" s="8"/>
    </row>
    <row r="214">
      <c r="C214" s="8"/>
    </row>
    <row r="215">
      <c r="C215" s="8"/>
    </row>
    <row r="216">
      <c r="C216" s="8"/>
    </row>
    <row r="217">
      <c r="C217" s="8"/>
    </row>
    <row r="218">
      <c r="C218" s="8"/>
    </row>
    <row r="219">
      <c r="C219" s="8"/>
    </row>
    <row r="220">
      <c r="C220" s="8"/>
    </row>
    <row r="221">
      <c r="C221" s="8"/>
    </row>
    <row r="222">
      <c r="C222" s="8"/>
    </row>
    <row r="223">
      <c r="C223" s="8"/>
    </row>
    <row r="224">
      <c r="C224" s="8"/>
    </row>
    <row r="225">
      <c r="C225" s="8"/>
    </row>
    <row r="226">
      <c r="C226" s="8"/>
    </row>
    <row r="227">
      <c r="C227" s="8"/>
    </row>
    <row r="228">
      <c r="C228" s="8"/>
    </row>
    <row r="229">
      <c r="C229" s="8"/>
    </row>
    <row r="230">
      <c r="C230" s="8"/>
    </row>
    <row r="231">
      <c r="C231" s="8"/>
    </row>
    <row r="232">
      <c r="C232" s="8"/>
    </row>
    <row r="233">
      <c r="C233" s="8"/>
    </row>
    <row r="234">
      <c r="C234" s="8"/>
    </row>
    <row r="235">
      <c r="C235" s="8"/>
    </row>
    <row r="236">
      <c r="C236" s="8"/>
    </row>
    <row r="237">
      <c r="C237" s="8"/>
    </row>
    <row r="238">
      <c r="C238" s="8"/>
    </row>
    <row r="239">
      <c r="C239" s="8"/>
    </row>
    <row r="240">
      <c r="C240" s="8"/>
    </row>
    <row r="241">
      <c r="C241" s="8"/>
    </row>
    <row r="242">
      <c r="C242" s="8"/>
    </row>
    <row r="243">
      <c r="C243" s="8"/>
    </row>
    <row r="244">
      <c r="C244" s="8"/>
    </row>
    <row r="245">
      <c r="C245" s="8"/>
    </row>
    <row r="246">
      <c r="C246" s="8"/>
    </row>
    <row r="247">
      <c r="C247" s="8"/>
    </row>
    <row r="248">
      <c r="C248" s="8"/>
    </row>
    <row r="249">
      <c r="C249" s="8"/>
    </row>
    <row r="250">
      <c r="C250" s="8"/>
    </row>
    <row r="251">
      <c r="C251" s="8"/>
    </row>
    <row r="252">
      <c r="C252" s="8"/>
    </row>
    <row r="253">
      <c r="C253" s="8"/>
    </row>
    <row r="254">
      <c r="C254" s="8"/>
    </row>
    <row r="255">
      <c r="C255" s="8"/>
    </row>
    <row r="256">
      <c r="C256" s="8"/>
    </row>
    <row r="257">
      <c r="C257" s="8"/>
    </row>
    <row r="258">
      <c r="C258" s="8"/>
    </row>
    <row r="259">
      <c r="C259" s="8"/>
    </row>
    <row r="260">
      <c r="C260" s="8"/>
    </row>
    <row r="261">
      <c r="C261" s="8"/>
    </row>
    <row r="262">
      <c r="C262" s="8"/>
    </row>
    <row r="263">
      <c r="C263" s="8"/>
    </row>
    <row r="264">
      <c r="C264" s="8"/>
    </row>
    <row r="265">
      <c r="C265" s="8"/>
    </row>
    <row r="266">
      <c r="C266" s="8"/>
    </row>
    <row r="267">
      <c r="C267" s="8"/>
    </row>
    <row r="268">
      <c r="C268" s="8"/>
    </row>
    <row r="269">
      <c r="C269" s="8"/>
    </row>
    <row r="270">
      <c r="C270" s="8"/>
    </row>
    <row r="271">
      <c r="C271" s="8"/>
    </row>
    <row r="272">
      <c r="C272" s="8"/>
    </row>
    <row r="273">
      <c r="C273" s="8"/>
    </row>
    <row r="274">
      <c r="C274" s="8"/>
    </row>
    <row r="275">
      <c r="C275" s="8"/>
    </row>
    <row r="276">
      <c r="C276" s="8"/>
    </row>
    <row r="277">
      <c r="C277" s="8"/>
    </row>
    <row r="278">
      <c r="C278" s="8"/>
    </row>
    <row r="279">
      <c r="C279" s="8"/>
    </row>
    <row r="280">
      <c r="C280" s="8"/>
    </row>
    <row r="281">
      <c r="C281" s="8"/>
    </row>
    <row r="282">
      <c r="C282" s="8"/>
    </row>
    <row r="283">
      <c r="C283" s="8"/>
    </row>
    <row r="284">
      <c r="C284" s="8"/>
    </row>
    <row r="285">
      <c r="C285" s="8"/>
    </row>
    <row r="286">
      <c r="C286" s="8"/>
    </row>
    <row r="287">
      <c r="C287" s="8"/>
    </row>
    <row r="288">
      <c r="C288" s="8"/>
    </row>
    <row r="289">
      <c r="C289" s="8"/>
    </row>
    <row r="290">
      <c r="C290" s="8"/>
    </row>
    <row r="291">
      <c r="C291" s="8"/>
    </row>
    <row r="292">
      <c r="C292" s="8"/>
    </row>
    <row r="293">
      <c r="C293" s="8"/>
    </row>
    <row r="294">
      <c r="C294" s="8"/>
    </row>
    <row r="295">
      <c r="C295" s="8"/>
    </row>
    <row r="296">
      <c r="C296" s="8"/>
    </row>
    <row r="297">
      <c r="C297" s="8"/>
    </row>
    <row r="298">
      <c r="C298" s="8"/>
    </row>
    <row r="299">
      <c r="C299" s="8"/>
    </row>
    <row r="300">
      <c r="C300" s="8"/>
    </row>
    <row r="301">
      <c r="C301" s="8"/>
    </row>
    <row r="302">
      <c r="C302" s="8"/>
    </row>
    <row r="303">
      <c r="C303" s="8"/>
    </row>
    <row r="304">
      <c r="C304" s="8"/>
    </row>
    <row r="305">
      <c r="C305" s="8"/>
    </row>
    <row r="306">
      <c r="C306" s="8"/>
    </row>
    <row r="307">
      <c r="C307" s="8"/>
    </row>
    <row r="308">
      <c r="C308" s="8"/>
    </row>
    <row r="309">
      <c r="C309" s="8"/>
    </row>
    <row r="310">
      <c r="C310" s="8"/>
    </row>
    <row r="311">
      <c r="C311" s="8"/>
    </row>
    <row r="312">
      <c r="C312" s="8"/>
    </row>
    <row r="313">
      <c r="C313" s="8"/>
    </row>
    <row r="314">
      <c r="C314" s="8"/>
    </row>
    <row r="315">
      <c r="C315" s="8"/>
    </row>
    <row r="316">
      <c r="C316" s="8"/>
    </row>
    <row r="317">
      <c r="C317" s="8"/>
    </row>
    <row r="318">
      <c r="C318" s="8"/>
    </row>
    <row r="319">
      <c r="C319" s="8"/>
    </row>
    <row r="320">
      <c r="C320" s="8"/>
    </row>
    <row r="321">
      <c r="C321" s="8"/>
    </row>
    <row r="322">
      <c r="C322" s="8"/>
    </row>
    <row r="323">
      <c r="C323" s="8"/>
    </row>
    <row r="324">
      <c r="C324" s="8"/>
    </row>
    <row r="325">
      <c r="C325" s="8"/>
    </row>
    <row r="326">
      <c r="C326" s="8"/>
    </row>
    <row r="327">
      <c r="C327" s="8"/>
    </row>
    <row r="328">
      <c r="C328" s="8"/>
    </row>
    <row r="329">
      <c r="C329" s="8"/>
    </row>
    <row r="330">
      <c r="C330" s="8"/>
    </row>
    <row r="331">
      <c r="C331" s="8"/>
    </row>
    <row r="332">
      <c r="C332" s="8"/>
    </row>
    <row r="333">
      <c r="C333" s="8"/>
    </row>
    <row r="334">
      <c r="C334" s="8"/>
    </row>
    <row r="335">
      <c r="C335" s="8"/>
    </row>
    <row r="336">
      <c r="C336" s="8"/>
    </row>
    <row r="337">
      <c r="C337" s="8"/>
    </row>
    <row r="338">
      <c r="C338" s="8"/>
    </row>
    <row r="339">
      <c r="C339" s="8"/>
    </row>
    <row r="340">
      <c r="C340" s="8"/>
    </row>
    <row r="341">
      <c r="C341" s="8"/>
    </row>
    <row r="342">
      <c r="C342" s="8"/>
    </row>
    <row r="343">
      <c r="C343" s="8"/>
    </row>
    <row r="344">
      <c r="C344" s="8"/>
    </row>
    <row r="345">
      <c r="C345" s="8"/>
    </row>
    <row r="346">
      <c r="C346" s="8"/>
    </row>
    <row r="347">
      <c r="C347" s="8"/>
    </row>
    <row r="348">
      <c r="C348" s="8"/>
    </row>
    <row r="349">
      <c r="C349" s="8"/>
    </row>
    <row r="350">
      <c r="C350" s="8"/>
    </row>
    <row r="351">
      <c r="C351" s="8"/>
    </row>
    <row r="352">
      <c r="C352" s="8"/>
    </row>
    <row r="353">
      <c r="C353" s="8"/>
    </row>
    <row r="354">
      <c r="C354" s="8"/>
    </row>
    <row r="355">
      <c r="C355" s="8"/>
    </row>
    <row r="356">
      <c r="C356" s="8"/>
    </row>
    <row r="357">
      <c r="C357" s="8"/>
    </row>
    <row r="358">
      <c r="C358" s="8"/>
    </row>
    <row r="359">
      <c r="C359" s="8"/>
    </row>
    <row r="360">
      <c r="C360" s="8"/>
    </row>
    <row r="361">
      <c r="C361" s="8"/>
    </row>
    <row r="362">
      <c r="C362" s="8"/>
    </row>
    <row r="363">
      <c r="C363" s="8"/>
    </row>
    <row r="364">
      <c r="C364" s="8"/>
    </row>
    <row r="365">
      <c r="C365" s="8"/>
    </row>
    <row r="366">
      <c r="C366" s="8"/>
    </row>
    <row r="367">
      <c r="C367" s="8"/>
    </row>
    <row r="368">
      <c r="C368" s="8"/>
    </row>
    <row r="369">
      <c r="C369" s="8"/>
    </row>
    <row r="370">
      <c r="C370" s="8"/>
    </row>
    <row r="371">
      <c r="C371" s="8"/>
    </row>
    <row r="372">
      <c r="C372" s="8"/>
    </row>
    <row r="373">
      <c r="C373" s="8"/>
    </row>
    <row r="374">
      <c r="C374" s="8"/>
    </row>
    <row r="375">
      <c r="C375" s="8"/>
    </row>
    <row r="376">
      <c r="C376" s="8"/>
    </row>
    <row r="377">
      <c r="C377" s="8"/>
    </row>
    <row r="378">
      <c r="C378" s="8"/>
    </row>
    <row r="379">
      <c r="C379" s="8"/>
    </row>
    <row r="380">
      <c r="C380" s="8"/>
    </row>
    <row r="381">
      <c r="C381" s="8"/>
    </row>
    <row r="382">
      <c r="C382" s="8"/>
    </row>
    <row r="383">
      <c r="C383" s="8"/>
    </row>
    <row r="384">
      <c r="C384" s="8"/>
    </row>
    <row r="385">
      <c r="C385" s="8"/>
    </row>
    <row r="386">
      <c r="C386" s="8"/>
    </row>
    <row r="387">
      <c r="C387" s="8"/>
    </row>
    <row r="388">
      <c r="C388" s="8"/>
    </row>
    <row r="389">
      <c r="C389" s="8"/>
    </row>
    <row r="390">
      <c r="C390" s="8"/>
    </row>
    <row r="391">
      <c r="C391" s="8"/>
    </row>
    <row r="392">
      <c r="C392" s="8"/>
    </row>
    <row r="393">
      <c r="C393" s="8"/>
    </row>
    <row r="394">
      <c r="C394" s="8"/>
    </row>
    <row r="395">
      <c r="C395" s="8"/>
    </row>
    <row r="396">
      <c r="C396" s="8"/>
    </row>
    <row r="397">
      <c r="C397" s="8"/>
    </row>
    <row r="398">
      <c r="C398" s="8"/>
    </row>
    <row r="399">
      <c r="C399" s="8"/>
    </row>
    <row r="400">
      <c r="C400" s="8"/>
    </row>
    <row r="401">
      <c r="C401" s="8"/>
    </row>
    <row r="402">
      <c r="C402" s="8"/>
    </row>
    <row r="403">
      <c r="C403" s="8"/>
    </row>
    <row r="404">
      <c r="C404" s="8"/>
    </row>
    <row r="405">
      <c r="C405" s="8"/>
    </row>
    <row r="406">
      <c r="C406" s="8"/>
    </row>
    <row r="407">
      <c r="C407" s="8"/>
    </row>
    <row r="408">
      <c r="C408" s="8"/>
    </row>
    <row r="409">
      <c r="C409" s="8"/>
    </row>
    <row r="410">
      <c r="C410" s="8"/>
    </row>
    <row r="411">
      <c r="C411" s="8"/>
    </row>
    <row r="412">
      <c r="C412" s="8"/>
    </row>
    <row r="413">
      <c r="C413" s="8"/>
    </row>
    <row r="414">
      <c r="C414" s="8"/>
    </row>
    <row r="415">
      <c r="C415" s="8"/>
    </row>
    <row r="416">
      <c r="C416" s="8"/>
    </row>
    <row r="417">
      <c r="C417" s="8"/>
    </row>
    <row r="418">
      <c r="C418" s="8"/>
    </row>
    <row r="419">
      <c r="C419" s="8"/>
    </row>
    <row r="420">
      <c r="C420" s="8"/>
    </row>
    <row r="421">
      <c r="C421" s="8"/>
    </row>
    <row r="422">
      <c r="C422" s="8"/>
    </row>
    <row r="423">
      <c r="C423" s="8"/>
    </row>
    <row r="424">
      <c r="C424" s="8"/>
    </row>
    <row r="425">
      <c r="C425" s="8"/>
    </row>
    <row r="426">
      <c r="C426" s="8"/>
    </row>
    <row r="427">
      <c r="C427" s="8"/>
    </row>
    <row r="428">
      <c r="C428" s="8"/>
    </row>
    <row r="429">
      <c r="C429" s="8"/>
    </row>
    <row r="430">
      <c r="C430" s="8"/>
    </row>
    <row r="431">
      <c r="C431" s="8"/>
    </row>
    <row r="432">
      <c r="C432" s="8"/>
    </row>
    <row r="433">
      <c r="C433" s="8"/>
    </row>
    <row r="434">
      <c r="C434" s="8"/>
    </row>
    <row r="435">
      <c r="C435" s="8"/>
    </row>
    <row r="436">
      <c r="C436" s="8"/>
    </row>
    <row r="437">
      <c r="C437" s="8"/>
    </row>
    <row r="438">
      <c r="C438" s="8"/>
    </row>
    <row r="439">
      <c r="C439" s="8"/>
    </row>
    <row r="440">
      <c r="C440" s="8"/>
    </row>
    <row r="441">
      <c r="C441" s="8"/>
    </row>
    <row r="442">
      <c r="C442" s="8"/>
    </row>
    <row r="443">
      <c r="C443" s="8"/>
    </row>
    <row r="444">
      <c r="C444" s="8"/>
    </row>
    <row r="445">
      <c r="C445" s="8"/>
    </row>
    <row r="446">
      <c r="C446" s="8"/>
    </row>
    <row r="447">
      <c r="C447" s="8"/>
    </row>
    <row r="448">
      <c r="C448" s="8"/>
    </row>
    <row r="449">
      <c r="C449" s="8"/>
    </row>
    <row r="450">
      <c r="C450" s="8"/>
    </row>
    <row r="451">
      <c r="C451" s="8"/>
    </row>
    <row r="452">
      <c r="C452" s="8"/>
    </row>
    <row r="453">
      <c r="C453" s="8"/>
    </row>
    <row r="454">
      <c r="C454" s="8"/>
    </row>
    <row r="455">
      <c r="C455" s="8"/>
    </row>
    <row r="456">
      <c r="C456" s="8"/>
    </row>
    <row r="457">
      <c r="C457" s="8"/>
    </row>
    <row r="458">
      <c r="C458" s="8"/>
    </row>
    <row r="459">
      <c r="C459" s="8"/>
    </row>
    <row r="460">
      <c r="C460" s="8"/>
    </row>
    <row r="461">
      <c r="C461" s="8"/>
    </row>
    <row r="462">
      <c r="C462" s="8"/>
    </row>
    <row r="463">
      <c r="C463" s="8"/>
    </row>
    <row r="464">
      <c r="C464" s="8"/>
    </row>
    <row r="465">
      <c r="C465" s="8"/>
    </row>
    <row r="466">
      <c r="C466" s="8"/>
    </row>
    <row r="467">
      <c r="C467" s="8"/>
    </row>
    <row r="468">
      <c r="C468" s="8"/>
    </row>
    <row r="469">
      <c r="C469" s="8"/>
    </row>
    <row r="470">
      <c r="C470" s="8"/>
    </row>
    <row r="471">
      <c r="C471" s="8"/>
    </row>
    <row r="472">
      <c r="C472" s="8"/>
    </row>
    <row r="473">
      <c r="C473" s="8"/>
    </row>
    <row r="474">
      <c r="C474" s="8"/>
    </row>
    <row r="475">
      <c r="C475" s="8"/>
    </row>
    <row r="476">
      <c r="C476" s="8"/>
    </row>
    <row r="477">
      <c r="C477" s="8"/>
    </row>
    <row r="478">
      <c r="C478" s="8"/>
    </row>
    <row r="479">
      <c r="C479" s="8"/>
    </row>
    <row r="480">
      <c r="C480" s="8"/>
    </row>
    <row r="481">
      <c r="C481" s="8"/>
    </row>
    <row r="482">
      <c r="C482" s="8"/>
    </row>
    <row r="483">
      <c r="C483" s="8"/>
    </row>
    <row r="484">
      <c r="C484" s="8"/>
    </row>
    <row r="485">
      <c r="C485" s="8"/>
    </row>
    <row r="486">
      <c r="C486" s="8"/>
    </row>
    <row r="487">
      <c r="C487" s="8"/>
    </row>
    <row r="488">
      <c r="C488" s="8"/>
    </row>
    <row r="489">
      <c r="C489" s="8"/>
    </row>
    <row r="490">
      <c r="C490" s="8"/>
    </row>
    <row r="491">
      <c r="C491" s="8"/>
    </row>
    <row r="492">
      <c r="C492" s="8"/>
    </row>
    <row r="493">
      <c r="C493" s="8"/>
    </row>
    <row r="494">
      <c r="C494" s="8"/>
    </row>
    <row r="495">
      <c r="C495" s="8"/>
    </row>
    <row r="496">
      <c r="C496" s="8"/>
    </row>
    <row r="497">
      <c r="C497" s="8"/>
    </row>
    <row r="498">
      <c r="C498" s="8"/>
    </row>
    <row r="499">
      <c r="C499" s="8"/>
    </row>
    <row r="500">
      <c r="C500" s="8"/>
    </row>
    <row r="501">
      <c r="C501" s="8"/>
    </row>
    <row r="502">
      <c r="C502" s="8"/>
    </row>
    <row r="503">
      <c r="C503" s="8"/>
    </row>
    <row r="504">
      <c r="C504" s="8"/>
    </row>
    <row r="505">
      <c r="C505" s="8"/>
    </row>
    <row r="506">
      <c r="C506" s="8"/>
    </row>
    <row r="507">
      <c r="C507" s="8"/>
    </row>
    <row r="508">
      <c r="C508" s="8"/>
    </row>
    <row r="509">
      <c r="C509" s="8"/>
    </row>
    <row r="510">
      <c r="C510" s="8"/>
    </row>
    <row r="511">
      <c r="C511" s="8"/>
    </row>
    <row r="512">
      <c r="C512" s="8"/>
    </row>
    <row r="513">
      <c r="C513" s="8"/>
    </row>
    <row r="514">
      <c r="C514" s="8"/>
    </row>
    <row r="515">
      <c r="C515" s="8"/>
    </row>
    <row r="516">
      <c r="C516" s="8"/>
    </row>
    <row r="517">
      <c r="C517" s="8"/>
    </row>
    <row r="518">
      <c r="C518" s="8"/>
    </row>
    <row r="519">
      <c r="C519" s="8"/>
    </row>
    <row r="520">
      <c r="C520" s="8"/>
    </row>
    <row r="521">
      <c r="C521" s="8"/>
    </row>
    <row r="522">
      <c r="C522" s="8"/>
    </row>
    <row r="523">
      <c r="C523" s="8"/>
    </row>
    <row r="524">
      <c r="C524" s="8"/>
    </row>
    <row r="525">
      <c r="C525" s="8"/>
    </row>
    <row r="526">
      <c r="C526" s="8"/>
    </row>
    <row r="527">
      <c r="C527" s="8"/>
    </row>
    <row r="528">
      <c r="C528" s="8"/>
    </row>
    <row r="529">
      <c r="C529" s="8"/>
    </row>
    <row r="530">
      <c r="C530" s="8"/>
    </row>
    <row r="531">
      <c r="C531" s="8"/>
    </row>
    <row r="532">
      <c r="C532" s="8"/>
    </row>
    <row r="533">
      <c r="C533" s="8"/>
    </row>
    <row r="534">
      <c r="C534" s="8"/>
    </row>
    <row r="535">
      <c r="C535" s="8"/>
    </row>
    <row r="536">
      <c r="C536" s="8"/>
    </row>
    <row r="537">
      <c r="C537" s="8"/>
    </row>
    <row r="538">
      <c r="C538" s="8"/>
    </row>
    <row r="539">
      <c r="C539" s="8"/>
    </row>
    <row r="540">
      <c r="C540" s="8"/>
    </row>
    <row r="541">
      <c r="C541" s="8"/>
    </row>
    <row r="542">
      <c r="C542" s="8"/>
    </row>
    <row r="543">
      <c r="C543" s="8"/>
    </row>
    <row r="544">
      <c r="C544" s="8"/>
    </row>
    <row r="545">
      <c r="C545" s="8"/>
    </row>
    <row r="546">
      <c r="C546" s="8"/>
    </row>
    <row r="547">
      <c r="C547" s="8"/>
    </row>
    <row r="548">
      <c r="C548" s="8"/>
    </row>
    <row r="549">
      <c r="C549" s="8"/>
    </row>
    <row r="550">
      <c r="C550" s="8"/>
    </row>
    <row r="551">
      <c r="C551" s="8"/>
    </row>
    <row r="552">
      <c r="C552" s="8"/>
    </row>
    <row r="553">
      <c r="C553" s="8"/>
    </row>
    <row r="554">
      <c r="C554" s="8"/>
    </row>
    <row r="555">
      <c r="C555" s="8"/>
    </row>
    <row r="556">
      <c r="C556" s="8"/>
    </row>
    <row r="557">
      <c r="C557" s="8"/>
    </row>
    <row r="558">
      <c r="C558" s="8"/>
    </row>
    <row r="559">
      <c r="C559" s="8"/>
    </row>
    <row r="560">
      <c r="C560" s="8"/>
    </row>
    <row r="561">
      <c r="C561" s="8"/>
    </row>
    <row r="562">
      <c r="C562" s="8"/>
    </row>
    <row r="563">
      <c r="C563" s="8"/>
    </row>
    <row r="564">
      <c r="C564" s="8"/>
    </row>
    <row r="565">
      <c r="C565" s="8"/>
    </row>
    <row r="566">
      <c r="C566" s="8"/>
    </row>
    <row r="567">
      <c r="C567" s="8"/>
    </row>
    <row r="568">
      <c r="C568" s="8"/>
    </row>
    <row r="569">
      <c r="C569" s="8"/>
    </row>
    <row r="570">
      <c r="C570" s="8"/>
    </row>
    <row r="571">
      <c r="C571" s="8"/>
    </row>
    <row r="572">
      <c r="C572" s="8"/>
    </row>
    <row r="573">
      <c r="C573" s="8"/>
    </row>
    <row r="574">
      <c r="C574" s="8"/>
    </row>
    <row r="575">
      <c r="C575" s="8"/>
    </row>
    <row r="576">
      <c r="C576" s="8"/>
    </row>
    <row r="577">
      <c r="C577" s="8"/>
    </row>
    <row r="578">
      <c r="C578" s="8"/>
    </row>
    <row r="579">
      <c r="C579" s="8"/>
    </row>
    <row r="580">
      <c r="C580" s="8"/>
    </row>
    <row r="581">
      <c r="C581" s="8"/>
    </row>
    <row r="582">
      <c r="C582" s="8"/>
    </row>
    <row r="583">
      <c r="C583" s="8"/>
    </row>
    <row r="584">
      <c r="C584" s="8"/>
    </row>
    <row r="585">
      <c r="C585" s="8"/>
    </row>
    <row r="586">
      <c r="C586" s="8"/>
    </row>
    <row r="587">
      <c r="C587" s="8"/>
    </row>
    <row r="588">
      <c r="C588" s="8"/>
    </row>
    <row r="589">
      <c r="C589" s="8"/>
    </row>
    <row r="590">
      <c r="C590" s="8"/>
    </row>
    <row r="591">
      <c r="C591" s="8"/>
    </row>
    <row r="592">
      <c r="C592" s="8"/>
    </row>
    <row r="593">
      <c r="C593" s="8"/>
    </row>
    <row r="594">
      <c r="C594" s="8"/>
    </row>
    <row r="595">
      <c r="C595" s="8"/>
    </row>
    <row r="596">
      <c r="C596" s="8"/>
    </row>
    <row r="597">
      <c r="C597" s="8"/>
    </row>
    <row r="598">
      <c r="C598" s="8"/>
    </row>
    <row r="599">
      <c r="C599" s="8"/>
    </row>
    <row r="600">
      <c r="C600" s="8"/>
    </row>
    <row r="601">
      <c r="C601" s="8"/>
    </row>
    <row r="602">
      <c r="C602" s="8"/>
    </row>
    <row r="603">
      <c r="C603" s="8"/>
    </row>
    <row r="604">
      <c r="C604" s="8"/>
    </row>
    <row r="605">
      <c r="C605" s="8"/>
    </row>
    <row r="606">
      <c r="C606" s="8"/>
    </row>
    <row r="607">
      <c r="C607" s="8"/>
    </row>
    <row r="608">
      <c r="C608" s="8"/>
    </row>
    <row r="609">
      <c r="C609" s="8"/>
    </row>
    <row r="610">
      <c r="C610" s="8"/>
    </row>
    <row r="611">
      <c r="C611" s="8"/>
    </row>
    <row r="612">
      <c r="C612" s="8"/>
    </row>
    <row r="613">
      <c r="C613" s="8"/>
    </row>
    <row r="614">
      <c r="C614" s="8"/>
    </row>
    <row r="615">
      <c r="C615" s="8"/>
    </row>
    <row r="616">
      <c r="C616" s="8"/>
    </row>
    <row r="617">
      <c r="C617" s="8"/>
    </row>
    <row r="618">
      <c r="C618" s="8"/>
    </row>
    <row r="619">
      <c r="C619" s="8"/>
    </row>
    <row r="620">
      <c r="C620" s="8"/>
    </row>
    <row r="621">
      <c r="C621" s="8"/>
    </row>
    <row r="622">
      <c r="C622" s="8"/>
    </row>
    <row r="623">
      <c r="C623" s="8"/>
    </row>
    <row r="624">
      <c r="C624" s="8"/>
    </row>
    <row r="625">
      <c r="C625" s="8"/>
    </row>
    <row r="626">
      <c r="C626" s="8"/>
    </row>
    <row r="627">
      <c r="C627" s="8"/>
    </row>
    <row r="628">
      <c r="C628" s="8"/>
    </row>
    <row r="629">
      <c r="C629" s="8"/>
    </row>
    <row r="630">
      <c r="C630" s="8"/>
    </row>
    <row r="631">
      <c r="C631" s="8"/>
    </row>
    <row r="632">
      <c r="C632" s="8"/>
    </row>
    <row r="633">
      <c r="C633" s="8"/>
    </row>
    <row r="634">
      <c r="C634" s="8"/>
    </row>
    <row r="635">
      <c r="C635" s="8"/>
    </row>
    <row r="636">
      <c r="C636" s="8"/>
    </row>
    <row r="637">
      <c r="C637" s="8"/>
    </row>
    <row r="638">
      <c r="C638" s="8"/>
    </row>
    <row r="639">
      <c r="C639" s="8"/>
    </row>
    <row r="640">
      <c r="C640" s="8"/>
    </row>
    <row r="641">
      <c r="C641" s="8"/>
    </row>
    <row r="642">
      <c r="C642" s="8"/>
    </row>
    <row r="643">
      <c r="C643" s="8"/>
    </row>
    <row r="644">
      <c r="C644" s="8"/>
    </row>
    <row r="645">
      <c r="C645" s="8"/>
    </row>
    <row r="646">
      <c r="C646" s="8"/>
    </row>
    <row r="647">
      <c r="C647" s="8"/>
    </row>
    <row r="648">
      <c r="C648" s="8"/>
    </row>
    <row r="649">
      <c r="C649" s="8"/>
    </row>
    <row r="650">
      <c r="C650" s="8"/>
    </row>
    <row r="651">
      <c r="C651" s="8"/>
    </row>
    <row r="652">
      <c r="C652" s="8"/>
    </row>
    <row r="653">
      <c r="C653" s="8"/>
    </row>
    <row r="654">
      <c r="C654" s="8"/>
    </row>
    <row r="655">
      <c r="C655" s="8"/>
    </row>
    <row r="656">
      <c r="C656" s="8"/>
    </row>
    <row r="657">
      <c r="C657" s="8"/>
    </row>
    <row r="658">
      <c r="C658" s="8"/>
    </row>
    <row r="659">
      <c r="C659" s="8"/>
    </row>
    <row r="660">
      <c r="C660" s="8"/>
    </row>
    <row r="661">
      <c r="C661" s="8"/>
    </row>
    <row r="662">
      <c r="C662" s="8"/>
    </row>
    <row r="663">
      <c r="C663" s="8"/>
    </row>
    <row r="664">
      <c r="C664" s="8"/>
    </row>
    <row r="665">
      <c r="C665" s="8"/>
    </row>
    <row r="666">
      <c r="C666" s="8"/>
    </row>
    <row r="667">
      <c r="C667" s="8"/>
    </row>
    <row r="668">
      <c r="C668" s="8"/>
    </row>
    <row r="669">
      <c r="C669" s="8"/>
    </row>
    <row r="670">
      <c r="C670" s="8"/>
    </row>
    <row r="671">
      <c r="C671" s="8"/>
    </row>
    <row r="672">
      <c r="C672" s="8"/>
    </row>
    <row r="673">
      <c r="C673" s="8"/>
    </row>
    <row r="674">
      <c r="C674" s="8"/>
    </row>
    <row r="675">
      <c r="C675" s="8"/>
    </row>
    <row r="676">
      <c r="C676" s="8"/>
    </row>
    <row r="677">
      <c r="C677" s="8"/>
    </row>
    <row r="678">
      <c r="C678" s="8"/>
    </row>
    <row r="679">
      <c r="C679" s="8"/>
    </row>
    <row r="680">
      <c r="C680" s="8"/>
    </row>
    <row r="681">
      <c r="C681" s="8"/>
    </row>
    <row r="682">
      <c r="C682" s="8"/>
    </row>
    <row r="683">
      <c r="C683" s="8"/>
    </row>
    <row r="684">
      <c r="C684" s="8"/>
    </row>
    <row r="685">
      <c r="C685" s="8"/>
    </row>
    <row r="686">
      <c r="C686" s="8"/>
    </row>
    <row r="687">
      <c r="C687" s="8"/>
    </row>
    <row r="688">
      <c r="C688" s="8"/>
    </row>
    <row r="689">
      <c r="C689" s="8"/>
    </row>
    <row r="690">
      <c r="C690" s="8"/>
    </row>
    <row r="691">
      <c r="C691" s="8"/>
    </row>
    <row r="692">
      <c r="C692" s="8"/>
    </row>
    <row r="693">
      <c r="C693" s="8"/>
    </row>
    <row r="694">
      <c r="C694" s="8"/>
    </row>
    <row r="695">
      <c r="C695" s="8"/>
    </row>
    <row r="696">
      <c r="C696" s="8"/>
    </row>
    <row r="697">
      <c r="C697" s="8"/>
    </row>
    <row r="698">
      <c r="C698" s="8"/>
    </row>
    <row r="699">
      <c r="C699" s="8"/>
    </row>
    <row r="700">
      <c r="C700" s="8"/>
    </row>
    <row r="701">
      <c r="C701" s="8"/>
    </row>
    <row r="702">
      <c r="C702" s="8"/>
    </row>
    <row r="703">
      <c r="C703" s="8"/>
    </row>
    <row r="704">
      <c r="C704" s="8"/>
    </row>
    <row r="705">
      <c r="C705" s="8"/>
    </row>
    <row r="706">
      <c r="C706" s="8"/>
    </row>
    <row r="707">
      <c r="C707" s="8"/>
    </row>
    <row r="708">
      <c r="C708" s="8"/>
    </row>
    <row r="709">
      <c r="C709" s="8"/>
    </row>
    <row r="710">
      <c r="C710" s="8"/>
    </row>
    <row r="711">
      <c r="C711" s="8"/>
    </row>
    <row r="712">
      <c r="C712" s="8"/>
    </row>
    <row r="713">
      <c r="C713" s="8"/>
    </row>
    <row r="714">
      <c r="C714" s="8"/>
    </row>
    <row r="715">
      <c r="C715" s="8"/>
    </row>
    <row r="716">
      <c r="C716" s="8"/>
    </row>
    <row r="717">
      <c r="C717" s="8"/>
    </row>
    <row r="718">
      <c r="C718" s="8"/>
    </row>
    <row r="719">
      <c r="C719" s="8"/>
    </row>
    <row r="720">
      <c r="C720" s="8"/>
    </row>
    <row r="721">
      <c r="C721" s="8"/>
    </row>
    <row r="722">
      <c r="C722" s="8"/>
    </row>
    <row r="723">
      <c r="C723" s="8"/>
    </row>
    <row r="724">
      <c r="C724" s="8"/>
    </row>
    <row r="725">
      <c r="C725" s="8"/>
    </row>
    <row r="726">
      <c r="C726" s="8"/>
    </row>
    <row r="727">
      <c r="C727" s="8"/>
    </row>
    <row r="728">
      <c r="C728" s="8"/>
    </row>
    <row r="729">
      <c r="C729" s="8"/>
    </row>
    <row r="730">
      <c r="C730" s="8"/>
    </row>
    <row r="731">
      <c r="C731" s="8"/>
    </row>
    <row r="732">
      <c r="C732" s="8"/>
    </row>
    <row r="733">
      <c r="C733" s="8"/>
    </row>
    <row r="734">
      <c r="C734" s="8"/>
    </row>
    <row r="735">
      <c r="C735" s="8"/>
    </row>
    <row r="736">
      <c r="C736" s="8"/>
    </row>
    <row r="737">
      <c r="C737" s="8"/>
    </row>
    <row r="738">
      <c r="C738" s="8"/>
    </row>
    <row r="739">
      <c r="C739" s="8"/>
    </row>
    <row r="740">
      <c r="C740" s="8"/>
    </row>
    <row r="741">
      <c r="C741" s="8"/>
    </row>
    <row r="742">
      <c r="C742" s="8"/>
    </row>
    <row r="743">
      <c r="C743" s="8"/>
    </row>
    <row r="744">
      <c r="C744" s="8"/>
    </row>
    <row r="745">
      <c r="C745" s="8"/>
    </row>
    <row r="746">
      <c r="C746" s="8"/>
    </row>
    <row r="747">
      <c r="C747" s="8"/>
    </row>
    <row r="748">
      <c r="C748" s="8"/>
    </row>
    <row r="749">
      <c r="C749" s="8"/>
    </row>
    <row r="750">
      <c r="C750" s="8"/>
    </row>
    <row r="751">
      <c r="C751" s="8"/>
    </row>
    <row r="752">
      <c r="C752" s="8"/>
    </row>
    <row r="753">
      <c r="C753" s="8"/>
    </row>
    <row r="754">
      <c r="C754" s="8"/>
    </row>
    <row r="755">
      <c r="C755" s="8"/>
    </row>
    <row r="756">
      <c r="C756" s="8"/>
    </row>
    <row r="757">
      <c r="C757" s="8"/>
    </row>
    <row r="758">
      <c r="C758" s="8"/>
    </row>
    <row r="759">
      <c r="C759" s="8"/>
    </row>
    <row r="760">
      <c r="C760" s="8"/>
    </row>
    <row r="761">
      <c r="C761" s="8"/>
    </row>
    <row r="762">
      <c r="C762" s="8"/>
    </row>
    <row r="763">
      <c r="C763" s="8"/>
    </row>
    <row r="764">
      <c r="C764" s="8"/>
    </row>
    <row r="765">
      <c r="C765" s="8"/>
    </row>
    <row r="766">
      <c r="C766" s="8"/>
    </row>
    <row r="767">
      <c r="C767" s="8"/>
    </row>
    <row r="768">
      <c r="C768" s="8"/>
    </row>
    <row r="769">
      <c r="C769" s="8"/>
    </row>
    <row r="770">
      <c r="C770" s="8"/>
    </row>
    <row r="771">
      <c r="C771" s="8"/>
    </row>
    <row r="772">
      <c r="C772" s="8"/>
    </row>
    <row r="773">
      <c r="C773" s="8"/>
    </row>
    <row r="774">
      <c r="C774" s="8"/>
    </row>
    <row r="775">
      <c r="C775" s="8"/>
    </row>
    <row r="776">
      <c r="C776" s="8"/>
    </row>
    <row r="777">
      <c r="C777" s="8"/>
    </row>
    <row r="778">
      <c r="C778" s="8"/>
    </row>
    <row r="779">
      <c r="C779" s="8"/>
    </row>
    <row r="780">
      <c r="C780" s="8"/>
    </row>
    <row r="781">
      <c r="C781" s="8"/>
    </row>
    <row r="782">
      <c r="C782" s="8"/>
    </row>
    <row r="783">
      <c r="C783" s="8"/>
    </row>
    <row r="784">
      <c r="C784" s="8"/>
    </row>
    <row r="785">
      <c r="C785" s="8"/>
    </row>
    <row r="786">
      <c r="C786" s="8"/>
    </row>
    <row r="787">
      <c r="C787" s="8"/>
    </row>
    <row r="788">
      <c r="C788" s="8"/>
    </row>
    <row r="789">
      <c r="C789" s="8"/>
    </row>
    <row r="790">
      <c r="C790" s="8"/>
    </row>
    <row r="791">
      <c r="C791" s="8"/>
    </row>
    <row r="792">
      <c r="C792" s="8"/>
    </row>
    <row r="793">
      <c r="C793" s="8"/>
    </row>
    <row r="794">
      <c r="C794" s="8"/>
    </row>
    <row r="795">
      <c r="C795" s="8"/>
    </row>
    <row r="796">
      <c r="C796" s="8"/>
    </row>
    <row r="797">
      <c r="C797" s="8"/>
    </row>
    <row r="798">
      <c r="C798" s="8"/>
    </row>
    <row r="799">
      <c r="C799" s="8"/>
    </row>
    <row r="800">
      <c r="C800" s="8"/>
    </row>
    <row r="801">
      <c r="C801" s="8"/>
    </row>
    <row r="802">
      <c r="C802" s="8"/>
    </row>
    <row r="803">
      <c r="C803" s="8"/>
    </row>
    <row r="804">
      <c r="C804" s="8"/>
    </row>
    <row r="805">
      <c r="C805" s="8"/>
    </row>
    <row r="806">
      <c r="C806" s="8"/>
    </row>
    <row r="807">
      <c r="C807" s="8"/>
    </row>
    <row r="808">
      <c r="C808" s="8"/>
    </row>
    <row r="809">
      <c r="C809" s="8"/>
    </row>
    <row r="810">
      <c r="C810" s="8"/>
    </row>
    <row r="811">
      <c r="C811" s="8"/>
    </row>
    <row r="812">
      <c r="C812" s="8"/>
    </row>
    <row r="813">
      <c r="C813" s="8"/>
    </row>
    <row r="814">
      <c r="C814" s="8"/>
    </row>
    <row r="815">
      <c r="C815" s="8"/>
    </row>
    <row r="816">
      <c r="C816" s="8"/>
    </row>
    <row r="817">
      <c r="C817" s="8"/>
    </row>
    <row r="818">
      <c r="C818" s="8"/>
    </row>
    <row r="819">
      <c r="C819" s="8"/>
    </row>
    <row r="820">
      <c r="C820" s="8"/>
    </row>
    <row r="821">
      <c r="C821" s="8"/>
    </row>
    <row r="822">
      <c r="C822" s="8"/>
    </row>
    <row r="823">
      <c r="C823" s="8"/>
    </row>
    <row r="824">
      <c r="C824" s="8"/>
    </row>
    <row r="825">
      <c r="C825" s="8"/>
    </row>
    <row r="826">
      <c r="C826" s="8"/>
    </row>
    <row r="827">
      <c r="C827" s="8"/>
    </row>
    <row r="828">
      <c r="C828" s="8"/>
    </row>
    <row r="829">
      <c r="C829" s="8"/>
    </row>
    <row r="830">
      <c r="C830" s="8"/>
    </row>
    <row r="831">
      <c r="C831" s="8"/>
    </row>
    <row r="832">
      <c r="C832" s="8"/>
    </row>
    <row r="833">
      <c r="C833" s="8"/>
    </row>
    <row r="834">
      <c r="C834" s="8"/>
    </row>
    <row r="835">
      <c r="C835" s="8"/>
    </row>
    <row r="836">
      <c r="C836" s="8"/>
    </row>
    <row r="837">
      <c r="C837" s="8"/>
    </row>
    <row r="838">
      <c r="C838" s="8"/>
    </row>
    <row r="839">
      <c r="C839" s="8"/>
    </row>
    <row r="840">
      <c r="C840" s="8"/>
    </row>
    <row r="841">
      <c r="C841" s="8"/>
    </row>
    <row r="842">
      <c r="C842" s="8"/>
    </row>
    <row r="843">
      <c r="C843" s="8"/>
    </row>
    <row r="844">
      <c r="C844" s="8"/>
    </row>
    <row r="845">
      <c r="C845" s="8"/>
    </row>
    <row r="846">
      <c r="C846" s="8"/>
    </row>
    <row r="847">
      <c r="C847" s="8"/>
    </row>
    <row r="848">
      <c r="C848" s="8"/>
    </row>
    <row r="849">
      <c r="C849" s="8"/>
    </row>
    <row r="850">
      <c r="C850" s="8"/>
    </row>
    <row r="851">
      <c r="C851" s="8"/>
    </row>
    <row r="852">
      <c r="C852" s="8"/>
    </row>
    <row r="853">
      <c r="C853" s="8"/>
    </row>
    <row r="854">
      <c r="C854" s="8"/>
    </row>
    <row r="855">
      <c r="C855" s="8"/>
    </row>
    <row r="856">
      <c r="C856" s="8"/>
    </row>
    <row r="857">
      <c r="C857" s="8"/>
    </row>
    <row r="858">
      <c r="C858" s="8"/>
    </row>
    <row r="859">
      <c r="C859" s="8"/>
    </row>
    <row r="860">
      <c r="C860" s="8"/>
    </row>
    <row r="861">
      <c r="C861" s="8"/>
    </row>
    <row r="862">
      <c r="C862" s="8"/>
    </row>
    <row r="863">
      <c r="C863" s="8"/>
    </row>
    <row r="864">
      <c r="C864" s="8"/>
    </row>
    <row r="865">
      <c r="C865" s="8"/>
    </row>
    <row r="866">
      <c r="C866" s="8"/>
    </row>
    <row r="867">
      <c r="C867" s="8"/>
    </row>
    <row r="868">
      <c r="C868" s="8"/>
    </row>
    <row r="869">
      <c r="C869" s="8"/>
    </row>
    <row r="870">
      <c r="C870" s="8"/>
    </row>
    <row r="871">
      <c r="C871" s="8"/>
    </row>
    <row r="872">
      <c r="C872" s="8"/>
    </row>
    <row r="873">
      <c r="C873" s="8"/>
    </row>
    <row r="874">
      <c r="C874" s="8"/>
    </row>
    <row r="875">
      <c r="C875" s="8"/>
    </row>
    <row r="876">
      <c r="C876" s="8"/>
    </row>
    <row r="877">
      <c r="C877" s="8"/>
    </row>
    <row r="878">
      <c r="C878" s="8"/>
    </row>
    <row r="879">
      <c r="C879" s="8"/>
    </row>
    <row r="880">
      <c r="C880" s="8"/>
    </row>
    <row r="881">
      <c r="C881" s="8"/>
    </row>
    <row r="882">
      <c r="C882" s="8"/>
    </row>
    <row r="883">
      <c r="C883" s="8"/>
    </row>
    <row r="884">
      <c r="C884" s="8"/>
    </row>
    <row r="885">
      <c r="C885" s="8"/>
    </row>
    <row r="886">
      <c r="C886" s="8"/>
    </row>
    <row r="887">
      <c r="C887" s="8"/>
    </row>
    <row r="888">
      <c r="C888" s="8"/>
    </row>
    <row r="889">
      <c r="C889" s="8"/>
    </row>
    <row r="890">
      <c r="C890" s="8"/>
    </row>
    <row r="891">
      <c r="C891" s="8"/>
    </row>
    <row r="892">
      <c r="C892" s="8"/>
    </row>
    <row r="893">
      <c r="C893" s="8"/>
    </row>
    <row r="894">
      <c r="C894" s="8"/>
    </row>
    <row r="895">
      <c r="C895" s="8"/>
    </row>
    <row r="896">
      <c r="C896" s="8"/>
    </row>
    <row r="897">
      <c r="C897" s="8"/>
    </row>
    <row r="898">
      <c r="C898" s="8"/>
    </row>
    <row r="899">
      <c r="C899" s="8"/>
    </row>
    <row r="900">
      <c r="C900" s="8"/>
    </row>
    <row r="901">
      <c r="C901" s="8"/>
    </row>
    <row r="902">
      <c r="C902" s="8"/>
    </row>
    <row r="903">
      <c r="C903" s="8"/>
    </row>
    <row r="904">
      <c r="C904" s="8"/>
    </row>
    <row r="905">
      <c r="C905" s="8"/>
    </row>
    <row r="906">
      <c r="C906" s="8"/>
    </row>
    <row r="907">
      <c r="C907" s="8"/>
    </row>
    <row r="908">
      <c r="C908" s="8"/>
    </row>
    <row r="909">
      <c r="C909" s="8"/>
    </row>
    <row r="910">
      <c r="C910" s="8"/>
    </row>
    <row r="911">
      <c r="C911" s="8"/>
    </row>
    <row r="912">
      <c r="C912" s="8"/>
    </row>
    <row r="913">
      <c r="C913" s="8"/>
    </row>
    <row r="914">
      <c r="C914" s="8"/>
    </row>
    <row r="915">
      <c r="C915" s="8"/>
    </row>
    <row r="916">
      <c r="C916" s="8"/>
    </row>
    <row r="917">
      <c r="C917" s="8"/>
    </row>
    <row r="918">
      <c r="C918" s="8"/>
    </row>
    <row r="919">
      <c r="C919" s="8"/>
    </row>
    <row r="920">
      <c r="C920" s="8"/>
    </row>
    <row r="921">
      <c r="C921" s="8"/>
    </row>
    <row r="922">
      <c r="C922" s="8"/>
    </row>
    <row r="923">
      <c r="C923" s="8"/>
    </row>
    <row r="924">
      <c r="C924" s="8"/>
    </row>
    <row r="925">
      <c r="C925" s="8"/>
    </row>
    <row r="926">
      <c r="C926" s="8"/>
    </row>
    <row r="927">
      <c r="C927" s="8"/>
    </row>
    <row r="928">
      <c r="C928" s="8"/>
    </row>
    <row r="929">
      <c r="C929" s="8"/>
    </row>
    <row r="930">
      <c r="C930" s="8"/>
    </row>
    <row r="931">
      <c r="C931" s="8"/>
    </row>
    <row r="932">
      <c r="C932" s="8"/>
    </row>
    <row r="933">
      <c r="C933" s="8"/>
    </row>
    <row r="934">
      <c r="C934" s="8"/>
    </row>
    <row r="935">
      <c r="C935" s="8"/>
    </row>
    <row r="936">
      <c r="C936" s="8"/>
    </row>
    <row r="937">
      <c r="C937" s="8"/>
    </row>
    <row r="938">
      <c r="C938" s="8"/>
    </row>
    <row r="939">
      <c r="C939" s="8"/>
    </row>
    <row r="940">
      <c r="C940" s="8"/>
    </row>
    <row r="941">
      <c r="C941" s="8"/>
    </row>
    <row r="942">
      <c r="C942" s="8"/>
    </row>
    <row r="943">
      <c r="C943" s="8"/>
    </row>
    <row r="944">
      <c r="C944" s="8"/>
    </row>
    <row r="945">
      <c r="C945" s="8"/>
    </row>
    <row r="946">
      <c r="C946" s="8"/>
    </row>
    <row r="947">
      <c r="C947" s="8"/>
    </row>
    <row r="948">
      <c r="C948" s="8"/>
    </row>
    <row r="949">
      <c r="C949" s="8"/>
    </row>
    <row r="950">
      <c r="C950" s="8"/>
    </row>
    <row r="951">
      <c r="C951" s="8"/>
    </row>
    <row r="952">
      <c r="C952" s="8"/>
    </row>
    <row r="953">
      <c r="C953" s="8"/>
    </row>
    <row r="954">
      <c r="C954" s="8"/>
    </row>
    <row r="955">
      <c r="C955" s="8"/>
    </row>
    <row r="956">
      <c r="C956" s="8"/>
    </row>
    <row r="957">
      <c r="C957" s="8"/>
    </row>
    <row r="958">
      <c r="C958" s="8"/>
    </row>
    <row r="959">
      <c r="C959" s="8"/>
    </row>
    <row r="960">
      <c r="C960" s="8"/>
    </row>
    <row r="961">
      <c r="C961" s="8"/>
    </row>
    <row r="962">
      <c r="C962" s="8"/>
    </row>
    <row r="963">
      <c r="C963" s="8"/>
    </row>
    <row r="964">
      <c r="C964" s="8"/>
    </row>
    <row r="965">
      <c r="C965" s="8"/>
    </row>
    <row r="966">
      <c r="C966" s="8"/>
    </row>
    <row r="967">
      <c r="C967" s="8"/>
    </row>
    <row r="968">
      <c r="C968" s="8"/>
    </row>
    <row r="969">
      <c r="C969" s="8"/>
    </row>
    <row r="970">
      <c r="C970" s="8"/>
    </row>
    <row r="971">
      <c r="C971" s="8"/>
    </row>
    <row r="972">
      <c r="C972" s="8"/>
    </row>
    <row r="973">
      <c r="C973" s="8"/>
    </row>
    <row r="974">
      <c r="C974" s="8"/>
    </row>
    <row r="975">
      <c r="C975" s="8"/>
    </row>
    <row r="976">
      <c r="C976" s="8"/>
    </row>
    <row r="977">
      <c r="C977" s="8"/>
    </row>
    <row r="978">
      <c r="C978" s="8"/>
    </row>
    <row r="979">
      <c r="C979" s="8"/>
    </row>
    <row r="980">
      <c r="C980" s="8"/>
    </row>
    <row r="981">
      <c r="C981" s="8"/>
    </row>
    <row r="982">
      <c r="C982" s="8"/>
    </row>
    <row r="983">
      <c r="C983" s="8"/>
    </row>
    <row r="984">
      <c r="C984" s="8"/>
    </row>
    <row r="985">
      <c r="C985" s="8"/>
    </row>
    <row r="986">
      <c r="C986" s="8"/>
    </row>
    <row r="987">
      <c r="C987" s="8"/>
    </row>
  </sheetData>
  <conditionalFormatting sqref="A1:T1">
    <cfRule type="notContainsBlanks" dxfId="0" priority="1">
      <formula>LEN(TRIM(A1))&gt;0</formula>
    </cfRule>
  </conditionalFormatting>
  <hyperlinks>
    <hyperlink r:id="rId1" ref="H2"/>
    <hyperlink r:id="rId2" ref="J2"/>
    <hyperlink r:id="rId3" ref="H3"/>
    <hyperlink r:id="rId4" ref="I3"/>
    <hyperlink r:id="rId5" ref="J4"/>
    <hyperlink r:id="rId6" ref="H5"/>
    <hyperlink r:id="rId7" ref="I5"/>
    <hyperlink r:id="rId8" ref="I6"/>
    <hyperlink r:id="rId9" ref="H7"/>
    <hyperlink r:id="rId10" ref="H8"/>
    <hyperlink r:id="rId11" ref="H9"/>
    <hyperlink r:id="rId12" ref="I9"/>
    <hyperlink r:id="rId13" ref="J9"/>
    <hyperlink r:id="rId14" ref="H10"/>
    <hyperlink r:id="rId15" ref="H11"/>
    <hyperlink r:id="rId16" ref="H12"/>
    <hyperlink r:id="rId17" ref="H13"/>
    <hyperlink r:id="rId18" ref="H14"/>
    <hyperlink r:id="rId19" ref="H15"/>
    <hyperlink r:id="rId20" ref="I15"/>
    <hyperlink r:id="rId21" ref="J15"/>
    <hyperlink r:id="rId22" ref="H16"/>
    <hyperlink r:id="rId23" ref="H17"/>
    <hyperlink r:id="rId24" ref="I17"/>
    <hyperlink r:id="rId25" ref="H18"/>
    <hyperlink r:id="rId26" ref="J18"/>
    <hyperlink r:id="rId27" ref="H19"/>
    <hyperlink r:id="rId28" ref="H20"/>
    <hyperlink r:id="rId29" ref="I20"/>
    <hyperlink r:id="rId30" ref="I21"/>
    <hyperlink r:id="rId31" ref="H22"/>
    <hyperlink r:id="rId32" ref="H23"/>
    <hyperlink r:id="rId33" ref="H24"/>
    <hyperlink r:id="rId34" ref="H25"/>
    <hyperlink r:id="rId35" ref="H26"/>
    <hyperlink r:id="rId36" ref="I26"/>
    <hyperlink r:id="rId37" ref="J26"/>
    <hyperlink r:id="rId38" ref="J27"/>
    <hyperlink r:id="rId39" ref="H28"/>
    <hyperlink r:id="rId40" ref="I28"/>
    <hyperlink r:id="rId41" ref="H29"/>
    <hyperlink r:id="rId42" ref="H30"/>
    <hyperlink r:id="rId43" ref="I30"/>
    <hyperlink r:id="rId44" ref="H31"/>
    <hyperlink r:id="rId45" ref="H32"/>
    <hyperlink r:id="rId46" ref="I32"/>
    <hyperlink r:id="rId47" ref="J33"/>
    <hyperlink r:id="rId48" ref="J34"/>
    <hyperlink r:id="rId49" ref="H35"/>
    <hyperlink r:id="rId50" ref="H36"/>
    <hyperlink r:id="rId51" ref="I36"/>
    <hyperlink r:id="rId52" ref="H37"/>
    <hyperlink r:id="rId53" ref="I37"/>
    <hyperlink r:id="rId54" ref="H38"/>
    <hyperlink r:id="rId55" ref="H39"/>
    <hyperlink r:id="rId56" ref="H40"/>
    <hyperlink r:id="rId57" ref="H41"/>
    <hyperlink r:id="rId58" ref="H42"/>
    <hyperlink r:id="rId59" ref="H43"/>
    <hyperlink r:id="rId60" ref="H44"/>
    <hyperlink r:id="rId61" ref="J45"/>
    <hyperlink r:id="rId62" ref="H46"/>
    <hyperlink r:id="rId63" ref="I46"/>
    <hyperlink r:id="rId64" ref="H47"/>
    <hyperlink r:id="rId65" ref="H48"/>
    <hyperlink r:id="rId66" ref="I48"/>
    <hyperlink r:id="rId67" ref="J49"/>
    <hyperlink r:id="rId68" ref="H50"/>
    <hyperlink r:id="rId69" ref="H51"/>
    <hyperlink r:id="rId70" ref="J52"/>
    <hyperlink r:id="rId71" ref="J53"/>
    <hyperlink r:id="rId72" ref="H54"/>
    <hyperlink r:id="rId73" ref="I54"/>
    <hyperlink r:id="rId74" ref="H55"/>
    <hyperlink r:id="rId75" ref="H56"/>
    <hyperlink r:id="rId76" ref="J56"/>
    <hyperlink r:id="rId77" ref="I57"/>
    <hyperlink r:id="rId78" ref="H58"/>
    <hyperlink r:id="rId79" ref="I58"/>
    <hyperlink r:id="rId80" ref="H59"/>
    <hyperlink r:id="rId81" ref="I59"/>
    <hyperlink r:id="rId82" ref="H60"/>
    <hyperlink r:id="rId83" ref="H61"/>
    <hyperlink r:id="rId84" ref="H62"/>
    <hyperlink r:id="rId85" ref="H63"/>
    <hyperlink r:id="rId86" ref="H64"/>
    <hyperlink r:id="rId87" ref="I64"/>
    <hyperlink r:id="rId88" ref="H65"/>
    <hyperlink r:id="rId89" ref="J66"/>
    <hyperlink r:id="rId90" ref="H67"/>
    <hyperlink r:id="rId91" ref="H68"/>
    <hyperlink r:id="rId92" ref="J69"/>
    <hyperlink r:id="rId93" ref="H70"/>
    <hyperlink r:id="rId94" ref="H71"/>
    <hyperlink r:id="rId95" ref="H72"/>
    <hyperlink r:id="rId96" ref="I72"/>
    <hyperlink r:id="rId97" ref="H73"/>
    <hyperlink r:id="rId98" ref="H74"/>
    <hyperlink r:id="rId99" ref="I74"/>
    <hyperlink r:id="rId100" ref="H75"/>
    <hyperlink r:id="rId101" ref="H76"/>
    <hyperlink r:id="rId102" ref="H77"/>
    <hyperlink r:id="rId103" ref="J77"/>
    <hyperlink r:id="rId104" ref="H78"/>
    <hyperlink r:id="rId105" ref="I78"/>
    <hyperlink r:id="rId106" ref="H79"/>
    <hyperlink r:id="rId107" ref="I79"/>
    <hyperlink r:id="rId108" ref="H80"/>
    <hyperlink r:id="rId109" ref="I80"/>
    <hyperlink r:id="rId110" ref="H81"/>
    <hyperlink r:id="rId111" ref="H82"/>
    <hyperlink r:id="rId112" ref="H83"/>
    <hyperlink r:id="rId113" ref="I83"/>
    <hyperlink r:id="rId114" ref="J84"/>
    <hyperlink r:id="rId115" ref="H85"/>
    <hyperlink r:id="rId116" ref="H86"/>
    <hyperlink r:id="rId117" ref="H87"/>
    <hyperlink r:id="rId118" ref="H88"/>
    <hyperlink r:id="rId119" ref="H89"/>
    <hyperlink r:id="rId120" ref="H90"/>
    <hyperlink r:id="rId121" ref="H91"/>
    <hyperlink r:id="rId122" ref="H92"/>
    <hyperlink r:id="rId123" ref="J92"/>
    <hyperlink r:id="rId124" ref="H93"/>
    <hyperlink r:id="rId125" ref="H94"/>
    <hyperlink r:id="rId126" ref="H95"/>
    <hyperlink r:id="rId127" ref="J95"/>
    <hyperlink r:id="rId128" ref="H96"/>
    <hyperlink r:id="rId129" ref="I96"/>
    <hyperlink r:id="rId130" ref="J96"/>
    <hyperlink r:id="rId131" ref="J97"/>
    <hyperlink r:id="rId132" ref="H98"/>
    <hyperlink r:id="rId133" ref="I98"/>
    <hyperlink r:id="rId134" ref="H99"/>
    <hyperlink r:id="rId135" ref="I99"/>
    <hyperlink r:id="rId136" ref="J100"/>
    <hyperlink r:id="rId137" ref="J101"/>
    <hyperlink r:id="rId138" ref="H102"/>
    <hyperlink r:id="rId139" ref="M102"/>
    <hyperlink r:id="rId140" ref="J103"/>
    <hyperlink r:id="rId141" ref="H104"/>
    <hyperlink r:id="rId142" ref="J105"/>
    <hyperlink r:id="rId143" ref="H106"/>
    <hyperlink r:id="rId144" ref="J106"/>
    <hyperlink r:id="rId145" ref="H107"/>
    <hyperlink r:id="rId146" ref="I107"/>
    <hyperlink r:id="rId147" ref="H108"/>
    <hyperlink r:id="rId148" ref="I108"/>
    <hyperlink r:id="rId149" ref="H109"/>
    <hyperlink r:id="rId150" ref="I109"/>
    <hyperlink r:id="rId151" ref="H110"/>
    <hyperlink r:id="rId152" ref="H111"/>
    <hyperlink r:id="rId153" ref="J111"/>
    <hyperlink r:id="rId154" ref="H112"/>
    <hyperlink r:id="rId155" ref="M112"/>
    <hyperlink r:id="rId156" ref="H113"/>
    <hyperlink r:id="rId157" ref="J114"/>
    <hyperlink r:id="rId158" ref="H115"/>
    <hyperlink r:id="rId159" ref="H116"/>
    <hyperlink r:id="rId160" ref="J116"/>
    <hyperlink r:id="rId161" ref="H117"/>
    <hyperlink r:id="rId162" ref="H118"/>
    <hyperlink r:id="rId163" ref="H119"/>
    <hyperlink r:id="rId164" ref="H120"/>
    <hyperlink r:id="rId165" ref="H121"/>
    <hyperlink r:id="rId166" ref="I121"/>
    <hyperlink r:id="rId167" ref="J122"/>
    <hyperlink r:id="rId168" ref="H123"/>
    <hyperlink r:id="rId169" ref="I123"/>
    <hyperlink r:id="rId170" ref="J123"/>
    <hyperlink r:id="rId171" ref="H124"/>
    <hyperlink r:id="rId172" ref="H125"/>
    <hyperlink r:id="rId173" ref="I125"/>
    <hyperlink r:id="rId174" ref="H126"/>
    <hyperlink r:id="rId175" ref="I126"/>
    <hyperlink r:id="rId176" ref="H127"/>
    <hyperlink r:id="rId177" ref="I127"/>
    <hyperlink r:id="rId178" ref="H128"/>
    <hyperlink r:id="rId179" ref="H129"/>
    <hyperlink r:id="rId180" ref="H130"/>
    <hyperlink r:id="rId181" ref="H131"/>
    <hyperlink r:id="rId182" ref="H132"/>
    <hyperlink r:id="rId183" ref="I132"/>
    <hyperlink r:id="rId184" ref="J133"/>
    <hyperlink r:id="rId185" ref="J134"/>
    <hyperlink r:id="rId186" ref="H135"/>
    <hyperlink r:id="rId187" ref="I135"/>
    <hyperlink r:id="rId188" ref="M135"/>
    <hyperlink r:id="rId189" ref="H136"/>
    <hyperlink r:id="rId190" ref="I136"/>
    <hyperlink r:id="rId191" ref="H137"/>
    <hyperlink r:id="rId192" ref="I137"/>
    <hyperlink r:id="rId193" ref="J137"/>
    <hyperlink r:id="rId194" ref="H138"/>
    <hyperlink r:id="rId195" ref="I138"/>
    <hyperlink r:id="rId196" ref="H139"/>
    <hyperlink r:id="rId197" ref="H140"/>
    <hyperlink r:id="rId198" ref="I140"/>
    <hyperlink r:id="rId199" ref="H141"/>
    <hyperlink r:id="rId200" ref="J142"/>
    <hyperlink r:id="rId201" ref="H143"/>
    <hyperlink r:id="rId202" ref="I143"/>
    <hyperlink r:id="rId203" ref="J144"/>
    <hyperlink r:id="rId204" ref="H145"/>
    <hyperlink r:id="rId205" ref="H146"/>
    <hyperlink r:id="rId206" ref="H147"/>
    <hyperlink r:id="rId207" ref="H148"/>
    <hyperlink r:id="rId208" ref="H149"/>
    <hyperlink r:id="rId209" ref="J150"/>
    <hyperlink r:id="rId210" ref="H151"/>
    <hyperlink r:id="rId211" ref="H152"/>
    <hyperlink r:id="rId212" ref="H153"/>
    <hyperlink r:id="rId213" ref="I153"/>
    <hyperlink r:id="rId214" ref="J153"/>
    <hyperlink r:id="rId215" ref="J154"/>
    <hyperlink r:id="rId216" ref="H155"/>
    <hyperlink r:id="rId217" ref="I155"/>
    <hyperlink r:id="rId218" ref="J155"/>
    <hyperlink r:id="rId219" ref="J156"/>
    <hyperlink r:id="rId220" ref="H157"/>
    <hyperlink r:id="rId221" ref="H158"/>
    <hyperlink r:id="rId222" ref="I158"/>
    <hyperlink r:id="rId223" ref="H159"/>
    <hyperlink r:id="rId224" ref="I159"/>
    <hyperlink r:id="rId225" ref="H160"/>
    <hyperlink r:id="rId226" ref="I160"/>
    <hyperlink r:id="rId227" ref="H161"/>
    <hyperlink r:id="rId228" ref="I161"/>
    <hyperlink r:id="rId229" ref="H162"/>
    <hyperlink r:id="rId230" ref="H163"/>
    <hyperlink r:id="rId231" ref="I163"/>
    <hyperlink r:id="rId232" ref="H164"/>
    <hyperlink r:id="rId233" ref="H165"/>
    <hyperlink r:id="rId234" ref="H166"/>
    <hyperlink r:id="rId235" ref="H167"/>
    <hyperlink r:id="rId236" ref="I167"/>
    <hyperlink r:id="rId237" ref="H168"/>
    <hyperlink r:id="rId238" ref="H169"/>
    <hyperlink r:id="rId239" ref="H170"/>
    <hyperlink r:id="rId240" ref="H171"/>
    <hyperlink r:id="rId241" ref="I171"/>
    <hyperlink r:id="rId242" ref="H172"/>
    <hyperlink r:id="rId243" ref="H173"/>
    <hyperlink r:id="rId244" ref="H174"/>
    <hyperlink r:id="rId245" ref="I174"/>
    <hyperlink r:id="rId246" ref="H175"/>
    <hyperlink r:id="rId247" ref="I175"/>
    <hyperlink r:id="rId248" ref="H176"/>
    <hyperlink r:id="rId249" ref="I176"/>
    <hyperlink r:id="rId250" ref="J176"/>
    <hyperlink r:id="rId251" ref="H177"/>
    <hyperlink r:id="rId252" ref="I177"/>
    <hyperlink r:id="rId253" ref="H178"/>
    <hyperlink r:id="rId254" ref="H179"/>
    <hyperlink r:id="rId255" ref="H180"/>
    <hyperlink r:id="rId256" ref="H181"/>
    <hyperlink r:id="rId257" ref="I181"/>
    <hyperlink r:id="rId258" ref="H182"/>
    <hyperlink r:id="rId259" ref="I182"/>
    <hyperlink r:id="rId260" ref="H183"/>
    <hyperlink r:id="rId261" ref="I183"/>
    <hyperlink r:id="rId262" ref="J183"/>
    <hyperlink r:id="rId263" ref="H184"/>
    <hyperlink r:id="rId264" ref="J184"/>
    <hyperlink r:id="rId265" ref="I185"/>
    <hyperlink r:id="rId266" ref="H186"/>
    <hyperlink r:id="rId267" ref="I186"/>
    <hyperlink r:id="rId268" ref="H187"/>
    <hyperlink r:id="rId269" ref="J187"/>
    <hyperlink r:id="rId270" ref="H188"/>
    <hyperlink r:id="rId271" ref="J188"/>
    <hyperlink r:id="rId272" ref="H189"/>
    <hyperlink r:id="rId273" ref="I189"/>
    <hyperlink r:id="rId274" ref="H190"/>
    <hyperlink r:id="rId275" ref="H191"/>
    <hyperlink r:id="rId276" ref="H192"/>
    <hyperlink r:id="rId277" ref="H193"/>
    <hyperlink r:id="rId278" ref="I193"/>
    <hyperlink r:id="rId279" ref="H194"/>
    <hyperlink r:id="rId280" ref="I194"/>
    <hyperlink r:id="rId281" ref="H195"/>
    <hyperlink r:id="rId282" ref="H196"/>
    <hyperlink r:id="rId283" ref="J196"/>
    <hyperlink r:id="rId284" ref="H197"/>
    <hyperlink r:id="rId285" ref="H198"/>
    <hyperlink r:id="rId286" ref="I198"/>
    <hyperlink r:id="rId287" ref="H199"/>
    <hyperlink r:id="rId288" ref="H200"/>
    <hyperlink r:id="rId289" ref="H201"/>
    <hyperlink r:id="rId290" ref="I201"/>
    <hyperlink r:id="rId291" ref="J201"/>
    <hyperlink r:id="rId292" ref="H202"/>
    <hyperlink r:id="rId293" ref="I202"/>
    <hyperlink r:id="rId294" ref="J202"/>
    <hyperlink r:id="rId295" ref="H203"/>
  </hyperlinks>
  <drawing r:id="rId29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6.13"/>
    <col customWidth="1" min="3" max="3" width="20.63"/>
    <col customWidth="1" min="4" max="4" width="5.0"/>
    <col customWidth="1" min="5" max="5" width="8.0"/>
    <col customWidth="1" min="6" max="6" width="10.63"/>
    <col customWidth="1" min="7" max="7" width="3.0"/>
    <col customWidth="1" min="8" max="8" width="48.5"/>
    <col customWidth="1" min="9" max="9" width="32.38"/>
    <col customWidth="1" min="10" max="10" width="37.75"/>
    <col customWidth="1" min="11" max="11" width="4.88"/>
    <col customWidth="1" min="12" max="12" width="4.5"/>
    <col customWidth="1" min="13" max="13" width="17.75"/>
    <col customWidth="1" min="14" max="14" width="7.25"/>
    <col customWidth="1" min="15" max="15" width="4.38"/>
    <col customWidth="1" min="16" max="16" width="4.5"/>
    <col customWidth="1" min="17" max="17" width="4.13"/>
    <col customWidth="1" min="18" max="18" width="5.13"/>
    <col customWidth="1" min="19" max="19" width="4.25"/>
    <col customWidth="1" min="20" max="20" width="4.5"/>
  </cols>
  <sheetData>
    <row r="1">
      <c r="A1" s="4" t="s">
        <v>19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3567</v>
      </c>
      <c r="K1" s="4" t="s">
        <v>10</v>
      </c>
      <c r="L1" s="4" t="s">
        <v>3568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>
      <c r="A2" s="74">
        <v>16036.0</v>
      </c>
      <c r="B2" s="28" t="s">
        <v>20</v>
      </c>
      <c r="C2" s="28" t="s">
        <v>4019</v>
      </c>
      <c r="D2" s="28" t="s">
        <v>4020</v>
      </c>
      <c r="E2" s="28" t="s">
        <v>4021</v>
      </c>
      <c r="F2" s="28"/>
      <c r="G2" s="28"/>
      <c r="H2" s="29" t="s">
        <v>4022</v>
      </c>
      <c r="I2" s="29" t="s">
        <v>4023</v>
      </c>
      <c r="J2" s="29" t="s">
        <v>4024</v>
      </c>
      <c r="K2" s="27"/>
      <c r="L2" s="27"/>
      <c r="M2" s="27"/>
      <c r="N2" s="27"/>
      <c r="O2" s="27"/>
      <c r="P2" s="27"/>
      <c r="Q2" s="27"/>
      <c r="R2" s="27"/>
      <c r="S2" s="27"/>
      <c r="T2" s="27"/>
    </row>
    <row r="3">
      <c r="A3" s="32">
        <v>16038.0</v>
      </c>
      <c r="B3" s="28" t="s">
        <v>20</v>
      </c>
      <c r="C3" s="28" t="s">
        <v>4025</v>
      </c>
      <c r="D3" s="28" t="s">
        <v>4020</v>
      </c>
      <c r="E3" s="28" t="s">
        <v>4021</v>
      </c>
      <c r="F3" s="28"/>
      <c r="G3" s="28"/>
      <c r="H3" s="29" t="s">
        <v>4026</v>
      </c>
      <c r="I3" s="27"/>
      <c r="J3" s="27"/>
      <c r="K3" s="27"/>
      <c r="L3" s="77"/>
      <c r="M3" s="27"/>
      <c r="N3" s="27"/>
      <c r="O3" s="27"/>
      <c r="P3" s="27"/>
      <c r="Q3" s="27"/>
      <c r="R3" s="27"/>
      <c r="S3" s="27"/>
      <c r="T3" s="27"/>
    </row>
    <row r="4">
      <c r="A4" s="74">
        <v>16042.0</v>
      </c>
      <c r="B4" s="28" t="s">
        <v>20</v>
      </c>
      <c r="C4" s="28" t="s">
        <v>804</v>
      </c>
      <c r="D4" s="28" t="s">
        <v>4020</v>
      </c>
      <c r="E4" s="28" t="s">
        <v>4020</v>
      </c>
      <c r="F4" s="28"/>
      <c r="G4" s="28"/>
      <c r="H4" s="27"/>
      <c r="I4" s="27"/>
      <c r="J4" s="29" t="s">
        <v>4027</v>
      </c>
      <c r="K4" s="27"/>
      <c r="L4" s="27"/>
      <c r="M4" s="27"/>
      <c r="N4" s="27"/>
      <c r="O4" s="27"/>
      <c r="P4" s="27"/>
      <c r="Q4" s="27"/>
      <c r="R4" s="27"/>
      <c r="S4" s="27"/>
      <c r="T4" s="27"/>
    </row>
    <row r="5">
      <c r="A5" s="74">
        <v>16046.0</v>
      </c>
      <c r="B5" s="28" t="s">
        <v>20</v>
      </c>
      <c r="C5" s="28" t="s">
        <v>4028</v>
      </c>
      <c r="D5" s="28" t="s">
        <v>4020</v>
      </c>
      <c r="E5" s="28" t="s">
        <v>4020</v>
      </c>
      <c r="F5" s="28"/>
      <c r="G5" s="28"/>
      <c r="H5" s="27"/>
      <c r="I5" s="27"/>
      <c r="J5" s="29" t="s">
        <v>4029</v>
      </c>
      <c r="K5" s="27"/>
      <c r="L5" s="27"/>
      <c r="M5" s="27"/>
      <c r="N5" s="27"/>
      <c r="O5" s="27"/>
      <c r="P5" s="27"/>
      <c r="Q5" s="27"/>
      <c r="R5" s="27"/>
      <c r="S5" s="27"/>
      <c r="T5" s="27"/>
    </row>
    <row r="6">
      <c r="A6" s="74">
        <v>16059.0</v>
      </c>
      <c r="B6" s="28" t="s">
        <v>20</v>
      </c>
      <c r="C6" s="28" t="s">
        <v>4030</v>
      </c>
      <c r="D6" s="28" t="s">
        <v>4020</v>
      </c>
      <c r="E6" s="28" t="s">
        <v>4031</v>
      </c>
      <c r="F6" s="28"/>
      <c r="G6" s="28"/>
      <c r="H6" s="29" t="s">
        <v>4032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</row>
    <row r="7">
      <c r="A7" s="74">
        <v>16061.0</v>
      </c>
      <c r="B7" s="28" t="s">
        <v>102</v>
      </c>
      <c r="C7" s="28" t="s">
        <v>4033</v>
      </c>
      <c r="D7" s="28" t="s">
        <v>4020</v>
      </c>
      <c r="E7" s="28" t="s">
        <v>4020</v>
      </c>
      <c r="F7" s="28" t="s">
        <v>4034</v>
      </c>
      <c r="G7" s="28"/>
      <c r="H7" s="29" t="s">
        <v>4035</v>
      </c>
      <c r="I7" s="27"/>
      <c r="J7" s="29" t="s">
        <v>4036</v>
      </c>
      <c r="K7" s="27"/>
      <c r="L7" s="27"/>
      <c r="M7" s="27"/>
      <c r="N7" s="27"/>
      <c r="O7" s="27"/>
      <c r="P7" s="27"/>
      <c r="Q7" s="27"/>
      <c r="R7" s="27"/>
      <c r="S7" s="27"/>
      <c r="T7" s="27"/>
    </row>
    <row r="8">
      <c r="A8" s="74">
        <v>16070.0</v>
      </c>
      <c r="B8" s="28" t="s">
        <v>20</v>
      </c>
      <c r="C8" s="28" t="s">
        <v>4037</v>
      </c>
      <c r="D8" s="28" t="s">
        <v>4020</v>
      </c>
      <c r="E8" s="28" t="s">
        <v>4020</v>
      </c>
      <c r="F8" s="28"/>
      <c r="G8" s="28"/>
      <c r="H8" s="29" t="s">
        <v>4038</v>
      </c>
      <c r="I8" s="27"/>
      <c r="J8" s="29" t="s">
        <v>4039</v>
      </c>
      <c r="K8" s="27"/>
      <c r="L8" s="27"/>
      <c r="M8" s="27"/>
      <c r="N8" s="27"/>
      <c r="O8" s="27"/>
      <c r="P8" s="27"/>
      <c r="Q8" s="27"/>
      <c r="R8" s="27"/>
      <c r="S8" s="27"/>
      <c r="T8" s="27"/>
    </row>
    <row r="9">
      <c r="A9" s="32">
        <v>16071.0</v>
      </c>
      <c r="B9" s="28" t="s">
        <v>20</v>
      </c>
      <c r="C9" s="28" t="s">
        <v>4040</v>
      </c>
      <c r="D9" s="28" t="s">
        <v>4020</v>
      </c>
      <c r="E9" s="28" t="s">
        <v>4020</v>
      </c>
      <c r="F9" s="28"/>
      <c r="G9" s="28"/>
      <c r="H9" s="29" t="s">
        <v>4041</v>
      </c>
      <c r="I9" s="77"/>
      <c r="J9" s="77"/>
      <c r="K9" s="27"/>
      <c r="L9" s="27"/>
      <c r="M9" s="27"/>
      <c r="N9" s="27"/>
      <c r="O9" s="27"/>
      <c r="P9" s="27"/>
      <c r="Q9" s="27"/>
      <c r="R9" s="27"/>
      <c r="S9" s="27"/>
      <c r="T9" s="27"/>
    </row>
    <row r="10">
      <c r="A10" s="32">
        <v>16100.0</v>
      </c>
      <c r="B10" s="28" t="s">
        <v>20</v>
      </c>
      <c r="C10" s="28" t="s">
        <v>773</v>
      </c>
      <c r="D10" s="28" t="s">
        <v>4020</v>
      </c>
      <c r="E10" s="28" t="s">
        <v>4042</v>
      </c>
      <c r="F10" s="28"/>
      <c r="G10" s="28"/>
      <c r="H10" s="29" t="s">
        <v>4043</v>
      </c>
      <c r="I10" s="29" t="s">
        <v>4044</v>
      </c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</row>
    <row r="11">
      <c r="A11" s="74">
        <v>16101.0</v>
      </c>
      <c r="B11" s="28" t="s">
        <v>20</v>
      </c>
      <c r="C11" s="28" t="s">
        <v>4045</v>
      </c>
      <c r="D11" s="28" t="s">
        <v>4020</v>
      </c>
      <c r="E11" s="28" t="s">
        <v>4042</v>
      </c>
      <c r="F11" s="28"/>
      <c r="G11" s="28"/>
      <c r="H11" s="43" t="s">
        <v>4046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</row>
    <row r="12">
      <c r="A12" s="74">
        <v>16112.0</v>
      </c>
      <c r="B12" s="28" t="s">
        <v>20</v>
      </c>
      <c r="C12" s="28" t="s">
        <v>4047</v>
      </c>
      <c r="D12" s="28" t="s">
        <v>4020</v>
      </c>
      <c r="E12" s="28" t="s">
        <v>4042</v>
      </c>
      <c r="F12" s="28" t="s">
        <v>4048</v>
      </c>
      <c r="G12" s="28"/>
      <c r="H12" s="27"/>
      <c r="I12" s="27"/>
      <c r="J12" s="29" t="s">
        <v>4049</v>
      </c>
      <c r="K12" s="27"/>
      <c r="L12" s="27"/>
      <c r="M12" s="27"/>
      <c r="N12" s="27"/>
      <c r="O12" s="27"/>
      <c r="P12" s="27"/>
      <c r="Q12" s="27"/>
      <c r="R12" s="27"/>
      <c r="S12" s="27"/>
      <c r="T12" s="27"/>
    </row>
    <row r="13">
      <c r="A13" s="74">
        <v>16133.0</v>
      </c>
      <c r="B13" s="28" t="s">
        <v>20</v>
      </c>
      <c r="C13" s="28" t="s">
        <v>4050</v>
      </c>
      <c r="D13" s="28" t="s">
        <v>4020</v>
      </c>
      <c r="E13" s="28" t="s">
        <v>4051</v>
      </c>
      <c r="F13" s="28"/>
      <c r="G13" s="28"/>
      <c r="H13" s="29" t="s">
        <v>4052</v>
      </c>
      <c r="I13" s="29" t="s">
        <v>4053</v>
      </c>
      <c r="J13" s="29" t="s">
        <v>4054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</row>
    <row r="14">
      <c r="A14" s="32">
        <v>16143.0</v>
      </c>
      <c r="B14" s="28" t="s">
        <v>20</v>
      </c>
      <c r="C14" s="28" t="s">
        <v>4055</v>
      </c>
      <c r="D14" s="28" t="s">
        <v>4020</v>
      </c>
      <c r="E14" s="28" t="s">
        <v>4031</v>
      </c>
      <c r="F14" s="28"/>
      <c r="G14" s="28"/>
      <c r="H14" s="29" t="s">
        <v>4056</v>
      </c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</row>
    <row r="15">
      <c r="A15" s="74">
        <v>16168.0</v>
      </c>
      <c r="B15" s="28" t="s">
        <v>20</v>
      </c>
      <c r="C15" s="28" t="s">
        <v>4057</v>
      </c>
      <c r="D15" s="28" t="s">
        <v>4020</v>
      </c>
      <c r="E15" s="28" t="s">
        <v>4020</v>
      </c>
      <c r="F15" s="28"/>
      <c r="G15" s="28"/>
      <c r="H15" s="29" t="s">
        <v>4058</v>
      </c>
      <c r="I15" s="29" t="s">
        <v>4059</v>
      </c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</row>
    <row r="16">
      <c r="A16" s="74">
        <v>16170.0</v>
      </c>
      <c r="B16" s="28" t="s">
        <v>276</v>
      </c>
      <c r="C16" s="28" t="s">
        <v>4060</v>
      </c>
      <c r="D16" s="28" t="s">
        <v>4020</v>
      </c>
      <c r="E16" s="28" t="s">
        <v>4020</v>
      </c>
      <c r="F16" s="28"/>
      <c r="G16" s="28"/>
      <c r="H16" s="29" t="s">
        <v>4061</v>
      </c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</row>
    <row r="17">
      <c r="A17" s="32">
        <v>16172.0</v>
      </c>
      <c r="B17" s="28" t="s">
        <v>20</v>
      </c>
      <c r="C17" s="28" t="s">
        <v>4062</v>
      </c>
      <c r="D17" s="28" t="s">
        <v>4020</v>
      </c>
      <c r="E17" s="28" t="s">
        <v>4020</v>
      </c>
      <c r="F17" s="28"/>
      <c r="G17" s="28"/>
      <c r="H17" s="29" t="s">
        <v>4063</v>
      </c>
      <c r="I17" s="29" t="s">
        <v>4064</v>
      </c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</row>
    <row r="18">
      <c r="A18" s="74">
        <v>16173.0</v>
      </c>
      <c r="B18" s="28" t="s">
        <v>20</v>
      </c>
      <c r="C18" s="28" t="s">
        <v>4065</v>
      </c>
      <c r="D18" s="28" t="s">
        <v>4020</v>
      </c>
      <c r="E18" s="28" t="s">
        <v>4020</v>
      </c>
      <c r="F18" s="28" t="s">
        <v>4066</v>
      </c>
      <c r="G18" s="28"/>
      <c r="H18" s="29" t="s">
        <v>4067</v>
      </c>
      <c r="I18" s="27"/>
      <c r="J18" s="29" t="s">
        <v>4068</v>
      </c>
      <c r="K18" s="27"/>
      <c r="L18" s="27"/>
      <c r="M18" s="27"/>
      <c r="N18" s="27"/>
      <c r="O18" s="27"/>
      <c r="P18" s="27"/>
      <c r="Q18" s="27"/>
      <c r="R18" s="27"/>
      <c r="S18" s="27"/>
      <c r="T18" s="27"/>
    </row>
    <row r="19">
      <c r="A19" s="32">
        <v>16173.0</v>
      </c>
      <c r="B19" s="28" t="s">
        <v>20</v>
      </c>
      <c r="C19" s="28" t="s">
        <v>4069</v>
      </c>
      <c r="D19" s="28" t="s">
        <v>4020</v>
      </c>
      <c r="E19" s="28" t="s">
        <v>4020</v>
      </c>
      <c r="F19" s="28" t="s">
        <v>2552</v>
      </c>
      <c r="G19" s="28"/>
      <c r="H19" s="29" t="s">
        <v>4070</v>
      </c>
      <c r="I19" s="29" t="s">
        <v>4071</v>
      </c>
      <c r="J19" s="29" t="s">
        <v>4068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</row>
    <row r="20">
      <c r="A20" s="74">
        <v>16174.0</v>
      </c>
      <c r="B20" s="28" t="s">
        <v>20</v>
      </c>
      <c r="C20" s="28" t="s">
        <v>4072</v>
      </c>
      <c r="D20" s="28" t="s">
        <v>4020</v>
      </c>
      <c r="E20" s="28" t="s">
        <v>4020</v>
      </c>
      <c r="F20" s="28"/>
      <c r="G20" s="28"/>
      <c r="H20" s="29" t="s">
        <v>4073</v>
      </c>
      <c r="I20" s="29" t="s">
        <v>4074</v>
      </c>
      <c r="J20" s="89" t="s">
        <v>4075</v>
      </c>
      <c r="K20" s="27"/>
      <c r="L20" s="27"/>
      <c r="M20" s="27"/>
      <c r="N20" s="27"/>
      <c r="O20" s="27"/>
      <c r="P20" s="27"/>
      <c r="Q20" s="27"/>
      <c r="R20" s="27"/>
      <c r="S20" s="27"/>
      <c r="T20" s="27"/>
    </row>
    <row r="21">
      <c r="A21" s="74">
        <v>16175.0</v>
      </c>
      <c r="B21" s="28" t="s">
        <v>20</v>
      </c>
      <c r="C21" s="28" t="s">
        <v>855</v>
      </c>
      <c r="D21" s="28" t="s">
        <v>4020</v>
      </c>
      <c r="E21" s="28" t="s">
        <v>4020</v>
      </c>
      <c r="F21" s="28" t="s">
        <v>4076</v>
      </c>
      <c r="G21" s="28"/>
      <c r="H21" s="43" t="s">
        <v>4077</v>
      </c>
      <c r="I21" s="27"/>
      <c r="J21" s="87" t="s">
        <v>4078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</row>
    <row r="22">
      <c r="A22" s="74">
        <v>16176.0</v>
      </c>
      <c r="B22" s="28" t="s">
        <v>20</v>
      </c>
      <c r="C22" s="28" t="s">
        <v>4079</v>
      </c>
      <c r="D22" s="28" t="s">
        <v>4020</v>
      </c>
      <c r="E22" s="28" t="s">
        <v>4020</v>
      </c>
      <c r="F22" s="28"/>
      <c r="G22" s="28"/>
      <c r="H22" s="29" t="s">
        <v>4080</v>
      </c>
      <c r="I22" s="29" t="s">
        <v>4081</v>
      </c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</row>
    <row r="23">
      <c r="A23" s="74">
        <v>16186.0</v>
      </c>
      <c r="B23" s="28" t="s">
        <v>20</v>
      </c>
      <c r="C23" s="28" t="s">
        <v>4082</v>
      </c>
      <c r="D23" s="28" t="s">
        <v>4020</v>
      </c>
      <c r="E23" s="28" t="s">
        <v>4020</v>
      </c>
      <c r="F23" s="28"/>
      <c r="G23" s="28"/>
      <c r="H23" s="27"/>
      <c r="I23" s="27"/>
      <c r="J23" s="29" t="s">
        <v>4083</v>
      </c>
      <c r="K23" s="27"/>
      <c r="L23" s="27"/>
      <c r="M23" s="27"/>
      <c r="N23" s="27"/>
      <c r="O23" s="27"/>
      <c r="P23" s="27"/>
      <c r="Q23" s="27"/>
      <c r="R23" s="27"/>
      <c r="S23" s="27"/>
      <c r="T23" s="27"/>
    </row>
    <row r="24">
      <c r="A24" s="74">
        <v>16188.0</v>
      </c>
      <c r="B24" s="28" t="s">
        <v>20</v>
      </c>
      <c r="C24" s="28" t="s">
        <v>4084</v>
      </c>
      <c r="D24" s="28" t="s">
        <v>4020</v>
      </c>
      <c r="E24" s="28" t="s">
        <v>4020</v>
      </c>
      <c r="F24" s="28"/>
      <c r="G24" s="28"/>
      <c r="H24" s="43" t="s">
        <v>4085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</row>
    <row r="25">
      <c r="A25" s="32">
        <v>16201.0</v>
      </c>
      <c r="B25" s="28" t="s">
        <v>20</v>
      </c>
      <c r="C25" s="28" t="s">
        <v>4086</v>
      </c>
      <c r="D25" s="28" t="s">
        <v>4020</v>
      </c>
      <c r="E25" s="28" t="s">
        <v>4020</v>
      </c>
      <c r="F25" s="28"/>
      <c r="G25" s="28"/>
      <c r="H25" s="29" t="s">
        <v>4087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</row>
    <row r="26">
      <c r="A26" s="74">
        <v>16202.0</v>
      </c>
      <c r="B26" s="28" t="s">
        <v>20</v>
      </c>
      <c r="C26" s="28" t="s">
        <v>4088</v>
      </c>
      <c r="D26" s="28" t="s">
        <v>4020</v>
      </c>
      <c r="E26" s="28" t="s">
        <v>4020</v>
      </c>
      <c r="F26" s="28"/>
      <c r="G26" s="28"/>
      <c r="H26" s="29" t="s">
        <v>4089</v>
      </c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</row>
    <row r="27">
      <c r="A27" s="74">
        <v>16203.0</v>
      </c>
      <c r="B27" s="28" t="s">
        <v>20</v>
      </c>
      <c r="C27" s="28" t="s">
        <v>4090</v>
      </c>
      <c r="D27" s="28" t="s">
        <v>4020</v>
      </c>
      <c r="E27" s="28" t="s">
        <v>4020</v>
      </c>
      <c r="F27" s="28"/>
      <c r="G27" s="28"/>
      <c r="H27" s="43" t="s">
        <v>4091</v>
      </c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</row>
    <row r="28">
      <c r="A28" s="74">
        <v>16210.0</v>
      </c>
      <c r="B28" s="28" t="s">
        <v>20</v>
      </c>
      <c r="C28" s="28" t="s">
        <v>4092</v>
      </c>
      <c r="D28" s="28" t="s">
        <v>4020</v>
      </c>
      <c r="E28" s="28" t="s">
        <v>4020</v>
      </c>
      <c r="F28" s="28"/>
      <c r="G28" s="28"/>
      <c r="H28" s="29" t="s">
        <v>4093</v>
      </c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</row>
    <row r="29">
      <c r="A29" s="32">
        <v>16213.0</v>
      </c>
      <c r="B29" s="28" t="s">
        <v>20</v>
      </c>
      <c r="C29" s="28" t="s">
        <v>4094</v>
      </c>
      <c r="D29" s="28" t="s">
        <v>4020</v>
      </c>
      <c r="E29" s="28" t="s">
        <v>4020</v>
      </c>
      <c r="F29" s="28"/>
      <c r="G29" s="28"/>
      <c r="H29" s="27"/>
      <c r="I29" s="27"/>
      <c r="J29" s="29" t="s">
        <v>4095</v>
      </c>
      <c r="K29" s="27"/>
      <c r="L29" s="27"/>
      <c r="M29" s="27"/>
      <c r="N29" s="27"/>
      <c r="O29" s="27"/>
      <c r="P29" s="27"/>
      <c r="Q29" s="27"/>
      <c r="R29" s="27"/>
      <c r="S29" s="27"/>
      <c r="T29" s="27"/>
    </row>
    <row r="30">
      <c r="A30" s="74">
        <v>16215.0</v>
      </c>
      <c r="B30" s="28" t="s">
        <v>20</v>
      </c>
      <c r="C30" s="28" t="s">
        <v>4096</v>
      </c>
      <c r="D30" s="28" t="s">
        <v>4020</v>
      </c>
      <c r="E30" s="28" t="s">
        <v>4020</v>
      </c>
      <c r="F30" s="28" t="s">
        <v>4097</v>
      </c>
      <c r="G30" s="28"/>
      <c r="H30" s="27"/>
      <c r="I30" s="27"/>
      <c r="J30" s="29" t="s">
        <v>4098</v>
      </c>
      <c r="K30" s="27"/>
      <c r="L30" s="27"/>
      <c r="M30" s="27"/>
      <c r="N30" s="27"/>
      <c r="O30" s="27"/>
      <c r="P30" s="27"/>
      <c r="Q30" s="27"/>
      <c r="R30" s="27"/>
      <c r="S30" s="27"/>
      <c r="T30" s="27"/>
    </row>
    <row r="31">
      <c r="A31" s="74">
        <v>16217.0</v>
      </c>
      <c r="B31" s="28" t="s">
        <v>20</v>
      </c>
      <c r="C31" s="28" t="s">
        <v>74</v>
      </c>
      <c r="D31" s="28" t="s">
        <v>4020</v>
      </c>
      <c r="E31" s="28" t="s">
        <v>4031</v>
      </c>
      <c r="F31" s="28"/>
      <c r="G31" s="28"/>
      <c r="H31" s="43" t="s">
        <v>4099</v>
      </c>
      <c r="I31" s="27"/>
      <c r="J31" s="29" t="s">
        <v>4100</v>
      </c>
      <c r="K31" s="27"/>
      <c r="L31" s="27"/>
      <c r="M31" s="27"/>
      <c r="N31" s="27"/>
      <c r="O31" s="27"/>
      <c r="P31" s="27"/>
      <c r="Q31" s="27"/>
      <c r="R31" s="27"/>
      <c r="S31" s="27"/>
      <c r="T31" s="27"/>
    </row>
    <row r="32">
      <c r="A32" s="74">
        <v>16222.0</v>
      </c>
      <c r="B32" s="28" t="s">
        <v>102</v>
      </c>
      <c r="C32" s="28" t="s">
        <v>4101</v>
      </c>
      <c r="D32" s="28" t="s">
        <v>4020</v>
      </c>
      <c r="E32" s="28" t="s">
        <v>4020</v>
      </c>
      <c r="F32" s="28"/>
      <c r="G32" s="28"/>
      <c r="H32" s="27"/>
      <c r="I32" s="27"/>
      <c r="J32" s="29" t="s">
        <v>4102</v>
      </c>
      <c r="K32" s="27"/>
      <c r="L32" s="27"/>
      <c r="M32" s="27"/>
      <c r="N32" s="27"/>
      <c r="O32" s="27"/>
      <c r="P32" s="27"/>
      <c r="Q32" s="27"/>
      <c r="R32" s="27"/>
      <c r="S32" s="27"/>
      <c r="T32" s="27"/>
    </row>
    <row r="33">
      <c r="A33" s="74">
        <v>16225.0</v>
      </c>
      <c r="B33" s="28" t="s">
        <v>20</v>
      </c>
      <c r="C33" s="28" t="s">
        <v>4103</v>
      </c>
      <c r="D33" s="28" t="s">
        <v>4020</v>
      </c>
      <c r="E33" s="28" t="s">
        <v>4020</v>
      </c>
      <c r="F33" s="28"/>
      <c r="G33" s="28"/>
      <c r="H33" s="29" t="s">
        <v>4104</v>
      </c>
      <c r="I33" s="27"/>
      <c r="J33" s="29" t="s">
        <v>4105</v>
      </c>
      <c r="K33" s="27"/>
      <c r="L33" s="27"/>
      <c r="M33" s="27"/>
      <c r="N33" s="27"/>
      <c r="O33" s="27"/>
      <c r="P33" s="27"/>
      <c r="Q33" s="27"/>
      <c r="R33" s="27"/>
      <c r="S33" s="27"/>
      <c r="T33" s="27"/>
    </row>
    <row r="34">
      <c r="A34" s="74">
        <v>16249.0</v>
      </c>
      <c r="B34" s="28" t="s">
        <v>20</v>
      </c>
      <c r="C34" s="28" t="s">
        <v>4106</v>
      </c>
      <c r="D34" s="28" t="s">
        <v>4020</v>
      </c>
      <c r="E34" s="28" t="s">
        <v>4020</v>
      </c>
      <c r="F34" s="28"/>
      <c r="G34" s="28"/>
      <c r="H34" s="27"/>
      <c r="I34" s="27"/>
      <c r="J34" s="29" t="s">
        <v>4107</v>
      </c>
      <c r="K34" s="27"/>
      <c r="L34" s="27"/>
      <c r="M34" s="27"/>
      <c r="N34" s="27"/>
      <c r="O34" s="27"/>
      <c r="P34" s="27"/>
      <c r="Q34" s="27"/>
      <c r="R34" s="27"/>
      <c r="S34" s="27"/>
      <c r="T34" s="27"/>
    </row>
    <row r="35">
      <c r="A35" s="74">
        <v>16279.0</v>
      </c>
      <c r="B35" s="28" t="s">
        <v>20</v>
      </c>
      <c r="C35" s="28" t="s">
        <v>680</v>
      </c>
      <c r="D35" s="28" t="s">
        <v>4020</v>
      </c>
      <c r="E35" s="28" t="s">
        <v>4020</v>
      </c>
      <c r="F35" s="28"/>
      <c r="G35" s="28"/>
      <c r="H35" s="29" t="s">
        <v>4108</v>
      </c>
      <c r="I35" s="29" t="s">
        <v>4109</v>
      </c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</row>
    <row r="36">
      <c r="A36" s="32">
        <v>16286.0</v>
      </c>
      <c r="B36" s="28" t="s">
        <v>20</v>
      </c>
      <c r="C36" s="28" t="s">
        <v>4110</v>
      </c>
      <c r="D36" s="28" t="s">
        <v>4020</v>
      </c>
      <c r="E36" s="28" t="s">
        <v>4020</v>
      </c>
      <c r="F36" s="28"/>
      <c r="G36" s="28"/>
      <c r="H36" s="29" t="s">
        <v>4111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</row>
    <row r="37">
      <c r="A37" s="74">
        <v>16290.0</v>
      </c>
      <c r="B37" s="28" t="s">
        <v>20</v>
      </c>
      <c r="C37" s="28" t="s">
        <v>4112</v>
      </c>
      <c r="D37" s="28" t="s">
        <v>4020</v>
      </c>
      <c r="E37" s="28" t="s">
        <v>4020</v>
      </c>
      <c r="F37" s="28"/>
      <c r="G37" s="28"/>
      <c r="H37" s="27"/>
      <c r="I37" s="27"/>
      <c r="J37" s="29" t="s">
        <v>4113</v>
      </c>
      <c r="K37" s="27"/>
      <c r="L37" s="27"/>
      <c r="M37" s="27"/>
      <c r="N37" s="27"/>
      <c r="O37" s="27"/>
      <c r="P37" s="27"/>
      <c r="Q37" s="27"/>
      <c r="R37" s="27"/>
      <c r="S37" s="27"/>
      <c r="T37" s="27"/>
    </row>
    <row r="38">
      <c r="A38" s="74">
        <v>16296.0</v>
      </c>
      <c r="B38" s="28" t="s">
        <v>20</v>
      </c>
      <c r="C38" s="28" t="s">
        <v>4114</v>
      </c>
      <c r="D38" s="28" t="s">
        <v>4020</v>
      </c>
      <c r="E38" s="28" t="s">
        <v>4020</v>
      </c>
      <c r="F38" s="28"/>
      <c r="G38" s="28"/>
      <c r="H38" s="29" t="s">
        <v>4115</v>
      </c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</row>
    <row r="39">
      <c r="A39" s="74">
        <v>16325.0</v>
      </c>
      <c r="B39" s="28" t="s">
        <v>720</v>
      </c>
      <c r="C39" s="28" t="s">
        <v>1420</v>
      </c>
      <c r="D39" s="28" t="s">
        <v>4020</v>
      </c>
      <c r="E39" s="28" t="s">
        <v>4020</v>
      </c>
      <c r="F39" s="28"/>
      <c r="G39" s="28"/>
      <c r="H39" s="27"/>
      <c r="I39" s="27"/>
      <c r="J39" s="29" t="s">
        <v>4116</v>
      </c>
      <c r="K39" s="27"/>
      <c r="L39" s="27"/>
      <c r="M39" s="27"/>
      <c r="N39" s="27"/>
      <c r="O39" s="27"/>
      <c r="P39" s="27"/>
      <c r="Q39" s="27"/>
      <c r="R39" s="27"/>
      <c r="S39" s="27"/>
      <c r="T39" s="27"/>
    </row>
    <row r="40">
      <c r="A40" s="74">
        <v>16333.0</v>
      </c>
      <c r="B40" s="28" t="s">
        <v>20</v>
      </c>
      <c r="C40" s="28" t="s">
        <v>4117</v>
      </c>
      <c r="D40" s="28" t="s">
        <v>4020</v>
      </c>
      <c r="E40" s="28" t="s">
        <v>4020</v>
      </c>
      <c r="F40" s="28"/>
      <c r="G40" s="74">
        <v>1.0</v>
      </c>
      <c r="H40" s="29" t="s">
        <v>4118</v>
      </c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</row>
    <row r="41">
      <c r="A41" s="32">
        <v>16374.0</v>
      </c>
      <c r="B41" s="28" t="s">
        <v>20</v>
      </c>
      <c r="C41" s="28" t="s">
        <v>4119</v>
      </c>
      <c r="D41" s="28" t="s">
        <v>4020</v>
      </c>
      <c r="E41" s="28" t="s">
        <v>4021</v>
      </c>
      <c r="F41" s="28"/>
      <c r="G41" s="28"/>
      <c r="H41" s="29" t="s">
        <v>4120</v>
      </c>
      <c r="I41" s="27"/>
      <c r="J41" s="90"/>
      <c r="K41" s="27"/>
      <c r="L41" s="27"/>
      <c r="M41" s="27"/>
      <c r="N41" s="27"/>
      <c r="O41" s="27"/>
      <c r="P41" s="27"/>
      <c r="Q41" s="27"/>
      <c r="R41" s="27"/>
      <c r="S41" s="27"/>
      <c r="T41" s="27"/>
    </row>
    <row r="42">
      <c r="A42" s="32">
        <v>16385.0</v>
      </c>
      <c r="B42" s="28" t="s">
        <v>20</v>
      </c>
      <c r="C42" s="28" t="s">
        <v>4121</v>
      </c>
      <c r="D42" s="28" t="s">
        <v>4020</v>
      </c>
      <c r="E42" s="28" t="s">
        <v>4122</v>
      </c>
      <c r="F42" s="28"/>
      <c r="G42" s="28"/>
      <c r="H42" s="29" t="s">
        <v>4123</v>
      </c>
      <c r="I42" s="77"/>
      <c r="J42" s="91"/>
      <c r="K42" s="27"/>
      <c r="L42" s="27"/>
      <c r="M42" s="29" t="s">
        <v>4124</v>
      </c>
      <c r="N42" s="27"/>
      <c r="O42" s="27"/>
      <c r="P42" s="27"/>
      <c r="Q42" s="27"/>
      <c r="R42" s="27"/>
      <c r="S42" s="27"/>
      <c r="T42" s="27"/>
    </row>
    <row r="43">
      <c r="A43" s="32">
        <v>16387.0</v>
      </c>
      <c r="B43" s="28" t="s">
        <v>20</v>
      </c>
      <c r="C43" s="28" t="s">
        <v>4125</v>
      </c>
      <c r="D43" s="28" t="s">
        <v>4020</v>
      </c>
      <c r="E43" s="28" t="s">
        <v>4122</v>
      </c>
      <c r="F43" s="28"/>
      <c r="G43" s="28"/>
      <c r="H43" s="29" t="s">
        <v>4126</v>
      </c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</row>
    <row r="44">
      <c r="A44" s="32">
        <v>16403.0</v>
      </c>
      <c r="B44" s="28" t="s">
        <v>20</v>
      </c>
      <c r="C44" s="28" t="s">
        <v>2267</v>
      </c>
      <c r="D44" s="28" t="s">
        <v>4020</v>
      </c>
      <c r="E44" s="28" t="s">
        <v>4127</v>
      </c>
      <c r="F44" s="28"/>
      <c r="G44" s="28"/>
      <c r="H44" s="29" t="s">
        <v>4128</v>
      </c>
      <c r="I44" s="29" t="s">
        <v>4129</v>
      </c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</row>
    <row r="45">
      <c r="A45" s="32">
        <v>16416.0</v>
      </c>
      <c r="B45" s="28" t="s">
        <v>20</v>
      </c>
      <c r="C45" s="28" t="s">
        <v>4130</v>
      </c>
      <c r="D45" s="28" t="s">
        <v>4020</v>
      </c>
      <c r="E45" s="28" t="s">
        <v>4042</v>
      </c>
      <c r="F45" s="28"/>
      <c r="G45" s="28"/>
      <c r="H45" s="29" t="s">
        <v>4131</v>
      </c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</row>
    <row r="46">
      <c r="A46" s="74">
        <v>16417.0</v>
      </c>
      <c r="B46" s="28" t="s">
        <v>20</v>
      </c>
      <c r="C46" s="28" t="s">
        <v>2604</v>
      </c>
      <c r="D46" s="28" t="s">
        <v>4020</v>
      </c>
      <c r="E46" s="28" t="s">
        <v>4132</v>
      </c>
      <c r="F46" s="28"/>
      <c r="G46" s="28"/>
      <c r="H46" s="27"/>
      <c r="I46" s="27"/>
      <c r="J46" s="29" t="s">
        <v>4133</v>
      </c>
      <c r="K46" s="27"/>
      <c r="L46" s="27"/>
      <c r="M46" s="27"/>
      <c r="N46" s="27"/>
      <c r="O46" s="27"/>
      <c r="P46" s="27"/>
      <c r="Q46" s="27"/>
      <c r="R46" s="27"/>
      <c r="S46" s="27"/>
      <c r="T46" s="27"/>
    </row>
    <row r="47">
      <c r="A47" s="32">
        <v>16468.0</v>
      </c>
      <c r="B47" s="28" t="s">
        <v>20</v>
      </c>
      <c r="C47" s="28" t="s">
        <v>4134</v>
      </c>
      <c r="D47" s="28" t="s">
        <v>4020</v>
      </c>
      <c r="E47" s="28" t="s">
        <v>4042</v>
      </c>
      <c r="F47" s="28"/>
      <c r="G47" s="28"/>
      <c r="H47" s="29" t="s">
        <v>4135</v>
      </c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</row>
    <row r="48">
      <c r="A48" s="74">
        <v>16481.0</v>
      </c>
      <c r="B48" s="28" t="s">
        <v>20</v>
      </c>
      <c r="C48" s="28" t="s">
        <v>3612</v>
      </c>
      <c r="D48" s="28" t="s">
        <v>4020</v>
      </c>
      <c r="E48" s="28" t="s">
        <v>4042</v>
      </c>
      <c r="F48" s="28"/>
      <c r="G48" s="28"/>
      <c r="H48" s="29" t="s">
        <v>4136</v>
      </c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</row>
    <row r="49">
      <c r="A49" s="74">
        <v>16507.0</v>
      </c>
      <c r="B49" s="28" t="s">
        <v>20</v>
      </c>
      <c r="C49" s="28" t="s">
        <v>4137</v>
      </c>
      <c r="D49" s="28" t="s">
        <v>4020</v>
      </c>
      <c r="E49" s="28" t="s">
        <v>4042</v>
      </c>
      <c r="F49" s="28"/>
      <c r="G49" s="28"/>
      <c r="H49" s="29" t="s">
        <v>4138</v>
      </c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</row>
    <row r="50">
      <c r="A50" s="74">
        <v>16513.0</v>
      </c>
      <c r="B50" s="28" t="s">
        <v>20</v>
      </c>
      <c r="C50" s="28" t="s">
        <v>4139</v>
      </c>
      <c r="D50" s="28" t="s">
        <v>4020</v>
      </c>
      <c r="E50" s="28" t="s">
        <v>4031</v>
      </c>
      <c r="F50" s="28"/>
      <c r="G50" s="28"/>
      <c r="H50" s="29" t="s">
        <v>4140</v>
      </c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</row>
    <row r="51">
      <c r="A51" s="32">
        <v>16514.0</v>
      </c>
      <c r="B51" s="28" t="s">
        <v>20</v>
      </c>
      <c r="C51" s="28" t="s">
        <v>855</v>
      </c>
      <c r="D51" s="28" t="s">
        <v>4020</v>
      </c>
      <c r="E51" s="28" t="s">
        <v>4031</v>
      </c>
      <c r="F51" s="28"/>
      <c r="G51" s="28"/>
      <c r="H51" s="29" t="s">
        <v>4141</v>
      </c>
      <c r="I51" s="77"/>
      <c r="J51" s="29" t="s">
        <v>4142</v>
      </c>
      <c r="K51" s="27"/>
      <c r="L51" s="27"/>
      <c r="M51" s="27"/>
      <c r="N51" s="27"/>
      <c r="O51" s="27"/>
      <c r="P51" s="27"/>
      <c r="Q51" s="27"/>
      <c r="R51" s="27"/>
      <c r="S51" s="27"/>
      <c r="T51" s="27"/>
    </row>
    <row r="52">
      <c r="A52" s="32">
        <v>16525.0</v>
      </c>
      <c r="B52" s="28" t="s">
        <v>20</v>
      </c>
      <c r="C52" s="28" t="s">
        <v>749</v>
      </c>
      <c r="D52" s="28" t="s">
        <v>4020</v>
      </c>
      <c r="E52" s="28" t="s">
        <v>4031</v>
      </c>
      <c r="F52" s="28"/>
      <c r="G52" s="28"/>
      <c r="H52" s="29" t="s">
        <v>4143</v>
      </c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</row>
    <row r="53">
      <c r="A53" s="74">
        <v>16547.0</v>
      </c>
      <c r="B53" s="28" t="s">
        <v>20</v>
      </c>
      <c r="C53" s="28" t="s">
        <v>1280</v>
      </c>
      <c r="D53" s="28" t="s">
        <v>4020</v>
      </c>
      <c r="E53" s="28" t="s">
        <v>4020</v>
      </c>
      <c r="F53" s="28"/>
      <c r="G53" s="28"/>
      <c r="H53" s="27"/>
      <c r="I53" s="27"/>
      <c r="J53" s="29" t="s">
        <v>4144</v>
      </c>
      <c r="K53" s="27"/>
      <c r="L53" s="27"/>
      <c r="M53" s="27"/>
      <c r="N53" s="27"/>
      <c r="O53" s="27"/>
      <c r="P53" s="27"/>
      <c r="Q53" s="27"/>
      <c r="R53" s="27"/>
      <c r="S53" s="27"/>
      <c r="T53" s="27"/>
    </row>
    <row r="54">
      <c r="A54" s="74">
        <v>16551.0</v>
      </c>
      <c r="B54" s="28" t="s">
        <v>20</v>
      </c>
      <c r="C54" s="28" t="s">
        <v>4145</v>
      </c>
      <c r="D54" s="28" t="s">
        <v>4020</v>
      </c>
      <c r="E54" s="28" t="s">
        <v>4020</v>
      </c>
      <c r="F54" s="28"/>
      <c r="G54" s="28"/>
      <c r="H54" s="29" t="s">
        <v>4146</v>
      </c>
      <c r="I54" s="29" t="s">
        <v>4147</v>
      </c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</row>
    <row r="55">
      <c r="A55" s="74">
        <v>16554.0</v>
      </c>
      <c r="B55" s="28" t="s">
        <v>20</v>
      </c>
      <c r="C55" s="28" t="s">
        <v>4148</v>
      </c>
      <c r="D55" s="28" t="s">
        <v>4020</v>
      </c>
      <c r="E55" s="28" t="s">
        <v>4020</v>
      </c>
      <c r="F55" s="28"/>
      <c r="G55" s="28"/>
      <c r="H55" s="27"/>
      <c r="I55" s="27"/>
      <c r="J55" s="29" t="s">
        <v>4149</v>
      </c>
      <c r="K55" s="27"/>
      <c r="L55" s="27"/>
      <c r="M55" s="27"/>
      <c r="N55" s="27"/>
      <c r="O55" s="27"/>
      <c r="P55" s="27"/>
      <c r="Q55" s="27"/>
      <c r="R55" s="27"/>
      <c r="S55" s="27"/>
      <c r="T55" s="27"/>
    </row>
    <row r="56">
      <c r="A56" s="74">
        <v>16569.0</v>
      </c>
      <c r="B56" s="28" t="s">
        <v>20</v>
      </c>
      <c r="C56" s="28" t="s">
        <v>4150</v>
      </c>
      <c r="D56" s="28" t="s">
        <v>4020</v>
      </c>
      <c r="E56" s="28" t="s">
        <v>4020</v>
      </c>
      <c r="F56" s="28"/>
      <c r="G56" s="28"/>
      <c r="H56" s="29" t="s">
        <v>4151</v>
      </c>
      <c r="I56" s="29" t="s">
        <v>4152</v>
      </c>
      <c r="J56" s="29" t="s">
        <v>4153</v>
      </c>
      <c r="K56" s="27"/>
      <c r="L56" s="27"/>
      <c r="M56" s="27"/>
      <c r="N56" s="27"/>
      <c r="O56" s="27"/>
      <c r="P56" s="27"/>
      <c r="Q56" s="27"/>
      <c r="R56" s="27"/>
      <c r="S56" s="27"/>
      <c r="T56" s="27"/>
    </row>
    <row r="57">
      <c r="A57" s="74">
        <v>16579.0</v>
      </c>
      <c r="B57" s="28" t="s">
        <v>276</v>
      </c>
      <c r="C57" s="28" t="s">
        <v>4154</v>
      </c>
      <c r="D57" s="28" t="s">
        <v>4020</v>
      </c>
      <c r="E57" s="28" t="s">
        <v>4020</v>
      </c>
      <c r="F57" s="28"/>
      <c r="G57" s="28"/>
      <c r="H57" s="29" t="s">
        <v>4155</v>
      </c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</row>
    <row r="58">
      <c r="A58" s="74">
        <v>16606.0</v>
      </c>
      <c r="B58" s="28" t="s">
        <v>20</v>
      </c>
      <c r="C58" s="28" t="s">
        <v>4156</v>
      </c>
      <c r="D58" s="28" t="s">
        <v>4020</v>
      </c>
      <c r="E58" s="28" t="s">
        <v>4031</v>
      </c>
      <c r="F58" s="28"/>
      <c r="G58" s="28"/>
      <c r="H58" s="27"/>
      <c r="I58" s="29" t="s">
        <v>4157</v>
      </c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</row>
    <row r="59">
      <c r="A59" s="32">
        <v>16610.0</v>
      </c>
      <c r="B59" s="28" t="s">
        <v>20</v>
      </c>
      <c r="C59" s="28" t="s">
        <v>4158</v>
      </c>
      <c r="D59" s="28" t="s">
        <v>4020</v>
      </c>
      <c r="E59" s="28" t="s">
        <v>4132</v>
      </c>
      <c r="F59" s="28"/>
      <c r="G59" s="28"/>
      <c r="H59" s="29" t="s">
        <v>4159</v>
      </c>
      <c r="I59" s="29" t="s">
        <v>4160</v>
      </c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</row>
    <row r="60">
      <c r="A60" s="74">
        <v>16623.0</v>
      </c>
      <c r="B60" s="28" t="s">
        <v>4161</v>
      </c>
      <c r="C60" s="28" t="s">
        <v>3803</v>
      </c>
      <c r="D60" s="28" t="s">
        <v>4020</v>
      </c>
      <c r="E60" s="28" t="s">
        <v>4020</v>
      </c>
      <c r="F60" s="28"/>
      <c r="G60" s="28"/>
      <c r="H60" s="29" t="s">
        <v>4162</v>
      </c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</row>
    <row r="61">
      <c r="A61" s="74">
        <v>16638.0</v>
      </c>
      <c r="B61" s="28" t="s">
        <v>20</v>
      </c>
      <c r="C61" s="28" t="s">
        <v>4163</v>
      </c>
      <c r="D61" s="28" t="s">
        <v>4020</v>
      </c>
      <c r="E61" s="28" t="s">
        <v>4020</v>
      </c>
      <c r="F61" s="28"/>
      <c r="G61" s="28"/>
      <c r="H61" s="27"/>
      <c r="I61" s="27"/>
      <c r="J61" s="29" t="s">
        <v>4164</v>
      </c>
      <c r="K61" s="27"/>
      <c r="L61" s="27"/>
      <c r="M61" s="27"/>
      <c r="N61" s="27"/>
      <c r="O61" s="27"/>
      <c r="P61" s="27"/>
      <c r="Q61" s="27"/>
      <c r="R61" s="27"/>
      <c r="S61" s="27"/>
      <c r="T61" s="27"/>
    </row>
    <row r="62">
      <c r="A62" s="74">
        <v>16665.0</v>
      </c>
      <c r="B62" s="28" t="s">
        <v>20</v>
      </c>
      <c r="C62" s="28" t="s">
        <v>721</v>
      </c>
      <c r="D62" s="28" t="s">
        <v>4020</v>
      </c>
      <c r="E62" s="28" t="s">
        <v>4020</v>
      </c>
      <c r="F62" s="28"/>
      <c r="G62" s="28"/>
      <c r="H62" s="29" t="s">
        <v>4165</v>
      </c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</row>
    <row r="63">
      <c r="A63" s="32">
        <v>16699.0</v>
      </c>
      <c r="B63" s="28" t="s">
        <v>20</v>
      </c>
      <c r="C63" s="28" t="s">
        <v>4166</v>
      </c>
      <c r="D63" s="28" t="s">
        <v>4020</v>
      </c>
      <c r="E63" s="28" t="s">
        <v>4020</v>
      </c>
      <c r="F63" s="28"/>
      <c r="G63" s="28"/>
      <c r="H63" s="29" t="s">
        <v>4167</v>
      </c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</row>
    <row r="64">
      <c r="A64" s="74">
        <v>16721.0</v>
      </c>
      <c r="B64" s="28" t="s">
        <v>720</v>
      </c>
      <c r="C64" s="28" t="s">
        <v>4168</v>
      </c>
      <c r="D64" s="28" t="s">
        <v>4020</v>
      </c>
      <c r="E64" s="28" t="s">
        <v>4020</v>
      </c>
      <c r="F64" s="28"/>
      <c r="G64" s="28"/>
      <c r="H64" s="27"/>
      <c r="I64" s="27"/>
      <c r="J64" s="29" t="s">
        <v>4169</v>
      </c>
      <c r="K64" s="27"/>
      <c r="L64" s="27"/>
      <c r="M64" s="27"/>
      <c r="N64" s="27"/>
      <c r="O64" s="27"/>
      <c r="P64" s="27"/>
      <c r="Q64" s="27"/>
      <c r="R64" s="27"/>
      <c r="S64" s="27"/>
      <c r="T64" s="27"/>
    </row>
    <row r="65">
      <c r="A65" s="74">
        <v>16743.0</v>
      </c>
      <c r="B65" s="28" t="s">
        <v>20</v>
      </c>
      <c r="C65" s="28" t="s">
        <v>4170</v>
      </c>
      <c r="D65" s="28" t="s">
        <v>4020</v>
      </c>
      <c r="E65" s="28" t="s">
        <v>4020</v>
      </c>
      <c r="F65" s="28"/>
      <c r="G65" s="28"/>
      <c r="H65" s="29" t="s">
        <v>4171</v>
      </c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</row>
    <row r="66">
      <c r="A66" s="74">
        <v>18333.0</v>
      </c>
      <c r="B66" s="28" t="s">
        <v>20</v>
      </c>
      <c r="C66" s="28" t="s">
        <v>4172</v>
      </c>
      <c r="D66" s="28" t="s">
        <v>4020</v>
      </c>
      <c r="E66" s="28" t="s">
        <v>4020</v>
      </c>
      <c r="F66" s="28"/>
      <c r="G66" s="28"/>
      <c r="H66" s="29" t="s">
        <v>4173</v>
      </c>
      <c r="I66" s="27"/>
      <c r="J66" s="29" t="s">
        <v>4174</v>
      </c>
      <c r="K66" s="27"/>
      <c r="L66" s="27"/>
      <c r="M66" s="27"/>
      <c r="N66" s="27"/>
      <c r="O66" s="27"/>
      <c r="P66" s="27"/>
      <c r="Q66" s="27"/>
      <c r="R66" s="27"/>
      <c r="S66" s="27"/>
      <c r="T66" s="27"/>
    </row>
    <row r="67">
      <c r="A67" s="32">
        <v>18337.0</v>
      </c>
      <c r="B67" s="28" t="s">
        <v>20</v>
      </c>
      <c r="C67" s="28" t="s">
        <v>3689</v>
      </c>
      <c r="D67" s="28" t="s">
        <v>4020</v>
      </c>
      <c r="E67" s="28" t="s">
        <v>4020</v>
      </c>
      <c r="F67" s="28"/>
      <c r="G67" s="28"/>
      <c r="H67" s="43" t="s">
        <v>4175</v>
      </c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</row>
    <row r="68">
      <c r="A68" s="32">
        <v>18339.0</v>
      </c>
      <c r="B68" s="28" t="s">
        <v>20</v>
      </c>
      <c r="C68" s="28" t="s">
        <v>3861</v>
      </c>
      <c r="D68" s="28" t="s">
        <v>4020</v>
      </c>
      <c r="E68" s="28" t="s">
        <v>4122</v>
      </c>
      <c r="F68" s="28"/>
      <c r="G68" s="28"/>
      <c r="H68" s="29" t="s">
        <v>4176</v>
      </c>
      <c r="I68" s="29" t="s">
        <v>4177</v>
      </c>
      <c r="J68" s="29" t="s">
        <v>4178</v>
      </c>
      <c r="K68" s="27"/>
      <c r="L68" s="27"/>
      <c r="M68" s="27"/>
      <c r="N68" s="27"/>
      <c r="O68" s="27"/>
      <c r="P68" s="27"/>
      <c r="Q68" s="27"/>
      <c r="R68" s="27"/>
      <c r="S68" s="27"/>
      <c r="T68" s="27"/>
    </row>
    <row r="69">
      <c r="A69" s="32">
        <v>18344.0</v>
      </c>
      <c r="B69" s="28" t="s">
        <v>20</v>
      </c>
      <c r="C69" s="28" t="s">
        <v>306</v>
      </c>
      <c r="D69" s="28" t="s">
        <v>4020</v>
      </c>
      <c r="E69" s="28" t="s">
        <v>4020</v>
      </c>
      <c r="F69" s="28"/>
      <c r="G69" s="28"/>
      <c r="H69" s="29" t="s">
        <v>4179</v>
      </c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>
      <c r="A70" s="74">
        <v>18418.0</v>
      </c>
      <c r="B70" s="28" t="s">
        <v>20</v>
      </c>
      <c r="C70" s="28" t="s">
        <v>4180</v>
      </c>
      <c r="D70" s="28" t="s">
        <v>4020</v>
      </c>
      <c r="E70" s="28" t="s">
        <v>4021</v>
      </c>
      <c r="F70" s="28"/>
      <c r="G70" s="28"/>
      <c r="H70" s="43" t="s">
        <v>4181</v>
      </c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>
      <c r="A71" s="32">
        <v>19496.0</v>
      </c>
      <c r="B71" s="28" t="s">
        <v>20</v>
      </c>
      <c r="C71" s="28" t="s">
        <v>4182</v>
      </c>
      <c r="D71" s="28" t="s">
        <v>4020</v>
      </c>
      <c r="E71" s="28" t="s">
        <v>4132</v>
      </c>
      <c r="F71" s="28"/>
      <c r="G71" s="28"/>
      <c r="H71" s="27"/>
      <c r="I71" s="43" t="s">
        <v>4183</v>
      </c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>
      <c r="A72" s="74">
        <v>19497.0</v>
      </c>
      <c r="B72" s="28" t="s">
        <v>20</v>
      </c>
      <c r="C72" s="28" t="s">
        <v>4184</v>
      </c>
      <c r="D72" s="28" t="s">
        <v>4020</v>
      </c>
      <c r="E72" s="28" t="s">
        <v>4132</v>
      </c>
      <c r="F72" s="28"/>
      <c r="G72" s="28"/>
      <c r="H72" s="43" t="s">
        <v>4185</v>
      </c>
      <c r="I72" s="91"/>
      <c r="J72" s="29" t="s">
        <v>4186</v>
      </c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>
      <c r="A73" s="74">
        <v>19500.0</v>
      </c>
      <c r="B73" s="28" t="s">
        <v>20</v>
      </c>
      <c r="C73" s="28" t="s">
        <v>4187</v>
      </c>
      <c r="D73" s="28" t="s">
        <v>4020</v>
      </c>
      <c r="E73" s="28" t="s">
        <v>4132</v>
      </c>
      <c r="F73" s="28"/>
      <c r="G73" s="28"/>
      <c r="H73" s="29" t="s">
        <v>4188</v>
      </c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>
      <c r="A74" s="32">
        <v>19518.0</v>
      </c>
      <c r="B74" s="28" t="s">
        <v>20</v>
      </c>
      <c r="C74" s="28" t="s">
        <v>4189</v>
      </c>
      <c r="D74" s="28" t="s">
        <v>4020</v>
      </c>
      <c r="E74" s="28" t="s">
        <v>4132</v>
      </c>
      <c r="F74" s="28"/>
      <c r="G74" s="28"/>
      <c r="H74" s="29" t="s">
        <v>4190</v>
      </c>
      <c r="I74" s="27"/>
      <c r="J74" s="92" t="s">
        <v>4191</v>
      </c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>
      <c r="A75" s="74">
        <v>19695.0</v>
      </c>
      <c r="B75" s="28" t="s">
        <v>20</v>
      </c>
      <c r="C75" s="28" t="s">
        <v>4192</v>
      </c>
      <c r="D75" s="28" t="s">
        <v>4020</v>
      </c>
      <c r="E75" s="28" t="s">
        <v>4193</v>
      </c>
      <c r="F75" s="28"/>
      <c r="G75" s="28"/>
      <c r="H75" s="29" t="s">
        <v>4194</v>
      </c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>
      <c r="A76" s="74">
        <v>19701.0</v>
      </c>
      <c r="B76" s="28" t="s">
        <v>20</v>
      </c>
      <c r="C76" s="28" t="s">
        <v>4170</v>
      </c>
      <c r="D76" s="28" t="s">
        <v>4020</v>
      </c>
      <c r="E76" s="28" t="s">
        <v>4193</v>
      </c>
      <c r="F76" s="28"/>
      <c r="G76" s="28"/>
      <c r="H76" s="27"/>
      <c r="I76" s="29" t="s">
        <v>4195</v>
      </c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>
      <c r="A77" s="32">
        <v>19739.0</v>
      </c>
      <c r="B77" s="28" t="s">
        <v>20</v>
      </c>
      <c r="C77" s="28" t="s">
        <v>4196</v>
      </c>
      <c r="D77" s="28" t="s">
        <v>4020</v>
      </c>
      <c r="E77" s="28" t="s">
        <v>4042</v>
      </c>
      <c r="F77" s="28"/>
      <c r="G77" s="28"/>
      <c r="H77" s="29" t="s">
        <v>4197</v>
      </c>
      <c r="I77" s="27"/>
      <c r="J77" s="87" t="s">
        <v>4198</v>
      </c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>
      <c r="A78" s="32">
        <v>19747.0</v>
      </c>
      <c r="B78" s="28" t="s">
        <v>20</v>
      </c>
      <c r="C78" s="28" t="s">
        <v>1975</v>
      </c>
      <c r="D78" s="28" t="s">
        <v>4020</v>
      </c>
      <c r="E78" s="28" t="s">
        <v>4031</v>
      </c>
      <c r="F78" s="28"/>
      <c r="G78" s="28"/>
      <c r="H78" s="43" t="s">
        <v>4199</v>
      </c>
      <c r="I78" s="27"/>
      <c r="J78" s="43" t="s">
        <v>4200</v>
      </c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>
      <c r="A79" s="32">
        <v>19748.0</v>
      </c>
      <c r="B79" s="28" t="s">
        <v>20</v>
      </c>
      <c r="C79" s="28" t="s">
        <v>2267</v>
      </c>
      <c r="D79" s="28" t="s">
        <v>4020</v>
      </c>
      <c r="E79" s="28" t="s">
        <v>4020</v>
      </c>
      <c r="F79" s="28"/>
      <c r="G79" s="28"/>
      <c r="H79" s="27"/>
      <c r="I79" s="27"/>
      <c r="J79" s="43" t="s">
        <v>4201</v>
      </c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>
      <c r="A80" s="74">
        <v>19749.0</v>
      </c>
      <c r="B80" s="28" t="s">
        <v>20</v>
      </c>
      <c r="C80" s="28" t="s">
        <v>4202</v>
      </c>
      <c r="D80" s="28" t="s">
        <v>4020</v>
      </c>
      <c r="E80" s="28" t="s">
        <v>4020</v>
      </c>
      <c r="F80" s="28"/>
      <c r="G80" s="28"/>
      <c r="H80" s="29" t="s">
        <v>4203</v>
      </c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>
      <c r="A81" s="74">
        <v>19992.0</v>
      </c>
      <c r="B81" s="28" t="s">
        <v>20</v>
      </c>
      <c r="C81" s="28" t="s">
        <v>4204</v>
      </c>
      <c r="D81" s="28" t="s">
        <v>4020</v>
      </c>
      <c r="E81" s="28" t="s">
        <v>4020</v>
      </c>
      <c r="F81" s="28"/>
      <c r="G81" s="28"/>
      <c r="H81" s="27"/>
      <c r="I81" s="27"/>
      <c r="J81" s="29" t="s">
        <v>4205</v>
      </c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>
      <c r="A82" s="74">
        <v>20005.0</v>
      </c>
      <c r="B82" s="28" t="s">
        <v>20</v>
      </c>
      <c r="C82" s="28" t="s">
        <v>4206</v>
      </c>
      <c r="D82" s="28" t="s">
        <v>4020</v>
      </c>
      <c r="E82" s="28" t="s">
        <v>4042</v>
      </c>
      <c r="F82" s="28"/>
      <c r="G82" s="28"/>
      <c r="H82" s="27"/>
      <c r="I82" s="27"/>
      <c r="J82" s="29" t="s">
        <v>4207</v>
      </c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>
      <c r="A83" s="74">
        <v>20007.0</v>
      </c>
      <c r="B83" s="28" t="s">
        <v>20</v>
      </c>
      <c r="C83" s="28" t="s">
        <v>4208</v>
      </c>
      <c r="D83" s="28" t="s">
        <v>4020</v>
      </c>
      <c r="E83" s="28" t="s">
        <v>4020</v>
      </c>
      <c r="F83" s="28"/>
      <c r="G83" s="28"/>
      <c r="H83" s="27"/>
      <c r="I83" s="27"/>
      <c r="J83" s="29" t="s">
        <v>4209</v>
      </c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>
      <c r="A84" s="74">
        <v>20400.0</v>
      </c>
      <c r="B84" s="28" t="s">
        <v>20</v>
      </c>
      <c r="C84" s="28" t="s">
        <v>4210</v>
      </c>
      <c r="D84" s="28" t="s">
        <v>4020</v>
      </c>
      <c r="E84" s="28" t="s">
        <v>4020</v>
      </c>
      <c r="F84" s="28"/>
      <c r="G84" s="28"/>
      <c r="H84" s="43" t="s">
        <v>4211</v>
      </c>
      <c r="I84" s="29" t="s">
        <v>4212</v>
      </c>
      <c r="J84" s="29" t="s">
        <v>4213</v>
      </c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>
      <c r="A85" s="32">
        <v>20736.0</v>
      </c>
      <c r="B85" s="28" t="s">
        <v>20</v>
      </c>
      <c r="C85" s="28" t="s">
        <v>4214</v>
      </c>
      <c r="D85" s="28" t="s">
        <v>4020</v>
      </c>
      <c r="E85" s="28" t="s">
        <v>4031</v>
      </c>
      <c r="F85" s="28"/>
      <c r="G85" s="28"/>
      <c r="H85" s="29" t="s">
        <v>4215</v>
      </c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</row>
    <row r="86">
      <c r="A86" s="32">
        <v>20893.0</v>
      </c>
      <c r="B86" s="28" t="s">
        <v>20</v>
      </c>
      <c r="C86" s="28" t="s">
        <v>4216</v>
      </c>
      <c r="D86" s="28" t="s">
        <v>4020</v>
      </c>
      <c r="E86" s="28" t="s">
        <v>4020</v>
      </c>
      <c r="F86" s="28"/>
      <c r="G86" s="28"/>
      <c r="H86" s="29" t="s">
        <v>4217</v>
      </c>
      <c r="I86" s="27"/>
      <c r="J86" s="29" t="s">
        <v>4218</v>
      </c>
      <c r="K86" s="27"/>
      <c r="L86" s="27"/>
      <c r="M86" s="27"/>
      <c r="N86" s="27"/>
      <c r="O86" s="27"/>
      <c r="P86" s="27"/>
      <c r="Q86" s="27"/>
      <c r="R86" s="27"/>
      <c r="S86" s="27"/>
      <c r="T86" s="27"/>
    </row>
    <row r="87">
      <c r="A87" s="74">
        <v>20898.0</v>
      </c>
      <c r="B87" s="28" t="s">
        <v>20</v>
      </c>
      <c r="C87" s="28" t="s">
        <v>763</v>
      </c>
      <c r="D87" s="28" t="s">
        <v>4020</v>
      </c>
      <c r="E87" s="28" t="s">
        <v>4020</v>
      </c>
      <c r="F87" s="28"/>
      <c r="G87" s="28"/>
      <c r="H87" s="43" t="s">
        <v>4219</v>
      </c>
      <c r="I87" s="29" t="s">
        <v>4220</v>
      </c>
      <c r="J87" s="29" t="s">
        <v>4221</v>
      </c>
      <c r="K87" s="27"/>
      <c r="L87" s="27"/>
      <c r="M87" s="27"/>
      <c r="N87" s="27"/>
      <c r="O87" s="27"/>
      <c r="P87" s="27"/>
      <c r="Q87" s="27"/>
      <c r="R87" s="27"/>
      <c r="S87" s="27"/>
      <c r="T87" s="27"/>
    </row>
    <row r="88">
      <c r="A88" s="74">
        <v>21452.0</v>
      </c>
      <c r="B88" s="28" t="s">
        <v>20</v>
      </c>
      <c r="C88" s="28" t="s">
        <v>4222</v>
      </c>
      <c r="D88" s="28" t="s">
        <v>4020</v>
      </c>
      <c r="E88" s="28" t="s">
        <v>4020</v>
      </c>
      <c r="F88" s="28"/>
      <c r="G88" s="28"/>
      <c r="H88" s="43" t="s">
        <v>4223</v>
      </c>
      <c r="I88" s="27"/>
      <c r="J88" s="29" t="s">
        <v>4224</v>
      </c>
      <c r="K88" s="27"/>
      <c r="L88" s="27"/>
      <c r="M88" s="27"/>
      <c r="N88" s="27"/>
      <c r="O88" s="27"/>
      <c r="P88" s="27"/>
      <c r="Q88" s="27"/>
      <c r="R88" s="27"/>
      <c r="S88" s="27"/>
      <c r="T88" s="27"/>
    </row>
    <row r="89">
      <c r="A89" s="32">
        <v>21453.0</v>
      </c>
      <c r="B89" s="28" t="s">
        <v>20</v>
      </c>
      <c r="C89" s="28" t="s">
        <v>4225</v>
      </c>
      <c r="D89" s="28" t="s">
        <v>4020</v>
      </c>
      <c r="E89" s="28" t="s">
        <v>4020</v>
      </c>
      <c r="F89" s="28"/>
      <c r="G89" s="28"/>
      <c r="H89" s="29" t="s">
        <v>4226</v>
      </c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</row>
    <row r="90">
      <c r="A90" s="74">
        <v>22177.0</v>
      </c>
      <c r="B90" s="28" t="s">
        <v>20</v>
      </c>
      <c r="C90" s="28" t="s">
        <v>4227</v>
      </c>
      <c r="D90" s="28" t="s">
        <v>4020</v>
      </c>
      <c r="E90" s="28" t="s">
        <v>4020</v>
      </c>
      <c r="F90" s="28"/>
      <c r="G90" s="28"/>
      <c r="H90" s="27"/>
      <c r="I90" s="27"/>
      <c r="J90" s="29" t="s">
        <v>4228</v>
      </c>
      <c r="K90" s="27"/>
      <c r="L90" s="27"/>
      <c r="M90" s="27"/>
      <c r="N90" s="27"/>
      <c r="O90" s="27"/>
      <c r="P90" s="27"/>
      <c r="Q90" s="27"/>
      <c r="R90" s="27"/>
      <c r="S90" s="27"/>
      <c r="T90" s="27"/>
    </row>
    <row r="91">
      <c r="A91" s="74">
        <v>22573.0</v>
      </c>
      <c r="B91" s="28" t="s">
        <v>20</v>
      </c>
      <c r="C91" s="28" t="s">
        <v>4229</v>
      </c>
      <c r="D91" s="28" t="s">
        <v>4020</v>
      </c>
      <c r="E91" s="28" t="s">
        <v>4021</v>
      </c>
      <c r="F91" s="28"/>
      <c r="G91" s="28"/>
      <c r="H91" s="29" t="s">
        <v>4230</v>
      </c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</row>
    <row r="92">
      <c r="A92" s="74">
        <v>22588.0</v>
      </c>
      <c r="B92" s="28" t="s">
        <v>20</v>
      </c>
      <c r="C92" s="28" t="s">
        <v>707</v>
      </c>
      <c r="D92" s="28" t="s">
        <v>4020</v>
      </c>
      <c r="E92" s="28" t="s">
        <v>4020</v>
      </c>
      <c r="F92" s="28"/>
      <c r="G92" s="28"/>
      <c r="H92" s="43" t="s">
        <v>4231</v>
      </c>
      <c r="I92" s="29" t="s">
        <v>4232</v>
      </c>
      <c r="J92" s="29" t="s">
        <v>4233</v>
      </c>
      <c r="K92" s="27"/>
      <c r="L92" s="27"/>
      <c r="M92" s="27"/>
      <c r="N92" s="27"/>
      <c r="O92" s="27"/>
      <c r="P92" s="27"/>
      <c r="Q92" s="27"/>
      <c r="R92" s="27"/>
      <c r="S92" s="27"/>
      <c r="T92" s="27"/>
    </row>
    <row r="93">
      <c r="A93" s="74">
        <v>22590.0</v>
      </c>
      <c r="B93" s="28" t="s">
        <v>20</v>
      </c>
      <c r="C93" s="28" t="s">
        <v>4234</v>
      </c>
      <c r="D93" s="28" t="s">
        <v>4020</v>
      </c>
      <c r="E93" s="28" t="s">
        <v>4020</v>
      </c>
      <c r="F93" s="28"/>
      <c r="G93" s="28"/>
      <c r="H93" s="43" t="s">
        <v>4235</v>
      </c>
      <c r="I93" s="27"/>
      <c r="J93" s="29" t="s">
        <v>4236</v>
      </c>
      <c r="K93" s="27"/>
      <c r="L93" s="27"/>
      <c r="M93" s="27"/>
      <c r="N93" s="27"/>
      <c r="O93" s="27"/>
      <c r="P93" s="27"/>
      <c r="Q93" s="27"/>
      <c r="R93" s="27"/>
      <c r="S93" s="27"/>
      <c r="T93" s="27"/>
    </row>
    <row r="94">
      <c r="A94" s="74">
        <v>22595.0</v>
      </c>
      <c r="B94" s="28" t="s">
        <v>102</v>
      </c>
      <c r="C94" s="28" t="s">
        <v>4237</v>
      </c>
      <c r="D94" s="28" t="s">
        <v>4020</v>
      </c>
      <c r="E94" s="28" t="s">
        <v>4020</v>
      </c>
      <c r="F94" s="28"/>
      <c r="G94" s="28"/>
      <c r="H94" s="43" t="s">
        <v>4238</v>
      </c>
      <c r="I94" s="27"/>
      <c r="J94" s="29" t="s">
        <v>4239</v>
      </c>
      <c r="K94" s="27"/>
      <c r="L94" s="27"/>
      <c r="M94" s="27"/>
      <c r="N94" s="27"/>
      <c r="O94" s="27"/>
      <c r="P94" s="27"/>
      <c r="Q94" s="27"/>
      <c r="R94" s="27"/>
      <c r="S94" s="27"/>
      <c r="T94" s="27"/>
    </row>
    <row r="95">
      <c r="A95" s="74">
        <v>22598.0</v>
      </c>
      <c r="B95" s="28" t="s">
        <v>102</v>
      </c>
      <c r="C95" s="28" t="s">
        <v>4240</v>
      </c>
      <c r="D95" s="28" t="s">
        <v>4020</v>
      </c>
      <c r="E95" s="28" t="s">
        <v>4020</v>
      </c>
      <c r="F95" s="28" t="s">
        <v>4241</v>
      </c>
      <c r="G95" s="28"/>
      <c r="H95" s="43" t="s">
        <v>4242</v>
      </c>
      <c r="I95" s="29" t="s">
        <v>4243</v>
      </c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</row>
    <row r="96">
      <c r="A96" s="32">
        <v>23237.0</v>
      </c>
      <c r="B96" s="28" t="s">
        <v>20</v>
      </c>
      <c r="C96" s="28" t="s">
        <v>4244</v>
      </c>
      <c r="D96" s="28" t="s">
        <v>4020</v>
      </c>
      <c r="E96" s="28" t="s">
        <v>4021</v>
      </c>
      <c r="F96" s="28" t="s">
        <v>4245</v>
      </c>
      <c r="G96" s="28"/>
      <c r="H96" s="27"/>
      <c r="I96" s="27"/>
      <c r="J96" s="43" t="s">
        <v>4246</v>
      </c>
      <c r="K96" s="27"/>
      <c r="L96" s="27"/>
      <c r="M96" s="27"/>
      <c r="N96" s="27"/>
      <c r="O96" s="27"/>
      <c r="P96" s="27"/>
      <c r="Q96" s="27"/>
      <c r="R96" s="27"/>
      <c r="S96" s="27"/>
      <c r="T96" s="27"/>
    </row>
    <row r="97">
      <c r="A97" s="32">
        <v>23293.0</v>
      </c>
      <c r="B97" s="28" t="s">
        <v>20</v>
      </c>
      <c r="C97" s="28" t="s">
        <v>4247</v>
      </c>
      <c r="D97" s="28" t="s">
        <v>4020</v>
      </c>
      <c r="E97" s="28" t="s">
        <v>4248</v>
      </c>
      <c r="F97" s="28"/>
      <c r="G97" s="28"/>
      <c r="H97" s="29" t="s">
        <v>4249</v>
      </c>
      <c r="I97" s="27"/>
      <c r="J97" s="43" t="s">
        <v>4250</v>
      </c>
      <c r="K97" s="27"/>
      <c r="L97" s="27"/>
      <c r="M97" s="27"/>
      <c r="N97" s="27"/>
      <c r="O97" s="27"/>
      <c r="P97" s="27"/>
      <c r="Q97" s="27"/>
      <c r="R97" s="27"/>
      <c r="S97" s="27"/>
      <c r="T97" s="27"/>
    </row>
    <row r="98">
      <c r="A98" s="74">
        <v>23297.0</v>
      </c>
      <c r="B98" s="28" t="s">
        <v>20</v>
      </c>
      <c r="C98" s="28" t="s">
        <v>4251</v>
      </c>
      <c r="D98" s="28" t="s">
        <v>4020</v>
      </c>
      <c r="E98" s="28" t="s">
        <v>4020</v>
      </c>
      <c r="F98" s="28"/>
      <c r="G98" s="28"/>
      <c r="H98" s="43" t="s">
        <v>4252</v>
      </c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</row>
    <row r="99">
      <c r="A99" s="74">
        <v>23323.0</v>
      </c>
      <c r="B99" s="28" t="s">
        <v>20</v>
      </c>
      <c r="C99" s="28" t="s">
        <v>4253</v>
      </c>
      <c r="D99" s="28" t="s">
        <v>4020</v>
      </c>
      <c r="E99" s="28" t="s">
        <v>4020</v>
      </c>
      <c r="F99" s="28"/>
      <c r="G99" s="28"/>
      <c r="H99" s="43" t="s">
        <v>4254</v>
      </c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</row>
    <row r="100">
      <c r="A100" s="32">
        <v>23327.0</v>
      </c>
      <c r="B100" s="28" t="s">
        <v>20</v>
      </c>
      <c r="C100" s="28" t="s">
        <v>4255</v>
      </c>
      <c r="D100" s="28" t="s">
        <v>4020</v>
      </c>
      <c r="E100" s="28" t="s">
        <v>4042</v>
      </c>
      <c r="F100" s="28"/>
      <c r="G100" s="28"/>
      <c r="H100" s="29" t="s">
        <v>4256</v>
      </c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</row>
    <row r="101">
      <c r="A101" s="74">
        <v>23342.0</v>
      </c>
      <c r="B101" s="28" t="s">
        <v>20</v>
      </c>
      <c r="C101" s="28" t="s">
        <v>3592</v>
      </c>
      <c r="D101" s="28" t="s">
        <v>4020</v>
      </c>
      <c r="E101" s="28" t="s">
        <v>4020</v>
      </c>
      <c r="F101" s="28"/>
      <c r="G101" s="28"/>
      <c r="H101" s="43" t="s">
        <v>4257</v>
      </c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</row>
    <row r="102">
      <c r="A102" s="32">
        <v>23367.0</v>
      </c>
      <c r="B102" s="28" t="s">
        <v>20</v>
      </c>
      <c r="C102" s="28" t="s">
        <v>4258</v>
      </c>
      <c r="D102" s="28" t="s">
        <v>4020</v>
      </c>
      <c r="E102" s="28" t="s">
        <v>4248</v>
      </c>
      <c r="F102" s="28"/>
      <c r="G102" s="28"/>
      <c r="H102" s="29" t="s">
        <v>4259</v>
      </c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32" t="s">
        <v>318</v>
      </c>
    </row>
    <row r="103">
      <c r="A103" s="74">
        <v>23386.0</v>
      </c>
      <c r="B103" s="28" t="s">
        <v>20</v>
      </c>
      <c r="C103" s="28" t="s">
        <v>4260</v>
      </c>
      <c r="D103" s="28" t="s">
        <v>4020</v>
      </c>
      <c r="E103" s="28" t="s">
        <v>4020</v>
      </c>
      <c r="F103" s="28"/>
      <c r="G103" s="28"/>
      <c r="H103" s="43" t="s">
        <v>4261</v>
      </c>
      <c r="I103" s="27"/>
      <c r="J103" s="29" t="s">
        <v>4262</v>
      </c>
      <c r="K103" s="27"/>
      <c r="L103" s="27"/>
      <c r="M103" s="27"/>
      <c r="N103" s="27"/>
      <c r="O103" s="27"/>
      <c r="P103" s="27"/>
      <c r="Q103" s="27"/>
      <c r="R103" s="27"/>
      <c r="S103" s="27"/>
      <c r="T103" s="27"/>
    </row>
    <row r="104">
      <c r="A104" s="74">
        <v>23821.0</v>
      </c>
      <c r="B104" s="28" t="s">
        <v>20</v>
      </c>
      <c r="C104" s="28" t="s">
        <v>4263</v>
      </c>
      <c r="D104" s="28" t="s">
        <v>4020</v>
      </c>
      <c r="E104" s="28" t="s">
        <v>4021</v>
      </c>
      <c r="F104" s="28"/>
      <c r="G104" s="28"/>
      <c r="H104" s="29" t="s">
        <v>4264</v>
      </c>
      <c r="I104" s="29" t="s">
        <v>4265</v>
      </c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</row>
    <row r="105">
      <c r="A105" s="74">
        <v>23856.0</v>
      </c>
      <c r="B105" s="28" t="s">
        <v>20</v>
      </c>
      <c r="C105" s="28" t="s">
        <v>4266</v>
      </c>
      <c r="D105" s="28" t="s">
        <v>4020</v>
      </c>
      <c r="E105" s="28" t="s">
        <v>4020</v>
      </c>
      <c r="F105" s="28"/>
      <c r="G105" s="28"/>
      <c r="H105" s="43" t="s">
        <v>4267</v>
      </c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</row>
    <row r="106">
      <c r="A106" s="74">
        <v>24085.0</v>
      </c>
      <c r="B106" s="28" t="s">
        <v>102</v>
      </c>
      <c r="C106" s="28" t="s">
        <v>4268</v>
      </c>
      <c r="D106" s="28" t="s">
        <v>4020</v>
      </c>
      <c r="E106" s="28" t="s">
        <v>4020</v>
      </c>
      <c r="F106" s="28"/>
      <c r="G106" s="28"/>
      <c r="H106" s="43" t="s">
        <v>4269</v>
      </c>
      <c r="I106" s="29" t="s">
        <v>4270</v>
      </c>
      <c r="J106" s="29" t="s">
        <v>4271</v>
      </c>
      <c r="K106" s="27"/>
      <c r="L106" s="27"/>
      <c r="M106" s="27"/>
      <c r="N106" s="27"/>
      <c r="O106" s="27"/>
      <c r="P106" s="27"/>
      <c r="Q106" s="27"/>
      <c r="R106" s="27"/>
      <c r="S106" s="27"/>
      <c r="T106" s="27"/>
    </row>
    <row r="107">
      <c r="A107" s="74">
        <v>24303.0</v>
      </c>
      <c r="B107" s="28" t="s">
        <v>20</v>
      </c>
      <c r="C107" s="28" t="s">
        <v>4272</v>
      </c>
      <c r="D107" s="28" t="s">
        <v>4020</v>
      </c>
      <c r="E107" s="28" t="s">
        <v>4020</v>
      </c>
      <c r="F107" s="28"/>
      <c r="G107" s="28"/>
      <c r="H107" s="27"/>
      <c r="I107" s="27"/>
      <c r="J107" s="29" t="s">
        <v>4273</v>
      </c>
      <c r="K107" s="27"/>
      <c r="L107" s="27"/>
      <c r="M107" s="27"/>
      <c r="N107" s="27"/>
      <c r="O107" s="27"/>
      <c r="P107" s="27"/>
      <c r="Q107" s="27"/>
      <c r="R107" s="27"/>
      <c r="S107" s="27"/>
      <c r="T107" s="27"/>
    </row>
    <row r="108">
      <c r="A108" s="74">
        <v>24456.0</v>
      </c>
      <c r="B108" s="28" t="s">
        <v>20</v>
      </c>
      <c r="C108" s="28" t="s">
        <v>797</v>
      </c>
      <c r="D108" s="28" t="s">
        <v>4020</v>
      </c>
      <c r="E108" s="28" t="s">
        <v>4020</v>
      </c>
      <c r="F108" s="28"/>
      <c r="G108" s="28"/>
      <c r="H108" s="43" t="s">
        <v>4274</v>
      </c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</row>
    <row r="109">
      <c r="A109" s="74">
        <v>24535.0</v>
      </c>
      <c r="B109" s="28" t="s">
        <v>20</v>
      </c>
      <c r="C109" s="28" t="s">
        <v>4275</v>
      </c>
      <c r="D109" s="28" t="s">
        <v>4020</v>
      </c>
      <c r="E109" s="28" t="s">
        <v>4042</v>
      </c>
      <c r="F109" s="28"/>
      <c r="G109" s="28"/>
      <c r="H109" s="29" t="s">
        <v>4276</v>
      </c>
      <c r="I109" s="29" t="s">
        <v>4277</v>
      </c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</row>
    <row r="110">
      <c r="A110" s="74">
        <v>24585.0</v>
      </c>
      <c r="B110" s="28" t="s">
        <v>20</v>
      </c>
      <c r="C110" s="28" t="s">
        <v>4278</v>
      </c>
      <c r="D110" s="28" t="s">
        <v>4020</v>
      </c>
      <c r="E110" s="28" t="s">
        <v>4031</v>
      </c>
      <c r="F110" s="28"/>
      <c r="G110" s="28"/>
      <c r="H110" s="27"/>
      <c r="I110" s="27"/>
      <c r="J110" s="29" t="s">
        <v>4279</v>
      </c>
      <c r="K110" s="27"/>
      <c r="L110" s="27"/>
      <c r="M110" s="27"/>
      <c r="N110" s="27"/>
      <c r="O110" s="27"/>
      <c r="P110" s="27"/>
      <c r="Q110" s="27"/>
      <c r="R110" s="27"/>
      <c r="S110" s="27"/>
      <c r="T110" s="27"/>
    </row>
    <row r="111">
      <c r="A111" s="74">
        <v>25031.0</v>
      </c>
      <c r="B111" s="28" t="s">
        <v>20</v>
      </c>
      <c r="C111" s="28" t="s">
        <v>4280</v>
      </c>
      <c r="D111" s="28" t="s">
        <v>4020</v>
      </c>
      <c r="E111" s="28" t="s">
        <v>4127</v>
      </c>
      <c r="F111" s="28"/>
      <c r="G111" s="28"/>
      <c r="H111" s="29" t="s">
        <v>4281</v>
      </c>
      <c r="I111" s="27"/>
      <c r="J111" s="29" t="s">
        <v>4282</v>
      </c>
      <c r="K111" s="27"/>
      <c r="L111" s="27"/>
      <c r="M111" s="27"/>
      <c r="N111" s="27"/>
      <c r="O111" s="27"/>
      <c r="P111" s="27"/>
      <c r="Q111" s="27"/>
      <c r="R111" s="27"/>
      <c r="S111" s="27"/>
      <c r="T111" s="27"/>
    </row>
    <row r="112">
      <c r="A112" s="32">
        <v>25071.0</v>
      </c>
      <c r="B112" s="28" t="s">
        <v>20</v>
      </c>
      <c r="C112" s="28" t="s">
        <v>4283</v>
      </c>
      <c r="D112" s="28" t="s">
        <v>4020</v>
      </c>
      <c r="E112" s="28" t="s">
        <v>4132</v>
      </c>
      <c r="F112" s="28"/>
      <c r="G112" s="28"/>
      <c r="H112" s="29" t="s">
        <v>4284</v>
      </c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</row>
    <row r="113">
      <c r="A113" s="74">
        <v>25117.0</v>
      </c>
      <c r="B113" s="28" t="s">
        <v>20</v>
      </c>
      <c r="C113" s="28" t="s">
        <v>4285</v>
      </c>
      <c r="D113" s="28" t="s">
        <v>4020</v>
      </c>
      <c r="E113" s="28" t="s">
        <v>4020</v>
      </c>
      <c r="F113" s="28"/>
      <c r="G113" s="28"/>
      <c r="H113" s="43" t="s">
        <v>4286</v>
      </c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</row>
    <row r="114">
      <c r="A114" s="74">
        <v>25124.0</v>
      </c>
      <c r="B114" s="28" t="s">
        <v>20</v>
      </c>
      <c r="C114" s="28" t="s">
        <v>963</v>
      </c>
      <c r="D114" s="28" t="s">
        <v>4020</v>
      </c>
      <c r="E114" s="28" t="s">
        <v>4122</v>
      </c>
      <c r="F114" s="28"/>
      <c r="G114" s="28"/>
      <c r="H114" s="27"/>
      <c r="I114" s="27"/>
      <c r="J114" s="29" t="s">
        <v>4287</v>
      </c>
      <c r="K114" s="27"/>
      <c r="L114" s="27"/>
      <c r="M114" s="27"/>
      <c r="N114" s="27"/>
      <c r="O114" s="27"/>
      <c r="P114" s="27"/>
      <c r="Q114" s="27"/>
      <c r="R114" s="27"/>
      <c r="S114" s="27"/>
      <c r="T114" s="27"/>
    </row>
    <row r="115">
      <c r="A115" s="74">
        <v>25225.0</v>
      </c>
      <c r="B115" s="28" t="s">
        <v>20</v>
      </c>
      <c r="C115" s="28" t="s">
        <v>4110</v>
      </c>
      <c r="D115" s="28" t="s">
        <v>4020</v>
      </c>
      <c r="E115" s="28" t="s">
        <v>4020</v>
      </c>
      <c r="F115" s="28"/>
      <c r="G115" s="28"/>
      <c r="H115" s="43" t="s">
        <v>4288</v>
      </c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</row>
    <row r="116">
      <c r="A116" s="74">
        <v>25898.0</v>
      </c>
      <c r="B116" s="28" t="s">
        <v>20</v>
      </c>
      <c r="C116" s="28" t="s">
        <v>1378</v>
      </c>
      <c r="D116" s="28" t="s">
        <v>4020</v>
      </c>
      <c r="E116" s="28" t="s">
        <v>4020</v>
      </c>
      <c r="F116" s="28"/>
      <c r="G116" s="28"/>
      <c r="H116" s="43" t="s">
        <v>4289</v>
      </c>
      <c r="I116" s="29" t="s">
        <v>4290</v>
      </c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</row>
    <row r="117">
      <c r="A117" s="74">
        <v>26165.0</v>
      </c>
      <c r="B117" s="28" t="s">
        <v>17</v>
      </c>
      <c r="C117" s="28" t="s">
        <v>4291</v>
      </c>
      <c r="D117" s="28" t="s">
        <v>4020</v>
      </c>
      <c r="E117" s="28" t="s">
        <v>4020</v>
      </c>
      <c r="F117" s="28"/>
      <c r="G117" s="28"/>
      <c r="H117" s="43" t="s">
        <v>4292</v>
      </c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</row>
    <row r="118">
      <c r="A118" s="32">
        <v>26309.0</v>
      </c>
      <c r="B118" s="28" t="s">
        <v>20</v>
      </c>
      <c r="C118" s="28" t="s">
        <v>4293</v>
      </c>
      <c r="D118" s="28" t="s">
        <v>4020</v>
      </c>
      <c r="E118" s="28" t="s">
        <v>4021</v>
      </c>
      <c r="F118" s="28"/>
      <c r="G118" s="28"/>
      <c r="H118" s="29" t="s">
        <v>4294</v>
      </c>
      <c r="I118" s="7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</row>
    <row r="119">
      <c r="A119" s="32">
        <v>26310.0</v>
      </c>
      <c r="B119" s="28" t="s">
        <v>20</v>
      </c>
      <c r="C119" s="28" t="s">
        <v>4295</v>
      </c>
      <c r="D119" s="28" t="s">
        <v>4020</v>
      </c>
      <c r="E119" s="28" t="s">
        <v>4042</v>
      </c>
      <c r="F119" s="28"/>
      <c r="G119" s="28"/>
      <c r="H119" s="29" t="s">
        <v>4296</v>
      </c>
      <c r="I119" s="77"/>
      <c r="J119" s="93"/>
      <c r="K119" s="27"/>
      <c r="L119" s="27"/>
      <c r="M119" s="27"/>
      <c r="N119" s="27"/>
      <c r="O119" s="27"/>
      <c r="P119" s="27"/>
      <c r="Q119" s="27"/>
      <c r="R119" s="27"/>
      <c r="S119" s="27"/>
      <c r="T119" s="27"/>
    </row>
    <row r="120">
      <c r="A120" s="74">
        <v>26312.0</v>
      </c>
      <c r="B120" s="28" t="s">
        <v>20</v>
      </c>
      <c r="C120" s="28" t="s">
        <v>4297</v>
      </c>
      <c r="D120" s="28" t="s">
        <v>4020</v>
      </c>
      <c r="E120" s="28" t="s">
        <v>4042</v>
      </c>
      <c r="F120" s="28"/>
      <c r="G120" s="28"/>
      <c r="H120" s="94" t="s">
        <v>4298</v>
      </c>
      <c r="I120" s="27"/>
      <c r="J120" s="87" t="s">
        <v>4299</v>
      </c>
      <c r="K120" s="27"/>
      <c r="L120" s="27"/>
      <c r="M120" s="27"/>
      <c r="N120" s="27"/>
      <c r="O120" s="27"/>
      <c r="P120" s="27"/>
      <c r="Q120" s="27"/>
      <c r="R120" s="27"/>
      <c r="S120" s="27"/>
      <c r="T120" s="27"/>
    </row>
    <row r="121">
      <c r="A121" s="74">
        <v>26315.0</v>
      </c>
      <c r="B121" s="28" t="s">
        <v>20</v>
      </c>
      <c r="C121" s="28" t="s">
        <v>3658</v>
      </c>
      <c r="D121" s="28" t="s">
        <v>4020</v>
      </c>
      <c r="E121" s="28" t="s">
        <v>4122</v>
      </c>
      <c r="F121" s="28"/>
      <c r="G121" s="28"/>
      <c r="H121" s="29" t="s">
        <v>4126</v>
      </c>
      <c r="I121" s="27"/>
      <c r="J121" s="77"/>
      <c r="K121" s="27"/>
      <c r="L121" s="27"/>
      <c r="M121" s="27"/>
      <c r="N121" s="27"/>
      <c r="O121" s="27"/>
      <c r="P121" s="27"/>
      <c r="Q121" s="27"/>
      <c r="R121" s="27"/>
      <c r="S121" s="27"/>
      <c r="T121" s="27"/>
    </row>
    <row r="122">
      <c r="A122" s="74">
        <v>26412.0</v>
      </c>
      <c r="B122" s="28" t="s">
        <v>20</v>
      </c>
      <c r="C122" s="28" t="s">
        <v>4300</v>
      </c>
      <c r="D122" s="28" t="s">
        <v>4020</v>
      </c>
      <c r="E122" s="28" t="s">
        <v>4020</v>
      </c>
      <c r="F122" s="28"/>
      <c r="G122" s="28"/>
      <c r="H122" s="27"/>
      <c r="I122" s="27"/>
      <c r="J122" s="29" t="s">
        <v>4301</v>
      </c>
      <c r="K122" s="27"/>
      <c r="L122" s="27"/>
      <c r="M122" s="27"/>
      <c r="N122" s="27"/>
      <c r="O122" s="27"/>
      <c r="P122" s="27"/>
      <c r="Q122" s="27"/>
      <c r="R122" s="27"/>
      <c r="S122" s="27"/>
      <c r="T122" s="27"/>
    </row>
    <row r="123">
      <c r="A123" s="74">
        <v>26413.0</v>
      </c>
      <c r="B123" s="28" t="s">
        <v>20</v>
      </c>
      <c r="C123" s="28" t="s">
        <v>4302</v>
      </c>
      <c r="D123" s="28" t="s">
        <v>4020</v>
      </c>
      <c r="E123" s="28" t="s">
        <v>4020</v>
      </c>
      <c r="F123" s="28"/>
      <c r="G123" s="28"/>
      <c r="H123" s="27"/>
      <c r="I123" s="27"/>
      <c r="J123" s="29" t="s">
        <v>4303</v>
      </c>
      <c r="K123" s="27"/>
      <c r="L123" s="27"/>
      <c r="M123" s="27"/>
      <c r="N123" s="27"/>
      <c r="O123" s="27"/>
      <c r="P123" s="27"/>
      <c r="Q123" s="27"/>
      <c r="R123" s="27"/>
      <c r="S123" s="27"/>
      <c r="T123" s="27"/>
    </row>
    <row r="124">
      <c r="A124" s="74">
        <v>26641.0</v>
      </c>
      <c r="B124" s="28" t="s">
        <v>20</v>
      </c>
      <c r="C124" s="28" t="s">
        <v>4304</v>
      </c>
      <c r="D124" s="28" t="s">
        <v>4020</v>
      </c>
      <c r="E124" s="28" t="s">
        <v>4020</v>
      </c>
      <c r="F124" s="28"/>
      <c r="G124" s="28"/>
      <c r="H124" s="43" t="s">
        <v>4305</v>
      </c>
      <c r="I124" s="29" t="s">
        <v>4306</v>
      </c>
      <c r="J124" s="29" t="s">
        <v>4307</v>
      </c>
      <c r="K124" s="27"/>
      <c r="L124" s="27"/>
      <c r="M124" s="27"/>
      <c r="N124" s="27"/>
      <c r="O124" s="27"/>
      <c r="P124" s="27"/>
      <c r="Q124" s="27"/>
      <c r="R124" s="27"/>
      <c r="S124" s="27"/>
      <c r="T124" s="27"/>
    </row>
    <row r="125">
      <c r="A125" s="74">
        <v>26714.0</v>
      </c>
      <c r="B125" s="28" t="s">
        <v>20</v>
      </c>
      <c r="C125" s="28" t="s">
        <v>4308</v>
      </c>
      <c r="D125" s="28" t="s">
        <v>4020</v>
      </c>
      <c r="E125" s="28" t="s">
        <v>4020</v>
      </c>
      <c r="F125" s="28"/>
      <c r="G125" s="28"/>
      <c r="H125" s="43" t="s">
        <v>4309</v>
      </c>
      <c r="I125" s="27"/>
      <c r="J125" s="29" t="s">
        <v>4310</v>
      </c>
      <c r="K125" s="27"/>
      <c r="L125" s="27"/>
      <c r="M125" s="27"/>
      <c r="N125" s="27"/>
      <c r="O125" s="27"/>
      <c r="P125" s="27"/>
      <c r="Q125" s="27"/>
      <c r="R125" s="27"/>
      <c r="S125" s="27"/>
      <c r="T125" s="27"/>
    </row>
    <row r="126">
      <c r="A126" s="74">
        <v>27884.0</v>
      </c>
      <c r="B126" s="28" t="s">
        <v>20</v>
      </c>
      <c r="C126" s="28" t="s">
        <v>4311</v>
      </c>
      <c r="D126" s="28" t="s">
        <v>4020</v>
      </c>
      <c r="E126" s="28" t="s">
        <v>4020</v>
      </c>
      <c r="F126" s="28"/>
      <c r="G126" s="28">
        <v>1.0</v>
      </c>
      <c r="H126" s="27"/>
      <c r="I126" s="29" t="s">
        <v>4312</v>
      </c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</row>
    <row r="127">
      <c r="A127" s="74">
        <v>27886.0</v>
      </c>
      <c r="B127" s="28" t="s">
        <v>20</v>
      </c>
      <c r="C127" s="28" t="s">
        <v>4313</v>
      </c>
      <c r="D127" s="28" t="s">
        <v>4020</v>
      </c>
      <c r="E127" s="28" t="s">
        <v>4020</v>
      </c>
      <c r="F127" s="28"/>
      <c r="G127" s="28"/>
      <c r="H127" s="43" t="s">
        <v>4314</v>
      </c>
      <c r="I127" s="29" t="s">
        <v>4315</v>
      </c>
      <c r="J127" s="29" t="s">
        <v>4316</v>
      </c>
      <c r="K127" s="27"/>
      <c r="L127" s="27"/>
      <c r="M127" s="27"/>
      <c r="N127" s="27"/>
      <c r="O127" s="27"/>
      <c r="P127" s="27"/>
      <c r="Q127" s="27"/>
      <c r="R127" s="27"/>
      <c r="S127" s="27"/>
      <c r="T127" s="27"/>
    </row>
    <row r="128">
      <c r="A128" s="74">
        <v>27888.0</v>
      </c>
      <c r="B128" s="28" t="s">
        <v>20</v>
      </c>
      <c r="C128" s="28" t="s">
        <v>4317</v>
      </c>
      <c r="D128" s="28" t="s">
        <v>4020</v>
      </c>
      <c r="E128" s="28" t="s">
        <v>4020</v>
      </c>
      <c r="F128" s="28"/>
      <c r="G128" s="28"/>
      <c r="H128" s="43" t="s">
        <v>4318</v>
      </c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</row>
    <row r="129">
      <c r="A129" s="74">
        <v>27890.0</v>
      </c>
      <c r="B129" s="28" t="s">
        <v>20</v>
      </c>
      <c r="C129" s="28" t="s">
        <v>4319</v>
      </c>
      <c r="D129" s="28" t="s">
        <v>4020</v>
      </c>
      <c r="E129" s="28" t="s">
        <v>4020</v>
      </c>
      <c r="F129" s="28"/>
      <c r="G129" s="28"/>
      <c r="H129" s="43" t="s">
        <v>4320</v>
      </c>
      <c r="I129" s="27"/>
      <c r="J129" s="29" t="s">
        <v>4321</v>
      </c>
      <c r="K129" s="27"/>
      <c r="L129" s="27"/>
      <c r="M129" s="27"/>
      <c r="N129" s="27"/>
      <c r="O129" s="27"/>
      <c r="P129" s="27"/>
      <c r="Q129" s="27"/>
      <c r="R129" s="27"/>
      <c r="S129" s="27"/>
      <c r="T129" s="27"/>
    </row>
    <row r="130">
      <c r="A130" s="74">
        <v>27892.0</v>
      </c>
      <c r="B130" s="28" t="s">
        <v>4322</v>
      </c>
      <c r="C130" s="28" t="s">
        <v>855</v>
      </c>
      <c r="D130" s="28" t="s">
        <v>4020</v>
      </c>
      <c r="E130" s="28" t="s">
        <v>4020</v>
      </c>
      <c r="F130" s="28"/>
      <c r="G130" s="28"/>
      <c r="H130" s="43" t="s">
        <v>4323</v>
      </c>
      <c r="I130" s="27"/>
      <c r="J130" s="29" t="s">
        <v>4324</v>
      </c>
      <c r="K130" s="27"/>
      <c r="L130" s="27"/>
      <c r="M130" s="27"/>
      <c r="N130" s="27"/>
      <c r="O130" s="27"/>
      <c r="P130" s="27"/>
      <c r="Q130" s="27"/>
      <c r="R130" s="27"/>
      <c r="S130" s="27"/>
      <c r="T130" s="27"/>
    </row>
    <row r="131">
      <c r="A131" s="74">
        <v>27912.0</v>
      </c>
      <c r="B131" s="28" t="s">
        <v>720</v>
      </c>
      <c r="C131" s="28" t="s">
        <v>4214</v>
      </c>
      <c r="D131" s="28" t="s">
        <v>4020</v>
      </c>
      <c r="E131" s="28" t="s">
        <v>4193</v>
      </c>
      <c r="F131" s="28"/>
      <c r="G131" s="28"/>
      <c r="H131" s="27"/>
      <c r="I131" s="27"/>
      <c r="J131" s="29" t="s">
        <v>4325</v>
      </c>
      <c r="K131" s="27"/>
      <c r="L131" s="27"/>
      <c r="M131" s="27"/>
      <c r="N131" s="27"/>
      <c r="O131" s="27"/>
      <c r="P131" s="27"/>
      <c r="Q131" s="27"/>
      <c r="R131" s="27"/>
      <c r="S131" s="27"/>
      <c r="T131" s="27"/>
    </row>
    <row r="132">
      <c r="A132" s="74">
        <v>28000.0</v>
      </c>
      <c r="B132" s="28" t="s">
        <v>20</v>
      </c>
      <c r="C132" s="28" t="s">
        <v>4326</v>
      </c>
      <c r="D132" s="28" t="s">
        <v>4020</v>
      </c>
      <c r="E132" s="28" t="s">
        <v>4020</v>
      </c>
      <c r="F132" s="28"/>
      <c r="G132" s="28"/>
      <c r="H132" s="43" t="s">
        <v>4327</v>
      </c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</row>
    <row r="133">
      <c r="A133" s="74">
        <v>28001.0</v>
      </c>
      <c r="B133" s="28" t="s">
        <v>20</v>
      </c>
      <c r="C133" s="28" t="s">
        <v>4328</v>
      </c>
      <c r="D133" s="28" t="s">
        <v>4020</v>
      </c>
      <c r="E133" s="28" t="s">
        <v>4020</v>
      </c>
      <c r="F133" s="28"/>
      <c r="G133" s="28"/>
      <c r="H133" s="43" t="s">
        <v>4329</v>
      </c>
      <c r="I133" s="27"/>
      <c r="J133" s="29" t="s">
        <v>4330</v>
      </c>
      <c r="K133" s="27"/>
      <c r="L133" s="27"/>
      <c r="M133" s="27"/>
      <c r="N133" s="27"/>
      <c r="O133" s="27"/>
      <c r="P133" s="27"/>
      <c r="Q133" s="27"/>
      <c r="R133" s="27"/>
      <c r="S133" s="27"/>
      <c r="T133" s="27"/>
    </row>
    <row r="134">
      <c r="A134" s="74">
        <v>28008.0</v>
      </c>
      <c r="B134" s="28" t="s">
        <v>20</v>
      </c>
      <c r="C134" s="28" t="s">
        <v>4331</v>
      </c>
      <c r="D134" s="28" t="s">
        <v>4020</v>
      </c>
      <c r="E134" s="28" t="s">
        <v>4020</v>
      </c>
      <c r="F134" s="28"/>
      <c r="G134" s="28">
        <v>1.0</v>
      </c>
      <c r="H134" s="27"/>
      <c r="I134" s="29" t="s">
        <v>4332</v>
      </c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</row>
    <row r="135">
      <c r="A135" s="74">
        <v>28267.0</v>
      </c>
      <c r="B135" s="28" t="s">
        <v>20</v>
      </c>
      <c r="C135" s="28" t="s">
        <v>698</v>
      </c>
      <c r="D135" s="28" t="s">
        <v>4020</v>
      </c>
      <c r="E135" s="28" t="s">
        <v>4020</v>
      </c>
      <c r="F135" s="28"/>
      <c r="G135" s="28"/>
      <c r="H135" s="43" t="s">
        <v>4333</v>
      </c>
      <c r="I135" s="27"/>
      <c r="J135" s="29" t="s">
        <v>4334</v>
      </c>
      <c r="K135" s="27"/>
      <c r="L135" s="27"/>
      <c r="M135" s="27"/>
      <c r="N135" s="27"/>
      <c r="O135" s="27"/>
      <c r="P135" s="27"/>
      <c r="Q135" s="27"/>
      <c r="R135" s="27"/>
      <c r="S135" s="27"/>
      <c r="T135" s="27"/>
    </row>
    <row r="136">
      <c r="A136" s="74">
        <v>29013.0</v>
      </c>
      <c r="B136" s="28" t="s">
        <v>20</v>
      </c>
      <c r="C136" s="28" t="s">
        <v>4335</v>
      </c>
      <c r="D136" s="28" t="s">
        <v>4020</v>
      </c>
      <c r="E136" s="28" t="s">
        <v>4193</v>
      </c>
      <c r="F136" s="28"/>
      <c r="G136" s="28"/>
      <c r="H136" s="27"/>
      <c r="I136" s="27"/>
      <c r="J136" s="29" t="s">
        <v>4336</v>
      </c>
      <c r="K136" s="27"/>
      <c r="L136" s="27"/>
      <c r="M136" s="27"/>
      <c r="N136" s="27"/>
      <c r="O136" s="27"/>
      <c r="P136" s="27"/>
      <c r="Q136" s="27"/>
      <c r="R136" s="27"/>
      <c r="S136" s="27"/>
      <c r="T136" s="27"/>
    </row>
    <row r="137">
      <c r="A137" s="74">
        <v>29126.0</v>
      </c>
      <c r="B137" s="28" t="s">
        <v>20</v>
      </c>
      <c r="C137" s="28" t="s">
        <v>4337</v>
      </c>
      <c r="D137" s="28" t="s">
        <v>4020</v>
      </c>
      <c r="E137" s="28" t="s">
        <v>4020</v>
      </c>
      <c r="F137" s="28"/>
      <c r="G137" s="28"/>
      <c r="H137" s="43" t="s">
        <v>4338</v>
      </c>
      <c r="I137" s="29" t="s">
        <v>4339</v>
      </c>
      <c r="J137" s="29" t="s">
        <v>4340</v>
      </c>
      <c r="K137" s="27"/>
      <c r="L137" s="27"/>
      <c r="M137" s="27"/>
      <c r="N137" s="27"/>
      <c r="O137" s="27"/>
      <c r="P137" s="27"/>
      <c r="Q137" s="27"/>
      <c r="R137" s="27"/>
      <c r="S137" s="27"/>
      <c r="T137" s="27"/>
    </row>
    <row r="138">
      <c r="A138" s="74">
        <v>29180.0</v>
      </c>
      <c r="B138" s="28" t="s">
        <v>20</v>
      </c>
      <c r="C138" s="28" t="s">
        <v>4341</v>
      </c>
      <c r="D138" s="28" t="s">
        <v>4020</v>
      </c>
      <c r="E138" s="28" t="s">
        <v>4031</v>
      </c>
      <c r="F138" s="28"/>
      <c r="G138" s="28"/>
      <c r="H138" s="29" t="s">
        <v>4342</v>
      </c>
      <c r="I138" s="29" t="s">
        <v>4343</v>
      </c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</row>
    <row r="139">
      <c r="A139" s="74">
        <v>29424.0</v>
      </c>
      <c r="B139" s="28" t="s">
        <v>20</v>
      </c>
      <c r="C139" s="28" t="s">
        <v>2079</v>
      </c>
      <c r="D139" s="28" t="s">
        <v>4020</v>
      </c>
      <c r="E139" s="28" t="s">
        <v>4031</v>
      </c>
      <c r="F139" s="28"/>
      <c r="G139" s="28"/>
      <c r="H139" s="29" t="s">
        <v>4344</v>
      </c>
      <c r="I139" s="27"/>
      <c r="J139" s="29" t="s">
        <v>4345</v>
      </c>
      <c r="K139" s="27"/>
      <c r="L139" s="27"/>
      <c r="M139" s="27"/>
      <c r="N139" s="27"/>
      <c r="O139" s="27"/>
      <c r="P139" s="27"/>
      <c r="Q139" s="27"/>
      <c r="R139" s="27"/>
      <c r="S139" s="27"/>
      <c r="T139" s="27"/>
    </row>
    <row r="140">
      <c r="A140" s="74">
        <v>29774.0</v>
      </c>
      <c r="B140" s="28" t="s">
        <v>20</v>
      </c>
      <c r="C140" s="28" t="s">
        <v>760</v>
      </c>
      <c r="D140" s="28" t="s">
        <v>4020</v>
      </c>
      <c r="E140" s="28" t="s">
        <v>4020</v>
      </c>
      <c r="F140" s="28"/>
      <c r="G140" s="28"/>
      <c r="H140" s="43" t="s">
        <v>4346</v>
      </c>
      <c r="I140" s="27"/>
      <c r="J140" s="29" t="s">
        <v>4347</v>
      </c>
      <c r="K140" s="27"/>
      <c r="L140" s="27"/>
      <c r="M140" s="27"/>
      <c r="N140" s="27"/>
      <c r="O140" s="27"/>
      <c r="P140" s="27"/>
      <c r="Q140" s="27"/>
      <c r="R140" s="27"/>
      <c r="S140" s="27"/>
      <c r="T140" s="27"/>
    </row>
    <row r="141">
      <c r="A141" s="74">
        <v>29776.0</v>
      </c>
      <c r="B141" s="28" t="s">
        <v>20</v>
      </c>
      <c r="C141" s="28" t="s">
        <v>4348</v>
      </c>
      <c r="D141" s="28" t="s">
        <v>4020</v>
      </c>
      <c r="E141" s="28" t="s">
        <v>4042</v>
      </c>
      <c r="F141" s="28"/>
      <c r="G141" s="28"/>
      <c r="H141" s="43" t="s">
        <v>4349</v>
      </c>
      <c r="I141" s="29" t="s">
        <v>4350</v>
      </c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</row>
    <row r="142">
      <c r="A142" s="74">
        <v>29777.0</v>
      </c>
      <c r="B142" s="28" t="s">
        <v>20</v>
      </c>
      <c r="C142" s="28" t="s">
        <v>3770</v>
      </c>
      <c r="D142" s="28" t="s">
        <v>4020</v>
      </c>
      <c r="E142" s="28" t="s">
        <v>4031</v>
      </c>
      <c r="F142" s="28"/>
      <c r="G142" s="28"/>
      <c r="H142" s="27"/>
      <c r="I142" s="27"/>
      <c r="J142" s="29" t="s">
        <v>4351</v>
      </c>
      <c r="K142" s="27"/>
      <c r="L142" s="27"/>
      <c r="M142" s="27"/>
      <c r="N142" s="27"/>
      <c r="O142" s="27"/>
      <c r="P142" s="27"/>
      <c r="Q142" s="27"/>
      <c r="R142" s="27"/>
      <c r="S142" s="27"/>
      <c r="T142" s="27"/>
    </row>
    <row r="143">
      <c r="A143" s="74">
        <v>30303.0</v>
      </c>
      <c r="B143" s="28" t="s">
        <v>20</v>
      </c>
      <c r="C143" s="28" t="s">
        <v>4352</v>
      </c>
      <c r="D143" s="28" t="s">
        <v>4020</v>
      </c>
      <c r="E143" s="28" t="s">
        <v>4020</v>
      </c>
      <c r="F143" s="28"/>
      <c r="G143" s="28"/>
      <c r="H143" s="43" t="s">
        <v>4353</v>
      </c>
      <c r="I143" s="27"/>
      <c r="J143" s="29" t="s">
        <v>4354</v>
      </c>
      <c r="K143" s="27"/>
      <c r="L143" s="27"/>
      <c r="M143" s="27"/>
      <c r="N143" s="27"/>
      <c r="O143" s="27"/>
      <c r="P143" s="27"/>
      <c r="Q143" s="27"/>
      <c r="R143" s="27"/>
      <c r="S143" s="27"/>
      <c r="T143" s="27"/>
    </row>
    <row r="144">
      <c r="A144" s="74">
        <v>30310.0</v>
      </c>
      <c r="B144" s="28" t="s">
        <v>20</v>
      </c>
      <c r="C144" s="28" t="s">
        <v>4355</v>
      </c>
      <c r="D144" s="28" t="s">
        <v>4020</v>
      </c>
      <c r="E144" s="28" t="s">
        <v>4020</v>
      </c>
      <c r="F144" s="28"/>
      <c r="G144" s="28"/>
      <c r="H144" s="43" t="s">
        <v>4356</v>
      </c>
      <c r="I144" s="29" t="s">
        <v>4357</v>
      </c>
      <c r="J144" s="29" t="s">
        <v>4358</v>
      </c>
      <c r="K144" s="27"/>
      <c r="L144" s="27"/>
      <c r="M144" s="27"/>
      <c r="N144" s="27"/>
      <c r="O144" s="27"/>
      <c r="P144" s="27"/>
      <c r="Q144" s="27"/>
      <c r="R144" s="27"/>
      <c r="S144" s="27"/>
      <c r="T144" s="27"/>
    </row>
    <row r="145">
      <c r="A145" s="74">
        <v>31255.0</v>
      </c>
      <c r="B145" s="28" t="s">
        <v>20</v>
      </c>
      <c r="C145" s="28" t="s">
        <v>1234</v>
      </c>
      <c r="D145" s="28" t="s">
        <v>4020</v>
      </c>
      <c r="E145" s="28" t="s">
        <v>4020</v>
      </c>
      <c r="F145" s="28"/>
      <c r="G145" s="28"/>
      <c r="H145" s="43" t="s">
        <v>4359</v>
      </c>
      <c r="I145" s="27"/>
      <c r="J145" s="43" t="s">
        <v>4360</v>
      </c>
      <c r="K145" s="27"/>
      <c r="L145" s="27"/>
      <c r="M145" s="27"/>
      <c r="N145" s="27"/>
      <c r="O145" s="27"/>
      <c r="P145" s="27"/>
      <c r="Q145" s="27"/>
      <c r="R145" s="27"/>
      <c r="S145" s="27"/>
      <c r="T145" s="27"/>
    </row>
    <row r="146">
      <c r="A146" s="74">
        <v>31372.0</v>
      </c>
      <c r="B146" s="28" t="s">
        <v>20</v>
      </c>
      <c r="C146" s="28" t="s">
        <v>1108</v>
      </c>
      <c r="D146" s="28" t="s">
        <v>4020</v>
      </c>
      <c r="E146" s="28" t="s">
        <v>4020</v>
      </c>
      <c r="F146" s="28"/>
      <c r="G146" s="28"/>
      <c r="H146" s="27"/>
      <c r="I146" s="27"/>
      <c r="J146" s="29" t="s">
        <v>4361</v>
      </c>
      <c r="K146" s="27"/>
      <c r="L146" s="27"/>
      <c r="M146" s="27"/>
      <c r="N146" s="27"/>
      <c r="O146" s="27"/>
      <c r="P146" s="27"/>
      <c r="Q146" s="27"/>
      <c r="R146" s="27"/>
      <c r="S146" s="27"/>
      <c r="T146" s="27"/>
    </row>
    <row r="147">
      <c r="A147" s="74">
        <v>31750.0</v>
      </c>
      <c r="B147" s="28" t="s">
        <v>20</v>
      </c>
      <c r="C147" s="28" t="s">
        <v>4214</v>
      </c>
      <c r="D147" s="28" t="s">
        <v>4020</v>
      </c>
      <c r="E147" s="28" t="s">
        <v>4020</v>
      </c>
      <c r="F147" s="28"/>
      <c r="G147" s="28"/>
      <c r="H147" s="27"/>
      <c r="I147" s="27"/>
      <c r="J147" s="29" t="s">
        <v>4362</v>
      </c>
      <c r="K147" s="27"/>
      <c r="L147" s="27"/>
      <c r="M147" s="27"/>
      <c r="N147" s="27"/>
      <c r="O147" s="27"/>
      <c r="P147" s="27"/>
      <c r="Q147" s="27"/>
      <c r="R147" s="27"/>
      <c r="S147" s="27"/>
      <c r="T147" s="27"/>
    </row>
    <row r="148">
      <c r="A148" s="74">
        <v>31947.0</v>
      </c>
      <c r="B148" s="28" t="s">
        <v>20</v>
      </c>
      <c r="C148" s="28" t="s">
        <v>4363</v>
      </c>
      <c r="D148" s="28" t="s">
        <v>4020</v>
      </c>
      <c r="E148" s="28" t="s">
        <v>4031</v>
      </c>
      <c r="F148" s="28"/>
      <c r="G148" s="28"/>
      <c r="H148" s="29" t="s">
        <v>4364</v>
      </c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</row>
    <row r="149">
      <c r="A149" s="74">
        <v>31948.0</v>
      </c>
      <c r="B149" s="28" t="s">
        <v>20</v>
      </c>
      <c r="C149" s="28" t="s">
        <v>4365</v>
      </c>
      <c r="D149" s="28" t="s">
        <v>4020</v>
      </c>
      <c r="E149" s="28" t="s">
        <v>4020</v>
      </c>
      <c r="F149" s="28"/>
      <c r="G149" s="28"/>
      <c r="H149" s="43" t="s">
        <v>4366</v>
      </c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</row>
    <row r="150">
      <c r="A150" s="74">
        <v>31949.0</v>
      </c>
      <c r="B150" s="28" t="s">
        <v>20</v>
      </c>
      <c r="C150" s="28" t="s">
        <v>4367</v>
      </c>
      <c r="D150" s="28" t="s">
        <v>4020</v>
      </c>
      <c r="E150" s="28" t="s">
        <v>4020</v>
      </c>
      <c r="F150" s="28"/>
      <c r="G150" s="28"/>
      <c r="H150" s="43" t="s">
        <v>4368</v>
      </c>
      <c r="I150" s="27"/>
      <c r="J150" s="29" t="s">
        <v>4369</v>
      </c>
      <c r="K150" s="27"/>
      <c r="L150" s="27"/>
      <c r="M150" s="27"/>
      <c r="N150" s="27"/>
      <c r="O150" s="27"/>
      <c r="P150" s="27"/>
      <c r="Q150" s="27"/>
      <c r="R150" s="27"/>
      <c r="S150" s="27"/>
      <c r="T150" s="27"/>
    </row>
    <row r="151">
      <c r="A151" s="74">
        <v>31959.0</v>
      </c>
      <c r="B151" s="28" t="s">
        <v>20</v>
      </c>
      <c r="C151" s="28" t="s">
        <v>4370</v>
      </c>
      <c r="D151" s="28" t="s">
        <v>4020</v>
      </c>
      <c r="E151" s="28" t="s">
        <v>4020</v>
      </c>
      <c r="F151" s="28"/>
      <c r="G151" s="28"/>
      <c r="H151" s="43" t="s">
        <v>4371</v>
      </c>
      <c r="I151" s="29" t="s">
        <v>4372</v>
      </c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</row>
    <row r="152">
      <c r="A152" s="74">
        <v>31960.0</v>
      </c>
      <c r="B152" s="28" t="s">
        <v>20</v>
      </c>
      <c r="C152" s="28" t="s">
        <v>4373</v>
      </c>
      <c r="D152" s="28" t="s">
        <v>4020</v>
      </c>
      <c r="E152" s="28" t="s">
        <v>4020</v>
      </c>
      <c r="F152" s="28"/>
      <c r="G152" s="28"/>
      <c r="H152" s="43" t="s">
        <v>4374</v>
      </c>
      <c r="I152" s="27"/>
      <c r="J152" s="29" t="s">
        <v>4375</v>
      </c>
      <c r="K152" s="27"/>
      <c r="L152" s="27"/>
      <c r="M152" s="27"/>
      <c r="N152" s="27"/>
      <c r="O152" s="27"/>
      <c r="P152" s="27"/>
      <c r="Q152" s="27"/>
      <c r="R152" s="27"/>
      <c r="S152" s="27"/>
      <c r="T152" s="27"/>
    </row>
    <row r="153">
      <c r="A153" s="74">
        <v>31997.0</v>
      </c>
      <c r="B153" s="28" t="s">
        <v>20</v>
      </c>
      <c r="C153" s="28" t="s">
        <v>4376</v>
      </c>
      <c r="D153" s="28" t="s">
        <v>4020</v>
      </c>
      <c r="E153" s="28" t="s">
        <v>4020</v>
      </c>
      <c r="F153" s="28"/>
      <c r="G153" s="28"/>
      <c r="H153" s="43" t="s">
        <v>4377</v>
      </c>
      <c r="I153" s="27"/>
      <c r="J153" s="29" t="s">
        <v>4378</v>
      </c>
      <c r="K153" s="27"/>
      <c r="L153" s="27"/>
      <c r="M153" s="27"/>
      <c r="N153" s="27"/>
      <c r="O153" s="27"/>
      <c r="P153" s="27"/>
      <c r="Q153" s="27"/>
      <c r="R153" s="27"/>
      <c r="S153" s="27"/>
      <c r="T153" s="27"/>
    </row>
    <row r="154">
      <c r="A154" s="74">
        <v>31998.0</v>
      </c>
      <c r="B154" s="28" t="s">
        <v>20</v>
      </c>
      <c r="C154" s="28" t="s">
        <v>4379</v>
      </c>
      <c r="D154" s="28" t="s">
        <v>4020</v>
      </c>
      <c r="E154" s="28" t="s">
        <v>4020</v>
      </c>
      <c r="F154" s="28"/>
      <c r="G154" s="28"/>
      <c r="H154" s="43" t="s">
        <v>4080</v>
      </c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</row>
    <row r="155">
      <c r="A155" s="74">
        <v>31999.0</v>
      </c>
      <c r="B155" s="28" t="s">
        <v>20</v>
      </c>
      <c r="C155" s="28" t="s">
        <v>4380</v>
      </c>
      <c r="D155" s="28" t="s">
        <v>4020</v>
      </c>
      <c r="E155" s="28" t="s">
        <v>4020</v>
      </c>
      <c r="F155" s="28"/>
      <c r="G155" s="28"/>
      <c r="H155" s="43" t="s">
        <v>4381</v>
      </c>
      <c r="I155" s="27"/>
      <c r="J155" s="29" t="s">
        <v>4382</v>
      </c>
      <c r="K155" s="27"/>
      <c r="L155" s="27"/>
      <c r="M155" s="27"/>
      <c r="N155" s="27"/>
      <c r="O155" s="27"/>
      <c r="P155" s="27"/>
      <c r="Q155" s="27"/>
      <c r="R155" s="27"/>
      <c r="S155" s="27"/>
      <c r="T155" s="27"/>
    </row>
    <row r="156">
      <c r="A156" s="74">
        <v>32001.0</v>
      </c>
      <c r="B156" s="28" t="s">
        <v>276</v>
      </c>
      <c r="C156" s="28" t="s">
        <v>4383</v>
      </c>
      <c r="D156" s="28" t="s">
        <v>4020</v>
      </c>
      <c r="E156" s="28" t="s">
        <v>4020</v>
      </c>
      <c r="F156" s="28"/>
      <c r="G156" s="28"/>
      <c r="H156" s="43" t="s">
        <v>4384</v>
      </c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</row>
    <row r="157">
      <c r="A157" s="74">
        <v>32005.0</v>
      </c>
      <c r="B157" s="28" t="s">
        <v>20</v>
      </c>
      <c r="C157" s="28" t="s">
        <v>922</v>
      </c>
      <c r="D157" s="28" t="s">
        <v>4020</v>
      </c>
      <c r="E157" s="28" t="s">
        <v>4020</v>
      </c>
      <c r="F157" s="28"/>
      <c r="G157" s="28"/>
      <c r="H157" s="43" t="s">
        <v>4385</v>
      </c>
      <c r="I157" s="27"/>
      <c r="J157" s="29" t="s">
        <v>4386</v>
      </c>
      <c r="K157" s="27"/>
      <c r="L157" s="27"/>
      <c r="M157" s="27"/>
      <c r="N157" s="27"/>
      <c r="O157" s="27"/>
      <c r="P157" s="27"/>
      <c r="Q157" s="27"/>
      <c r="R157" s="27"/>
      <c r="S157" s="27"/>
      <c r="T157" s="27"/>
    </row>
    <row r="158">
      <c r="A158" s="74">
        <v>32006.0</v>
      </c>
      <c r="B158" s="28" t="s">
        <v>20</v>
      </c>
      <c r="C158" s="28" t="s">
        <v>2267</v>
      </c>
      <c r="D158" s="28" t="s">
        <v>4020</v>
      </c>
      <c r="E158" s="28" t="s">
        <v>4132</v>
      </c>
      <c r="F158" s="28"/>
      <c r="G158" s="28"/>
      <c r="H158" s="29" t="s">
        <v>4387</v>
      </c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</row>
    <row r="159">
      <c r="A159" s="74">
        <v>32007.0</v>
      </c>
      <c r="B159" s="28" t="s">
        <v>20</v>
      </c>
      <c r="C159" s="28" t="s">
        <v>4388</v>
      </c>
      <c r="D159" s="28" t="s">
        <v>4020</v>
      </c>
      <c r="E159" s="28" t="s">
        <v>4020</v>
      </c>
      <c r="F159" s="28"/>
      <c r="G159" s="28"/>
      <c r="H159" s="43" t="s">
        <v>4389</v>
      </c>
      <c r="I159" s="29" t="s">
        <v>4390</v>
      </c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</row>
    <row r="160">
      <c r="A160" s="74">
        <v>32008.0</v>
      </c>
      <c r="B160" s="28" t="s">
        <v>20</v>
      </c>
      <c r="C160" s="28" t="s">
        <v>4391</v>
      </c>
      <c r="D160" s="28" t="s">
        <v>4020</v>
      </c>
      <c r="E160" s="28" t="s">
        <v>4020</v>
      </c>
      <c r="F160" s="28"/>
      <c r="G160" s="28"/>
      <c r="H160" s="27"/>
      <c r="I160" s="27"/>
      <c r="J160" s="29" t="s">
        <v>4392</v>
      </c>
      <c r="K160" s="27"/>
      <c r="L160" s="27"/>
      <c r="M160" s="27"/>
      <c r="N160" s="27"/>
      <c r="O160" s="27"/>
      <c r="P160" s="27"/>
      <c r="Q160" s="27"/>
      <c r="R160" s="27"/>
      <c r="S160" s="27"/>
      <c r="T160" s="27"/>
    </row>
    <row r="161">
      <c r="A161" s="74">
        <v>32010.0</v>
      </c>
      <c r="B161" s="28" t="s">
        <v>20</v>
      </c>
      <c r="C161" s="28" t="s">
        <v>4393</v>
      </c>
      <c r="D161" s="28" t="s">
        <v>4020</v>
      </c>
      <c r="E161" s="28" t="s">
        <v>4020</v>
      </c>
      <c r="F161" s="28"/>
      <c r="G161" s="28"/>
      <c r="H161" s="43" t="s">
        <v>4394</v>
      </c>
      <c r="I161" s="27"/>
      <c r="J161" s="29" t="s">
        <v>4395</v>
      </c>
      <c r="K161" s="27"/>
      <c r="L161" s="27"/>
      <c r="M161" s="27"/>
      <c r="N161" s="27"/>
      <c r="O161" s="27"/>
      <c r="P161" s="27"/>
      <c r="Q161" s="27"/>
      <c r="R161" s="27"/>
      <c r="S161" s="27"/>
      <c r="T161" s="27"/>
    </row>
    <row r="162">
      <c r="A162" s="74">
        <v>32011.0</v>
      </c>
      <c r="B162" s="28" t="s">
        <v>20</v>
      </c>
      <c r="C162" s="28" t="s">
        <v>4396</v>
      </c>
      <c r="D162" s="28" t="s">
        <v>4020</v>
      </c>
      <c r="E162" s="28" t="s">
        <v>4020</v>
      </c>
      <c r="F162" s="28"/>
      <c r="G162" s="28"/>
      <c r="H162" s="43" t="s">
        <v>4397</v>
      </c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</row>
    <row r="163">
      <c r="A163" s="74">
        <v>32065.0</v>
      </c>
      <c r="B163" s="28" t="s">
        <v>20</v>
      </c>
      <c r="C163" s="28" t="s">
        <v>4398</v>
      </c>
      <c r="D163" s="28" t="s">
        <v>4020</v>
      </c>
      <c r="E163" s="28" t="s">
        <v>4020</v>
      </c>
      <c r="F163" s="28"/>
      <c r="G163" s="28"/>
      <c r="H163" s="43" t="s">
        <v>4399</v>
      </c>
      <c r="I163" s="27"/>
      <c r="J163" s="29" t="s">
        <v>4400</v>
      </c>
      <c r="K163" s="27"/>
      <c r="L163" s="27"/>
      <c r="M163" s="27"/>
      <c r="N163" s="27"/>
      <c r="O163" s="27"/>
      <c r="P163" s="27"/>
      <c r="Q163" s="27"/>
      <c r="R163" s="27"/>
      <c r="S163" s="27"/>
      <c r="T163" s="27"/>
    </row>
    <row r="164">
      <c r="A164" s="74">
        <v>32268.0</v>
      </c>
      <c r="B164" s="28" t="s">
        <v>20</v>
      </c>
      <c r="C164" s="28" t="s">
        <v>3770</v>
      </c>
      <c r="D164" s="28" t="s">
        <v>4020</v>
      </c>
      <c r="E164" s="28" t="s">
        <v>4020</v>
      </c>
      <c r="F164" s="28"/>
      <c r="G164" s="28"/>
      <c r="H164" s="43" t="s">
        <v>4401</v>
      </c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</row>
    <row r="165">
      <c r="A165" s="74">
        <v>32270.0</v>
      </c>
      <c r="B165" s="28" t="s">
        <v>20</v>
      </c>
      <c r="C165" s="28" t="s">
        <v>4402</v>
      </c>
      <c r="D165" s="28" t="s">
        <v>4020</v>
      </c>
      <c r="E165" s="28" t="s">
        <v>4020</v>
      </c>
      <c r="F165" s="28"/>
      <c r="G165" s="28"/>
      <c r="H165" s="43" t="s">
        <v>4403</v>
      </c>
      <c r="I165" s="27"/>
      <c r="J165" s="29" t="s">
        <v>4404</v>
      </c>
      <c r="K165" s="27"/>
      <c r="L165" s="27"/>
      <c r="M165" s="27"/>
      <c r="N165" s="27"/>
      <c r="O165" s="27"/>
      <c r="P165" s="27"/>
      <c r="Q165" s="27"/>
      <c r="R165" s="27"/>
      <c r="S165" s="27"/>
      <c r="T165" s="27"/>
    </row>
    <row r="166">
      <c r="A166" s="74">
        <v>32582.0</v>
      </c>
      <c r="B166" s="28" t="s">
        <v>20</v>
      </c>
      <c r="C166" s="28" t="s">
        <v>3658</v>
      </c>
      <c r="D166" s="28" t="s">
        <v>4020</v>
      </c>
      <c r="E166" s="28" t="s">
        <v>4122</v>
      </c>
      <c r="F166" s="28" t="s">
        <v>4405</v>
      </c>
      <c r="G166" s="28"/>
      <c r="H166" s="29" t="s">
        <v>4406</v>
      </c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</row>
    <row r="167">
      <c r="A167" s="74">
        <v>32583.0</v>
      </c>
      <c r="B167" s="28" t="s">
        <v>20</v>
      </c>
      <c r="C167" s="28" t="s">
        <v>74</v>
      </c>
      <c r="D167" s="28" t="s">
        <v>4020</v>
      </c>
      <c r="E167" s="28" t="s">
        <v>4122</v>
      </c>
      <c r="F167" s="28"/>
      <c r="G167" s="28"/>
      <c r="H167" s="29" t="s">
        <v>4407</v>
      </c>
      <c r="I167" s="27"/>
      <c r="J167" s="95"/>
      <c r="K167" s="27"/>
      <c r="L167" s="27"/>
      <c r="M167" s="27"/>
      <c r="N167" s="27"/>
      <c r="O167" s="27"/>
      <c r="P167" s="27"/>
      <c r="Q167" s="27"/>
      <c r="R167" s="27"/>
      <c r="S167" s="27"/>
      <c r="T167" s="27"/>
    </row>
    <row r="168">
      <c r="A168" s="74">
        <v>32585.0</v>
      </c>
      <c r="B168" s="28" t="s">
        <v>20</v>
      </c>
      <c r="C168" s="28" t="s">
        <v>4408</v>
      </c>
      <c r="D168" s="28" t="s">
        <v>4020</v>
      </c>
      <c r="E168" s="28" t="s">
        <v>4042</v>
      </c>
      <c r="F168" s="28"/>
      <c r="G168" s="28"/>
      <c r="H168" s="96" t="s">
        <v>4409</v>
      </c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</row>
    <row r="169">
      <c r="A169" s="74">
        <v>32586.0</v>
      </c>
      <c r="B169" s="28" t="s">
        <v>20</v>
      </c>
      <c r="C169" s="28" t="s">
        <v>1168</v>
      </c>
      <c r="D169" s="28" t="s">
        <v>4020</v>
      </c>
      <c r="E169" s="28" t="s">
        <v>4042</v>
      </c>
      <c r="F169" s="28"/>
      <c r="G169" s="28"/>
      <c r="H169" s="43" t="s">
        <v>4410</v>
      </c>
      <c r="I169" s="27"/>
      <c r="J169" s="97"/>
      <c r="K169" s="27"/>
      <c r="L169" s="27"/>
      <c r="M169" s="27"/>
      <c r="N169" s="27"/>
      <c r="O169" s="27"/>
      <c r="P169" s="27"/>
      <c r="Q169" s="27"/>
      <c r="R169" s="27"/>
      <c r="S169" s="27"/>
      <c r="T169" s="27"/>
    </row>
    <row r="170">
      <c r="A170" s="74">
        <v>32601.0</v>
      </c>
      <c r="B170" s="28" t="s">
        <v>20</v>
      </c>
      <c r="C170" s="28" t="s">
        <v>4079</v>
      </c>
      <c r="D170" s="28" t="s">
        <v>4020</v>
      </c>
      <c r="E170" s="28" t="s">
        <v>4031</v>
      </c>
      <c r="F170" s="28"/>
      <c r="G170" s="28"/>
      <c r="H170" s="29" t="s">
        <v>4411</v>
      </c>
      <c r="I170" s="27"/>
      <c r="J170" s="98" t="s">
        <v>4412</v>
      </c>
      <c r="K170" s="27"/>
      <c r="L170" s="27"/>
      <c r="M170" s="27"/>
      <c r="N170" s="27"/>
      <c r="O170" s="27"/>
      <c r="P170" s="27"/>
      <c r="Q170" s="27"/>
      <c r="R170" s="27"/>
      <c r="S170" s="27"/>
      <c r="T170" s="27"/>
    </row>
    <row r="171">
      <c r="A171" s="74">
        <v>32607.0</v>
      </c>
      <c r="B171" s="28" t="s">
        <v>20</v>
      </c>
      <c r="C171" s="28" t="s">
        <v>4380</v>
      </c>
      <c r="D171" s="28" t="s">
        <v>4020</v>
      </c>
      <c r="E171" s="28" t="s">
        <v>4021</v>
      </c>
      <c r="F171" s="28"/>
      <c r="G171" s="28"/>
      <c r="H171" s="43" t="s">
        <v>4413</v>
      </c>
      <c r="I171" s="27"/>
      <c r="J171" s="77"/>
      <c r="K171" s="27"/>
      <c r="L171" s="27"/>
      <c r="M171" s="27"/>
      <c r="N171" s="27"/>
      <c r="O171" s="27"/>
      <c r="P171" s="27"/>
      <c r="Q171" s="27"/>
      <c r="R171" s="27"/>
      <c r="S171" s="27"/>
      <c r="T171" s="27"/>
    </row>
    <row r="172">
      <c r="A172" s="74">
        <v>32787.0</v>
      </c>
      <c r="B172" s="28" t="s">
        <v>20</v>
      </c>
      <c r="C172" s="28" t="s">
        <v>4414</v>
      </c>
      <c r="D172" s="28" t="s">
        <v>4020</v>
      </c>
      <c r="E172" s="28" t="s">
        <v>4042</v>
      </c>
      <c r="F172" s="28"/>
      <c r="G172" s="28"/>
      <c r="H172" s="29" t="s">
        <v>4415</v>
      </c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</row>
    <row r="173">
      <c r="A173" s="74">
        <v>32789.0</v>
      </c>
      <c r="B173" s="28" t="s">
        <v>20</v>
      </c>
      <c r="C173" s="28" t="s">
        <v>4416</v>
      </c>
      <c r="D173" s="28" t="s">
        <v>4020</v>
      </c>
      <c r="E173" s="28" t="s">
        <v>4042</v>
      </c>
      <c r="F173" s="28"/>
      <c r="G173" s="28"/>
      <c r="H173" s="43" t="s">
        <v>4417</v>
      </c>
      <c r="I173" s="27"/>
      <c r="J173" s="29" t="s">
        <v>4418</v>
      </c>
      <c r="K173" s="27"/>
      <c r="L173" s="27"/>
      <c r="M173" s="27"/>
      <c r="N173" s="27"/>
      <c r="O173" s="27"/>
      <c r="P173" s="27"/>
      <c r="Q173" s="27"/>
      <c r="R173" s="27"/>
      <c r="S173" s="27"/>
      <c r="T173" s="27"/>
    </row>
    <row r="174">
      <c r="A174" s="74">
        <v>32790.0</v>
      </c>
      <c r="B174" s="28" t="s">
        <v>20</v>
      </c>
      <c r="C174" s="28" t="s">
        <v>760</v>
      </c>
      <c r="D174" s="28" t="s">
        <v>4020</v>
      </c>
      <c r="E174" s="28" t="s">
        <v>4042</v>
      </c>
      <c r="F174" s="28"/>
      <c r="G174" s="28"/>
      <c r="H174" s="29" t="s">
        <v>4419</v>
      </c>
      <c r="I174" s="99"/>
      <c r="J174" s="77"/>
      <c r="K174" s="27"/>
      <c r="L174" s="27"/>
      <c r="M174" s="27"/>
      <c r="N174" s="27"/>
      <c r="O174" s="27"/>
      <c r="P174" s="27"/>
      <c r="Q174" s="27"/>
      <c r="R174" s="27"/>
      <c r="S174" s="27"/>
      <c r="T174" s="27"/>
    </row>
    <row r="175">
      <c r="A175" s="74">
        <v>32854.0</v>
      </c>
      <c r="B175" s="28" t="s">
        <v>20</v>
      </c>
      <c r="C175" s="28" t="s">
        <v>4420</v>
      </c>
      <c r="D175" s="28" t="s">
        <v>4020</v>
      </c>
      <c r="E175" s="28" t="s">
        <v>4020</v>
      </c>
      <c r="F175" s="28"/>
      <c r="G175" s="28"/>
      <c r="H175" s="43" t="s">
        <v>4421</v>
      </c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</row>
    <row r="176">
      <c r="A176" s="74">
        <v>32872.0</v>
      </c>
      <c r="B176" s="28" t="s">
        <v>20</v>
      </c>
      <c r="C176" s="28" t="s">
        <v>4422</v>
      </c>
      <c r="D176" s="28" t="s">
        <v>4020</v>
      </c>
      <c r="E176" s="28" t="s">
        <v>4020</v>
      </c>
      <c r="F176" s="28"/>
      <c r="G176" s="28"/>
      <c r="H176" s="27"/>
      <c r="I176" s="27"/>
      <c r="J176" s="29" t="s">
        <v>4423</v>
      </c>
      <c r="K176" s="27"/>
      <c r="L176" s="27"/>
      <c r="M176" s="27"/>
      <c r="N176" s="27"/>
      <c r="O176" s="27"/>
      <c r="P176" s="27"/>
      <c r="Q176" s="27"/>
      <c r="R176" s="27"/>
      <c r="S176" s="27"/>
      <c r="T176" s="27"/>
    </row>
    <row r="177">
      <c r="A177" s="74">
        <v>32895.0</v>
      </c>
      <c r="B177" s="28" t="s">
        <v>20</v>
      </c>
      <c r="C177" s="28" t="s">
        <v>4424</v>
      </c>
      <c r="D177" s="28" t="s">
        <v>4020</v>
      </c>
      <c r="E177" s="28" t="s">
        <v>4248</v>
      </c>
      <c r="F177" s="28" t="s">
        <v>4425</v>
      </c>
      <c r="G177" s="28"/>
      <c r="H177" s="43" t="s">
        <v>4426</v>
      </c>
      <c r="I177" s="29" t="s">
        <v>4427</v>
      </c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</row>
    <row r="178">
      <c r="A178" s="74">
        <v>33025.0</v>
      </c>
      <c r="B178" s="28" t="s">
        <v>20</v>
      </c>
      <c r="C178" s="28" t="s">
        <v>4428</v>
      </c>
      <c r="D178" s="28" t="s">
        <v>4020</v>
      </c>
      <c r="E178" s="28" t="s">
        <v>4020</v>
      </c>
      <c r="F178" s="28"/>
      <c r="G178" s="28"/>
      <c r="H178" s="43" t="s">
        <v>4429</v>
      </c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</row>
    <row r="179">
      <c r="A179" s="27"/>
      <c r="B179" s="28" t="s">
        <v>20</v>
      </c>
      <c r="C179" s="28" t="s">
        <v>4430</v>
      </c>
      <c r="D179" s="28" t="s">
        <v>4020</v>
      </c>
      <c r="E179" s="28" t="s">
        <v>4193</v>
      </c>
      <c r="F179" s="28"/>
      <c r="G179" s="28"/>
      <c r="H179" s="43" t="s">
        <v>4431</v>
      </c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</row>
    <row r="180">
      <c r="A180" s="27"/>
      <c r="B180" s="28" t="s">
        <v>20</v>
      </c>
      <c r="C180" s="28" t="s">
        <v>74</v>
      </c>
      <c r="D180" s="28" t="s">
        <v>4020</v>
      </c>
      <c r="E180" s="28" t="s">
        <v>4021</v>
      </c>
      <c r="F180" s="28"/>
      <c r="G180" s="28"/>
      <c r="H180" s="43" t="s">
        <v>4432</v>
      </c>
      <c r="I180" s="29" t="s">
        <v>4433</v>
      </c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</row>
    <row r="181">
      <c r="A181" s="27"/>
      <c r="B181" s="28" t="s">
        <v>20</v>
      </c>
      <c r="C181" s="28" t="s">
        <v>4114</v>
      </c>
      <c r="D181" s="28" t="s">
        <v>4020</v>
      </c>
      <c r="E181" s="28" t="s">
        <v>4021</v>
      </c>
      <c r="F181" s="28"/>
      <c r="G181" s="28"/>
      <c r="H181" s="43" t="s">
        <v>4434</v>
      </c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</row>
    <row r="182">
      <c r="A182" s="27"/>
      <c r="B182" s="28" t="s">
        <v>20</v>
      </c>
      <c r="C182" s="28" t="s">
        <v>4435</v>
      </c>
      <c r="D182" s="28" t="s">
        <v>4020</v>
      </c>
      <c r="E182" s="28" t="s">
        <v>4122</v>
      </c>
      <c r="F182" s="28"/>
      <c r="G182" s="28"/>
      <c r="H182" s="27"/>
      <c r="I182" s="43" t="s">
        <v>4436</v>
      </c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</row>
    <row r="183">
      <c r="A183" s="74"/>
      <c r="B183" s="28" t="s">
        <v>20</v>
      </c>
      <c r="C183" s="28" t="s">
        <v>4437</v>
      </c>
      <c r="D183" s="28" t="s">
        <v>4020</v>
      </c>
      <c r="E183" s="28" t="s">
        <v>4122</v>
      </c>
      <c r="F183" s="28" t="s">
        <v>4438</v>
      </c>
      <c r="G183" s="28"/>
      <c r="H183" s="43" t="s">
        <v>4439</v>
      </c>
      <c r="I183" s="27"/>
      <c r="J183" s="32"/>
      <c r="K183" s="27"/>
      <c r="L183" s="27"/>
      <c r="M183" s="27"/>
      <c r="N183" s="27"/>
      <c r="O183" s="27"/>
      <c r="P183" s="27"/>
      <c r="Q183" s="27"/>
      <c r="R183" s="27"/>
      <c r="S183" s="27"/>
      <c r="T183" s="27"/>
    </row>
    <row r="184">
      <c r="A184" s="74"/>
      <c r="B184" s="28" t="s">
        <v>20</v>
      </c>
      <c r="C184" s="28" t="s">
        <v>4440</v>
      </c>
      <c r="D184" s="28" t="s">
        <v>4020</v>
      </c>
      <c r="E184" s="28" t="s">
        <v>4441</v>
      </c>
      <c r="F184" s="28"/>
      <c r="G184" s="28"/>
      <c r="H184" s="29" t="s">
        <v>4442</v>
      </c>
      <c r="I184" s="27"/>
      <c r="J184" s="32"/>
      <c r="K184" s="27"/>
      <c r="L184" s="27"/>
      <c r="M184" s="27"/>
      <c r="N184" s="27"/>
      <c r="O184" s="27"/>
      <c r="P184" s="27"/>
      <c r="Q184" s="27"/>
      <c r="R184" s="27"/>
      <c r="S184" s="27"/>
      <c r="T184" s="27"/>
    </row>
    <row r="185">
      <c r="A185" s="74"/>
      <c r="B185" s="28" t="s">
        <v>20</v>
      </c>
      <c r="C185" s="28" t="s">
        <v>1221</v>
      </c>
      <c r="D185" s="28" t="s">
        <v>4020</v>
      </c>
      <c r="E185" s="28" t="s">
        <v>4441</v>
      </c>
      <c r="F185" s="28"/>
      <c r="G185" s="28"/>
      <c r="H185" s="43" t="s">
        <v>4443</v>
      </c>
      <c r="I185" s="27"/>
      <c r="J185" s="32"/>
      <c r="K185" s="27"/>
      <c r="L185" s="27"/>
      <c r="M185" s="27"/>
      <c r="N185" s="27"/>
      <c r="O185" s="27"/>
      <c r="P185" s="27"/>
      <c r="Q185" s="27"/>
      <c r="R185" s="27"/>
      <c r="S185" s="27"/>
      <c r="T185" s="27"/>
    </row>
    <row r="186">
      <c r="A186" s="74"/>
      <c r="B186" s="28" t="s">
        <v>20</v>
      </c>
      <c r="C186" s="28" t="s">
        <v>4444</v>
      </c>
      <c r="D186" s="28" t="s">
        <v>4020</v>
      </c>
      <c r="E186" s="28" t="s">
        <v>4051</v>
      </c>
      <c r="F186" s="28"/>
      <c r="G186" s="28"/>
      <c r="H186" s="43" t="s">
        <v>4445</v>
      </c>
      <c r="I186" s="43" t="s">
        <v>4446</v>
      </c>
      <c r="J186" s="32"/>
      <c r="K186" s="27"/>
      <c r="L186" s="27"/>
      <c r="M186" s="27"/>
      <c r="N186" s="27"/>
      <c r="O186" s="27"/>
      <c r="P186" s="27"/>
      <c r="Q186" s="27"/>
      <c r="R186" s="27"/>
      <c r="S186" s="27"/>
      <c r="T186" s="27"/>
    </row>
    <row r="187">
      <c r="A187" s="27"/>
      <c r="B187" s="28" t="s">
        <v>20</v>
      </c>
      <c r="C187" s="28" t="s">
        <v>4447</v>
      </c>
      <c r="D187" s="28" t="s">
        <v>4020</v>
      </c>
      <c r="E187" s="28" t="s">
        <v>4248</v>
      </c>
      <c r="F187" s="28"/>
      <c r="G187" s="28"/>
      <c r="H187" s="43" t="s">
        <v>4448</v>
      </c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</row>
    <row r="188">
      <c r="A188" s="74"/>
      <c r="B188" s="28" t="s">
        <v>20</v>
      </c>
      <c r="C188" s="28" t="s">
        <v>4449</v>
      </c>
      <c r="D188" s="28" t="s">
        <v>4020</v>
      </c>
      <c r="E188" s="28" t="s">
        <v>4248</v>
      </c>
      <c r="F188" s="28"/>
      <c r="G188" s="28"/>
      <c r="H188" s="27"/>
      <c r="I188" s="27"/>
      <c r="J188" s="29" t="s">
        <v>4450</v>
      </c>
      <c r="K188" s="27"/>
      <c r="L188" s="27"/>
      <c r="M188" s="27"/>
      <c r="N188" s="27"/>
      <c r="O188" s="27"/>
      <c r="P188" s="27"/>
      <c r="Q188" s="27"/>
      <c r="R188" s="27"/>
      <c r="S188" s="27"/>
      <c r="T188" s="27"/>
    </row>
    <row r="189">
      <c r="A189" s="27"/>
      <c r="B189" s="28" t="s">
        <v>20</v>
      </c>
      <c r="C189" s="28" t="s">
        <v>4451</v>
      </c>
      <c r="D189" s="28" t="s">
        <v>4020</v>
      </c>
      <c r="E189" s="28" t="s">
        <v>4248</v>
      </c>
      <c r="F189" s="28"/>
      <c r="G189" s="28"/>
      <c r="H189" s="43" t="s">
        <v>4452</v>
      </c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</row>
    <row r="190">
      <c r="A190" s="74"/>
      <c r="B190" s="28" t="s">
        <v>20</v>
      </c>
      <c r="C190" s="28" t="s">
        <v>4453</v>
      </c>
      <c r="D190" s="28" t="s">
        <v>4020</v>
      </c>
      <c r="E190" s="28" t="s">
        <v>4248</v>
      </c>
      <c r="F190" s="28"/>
      <c r="G190" s="28"/>
      <c r="H190" s="29" t="s">
        <v>4454</v>
      </c>
      <c r="I190" s="27"/>
      <c r="J190" s="32"/>
      <c r="K190" s="27"/>
      <c r="L190" s="27"/>
      <c r="M190" s="27"/>
      <c r="N190" s="27"/>
      <c r="O190" s="27"/>
      <c r="P190" s="27"/>
      <c r="Q190" s="27"/>
      <c r="R190" s="27"/>
      <c r="S190" s="27"/>
      <c r="T190" s="27"/>
    </row>
    <row r="191">
      <c r="A191" s="74"/>
      <c r="B191" s="28" t="s">
        <v>20</v>
      </c>
      <c r="C191" s="28" t="s">
        <v>724</v>
      </c>
      <c r="D191" s="28" t="s">
        <v>4020</v>
      </c>
      <c r="E191" s="28" t="s">
        <v>4042</v>
      </c>
      <c r="F191" s="28"/>
      <c r="G191" s="28"/>
      <c r="H191" s="77"/>
      <c r="I191" s="77"/>
      <c r="J191" s="43" t="s">
        <v>4418</v>
      </c>
      <c r="K191" s="27"/>
      <c r="L191" s="27"/>
      <c r="M191" s="27"/>
      <c r="N191" s="27"/>
      <c r="O191" s="27"/>
      <c r="P191" s="27"/>
      <c r="Q191" s="27"/>
      <c r="R191" s="27"/>
      <c r="S191" s="27"/>
      <c r="T191" s="27"/>
    </row>
    <row r="192">
      <c r="A192" s="74"/>
      <c r="B192" s="28" t="s">
        <v>20</v>
      </c>
      <c r="C192" s="28" t="s">
        <v>4196</v>
      </c>
      <c r="D192" s="28" t="s">
        <v>4020</v>
      </c>
      <c r="E192" s="28" t="s">
        <v>4042</v>
      </c>
      <c r="F192" s="28"/>
      <c r="G192" s="28"/>
      <c r="H192" s="29" t="s">
        <v>4455</v>
      </c>
      <c r="I192" s="29" t="s">
        <v>4456</v>
      </c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</row>
    <row r="193">
      <c r="A193" s="74"/>
      <c r="B193" s="28" t="s">
        <v>17</v>
      </c>
      <c r="C193" s="28" t="s">
        <v>4457</v>
      </c>
      <c r="D193" s="28" t="s">
        <v>4020</v>
      </c>
      <c r="E193" s="28" t="s">
        <v>4042</v>
      </c>
      <c r="F193" s="28"/>
      <c r="G193" s="28"/>
      <c r="H193" s="29" t="s">
        <v>4458</v>
      </c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</row>
    <row r="194">
      <c r="A194" s="74"/>
      <c r="B194" s="28" t="s">
        <v>20</v>
      </c>
      <c r="C194" s="28" t="s">
        <v>4459</v>
      </c>
      <c r="D194" s="28" t="s">
        <v>4020</v>
      </c>
      <c r="E194" s="28" t="s">
        <v>4042</v>
      </c>
      <c r="F194" s="28"/>
      <c r="G194" s="28"/>
      <c r="H194" s="29" t="s">
        <v>4460</v>
      </c>
      <c r="I194" s="27"/>
      <c r="J194" s="32"/>
      <c r="K194" s="27"/>
      <c r="L194" s="27"/>
      <c r="M194" s="27"/>
      <c r="N194" s="27"/>
      <c r="O194" s="27"/>
      <c r="P194" s="27"/>
      <c r="Q194" s="27"/>
      <c r="R194" s="27"/>
      <c r="S194" s="27"/>
      <c r="T194" s="27"/>
    </row>
    <row r="195">
      <c r="A195" s="74"/>
      <c r="B195" s="28" t="s">
        <v>20</v>
      </c>
      <c r="C195" s="28" t="s">
        <v>1925</v>
      </c>
      <c r="D195" s="28" t="s">
        <v>4020</v>
      </c>
      <c r="E195" s="28" t="s">
        <v>4042</v>
      </c>
      <c r="F195" s="28"/>
      <c r="G195" s="28"/>
      <c r="H195" s="43" t="s">
        <v>4461</v>
      </c>
      <c r="I195" s="29" t="s">
        <v>4462</v>
      </c>
      <c r="J195" s="32"/>
      <c r="K195" s="27"/>
      <c r="L195" s="27"/>
      <c r="M195" s="27"/>
      <c r="N195" s="27"/>
      <c r="O195" s="27"/>
      <c r="P195" s="27"/>
      <c r="Q195" s="27"/>
      <c r="R195" s="27"/>
      <c r="S195" s="27"/>
      <c r="T195" s="27"/>
    </row>
    <row r="196">
      <c r="A196" s="74"/>
      <c r="B196" s="28" t="s">
        <v>20</v>
      </c>
      <c r="C196" s="28" t="s">
        <v>4047</v>
      </c>
      <c r="D196" s="28" t="s">
        <v>4020</v>
      </c>
      <c r="E196" s="28" t="s">
        <v>4042</v>
      </c>
      <c r="F196" s="28"/>
      <c r="G196" s="28"/>
      <c r="H196" s="43" t="s">
        <v>4463</v>
      </c>
      <c r="I196" s="43" t="s">
        <v>4464</v>
      </c>
      <c r="J196" s="32"/>
      <c r="K196" s="27"/>
      <c r="L196" s="27"/>
      <c r="M196" s="27"/>
      <c r="N196" s="27"/>
      <c r="O196" s="27"/>
      <c r="P196" s="27"/>
      <c r="Q196" s="27"/>
      <c r="R196" s="27"/>
      <c r="S196" s="27"/>
      <c r="T196" s="27"/>
    </row>
    <row r="197">
      <c r="A197" s="74"/>
      <c r="B197" s="28" t="s">
        <v>20</v>
      </c>
      <c r="C197" s="28" t="s">
        <v>4465</v>
      </c>
      <c r="D197" s="28" t="s">
        <v>4020</v>
      </c>
      <c r="E197" s="28" t="s">
        <v>4042</v>
      </c>
      <c r="F197" s="28"/>
      <c r="G197" s="74" t="s">
        <v>318</v>
      </c>
      <c r="H197" s="43" t="s">
        <v>4466</v>
      </c>
      <c r="I197" s="43" t="s">
        <v>4467</v>
      </c>
      <c r="J197" s="43" t="s">
        <v>4468</v>
      </c>
      <c r="K197" s="43" t="s">
        <v>4469</v>
      </c>
      <c r="L197" s="27"/>
      <c r="M197" s="27"/>
      <c r="N197" s="27"/>
      <c r="O197" s="27"/>
      <c r="P197" s="27"/>
      <c r="Q197" s="27"/>
      <c r="R197" s="27"/>
      <c r="S197" s="27"/>
      <c r="T197" s="27"/>
    </row>
    <row r="198">
      <c r="A198" s="74"/>
      <c r="B198" s="28" t="s">
        <v>20</v>
      </c>
      <c r="C198" s="28" t="s">
        <v>4470</v>
      </c>
      <c r="D198" s="28" t="s">
        <v>4020</v>
      </c>
      <c r="E198" s="28" t="s">
        <v>4042</v>
      </c>
      <c r="F198" s="28"/>
      <c r="G198" s="28"/>
      <c r="H198" s="43" t="s">
        <v>4471</v>
      </c>
      <c r="I198" s="27"/>
      <c r="J198" s="43" t="s">
        <v>4472</v>
      </c>
      <c r="K198" s="27"/>
      <c r="L198" s="27"/>
      <c r="M198" s="27"/>
      <c r="N198" s="27"/>
      <c r="O198" s="27"/>
      <c r="P198" s="27"/>
      <c r="Q198" s="27"/>
      <c r="R198" s="27"/>
      <c r="S198" s="27"/>
      <c r="T198" s="27"/>
    </row>
    <row r="199">
      <c r="A199" s="74"/>
      <c r="B199" s="28" t="s">
        <v>20</v>
      </c>
      <c r="C199" s="28" t="s">
        <v>4473</v>
      </c>
      <c r="D199" s="28" t="s">
        <v>4020</v>
      </c>
      <c r="E199" s="28" t="s">
        <v>4042</v>
      </c>
      <c r="F199" s="28"/>
      <c r="G199" s="28"/>
      <c r="H199" s="43" t="s">
        <v>4474</v>
      </c>
      <c r="I199" s="27"/>
      <c r="J199" s="32"/>
      <c r="K199" s="27"/>
      <c r="L199" s="27"/>
      <c r="M199" s="27"/>
      <c r="N199" s="27"/>
      <c r="O199" s="27"/>
      <c r="P199" s="27"/>
      <c r="Q199" s="27"/>
      <c r="R199" s="27"/>
      <c r="S199" s="27"/>
      <c r="T199" s="27"/>
    </row>
    <row r="200">
      <c r="A200" s="74"/>
      <c r="B200" s="28" t="s">
        <v>20</v>
      </c>
      <c r="C200" s="28" t="s">
        <v>4475</v>
      </c>
      <c r="D200" s="28" t="s">
        <v>4020</v>
      </c>
      <c r="E200" s="28" t="s">
        <v>4042</v>
      </c>
      <c r="F200" s="28"/>
      <c r="G200" s="28"/>
      <c r="H200" s="43" t="s">
        <v>4476</v>
      </c>
      <c r="I200" s="43" t="s">
        <v>4477</v>
      </c>
      <c r="J200" s="32"/>
      <c r="K200" s="27"/>
      <c r="L200" s="27"/>
      <c r="M200" s="27"/>
      <c r="N200" s="27"/>
      <c r="O200" s="27"/>
      <c r="P200" s="27"/>
      <c r="Q200" s="27"/>
      <c r="R200" s="27"/>
      <c r="S200" s="27"/>
      <c r="T200" s="27"/>
    </row>
    <row r="201">
      <c r="A201" s="74"/>
      <c r="B201" s="28" t="s">
        <v>720</v>
      </c>
      <c r="C201" s="28" t="s">
        <v>4478</v>
      </c>
      <c r="D201" s="28" t="s">
        <v>4020</v>
      </c>
      <c r="E201" s="28" t="s">
        <v>4042</v>
      </c>
      <c r="F201" s="28"/>
      <c r="G201" s="28"/>
      <c r="H201" s="43" t="s">
        <v>4479</v>
      </c>
      <c r="I201" s="43" t="s">
        <v>4480</v>
      </c>
      <c r="J201" s="43" t="s">
        <v>4481</v>
      </c>
      <c r="K201" s="27"/>
      <c r="L201" s="27"/>
      <c r="M201" s="27"/>
      <c r="N201" s="27"/>
      <c r="O201" s="27"/>
      <c r="P201" s="27"/>
      <c r="Q201" s="27"/>
      <c r="R201" s="27"/>
      <c r="S201" s="27"/>
      <c r="T201" s="27"/>
    </row>
    <row r="202">
      <c r="A202" s="74"/>
      <c r="B202" s="28" t="s">
        <v>20</v>
      </c>
      <c r="C202" s="28" t="s">
        <v>1155</v>
      </c>
      <c r="D202" s="28" t="s">
        <v>4020</v>
      </c>
      <c r="E202" s="28" t="s">
        <v>4042</v>
      </c>
      <c r="F202" s="28"/>
      <c r="G202" s="28"/>
      <c r="H202" s="43" t="s">
        <v>4482</v>
      </c>
      <c r="I202" s="27"/>
      <c r="J202" s="43" t="s">
        <v>4483</v>
      </c>
      <c r="K202" s="27"/>
      <c r="L202" s="27"/>
      <c r="M202" s="27"/>
      <c r="N202" s="27"/>
      <c r="O202" s="27"/>
      <c r="P202" s="27"/>
      <c r="Q202" s="27"/>
      <c r="R202" s="27"/>
      <c r="S202" s="27"/>
      <c r="T202" s="27"/>
    </row>
    <row r="203">
      <c r="A203" s="74"/>
      <c r="B203" s="28" t="s">
        <v>20</v>
      </c>
      <c r="C203" s="28" t="s">
        <v>4484</v>
      </c>
      <c r="D203" s="28" t="s">
        <v>4020</v>
      </c>
      <c r="E203" s="28" t="s">
        <v>4042</v>
      </c>
      <c r="F203" s="28"/>
      <c r="G203" s="28"/>
      <c r="H203" s="43" t="s">
        <v>4485</v>
      </c>
      <c r="I203" s="27"/>
      <c r="J203" s="43" t="s">
        <v>4486</v>
      </c>
      <c r="K203" s="27"/>
      <c r="L203" s="27"/>
      <c r="M203" s="27"/>
      <c r="N203" s="27"/>
      <c r="O203" s="27"/>
      <c r="P203" s="27"/>
      <c r="Q203" s="27"/>
      <c r="R203" s="27"/>
      <c r="S203" s="27"/>
      <c r="T203" s="27"/>
    </row>
    <row r="204">
      <c r="A204" s="74"/>
      <c r="B204" s="28" t="s">
        <v>20</v>
      </c>
      <c r="C204" s="28" t="s">
        <v>707</v>
      </c>
      <c r="D204" s="28" t="s">
        <v>4020</v>
      </c>
      <c r="E204" s="28" t="s">
        <v>4042</v>
      </c>
      <c r="F204" s="28"/>
      <c r="G204" s="28"/>
      <c r="H204" s="43" t="s">
        <v>4487</v>
      </c>
      <c r="I204" s="27"/>
      <c r="J204" s="43" t="s">
        <v>4488</v>
      </c>
      <c r="K204" s="27"/>
      <c r="L204" s="27"/>
      <c r="M204" s="27"/>
      <c r="N204" s="27"/>
      <c r="O204" s="27"/>
      <c r="P204" s="27"/>
      <c r="Q204" s="27"/>
      <c r="R204" s="27"/>
      <c r="S204" s="27"/>
      <c r="T204" s="27"/>
    </row>
    <row r="205">
      <c r="A205" s="74"/>
      <c r="B205" s="28" t="s">
        <v>20</v>
      </c>
      <c r="C205" s="28" t="s">
        <v>4489</v>
      </c>
      <c r="D205" s="28" t="s">
        <v>4020</v>
      </c>
      <c r="E205" s="28" t="s">
        <v>4042</v>
      </c>
      <c r="F205" s="28"/>
      <c r="G205" s="74">
        <v>1.0</v>
      </c>
      <c r="H205" s="43" t="s">
        <v>4490</v>
      </c>
      <c r="I205" s="27"/>
      <c r="J205" s="32"/>
      <c r="K205" s="27"/>
      <c r="L205" s="27"/>
      <c r="M205" s="27"/>
      <c r="N205" s="27"/>
      <c r="O205" s="27"/>
      <c r="P205" s="27"/>
      <c r="Q205" s="27"/>
      <c r="R205" s="27"/>
      <c r="S205" s="27"/>
      <c r="T205" s="27"/>
    </row>
    <row r="206">
      <c r="A206" s="74"/>
      <c r="B206" s="28" t="s">
        <v>20</v>
      </c>
      <c r="C206" s="28" t="s">
        <v>4491</v>
      </c>
      <c r="D206" s="28" t="s">
        <v>4020</v>
      </c>
      <c r="E206" s="28" t="s">
        <v>4042</v>
      </c>
      <c r="F206" s="28"/>
      <c r="G206" s="28"/>
      <c r="H206" s="43" t="s">
        <v>4492</v>
      </c>
      <c r="I206" s="27"/>
      <c r="J206" s="32"/>
      <c r="K206" s="27"/>
      <c r="L206" s="27"/>
      <c r="M206" s="27"/>
      <c r="N206" s="27"/>
      <c r="O206" s="27"/>
      <c r="P206" s="27"/>
      <c r="Q206" s="27"/>
      <c r="R206" s="27"/>
      <c r="S206" s="27"/>
      <c r="T206" s="27"/>
    </row>
    <row r="207">
      <c r="A207" s="74"/>
      <c r="B207" s="28" t="s">
        <v>20</v>
      </c>
      <c r="C207" s="28" t="s">
        <v>4493</v>
      </c>
      <c r="D207" s="28" t="s">
        <v>4020</v>
      </c>
      <c r="E207" s="28" t="s">
        <v>4042</v>
      </c>
      <c r="F207" s="28"/>
      <c r="G207" s="28"/>
      <c r="H207" s="43" t="s">
        <v>4494</v>
      </c>
      <c r="I207" s="27"/>
      <c r="J207" s="32"/>
      <c r="K207" s="27"/>
      <c r="L207" s="27"/>
      <c r="M207" s="27"/>
      <c r="N207" s="27"/>
      <c r="O207" s="27"/>
      <c r="P207" s="27"/>
      <c r="Q207" s="27"/>
      <c r="R207" s="27"/>
      <c r="S207" s="27"/>
      <c r="T207" s="27"/>
    </row>
    <row r="208">
      <c r="A208" s="74"/>
      <c r="B208" s="28" t="s">
        <v>20</v>
      </c>
      <c r="C208" s="28" t="s">
        <v>4495</v>
      </c>
      <c r="D208" s="28" t="s">
        <v>4020</v>
      </c>
      <c r="E208" s="28" t="s">
        <v>4042</v>
      </c>
      <c r="F208" s="28"/>
      <c r="G208" s="28"/>
      <c r="H208" s="29" t="s">
        <v>4496</v>
      </c>
      <c r="I208" s="27"/>
      <c r="J208" s="32"/>
      <c r="K208" s="27"/>
      <c r="L208" s="27"/>
      <c r="M208" s="27"/>
      <c r="N208" s="27"/>
      <c r="O208" s="27"/>
      <c r="P208" s="27"/>
      <c r="Q208" s="27"/>
      <c r="R208" s="27"/>
      <c r="S208" s="27"/>
      <c r="T208" s="27"/>
    </row>
    <row r="209">
      <c r="A209" s="74"/>
      <c r="B209" s="28" t="s">
        <v>20</v>
      </c>
      <c r="C209" s="28" t="s">
        <v>4497</v>
      </c>
      <c r="D209" s="28" t="s">
        <v>4020</v>
      </c>
      <c r="E209" s="28" t="s">
        <v>4042</v>
      </c>
      <c r="F209" s="28" t="s">
        <v>4498</v>
      </c>
      <c r="G209" s="28"/>
      <c r="H209" s="43" t="s">
        <v>4499</v>
      </c>
      <c r="I209" s="27"/>
      <c r="J209" s="32"/>
      <c r="K209" s="27"/>
      <c r="L209" s="27"/>
      <c r="M209" s="27"/>
      <c r="N209" s="27"/>
      <c r="O209" s="27"/>
      <c r="P209" s="27"/>
      <c r="Q209" s="27"/>
      <c r="R209" s="27"/>
      <c r="S209" s="27"/>
      <c r="T209" s="27"/>
    </row>
    <row r="210">
      <c r="A210" s="74"/>
      <c r="B210" s="28" t="s">
        <v>20</v>
      </c>
      <c r="C210" s="28" t="s">
        <v>1925</v>
      </c>
      <c r="D210" s="28" t="s">
        <v>4020</v>
      </c>
      <c r="E210" s="28" t="s">
        <v>4042</v>
      </c>
      <c r="F210" s="28"/>
      <c r="G210" s="28"/>
      <c r="H210" s="43" t="s">
        <v>4500</v>
      </c>
      <c r="I210" s="27"/>
      <c r="J210" s="32"/>
      <c r="K210" s="27"/>
      <c r="L210" s="27"/>
      <c r="M210" s="27"/>
      <c r="N210" s="27"/>
      <c r="O210" s="27"/>
      <c r="P210" s="27"/>
      <c r="Q210" s="27"/>
      <c r="R210" s="27"/>
      <c r="S210" s="27"/>
      <c r="T210" s="27"/>
    </row>
    <row r="211">
      <c r="A211" s="74"/>
      <c r="B211" s="28" t="s">
        <v>20</v>
      </c>
      <c r="C211" s="28" t="s">
        <v>804</v>
      </c>
      <c r="D211" s="28" t="s">
        <v>4020</v>
      </c>
      <c r="E211" s="28" t="s">
        <v>4042</v>
      </c>
      <c r="F211" s="28"/>
      <c r="G211" s="74">
        <v>1.0</v>
      </c>
      <c r="H211" s="29" t="s">
        <v>4501</v>
      </c>
      <c r="I211" s="27"/>
      <c r="J211" s="32"/>
      <c r="K211" s="27"/>
      <c r="L211" s="27"/>
      <c r="M211" s="27"/>
      <c r="N211" s="27"/>
      <c r="O211" s="27"/>
      <c r="P211" s="27"/>
      <c r="Q211" s="27"/>
      <c r="R211" s="27"/>
      <c r="S211" s="27"/>
      <c r="T211" s="27"/>
    </row>
    <row r="212">
      <c r="A212" s="74"/>
      <c r="B212" s="28" t="s">
        <v>20</v>
      </c>
      <c r="C212" s="28" t="s">
        <v>4414</v>
      </c>
      <c r="D212" s="28" t="s">
        <v>4020</v>
      </c>
      <c r="E212" s="28" t="s">
        <v>4042</v>
      </c>
      <c r="F212" s="28"/>
      <c r="G212" s="28"/>
      <c r="H212" s="29" t="s">
        <v>4502</v>
      </c>
      <c r="I212" s="27"/>
      <c r="J212" s="32"/>
      <c r="K212" s="27"/>
      <c r="L212" s="27"/>
      <c r="M212" s="27"/>
      <c r="N212" s="27"/>
      <c r="O212" s="27"/>
      <c r="P212" s="27"/>
      <c r="Q212" s="27"/>
      <c r="R212" s="27"/>
      <c r="S212" s="27"/>
      <c r="T212" s="27"/>
    </row>
    <row r="213">
      <c r="A213" s="74"/>
      <c r="B213" s="28" t="s">
        <v>34</v>
      </c>
      <c r="C213" s="28" t="s">
        <v>4503</v>
      </c>
      <c r="D213" s="28" t="s">
        <v>4020</v>
      </c>
      <c r="E213" s="28" t="s">
        <v>4031</v>
      </c>
      <c r="F213" s="28"/>
      <c r="G213" s="28"/>
      <c r="H213" s="43" t="s">
        <v>4504</v>
      </c>
      <c r="I213" s="43" t="s">
        <v>4505</v>
      </c>
      <c r="J213" s="43" t="s">
        <v>4506</v>
      </c>
      <c r="K213" s="27"/>
      <c r="L213" s="27"/>
      <c r="M213" s="27"/>
      <c r="N213" s="27"/>
      <c r="O213" s="27"/>
      <c r="P213" s="27"/>
      <c r="Q213" s="27"/>
      <c r="R213" s="27"/>
      <c r="S213" s="27"/>
      <c r="T213" s="27"/>
    </row>
    <row r="214">
      <c r="A214" s="74"/>
      <c r="B214" s="28" t="s">
        <v>20</v>
      </c>
      <c r="C214" s="28" t="s">
        <v>4507</v>
      </c>
      <c r="D214" s="28" t="s">
        <v>4020</v>
      </c>
      <c r="E214" s="28" t="s">
        <v>4031</v>
      </c>
      <c r="F214" s="28"/>
      <c r="G214" s="28"/>
      <c r="H214" s="43" t="s">
        <v>4508</v>
      </c>
      <c r="I214" s="43" t="s">
        <v>4509</v>
      </c>
      <c r="J214" s="32"/>
      <c r="K214" s="27"/>
      <c r="L214" s="27"/>
      <c r="M214" s="27"/>
      <c r="N214" s="27"/>
      <c r="O214" s="27"/>
      <c r="P214" s="27"/>
      <c r="Q214" s="27"/>
      <c r="R214" s="27"/>
      <c r="S214" s="27"/>
      <c r="T214" s="27"/>
    </row>
    <row r="215">
      <c r="A215" s="74"/>
      <c r="B215" s="28" t="s">
        <v>20</v>
      </c>
      <c r="C215" s="28" t="s">
        <v>4510</v>
      </c>
      <c r="D215" s="28" t="s">
        <v>4020</v>
      </c>
      <c r="E215" s="28" t="s">
        <v>4031</v>
      </c>
      <c r="F215" s="28"/>
      <c r="G215" s="28"/>
      <c r="H215" s="43" t="s">
        <v>4511</v>
      </c>
      <c r="I215" s="27"/>
      <c r="J215" s="32"/>
      <c r="K215" s="27"/>
      <c r="L215" s="27"/>
      <c r="M215" s="27"/>
      <c r="N215" s="27"/>
      <c r="O215" s="27"/>
      <c r="P215" s="27"/>
      <c r="Q215" s="27"/>
      <c r="R215" s="27"/>
      <c r="S215" s="27"/>
      <c r="T215" s="27"/>
    </row>
    <row r="216">
      <c r="A216" s="74"/>
      <c r="B216" s="28" t="s">
        <v>20</v>
      </c>
      <c r="C216" s="28" t="s">
        <v>4512</v>
      </c>
      <c r="D216" s="28" t="s">
        <v>4020</v>
      </c>
      <c r="E216" s="28" t="s">
        <v>4031</v>
      </c>
      <c r="F216" s="28"/>
      <c r="G216" s="28"/>
      <c r="H216" s="29" t="s">
        <v>4513</v>
      </c>
      <c r="I216" s="27"/>
      <c r="J216" s="32"/>
      <c r="K216" s="27"/>
      <c r="L216" s="27"/>
      <c r="M216" s="27"/>
      <c r="N216" s="27"/>
      <c r="O216" s="27"/>
      <c r="P216" s="27"/>
      <c r="Q216" s="27"/>
      <c r="R216" s="27"/>
      <c r="S216" s="27"/>
      <c r="T216" s="27"/>
    </row>
    <row r="217">
      <c r="A217" s="74"/>
      <c r="B217" s="28" t="s">
        <v>276</v>
      </c>
      <c r="C217" s="28" t="s">
        <v>4514</v>
      </c>
      <c r="D217" s="28" t="s">
        <v>4020</v>
      </c>
      <c r="E217" s="28" t="s">
        <v>4031</v>
      </c>
      <c r="F217" s="28" t="s">
        <v>4515</v>
      </c>
      <c r="G217" s="28"/>
      <c r="H217" s="43" t="s">
        <v>4516</v>
      </c>
      <c r="I217" s="27"/>
      <c r="J217" s="32"/>
      <c r="K217" s="27"/>
      <c r="L217" s="27"/>
      <c r="M217" s="27"/>
      <c r="N217" s="27"/>
      <c r="O217" s="27"/>
      <c r="P217" s="27"/>
      <c r="Q217" s="27"/>
      <c r="R217" s="27"/>
      <c r="S217" s="27"/>
      <c r="T217" s="27"/>
    </row>
    <row r="218">
      <c r="A218" s="74"/>
      <c r="B218" s="28" t="s">
        <v>20</v>
      </c>
      <c r="C218" s="28" t="s">
        <v>4517</v>
      </c>
      <c r="D218" s="28" t="s">
        <v>4020</v>
      </c>
      <c r="E218" s="28" t="s">
        <v>4031</v>
      </c>
      <c r="F218" s="28"/>
      <c r="G218" s="28"/>
      <c r="H218" s="43" t="s">
        <v>4518</v>
      </c>
      <c r="I218" s="27"/>
      <c r="J218" s="32"/>
      <c r="K218" s="27"/>
      <c r="L218" s="27"/>
      <c r="M218" s="27"/>
      <c r="N218" s="27"/>
      <c r="O218" s="27"/>
      <c r="P218" s="27"/>
      <c r="Q218" s="27"/>
      <c r="R218" s="27"/>
      <c r="S218" s="27"/>
      <c r="T218" s="27"/>
    </row>
    <row r="219">
      <c r="A219" s="74"/>
      <c r="B219" s="28" t="s">
        <v>20</v>
      </c>
      <c r="C219" s="28" t="s">
        <v>4519</v>
      </c>
      <c r="D219" s="28" t="s">
        <v>4020</v>
      </c>
      <c r="E219" s="28" t="s">
        <v>4031</v>
      </c>
      <c r="F219" s="28"/>
      <c r="G219" s="28"/>
      <c r="H219" s="43" t="s">
        <v>4520</v>
      </c>
      <c r="I219" s="27"/>
      <c r="J219" s="32"/>
      <c r="K219" s="27"/>
      <c r="L219" s="27"/>
      <c r="M219" s="27"/>
      <c r="N219" s="27"/>
      <c r="O219" s="27"/>
      <c r="P219" s="27"/>
      <c r="Q219" s="27"/>
      <c r="R219" s="27"/>
      <c r="S219" s="27"/>
      <c r="T219" s="27"/>
    </row>
    <row r="220">
      <c r="A220" s="74"/>
      <c r="B220" s="28" t="s">
        <v>20</v>
      </c>
      <c r="C220" s="28" t="s">
        <v>55</v>
      </c>
      <c r="D220" s="28" t="s">
        <v>4020</v>
      </c>
      <c r="E220" s="28" t="s">
        <v>4031</v>
      </c>
      <c r="F220" s="28"/>
      <c r="G220" s="28"/>
      <c r="H220" s="43" t="s">
        <v>4521</v>
      </c>
      <c r="I220" s="43" t="s">
        <v>4522</v>
      </c>
      <c r="J220" s="43" t="s">
        <v>4523</v>
      </c>
      <c r="K220" s="27"/>
      <c r="L220" s="27"/>
      <c r="M220" s="27"/>
      <c r="N220" s="27"/>
      <c r="O220" s="27"/>
      <c r="P220" s="27"/>
      <c r="Q220" s="27"/>
      <c r="R220" s="27"/>
      <c r="S220" s="27"/>
      <c r="T220" s="27"/>
    </row>
    <row r="221">
      <c r="A221" s="74"/>
      <c r="B221" s="28" t="s">
        <v>20</v>
      </c>
      <c r="C221" s="28" t="s">
        <v>4524</v>
      </c>
      <c r="D221" s="28" t="s">
        <v>4020</v>
      </c>
      <c r="E221" s="28" t="s">
        <v>4031</v>
      </c>
      <c r="F221" s="28"/>
      <c r="G221" s="28"/>
      <c r="H221" s="43" t="s">
        <v>4525</v>
      </c>
      <c r="I221" s="27"/>
      <c r="J221" s="43" t="s">
        <v>4526</v>
      </c>
      <c r="K221" s="27"/>
      <c r="L221" s="27"/>
      <c r="M221" s="27"/>
      <c r="N221" s="27"/>
      <c r="O221" s="27"/>
      <c r="P221" s="27"/>
      <c r="Q221" s="27"/>
      <c r="R221" s="27"/>
      <c r="S221" s="27"/>
      <c r="T221" s="27"/>
    </row>
    <row r="222">
      <c r="A222" s="74"/>
      <c r="B222" s="28" t="s">
        <v>20</v>
      </c>
      <c r="C222" s="28" t="s">
        <v>4527</v>
      </c>
      <c r="D222" s="28" t="s">
        <v>4020</v>
      </c>
      <c r="E222" s="28" t="s">
        <v>4031</v>
      </c>
      <c r="F222" s="28"/>
      <c r="G222" s="28"/>
      <c r="H222" s="43" t="s">
        <v>4528</v>
      </c>
      <c r="I222" s="27"/>
      <c r="J222" s="32"/>
      <c r="K222" s="27"/>
      <c r="L222" s="27"/>
      <c r="M222" s="27"/>
      <c r="N222" s="27"/>
      <c r="O222" s="27"/>
      <c r="P222" s="27"/>
      <c r="Q222" s="27"/>
      <c r="R222" s="27"/>
      <c r="S222" s="27"/>
      <c r="T222" s="27"/>
    </row>
    <row r="223">
      <c r="A223" s="27"/>
      <c r="B223" s="28" t="s">
        <v>20</v>
      </c>
      <c r="C223" s="28" t="s">
        <v>4514</v>
      </c>
      <c r="D223" s="28" t="s">
        <v>4020</v>
      </c>
      <c r="E223" s="28" t="s">
        <v>4020</v>
      </c>
      <c r="F223" s="28"/>
      <c r="G223" s="28"/>
      <c r="H223" s="43" t="s">
        <v>4529</v>
      </c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</row>
    <row r="224">
      <c r="A224" s="27"/>
      <c r="B224" s="28" t="s">
        <v>20</v>
      </c>
      <c r="C224" s="28" t="s">
        <v>4530</v>
      </c>
      <c r="D224" s="28" t="s">
        <v>4020</v>
      </c>
      <c r="E224" s="28" t="s">
        <v>4020</v>
      </c>
      <c r="F224" s="28"/>
      <c r="G224" s="28"/>
      <c r="H224" s="43" t="s">
        <v>4531</v>
      </c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</row>
    <row r="225">
      <c r="A225" s="27"/>
      <c r="B225" s="28" t="s">
        <v>20</v>
      </c>
      <c r="C225" s="28" t="s">
        <v>4532</v>
      </c>
      <c r="D225" s="28" t="s">
        <v>4020</v>
      </c>
      <c r="E225" s="28" t="s">
        <v>4020</v>
      </c>
      <c r="F225" s="28"/>
      <c r="G225" s="28"/>
      <c r="H225" s="43" t="s">
        <v>4533</v>
      </c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</row>
    <row r="226">
      <c r="A226" s="74"/>
      <c r="B226" s="28" t="s">
        <v>20</v>
      </c>
      <c r="C226" s="28" t="s">
        <v>2291</v>
      </c>
      <c r="D226" s="28" t="s">
        <v>4020</v>
      </c>
      <c r="E226" s="28" t="s">
        <v>4020</v>
      </c>
      <c r="F226" s="28"/>
      <c r="G226" s="28"/>
      <c r="H226" s="29" t="s">
        <v>4534</v>
      </c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</row>
    <row r="227">
      <c r="A227" s="27"/>
      <c r="B227" s="28" t="s">
        <v>20</v>
      </c>
      <c r="C227" s="28" t="s">
        <v>4535</v>
      </c>
      <c r="D227" s="28" t="s">
        <v>4020</v>
      </c>
      <c r="E227" s="28" t="s">
        <v>4020</v>
      </c>
      <c r="F227" s="28"/>
      <c r="G227" s="28"/>
      <c r="H227" s="43" t="s">
        <v>4536</v>
      </c>
      <c r="I227" s="27"/>
      <c r="J227" s="43" t="s">
        <v>4537</v>
      </c>
      <c r="K227" s="27"/>
      <c r="L227" s="27"/>
      <c r="M227" s="27"/>
      <c r="N227" s="27"/>
      <c r="O227" s="27"/>
      <c r="P227" s="27"/>
      <c r="Q227" s="27"/>
      <c r="R227" s="27"/>
      <c r="S227" s="27"/>
      <c r="T227" s="27"/>
    </row>
    <row r="228">
      <c r="A228" s="27"/>
      <c r="B228" s="28" t="s">
        <v>20</v>
      </c>
      <c r="C228" s="28" t="s">
        <v>4538</v>
      </c>
      <c r="D228" s="28" t="s">
        <v>4020</v>
      </c>
      <c r="E228" s="28" t="s">
        <v>4020</v>
      </c>
      <c r="F228" s="28"/>
      <c r="G228" s="28"/>
      <c r="H228" s="43" t="s">
        <v>4539</v>
      </c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</row>
    <row r="229">
      <c r="A229" s="27"/>
      <c r="B229" s="28" t="s">
        <v>20</v>
      </c>
      <c r="C229" s="28" t="s">
        <v>4540</v>
      </c>
      <c r="D229" s="28" t="s">
        <v>4020</v>
      </c>
      <c r="E229" s="28" t="s">
        <v>4020</v>
      </c>
      <c r="F229" s="28"/>
      <c r="G229" s="28"/>
      <c r="H229" s="43" t="s">
        <v>4541</v>
      </c>
      <c r="I229" s="43" t="s">
        <v>4542</v>
      </c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</row>
    <row r="230">
      <c r="A230" s="27"/>
      <c r="B230" s="28" t="s">
        <v>20</v>
      </c>
      <c r="C230" s="28" t="s">
        <v>4543</v>
      </c>
      <c r="D230" s="28" t="s">
        <v>4020</v>
      </c>
      <c r="E230" s="28" t="s">
        <v>4020</v>
      </c>
      <c r="F230" s="28"/>
      <c r="G230" s="28"/>
      <c r="H230" s="43" t="s">
        <v>4544</v>
      </c>
      <c r="I230" s="43" t="s">
        <v>4545</v>
      </c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</row>
    <row r="231">
      <c r="A231" s="74"/>
      <c r="B231" s="28" t="s">
        <v>20</v>
      </c>
      <c r="C231" s="28" t="s">
        <v>4546</v>
      </c>
      <c r="D231" s="28" t="s">
        <v>4020</v>
      </c>
      <c r="E231" s="28" t="s">
        <v>4020</v>
      </c>
      <c r="F231" s="28"/>
      <c r="G231" s="28"/>
      <c r="H231" s="29" t="s">
        <v>4167</v>
      </c>
      <c r="I231" s="27"/>
      <c r="J231" s="29" t="s">
        <v>4547</v>
      </c>
      <c r="K231" s="27"/>
      <c r="L231" s="27"/>
      <c r="M231" s="27"/>
      <c r="N231" s="27"/>
      <c r="O231" s="27"/>
      <c r="P231" s="27"/>
      <c r="Q231" s="27"/>
      <c r="R231" s="27"/>
      <c r="S231" s="27"/>
      <c r="T231" s="27"/>
    </row>
    <row r="232">
      <c r="A232" s="27"/>
      <c r="B232" s="28" t="s">
        <v>20</v>
      </c>
      <c r="C232" s="28" t="s">
        <v>4548</v>
      </c>
      <c r="D232" s="28" t="s">
        <v>4020</v>
      </c>
      <c r="E232" s="28" t="s">
        <v>4020</v>
      </c>
      <c r="F232" s="28"/>
      <c r="G232" s="28"/>
      <c r="H232" s="43" t="s">
        <v>4549</v>
      </c>
      <c r="I232" s="43" t="s">
        <v>4550</v>
      </c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</row>
    <row r="233">
      <c r="A233" s="74"/>
      <c r="B233" s="28" t="s">
        <v>20</v>
      </c>
      <c r="C233" s="28" t="s">
        <v>4551</v>
      </c>
      <c r="D233" s="28" t="s">
        <v>4020</v>
      </c>
      <c r="E233" s="28" t="s">
        <v>4020</v>
      </c>
      <c r="F233" s="28"/>
      <c r="G233" s="28"/>
      <c r="H233" s="29" t="s">
        <v>4552</v>
      </c>
      <c r="I233" s="29" t="s">
        <v>4553</v>
      </c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</row>
    <row r="234">
      <c r="A234" s="74"/>
      <c r="B234" s="28" t="s">
        <v>301</v>
      </c>
      <c r="C234" s="28" t="s">
        <v>4554</v>
      </c>
      <c r="D234" s="28" t="s">
        <v>4020</v>
      </c>
      <c r="E234" s="28" t="s">
        <v>4020</v>
      </c>
      <c r="F234" s="28"/>
      <c r="G234" s="28"/>
      <c r="H234" s="43" t="s">
        <v>4555</v>
      </c>
      <c r="I234" s="27"/>
      <c r="J234" s="29" t="s">
        <v>1553</v>
      </c>
      <c r="K234" s="27"/>
      <c r="L234" s="27"/>
      <c r="M234" s="27"/>
      <c r="N234" s="27"/>
      <c r="O234" s="27"/>
      <c r="P234" s="27"/>
      <c r="Q234" s="27"/>
      <c r="R234" s="27"/>
      <c r="S234" s="27"/>
      <c r="T234" s="27"/>
    </row>
    <row r="235">
      <c r="A235" s="74"/>
      <c r="B235" s="28" t="s">
        <v>20</v>
      </c>
      <c r="C235" s="28" t="s">
        <v>3612</v>
      </c>
      <c r="D235" s="28" t="s">
        <v>4020</v>
      </c>
      <c r="E235" s="28" t="s">
        <v>4020</v>
      </c>
      <c r="F235" s="28"/>
      <c r="G235" s="28"/>
      <c r="H235" s="43" t="s">
        <v>4556</v>
      </c>
      <c r="I235" s="27"/>
      <c r="J235" s="32"/>
      <c r="K235" s="27"/>
      <c r="L235" s="27"/>
      <c r="M235" s="27"/>
      <c r="N235" s="27"/>
      <c r="O235" s="27"/>
      <c r="P235" s="27"/>
      <c r="Q235" s="27"/>
      <c r="R235" s="27"/>
      <c r="S235" s="27"/>
      <c r="T235" s="27"/>
    </row>
    <row r="236">
      <c r="A236" s="74"/>
      <c r="B236" s="28" t="s">
        <v>20</v>
      </c>
      <c r="C236" s="28" t="s">
        <v>4557</v>
      </c>
      <c r="D236" s="28" t="s">
        <v>4020</v>
      </c>
      <c r="E236" s="28" t="s">
        <v>4020</v>
      </c>
      <c r="F236" s="28" t="s">
        <v>4558</v>
      </c>
      <c r="G236" s="74">
        <v>1.0</v>
      </c>
      <c r="H236" s="43" t="s">
        <v>4559</v>
      </c>
      <c r="I236" s="27"/>
      <c r="J236" s="32"/>
      <c r="K236" s="27"/>
      <c r="L236" s="27"/>
      <c r="M236" s="27"/>
      <c r="N236" s="27"/>
      <c r="O236" s="27"/>
      <c r="P236" s="27"/>
      <c r="Q236" s="27"/>
      <c r="R236" s="27"/>
      <c r="S236" s="27"/>
      <c r="T236" s="27"/>
    </row>
    <row r="237">
      <c r="A237" s="74"/>
      <c r="B237" s="28" t="s">
        <v>20</v>
      </c>
      <c r="C237" s="28" t="s">
        <v>4560</v>
      </c>
      <c r="D237" s="28" t="s">
        <v>4020</v>
      </c>
      <c r="E237" s="28" t="s">
        <v>4020</v>
      </c>
      <c r="F237" s="28"/>
      <c r="G237" s="28"/>
      <c r="H237" s="43" t="s">
        <v>4561</v>
      </c>
      <c r="I237" s="27"/>
      <c r="J237" s="43" t="s">
        <v>4562</v>
      </c>
      <c r="K237" s="27"/>
      <c r="L237" s="27"/>
      <c r="M237" s="27"/>
      <c r="N237" s="27"/>
      <c r="O237" s="27"/>
      <c r="P237" s="27"/>
      <c r="Q237" s="27"/>
      <c r="R237" s="27"/>
      <c r="S237" s="27"/>
      <c r="T237" s="27"/>
    </row>
    <row r="238">
      <c r="A238" s="74"/>
      <c r="B238" s="28" t="s">
        <v>20</v>
      </c>
      <c r="C238" s="28" t="s">
        <v>4563</v>
      </c>
      <c r="D238" s="28" t="s">
        <v>4020</v>
      </c>
      <c r="E238" s="28" t="s">
        <v>4020</v>
      </c>
      <c r="F238" s="28"/>
      <c r="G238" s="28"/>
      <c r="H238" s="43" t="s">
        <v>4564</v>
      </c>
      <c r="I238" s="27"/>
      <c r="J238" s="32"/>
      <c r="K238" s="27"/>
      <c r="L238" s="27"/>
      <c r="M238" s="27"/>
      <c r="N238" s="27"/>
      <c r="O238" s="27"/>
      <c r="P238" s="27"/>
      <c r="Q238" s="27"/>
      <c r="R238" s="27"/>
      <c r="S238" s="27"/>
      <c r="T238" s="27"/>
    </row>
    <row r="239">
      <c r="A239" s="74"/>
      <c r="B239" s="28" t="s">
        <v>20</v>
      </c>
      <c r="C239" s="28" t="s">
        <v>4420</v>
      </c>
      <c r="D239" s="28" t="s">
        <v>4020</v>
      </c>
      <c r="E239" s="28" t="s">
        <v>4020</v>
      </c>
      <c r="F239" s="28"/>
      <c r="G239" s="28"/>
      <c r="H239" s="29" t="s">
        <v>4565</v>
      </c>
      <c r="I239" s="27"/>
      <c r="J239" s="43" t="s">
        <v>4566</v>
      </c>
      <c r="K239" s="27"/>
      <c r="L239" s="27"/>
      <c r="M239" s="27"/>
      <c r="N239" s="27"/>
      <c r="O239" s="27"/>
      <c r="P239" s="27"/>
      <c r="Q239" s="27"/>
      <c r="R239" s="27"/>
      <c r="S239" s="27"/>
      <c r="T239" s="27"/>
    </row>
    <row r="240">
      <c r="A240" s="74"/>
      <c r="B240" s="28" t="s">
        <v>20</v>
      </c>
      <c r="C240" s="28" t="s">
        <v>4567</v>
      </c>
      <c r="D240" s="28" t="s">
        <v>4020</v>
      </c>
      <c r="E240" s="28" t="s">
        <v>4020</v>
      </c>
      <c r="F240" s="28"/>
      <c r="G240" s="28"/>
      <c r="H240" s="43" t="s">
        <v>4568</v>
      </c>
      <c r="I240" s="27"/>
      <c r="J240" s="32"/>
      <c r="K240" s="27"/>
      <c r="L240" s="27"/>
      <c r="M240" s="27"/>
      <c r="N240" s="27"/>
      <c r="O240" s="27"/>
      <c r="P240" s="27"/>
      <c r="Q240" s="27"/>
      <c r="R240" s="27"/>
      <c r="S240" s="27"/>
      <c r="T240" s="27"/>
    </row>
    <row r="241">
      <c r="A241" s="74"/>
      <c r="B241" s="28" t="s">
        <v>20</v>
      </c>
      <c r="C241" s="28" t="s">
        <v>4569</v>
      </c>
      <c r="D241" s="28" t="s">
        <v>4020</v>
      </c>
      <c r="E241" s="28" t="s">
        <v>4020</v>
      </c>
      <c r="F241" s="28"/>
      <c r="G241" s="28"/>
      <c r="H241" s="43" t="s">
        <v>4570</v>
      </c>
      <c r="I241" s="27"/>
      <c r="J241" s="32"/>
      <c r="K241" s="27"/>
      <c r="L241" s="27"/>
      <c r="M241" s="27"/>
      <c r="N241" s="27"/>
      <c r="O241" s="27"/>
      <c r="P241" s="27"/>
      <c r="Q241" s="27"/>
      <c r="R241" s="27"/>
      <c r="S241" s="27"/>
      <c r="T241" s="27"/>
    </row>
    <row r="242">
      <c r="A242" s="74"/>
      <c r="B242" s="28" t="s">
        <v>20</v>
      </c>
      <c r="C242" s="28" t="s">
        <v>4569</v>
      </c>
      <c r="D242" s="28" t="s">
        <v>4020</v>
      </c>
      <c r="E242" s="28" t="s">
        <v>4020</v>
      </c>
      <c r="F242" s="28"/>
      <c r="G242" s="28"/>
      <c r="H242" s="43" t="s">
        <v>4571</v>
      </c>
      <c r="I242" s="27"/>
      <c r="J242" s="32"/>
      <c r="K242" s="27"/>
      <c r="L242" s="27"/>
      <c r="M242" s="27"/>
      <c r="N242" s="27"/>
      <c r="O242" s="27"/>
      <c r="P242" s="27"/>
      <c r="Q242" s="27"/>
      <c r="R242" s="27"/>
      <c r="S242" s="27"/>
      <c r="T242" s="27"/>
    </row>
    <row r="243">
      <c r="A243" s="74"/>
      <c r="B243" s="28" t="s">
        <v>20</v>
      </c>
      <c r="C243" s="28" t="s">
        <v>4572</v>
      </c>
      <c r="D243" s="28" t="s">
        <v>4020</v>
      </c>
      <c r="E243" s="28" t="s">
        <v>4020</v>
      </c>
      <c r="F243" s="28"/>
      <c r="G243" s="28"/>
      <c r="H243" s="43" t="s">
        <v>4573</v>
      </c>
      <c r="I243" s="27"/>
      <c r="J243" s="32"/>
      <c r="K243" s="27"/>
      <c r="L243" s="27"/>
      <c r="M243" s="27"/>
      <c r="N243" s="27"/>
      <c r="O243" s="27"/>
      <c r="P243" s="27"/>
      <c r="Q243" s="27"/>
      <c r="R243" s="27"/>
      <c r="S243" s="27"/>
      <c r="T243" s="27"/>
    </row>
    <row r="244">
      <c r="A244" s="74"/>
      <c r="B244" s="28" t="s">
        <v>20</v>
      </c>
      <c r="C244" s="28" t="s">
        <v>4574</v>
      </c>
      <c r="D244" s="28" t="s">
        <v>4020</v>
      </c>
      <c r="E244" s="28" t="s">
        <v>4020</v>
      </c>
      <c r="F244" s="28"/>
      <c r="G244" s="28"/>
      <c r="H244" s="43" t="s">
        <v>4575</v>
      </c>
      <c r="I244" s="27"/>
      <c r="J244" s="32"/>
      <c r="K244" s="27"/>
      <c r="L244" s="27"/>
      <c r="M244" s="27"/>
      <c r="N244" s="27"/>
      <c r="O244" s="27"/>
      <c r="P244" s="27"/>
      <c r="Q244" s="27"/>
      <c r="R244" s="27"/>
      <c r="S244" s="27"/>
      <c r="T244" s="27"/>
    </row>
    <row r="245">
      <c r="A245" s="74"/>
      <c r="B245" s="28" t="s">
        <v>20</v>
      </c>
      <c r="C245" s="28" t="s">
        <v>4576</v>
      </c>
      <c r="D245" s="28" t="s">
        <v>4020</v>
      </c>
      <c r="E245" s="28" t="s">
        <v>4020</v>
      </c>
      <c r="F245" s="28"/>
      <c r="G245" s="28"/>
      <c r="H245" s="43" t="s">
        <v>4577</v>
      </c>
      <c r="I245" s="27"/>
      <c r="J245" s="32"/>
      <c r="K245" s="27"/>
      <c r="L245" s="27"/>
      <c r="M245" s="27"/>
      <c r="N245" s="27"/>
      <c r="O245" s="27"/>
      <c r="P245" s="27"/>
      <c r="Q245" s="27"/>
      <c r="R245" s="27"/>
      <c r="S245" s="27"/>
      <c r="T245" s="27"/>
    </row>
    <row r="246">
      <c r="A246" s="74"/>
      <c r="B246" s="28" t="s">
        <v>20</v>
      </c>
      <c r="C246" s="28" t="s">
        <v>4578</v>
      </c>
      <c r="D246" s="28" t="s">
        <v>4020</v>
      </c>
      <c r="E246" s="28" t="s">
        <v>4020</v>
      </c>
      <c r="F246" s="28"/>
      <c r="G246" s="28"/>
      <c r="H246" s="43" t="s">
        <v>4579</v>
      </c>
      <c r="I246" s="29" t="s">
        <v>4580</v>
      </c>
      <c r="J246" s="32"/>
      <c r="K246" s="27"/>
      <c r="L246" s="27"/>
      <c r="M246" s="27"/>
      <c r="N246" s="27"/>
      <c r="O246" s="27"/>
      <c r="P246" s="27"/>
      <c r="Q246" s="27"/>
      <c r="R246" s="27"/>
      <c r="S246" s="27"/>
      <c r="T246" s="27"/>
    </row>
    <row r="247">
      <c r="A247" s="74"/>
      <c r="B247" s="28" t="s">
        <v>301</v>
      </c>
      <c r="C247" s="28" t="s">
        <v>4581</v>
      </c>
      <c r="D247" s="28" t="s">
        <v>4020</v>
      </c>
      <c r="E247" s="28" t="s">
        <v>4020</v>
      </c>
      <c r="F247" s="28"/>
      <c r="G247" s="74">
        <v>1.0</v>
      </c>
      <c r="H247" s="43" t="s">
        <v>4582</v>
      </c>
      <c r="I247" s="27"/>
      <c r="J247" s="32"/>
      <c r="K247" s="27"/>
      <c r="L247" s="27"/>
      <c r="M247" s="27"/>
      <c r="N247" s="27"/>
      <c r="O247" s="27"/>
      <c r="P247" s="27"/>
      <c r="Q247" s="27"/>
      <c r="R247" s="27"/>
      <c r="S247" s="27"/>
      <c r="T247" s="27"/>
    </row>
    <row r="248">
      <c r="A248" s="74"/>
      <c r="B248" s="28" t="s">
        <v>20</v>
      </c>
      <c r="C248" s="28" t="s">
        <v>2052</v>
      </c>
      <c r="D248" s="28" t="s">
        <v>4020</v>
      </c>
      <c r="E248" s="28" t="s">
        <v>4020</v>
      </c>
      <c r="F248" s="28"/>
      <c r="G248" s="28"/>
      <c r="H248" s="43" t="s">
        <v>4583</v>
      </c>
      <c r="I248" s="27"/>
      <c r="J248" s="32"/>
      <c r="K248" s="27"/>
      <c r="L248" s="27"/>
      <c r="M248" s="27"/>
      <c r="N248" s="27"/>
      <c r="O248" s="27"/>
      <c r="P248" s="27"/>
      <c r="Q248" s="27"/>
      <c r="R248" s="27"/>
      <c r="S248" s="27"/>
      <c r="T248" s="27"/>
    </row>
    <row r="249">
      <c r="A249" s="74"/>
      <c r="B249" s="28" t="s">
        <v>20</v>
      </c>
      <c r="C249" s="28" t="s">
        <v>4584</v>
      </c>
      <c r="D249" s="28" t="s">
        <v>4020</v>
      </c>
      <c r="E249" s="28" t="s">
        <v>4020</v>
      </c>
      <c r="F249" s="28"/>
      <c r="G249" s="28"/>
      <c r="H249" s="43" t="s">
        <v>4585</v>
      </c>
      <c r="I249" s="27"/>
      <c r="J249" s="32"/>
      <c r="K249" s="27"/>
      <c r="L249" s="27"/>
      <c r="M249" s="27"/>
      <c r="N249" s="27"/>
      <c r="O249" s="27"/>
      <c r="P249" s="27"/>
      <c r="Q249" s="27"/>
      <c r="R249" s="27"/>
      <c r="S249" s="27"/>
      <c r="T249" s="27"/>
    </row>
    <row r="250">
      <c r="A250" s="74"/>
      <c r="B250" s="28" t="s">
        <v>20</v>
      </c>
      <c r="C250" s="28" t="s">
        <v>4586</v>
      </c>
      <c r="D250" s="28" t="s">
        <v>4020</v>
      </c>
      <c r="E250" s="28" t="s">
        <v>4020</v>
      </c>
      <c r="F250" s="28"/>
      <c r="G250" s="28"/>
      <c r="H250" s="43" t="s">
        <v>4587</v>
      </c>
      <c r="I250" s="43" t="s">
        <v>4588</v>
      </c>
      <c r="J250" s="32"/>
      <c r="K250" s="27"/>
      <c r="L250" s="27"/>
      <c r="M250" s="27"/>
      <c r="N250" s="27"/>
      <c r="O250" s="27"/>
      <c r="P250" s="27"/>
      <c r="Q250" s="27"/>
      <c r="R250" s="27"/>
      <c r="S250" s="27"/>
      <c r="T250" s="27"/>
    </row>
    <row r="251">
      <c r="A251" s="74"/>
      <c r="B251" s="28" t="s">
        <v>20</v>
      </c>
      <c r="C251" s="28" t="s">
        <v>4589</v>
      </c>
      <c r="D251" s="28" t="s">
        <v>4020</v>
      </c>
      <c r="E251" s="28" t="s">
        <v>4020</v>
      </c>
      <c r="F251" s="28"/>
      <c r="G251" s="28"/>
      <c r="H251" s="43" t="s">
        <v>4590</v>
      </c>
      <c r="I251" s="27"/>
      <c r="J251" s="32"/>
      <c r="K251" s="27"/>
      <c r="L251" s="27"/>
      <c r="M251" s="27"/>
      <c r="N251" s="27"/>
      <c r="O251" s="27"/>
      <c r="P251" s="27"/>
      <c r="Q251" s="27"/>
      <c r="R251" s="27"/>
      <c r="S251" s="27"/>
      <c r="T251" s="27"/>
    </row>
    <row r="252">
      <c r="A252" s="74"/>
      <c r="B252" s="28" t="s">
        <v>720</v>
      </c>
      <c r="C252" s="28" t="s">
        <v>4591</v>
      </c>
      <c r="D252" s="28" t="s">
        <v>4020</v>
      </c>
      <c r="E252" s="28" t="s">
        <v>4020</v>
      </c>
      <c r="F252" s="28"/>
      <c r="G252" s="28"/>
      <c r="H252" s="43" t="s">
        <v>4592</v>
      </c>
      <c r="I252" s="27"/>
      <c r="J252" s="32"/>
      <c r="K252" s="27"/>
      <c r="L252" s="27"/>
      <c r="M252" s="27"/>
      <c r="N252" s="27"/>
      <c r="O252" s="27"/>
      <c r="P252" s="27"/>
      <c r="Q252" s="27"/>
      <c r="R252" s="27"/>
      <c r="S252" s="27"/>
      <c r="T252" s="27"/>
    </row>
    <row r="253">
      <c r="A253" s="74"/>
      <c r="B253" s="28" t="s">
        <v>20</v>
      </c>
      <c r="C253" s="28" t="s">
        <v>4593</v>
      </c>
      <c r="D253" s="28" t="s">
        <v>4020</v>
      </c>
      <c r="E253" s="28" t="s">
        <v>4020</v>
      </c>
      <c r="F253" s="28" t="s">
        <v>4594</v>
      </c>
      <c r="G253" s="28"/>
      <c r="H253" s="43" t="s">
        <v>4595</v>
      </c>
      <c r="I253" s="29" t="s">
        <v>4596</v>
      </c>
      <c r="J253" s="32"/>
      <c r="K253" s="27"/>
      <c r="L253" s="27"/>
      <c r="M253" s="27"/>
      <c r="N253" s="27"/>
      <c r="O253" s="27"/>
      <c r="P253" s="27"/>
      <c r="Q253" s="27"/>
      <c r="R253" s="27"/>
      <c r="S253" s="27"/>
      <c r="T253" s="27"/>
    </row>
    <row r="254">
      <c r="A254" s="74"/>
      <c r="B254" s="28" t="s">
        <v>20</v>
      </c>
      <c r="C254" s="28" t="s">
        <v>3898</v>
      </c>
      <c r="D254" s="28" t="s">
        <v>4020</v>
      </c>
      <c r="E254" s="28" t="s">
        <v>4020</v>
      </c>
      <c r="F254" s="28"/>
      <c r="G254" s="28"/>
      <c r="H254" s="43" t="s">
        <v>4597</v>
      </c>
      <c r="I254" s="27"/>
      <c r="J254" s="32"/>
      <c r="K254" s="27"/>
      <c r="L254" s="27"/>
      <c r="M254" s="27"/>
      <c r="N254" s="27"/>
      <c r="O254" s="27"/>
      <c r="P254" s="27"/>
      <c r="Q254" s="27"/>
      <c r="R254" s="27"/>
      <c r="S254" s="27"/>
      <c r="T254" s="27"/>
    </row>
    <row r="255">
      <c r="A255" s="74"/>
      <c r="B255" s="28" t="s">
        <v>20</v>
      </c>
      <c r="C255" s="28" t="s">
        <v>4598</v>
      </c>
      <c r="D255" s="28" t="s">
        <v>4020</v>
      </c>
      <c r="E255" s="28" t="s">
        <v>4020</v>
      </c>
      <c r="F255" s="28"/>
      <c r="G255" s="28"/>
      <c r="H255" s="43" t="s">
        <v>4599</v>
      </c>
      <c r="I255" s="27"/>
      <c r="J255" s="32"/>
      <c r="K255" s="27"/>
      <c r="L255" s="27"/>
      <c r="M255" s="27"/>
      <c r="N255" s="27"/>
      <c r="O255" s="27"/>
      <c r="P255" s="27"/>
      <c r="Q255" s="27"/>
      <c r="R255" s="27"/>
      <c r="S255" s="27"/>
      <c r="T255" s="27"/>
    </row>
    <row r="256">
      <c r="A256" s="74"/>
      <c r="B256" s="28" t="s">
        <v>20</v>
      </c>
      <c r="C256" s="28" t="s">
        <v>4600</v>
      </c>
      <c r="D256" s="28" t="s">
        <v>4020</v>
      </c>
      <c r="E256" s="28" t="s">
        <v>4020</v>
      </c>
      <c r="F256" s="28"/>
      <c r="G256" s="28"/>
      <c r="H256" s="43" t="s">
        <v>4601</v>
      </c>
      <c r="I256" s="43" t="s">
        <v>4588</v>
      </c>
      <c r="J256" s="32"/>
      <c r="K256" s="27"/>
      <c r="L256" s="27"/>
      <c r="M256" s="27"/>
      <c r="N256" s="27"/>
      <c r="O256" s="27"/>
      <c r="P256" s="27"/>
      <c r="Q256" s="27"/>
      <c r="R256" s="27"/>
      <c r="S256" s="27"/>
      <c r="T256" s="27"/>
    </row>
    <row r="257">
      <c r="A257" s="74"/>
      <c r="B257" s="28" t="s">
        <v>20</v>
      </c>
      <c r="C257" s="28" t="s">
        <v>49</v>
      </c>
      <c r="D257" s="28" t="s">
        <v>4020</v>
      </c>
      <c r="E257" s="28" t="s">
        <v>4020</v>
      </c>
      <c r="F257" s="28" t="s">
        <v>4602</v>
      </c>
      <c r="G257" s="28"/>
      <c r="H257" s="43" t="s">
        <v>4603</v>
      </c>
      <c r="I257" s="27"/>
      <c r="J257" s="32"/>
      <c r="K257" s="27"/>
      <c r="L257" s="27"/>
      <c r="M257" s="27"/>
      <c r="N257" s="27"/>
      <c r="O257" s="27"/>
      <c r="P257" s="27"/>
      <c r="Q257" s="27"/>
      <c r="R257" s="27"/>
      <c r="S257" s="27"/>
      <c r="T257" s="27"/>
    </row>
    <row r="258">
      <c r="A258" s="74"/>
      <c r="B258" s="28" t="s">
        <v>276</v>
      </c>
      <c r="C258" s="28" t="s">
        <v>4604</v>
      </c>
      <c r="D258" s="28" t="s">
        <v>4020</v>
      </c>
      <c r="E258" s="28" t="s">
        <v>4020</v>
      </c>
      <c r="F258" s="28"/>
      <c r="G258" s="28"/>
      <c r="H258" s="43" t="s">
        <v>4605</v>
      </c>
      <c r="I258" s="27"/>
      <c r="J258" s="32"/>
      <c r="K258" s="27"/>
      <c r="L258" s="27"/>
      <c r="M258" s="27"/>
      <c r="N258" s="27"/>
      <c r="O258" s="27"/>
      <c r="P258" s="27"/>
      <c r="Q258" s="27"/>
      <c r="R258" s="27"/>
      <c r="S258" s="27"/>
      <c r="T258" s="27"/>
    </row>
    <row r="259">
      <c r="A259" s="74"/>
      <c r="B259" s="28" t="s">
        <v>20</v>
      </c>
      <c r="C259" s="28" t="s">
        <v>4606</v>
      </c>
      <c r="D259" s="28" t="s">
        <v>4020</v>
      </c>
      <c r="E259" s="28" t="s">
        <v>4020</v>
      </c>
      <c r="F259" s="28"/>
      <c r="G259" s="28"/>
      <c r="H259" s="43" t="s">
        <v>4607</v>
      </c>
      <c r="I259" s="43" t="s">
        <v>4608</v>
      </c>
      <c r="J259" s="32"/>
      <c r="K259" s="27"/>
      <c r="L259" s="27"/>
      <c r="M259" s="27"/>
      <c r="N259" s="27"/>
      <c r="O259" s="27"/>
      <c r="P259" s="27"/>
      <c r="Q259" s="27"/>
      <c r="R259" s="27"/>
      <c r="S259" s="27"/>
      <c r="T259" s="27"/>
    </row>
    <row r="260">
      <c r="A260" s="74"/>
      <c r="B260" s="28" t="s">
        <v>20</v>
      </c>
      <c r="C260" s="28" t="s">
        <v>4609</v>
      </c>
      <c r="D260" s="28" t="s">
        <v>4020</v>
      </c>
      <c r="E260" s="28" t="s">
        <v>4020</v>
      </c>
      <c r="F260" s="28"/>
      <c r="G260" s="28"/>
      <c r="H260" s="43" t="s">
        <v>4610</v>
      </c>
      <c r="I260" s="27"/>
      <c r="J260" s="32"/>
      <c r="K260" s="27"/>
      <c r="L260" s="27"/>
      <c r="M260" s="27"/>
      <c r="N260" s="27"/>
      <c r="O260" s="27"/>
      <c r="P260" s="27"/>
      <c r="Q260" s="27"/>
      <c r="R260" s="27"/>
      <c r="S260" s="27"/>
      <c r="T260" s="27"/>
    </row>
    <row r="261">
      <c r="A261" s="74"/>
      <c r="B261" s="28" t="s">
        <v>20</v>
      </c>
      <c r="C261" s="28" t="s">
        <v>4611</v>
      </c>
      <c r="D261" s="28" t="s">
        <v>4020</v>
      </c>
      <c r="E261" s="28" t="s">
        <v>4020</v>
      </c>
      <c r="F261" s="28"/>
      <c r="G261" s="28"/>
      <c r="H261" s="43" t="s">
        <v>4612</v>
      </c>
      <c r="I261" s="27"/>
      <c r="J261" s="43" t="s">
        <v>4613</v>
      </c>
      <c r="K261" s="27"/>
      <c r="L261" s="27"/>
      <c r="M261" s="27"/>
      <c r="N261" s="27"/>
      <c r="O261" s="27"/>
      <c r="P261" s="27"/>
      <c r="Q261" s="27"/>
      <c r="R261" s="27"/>
      <c r="S261" s="27"/>
      <c r="T261" s="27"/>
    </row>
    <row r="262">
      <c r="A262" s="74"/>
      <c r="B262" s="28" t="s">
        <v>20</v>
      </c>
      <c r="C262" s="28" t="s">
        <v>4614</v>
      </c>
      <c r="D262" s="28" t="s">
        <v>4020</v>
      </c>
      <c r="E262" s="28" t="s">
        <v>4020</v>
      </c>
      <c r="F262" s="28"/>
      <c r="G262" s="28"/>
      <c r="H262" s="43" t="s">
        <v>4615</v>
      </c>
      <c r="I262" s="43" t="s">
        <v>4616</v>
      </c>
      <c r="J262" s="29" t="s">
        <v>4617</v>
      </c>
      <c r="K262" s="27"/>
      <c r="L262" s="27"/>
      <c r="M262" s="27"/>
      <c r="N262" s="27"/>
      <c r="O262" s="27"/>
      <c r="P262" s="27"/>
      <c r="Q262" s="27"/>
      <c r="R262" s="27"/>
      <c r="S262" s="27"/>
      <c r="T262" s="27"/>
    </row>
    <row r="263">
      <c r="A263" s="74"/>
      <c r="B263" s="28" t="s">
        <v>102</v>
      </c>
      <c r="C263" s="28" t="s">
        <v>4618</v>
      </c>
      <c r="D263" s="28" t="s">
        <v>4020</v>
      </c>
      <c r="E263" s="28" t="s">
        <v>4020</v>
      </c>
      <c r="F263" s="28" t="s">
        <v>4619</v>
      </c>
      <c r="G263" s="28"/>
      <c r="H263" s="29" t="s">
        <v>4620</v>
      </c>
      <c r="I263" s="43" t="s">
        <v>4621</v>
      </c>
      <c r="J263" s="32"/>
      <c r="K263" s="27"/>
      <c r="L263" s="27"/>
      <c r="M263" s="27"/>
      <c r="N263" s="27"/>
      <c r="O263" s="27"/>
      <c r="P263" s="27"/>
      <c r="Q263" s="27"/>
      <c r="R263" s="27"/>
      <c r="S263" s="27"/>
      <c r="T263" s="27"/>
    </row>
    <row r="264">
      <c r="A264" s="74"/>
      <c r="B264" s="28" t="s">
        <v>20</v>
      </c>
      <c r="C264" s="28" t="s">
        <v>4150</v>
      </c>
      <c r="D264" s="28" t="s">
        <v>4020</v>
      </c>
      <c r="E264" s="28" t="s">
        <v>4020</v>
      </c>
      <c r="F264" s="28"/>
      <c r="G264" s="28"/>
      <c r="H264" s="43" t="s">
        <v>4622</v>
      </c>
      <c r="I264" s="29" t="s">
        <v>4623</v>
      </c>
      <c r="J264" s="43" t="s">
        <v>4624</v>
      </c>
      <c r="K264" s="27"/>
      <c r="L264" s="27"/>
      <c r="M264" s="27"/>
      <c r="N264" s="27"/>
      <c r="O264" s="27"/>
      <c r="P264" s="27"/>
      <c r="Q264" s="27"/>
      <c r="R264" s="27"/>
      <c r="S264" s="27"/>
      <c r="T264" s="27"/>
    </row>
    <row r="265">
      <c r="A265" s="74"/>
      <c r="B265" s="28" t="s">
        <v>20</v>
      </c>
      <c r="C265" s="28" t="s">
        <v>4625</v>
      </c>
      <c r="D265" s="28" t="s">
        <v>4020</v>
      </c>
      <c r="E265" s="28" t="s">
        <v>4020</v>
      </c>
      <c r="F265" s="28"/>
      <c r="G265" s="28"/>
      <c r="H265" s="43" t="s">
        <v>4626</v>
      </c>
      <c r="I265" s="43" t="s">
        <v>4627</v>
      </c>
      <c r="J265" s="32"/>
      <c r="K265" s="27"/>
      <c r="L265" s="27"/>
      <c r="M265" s="27"/>
      <c r="N265" s="27"/>
      <c r="O265" s="27"/>
      <c r="P265" s="27"/>
      <c r="Q265" s="27"/>
      <c r="R265" s="27"/>
      <c r="S265" s="27"/>
      <c r="T265" s="27"/>
    </row>
    <row r="266">
      <c r="A266" s="74"/>
      <c r="B266" s="28" t="s">
        <v>20</v>
      </c>
      <c r="C266" s="28" t="s">
        <v>4628</v>
      </c>
      <c r="D266" s="28" t="s">
        <v>4020</v>
      </c>
      <c r="E266" s="28" t="s">
        <v>4020</v>
      </c>
      <c r="F266" s="28"/>
      <c r="G266" s="28"/>
      <c r="H266" s="43" t="s">
        <v>4629</v>
      </c>
      <c r="I266" s="27"/>
      <c r="J266" s="32"/>
      <c r="K266" s="27"/>
      <c r="L266" s="27"/>
      <c r="M266" s="27"/>
      <c r="N266" s="27"/>
      <c r="O266" s="27"/>
      <c r="P266" s="27"/>
      <c r="Q266" s="27"/>
      <c r="R266" s="27"/>
      <c r="S266" s="27"/>
      <c r="T266" s="27"/>
    </row>
    <row r="267">
      <c r="A267" s="74"/>
      <c r="B267" s="28" t="s">
        <v>20</v>
      </c>
      <c r="C267" s="28" t="s">
        <v>4630</v>
      </c>
      <c r="D267" s="28" t="s">
        <v>4020</v>
      </c>
      <c r="E267" s="28" t="s">
        <v>4020</v>
      </c>
      <c r="F267" s="28"/>
      <c r="G267" s="28"/>
      <c r="H267" s="43" t="s">
        <v>4631</v>
      </c>
      <c r="I267" s="27"/>
      <c r="J267" s="32"/>
      <c r="K267" s="27"/>
      <c r="L267" s="27"/>
      <c r="M267" s="27"/>
      <c r="N267" s="27"/>
      <c r="O267" s="27"/>
      <c r="P267" s="27"/>
      <c r="Q267" s="27"/>
      <c r="R267" s="27"/>
      <c r="S267" s="27"/>
      <c r="T267" s="27"/>
    </row>
    <row r="268">
      <c r="A268" s="74"/>
      <c r="B268" s="28" t="s">
        <v>20</v>
      </c>
      <c r="C268" s="28" t="s">
        <v>4632</v>
      </c>
      <c r="D268" s="28" t="s">
        <v>4020</v>
      </c>
      <c r="E268" s="28" t="s">
        <v>4020</v>
      </c>
      <c r="F268" s="28"/>
      <c r="G268" s="28"/>
      <c r="H268" s="29" t="s">
        <v>4633</v>
      </c>
      <c r="I268" s="27"/>
      <c r="J268" s="32"/>
      <c r="K268" s="27"/>
      <c r="L268" s="27"/>
      <c r="M268" s="27"/>
      <c r="N268" s="27"/>
      <c r="O268" s="27"/>
      <c r="P268" s="27"/>
      <c r="Q268" s="27"/>
      <c r="R268" s="27"/>
      <c r="S268" s="27"/>
      <c r="T268" s="27"/>
    </row>
    <row r="269">
      <c r="A269" s="74"/>
      <c r="B269" s="28" t="s">
        <v>20</v>
      </c>
      <c r="C269" s="28" t="s">
        <v>4634</v>
      </c>
      <c r="D269" s="28" t="s">
        <v>4020</v>
      </c>
      <c r="E269" s="28" t="s">
        <v>4020</v>
      </c>
      <c r="F269" s="28"/>
      <c r="G269" s="28"/>
      <c r="H269" s="43" t="s">
        <v>4635</v>
      </c>
      <c r="I269" s="27"/>
      <c r="J269" s="32"/>
      <c r="K269" s="27"/>
      <c r="L269" s="27"/>
      <c r="M269" s="27"/>
      <c r="N269" s="27"/>
      <c r="O269" s="27"/>
      <c r="P269" s="27"/>
      <c r="Q269" s="27"/>
      <c r="R269" s="27"/>
      <c r="S269" s="27"/>
      <c r="T269" s="27"/>
    </row>
    <row r="270">
      <c r="A270" s="74"/>
      <c r="B270" s="28" t="s">
        <v>20</v>
      </c>
      <c r="C270" s="28" t="s">
        <v>4636</v>
      </c>
      <c r="D270" s="28" t="s">
        <v>4020</v>
      </c>
      <c r="E270" s="28" t="s">
        <v>4020</v>
      </c>
      <c r="F270" s="28" t="s">
        <v>4245</v>
      </c>
      <c r="G270" s="28"/>
      <c r="H270" s="43" t="s">
        <v>4637</v>
      </c>
      <c r="I270" s="43" t="s">
        <v>4638</v>
      </c>
      <c r="J270" s="32"/>
      <c r="K270" s="27"/>
      <c r="L270" s="27"/>
      <c r="M270" s="27"/>
      <c r="N270" s="27"/>
      <c r="O270" s="27"/>
      <c r="P270" s="27"/>
      <c r="Q270" s="27"/>
      <c r="R270" s="27"/>
      <c r="S270" s="27"/>
      <c r="T270" s="27"/>
    </row>
    <row r="271">
      <c r="A271" s="74"/>
      <c r="B271" s="28" t="s">
        <v>20</v>
      </c>
      <c r="C271" s="28" t="s">
        <v>4639</v>
      </c>
      <c r="D271" s="28" t="s">
        <v>4020</v>
      </c>
      <c r="E271" s="28" t="s">
        <v>4020</v>
      </c>
      <c r="F271" s="28" t="s">
        <v>4245</v>
      </c>
      <c r="G271" s="28"/>
      <c r="H271" s="29" t="s">
        <v>4640</v>
      </c>
      <c r="I271" s="43" t="s">
        <v>4641</v>
      </c>
      <c r="J271" s="32"/>
      <c r="K271" s="27"/>
      <c r="L271" s="27"/>
      <c r="M271" s="27"/>
      <c r="N271" s="27"/>
      <c r="O271" s="27"/>
      <c r="P271" s="27"/>
      <c r="Q271" s="27"/>
      <c r="R271" s="27"/>
      <c r="S271" s="27"/>
      <c r="T271" s="27"/>
    </row>
    <row r="272">
      <c r="A272" s="74"/>
      <c r="B272" s="28" t="s">
        <v>20</v>
      </c>
      <c r="C272" s="28" t="s">
        <v>3172</v>
      </c>
      <c r="D272" s="28" t="s">
        <v>4020</v>
      </c>
      <c r="E272" s="28" t="s">
        <v>4020</v>
      </c>
      <c r="F272" s="28" t="s">
        <v>4245</v>
      </c>
      <c r="G272" s="28"/>
      <c r="H272" s="43" t="s">
        <v>4642</v>
      </c>
      <c r="I272" s="27"/>
      <c r="J272" s="32"/>
      <c r="K272" s="27"/>
      <c r="L272" s="27"/>
      <c r="M272" s="27"/>
      <c r="N272" s="27"/>
      <c r="O272" s="27"/>
      <c r="P272" s="27"/>
      <c r="Q272" s="27"/>
      <c r="R272" s="27"/>
      <c r="S272" s="27"/>
      <c r="T272" s="27"/>
    </row>
    <row r="273">
      <c r="A273" s="74"/>
      <c r="B273" s="28" t="s">
        <v>20</v>
      </c>
      <c r="C273" s="28" t="s">
        <v>4643</v>
      </c>
      <c r="D273" s="28" t="s">
        <v>4020</v>
      </c>
      <c r="E273" s="28" t="s">
        <v>4020</v>
      </c>
      <c r="F273" s="28" t="s">
        <v>4245</v>
      </c>
      <c r="G273" s="28"/>
      <c r="H273" s="43" t="s">
        <v>4644</v>
      </c>
      <c r="I273" s="27"/>
      <c r="J273" s="32"/>
      <c r="K273" s="27"/>
      <c r="L273" s="27"/>
      <c r="M273" s="27"/>
      <c r="N273" s="27"/>
      <c r="O273" s="27"/>
      <c r="P273" s="27"/>
      <c r="Q273" s="27"/>
      <c r="R273" s="27"/>
      <c r="S273" s="27"/>
      <c r="T273" s="27"/>
    </row>
    <row r="274">
      <c r="A274" s="74"/>
      <c r="B274" s="28" t="s">
        <v>20</v>
      </c>
      <c r="C274" s="28" t="s">
        <v>4645</v>
      </c>
      <c r="D274" s="28" t="s">
        <v>4020</v>
      </c>
      <c r="E274" s="28" t="s">
        <v>4020</v>
      </c>
      <c r="F274" s="28" t="s">
        <v>4245</v>
      </c>
      <c r="G274" s="28"/>
      <c r="H274" s="43" t="s">
        <v>4646</v>
      </c>
      <c r="I274" s="27"/>
      <c r="J274" s="32"/>
      <c r="K274" s="27"/>
      <c r="L274" s="27"/>
      <c r="M274" s="27"/>
      <c r="N274" s="27"/>
      <c r="O274" s="27"/>
      <c r="P274" s="27"/>
      <c r="Q274" s="27"/>
      <c r="R274" s="27"/>
      <c r="S274" s="27"/>
      <c r="T274" s="27"/>
    </row>
    <row r="275">
      <c r="A275" s="74"/>
      <c r="B275" s="28" t="s">
        <v>20</v>
      </c>
      <c r="C275" s="28" t="s">
        <v>4647</v>
      </c>
      <c r="D275" s="28" t="s">
        <v>4020</v>
      </c>
      <c r="E275" s="28" t="s">
        <v>4132</v>
      </c>
      <c r="F275" s="28"/>
      <c r="G275" s="28"/>
      <c r="H275" s="43" t="s">
        <v>4648</v>
      </c>
      <c r="I275" s="27"/>
      <c r="J275" s="32"/>
      <c r="K275" s="27"/>
      <c r="L275" s="27"/>
      <c r="M275" s="27"/>
      <c r="N275" s="27"/>
      <c r="O275" s="27"/>
      <c r="P275" s="27"/>
      <c r="Q275" s="27"/>
      <c r="R275" s="27"/>
      <c r="S275" s="27"/>
      <c r="T275" s="27"/>
    </row>
    <row r="276">
      <c r="A276" s="74"/>
      <c r="B276" s="28" t="s">
        <v>20</v>
      </c>
      <c r="C276" s="28" t="s">
        <v>4649</v>
      </c>
      <c r="D276" s="28" t="s">
        <v>4020</v>
      </c>
      <c r="E276" s="28" t="s">
        <v>4020</v>
      </c>
      <c r="F276" s="28" t="s">
        <v>4650</v>
      </c>
      <c r="G276" s="28"/>
      <c r="H276" s="43" t="s">
        <v>4651</v>
      </c>
      <c r="I276" s="27"/>
      <c r="J276" s="32"/>
      <c r="K276" s="27"/>
      <c r="L276" s="27"/>
      <c r="M276" s="27"/>
      <c r="N276" s="27"/>
      <c r="O276" s="27"/>
      <c r="P276" s="27"/>
      <c r="Q276" s="27"/>
      <c r="R276" s="27"/>
      <c r="S276" s="27"/>
      <c r="T276" s="27"/>
    </row>
    <row r="277">
      <c r="A277" s="74"/>
      <c r="B277" s="28" t="s">
        <v>20</v>
      </c>
      <c r="C277" s="28" t="s">
        <v>4652</v>
      </c>
      <c r="D277" s="28" t="s">
        <v>4020</v>
      </c>
      <c r="E277" s="28" t="s">
        <v>4042</v>
      </c>
      <c r="F277" s="28" t="s">
        <v>4652</v>
      </c>
      <c r="G277" s="28"/>
      <c r="H277" s="43" t="s">
        <v>4653</v>
      </c>
      <c r="I277" s="27"/>
      <c r="J277" s="32"/>
      <c r="K277" s="27"/>
      <c r="L277" s="27"/>
      <c r="M277" s="27"/>
      <c r="N277" s="27"/>
      <c r="O277" s="27"/>
      <c r="P277" s="27"/>
      <c r="Q277" s="27"/>
      <c r="R277" s="27"/>
      <c r="S277" s="27"/>
      <c r="T277" s="27"/>
    </row>
    <row r="278">
      <c r="A278" s="74"/>
      <c r="B278" s="28" t="s">
        <v>20</v>
      </c>
      <c r="C278" s="28" t="s">
        <v>55</v>
      </c>
      <c r="D278" s="28" t="s">
        <v>4020</v>
      </c>
      <c r="E278" s="28" t="s">
        <v>4042</v>
      </c>
      <c r="F278" s="28" t="s">
        <v>4654</v>
      </c>
      <c r="G278" s="28"/>
      <c r="H278" s="43" t="s">
        <v>4655</v>
      </c>
      <c r="I278" s="27"/>
      <c r="J278" s="32"/>
      <c r="K278" s="27"/>
      <c r="L278" s="27"/>
      <c r="M278" s="27"/>
      <c r="N278" s="27"/>
      <c r="O278" s="27"/>
      <c r="P278" s="27"/>
      <c r="Q278" s="27"/>
      <c r="R278" s="27"/>
      <c r="S278" s="27"/>
      <c r="T278" s="27"/>
    </row>
    <row r="279">
      <c r="A279" s="100"/>
      <c r="B279" s="11" t="s">
        <v>20</v>
      </c>
      <c r="C279" s="21" t="s">
        <v>4656</v>
      </c>
      <c r="D279" s="11" t="s">
        <v>4020</v>
      </c>
      <c r="E279" s="11" t="s">
        <v>4020</v>
      </c>
      <c r="F279" s="11"/>
      <c r="G279" s="11"/>
      <c r="J279" s="12" t="s">
        <v>4657</v>
      </c>
    </row>
    <row r="280">
      <c r="A280" s="100"/>
      <c r="B280" s="11" t="s">
        <v>17</v>
      </c>
      <c r="C280" s="11" t="s">
        <v>4658</v>
      </c>
      <c r="D280" s="11" t="s">
        <v>4020</v>
      </c>
      <c r="E280" s="11" t="s">
        <v>4031</v>
      </c>
      <c r="F280" s="11"/>
      <c r="G280" s="11"/>
      <c r="J280" s="12" t="s">
        <v>4659</v>
      </c>
    </row>
    <row r="281">
      <c r="A281" s="100"/>
      <c r="B281" s="11" t="s">
        <v>20</v>
      </c>
      <c r="C281" s="11" t="s">
        <v>4660</v>
      </c>
      <c r="D281" s="11" t="s">
        <v>4020</v>
      </c>
      <c r="E281" s="11" t="s">
        <v>4020</v>
      </c>
      <c r="F281" s="11"/>
      <c r="G281" s="11"/>
      <c r="J281" s="12" t="s">
        <v>4661</v>
      </c>
    </row>
    <row r="282">
      <c r="A282" s="100"/>
      <c r="B282" s="11" t="s">
        <v>17</v>
      </c>
      <c r="C282" s="11" t="s">
        <v>4662</v>
      </c>
      <c r="D282" s="11" t="s">
        <v>4020</v>
      </c>
      <c r="E282" s="11" t="s">
        <v>4042</v>
      </c>
      <c r="F282" s="11"/>
      <c r="G282" s="11"/>
      <c r="J282" s="12" t="s">
        <v>4663</v>
      </c>
    </row>
    <row r="283">
      <c r="A283" s="100"/>
      <c r="B283" s="11"/>
      <c r="C283" s="11"/>
      <c r="D283" s="11"/>
      <c r="E283" s="11"/>
      <c r="F283" s="11"/>
      <c r="G283" s="11"/>
      <c r="J283" s="37"/>
    </row>
    <row r="284">
      <c r="A284" s="100"/>
      <c r="B284" s="11"/>
      <c r="C284" s="11"/>
      <c r="D284" s="11"/>
      <c r="E284" s="11"/>
      <c r="F284" s="11"/>
      <c r="G284" s="11"/>
      <c r="J284" s="37"/>
    </row>
    <row r="285">
      <c r="A285" s="100"/>
      <c r="B285" s="11"/>
      <c r="C285" s="11"/>
      <c r="D285" s="11"/>
      <c r="E285" s="11"/>
      <c r="F285" s="11"/>
      <c r="G285" s="11"/>
      <c r="J285" s="37"/>
    </row>
    <row r="286">
      <c r="A286" s="100"/>
      <c r="B286" s="11"/>
      <c r="C286" s="11"/>
      <c r="D286" s="11"/>
      <c r="E286" s="11"/>
      <c r="F286" s="11"/>
      <c r="G286" s="11"/>
      <c r="J286" s="37"/>
    </row>
    <row r="287">
      <c r="A287" s="100"/>
      <c r="B287" s="11"/>
      <c r="C287" s="11"/>
      <c r="D287" s="11"/>
      <c r="E287" s="11"/>
      <c r="F287" s="11"/>
      <c r="G287" s="11"/>
      <c r="J287" s="37"/>
    </row>
    <row r="288">
      <c r="A288" s="100"/>
      <c r="B288" s="11"/>
      <c r="C288" s="11"/>
      <c r="D288" s="11"/>
      <c r="E288" s="11"/>
      <c r="F288" s="11"/>
      <c r="G288" s="11"/>
      <c r="J288" s="37"/>
    </row>
    <row r="289">
      <c r="A289" s="100"/>
      <c r="B289" s="11"/>
      <c r="C289" s="11"/>
      <c r="D289" s="11"/>
      <c r="E289" s="11"/>
      <c r="F289" s="11"/>
      <c r="G289" s="11"/>
      <c r="J289" s="37"/>
    </row>
    <row r="290">
      <c r="A290" s="100"/>
      <c r="B290" s="11"/>
      <c r="C290" s="11"/>
      <c r="D290" s="11"/>
      <c r="E290" s="11"/>
      <c r="F290" s="11"/>
      <c r="G290" s="11"/>
      <c r="J290" s="37"/>
    </row>
    <row r="291">
      <c r="A291" s="100"/>
      <c r="B291" s="11"/>
      <c r="C291" s="11"/>
      <c r="D291" s="11"/>
      <c r="E291" s="11"/>
      <c r="F291" s="11"/>
      <c r="G291" s="11"/>
      <c r="J291" s="37"/>
    </row>
    <row r="292">
      <c r="A292" s="100"/>
      <c r="B292" s="11"/>
      <c r="C292" s="11"/>
      <c r="D292" s="11"/>
      <c r="E292" s="11"/>
      <c r="F292" s="11"/>
      <c r="G292" s="11"/>
      <c r="J292" s="37"/>
    </row>
    <row r="293">
      <c r="A293" s="100"/>
      <c r="B293" s="11"/>
      <c r="C293" s="11"/>
      <c r="D293" s="11"/>
      <c r="E293" s="11"/>
      <c r="F293" s="11"/>
      <c r="G293" s="11"/>
      <c r="J293" s="37"/>
    </row>
    <row r="294">
      <c r="A294" s="100"/>
      <c r="B294" s="11"/>
      <c r="C294" s="11"/>
      <c r="D294" s="11"/>
      <c r="E294" s="11"/>
      <c r="F294" s="11"/>
      <c r="G294" s="11"/>
      <c r="J294" s="37"/>
    </row>
    <row r="295">
      <c r="A295" s="100"/>
      <c r="B295" s="11"/>
      <c r="C295" s="11"/>
      <c r="D295" s="11"/>
      <c r="E295" s="11"/>
      <c r="F295" s="11"/>
      <c r="G295" s="11"/>
      <c r="J295" s="37"/>
    </row>
    <row r="296">
      <c r="A296" s="100"/>
      <c r="B296" s="11"/>
      <c r="C296" s="11"/>
      <c r="D296" s="11"/>
      <c r="E296" s="11"/>
      <c r="F296" s="11"/>
      <c r="G296" s="11"/>
      <c r="J296" s="37"/>
    </row>
    <row r="297">
      <c r="A297" s="100"/>
      <c r="B297" s="11"/>
      <c r="C297" s="11"/>
      <c r="D297" s="11"/>
      <c r="E297" s="11"/>
      <c r="F297" s="11"/>
      <c r="G297" s="11"/>
      <c r="J297" s="37"/>
    </row>
    <row r="298">
      <c r="A298" s="100"/>
      <c r="B298" s="11"/>
      <c r="C298" s="11"/>
      <c r="D298" s="11"/>
      <c r="E298" s="11"/>
      <c r="F298" s="11"/>
      <c r="G298" s="11"/>
      <c r="J298" s="37"/>
    </row>
    <row r="299">
      <c r="A299" s="100"/>
      <c r="B299" s="11"/>
      <c r="C299" s="11"/>
      <c r="D299" s="11"/>
      <c r="E299" s="11"/>
      <c r="F299" s="11"/>
      <c r="G299" s="11"/>
      <c r="J299" s="37"/>
    </row>
    <row r="300">
      <c r="A300" s="100"/>
      <c r="B300" s="11"/>
      <c r="C300" s="11"/>
      <c r="D300" s="11"/>
      <c r="E300" s="11"/>
      <c r="F300" s="11"/>
      <c r="G300" s="11"/>
      <c r="J300" s="37"/>
    </row>
    <row r="301">
      <c r="A301" s="100"/>
      <c r="B301" s="11"/>
      <c r="C301" s="11"/>
      <c r="D301" s="11"/>
      <c r="E301" s="11"/>
      <c r="F301" s="11"/>
      <c r="G301" s="11"/>
      <c r="J301" s="37"/>
    </row>
    <row r="302">
      <c r="A302" s="100"/>
      <c r="B302" s="11"/>
      <c r="C302" s="11"/>
      <c r="D302" s="11"/>
      <c r="E302" s="11"/>
      <c r="F302" s="11"/>
      <c r="G302" s="11"/>
      <c r="J302" s="37"/>
    </row>
    <row r="303">
      <c r="A303" s="100"/>
      <c r="B303" s="11"/>
      <c r="C303" s="11"/>
      <c r="D303" s="11"/>
      <c r="E303" s="11"/>
      <c r="F303" s="11"/>
      <c r="G303" s="11"/>
      <c r="J303" s="37"/>
    </row>
    <row r="304">
      <c r="A304" s="100"/>
      <c r="B304" s="11"/>
      <c r="C304" s="11"/>
      <c r="D304" s="11"/>
      <c r="E304" s="11"/>
      <c r="F304" s="11"/>
      <c r="G304" s="11"/>
      <c r="J304" s="37"/>
    </row>
    <row r="305">
      <c r="A305" s="100"/>
      <c r="B305" s="11"/>
      <c r="C305" s="11"/>
      <c r="D305" s="11"/>
      <c r="E305" s="11"/>
      <c r="F305" s="11"/>
      <c r="G305" s="11"/>
      <c r="J305" s="37"/>
    </row>
    <row r="306">
      <c r="A306" s="100"/>
      <c r="B306" s="11"/>
      <c r="C306" s="11"/>
      <c r="D306" s="11"/>
      <c r="E306" s="11"/>
      <c r="F306" s="11"/>
      <c r="G306" s="11"/>
      <c r="J306" s="37"/>
    </row>
    <row r="307">
      <c r="A307" s="100"/>
      <c r="B307" s="11"/>
      <c r="C307" s="11"/>
      <c r="D307" s="11"/>
      <c r="E307" s="11"/>
      <c r="F307" s="11"/>
      <c r="G307" s="11"/>
      <c r="J307" s="37"/>
    </row>
    <row r="308">
      <c r="A308" s="100"/>
      <c r="B308" s="11"/>
      <c r="C308" s="11"/>
      <c r="D308" s="11"/>
      <c r="E308" s="11"/>
      <c r="F308" s="11"/>
      <c r="G308" s="11"/>
      <c r="J308" s="37"/>
    </row>
    <row r="309">
      <c r="A309" s="100"/>
      <c r="B309" s="11"/>
      <c r="C309" s="11"/>
      <c r="D309" s="11"/>
      <c r="E309" s="11"/>
      <c r="F309" s="11"/>
      <c r="G309" s="11"/>
      <c r="J309" s="37"/>
    </row>
    <row r="310">
      <c r="A310" s="100"/>
      <c r="B310" s="11"/>
      <c r="C310" s="11"/>
      <c r="D310" s="11"/>
      <c r="E310" s="11"/>
      <c r="F310" s="11"/>
      <c r="G310" s="11"/>
      <c r="J310" s="37"/>
    </row>
    <row r="311">
      <c r="A311" s="100"/>
      <c r="B311" s="11"/>
      <c r="C311" s="11"/>
      <c r="D311" s="11"/>
      <c r="E311" s="11"/>
      <c r="F311" s="11"/>
      <c r="G311" s="11"/>
      <c r="J311" s="37"/>
    </row>
    <row r="312">
      <c r="A312" s="100"/>
      <c r="B312" s="11"/>
      <c r="C312" s="11"/>
      <c r="D312" s="11"/>
      <c r="E312" s="11"/>
      <c r="F312" s="11"/>
      <c r="G312" s="11"/>
      <c r="J312" s="37"/>
    </row>
    <row r="313">
      <c r="A313" s="100"/>
      <c r="B313" s="11"/>
      <c r="C313" s="11"/>
      <c r="D313" s="11"/>
      <c r="E313" s="11"/>
      <c r="F313" s="11"/>
      <c r="G313" s="11"/>
      <c r="J313" s="37"/>
    </row>
    <row r="314">
      <c r="A314" s="100"/>
      <c r="B314" s="11"/>
      <c r="C314" s="11"/>
      <c r="D314" s="11"/>
      <c r="E314" s="11"/>
      <c r="F314" s="11"/>
      <c r="G314" s="11"/>
      <c r="J314" s="37"/>
    </row>
    <row r="315">
      <c r="A315" s="100"/>
      <c r="B315" s="11"/>
      <c r="C315" s="11"/>
      <c r="D315" s="11"/>
      <c r="E315" s="11"/>
      <c r="F315" s="11"/>
      <c r="G315" s="11"/>
      <c r="J315" s="37"/>
    </row>
    <row r="316">
      <c r="A316" s="100"/>
      <c r="B316" s="11"/>
      <c r="C316" s="11"/>
      <c r="D316" s="11"/>
      <c r="E316" s="11"/>
      <c r="F316" s="11"/>
      <c r="G316" s="11"/>
      <c r="J316" s="37"/>
    </row>
    <row r="317">
      <c r="A317" s="100"/>
      <c r="B317" s="11"/>
      <c r="C317" s="11"/>
      <c r="D317" s="11"/>
      <c r="E317" s="11"/>
      <c r="F317" s="11"/>
      <c r="G317" s="11"/>
      <c r="J317" s="37"/>
    </row>
    <row r="318">
      <c r="A318" s="100"/>
      <c r="B318" s="11"/>
      <c r="C318" s="11"/>
      <c r="D318" s="11"/>
      <c r="E318" s="11"/>
      <c r="F318" s="11"/>
      <c r="G318" s="11"/>
      <c r="J318" s="37"/>
    </row>
    <row r="319">
      <c r="A319" s="100"/>
      <c r="B319" s="11"/>
      <c r="C319" s="11"/>
      <c r="D319" s="11"/>
      <c r="E319" s="11"/>
      <c r="F319" s="11"/>
      <c r="G319" s="11"/>
      <c r="J319" s="37"/>
    </row>
    <row r="320">
      <c r="A320" s="100"/>
      <c r="B320" s="11"/>
      <c r="C320" s="11"/>
      <c r="D320" s="11"/>
      <c r="E320" s="11"/>
      <c r="F320" s="11"/>
      <c r="G320" s="11"/>
      <c r="J320" s="37"/>
    </row>
    <row r="321">
      <c r="A321" s="100"/>
      <c r="B321" s="11"/>
      <c r="C321" s="11"/>
      <c r="D321" s="11"/>
      <c r="E321" s="11"/>
      <c r="F321" s="11"/>
      <c r="G321" s="11"/>
      <c r="J321" s="37"/>
    </row>
    <row r="322">
      <c r="A322" s="100"/>
      <c r="B322" s="11"/>
      <c r="C322" s="11"/>
      <c r="D322" s="11"/>
      <c r="E322" s="11"/>
      <c r="F322" s="11"/>
      <c r="G322" s="11"/>
      <c r="J322" s="37"/>
    </row>
    <row r="323">
      <c r="A323" s="100"/>
      <c r="B323" s="11"/>
      <c r="C323" s="11"/>
      <c r="D323" s="11"/>
      <c r="E323" s="11"/>
      <c r="F323" s="11"/>
      <c r="G323" s="11"/>
      <c r="J323" s="37"/>
    </row>
    <row r="324">
      <c r="A324" s="100"/>
      <c r="B324" s="11"/>
      <c r="C324" s="11"/>
      <c r="D324" s="11"/>
      <c r="E324" s="11"/>
      <c r="F324" s="11"/>
      <c r="G324" s="11"/>
      <c r="J324" s="37"/>
    </row>
    <row r="325">
      <c r="A325" s="100"/>
      <c r="B325" s="11"/>
      <c r="C325" s="11"/>
      <c r="D325" s="11"/>
      <c r="E325" s="11"/>
      <c r="F325" s="11"/>
      <c r="G325" s="11"/>
      <c r="J325" s="37"/>
    </row>
    <row r="326">
      <c r="A326" s="100"/>
      <c r="B326" s="11"/>
      <c r="C326" s="11"/>
      <c r="D326" s="11"/>
      <c r="E326" s="11"/>
      <c r="F326" s="11"/>
      <c r="G326" s="11"/>
      <c r="J326" s="37"/>
    </row>
    <row r="327">
      <c r="A327" s="100"/>
      <c r="B327" s="11"/>
      <c r="C327" s="11"/>
      <c r="D327" s="11"/>
      <c r="E327" s="11"/>
      <c r="F327" s="11"/>
      <c r="G327" s="11"/>
      <c r="J327" s="37"/>
    </row>
    <row r="328">
      <c r="A328" s="100"/>
      <c r="B328" s="11"/>
      <c r="C328" s="11"/>
      <c r="D328" s="11"/>
      <c r="E328" s="11"/>
      <c r="F328" s="11"/>
      <c r="G328" s="11"/>
      <c r="J328" s="37"/>
    </row>
    <row r="329">
      <c r="A329" s="100"/>
      <c r="B329" s="11"/>
      <c r="C329" s="11"/>
      <c r="D329" s="11"/>
      <c r="E329" s="11"/>
      <c r="F329" s="11"/>
      <c r="G329" s="11"/>
      <c r="J329" s="37"/>
    </row>
    <row r="330">
      <c r="A330" s="100"/>
      <c r="B330" s="11"/>
      <c r="C330" s="11"/>
      <c r="D330" s="11"/>
      <c r="E330" s="11"/>
      <c r="F330" s="11"/>
      <c r="G330" s="11"/>
      <c r="J330" s="37"/>
    </row>
    <row r="331">
      <c r="A331" s="100"/>
      <c r="B331" s="11"/>
      <c r="C331" s="11"/>
      <c r="D331" s="11"/>
      <c r="E331" s="11"/>
      <c r="F331" s="11"/>
      <c r="G331" s="11"/>
      <c r="J331" s="37"/>
    </row>
    <row r="332">
      <c r="A332" s="100"/>
      <c r="B332" s="11"/>
      <c r="C332" s="11"/>
      <c r="D332" s="11"/>
      <c r="E332" s="11"/>
      <c r="F332" s="11"/>
      <c r="G332" s="11"/>
      <c r="J332" s="37"/>
    </row>
    <row r="333">
      <c r="A333" s="100"/>
      <c r="B333" s="11"/>
      <c r="C333" s="11"/>
      <c r="D333" s="11"/>
      <c r="E333" s="11"/>
      <c r="F333" s="11"/>
      <c r="G333" s="11"/>
      <c r="J333" s="37"/>
    </row>
    <row r="334">
      <c r="A334" s="100"/>
      <c r="B334" s="11"/>
      <c r="C334" s="11"/>
      <c r="D334" s="11"/>
      <c r="E334" s="11"/>
      <c r="F334" s="11"/>
      <c r="G334" s="11"/>
      <c r="J334" s="37"/>
    </row>
    <row r="335">
      <c r="A335" s="100"/>
      <c r="B335" s="11"/>
      <c r="C335" s="11"/>
      <c r="D335" s="11"/>
      <c r="E335" s="11"/>
      <c r="F335" s="11"/>
      <c r="G335" s="11"/>
      <c r="J335" s="37"/>
    </row>
    <row r="336">
      <c r="A336" s="100"/>
      <c r="B336" s="11"/>
      <c r="C336" s="11"/>
      <c r="D336" s="11"/>
      <c r="E336" s="11"/>
      <c r="F336" s="11"/>
      <c r="G336" s="11"/>
      <c r="J336" s="37"/>
    </row>
    <row r="337">
      <c r="A337" s="100"/>
      <c r="B337" s="11"/>
      <c r="C337" s="11"/>
      <c r="D337" s="11"/>
      <c r="E337" s="11"/>
      <c r="F337" s="11"/>
      <c r="G337" s="11"/>
      <c r="J337" s="37"/>
    </row>
    <row r="338">
      <c r="A338" s="100"/>
      <c r="B338" s="11"/>
      <c r="C338" s="11"/>
      <c r="D338" s="11"/>
      <c r="E338" s="11"/>
      <c r="F338" s="11"/>
      <c r="G338" s="11"/>
      <c r="J338" s="37"/>
    </row>
    <row r="339">
      <c r="A339" s="100"/>
      <c r="B339" s="11"/>
      <c r="C339" s="11"/>
      <c r="D339" s="11"/>
      <c r="E339" s="11"/>
      <c r="F339" s="11"/>
      <c r="G339" s="11"/>
      <c r="J339" s="37"/>
    </row>
    <row r="340">
      <c r="A340" s="100"/>
      <c r="B340" s="11"/>
      <c r="C340" s="11"/>
      <c r="D340" s="11"/>
      <c r="E340" s="11"/>
      <c r="F340" s="11"/>
      <c r="G340" s="11"/>
      <c r="J340" s="37"/>
    </row>
    <row r="341">
      <c r="A341" s="100"/>
      <c r="B341" s="11"/>
      <c r="C341" s="11"/>
      <c r="D341" s="11"/>
      <c r="E341" s="11"/>
      <c r="F341" s="11"/>
      <c r="G341" s="11"/>
      <c r="J341" s="37"/>
    </row>
    <row r="342">
      <c r="A342" s="100"/>
      <c r="B342" s="11"/>
      <c r="C342" s="11"/>
      <c r="D342" s="11"/>
      <c r="E342" s="11"/>
      <c r="F342" s="11"/>
      <c r="G342" s="11"/>
      <c r="J342" s="37"/>
    </row>
    <row r="343">
      <c r="A343" s="100"/>
      <c r="B343" s="11"/>
      <c r="C343" s="11"/>
      <c r="D343" s="11"/>
      <c r="E343" s="11"/>
      <c r="F343" s="11"/>
      <c r="G343" s="11"/>
      <c r="J343" s="37"/>
    </row>
    <row r="344">
      <c r="A344" s="100"/>
      <c r="B344" s="11"/>
      <c r="C344" s="11"/>
      <c r="D344" s="11"/>
      <c r="E344" s="11"/>
      <c r="F344" s="11"/>
      <c r="G344" s="11"/>
      <c r="J344" s="37"/>
    </row>
    <row r="345">
      <c r="A345" s="100"/>
      <c r="B345" s="11"/>
      <c r="C345" s="11"/>
      <c r="D345" s="11"/>
      <c r="E345" s="11"/>
      <c r="F345" s="11"/>
      <c r="G345" s="11"/>
      <c r="J345" s="37"/>
    </row>
    <row r="346">
      <c r="A346" s="100"/>
      <c r="B346" s="11"/>
      <c r="C346" s="11"/>
      <c r="D346" s="11"/>
      <c r="E346" s="11"/>
      <c r="F346" s="11"/>
      <c r="G346" s="11"/>
      <c r="J346" s="37"/>
    </row>
    <row r="347">
      <c r="A347" s="100"/>
      <c r="B347" s="11"/>
      <c r="C347" s="11"/>
      <c r="D347" s="11"/>
      <c r="E347" s="11"/>
      <c r="F347" s="11"/>
      <c r="G347" s="11"/>
      <c r="J347" s="37"/>
    </row>
    <row r="348">
      <c r="A348" s="100"/>
      <c r="B348" s="11"/>
      <c r="C348" s="11"/>
      <c r="D348" s="11"/>
      <c r="E348" s="11"/>
      <c r="F348" s="11"/>
      <c r="G348" s="11"/>
      <c r="J348" s="37"/>
    </row>
    <row r="349">
      <c r="A349" s="100"/>
      <c r="B349" s="11"/>
      <c r="C349" s="11"/>
      <c r="D349" s="11"/>
      <c r="E349" s="11"/>
      <c r="F349" s="11"/>
      <c r="G349" s="11"/>
      <c r="J349" s="37"/>
    </row>
    <row r="350">
      <c r="A350" s="100"/>
      <c r="B350" s="11"/>
      <c r="C350" s="11"/>
      <c r="D350" s="11"/>
      <c r="E350" s="11"/>
      <c r="F350" s="11"/>
      <c r="G350" s="11"/>
      <c r="J350" s="37"/>
    </row>
    <row r="351">
      <c r="A351" s="100"/>
      <c r="B351" s="11"/>
      <c r="C351" s="11"/>
      <c r="D351" s="11"/>
      <c r="E351" s="11"/>
      <c r="F351" s="11"/>
      <c r="G351" s="11"/>
      <c r="J351" s="37"/>
    </row>
    <row r="352">
      <c r="A352" s="100"/>
      <c r="B352" s="11"/>
      <c r="C352" s="11"/>
      <c r="D352" s="11"/>
      <c r="E352" s="11"/>
      <c r="F352" s="11"/>
      <c r="G352" s="11"/>
      <c r="J352" s="37"/>
    </row>
    <row r="353">
      <c r="A353" s="100"/>
      <c r="B353" s="11"/>
      <c r="C353" s="11"/>
      <c r="D353" s="11"/>
      <c r="E353" s="11"/>
      <c r="F353" s="11"/>
      <c r="G353" s="11"/>
      <c r="J353" s="37"/>
    </row>
    <row r="354">
      <c r="A354" s="100"/>
      <c r="B354" s="11"/>
      <c r="C354" s="11"/>
      <c r="D354" s="11"/>
      <c r="E354" s="11"/>
      <c r="F354" s="11"/>
      <c r="G354" s="11"/>
      <c r="J354" s="37"/>
    </row>
    <row r="355">
      <c r="A355" s="100"/>
      <c r="B355" s="11"/>
      <c r="C355" s="11"/>
      <c r="D355" s="11"/>
      <c r="E355" s="11"/>
      <c r="F355" s="11"/>
      <c r="G355" s="11"/>
      <c r="J355" s="37"/>
    </row>
    <row r="356">
      <c r="A356" s="100"/>
      <c r="B356" s="11"/>
      <c r="C356" s="11"/>
      <c r="D356" s="11"/>
      <c r="E356" s="11"/>
      <c r="F356" s="11"/>
      <c r="G356" s="11"/>
      <c r="J356" s="37"/>
    </row>
    <row r="357">
      <c r="A357" s="100"/>
      <c r="B357" s="11"/>
      <c r="C357" s="11"/>
      <c r="D357" s="11"/>
      <c r="E357" s="11"/>
      <c r="F357" s="11"/>
      <c r="G357" s="11"/>
      <c r="J357" s="37"/>
    </row>
    <row r="358">
      <c r="A358" s="100"/>
      <c r="B358" s="11"/>
      <c r="C358" s="11"/>
      <c r="D358" s="11"/>
      <c r="E358" s="11"/>
      <c r="F358" s="11"/>
      <c r="G358" s="11"/>
      <c r="J358" s="37"/>
    </row>
    <row r="359">
      <c r="A359" s="100"/>
      <c r="B359" s="11"/>
      <c r="C359" s="11"/>
      <c r="D359" s="11"/>
      <c r="E359" s="11"/>
      <c r="F359" s="11"/>
      <c r="G359" s="11"/>
      <c r="J359" s="37"/>
    </row>
    <row r="360">
      <c r="A360" s="100"/>
      <c r="B360" s="11"/>
      <c r="C360" s="11"/>
      <c r="D360" s="11"/>
      <c r="E360" s="11"/>
      <c r="F360" s="11"/>
      <c r="G360" s="11"/>
      <c r="J360" s="37"/>
    </row>
    <row r="361">
      <c r="A361" s="100"/>
      <c r="B361" s="11"/>
      <c r="C361" s="11"/>
      <c r="D361" s="11"/>
      <c r="E361" s="11"/>
      <c r="F361" s="11"/>
      <c r="G361" s="11"/>
      <c r="J361" s="37"/>
    </row>
    <row r="362">
      <c r="A362" s="100"/>
      <c r="B362" s="11"/>
      <c r="C362" s="11"/>
      <c r="D362" s="11"/>
      <c r="E362" s="11"/>
      <c r="F362" s="11"/>
      <c r="G362" s="11"/>
      <c r="J362" s="37"/>
    </row>
    <row r="363">
      <c r="A363" s="100"/>
      <c r="B363" s="11"/>
      <c r="C363" s="11"/>
      <c r="D363" s="11"/>
      <c r="E363" s="11"/>
      <c r="F363" s="11"/>
      <c r="G363" s="11"/>
      <c r="J363" s="37"/>
    </row>
    <row r="364">
      <c r="A364" s="100"/>
      <c r="B364" s="11"/>
      <c r="C364" s="11"/>
      <c r="D364" s="11"/>
      <c r="E364" s="11"/>
      <c r="F364" s="11"/>
      <c r="G364" s="11"/>
      <c r="J364" s="37"/>
    </row>
    <row r="365">
      <c r="A365" s="100"/>
      <c r="B365" s="11"/>
      <c r="C365" s="11"/>
      <c r="D365" s="11"/>
      <c r="E365" s="11"/>
      <c r="F365" s="11"/>
      <c r="G365" s="11"/>
      <c r="J365" s="37"/>
    </row>
    <row r="366">
      <c r="A366" s="100"/>
      <c r="B366" s="11"/>
      <c r="C366" s="11"/>
      <c r="D366" s="11"/>
      <c r="E366" s="11"/>
      <c r="F366" s="11"/>
      <c r="G366" s="11"/>
      <c r="J366" s="37"/>
    </row>
    <row r="367">
      <c r="A367" s="100"/>
      <c r="B367" s="11"/>
      <c r="C367" s="11"/>
      <c r="D367" s="11"/>
      <c r="E367" s="11"/>
      <c r="F367" s="11"/>
      <c r="G367" s="11"/>
      <c r="J367" s="37"/>
    </row>
    <row r="368">
      <c r="A368" s="100"/>
      <c r="B368" s="11"/>
      <c r="C368" s="11"/>
      <c r="D368" s="11"/>
      <c r="E368" s="11"/>
      <c r="F368" s="11"/>
      <c r="G368" s="11"/>
      <c r="J368" s="37"/>
    </row>
    <row r="369">
      <c r="A369" s="100"/>
      <c r="B369" s="11"/>
      <c r="C369" s="11"/>
      <c r="D369" s="11"/>
      <c r="E369" s="11"/>
      <c r="F369" s="11"/>
      <c r="G369" s="11"/>
      <c r="J369" s="37"/>
    </row>
    <row r="370">
      <c r="A370" s="100"/>
      <c r="B370" s="11"/>
      <c r="C370" s="11"/>
      <c r="D370" s="11"/>
      <c r="E370" s="11"/>
      <c r="F370" s="11"/>
      <c r="G370" s="11"/>
      <c r="J370" s="37"/>
    </row>
    <row r="371">
      <c r="A371" s="100"/>
      <c r="B371" s="11"/>
      <c r="C371" s="11"/>
      <c r="D371" s="11"/>
      <c r="E371" s="11"/>
      <c r="F371" s="11"/>
      <c r="G371" s="11"/>
      <c r="J371" s="37"/>
    </row>
    <row r="372">
      <c r="A372" s="100"/>
      <c r="B372" s="11"/>
      <c r="C372" s="11"/>
      <c r="D372" s="11"/>
      <c r="E372" s="11"/>
      <c r="F372" s="11"/>
      <c r="G372" s="11"/>
      <c r="J372" s="37"/>
    </row>
    <row r="373">
      <c r="A373" s="100"/>
      <c r="B373" s="11"/>
      <c r="C373" s="11"/>
      <c r="D373" s="11"/>
      <c r="E373" s="11"/>
      <c r="F373" s="11"/>
      <c r="G373" s="11"/>
      <c r="J373" s="37"/>
    </row>
    <row r="374">
      <c r="A374" s="100"/>
      <c r="B374" s="11"/>
      <c r="C374" s="11"/>
      <c r="D374" s="11"/>
      <c r="E374" s="11"/>
      <c r="F374" s="11"/>
      <c r="G374" s="11"/>
      <c r="J374" s="37"/>
    </row>
    <row r="375">
      <c r="A375" s="100"/>
      <c r="B375" s="11"/>
      <c r="C375" s="11"/>
      <c r="D375" s="11"/>
      <c r="E375" s="11"/>
      <c r="F375" s="11"/>
      <c r="G375" s="11"/>
      <c r="J375" s="37"/>
    </row>
    <row r="376">
      <c r="A376" s="100"/>
      <c r="B376" s="11"/>
      <c r="C376" s="11"/>
      <c r="D376" s="11"/>
      <c r="E376" s="11"/>
      <c r="F376" s="11"/>
      <c r="G376" s="11"/>
      <c r="J376" s="37"/>
    </row>
    <row r="377">
      <c r="A377" s="100"/>
      <c r="B377" s="11"/>
      <c r="C377" s="11"/>
      <c r="D377" s="11"/>
      <c r="E377" s="11"/>
      <c r="F377" s="11"/>
      <c r="G377" s="11"/>
      <c r="J377" s="37"/>
    </row>
    <row r="378">
      <c r="A378" s="100"/>
      <c r="B378" s="11"/>
      <c r="C378" s="11"/>
      <c r="D378" s="11"/>
      <c r="E378" s="11"/>
      <c r="F378" s="11"/>
      <c r="G378" s="11"/>
      <c r="J378" s="37"/>
    </row>
    <row r="379">
      <c r="A379" s="100"/>
      <c r="B379" s="11"/>
      <c r="C379" s="11"/>
      <c r="D379" s="11"/>
      <c r="E379" s="11"/>
      <c r="F379" s="11"/>
      <c r="G379" s="11"/>
      <c r="J379" s="37"/>
    </row>
    <row r="380">
      <c r="A380" s="100"/>
      <c r="B380" s="11"/>
      <c r="C380" s="11"/>
      <c r="D380" s="11"/>
      <c r="E380" s="11"/>
      <c r="F380" s="11"/>
      <c r="G380" s="11"/>
      <c r="J380" s="37"/>
    </row>
    <row r="381">
      <c r="A381" s="100"/>
      <c r="B381" s="11"/>
      <c r="C381" s="11"/>
      <c r="D381" s="11"/>
      <c r="E381" s="11"/>
      <c r="F381" s="11"/>
      <c r="G381" s="11"/>
      <c r="J381" s="37"/>
    </row>
    <row r="382">
      <c r="A382" s="100"/>
      <c r="B382" s="11"/>
      <c r="C382" s="11"/>
      <c r="D382" s="11"/>
      <c r="E382" s="11"/>
      <c r="F382" s="11"/>
      <c r="G382" s="11"/>
      <c r="J382" s="37"/>
    </row>
    <row r="383">
      <c r="A383" s="100"/>
      <c r="B383" s="11"/>
      <c r="C383" s="11"/>
      <c r="D383" s="11"/>
      <c r="E383" s="11"/>
      <c r="F383" s="11"/>
      <c r="G383" s="11"/>
      <c r="J383" s="37"/>
    </row>
    <row r="384">
      <c r="A384" s="100"/>
      <c r="B384" s="11"/>
      <c r="C384" s="11"/>
      <c r="D384" s="11"/>
      <c r="E384" s="11"/>
      <c r="F384" s="11"/>
      <c r="G384" s="11"/>
      <c r="J384" s="37"/>
    </row>
    <row r="385">
      <c r="A385" s="100"/>
      <c r="B385" s="11"/>
      <c r="C385" s="11"/>
      <c r="D385" s="11"/>
      <c r="E385" s="11"/>
      <c r="F385" s="11"/>
      <c r="G385" s="11"/>
      <c r="J385" s="37"/>
    </row>
    <row r="386">
      <c r="A386" s="100"/>
      <c r="B386" s="11"/>
      <c r="C386" s="11"/>
      <c r="D386" s="11"/>
      <c r="E386" s="11"/>
      <c r="F386" s="11"/>
      <c r="G386" s="11"/>
      <c r="J386" s="37"/>
    </row>
    <row r="387">
      <c r="A387" s="100"/>
      <c r="B387" s="11"/>
      <c r="C387" s="11"/>
      <c r="D387" s="11"/>
      <c r="E387" s="11"/>
      <c r="F387" s="11"/>
      <c r="G387" s="11"/>
      <c r="J387" s="37"/>
    </row>
    <row r="388">
      <c r="A388" s="100"/>
      <c r="B388" s="11"/>
      <c r="C388" s="11"/>
      <c r="D388" s="11"/>
      <c r="E388" s="11"/>
      <c r="F388" s="11"/>
      <c r="G388" s="11"/>
      <c r="J388" s="37"/>
    </row>
    <row r="389">
      <c r="A389" s="100"/>
      <c r="B389" s="11"/>
      <c r="C389" s="11"/>
      <c r="D389" s="11"/>
      <c r="E389" s="11"/>
      <c r="F389" s="11"/>
      <c r="G389" s="11"/>
      <c r="J389" s="37"/>
    </row>
    <row r="390">
      <c r="A390" s="100"/>
      <c r="B390" s="11"/>
      <c r="C390" s="11"/>
      <c r="D390" s="11"/>
      <c r="E390" s="11"/>
      <c r="F390" s="11"/>
      <c r="G390" s="11"/>
      <c r="J390" s="37"/>
    </row>
    <row r="391">
      <c r="A391" s="100"/>
      <c r="B391" s="11"/>
      <c r="C391" s="11"/>
      <c r="D391" s="11"/>
      <c r="E391" s="11"/>
      <c r="F391" s="11"/>
      <c r="G391" s="11"/>
      <c r="J391" s="37"/>
    </row>
    <row r="392">
      <c r="A392" s="100"/>
      <c r="B392" s="11"/>
      <c r="C392" s="11"/>
      <c r="D392" s="11"/>
      <c r="E392" s="11"/>
      <c r="F392" s="11"/>
      <c r="G392" s="11"/>
      <c r="J392" s="37"/>
    </row>
    <row r="393">
      <c r="A393" s="100"/>
      <c r="B393" s="11"/>
      <c r="C393" s="11"/>
      <c r="D393" s="11"/>
      <c r="E393" s="11"/>
      <c r="F393" s="11"/>
      <c r="G393" s="11"/>
      <c r="J393" s="37"/>
    </row>
    <row r="394">
      <c r="A394" s="100"/>
      <c r="B394" s="11"/>
      <c r="C394" s="11"/>
      <c r="D394" s="11"/>
      <c r="E394" s="11"/>
      <c r="F394" s="11"/>
      <c r="G394" s="11"/>
      <c r="J394" s="37"/>
    </row>
    <row r="395">
      <c r="A395" s="100"/>
      <c r="B395" s="11"/>
      <c r="C395" s="11"/>
      <c r="D395" s="11"/>
      <c r="E395" s="11"/>
      <c r="F395" s="11"/>
      <c r="G395" s="11"/>
      <c r="J395" s="37"/>
    </row>
    <row r="396">
      <c r="A396" s="100"/>
      <c r="B396" s="11"/>
      <c r="C396" s="11"/>
      <c r="D396" s="11"/>
      <c r="E396" s="11"/>
      <c r="F396" s="11"/>
      <c r="G396" s="11"/>
      <c r="J396" s="37"/>
    </row>
    <row r="397">
      <c r="A397" s="100"/>
      <c r="B397" s="11"/>
      <c r="C397" s="11"/>
      <c r="D397" s="11"/>
      <c r="E397" s="11"/>
      <c r="F397" s="11"/>
      <c r="G397" s="11"/>
      <c r="J397" s="37"/>
    </row>
    <row r="398">
      <c r="A398" s="100"/>
      <c r="B398" s="11"/>
      <c r="C398" s="11"/>
      <c r="D398" s="11"/>
      <c r="E398" s="11"/>
      <c r="F398" s="11"/>
      <c r="G398" s="11"/>
      <c r="J398" s="37"/>
    </row>
    <row r="399">
      <c r="A399" s="100"/>
      <c r="B399" s="11"/>
      <c r="C399" s="11"/>
      <c r="D399" s="11"/>
      <c r="E399" s="11"/>
      <c r="F399" s="11"/>
      <c r="G399" s="11"/>
      <c r="J399" s="37"/>
    </row>
    <row r="400">
      <c r="A400" s="100"/>
      <c r="B400" s="11"/>
      <c r="C400" s="11"/>
      <c r="D400" s="11"/>
      <c r="E400" s="11"/>
      <c r="F400" s="11"/>
      <c r="G400" s="11"/>
      <c r="J400" s="37"/>
    </row>
    <row r="401">
      <c r="A401" s="100"/>
      <c r="B401" s="11"/>
      <c r="C401" s="11"/>
      <c r="D401" s="11"/>
      <c r="E401" s="11"/>
      <c r="F401" s="11"/>
      <c r="G401" s="11"/>
      <c r="J401" s="37"/>
    </row>
    <row r="402">
      <c r="A402" s="100"/>
      <c r="B402" s="11"/>
      <c r="C402" s="11"/>
      <c r="D402" s="11"/>
      <c r="E402" s="11"/>
      <c r="F402" s="11"/>
      <c r="G402" s="11"/>
      <c r="J402" s="37"/>
    </row>
    <row r="403">
      <c r="A403" s="100"/>
      <c r="B403" s="11"/>
      <c r="C403" s="11"/>
      <c r="D403" s="11"/>
      <c r="E403" s="11"/>
      <c r="F403" s="11"/>
      <c r="G403" s="11"/>
      <c r="J403" s="37"/>
    </row>
    <row r="404">
      <c r="A404" s="100"/>
      <c r="B404" s="11"/>
      <c r="C404" s="11"/>
      <c r="D404" s="11"/>
      <c r="E404" s="11"/>
      <c r="F404" s="11"/>
      <c r="G404" s="11"/>
      <c r="J404" s="37"/>
    </row>
    <row r="405">
      <c r="A405" s="100"/>
      <c r="B405" s="11"/>
      <c r="C405" s="11"/>
      <c r="D405" s="11"/>
      <c r="E405" s="11"/>
      <c r="F405" s="11"/>
      <c r="G405" s="11"/>
      <c r="J405" s="37"/>
    </row>
    <row r="406">
      <c r="A406" s="100"/>
      <c r="B406" s="11"/>
      <c r="C406" s="11"/>
      <c r="D406" s="11"/>
      <c r="E406" s="11"/>
      <c r="F406" s="11"/>
      <c r="G406" s="11"/>
      <c r="J406" s="37"/>
    </row>
    <row r="407">
      <c r="A407" s="100"/>
      <c r="B407" s="11"/>
      <c r="C407" s="11"/>
      <c r="D407" s="11"/>
      <c r="E407" s="11"/>
      <c r="F407" s="11"/>
      <c r="G407" s="11"/>
      <c r="J407" s="37"/>
    </row>
    <row r="408">
      <c r="A408" s="100"/>
      <c r="B408" s="11"/>
      <c r="C408" s="11"/>
      <c r="D408" s="11"/>
      <c r="E408" s="11"/>
      <c r="F408" s="11"/>
      <c r="G408" s="11"/>
      <c r="J408" s="37"/>
    </row>
    <row r="409">
      <c r="A409" s="100"/>
      <c r="B409" s="11"/>
      <c r="C409" s="11"/>
      <c r="D409" s="11"/>
      <c r="E409" s="11"/>
      <c r="F409" s="11"/>
      <c r="G409" s="11"/>
      <c r="J409" s="37"/>
    </row>
    <row r="410">
      <c r="A410" s="100"/>
      <c r="B410" s="11"/>
      <c r="C410" s="11"/>
      <c r="D410" s="11"/>
      <c r="E410" s="11"/>
      <c r="F410" s="11"/>
      <c r="G410" s="11"/>
      <c r="J410" s="37"/>
    </row>
    <row r="411">
      <c r="A411" s="100"/>
      <c r="B411" s="11"/>
      <c r="C411" s="11"/>
      <c r="D411" s="11"/>
      <c r="E411" s="11"/>
      <c r="F411" s="11"/>
      <c r="G411" s="11"/>
      <c r="J411" s="37"/>
    </row>
    <row r="412">
      <c r="A412" s="100"/>
      <c r="B412" s="11"/>
      <c r="C412" s="11"/>
      <c r="D412" s="11"/>
      <c r="E412" s="11"/>
      <c r="F412" s="11"/>
      <c r="G412" s="11"/>
      <c r="J412" s="37"/>
    </row>
    <row r="413">
      <c r="A413" s="100"/>
      <c r="B413" s="11"/>
      <c r="C413" s="11"/>
      <c r="D413" s="11"/>
      <c r="E413" s="11"/>
      <c r="F413" s="11"/>
      <c r="G413" s="11"/>
      <c r="J413" s="37"/>
    </row>
    <row r="414">
      <c r="A414" s="100"/>
      <c r="B414" s="11"/>
      <c r="C414" s="11"/>
      <c r="D414" s="11"/>
      <c r="E414" s="11"/>
      <c r="F414" s="11"/>
      <c r="G414" s="11"/>
      <c r="J414" s="37"/>
    </row>
    <row r="415">
      <c r="A415" s="100"/>
      <c r="B415" s="11"/>
      <c r="C415" s="11"/>
      <c r="D415" s="11"/>
      <c r="E415" s="11"/>
      <c r="F415" s="11"/>
      <c r="G415" s="11"/>
      <c r="J415" s="37"/>
    </row>
    <row r="416">
      <c r="A416" s="100"/>
      <c r="B416" s="11"/>
      <c r="C416" s="11"/>
      <c r="D416" s="11"/>
      <c r="E416" s="11"/>
      <c r="F416" s="11"/>
      <c r="G416" s="11"/>
      <c r="J416" s="37"/>
    </row>
    <row r="417">
      <c r="A417" s="100"/>
      <c r="B417" s="11"/>
      <c r="C417" s="11"/>
      <c r="D417" s="11"/>
      <c r="E417" s="11"/>
      <c r="F417" s="11"/>
      <c r="G417" s="11"/>
      <c r="J417" s="37"/>
    </row>
    <row r="418">
      <c r="A418" s="100"/>
      <c r="B418" s="11"/>
      <c r="C418" s="11"/>
      <c r="D418" s="11"/>
      <c r="E418" s="11"/>
      <c r="F418" s="11"/>
      <c r="G418" s="11"/>
      <c r="J418" s="37"/>
    </row>
    <row r="419">
      <c r="A419" s="100"/>
      <c r="B419" s="11"/>
      <c r="C419" s="11"/>
      <c r="D419" s="11"/>
      <c r="E419" s="11"/>
      <c r="F419" s="11"/>
      <c r="G419" s="11"/>
      <c r="J419" s="37"/>
    </row>
    <row r="420">
      <c r="A420" s="100"/>
      <c r="B420" s="11"/>
      <c r="C420" s="11"/>
      <c r="D420" s="11"/>
      <c r="E420" s="11"/>
      <c r="F420" s="11"/>
      <c r="G420" s="11"/>
      <c r="J420" s="37"/>
    </row>
    <row r="421">
      <c r="A421" s="100"/>
      <c r="B421" s="11"/>
      <c r="C421" s="11"/>
      <c r="D421" s="11"/>
      <c r="E421" s="11"/>
      <c r="F421" s="11"/>
      <c r="G421" s="11"/>
      <c r="J421" s="37"/>
    </row>
    <row r="422">
      <c r="A422" s="100"/>
      <c r="B422" s="11"/>
      <c r="C422" s="11"/>
      <c r="D422" s="11"/>
      <c r="E422" s="11"/>
      <c r="F422" s="11"/>
      <c r="G422" s="11"/>
      <c r="J422" s="37"/>
    </row>
    <row r="423">
      <c r="A423" s="100"/>
      <c r="B423" s="11"/>
      <c r="C423" s="11"/>
      <c r="D423" s="11"/>
      <c r="E423" s="11"/>
      <c r="F423" s="11"/>
      <c r="G423" s="11"/>
      <c r="J423" s="37"/>
    </row>
    <row r="424">
      <c r="A424" s="100"/>
      <c r="B424" s="11"/>
      <c r="C424" s="11"/>
      <c r="D424" s="11"/>
      <c r="E424" s="11"/>
      <c r="F424" s="11"/>
      <c r="G424" s="11"/>
      <c r="J424" s="37"/>
    </row>
    <row r="425">
      <c r="A425" s="100"/>
      <c r="B425" s="11"/>
      <c r="C425" s="11"/>
      <c r="D425" s="11"/>
      <c r="E425" s="11"/>
      <c r="F425" s="11"/>
      <c r="G425" s="11"/>
      <c r="J425" s="37"/>
    </row>
    <row r="426">
      <c r="A426" s="100"/>
      <c r="B426" s="11"/>
      <c r="C426" s="11"/>
      <c r="D426" s="11"/>
      <c r="E426" s="11"/>
      <c r="F426" s="11"/>
      <c r="G426" s="11"/>
      <c r="J426" s="37"/>
    </row>
    <row r="427">
      <c r="A427" s="100"/>
      <c r="B427" s="11"/>
      <c r="C427" s="11"/>
      <c r="D427" s="11"/>
      <c r="E427" s="11"/>
      <c r="F427" s="11"/>
      <c r="G427" s="11"/>
      <c r="J427" s="37"/>
    </row>
    <row r="428">
      <c r="A428" s="100"/>
      <c r="B428" s="11"/>
      <c r="C428" s="11"/>
      <c r="D428" s="11"/>
      <c r="E428" s="11"/>
      <c r="F428" s="11"/>
      <c r="G428" s="11"/>
      <c r="J428" s="37"/>
    </row>
    <row r="429">
      <c r="A429" s="100"/>
      <c r="B429" s="11"/>
      <c r="C429" s="11"/>
      <c r="D429" s="11"/>
      <c r="E429" s="11"/>
      <c r="F429" s="11"/>
      <c r="G429" s="11"/>
      <c r="J429" s="37"/>
    </row>
    <row r="430">
      <c r="A430" s="100"/>
      <c r="B430" s="11"/>
      <c r="C430" s="11"/>
      <c r="D430" s="11"/>
      <c r="E430" s="11"/>
      <c r="F430" s="11"/>
      <c r="G430" s="11"/>
      <c r="J430" s="37"/>
    </row>
    <row r="431">
      <c r="A431" s="100"/>
      <c r="B431" s="11"/>
      <c r="C431" s="11"/>
      <c r="D431" s="11"/>
      <c r="E431" s="11"/>
      <c r="F431" s="11"/>
      <c r="G431" s="11"/>
      <c r="J431" s="37"/>
    </row>
    <row r="432">
      <c r="A432" s="100"/>
      <c r="B432" s="11"/>
      <c r="C432" s="11"/>
      <c r="D432" s="11"/>
      <c r="E432" s="11"/>
      <c r="F432" s="11"/>
      <c r="G432" s="11"/>
      <c r="J432" s="37"/>
    </row>
    <row r="433">
      <c r="A433" s="100"/>
      <c r="B433" s="11"/>
      <c r="C433" s="11"/>
      <c r="D433" s="11"/>
      <c r="E433" s="11"/>
      <c r="F433" s="11"/>
      <c r="G433" s="11"/>
      <c r="J433" s="37"/>
    </row>
    <row r="434">
      <c r="A434" s="100"/>
      <c r="B434" s="11"/>
      <c r="C434" s="11"/>
      <c r="D434" s="11"/>
      <c r="E434" s="11"/>
      <c r="F434" s="11"/>
      <c r="G434" s="11"/>
      <c r="J434" s="37"/>
    </row>
    <row r="435">
      <c r="A435" s="100"/>
      <c r="B435" s="11"/>
      <c r="C435" s="11"/>
      <c r="D435" s="11"/>
      <c r="E435" s="11"/>
      <c r="F435" s="11"/>
      <c r="G435" s="11"/>
      <c r="J435" s="37"/>
    </row>
    <row r="436">
      <c r="A436" s="100"/>
      <c r="B436" s="11"/>
      <c r="C436" s="11"/>
      <c r="D436" s="11"/>
      <c r="E436" s="11"/>
      <c r="F436" s="11"/>
      <c r="G436" s="11"/>
      <c r="J436" s="37"/>
    </row>
    <row r="437">
      <c r="A437" s="100"/>
      <c r="B437" s="11"/>
      <c r="C437" s="11"/>
      <c r="D437" s="11"/>
      <c r="E437" s="11"/>
      <c r="F437" s="11"/>
      <c r="G437" s="11"/>
      <c r="J437" s="37"/>
    </row>
    <row r="438">
      <c r="A438" s="100"/>
      <c r="B438" s="11"/>
      <c r="C438" s="11"/>
      <c r="D438" s="11"/>
      <c r="E438" s="11"/>
      <c r="F438" s="11"/>
      <c r="G438" s="11"/>
      <c r="J438" s="37"/>
    </row>
    <row r="439">
      <c r="A439" s="100"/>
      <c r="B439" s="11"/>
      <c r="C439" s="11"/>
      <c r="D439" s="11"/>
      <c r="E439" s="11"/>
      <c r="F439" s="11"/>
      <c r="G439" s="11"/>
      <c r="J439" s="37"/>
    </row>
    <row r="440">
      <c r="A440" s="100"/>
      <c r="B440" s="11"/>
      <c r="C440" s="11"/>
      <c r="D440" s="11"/>
      <c r="E440" s="11"/>
      <c r="F440" s="11"/>
      <c r="G440" s="11"/>
      <c r="J440" s="37"/>
    </row>
    <row r="441">
      <c r="A441" s="100"/>
      <c r="B441" s="11"/>
      <c r="C441" s="11"/>
      <c r="D441" s="11"/>
      <c r="E441" s="11"/>
      <c r="F441" s="11"/>
      <c r="G441" s="11"/>
      <c r="J441" s="37"/>
    </row>
    <row r="442">
      <c r="A442" s="100"/>
      <c r="B442" s="11"/>
      <c r="C442" s="11"/>
      <c r="D442" s="11"/>
      <c r="E442" s="11"/>
      <c r="F442" s="11"/>
      <c r="G442" s="11"/>
      <c r="J442" s="37"/>
    </row>
    <row r="443">
      <c r="A443" s="100"/>
      <c r="B443" s="11"/>
      <c r="C443" s="11"/>
      <c r="D443" s="11"/>
      <c r="E443" s="11"/>
      <c r="F443" s="11"/>
      <c r="G443" s="11"/>
      <c r="J443" s="37"/>
    </row>
    <row r="444">
      <c r="A444" s="100"/>
      <c r="B444" s="11"/>
      <c r="C444" s="11"/>
      <c r="D444" s="11"/>
      <c r="E444" s="11"/>
      <c r="F444" s="11"/>
      <c r="G444" s="11"/>
      <c r="J444" s="37"/>
    </row>
    <row r="445">
      <c r="A445" s="100"/>
      <c r="B445" s="11"/>
      <c r="C445" s="11"/>
      <c r="D445" s="11"/>
      <c r="E445" s="11"/>
      <c r="F445" s="11"/>
      <c r="G445" s="11"/>
      <c r="J445" s="37"/>
    </row>
    <row r="446">
      <c r="A446" s="100"/>
      <c r="B446" s="11"/>
      <c r="C446" s="11"/>
      <c r="D446" s="11"/>
      <c r="E446" s="11"/>
      <c r="F446" s="11"/>
      <c r="G446" s="11"/>
      <c r="J446" s="37"/>
    </row>
    <row r="447">
      <c r="A447" s="100"/>
      <c r="B447" s="11"/>
      <c r="C447" s="11"/>
      <c r="D447" s="11"/>
      <c r="E447" s="11"/>
      <c r="F447" s="11"/>
      <c r="G447" s="11"/>
      <c r="J447" s="37"/>
    </row>
    <row r="448">
      <c r="A448" s="100"/>
      <c r="B448" s="11"/>
      <c r="C448" s="11"/>
      <c r="D448" s="11"/>
      <c r="E448" s="11"/>
      <c r="F448" s="11"/>
      <c r="G448" s="11"/>
      <c r="J448" s="37"/>
    </row>
    <row r="449">
      <c r="A449" s="100"/>
      <c r="B449" s="11"/>
      <c r="C449" s="11"/>
      <c r="D449" s="11"/>
      <c r="E449" s="11"/>
      <c r="F449" s="11"/>
      <c r="G449" s="11"/>
      <c r="J449" s="37"/>
    </row>
    <row r="450">
      <c r="A450" s="100"/>
      <c r="B450" s="11"/>
      <c r="C450" s="11"/>
      <c r="D450" s="11"/>
      <c r="E450" s="11"/>
      <c r="F450" s="11"/>
      <c r="G450" s="11"/>
      <c r="J450" s="37"/>
    </row>
    <row r="451">
      <c r="A451" s="100"/>
      <c r="B451" s="11"/>
      <c r="C451" s="11"/>
      <c r="D451" s="11"/>
      <c r="E451" s="11"/>
      <c r="F451" s="11"/>
      <c r="G451" s="11"/>
      <c r="J451" s="37"/>
    </row>
    <row r="452">
      <c r="A452" s="100"/>
      <c r="B452" s="11"/>
      <c r="C452" s="11"/>
      <c r="D452" s="11"/>
      <c r="E452" s="11"/>
      <c r="F452" s="11"/>
      <c r="G452" s="11"/>
      <c r="J452" s="37"/>
    </row>
    <row r="453">
      <c r="A453" s="100"/>
      <c r="B453" s="11"/>
      <c r="C453" s="11"/>
      <c r="D453" s="11"/>
      <c r="E453" s="11"/>
      <c r="F453" s="11"/>
      <c r="G453" s="11"/>
      <c r="J453" s="37"/>
    </row>
    <row r="454">
      <c r="A454" s="100"/>
      <c r="B454" s="11"/>
      <c r="C454" s="11"/>
      <c r="D454" s="11"/>
      <c r="E454" s="11"/>
      <c r="F454" s="11"/>
      <c r="G454" s="11"/>
      <c r="J454" s="37"/>
    </row>
    <row r="455">
      <c r="A455" s="100"/>
      <c r="B455" s="11"/>
      <c r="C455" s="11"/>
      <c r="D455" s="11"/>
      <c r="E455" s="11"/>
      <c r="F455" s="11"/>
      <c r="G455" s="11"/>
      <c r="J455" s="37"/>
    </row>
    <row r="456">
      <c r="A456" s="100"/>
      <c r="B456" s="11"/>
      <c r="C456" s="11"/>
      <c r="D456" s="11"/>
      <c r="E456" s="11"/>
      <c r="F456" s="11"/>
      <c r="G456" s="11"/>
      <c r="J456" s="37"/>
    </row>
    <row r="457">
      <c r="A457" s="100"/>
      <c r="B457" s="11"/>
      <c r="C457" s="11"/>
      <c r="D457" s="11"/>
      <c r="E457" s="11"/>
      <c r="F457" s="11"/>
      <c r="G457" s="11"/>
      <c r="J457" s="37"/>
    </row>
    <row r="458">
      <c r="A458" s="100"/>
      <c r="B458" s="11"/>
      <c r="C458" s="11"/>
      <c r="D458" s="11"/>
      <c r="E458" s="11"/>
      <c r="F458" s="11"/>
      <c r="G458" s="11"/>
      <c r="J458" s="37"/>
    </row>
    <row r="459">
      <c r="A459" s="100"/>
      <c r="B459" s="11"/>
      <c r="C459" s="11"/>
      <c r="D459" s="11"/>
      <c r="E459" s="11"/>
      <c r="F459" s="11"/>
      <c r="G459" s="11"/>
      <c r="J459" s="37"/>
    </row>
    <row r="460">
      <c r="A460" s="100"/>
      <c r="B460" s="11"/>
      <c r="C460" s="11"/>
      <c r="D460" s="11"/>
      <c r="E460" s="11"/>
      <c r="F460" s="11"/>
      <c r="G460" s="11"/>
      <c r="J460" s="37"/>
    </row>
    <row r="461">
      <c r="A461" s="100"/>
      <c r="B461" s="11"/>
      <c r="C461" s="11"/>
      <c r="D461" s="11"/>
      <c r="E461" s="11"/>
      <c r="F461" s="11"/>
      <c r="G461" s="11"/>
      <c r="J461" s="37"/>
    </row>
    <row r="462">
      <c r="A462" s="100"/>
      <c r="B462" s="11"/>
      <c r="C462" s="11"/>
      <c r="D462" s="11"/>
      <c r="E462" s="11"/>
      <c r="F462" s="11"/>
      <c r="G462" s="11"/>
      <c r="J462" s="37"/>
    </row>
    <row r="463">
      <c r="A463" s="100"/>
      <c r="B463" s="11"/>
      <c r="C463" s="11"/>
      <c r="D463" s="11"/>
      <c r="E463" s="11"/>
      <c r="F463" s="11"/>
      <c r="G463" s="11"/>
      <c r="J463" s="37"/>
    </row>
    <row r="464">
      <c r="A464" s="100"/>
      <c r="B464" s="11"/>
      <c r="C464" s="11"/>
      <c r="D464" s="11"/>
      <c r="E464" s="11"/>
      <c r="F464" s="11"/>
      <c r="G464" s="11"/>
      <c r="J464" s="37"/>
    </row>
    <row r="465">
      <c r="A465" s="100"/>
      <c r="B465" s="11"/>
      <c r="C465" s="11"/>
      <c r="D465" s="11"/>
      <c r="E465" s="11"/>
      <c r="F465" s="11"/>
      <c r="G465" s="11"/>
      <c r="J465" s="37"/>
    </row>
    <row r="466">
      <c r="A466" s="100"/>
      <c r="B466" s="11"/>
      <c r="C466" s="11"/>
      <c r="D466" s="11"/>
      <c r="E466" s="11"/>
      <c r="F466" s="11"/>
      <c r="G466" s="11"/>
      <c r="J466" s="37"/>
    </row>
    <row r="467">
      <c r="A467" s="100"/>
      <c r="B467" s="11"/>
      <c r="C467" s="11"/>
      <c r="D467" s="11"/>
      <c r="E467" s="11"/>
      <c r="F467" s="11"/>
      <c r="G467" s="11"/>
      <c r="J467" s="37"/>
    </row>
    <row r="468">
      <c r="A468" s="100"/>
      <c r="B468" s="11"/>
      <c r="C468" s="11"/>
      <c r="D468" s="11"/>
      <c r="E468" s="11"/>
      <c r="F468" s="11"/>
      <c r="G468" s="11"/>
      <c r="J468" s="37"/>
    </row>
    <row r="469">
      <c r="A469" s="100"/>
      <c r="B469" s="11"/>
      <c r="C469" s="11"/>
      <c r="D469" s="11"/>
      <c r="E469" s="11"/>
      <c r="F469" s="11"/>
      <c r="G469" s="11"/>
      <c r="J469" s="37"/>
    </row>
    <row r="470">
      <c r="A470" s="100"/>
      <c r="B470" s="11"/>
      <c r="C470" s="11"/>
      <c r="D470" s="11"/>
      <c r="E470" s="11"/>
      <c r="F470" s="11"/>
      <c r="G470" s="11"/>
      <c r="J470" s="37"/>
    </row>
    <row r="471">
      <c r="A471" s="100"/>
      <c r="B471" s="11"/>
      <c r="C471" s="11"/>
      <c r="D471" s="11"/>
      <c r="E471" s="11"/>
      <c r="F471" s="11"/>
      <c r="G471" s="11"/>
      <c r="J471" s="37"/>
    </row>
    <row r="472">
      <c r="A472" s="100"/>
      <c r="B472" s="11"/>
      <c r="C472" s="11"/>
      <c r="D472" s="11"/>
      <c r="E472" s="11"/>
      <c r="F472" s="11"/>
      <c r="G472" s="11"/>
      <c r="J472" s="37"/>
    </row>
    <row r="473">
      <c r="A473" s="100"/>
      <c r="B473" s="11"/>
      <c r="C473" s="11"/>
      <c r="D473" s="11"/>
      <c r="E473" s="11"/>
      <c r="F473" s="11"/>
      <c r="G473" s="11"/>
      <c r="J473" s="37"/>
    </row>
    <row r="474">
      <c r="A474" s="100"/>
      <c r="B474" s="11"/>
      <c r="C474" s="11"/>
      <c r="D474" s="11"/>
      <c r="E474" s="11"/>
      <c r="F474" s="11"/>
      <c r="G474" s="11"/>
      <c r="J474" s="37"/>
    </row>
    <row r="475">
      <c r="A475" s="100"/>
      <c r="B475" s="11"/>
      <c r="C475" s="11"/>
      <c r="D475" s="11"/>
      <c r="E475" s="11"/>
      <c r="F475" s="11"/>
      <c r="G475" s="11"/>
      <c r="J475" s="37"/>
    </row>
    <row r="476">
      <c r="A476" s="100"/>
      <c r="B476" s="11"/>
      <c r="C476" s="11"/>
      <c r="D476" s="11"/>
      <c r="E476" s="11"/>
      <c r="F476" s="11"/>
      <c r="G476" s="11"/>
      <c r="J476" s="37"/>
    </row>
    <row r="477">
      <c r="A477" s="100"/>
      <c r="B477" s="11"/>
      <c r="C477" s="11"/>
      <c r="D477" s="11"/>
      <c r="E477" s="11"/>
      <c r="F477" s="11"/>
      <c r="G477" s="11"/>
      <c r="J477" s="37"/>
    </row>
    <row r="478">
      <c r="A478" s="100"/>
      <c r="B478" s="11"/>
      <c r="C478" s="11"/>
      <c r="D478" s="11"/>
      <c r="E478" s="11"/>
      <c r="F478" s="11"/>
      <c r="G478" s="11"/>
      <c r="J478" s="37"/>
    </row>
    <row r="479">
      <c r="A479" s="100"/>
      <c r="B479" s="11"/>
      <c r="C479" s="11"/>
      <c r="D479" s="11"/>
      <c r="E479" s="11"/>
      <c r="F479" s="11"/>
      <c r="G479" s="11"/>
      <c r="J479" s="37"/>
    </row>
    <row r="480">
      <c r="A480" s="100"/>
      <c r="B480" s="11"/>
      <c r="C480" s="11"/>
      <c r="D480" s="11"/>
      <c r="E480" s="11"/>
      <c r="F480" s="11"/>
      <c r="G480" s="11"/>
      <c r="J480" s="37"/>
    </row>
    <row r="481">
      <c r="A481" s="100"/>
      <c r="B481" s="11"/>
      <c r="C481" s="11"/>
      <c r="D481" s="11"/>
      <c r="E481" s="11"/>
      <c r="F481" s="11"/>
      <c r="G481" s="11"/>
      <c r="J481" s="37"/>
    </row>
    <row r="482">
      <c r="A482" s="100"/>
      <c r="B482" s="11"/>
      <c r="C482" s="11"/>
      <c r="D482" s="11"/>
      <c r="E482" s="11"/>
      <c r="F482" s="11"/>
      <c r="G482" s="11"/>
      <c r="J482" s="37"/>
    </row>
    <row r="483">
      <c r="A483" s="100"/>
      <c r="B483" s="11"/>
      <c r="C483" s="11"/>
      <c r="D483" s="11"/>
      <c r="E483" s="11"/>
      <c r="F483" s="11"/>
      <c r="G483" s="11"/>
      <c r="J483" s="37"/>
    </row>
    <row r="484">
      <c r="A484" s="100"/>
      <c r="B484" s="11"/>
      <c r="C484" s="11"/>
      <c r="D484" s="11"/>
      <c r="E484" s="11"/>
      <c r="F484" s="11"/>
      <c r="G484" s="11"/>
      <c r="J484" s="37"/>
    </row>
    <row r="485">
      <c r="A485" s="100"/>
      <c r="B485" s="11"/>
      <c r="C485" s="11"/>
      <c r="D485" s="11"/>
      <c r="E485" s="11"/>
      <c r="F485" s="11"/>
      <c r="G485" s="11"/>
      <c r="J485" s="37"/>
    </row>
    <row r="486">
      <c r="A486" s="100"/>
      <c r="B486" s="11"/>
      <c r="C486" s="11"/>
      <c r="D486" s="11"/>
      <c r="E486" s="11"/>
      <c r="F486" s="11"/>
      <c r="G486" s="11"/>
      <c r="J486" s="37"/>
    </row>
    <row r="487">
      <c r="A487" s="100"/>
      <c r="B487" s="11"/>
      <c r="C487" s="11"/>
      <c r="D487" s="11"/>
      <c r="E487" s="11"/>
      <c r="F487" s="11"/>
      <c r="G487" s="11"/>
      <c r="J487" s="37"/>
    </row>
    <row r="488">
      <c r="A488" s="100"/>
      <c r="B488" s="11"/>
      <c r="C488" s="11"/>
      <c r="D488" s="11"/>
      <c r="E488" s="11"/>
      <c r="F488" s="11"/>
      <c r="G488" s="11"/>
      <c r="J488" s="37"/>
    </row>
    <row r="489">
      <c r="A489" s="100"/>
      <c r="B489" s="11"/>
      <c r="C489" s="11"/>
      <c r="D489" s="11"/>
      <c r="E489" s="11"/>
      <c r="F489" s="11"/>
      <c r="G489" s="11"/>
      <c r="J489" s="37"/>
    </row>
    <row r="490">
      <c r="A490" s="100"/>
      <c r="B490" s="11"/>
      <c r="C490" s="11"/>
      <c r="D490" s="11"/>
      <c r="E490" s="11"/>
      <c r="F490" s="11"/>
      <c r="G490" s="11"/>
      <c r="J490" s="37"/>
    </row>
    <row r="491">
      <c r="A491" s="100"/>
      <c r="B491" s="11"/>
      <c r="C491" s="11"/>
      <c r="D491" s="11"/>
      <c r="E491" s="11"/>
      <c r="F491" s="11"/>
      <c r="G491" s="11"/>
      <c r="J491" s="37"/>
    </row>
    <row r="492">
      <c r="A492" s="100"/>
      <c r="B492" s="11"/>
      <c r="C492" s="11"/>
      <c r="D492" s="11"/>
      <c r="E492" s="11"/>
      <c r="F492" s="11"/>
      <c r="G492" s="11"/>
      <c r="J492" s="37"/>
    </row>
    <row r="493">
      <c r="A493" s="100"/>
      <c r="B493" s="11"/>
      <c r="C493" s="11"/>
      <c r="D493" s="11"/>
      <c r="E493" s="11"/>
      <c r="F493" s="11"/>
      <c r="G493" s="11"/>
      <c r="J493" s="37"/>
    </row>
    <row r="494">
      <c r="A494" s="100"/>
      <c r="B494" s="11"/>
      <c r="C494" s="11"/>
      <c r="D494" s="11"/>
      <c r="E494" s="11"/>
      <c r="F494" s="11"/>
      <c r="G494" s="11"/>
      <c r="J494" s="37"/>
    </row>
    <row r="495">
      <c r="A495" s="100"/>
      <c r="B495" s="11"/>
      <c r="C495" s="11"/>
      <c r="D495" s="11"/>
      <c r="E495" s="11"/>
      <c r="F495" s="11"/>
      <c r="G495" s="11"/>
      <c r="J495" s="37"/>
    </row>
    <row r="496">
      <c r="A496" s="100"/>
      <c r="B496" s="11"/>
      <c r="C496" s="11"/>
      <c r="D496" s="11"/>
      <c r="E496" s="11"/>
      <c r="F496" s="11"/>
      <c r="G496" s="11"/>
      <c r="J496" s="37"/>
    </row>
    <row r="497">
      <c r="A497" s="100"/>
      <c r="B497" s="11"/>
      <c r="C497" s="11"/>
      <c r="D497" s="11"/>
      <c r="E497" s="11"/>
      <c r="F497" s="11"/>
      <c r="G497" s="11"/>
      <c r="J497" s="37"/>
    </row>
    <row r="498">
      <c r="A498" s="100"/>
      <c r="B498" s="11"/>
      <c r="C498" s="11"/>
      <c r="D498" s="11"/>
      <c r="E498" s="11"/>
      <c r="F498" s="11"/>
      <c r="G498" s="11"/>
      <c r="J498" s="37"/>
    </row>
    <row r="499">
      <c r="A499" s="100"/>
      <c r="B499" s="11"/>
      <c r="C499" s="11"/>
      <c r="D499" s="11"/>
      <c r="E499" s="11"/>
      <c r="F499" s="11"/>
      <c r="G499" s="11"/>
      <c r="J499" s="37"/>
    </row>
    <row r="500">
      <c r="A500" s="100"/>
      <c r="B500" s="11"/>
      <c r="C500" s="11"/>
      <c r="D500" s="11"/>
      <c r="E500" s="11"/>
      <c r="F500" s="11"/>
      <c r="G500" s="11"/>
      <c r="J500" s="37"/>
    </row>
    <row r="501">
      <c r="A501" s="100"/>
      <c r="B501" s="11"/>
      <c r="C501" s="11"/>
      <c r="D501" s="11"/>
      <c r="E501" s="11"/>
      <c r="F501" s="11"/>
      <c r="G501" s="11"/>
      <c r="J501" s="37"/>
    </row>
    <row r="502">
      <c r="A502" s="100"/>
      <c r="B502" s="11"/>
      <c r="C502" s="11"/>
      <c r="D502" s="11"/>
      <c r="E502" s="11"/>
      <c r="F502" s="11"/>
      <c r="G502" s="11"/>
      <c r="J502" s="37"/>
    </row>
    <row r="503">
      <c r="A503" s="100"/>
      <c r="B503" s="11"/>
      <c r="C503" s="11"/>
      <c r="D503" s="11"/>
      <c r="E503" s="11"/>
      <c r="F503" s="11"/>
      <c r="G503" s="11"/>
      <c r="J503" s="37"/>
    </row>
    <row r="504">
      <c r="A504" s="100"/>
      <c r="B504" s="11"/>
      <c r="C504" s="11"/>
      <c r="D504" s="11"/>
      <c r="E504" s="11"/>
      <c r="F504" s="11"/>
      <c r="G504" s="11"/>
      <c r="J504" s="37"/>
    </row>
    <row r="505">
      <c r="A505" s="100"/>
      <c r="B505" s="11"/>
      <c r="C505" s="11"/>
      <c r="D505" s="11"/>
      <c r="E505" s="11"/>
      <c r="F505" s="11"/>
      <c r="G505" s="11"/>
      <c r="J505" s="37"/>
    </row>
    <row r="506">
      <c r="A506" s="100"/>
      <c r="B506" s="11"/>
      <c r="C506" s="11"/>
      <c r="D506" s="11"/>
      <c r="E506" s="11"/>
      <c r="F506" s="11"/>
      <c r="G506" s="11"/>
      <c r="J506" s="37"/>
    </row>
    <row r="507">
      <c r="A507" s="100"/>
      <c r="B507" s="11"/>
      <c r="C507" s="11"/>
      <c r="D507" s="11"/>
      <c r="E507" s="11"/>
      <c r="F507" s="11"/>
      <c r="G507" s="11"/>
      <c r="J507" s="37"/>
    </row>
    <row r="508">
      <c r="A508" s="100"/>
      <c r="B508" s="11"/>
      <c r="C508" s="11"/>
      <c r="D508" s="11"/>
      <c r="E508" s="11"/>
      <c r="F508" s="11"/>
      <c r="G508" s="11"/>
      <c r="J508" s="37"/>
    </row>
    <row r="509">
      <c r="A509" s="100"/>
      <c r="B509" s="11"/>
      <c r="C509" s="11"/>
      <c r="D509" s="11"/>
      <c r="E509" s="11"/>
      <c r="F509" s="11"/>
      <c r="G509" s="11"/>
      <c r="J509" s="37"/>
    </row>
    <row r="510">
      <c r="A510" s="100"/>
      <c r="B510" s="11"/>
      <c r="C510" s="11"/>
      <c r="D510" s="11"/>
      <c r="E510" s="11"/>
      <c r="F510" s="11"/>
      <c r="G510" s="11"/>
      <c r="J510" s="37"/>
    </row>
    <row r="511">
      <c r="A511" s="100"/>
      <c r="B511" s="11"/>
      <c r="C511" s="11"/>
      <c r="D511" s="11"/>
      <c r="E511" s="11"/>
      <c r="F511" s="11"/>
      <c r="G511" s="11"/>
      <c r="J511" s="37"/>
    </row>
    <row r="512">
      <c r="A512" s="100"/>
      <c r="B512" s="11"/>
      <c r="C512" s="11"/>
      <c r="D512" s="11"/>
      <c r="E512" s="11"/>
      <c r="F512" s="11"/>
      <c r="G512" s="11"/>
      <c r="J512" s="37"/>
    </row>
    <row r="513">
      <c r="A513" s="100"/>
      <c r="B513" s="11"/>
      <c r="C513" s="11"/>
      <c r="D513" s="11"/>
      <c r="E513" s="11"/>
      <c r="F513" s="11"/>
      <c r="G513" s="11"/>
      <c r="J513" s="37"/>
    </row>
    <row r="514">
      <c r="A514" s="100"/>
      <c r="B514" s="11"/>
      <c r="C514" s="11"/>
      <c r="D514" s="11"/>
      <c r="E514" s="11"/>
      <c r="F514" s="11"/>
      <c r="G514" s="11"/>
      <c r="J514" s="37"/>
    </row>
    <row r="515">
      <c r="A515" s="100"/>
      <c r="B515" s="11"/>
      <c r="C515" s="11"/>
      <c r="D515" s="11"/>
      <c r="E515" s="11"/>
      <c r="F515" s="11"/>
      <c r="G515" s="11"/>
      <c r="J515" s="37"/>
    </row>
    <row r="516">
      <c r="A516" s="100"/>
      <c r="B516" s="11"/>
      <c r="C516" s="11"/>
      <c r="D516" s="11"/>
      <c r="E516" s="11"/>
      <c r="F516" s="11"/>
      <c r="G516" s="11"/>
      <c r="J516" s="37"/>
    </row>
    <row r="517">
      <c r="A517" s="100"/>
      <c r="B517" s="11"/>
      <c r="C517" s="11"/>
      <c r="D517" s="11"/>
      <c r="E517" s="11"/>
      <c r="F517" s="11"/>
      <c r="G517" s="11"/>
      <c r="J517" s="37"/>
    </row>
    <row r="518">
      <c r="A518" s="100"/>
      <c r="B518" s="11"/>
      <c r="C518" s="11"/>
      <c r="D518" s="11"/>
      <c r="E518" s="11"/>
      <c r="F518" s="11"/>
      <c r="G518" s="11"/>
      <c r="J518" s="37"/>
    </row>
    <row r="519">
      <c r="A519" s="100"/>
      <c r="B519" s="11"/>
      <c r="C519" s="11"/>
      <c r="D519" s="11"/>
      <c r="E519" s="11"/>
      <c r="F519" s="11"/>
      <c r="G519" s="11"/>
      <c r="J519" s="37"/>
    </row>
    <row r="520">
      <c r="A520" s="100"/>
      <c r="B520" s="11"/>
      <c r="C520" s="11"/>
      <c r="D520" s="11"/>
      <c r="E520" s="11"/>
      <c r="F520" s="11"/>
      <c r="G520" s="11"/>
      <c r="J520" s="37"/>
    </row>
    <row r="521">
      <c r="A521" s="100"/>
      <c r="B521" s="11"/>
      <c r="C521" s="11"/>
      <c r="D521" s="11"/>
      <c r="E521" s="11"/>
      <c r="F521" s="11"/>
      <c r="G521" s="11"/>
      <c r="J521" s="37"/>
    </row>
    <row r="522">
      <c r="A522" s="100"/>
      <c r="B522" s="11"/>
      <c r="C522" s="11"/>
      <c r="D522" s="11"/>
      <c r="E522" s="11"/>
      <c r="F522" s="11"/>
      <c r="G522" s="11"/>
      <c r="J522" s="37"/>
    </row>
    <row r="523">
      <c r="A523" s="100"/>
      <c r="B523" s="11"/>
      <c r="C523" s="11"/>
      <c r="D523" s="11"/>
      <c r="E523" s="11"/>
      <c r="F523" s="11"/>
      <c r="G523" s="11"/>
      <c r="J523" s="37"/>
    </row>
    <row r="524">
      <c r="A524" s="100"/>
      <c r="B524" s="11"/>
      <c r="C524" s="11"/>
      <c r="D524" s="11"/>
      <c r="E524" s="11"/>
      <c r="F524" s="11"/>
      <c r="G524" s="11"/>
      <c r="J524" s="37"/>
    </row>
    <row r="525">
      <c r="A525" s="100"/>
      <c r="B525" s="11"/>
      <c r="C525" s="11"/>
      <c r="D525" s="11"/>
      <c r="E525" s="11"/>
      <c r="F525" s="11"/>
      <c r="G525" s="11"/>
      <c r="J525" s="37"/>
    </row>
    <row r="526">
      <c r="A526" s="100"/>
      <c r="B526" s="11"/>
      <c r="C526" s="11"/>
      <c r="D526" s="11"/>
      <c r="E526" s="11"/>
      <c r="F526" s="11"/>
      <c r="G526" s="11"/>
      <c r="J526" s="37"/>
    </row>
    <row r="527">
      <c r="A527" s="100"/>
      <c r="B527" s="11"/>
      <c r="C527" s="11"/>
      <c r="D527" s="11"/>
      <c r="E527" s="11"/>
      <c r="F527" s="11"/>
      <c r="G527" s="11"/>
      <c r="J527" s="37"/>
    </row>
    <row r="528">
      <c r="A528" s="100"/>
      <c r="B528" s="11"/>
      <c r="C528" s="11"/>
      <c r="D528" s="11"/>
      <c r="E528" s="11"/>
      <c r="F528" s="11"/>
      <c r="G528" s="11"/>
      <c r="J528" s="37"/>
    </row>
    <row r="529">
      <c r="A529" s="100"/>
      <c r="B529" s="11"/>
      <c r="C529" s="11"/>
      <c r="D529" s="11"/>
      <c r="E529" s="11"/>
      <c r="F529" s="11"/>
      <c r="G529" s="11"/>
      <c r="J529" s="37"/>
    </row>
    <row r="530">
      <c r="A530" s="100"/>
      <c r="B530" s="11"/>
      <c r="C530" s="11"/>
      <c r="D530" s="11"/>
      <c r="E530" s="11"/>
      <c r="F530" s="11"/>
      <c r="G530" s="11"/>
      <c r="J530" s="37"/>
    </row>
    <row r="531">
      <c r="A531" s="100"/>
      <c r="B531" s="11"/>
      <c r="C531" s="11"/>
      <c r="D531" s="11"/>
      <c r="E531" s="11"/>
      <c r="F531" s="11"/>
      <c r="G531" s="11"/>
      <c r="J531" s="37"/>
    </row>
    <row r="532">
      <c r="A532" s="100"/>
      <c r="B532" s="11"/>
      <c r="C532" s="11"/>
      <c r="D532" s="11"/>
      <c r="E532" s="11"/>
      <c r="F532" s="11"/>
      <c r="G532" s="11"/>
      <c r="J532" s="37"/>
    </row>
    <row r="533">
      <c r="A533" s="100"/>
      <c r="B533" s="11"/>
      <c r="C533" s="11"/>
      <c r="D533" s="11"/>
      <c r="E533" s="11"/>
      <c r="F533" s="11"/>
      <c r="G533" s="11"/>
      <c r="J533" s="37"/>
    </row>
    <row r="534">
      <c r="A534" s="100"/>
      <c r="B534" s="11"/>
      <c r="C534" s="11"/>
      <c r="D534" s="11"/>
      <c r="E534" s="11"/>
      <c r="F534" s="11"/>
      <c r="G534" s="11"/>
      <c r="J534" s="37"/>
    </row>
    <row r="535">
      <c r="A535" s="100"/>
      <c r="B535" s="11"/>
      <c r="C535" s="11"/>
      <c r="D535" s="11"/>
      <c r="E535" s="11"/>
      <c r="F535" s="11"/>
      <c r="G535" s="11"/>
      <c r="J535" s="37"/>
    </row>
    <row r="536">
      <c r="A536" s="100"/>
      <c r="B536" s="11"/>
      <c r="C536" s="11"/>
      <c r="D536" s="11"/>
      <c r="E536" s="11"/>
      <c r="F536" s="11"/>
      <c r="G536" s="11"/>
      <c r="J536" s="37"/>
    </row>
    <row r="537">
      <c r="A537" s="100"/>
      <c r="B537" s="11"/>
      <c r="C537" s="11"/>
      <c r="D537" s="11"/>
      <c r="E537" s="11"/>
      <c r="F537" s="11"/>
      <c r="G537" s="11"/>
      <c r="J537" s="37"/>
    </row>
    <row r="538">
      <c r="A538" s="100"/>
      <c r="B538" s="11"/>
      <c r="C538" s="11"/>
      <c r="D538" s="11"/>
      <c r="E538" s="11"/>
      <c r="F538" s="11"/>
      <c r="G538" s="11"/>
      <c r="J538" s="37"/>
    </row>
    <row r="539">
      <c r="A539" s="100"/>
      <c r="B539" s="11"/>
      <c r="C539" s="11"/>
      <c r="D539" s="11"/>
      <c r="E539" s="11"/>
      <c r="F539" s="11"/>
      <c r="G539" s="11"/>
      <c r="J539" s="37"/>
    </row>
    <row r="540">
      <c r="A540" s="100"/>
      <c r="B540" s="11"/>
      <c r="C540" s="11"/>
      <c r="D540" s="11"/>
      <c r="E540" s="11"/>
      <c r="F540" s="11"/>
      <c r="G540" s="11"/>
      <c r="J540" s="37"/>
    </row>
    <row r="541">
      <c r="A541" s="100"/>
      <c r="B541" s="11"/>
      <c r="C541" s="11"/>
      <c r="D541" s="11"/>
      <c r="E541" s="11"/>
      <c r="F541" s="11"/>
      <c r="G541" s="11"/>
      <c r="J541" s="37"/>
    </row>
    <row r="542">
      <c r="A542" s="100"/>
      <c r="B542" s="11"/>
      <c r="C542" s="11"/>
      <c r="D542" s="11"/>
      <c r="E542" s="11"/>
      <c r="F542" s="11"/>
      <c r="G542" s="11"/>
      <c r="J542" s="37"/>
    </row>
    <row r="543">
      <c r="A543" s="100"/>
      <c r="B543" s="11"/>
      <c r="C543" s="11"/>
      <c r="D543" s="11"/>
      <c r="E543" s="11"/>
      <c r="F543" s="11"/>
      <c r="G543" s="11"/>
      <c r="J543" s="37"/>
    </row>
    <row r="544">
      <c r="A544" s="100"/>
      <c r="B544" s="11"/>
      <c r="C544" s="11"/>
      <c r="D544" s="11"/>
      <c r="E544" s="11"/>
      <c r="F544" s="11"/>
      <c r="G544" s="11"/>
      <c r="J544" s="37"/>
    </row>
    <row r="545">
      <c r="A545" s="100"/>
      <c r="B545" s="11"/>
      <c r="C545" s="11"/>
      <c r="D545" s="11"/>
      <c r="E545" s="11"/>
      <c r="F545" s="11"/>
      <c r="G545" s="11"/>
      <c r="J545" s="37"/>
    </row>
    <row r="546">
      <c r="A546" s="100"/>
      <c r="B546" s="11"/>
      <c r="C546" s="11"/>
      <c r="D546" s="11"/>
      <c r="E546" s="11"/>
      <c r="F546" s="11"/>
      <c r="G546" s="11"/>
      <c r="J546" s="37"/>
    </row>
    <row r="547">
      <c r="A547" s="100"/>
      <c r="B547" s="11"/>
      <c r="C547" s="11"/>
      <c r="D547" s="11"/>
      <c r="E547" s="11"/>
      <c r="F547" s="11"/>
      <c r="G547" s="11"/>
      <c r="J547" s="37"/>
    </row>
    <row r="548">
      <c r="A548" s="100"/>
      <c r="B548" s="11"/>
      <c r="C548" s="11"/>
      <c r="D548" s="11"/>
      <c r="E548" s="11"/>
      <c r="F548" s="11"/>
      <c r="G548" s="11"/>
      <c r="J548" s="37"/>
    </row>
    <row r="549">
      <c r="A549" s="100"/>
      <c r="B549" s="11"/>
      <c r="C549" s="11"/>
      <c r="D549" s="11"/>
      <c r="E549" s="11"/>
      <c r="F549" s="11"/>
      <c r="G549" s="11"/>
      <c r="J549" s="37"/>
    </row>
    <row r="550">
      <c r="A550" s="100"/>
      <c r="B550" s="11"/>
      <c r="C550" s="11"/>
      <c r="D550" s="11"/>
      <c r="E550" s="11"/>
      <c r="F550" s="11"/>
      <c r="G550" s="11"/>
      <c r="J550" s="37"/>
    </row>
    <row r="551">
      <c r="A551" s="100"/>
      <c r="B551" s="11"/>
      <c r="C551" s="11"/>
      <c r="D551" s="11"/>
      <c r="E551" s="11"/>
      <c r="F551" s="11"/>
      <c r="G551" s="11"/>
      <c r="J551" s="37"/>
    </row>
    <row r="552">
      <c r="A552" s="100"/>
      <c r="B552" s="11"/>
      <c r="C552" s="11"/>
      <c r="D552" s="11"/>
      <c r="E552" s="11"/>
      <c r="F552" s="11"/>
      <c r="G552" s="11"/>
      <c r="J552" s="37"/>
    </row>
    <row r="553">
      <c r="A553" s="100"/>
      <c r="B553" s="11"/>
      <c r="C553" s="11"/>
      <c r="D553" s="11"/>
      <c r="E553" s="11"/>
      <c r="F553" s="11"/>
      <c r="G553" s="11"/>
      <c r="J553" s="37"/>
    </row>
    <row r="554">
      <c r="A554" s="100"/>
      <c r="B554" s="11"/>
      <c r="C554" s="11"/>
      <c r="D554" s="11"/>
      <c r="E554" s="11"/>
      <c r="F554" s="11"/>
      <c r="G554" s="11"/>
      <c r="J554" s="37"/>
    </row>
    <row r="555">
      <c r="A555" s="100"/>
      <c r="B555" s="11"/>
      <c r="C555" s="11"/>
      <c r="D555" s="11"/>
      <c r="E555" s="11"/>
      <c r="F555" s="11"/>
      <c r="G555" s="11"/>
      <c r="J555" s="37"/>
    </row>
    <row r="556">
      <c r="A556" s="100"/>
      <c r="B556" s="11"/>
      <c r="C556" s="11"/>
      <c r="D556" s="11"/>
      <c r="E556" s="11"/>
      <c r="F556" s="11"/>
      <c r="G556" s="11"/>
      <c r="J556" s="37"/>
    </row>
    <row r="557">
      <c r="A557" s="100"/>
      <c r="B557" s="11"/>
      <c r="C557" s="11"/>
      <c r="D557" s="11"/>
      <c r="E557" s="11"/>
      <c r="F557" s="11"/>
      <c r="G557" s="11"/>
      <c r="J557" s="37"/>
    </row>
    <row r="558">
      <c r="A558" s="100"/>
      <c r="B558" s="11"/>
      <c r="C558" s="11"/>
      <c r="D558" s="11"/>
      <c r="E558" s="11"/>
      <c r="F558" s="11"/>
      <c r="G558" s="11"/>
      <c r="J558" s="37"/>
    </row>
    <row r="559">
      <c r="A559" s="100"/>
      <c r="B559" s="11"/>
      <c r="C559" s="11"/>
      <c r="D559" s="11"/>
      <c r="E559" s="11"/>
      <c r="F559" s="11"/>
      <c r="G559" s="11"/>
      <c r="J559" s="37"/>
    </row>
    <row r="560">
      <c r="A560" s="100"/>
      <c r="B560" s="11"/>
      <c r="C560" s="11"/>
      <c r="D560" s="11"/>
      <c r="E560" s="11"/>
      <c r="F560" s="11"/>
      <c r="G560" s="11"/>
      <c r="J560" s="37"/>
    </row>
    <row r="561">
      <c r="A561" s="100"/>
      <c r="B561" s="11"/>
      <c r="C561" s="11"/>
      <c r="D561" s="11"/>
      <c r="E561" s="11"/>
      <c r="F561" s="11"/>
      <c r="G561" s="11"/>
      <c r="J561" s="37"/>
    </row>
    <row r="562">
      <c r="A562" s="100"/>
      <c r="B562" s="11"/>
      <c r="C562" s="11"/>
      <c r="D562" s="11"/>
      <c r="E562" s="11"/>
      <c r="F562" s="11"/>
      <c r="G562" s="11"/>
      <c r="J562" s="37"/>
    </row>
    <row r="563">
      <c r="A563" s="100"/>
      <c r="B563" s="11"/>
      <c r="C563" s="11"/>
      <c r="D563" s="11"/>
      <c r="E563" s="11"/>
      <c r="F563" s="11"/>
      <c r="G563" s="11"/>
      <c r="J563" s="37"/>
    </row>
    <row r="564">
      <c r="A564" s="100"/>
      <c r="B564" s="11"/>
      <c r="C564" s="11"/>
      <c r="D564" s="11"/>
      <c r="E564" s="11"/>
      <c r="F564" s="11"/>
      <c r="G564" s="11"/>
      <c r="J564" s="37"/>
    </row>
    <row r="565">
      <c r="A565" s="100"/>
      <c r="B565" s="11"/>
      <c r="C565" s="11"/>
      <c r="D565" s="11"/>
      <c r="E565" s="11"/>
      <c r="F565" s="11"/>
      <c r="G565" s="11"/>
      <c r="J565" s="37"/>
    </row>
    <row r="566">
      <c r="A566" s="100"/>
      <c r="B566" s="11"/>
      <c r="C566" s="11"/>
      <c r="D566" s="11"/>
      <c r="E566" s="11"/>
      <c r="F566" s="11"/>
      <c r="G566" s="11"/>
      <c r="J566" s="37"/>
    </row>
    <row r="567">
      <c r="A567" s="100"/>
      <c r="B567" s="11"/>
      <c r="C567" s="11"/>
      <c r="D567" s="11"/>
      <c r="E567" s="11"/>
      <c r="F567" s="11"/>
      <c r="G567" s="11"/>
      <c r="J567" s="37"/>
    </row>
    <row r="568">
      <c r="A568" s="100"/>
      <c r="B568" s="11"/>
      <c r="C568" s="11"/>
      <c r="D568" s="11"/>
      <c r="E568" s="11"/>
      <c r="F568" s="11"/>
      <c r="G568" s="11"/>
      <c r="J568" s="37"/>
    </row>
    <row r="569">
      <c r="A569" s="100"/>
      <c r="B569" s="11"/>
      <c r="C569" s="11"/>
      <c r="D569" s="11"/>
      <c r="E569" s="11"/>
      <c r="F569" s="11"/>
      <c r="G569" s="11"/>
      <c r="J569" s="37"/>
    </row>
    <row r="570">
      <c r="A570" s="100"/>
      <c r="B570" s="11"/>
      <c r="C570" s="11"/>
      <c r="D570" s="11"/>
      <c r="E570" s="11"/>
      <c r="F570" s="11"/>
      <c r="G570" s="11"/>
      <c r="J570" s="37"/>
    </row>
    <row r="571">
      <c r="A571" s="100"/>
      <c r="B571" s="11"/>
      <c r="C571" s="11"/>
      <c r="D571" s="11"/>
      <c r="E571" s="11"/>
      <c r="F571" s="11"/>
      <c r="G571" s="11"/>
      <c r="J571" s="37"/>
    </row>
    <row r="572">
      <c r="A572" s="100"/>
      <c r="B572" s="11"/>
      <c r="C572" s="11"/>
      <c r="D572" s="11"/>
      <c r="E572" s="11"/>
      <c r="F572" s="11"/>
      <c r="G572" s="11"/>
      <c r="J572" s="37"/>
    </row>
    <row r="573">
      <c r="A573" s="100"/>
      <c r="B573" s="11"/>
      <c r="C573" s="11"/>
      <c r="D573" s="11"/>
      <c r="E573" s="11"/>
      <c r="F573" s="11"/>
      <c r="G573" s="11"/>
      <c r="J573" s="37"/>
    </row>
    <row r="574">
      <c r="A574" s="100"/>
      <c r="B574" s="11"/>
      <c r="C574" s="11"/>
      <c r="D574" s="11"/>
      <c r="E574" s="11"/>
      <c r="F574" s="11"/>
      <c r="G574" s="11"/>
      <c r="J574" s="37"/>
    </row>
    <row r="575">
      <c r="A575" s="100"/>
      <c r="B575" s="11"/>
      <c r="C575" s="11"/>
      <c r="D575" s="11"/>
      <c r="E575" s="11"/>
      <c r="F575" s="11"/>
      <c r="G575" s="11"/>
      <c r="J575" s="37"/>
    </row>
    <row r="576">
      <c r="A576" s="100"/>
      <c r="B576" s="11"/>
      <c r="C576" s="11"/>
      <c r="D576" s="11"/>
      <c r="E576" s="11"/>
      <c r="F576" s="11"/>
      <c r="G576" s="11"/>
      <c r="J576" s="37"/>
    </row>
    <row r="577">
      <c r="A577" s="100"/>
      <c r="B577" s="11"/>
      <c r="C577" s="11"/>
      <c r="D577" s="11"/>
      <c r="E577" s="11"/>
      <c r="F577" s="11"/>
      <c r="G577" s="11"/>
      <c r="J577" s="37"/>
    </row>
    <row r="578">
      <c r="A578" s="100"/>
      <c r="B578" s="11"/>
      <c r="C578" s="11"/>
      <c r="D578" s="11"/>
      <c r="E578" s="11"/>
      <c r="F578" s="11"/>
      <c r="G578" s="11"/>
      <c r="J578" s="37"/>
    </row>
    <row r="579">
      <c r="A579" s="100"/>
      <c r="B579" s="11"/>
      <c r="C579" s="11"/>
      <c r="D579" s="11"/>
      <c r="E579" s="11"/>
      <c r="F579" s="11"/>
      <c r="G579" s="11"/>
      <c r="J579" s="37"/>
    </row>
    <row r="580">
      <c r="A580" s="100"/>
      <c r="B580" s="11"/>
      <c r="C580" s="11"/>
      <c r="D580" s="11"/>
      <c r="E580" s="11"/>
      <c r="F580" s="11"/>
      <c r="G580" s="11"/>
      <c r="J580" s="37"/>
    </row>
    <row r="581">
      <c r="A581" s="100"/>
      <c r="B581" s="11"/>
      <c r="C581" s="11"/>
      <c r="D581" s="11"/>
      <c r="E581" s="11"/>
      <c r="F581" s="11"/>
      <c r="G581" s="11"/>
      <c r="J581" s="37"/>
    </row>
    <row r="582">
      <c r="A582" s="100"/>
      <c r="B582" s="11"/>
      <c r="C582" s="11"/>
      <c r="D582" s="11"/>
      <c r="E582" s="11"/>
      <c r="F582" s="11"/>
      <c r="G582" s="11"/>
      <c r="J582" s="37"/>
    </row>
    <row r="583">
      <c r="A583" s="100"/>
      <c r="B583" s="11"/>
      <c r="C583" s="11"/>
      <c r="D583" s="11"/>
      <c r="E583" s="11"/>
      <c r="F583" s="11"/>
      <c r="G583" s="11"/>
      <c r="J583" s="37"/>
    </row>
    <row r="584">
      <c r="A584" s="100"/>
      <c r="B584" s="11"/>
      <c r="C584" s="11"/>
      <c r="D584" s="11"/>
      <c r="E584" s="11"/>
      <c r="F584" s="11"/>
      <c r="G584" s="11"/>
      <c r="J584" s="37"/>
    </row>
    <row r="585">
      <c r="A585" s="100"/>
      <c r="B585" s="11"/>
      <c r="C585" s="11"/>
      <c r="D585" s="11"/>
      <c r="E585" s="11"/>
      <c r="F585" s="11"/>
      <c r="G585" s="11"/>
      <c r="J585" s="37"/>
    </row>
    <row r="586">
      <c r="A586" s="100"/>
      <c r="B586" s="11"/>
      <c r="C586" s="11"/>
      <c r="D586" s="11"/>
      <c r="E586" s="11"/>
      <c r="F586" s="11"/>
      <c r="G586" s="11"/>
      <c r="J586" s="37"/>
    </row>
    <row r="587">
      <c r="A587" s="100"/>
      <c r="B587" s="11"/>
      <c r="C587" s="11"/>
      <c r="D587" s="11"/>
      <c r="E587" s="11"/>
      <c r="F587" s="11"/>
      <c r="G587" s="11"/>
      <c r="J587" s="37"/>
    </row>
    <row r="588">
      <c r="A588" s="100"/>
      <c r="B588" s="11"/>
      <c r="C588" s="11"/>
      <c r="D588" s="11"/>
      <c r="E588" s="11"/>
      <c r="F588" s="11"/>
      <c r="G588" s="11"/>
      <c r="J588" s="37"/>
    </row>
    <row r="589">
      <c r="A589" s="100"/>
      <c r="B589" s="11"/>
      <c r="C589" s="11"/>
      <c r="D589" s="11"/>
      <c r="E589" s="11"/>
      <c r="F589" s="11"/>
      <c r="G589" s="11"/>
      <c r="J589" s="37"/>
    </row>
    <row r="590">
      <c r="A590" s="100"/>
      <c r="B590" s="11"/>
      <c r="C590" s="11"/>
      <c r="D590" s="11"/>
      <c r="E590" s="11"/>
      <c r="F590" s="11"/>
      <c r="G590" s="11"/>
      <c r="J590" s="37"/>
    </row>
    <row r="591">
      <c r="A591" s="100"/>
      <c r="B591" s="11"/>
      <c r="C591" s="11"/>
      <c r="D591" s="11"/>
      <c r="E591" s="11"/>
      <c r="F591" s="11"/>
      <c r="G591" s="11"/>
      <c r="J591" s="37"/>
    </row>
    <row r="592">
      <c r="A592" s="100"/>
      <c r="B592" s="11"/>
      <c r="C592" s="11"/>
      <c r="D592" s="11"/>
      <c r="E592" s="11"/>
      <c r="F592" s="11"/>
      <c r="G592" s="11"/>
      <c r="J592" s="37"/>
    </row>
    <row r="593">
      <c r="A593" s="100"/>
      <c r="B593" s="11"/>
      <c r="C593" s="11"/>
      <c r="D593" s="11"/>
      <c r="E593" s="11"/>
      <c r="F593" s="11"/>
      <c r="G593" s="11"/>
      <c r="J593" s="37"/>
    </row>
    <row r="594">
      <c r="A594" s="100"/>
      <c r="B594" s="11"/>
      <c r="C594" s="11"/>
      <c r="D594" s="11"/>
      <c r="E594" s="11"/>
      <c r="F594" s="11"/>
      <c r="G594" s="11"/>
      <c r="J594" s="37"/>
    </row>
    <row r="595">
      <c r="A595" s="100"/>
      <c r="B595" s="11"/>
      <c r="C595" s="11"/>
      <c r="D595" s="11"/>
      <c r="E595" s="11"/>
      <c r="F595" s="11"/>
      <c r="G595" s="11"/>
      <c r="J595" s="37"/>
    </row>
    <row r="596">
      <c r="A596" s="100"/>
      <c r="B596" s="11"/>
      <c r="C596" s="11"/>
      <c r="D596" s="11"/>
      <c r="E596" s="11"/>
      <c r="F596" s="11"/>
      <c r="G596" s="11"/>
      <c r="J596" s="37"/>
    </row>
    <row r="597">
      <c r="A597" s="100"/>
      <c r="B597" s="11"/>
      <c r="C597" s="11"/>
      <c r="D597" s="11"/>
      <c r="E597" s="11"/>
      <c r="F597" s="11"/>
      <c r="G597" s="11"/>
      <c r="J597" s="37"/>
    </row>
    <row r="598">
      <c r="A598" s="100"/>
      <c r="B598" s="11"/>
      <c r="C598" s="11"/>
      <c r="D598" s="11"/>
      <c r="E598" s="11"/>
      <c r="F598" s="11"/>
      <c r="G598" s="11"/>
      <c r="J598" s="37"/>
    </row>
    <row r="599">
      <c r="A599" s="100"/>
      <c r="B599" s="11"/>
      <c r="C599" s="11"/>
      <c r="D599" s="11"/>
      <c r="E599" s="11"/>
      <c r="F599" s="11"/>
      <c r="G599" s="11"/>
      <c r="J599" s="37"/>
    </row>
    <row r="600">
      <c r="A600" s="100"/>
      <c r="B600" s="11"/>
      <c r="C600" s="11"/>
      <c r="D600" s="11"/>
      <c r="E600" s="11"/>
      <c r="F600" s="11"/>
      <c r="G600" s="11"/>
      <c r="J600" s="37"/>
    </row>
    <row r="601">
      <c r="A601" s="100"/>
      <c r="B601" s="11"/>
      <c r="C601" s="11"/>
      <c r="D601" s="11"/>
      <c r="E601" s="11"/>
      <c r="F601" s="11"/>
      <c r="G601" s="11"/>
      <c r="J601" s="37"/>
    </row>
    <row r="602">
      <c r="A602" s="100"/>
      <c r="B602" s="11"/>
      <c r="C602" s="11"/>
      <c r="D602" s="11"/>
      <c r="E602" s="11"/>
      <c r="F602" s="11"/>
      <c r="G602" s="11"/>
      <c r="J602" s="37"/>
    </row>
    <row r="603">
      <c r="A603" s="100"/>
      <c r="B603" s="11"/>
      <c r="C603" s="11"/>
      <c r="D603" s="11"/>
      <c r="E603" s="11"/>
      <c r="F603" s="11"/>
      <c r="G603" s="11"/>
      <c r="J603" s="37"/>
    </row>
    <row r="604">
      <c r="A604" s="100"/>
      <c r="B604" s="11"/>
      <c r="C604" s="11"/>
      <c r="D604" s="11"/>
      <c r="E604" s="11"/>
      <c r="F604" s="11"/>
      <c r="G604" s="11"/>
      <c r="J604" s="37"/>
    </row>
    <row r="605">
      <c r="A605" s="100"/>
      <c r="B605" s="11"/>
      <c r="C605" s="11"/>
      <c r="D605" s="11"/>
      <c r="E605" s="11"/>
      <c r="F605" s="11"/>
      <c r="G605" s="11"/>
      <c r="J605" s="37"/>
    </row>
    <row r="606">
      <c r="A606" s="100"/>
      <c r="B606" s="11"/>
      <c r="C606" s="11"/>
      <c r="D606" s="11"/>
      <c r="E606" s="11"/>
      <c r="F606" s="11"/>
      <c r="G606" s="11"/>
      <c r="J606" s="37"/>
    </row>
    <row r="607">
      <c r="A607" s="100"/>
      <c r="B607" s="11"/>
      <c r="C607" s="11"/>
      <c r="D607" s="11"/>
      <c r="E607" s="11"/>
      <c r="F607" s="11"/>
      <c r="G607" s="11"/>
      <c r="J607" s="37"/>
    </row>
    <row r="608">
      <c r="A608" s="100"/>
      <c r="B608" s="11"/>
      <c r="C608" s="11"/>
      <c r="D608" s="11"/>
      <c r="E608" s="11"/>
      <c r="F608" s="11"/>
      <c r="G608" s="11"/>
      <c r="J608" s="37"/>
    </row>
    <row r="609">
      <c r="A609" s="100"/>
      <c r="B609" s="11"/>
      <c r="C609" s="11"/>
      <c r="D609" s="11"/>
      <c r="E609" s="11"/>
      <c r="F609" s="11"/>
      <c r="G609" s="11"/>
      <c r="J609" s="37"/>
    </row>
    <row r="610">
      <c r="A610" s="100"/>
      <c r="B610" s="11"/>
      <c r="C610" s="11"/>
      <c r="D610" s="11"/>
      <c r="E610" s="11"/>
      <c r="F610" s="11"/>
      <c r="G610" s="11"/>
      <c r="J610" s="37"/>
    </row>
    <row r="611">
      <c r="A611" s="100"/>
      <c r="B611" s="11"/>
      <c r="C611" s="11"/>
      <c r="D611" s="11"/>
      <c r="E611" s="11"/>
      <c r="F611" s="11"/>
      <c r="G611" s="11"/>
      <c r="J611" s="37"/>
    </row>
    <row r="612">
      <c r="A612" s="100"/>
      <c r="B612" s="11"/>
      <c r="C612" s="11"/>
      <c r="D612" s="11"/>
      <c r="E612" s="11"/>
      <c r="F612" s="11"/>
      <c r="G612" s="11"/>
      <c r="J612" s="37"/>
    </row>
    <row r="613">
      <c r="A613" s="100"/>
      <c r="B613" s="11"/>
      <c r="C613" s="11"/>
      <c r="D613" s="11"/>
      <c r="E613" s="11"/>
      <c r="F613" s="11"/>
      <c r="G613" s="11"/>
      <c r="J613" s="37"/>
    </row>
    <row r="614">
      <c r="A614" s="100"/>
      <c r="B614" s="11"/>
      <c r="C614" s="11"/>
      <c r="D614" s="11"/>
      <c r="E614" s="11"/>
      <c r="F614" s="11"/>
      <c r="G614" s="11"/>
      <c r="J614" s="37"/>
    </row>
    <row r="615">
      <c r="A615" s="100"/>
      <c r="B615" s="11"/>
      <c r="C615" s="11"/>
      <c r="D615" s="11"/>
      <c r="E615" s="11"/>
      <c r="F615" s="11"/>
      <c r="G615" s="11"/>
      <c r="J615" s="37"/>
    </row>
    <row r="616">
      <c r="A616" s="100"/>
      <c r="B616" s="11"/>
      <c r="C616" s="11"/>
      <c r="D616" s="11"/>
      <c r="E616" s="11"/>
      <c r="F616" s="11"/>
      <c r="G616" s="11"/>
      <c r="J616" s="37"/>
    </row>
    <row r="617">
      <c r="A617" s="100"/>
      <c r="B617" s="11"/>
      <c r="C617" s="11"/>
      <c r="D617" s="11"/>
      <c r="E617" s="11"/>
      <c r="F617" s="11"/>
      <c r="G617" s="11"/>
      <c r="J617" s="37"/>
    </row>
    <row r="618">
      <c r="A618" s="100"/>
      <c r="B618" s="11"/>
      <c r="C618" s="11"/>
      <c r="D618" s="11"/>
      <c r="E618" s="11"/>
      <c r="F618" s="11"/>
      <c r="G618" s="11"/>
      <c r="J618" s="37"/>
    </row>
    <row r="619">
      <c r="A619" s="100"/>
      <c r="B619" s="11"/>
      <c r="C619" s="11"/>
      <c r="D619" s="11"/>
      <c r="E619" s="11"/>
      <c r="F619" s="11"/>
      <c r="G619" s="11"/>
      <c r="J619" s="37"/>
    </row>
    <row r="620">
      <c r="A620" s="100"/>
      <c r="B620" s="11"/>
      <c r="C620" s="11"/>
      <c r="D620" s="11"/>
      <c r="E620" s="11"/>
      <c r="F620" s="11"/>
      <c r="G620" s="11"/>
      <c r="J620" s="37"/>
    </row>
    <row r="621">
      <c r="A621" s="100"/>
      <c r="B621" s="11"/>
      <c r="C621" s="11"/>
      <c r="D621" s="11"/>
      <c r="E621" s="11"/>
      <c r="F621" s="11"/>
      <c r="G621" s="11"/>
      <c r="J621" s="37"/>
    </row>
    <row r="622">
      <c r="A622" s="100"/>
      <c r="B622" s="11"/>
      <c r="C622" s="11"/>
      <c r="D622" s="11"/>
      <c r="E622" s="11"/>
      <c r="F622" s="11"/>
      <c r="G622" s="11"/>
      <c r="J622" s="37"/>
    </row>
    <row r="623">
      <c r="A623" s="100"/>
      <c r="B623" s="11"/>
      <c r="C623" s="11"/>
      <c r="D623" s="11"/>
      <c r="E623" s="11"/>
      <c r="F623" s="11"/>
      <c r="G623" s="11"/>
      <c r="J623" s="37"/>
    </row>
    <row r="624">
      <c r="A624" s="100"/>
      <c r="B624" s="11"/>
      <c r="C624" s="11"/>
      <c r="D624" s="11"/>
      <c r="E624" s="11"/>
      <c r="F624" s="11"/>
      <c r="G624" s="11"/>
      <c r="J624" s="37"/>
    </row>
    <row r="625">
      <c r="A625" s="100"/>
      <c r="B625" s="11"/>
      <c r="C625" s="11"/>
      <c r="D625" s="11"/>
      <c r="E625" s="11"/>
      <c r="F625" s="11"/>
      <c r="G625" s="11"/>
      <c r="J625" s="37"/>
    </row>
    <row r="626">
      <c r="A626" s="100"/>
      <c r="B626" s="11"/>
      <c r="C626" s="11"/>
      <c r="D626" s="11"/>
      <c r="E626" s="11"/>
      <c r="F626" s="11"/>
      <c r="G626" s="11"/>
      <c r="J626" s="37"/>
    </row>
    <row r="627">
      <c r="A627" s="100"/>
      <c r="B627" s="11"/>
      <c r="C627" s="11"/>
      <c r="D627" s="11"/>
      <c r="E627" s="11"/>
      <c r="F627" s="11"/>
      <c r="G627" s="11"/>
      <c r="J627" s="37"/>
    </row>
    <row r="628">
      <c r="A628" s="100"/>
      <c r="B628" s="11"/>
      <c r="C628" s="11"/>
      <c r="D628" s="11"/>
      <c r="E628" s="11"/>
      <c r="F628" s="11"/>
      <c r="G628" s="11"/>
      <c r="J628" s="37"/>
    </row>
    <row r="629">
      <c r="A629" s="100"/>
      <c r="B629" s="11"/>
      <c r="C629" s="11"/>
      <c r="D629" s="11"/>
      <c r="E629" s="11"/>
      <c r="F629" s="11"/>
      <c r="G629" s="11"/>
      <c r="J629" s="37"/>
    </row>
    <row r="630">
      <c r="A630" s="100"/>
      <c r="B630" s="11"/>
      <c r="C630" s="11"/>
      <c r="D630" s="11"/>
      <c r="E630" s="11"/>
      <c r="F630" s="11"/>
      <c r="G630" s="11"/>
      <c r="J630" s="37"/>
    </row>
    <row r="631">
      <c r="A631" s="100"/>
      <c r="B631" s="11"/>
      <c r="C631" s="11"/>
      <c r="D631" s="11"/>
      <c r="E631" s="11"/>
      <c r="F631" s="11"/>
      <c r="G631" s="11"/>
      <c r="J631" s="37"/>
    </row>
    <row r="632">
      <c r="A632" s="100"/>
      <c r="B632" s="11"/>
      <c r="C632" s="11"/>
      <c r="D632" s="11"/>
      <c r="E632" s="11"/>
      <c r="F632" s="11"/>
      <c r="G632" s="11"/>
      <c r="J632" s="37"/>
    </row>
    <row r="633">
      <c r="A633" s="100"/>
      <c r="B633" s="11"/>
      <c r="C633" s="11"/>
      <c r="D633" s="11"/>
      <c r="E633" s="11"/>
      <c r="F633" s="11"/>
      <c r="G633" s="11"/>
      <c r="J633" s="37"/>
    </row>
    <row r="634">
      <c r="A634" s="100"/>
      <c r="B634" s="11"/>
      <c r="C634" s="11"/>
      <c r="D634" s="11"/>
      <c r="E634" s="11"/>
      <c r="F634" s="11"/>
      <c r="G634" s="11"/>
      <c r="J634" s="37"/>
    </row>
    <row r="635">
      <c r="A635" s="100"/>
      <c r="B635" s="11"/>
      <c r="C635" s="11"/>
      <c r="D635" s="11"/>
      <c r="E635" s="11"/>
      <c r="F635" s="11"/>
      <c r="G635" s="11"/>
      <c r="J635" s="37"/>
    </row>
    <row r="636">
      <c r="A636" s="100"/>
      <c r="B636" s="11"/>
      <c r="C636" s="11"/>
      <c r="D636" s="11"/>
      <c r="E636" s="11"/>
      <c r="F636" s="11"/>
      <c r="G636" s="11"/>
      <c r="J636" s="37"/>
    </row>
    <row r="637">
      <c r="A637" s="100"/>
      <c r="B637" s="11"/>
      <c r="C637" s="11"/>
      <c r="D637" s="11"/>
      <c r="E637" s="11"/>
      <c r="F637" s="11"/>
      <c r="G637" s="11"/>
      <c r="J637" s="37"/>
    </row>
    <row r="638">
      <c r="A638" s="100"/>
      <c r="B638" s="11"/>
      <c r="C638" s="11"/>
      <c r="D638" s="11"/>
      <c r="E638" s="11"/>
      <c r="F638" s="11"/>
      <c r="G638" s="11"/>
      <c r="J638" s="37"/>
    </row>
    <row r="639">
      <c r="A639" s="100"/>
      <c r="B639" s="11"/>
      <c r="C639" s="11"/>
      <c r="D639" s="11"/>
      <c r="E639" s="11"/>
      <c r="F639" s="11"/>
      <c r="G639" s="11"/>
      <c r="J639" s="37"/>
    </row>
    <row r="640">
      <c r="A640" s="100"/>
      <c r="B640" s="11"/>
      <c r="C640" s="11"/>
      <c r="D640" s="11"/>
      <c r="E640" s="11"/>
      <c r="F640" s="11"/>
      <c r="G640" s="11"/>
      <c r="J640" s="37"/>
    </row>
    <row r="641">
      <c r="A641" s="100"/>
      <c r="B641" s="11"/>
      <c r="C641" s="11"/>
      <c r="D641" s="11"/>
      <c r="E641" s="11"/>
      <c r="F641" s="11"/>
      <c r="G641" s="11"/>
      <c r="J641" s="37"/>
    </row>
    <row r="642">
      <c r="A642" s="100"/>
      <c r="B642" s="11"/>
      <c r="C642" s="11"/>
      <c r="D642" s="11"/>
      <c r="E642" s="11"/>
      <c r="F642" s="11"/>
      <c r="G642" s="11"/>
      <c r="J642" s="37"/>
    </row>
    <row r="643">
      <c r="A643" s="100"/>
      <c r="B643" s="11"/>
      <c r="C643" s="11"/>
      <c r="D643" s="11"/>
      <c r="E643" s="11"/>
      <c r="F643" s="11"/>
      <c r="G643" s="11"/>
      <c r="J643" s="37"/>
    </row>
    <row r="644">
      <c r="A644" s="100"/>
      <c r="B644" s="11"/>
      <c r="C644" s="11"/>
      <c r="D644" s="11"/>
      <c r="E644" s="11"/>
      <c r="F644" s="11"/>
      <c r="G644" s="11"/>
      <c r="J644" s="37"/>
    </row>
    <row r="645">
      <c r="A645" s="100"/>
      <c r="B645" s="11"/>
      <c r="C645" s="11"/>
      <c r="D645" s="11"/>
      <c r="E645" s="11"/>
      <c r="F645" s="11"/>
      <c r="G645" s="11"/>
      <c r="J645" s="37"/>
    </row>
    <row r="646">
      <c r="A646" s="100"/>
      <c r="B646" s="11"/>
      <c r="C646" s="11"/>
      <c r="D646" s="11"/>
      <c r="E646" s="11"/>
      <c r="F646" s="11"/>
      <c r="G646" s="11"/>
      <c r="J646" s="37"/>
    </row>
    <row r="647">
      <c r="A647" s="100"/>
      <c r="B647" s="11"/>
      <c r="C647" s="11"/>
      <c r="D647" s="11"/>
      <c r="E647" s="11"/>
      <c r="F647" s="11"/>
      <c r="G647" s="11"/>
      <c r="J647" s="37"/>
    </row>
    <row r="648">
      <c r="A648" s="100"/>
      <c r="B648" s="11"/>
      <c r="C648" s="11"/>
      <c r="D648" s="11"/>
      <c r="E648" s="11"/>
      <c r="F648" s="11"/>
      <c r="G648" s="11"/>
      <c r="J648" s="37"/>
    </row>
    <row r="649">
      <c r="A649" s="100"/>
      <c r="B649" s="11"/>
      <c r="C649" s="11"/>
      <c r="D649" s="11"/>
      <c r="E649" s="11"/>
      <c r="F649" s="11"/>
      <c r="G649" s="11"/>
      <c r="J649" s="37"/>
    </row>
    <row r="650">
      <c r="A650" s="100"/>
      <c r="B650" s="11"/>
      <c r="C650" s="11"/>
      <c r="D650" s="11"/>
      <c r="E650" s="11"/>
      <c r="F650" s="11"/>
      <c r="G650" s="11"/>
      <c r="J650" s="37"/>
    </row>
    <row r="651">
      <c r="A651" s="100"/>
      <c r="B651" s="11"/>
      <c r="C651" s="11"/>
      <c r="D651" s="11"/>
      <c r="E651" s="11"/>
      <c r="F651" s="11"/>
      <c r="G651" s="11"/>
      <c r="J651" s="37"/>
    </row>
    <row r="652">
      <c r="A652" s="100"/>
      <c r="B652" s="11"/>
      <c r="C652" s="11"/>
      <c r="D652" s="11"/>
      <c r="E652" s="11"/>
      <c r="F652" s="11"/>
      <c r="G652" s="11"/>
      <c r="J652" s="37"/>
    </row>
    <row r="653">
      <c r="A653" s="100"/>
      <c r="B653" s="11"/>
      <c r="C653" s="11"/>
      <c r="D653" s="11"/>
      <c r="E653" s="11"/>
      <c r="F653" s="11"/>
      <c r="G653" s="11"/>
      <c r="J653" s="37"/>
    </row>
    <row r="654">
      <c r="A654" s="100"/>
      <c r="B654" s="11"/>
      <c r="C654" s="11"/>
      <c r="D654" s="11"/>
      <c r="E654" s="11"/>
      <c r="F654" s="11"/>
      <c r="G654" s="11"/>
      <c r="J654" s="37"/>
    </row>
    <row r="655">
      <c r="A655" s="100"/>
      <c r="B655" s="11"/>
      <c r="C655" s="11"/>
      <c r="D655" s="11"/>
      <c r="E655" s="11"/>
      <c r="F655" s="11"/>
      <c r="G655" s="11"/>
      <c r="J655" s="37"/>
    </row>
    <row r="656">
      <c r="A656" s="100"/>
      <c r="B656" s="11"/>
      <c r="C656" s="11"/>
      <c r="D656" s="11"/>
      <c r="E656" s="11"/>
      <c r="F656" s="11"/>
      <c r="G656" s="11"/>
      <c r="J656" s="37"/>
    </row>
    <row r="657">
      <c r="A657" s="100"/>
      <c r="B657" s="11"/>
      <c r="C657" s="11"/>
      <c r="D657" s="11"/>
      <c r="E657" s="11"/>
      <c r="F657" s="11"/>
      <c r="G657" s="11"/>
      <c r="J657" s="37"/>
    </row>
    <row r="658">
      <c r="A658" s="100"/>
      <c r="B658" s="11"/>
      <c r="C658" s="11"/>
      <c r="D658" s="11"/>
      <c r="E658" s="11"/>
      <c r="F658" s="11"/>
      <c r="G658" s="11"/>
      <c r="J658" s="37"/>
    </row>
    <row r="659">
      <c r="A659" s="100"/>
      <c r="B659" s="11"/>
      <c r="C659" s="11"/>
      <c r="D659" s="11"/>
      <c r="E659" s="11"/>
      <c r="F659" s="11"/>
      <c r="G659" s="11"/>
      <c r="J659" s="37"/>
    </row>
    <row r="660">
      <c r="A660" s="100"/>
      <c r="B660" s="11"/>
      <c r="C660" s="11"/>
      <c r="D660" s="11"/>
      <c r="E660" s="11"/>
      <c r="F660" s="11"/>
      <c r="G660" s="11"/>
      <c r="J660" s="37"/>
    </row>
    <row r="661">
      <c r="A661" s="100"/>
      <c r="B661" s="11"/>
      <c r="C661" s="11"/>
      <c r="D661" s="11"/>
      <c r="E661" s="11"/>
      <c r="F661" s="11"/>
      <c r="G661" s="11"/>
      <c r="J661" s="37"/>
    </row>
    <row r="662">
      <c r="A662" s="100"/>
      <c r="B662" s="11"/>
      <c r="C662" s="11"/>
      <c r="D662" s="11"/>
      <c r="E662" s="11"/>
      <c r="F662" s="11"/>
      <c r="G662" s="11"/>
      <c r="J662" s="37"/>
    </row>
    <row r="663">
      <c r="A663" s="100"/>
      <c r="B663" s="11"/>
      <c r="C663" s="11"/>
      <c r="D663" s="11"/>
      <c r="E663" s="11"/>
      <c r="F663" s="11"/>
      <c r="G663" s="11"/>
      <c r="J663" s="37"/>
    </row>
    <row r="664">
      <c r="A664" s="100"/>
      <c r="B664" s="11"/>
      <c r="C664" s="11"/>
      <c r="D664" s="11"/>
      <c r="E664" s="11"/>
      <c r="F664" s="11"/>
      <c r="G664" s="11"/>
      <c r="J664" s="37"/>
    </row>
    <row r="665">
      <c r="A665" s="100"/>
      <c r="B665" s="11"/>
      <c r="C665" s="11"/>
      <c r="D665" s="11"/>
      <c r="E665" s="11"/>
      <c r="F665" s="11"/>
      <c r="G665" s="11"/>
      <c r="J665" s="37"/>
    </row>
    <row r="666">
      <c r="A666" s="100"/>
      <c r="B666" s="11"/>
      <c r="C666" s="11"/>
      <c r="D666" s="11"/>
      <c r="E666" s="11"/>
      <c r="F666" s="11"/>
      <c r="G666" s="11"/>
      <c r="J666" s="37"/>
    </row>
    <row r="667">
      <c r="A667" s="100"/>
      <c r="B667" s="11"/>
      <c r="C667" s="11"/>
      <c r="D667" s="11"/>
      <c r="E667" s="11"/>
      <c r="F667" s="11"/>
      <c r="G667" s="11"/>
      <c r="J667" s="37"/>
    </row>
    <row r="668">
      <c r="A668" s="100"/>
      <c r="B668" s="11"/>
      <c r="C668" s="11"/>
      <c r="D668" s="11"/>
      <c r="E668" s="11"/>
      <c r="F668" s="11"/>
      <c r="G668" s="11"/>
      <c r="J668" s="37"/>
    </row>
    <row r="669">
      <c r="A669" s="100"/>
      <c r="B669" s="11"/>
      <c r="C669" s="11"/>
      <c r="D669" s="11"/>
      <c r="E669" s="11"/>
      <c r="F669" s="11"/>
      <c r="G669" s="11"/>
      <c r="J669" s="37"/>
    </row>
    <row r="670">
      <c r="A670" s="100"/>
      <c r="B670" s="11"/>
      <c r="C670" s="11"/>
      <c r="D670" s="11"/>
      <c r="E670" s="11"/>
      <c r="F670" s="11"/>
      <c r="G670" s="11"/>
      <c r="J670" s="37"/>
    </row>
    <row r="671">
      <c r="A671" s="100"/>
      <c r="B671" s="11"/>
      <c r="C671" s="11"/>
      <c r="D671" s="11"/>
      <c r="E671" s="11"/>
      <c r="F671" s="11"/>
      <c r="G671" s="11"/>
      <c r="J671" s="37"/>
    </row>
    <row r="672">
      <c r="A672" s="100"/>
      <c r="B672" s="11"/>
      <c r="C672" s="11"/>
      <c r="D672" s="11"/>
      <c r="E672" s="11"/>
      <c r="F672" s="11"/>
      <c r="G672" s="11"/>
      <c r="J672" s="37"/>
    </row>
    <row r="673">
      <c r="A673" s="100"/>
      <c r="B673" s="11"/>
      <c r="C673" s="11"/>
      <c r="D673" s="11"/>
      <c r="E673" s="11"/>
      <c r="F673" s="11"/>
      <c r="G673" s="11"/>
      <c r="J673" s="37"/>
    </row>
    <row r="674">
      <c r="A674" s="100"/>
      <c r="B674" s="11"/>
      <c r="C674" s="11"/>
      <c r="D674" s="11"/>
      <c r="E674" s="11"/>
      <c r="F674" s="11"/>
      <c r="G674" s="11"/>
      <c r="J674" s="37"/>
    </row>
    <row r="675">
      <c r="A675" s="100"/>
      <c r="B675" s="11"/>
      <c r="C675" s="11"/>
      <c r="D675" s="11"/>
      <c r="E675" s="11"/>
      <c r="F675" s="11"/>
      <c r="G675" s="11"/>
      <c r="J675" s="37"/>
    </row>
    <row r="676">
      <c r="A676" s="100"/>
      <c r="B676" s="11"/>
      <c r="C676" s="11"/>
      <c r="D676" s="11"/>
      <c r="E676" s="11"/>
      <c r="F676" s="11"/>
      <c r="G676" s="11"/>
      <c r="J676" s="37"/>
    </row>
    <row r="677">
      <c r="A677" s="100"/>
      <c r="B677" s="11"/>
      <c r="C677" s="11"/>
      <c r="D677" s="11"/>
      <c r="E677" s="11"/>
      <c r="F677" s="11"/>
      <c r="G677" s="11"/>
      <c r="J677" s="37"/>
    </row>
    <row r="678">
      <c r="A678" s="100"/>
      <c r="B678" s="11"/>
      <c r="C678" s="11"/>
      <c r="D678" s="11"/>
      <c r="E678" s="11"/>
      <c r="F678" s="11"/>
      <c r="G678" s="11"/>
      <c r="J678" s="37"/>
    </row>
    <row r="679">
      <c r="A679" s="100"/>
      <c r="B679" s="11"/>
      <c r="C679" s="11"/>
      <c r="D679" s="11"/>
      <c r="E679" s="11"/>
      <c r="F679" s="11"/>
      <c r="G679" s="11"/>
      <c r="J679" s="37"/>
    </row>
    <row r="680">
      <c r="A680" s="100"/>
      <c r="B680" s="11"/>
      <c r="C680" s="11"/>
      <c r="D680" s="11"/>
      <c r="E680" s="11"/>
      <c r="F680" s="11"/>
      <c r="G680" s="11"/>
      <c r="J680" s="37"/>
    </row>
    <row r="681">
      <c r="A681" s="100"/>
      <c r="B681" s="11"/>
      <c r="C681" s="11"/>
      <c r="D681" s="11"/>
      <c r="E681" s="11"/>
      <c r="F681" s="11"/>
      <c r="G681" s="11"/>
      <c r="J681" s="37"/>
    </row>
    <row r="682">
      <c r="A682" s="100"/>
      <c r="B682" s="11"/>
      <c r="C682" s="11"/>
      <c r="D682" s="11"/>
      <c r="E682" s="11"/>
      <c r="F682" s="11"/>
      <c r="G682" s="11"/>
      <c r="J682" s="37"/>
    </row>
    <row r="683">
      <c r="A683" s="100"/>
      <c r="B683" s="11"/>
      <c r="C683" s="11"/>
      <c r="D683" s="11"/>
      <c r="E683" s="11"/>
      <c r="F683" s="11"/>
      <c r="G683" s="11"/>
      <c r="J683" s="37"/>
    </row>
    <row r="684">
      <c r="A684" s="100"/>
      <c r="B684" s="11"/>
      <c r="C684" s="11"/>
      <c r="D684" s="11"/>
      <c r="E684" s="11"/>
      <c r="F684" s="11"/>
      <c r="G684" s="11"/>
      <c r="J684" s="37"/>
    </row>
    <row r="685">
      <c r="A685" s="100"/>
      <c r="B685" s="11"/>
      <c r="C685" s="11"/>
      <c r="D685" s="11"/>
      <c r="E685" s="11"/>
      <c r="F685" s="11"/>
      <c r="G685" s="11"/>
      <c r="J685" s="37"/>
    </row>
    <row r="686">
      <c r="A686" s="100"/>
      <c r="B686" s="11"/>
      <c r="C686" s="11"/>
      <c r="D686" s="11"/>
      <c r="E686" s="11"/>
      <c r="F686" s="11"/>
      <c r="G686" s="11"/>
      <c r="J686" s="37"/>
    </row>
    <row r="687">
      <c r="A687" s="100"/>
      <c r="B687" s="11"/>
      <c r="C687" s="11"/>
      <c r="D687" s="11"/>
      <c r="E687" s="11"/>
      <c r="F687" s="11"/>
      <c r="G687" s="11"/>
      <c r="J687" s="37"/>
    </row>
    <row r="688">
      <c r="A688" s="100"/>
      <c r="B688" s="11"/>
      <c r="C688" s="11"/>
      <c r="D688" s="11"/>
      <c r="E688" s="11"/>
      <c r="F688" s="11"/>
      <c r="G688" s="11"/>
      <c r="J688" s="37"/>
    </row>
    <row r="689">
      <c r="A689" s="100"/>
      <c r="B689" s="11"/>
      <c r="C689" s="11"/>
      <c r="D689" s="11"/>
      <c r="E689" s="11"/>
      <c r="F689" s="11"/>
      <c r="G689" s="11"/>
      <c r="J689" s="37"/>
    </row>
    <row r="690">
      <c r="A690" s="100"/>
      <c r="B690" s="11"/>
      <c r="C690" s="11"/>
      <c r="D690" s="11"/>
      <c r="E690" s="11"/>
      <c r="F690" s="11"/>
      <c r="G690" s="11"/>
      <c r="J690" s="37"/>
    </row>
    <row r="691">
      <c r="A691" s="100"/>
      <c r="B691" s="11"/>
      <c r="C691" s="11"/>
      <c r="D691" s="11"/>
      <c r="E691" s="11"/>
      <c r="F691" s="11"/>
      <c r="G691" s="11"/>
      <c r="J691" s="37"/>
    </row>
    <row r="692">
      <c r="A692" s="100"/>
      <c r="B692" s="11"/>
      <c r="C692" s="11"/>
      <c r="D692" s="11"/>
      <c r="E692" s="11"/>
      <c r="F692" s="11"/>
      <c r="G692" s="11"/>
      <c r="J692" s="37"/>
    </row>
    <row r="693">
      <c r="A693" s="100"/>
      <c r="B693" s="11"/>
      <c r="C693" s="11"/>
      <c r="D693" s="11"/>
      <c r="E693" s="11"/>
      <c r="F693" s="11"/>
      <c r="G693" s="11"/>
      <c r="J693" s="37"/>
    </row>
    <row r="694">
      <c r="A694" s="100"/>
      <c r="B694" s="11"/>
      <c r="C694" s="11"/>
      <c r="D694" s="11"/>
      <c r="E694" s="11"/>
      <c r="F694" s="11"/>
      <c r="G694" s="11"/>
      <c r="J694" s="37"/>
    </row>
    <row r="695">
      <c r="A695" s="100"/>
      <c r="B695" s="11"/>
      <c r="C695" s="11"/>
      <c r="D695" s="11"/>
      <c r="E695" s="11"/>
      <c r="F695" s="11"/>
      <c r="G695" s="11"/>
      <c r="J695" s="37"/>
    </row>
    <row r="696">
      <c r="A696" s="100"/>
      <c r="B696" s="11"/>
      <c r="C696" s="11"/>
      <c r="D696" s="11"/>
      <c r="E696" s="11"/>
      <c r="F696" s="11"/>
      <c r="G696" s="11"/>
      <c r="J696" s="37"/>
    </row>
    <row r="697">
      <c r="A697" s="100"/>
      <c r="B697" s="11"/>
      <c r="C697" s="11"/>
      <c r="D697" s="11"/>
      <c r="E697" s="11"/>
      <c r="F697" s="11"/>
      <c r="G697" s="11"/>
      <c r="J697" s="37"/>
    </row>
    <row r="698">
      <c r="A698" s="100"/>
      <c r="B698" s="11"/>
      <c r="C698" s="11"/>
      <c r="D698" s="11"/>
      <c r="E698" s="11"/>
      <c r="F698" s="11"/>
      <c r="G698" s="11"/>
      <c r="J698" s="37"/>
    </row>
    <row r="699">
      <c r="A699" s="100"/>
      <c r="B699" s="11"/>
      <c r="C699" s="11"/>
      <c r="D699" s="11"/>
      <c r="E699" s="11"/>
      <c r="F699" s="11"/>
      <c r="G699" s="11"/>
      <c r="J699" s="37"/>
    </row>
    <row r="700">
      <c r="A700" s="100"/>
      <c r="B700" s="11"/>
      <c r="C700" s="11"/>
      <c r="D700" s="11"/>
      <c r="E700" s="11"/>
      <c r="F700" s="11"/>
      <c r="G700" s="11"/>
      <c r="J700" s="37"/>
    </row>
    <row r="701">
      <c r="A701" s="100"/>
      <c r="B701" s="11"/>
      <c r="C701" s="11"/>
      <c r="D701" s="11"/>
      <c r="E701" s="11"/>
      <c r="F701" s="11"/>
      <c r="G701" s="11"/>
      <c r="J701" s="37"/>
    </row>
    <row r="702">
      <c r="A702" s="100"/>
      <c r="B702" s="11"/>
      <c r="C702" s="11"/>
      <c r="D702" s="11"/>
      <c r="E702" s="11"/>
      <c r="F702" s="11"/>
      <c r="G702" s="11"/>
      <c r="J702" s="37"/>
    </row>
    <row r="703">
      <c r="A703" s="100"/>
      <c r="B703" s="11"/>
      <c r="C703" s="11"/>
      <c r="D703" s="11"/>
      <c r="E703" s="11"/>
      <c r="F703" s="11"/>
      <c r="G703" s="11"/>
      <c r="J703" s="37"/>
    </row>
    <row r="704">
      <c r="A704" s="100"/>
      <c r="B704" s="11"/>
      <c r="C704" s="11"/>
      <c r="D704" s="11"/>
      <c r="E704" s="11"/>
      <c r="F704" s="11"/>
      <c r="G704" s="11"/>
      <c r="J704" s="37"/>
    </row>
    <row r="705">
      <c r="A705" s="100"/>
      <c r="B705" s="11"/>
      <c r="C705" s="11"/>
      <c r="D705" s="11"/>
      <c r="E705" s="11"/>
      <c r="F705" s="11"/>
      <c r="G705" s="11"/>
      <c r="J705" s="37"/>
    </row>
    <row r="706">
      <c r="A706" s="100"/>
      <c r="B706" s="11"/>
      <c r="C706" s="11"/>
      <c r="D706" s="11"/>
      <c r="E706" s="11"/>
      <c r="F706" s="11"/>
      <c r="G706" s="11"/>
      <c r="J706" s="37"/>
    </row>
    <row r="707">
      <c r="A707" s="100"/>
      <c r="B707" s="11"/>
      <c r="C707" s="11"/>
      <c r="D707" s="11"/>
      <c r="E707" s="11"/>
      <c r="F707" s="11"/>
      <c r="G707" s="11"/>
      <c r="J707" s="37"/>
    </row>
    <row r="708">
      <c r="A708" s="100"/>
      <c r="B708" s="11"/>
      <c r="C708" s="11"/>
      <c r="D708" s="11"/>
      <c r="E708" s="11"/>
      <c r="F708" s="11"/>
      <c r="G708" s="11"/>
      <c r="J708" s="37"/>
    </row>
    <row r="709">
      <c r="A709" s="100"/>
      <c r="B709" s="11"/>
      <c r="C709" s="11"/>
      <c r="D709" s="11"/>
      <c r="E709" s="11"/>
      <c r="F709" s="11"/>
      <c r="G709" s="11"/>
      <c r="J709" s="37"/>
    </row>
    <row r="710">
      <c r="A710" s="100"/>
      <c r="B710" s="11"/>
      <c r="C710" s="11"/>
      <c r="D710" s="11"/>
      <c r="E710" s="11"/>
      <c r="F710" s="11"/>
      <c r="G710" s="11"/>
      <c r="J710" s="37"/>
    </row>
    <row r="711">
      <c r="A711" s="100"/>
      <c r="B711" s="11"/>
      <c r="C711" s="11"/>
      <c r="D711" s="11"/>
      <c r="E711" s="11"/>
      <c r="F711" s="11"/>
      <c r="G711" s="11"/>
      <c r="J711" s="37"/>
    </row>
    <row r="712">
      <c r="A712" s="100"/>
      <c r="B712" s="11"/>
      <c r="C712" s="11"/>
      <c r="D712" s="11"/>
      <c r="E712" s="11"/>
      <c r="F712" s="11"/>
      <c r="G712" s="11"/>
      <c r="J712" s="37"/>
    </row>
    <row r="713">
      <c r="A713" s="100"/>
      <c r="B713" s="11"/>
      <c r="C713" s="11"/>
      <c r="D713" s="11"/>
      <c r="E713" s="11"/>
      <c r="F713" s="11"/>
      <c r="G713" s="11"/>
      <c r="J713" s="37"/>
    </row>
    <row r="714">
      <c r="A714" s="100"/>
      <c r="B714" s="11"/>
      <c r="C714" s="11"/>
      <c r="D714" s="11"/>
      <c r="E714" s="11"/>
      <c r="F714" s="11"/>
      <c r="G714" s="11"/>
      <c r="J714" s="37"/>
    </row>
    <row r="715">
      <c r="A715" s="100"/>
      <c r="B715" s="11"/>
      <c r="C715" s="11"/>
      <c r="D715" s="11"/>
      <c r="E715" s="11"/>
      <c r="F715" s="11"/>
      <c r="G715" s="11"/>
      <c r="J715" s="37"/>
    </row>
    <row r="716">
      <c r="A716" s="100"/>
      <c r="B716" s="11"/>
      <c r="C716" s="11"/>
      <c r="D716" s="11"/>
      <c r="E716" s="11"/>
      <c r="F716" s="11"/>
      <c r="G716" s="11"/>
      <c r="J716" s="37"/>
    </row>
    <row r="717">
      <c r="A717" s="100"/>
      <c r="B717" s="11"/>
      <c r="C717" s="11"/>
      <c r="D717" s="11"/>
      <c r="E717" s="11"/>
      <c r="F717" s="11"/>
      <c r="G717" s="11"/>
      <c r="J717" s="37"/>
    </row>
    <row r="718">
      <c r="A718" s="100"/>
      <c r="B718" s="11"/>
      <c r="C718" s="11"/>
      <c r="D718" s="11"/>
      <c r="E718" s="11"/>
      <c r="F718" s="11"/>
      <c r="G718" s="11"/>
      <c r="J718" s="37"/>
    </row>
    <row r="719">
      <c r="A719" s="100"/>
      <c r="B719" s="11"/>
      <c r="C719" s="11"/>
      <c r="D719" s="11"/>
      <c r="E719" s="11"/>
      <c r="F719" s="11"/>
      <c r="G719" s="11"/>
      <c r="J719" s="37"/>
    </row>
    <row r="720">
      <c r="A720" s="100"/>
      <c r="B720" s="11"/>
      <c r="C720" s="11"/>
      <c r="D720" s="11"/>
      <c r="E720" s="11"/>
      <c r="F720" s="11"/>
      <c r="G720" s="11"/>
      <c r="J720" s="37"/>
    </row>
    <row r="721">
      <c r="A721" s="100"/>
      <c r="B721" s="11"/>
      <c r="C721" s="11"/>
      <c r="D721" s="11"/>
      <c r="E721" s="11"/>
      <c r="F721" s="11"/>
      <c r="G721" s="11"/>
      <c r="J721" s="37"/>
    </row>
    <row r="722">
      <c r="A722" s="100"/>
      <c r="B722" s="11"/>
      <c r="C722" s="11"/>
      <c r="D722" s="11"/>
      <c r="E722" s="11"/>
      <c r="F722" s="11"/>
      <c r="G722" s="11"/>
      <c r="J722" s="37"/>
    </row>
    <row r="723">
      <c r="A723" s="100"/>
      <c r="B723" s="11"/>
      <c r="C723" s="11"/>
      <c r="D723" s="11"/>
      <c r="E723" s="11"/>
      <c r="F723" s="11"/>
      <c r="G723" s="11"/>
      <c r="J723" s="37"/>
    </row>
    <row r="724">
      <c r="A724" s="100"/>
      <c r="B724" s="11"/>
      <c r="C724" s="11"/>
      <c r="D724" s="11"/>
      <c r="E724" s="11"/>
      <c r="F724" s="11"/>
      <c r="G724" s="11"/>
      <c r="J724" s="37"/>
    </row>
    <row r="725">
      <c r="A725" s="100"/>
      <c r="B725" s="11"/>
      <c r="C725" s="11"/>
      <c r="D725" s="11"/>
      <c r="E725" s="11"/>
      <c r="F725" s="11"/>
      <c r="G725" s="11"/>
      <c r="J725" s="37"/>
    </row>
    <row r="726">
      <c r="A726" s="100"/>
      <c r="B726" s="11"/>
      <c r="C726" s="11"/>
      <c r="D726" s="11"/>
      <c r="E726" s="11"/>
      <c r="F726" s="11"/>
      <c r="G726" s="11"/>
      <c r="J726" s="37"/>
    </row>
    <row r="727">
      <c r="A727" s="100"/>
      <c r="B727" s="11"/>
      <c r="C727" s="11"/>
      <c r="D727" s="11"/>
      <c r="E727" s="11"/>
      <c r="F727" s="11"/>
      <c r="G727" s="11"/>
      <c r="J727" s="37"/>
    </row>
    <row r="728">
      <c r="A728" s="100"/>
      <c r="B728" s="11"/>
      <c r="C728" s="11"/>
      <c r="D728" s="11"/>
      <c r="E728" s="11"/>
      <c r="F728" s="11"/>
      <c r="G728" s="11"/>
      <c r="J728" s="37"/>
    </row>
    <row r="729">
      <c r="A729" s="100"/>
      <c r="B729" s="11"/>
      <c r="C729" s="11"/>
      <c r="D729" s="11"/>
      <c r="E729" s="11"/>
      <c r="F729" s="11"/>
      <c r="G729" s="11"/>
      <c r="J729" s="37"/>
    </row>
    <row r="730">
      <c r="A730" s="100"/>
      <c r="B730" s="11"/>
      <c r="C730" s="11"/>
      <c r="D730" s="11"/>
      <c r="E730" s="11"/>
      <c r="F730" s="11"/>
      <c r="G730" s="11"/>
      <c r="J730" s="37"/>
    </row>
    <row r="731">
      <c r="A731" s="100"/>
      <c r="B731" s="11"/>
      <c r="C731" s="11"/>
      <c r="D731" s="11"/>
      <c r="E731" s="11"/>
      <c r="F731" s="11"/>
      <c r="G731" s="11"/>
      <c r="J731" s="37"/>
    </row>
    <row r="732">
      <c r="A732" s="100"/>
      <c r="B732" s="11"/>
      <c r="C732" s="11"/>
      <c r="D732" s="11"/>
      <c r="E732" s="11"/>
      <c r="F732" s="11"/>
      <c r="G732" s="11"/>
      <c r="J732" s="37"/>
    </row>
    <row r="733">
      <c r="A733" s="100"/>
      <c r="B733" s="11"/>
      <c r="C733" s="11"/>
      <c r="D733" s="11"/>
      <c r="E733" s="11"/>
      <c r="F733" s="11"/>
      <c r="G733" s="11"/>
      <c r="J733" s="37"/>
    </row>
    <row r="734">
      <c r="A734" s="100"/>
      <c r="B734" s="11"/>
      <c r="C734" s="11"/>
      <c r="D734" s="11"/>
      <c r="E734" s="11"/>
      <c r="F734" s="11"/>
      <c r="G734" s="11"/>
      <c r="J734" s="37"/>
    </row>
    <row r="735">
      <c r="A735" s="100"/>
      <c r="B735" s="11"/>
      <c r="C735" s="11"/>
      <c r="D735" s="11"/>
      <c r="E735" s="11"/>
      <c r="F735" s="11"/>
      <c r="G735" s="11"/>
      <c r="J735" s="37"/>
    </row>
    <row r="736">
      <c r="A736" s="100"/>
      <c r="B736" s="11"/>
      <c r="C736" s="11"/>
      <c r="D736" s="11"/>
      <c r="E736" s="11"/>
      <c r="F736" s="11"/>
      <c r="G736" s="11"/>
      <c r="J736" s="37"/>
    </row>
    <row r="737">
      <c r="A737" s="100"/>
      <c r="B737" s="11"/>
      <c r="C737" s="11"/>
      <c r="D737" s="11"/>
      <c r="E737" s="11"/>
      <c r="F737" s="11"/>
      <c r="G737" s="11"/>
      <c r="J737" s="37"/>
    </row>
    <row r="738">
      <c r="A738" s="100"/>
      <c r="B738" s="11"/>
      <c r="C738" s="11"/>
      <c r="D738" s="11"/>
      <c r="E738" s="11"/>
      <c r="F738" s="11"/>
      <c r="G738" s="11"/>
      <c r="J738" s="37"/>
    </row>
    <row r="739">
      <c r="A739" s="100"/>
      <c r="B739" s="11"/>
      <c r="C739" s="11"/>
      <c r="D739" s="11"/>
      <c r="E739" s="11"/>
      <c r="F739" s="11"/>
      <c r="G739" s="11"/>
      <c r="J739" s="37"/>
    </row>
    <row r="740">
      <c r="A740" s="100"/>
      <c r="B740" s="11"/>
      <c r="C740" s="11"/>
      <c r="D740" s="11"/>
      <c r="E740" s="11"/>
      <c r="F740" s="11"/>
      <c r="G740" s="11"/>
      <c r="J740" s="37"/>
    </row>
    <row r="741">
      <c r="A741" s="100"/>
      <c r="B741" s="11"/>
      <c r="C741" s="11"/>
      <c r="D741" s="11"/>
      <c r="E741" s="11"/>
      <c r="F741" s="11"/>
      <c r="G741" s="11"/>
      <c r="J741" s="37"/>
    </row>
    <row r="742">
      <c r="A742" s="100"/>
      <c r="B742" s="11"/>
      <c r="C742" s="11"/>
      <c r="D742" s="11"/>
      <c r="E742" s="11"/>
      <c r="F742" s="11"/>
      <c r="G742" s="11"/>
      <c r="J742" s="37"/>
    </row>
    <row r="743">
      <c r="A743" s="100"/>
      <c r="B743" s="11"/>
      <c r="C743" s="11"/>
      <c r="D743" s="11"/>
      <c r="E743" s="11"/>
      <c r="F743" s="11"/>
      <c r="G743" s="11"/>
      <c r="J743" s="37"/>
    </row>
    <row r="744">
      <c r="A744" s="100"/>
      <c r="B744" s="11"/>
      <c r="C744" s="11"/>
      <c r="D744" s="11"/>
      <c r="E744" s="11"/>
      <c r="F744" s="11"/>
      <c r="G744" s="11"/>
      <c r="J744" s="37"/>
    </row>
    <row r="745">
      <c r="A745" s="100"/>
      <c r="B745" s="11"/>
      <c r="C745" s="11"/>
      <c r="D745" s="11"/>
      <c r="E745" s="11"/>
      <c r="F745" s="11"/>
      <c r="G745" s="11"/>
      <c r="J745" s="37"/>
    </row>
    <row r="746">
      <c r="A746" s="100"/>
      <c r="B746" s="11"/>
      <c r="C746" s="11"/>
      <c r="D746" s="11"/>
      <c r="E746" s="11"/>
      <c r="F746" s="11"/>
      <c r="G746" s="11"/>
      <c r="J746" s="37"/>
    </row>
    <row r="747">
      <c r="A747" s="100"/>
      <c r="B747" s="11"/>
      <c r="C747" s="11"/>
      <c r="D747" s="11"/>
      <c r="E747" s="11"/>
      <c r="F747" s="11"/>
      <c r="G747" s="11"/>
      <c r="J747" s="37"/>
    </row>
    <row r="748">
      <c r="A748" s="100"/>
      <c r="B748" s="11"/>
      <c r="C748" s="11"/>
      <c r="D748" s="11"/>
      <c r="E748" s="11"/>
      <c r="F748" s="11"/>
      <c r="G748" s="11"/>
      <c r="J748" s="37"/>
    </row>
    <row r="749">
      <c r="A749" s="100"/>
      <c r="B749" s="11"/>
      <c r="C749" s="11"/>
      <c r="D749" s="11"/>
      <c r="E749" s="11"/>
      <c r="F749" s="11"/>
      <c r="G749" s="11"/>
      <c r="J749" s="37"/>
    </row>
    <row r="750">
      <c r="A750" s="100"/>
      <c r="B750" s="11"/>
      <c r="C750" s="11"/>
      <c r="D750" s="11"/>
      <c r="E750" s="11"/>
      <c r="F750" s="11"/>
      <c r="G750" s="11"/>
      <c r="J750" s="37"/>
    </row>
    <row r="751">
      <c r="A751" s="100"/>
      <c r="B751" s="11"/>
      <c r="C751" s="11"/>
      <c r="D751" s="11"/>
      <c r="E751" s="11"/>
      <c r="F751" s="11"/>
      <c r="G751" s="11"/>
      <c r="J751" s="37"/>
    </row>
    <row r="752">
      <c r="A752" s="100"/>
      <c r="B752" s="11"/>
      <c r="C752" s="11"/>
      <c r="D752" s="11"/>
      <c r="E752" s="11"/>
      <c r="F752" s="11"/>
      <c r="G752" s="11"/>
      <c r="J752" s="37"/>
    </row>
    <row r="753">
      <c r="A753" s="100"/>
      <c r="B753" s="11"/>
      <c r="C753" s="11"/>
      <c r="D753" s="11"/>
      <c r="E753" s="11"/>
      <c r="F753" s="11"/>
      <c r="G753" s="11"/>
      <c r="J753" s="37"/>
    </row>
    <row r="754">
      <c r="A754" s="100"/>
      <c r="B754" s="11"/>
      <c r="C754" s="11"/>
      <c r="D754" s="11"/>
      <c r="E754" s="11"/>
      <c r="F754" s="11"/>
      <c r="G754" s="11"/>
      <c r="J754" s="37"/>
    </row>
    <row r="755">
      <c r="A755" s="100"/>
      <c r="B755" s="11"/>
      <c r="C755" s="11"/>
      <c r="D755" s="11"/>
      <c r="E755" s="11"/>
      <c r="F755" s="11"/>
      <c r="G755" s="11"/>
      <c r="J755" s="37"/>
    </row>
    <row r="756">
      <c r="A756" s="100"/>
      <c r="B756" s="11"/>
      <c r="C756" s="11"/>
      <c r="D756" s="11"/>
      <c r="E756" s="11"/>
      <c r="F756" s="11"/>
      <c r="G756" s="11"/>
      <c r="J756" s="37"/>
    </row>
    <row r="757">
      <c r="A757" s="100"/>
      <c r="B757" s="11"/>
      <c r="C757" s="11"/>
      <c r="D757" s="11"/>
      <c r="E757" s="11"/>
      <c r="F757" s="11"/>
      <c r="G757" s="11"/>
      <c r="J757" s="37"/>
    </row>
    <row r="758">
      <c r="A758" s="100"/>
      <c r="B758" s="11"/>
      <c r="C758" s="11"/>
      <c r="D758" s="11"/>
      <c r="E758" s="11"/>
      <c r="F758" s="11"/>
      <c r="G758" s="11"/>
      <c r="J758" s="37"/>
    </row>
    <row r="759">
      <c r="A759" s="100"/>
      <c r="B759" s="11"/>
      <c r="C759" s="11"/>
      <c r="D759" s="11"/>
      <c r="E759" s="11"/>
      <c r="F759" s="11"/>
      <c r="G759" s="11"/>
      <c r="J759" s="37"/>
    </row>
    <row r="760">
      <c r="A760" s="100"/>
      <c r="B760" s="11"/>
      <c r="C760" s="11"/>
      <c r="D760" s="11"/>
      <c r="E760" s="11"/>
      <c r="F760" s="11"/>
      <c r="G760" s="11"/>
      <c r="J760" s="37"/>
    </row>
    <row r="761">
      <c r="A761" s="100"/>
      <c r="B761" s="11"/>
      <c r="C761" s="11"/>
      <c r="D761" s="11"/>
      <c r="E761" s="11"/>
      <c r="F761" s="11"/>
      <c r="G761" s="11"/>
      <c r="J761" s="37"/>
    </row>
    <row r="762">
      <c r="A762" s="100"/>
      <c r="B762" s="11"/>
      <c r="C762" s="11"/>
      <c r="D762" s="11"/>
      <c r="E762" s="11"/>
      <c r="F762" s="11"/>
      <c r="G762" s="11"/>
      <c r="J762" s="37"/>
    </row>
    <row r="763">
      <c r="A763" s="100"/>
      <c r="B763" s="11"/>
      <c r="C763" s="11"/>
      <c r="D763" s="11"/>
      <c r="E763" s="11"/>
      <c r="F763" s="11"/>
      <c r="G763" s="11"/>
      <c r="J763" s="37"/>
    </row>
    <row r="764">
      <c r="A764" s="100"/>
      <c r="B764" s="11"/>
      <c r="C764" s="11"/>
      <c r="D764" s="11"/>
      <c r="E764" s="11"/>
      <c r="F764" s="11"/>
      <c r="G764" s="11"/>
      <c r="J764" s="37"/>
    </row>
    <row r="765">
      <c r="A765" s="100"/>
      <c r="B765" s="11"/>
      <c r="C765" s="11"/>
      <c r="D765" s="11"/>
      <c r="E765" s="11"/>
      <c r="F765" s="11"/>
      <c r="G765" s="11"/>
      <c r="J765" s="37"/>
    </row>
    <row r="766">
      <c r="A766" s="100"/>
      <c r="B766" s="11"/>
      <c r="C766" s="11"/>
      <c r="D766" s="11"/>
      <c r="E766" s="11"/>
      <c r="F766" s="11"/>
      <c r="G766" s="11"/>
      <c r="J766" s="37"/>
    </row>
    <row r="767">
      <c r="A767" s="100"/>
      <c r="B767" s="11"/>
      <c r="C767" s="11"/>
      <c r="D767" s="11"/>
      <c r="E767" s="11"/>
      <c r="F767" s="11"/>
      <c r="G767" s="11"/>
      <c r="J767" s="37"/>
    </row>
    <row r="768">
      <c r="A768" s="100"/>
      <c r="B768" s="11"/>
      <c r="C768" s="11"/>
      <c r="D768" s="11"/>
      <c r="E768" s="11"/>
      <c r="F768" s="11"/>
      <c r="G768" s="11"/>
      <c r="J768" s="37"/>
    </row>
    <row r="769">
      <c r="A769" s="100"/>
      <c r="B769" s="11"/>
      <c r="C769" s="11"/>
      <c r="D769" s="11"/>
      <c r="E769" s="11"/>
      <c r="F769" s="11"/>
      <c r="G769" s="11"/>
      <c r="J769" s="37"/>
    </row>
    <row r="770">
      <c r="A770" s="100"/>
      <c r="B770" s="11"/>
      <c r="C770" s="11"/>
      <c r="D770" s="11"/>
      <c r="E770" s="11"/>
      <c r="F770" s="11"/>
      <c r="G770" s="11"/>
      <c r="J770" s="37"/>
    </row>
    <row r="771">
      <c r="A771" s="100"/>
      <c r="B771" s="11"/>
      <c r="C771" s="11"/>
      <c r="D771" s="11"/>
      <c r="E771" s="11"/>
      <c r="F771" s="11"/>
      <c r="G771" s="11"/>
      <c r="J771" s="37"/>
    </row>
    <row r="772">
      <c r="A772" s="100"/>
      <c r="B772" s="11"/>
      <c r="C772" s="11"/>
      <c r="D772" s="11"/>
      <c r="E772" s="11"/>
      <c r="F772" s="11"/>
      <c r="G772" s="11"/>
      <c r="J772" s="37"/>
    </row>
    <row r="773">
      <c r="A773" s="100"/>
      <c r="B773" s="11"/>
      <c r="C773" s="11"/>
      <c r="D773" s="11"/>
      <c r="E773" s="11"/>
      <c r="F773" s="11"/>
      <c r="G773" s="11"/>
      <c r="J773" s="37"/>
    </row>
    <row r="774">
      <c r="A774" s="100"/>
      <c r="B774" s="11"/>
      <c r="C774" s="11"/>
      <c r="D774" s="11"/>
      <c r="E774" s="11"/>
      <c r="F774" s="11"/>
      <c r="G774" s="11"/>
      <c r="J774" s="37"/>
    </row>
    <row r="775">
      <c r="A775" s="100"/>
      <c r="B775" s="11"/>
      <c r="C775" s="11"/>
      <c r="D775" s="11"/>
      <c r="E775" s="11"/>
      <c r="F775" s="11"/>
      <c r="G775" s="11"/>
      <c r="J775" s="37"/>
    </row>
    <row r="776">
      <c r="A776" s="100"/>
      <c r="B776" s="11"/>
      <c r="C776" s="11"/>
      <c r="D776" s="11"/>
      <c r="E776" s="11"/>
      <c r="F776" s="11"/>
      <c r="G776" s="11"/>
      <c r="J776" s="37"/>
    </row>
    <row r="777">
      <c r="A777" s="100"/>
      <c r="B777" s="11"/>
      <c r="C777" s="11"/>
      <c r="D777" s="11"/>
      <c r="E777" s="11"/>
      <c r="F777" s="11"/>
      <c r="G777" s="11"/>
      <c r="J777" s="37"/>
    </row>
    <row r="778">
      <c r="A778" s="100"/>
      <c r="B778" s="11"/>
      <c r="C778" s="11"/>
      <c r="D778" s="11"/>
      <c r="E778" s="11"/>
      <c r="F778" s="11"/>
      <c r="G778" s="11"/>
      <c r="J778" s="37"/>
    </row>
    <row r="779">
      <c r="A779" s="100"/>
      <c r="B779" s="11"/>
      <c r="C779" s="11"/>
      <c r="D779" s="11"/>
      <c r="E779" s="11"/>
      <c r="F779" s="11"/>
      <c r="G779" s="11"/>
      <c r="J779" s="37"/>
    </row>
    <row r="780">
      <c r="A780" s="100"/>
      <c r="B780" s="11"/>
      <c r="C780" s="11"/>
      <c r="D780" s="11"/>
      <c r="E780" s="11"/>
      <c r="F780" s="11"/>
      <c r="G780" s="11"/>
      <c r="J780" s="37"/>
    </row>
    <row r="781">
      <c r="A781" s="100"/>
      <c r="B781" s="11"/>
      <c r="C781" s="11"/>
      <c r="D781" s="11"/>
      <c r="E781" s="11"/>
      <c r="F781" s="11"/>
      <c r="G781" s="11"/>
      <c r="J781" s="37"/>
    </row>
    <row r="782">
      <c r="A782" s="100"/>
      <c r="B782" s="11"/>
      <c r="C782" s="11"/>
      <c r="D782" s="11"/>
      <c r="E782" s="11"/>
      <c r="F782" s="11"/>
      <c r="G782" s="11"/>
      <c r="J782" s="37"/>
    </row>
    <row r="783">
      <c r="A783" s="100"/>
      <c r="B783" s="11"/>
      <c r="C783" s="11"/>
      <c r="D783" s="11"/>
      <c r="E783" s="11"/>
      <c r="F783" s="11"/>
      <c r="G783" s="11"/>
      <c r="J783" s="37"/>
    </row>
    <row r="784">
      <c r="A784" s="100"/>
      <c r="B784" s="11"/>
      <c r="C784" s="11"/>
      <c r="D784" s="11"/>
      <c r="E784" s="11"/>
      <c r="F784" s="11"/>
      <c r="G784" s="11"/>
      <c r="J784" s="37"/>
    </row>
    <row r="785">
      <c r="A785" s="100"/>
      <c r="B785" s="11"/>
      <c r="C785" s="11"/>
      <c r="D785" s="11"/>
      <c r="E785" s="11"/>
      <c r="F785" s="11"/>
      <c r="G785" s="11"/>
      <c r="J785" s="37"/>
    </row>
    <row r="786">
      <c r="A786" s="100"/>
      <c r="B786" s="11"/>
      <c r="C786" s="11"/>
      <c r="D786" s="11"/>
      <c r="E786" s="11"/>
      <c r="F786" s="11"/>
      <c r="G786" s="11"/>
      <c r="J786" s="37"/>
    </row>
    <row r="787">
      <c r="A787" s="100"/>
      <c r="B787" s="11"/>
      <c r="C787" s="11"/>
      <c r="D787" s="11"/>
      <c r="E787" s="11"/>
      <c r="F787" s="11"/>
      <c r="G787" s="11"/>
      <c r="J787" s="37"/>
    </row>
    <row r="788">
      <c r="A788" s="100"/>
      <c r="B788" s="11"/>
      <c r="C788" s="11"/>
      <c r="D788" s="11"/>
      <c r="E788" s="11"/>
      <c r="F788" s="11"/>
      <c r="G788" s="11"/>
      <c r="J788" s="37"/>
    </row>
    <row r="789">
      <c r="A789" s="100"/>
      <c r="B789" s="11"/>
      <c r="C789" s="11"/>
      <c r="D789" s="11"/>
      <c r="E789" s="11"/>
      <c r="F789" s="11"/>
      <c r="G789" s="11"/>
      <c r="J789" s="37"/>
    </row>
    <row r="790">
      <c r="A790" s="100"/>
      <c r="B790" s="11"/>
      <c r="C790" s="11"/>
      <c r="D790" s="11"/>
      <c r="E790" s="11"/>
      <c r="F790" s="11"/>
      <c r="G790" s="11"/>
      <c r="J790" s="37"/>
    </row>
    <row r="791">
      <c r="A791" s="100"/>
      <c r="B791" s="11"/>
      <c r="C791" s="11"/>
      <c r="D791" s="11"/>
      <c r="E791" s="11"/>
      <c r="F791" s="11"/>
      <c r="G791" s="11"/>
      <c r="J791" s="37"/>
    </row>
    <row r="792">
      <c r="A792" s="100"/>
      <c r="B792" s="11"/>
      <c r="C792" s="11"/>
      <c r="D792" s="11"/>
      <c r="E792" s="11"/>
      <c r="F792" s="11"/>
      <c r="G792" s="11"/>
      <c r="J792" s="37"/>
    </row>
    <row r="793">
      <c r="A793" s="100"/>
      <c r="B793" s="11"/>
      <c r="C793" s="11"/>
      <c r="D793" s="11"/>
      <c r="E793" s="11"/>
      <c r="F793" s="11"/>
      <c r="G793" s="11"/>
      <c r="J793" s="37"/>
    </row>
    <row r="794">
      <c r="A794" s="100"/>
      <c r="B794" s="11"/>
      <c r="C794" s="11"/>
      <c r="D794" s="11"/>
      <c r="E794" s="11"/>
      <c r="F794" s="11"/>
      <c r="G794" s="11"/>
      <c r="J794" s="37"/>
    </row>
    <row r="795">
      <c r="A795" s="100"/>
      <c r="B795" s="11"/>
      <c r="C795" s="11"/>
      <c r="D795" s="11"/>
      <c r="E795" s="11"/>
      <c r="F795" s="11"/>
      <c r="G795" s="11"/>
      <c r="J795" s="37"/>
    </row>
    <row r="796">
      <c r="A796" s="100"/>
      <c r="B796" s="11"/>
      <c r="C796" s="11"/>
      <c r="D796" s="11"/>
      <c r="E796" s="11"/>
      <c r="F796" s="11"/>
      <c r="G796" s="11"/>
      <c r="J796" s="37"/>
    </row>
    <row r="797">
      <c r="A797" s="100"/>
      <c r="B797" s="11"/>
      <c r="C797" s="11"/>
      <c r="D797" s="11"/>
      <c r="E797" s="11"/>
      <c r="F797" s="11"/>
      <c r="G797" s="11"/>
      <c r="J797" s="37"/>
    </row>
    <row r="798">
      <c r="A798" s="100"/>
      <c r="B798" s="11"/>
      <c r="C798" s="11"/>
      <c r="D798" s="11"/>
      <c r="E798" s="11"/>
      <c r="F798" s="11"/>
      <c r="G798" s="11"/>
      <c r="J798" s="37"/>
    </row>
    <row r="799">
      <c r="A799" s="100"/>
      <c r="B799" s="11"/>
      <c r="C799" s="11"/>
      <c r="D799" s="11"/>
      <c r="E799" s="11"/>
      <c r="F799" s="11"/>
      <c r="G799" s="11"/>
      <c r="J799" s="37"/>
    </row>
    <row r="800">
      <c r="A800" s="100"/>
      <c r="B800" s="11"/>
      <c r="C800" s="11"/>
      <c r="D800" s="11"/>
      <c r="E800" s="11"/>
      <c r="F800" s="11"/>
      <c r="G800" s="11"/>
      <c r="J800" s="37"/>
    </row>
    <row r="801">
      <c r="A801" s="100"/>
      <c r="B801" s="11"/>
      <c r="C801" s="11"/>
      <c r="D801" s="11"/>
      <c r="E801" s="11"/>
      <c r="F801" s="11"/>
      <c r="G801" s="11"/>
      <c r="J801" s="37"/>
    </row>
    <row r="802">
      <c r="A802" s="100"/>
      <c r="B802" s="11"/>
      <c r="C802" s="11"/>
      <c r="D802" s="11"/>
      <c r="E802" s="11"/>
      <c r="F802" s="11"/>
      <c r="G802" s="11"/>
      <c r="J802" s="37"/>
    </row>
    <row r="803">
      <c r="A803" s="100"/>
      <c r="B803" s="11"/>
      <c r="C803" s="11"/>
      <c r="D803" s="11"/>
      <c r="E803" s="11"/>
      <c r="F803" s="11"/>
      <c r="G803" s="11"/>
      <c r="J803" s="37"/>
    </row>
    <row r="804">
      <c r="A804" s="100"/>
      <c r="B804" s="11"/>
      <c r="C804" s="11"/>
      <c r="D804" s="11"/>
      <c r="E804" s="11"/>
      <c r="F804" s="11"/>
      <c r="G804" s="11"/>
      <c r="J804" s="37"/>
    </row>
    <row r="805">
      <c r="A805" s="100"/>
      <c r="B805" s="11"/>
      <c r="C805" s="11"/>
      <c r="D805" s="11"/>
      <c r="E805" s="11"/>
      <c r="F805" s="11"/>
      <c r="G805" s="11"/>
      <c r="J805" s="37"/>
    </row>
    <row r="806">
      <c r="A806" s="100"/>
      <c r="B806" s="11"/>
      <c r="C806" s="11"/>
      <c r="D806" s="11"/>
      <c r="E806" s="11"/>
      <c r="F806" s="11"/>
      <c r="G806" s="11"/>
      <c r="J806" s="37"/>
    </row>
    <row r="807">
      <c r="A807" s="100"/>
      <c r="B807" s="11"/>
      <c r="C807" s="11"/>
      <c r="D807" s="11"/>
      <c r="E807" s="11"/>
      <c r="F807" s="11"/>
      <c r="G807" s="11"/>
      <c r="J807" s="37"/>
    </row>
    <row r="808">
      <c r="A808" s="100"/>
      <c r="B808" s="11"/>
      <c r="C808" s="11"/>
      <c r="D808" s="11"/>
      <c r="E808" s="11"/>
      <c r="F808" s="11"/>
      <c r="G808" s="11"/>
      <c r="J808" s="37"/>
    </row>
    <row r="809">
      <c r="A809" s="100"/>
      <c r="B809" s="11"/>
      <c r="C809" s="11"/>
      <c r="D809" s="11"/>
      <c r="E809" s="11"/>
      <c r="F809" s="11"/>
      <c r="G809" s="11"/>
      <c r="J809" s="37"/>
    </row>
    <row r="810">
      <c r="A810" s="100"/>
      <c r="B810" s="11"/>
      <c r="C810" s="11"/>
      <c r="D810" s="11"/>
      <c r="E810" s="11"/>
      <c r="F810" s="11"/>
      <c r="G810" s="11"/>
      <c r="J810" s="37"/>
    </row>
    <row r="811">
      <c r="A811" s="100"/>
      <c r="B811" s="11"/>
      <c r="C811" s="11"/>
      <c r="D811" s="11"/>
      <c r="E811" s="11"/>
      <c r="F811" s="11"/>
      <c r="G811" s="11"/>
      <c r="J811" s="37"/>
    </row>
    <row r="812">
      <c r="A812" s="100"/>
      <c r="B812" s="11"/>
      <c r="C812" s="11"/>
      <c r="D812" s="11"/>
      <c r="E812" s="11"/>
      <c r="F812" s="11"/>
      <c r="G812" s="11"/>
      <c r="J812" s="37"/>
    </row>
    <row r="813">
      <c r="A813" s="100"/>
      <c r="B813" s="11"/>
      <c r="C813" s="11"/>
      <c r="D813" s="11"/>
      <c r="E813" s="11"/>
      <c r="F813" s="11"/>
      <c r="G813" s="11"/>
      <c r="J813" s="37"/>
    </row>
    <row r="814">
      <c r="A814" s="100"/>
      <c r="B814" s="11"/>
      <c r="C814" s="11"/>
      <c r="D814" s="11"/>
      <c r="E814" s="11"/>
      <c r="F814" s="11"/>
      <c r="G814" s="11"/>
      <c r="J814" s="37"/>
    </row>
    <row r="815">
      <c r="A815" s="100"/>
      <c r="B815" s="11"/>
      <c r="C815" s="11"/>
      <c r="D815" s="11"/>
      <c r="E815" s="11"/>
      <c r="F815" s="11"/>
      <c r="G815" s="11"/>
      <c r="J815" s="37"/>
    </row>
    <row r="816">
      <c r="A816" s="100"/>
      <c r="B816" s="11"/>
      <c r="C816" s="11"/>
      <c r="D816" s="11"/>
      <c r="E816" s="11"/>
      <c r="F816" s="11"/>
      <c r="G816" s="11"/>
      <c r="J816" s="37"/>
    </row>
    <row r="817">
      <c r="A817" s="100"/>
      <c r="B817" s="11"/>
      <c r="C817" s="11"/>
      <c r="D817" s="11"/>
      <c r="E817" s="11"/>
      <c r="F817" s="11"/>
      <c r="G817" s="11"/>
      <c r="J817" s="37"/>
    </row>
    <row r="818">
      <c r="A818" s="100"/>
      <c r="B818" s="11"/>
      <c r="C818" s="11"/>
      <c r="D818" s="11"/>
      <c r="E818" s="11"/>
      <c r="F818" s="11"/>
      <c r="G818" s="11"/>
      <c r="J818" s="37"/>
    </row>
    <row r="819">
      <c r="A819" s="100"/>
      <c r="B819" s="11"/>
      <c r="C819" s="11"/>
      <c r="D819" s="11"/>
      <c r="E819" s="11"/>
      <c r="F819" s="11"/>
      <c r="G819" s="11"/>
      <c r="J819" s="37"/>
    </row>
    <row r="820">
      <c r="A820" s="100"/>
      <c r="B820" s="11"/>
      <c r="C820" s="11"/>
      <c r="D820" s="11"/>
      <c r="E820" s="11"/>
      <c r="F820" s="11"/>
      <c r="G820" s="11"/>
      <c r="J820" s="37"/>
    </row>
    <row r="821">
      <c r="A821" s="100"/>
      <c r="B821" s="11"/>
      <c r="C821" s="11"/>
      <c r="D821" s="11"/>
      <c r="E821" s="11"/>
      <c r="F821" s="11"/>
      <c r="G821" s="11"/>
      <c r="J821" s="37"/>
    </row>
    <row r="822">
      <c r="A822" s="100"/>
      <c r="B822" s="11"/>
      <c r="C822" s="11"/>
      <c r="D822" s="11"/>
      <c r="E822" s="11"/>
      <c r="F822" s="11"/>
      <c r="G822" s="11"/>
      <c r="J822" s="37"/>
    </row>
    <row r="823">
      <c r="A823" s="100"/>
      <c r="B823" s="11"/>
      <c r="C823" s="11"/>
      <c r="D823" s="11"/>
      <c r="E823" s="11"/>
      <c r="F823" s="11"/>
      <c r="G823" s="11"/>
      <c r="J823" s="37"/>
    </row>
    <row r="824">
      <c r="A824" s="100"/>
      <c r="B824" s="11"/>
      <c r="C824" s="11"/>
      <c r="D824" s="11"/>
      <c r="E824" s="11"/>
      <c r="F824" s="11"/>
      <c r="G824" s="11"/>
      <c r="J824" s="37"/>
    </row>
    <row r="825">
      <c r="A825" s="100"/>
      <c r="B825" s="11"/>
      <c r="C825" s="11"/>
      <c r="D825" s="11"/>
      <c r="E825" s="11"/>
      <c r="F825" s="11"/>
      <c r="G825" s="11"/>
      <c r="J825" s="37"/>
    </row>
    <row r="826">
      <c r="A826" s="100"/>
      <c r="B826" s="11"/>
      <c r="C826" s="11"/>
      <c r="D826" s="11"/>
      <c r="E826" s="11"/>
      <c r="F826" s="11"/>
      <c r="G826" s="11"/>
      <c r="J826" s="37"/>
    </row>
    <row r="827">
      <c r="A827" s="100"/>
      <c r="B827" s="11"/>
      <c r="C827" s="11"/>
      <c r="D827" s="11"/>
      <c r="E827" s="11"/>
      <c r="F827" s="11"/>
      <c r="G827" s="11"/>
      <c r="J827" s="37"/>
    </row>
    <row r="828">
      <c r="A828" s="100"/>
      <c r="B828" s="11"/>
      <c r="C828" s="11"/>
      <c r="D828" s="11"/>
      <c r="E828" s="11"/>
      <c r="F828" s="11"/>
      <c r="G828" s="11"/>
      <c r="J828" s="37"/>
    </row>
    <row r="829">
      <c r="A829" s="100"/>
      <c r="B829" s="11"/>
      <c r="C829" s="11"/>
      <c r="D829" s="11"/>
      <c r="E829" s="11"/>
      <c r="F829" s="11"/>
      <c r="G829" s="11"/>
      <c r="J829" s="37"/>
    </row>
    <row r="830">
      <c r="A830" s="100"/>
      <c r="B830" s="11"/>
      <c r="C830" s="11"/>
      <c r="D830" s="11"/>
      <c r="E830" s="11"/>
      <c r="F830" s="11"/>
      <c r="G830" s="11"/>
      <c r="J830" s="37"/>
    </row>
    <row r="831">
      <c r="A831" s="100"/>
      <c r="B831" s="11"/>
      <c r="C831" s="11"/>
      <c r="D831" s="11"/>
      <c r="E831" s="11"/>
      <c r="F831" s="11"/>
      <c r="G831" s="11"/>
      <c r="J831" s="37"/>
    </row>
    <row r="832">
      <c r="A832" s="100"/>
      <c r="B832" s="11"/>
      <c r="C832" s="11"/>
      <c r="D832" s="11"/>
      <c r="E832" s="11"/>
      <c r="F832" s="11"/>
      <c r="G832" s="11"/>
      <c r="J832" s="37"/>
    </row>
    <row r="833">
      <c r="A833" s="100"/>
      <c r="B833" s="11"/>
      <c r="C833" s="11"/>
      <c r="D833" s="11"/>
      <c r="E833" s="11"/>
      <c r="F833" s="11"/>
      <c r="G833" s="11"/>
      <c r="J833" s="37"/>
    </row>
    <row r="834">
      <c r="A834" s="100"/>
      <c r="B834" s="11"/>
      <c r="C834" s="11"/>
      <c r="D834" s="11"/>
      <c r="E834" s="11"/>
      <c r="F834" s="11"/>
      <c r="G834" s="11"/>
      <c r="J834" s="37"/>
    </row>
    <row r="835">
      <c r="A835" s="100"/>
      <c r="B835" s="11"/>
      <c r="C835" s="11"/>
      <c r="D835" s="11"/>
      <c r="E835" s="11"/>
      <c r="F835" s="11"/>
      <c r="G835" s="11"/>
      <c r="J835" s="37"/>
    </row>
    <row r="836">
      <c r="A836" s="100"/>
      <c r="B836" s="11"/>
      <c r="C836" s="11"/>
      <c r="D836" s="11"/>
      <c r="E836" s="11"/>
      <c r="F836" s="11"/>
      <c r="G836" s="11"/>
      <c r="J836" s="37"/>
    </row>
    <row r="837">
      <c r="A837" s="100"/>
      <c r="B837" s="11"/>
      <c r="C837" s="11"/>
      <c r="D837" s="11"/>
      <c r="E837" s="11"/>
      <c r="F837" s="11"/>
      <c r="G837" s="11"/>
      <c r="J837" s="37"/>
    </row>
    <row r="838">
      <c r="A838" s="100"/>
      <c r="B838" s="11"/>
      <c r="C838" s="11"/>
      <c r="D838" s="11"/>
      <c r="E838" s="11"/>
      <c r="F838" s="11"/>
      <c r="G838" s="11"/>
      <c r="J838" s="37"/>
    </row>
    <row r="839">
      <c r="A839" s="100"/>
      <c r="B839" s="11"/>
      <c r="C839" s="11"/>
      <c r="D839" s="11"/>
      <c r="E839" s="11"/>
      <c r="F839" s="11"/>
      <c r="G839" s="11"/>
      <c r="J839" s="37"/>
    </row>
    <row r="840">
      <c r="A840" s="100"/>
      <c r="B840" s="11"/>
      <c r="C840" s="11"/>
      <c r="D840" s="11"/>
      <c r="E840" s="11"/>
      <c r="F840" s="11"/>
      <c r="G840" s="11"/>
      <c r="J840" s="37"/>
    </row>
    <row r="841">
      <c r="A841" s="100"/>
      <c r="B841" s="11"/>
      <c r="C841" s="11"/>
      <c r="D841" s="11"/>
      <c r="E841" s="11"/>
      <c r="F841" s="11"/>
      <c r="G841" s="11"/>
      <c r="J841" s="37"/>
    </row>
    <row r="842">
      <c r="A842" s="100"/>
      <c r="B842" s="11"/>
      <c r="C842" s="11"/>
      <c r="D842" s="11"/>
      <c r="E842" s="11"/>
      <c r="F842" s="11"/>
      <c r="G842" s="11"/>
      <c r="J842" s="37"/>
    </row>
    <row r="843">
      <c r="A843" s="100"/>
      <c r="B843" s="11"/>
      <c r="C843" s="11"/>
      <c r="D843" s="11"/>
      <c r="E843" s="11"/>
      <c r="F843" s="11"/>
      <c r="G843" s="11"/>
      <c r="J843" s="37"/>
    </row>
    <row r="844">
      <c r="A844" s="100"/>
      <c r="B844" s="11"/>
      <c r="C844" s="11"/>
      <c r="D844" s="11"/>
      <c r="E844" s="11"/>
      <c r="F844" s="11"/>
      <c r="G844" s="11"/>
      <c r="J844" s="37"/>
    </row>
    <row r="845">
      <c r="A845" s="100"/>
      <c r="B845" s="11"/>
      <c r="C845" s="11"/>
      <c r="D845" s="11"/>
      <c r="E845" s="11"/>
      <c r="F845" s="11"/>
      <c r="G845" s="11"/>
      <c r="J845" s="37"/>
    </row>
    <row r="846">
      <c r="A846" s="100"/>
      <c r="B846" s="11"/>
      <c r="C846" s="11"/>
      <c r="D846" s="11"/>
      <c r="E846" s="11"/>
      <c r="F846" s="11"/>
      <c r="G846" s="11"/>
      <c r="J846" s="37"/>
    </row>
    <row r="847">
      <c r="A847" s="100"/>
      <c r="B847" s="11"/>
      <c r="C847" s="11"/>
      <c r="D847" s="11"/>
      <c r="E847" s="11"/>
      <c r="F847" s="11"/>
      <c r="G847" s="11"/>
      <c r="J847" s="37"/>
    </row>
    <row r="848">
      <c r="A848" s="100"/>
      <c r="B848" s="11"/>
      <c r="C848" s="11"/>
      <c r="D848" s="11"/>
      <c r="E848" s="11"/>
      <c r="F848" s="11"/>
      <c r="G848" s="11"/>
      <c r="J848" s="37"/>
    </row>
    <row r="849">
      <c r="A849" s="100"/>
      <c r="B849" s="11"/>
      <c r="C849" s="11"/>
      <c r="D849" s="11"/>
      <c r="E849" s="11"/>
      <c r="F849" s="11"/>
      <c r="G849" s="11"/>
      <c r="J849" s="37"/>
    </row>
    <row r="850">
      <c r="A850" s="100"/>
      <c r="B850" s="11"/>
      <c r="C850" s="11"/>
      <c r="D850" s="11"/>
      <c r="E850" s="11"/>
      <c r="F850" s="11"/>
      <c r="G850" s="11"/>
      <c r="J850" s="37"/>
    </row>
    <row r="851">
      <c r="A851" s="100"/>
      <c r="B851" s="11"/>
      <c r="C851" s="11"/>
      <c r="D851" s="11"/>
      <c r="E851" s="11"/>
      <c r="F851" s="11"/>
      <c r="G851" s="11"/>
      <c r="J851" s="37"/>
    </row>
    <row r="852">
      <c r="A852" s="100"/>
      <c r="B852" s="11"/>
      <c r="C852" s="11"/>
      <c r="D852" s="11"/>
      <c r="E852" s="11"/>
      <c r="F852" s="11"/>
      <c r="G852" s="11"/>
      <c r="J852" s="37"/>
    </row>
    <row r="853">
      <c r="A853" s="100"/>
      <c r="B853" s="11"/>
      <c r="C853" s="11"/>
      <c r="D853" s="11"/>
      <c r="E853" s="11"/>
      <c r="F853" s="11"/>
      <c r="G853" s="11"/>
      <c r="J853" s="37"/>
    </row>
    <row r="854">
      <c r="A854" s="100"/>
      <c r="B854" s="11"/>
      <c r="C854" s="11"/>
      <c r="D854" s="11"/>
      <c r="E854" s="11"/>
      <c r="F854" s="11"/>
      <c r="G854" s="11"/>
      <c r="J854" s="37"/>
    </row>
    <row r="855">
      <c r="A855" s="100"/>
      <c r="B855" s="11"/>
      <c r="C855" s="11"/>
      <c r="D855" s="11"/>
      <c r="E855" s="11"/>
      <c r="F855" s="11"/>
      <c r="G855" s="11"/>
      <c r="J855" s="37"/>
    </row>
    <row r="856">
      <c r="A856" s="100"/>
      <c r="B856" s="11"/>
      <c r="C856" s="11"/>
      <c r="D856" s="11"/>
      <c r="E856" s="11"/>
      <c r="F856" s="11"/>
      <c r="G856" s="11"/>
      <c r="J856" s="37"/>
    </row>
    <row r="857">
      <c r="A857" s="100"/>
      <c r="B857" s="11"/>
      <c r="C857" s="11"/>
      <c r="D857" s="11"/>
      <c r="E857" s="11"/>
      <c r="F857" s="11"/>
      <c r="G857" s="11"/>
      <c r="J857" s="37"/>
    </row>
    <row r="858">
      <c r="A858" s="100"/>
      <c r="B858" s="11"/>
      <c r="C858" s="11"/>
      <c r="D858" s="11"/>
      <c r="E858" s="11"/>
      <c r="F858" s="11"/>
      <c r="G858" s="11"/>
      <c r="J858" s="37"/>
    </row>
    <row r="859">
      <c r="A859" s="100"/>
      <c r="B859" s="11"/>
      <c r="C859" s="11"/>
      <c r="D859" s="11"/>
      <c r="E859" s="11"/>
      <c r="F859" s="11"/>
      <c r="G859" s="11"/>
      <c r="J859" s="37"/>
    </row>
    <row r="860">
      <c r="A860" s="100"/>
      <c r="B860" s="11"/>
      <c r="C860" s="11"/>
      <c r="D860" s="11"/>
      <c r="E860" s="11"/>
      <c r="F860" s="11"/>
      <c r="G860" s="11"/>
      <c r="J860" s="37"/>
    </row>
    <row r="861">
      <c r="A861" s="100"/>
      <c r="B861" s="11"/>
      <c r="C861" s="11"/>
      <c r="D861" s="11"/>
      <c r="E861" s="11"/>
      <c r="F861" s="11"/>
      <c r="G861" s="11"/>
      <c r="J861" s="37"/>
    </row>
    <row r="862">
      <c r="A862" s="100"/>
      <c r="B862" s="11"/>
      <c r="C862" s="11"/>
      <c r="D862" s="11"/>
      <c r="E862" s="11"/>
      <c r="F862" s="11"/>
      <c r="G862" s="11"/>
      <c r="J862" s="37"/>
    </row>
    <row r="863">
      <c r="A863" s="100"/>
      <c r="B863" s="11"/>
      <c r="C863" s="11"/>
      <c r="D863" s="11"/>
      <c r="E863" s="11"/>
      <c r="F863" s="11"/>
      <c r="G863" s="11"/>
      <c r="J863" s="37"/>
    </row>
    <row r="864">
      <c r="A864" s="100"/>
      <c r="B864" s="11"/>
      <c r="C864" s="11"/>
      <c r="D864" s="11"/>
      <c r="E864" s="11"/>
      <c r="F864" s="11"/>
      <c r="G864" s="11"/>
      <c r="J864" s="37"/>
    </row>
    <row r="865">
      <c r="A865" s="100"/>
      <c r="B865" s="11"/>
      <c r="C865" s="11"/>
      <c r="D865" s="11"/>
      <c r="E865" s="11"/>
      <c r="F865" s="11"/>
      <c r="G865" s="11"/>
      <c r="J865" s="37"/>
    </row>
    <row r="866">
      <c r="A866" s="100"/>
      <c r="B866" s="11"/>
      <c r="C866" s="11"/>
      <c r="D866" s="11"/>
      <c r="E866" s="11"/>
      <c r="F866" s="11"/>
      <c r="G866" s="11"/>
      <c r="J866" s="37"/>
    </row>
    <row r="867">
      <c r="A867" s="100"/>
      <c r="B867" s="11"/>
      <c r="C867" s="11"/>
      <c r="D867" s="11"/>
      <c r="E867" s="11"/>
      <c r="F867" s="11"/>
      <c r="G867" s="11"/>
      <c r="J867" s="37"/>
    </row>
    <row r="868">
      <c r="A868" s="100"/>
      <c r="B868" s="11"/>
      <c r="C868" s="11"/>
      <c r="D868" s="11"/>
      <c r="E868" s="11"/>
      <c r="F868" s="11"/>
      <c r="G868" s="11"/>
      <c r="J868" s="37"/>
    </row>
    <row r="869">
      <c r="A869" s="100"/>
      <c r="B869" s="11"/>
      <c r="C869" s="11"/>
      <c r="D869" s="11"/>
      <c r="E869" s="11"/>
      <c r="F869" s="11"/>
      <c r="G869" s="11"/>
      <c r="J869" s="37"/>
    </row>
    <row r="870">
      <c r="A870" s="100"/>
      <c r="B870" s="11"/>
      <c r="C870" s="11"/>
      <c r="D870" s="11"/>
      <c r="E870" s="11"/>
      <c r="F870" s="11"/>
      <c r="G870" s="11"/>
      <c r="J870" s="37"/>
    </row>
    <row r="871">
      <c r="A871" s="100"/>
      <c r="B871" s="11"/>
      <c r="C871" s="11"/>
      <c r="D871" s="11"/>
      <c r="E871" s="11"/>
      <c r="F871" s="11"/>
      <c r="G871" s="11"/>
      <c r="J871" s="37"/>
    </row>
    <row r="872">
      <c r="A872" s="100"/>
      <c r="B872" s="11"/>
      <c r="C872" s="11"/>
      <c r="D872" s="11"/>
      <c r="E872" s="11"/>
      <c r="F872" s="11"/>
      <c r="G872" s="11"/>
      <c r="J872" s="37"/>
    </row>
    <row r="873">
      <c r="A873" s="100"/>
      <c r="B873" s="11"/>
      <c r="C873" s="11"/>
      <c r="D873" s="11"/>
      <c r="E873" s="11"/>
      <c r="F873" s="11"/>
      <c r="G873" s="11"/>
      <c r="J873" s="37"/>
    </row>
    <row r="874">
      <c r="A874" s="100"/>
      <c r="B874" s="11"/>
      <c r="C874" s="11"/>
      <c r="D874" s="11"/>
      <c r="E874" s="11"/>
      <c r="F874" s="11"/>
      <c r="G874" s="11"/>
      <c r="J874" s="37"/>
    </row>
    <row r="875">
      <c r="A875" s="100"/>
      <c r="B875" s="11"/>
      <c r="C875" s="11"/>
      <c r="D875" s="11"/>
      <c r="E875" s="11"/>
      <c r="F875" s="11"/>
      <c r="G875" s="11"/>
      <c r="J875" s="37"/>
    </row>
    <row r="876">
      <c r="A876" s="100"/>
      <c r="B876" s="11"/>
      <c r="C876" s="11"/>
      <c r="D876" s="11"/>
      <c r="E876" s="11"/>
      <c r="F876" s="11"/>
      <c r="G876" s="11"/>
      <c r="J876" s="37"/>
    </row>
    <row r="877">
      <c r="A877" s="100"/>
      <c r="B877" s="11"/>
      <c r="C877" s="11"/>
      <c r="D877" s="11"/>
      <c r="E877" s="11"/>
      <c r="F877" s="11"/>
      <c r="G877" s="11"/>
      <c r="J877" s="37"/>
    </row>
    <row r="878">
      <c r="A878" s="100"/>
      <c r="B878" s="11"/>
      <c r="C878" s="11"/>
      <c r="D878" s="11"/>
      <c r="E878" s="11"/>
      <c r="F878" s="11"/>
      <c r="G878" s="11"/>
      <c r="J878" s="37"/>
    </row>
    <row r="879">
      <c r="A879" s="100"/>
      <c r="B879" s="11"/>
      <c r="C879" s="11"/>
      <c r="D879" s="11"/>
      <c r="E879" s="11"/>
      <c r="F879" s="11"/>
      <c r="G879" s="11"/>
      <c r="J879" s="37"/>
    </row>
    <row r="880">
      <c r="A880" s="100"/>
      <c r="B880" s="11"/>
      <c r="C880" s="11"/>
      <c r="D880" s="11"/>
      <c r="E880" s="11"/>
      <c r="F880" s="11"/>
      <c r="G880" s="11"/>
      <c r="J880" s="37"/>
    </row>
    <row r="881">
      <c r="A881" s="100"/>
      <c r="B881" s="11"/>
      <c r="C881" s="11"/>
      <c r="D881" s="11"/>
      <c r="E881" s="11"/>
      <c r="F881" s="11"/>
      <c r="G881" s="11"/>
      <c r="J881" s="37"/>
    </row>
    <row r="882">
      <c r="A882" s="100"/>
      <c r="B882" s="11"/>
      <c r="C882" s="11"/>
      <c r="D882" s="11"/>
      <c r="E882" s="11"/>
      <c r="F882" s="11"/>
      <c r="G882" s="11"/>
      <c r="J882" s="37"/>
    </row>
    <row r="883">
      <c r="A883" s="100"/>
      <c r="B883" s="11"/>
      <c r="C883" s="11"/>
      <c r="D883" s="11"/>
      <c r="E883" s="11"/>
      <c r="F883" s="11"/>
      <c r="G883" s="11"/>
      <c r="J883" s="37"/>
    </row>
    <row r="884">
      <c r="A884" s="100"/>
      <c r="B884" s="11"/>
      <c r="C884" s="11"/>
      <c r="D884" s="11"/>
      <c r="E884" s="11"/>
      <c r="F884" s="11"/>
      <c r="G884" s="11"/>
      <c r="J884" s="37"/>
    </row>
    <row r="885">
      <c r="A885" s="100"/>
      <c r="B885" s="11"/>
      <c r="C885" s="11"/>
      <c r="D885" s="11"/>
      <c r="E885" s="11"/>
      <c r="F885" s="11"/>
      <c r="G885" s="11"/>
      <c r="J885" s="37"/>
    </row>
    <row r="886">
      <c r="A886" s="100"/>
      <c r="B886" s="11"/>
      <c r="C886" s="11"/>
      <c r="D886" s="11"/>
      <c r="E886" s="11"/>
      <c r="F886" s="11"/>
      <c r="G886" s="11"/>
      <c r="J886" s="37"/>
    </row>
    <row r="887">
      <c r="A887" s="100"/>
      <c r="B887" s="11"/>
      <c r="C887" s="11"/>
      <c r="D887" s="11"/>
      <c r="E887" s="11"/>
      <c r="F887" s="11"/>
      <c r="G887" s="11"/>
      <c r="J887" s="37"/>
    </row>
    <row r="888">
      <c r="A888" s="100"/>
      <c r="B888" s="11"/>
      <c r="C888" s="11"/>
      <c r="D888" s="11"/>
      <c r="E888" s="11"/>
      <c r="F888" s="11"/>
      <c r="G888" s="11"/>
      <c r="J888" s="37"/>
    </row>
    <row r="889">
      <c r="A889" s="100"/>
      <c r="B889" s="11"/>
      <c r="C889" s="11"/>
      <c r="D889" s="11"/>
      <c r="E889" s="11"/>
      <c r="F889" s="11"/>
      <c r="G889" s="11"/>
      <c r="J889" s="37"/>
    </row>
    <row r="890">
      <c r="A890" s="100"/>
      <c r="B890" s="11"/>
      <c r="C890" s="11"/>
      <c r="D890" s="11"/>
      <c r="E890" s="11"/>
      <c r="F890" s="11"/>
      <c r="G890" s="11"/>
      <c r="J890" s="37"/>
    </row>
    <row r="891">
      <c r="A891" s="100"/>
      <c r="B891" s="11"/>
      <c r="C891" s="11"/>
      <c r="D891" s="11"/>
      <c r="E891" s="11"/>
      <c r="F891" s="11"/>
      <c r="G891" s="11"/>
      <c r="J891" s="37"/>
    </row>
    <row r="892">
      <c r="A892" s="100"/>
      <c r="B892" s="11"/>
      <c r="C892" s="11"/>
      <c r="D892" s="11"/>
      <c r="E892" s="11"/>
      <c r="F892" s="11"/>
      <c r="G892" s="11"/>
      <c r="J892" s="37"/>
    </row>
    <row r="893">
      <c r="A893" s="100"/>
      <c r="B893" s="11"/>
      <c r="C893" s="11"/>
      <c r="D893" s="11"/>
      <c r="E893" s="11"/>
      <c r="F893" s="11"/>
      <c r="G893" s="11"/>
      <c r="J893" s="37"/>
    </row>
    <row r="894">
      <c r="A894" s="100"/>
      <c r="B894" s="11"/>
      <c r="C894" s="11"/>
      <c r="D894" s="11"/>
      <c r="E894" s="11"/>
      <c r="F894" s="11"/>
      <c r="G894" s="11"/>
      <c r="J894" s="37"/>
    </row>
    <row r="895">
      <c r="A895" s="100"/>
      <c r="B895" s="11"/>
      <c r="C895" s="11"/>
      <c r="D895" s="11"/>
      <c r="E895" s="11"/>
      <c r="F895" s="11"/>
      <c r="G895" s="11"/>
      <c r="J895" s="37"/>
    </row>
    <row r="896">
      <c r="A896" s="100"/>
      <c r="B896" s="11"/>
      <c r="C896" s="11"/>
      <c r="D896" s="11"/>
      <c r="E896" s="11"/>
      <c r="F896" s="11"/>
      <c r="G896" s="11"/>
      <c r="J896" s="37"/>
    </row>
    <row r="897">
      <c r="A897" s="100"/>
      <c r="B897" s="11"/>
      <c r="C897" s="11"/>
      <c r="D897" s="11"/>
      <c r="E897" s="11"/>
      <c r="F897" s="11"/>
      <c r="G897" s="11"/>
      <c r="J897" s="37"/>
    </row>
    <row r="898">
      <c r="A898" s="100"/>
      <c r="B898" s="11"/>
      <c r="C898" s="11"/>
      <c r="D898" s="11"/>
      <c r="E898" s="11"/>
      <c r="F898" s="11"/>
      <c r="G898" s="11"/>
      <c r="J898" s="37"/>
    </row>
    <row r="899">
      <c r="A899" s="100"/>
      <c r="B899" s="11"/>
      <c r="C899" s="11"/>
      <c r="D899" s="11"/>
      <c r="E899" s="11"/>
      <c r="F899" s="11"/>
      <c r="G899" s="11"/>
      <c r="J899" s="37"/>
    </row>
    <row r="900">
      <c r="A900" s="100"/>
      <c r="B900" s="11"/>
      <c r="C900" s="11"/>
      <c r="D900" s="11"/>
      <c r="E900" s="11"/>
      <c r="F900" s="11"/>
      <c r="G900" s="11"/>
      <c r="J900" s="37"/>
    </row>
    <row r="901">
      <c r="A901" s="100"/>
      <c r="B901" s="11"/>
      <c r="C901" s="11"/>
      <c r="D901" s="11"/>
      <c r="E901" s="11"/>
      <c r="F901" s="11"/>
      <c r="G901" s="11"/>
      <c r="J901" s="37"/>
    </row>
    <row r="902">
      <c r="A902" s="100"/>
      <c r="B902" s="11"/>
      <c r="C902" s="11"/>
      <c r="D902" s="11"/>
      <c r="E902" s="11"/>
      <c r="F902" s="11"/>
      <c r="G902" s="11"/>
      <c r="J902" s="37"/>
    </row>
    <row r="903">
      <c r="A903" s="100"/>
      <c r="B903" s="11"/>
      <c r="C903" s="11"/>
      <c r="D903" s="11"/>
      <c r="E903" s="11"/>
      <c r="F903" s="11"/>
      <c r="G903" s="11"/>
      <c r="J903" s="37"/>
    </row>
    <row r="904">
      <c r="A904" s="100"/>
      <c r="B904" s="11"/>
      <c r="C904" s="11"/>
      <c r="D904" s="11"/>
      <c r="E904" s="11"/>
      <c r="F904" s="11"/>
      <c r="G904" s="11"/>
      <c r="J904" s="37"/>
    </row>
    <row r="905">
      <c r="A905" s="100"/>
      <c r="B905" s="11"/>
      <c r="C905" s="11"/>
      <c r="D905" s="11"/>
      <c r="E905" s="11"/>
      <c r="F905" s="11"/>
      <c r="G905" s="11"/>
      <c r="J905" s="37"/>
    </row>
    <row r="906">
      <c r="A906" s="100"/>
      <c r="B906" s="11"/>
      <c r="C906" s="11"/>
      <c r="D906" s="11"/>
      <c r="E906" s="11"/>
      <c r="F906" s="11"/>
      <c r="G906" s="11"/>
      <c r="J906" s="37"/>
    </row>
    <row r="907">
      <c r="A907" s="100"/>
      <c r="B907" s="11"/>
      <c r="C907" s="11"/>
      <c r="D907" s="11"/>
      <c r="E907" s="11"/>
      <c r="F907" s="11"/>
      <c r="G907" s="11"/>
      <c r="J907" s="37"/>
    </row>
    <row r="908">
      <c r="A908" s="100"/>
      <c r="B908" s="11"/>
      <c r="C908" s="11"/>
      <c r="D908" s="11"/>
      <c r="E908" s="11"/>
      <c r="F908" s="11"/>
      <c r="G908" s="11"/>
      <c r="J908" s="37"/>
    </row>
    <row r="909">
      <c r="A909" s="100"/>
      <c r="B909" s="11"/>
      <c r="C909" s="11"/>
      <c r="D909" s="11"/>
      <c r="E909" s="11"/>
      <c r="F909" s="11"/>
      <c r="G909" s="11"/>
      <c r="J909" s="37"/>
    </row>
    <row r="910">
      <c r="A910" s="100"/>
      <c r="B910" s="11"/>
      <c r="C910" s="11"/>
      <c r="D910" s="11"/>
      <c r="E910" s="11"/>
      <c r="F910" s="11"/>
      <c r="G910" s="11"/>
      <c r="J910" s="37"/>
    </row>
    <row r="911">
      <c r="A911" s="100"/>
      <c r="B911" s="11"/>
      <c r="C911" s="11"/>
      <c r="D911" s="11"/>
      <c r="E911" s="11"/>
      <c r="F911" s="11"/>
      <c r="G911" s="11"/>
      <c r="J911" s="37"/>
    </row>
    <row r="912">
      <c r="A912" s="100"/>
      <c r="B912" s="11"/>
      <c r="C912" s="11"/>
      <c r="D912" s="11"/>
      <c r="E912" s="11"/>
      <c r="F912" s="11"/>
      <c r="G912" s="11"/>
      <c r="J912" s="37"/>
    </row>
    <row r="913">
      <c r="A913" s="100"/>
      <c r="B913" s="11"/>
      <c r="C913" s="11"/>
      <c r="D913" s="11"/>
      <c r="E913" s="11"/>
      <c r="F913" s="11"/>
      <c r="G913" s="11"/>
      <c r="J913" s="37"/>
    </row>
    <row r="914">
      <c r="A914" s="100"/>
      <c r="B914" s="11"/>
      <c r="C914" s="11"/>
      <c r="D914" s="11"/>
      <c r="E914" s="11"/>
      <c r="F914" s="11"/>
      <c r="G914" s="11"/>
      <c r="J914" s="37"/>
    </row>
    <row r="915">
      <c r="A915" s="100"/>
      <c r="B915" s="11"/>
      <c r="C915" s="11"/>
      <c r="D915" s="11"/>
      <c r="E915" s="11"/>
      <c r="F915" s="11"/>
      <c r="G915" s="11"/>
      <c r="J915" s="37"/>
    </row>
    <row r="916">
      <c r="A916" s="100"/>
      <c r="B916" s="11"/>
      <c r="C916" s="11"/>
      <c r="D916" s="11"/>
      <c r="E916" s="11"/>
      <c r="F916" s="11"/>
      <c r="G916" s="11"/>
      <c r="J916" s="37"/>
    </row>
    <row r="917">
      <c r="A917" s="100"/>
      <c r="B917" s="11"/>
      <c r="C917" s="11"/>
      <c r="D917" s="11"/>
      <c r="E917" s="11"/>
      <c r="F917" s="11"/>
      <c r="G917" s="11"/>
      <c r="J917" s="37"/>
    </row>
    <row r="918">
      <c r="A918" s="100"/>
      <c r="B918" s="11"/>
      <c r="C918" s="11"/>
      <c r="D918" s="11"/>
      <c r="E918" s="11"/>
      <c r="F918" s="11"/>
      <c r="G918" s="11"/>
      <c r="J918" s="37"/>
    </row>
    <row r="919">
      <c r="A919" s="100"/>
      <c r="B919" s="11"/>
      <c r="C919" s="11"/>
      <c r="D919" s="11"/>
      <c r="E919" s="11"/>
      <c r="F919" s="11"/>
      <c r="G919" s="11"/>
      <c r="J919" s="37"/>
    </row>
    <row r="920">
      <c r="A920" s="100"/>
      <c r="B920" s="11"/>
      <c r="C920" s="11"/>
      <c r="D920" s="11"/>
      <c r="E920" s="11"/>
      <c r="F920" s="11"/>
      <c r="G920" s="11"/>
      <c r="J920" s="37"/>
    </row>
    <row r="921">
      <c r="A921" s="100"/>
      <c r="B921" s="11"/>
      <c r="C921" s="11"/>
      <c r="D921" s="11"/>
      <c r="E921" s="11"/>
      <c r="F921" s="11"/>
      <c r="G921" s="11"/>
      <c r="J921" s="37"/>
    </row>
    <row r="922">
      <c r="A922" s="100"/>
      <c r="B922" s="11"/>
      <c r="C922" s="11"/>
      <c r="D922" s="11"/>
      <c r="E922" s="11"/>
      <c r="F922" s="11"/>
      <c r="G922" s="11"/>
      <c r="J922" s="37"/>
    </row>
    <row r="923">
      <c r="A923" s="100"/>
      <c r="B923" s="11"/>
      <c r="C923" s="11"/>
      <c r="D923" s="11"/>
      <c r="E923" s="11"/>
      <c r="F923" s="11"/>
      <c r="G923" s="11"/>
      <c r="J923" s="37"/>
    </row>
    <row r="924">
      <c r="A924" s="100"/>
      <c r="B924" s="11"/>
      <c r="C924" s="11"/>
      <c r="D924" s="11"/>
      <c r="E924" s="11"/>
      <c r="F924" s="11"/>
      <c r="G924" s="11"/>
      <c r="J924" s="37"/>
    </row>
    <row r="925">
      <c r="A925" s="100"/>
      <c r="B925" s="11"/>
      <c r="C925" s="11"/>
      <c r="D925" s="11"/>
      <c r="E925" s="11"/>
      <c r="F925" s="11"/>
      <c r="G925" s="11"/>
      <c r="J925" s="37"/>
    </row>
    <row r="926">
      <c r="A926" s="100"/>
      <c r="B926" s="11"/>
      <c r="C926" s="11"/>
      <c r="D926" s="11"/>
      <c r="E926" s="11"/>
      <c r="F926" s="11"/>
      <c r="G926" s="11"/>
      <c r="J926" s="37"/>
    </row>
    <row r="927">
      <c r="A927" s="100"/>
      <c r="B927" s="11"/>
      <c r="C927" s="11"/>
      <c r="D927" s="11"/>
      <c r="E927" s="11"/>
      <c r="F927" s="11"/>
      <c r="G927" s="11"/>
      <c r="J927" s="37"/>
    </row>
    <row r="928">
      <c r="A928" s="100"/>
      <c r="B928" s="11"/>
      <c r="C928" s="11"/>
      <c r="D928" s="11"/>
      <c r="E928" s="11"/>
      <c r="F928" s="11"/>
      <c r="G928" s="11"/>
      <c r="J928" s="37"/>
    </row>
    <row r="929">
      <c r="A929" s="100"/>
      <c r="B929" s="11"/>
      <c r="C929" s="11"/>
      <c r="D929" s="11"/>
      <c r="E929" s="11"/>
      <c r="F929" s="11"/>
      <c r="G929" s="11"/>
      <c r="J929" s="37"/>
    </row>
    <row r="930">
      <c r="A930" s="100"/>
      <c r="B930" s="11"/>
      <c r="C930" s="11"/>
      <c r="D930" s="11"/>
      <c r="E930" s="11"/>
      <c r="F930" s="11"/>
      <c r="G930" s="11"/>
      <c r="J930" s="37"/>
    </row>
    <row r="931">
      <c r="A931" s="100"/>
      <c r="B931" s="11"/>
      <c r="C931" s="11"/>
      <c r="D931" s="11"/>
      <c r="E931" s="11"/>
      <c r="F931" s="11"/>
      <c r="G931" s="11"/>
      <c r="J931" s="37"/>
    </row>
    <row r="932">
      <c r="A932" s="100"/>
      <c r="B932" s="11"/>
      <c r="C932" s="11"/>
      <c r="D932" s="11"/>
      <c r="E932" s="11"/>
      <c r="F932" s="11"/>
      <c r="G932" s="11"/>
      <c r="J932" s="37"/>
    </row>
    <row r="933">
      <c r="A933" s="100"/>
      <c r="B933" s="11"/>
      <c r="C933" s="11"/>
      <c r="D933" s="11"/>
      <c r="E933" s="11"/>
      <c r="F933" s="11"/>
      <c r="G933" s="11"/>
      <c r="J933" s="37"/>
    </row>
    <row r="934">
      <c r="A934" s="100"/>
      <c r="B934" s="11"/>
      <c r="C934" s="11"/>
      <c r="D934" s="11"/>
      <c r="E934" s="11"/>
      <c r="F934" s="11"/>
      <c r="G934" s="11"/>
      <c r="J934" s="37"/>
    </row>
    <row r="935">
      <c r="A935" s="100"/>
      <c r="B935" s="11"/>
      <c r="C935" s="11"/>
      <c r="D935" s="11"/>
      <c r="E935" s="11"/>
      <c r="F935" s="11"/>
      <c r="G935" s="11"/>
      <c r="J935" s="37"/>
    </row>
    <row r="936">
      <c r="A936" s="100"/>
      <c r="B936" s="11"/>
      <c r="C936" s="11"/>
      <c r="D936" s="11"/>
      <c r="E936" s="11"/>
      <c r="F936" s="11"/>
      <c r="G936" s="11"/>
      <c r="J936" s="37"/>
    </row>
    <row r="937">
      <c r="A937" s="100"/>
      <c r="B937" s="11"/>
      <c r="C937" s="11"/>
      <c r="D937" s="11"/>
      <c r="E937" s="11"/>
      <c r="F937" s="11"/>
      <c r="G937" s="11"/>
      <c r="J937" s="37"/>
    </row>
    <row r="938">
      <c r="A938" s="100"/>
      <c r="B938" s="11"/>
      <c r="C938" s="11"/>
      <c r="D938" s="11"/>
      <c r="E938" s="11"/>
      <c r="F938" s="11"/>
      <c r="G938" s="11"/>
      <c r="J938" s="37"/>
    </row>
    <row r="939">
      <c r="A939" s="100"/>
      <c r="B939" s="11"/>
      <c r="C939" s="11"/>
      <c r="D939" s="11"/>
      <c r="E939" s="11"/>
      <c r="F939" s="11"/>
      <c r="G939" s="11"/>
      <c r="J939" s="37"/>
    </row>
    <row r="940">
      <c r="A940" s="100"/>
      <c r="B940" s="11"/>
      <c r="C940" s="11"/>
      <c r="D940" s="11"/>
      <c r="E940" s="11"/>
      <c r="F940" s="11"/>
      <c r="G940" s="11"/>
      <c r="J940" s="37"/>
    </row>
    <row r="941">
      <c r="A941" s="100"/>
      <c r="B941" s="11"/>
      <c r="C941" s="11"/>
      <c r="D941" s="11"/>
      <c r="E941" s="11"/>
      <c r="F941" s="11"/>
      <c r="G941" s="11"/>
      <c r="J941" s="37"/>
    </row>
    <row r="942">
      <c r="A942" s="100"/>
      <c r="B942" s="11"/>
      <c r="C942" s="11"/>
      <c r="D942" s="11"/>
      <c r="E942" s="11"/>
      <c r="F942" s="11"/>
      <c r="G942" s="11"/>
      <c r="J942" s="37"/>
    </row>
    <row r="943">
      <c r="A943" s="100"/>
      <c r="B943" s="11"/>
      <c r="C943" s="11"/>
      <c r="D943" s="11"/>
      <c r="E943" s="11"/>
      <c r="F943" s="11"/>
      <c r="G943" s="11"/>
      <c r="J943" s="37"/>
    </row>
    <row r="944">
      <c r="A944" s="100"/>
      <c r="B944" s="11"/>
      <c r="C944" s="11"/>
      <c r="D944" s="11"/>
      <c r="E944" s="11"/>
      <c r="F944" s="11"/>
      <c r="G944" s="11"/>
      <c r="J944" s="37"/>
    </row>
    <row r="945">
      <c r="A945" s="100"/>
      <c r="B945" s="11"/>
      <c r="C945" s="11"/>
      <c r="D945" s="11"/>
      <c r="E945" s="11"/>
      <c r="F945" s="11"/>
      <c r="G945" s="11"/>
      <c r="J945" s="37"/>
    </row>
    <row r="946">
      <c r="A946" s="100"/>
      <c r="B946" s="11"/>
      <c r="C946" s="11"/>
      <c r="D946" s="11"/>
      <c r="E946" s="11"/>
      <c r="F946" s="11"/>
      <c r="G946" s="11"/>
      <c r="J946" s="37"/>
    </row>
    <row r="947">
      <c r="A947" s="100"/>
      <c r="B947" s="11"/>
      <c r="C947" s="11"/>
      <c r="D947" s="11"/>
      <c r="E947" s="11"/>
      <c r="F947" s="11"/>
      <c r="G947" s="11"/>
      <c r="J947" s="37"/>
    </row>
    <row r="948">
      <c r="A948" s="100"/>
      <c r="B948" s="11"/>
      <c r="C948" s="11"/>
      <c r="D948" s="11"/>
      <c r="E948" s="11"/>
      <c r="F948" s="11"/>
      <c r="G948" s="11"/>
      <c r="J948" s="37"/>
    </row>
    <row r="949">
      <c r="A949" s="100"/>
      <c r="B949" s="11"/>
      <c r="C949" s="11"/>
      <c r="D949" s="11"/>
      <c r="E949" s="11"/>
      <c r="F949" s="11"/>
      <c r="G949" s="11"/>
      <c r="J949" s="37"/>
    </row>
    <row r="950">
      <c r="A950" s="100"/>
      <c r="B950" s="11"/>
      <c r="C950" s="11"/>
      <c r="D950" s="11"/>
      <c r="E950" s="11"/>
      <c r="F950" s="11"/>
      <c r="G950" s="11"/>
      <c r="J950" s="37"/>
    </row>
    <row r="951">
      <c r="A951" s="100"/>
      <c r="B951" s="11"/>
      <c r="C951" s="11"/>
      <c r="D951" s="11"/>
      <c r="E951" s="11"/>
      <c r="F951" s="11"/>
      <c r="G951" s="11"/>
      <c r="J951" s="37"/>
    </row>
    <row r="952">
      <c r="A952" s="100"/>
      <c r="B952" s="11"/>
      <c r="C952" s="11"/>
      <c r="D952" s="11"/>
      <c r="E952" s="11"/>
      <c r="F952" s="11"/>
      <c r="G952" s="11"/>
      <c r="J952" s="37"/>
    </row>
    <row r="953">
      <c r="A953" s="100"/>
      <c r="B953" s="11"/>
      <c r="C953" s="11"/>
      <c r="D953" s="11"/>
      <c r="E953" s="11"/>
      <c r="F953" s="11"/>
      <c r="G953" s="11"/>
      <c r="J953" s="37"/>
    </row>
    <row r="954">
      <c r="A954" s="100"/>
      <c r="B954" s="11"/>
      <c r="C954" s="11"/>
      <c r="D954" s="11"/>
      <c r="E954" s="11"/>
      <c r="F954" s="11"/>
      <c r="G954" s="11"/>
      <c r="J954" s="37"/>
    </row>
    <row r="955">
      <c r="A955" s="100"/>
      <c r="B955" s="11"/>
      <c r="C955" s="11"/>
      <c r="D955" s="11"/>
      <c r="E955" s="11"/>
      <c r="F955" s="11"/>
      <c r="G955" s="11"/>
      <c r="J955" s="37"/>
    </row>
    <row r="956">
      <c r="A956" s="100"/>
      <c r="B956" s="11"/>
      <c r="C956" s="11"/>
      <c r="D956" s="11"/>
      <c r="E956" s="11"/>
      <c r="F956" s="11"/>
      <c r="G956" s="11"/>
      <c r="J956" s="37"/>
    </row>
    <row r="957">
      <c r="A957" s="100"/>
      <c r="B957" s="11"/>
      <c r="C957" s="11"/>
      <c r="D957" s="11"/>
      <c r="E957" s="11"/>
      <c r="F957" s="11"/>
      <c r="G957" s="11"/>
      <c r="J957" s="37"/>
    </row>
    <row r="958">
      <c r="A958" s="100"/>
      <c r="B958" s="11"/>
      <c r="C958" s="11"/>
      <c r="D958" s="11"/>
      <c r="E958" s="11"/>
      <c r="F958" s="11"/>
      <c r="G958" s="11"/>
      <c r="J958" s="37"/>
    </row>
    <row r="959">
      <c r="A959" s="100"/>
      <c r="B959" s="11"/>
      <c r="C959" s="11"/>
      <c r="D959" s="11"/>
      <c r="E959" s="11"/>
      <c r="F959" s="11"/>
      <c r="G959" s="11"/>
      <c r="J959" s="37"/>
    </row>
    <row r="960">
      <c r="A960" s="100"/>
      <c r="B960" s="11"/>
      <c r="C960" s="11"/>
      <c r="D960" s="11"/>
      <c r="E960" s="11"/>
      <c r="F960" s="11"/>
      <c r="G960" s="11"/>
      <c r="J960" s="37"/>
    </row>
    <row r="961">
      <c r="A961" s="100"/>
      <c r="B961" s="11"/>
      <c r="C961" s="11"/>
      <c r="D961" s="11"/>
      <c r="E961" s="11"/>
      <c r="F961" s="11"/>
      <c r="G961" s="11"/>
      <c r="J961" s="37"/>
    </row>
    <row r="962">
      <c r="A962" s="100"/>
      <c r="B962" s="11"/>
      <c r="C962" s="11"/>
      <c r="D962" s="11"/>
      <c r="E962" s="11"/>
      <c r="F962" s="11"/>
      <c r="G962" s="11"/>
      <c r="J962" s="37"/>
    </row>
    <row r="963">
      <c r="A963" s="100"/>
      <c r="B963" s="11"/>
      <c r="C963" s="11"/>
      <c r="D963" s="11"/>
      <c r="E963" s="11"/>
      <c r="F963" s="11"/>
      <c r="G963" s="11"/>
      <c r="J963" s="37"/>
    </row>
    <row r="964">
      <c r="A964" s="100"/>
      <c r="B964" s="11"/>
      <c r="C964" s="11"/>
      <c r="D964" s="11"/>
      <c r="E964" s="11"/>
      <c r="F964" s="11"/>
      <c r="G964" s="11"/>
      <c r="J964" s="37"/>
    </row>
    <row r="965">
      <c r="A965" s="100"/>
      <c r="B965" s="11"/>
      <c r="C965" s="11"/>
      <c r="D965" s="11"/>
      <c r="E965" s="11"/>
      <c r="F965" s="11"/>
      <c r="G965" s="11"/>
      <c r="J965" s="37"/>
    </row>
    <row r="966">
      <c r="A966" s="100"/>
      <c r="B966" s="11"/>
      <c r="C966" s="11"/>
      <c r="D966" s="11"/>
      <c r="E966" s="11"/>
      <c r="F966" s="11"/>
      <c r="G966" s="11"/>
      <c r="J966" s="37"/>
    </row>
    <row r="967">
      <c r="A967" s="100"/>
      <c r="B967" s="11"/>
      <c r="C967" s="11"/>
      <c r="D967" s="11"/>
      <c r="E967" s="11"/>
      <c r="F967" s="11"/>
      <c r="G967" s="11"/>
      <c r="J967" s="37"/>
    </row>
    <row r="968">
      <c r="A968" s="100"/>
      <c r="B968" s="11"/>
      <c r="C968" s="11"/>
      <c r="D968" s="11"/>
      <c r="E968" s="11"/>
      <c r="F968" s="11"/>
      <c r="G968" s="11"/>
      <c r="J968" s="37"/>
    </row>
    <row r="969">
      <c r="A969" s="100"/>
      <c r="B969" s="11"/>
      <c r="C969" s="11"/>
      <c r="D969" s="11"/>
      <c r="E969" s="11"/>
      <c r="F969" s="11"/>
      <c r="G969" s="11"/>
      <c r="J969" s="37"/>
    </row>
    <row r="970">
      <c r="A970" s="100"/>
      <c r="B970" s="11"/>
      <c r="C970" s="11"/>
      <c r="D970" s="11"/>
      <c r="E970" s="11"/>
      <c r="F970" s="11"/>
      <c r="G970" s="11"/>
      <c r="J970" s="37"/>
    </row>
    <row r="971">
      <c r="A971" s="100"/>
      <c r="B971" s="11"/>
      <c r="C971" s="11"/>
      <c r="D971" s="11"/>
      <c r="E971" s="11"/>
      <c r="F971" s="11"/>
      <c r="G971" s="11"/>
      <c r="J971" s="37"/>
    </row>
    <row r="972">
      <c r="A972" s="100"/>
      <c r="B972" s="11"/>
      <c r="C972" s="11"/>
      <c r="D972" s="11"/>
      <c r="E972" s="11"/>
      <c r="F972" s="11"/>
      <c r="G972" s="11"/>
      <c r="J972" s="37"/>
    </row>
    <row r="973">
      <c r="A973" s="100"/>
      <c r="B973" s="11"/>
      <c r="C973" s="11"/>
      <c r="D973" s="11"/>
      <c r="E973" s="11"/>
      <c r="F973" s="11"/>
      <c r="G973" s="11"/>
      <c r="J973" s="37"/>
    </row>
    <row r="974">
      <c r="A974" s="100"/>
      <c r="B974" s="11"/>
      <c r="C974" s="11"/>
      <c r="D974" s="11"/>
      <c r="E974" s="11"/>
      <c r="F974" s="11"/>
      <c r="G974" s="11"/>
      <c r="J974" s="37"/>
    </row>
    <row r="975">
      <c r="A975" s="100"/>
      <c r="B975" s="11"/>
      <c r="C975" s="11"/>
      <c r="D975" s="11"/>
      <c r="E975" s="11"/>
      <c r="F975" s="11"/>
      <c r="G975" s="11"/>
      <c r="J975" s="37"/>
    </row>
    <row r="976">
      <c r="A976" s="100"/>
      <c r="B976" s="11"/>
      <c r="C976" s="11"/>
      <c r="D976" s="11"/>
      <c r="E976" s="11"/>
      <c r="F976" s="11"/>
      <c r="G976" s="11"/>
      <c r="J976" s="37"/>
    </row>
    <row r="977">
      <c r="A977" s="100"/>
      <c r="B977" s="11"/>
      <c r="C977" s="11"/>
      <c r="D977" s="11"/>
      <c r="E977" s="11"/>
      <c r="F977" s="11"/>
      <c r="G977" s="11"/>
      <c r="J977" s="37"/>
    </row>
    <row r="978">
      <c r="A978" s="100"/>
      <c r="B978" s="11"/>
      <c r="C978" s="11"/>
      <c r="D978" s="11"/>
      <c r="E978" s="11"/>
      <c r="F978" s="11"/>
      <c r="G978" s="11"/>
      <c r="J978" s="37"/>
    </row>
    <row r="979">
      <c r="A979" s="100"/>
      <c r="B979" s="11"/>
      <c r="C979" s="11"/>
      <c r="D979" s="11"/>
      <c r="E979" s="11"/>
      <c r="F979" s="11"/>
      <c r="G979" s="11"/>
      <c r="J979" s="37"/>
    </row>
    <row r="980">
      <c r="A980" s="100"/>
      <c r="B980" s="11"/>
      <c r="C980" s="11"/>
      <c r="D980" s="11"/>
      <c r="E980" s="11"/>
      <c r="F980" s="11"/>
      <c r="G980" s="11"/>
      <c r="J980" s="37"/>
    </row>
    <row r="981">
      <c r="A981" s="100"/>
      <c r="B981" s="11"/>
      <c r="C981" s="11"/>
      <c r="D981" s="11"/>
      <c r="E981" s="11"/>
      <c r="F981" s="11"/>
      <c r="G981" s="11"/>
      <c r="J981" s="37"/>
    </row>
    <row r="982">
      <c r="A982" s="100"/>
      <c r="B982" s="11"/>
      <c r="C982" s="11"/>
      <c r="D982" s="11"/>
      <c r="E982" s="11"/>
      <c r="F982" s="11"/>
      <c r="G982" s="11"/>
      <c r="J982" s="37"/>
    </row>
    <row r="983">
      <c r="A983" s="100"/>
      <c r="B983" s="11"/>
      <c r="C983" s="11"/>
      <c r="D983" s="11"/>
      <c r="E983" s="11"/>
      <c r="F983" s="11"/>
      <c r="G983" s="11"/>
      <c r="J983" s="37"/>
    </row>
    <row r="984">
      <c r="A984" s="100"/>
      <c r="B984" s="11"/>
      <c r="C984" s="11"/>
      <c r="D984" s="11"/>
      <c r="E984" s="11"/>
      <c r="F984" s="11"/>
      <c r="G984" s="11"/>
      <c r="J984" s="37"/>
    </row>
    <row r="985">
      <c r="A985" s="100"/>
      <c r="B985" s="11"/>
      <c r="C985" s="11"/>
      <c r="D985" s="11"/>
      <c r="E985" s="11"/>
      <c r="F985" s="11"/>
      <c r="G985" s="11"/>
      <c r="J985" s="37"/>
    </row>
    <row r="986">
      <c r="A986" s="100"/>
      <c r="B986" s="11"/>
      <c r="C986" s="11"/>
      <c r="D986" s="11"/>
      <c r="E986" s="11"/>
      <c r="F986" s="11"/>
      <c r="G986" s="11"/>
      <c r="J986" s="37"/>
    </row>
    <row r="987">
      <c r="A987" s="100"/>
      <c r="B987" s="11"/>
      <c r="C987" s="11"/>
      <c r="D987" s="11"/>
      <c r="E987" s="11"/>
      <c r="F987" s="11"/>
      <c r="G987" s="11"/>
      <c r="J987" s="37"/>
    </row>
    <row r="988">
      <c r="A988" s="100"/>
      <c r="B988" s="11"/>
      <c r="C988" s="11"/>
      <c r="D988" s="11"/>
      <c r="E988" s="11"/>
      <c r="F988" s="11"/>
      <c r="G988" s="11"/>
      <c r="J988" s="37"/>
    </row>
    <row r="989">
      <c r="A989" s="100"/>
      <c r="B989" s="11"/>
      <c r="C989" s="11"/>
      <c r="D989" s="11"/>
      <c r="E989" s="11"/>
      <c r="F989" s="11"/>
      <c r="G989" s="11"/>
      <c r="J989" s="37"/>
    </row>
    <row r="990">
      <c r="A990" s="100"/>
      <c r="B990" s="11"/>
      <c r="C990" s="11"/>
      <c r="D990" s="11"/>
      <c r="E990" s="11"/>
      <c r="F990" s="11"/>
      <c r="G990" s="11"/>
      <c r="J990" s="37"/>
    </row>
    <row r="991">
      <c r="A991" s="100"/>
      <c r="B991" s="11"/>
      <c r="C991" s="11"/>
      <c r="D991" s="11"/>
      <c r="E991" s="11"/>
      <c r="F991" s="11"/>
      <c r="G991" s="11"/>
      <c r="J991" s="37"/>
    </row>
    <row r="992">
      <c r="A992" s="100"/>
      <c r="B992" s="11"/>
      <c r="C992" s="11"/>
      <c r="D992" s="11"/>
      <c r="E992" s="11"/>
      <c r="F992" s="11"/>
      <c r="G992" s="11"/>
      <c r="J992" s="37"/>
    </row>
    <row r="993">
      <c r="A993" s="100"/>
      <c r="B993" s="11"/>
      <c r="C993" s="11"/>
      <c r="D993" s="11"/>
      <c r="E993" s="11"/>
      <c r="F993" s="11"/>
      <c r="G993" s="11"/>
      <c r="J993" s="37"/>
    </row>
    <row r="994">
      <c r="A994" s="100"/>
      <c r="B994" s="11"/>
      <c r="C994" s="11"/>
      <c r="D994" s="11"/>
      <c r="E994" s="11"/>
      <c r="F994" s="11"/>
      <c r="G994" s="11"/>
      <c r="J994" s="37"/>
    </row>
    <row r="995">
      <c r="A995" s="100"/>
      <c r="B995" s="11"/>
      <c r="C995" s="11"/>
      <c r="D995" s="11"/>
      <c r="E995" s="11"/>
      <c r="F995" s="11"/>
      <c r="G995" s="11"/>
      <c r="J995" s="37"/>
    </row>
    <row r="996">
      <c r="A996" s="100"/>
      <c r="B996" s="11"/>
      <c r="C996" s="11"/>
      <c r="D996" s="11"/>
      <c r="E996" s="11"/>
      <c r="F996" s="11"/>
      <c r="G996" s="11"/>
      <c r="J996" s="37"/>
    </row>
    <row r="997">
      <c r="A997" s="100"/>
      <c r="B997" s="11"/>
      <c r="C997" s="11"/>
      <c r="D997" s="11"/>
      <c r="E997" s="11"/>
      <c r="F997" s="11"/>
      <c r="G997" s="11"/>
      <c r="J997" s="37"/>
    </row>
    <row r="998">
      <c r="A998" s="100"/>
      <c r="B998" s="11"/>
      <c r="C998" s="11"/>
      <c r="D998" s="11"/>
      <c r="E998" s="11"/>
      <c r="F998" s="11"/>
      <c r="G998" s="11"/>
      <c r="J998" s="37"/>
    </row>
    <row r="999">
      <c r="A999" s="100"/>
      <c r="B999" s="11"/>
      <c r="C999" s="11"/>
      <c r="D999" s="11"/>
      <c r="E999" s="11"/>
      <c r="F999" s="11"/>
      <c r="G999" s="11"/>
      <c r="J999" s="37"/>
    </row>
    <row r="1000">
      <c r="A1000" s="100"/>
      <c r="B1000" s="11"/>
      <c r="C1000" s="11"/>
      <c r="D1000" s="11"/>
      <c r="E1000" s="11"/>
      <c r="F1000" s="11"/>
      <c r="G1000" s="11"/>
      <c r="J1000" s="37"/>
    </row>
    <row r="1001">
      <c r="A1001" s="100"/>
      <c r="B1001" s="11"/>
      <c r="C1001" s="11"/>
      <c r="D1001" s="11"/>
      <c r="E1001" s="11"/>
      <c r="F1001" s="11"/>
      <c r="G1001" s="11"/>
      <c r="J1001" s="37"/>
    </row>
    <row r="1002">
      <c r="A1002" s="100"/>
      <c r="B1002" s="11"/>
      <c r="C1002" s="11"/>
      <c r="D1002" s="11"/>
      <c r="E1002" s="11"/>
      <c r="F1002" s="11"/>
      <c r="G1002" s="11"/>
      <c r="J1002" s="37"/>
    </row>
    <row r="1003">
      <c r="A1003" s="100"/>
      <c r="B1003" s="11"/>
      <c r="C1003" s="11"/>
      <c r="D1003" s="11"/>
      <c r="E1003" s="11"/>
      <c r="F1003" s="11"/>
      <c r="G1003" s="11"/>
      <c r="J1003" s="37"/>
    </row>
    <row r="1004">
      <c r="A1004" s="100"/>
      <c r="B1004" s="11"/>
      <c r="C1004" s="11"/>
      <c r="D1004" s="11"/>
      <c r="E1004" s="11"/>
      <c r="F1004" s="11"/>
      <c r="G1004" s="11"/>
      <c r="J1004" s="37"/>
    </row>
    <row r="1005">
      <c r="A1005" s="100"/>
      <c r="B1005" s="11"/>
      <c r="C1005" s="11"/>
      <c r="D1005" s="11"/>
      <c r="E1005" s="11"/>
      <c r="F1005" s="11"/>
      <c r="G1005" s="11"/>
      <c r="J1005" s="37"/>
    </row>
    <row r="1006">
      <c r="A1006" s="100"/>
      <c r="B1006" s="11"/>
      <c r="C1006" s="11"/>
      <c r="D1006" s="11"/>
      <c r="E1006" s="11"/>
      <c r="F1006" s="11"/>
      <c r="G1006" s="11"/>
      <c r="J1006" s="37"/>
    </row>
    <row r="1007">
      <c r="A1007" s="100"/>
      <c r="B1007" s="11"/>
      <c r="C1007" s="11"/>
      <c r="D1007" s="11"/>
      <c r="E1007" s="11"/>
      <c r="F1007" s="11"/>
      <c r="G1007" s="11"/>
      <c r="J1007" s="37"/>
    </row>
    <row r="1008">
      <c r="A1008" s="100"/>
      <c r="B1008" s="11"/>
      <c r="C1008" s="11"/>
      <c r="D1008" s="11"/>
      <c r="E1008" s="11"/>
      <c r="F1008" s="11"/>
      <c r="G1008" s="11"/>
      <c r="J1008" s="37"/>
    </row>
    <row r="1009">
      <c r="A1009" s="100"/>
      <c r="B1009" s="11"/>
      <c r="C1009" s="11"/>
      <c r="D1009" s="11"/>
      <c r="E1009" s="11"/>
      <c r="F1009" s="11"/>
      <c r="G1009" s="11"/>
      <c r="J1009" s="37"/>
    </row>
    <row r="1010">
      <c r="A1010" s="100"/>
      <c r="B1010" s="11"/>
      <c r="C1010" s="11"/>
      <c r="D1010" s="11"/>
      <c r="E1010" s="11"/>
      <c r="F1010" s="11"/>
      <c r="G1010" s="11"/>
      <c r="J1010" s="37"/>
    </row>
    <row r="1011">
      <c r="A1011" s="100"/>
      <c r="B1011" s="11"/>
      <c r="C1011" s="11"/>
      <c r="D1011" s="11"/>
      <c r="E1011" s="11"/>
      <c r="F1011" s="11"/>
      <c r="G1011" s="11"/>
      <c r="J1011" s="37"/>
    </row>
    <row r="1012">
      <c r="A1012" s="100"/>
      <c r="B1012" s="11"/>
      <c r="C1012" s="11"/>
      <c r="D1012" s="11"/>
      <c r="E1012" s="11"/>
      <c r="F1012" s="11"/>
      <c r="G1012" s="11"/>
      <c r="J1012" s="37"/>
    </row>
    <row r="1013">
      <c r="A1013" s="100"/>
      <c r="B1013" s="11"/>
      <c r="C1013" s="11"/>
      <c r="D1013" s="11"/>
      <c r="E1013" s="11"/>
      <c r="F1013" s="11"/>
      <c r="G1013" s="11"/>
      <c r="J1013" s="37"/>
    </row>
    <row r="1014">
      <c r="A1014" s="100"/>
      <c r="B1014" s="11"/>
      <c r="C1014" s="11"/>
      <c r="D1014" s="11"/>
      <c r="E1014" s="11"/>
      <c r="F1014" s="11"/>
      <c r="G1014" s="11"/>
      <c r="J1014" s="37"/>
    </row>
    <row r="1015">
      <c r="A1015" s="100"/>
      <c r="B1015" s="11"/>
      <c r="C1015" s="11"/>
      <c r="D1015" s="11"/>
      <c r="E1015" s="11"/>
      <c r="F1015" s="11"/>
      <c r="G1015" s="11"/>
      <c r="J1015" s="37"/>
    </row>
    <row r="1016">
      <c r="A1016" s="100"/>
      <c r="B1016" s="11"/>
      <c r="C1016" s="11"/>
      <c r="D1016" s="11"/>
      <c r="E1016" s="11"/>
      <c r="F1016" s="11"/>
      <c r="G1016" s="11"/>
      <c r="J1016" s="37"/>
    </row>
    <row r="1017">
      <c r="A1017" s="100"/>
      <c r="B1017" s="11"/>
      <c r="C1017" s="11"/>
      <c r="D1017" s="11"/>
      <c r="E1017" s="11"/>
      <c r="F1017" s="11"/>
      <c r="G1017" s="11"/>
      <c r="J1017" s="37"/>
    </row>
    <row r="1018">
      <c r="A1018" s="100"/>
      <c r="B1018" s="11"/>
      <c r="C1018" s="11"/>
      <c r="D1018" s="11"/>
      <c r="E1018" s="11"/>
      <c r="F1018" s="11"/>
      <c r="G1018" s="11"/>
      <c r="J1018" s="37"/>
    </row>
    <row r="1019">
      <c r="A1019" s="100"/>
      <c r="B1019" s="11"/>
      <c r="C1019" s="11"/>
      <c r="D1019" s="11"/>
      <c r="E1019" s="11"/>
      <c r="F1019" s="11"/>
      <c r="G1019" s="11"/>
      <c r="J1019" s="37"/>
    </row>
    <row r="1020">
      <c r="A1020" s="100"/>
      <c r="B1020" s="11"/>
      <c r="C1020" s="11"/>
      <c r="D1020" s="11"/>
      <c r="E1020" s="11"/>
      <c r="F1020" s="11"/>
      <c r="G1020" s="11"/>
      <c r="J1020" s="37"/>
    </row>
    <row r="1021">
      <c r="A1021" s="100"/>
      <c r="B1021" s="11"/>
      <c r="C1021" s="11"/>
      <c r="D1021" s="11"/>
      <c r="E1021" s="11"/>
      <c r="F1021" s="11"/>
      <c r="G1021" s="11"/>
      <c r="J1021" s="37"/>
    </row>
    <row r="1022">
      <c r="A1022" s="100"/>
      <c r="B1022" s="11"/>
      <c r="C1022" s="11"/>
      <c r="D1022" s="11"/>
      <c r="E1022" s="11"/>
      <c r="F1022" s="11"/>
      <c r="G1022" s="11"/>
      <c r="J1022" s="37"/>
    </row>
    <row r="1023">
      <c r="A1023" s="100"/>
      <c r="B1023" s="11"/>
      <c r="C1023" s="11"/>
      <c r="D1023" s="11"/>
      <c r="E1023" s="11"/>
      <c r="F1023" s="11"/>
      <c r="G1023" s="11"/>
      <c r="J1023" s="37"/>
    </row>
    <row r="1024">
      <c r="A1024" s="100"/>
      <c r="B1024" s="11"/>
      <c r="C1024" s="11"/>
      <c r="D1024" s="11"/>
      <c r="E1024" s="11"/>
      <c r="F1024" s="11"/>
      <c r="G1024" s="11"/>
      <c r="J1024" s="37"/>
    </row>
    <row r="1025">
      <c r="A1025" s="100"/>
      <c r="B1025" s="11"/>
      <c r="C1025" s="11"/>
      <c r="D1025" s="11"/>
      <c r="E1025" s="11"/>
      <c r="F1025" s="11"/>
      <c r="G1025" s="11"/>
      <c r="J1025" s="37"/>
    </row>
    <row r="1026">
      <c r="A1026" s="100"/>
      <c r="B1026" s="11"/>
      <c r="C1026" s="11"/>
      <c r="D1026" s="11"/>
      <c r="E1026" s="11"/>
      <c r="F1026" s="11"/>
      <c r="G1026" s="11"/>
      <c r="J1026" s="37"/>
    </row>
    <row r="1027">
      <c r="A1027" s="100"/>
      <c r="B1027" s="11"/>
      <c r="C1027" s="11"/>
      <c r="D1027" s="11"/>
      <c r="E1027" s="11"/>
      <c r="F1027" s="11"/>
      <c r="G1027" s="11"/>
      <c r="J1027" s="37"/>
    </row>
    <row r="1028">
      <c r="A1028" s="100"/>
      <c r="B1028" s="11"/>
      <c r="C1028" s="11"/>
      <c r="D1028" s="11"/>
      <c r="E1028" s="11"/>
      <c r="F1028" s="11"/>
      <c r="G1028" s="11"/>
      <c r="J1028" s="37"/>
    </row>
    <row r="1029">
      <c r="A1029" s="100"/>
      <c r="B1029" s="11"/>
      <c r="C1029" s="11"/>
      <c r="D1029" s="11"/>
      <c r="E1029" s="11"/>
      <c r="F1029" s="11"/>
      <c r="G1029" s="11"/>
      <c r="J1029" s="37"/>
    </row>
    <row r="1030">
      <c r="A1030" s="100"/>
      <c r="B1030" s="11"/>
      <c r="C1030" s="11"/>
      <c r="D1030" s="11"/>
      <c r="E1030" s="11"/>
      <c r="F1030" s="11"/>
      <c r="G1030" s="11"/>
      <c r="J1030" s="37"/>
    </row>
    <row r="1031">
      <c r="A1031" s="100"/>
      <c r="B1031" s="11"/>
      <c r="C1031" s="11"/>
      <c r="D1031" s="11"/>
      <c r="E1031" s="11"/>
      <c r="F1031" s="11"/>
      <c r="G1031" s="11"/>
      <c r="J1031" s="37"/>
    </row>
    <row r="1032">
      <c r="A1032" s="100"/>
      <c r="B1032" s="11"/>
      <c r="C1032" s="11"/>
      <c r="D1032" s="11"/>
      <c r="E1032" s="11"/>
      <c r="F1032" s="11"/>
      <c r="G1032" s="11"/>
      <c r="J1032" s="37"/>
    </row>
    <row r="1033">
      <c r="A1033" s="100"/>
      <c r="B1033" s="11"/>
      <c r="C1033" s="11"/>
      <c r="D1033" s="11"/>
      <c r="E1033" s="11"/>
      <c r="F1033" s="11"/>
      <c r="G1033" s="11"/>
      <c r="J1033" s="37"/>
    </row>
    <row r="1034">
      <c r="A1034" s="100"/>
      <c r="B1034" s="11"/>
      <c r="C1034" s="11"/>
      <c r="D1034" s="11"/>
      <c r="E1034" s="11"/>
      <c r="F1034" s="11"/>
      <c r="G1034" s="11"/>
      <c r="J1034" s="37"/>
    </row>
    <row r="1035">
      <c r="A1035" s="100"/>
      <c r="B1035" s="11"/>
      <c r="C1035" s="11"/>
      <c r="D1035" s="11"/>
      <c r="E1035" s="11"/>
      <c r="F1035" s="11"/>
      <c r="G1035" s="11"/>
      <c r="J1035" s="37"/>
    </row>
    <row r="1036">
      <c r="A1036" s="100"/>
      <c r="B1036" s="11"/>
      <c r="C1036" s="11"/>
      <c r="D1036" s="11"/>
      <c r="E1036" s="11"/>
      <c r="F1036" s="11"/>
      <c r="G1036" s="11"/>
      <c r="J1036" s="37"/>
    </row>
    <row r="1037">
      <c r="A1037" s="100"/>
      <c r="B1037" s="11"/>
      <c r="C1037" s="11"/>
      <c r="D1037" s="11"/>
      <c r="E1037" s="11"/>
      <c r="F1037" s="11"/>
      <c r="G1037" s="11"/>
      <c r="J1037" s="37"/>
    </row>
    <row r="1038">
      <c r="A1038" s="100"/>
      <c r="B1038" s="11"/>
      <c r="C1038" s="11"/>
      <c r="D1038" s="11"/>
      <c r="E1038" s="11"/>
      <c r="F1038" s="11"/>
      <c r="G1038" s="11"/>
      <c r="J1038" s="37"/>
    </row>
    <row r="1039">
      <c r="A1039" s="100"/>
      <c r="B1039" s="11"/>
      <c r="C1039" s="11"/>
      <c r="D1039" s="11"/>
      <c r="E1039" s="11"/>
      <c r="F1039" s="11"/>
      <c r="G1039" s="11"/>
      <c r="J1039" s="37"/>
    </row>
    <row r="1040">
      <c r="A1040" s="100"/>
      <c r="B1040" s="11"/>
      <c r="C1040" s="11"/>
      <c r="D1040" s="11"/>
      <c r="E1040" s="11"/>
      <c r="F1040" s="11"/>
      <c r="G1040" s="11"/>
      <c r="J1040" s="37"/>
    </row>
    <row r="1041">
      <c r="A1041" s="100"/>
      <c r="B1041" s="11"/>
      <c r="C1041" s="11"/>
      <c r="D1041" s="11"/>
      <c r="E1041" s="11"/>
      <c r="F1041" s="11"/>
      <c r="G1041" s="11"/>
      <c r="J1041" s="37"/>
    </row>
    <row r="1042">
      <c r="A1042" s="100"/>
      <c r="B1042" s="11"/>
      <c r="C1042" s="11"/>
      <c r="D1042" s="11"/>
      <c r="E1042" s="11"/>
      <c r="F1042" s="11"/>
      <c r="G1042" s="11"/>
      <c r="J1042" s="37"/>
    </row>
    <row r="1043">
      <c r="A1043" s="100"/>
      <c r="B1043" s="11"/>
      <c r="C1043" s="11"/>
      <c r="D1043" s="11"/>
      <c r="E1043" s="11"/>
      <c r="F1043" s="11"/>
      <c r="G1043" s="11"/>
      <c r="J1043" s="37"/>
    </row>
    <row r="1044">
      <c r="A1044" s="100"/>
      <c r="B1044" s="11"/>
      <c r="C1044" s="11"/>
      <c r="D1044" s="11"/>
      <c r="E1044" s="11"/>
      <c r="F1044" s="11"/>
      <c r="G1044" s="11"/>
      <c r="J1044" s="37"/>
    </row>
    <row r="1045">
      <c r="A1045" s="100"/>
      <c r="B1045" s="11"/>
      <c r="C1045" s="11"/>
      <c r="D1045" s="11"/>
      <c r="E1045" s="11"/>
      <c r="F1045" s="11"/>
      <c r="G1045" s="11"/>
      <c r="J1045" s="37"/>
    </row>
    <row r="1046">
      <c r="A1046" s="100"/>
      <c r="B1046" s="11"/>
      <c r="C1046" s="11"/>
      <c r="D1046" s="11"/>
      <c r="E1046" s="11"/>
      <c r="F1046" s="11"/>
      <c r="G1046" s="11"/>
      <c r="J1046" s="37"/>
    </row>
    <row r="1047">
      <c r="A1047" s="100"/>
      <c r="B1047" s="11"/>
      <c r="C1047" s="11"/>
      <c r="D1047" s="11"/>
      <c r="E1047" s="11"/>
      <c r="F1047" s="11"/>
      <c r="G1047" s="11"/>
      <c r="J1047" s="37"/>
    </row>
    <row r="1048">
      <c r="A1048" s="100"/>
      <c r="B1048" s="11"/>
      <c r="C1048" s="11"/>
      <c r="D1048" s="11"/>
      <c r="E1048" s="11"/>
      <c r="F1048" s="11"/>
      <c r="G1048" s="11"/>
      <c r="J1048" s="37"/>
    </row>
    <row r="1049">
      <c r="A1049" s="100"/>
      <c r="B1049" s="11"/>
      <c r="C1049" s="11"/>
      <c r="D1049" s="11"/>
      <c r="E1049" s="11"/>
      <c r="F1049" s="11"/>
      <c r="G1049" s="11"/>
      <c r="J1049" s="37"/>
    </row>
    <row r="1050">
      <c r="A1050" s="100"/>
      <c r="B1050" s="11"/>
      <c r="C1050" s="11"/>
      <c r="D1050" s="11"/>
      <c r="E1050" s="11"/>
      <c r="F1050" s="11"/>
      <c r="G1050" s="11"/>
      <c r="J1050" s="37"/>
    </row>
    <row r="1051">
      <c r="A1051" s="100"/>
      <c r="B1051" s="11"/>
      <c r="C1051" s="11"/>
      <c r="D1051" s="11"/>
      <c r="E1051" s="11"/>
      <c r="F1051" s="11"/>
      <c r="G1051" s="11"/>
      <c r="J1051" s="37"/>
    </row>
    <row r="1052">
      <c r="A1052" s="100"/>
      <c r="B1052" s="11"/>
      <c r="C1052" s="11"/>
      <c r="D1052" s="11"/>
      <c r="E1052" s="11"/>
      <c r="F1052" s="11"/>
      <c r="G1052" s="11"/>
      <c r="J1052" s="37"/>
    </row>
    <row r="1053">
      <c r="A1053" s="100"/>
      <c r="B1053" s="11"/>
      <c r="C1053" s="11"/>
      <c r="D1053" s="11"/>
      <c r="E1053" s="11"/>
      <c r="F1053" s="11"/>
      <c r="G1053" s="11"/>
      <c r="J1053" s="37"/>
    </row>
    <row r="1054">
      <c r="A1054" s="100"/>
      <c r="B1054" s="11"/>
      <c r="C1054" s="11"/>
      <c r="D1054" s="11"/>
      <c r="E1054" s="11"/>
      <c r="F1054" s="11"/>
      <c r="G1054" s="11"/>
      <c r="J1054" s="37"/>
    </row>
    <row r="1055">
      <c r="A1055" s="100"/>
      <c r="B1055" s="11"/>
      <c r="C1055" s="11"/>
      <c r="D1055" s="11"/>
      <c r="E1055" s="11"/>
      <c r="F1055" s="11"/>
      <c r="G1055" s="11"/>
      <c r="J1055" s="37"/>
    </row>
    <row r="1056">
      <c r="A1056" s="100"/>
      <c r="B1056" s="11"/>
      <c r="C1056" s="11"/>
      <c r="D1056" s="11"/>
      <c r="E1056" s="11"/>
      <c r="F1056" s="11"/>
      <c r="G1056" s="11"/>
      <c r="J1056" s="37"/>
    </row>
    <row r="1057">
      <c r="A1057" s="100"/>
      <c r="B1057" s="11"/>
      <c r="C1057" s="11"/>
      <c r="D1057" s="11"/>
      <c r="E1057" s="11"/>
      <c r="F1057" s="11"/>
      <c r="G1057" s="11"/>
      <c r="J1057" s="37"/>
    </row>
    <row r="1058">
      <c r="A1058" s="100"/>
      <c r="B1058" s="11"/>
      <c r="C1058" s="11"/>
      <c r="D1058" s="11"/>
      <c r="E1058" s="11"/>
      <c r="F1058" s="11"/>
      <c r="G1058" s="11"/>
      <c r="J1058" s="37"/>
    </row>
    <row r="1059">
      <c r="A1059" s="100"/>
      <c r="B1059" s="11"/>
      <c r="C1059" s="11"/>
      <c r="D1059" s="11"/>
      <c r="E1059" s="11"/>
      <c r="F1059" s="11"/>
      <c r="G1059" s="11"/>
      <c r="J1059" s="37"/>
    </row>
    <row r="1060">
      <c r="A1060" s="100"/>
      <c r="B1060" s="11"/>
      <c r="C1060" s="11"/>
      <c r="D1060" s="11"/>
      <c r="E1060" s="11"/>
      <c r="F1060" s="11"/>
      <c r="G1060" s="11"/>
      <c r="J1060" s="37"/>
    </row>
    <row r="1061">
      <c r="A1061" s="100"/>
      <c r="B1061" s="11"/>
      <c r="C1061" s="11"/>
      <c r="D1061" s="11"/>
      <c r="E1061" s="11"/>
      <c r="F1061" s="11"/>
      <c r="G1061" s="11"/>
      <c r="J1061" s="37"/>
    </row>
    <row r="1062">
      <c r="A1062" s="100"/>
      <c r="B1062" s="11"/>
      <c r="C1062" s="11"/>
      <c r="D1062" s="11"/>
      <c r="E1062" s="11"/>
      <c r="F1062" s="11"/>
      <c r="G1062" s="11"/>
      <c r="J1062" s="37"/>
    </row>
    <row r="1063">
      <c r="A1063" s="100"/>
      <c r="B1063" s="11"/>
      <c r="C1063" s="11"/>
      <c r="D1063" s="11"/>
      <c r="E1063" s="11"/>
      <c r="F1063" s="11"/>
      <c r="G1063" s="11"/>
      <c r="J1063" s="37"/>
    </row>
    <row r="1064">
      <c r="A1064" s="100"/>
      <c r="B1064" s="11"/>
      <c r="C1064" s="11"/>
      <c r="D1064" s="11"/>
      <c r="E1064" s="11"/>
      <c r="F1064" s="11"/>
      <c r="G1064" s="11"/>
      <c r="J1064" s="37"/>
    </row>
    <row r="1065">
      <c r="A1065" s="100"/>
      <c r="B1065" s="11"/>
      <c r="C1065" s="11"/>
      <c r="D1065" s="11"/>
      <c r="E1065" s="11"/>
      <c r="F1065" s="11"/>
      <c r="G1065" s="11"/>
      <c r="J1065" s="37"/>
    </row>
    <row r="1066">
      <c r="A1066" s="100"/>
      <c r="B1066" s="11"/>
      <c r="C1066" s="11"/>
      <c r="D1066" s="11"/>
      <c r="E1066" s="11"/>
      <c r="F1066" s="11"/>
      <c r="G1066" s="11"/>
      <c r="J1066" s="37"/>
    </row>
    <row r="1067">
      <c r="A1067" s="100"/>
      <c r="B1067" s="11"/>
      <c r="C1067" s="11"/>
      <c r="D1067" s="11"/>
      <c r="E1067" s="11"/>
      <c r="F1067" s="11"/>
      <c r="G1067" s="11"/>
      <c r="J1067" s="37"/>
    </row>
    <row r="1068">
      <c r="A1068" s="100"/>
      <c r="B1068" s="11"/>
      <c r="C1068" s="11"/>
      <c r="D1068" s="11"/>
      <c r="E1068" s="11"/>
      <c r="F1068" s="11"/>
      <c r="G1068" s="11"/>
      <c r="J1068" s="37"/>
    </row>
    <row r="1069">
      <c r="A1069" s="100"/>
      <c r="B1069" s="11"/>
      <c r="C1069" s="11"/>
      <c r="D1069" s="11"/>
      <c r="E1069" s="11"/>
      <c r="F1069" s="11"/>
      <c r="G1069" s="11"/>
      <c r="J1069" s="37"/>
    </row>
    <row r="1070">
      <c r="A1070" s="100"/>
      <c r="B1070" s="11"/>
      <c r="C1070" s="11"/>
      <c r="D1070" s="11"/>
      <c r="E1070" s="11"/>
      <c r="F1070" s="11"/>
      <c r="G1070" s="11"/>
      <c r="J1070" s="37"/>
    </row>
    <row r="1071">
      <c r="A1071" s="100"/>
      <c r="B1071" s="11"/>
      <c r="C1071" s="11"/>
      <c r="D1071" s="11"/>
      <c r="E1071" s="11"/>
      <c r="F1071" s="11"/>
      <c r="G1071" s="11"/>
      <c r="J1071" s="37"/>
    </row>
    <row r="1072">
      <c r="A1072" s="100"/>
      <c r="B1072" s="11"/>
      <c r="C1072" s="11"/>
      <c r="D1072" s="11"/>
      <c r="E1072" s="11"/>
      <c r="F1072" s="11"/>
      <c r="G1072" s="11"/>
      <c r="J1072" s="37"/>
    </row>
    <row r="1073">
      <c r="A1073" s="100"/>
      <c r="B1073" s="11"/>
      <c r="C1073" s="11"/>
      <c r="D1073" s="11"/>
      <c r="E1073" s="11"/>
      <c r="F1073" s="11"/>
      <c r="G1073" s="11"/>
      <c r="J1073" s="37"/>
    </row>
    <row r="1074">
      <c r="A1074" s="100"/>
      <c r="B1074" s="11"/>
      <c r="C1074" s="11"/>
      <c r="D1074" s="11"/>
      <c r="E1074" s="11"/>
      <c r="F1074" s="11"/>
      <c r="G1074" s="11"/>
      <c r="J1074" s="37"/>
    </row>
    <row r="1075">
      <c r="A1075" s="100"/>
      <c r="B1075" s="11"/>
      <c r="C1075" s="11"/>
      <c r="D1075" s="11"/>
      <c r="E1075" s="11"/>
      <c r="F1075" s="11"/>
      <c r="G1075" s="11"/>
      <c r="J1075" s="37"/>
    </row>
    <row r="1076">
      <c r="A1076" s="100"/>
      <c r="B1076" s="11"/>
      <c r="C1076" s="11"/>
      <c r="D1076" s="11"/>
      <c r="E1076" s="11"/>
      <c r="F1076" s="11"/>
      <c r="G1076" s="11"/>
      <c r="J1076" s="37"/>
    </row>
    <row r="1077">
      <c r="A1077" s="100"/>
      <c r="B1077" s="11"/>
      <c r="C1077" s="11"/>
      <c r="D1077" s="11"/>
      <c r="E1077" s="11"/>
      <c r="F1077" s="11"/>
      <c r="G1077" s="11"/>
      <c r="J1077" s="37"/>
    </row>
    <row r="1078">
      <c r="A1078" s="100"/>
      <c r="B1078" s="11"/>
      <c r="C1078" s="11"/>
      <c r="D1078" s="11"/>
      <c r="E1078" s="11"/>
      <c r="F1078" s="11"/>
      <c r="G1078" s="11"/>
      <c r="J1078" s="37"/>
    </row>
    <row r="1079">
      <c r="A1079" s="100"/>
      <c r="B1079" s="11"/>
      <c r="C1079" s="11"/>
      <c r="D1079" s="11"/>
      <c r="E1079" s="11"/>
      <c r="F1079" s="11"/>
      <c r="G1079" s="11"/>
      <c r="J1079" s="37"/>
    </row>
    <row r="1080">
      <c r="A1080" s="100"/>
      <c r="B1080" s="11"/>
      <c r="C1080" s="11"/>
      <c r="D1080" s="11"/>
      <c r="E1080" s="11"/>
      <c r="F1080" s="11"/>
      <c r="G1080" s="11"/>
      <c r="J1080" s="37"/>
    </row>
    <row r="1081">
      <c r="A1081" s="100"/>
      <c r="B1081" s="11"/>
      <c r="C1081" s="11"/>
      <c r="D1081" s="11"/>
      <c r="E1081" s="11"/>
      <c r="F1081" s="11"/>
      <c r="G1081" s="11"/>
      <c r="J1081" s="37"/>
    </row>
    <row r="1082">
      <c r="A1082" s="100"/>
      <c r="B1082" s="11"/>
      <c r="C1082" s="11"/>
      <c r="D1082" s="11"/>
      <c r="E1082" s="11"/>
      <c r="F1082" s="11"/>
      <c r="G1082" s="11"/>
      <c r="J1082" s="37"/>
    </row>
    <row r="1083">
      <c r="A1083" s="100"/>
      <c r="B1083" s="11"/>
      <c r="C1083" s="11"/>
      <c r="D1083" s="11"/>
      <c r="E1083" s="11"/>
      <c r="F1083" s="11"/>
      <c r="G1083" s="11"/>
      <c r="J1083" s="37"/>
    </row>
    <row r="1084">
      <c r="A1084" s="100"/>
      <c r="B1084" s="11"/>
      <c r="C1084" s="11"/>
      <c r="D1084" s="11"/>
      <c r="E1084" s="11"/>
      <c r="F1084" s="11"/>
      <c r="G1084" s="11"/>
      <c r="J1084" s="37"/>
    </row>
    <row r="1085">
      <c r="A1085" s="100"/>
      <c r="B1085" s="11"/>
      <c r="C1085" s="11"/>
      <c r="D1085" s="11"/>
      <c r="E1085" s="11"/>
      <c r="F1085" s="11"/>
      <c r="G1085" s="11"/>
      <c r="J1085" s="37"/>
    </row>
    <row r="1086">
      <c r="A1086" s="100"/>
      <c r="B1086" s="11"/>
      <c r="C1086" s="11"/>
      <c r="D1086" s="11"/>
      <c r="E1086" s="11"/>
      <c r="F1086" s="11"/>
      <c r="G1086" s="11"/>
      <c r="J1086" s="37"/>
    </row>
    <row r="1087">
      <c r="A1087" s="100"/>
      <c r="B1087" s="11"/>
      <c r="C1087" s="11"/>
      <c r="D1087" s="11"/>
      <c r="E1087" s="11"/>
      <c r="F1087" s="11"/>
      <c r="G1087" s="11"/>
      <c r="J1087" s="37"/>
    </row>
    <row r="1088">
      <c r="A1088" s="100"/>
      <c r="B1088" s="11"/>
      <c r="C1088" s="11"/>
      <c r="D1088" s="11"/>
      <c r="E1088" s="11"/>
      <c r="F1088" s="11"/>
      <c r="G1088" s="11"/>
      <c r="J1088" s="37"/>
    </row>
    <row r="1089">
      <c r="A1089" s="100"/>
      <c r="B1089" s="11"/>
      <c r="C1089" s="11"/>
      <c r="D1089" s="11"/>
      <c r="E1089" s="11"/>
      <c r="F1089" s="11"/>
      <c r="G1089" s="11"/>
      <c r="J1089" s="37"/>
    </row>
    <row r="1090">
      <c r="A1090" s="100"/>
      <c r="B1090" s="11"/>
      <c r="C1090" s="11"/>
      <c r="D1090" s="11"/>
      <c r="E1090" s="11"/>
      <c r="F1090" s="11"/>
      <c r="G1090" s="11"/>
      <c r="J1090" s="37"/>
    </row>
    <row r="1091">
      <c r="A1091" s="100"/>
      <c r="B1091" s="11"/>
      <c r="C1091" s="11"/>
      <c r="D1091" s="11"/>
      <c r="E1091" s="11"/>
      <c r="F1091" s="11"/>
      <c r="G1091" s="11"/>
      <c r="J1091" s="37"/>
    </row>
    <row r="1092">
      <c r="A1092" s="100"/>
      <c r="B1092" s="11"/>
      <c r="C1092" s="11"/>
      <c r="D1092" s="11"/>
      <c r="E1092" s="11"/>
      <c r="F1092" s="11"/>
      <c r="G1092" s="11"/>
      <c r="J1092" s="37"/>
    </row>
    <row r="1093">
      <c r="A1093" s="100"/>
      <c r="B1093" s="11"/>
      <c r="C1093" s="11"/>
      <c r="D1093" s="11"/>
      <c r="E1093" s="11"/>
      <c r="F1093" s="11"/>
      <c r="G1093" s="11"/>
      <c r="J1093" s="37"/>
    </row>
    <row r="1094">
      <c r="A1094" s="100"/>
      <c r="B1094" s="11"/>
      <c r="C1094" s="11"/>
      <c r="D1094" s="11"/>
      <c r="E1094" s="11"/>
      <c r="F1094" s="11"/>
      <c r="G1094" s="11"/>
      <c r="J1094" s="37"/>
    </row>
    <row r="1095">
      <c r="A1095" s="100"/>
      <c r="B1095" s="11"/>
      <c r="C1095" s="11"/>
      <c r="D1095" s="11"/>
      <c r="E1095" s="11"/>
      <c r="F1095" s="11"/>
      <c r="G1095" s="11"/>
      <c r="J1095" s="37"/>
    </row>
    <row r="1096">
      <c r="A1096" s="100"/>
      <c r="B1096" s="11"/>
      <c r="C1096" s="11"/>
      <c r="D1096" s="11"/>
      <c r="E1096" s="11"/>
      <c r="F1096" s="11"/>
      <c r="G1096" s="11"/>
      <c r="J1096" s="37"/>
    </row>
    <row r="1097">
      <c r="A1097" s="100"/>
      <c r="B1097" s="11"/>
      <c r="C1097" s="11"/>
      <c r="D1097" s="11"/>
      <c r="E1097" s="11"/>
      <c r="F1097" s="11"/>
      <c r="G1097" s="11"/>
      <c r="J1097" s="37"/>
    </row>
    <row r="1098">
      <c r="A1098" s="100"/>
      <c r="B1098" s="11"/>
      <c r="C1098" s="11"/>
      <c r="D1098" s="11"/>
      <c r="E1098" s="11"/>
      <c r="F1098" s="11"/>
      <c r="G1098" s="11"/>
      <c r="J1098" s="37"/>
    </row>
    <row r="1099">
      <c r="A1099" s="100"/>
      <c r="B1099" s="11"/>
      <c r="C1099" s="11"/>
      <c r="D1099" s="11"/>
      <c r="E1099" s="11"/>
      <c r="F1099" s="11"/>
      <c r="G1099" s="11"/>
      <c r="J1099" s="37"/>
    </row>
    <row r="1100">
      <c r="A1100" s="100"/>
      <c r="B1100" s="11"/>
      <c r="C1100" s="11"/>
      <c r="D1100" s="11"/>
      <c r="E1100" s="11"/>
      <c r="F1100" s="11"/>
      <c r="G1100" s="11"/>
      <c r="J1100" s="37"/>
    </row>
    <row r="1101">
      <c r="A1101" s="100"/>
      <c r="B1101" s="11"/>
      <c r="C1101" s="11"/>
      <c r="D1101" s="11"/>
      <c r="E1101" s="11"/>
      <c r="F1101" s="11"/>
      <c r="G1101" s="11"/>
      <c r="J1101" s="37"/>
    </row>
    <row r="1102">
      <c r="A1102" s="100"/>
      <c r="B1102" s="11"/>
      <c r="C1102" s="11"/>
      <c r="D1102" s="11"/>
      <c r="E1102" s="11"/>
      <c r="F1102" s="11"/>
      <c r="G1102" s="11"/>
      <c r="J1102" s="37"/>
    </row>
    <row r="1103">
      <c r="A1103" s="100"/>
      <c r="B1103" s="11"/>
      <c r="C1103" s="11"/>
      <c r="D1103" s="11"/>
      <c r="E1103" s="11"/>
      <c r="F1103" s="11"/>
      <c r="G1103" s="11"/>
      <c r="J1103" s="37"/>
    </row>
    <row r="1104">
      <c r="A1104" s="100"/>
      <c r="B1104" s="11"/>
      <c r="C1104" s="11"/>
      <c r="D1104" s="11"/>
      <c r="E1104" s="11"/>
      <c r="F1104" s="11"/>
      <c r="G1104" s="11"/>
      <c r="J1104" s="37"/>
    </row>
    <row r="1105">
      <c r="A1105" s="100"/>
      <c r="B1105" s="11"/>
      <c r="C1105" s="11"/>
      <c r="D1105" s="11"/>
      <c r="E1105" s="11"/>
      <c r="F1105" s="11"/>
      <c r="G1105" s="11"/>
      <c r="J1105" s="37"/>
    </row>
    <row r="1106">
      <c r="A1106" s="100"/>
      <c r="B1106" s="11"/>
      <c r="C1106" s="11"/>
      <c r="D1106" s="11"/>
      <c r="E1106" s="11"/>
      <c r="F1106" s="11"/>
      <c r="G1106" s="11"/>
      <c r="J1106" s="37"/>
    </row>
    <row r="1107">
      <c r="A1107" s="100"/>
      <c r="B1107" s="11"/>
      <c r="C1107" s="11"/>
      <c r="D1107" s="11"/>
      <c r="E1107" s="11"/>
      <c r="F1107" s="11"/>
      <c r="G1107" s="11"/>
      <c r="J1107" s="37"/>
    </row>
    <row r="1108">
      <c r="A1108" s="100"/>
      <c r="B1108" s="11"/>
      <c r="C1108" s="11"/>
      <c r="D1108" s="11"/>
      <c r="E1108" s="11"/>
      <c r="F1108" s="11"/>
      <c r="G1108" s="11"/>
      <c r="J1108" s="37"/>
    </row>
    <row r="1109">
      <c r="A1109" s="100"/>
      <c r="B1109" s="11"/>
      <c r="C1109" s="11"/>
      <c r="D1109" s="11"/>
      <c r="E1109" s="11"/>
      <c r="F1109" s="11"/>
      <c r="G1109" s="11"/>
      <c r="J1109" s="37"/>
    </row>
    <row r="1110">
      <c r="A1110" s="100"/>
      <c r="B1110" s="11"/>
      <c r="C1110" s="11"/>
      <c r="D1110" s="11"/>
      <c r="E1110" s="11"/>
      <c r="F1110" s="11"/>
      <c r="G1110" s="11"/>
      <c r="J1110" s="37"/>
    </row>
    <row r="1111">
      <c r="A1111" s="100"/>
      <c r="B1111" s="11"/>
      <c r="C1111" s="11"/>
      <c r="D1111" s="11"/>
      <c r="E1111" s="11"/>
      <c r="F1111" s="11"/>
      <c r="G1111" s="11"/>
      <c r="J1111" s="37"/>
    </row>
    <row r="1112">
      <c r="A1112" s="100"/>
      <c r="B1112" s="11"/>
      <c r="C1112" s="11"/>
      <c r="D1112" s="11"/>
      <c r="E1112" s="11"/>
      <c r="F1112" s="11"/>
      <c r="G1112" s="11"/>
      <c r="J1112" s="37"/>
    </row>
    <row r="1113">
      <c r="A1113" s="100"/>
      <c r="B1113" s="11"/>
      <c r="C1113" s="11"/>
      <c r="D1113" s="11"/>
      <c r="E1113" s="11"/>
      <c r="F1113" s="11"/>
      <c r="G1113" s="11"/>
      <c r="J1113" s="37"/>
    </row>
    <row r="1114">
      <c r="A1114" s="100"/>
      <c r="B1114" s="11"/>
      <c r="C1114" s="11"/>
      <c r="D1114" s="11"/>
      <c r="E1114" s="11"/>
      <c r="F1114" s="11"/>
      <c r="G1114" s="11"/>
      <c r="J1114" s="37"/>
    </row>
    <row r="1115">
      <c r="A1115" s="100"/>
      <c r="B1115" s="11"/>
      <c r="C1115" s="11"/>
      <c r="D1115" s="11"/>
      <c r="E1115" s="11"/>
      <c r="F1115" s="11"/>
      <c r="G1115" s="11"/>
      <c r="J1115" s="37"/>
    </row>
    <row r="1116">
      <c r="A1116" s="100"/>
      <c r="B1116" s="11"/>
      <c r="C1116" s="11"/>
      <c r="D1116" s="11"/>
      <c r="E1116" s="11"/>
      <c r="F1116" s="11"/>
      <c r="G1116" s="11"/>
      <c r="J1116" s="37"/>
    </row>
    <row r="1117">
      <c r="A1117" s="100"/>
      <c r="B1117" s="11"/>
      <c r="C1117" s="11"/>
      <c r="D1117" s="11"/>
      <c r="E1117" s="11"/>
      <c r="F1117" s="11"/>
      <c r="G1117" s="11"/>
      <c r="J1117" s="37"/>
    </row>
    <row r="1118">
      <c r="A1118" s="100"/>
      <c r="B1118" s="11"/>
      <c r="C1118" s="11"/>
      <c r="D1118" s="11"/>
      <c r="E1118" s="11"/>
      <c r="F1118" s="11"/>
      <c r="G1118" s="11"/>
      <c r="J1118" s="37"/>
    </row>
    <row r="1119">
      <c r="A1119" s="100"/>
      <c r="B1119" s="11"/>
      <c r="C1119" s="11"/>
      <c r="D1119" s="11"/>
      <c r="E1119" s="11"/>
      <c r="F1119" s="11"/>
      <c r="G1119" s="11"/>
      <c r="J1119" s="37"/>
    </row>
    <row r="1120">
      <c r="A1120" s="100"/>
      <c r="B1120" s="11"/>
      <c r="C1120" s="11"/>
      <c r="D1120" s="11"/>
      <c r="E1120" s="11"/>
      <c r="F1120" s="11"/>
      <c r="G1120" s="11"/>
      <c r="J1120" s="37"/>
    </row>
    <row r="1121">
      <c r="A1121" s="100"/>
      <c r="B1121" s="11"/>
      <c r="C1121" s="11"/>
      <c r="D1121" s="11"/>
      <c r="E1121" s="11"/>
      <c r="F1121" s="11"/>
      <c r="G1121" s="11"/>
      <c r="J1121" s="37"/>
    </row>
    <row r="1122">
      <c r="A1122" s="100"/>
      <c r="B1122" s="11"/>
      <c r="C1122" s="11"/>
      <c r="D1122" s="11"/>
      <c r="E1122" s="11"/>
      <c r="F1122" s="11"/>
      <c r="G1122" s="11"/>
      <c r="J1122" s="37"/>
    </row>
    <row r="1123">
      <c r="A1123" s="100"/>
      <c r="B1123" s="11"/>
      <c r="C1123" s="11"/>
      <c r="D1123" s="11"/>
      <c r="E1123" s="11"/>
      <c r="F1123" s="11"/>
      <c r="G1123" s="11"/>
      <c r="J1123" s="37"/>
    </row>
    <row r="1124">
      <c r="A1124" s="100"/>
      <c r="B1124" s="11"/>
      <c r="C1124" s="11"/>
      <c r="D1124" s="11"/>
      <c r="E1124" s="11"/>
      <c r="F1124" s="11"/>
      <c r="G1124" s="11"/>
      <c r="J1124" s="37"/>
    </row>
    <row r="1125">
      <c r="A1125" s="100"/>
      <c r="B1125" s="11"/>
      <c r="C1125" s="11"/>
      <c r="D1125" s="11"/>
      <c r="E1125" s="11"/>
      <c r="F1125" s="11"/>
      <c r="G1125" s="11"/>
      <c r="J1125" s="37"/>
    </row>
    <row r="1126">
      <c r="A1126" s="100"/>
      <c r="B1126" s="11"/>
      <c r="C1126" s="11"/>
      <c r="D1126" s="11"/>
      <c r="E1126" s="11"/>
      <c r="F1126" s="11"/>
      <c r="G1126" s="11"/>
      <c r="J1126" s="37"/>
    </row>
    <row r="1127">
      <c r="A1127" s="100"/>
      <c r="B1127" s="11"/>
      <c r="C1127" s="11"/>
      <c r="D1127" s="11"/>
      <c r="E1127" s="11"/>
      <c r="F1127" s="11"/>
      <c r="G1127" s="11"/>
      <c r="J1127" s="37"/>
    </row>
    <row r="1128">
      <c r="A1128" s="100"/>
      <c r="B1128" s="11"/>
      <c r="C1128" s="11"/>
      <c r="D1128" s="11"/>
      <c r="E1128" s="11"/>
      <c r="F1128" s="11"/>
      <c r="G1128" s="11"/>
      <c r="J1128" s="37"/>
    </row>
    <row r="1129">
      <c r="A1129" s="100"/>
      <c r="B1129" s="11"/>
      <c r="C1129" s="11"/>
      <c r="D1129" s="11"/>
      <c r="E1129" s="11"/>
      <c r="F1129" s="11"/>
      <c r="G1129" s="11"/>
      <c r="J1129" s="37"/>
    </row>
    <row r="1130">
      <c r="A1130" s="100"/>
      <c r="B1130" s="11"/>
      <c r="C1130" s="11"/>
      <c r="D1130" s="11"/>
      <c r="E1130" s="11"/>
      <c r="F1130" s="11"/>
      <c r="G1130" s="11"/>
      <c r="J1130" s="37"/>
    </row>
    <row r="1131">
      <c r="A1131" s="100"/>
      <c r="B1131" s="11"/>
      <c r="C1131" s="11"/>
      <c r="D1131" s="11"/>
      <c r="E1131" s="11"/>
      <c r="F1131" s="11"/>
      <c r="G1131" s="11"/>
      <c r="J1131" s="37"/>
    </row>
    <row r="1132">
      <c r="A1132" s="100"/>
      <c r="B1132" s="11"/>
      <c r="C1132" s="11"/>
      <c r="D1132" s="11"/>
      <c r="E1132" s="11"/>
      <c r="F1132" s="11"/>
      <c r="G1132" s="11"/>
      <c r="J1132" s="37"/>
    </row>
    <row r="1133">
      <c r="A1133" s="100"/>
      <c r="B1133" s="11"/>
      <c r="C1133" s="11"/>
      <c r="D1133" s="11"/>
      <c r="E1133" s="11"/>
      <c r="F1133" s="11"/>
      <c r="G1133" s="11"/>
      <c r="J1133" s="37"/>
    </row>
    <row r="1134">
      <c r="A1134" s="100"/>
      <c r="B1134" s="11"/>
      <c r="C1134" s="11"/>
      <c r="D1134" s="11"/>
      <c r="E1134" s="11"/>
      <c r="F1134" s="11"/>
      <c r="G1134" s="11"/>
      <c r="J1134" s="37"/>
    </row>
    <row r="1135">
      <c r="A1135" s="100"/>
      <c r="B1135" s="11"/>
      <c r="C1135" s="11"/>
      <c r="D1135" s="11"/>
      <c r="E1135" s="11"/>
      <c r="F1135" s="11"/>
      <c r="G1135" s="11"/>
      <c r="J1135" s="37"/>
    </row>
    <row r="1136">
      <c r="A1136" s="100"/>
      <c r="B1136" s="11"/>
      <c r="C1136" s="11"/>
      <c r="D1136" s="11"/>
      <c r="E1136" s="11"/>
      <c r="F1136" s="11"/>
      <c r="G1136" s="11"/>
      <c r="J1136" s="37"/>
    </row>
    <row r="1137">
      <c r="A1137" s="100"/>
      <c r="B1137" s="11"/>
      <c r="C1137" s="11"/>
      <c r="D1137" s="11"/>
      <c r="E1137" s="11"/>
      <c r="F1137" s="11"/>
      <c r="G1137" s="11"/>
      <c r="J1137" s="37"/>
    </row>
    <row r="1138">
      <c r="A1138" s="100"/>
      <c r="B1138" s="11"/>
      <c r="C1138" s="11"/>
      <c r="D1138" s="11"/>
      <c r="E1138" s="11"/>
      <c r="F1138" s="11"/>
      <c r="G1138" s="11"/>
      <c r="J1138" s="37"/>
    </row>
    <row r="1139">
      <c r="A1139" s="100"/>
      <c r="B1139" s="11"/>
      <c r="C1139" s="11"/>
      <c r="D1139" s="11"/>
      <c r="E1139" s="11"/>
      <c r="F1139" s="11"/>
      <c r="G1139" s="11"/>
      <c r="J1139" s="37"/>
    </row>
    <row r="1140">
      <c r="A1140" s="100"/>
      <c r="B1140" s="11"/>
      <c r="C1140" s="11"/>
      <c r="D1140" s="11"/>
      <c r="E1140" s="11"/>
      <c r="F1140" s="11"/>
      <c r="G1140" s="11"/>
      <c r="J1140" s="37"/>
    </row>
    <row r="1141">
      <c r="A1141" s="100"/>
      <c r="B1141" s="11"/>
      <c r="C1141" s="11"/>
      <c r="D1141" s="11"/>
      <c r="E1141" s="11"/>
      <c r="F1141" s="11"/>
      <c r="G1141" s="11"/>
      <c r="J1141" s="37"/>
    </row>
    <row r="1142">
      <c r="A1142" s="100"/>
      <c r="B1142" s="11"/>
      <c r="C1142" s="11"/>
      <c r="D1142" s="11"/>
      <c r="E1142" s="11"/>
      <c r="F1142" s="11"/>
      <c r="G1142" s="11"/>
      <c r="J1142" s="37"/>
    </row>
    <row r="1143">
      <c r="A1143" s="100"/>
      <c r="B1143" s="11"/>
      <c r="C1143" s="11"/>
      <c r="D1143" s="11"/>
      <c r="E1143" s="11"/>
      <c r="F1143" s="11"/>
      <c r="G1143" s="11"/>
      <c r="J1143" s="37"/>
    </row>
    <row r="1144">
      <c r="A1144" s="100"/>
      <c r="B1144" s="11"/>
      <c r="C1144" s="11"/>
      <c r="D1144" s="11"/>
      <c r="E1144" s="11"/>
      <c r="F1144" s="11"/>
      <c r="G1144" s="11"/>
      <c r="J1144" s="37"/>
    </row>
    <row r="1145">
      <c r="A1145" s="100"/>
      <c r="B1145" s="11"/>
      <c r="C1145" s="11"/>
      <c r="D1145" s="11"/>
      <c r="E1145" s="11"/>
      <c r="F1145" s="11"/>
      <c r="G1145" s="11"/>
      <c r="J1145" s="37"/>
    </row>
    <row r="1146">
      <c r="A1146" s="100"/>
      <c r="B1146" s="11"/>
      <c r="C1146" s="11"/>
      <c r="D1146" s="11"/>
      <c r="E1146" s="11"/>
      <c r="F1146" s="11"/>
      <c r="G1146" s="11"/>
      <c r="J1146" s="37"/>
    </row>
    <row r="1147">
      <c r="A1147" s="100"/>
      <c r="B1147" s="11"/>
      <c r="C1147" s="11"/>
      <c r="D1147" s="11"/>
      <c r="E1147" s="11"/>
      <c r="F1147" s="11"/>
      <c r="G1147" s="11"/>
      <c r="J1147" s="37"/>
    </row>
    <row r="1148">
      <c r="A1148" s="100"/>
      <c r="B1148" s="11"/>
      <c r="C1148" s="11"/>
      <c r="D1148" s="11"/>
      <c r="E1148" s="11"/>
      <c r="F1148" s="11"/>
      <c r="G1148" s="11"/>
      <c r="J1148" s="37"/>
    </row>
    <row r="1149">
      <c r="A1149" s="100"/>
      <c r="B1149" s="11"/>
      <c r="C1149" s="11"/>
      <c r="D1149" s="11"/>
      <c r="E1149" s="11"/>
      <c r="F1149" s="11"/>
      <c r="G1149" s="11"/>
      <c r="J1149" s="37"/>
    </row>
    <row r="1150">
      <c r="A1150" s="100"/>
      <c r="B1150" s="11"/>
      <c r="C1150" s="11"/>
      <c r="D1150" s="11"/>
      <c r="E1150" s="11"/>
      <c r="F1150" s="11"/>
      <c r="G1150" s="11"/>
      <c r="J1150" s="37"/>
    </row>
    <row r="1151">
      <c r="A1151" s="100"/>
      <c r="B1151" s="11"/>
      <c r="C1151" s="11"/>
      <c r="D1151" s="11"/>
      <c r="E1151" s="11"/>
      <c r="F1151" s="11"/>
      <c r="G1151" s="11"/>
      <c r="J1151" s="37"/>
    </row>
    <row r="1152">
      <c r="A1152" s="100"/>
      <c r="B1152" s="11"/>
      <c r="C1152" s="11"/>
      <c r="D1152" s="11"/>
      <c r="E1152" s="11"/>
      <c r="F1152" s="11"/>
      <c r="G1152" s="11"/>
      <c r="J1152" s="37"/>
    </row>
    <row r="1153">
      <c r="A1153" s="100"/>
      <c r="B1153" s="11"/>
      <c r="C1153" s="11"/>
      <c r="D1153" s="11"/>
      <c r="E1153" s="11"/>
      <c r="F1153" s="11"/>
      <c r="G1153" s="11"/>
      <c r="J1153" s="37"/>
    </row>
    <row r="1154">
      <c r="A1154" s="100"/>
      <c r="B1154" s="11"/>
      <c r="C1154" s="11"/>
      <c r="D1154" s="11"/>
      <c r="E1154" s="11"/>
      <c r="F1154" s="11"/>
      <c r="G1154" s="11"/>
      <c r="J1154" s="37"/>
    </row>
    <row r="1155">
      <c r="A1155" s="100"/>
      <c r="B1155" s="11"/>
      <c r="C1155" s="11"/>
      <c r="D1155" s="11"/>
      <c r="E1155" s="11"/>
      <c r="F1155" s="11"/>
      <c r="G1155" s="11"/>
      <c r="J1155" s="37"/>
    </row>
    <row r="1156">
      <c r="A1156" s="100"/>
      <c r="B1156" s="11"/>
      <c r="C1156" s="11"/>
      <c r="D1156" s="11"/>
      <c r="E1156" s="11"/>
      <c r="F1156" s="11"/>
      <c r="G1156" s="11"/>
      <c r="J1156" s="37"/>
    </row>
    <row r="1157">
      <c r="A1157" s="100"/>
      <c r="B1157" s="11"/>
      <c r="C1157" s="11"/>
      <c r="D1157" s="11"/>
      <c r="E1157" s="11"/>
      <c r="F1157" s="11"/>
      <c r="G1157" s="11"/>
      <c r="J1157" s="37"/>
    </row>
    <row r="1158">
      <c r="A1158" s="100"/>
      <c r="B1158" s="11"/>
      <c r="C1158" s="11"/>
      <c r="D1158" s="11"/>
      <c r="E1158" s="11"/>
      <c r="F1158" s="11"/>
      <c r="G1158" s="11"/>
      <c r="J1158" s="37"/>
    </row>
    <row r="1159">
      <c r="A1159" s="100"/>
      <c r="B1159" s="11"/>
      <c r="C1159" s="11"/>
      <c r="D1159" s="11"/>
      <c r="E1159" s="11"/>
      <c r="F1159" s="11"/>
      <c r="G1159" s="11"/>
      <c r="J1159" s="37"/>
    </row>
    <row r="1160">
      <c r="A1160" s="100"/>
      <c r="B1160" s="11"/>
      <c r="C1160" s="11"/>
      <c r="D1160" s="11"/>
      <c r="E1160" s="11"/>
      <c r="F1160" s="11"/>
      <c r="G1160" s="11"/>
      <c r="J1160" s="37"/>
    </row>
    <row r="1161">
      <c r="A1161" s="100"/>
      <c r="B1161" s="11"/>
      <c r="C1161" s="11"/>
      <c r="D1161" s="11"/>
      <c r="E1161" s="11"/>
      <c r="F1161" s="11"/>
      <c r="G1161" s="11"/>
      <c r="J1161" s="37"/>
    </row>
    <row r="1162">
      <c r="A1162" s="100"/>
      <c r="B1162" s="11"/>
      <c r="C1162" s="11"/>
      <c r="D1162" s="11"/>
      <c r="E1162" s="11"/>
      <c r="F1162" s="11"/>
      <c r="G1162" s="11"/>
      <c r="J1162" s="37"/>
    </row>
    <row r="1163">
      <c r="A1163" s="100"/>
      <c r="B1163" s="11"/>
      <c r="C1163" s="11"/>
      <c r="D1163" s="11"/>
      <c r="E1163" s="11"/>
      <c r="F1163" s="11"/>
      <c r="G1163" s="11"/>
      <c r="J1163" s="37"/>
    </row>
    <row r="1164">
      <c r="A1164" s="100"/>
      <c r="B1164" s="11"/>
      <c r="C1164" s="11"/>
      <c r="D1164" s="11"/>
      <c r="E1164" s="11"/>
      <c r="F1164" s="11"/>
      <c r="G1164" s="11"/>
      <c r="J1164" s="37"/>
    </row>
    <row r="1165">
      <c r="A1165" s="100"/>
      <c r="B1165" s="11"/>
      <c r="C1165" s="11"/>
      <c r="D1165" s="11"/>
      <c r="E1165" s="11"/>
      <c r="F1165" s="11"/>
      <c r="G1165" s="11"/>
      <c r="J1165" s="37"/>
    </row>
    <row r="1166">
      <c r="A1166" s="100"/>
      <c r="B1166" s="11"/>
      <c r="C1166" s="11"/>
      <c r="D1166" s="11"/>
      <c r="E1166" s="11"/>
      <c r="F1166" s="11"/>
      <c r="G1166" s="11"/>
      <c r="J1166" s="37"/>
    </row>
    <row r="1167">
      <c r="A1167" s="100"/>
      <c r="B1167" s="11"/>
      <c r="C1167" s="11"/>
      <c r="D1167" s="11"/>
      <c r="E1167" s="11"/>
      <c r="F1167" s="11"/>
      <c r="G1167" s="11"/>
      <c r="J1167" s="37"/>
    </row>
    <row r="1168">
      <c r="A1168" s="100"/>
      <c r="B1168" s="11"/>
      <c r="C1168" s="11"/>
      <c r="D1168" s="11"/>
      <c r="E1168" s="11"/>
      <c r="F1168" s="11"/>
      <c r="G1168" s="11"/>
      <c r="J1168" s="37"/>
    </row>
    <row r="1169">
      <c r="A1169" s="100"/>
      <c r="B1169" s="11"/>
      <c r="C1169" s="11"/>
      <c r="D1169" s="11"/>
      <c r="E1169" s="11"/>
      <c r="F1169" s="11"/>
      <c r="G1169" s="11"/>
      <c r="J1169" s="37"/>
    </row>
    <row r="1170">
      <c r="A1170" s="100"/>
      <c r="B1170" s="11"/>
      <c r="C1170" s="11"/>
      <c r="D1170" s="11"/>
      <c r="E1170" s="11"/>
      <c r="F1170" s="11"/>
      <c r="G1170" s="11"/>
      <c r="J1170" s="37"/>
    </row>
    <row r="1171">
      <c r="A1171" s="100"/>
      <c r="B1171" s="11"/>
      <c r="C1171" s="11"/>
      <c r="D1171" s="11"/>
      <c r="E1171" s="11"/>
      <c r="F1171" s="11"/>
      <c r="G1171" s="11"/>
      <c r="J1171" s="37"/>
    </row>
    <row r="1172">
      <c r="A1172" s="100"/>
      <c r="B1172" s="11"/>
      <c r="C1172" s="11"/>
      <c r="D1172" s="11"/>
      <c r="E1172" s="11"/>
      <c r="F1172" s="11"/>
      <c r="G1172" s="11"/>
      <c r="J1172" s="37"/>
    </row>
    <row r="1173">
      <c r="A1173" s="100"/>
      <c r="B1173" s="11"/>
      <c r="C1173" s="11"/>
      <c r="D1173" s="11"/>
      <c r="E1173" s="11"/>
      <c r="F1173" s="11"/>
      <c r="G1173" s="11"/>
      <c r="J1173" s="37"/>
    </row>
    <row r="1174">
      <c r="A1174" s="100"/>
      <c r="B1174" s="11"/>
      <c r="C1174" s="11"/>
      <c r="D1174" s="11"/>
      <c r="E1174" s="11"/>
      <c r="F1174" s="11"/>
      <c r="G1174" s="11"/>
      <c r="J1174" s="37"/>
    </row>
    <row r="1175">
      <c r="A1175" s="100"/>
      <c r="B1175" s="11"/>
      <c r="C1175" s="11"/>
      <c r="D1175" s="11"/>
      <c r="E1175" s="11"/>
      <c r="F1175" s="11"/>
      <c r="G1175" s="11"/>
      <c r="J1175" s="37"/>
    </row>
    <row r="1176">
      <c r="A1176" s="100"/>
      <c r="B1176" s="11"/>
      <c r="C1176" s="11"/>
      <c r="D1176" s="11"/>
      <c r="E1176" s="11"/>
      <c r="F1176" s="11"/>
      <c r="G1176" s="11"/>
      <c r="J1176" s="37"/>
    </row>
    <row r="1177">
      <c r="A1177" s="100"/>
      <c r="B1177" s="11"/>
      <c r="C1177" s="11"/>
      <c r="D1177" s="11"/>
      <c r="E1177" s="11"/>
      <c r="F1177" s="11"/>
      <c r="G1177" s="11"/>
      <c r="J1177" s="37"/>
    </row>
    <row r="1178">
      <c r="A1178" s="100"/>
      <c r="B1178" s="11"/>
      <c r="C1178" s="11"/>
      <c r="D1178" s="11"/>
      <c r="E1178" s="11"/>
      <c r="F1178" s="11"/>
      <c r="G1178" s="11"/>
      <c r="J1178" s="37"/>
    </row>
    <row r="1179">
      <c r="A1179" s="100"/>
      <c r="B1179" s="11"/>
      <c r="C1179" s="11"/>
      <c r="D1179" s="11"/>
      <c r="E1179" s="11"/>
      <c r="F1179" s="11"/>
      <c r="G1179" s="11"/>
      <c r="J1179" s="37"/>
    </row>
    <row r="1180">
      <c r="A1180" s="100"/>
      <c r="B1180" s="11"/>
      <c r="C1180" s="11"/>
      <c r="D1180" s="11"/>
      <c r="E1180" s="11"/>
      <c r="F1180" s="11"/>
      <c r="G1180" s="11"/>
      <c r="J1180" s="37"/>
    </row>
    <row r="1181">
      <c r="A1181" s="100"/>
      <c r="B1181" s="11"/>
      <c r="C1181" s="11"/>
      <c r="D1181" s="11"/>
      <c r="E1181" s="11"/>
      <c r="F1181" s="11"/>
      <c r="G1181" s="11"/>
      <c r="J1181" s="37"/>
    </row>
    <row r="1182">
      <c r="A1182" s="100"/>
      <c r="B1182" s="11"/>
      <c r="C1182" s="11"/>
      <c r="D1182" s="11"/>
      <c r="E1182" s="11"/>
      <c r="F1182" s="11"/>
      <c r="G1182" s="11"/>
      <c r="J1182" s="37"/>
    </row>
    <row r="1183">
      <c r="A1183" s="100"/>
      <c r="B1183" s="11"/>
      <c r="C1183" s="11"/>
      <c r="D1183" s="11"/>
      <c r="E1183" s="11"/>
      <c r="F1183" s="11"/>
      <c r="G1183" s="11"/>
      <c r="J1183" s="37"/>
    </row>
    <row r="1184">
      <c r="A1184" s="100"/>
      <c r="B1184" s="11"/>
      <c r="C1184" s="11"/>
      <c r="D1184" s="11"/>
      <c r="E1184" s="11"/>
      <c r="F1184" s="11"/>
      <c r="G1184" s="11"/>
      <c r="J1184" s="37"/>
    </row>
    <row r="1185">
      <c r="A1185" s="100"/>
      <c r="B1185" s="11"/>
      <c r="C1185" s="11"/>
      <c r="D1185" s="11"/>
      <c r="E1185" s="11"/>
      <c r="F1185" s="11"/>
      <c r="G1185" s="11"/>
      <c r="J1185" s="37"/>
    </row>
    <row r="1186">
      <c r="A1186" s="100"/>
      <c r="B1186" s="11"/>
      <c r="C1186" s="11"/>
      <c r="D1186" s="11"/>
      <c r="E1186" s="11"/>
      <c r="F1186" s="11"/>
      <c r="G1186" s="11"/>
      <c r="J1186" s="37"/>
    </row>
    <row r="1187">
      <c r="A1187" s="100"/>
      <c r="B1187" s="11"/>
      <c r="C1187" s="11"/>
      <c r="D1187" s="11"/>
      <c r="E1187" s="11"/>
      <c r="F1187" s="11"/>
      <c r="G1187" s="11"/>
      <c r="J1187" s="37"/>
    </row>
    <row r="1188">
      <c r="A1188" s="100"/>
      <c r="B1188" s="11"/>
      <c r="C1188" s="11"/>
      <c r="D1188" s="11"/>
      <c r="E1188" s="11"/>
      <c r="F1188" s="11"/>
      <c r="G1188" s="11"/>
      <c r="J1188" s="37"/>
    </row>
    <row r="1189">
      <c r="A1189" s="100"/>
      <c r="B1189" s="11"/>
      <c r="C1189" s="11"/>
      <c r="D1189" s="11"/>
      <c r="E1189" s="11"/>
      <c r="F1189" s="11"/>
      <c r="G1189" s="11"/>
      <c r="J1189" s="37"/>
    </row>
    <row r="1190">
      <c r="A1190" s="100"/>
      <c r="B1190" s="11"/>
      <c r="C1190" s="11"/>
      <c r="D1190" s="11"/>
      <c r="E1190" s="11"/>
      <c r="F1190" s="11"/>
      <c r="G1190" s="11"/>
      <c r="J1190" s="37"/>
    </row>
    <row r="1191">
      <c r="A1191" s="100"/>
      <c r="B1191" s="11"/>
      <c r="C1191" s="11"/>
      <c r="D1191" s="11"/>
      <c r="E1191" s="11"/>
      <c r="F1191" s="11"/>
      <c r="G1191" s="11"/>
      <c r="J1191" s="37"/>
    </row>
    <row r="1192">
      <c r="A1192" s="100"/>
      <c r="B1192" s="11"/>
      <c r="C1192" s="11"/>
      <c r="D1192" s="11"/>
      <c r="E1192" s="11"/>
      <c r="F1192" s="11"/>
      <c r="G1192" s="11"/>
      <c r="J1192" s="37"/>
    </row>
    <row r="1193">
      <c r="A1193" s="100"/>
      <c r="B1193" s="11"/>
      <c r="C1193" s="11"/>
      <c r="D1193" s="11"/>
      <c r="E1193" s="11"/>
      <c r="F1193" s="11"/>
      <c r="G1193" s="11"/>
      <c r="J1193" s="37"/>
    </row>
    <row r="1194">
      <c r="A1194" s="100"/>
      <c r="B1194" s="11"/>
      <c r="C1194" s="11"/>
      <c r="D1194" s="11"/>
      <c r="E1194" s="11"/>
      <c r="F1194" s="11"/>
      <c r="G1194" s="11"/>
      <c r="J1194" s="37"/>
    </row>
  </sheetData>
  <conditionalFormatting sqref="A1:T1">
    <cfRule type="notContainsBlanks" dxfId="0" priority="1">
      <formula>LEN(TRIM(A1))&gt;0</formula>
    </cfRule>
  </conditionalFormatting>
  <conditionalFormatting sqref="B1:G1 H1:H1194">
    <cfRule type="expression" dxfId="1" priority="2">
      <formula>COUNTIF(#REF!, #REF!) &gt; 1</formula>
    </cfRule>
  </conditionalFormatting>
  <conditionalFormatting sqref="J1:J1194">
    <cfRule type="expression" dxfId="1" priority="3">
      <formula>"حضرت ابوالفضل العباس (ع)"</formula>
    </cfRule>
  </conditionalFormatting>
  <hyperlinks>
    <hyperlink r:id="rId1" ref="H2"/>
    <hyperlink r:id="rId2" ref="I2"/>
    <hyperlink r:id="rId3" ref="J2"/>
    <hyperlink r:id="rId4" ref="H3"/>
    <hyperlink r:id="rId5" ref="J4"/>
    <hyperlink r:id="rId6" ref="J5"/>
    <hyperlink r:id="rId7" ref="H6"/>
    <hyperlink r:id="rId8" ref="H7"/>
    <hyperlink r:id="rId9" ref="J7"/>
    <hyperlink r:id="rId10" ref="H8"/>
    <hyperlink r:id="rId11" ref="J8"/>
    <hyperlink r:id="rId12" ref="H9"/>
    <hyperlink r:id="rId13" ref="H10"/>
    <hyperlink r:id="rId14" ref="I10"/>
    <hyperlink r:id="rId15" ref="H11"/>
    <hyperlink r:id="rId16" ref="J12"/>
    <hyperlink r:id="rId17" ref="H13"/>
    <hyperlink r:id="rId18" ref="I13"/>
    <hyperlink r:id="rId19" ref="J13"/>
    <hyperlink r:id="rId20" ref="H14"/>
    <hyperlink r:id="rId21" ref="H15"/>
    <hyperlink r:id="rId22" ref="I15"/>
    <hyperlink r:id="rId23" ref="H16"/>
    <hyperlink r:id="rId24" ref="H17"/>
    <hyperlink r:id="rId25" ref="I17"/>
    <hyperlink r:id="rId26" ref="H18"/>
    <hyperlink r:id="rId27" ref="J18"/>
    <hyperlink r:id="rId28" ref="H19"/>
    <hyperlink r:id="rId29" ref="I19"/>
    <hyperlink r:id="rId30" ref="J19"/>
    <hyperlink r:id="rId31" ref="H20"/>
    <hyperlink r:id="rId32" ref="I20"/>
    <hyperlink r:id="rId33" ref="J20"/>
    <hyperlink r:id="rId34" ref="H21"/>
    <hyperlink r:id="rId35" ref="J21"/>
    <hyperlink r:id="rId36" ref="H22"/>
    <hyperlink r:id="rId37" ref="I22"/>
    <hyperlink r:id="rId38" ref="J23"/>
    <hyperlink r:id="rId39" ref="H24"/>
    <hyperlink r:id="rId40" ref="H25"/>
    <hyperlink r:id="rId41" ref="H26"/>
    <hyperlink r:id="rId42" ref="H27"/>
    <hyperlink r:id="rId43" ref="H28"/>
    <hyperlink r:id="rId44" ref="J29"/>
    <hyperlink r:id="rId45" ref="J30"/>
    <hyperlink r:id="rId46" ref="H31"/>
    <hyperlink r:id="rId47" ref="J31"/>
    <hyperlink r:id="rId48" ref="J32"/>
    <hyperlink r:id="rId49" ref="H33"/>
    <hyperlink r:id="rId50" ref="J33"/>
    <hyperlink r:id="rId51" ref="J34"/>
    <hyperlink r:id="rId52" ref="H35"/>
    <hyperlink r:id="rId53" ref="I35"/>
    <hyperlink r:id="rId54" ref="H36"/>
    <hyperlink r:id="rId55" ref="J37"/>
    <hyperlink r:id="rId56" ref="H38"/>
    <hyperlink r:id="rId57" ref="J39"/>
    <hyperlink r:id="rId58" ref="H40"/>
    <hyperlink r:id="rId59" ref="H41"/>
    <hyperlink r:id="rId60" ref="H42"/>
    <hyperlink r:id="rId61" ref="M42"/>
    <hyperlink r:id="rId62" ref="H43"/>
    <hyperlink r:id="rId63" ref="H44"/>
    <hyperlink r:id="rId64" ref="I44"/>
    <hyperlink r:id="rId65" ref="H45"/>
    <hyperlink r:id="rId66" ref="J46"/>
    <hyperlink r:id="rId67" ref="H47"/>
    <hyperlink r:id="rId68" ref="H48"/>
    <hyperlink r:id="rId69" ref="H49"/>
    <hyperlink r:id="rId70" ref="H50"/>
    <hyperlink r:id="rId71" ref="H51"/>
    <hyperlink r:id="rId72" ref="J51"/>
    <hyperlink r:id="rId73" ref="H52"/>
    <hyperlink r:id="rId74" ref="J53"/>
    <hyperlink r:id="rId75" ref="H54"/>
    <hyperlink r:id="rId76" ref="I54"/>
    <hyperlink r:id="rId77" ref="J55"/>
    <hyperlink r:id="rId78" ref="H56"/>
    <hyperlink r:id="rId79" ref="I56"/>
    <hyperlink r:id="rId80" ref="J56"/>
    <hyperlink r:id="rId81" ref="H57"/>
    <hyperlink r:id="rId82" ref="I58"/>
    <hyperlink r:id="rId83" ref="H59"/>
    <hyperlink r:id="rId84" ref="I59"/>
    <hyperlink r:id="rId85" ref="H60"/>
    <hyperlink r:id="rId86" ref="J61"/>
    <hyperlink r:id="rId87" ref="H62"/>
    <hyperlink r:id="rId88" ref="H63"/>
    <hyperlink r:id="rId89" ref="J64"/>
    <hyperlink r:id="rId90" ref="H65"/>
    <hyperlink r:id="rId91" ref="H66"/>
    <hyperlink r:id="rId92" ref="J66"/>
    <hyperlink r:id="rId93" ref="H67"/>
    <hyperlink r:id="rId94" ref="H68"/>
    <hyperlink r:id="rId95" ref="I68"/>
    <hyperlink r:id="rId96" ref="J68"/>
    <hyperlink r:id="rId97" ref="H69"/>
    <hyperlink r:id="rId98" ref="H70"/>
    <hyperlink r:id="rId99" ref="I71"/>
    <hyperlink r:id="rId100" ref="H72"/>
    <hyperlink r:id="rId101" ref="J72"/>
    <hyperlink r:id="rId102" ref="H73"/>
    <hyperlink r:id="rId103" ref="H74"/>
    <hyperlink r:id="rId104" ref="J74"/>
    <hyperlink r:id="rId105" ref="H75"/>
    <hyperlink r:id="rId106" ref="I76"/>
    <hyperlink r:id="rId107" ref="H77"/>
    <hyperlink r:id="rId108" ref="J77"/>
    <hyperlink r:id="rId109" ref="H78"/>
    <hyperlink r:id="rId110" ref="J78"/>
    <hyperlink r:id="rId111" ref="J79"/>
    <hyperlink r:id="rId112" ref="H80"/>
    <hyperlink r:id="rId113" ref="J81"/>
    <hyperlink r:id="rId114" ref="J82"/>
    <hyperlink r:id="rId115" ref="J83"/>
    <hyperlink r:id="rId116" ref="H84"/>
    <hyperlink r:id="rId117" ref="I84"/>
    <hyperlink r:id="rId118" ref="J84"/>
    <hyperlink r:id="rId119" ref="H85"/>
    <hyperlink r:id="rId120" ref="H86"/>
    <hyperlink r:id="rId121" ref="J86"/>
    <hyperlink r:id="rId122" ref="H87"/>
    <hyperlink r:id="rId123" ref="I87"/>
    <hyperlink r:id="rId124" ref="J87"/>
    <hyperlink r:id="rId125" ref="H88"/>
    <hyperlink r:id="rId126" ref="J88"/>
    <hyperlink r:id="rId127" ref="H89"/>
    <hyperlink r:id="rId128" ref="J90"/>
    <hyperlink r:id="rId129" ref="H91"/>
    <hyperlink r:id="rId130" ref="H92"/>
    <hyperlink r:id="rId131" ref="I92"/>
    <hyperlink r:id="rId132" ref="J92"/>
    <hyperlink r:id="rId133" ref="H93"/>
    <hyperlink r:id="rId134" ref="J93"/>
    <hyperlink r:id="rId135" ref="H94"/>
    <hyperlink r:id="rId136" ref="J94"/>
    <hyperlink r:id="rId137" ref="H95"/>
    <hyperlink r:id="rId138" ref="I95"/>
    <hyperlink r:id="rId139" ref="J96"/>
    <hyperlink r:id="rId140" ref="H97"/>
    <hyperlink r:id="rId141" ref="J97"/>
    <hyperlink r:id="rId142" ref="H98"/>
    <hyperlink r:id="rId143" ref="H99"/>
    <hyperlink r:id="rId144" ref="H100"/>
    <hyperlink r:id="rId145" ref="H101"/>
    <hyperlink r:id="rId146" ref="H102"/>
    <hyperlink r:id="rId147" ref="H103"/>
    <hyperlink r:id="rId148" ref="J103"/>
    <hyperlink r:id="rId149" ref="H104"/>
    <hyperlink r:id="rId150" ref="I104"/>
    <hyperlink r:id="rId151" ref="H105"/>
    <hyperlink r:id="rId152" ref="H106"/>
    <hyperlink r:id="rId153" ref="I106"/>
    <hyperlink r:id="rId154" ref="J106"/>
    <hyperlink r:id="rId155" ref="J107"/>
    <hyperlink r:id="rId156" ref="H108"/>
    <hyperlink r:id="rId157" ref="H109"/>
    <hyperlink r:id="rId158" ref="I109"/>
    <hyperlink r:id="rId159" ref="J110"/>
    <hyperlink r:id="rId160" ref="H111"/>
    <hyperlink r:id="rId161" ref="J111"/>
    <hyperlink r:id="rId162" ref="H112"/>
    <hyperlink r:id="rId163" ref="H113"/>
    <hyperlink r:id="rId164" ref="J114"/>
    <hyperlink r:id="rId165" ref="H115"/>
    <hyperlink r:id="rId166" ref="H116"/>
    <hyperlink r:id="rId167" ref="I116"/>
    <hyperlink r:id="rId168" ref="H117"/>
    <hyperlink r:id="rId169" ref="H118"/>
    <hyperlink r:id="rId170" ref="H119"/>
    <hyperlink r:id="rId171" ref="H120"/>
    <hyperlink r:id="rId172" ref="J120"/>
    <hyperlink r:id="rId173" ref="H121"/>
    <hyperlink r:id="rId174" ref="J122"/>
    <hyperlink r:id="rId175" ref="J123"/>
    <hyperlink r:id="rId176" ref="H124"/>
    <hyperlink r:id="rId177" ref="I124"/>
    <hyperlink r:id="rId178" ref="J124"/>
    <hyperlink r:id="rId179" ref="H125"/>
    <hyperlink r:id="rId180" ref="J125"/>
    <hyperlink r:id="rId181" ref="I126"/>
    <hyperlink r:id="rId182" ref="H127"/>
    <hyperlink r:id="rId183" ref="I127"/>
    <hyperlink r:id="rId184" ref="J127"/>
    <hyperlink r:id="rId185" ref="H128"/>
    <hyperlink r:id="rId186" ref="H129"/>
    <hyperlink r:id="rId187" ref="J129"/>
    <hyperlink r:id="rId188" ref="H130"/>
    <hyperlink r:id="rId189" ref="J130"/>
    <hyperlink r:id="rId190" ref="J131"/>
    <hyperlink r:id="rId191" ref="H132"/>
    <hyperlink r:id="rId192" ref="H133"/>
    <hyperlink r:id="rId193" ref="J133"/>
    <hyperlink r:id="rId194" ref="I134"/>
    <hyperlink r:id="rId195" ref="H135"/>
    <hyperlink r:id="rId196" ref="J135"/>
    <hyperlink r:id="rId197" ref="J136"/>
    <hyperlink r:id="rId198" ref="H137"/>
    <hyperlink r:id="rId199" ref="I137"/>
    <hyperlink r:id="rId200" ref="J137"/>
    <hyperlink r:id="rId201" ref="H138"/>
    <hyperlink r:id="rId202" ref="I138"/>
    <hyperlink r:id="rId203" ref="H139"/>
    <hyperlink r:id="rId204" ref="J139"/>
    <hyperlink r:id="rId205" ref="H140"/>
    <hyperlink r:id="rId206" ref="J140"/>
    <hyperlink r:id="rId207" ref="H141"/>
    <hyperlink r:id="rId208" ref="I141"/>
    <hyperlink r:id="rId209" ref="J142"/>
    <hyperlink r:id="rId210" ref="H143"/>
    <hyperlink r:id="rId211" ref="J143"/>
    <hyperlink r:id="rId212" ref="H144"/>
    <hyperlink r:id="rId213" ref="I144"/>
    <hyperlink r:id="rId214" ref="J144"/>
    <hyperlink r:id="rId215" ref="H145"/>
    <hyperlink r:id="rId216" ref="J145"/>
    <hyperlink r:id="rId217" ref="J146"/>
    <hyperlink r:id="rId218" ref="J147"/>
    <hyperlink r:id="rId219" ref="H148"/>
    <hyperlink r:id="rId220" ref="H149"/>
    <hyperlink r:id="rId221" ref="H150"/>
    <hyperlink r:id="rId222" ref="J150"/>
    <hyperlink r:id="rId223" ref="H151"/>
    <hyperlink r:id="rId224" ref="I151"/>
    <hyperlink r:id="rId225" ref="H152"/>
    <hyperlink r:id="rId226" ref="J152"/>
    <hyperlink r:id="rId227" ref="H153"/>
    <hyperlink r:id="rId228" ref="J153"/>
    <hyperlink r:id="rId229" ref="H154"/>
    <hyperlink r:id="rId230" ref="H155"/>
    <hyperlink r:id="rId231" ref="J155"/>
    <hyperlink r:id="rId232" ref="H156"/>
    <hyperlink r:id="rId233" ref="H157"/>
    <hyperlink r:id="rId234" ref="J157"/>
    <hyperlink r:id="rId235" ref="H158"/>
    <hyperlink r:id="rId236" ref="H159"/>
    <hyperlink r:id="rId237" ref="I159"/>
    <hyperlink r:id="rId238" ref="J160"/>
    <hyperlink r:id="rId239" ref="H161"/>
    <hyperlink r:id="rId240" ref="J161"/>
    <hyperlink r:id="rId241" ref="H162"/>
    <hyperlink r:id="rId242" ref="H163"/>
    <hyperlink r:id="rId243" ref="J163"/>
    <hyperlink r:id="rId244" ref="H164"/>
    <hyperlink r:id="rId245" ref="H165"/>
    <hyperlink r:id="rId246" ref="J165"/>
    <hyperlink r:id="rId247" ref="H166"/>
    <hyperlink r:id="rId248" ref="H167"/>
    <hyperlink r:id="rId249" ref="H168"/>
    <hyperlink r:id="rId250" ref="H169"/>
    <hyperlink r:id="rId251" ref="H170"/>
    <hyperlink r:id="rId252" ref="J170"/>
    <hyperlink r:id="rId253" ref="H171"/>
    <hyperlink r:id="rId254" ref="H172"/>
    <hyperlink r:id="rId255" ref="H173"/>
    <hyperlink r:id="rId256" ref="J173"/>
    <hyperlink r:id="rId257" ref="H174"/>
    <hyperlink r:id="rId258" ref="H175"/>
    <hyperlink r:id="rId259" ref="J176"/>
    <hyperlink r:id="rId260" ref="H177"/>
    <hyperlink r:id="rId261" ref="I177"/>
    <hyperlink r:id="rId262" ref="H178"/>
    <hyperlink r:id="rId263" ref="H179"/>
    <hyperlink r:id="rId264" ref="H180"/>
    <hyperlink r:id="rId265" ref="I180"/>
    <hyperlink r:id="rId266" ref="H181"/>
    <hyperlink r:id="rId267" ref="I182"/>
    <hyperlink r:id="rId268" ref="H183"/>
    <hyperlink r:id="rId269" ref="H184"/>
    <hyperlink r:id="rId270" ref="H185"/>
    <hyperlink r:id="rId271" ref="H186"/>
    <hyperlink r:id="rId272" ref="I186"/>
    <hyperlink r:id="rId273" ref="H187"/>
    <hyperlink r:id="rId274" ref="J188"/>
    <hyperlink r:id="rId275" ref="H189"/>
    <hyperlink r:id="rId276" ref="H190"/>
    <hyperlink r:id="rId277" ref="J191"/>
    <hyperlink r:id="rId278" ref="H192"/>
    <hyperlink r:id="rId279" ref="I192"/>
    <hyperlink r:id="rId280" ref="H193"/>
    <hyperlink r:id="rId281" ref="H194"/>
    <hyperlink r:id="rId282" ref="H195"/>
    <hyperlink r:id="rId283" ref="I195"/>
    <hyperlink r:id="rId284" ref="H196"/>
    <hyperlink r:id="rId285" ref="I196"/>
    <hyperlink r:id="rId286" ref="H197"/>
    <hyperlink r:id="rId287" ref="I197"/>
    <hyperlink r:id="rId288" ref="J197"/>
    <hyperlink r:id="rId289" ref="K197"/>
    <hyperlink r:id="rId290" ref="H198"/>
    <hyperlink r:id="rId291" ref="J198"/>
    <hyperlink r:id="rId292" ref="H199"/>
    <hyperlink r:id="rId293" ref="H200"/>
    <hyperlink r:id="rId294" ref="I200"/>
    <hyperlink r:id="rId295" ref="H201"/>
    <hyperlink r:id="rId296" ref="I201"/>
    <hyperlink r:id="rId297" ref="J201"/>
    <hyperlink r:id="rId298" ref="H202"/>
    <hyperlink r:id="rId299" ref="J202"/>
    <hyperlink r:id="rId300" ref="H203"/>
    <hyperlink r:id="rId301" ref="J203"/>
    <hyperlink r:id="rId302" ref="H204"/>
    <hyperlink r:id="rId303" ref="J204"/>
    <hyperlink r:id="rId304" ref="H205"/>
    <hyperlink r:id="rId305" ref="H206"/>
    <hyperlink r:id="rId306" ref="H207"/>
    <hyperlink r:id="rId307" ref="H208"/>
    <hyperlink r:id="rId308" ref="H209"/>
    <hyperlink r:id="rId309" ref="H210"/>
    <hyperlink r:id="rId310" ref="H211"/>
    <hyperlink r:id="rId311" ref="H212"/>
    <hyperlink r:id="rId312" ref="H213"/>
    <hyperlink r:id="rId313" ref="I213"/>
    <hyperlink r:id="rId314" ref="J213"/>
    <hyperlink r:id="rId315" ref="H214"/>
    <hyperlink r:id="rId316" ref="I214"/>
    <hyperlink r:id="rId317" ref="H215"/>
    <hyperlink r:id="rId318" ref="H216"/>
    <hyperlink r:id="rId319" ref="H217"/>
    <hyperlink r:id="rId320" ref="H218"/>
    <hyperlink r:id="rId321" ref="H219"/>
    <hyperlink r:id="rId322" ref="H220"/>
    <hyperlink r:id="rId323" ref="I220"/>
    <hyperlink r:id="rId324" ref="J220"/>
    <hyperlink r:id="rId325" ref="H221"/>
    <hyperlink r:id="rId326" ref="J221"/>
    <hyperlink r:id="rId327" ref="H222"/>
    <hyperlink r:id="rId328" ref="H223"/>
    <hyperlink r:id="rId329" ref="H224"/>
    <hyperlink r:id="rId330" ref="H225"/>
    <hyperlink r:id="rId331" ref="H226"/>
    <hyperlink r:id="rId332" ref="H227"/>
    <hyperlink r:id="rId333" ref="J227"/>
    <hyperlink r:id="rId334" ref="H228"/>
    <hyperlink r:id="rId335" ref="H229"/>
    <hyperlink r:id="rId336" ref="I229"/>
    <hyperlink r:id="rId337" ref="H230"/>
    <hyperlink r:id="rId338" ref="I230"/>
    <hyperlink r:id="rId339" ref="H231"/>
    <hyperlink r:id="rId340" ref="J231"/>
    <hyperlink r:id="rId341" ref="H232"/>
    <hyperlink r:id="rId342" ref="I232"/>
    <hyperlink r:id="rId343" ref="H233"/>
    <hyperlink r:id="rId344" ref="I233"/>
    <hyperlink r:id="rId345" ref="H234"/>
    <hyperlink r:id="rId346" ref="J234"/>
    <hyperlink r:id="rId347" ref="H235"/>
    <hyperlink r:id="rId348" ref="H236"/>
    <hyperlink r:id="rId349" ref="H237"/>
    <hyperlink r:id="rId350" ref="J237"/>
    <hyperlink r:id="rId351" ref="H238"/>
    <hyperlink r:id="rId352" ref="H239"/>
    <hyperlink r:id="rId353" ref="J239"/>
    <hyperlink r:id="rId354" ref="H240"/>
    <hyperlink r:id="rId355" ref="H241"/>
    <hyperlink r:id="rId356" ref="H242"/>
    <hyperlink r:id="rId357" ref="H243"/>
    <hyperlink r:id="rId358" ref="H244"/>
    <hyperlink r:id="rId359" ref="H245"/>
    <hyperlink r:id="rId360" ref="H246"/>
    <hyperlink r:id="rId361" ref="I246"/>
    <hyperlink r:id="rId362" ref="H247"/>
    <hyperlink r:id="rId363" ref="H248"/>
    <hyperlink r:id="rId364" ref="H249"/>
    <hyperlink r:id="rId365" ref="H250"/>
    <hyperlink r:id="rId366" ref="I250"/>
    <hyperlink r:id="rId367" ref="H251"/>
    <hyperlink r:id="rId368" ref="H252"/>
    <hyperlink r:id="rId369" ref="H253"/>
    <hyperlink r:id="rId370" ref="I253"/>
    <hyperlink r:id="rId371" ref="H254"/>
    <hyperlink r:id="rId372" ref="H255"/>
    <hyperlink r:id="rId373" ref="H256"/>
    <hyperlink r:id="rId374" ref="I256"/>
    <hyperlink r:id="rId375" ref="H257"/>
    <hyperlink r:id="rId376" ref="H258"/>
    <hyperlink r:id="rId377" ref="H259"/>
    <hyperlink r:id="rId378" ref="I259"/>
    <hyperlink r:id="rId379" ref="H260"/>
    <hyperlink r:id="rId380" ref="H261"/>
    <hyperlink r:id="rId381" ref="J261"/>
    <hyperlink r:id="rId382" ref="H262"/>
    <hyperlink r:id="rId383" ref="I262"/>
    <hyperlink r:id="rId384" ref="J262"/>
    <hyperlink r:id="rId385" ref="H263"/>
    <hyperlink r:id="rId386" ref="I263"/>
    <hyperlink r:id="rId387" ref="H264"/>
    <hyperlink r:id="rId388" ref="I264"/>
    <hyperlink r:id="rId389" ref="J264"/>
    <hyperlink r:id="rId390" ref="H265"/>
    <hyperlink r:id="rId391" ref="I265"/>
    <hyperlink r:id="rId392" ref="H266"/>
    <hyperlink r:id="rId393" ref="H267"/>
    <hyperlink r:id="rId394" ref="H268"/>
    <hyperlink r:id="rId395" ref="H269"/>
    <hyperlink r:id="rId396" ref="H270"/>
    <hyperlink r:id="rId397" ref="I270"/>
    <hyperlink r:id="rId398" ref="H271"/>
    <hyperlink r:id="rId399" ref="I271"/>
    <hyperlink r:id="rId400" ref="H272"/>
    <hyperlink r:id="rId401" ref="H273"/>
    <hyperlink r:id="rId402" ref="H274"/>
    <hyperlink r:id="rId403" ref="H275"/>
    <hyperlink r:id="rId404" ref="H276"/>
    <hyperlink r:id="rId405" ref="H277"/>
    <hyperlink r:id="rId406" ref="H278"/>
    <hyperlink r:id="rId407" ref="J279"/>
    <hyperlink r:id="rId408" ref="J280"/>
    <hyperlink r:id="rId409" ref="J281"/>
    <hyperlink r:id="rId410" ref="J282"/>
  </hyperlinks>
  <drawing r:id="rId41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38"/>
    <col customWidth="1" min="3" max="3" width="29.75"/>
    <col customWidth="1" min="4" max="5" width="3.38"/>
    <col customWidth="1" min="6" max="6" width="5.38"/>
    <col customWidth="1" min="7" max="7" width="4.13"/>
    <col customWidth="1" min="8" max="8" width="45.88"/>
    <col customWidth="1" min="9" max="9" width="34.75"/>
    <col customWidth="1" min="10" max="10" width="33.38"/>
    <col customWidth="1" min="11" max="11" width="14.0"/>
    <col customWidth="1" min="12" max="12" width="3.88"/>
    <col customWidth="1" min="13" max="13" width="7.25"/>
    <col customWidth="1" min="14" max="14" width="4.38"/>
    <col customWidth="1" min="15" max="15" width="4.5"/>
    <col customWidth="1" min="16" max="16" width="4.13"/>
    <col customWidth="1" min="17" max="17" width="5.13"/>
    <col customWidth="1" min="18" max="18" width="4.25"/>
    <col customWidth="1" min="19" max="19" width="4.5"/>
  </cols>
  <sheetData>
    <row r="1" ht="17.25" customHeight="1">
      <c r="A1" s="4" t="s">
        <v>19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>
      <c r="A2" s="27"/>
      <c r="B2" s="4" t="s">
        <v>20</v>
      </c>
      <c r="C2" s="4" t="s">
        <v>1108</v>
      </c>
      <c r="D2" s="4" t="s">
        <v>87</v>
      </c>
      <c r="E2" s="4" t="s">
        <v>87</v>
      </c>
      <c r="F2" s="27"/>
      <c r="G2" s="32">
        <v>1.0</v>
      </c>
      <c r="H2" s="101" t="s">
        <v>4664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>
      <c r="A3" s="27"/>
      <c r="B3" s="4" t="s">
        <v>20</v>
      </c>
      <c r="C3" s="4" t="s">
        <v>4665</v>
      </c>
      <c r="D3" s="4" t="s">
        <v>87</v>
      </c>
      <c r="E3" s="4" t="s">
        <v>87</v>
      </c>
      <c r="F3" s="27"/>
      <c r="G3" s="32">
        <v>1.0</v>
      </c>
      <c r="H3" s="102" t="s">
        <v>4666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>
      <c r="A4" s="27"/>
      <c r="B4" s="4" t="s">
        <v>20</v>
      </c>
      <c r="C4" s="4" t="s">
        <v>4667</v>
      </c>
      <c r="D4" s="4" t="s">
        <v>87</v>
      </c>
      <c r="E4" s="4" t="s">
        <v>87</v>
      </c>
      <c r="F4" s="27"/>
      <c r="G4" s="32">
        <v>1.0</v>
      </c>
      <c r="H4" s="101" t="s">
        <v>4668</v>
      </c>
      <c r="I4" s="29" t="s">
        <v>4669</v>
      </c>
      <c r="J4" s="27"/>
      <c r="K4" s="27"/>
      <c r="L4" s="27"/>
      <c r="M4" s="27"/>
      <c r="N4" s="27"/>
      <c r="O4" s="27"/>
      <c r="P4" s="27"/>
      <c r="Q4" s="27"/>
      <c r="R4" s="27"/>
      <c r="S4" s="27"/>
    </row>
    <row r="5">
      <c r="A5" s="27"/>
      <c r="B5" s="4" t="s">
        <v>20</v>
      </c>
      <c r="C5" s="4" t="s">
        <v>4670</v>
      </c>
      <c r="D5" s="4" t="s">
        <v>87</v>
      </c>
      <c r="E5" s="4" t="s">
        <v>87</v>
      </c>
      <c r="F5" s="27"/>
      <c r="G5" s="32">
        <v>1.0</v>
      </c>
      <c r="H5" s="101" t="s">
        <v>4671</v>
      </c>
      <c r="I5" s="27"/>
      <c r="J5" s="29" t="s">
        <v>4672</v>
      </c>
      <c r="K5" s="27"/>
      <c r="L5" s="27"/>
      <c r="M5" s="27"/>
      <c r="N5" s="27"/>
      <c r="O5" s="27"/>
      <c r="P5" s="27"/>
      <c r="Q5" s="27"/>
      <c r="R5" s="27"/>
      <c r="S5" s="27"/>
    </row>
    <row r="6">
      <c r="A6" s="27"/>
      <c r="B6" s="4" t="s">
        <v>20</v>
      </c>
      <c r="C6" s="4" t="s">
        <v>841</v>
      </c>
      <c r="D6" s="4" t="s">
        <v>87</v>
      </c>
      <c r="E6" s="4" t="s">
        <v>87</v>
      </c>
      <c r="F6" s="27"/>
      <c r="G6" s="32">
        <v>1.0</v>
      </c>
      <c r="H6" s="101" t="s">
        <v>4673</v>
      </c>
      <c r="I6" s="29" t="s">
        <v>4674</v>
      </c>
      <c r="J6" s="27"/>
      <c r="K6" s="27"/>
      <c r="L6" s="27"/>
      <c r="M6" s="27"/>
      <c r="N6" s="27"/>
      <c r="O6" s="27"/>
      <c r="P6" s="27"/>
      <c r="Q6" s="27"/>
      <c r="R6" s="27"/>
      <c r="S6" s="27"/>
    </row>
    <row r="7">
      <c r="A7" s="27"/>
      <c r="B7" s="4" t="s">
        <v>20</v>
      </c>
      <c r="C7" s="4" t="s">
        <v>4675</v>
      </c>
      <c r="D7" s="4" t="s">
        <v>87</v>
      </c>
      <c r="E7" s="4" t="s">
        <v>87</v>
      </c>
      <c r="F7" s="27"/>
      <c r="G7" s="32">
        <v>1.0</v>
      </c>
      <c r="H7" s="101" t="s">
        <v>4676</v>
      </c>
      <c r="I7" s="29" t="s">
        <v>4677</v>
      </c>
      <c r="J7" s="27"/>
      <c r="K7" s="27"/>
      <c r="L7" s="27"/>
      <c r="M7" s="27"/>
      <c r="N7" s="27"/>
      <c r="O7" s="27"/>
      <c r="P7" s="27"/>
      <c r="Q7" s="27"/>
      <c r="R7" s="27"/>
      <c r="S7" s="27"/>
    </row>
    <row r="8">
      <c r="A8" s="27"/>
      <c r="B8" s="4" t="s">
        <v>20</v>
      </c>
      <c r="C8" s="4" t="s">
        <v>374</v>
      </c>
      <c r="D8" s="4" t="s">
        <v>87</v>
      </c>
      <c r="E8" s="4" t="s">
        <v>87</v>
      </c>
      <c r="F8" s="27"/>
      <c r="G8" s="32">
        <v>1.0</v>
      </c>
      <c r="H8" s="101" t="s">
        <v>4678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</row>
    <row r="9">
      <c r="A9" s="32">
        <v>19299.0</v>
      </c>
      <c r="B9" s="4" t="s">
        <v>20</v>
      </c>
      <c r="C9" s="4" t="s">
        <v>4679</v>
      </c>
      <c r="D9" s="4" t="s">
        <v>87</v>
      </c>
      <c r="E9" s="4" t="s">
        <v>87</v>
      </c>
      <c r="F9" s="27"/>
      <c r="G9" s="32">
        <v>1.0</v>
      </c>
      <c r="H9" s="101" t="s">
        <v>4678</v>
      </c>
      <c r="I9" s="29" t="s">
        <v>4680</v>
      </c>
      <c r="J9" s="27"/>
      <c r="K9" s="27"/>
      <c r="L9" s="27"/>
      <c r="M9" s="27"/>
      <c r="N9" s="27"/>
      <c r="O9" s="27"/>
      <c r="P9" s="27"/>
      <c r="Q9" s="27"/>
      <c r="R9" s="27"/>
      <c r="S9" s="27"/>
    </row>
    <row r="10">
      <c r="A10" s="27"/>
      <c r="B10" s="4" t="s">
        <v>20</v>
      </c>
      <c r="C10" s="4" t="s">
        <v>4478</v>
      </c>
      <c r="D10" s="4" t="s">
        <v>87</v>
      </c>
      <c r="E10" s="4" t="s">
        <v>87</v>
      </c>
      <c r="F10" s="27"/>
      <c r="G10" s="32">
        <v>1.0</v>
      </c>
      <c r="H10" s="101" t="s">
        <v>4681</v>
      </c>
      <c r="I10" s="27"/>
      <c r="J10" s="29" t="s">
        <v>4682</v>
      </c>
      <c r="K10" s="27"/>
      <c r="L10" s="27"/>
      <c r="M10" s="27"/>
      <c r="N10" s="27"/>
      <c r="O10" s="27"/>
      <c r="P10" s="27"/>
      <c r="Q10" s="27"/>
      <c r="R10" s="27"/>
      <c r="S10" s="27"/>
    </row>
    <row r="11">
      <c r="A11" s="27"/>
      <c r="B11" s="4" t="s">
        <v>276</v>
      </c>
      <c r="C11" s="4" t="s">
        <v>622</v>
      </c>
      <c r="D11" s="4" t="s">
        <v>87</v>
      </c>
      <c r="E11" s="4" t="s">
        <v>87</v>
      </c>
      <c r="F11" s="27"/>
      <c r="G11" s="32">
        <v>1.0</v>
      </c>
      <c r="H11" s="101" t="s">
        <v>4683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</row>
    <row r="12">
      <c r="A12" s="27"/>
      <c r="B12" s="4" t="s">
        <v>20</v>
      </c>
      <c r="C12" s="4" t="s">
        <v>4684</v>
      </c>
      <c r="D12" s="4" t="s">
        <v>87</v>
      </c>
      <c r="E12" s="4" t="s">
        <v>87</v>
      </c>
      <c r="F12" s="27"/>
      <c r="G12" s="32">
        <v>1.0</v>
      </c>
      <c r="H12" s="101" t="s">
        <v>4685</v>
      </c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</row>
    <row r="13">
      <c r="A13" s="32">
        <v>30753.0</v>
      </c>
      <c r="B13" s="4" t="s">
        <v>4686</v>
      </c>
      <c r="C13" s="4" t="s">
        <v>855</v>
      </c>
      <c r="D13" s="4" t="s">
        <v>87</v>
      </c>
      <c r="E13" s="4" t="s">
        <v>87</v>
      </c>
      <c r="F13" s="27"/>
      <c r="G13" s="32">
        <v>1.0</v>
      </c>
      <c r="H13" s="101" t="s">
        <v>4687</v>
      </c>
      <c r="I13" s="29" t="s">
        <v>4688</v>
      </c>
      <c r="J13" s="27"/>
      <c r="K13" s="27"/>
      <c r="L13" s="27"/>
      <c r="M13" s="27"/>
      <c r="N13" s="27"/>
      <c r="O13" s="27"/>
      <c r="P13" s="27"/>
      <c r="Q13" s="27"/>
      <c r="R13" s="27"/>
      <c r="S13" s="27"/>
    </row>
    <row r="14">
      <c r="A14" s="27"/>
      <c r="B14" s="4" t="s">
        <v>20</v>
      </c>
      <c r="C14" s="4" t="s">
        <v>3218</v>
      </c>
      <c r="D14" s="4" t="s">
        <v>87</v>
      </c>
      <c r="E14" s="4" t="s">
        <v>87</v>
      </c>
      <c r="F14" s="27"/>
      <c r="G14" s="32">
        <v>1.0</v>
      </c>
      <c r="H14" s="101" t="s">
        <v>4689</v>
      </c>
      <c r="I14" s="29" t="s">
        <v>4690</v>
      </c>
      <c r="J14" s="27"/>
      <c r="K14" s="27"/>
      <c r="L14" s="27"/>
      <c r="M14" s="27"/>
      <c r="N14" s="27"/>
      <c r="O14" s="27"/>
      <c r="P14" s="27"/>
      <c r="Q14" s="27"/>
      <c r="R14" s="27"/>
      <c r="S14" s="27"/>
    </row>
    <row r="15">
      <c r="A15" s="27"/>
      <c r="B15" s="4" t="s">
        <v>20</v>
      </c>
      <c r="C15" s="4" t="s">
        <v>4691</v>
      </c>
      <c r="D15" s="4" t="s">
        <v>87</v>
      </c>
      <c r="E15" s="4" t="s">
        <v>87</v>
      </c>
      <c r="F15" s="27"/>
      <c r="G15" s="32">
        <v>1.0</v>
      </c>
      <c r="H15" s="101" t="s">
        <v>4692</v>
      </c>
      <c r="I15" s="29" t="s">
        <v>4693</v>
      </c>
      <c r="J15" s="27"/>
      <c r="K15" s="27"/>
      <c r="L15" s="27"/>
      <c r="M15" s="27"/>
      <c r="N15" s="27"/>
      <c r="O15" s="27"/>
      <c r="P15" s="27"/>
      <c r="Q15" s="27"/>
      <c r="R15" s="27"/>
      <c r="S15" s="27"/>
    </row>
    <row r="16">
      <c r="A16" s="27"/>
      <c r="B16" s="4" t="s">
        <v>20</v>
      </c>
      <c r="C16" s="4" t="s">
        <v>4694</v>
      </c>
      <c r="D16" s="4" t="s">
        <v>87</v>
      </c>
      <c r="E16" s="4" t="s">
        <v>87</v>
      </c>
      <c r="F16" s="27"/>
      <c r="G16" s="32">
        <v>1.0</v>
      </c>
      <c r="H16" s="101" t="s">
        <v>4695</v>
      </c>
      <c r="I16" s="29" t="s">
        <v>4696</v>
      </c>
      <c r="J16" s="27"/>
      <c r="K16" s="27"/>
      <c r="L16" s="27"/>
      <c r="M16" s="27"/>
      <c r="N16" s="27"/>
      <c r="O16" s="27"/>
      <c r="P16" s="27"/>
      <c r="Q16" s="27"/>
      <c r="R16" s="27"/>
      <c r="S16" s="27"/>
    </row>
    <row r="17">
      <c r="A17" s="32">
        <v>28095.0</v>
      </c>
      <c r="B17" s="4" t="s">
        <v>20</v>
      </c>
      <c r="C17" s="4" t="s">
        <v>4697</v>
      </c>
      <c r="D17" s="4" t="s">
        <v>87</v>
      </c>
      <c r="E17" s="4" t="s">
        <v>87</v>
      </c>
      <c r="F17" s="27"/>
      <c r="G17" s="32">
        <v>1.0</v>
      </c>
      <c r="H17" s="101" t="s">
        <v>4698</v>
      </c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</row>
    <row r="18">
      <c r="A18" s="27"/>
      <c r="B18" s="4" t="s">
        <v>20</v>
      </c>
      <c r="C18" s="4" t="s">
        <v>529</v>
      </c>
      <c r="D18" s="4" t="s">
        <v>87</v>
      </c>
      <c r="E18" s="4" t="s">
        <v>87</v>
      </c>
      <c r="F18" s="27"/>
      <c r="G18" s="32">
        <v>1.0</v>
      </c>
      <c r="H18" s="101" t="s">
        <v>4699</v>
      </c>
      <c r="I18" s="29" t="s">
        <v>4700</v>
      </c>
      <c r="J18" s="27"/>
      <c r="K18" s="27"/>
      <c r="L18" s="27"/>
      <c r="M18" s="27"/>
      <c r="N18" s="27"/>
      <c r="O18" s="27"/>
      <c r="P18" s="27"/>
      <c r="Q18" s="27"/>
      <c r="R18" s="27"/>
      <c r="S18" s="27"/>
    </row>
    <row r="19">
      <c r="A19" s="32">
        <v>26642.0</v>
      </c>
      <c r="B19" s="4" t="s">
        <v>20</v>
      </c>
      <c r="C19" s="4" t="s">
        <v>4701</v>
      </c>
      <c r="D19" s="4" t="s">
        <v>87</v>
      </c>
      <c r="E19" s="4" t="s">
        <v>87</v>
      </c>
      <c r="F19" s="27"/>
      <c r="G19" s="32">
        <v>1.0</v>
      </c>
      <c r="H19" s="101" t="s">
        <v>4702</v>
      </c>
      <c r="I19" s="29" t="s">
        <v>4703</v>
      </c>
      <c r="J19" s="27"/>
      <c r="K19" s="27"/>
      <c r="L19" s="27"/>
      <c r="M19" s="27"/>
      <c r="N19" s="27"/>
      <c r="O19" s="27"/>
      <c r="P19" s="27"/>
      <c r="Q19" s="27"/>
      <c r="R19" s="27"/>
      <c r="S19" s="27"/>
    </row>
    <row r="20">
      <c r="A20" s="27"/>
      <c r="B20" s="4" t="s">
        <v>720</v>
      </c>
      <c r="C20" s="4" t="s">
        <v>4704</v>
      </c>
      <c r="D20" s="4" t="s">
        <v>87</v>
      </c>
      <c r="E20" s="4" t="s">
        <v>87</v>
      </c>
      <c r="F20" s="27"/>
      <c r="G20" s="32">
        <v>1.0</v>
      </c>
      <c r="H20" s="101" t="s">
        <v>4705</v>
      </c>
      <c r="I20" s="27"/>
      <c r="J20" s="29" t="s">
        <v>4706</v>
      </c>
      <c r="K20" s="27"/>
      <c r="L20" s="27"/>
      <c r="M20" s="27"/>
      <c r="N20" s="27"/>
      <c r="O20" s="27"/>
      <c r="P20" s="27"/>
      <c r="Q20" s="27"/>
      <c r="R20" s="27"/>
      <c r="S20" s="27"/>
    </row>
    <row r="21">
      <c r="A21" s="27"/>
      <c r="B21" s="4" t="s">
        <v>4707</v>
      </c>
      <c r="C21" s="4" t="s">
        <v>2260</v>
      </c>
      <c r="D21" s="4" t="s">
        <v>87</v>
      </c>
      <c r="E21" s="4" t="s">
        <v>87</v>
      </c>
      <c r="F21" s="27"/>
      <c r="G21" s="32">
        <v>1.0</v>
      </c>
      <c r="H21" s="101" t="s">
        <v>4708</v>
      </c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</row>
    <row r="22">
      <c r="A22" s="27"/>
      <c r="B22" s="4" t="s">
        <v>20</v>
      </c>
      <c r="C22" s="4" t="s">
        <v>3039</v>
      </c>
      <c r="D22" s="4" t="s">
        <v>87</v>
      </c>
      <c r="E22" s="4" t="s">
        <v>87</v>
      </c>
      <c r="F22" s="27"/>
      <c r="G22" s="32">
        <v>1.0</v>
      </c>
      <c r="H22" s="101" t="s">
        <v>4709</v>
      </c>
      <c r="I22" s="43" t="s">
        <v>4710</v>
      </c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>
      <c r="A23" s="27"/>
      <c r="B23" s="4" t="s">
        <v>220</v>
      </c>
      <c r="C23" s="4" t="s">
        <v>4711</v>
      </c>
      <c r="D23" s="4" t="s">
        <v>87</v>
      </c>
      <c r="E23" s="4" t="s">
        <v>87</v>
      </c>
      <c r="F23" s="27"/>
      <c r="G23" s="32">
        <v>1.0</v>
      </c>
      <c r="H23" s="101" t="s">
        <v>4712</v>
      </c>
      <c r="I23" s="101" t="s">
        <v>4713</v>
      </c>
      <c r="J23" s="101" t="s">
        <v>4714</v>
      </c>
      <c r="K23" s="27"/>
      <c r="L23" s="27"/>
      <c r="M23" s="27"/>
      <c r="N23" s="27"/>
      <c r="O23" s="27"/>
      <c r="P23" s="27"/>
      <c r="Q23" s="27"/>
      <c r="R23" s="27"/>
      <c r="S23" s="27"/>
    </row>
    <row r="24">
      <c r="A24" s="27"/>
      <c r="B24" s="4" t="s">
        <v>20</v>
      </c>
      <c r="C24" s="4" t="s">
        <v>2775</v>
      </c>
      <c r="D24" s="4" t="s">
        <v>87</v>
      </c>
      <c r="E24" s="4" t="s">
        <v>87</v>
      </c>
      <c r="F24" s="27"/>
      <c r="G24" s="32">
        <v>1.0</v>
      </c>
      <c r="H24" s="101" t="s">
        <v>4715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</row>
    <row r="25">
      <c r="A25" s="27"/>
      <c r="B25" s="4" t="s">
        <v>20</v>
      </c>
      <c r="C25" s="4" t="s">
        <v>4716</v>
      </c>
      <c r="D25" s="4" t="s">
        <v>87</v>
      </c>
      <c r="E25" s="4" t="s">
        <v>87</v>
      </c>
      <c r="F25" s="27"/>
      <c r="G25" s="32">
        <v>1.0</v>
      </c>
      <c r="H25" s="101" t="s">
        <v>4717</v>
      </c>
      <c r="I25" s="29" t="s">
        <v>4718</v>
      </c>
      <c r="J25" s="27"/>
      <c r="K25" s="27"/>
      <c r="L25" s="27"/>
      <c r="M25" s="27"/>
      <c r="N25" s="27"/>
      <c r="O25" s="27"/>
      <c r="P25" s="27"/>
      <c r="Q25" s="27"/>
      <c r="R25" s="27"/>
      <c r="S25" s="27"/>
    </row>
    <row r="26">
      <c r="A26" s="27"/>
      <c r="B26" s="4" t="s">
        <v>20</v>
      </c>
      <c r="C26" s="4" t="s">
        <v>4719</v>
      </c>
      <c r="D26" s="4" t="s">
        <v>87</v>
      </c>
      <c r="E26" s="4" t="s">
        <v>87</v>
      </c>
      <c r="F26" s="27"/>
      <c r="G26" s="32">
        <v>1.0</v>
      </c>
      <c r="H26" s="101" t="s">
        <v>4720</v>
      </c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>
      <c r="A27" s="32">
        <v>32673.0</v>
      </c>
      <c r="B27" s="4" t="s">
        <v>20</v>
      </c>
      <c r="C27" s="4" t="s">
        <v>4721</v>
      </c>
      <c r="D27" s="4" t="s">
        <v>87</v>
      </c>
      <c r="E27" s="4" t="s">
        <v>87</v>
      </c>
      <c r="F27" s="27"/>
      <c r="G27" s="32">
        <v>1.0</v>
      </c>
      <c r="H27" s="101" t="s">
        <v>4722</v>
      </c>
      <c r="I27" s="27"/>
      <c r="J27" s="29" t="s">
        <v>4723</v>
      </c>
      <c r="K27" s="27"/>
      <c r="L27" s="27"/>
      <c r="M27" s="27"/>
      <c r="N27" s="27"/>
      <c r="O27" s="27"/>
      <c r="P27" s="27"/>
      <c r="Q27" s="27"/>
      <c r="R27" s="27"/>
      <c r="S27" s="27"/>
    </row>
    <row r="28">
      <c r="A28" s="27"/>
      <c r="B28" s="4" t="s">
        <v>20</v>
      </c>
      <c r="C28" s="4" t="s">
        <v>4724</v>
      </c>
      <c r="D28" s="4" t="s">
        <v>87</v>
      </c>
      <c r="E28" s="4" t="s">
        <v>87</v>
      </c>
      <c r="F28" s="27"/>
      <c r="G28" s="32">
        <v>1.0</v>
      </c>
      <c r="H28" s="101" t="s">
        <v>4725</v>
      </c>
      <c r="I28" s="27"/>
      <c r="J28" s="29" t="s">
        <v>4726</v>
      </c>
      <c r="K28" s="27"/>
      <c r="L28" s="27"/>
      <c r="M28" s="27"/>
      <c r="N28" s="27"/>
      <c r="O28" s="27"/>
      <c r="P28" s="27"/>
      <c r="Q28" s="27"/>
      <c r="R28" s="27"/>
      <c r="S28" s="27"/>
    </row>
    <row r="29">
      <c r="A29" s="32">
        <v>32883.0</v>
      </c>
      <c r="B29" s="4" t="s">
        <v>20</v>
      </c>
      <c r="C29" s="4" t="s">
        <v>3693</v>
      </c>
      <c r="D29" s="4" t="s">
        <v>87</v>
      </c>
      <c r="E29" s="4" t="s">
        <v>87</v>
      </c>
      <c r="F29" s="27"/>
      <c r="G29" s="32">
        <v>1.0</v>
      </c>
      <c r="H29" s="101" t="s">
        <v>4727</v>
      </c>
      <c r="I29" s="27"/>
      <c r="J29" s="29" t="s">
        <v>4728</v>
      </c>
      <c r="K29" s="27"/>
      <c r="L29" s="27"/>
      <c r="M29" s="27"/>
      <c r="N29" s="27"/>
      <c r="O29" s="27"/>
      <c r="P29" s="27"/>
      <c r="Q29" s="27"/>
      <c r="R29" s="27"/>
      <c r="S29" s="27"/>
    </row>
    <row r="30">
      <c r="A30" s="27"/>
      <c r="B30" s="4" t="s">
        <v>20</v>
      </c>
      <c r="C30" s="4" t="s">
        <v>4729</v>
      </c>
      <c r="D30" s="4" t="s">
        <v>87</v>
      </c>
      <c r="E30" s="4" t="s">
        <v>87</v>
      </c>
      <c r="F30" s="27"/>
      <c r="G30" s="32">
        <v>1.0</v>
      </c>
      <c r="H30" s="101" t="s">
        <v>4730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</row>
    <row r="31">
      <c r="A31" s="27"/>
      <c r="B31" s="4" t="s">
        <v>20</v>
      </c>
      <c r="C31" s="4" t="s">
        <v>2267</v>
      </c>
      <c r="D31" s="4" t="s">
        <v>87</v>
      </c>
      <c r="E31" s="4" t="s">
        <v>87</v>
      </c>
      <c r="F31" s="27"/>
      <c r="G31" s="32">
        <v>1.0</v>
      </c>
      <c r="H31" s="101" t="s">
        <v>4731</v>
      </c>
      <c r="I31" s="29" t="s">
        <v>4732</v>
      </c>
      <c r="J31" s="27"/>
      <c r="K31" s="27"/>
      <c r="L31" s="27"/>
      <c r="M31" s="27"/>
      <c r="N31" s="27"/>
      <c r="O31" s="27"/>
      <c r="P31" s="27"/>
      <c r="Q31" s="27"/>
      <c r="R31" s="27"/>
      <c r="S31" s="27"/>
    </row>
    <row r="32">
      <c r="A32" s="27"/>
      <c r="B32" s="4" t="s">
        <v>20</v>
      </c>
      <c r="C32" s="4" t="s">
        <v>4733</v>
      </c>
      <c r="D32" s="4" t="s">
        <v>87</v>
      </c>
      <c r="E32" s="4" t="s">
        <v>87</v>
      </c>
      <c r="F32" s="27"/>
      <c r="G32" s="32">
        <v>1.0</v>
      </c>
      <c r="H32" s="101" t="s">
        <v>4734</v>
      </c>
      <c r="I32" s="29" t="s">
        <v>4735</v>
      </c>
      <c r="J32" s="27"/>
      <c r="K32" s="27"/>
      <c r="L32" s="27"/>
      <c r="M32" s="27"/>
      <c r="N32" s="27"/>
      <c r="O32" s="27"/>
      <c r="P32" s="27"/>
      <c r="Q32" s="27"/>
      <c r="R32" s="27"/>
      <c r="S32" s="27"/>
    </row>
    <row r="33">
      <c r="A33" s="27"/>
      <c r="B33" s="4" t="s">
        <v>20</v>
      </c>
      <c r="C33" s="4" t="s">
        <v>4736</v>
      </c>
      <c r="D33" s="4" t="s">
        <v>87</v>
      </c>
      <c r="E33" s="4" t="s">
        <v>87</v>
      </c>
      <c r="F33" s="27"/>
      <c r="G33" s="32">
        <v>1.0</v>
      </c>
      <c r="H33" s="101" t="s">
        <v>4737</v>
      </c>
      <c r="I33" s="29" t="s">
        <v>4738</v>
      </c>
      <c r="J33" s="27"/>
      <c r="K33" s="27"/>
      <c r="L33" s="27"/>
      <c r="M33" s="27"/>
      <c r="N33" s="27"/>
      <c r="O33" s="27"/>
      <c r="P33" s="27"/>
      <c r="Q33" s="27"/>
      <c r="R33" s="27"/>
      <c r="S33" s="27"/>
    </row>
    <row r="34">
      <c r="A34" s="27"/>
      <c r="B34" s="4" t="s">
        <v>20</v>
      </c>
      <c r="C34" s="4" t="s">
        <v>4739</v>
      </c>
      <c r="D34" s="4" t="s">
        <v>87</v>
      </c>
      <c r="E34" s="4" t="s">
        <v>87</v>
      </c>
      <c r="F34" s="27"/>
      <c r="G34" s="32">
        <v>1.0</v>
      </c>
      <c r="H34" s="101" t="s">
        <v>4740</v>
      </c>
      <c r="I34" s="29" t="s">
        <v>4741</v>
      </c>
      <c r="J34" s="27"/>
      <c r="K34" s="27"/>
      <c r="L34" s="27"/>
      <c r="M34" s="27"/>
      <c r="N34" s="27"/>
      <c r="O34" s="27"/>
      <c r="P34" s="27"/>
      <c r="Q34" s="27"/>
      <c r="R34" s="27"/>
      <c r="S34" s="27"/>
    </row>
    <row r="35">
      <c r="A35" s="27"/>
      <c r="B35" s="4" t="s">
        <v>20</v>
      </c>
      <c r="C35" s="4" t="s">
        <v>4742</v>
      </c>
      <c r="D35" s="4" t="s">
        <v>87</v>
      </c>
      <c r="E35" s="4" t="s">
        <v>87</v>
      </c>
      <c r="F35" s="27"/>
      <c r="G35" s="32">
        <v>1.0</v>
      </c>
      <c r="H35" s="101" t="s">
        <v>4743</v>
      </c>
      <c r="I35" s="29" t="s">
        <v>4744</v>
      </c>
      <c r="J35" s="29" t="s">
        <v>4745</v>
      </c>
      <c r="K35" s="27"/>
      <c r="L35" s="27"/>
      <c r="M35" s="27"/>
      <c r="N35" s="27"/>
      <c r="O35" s="27"/>
      <c r="P35" s="27"/>
      <c r="Q35" s="27"/>
      <c r="R35" s="27"/>
      <c r="S35" s="27"/>
    </row>
    <row r="36">
      <c r="A36" s="32">
        <v>31465.0</v>
      </c>
      <c r="B36" s="4" t="s">
        <v>20</v>
      </c>
      <c r="C36" s="4" t="s">
        <v>4746</v>
      </c>
      <c r="D36" s="4" t="s">
        <v>87</v>
      </c>
      <c r="E36" s="4" t="s">
        <v>87</v>
      </c>
      <c r="F36" s="27"/>
      <c r="G36" s="32">
        <v>1.0</v>
      </c>
      <c r="H36" s="94" t="s">
        <v>4747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</row>
    <row r="37">
      <c r="A37" s="27"/>
      <c r="B37" s="4" t="s">
        <v>20</v>
      </c>
      <c r="C37" s="4" t="s">
        <v>4748</v>
      </c>
      <c r="D37" s="4" t="s">
        <v>87</v>
      </c>
      <c r="E37" s="4" t="s">
        <v>87</v>
      </c>
      <c r="F37" s="27"/>
      <c r="G37" s="32">
        <v>1.0</v>
      </c>
      <c r="H37" s="101" t="s">
        <v>4749</v>
      </c>
      <c r="I37" s="43" t="s">
        <v>4750</v>
      </c>
      <c r="J37" s="43" t="s">
        <v>4751</v>
      </c>
      <c r="K37" s="27"/>
      <c r="L37" s="27"/>
      <c r="M37" s="27"/>
      <c r="N37" s="27"/>
      <c r="O37" s="27"/>
      <c r="P37" s="27"/>
      <c r="Q37" s="27"/>
      <c r="R37" s="27"/>
      <c r="S37" s="27"/>
    </row>
    <row r="38">
      <c r="A38" s="27"/>
      <c r="B38" s="4" t="s">
        <v>20</v>
      </c>
      <c r="C38" s="4" t="s">
        <v>4752</v>
      </c>
      <c r="D38" s="4" t="s">
        <v>87</v>
      </c>
      <c r="E38" s="4" t="s">
        <v>87</v>
      </c>
      <c r="F38" s="27"/>
      <c r="G38" s="32">
        <v>1.0</v>
      </c>
      <c r="H38" s="101" t="s">
        <v>4753</v>
      </c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</row>
    <row r="39">
      <c r="A39" s="32">
        <v>26151.0</v>
      </c>
      <c r="B39" s="4" t="s">
        <v>20</v>
      </c>
      <c r="C39" s="4" t="s">
        <v>4754</v>
      </c>
      <c r="D39" s="4" t="s">
        <v>87</v>
      </c>
      <c r="E39" s="4" t="s">
        <v>87</v>
      </c>
      <c r="F39" s="27"/>
      <c r="G39" s="32">
        <v>1.0</v>
      </c>
      <c r="H39" s="101" t="s">
        <v>4755</v>
      </c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</row>
    <row r="40">
      <c r="A40" s="27"/>
      <c r="B40" s="4" t="s">
        <v>20</v>
      </c>
      <c r="C40" s="4" t="s">
        <v>4756</v>
      </c>
      <c r="D40" s="4" t="s">
        <v>87</v>
      </c>
      <c r="E40" s="4" t="s">
        <v>87</v>
      </c>
      <c r="F40" s="27"/>
      <c r="G40" s="32">
        <v>1.0</v>
      </c>
      <c r="H40" s="101" t="s">
        <v>4757</v>
      </c>
      <c r="I40" s="29" t="s">
        <v>4758</v>
      </c>
      <c r="J40" s="27"/>
      <c r="K40" s="27"/>
      <c r="L40" s="27"/>
      <c r="M40" s="27"/>
      <c r="N40" s="27"/>
      <c r="O40" s="27"/>
      <c r="P40" s="27"/>
      <c r="Q40" s="27"/>
      <c r="R40" s="27"/>
      <c r="S40" s="27"/>
    </row>
    <row r="41">
      <c r="A41" s="32">
        <v>24714.0</v>
      </c>
      <c r="B41" s="4" t="s">
        <v>20</v>
      </c>
      <c r="C41" s="4" t="s">
        <v>4759</v>
      </c>
      <c r="D41" s="4" t="s">
        <v>87</v>
      </c>
      <c r="E41" s="4" t="s">
        <v>87</v>
      </c>
      <c r="F41" s="27"/>
      <c r="G41" s="32">
        <v>1.0</v>
      </c>
      <c r="H41" s="103"/>
      <c r="I41" s="27"/>
      <c r="J41" s="43" t="s">
        <v>4760</v>
      </c>
      <c r="K41" s="27"/>
      <c r="L41" s="27"/>
      <c r="M41" s="27"/>
      <c r="N41" s="27"/>
      <c r="O41" s="27"/>
      <c r="P41" s="27"/>
      <c r="Q41" s="27"/>
      <c r="R41" s="27"/>
      <c r="S41" s="27"/>
    </row>
    <row r="42">
      <c r="A42" s="27"/>
      <c r="B42" s="4" t="s">
        <v>20</v>
      </c>
      <c r="C42" s="4" t="s">
        <v>4761</v>
      </c>
      <c r="D42" s="4" t="s">
        <v>87</v>
      </c>
      <c r="E42" s="4" t="s">
        <v>87</v>
      </c>
      <c r="F42" s="27"/>
      <c r="G42" s="32">
        <v>1.0</v>
      </c>
      <c r="H42" s="101" t="s">
        <v>4762</v>
      </c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</row>
    <row r="43">
      <c r="A43" s="32">
        <v>11107.0</v>
      </c>
      <c r="B43" s="4" t="s">
        <v>20</v>
      </c>
      <c r="C43" s="4" t="s">
        <v>4763</v>
      </c>
      <c r="D43" s="4" t="s">
        <v>87</v>
      </c>
      <c r="E43" s="4" t="s">
        <v>87</v>
      </c>
      <c r="F43" s="27"/>
      <c r="G43" s="32">
        <v>1.0</v>
      </c>
      <c r="H43" s="101" t="s">
        <v>4764</v>
      </c>
      <c r="I43" s="29" t="s">
        <v>4765</v>
      </c>
      <c r="J43" s="27"/>
      <c r="K43" s="27"/>
      <c r="L43" s="27"/>
      <c r="M43" s="27"/>
      <c r="N43" s="27"/>
      <c r="O43" s="27"/>
      <c r="P43" s="27"/>
      <c r="Q43" s="27"/>
      <c r="R43" s="27"/>
      <c r="S43" s="27"/>
    </row>
    <row r="44">
      <c r="A44" s="27"/>
      <c r="B44" s="4" t="s">
        <v>20</v>
      </c>
      <c r="C44" s="4" t="s">
        <v>2989</v>
      </c>
      <c r="D44" s="4" t="s">
        <v>87</v>
      </c>
      <c r="E44" s="4" t="s">
        <v>87</v>
      </c>
      <c r="F44" s="27"/>
      <c r="G44" s="32">
        <v>1.0</v>
      </c>
      <c r="H44" s="101" t="s">
        <v>4766</v>
      </c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</row>
    <row r="45">
      <c r="A45" s="27"/>
      <c r="B45" s="4" t="s">
        <v>20</v>
      </c>
      <c r="C45" s="4" t="s">
        <v>42</v>
      </c>
      <c r="D45" s="4" t="s">
        <v>87</v>
      </c>
      <c r="E45" s="4" t="s">
        <v>87</v>
      </c>
      <c r="F45" s="27"/>
      <c r="G45" s="32">
        <v>1.0</v>
      </c>
      <c r="H45" s="101" t="s">
        <v>4767</v>
      </c>
      <c r="I45" s="29" t="s">
        <v>4768</v>
      </c>
      <c r="J45" s="27"/>
      <c r="K45" s="27"/>
      <c r="L45" s="27"/>
      <c r="M45" s="27"/>
      <c r="N45" s="27"/>
      <c r="O45" s="27"/>
      <c r="P45" s="27"/>
      <c r="Q45" s="27"/>
      <c r="R45" s="27"/>
      <c r="S45" s="27"/>
    </row>
    <row r="46">
      <c r="A46" s="27"/>
      <c r="B46" s="4" t="s">
        <v>20</v>
      </c>
      <c r="C46" s="4" t="s">
        <v>2515</v>
      </c>
      <c r="D46" s="4" t="s">
        <v>87</v>
      </c>
      <c r="E46" s="4" t="s">
        <v>87</v>
      </c>
      <c r="F46" s="27"/>
      <c r="G46" s="32">
        <v>1.0</v>
      </c>
      <c r="H46" s="101" t="s">
        <v>4769</v>
      </c>
      <c r="I46" s="29" t="s">
        <v>4770</v>
      </c>
      <c r="J46" s="27"/>
      <c r="K46" s="27"/>
      <c r="L46" s="27"/>
      <c r="M46" s="27"/>
      <c r="N46" s="27"/>
      <c r="O46" s="27"/>
      <c r="P46" s="27"/>
      <c r="Q46" s="27"/>
      <c r="R46" s="27"/>
      <c r="S46" s="27"/>
    </row>
    <row r="47">
      <c r="A47" s="32">
        <v>27543.0</v>
      </c>
      <c r="B47" s="4" t="s">
        <v>20</v>
      </c>
      <c r="C47" s="4" t="s">
        <v>1378</v>
      </c>
      <c r="D47" s="4" t="s">
        <v>87</v>
      </c>
      <c r="E47" s="4" t="s">
        <v>87</v>
      </c>
      <c r="F47" s="27"/>
      <c r="G47" s="32">
        <v>1.0</v>
      </c>
      <c r="H47" s="101" t="s">
        <v>4771</v>
      </c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</row>
    <row r="48">
      <c r="A48" s="27"/>
      <c r="B48" s="4" t="s">
        <v>20</v>
      </c>
      <c r="C48" s="4" t="s">
        <v>2604</v>
      </c>
      <c r="D48" s="4" t="s">
        <v>87</v>
      </c>
      <c r="E48" s="4" t="s">
        <v>87</v>
      </c>
      <c r="F48" s="27"/>
      <c r="G48" s="32">
        <v>1.0</v>
      </c>
      <c r="H48" s="101" t="s">
        <v>4772</v>
      </c>
      <c r="I48" s="29" t="s">
        <v>4773</v>
      </c>
      <c r="J48" s="27"/>
      <c r="K48" s="27"/>
      <c r="L48" s="27"/>
      <c r="M48" s="27"/>
      <c r="N48" s="27"/>
      <c r="O48" s="27"/>
      <c r="P48" s="27"/>
      <c r="Q48" s="27"/>
      <c r="R48" s="27"/>
      <c r="S48" s="27"/>
    </row>
    <row r="49">
      <c r="A49" s="27"/>
      <c r="B49" s="4" t="s">
        <v>20</v>
      </c>
      <c r="C49" s="4" t="s">
        <v>2889</v>
      </c>
      <c r="D49" s="4" t="s">
        <v>87</v>
      </c>
      <c r="E49" s="4" t="s">
        <v>87</v>
      </c>
      <c r="F49" s="27"/>
      <c r="G49" s="32">
        <v>1.0</v>
      </c>
      <c r="H49" s="101" t="s">
        <v>4774</v>
      </c>
      <c r="I49" s="43" t="s">
        <v>4775</v>
      </c>
      <c r="J49" s="27"/>
      <c r="K49" s="27"/>
      <c r="L49" s="27"/>
      <c r="M49" s="27"/>
      <c r="N49" s="27"/>
      <c r="O49" s="27"/>
      <c r="P49" s="27"/>
      <c r="Q49" s="27"/>
      <c r="R49" s="27"/>
      <c r="S49" s="27"/>
    </row>
    <row r="50">
      <c r="A50" s="32">
        <v>11101.0</v>
      </c>
      <c r="B50" s="4" t="s">
        <v>20</v>
      </c>
      <c r="C50" s="4" t="s">
        <v>4776</v>
      </c>
      <c r="D50" s="4" t="s">
        <v>87</v>
      </c>
      <c r="E50" s="4" t="s">
        <v>87</v>
      </c>
      <c r="F50" s="27"/>
      <c r="G50" s="32">
        <v>1.0</v>
      </c>
      <c r="H50" s="101" t="s">
        <v>4777</v>
      </c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</row>
    <row r="51">
      <c r="A51" s="32">
        <v>29353.0</v>
      </c>
      <c r="B51" s="4" t="s">
        <v>20</v>
      </c>
      <c r="C51" s="4" t="s">
        <v>4778</v>
      </c>
      <c r="D51" s="4" t="s">
        <v>87</v>
      </c>
      <c r="E51" s="4" t="s">
        <v>87</v>
      </c>
      <c r="F51" s="27"/>
      <c r="G51" s="32">
        <v>1.0</v>
      </c>
      <c r="H51" s="103"/>
      <c r="I51" s="27"/>
      <c r="J51" s="29" t="s">
        <v>4779</v>
      </c>
      <c r="K51" s="27"/>
      <c r="L51" s="27"/>
      <c r="M51" s="27"/>
      <c r="N51" s="27"/>
      <c r="O51" s="27"/>
      <c r="P51" s="27"/>
      <c r="Q51" s="27"/>
      <c r="R51" s="27"/>
      <c r="S51" s="27"/>
    </row>
    <row r="52">
      <c r="A52" s="27"/>
      <c r="B52" s="4" t="s">
        <v>20</v>
      </c>
      <c r="C52" s="4" t="s">
        <v>4780</v>
      </c>
      <c r="D52" s="4" t="s">
        <v>87</v>
      </c>
      <c r="E52" s="4" t="s">
        <v>87</v>
      </c>
      <c r="F52" s="27"/>
      <c r="G52" s="32">
        <v>1.0</v>
      </c>
      <c r="H52" s="101" t="s">
        <v>4781</v>
      </c>
      <c r="I52" s="43" t="s">
        <v>4782</v>
      </c>
      <c r="J52" s="27"/>
      <c r="K52" s="27"/>
      <c r="L52" s="27"/>
      <c r="M52" s="27"/>
      <c r="N52" s="27"/>
      <c r="O52" s="27"/>
      <c r="P52" s="27"/>
      <c r="Q52" s="27"/>
      <c r="R52" s="27"/>
      <c r="S52" s="27"/>
    </row>
    <row r="53">
      <c r="A53" s="27"/>
      <c r="B53" s="4" t="s">
        <v>20</v>
      </c>
      <c r="C53" s="4" t="s">
        <v>4783</v>
      </c>
      <c r="D53" s="4" t="s">
        <v>87</v>
      </c>
      <c r="E53" s="4" t="s">
        <v>87</v>
      </c>
      <c r="F53" s="27"/>
      <c r="G53" s="32">
        <v>1.0</v>
      </c>
      <c r="H53" s="101" t="s">
        <v>4784</v>
      </c>
      <c r="I53" s="29" t="s">
        <v>4785</v>
      </c>
      <c r="J53" s="27"/>
      <c r="K53" s="27"/>
      <c r="L53" s="27"/>
      <c r="M53" s="27"/>
      <c r="N53" s="27"/>
      <c r="O53" s="27"/>
      <c r="P53" s="27"/>
      <c r="Q53" s="27"/>
      <c r="R53" s="27"/>
      <c r="S53" s="27"/>
    </row>
    <row r="54">
      <c r="A54" s="27"/>
      <c r="B54" s="4" t="s">
        <v>276</v>
      </c>
      <c r="C54" s="4" t="s">
        <v>1045</v>
      </c>
      <c r="D54" s="4" t="s">
        <v>87</v>
      </c>
      <c r="E54" s="4" t="s">
        <v>87</v>
      </c>
      <c r="F54" s="27"/>
      <c r="G54" s="32">
        <v>1.0</v>
      </c>
      <c r="H54" s="101" t="s">
        <v>4786</v>
      </c>
      <c r="I54" s="29" t="s">
        <v>4787</v>
      </c>
      <c r="J54" s="27"/>
      <c r="K54" s="27"/>
      <c r="L54" s="27"/>
      <c r="M54" s="27"/>
      <c r="N54" s="27"/>
      <c r="O54" s="27"/>
      <c r="P54" s="27"/>
      <c r="Q54" s="27"/>
      <c r="R54" s="27"/>
      <c r="S54" s="27"/>
    </row>
    <row r="55">
      <c r="A55" s="27"/>
      <c r="B55" s="4" t="s">
        <v>20</v>
      </c>
      <c r="C55" s="4" t="s">
        <v>4788</v>
      </c>
      <c r="D55" s="4" t="s">
        <v>87</v>
      </c>
      <c r="E55" s="4" t="s">
        <v>87</v>
      </c>
      <c r="F55" s="27"/>
      <c r="G55" s="32">
        <v>1.0</v>
      </c>
      <c r="H55" s="101" t="s">
        <v>4789</v>
      </c>
      <c r="I55" s="29" t="s">
        <v>4790</v>
      </c>
      <c r="J55" s="27"/>
      <c r="K55" s="27"/>
      <c r="L55" s="27"/>
      <c r="M55" s="27"/>
      <c r="N55" s="27"/>
      <c r="O55" s="27"/>
      <c r="P55" s="27"/>
      <c r="Q55" s="27"/>
      <c r="R55" s="27"/>
      <c r="S55" s="27"/>
    </row>
    <row r="56">
      <c r="A56" s="27"/>
      <c r="B56" s="4" t="s">
        <v>20</v>
      </c>
      <c r="C56" s="4" t="s">
        <v>4791</v>
      </c>
      <c r="D56" s="4" t="s">
        <v>87</v>
      </c>
      <c r="E56" s="4" t="s">
        <v>87</v>
      </c>
      <c r="F56" s="27"/>
      <c r="G56" s="32">
        <v>1.0</v>
      </c>
      <c r="H56" s="101" t="s">
        <v>4792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</row>
    <row r="57">
      <c r="A57" s="27"/>
      <c r="B57" s="4" t="s">
        <v>20</v>
      </c>
      <c r="C57" s="4" t="s">
        <v>2999</v>
      </c>
      <c r="D57" s="4" t="s">
        <v>87</v>
      </c>
      <c r="E57" s="4" t="s">
        <v>87</v>
      </c>
      <c r="F57" s="27"/>
      <c r="G57" s="32">
        <v>1.0</v>
      </c>
      <c r="H57" s="101" t="s">
        <v>4793</v>
      </c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</row>
    <row r="58">
      <c r="A58" s="32">
        <v>31986.0</v>
      </c>
      <c r="B58" s="4" t="s">
        <v>20</v>
      </c>
      <c r="C58" s="4" t="s">
        <v>4794</v>
      </c>
      <c r="D58" s="4" t="s">
        <v>87</v>
      </c>
      <c r="E58" s="4" t="s">
        <v>87</v>
      </c>
      <c r="F58" s="27"/>
      <c r="G58" s="32">
        <v>1.0</v>
      </c>
      <c r="H58" s="101" t="s">
        <v>4795</v>
      </c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</row>
    <row r="59">
      <c r="A59" s="27"/>
      <c r="B59" s="4" t="s">
        <v>20</v>
      </c>
      <c r="C59" s="4" t="s">
        <v>3662</v>
      </c>
      <c r="D59" s="4" t="s">
        <v>87</v>
      </c>
      <c r="E59" s="4" t="s">
        <v>87</v>
      </c>
      <c r="F59" s="27"/>
      <c r="G59" s="32">
        <v>1.0</v>
      </c>
      <c r="H59" s="102" t="s">
        <v>4796</v>
      </c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</row>
    <row r="60">
      <c r="A60" s="27"/>
      <c r="B60" s="4" t="s">
        <v>20</v>
      </c>
      <c r="C60" s="4" t="s">
        <v>4797</v>
      </c>
      <c r="D60" s="4" t="s">
        <v>87</v>
      </c>
      <c r="E60" s="4" t="s">
        <v>87</v>
      </c>
      <c r="F60" s="27"/>
      <c r="G60" s="32">
        <v>1.0</v>
      </c>
      <c r="H60" s="101" t="s">
        <v>4798</v>
      </c>
      <c r="I60" s="29" t="s">
        <v>4799</v>
      </c>
      <c r="J60" s="27"/>
      <c r="K60" s="27"/>
      <c r="L60" s="27"/>
      <c r="M60" s="27"/>
      <c r="N60" s="27"/>
      <c r="O60" s="27"/>
      <c r="P60" s="27"/>
      <c r="Q60" s="27"/>
      <c r="R60" s="27"/>
      <c r="S60" s="27"/>
    </row>
    <row r="61">
      <c r="A61" s="27"/>
      <c r="B61" s="4" t="s">
        <v>20</v>
      </c>
      <c r="C61" s="4" t="s">
        <v>4800</v>
      </c>
      <c r="D61" s="4" t="s">
        <v>87</v>
      </c>
      <c r="E61" s="4" t="s">
        <v>87</v>
      </c>
      <c r="F61" s="27"/>
      <c r="G61" s="32">
        <v>1.0</v>
      </c>
      <c r="H61" s="101" t="s">
        <v>4801</v>
      </c>
      <c r="I61" s="29" t="s">
        <v>4802</v>
      </c>
      <c r="J61" s="27"/>
      <c r="K61" s="27"/>
      <c r="L61" s="27"/>
      <c r="M61" s="27"/>
      <c r="N61" s="27"/>
      <c r="O61" s="27"/>
      <c r="P61" s="27"/>
      <c r="Q61" s="27"/>
      <c r="R61" s="27"/>
      <c r="S61" s="27"/>
    </row>
    <row r="62">
      <c r="A62" s="27"/>
      <c r="B62" s="4" t="s">
        <v>20</v>
      </c>
      <c r="C62" s="4" t="s">
        <v>763</v>
      </c>
      <c r="D62" s="4" t="s">
        <v>87</v>
      </c>
      <c r="E62" s="4" t="s">
        <v>87</v>
      </c>
      <c r="F62" s="27"/>
      <c r="G62" s="32">
        <v>1.0</v>
      </c>
      <c r="H62" s="101" t="s">
        <v>4803</v>
      </c>
      <c r="I62" s="29" t="s">
        <v>4804</v>
      </c>
      <c r="J62" s="27"/>
      <c r="K62" s="27"/>
      <c r="L62" s="27"/>
      <c r="M62" s="27"/>
      <c r="N62" s="27"/>
      <c r="O62" s="27"/>
      <c r="P62" s="27"/>
      <c r="Q62" s="27"/>
      <c r="R62" s="27"/>
      <c r="S62" s="27"/>
    </row>
    <row r="63">
      <c r="A63" s="27"/>
      <c r="B63" s="4" t="s">
        <v>20</v>
      </c>
      <c r="C63" s="4" t="s">
        <v>1360</v>
      </c>
      <c r="D63" s="4" t="s">
        <v>87</v>
      </c>
      <c r="E63" s="4" t="s">
        <v>87</v>
      </c>
      <c r="F63" s="27"/>
      <c r="G63" s="32">
        <v>1.0</v>
      </c>
      <c r="H63" s="101" t="s">
        <v>4805</v>
      </c>
      <c r="I63" s="29" t="s">
        <v>4806</v>
      </c>
      <c r="J63" s="27"/>
      <c r="K63" s="27"/>
      <c r="L63" s="27"/>
      <c r="M63" s="27"/>
      <c r="N63" s="27"/>
      <c r="O63" s="27"/>
      <c r="P63" s="27"/>
      <c r="Q63" s="27"/>
      <c r="R63" s="27"/>
      <c r="S63" s="27"/>
    </row>
    <row r="64">
      <c r="A64" s="27"/>
      <c r="B64" s="4" t="s">
        <v>20</v>
      </c>
      <c r="C64" s="4" t="s">
        <v>804</v>
      </c>
      <c r="D64" s="4" t="s">
        <v>87</v>
      </c>
      <c r="E64" s="4" t="s">
        <v>87</v>
      </c>
      <c r="F64" s="27"/>
      <c r="G64" s="32">
        <v>1.0</v>
      </c>
      <c r="H64" s="102" t="s">
        <v>4807</v>
      </c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</row>
    <row r="65">
      <c r="A65" s="27"/>
      <c r="B65" s="4" t="s">
        <v>20</v>
      </c>
      <c r="C65" s="4" t="s">
        <v>4808</v>
      </c>
      <c r="D65" s="4" t="s">
        <v>87</v>
      </c>
      <c r="E65" s="4" t="s">
        <v>87</v>
      </c>
      <c r="F65" s="27"/>
      <c r="G65" s="32">
        <v>1.0</v>
      </c>
      <c r="H65" s="101" t="s">
        <v>4809</v>
      </c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</row>
    <row r="66">
      <c r="A66" s="27"/>
      <c r="B66" s="4" t="s">
        <v>20</v>
      </c>
      <c r="C66" s="4" t="s">
        <v>4810</v>
      </c>
      <c r="D66" s="4" t="s">
        <v>87</v>
      </c>
      <c r="E66" s="4" t="s">
        <v>87</v>
      </c>
      <c r="F66" s="27"/>
      <c r="G66" s="32">
        <v>1.0</v>
      </c>
      <c r="H66" s="101" t="s">
        <v>4811</v>
      </c>
      <c r="I66" s="43" t="s">
        <v>4812</v>
      </c>
      <c r="J66" s="27"/>
      <c r="K66" s="27"/>
      <c r="L66" s="27"/>
      <c r="M66" s="27"/>
      <c r="N66" s="27"/>
      <c r="O66" s="27"/>
      <c r="P66" s="27"/>
      <c r="Q66" s="27"/>
      <c r="R66" s="27"/>
      <c r="S66" s="27"/>
    </row>
    <row r="67">
      <c r="A67" s="32">
        <v>25135.0</v>
      </c>
      <c r="B67" s="4" t="s">
        <v>20</v>
      </c>
      <c r="C67" s="4" t="s">
        <v>4813</v>
      </c>
      <c r="D67" s="4" t="s">
        <v>87</v>
      </c>
      <c r="E67" s="4" t="s">
        <v>87</v>
      </c>
      <c r="F67" s="27"/>
      <c r="G67" s="32">
        <v>1.0</v>
      </c>
      <c r="H67" s="103"/>
      <c r="I67" s="27"/>
      <c r="J67" s="29" t="s">
        <v>4814</v>
      </c>
      <c r="K67" s="27"/>
      <c r="L67" s="27"/>
      <c r="M67" s="27"/>
      <c r="N67" s="27"/>
      <c r="O67" s="27"/>
      <c r="P67" s="27"/>
      <c r="Q67" s="27"/>
      <c r="R67" s="27"/>
      <c r="S67" s="27"/>
    </row>
    <row r="68">
      <c r="A68" s="27"/>
      <c r="B68" s="4" t="s">
        <v>20</v>
      </c>
      <c r="C68" s="4" t="s">
        <v>4017</v>
      </c>
      <c r="D68" s="4" t="s">
        <v>87</v>
      </c>
      <c r="E68" s="4" t="s">
        <v>87</v>
      </c>
      <c r="F68" s="27"/>
      <c r="G68" s="32">
        <v>1.0</v>
      </c>
      <c r="H68" s="102" t="s">
        <v>4815</v>
      </c>
      <c r="I68" s="29" t="s">
        <v>4816</v>
      </c>
      <c r="J68" s="27"/>
      <c r="K68" s="27"/>
      <c r="L68" s="27"/>
      <c r="M68" s="27"/>
      <c r="N68" s="27"/>
      <c r="O68" s="27"/>
      <c r="P68" s="27"/>
      <c r="Q68" s="27"/>
      <c r="R68" s="27"/>
      <c r="S68" s="27"/>
    </row>
    <row r="69">
      <c r="A69" s="27"/>
      <c r="B69" s="4" t="s">
        <v>20</v>
      </c>
      <c r="C69" s="4" t="s">
        <v>4817</v>
      </c>
      <c r="D69" s="4" t="s">
        <v>87</v>
      </c>
      <c r="E69" s="4" t="s">
        <v>87</v>
      </c>
      <c r="F69" s="27"/>
      <c r="G69" s="32">
        <v>1.0</v>
      </c>
      <c r="H69" s="101" t="s">
        <v>4818</v>
      </c>
      <c r="I69" s="29" t="s">
        <v>4819</v>
      </c>
      <c r="J69" s="27"/>
      <c r="K69" s="27"/>
      <c r="L69" s="27"/>
      <c r="M69" s="27"/>
      <c r="N69" s="27"/>
      <c r="O69" s="27"/>
      <c r="P69" s="27"/>
      <c r="Q69" s="27"/>
      <c r="R69" s="27"/>
      <c r="S69" s="27"/>
    </row>
    <row r="70">
      <c r="A70" s="27"/>
      <c r="B70" s="4" t="s">
        <v>20</v>
      </c>
      <c r="C70" s="4" t="s">
        <v>760</v>
      </c>
      <c r="D70" s="4" t="s">
        <v>87</v>
      </c>
      <c r="E70" s="4" t="s">
        <v>87</v>
      </c>
      <c r="F70" s="27"/>
      <c r="G70" s="32">
        <v>1.0</v>
      </c>
      <c r="H70" s="101" t="s">
        <v>4820</v>
      </c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</row>
    <row r="71">
      <c r="A71" s="32">
        <v>25334.0</v>
      </c>
      <c r="B71" s="4" t="s">
        <v>20</v>
      </c>
      <c r="C71" s="4" t="s">
        <v>760</v>
      </c>
      <c r="D71" s="4" t="s">
        <v>87</v>
      </c>
      <c r="E71" s="4" t="s">
        <v>87</v>
      </c>
      <c r="F71" s="27"/>
      <c r="G71" s="32">
        <v>1.0</v>
      </c>
      <c r="H71" s="103"/>
      <c r="I71" s="27"/>
      <c r="J71" s="29" t="s">
        <v>4821</v>
      </c>
      <c r="K71" s="27"/>
      <c r="L71" s="27"/>
      <c r="M71" s="27"/>
      <c r="N71" s="27"/>
      <c r="O71" s="27"/>
      <c r="P71" s="27"/>
      <c r="Q71" s="27"/>
      <c r="R71" s="27"/>
      <c r="S71" s="27"/>
    </row>
    <row r="72">
      <c r="A72" s="32">
        <v>30605.0</v>
      </c>
      <c r="B72" s="4" t="s">
        <v>20</v>
      </c>
      <c r="C72" s="4" t="s">
        <v>755</v>
      </c>
      <c r="D72" s="4" t="s">
        <v>87</v>
      </c>
      <c r="E72" s="4" t="s">
        <v>87</v>
      </c>
      <c r="F72" s="27"/>
      <c r="G72" s="32">
        <v>1.0</v>
      </c>
      <c r="H72" s="103"/>
      <c r="I72" s="27"/>
      <c r="J72" s="29" t="s">
        <v>4822</v>
      </c>
      <c r="K72" s="27"/>
      <c r="L72" s="27"/>
      <c r="M72" s="27"/>
      <c r="N72" s="27"/>
      <c r="O72" s="27"/>
      <c r="P72" s="27"/>
      <c r="Q72" s="27"/>
      <c r="R72" s="27"/>
      <c r="S72" s="27"/>
    </row>
    <row r="73">
      <c r="A73" s="32">
        <v>32116.0</v>
      </c>
      <c r="B73" s="4" t="s">
        <v>20</v>
      </c>
      <c r="C73" s="4" t="s">
        <v>4823</v>
      </c>
      <c r="D73" s="4" t="s">
        <v>87</v>
      </c>
      <c r="E73" s="4" t="s">
        <v>87</v>
      </c>
      <c r="F73" s="27"/>
      <c r="G73" s="32">
        <v>1.0</v>
      </c>
      <c r="H73" s="101" t="s">
        <v>4824</v>
      </c>
      <c r="I73" s="29" t="s">
        <v>4825</v>
      </c>
      <c r="J73" s="27"/>
      <c r="K73" s="27"/>
      <c r="L73" s="27"/>
      <c r="M73" s="27"/>
      <c r="N73" s="27"/>
      <c r="O73" s="27"/>
      <c r="P73" s="27"/>
      <c r="Q73" s="27"/>
      <c r="R73" s="27"/>
      <c r="S73" s="27"/>
    </row>
    <row r="74">
      <c r="A74" s="27"/>
      <c r="B74" s="4" t="s">
        <v>20</v>
      </c>
      <c r="C74" s="4" t="s">
        <v>4826</v>
      </c>
      <c r="D74" s="4" t="s">
        <v>87</v>
      </c>
      <c r="E74" s="4" t="s">
        <v>87</v>
      </c>
      <c r="F74" s="4" t="s">
        <v>4827</v>
      </c>
      <c r="G74" s="32">
        <v>1.0</v>
      </c>
      <c r="H74" s="101" t="s">
        <v>4828</v>
      </c>
      <c r="I74" s="29" t="s">
        <v>4829</v>
      </c>
      <c r="J74" s="27"/>
      <c r="K74" s="27"/>
      <c r="L74" s="27"/>
      <c r="M74" s="27"/>
      <c r="N74" s="27"/>
      <c r="O74" s="27"/>
      <c r="P74" s="27"/>
      <c r="Q74" s="27"/>
      <c r="R74" s="27"/>
      <c r="S74" s="27"/>
    </row>
    <row r="75">
      <c r="A75" s="27"/>
      <c r="B75" s="4" t="s">
        <v>20</v>
      </c>
      <c r="C75" s="4" t="s">
        <v>4830</v>
      </c>
      <c r="D75" s="4" t="s">
        <v>87</v>
      </c>
      <c r="E75" s="4" t="s">
        <v>87</v>
      </c>
      <c r="F75" s="27"/>
      <c r="G75" s="32">
        <v>1.0</v>
      </c>
      <c r="H75" s="101" t="s">
        <v>4831</v>
      </c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</row>
    <row r="76">
      <c r="A76" s="27"/>
      <c r="B76" s="4" t="s">
        <v>20</v>
      </c>
      <c r="C76" s="4" t="s">
        <v>4832</v>
      </c>
      <c r="D76" s="4" t="s">
        <v>87</v>
      </c>
      <c r="E76" s="4" t="s">
        <v>87</v>
      </c>
      <c r="F76" s="27"/>
      <c r="G76" s="32">
        <v>1.0</v>
      </c>
      <c r="H76" s="102" t="s">
        <v>4833</v>
      </c>
      <c r="I76" s="27"/>
      <c r="J76" s="29" t="s">
        <v>4834</v>
      </c>
      <c r="K76" s="27"/>
      <c r="L76" s="27"/>
      <c r="M76" s="27"/>
      <c r="N76" s="27"/>
      <c r="O76" s="27"/>
      <c r="P76" s="27"/>
      <c r="Q76" s="27"/>
      <c r="R76" s="27"/>
      <c r="S76" s="27"/>
    </row>
    <row r="77">
      <c r="A77" s="27"/>
      <c r="B77" s="4" t="s">
        <v>20</v>
      </c>
      <c r="C77" s="4" t="s">
        <v>4835</v>
      </c>
      <c r="D77" s="4" t="s">
        <v>87</v>
      </c>
      <c r="E77" s="4" t="s">
        <v>87</v>
      </c>
      <c r="F77" s="27"/>
      <c r="G77" s="32">
        <v>1.0</v>
      </c>
      <c r="H77" s="101" t="s">
        <v>4836</v>
      </c>
      <c r="I77" s="29" t="s">
        <v>4837</v>
      </c>
      <c r="J77" s="27"/>
      <c r="K77" s="27"/>
      <c r="L77" s="27"/>
      <c r="M77" s="27"/>
      <c r="N77" s="27"/>
      <c r="O77" s="27"/>
      <c r="P77" s="27"/>
      <c r="Q77" s="27"/>
      <c r="R77" s="27"/>
      <c r="S77" s="27"/>
    </row>
    <row r="78">
      <c r="A78" s="32">
        <v>26791.0</v>
      </c>
      <c r="B78" s="4" t="s">
        <v>20</v>
      </c>
      <c r="C78" s="4" t="s">
        <v>3479</v>
      </c>
      <c r="D78" s="4" t="s">
        <v>87</v>
      </c>
      <c r="E78" s="4" t="s">
        <v>87</v>
      </c>
      <c r="F78" s="27"/>
      <c r="G78" s="32">
        <v>1.0</v>
      </c>
      <c r="H78" s="103"/>
      <c r="I78" s="27"/>
      <c r="J78" s="29" t="s">
        <v>4838</v>
      </c>
      <c r="K78" s="27"/>
      <c r="L78" s="27"/>
      <c r="M78" s="27"/>
      <c r="N78" s="27"/>
      <c r="O78" s="27"/>
      <c r="P78" s="27"/>
      <c r="Q78" s="27"/>
      <c r="R78" s="27"/>
      <c r="S78" s="27"/>
    </row>
    <row r="79">
      <c r="A79" s="27"/>
      <c r="B79" s="4" t="s">
        <v>20</v>
      </c>
      <c r="C79" s="4" t="s">
        <v>4839</v>
      </c>
      <c r="D79" s="4" t="s">
        <v>87</v>
      </c>
      <c r="E79" s="4" t="s">
        <v>87</v>
      </c>
      <c r="F79" s="27"/>
      <c r="G79" s="32">
        <v>1.0</v>
      </c>
      <c r="H79" s="101" t="s">
        <v>4840</v>
      </c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</row>
    <row r="80">
      <c r="A80" s="27"/>
      <c r="B80" s="4" t="s">
        <v>20</v>
      </c>
      <c r="C80" s="4" t="s">
        <v>2052</v>
      </c>
      <c r="D80" s="4" t="s">
        <v>87</v>
      </c>
      <c r="E80" s="4" t="s">
        <v>87</v>
      </c>
      <c r="F80" s="27"/>
      <c r="G80" s="32">
        <v>1.0</v>
      </c>
      <c r="H80" s="101" t="s">
        <v>4841</v>
      </c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</row>
    <row r="81">
      <c r="A81" s="27"/>
      <c r="B81" s="4" t="s">
        <v>20</v>
      </c>
      <c r="C81" s="4" t="s">
        <v>4842</v>
      </c>
      <c r="D81" s="4" t="s">
        <v>87</v>
      </c>
      <c r="E81" s="4" t="s">
        <v>87</v>
      </c>
      <c r="F81" s="27"/>
      <c r="G81" s="32">
        <v>1.0</v>
      </c>
      <c r="H81" s="101" t="s">
        <v>4843</v>
      </c>
      <c r="I81" s="27"/>
      <c r="J81" s="29" t="s">
        <v>4844</v>
      </c>
      <c r="K81" s="27"/>
      <c r="L81" s="27"/>
      <c r="M81" s="27"/>
      <c r="N81" s="27"/>
      <c r="O81" s="27"/>
      <c r="P81" s="27"/>
      <c r="Q81" s="27"/>
      <c r="R81" s="27"/>
      <c r="S81" s="27"/>
    </row>
    <row r="82">
      <c r="A82" s="32">
        <v>30594.0</v>
      </c>
      <c r="B82" s="4" t="s">
        <v>20</v>
      </c>
      <c r="C82" s="4" t="s">
        <v>4845</v>
      </c>
      <c r="D82" s="4" t="s">
        <v>87</v>
      </c>
      <c r="E82" s="4" t="s">
        <v>87</v>
      </c>
      <c r="F82" s="27"/>
      <c r="G82" s="32">
        <v>1.0</v>
      </c>
      <c r="H82" s="101" t="s">
        <v>4846</v>
      </c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</row>
    <row r="83">
      <c r="A83" s="32">
        <v>10804.0</v>
      </c>
      <c r="B83" s="4" t="s">
        <v>20</v>
      </c>
      <c r="C83" s="4" t="s">
        <v>4847</v>
      </c>
      <c r="D83" s="4" t="s">
        <v>87</v>
      </c>
      <c r="E83" s="4" t="s">
        <v>87</v>
      </c>
      <c r="F83" s="27"/>
      <c r="G83" s="32">
        <v>1.0</v>
      </c>
      <c r="H83" s="103"/>
      <c r="I83" s="27"/>
      <c r="J83" s="29" t="s">
        <v>4848</v>
      </c>
      <c r="K83" s="27"/>
      <c r="L83" s="27"/>
      <c r="M83" s="27"/>
      <c r="N83" s="27"/>
      <c r="O83" s="27"/>
      <c r="P83" s="27"/>
      <c r="Q83" s="27"/>
      <c r="R83" s="27"/>
      <c r="S83" s="27"/>
    </row>
    <row r="84">
      <c r="A84" s="27"/>
      <c r="B84" s="4" t="s">
        <v>20</v>
      </c>
      <c r="C84" s="4" t="s">
        <v>4849</v>
      </c>
      <c r="D84" s="4" t="s">
        <v>87</v>
      </c>
      <c r="E84" s="4" t="s">
        <v>87</v>
      </c>
      <c r="F84" s="27"/>
      <c r="G84" s="32">
        <v>1.0</v>
      </c>
      <c r="H84" s="101" t="s">
        <v>4850</v>
      </c>
      <c r="I84" s="27"/>
      <c r="J84" s="29" t="s">
        <v>4851</v>
      </c>
      <c r="K84" s="27"/>
      <c r="L84" s="27"/>
      <c r="M84" s="27"/>
      <c r="N84" s="27"/>
      <c r="O84" s="27"/>
      <c r="P84" s="27"/>
      <c r="Q84" s="27"/>
      <c r="R84" s="27"/>
      <c r="S84" s="27"/>
    </row>
    <row r="85">
      <c r="A85" s="32">
        <v>29062.0</v>
      </c>
      <c r="B85" s="4" t="s">
        <v>20</v>
      </c>
      <c r="C85" s="4" t="s">
        <v>4852</v>
      </c>
      <c r="D85" s="4" t="s">
        <v>87</v>
      </c>
      <c r="E85" s="4" t="s">
        <v>87</v>
      </c>
      <c r="F85" s="27"/>
      <c r="G85" s="32">
        <v>1.0</v>
      </c>
      <c r="H85" s="101" t="s">
        <v>4853</v>
      </c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</row>
    <row r="86">
      <c r="A86" s="27"/>
      <c r="B86" s="4" t="s">
        <v>20</v>
      </c>
      <c r="C86" s="4" t="s">
        <v>1168</v>
      </c>
      <c r="D86" s="4" t="s">
        <v>87</v>
      </c>
      <c r="E86" s="4" t="s">
        <v>87</v>
      </c>
      <c r="F86" s="27"/>
      <c r="G86" s="32">
        <v>1.0</v>
      </c>
      <c r="H86" s="101" t="s">
        <v>4854</v>
      </c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</row>
    <row r="87">
      <c r="A87" s="27"/>
      <c r="B87" s="4" t="s">
        <v>20</v>
      </c>
      <c r="C87" s="4" t="s">
        <v>1937</v>
      </c>
      <c r="D87" s="4" t="s">
        <v>87</v>
      </c>
      <c r="E87" s="4" t="s">
        <v>87</v>
      </c>
      <c r="F87" s="27"/>
      <c r="G87" s="32">
        <v>1.0</v>
      </c>
      <c r="H87" s="101" t="s">
        <v>4855</v>
      </c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</row>
    <row r="88">
      <c r="A88" s="27"/>
      <c r="B88" s="4" t="s">
        <v>20</v>
      </c>
      <c r="C88" s="4" t="s">
        <v>4856</v>
      </c>
      <c r="D88" s="4" t="s">
        <v>87</v>
      </c>
      <c r="E88" s="4" t="s">
        <v>87</v>
      </c>
      <c r="F88" s="27"/>
      <c r="G88" s="32">
        <v>1.0</v>
      </c>
      <c r="H88" s="101" t="s">
        <v>4857</v>
      </c>
      <c r="I88" s="29" t="s">
        <v>4858</v>
      </c>
      <c r="J88" s="27"/>
      <c r="K88" s="27"/>
      <c r="L88" s="27"/>
      <c r="M88" s="27"/>
      <c r="N88" s="27"/>
      <c r="O88" s="27"/>
      <c r="P88" s="27"/>
      <c r="Q88" s="27"/>
      <c r="R88" s="27"/>
      <c r="S88" s="27"/>
    </row>
    <row r="89">
      <c r="A89" s="32">
        <v>25747.0</v>
      </c>
      <c r="B89" s="4" t="s">
        <v>20</v>
      </c>
      <c r="C89" s="4" t="s">
        <v>1434</v>
      </c>
      <c r="D89" s="4" t="s">
        <v>87</v>
      </c>
      <c r="E89" s="4" t="s">
        <v>87</v>
      </c>
      <c r="F89" s="27"/>
      <c r="G89" s="32">
        <v>1.0</v>
      </c>
      <c r="H89" s="101" t="s">
        <v>4859</v>
      </c>
      <c r="I89" s="27"/>
      <c r="J89" s="29" t="s">
        <v>4860</v>
      </c>
      <c r="K89" s="27"/>
      <c r="L89" s="27"/>
      <c r="M89" s="27"/>
      <c r="N89" s="27"/>
      <c r="O89" s="27"/>
      <c r="P89" s="27"/>
      <c r="Q89" s="27"/>
      <c r="R89" s="27"/>
      <c r="S89" s="27"/>
    </row>
    <row r="90">
      <c r="A90" s="32">
        <v>27529.0</v>
      </c>
      <c r="B90" s="4" t="s">
        <v>20</v>
      </c>
      <c r="C90" s="4" t="s">
        <v>4861</v>
      </c>
      <c r="D90" s="4" t="s">
        <v>87</v>
      </c>
      <c r="E90" s="4" t="s">
        <v>87</v>
      </c>
      <c r="F90" s="27"/>
      <c r="G90" s="32">
        <v>1.0</v>
      </c>
      <c r="H90" s="102" t="s">
        <v>4862</v>
      </c>
      <c r="I90" s="29" t="s">
        <v>4863</v>
      </c>
      <c r="J90" s="27"/>
      <c r="K90" s="27"/>
      <c r="L90" s="27"/>
      <c r="M90" s="27"/>
      <c r="N90" s="27"/>
      <c r="O90" s="27"/>
      <c r="P90" s="27"/>
      <c r="Q90" s="27"/>
      <c r="R90" s="27"/>
      <c r="S90" s="27"/>
    </row>
    <row r="91">
      <c r="A91" s="27"/>
      <c r="B91" s="4" t="s">
        <v>20</v>
      </c>
      <c r="C91" s="4" t="s">
        <v>4864</v>
      </c>
      <c r="D91" s="4" t="s">
        <v>87</v>
      </c>
      <c r="E91" s="4" t="s">
        <v>87</v>
      </c>
      <c r="F91" s="27"/>
      <c r="G91" s="32">
        <v>1.0</v>
      </c>
      <c r="H91" s="101" t="s">
        <v>4865</v>
      </c>
      <c r="I91" s="29" t="s">
        <v>4866</v>
      </c>
      <c r="J91" s="27"/>
      <c r="K91" s="27"/>
      <c r="L91" s="27"/>
      <c r="M91" s="27"/>
      <c r="N91" s="27"/>
      <c r="O91" s="27"/>
      <c r="P91" s="27"/>
      <c r="Q91" s="27"/>
      <c r="R91" s="27"/>
      <c r="S91" s="27"/>
    </row>
    <row r="92">
      <c r="A92" s="32">
        <v>32120.0</v>
      </c>
      <c r="B92" s="4" t="s">
        <v>20</v>
      </c>
      <c r="C92" s="4" t="s">
        <v>4867</v>
      </c>
      <c r="D92" s="4" t="s">
        <v>87</v>
      </c>
      <c r="E92" s="4" t="s">
        <v>87</v>
      </c>
      <c r="F92" s="27"/>
      <c r="G92" s="32">
        <v>1.0</v>
      </c>
      <c r="H92" s="101" t="s">
        <v>4868</v>
      </c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</row>
    <row r="93">
      <c r="A93" s="32">
        <v>29456.0</v>
      </c>
      <c r="B93" s="4" t="s">
        <v>20</v>
      </c>
      <c r="C93" s="4" t="s">
        <v>4869</v>
      </c>
      <c r="D93" s="4" t="s">
        <v>87</v>
      </c>
      <c r="E93" s="4" t="s">
        <v>87</v>
      </c>
      <c r="F93" s="27"/>
      <c r="G93" s="32">
        <v>1.0</v>
      </c>
      <c r="H93" s="101" t="s">
        <v>4870</v>
      </c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</row>
    <row r="94">
      <c r="A94" s="27"/>
      <c r="B94" s="4" t="s">
        <v>4871</v>
      </c>
      <c r="C94" s="4" t="s">
        <v>4872</v>
      </c>
      <c r="D94" s="4" t="s">
        <v>87</v>
      </c>
      <c r="E94" s="4" t="s">
        <v>87</v>
      </c>
      <c r="F94" s="27"/>
      <c r="G94" s="32">
        <v>2.0</v>
      </c>
      <c r="H94" s="101" t="s">
        <v>4873</v>
      </c>
      <c r="I94" s="104" t="s">
        <v>4874</v>
      </c>
      <c r="J94" s="27"/>
      <c r="K94" s="27"/>
      <c r="L94" s="27"/>
      <c r="M94" s="27"/>
      <c r="N94" s="27"/>
      <c r="O94" s="27"/>
      <c r="P94" s="27"/>
      <c r="Q94" s="27"/>
      <c r="R94" s="27"/>
      <c r="S94" s="27"/>
    </row>
    <row r="95">
      <c r="A95" s="27"/>
      <c r="B95" s="4" t="s">
        <v>20</v>
      </c>
      <c r="C95" s="4" t="s">
        <v>4875</v>
      </c>
      <c r="D95" s="4" t="s">
        <v>87</v>
      </c>
      <c r="E95" s="4" t="s">
        <v>87</v>
      </c>
      <c r="F95" s="27"/>
      <c r="G95" s="32">
        <v>2.0</v>
      </c>
      <c r="H95" s="101" t="s">
        <v>4876</v>
      </c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</row>
    <row r="96">
      <c r="A96" s="32">
        <v>32127.0</v>
      </c>
      <c r="B96" s="4" t="s">
        <v>20</v>
      </c>
      <c r="C96" s="4" t="s">
        <v>4877</v>
      </c>
      <c r="D96" s="4" t="s">
        <v>87</v>
      </c>
      <c r="E96" s="4" t="s">
        <v>87</v>
      </c>
      <c r="F96" s="27"/>
      <c r="G96" s="32">
        <v>2.0</v>
      </c>
      <c r="H96" s="103"/>
      <c r="I96" s="27"/>
      <c r="J96" s="29" t="s">
        <v>4878</v>
      </c>
      <c r="K96" s="27"/>
      <c r="L96" s="27"/>
      <c r="M96" s="27"/>
      <c r="N96" s="27"/>
      <c r="O96" s="27"/>
      <c r="P96" s="27"/>
      <c r="Q96" s="27"/>
      <c r="R96" s="27"/>
      <c r="S96" s="27"/>
    </row>
    <row r="97">
      <c r="A97" s="27"/>
      <c r="B97" s="4" t="s">
        <v>20</v>
      </c>
      <c r="C97" s="4" t="s">
        <v>4879</v>
      </c>
      <c r="D97" s="4" t="s">
        <v>87</v>
      </c>
      <c r="E97" s="4" t="s">
        <v>87</v>
      </c>
      <c r="F97" s="27"/>
      <c r="G97" s="32">
        <v>2.0</v>
      </c>
      <c r="H97" s="101" t="s">
        <v>4880</v>
      </c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</row>
    <row r="98">
      <c r="A98" s="32">
        <v>24698.0</v>
      </c>
      <c r="B98" s="4" t="s">
        <v>20</v>
      </c>
      <c r="C98" s="4" t="s">
        <v>4881</v>
      </c>
      <c r="D98" s="4" t="s">
        <v>87</v>
      </c>
      <c r="E98" s="4" t="s">
        <v>87</v>
      </c>
      <c r="F98" s="27"/>
      <c r="G98" s="32">
        <v>2.0</v>
      </c>
      <c r="H98" s="103"/>
      <c r="I98" s="27"/>
      <c r="J98" s="29" t="s">
        <v>4882</v>
      </c>
      <c r="K98" s="27"/>
      <c r="L98" s="27"/>
      <c r="M98" s="27"/>
      <c r="N98" s="27"/>
      <c r="O98" s="27"/>
      <c r="P98" s="27"/>
      <c r="Q98" s="27"/>
      <c r="R98" s="27"/>
      <c r="S98" s="27"/>
    </row>
    <row r="99">
      <c r="A99" s="27"/>
      <c r="B99" s="4" t="s">
        <v>276</v>
      </c>
      <c r="C99" s="4" t="s">
        <v>4883</v>
      </c>
      <c r="D99" s="4" t="s">
        <v>87</v>
      </c>
      <c r="E99" s="4" t="s">
        <v>87</v>
      </c>
      <c r="F99" s="27"/>
      <c r="G99" s="32">
        <v>2.0</v>
      </c>
      <c r="H99" s="101" t="s">
        <v>4884</v>
      </c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</row>
    <row r="100">
      <c r="A100" s="27"/>
      <c r="B100" s="4" t="s">
        <v>20</v>
      </c>
      <c r="C100" s="4" t="s">
        <v>341</v>
      </c>
      <c r="D100" s="4" t="s">
        <v>87</v>
      </c>
      <c r="E100" s="4" t="s">
        <v>87</v>
      </c>
      <c r="F100" s="27"/>
      <c r="G100" s="32">
        <v>2.0</v>
      </c>
      <c r="H100" s="102" t="s">
        <v>4885</v>
      </c>
      <c r="I100" s="43" t="s">
        <v>4886</v>
      </c>
      <c r="J100" s="27"/>
      <c r="K100" s="27"/>
      <c r="L100" s="27"/>
      <c r="M100" s="27"/>
      <c r="N100" s="27"/>
      <c r="O100" s="27"/>
      <c r="P100" s="27"/>
      <c r="Q100" s="27"/>
      <c r="R100" s="27"/>
      <c r="S100" s="27"/>
    </row>
    <row r="101">
      <c r="A101" s="27"/>
      <c r="B101" s="4" t="s">
        <v>276</v>
      </c>
      <c r="C101" s="4" t="s">
        <v>4887</v>
      </c>
      <c r="D101" s="4" t="s">
        <v>87</v>
      </c>
      <c r="E101" s="4" t="s">
        <v>87</v>
      </c>
      <c r="F101" s="27"/>
      <c r="G101" s="32">
        <v>2.0</v>
      </c>
      <c r="H101" s="101" t="s">
        <v>4888</v>
      </c>
      <c r="I101" s="29" t="s">
        <v>4889</v>
      </c>
      <c r="J101" s="27"/>
      <c r="K101" s="29" t="s">
        <v>4890</v>
      </c>
      <c r="L101" s="27"/>
      <c r="M101" s="27"/>
      <c r="N101" s="27"/>
      <c r="O101" s="27"/>
      <c r="P101" s="27"/>
      <c r="Q101" s="27"/>
      <c r="R101" s="27"/>
      <c r="S101" s="27"/>
    </row>
    <row r="102">
      <c r="A102" s="27"/>
      <c r="B102" s="4" t="s">
        <v>4871</v>
      </c>
      <c r="C102" s="4" t="s">
        <v>4478</v>
      </c>
      <c r="D102" s="4" t="s">
        <v>87</v>
      </c>
      <c r="E102" s="4" t="s">
        <v>87</v>
      </c>
      <c r="F102" s="27"/>
      <c r="G102" s="32">
        <v>2.0</v>
      </c>
      <c r="H102" s="101" t="s">
        <v>4891</v>
      </c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</row>
    <row r="103">
      <c r="A103" s="32">
        <v>25519.0</v>
      </c>
      <c r="B103" s="4" t="s">
        <v>20</v>
      </c>
      <c r="C103" s="4" t="s">
        <v>4892</v>
      </c>
      <c r="D103" s="4" t="s">
        <v>87</v>
      </c>
      <c r="E103" s="4" t="s">
        <v>87</v>
      </c>
      <c r="F103" s="27"/>
      <c r="G103" s="32">
        <v>2.0</v>
      </c>
      <c r="H103" s="101" t="s">
        <v>4893</v>
      </c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</row>
    <row r="104">
      <c r="A104" s="32">
        <v>32211.0</v>
      </c>
      <c r="B104" s="4" t="s">
        <v>20</v>
      </c>
      <c r="C104" s="4" t="s">
        <v>4892</v>
      </c>
      <c r="D104" s="4" t="s">
        <v>87</v>
      </c>
      <c r="E104" s="4" t="s">
        <v>87</v>
      </c>
      <c r="F104" s="27"/>
      <c r="G104" s="32">
        <v>2.0</v>
      </c>
      <c r="H104" s="101" t="s">
        <v>4894</v>
      </c>
      <c r="I104" s="27"/>
      <c r="J104" s="29" t="s">
        <v>4895</v>
      </c>
      <c r="K104" s="27"/>
      <c r="L104" s="27"/>
      <c r="M104" s="27"/>
      <c r="N104" s="27"/>
      <c r="O104" s="27"/>
      <c r="P104" s="27"/>
      <c r="Q104" s="27"/>
      <c r="R104" s="27"/>
      <c r="S104" s="27"/>
    </row>
    <row r="105">
      <c r="A105" s="32">
        <v>10835.0</v>
      </c>
      <c r="B105" s="4" t="s">
        <v>20</v>
      </c>
      <c r="C105" s="4" t="s">
        <v>1245</v>
      </c>
      <c r="D105" s="4" t="s">
        <v>87</v>
      </c>
      <c r="E105" s="4" t="s">
        <v>87</v>
      </c>
      <c r="F105" s="27"/>
      <c r="G105" s="32">
        <v>2.0</v>
      </c>
      <c r="H105" s="103"/>
      <c r="I105" s="27"/>
      <c r="J105" s="29" t="s">
        <v>4896</v>
      </c>
      <c r="K105" s="27"/>
      <c r="L105" s="27"/>
      <c r="M105" s="27"/>
      <c r="N105" s="27"/>
      <c r="O105" s="27"/>
      <c r="P105" s="27"/>
      <c r="Q105" s="27"/>
      <c r="R105" s="27"/>
      <c r="S105" s="27"/>
    </row>
    <row r="106">
      <c r="A106" s="32">
        <v>32119.0</v>
      </c>
      <c r="B106" s="4" t="s">
        <v>20</v>
      </c>
      <c r="C106" s="4" t="s">
        <v>4897</v>
      </c>
      <c r="D106" s="4" t="s">
        <v>87</v>
      </c>
      <c r="E106" s="4" t="s">
        <v>87</v>
      </c>
      <c r="F106" s="27"/>
      <c r="G106" s="32">
        <v>2.0</v>
      </c>
      <c r="H106" s="101" t="s">
        <v>4898</v>
      </c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</row>
    <row r="107">
      <c r="A107" s="27"/>
      <c r="B107" s="4" t="s">
        <v>20</v>
      </c>
      <c r="C107" s="4" t="s">
        <v>4899</v>
      </c>
      <c r="D107" s="4" t="s">
        <v>87</v>
      </c>
      <c r="E107" s="4" t="s">
        <v>87</v>
      </c>
      <c r="F107" s="27"/>
      <c r="G107" s="32">
        <v>2.0</v>
      </c>
      <c r="H107" s="103"/>
      <c r="I107" s="27"/>
      <c r="J107" s="29" t="s">
        <v>4900</v>
      </c>
      <c r="K107" s="27"/>
      <c r="L107" s="27"/>
      <c r="M107" s="27"/>
      <c r="N107" s="27"/>
      <c r="O107" s="27"/>
      <c r="P107" s="27"/>
      <c r="Q107" s="27"/>
      <c r="R107" s="27"/>
      <c r="S107" s="27"/>
    </row>
    <row r="108">
      <c r="A108" s="27"/>
      <c r="B108" s="4" t="s">
        <v>20</v>
      </c>
      <c r="C108" s="4" t="s">
        <v>4684</v>
      </c>
      <c r="D108" s="4" t="s">
        <v>87</v>
      </c>
      <c r="E108" s="4" t="s">
        <v>4901</v>
      </c>
      <c r="F108" s="27"/>
      <c r="G108" s="32">
        <v>2.0</v>
      </c>
      <c r="H108" s="102" t="s">
        <v>4902</v>
      </c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</row>
    <row r="109">
      <c r="A109" s="32">
        <v>31875.0</v>
      </c>
      <c r="B109" s="4" t="s">
        <v>20</v>
      </c>
      <c r="C109" s="4" t="s">
        <v>4355</v>
      </c>
      <c r="D109" s="4" t="s">
        <v>87</v>
      </c>
      <c r="E109" s="4" t="s">
        <v>87</v>
      </c>
      <c r="F109" s="27"/>
      <c r="G109" s="32">
        <v>2.0</v>
      </c>
      <c r="H109" s="101" t="s">
        <v>4903</v>
      </c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</row>
    <row r="110">
      <c r="A110" s="27"/>
      <c r="B110" s="4" t="s">
        <v>20</v>
      </c>
      <c r="C110" s="4" t="s">
        <v>503</v>
      </c>
      <c r="D110" s="4" t="s">
        <v>87</v>
      </c>
      <c r="E110" s="4" t="s">
        <v>87</v>
      </c>
      <c r="F110" s="27"/>
      <c r="G110" s="32">
        <v>2.0</v>
      </c>
      <c r="H110" s="101" t="s">
        <v>4904</v>
      </c>
      <c r="I110" s="27"/>
      <c r="J110" s="43" t="s">
        <v>4905</v>
      </c>
      <c r="K110" s="27"/>
      <c r="L110" s="27"/>
      <c r="M110" s="27"/>
      <c r="N110" s="27"/>
      <c r="O110" s="27"/>
      <c r="P110" s="27"/>
      <c r="Q110" s="27"/>
      <c r="R110" s="27"/>
      <c r="S110" s="27"/>
    </row>
    <row r="111">
      <c r="A111" s="32">
        <v>32904.0</v>
      </c>
      <c r="B111" s="4" t="s">
        <v>20</v>
      </c>
      <c r="C111" s="4" t="s">
        <v>4906</v>
      </c>
      <c r="D111" s="4" t="s">
        <v>87</v>
      </c>
      <c r="E111" s="4" t="s">
        <v>87</v>
      </c>
      <c r="F111" s="27"/>
      <c r="G111" s="32">
        <v>2.0</v>
      </c>
      <c r="H111" s="103"/>
      <c r="I111" s="27"/>
      <c r="J111" s="29" t="s">
        <v>4907</v>
      </c>
      <c r="K111" s="27"/>
      <c r="L111" s="27"/>
      <c r="M111" s="27"/>
      <c r="N111" s="27"/>
      <c r="O111" s="27"/>
      <c r="P111" s="27"/>
      <c r="Q111" s="27"/>
      <c r="R111" s="27"/>
      <c r="S111" s="27"/>
    </row>
    <row r="112">
      <c r="A112" s="27"/>
      <c r="B112" s="4" t="s">
        <v>276</v>
      </c>
      <c r="C112" s="4" t="s">
        <v>4908</v>
      </c>
      <c r="D112" s="4" t="s">
        <v>87</v>
      </c>
      <c r="E112" s="4" t="s">
        <v>87</v>
      </c>
      <c r="F112" s="27"/>
      <c r="G112" s="32">
        <v>2.0</v>
      </c>
      <c r="H112" s="101" t="s">
        <v>4909</v>
      </c>
      <c r="I112" s="29" t="s">
        <v>4910</v>
      </c>
      <c r="J112" s="27"/>
      <c r="K112" s="27"/>
      <c r="L112" s="27"/>
      <c r="M112" s="27"/>
      <c r="N112" s="27"/>
      <c r="O112" s="27"/>
      <c r="P112" s="27"/>
      <c r="Q112" s="27"/>
      <c r="R112" s="27"/>
      <c r="S112" s="27"/>
    </row>
    <row r="113">
      <c r="A113" s="27"/>
      <c r="B113" s="4" t="s">
        <v>20</v>
      </c>
      <c r="C113" s="4" t="s">
        <v>4911</v>
      </c>
      <c r="D113" s="4" t="s">
        <v>87</v>
      </c>
      <c r="E113" s="4" t="s">
        <v>87</v>
      </c>
      <c r="F113" s="27"/>
      <c r="G113" s="32">
        <v>2.0</v>
      </c>
      <c r="H113" s="101" t="s">
        <v>4912</v>
      </c>
      <c r="I113" s="27"/>
      <c r="J113" s="43" t="s">
        <v>4913</v>
      </c>
      <c r="K113" s="27"/>
      <c r="L113" s="27"/>
      <c r="M113" s="27"/>
      <c r="N113" s="27"/>
      <c r="O113" s="27"/>
      <c r="P113" s="27"/>
      <c r="Q113" s="27"/>
      <c r="R113" s="27"/>
      <c r="S113" s="27"/>
    </row>
    <row r="114">
      <c r="A114" s="32">
        <v>24222.0</v>
      </c>
      <c r="B114" s="4" t="s">
        <v>20</v>
      </c>
      <c r="C114" s="4" t="s">
        <v>4914</v>
      </c>
      <c r="D114" s="4" t="s">
        <v>87</v>
      </c>
      <c r="E114" s="4" t="s">
        <v>87</v>
      </c>
      <c r="F114" s="27"/>
      <c r="G114" s="32">
        <v>2.0</v>
      </c>
      <c r="H114" s="101" t="s">
        <v>4915</v>
      </c>
      <c r="I114" s="29" t="s">
        <v>4916</v>
      </c>
      <c r="J114" s="27"/>
      <c r="K114" s="27"/>
      <c r="L114" s="27"/>
      <c r="M114" s="27"/>
      <c r="N114" s="27"/>
      <c r="O114" s="27"/>
      <c r="P114" s="27"/>
      <c r="Q114" s="27"/>
      <c r="R114" s="27"/>
      <c r="S114" s="27"/>
    </row>
    <row r="115">
      <c r="A115" s="32">
        <v>32125.0</v>
      </c>
      <c r="B115" s="4" t="s">
        <v>20</v>
      </c>
      <c r="C115" s="4" t="s">
        <v>680</v>
      </c>
      <c r="D115" s="4" t="s">
        <v>87</v>
      </c>
      <c r="E115" s="4" t="s">
        <v>87</v>
      </c>
      <c r="F115" s="27"/>
      <c r="G115" s="32">
        <v>2.0</v>
      </c>
      <c r="H115" s="103"/>
      <c r="I115" s="27"/>
      <c r="J115" s="29" t="s">
        <v>4917</v>
      </c>
      <c r="K115" s="27"/>
      <c r="L115" s="27"/>
      <c r="M115" s="27"/>
      <c r="N115" s="27"/>
      <c r="O115" s="27"/>
      <c r="P115" s="27"/>
      <c r="Q115" s="27"/>
      <c r="R115" s="27"/>
      <c r="S115" s="27"/>
    </row>
    <row r="116">
      <c r="A116" s="27"/>
      <c r="B116" s="4" t="s">
        <v>20</v>
      </c>
      <c r="C116" s="4" t="s">
        <v>4609</v>
      </c>
      <c r="D116" s="4" t="s">
        <v>87</v>
      </c>
      <c r="E116" s="4" t="s">
        <v>87</v>
      </c>
      <c r="F116" s="27"/>
      <c r="G116" s="32">
        <v>2.0</v>
      </c>
      <c r="H116" s="101" t="s">
        <v>4918</v>
      </c>
      <c r="I116" s="27"/>
      <c r="J116" s="29" t="s">
        <v>4919</v>
      </c>
      <c r="K116" s="27"/>
      <c r="L116" s="27"/>
      <c r="M116" s="27"/>
      <c r="N116" s="27"/>
      <c r="O116" s="27"/>
      <c r="P116" s="27"/>
      <c r="Q116" s="27"/>
      <c r="R116" s="27"/>
      <c r="S116" s="27"/>
    </row>
    <row r="117">
      <c r="A117" s="27"/>
      <c r="B117" s="4" t="s">
        <v>20</v>
      </c>
      <c r="C117" s="4" t="s">
        <v>4920</v>
      </c>
      <c r="D117" s="4" t="s">
        <v>87</v>
      </c>
      <c r="E117" s="4" t="s">
        <v>87</v>
      </c>
      <c r="F117" s="27"/>
      <c r="G117" s="32">
        <v>2.0</v>
      </c>
      <c r="H117" s="101" t="s">
        <v>4921</v>
      </c>
      <c r="I117" s="27"/>
      <c r="J117" s="29" t="s">
        <v>4922</v>
      </c>
      <c r="K117" s="27"/>
      <c r="L117" s="27"/>
      <c r="M117" s="27"/>
      <c r="N117" s="27"/>
      <c r="O117" s="27"/>
      <c r="P117" s="27"/>
      <c r="Q117" s="27"/>
      <c r="R117" s="27"/>
      <c r="S117" s="27"/>
    </row>
    <row r="118">
      <c r="A118" s="27"/>
      <c r="B118" s="4" t="s">
        <v>20</v>
      </c>
      <c r="C118" s="4" t="s">
        <v>4923</v>
      </c>
      <c r="D118" s="4" t="s">
        <v>87</v>
      </c>
      <c r="E118" s="4" t="s">
        <v>87</v>
      </c>
      <c r="F118" s="27"/>
      <c r="G118" s="32">
        <v>2.0</v>
      </c>
      <c r="H118" s="101" t="s">
        <v>4924</v>
      </c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</row>
    <row r="119">
      <c r="A119" s="32">
        <v>31850.0</v>
      </c>
      <c r="B119" s="4" t="s">
        <v>20</v>
      </c>
      <c r="C119" s="4" t="s">
        <v>1439</v>
      </c>
      <c r="D119" s="4" t="s">
        <v>87</v>
      </c>
      <c r="E119" s="4" t="s">
        <v>87</v>
      </c>
      <c r="F119" s="27"/>
      <c r="G119" s="32">
        <v>2.0</v>
      </c>
      <c r="H119" s="101" t="s">
        <v>4925</v>
      </c>
      <c r="I119" s="27"/>
      <c r="J119" s="27"/>
      <c r="K119" s="32" t="s">
        <v>4926</v>
      </c>
      <c r="L119" s="29" t="s">
        <v>4927</v>
      </c>
      <c r="M119" s="27"/>
      <c r="N119" s="27"/>
      <c r="O119" s="27"/>
      <c r="P119" s="27"/>
      <c r="Q119" s="27"/>
      <c r="R119" s="27"/>
      <c r="S119" s="27"/>
    </row>
    <row r="120">
      <c r="A120" s="32">
        <v>10861.0</v>
      </c>
      <c r="B120" s="4" t="s">
        <v>20</v>
      </c>
      <c r="C120" s="4" t="s">
        <v>4724</v>
      </c>
      <c r="D120" s="4" t="s">
        <v>87</v>
      </c>
      <c r="E120" s="4" t="s">
        <v>87</v>
      </c>
      <c r="F120" s="4" t="s">
        <v>4928</v>
      </c>
      <c r="G120" s="32">
        <v>2.0</v>
      </c>
      <c r="H120" s="103"/>
      <c r="I120" s="85"/>
      <c r="J120" s="29" t="s">
        <v>4929</v>
      </c>
      <c r="K120" s="27"/>
      <c r="L120" s="27"/>
      <c r="M120" s="27"/>
      <c r="N120" s="27"/>
      <c r="O120" s="27"/>
      <c r="P120" s="27"/>
      <c r="Q120" s="27"/>
      <c r="R120" s="27"/>
      <c r="S120" s="27"/>
    </row>
    <row r="121">
      <c r="A121" s="32">
        <v>31387.0</v>
      </c>
      <c r="B121" s="4" t="s">
        <v>17</v>
      </c>
      <c r="C121" s="4" t="s">
        <v>4724</v>
      </c>
      <c r="D121" s="4" t="s">
        <v>87</v>
      </c>
      <c r="E121" s="4" t="s">
        <v>87</v>
      </c>
      <c r="F121" s="27"/>
      <c r="G121" s="32">
        <v>2.0</v>
      </c>
      <c r="H121" s="101" t="s">
        <v>4930</v>
      </c>
      <c r="I121" s="29" t="s">
        <v>4931</v>
      </c>
      <c r="J121" s="27"/>
      <c r="K121" s="27"/>
      <c r="L121" s="27"/>
      <c r="M121" s="27"/>
      <c r="N121" s="27"/>
      <c r="O121" s="27"/>
      <c r="P121" s="27"/>
      <c r="Q121" s="27"/>
      <c r="R121" s="27"/>
      <c r="S121" s="27"/>
    </row>
    <row r="122">
      <c r="A122" s="32">
        <v>21640.0</v>
      </c>
      <c r="B122" s="4" t="s">
        <v>20</v>
      </c>
      <c r="C122" s="4" t="s">
        <v>98</v>
      </c>
      <c r="D122" s="4" t="s">
        <v>87</v>
      </c>
      <c r="E122" s="4" t="s">
        <v>87</v>
      </c>
      <c r="F122" s="27"/>
      <c r="G122" s="32">
        <v>2.0</v>
      </c>
      <c r="H122" s="101" t="s">
        <v>4932</v>
      </c>
      <c r="I122" s="29" t="s">
        <v>4933</v>
      </c>
      <c r="J122" s="29" t="s">
        <v>4934</v>
      </c>
      <c r="K122" s="32" t="s">
        <v>4926</v>
      </c>
      <c r="L122" s="32" t="s">
        <v>4935</v>
      </c>
      <c r="M122" s="27"/>
      <c r="N122" s="27"/>
      <c r="O122" s="27"/>
      <c r="P122" s="27"/>
      <c r="Q122" s="27"/>
      <c r="R122" s="27"/>
      <c r="S122" s="27"/>
    </row>
    <row r="123">
      <c r="A123" s="32">
        <v>10908.0</v>
      </c>
      <c r="B123" s="4" t="s">
        <v>20</v>
      </c>
      <c r="C123" s="4" t="s">
        <v>862</v>
      </c>
      <c r="D123" s="4" t="s">
        <v>87</v>
      </c>
      <c r="E123" s="4" t="s">
        <v>87</v>
      </c>
      <c r="F123" s="27"/>
      <c r="G123" s="32">
        <v>2.0</v>
      </c>
      <c r="H123" s="101" t="s">
        <v>4936</v>
      </c>
      <c r="I123" s="87" t="s">
        <v>4937</v>
      </c>
      <c r="J123" s="27"/>
      <c r="K123" s="27"/>
      <c r="L123" s="27"/>
      <c r="M123" s="27"/>
      <c r="N123" s="27"/>
      <c r="O123" s="27"/>
      <c r="P123" s="27"/>
      <c r="Q123" s="27"/>
      <c r="R123" s="27"/>
      <c r="S123" s="27"/>
    </row>
    <row r="124">
      <c r="A124" s="27"/>
      <c r="B124" s="4" t="s">
        <v>20</v>
      </c>
      <c r="C124" s="4" t="s">
        <v>4938</v>
      </c>
      <c r="D124" s="4" t="s">
        <v>87</v>
      </c>
      <c r="E124" s="4" t="s">
        <v>87</v>
      </c>
      <c r="F124" s="27"/>
      <c r="G124" s="32">
        <v>2.0</v>
      </c>
      <c r="H124" s="101" t="s">
        <v>4939</v>
      </c>
      <c r="I124" s="29" t="s">
        <v>4940</v>
      </c>
      <c r="J124" s="27"/>
      <c r="K124" s="27"/>
      <c r="L124" s="27"/>
      <c r="M124" s="27"/>
      <c r="N124" s="27"/>
      <c r="O124" s="27"/>
      <c r="P124" s="27"/>
      <c r="Q124" s="27"/>
      <c r="R124" s="27"/>
      <c r="S124" s="27"/>
    </row>
    <row r="125">
      <c r="A125" s="27"/>
      <c r="B125" s="4" t="s">
        <v>20</v>
      </c>
      <c r="C125" s="4" t="s">
        <v>4941</v>
      </c>
      <c r="D125" s="4" t="s">
        <v>87</v>
      </c>
      <c r="E125" s="4" t="s">
        <v>87</v>
      </c>
      <c r="F125" s="27"/>
      <c r="G125" s="32">
        <v>2.0</v>
      </c>
      <c r="H125" s="101" t="s">
        <v>4942</v>
      </c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</row>
    <row r="126">
      <c r="A126" s="27"/>
      <c r="B126" s="4" t="s">
        <v>20</v>
      </c>
      <c r="C126" s="4" t="s">
        <v>4943</v>
      </c>
      <c r="D126" s="4" t="s">
        <v>87</v>
      </c>
      <c r="E126" s="4" t="s">
        <v>87</v>
      </c>
      <c r="F126" s="27"/>
      <c r="G126" s="32">
        <v>2.0</v>
      </c>
      <c r="H126" s="101" t="s">
        <v>4944</v>
      </c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</row>
    <row r="127">
      <c r="A127" s="27"/>
      <c r="B127" s="4" t="s">
        <v>20</v>
      </c>
      <c r="C127" s="4" t="s">
        <v>4945</v>
      </c>
      <c r="D127" s="4" t="s">
        <v>87</v>
      </c>
      <c r="E127" s="4" t="s">
        <v>87</v>
      </c>
      <c r="F127" s="27"/>
      <c r="G127" s="32">
        <v>2.0</v>
      </c>
      <c r="H127" s="101" t="s">
        <v>4946</v>
      </c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</row>
    <row r="128">
      <c r="A128" s="27"/>
      <c r="B128" s="4" t="s">
        <v>20</v>
      </c>
      <c r="C128" s="4" t="s">
        <v>4947</v>
      </c>
      <c r="D128" s="4" t="s">
        <v>87</v>
      </c>
      <c r="E128" s="4" t="s">
        <v>87</v>
      </c>
      <c r="F128" s="27"/>
      <c r="G128" s="32">
        <v>2.0</v>
      </c>
      <c r="H128" s="101" t="s">
        <v>4948</v>
      </c>
      <c r="I128" s="27"/>
      <c r="J128" s="29" t="s">
        <v>4949</v>
      </c>
      <c r="K128" s="27"/>
      <c r="L128" s="27"/>
      <c r="M128" s="27"/>
      <c r="N128" s="27"/>
      <c r="O128" s="27"/>
      <c r="P128" s="27"/>
      <c r="Q128" s="27"/>
      <c r="R128" s="27"/>
      <c r="S128" s="27"/>
    </row>
    <row r="129">
      <c r="A129" s="27"/>
      <c r="B129" s="4" t="s">
        <v>20</v>
      </c>
      <c r="C129" s="4" t="s">
        <v>4950</v>
      </c>
      <c r="D129" s="4" t="s">
        <v>87</v>
      </c>
      <c r="E129" s="4" t="s">
        <v>87</v>
      </c>
      <c r="F129" s="27"/>
      <c r="G129" s="32">
        <v>2.0</v>
      </c>
      <c r="H129" s="101" t="s">
        <v>4951</v>
      </c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</row>
    <row r="130">
      <c r="A130" s="27"/>
      <c r="B130" s="4" t="s">
        <v>20</v>
      </c>
      <c r="C130" s="4" t="s">
        <v>2454</v>
      </c>
      <c r="D130" s="4" t="s">
        <v>87</v>
      </c>
      <c r="E130" s="4" t="s">
        <v>87</v>
      </c>
      <c r="F130" s="27"/>
      <c r="G130" s="32">
        <v>2.0</v>
      </c>
      <c r="H130" s="101" t="s">
        <v>4952</v>
      </c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</row>
    <row r="131">
      <c r="A131" s="32">
        <v>27546.0</v>
      </c>
      <c r="B131" s="4" t="s">
        <v>20</v>
      </c>
      <c r="C131" s="4" t="s">
        <v>634</v>
      </c>
      <c r="D131" s="4" t="s">
        <v>87</v>
      </c>
      <c r="E131" s="4" t="s">
        <v>87</v>
      </c>
      <c r="F131" s="27"/>
      <c r="G131" s="32">
        <v>2.0</v>
      </c>
      <c r="H131" s="103"/>
      <c r="I131" s="27"/>
      <c r="J131" s="29" t="s">
        <v>4953</v>
      </c>
      <c r="K131" s="27"/>
      <c r="L131" s="27"/>
      <c r="M131" s="27"/>
      <c r="N131" s="27"/>
      <c r="O131" s="27"/>
      <c r="P131" s="27"/>
      <c r="Q131" s="27"/>
      <c r="R131" s="27"/>
      <c r="S131" s="27"/>
    </row>
    <row r="132">
      <c r="A132" s="32">
        <v>30802.0</v>
      </c>
      <c r="B132" s="4" t="s">
        <v>20</v>
      </c>
      <c r="C132" s="4" t="s">
        <v>4954</v>
      </c>
      <c r="D132" s="4" t="s">
        <v>87</v>
      </c>
      <c r="E132" s="4" t="s">
        <v>87</v>
      </c>
      <c r="F132" s="27"/>
      <c r="G132" s="32">
        <v>2.0</v>
      </c>
      <c r="H132" s="103"/>
      <c r="I132" s="27"/>
      <c r="J132" s="29" t="s">
        <v>4955</v>
      </c>
      <c r="K132" s="27"/>
      <c r="L132" s="27"/>
      <c r="M132" s="27"/>
      <c r="N132" s="27"/>
      <c r="O132" s="27"/>
      <c r="P132" s="27"/>
      <c r="Q132" s="27"/>
      <c r="R132" s="27"/>
      <c r="S132" s="27"/>
    </row>
    <row r="133">
      <c r="A133" s="27"/>
      <c r="B133" s="4" t="s">
        <v>102</v>
      </c>
      <c r="C133" s="4" t="s">
        <v>4956</v>
      </c>
      <c r="D133" s="4" t="s">
        <v>87</v>
      </c>
      <c r="E133" s="4" t="s">
        <v>87</v>
      </c>
      <c r="F133" s="27"/>
      <c r="G133" s="32">
        <v>2.0</v>
      </c>
      <c r="H133" s="101" t="s">
        <v>4957</v>
      </c>
      <c r="I133" s="27"/>
      <c r="J133" s="29" t="s">
        <v>4958</v>
      </c>
      <c r="K133" s="27"/>
      <c r="L133" s="27"/>
      <c r="M133" s="27"/>
      <c r="N133" s="27"/>
      <c r="O133" s="27"/>
      <c r="P133" s="27"/>
      <c r="Q133" s="27"/>
      <c r="R133" s="27"/>
      <c r="S133" s="27"/>
    </row>
    <row r="134">
      <c r="A134" s="32">
        <v>18823.0</v>
      </c>
      <c r="B134" s="4" t="s">
        <v>102</v>
      </c>
      <c r="C134" s="4" t="s">
        <v>4214</v>
      </c>
      <c r="D134" s="4" t="s">
        <v>87</v>
      </c>
      <c r="E134" s="4" t="s">
        <v>87</v>
      </c>
      <c r="F134" s="27"/>
      <c r="G134" s="32">
        <v>2.0</v>
      </c>
      <c r="H134" s="103"/>
      <c r="I134" s="27"/>
      <c r="J134" s="43" t="s">
        <v>4959</v>
      </c>
      <c r="K134" s="27"/>
      <c r="L134" s="27"/>
      <c r="M134" s="27"/>
      <c r="N134" s="27"/>
      <c r="O134" s="27"/>
      <c r="P134" s="27"/>
      <c r="Q134" s="27"/>
      <c r="R134" s="27"/>
      <c r="S134" s="27"/>
    </row>
    <row r="135">
      <c r="A135" s="32">
        <v>33209.0</v>
      </c>
      <c r="B135" s="4" t="s">
        <v>20</v>
      </c>
      <c r="C135" s="4" t="s">
        <v>4960</v>
      </c>
      <c r="D135" s="4" t="s">
        <v>87</v>
      </c>
      <c r="E135" s="4" t="s">
        <v>87</v>
      </c>
      <c r="F135" s="27"/>
      <c r="G135" s="32">
        <v>2.0</v>
      </c>
      <c r="H135" s="103"/>
      <c r="I135" s="27"/>
      <c r="J135" s="29" t="s">
        <v>4961</v>
      </c>
      <c r="K135" s="27"/>
      <c r="L135" s="27"/>
      <c r="M135" s="27"/>
      <c r="N135" s="27"/>
      <c r="O135" s="27"/>
      <c r="P135" s="27"/>
      <c r="Q135" s="27"/>
      <c r="R135" s="27"/>
      <c r="S135" s="27"/>
    </row>
    <row r="136">
      <c r="A136" s="32">
        <v>32436.0</v>
      </c>
      <c r="B136" s="4" t="s">
        <v>20</v>
      </c>
      <c r="C136" s="4" t="s">
        <v>4962</v>
      </c>
      <c r="D136" s="4" t="s">
        <v>87</v>
      </c>
      <c r="E136" s="4" t="s">
        <v>87</v>
      </c>
      <c r="F136" s="27"/>
      <c r="G136" s="32">
        <v>2.0</v>
      </c>
      <c r="H136" s="103"/>
      <c r="I136" s="27"/>
      <c r="J136" s="29" t="s">
        <v>4963</v>
      </c>
      <c r="K136" s="27"/>
      <c r="L136" s="27"/>
      <c r="M136" s="27"/>
      <c r="N136" s="27"/>
      <c r="O136" s="27"/>
      <c r="P136" s="27"/>
      <c r="Q136" s="27"/>
      <c r="R136" s="27"/>
      <c r="S136" s="27"/>
    </row>
    <row r="137">
      <c r="A137" s="27"/>
      <c r="B137" s="4" t="s">
        <v>20</v>
      </c>
      <c r="C137" s="4" t="s">
        <v>4964</v>
      </c>
      <c r="D137" s="4" t="s">
        <v>87</v>
      </c>
      <c r="E137" s="4" t="s">
        <v>87</v>
      </c>
      <c r="F137" s="27"/>
      <c r="G137" s="32">
        <v>2.0</v>
      </c>
      <c r="H137" s="101" t="s">
        <v>4965</v>
      </c>
      <c r="I137" s="29" t="s">
        <v>4966</v>
      </c>
      <c r="J137" s="27"/>
      <c r="K137" s="27"/>
      <c r="L137" s="27"/>
      <c r="M137" s="27"/>
      <c r="N137" s="27"/>
      <c r="O137" s="27"/>
      <c r="P137" s="27"/>
      <c r="Q137" s="27"/>
      <c r="R137" s="27"/>
      <c r="S137" s="27"/>
    </row>
    <row r="138">
      <c r="A138" s="32">
        <v>10595.0</v>
      </c>
      <c r="B138" s="4" t="s">
        <v>4967</v>
      </c>
      <c r="C138" s="4" t="s">
        <v>4968</v>
      </c>
      <c r="D138" s="4" t="s">
        <v>87</v>
      </c>
      <c r="E138" s="4" t="s">
        <v>87</v>
      </c>
      <c r="F138" s="27"/>
      <c r="G138" s="32">
        <v>2.0</v>
      </c>
      <c r="H138" s="103"/>
      <c r="I138" s="27"/>
      <c r="J138" s="29" t="s">
        <v>4969</v>
      </c>
      <c r="K138" s="27"/>
      <c r="L138" s="27"/>
      <c r="M138" s="27"/>
      <c r="N138" s="27"/>
      <c r="O138" s="27"/>
      <c r="P138" s="27"/>
      <c r="Q138" s="27"/>
      <c r="R138" s="27"/>
      <c r="S138" s="27"/>
    </row>
    <row r="139">
      <c r="A139" s="32">
        <v>31213.0</v>
      </c>
      <c r="B139" s="4" t="s">
        <v>20</v>
      </c>
      <c r="C139" s="4" t="s">
        <v>4970</v>
      </c>
      <c r="D139" s="4" t="s">
        <v>87</v>
      </c>
      <c r="E139" s="4" t="s">
        <v>87</v>
      </c>
      <c r="F139" s="27"/>
      <c r="G139" s="32">
        <v>2.0</v>
      </c>
      <c r="H139" s="103"/>
      <c r="I139" s="27"/>
      <c r="J139" s="29" t="s">
        <v>4971</v>
      </c>
      <c r="K139" s="27"/>
      <c r="L139" s="27"/>
      <c r="M139" s="27"/>
      <c r="N139" s="27"/>
      <c r="O139" s="27"/>
      <c r="P139" s="27"/>
      <c r="Q139" s="27"/>
      <c r="R139" s="27"/>
      <c r="S139" s="27"/>
    </row>
    <row r="140">
      <c r="A140" s="32">
        <v>10912.0</v>
      </c>
      <c r="B140" s="4" t="s">
        <v>20</v>
      </c>
      <c r="C140" s="4" t="s">
        <v>39</v>
      </c>
      <c r="D140" s="4" t="s">
        <v>87</v>
      </c>
      <c r="E140" s="4" t="s">
        <v>87</v>
      </c>
      <c r="F140" s="27"/>
      <c r="G140" s="32">
        <v>2.0</v>
      </c>
      <c r="H140" s="101" t="s">
        <v>4972</v>
      </c>
      <c r="I140" s="27"/>
      <c r="J140" s="29" t="s">
        <v>4973</v>
      </c>
      <c r="K140" s="27"/>
      <c r="L140" s="27"/>
      <c r="M140" s="27"/>
      <c r="N140" s="27"/>
      <c r="O140" s="27"/>
      <c r="P140" s="27"/>
      <c r="Q140" s="27"/>
      <c r="R140" s="27"/>
      <c r="S140" s="27"/>
    </row>
    <row r="141">
      <c r="A141" s="27"/>
      <c r="B141" s="4" t="s">
        <v>20</v>
      </c>
      <c r="C141" s="4" t="s">
        <v>4974</v>
      </c>
      <c r="D141" s="4" t="s">
        <v>87</v>
      </c>
      <c r="E141" s="4" t="s">
        <v>87</v>
      </c>
      <c r="F141" s="27"/>
      <c r="G141" s="32">
        <v>2.0</v>
      </c>
      <c r="H141" s="101" t="s">
        <v>4975</v>
      </c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</row>
    <row r="142">
      <c r="A142" s="32">
        <v>31474.0</v>
      </c>
      <c r="B142" s="4" t="s">
        <v>20</v>
      </c>
      <c r="C142" s="4" t="s">
        <v>4976</v>
      </c>
      <c r="D142" s="4" t="s">
        <v>87</v>
      </c>
      <c r="E142" s="4" t="s">
        <v>87</v>
      </c>
      <c r="F142" s="27"/>
      <c r="G142" s="32">
        <v>2.0</v>
      </c>
      <c r="H142" s="105" t="s">
        <v>0</v>
      </c>
      <c r="I142" s="27"/>
      <c r="J142" s="29" t="s">
        <v>4977</v>
      </c>
      <c r="K142" s="27"/>
      <c r="L142" s="27"/>
      <c r="M142" s="27"/>
      <c r="N142" s="27"/>
      <c r="O142" s="27"/>
      <c r="P142" s="27"/>
      <c r="Q142" s="27"/>
      <c r="R142" s="27"/>
      <c r="S142" s="27"/>
    </row>
    <row r="143">
      <c r="A143" s="27"/>
      <c r="B143" s="4" t="s">
        <v>20</v>
      </c>
      <c r="C143" s="4" t="s">
        <v>74</v>
      </c>
      <c r="D143" s="4" t="s">
        <v>87</v>
      </c>
      <c r="E143" s="4" t="s">
        <v>87</v>
      </c>
      <c r="F143" s="4" t="s">
        <v>4978</v>
      </c>
      <c r="G143" s="32">
        <v>2.0</v>
      </c>
      <c r="H143" s="101" t="s">
        <v>4979</v>
      </c>
      <c r="I143" s="29" t="s">
        <v>4980</v>
      </c>
      <c r="J143" s="27"/>
      <c r="K143" s="27"/>
      <c r="L143" s="27"/>
      <c r="M143" s="27"/>
      <c r="N143" s="27"/>
      <c r="O143" s="27"/>
      <c r="P143" s="27"/>
      <c r="Q143" s="27"/>
      <c r="R143" s="27"/>
      <c r="S143" s="27"/>
    </row>
    <row r="144">
      <c r="A144" s="27"/>
      <c r="B144" s="4" t="s">
        <v>20</v>
      </c>
      <c r="C144" s="4" t="s">
        <v>4981</v>
      </c>
      <c r="D144" s="4" t="s">
        <v>87</v>
      </c>
      <c r="E144" s="4" t="s">
        <v>87</v>
      </c>
      <c r="F144" s="27"/>
      <c r="G144" s="32">
        <v>2.0</v>
      </c>
      <c r="H144" s="101" t="s">
        <v>4982</v>
      </c>
      <c r="I144" s="29" t="s">
        <v>4983</v>
      </c>
      <c r="J144" s="29" t="s">
        <v>4984</v>
      </c>
      <c r="K144" s="27"/>
      <c r="L144" s="27"/>
      <c r="M144" s="27"/>
      <c r="N144" s="27"/>
      <c r="O144" s="27"/>
      <c r="P144" s="27"/>
      <c r="Q144" s="27"/>
      <c r="R144" s="27"/>
      <c r="S144" s="27"/>
    </row>
    <row r="145">
      <c r="A145" s="27"/>
      <c r="B145" s="4" t="s">
        <v>20</v>
      </c>
      <c r="C145" s="4" t="s">
        <v>4985</v>
      </c>
      <c r="D145" s="4" t="s">
        <v>87</v>
      </c>
      <c r="E145" s="4" t="s">
        <v>87</v>
      </c>
      <c r="F145" s="27"/>
      <c r="G145" s="32">
        <v>2.0</v>
      </c>
      <c r="H145" s="101" t="s">
        <v>4986</v>
      </c>
      <c r="I145" s="27"/>
      <c r="J145" s="29" t="s">
        <v>4987</v>
      </c>
      <c r="K145" s="27"/>
      <c r="L145" s="27"/>
      <c r="M145" s="27"/>
      <c r="N145" s="27"/>
      <c r="O145" s="27"/>
      <c r="P145" s="27"/>
      <c r="Q145" s="27"/>
      <c r="R145" s="27"/>
      <c r="S145" s="27"/>
    </row>
    <row r="146">
      <c r="A146" s="27"/>
      <c r="B146" s="4" t="s">
        <v>20</v>
      </c>
      <c r="C146" s="4" t="s">
        <v>4017</v>
      </c>
      <c r="D146" s="4" t="s">
        <v>87</v>
      </c>
      <c r="E146" s="4" t="s">
        <v>87</v>
      </c>
      <c r="F146" s="4" t="s">
        <v>4827</v>
      </c>
      <c r="G146" s="32">
        <v>2.0</v>
      </c>
      <c r="H146" s="29" t="s">
        <v>4988</v>
      </c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</row>
    <row r="147">
      <c r="A147" s="32">
        <v>29556.0</v>
      </c>
      <c r="B147" s="4" t="s">
        <v>20</v>
      </c>
      <c r="C147" s="4" t="s">
        <v>4989</v>
      </c>
      <c r="D147" s="4" t="s">
        <v>87</v>
      </c>
      <c r="E147" s="4" t="s">
        <v>87</v>
      </c>
      <c r="F147" s="27"/>
      <c r="G147" s="32">
        <v>2.0</v>
      </c>
      <c r="H147" s="103"/>
      <c r="I147" s="27"/>
      <c r="J147" s="29" t="s">
        <v>4990</v>
      </c>
      <c r="K147" s="27"/>
      <c r="L147" s="27"/>
      <c r="M147" s="27"/>
      <c r="N147" s="27"/>
      <c r="O147" s="27"/>
      <c r="P147" s="27"/>
      <c r="Q147" s="27"/>
      <c r="R147" s="27"/>
      <c r="S147" s="27"/>
    </row>
    <row r="148">
      <c r="A148" s="27"/>
      <c r="B148" s="4" t="s">
        <v>276</v>
      </c>
      <c r="C148" s="4" t="s">
        <v>4991</v>
      </c>
      <c r="D148" s="4" t="s">
        <v>87</v>
      </c>
      <c r="E148" s="4" t="s">
        <v>87</v>
      </c>
      <c r="F148" s="27"/>
      <c r="G148" s="32">
        <v>2.0</v>
      </c>
      <c r="H148" s="103"/>
      <c r="I148" s="27"/>
      <c r="J148" s="29" t="s">
        <v>4992</v>
      </c>
      <c r="K148" s="27"/>
      <c r="L148" s="27"/>
      <c r="M148" s="27"/>
      <c r="N148" s="27"/>
      <c r="O148" s="27"/>
      <c r="P148" s="27"/>
      <c r="Q148" s="27"/>
      <c r="R148" s="27"/>
      <c r="S148" s="27"/>
    </row>
    <row r="149">
      <c r="A149" s="32">
        <v>20727.0</v>
      </c>
      <c r="B149" s="4" t="s">
        <v>20</v>
      </c>
      <c r="C149" s="4" t="s">
        <v>4993</v>
      </c>
      <c r="D149" s="4" t="s">
        <v>87</v>
      </c>
      <c r="E149" s="4" t="s">
        <v>87</v>
      </c>
      <c r="F149" s="27"/>
      <c r="G149" s="32">
        <v>2.0</v>
      </c>
      <c r="H149" s="103"/>
      <c r="I149" s="27"/>
      <c r="J149" s="43" t="s">
        <v>4994</v>
      </c>
      <c r="K149" s="27"/>
      <c r="L149" s="27"/>
      <c r="M149" s="27"/>
      <c r="N149" s="27"/>
      <c r="O149" s="27"/>
      <c r="P149" s="27"/>
      <c r="Q149" s="27"/>
      <c r="R149" s="27"/>
      <c r="S149" s="27"/>
    </row>
    <row r="150">
      <c r="A150" s="32">
        <v>32468.0</v>
      </c>
      <c r="B150" s="4" t="s">
        <v>20</v>
      </c>
      <c r="C150" s="4" t="s">
        <v>4995</v>
      </c>
      <c r="D150" s="4" t="s">
        <v>87</v>
      </c>
      <c r="E150" s="4" t="s">
        <v>87</v>
      </c>
      <c r="F150" s="27"/>
      <c r="G150" s="32">
        <v>2.0</v>
      </c>
      <c r="H150" s="103"/>
      <c r="I150" s="27"/>
      <c r="J150" s="29" t="s">
        <v>4996</v>
      </c>
      <c r="K150" s="27"/>
      <c r="L150" s="27"/>
      <c r="M150" s="27"/>
      <c r="N150" s="27"/>
      <c r="O150" s="27"/>
      <c r="P150" s="27"/>
      <c r="Q150" s="27"/>
      <c r="R150" s="27"/>
      <c r="S150" s="27"/>
    </row>
    <row r="151">
      <c r="A151" s="27"/>
      <c r="B151" s="4" t="s">
        <v>20</v>
      </c>
      <c r="C151" s="4" t="s">
        <v>4997</v>
      </c>
      <c r="D151" s="4" t="s">
        <v>87</v>
      </c>
      <c r="E151" s="4" t="s">
        <v>87</v>
      </c>
      <c r="F151" s="27"/>
      <c r="G151" s="32">
        <v>2.0</v>
      </c>
      <c r="H151" s="101" t="s">
        <v>4998</v>
      </c>
      <c r="I151" s="27"/>
      <c r="J151" s="29" t="s">
        <v>4999</v>
      </c>
      <c r="K151" s="27"/>
      <c r="L151" s="27"/>
      <c r="M151" s="27"/>
      <c r="N151" s="27"/>
      <c r="O151" s="27"/>
      <c r="P151" s="27"/>
      <c r="Q151" s="27"/>
      <c r="R151" s="27"/>
      <c r="S151" s="27"/>
    </row>
    <row r="152">
      <c r="A152" s="32">
        <v>25627.0</v>
      </c>
      <c r="B152" s="4" t="s">
        <v>20</v>
      </c>
      <c r="C152" s="4" t="s">
        <v>5000</v>
      </c>
      <c r="D152" s="4" t="s">
        <v>87</v>
      </c>
      <c r="E152" s="4" t="s">
        <v>87</v>
      </c>
      <c r="F152" s="27"/>
      <c r="G152" s="32">
        <v>2.0</v>
      </c>
      <c r="H152" s="103"/>
      <c r="I152" s="27"/>
      <c r="J152" s="43" t="s">
        <v>5001</v>
      </c>
      <c r="K152" s="27"/>
      <c r="L152" s="27"/>
      <c r="M152" s="27"/>
      <c r="N152" s="27"/>
      <c r="O152" s="27"/>
      <c r="P152" s="27"/>
      <c r="Q152" s="27"/>
      <c r="R152" s="27"/>
      <c r="S152" s="27"/>
    </row>
    <row r="153">
      <c r="A153" s="27"/>
      <c r="B153" s="4" t="s">
        <v>20</v>
      </c>
      <c r="C153" s="4" t="s">
        <v>5002</v>
      </c>
      <c r="D153" s="4" t="s">
        <v>87</v>
      </c>
      <c r="E153" s="4" t="s">
        <v>87</v>
      </c>
      <c r="F153" s="27"/>
      <c r="G153" s="32">
        <v>2.0</v>
      </c>
      <c r="H153" s="102" t="s">
        <v>5003</v>
      </c>
      <c r="I153" s="29" t="s">
        <v>5004</v>
      </c>
      <c r="J153" s="27"/>
      <c r="K153" s="27"/>
      <c r="L153" s="27"/>
      <c r="M153" s="27"/>
      <c r="N153" s="27"/>
      <c r="O153" s="27"/>
      <c r="P153" s="27"/>
      <c r="Q153" s="27"/>
      <c r="R153" s="27"/>
      <c r="S153" s="27"/>
    </row>
    <row r="154">
      <c r="A154" s="27"/>
      <c r="B154" s="4" t="s">
        <v>20</v>
      </c>
      <c r="C154" s="4" t="s">
        <v>5005</v>
      </c>
      <c r="D154" s="4" t="s">
        <v>87</v>
      </c>
      <c r="E154" s="4" t="s">
        <v>87</v>
      </c>
      <c r="F154" s="27"/>
      <c r="G154" s="32">
        <v>2.0</v>
      </c>
      <c r="H154" s="101" t="s">
        <v>5006</v>
      </c>
      <c r="I154" s="29" t="s">
        <v>5007</v>
      </c>
      <c r="J154" s="27"/>
      <c r="K154" s="27"/>
      <c r="L154" s="27"/>
      <c r="M154" s="27"/>
      <c r="N154" s="27"/>
      <c r="O154" s="27"/>
      <c r="P154" s="27"/>
      <c r="Q154" s="27"/>
      <c r="R154" s="27"/>
      <c r="S154" s="27"/>
    </row>
    <row r="155">
      <c r="A155" s="32">
        <v>10934.0</v>
      </c>
      <c r="B155" s="4" t="s">
        <v>20</v>
      </c>
      <c r="C155" s="4" t="s">
        <v>5008</v>
      </c>
      <c r="D155" s="4" t="s">
        <v>87</v>
      </c>
      <c r="E155" s="4" t="s">
        <v>87</v>
      </c>
      <c r="F155" s="27"/>
      <c r="G155" s="32">
        <v>2.0</v>
      </c>
      <c r="H155" s="103"/>
      <c r="I155" s="27"/>
      <c r="J155" s="29" t="s">
        <v>5009</v>
      </c>
      <c r="K155" s="27"/>
      <c r="L155" s="27"/>
      <c r="M155" s="27"/>
      <c r="N155" s="27"/>
      <c r="O155" s="27"/>
      <c r="P155" s="27"/>
      <c r="Q155" s="27"/>
      <c r="R155" s="27"/>
      <c r="S155" s="27"/>
    </row>
    <row r="156">
      <c r="A156" s="27"/>
      <c r="B156" s="4" t="s">
        <v>20</v>
      </c>
      <c r="C156" s="4" t="s">
        <v>5010</v>
      </c>
      <c r="D156" s="4" t="s">
        <v>87</v>
      </c>
      <c r="E156" s="4" t="s">
        <v>87</v>
      </c>
      <c r="F156" s="27"/>
      <c r="G156" s="32">
        <v>2.0</v>
      </c>
      <c r="H156" s="101" t="s">
        <v>5011</v>
      </c>
      <c r="I156" s="29" t="s">
        <v>5012</v>
      </c>
      <c r="J156" s="27"/>
      <c r="K156" s="27"/>
      <c r="L156" s="27"/>
      <c r="M156" s="27"/>
      <c r="N156" s="27"/>
      <c r="O156" s="27"/>
      <c r="P156" s="27"/>
      <c r="Q156" s="27"/>
      <c r="R156" s="27"/>
      <c r="S156" s="27"/>
    </row>
    <row r="157">
      <c r="A157" s="27"/>
      <c r="B157" s="4" t="s">
        <v>20</v>
      </c>
      <c r="C157" s="4" t="s">
        <v>2981</v>
      </c>
      <c r="D157" s="4" t="s">
        <v>87</v>
      </c>
      <c r="E157" s="4" t="s">
        <v>87</v>
      </c>
      <c r="F157" s="27"/>
      <c r="G157" s="32">
        <v>2.0</v>
      </c>
      <c r="H157" s="101" t="s">
        <v>5013</v>
      </c>
      <c r="I157" s="29" t="s">
        <v>5014</v>
      </c>
      <c r="J157" s="27"/>
      <c r="K157" s="27"/>
      <c r="L157" s="27"/>
      <c r="M157" s="27"/>
      <c r="N157" s="27"/>
      <c r="O157" s="27"/>
      <c r="P157" s="27"/>
      <c r="Q157" s="27"/>
      <c r="R157" s="27"/>
      <c r="S157" s="27"/>
    </row>
    <row r="158">
      <c r="A158" s="27"/>
      <c r="B158" s="4" t="s">
        <v>20</v>
      </c>
      <c r="C158" s="4" t="s">
        <v>286</v>
      </c>
      <c r="D158" s="4" t="s">
        <v>87</v>
      </c>
      <c r="E158" s="4" t="s">
        <v>87</v>
      </c>
      <c r="F158" s="27"/>
      <c r="G158" s="32">
        <v>2.0</v>
      </c>
      <c r="H158" s="101" t="s">
        <v>5015</v>
      </c>
      <c r="I158" s="29" t="s">
        <v>5016</v>
      </c>
      <c r="J158" s="29" t="s">
        <v>5017</v>
      </c>
      <c r="K158" s="27"/>
      <c r="L158" s="27"/>
      <c r="M158" s="27"/>
      <c r="N158" s="27"/>
      <c r="O158" s="27"/>
      <c r="P158" s="27"/>
      <c r="Q158" s="27"/>
      <c r="R158" s="27"/>
      <c r="S158" s="27"/>
    </row>
    <row r="159">
      <c r="A159" s="27"/>
      <c r="B159" s="4" t="s">
        <v>20</v>
      </c>
      <c r="C159" s="4" t="s">
        <v>5018</v>
      </c>
      <c r="D159" s="4" t="s">
        <v>87</v>
      </c>
      <c r="E159" s="4" t="s">
        <v>87</v>
      </c>
      <c r="F159" s="27"/>
      <c r="G159" s="32">
        <v>2.0</v>
      </c>
      <c r="H159" s="101" t="s">
        <v>5019</v>
      </c>
      <c r="I159" s="29" t="s">
        <v>5020</v>
      </c>
      <c r="J159" s="27"/>
      <c r="K159" s="27"/>
      <c r="L159" s="27"/>
      <c r="M159" s="27"/>
      <c r="N159" s="27"/>
      <c r="O159" s="27"/>
      <c r="P159" s="27"/>
      <c r="Q159" s="27"/>
      <c r="R159" s="27"/>
      <c r="S159" s="27"/>
    </row>
    <row r="160">
      <c r="A160" s="27"/>
      <c r="B160" s="4" t="s">
        <v>20</v>
      </c>
      <c r="C160" s="4" t="s">
        <v>939</v>
      </c>
      <c r="D160" s="4" t="s">
        <v>87</v>
      </c>
      <c r="E160" s="4" t="s">
        <v>87</v>
      </c>
      <c r="F160" s="27"/>
      <c r="G160" s="32">
        <v>2.0</v>
      </c>
      <c r="H160" s="101" t="s">
        <v>5021</v>
      </c>
      <c r="I160" s="27"/>
      <c r="J160" s="27"/>
      <c r="K160" s="43" t="s">
        <v>5022</v>
      </c>
      <c r="L160" s="27"/>
      <c r="M160" s="27"/>
      <c r="N160" s="27"/>
      <c r="O160" s="27"/>
      <c r="P160" s="27"/>
      <c r="Q160" s="27"/>
      <c r="R160" s="27"/>
      <c r="S160" s="27"/>
    </row>
    <row r="161">
      <c r="A161" s="32">
        <v>26381.0</v>
      </c>
      <c r="B161" s="4" t="s">
        <v>20</v>
      </c>
      <c r="C161" s="4" t="s">
        <v>5023</v>
      </c>
      <c r="D161" s="4" t="s">
        <v>87</v>
      </c>
      <c r="E161" s="4" t="s">
        <v>87</v>
      </c>
      <c r="F161" s="27"/>
      <c r="G161" s="32">
        <v>2.0</v>
      </c>
      <c r="H161" s="103"/>
      <c r="I161" s="27"/>
      <c r="J161" s="29" t="s">
        <v>5024</v>
      </c>
      <c r="K161" s="27"/>
      <c r="L161" s="27"/>
      <c r="M161" s="27"/>
      <c r="N161" s="27"/>
      <c r="O161" s="27"/>
      <c r="P161" s="27"/>
      <c r="Q161" s="27"/>
      <c r="R161" s="27"/>
      <c r="S161" s="27"/>
    </row>
    <row r="162">
      <c r="A162" s="32">
        <v>28025.0</v>
      </c>
      <c r="B162" s="4" t="s">
        <v>20</v>
      </c>
      <c r="C162" s="4" t="s">
        <v>828</v>
      </c>
      <c r="D162" s="4" t="s">
        <v>87</v>
      </c>
      <c r="E162" s="4" t="s">
        <v>87</v>
      </c>
      <c r="F162" s="27"/>
      <c r="G162" s="32">
        <v>2.0</v>
      </c>
      <c r="H162" s="103"/>
      <c r="I162" s="27"/>
      <c r="J162" s="29" t="s">
        <v>5025</v>
      </c>
      <c r="K162" s="27"/>
      <c r="L162" s="27"/>
      <c r="M162" s="27"/>
      <c r="N162" s="27"/>
      <c r="O162" s="27"/>
      <c r="P162" s="27"/>
      <c r="Q162" s="27"/>
      <c r="R162" s="27"/>
      <c r="S162" s="27"/>
    </row>
    <row r="163">
      <c r="A163" s="27"/>
      <c r="B163" s="4" t="s">
        <v>20</v>
      </c>
      <c r="C163" s="4" t="s">
        <v>828</v>
      </c>
      <c r="D163" s="4" t="s">
        <v>87</v>
      </c>
      <c r="E163" s="4" t="s">
        <v>87</v>
      </c>
      <c r="F163" s="27"/>
      <c r="G163" s="32">
        <v>2.0</v>
      </c>
      <c r="H163" s="101" t="s">
        <v>5026</v>
      </c>
      <c r="I163" s="27"/>
      <c r="J163" s="29" t="s">
        <v>5027</v>
      </c>
      <c r="K163" s="27"/>
      <c r="L163" s="27"/>
      <c r="M163" s="27"/>
      <c r="N163" s="27"/>
      <c r="O163" s="27"/>
      <c r="P163" s="27"/>
      <c r="Q163" s="27"/>
      <c r="R163" s="27"/>
      <c r="S163" s="27"/>
    </row>
    <row r="164">
      <c r="A164" s="27"/>
      <c r="B164" s="4" t="s">
        <v>20</v>
      </c>
      <c r="C164" s="4" t="s">
        <v>5028</v>
      </c>
      <c r="D164" s="4" t="s">
        <v>87</v>
      </c>
      <c r="E164" s="4" t="s">
        <v>87</v>
      </c>
      <c r="F164" s="27"/>
      <c r="G164" s="32">
        <v>2.0</v>
      </c>
      <c r="H164" s="102" t="s">
        <v>5029</v>
      </c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</row>
    <row r="165">
      <c r="A165" s="32">
        <v>24617.0</v>
      </c>
      <c r="B165" s="4" t="s">
        <v>20</v>
      </c>
      <c r="C165" s="4" t="s">
        <v>5030</v>
      </c>
      <c r="D165" s="4" t="s">
        <v>87</v>
      </c>
      <c r="E165" s="4" t="s">
        <v>87</v>
      </c>
      <c r="F165" s="27"/>
      <c r="G165" s="32">
        <v>2.0</v>
      </c>
      <c r="H165" s="101" t="s">
        <v>5031</v>
      </c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</row>
    <row r="166">
      <c r="A166" s="32">
        <v>21642.0</v>
      </c>
      <c r="B166" s="4" t="s">
        <v>20</v>
      </c>
      <c r="C166" s="4" t="s">
        <v>5032</v>
      </c>
      <c r="D166" s="4" t="s">
        <v>87</v>
      </c>
      <c r="E166" s="4" t="s">
        <v>87</v>
      </c>
      <c r="F166" s="27"/>
      <c r="G166" s="32">
        <v>2.0</v>
      </c>
      <c r="H166" s="103"/>
      <c r="I166" s="27"/>
      <c r="J166" s="29" t="s">
        <v>5033</v>
      </c>
      <c r="K166" s="27"/>
      <c r="L166" s="27"/>
      <c r="M166" s="27"/>
      <c r="N166" s="27"/>
      <c r="O166" s="27"/>
      <c r="P166" s="27"/>
      <c r="Q166" s="27"/>
      <c r="R166" s="27"/>
      <c r="S166" s="27"/>
    </row>
    <row r="167">
      <c r="A167" s="32" t="s">
        <v>5034</v>
      </c>
      <c r="B167" s="4" t="s">
        <v>20</v>
      </c>
      <c r="C167" s="4" t="s">
        <v>5035</v>
      </c>
      <c r="D167" s="4" t="s">
        <v>87</v>
      </c>
      <c r="E167" s="4" t="s">
        <v>87</v>
      </c>
      <c r="F167" s="27"/>
      <c r="G167" s="32">
        <v>2.0</v>
      </c>
      <c r="H167" s="103"/>
      <c r="I167" s="27"/>
      <c r="J167" s="29" t="s">
        <v>5036</v>
      </c>
      <c r="K167" s="27"/>
      <c r="L167" s="27"/>
      <c r="M167" s="27"/>
      <c r="N167" s="27"/>
      <c r="O167" s="27"/>
      <c r="P167" s="27"/>
      <c r="Q167" s="27"/>
      <c r="R167" s="27"/>
      <c r="S167" s="27"/>
    </row>
    <row r="168">
      <c r="A168" s="27"/>
      <c r="B168" s="4" t="s">
        <v>20</v>
      </c>
      <c r="C168" s="4" t="s">
        <v>5037</v>
      </c>
      <c r="D168" s="4" t="s">
        <v>87</v>
      </c>
      <c r="E168" s="4" t="s">
        <v>87</v>
      </c>
      <c r="F168" s="27"/>
      <c r="G168" s="32">
        <v>2.0</v>
      </c>
      <c r="H168" s="101" t="s">
        <v>5038</v>
      </c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</row>
    <row r="169">
      <c r="A169" s="27"/>
      <c r="B169" s="4" t="s">
        <v>20</v>
      </c>
      <c r="C169" s="4" t="s">
        <v>2066</v>
      </c>
      <c r="D169" s="4" t="s">
        <v>87</v>
      </c>
      <c r="E169" s="4" t="s">
        <v>87</v>
      </c>
      <c r="F169" s="27"/>
      <c r="G169" s="32">
        <v>2.0</v>
      </c>
      <c r="H169" s="101" t="s">
        <v>5039</v>
      </c>
      <c r="I169" s="27"/>
      <c r="J169" s="29" t="s">
        <v>5040</v>
      </c>
      <c r="K169" s="27"/>
      <c r="L169" s="27"/>
      <c r="M169" s="27"/>
      <c r="N169" s="27"/>
      <c r="O169" s="27"/>
      <c r="P169" s="27"/>
      <c r="Q169" s="27"/>
      <c r="R169" s="27"/>
      <c r="S169" s="27"/>
    </row>
    <row r="170">
      <c r="A170" s="32">
        <v>32550.0</v>
      </c>
      <c r="B170" s="4" t="s">
        <v>20</v>
      </c>
      <c r="C170" s="4" t="s">
        <v>5041</v>
      </c>
      <c r="D170" s="4" t="s">
        <v>87</v>
      </c>
      <c r="E170" s="4" t="s">
        <v>87</v>
      </c>
      <c r="F170" s="27"/>
      <c r="G170" s="32">
        <v>2.0</v>
      </c>
      <c r="H170" s="103"/>
      <c r="I170" s="27"/>
      <c r="J170" s="29" t="s">
        <v>5042</v>
      </c>
      <c r="K170" s="27"/>
      <c r="L170" s="27"/>
      <c r="M170" s="27"/>
      <c r="N170" s="27"/>
      <c r="O170" s="27"/>
      <c r="P170" s="27"/>
      <c r="Q170" s="27"/>
      <c r="R170" s="27"/>
      <c r="S170" s="27"/>
    </row>
    <row r="171">
      <c r="A171" s="32">
        <v>30603.0</v>
      </c>
      <c r="B171" s="4" t="s">
        <v>20</v>
      </c>
      <c r="C171" s="4" t="s">
        <v>5043</v>
      </c>
      <c r="D171" s="4" t="s">
        <v>87</v>
      </c>
      <c r="E171" s="4" t="s">
        <v>87</v>
      </c>
      <c r="F171" s="27"/>
      <c r="G171" s="32">
        <v>2.0</v>
      </c>
      <c r="H171" s="103"/>
      <c r="I171" s="27"/>
      <c r="J171" s="29" t="s">
        <v>5044</v>
      </c>
      <c r="K171" s="27"/>
      <c r="L171" s="27"/>
      <c r="M171" s="27"/>
      <c r="N171" s="27"/>
      <c r="O171" s="27"/>
      <c r="P171" s="27"/>
      <c r="Q171" s="27"/>
      <c r="R171" s="27"/>
      <c r="S171" s="27"/>
    </row>
    <row r="172">
      <c r="A172" s="32">
        <v>27545.0</v>
      </c>
      <c r="B172" s="4" t="s">
        <v>5045</v>
      </c>
      <c r="C172" s="4" t="s">
        <v>5046</v>
      </c>
      <c r="D172" s="4" t="s">
        <v>87</v>
      </c>
      <c r="E172" s="4" t="s">
        <v>87</v>
      </c>
      <c r="F172" s="27"/>
      <c r="G172" s="32">
        <v>2.0</v>
      </c>
      <c r="H172" s="103"/>
      <c r="I172" s="27"/>
      <c r="J172" s="29" t="s">
        <v>5047</v>
      </c>
      <c r="K172" s="27"/>
      <c r="L172" s="27"/>
      <c r="M172" s="27"/>
      <c r="N172" s="27"/>
      <c r="O172" s="27"/>
      <c r="P172" s="27"/>
      <c r="Q172" s="27"/>
      <c r="R172" s="27"/>
      <c r="S172" s="27"/>
    </row>
    <row r="173">
      <c r="A173" s="32">
        <v>26567.0</v>
      </c>
      <c r="B173" s="4" t="s">
        <v>102</v>
      </c>
      <c r="C173" s="4" t="s">
        <v>5048</v>
      </c>
      <c r="D173" s="4" t="s">
        <v>87</v>
      </c>
      <c r="E173" s="4" t="s">
        <v>87</v>
      </c>
      <c r="F173" s="4" t="s">
        <v>5049</v>
      </c>
      <c r="G173" s="32">
        <v>2.0</v>
      </c>
      <c r="H173" s="103"/>
      <c r="I173" s="27"/>
      <c r="J173" s="43" t="s">
        <v>5050</v>
      </c>
      <c r="K173" s="27"/>
      <c r="L173" s="27"/>
      <c r="M173" s="27"/>
      <c r="N173" s="27"/>
      <c r="O173" s="27"/>
      <c r="P173" s="27"/>
      <c r="Q173" s="27"/>
      <c r="R173" s="27"/>
      <c r="S173" s="27"/>
    </row>
    <row r="174">
      <c r="A174" s="27"/>
      <c r="B174" s="4" t="s">
        <v>20</v>
      </c>
      <c r="C174" s="4" t="s">
        <v>5051</v>
      </c>
      <c r="D174" s="4" t="s">
        <v>87</v>
      </c>
      <c r="E174" s="4" t="s">
        <v>87</v>
      </c>
      <c r="F174" s="27"/>
      <c r="G174" s="32">
        <v>2.0</v>
      </c>
      <c r="H174" s="101" t="s">
        <v>5052</v>
      </c>
      <c r="I174" s="101" t="s">
        <v>5053</v>
      </c>
      <c r="J174" s="105"/>
      <c r="K174" s="27"/>
      <c r="L174" s="27"/>
      <c r="M174" s="27"/>
      <c r="N174" s="27"/>
      <c r="O174" s="27"/>
      <c r="P174" s="27"/>
      <c r="Q174" s="27"/>
      <c r="R174" s="27"/>
      <c r="S174" s="27"/>
    </row>
    <row r="175">
      <c r="A175" s="32">
        <v>31375.0</v>
      </c>
      <c r="B175" s="4" t="s">
        <v>20</v>
      </c>
      <c r="C175" s="4" t="s">
        <v>5054</v>
      </c>
      <c r="D175" s="4" t="s">
        <v>87</v>
      </c>
      <c r="E175" s="4" t="s">
        <v>87</v>
      </c>
      <c r="F175" s="27"/>
      <c r="G175" s="32">
        <v>3.0</v>
      </c>
      <c r="H175" s="102" t="s">
        <v>5055</v>
      </c>
      <c r="I175" s="27"/>
      <c r="J175" s="29" t="s">
        <v>5056</v>
      </c>
      <c r="K175" s="27"/>
      <c r="L175" s="27"/>
      <c r="M175" s="27"/>
      <c r="N175" s="27"/>
      <c r="O175" s="27"/>
      <c r="P175" s="27"/>
      <c r="Q175" s="27"/>
      <c r="R175" s="27"/>
      <c r="S175" s="27"/>
    </row>
    <row r="176">
      <c r="A176" s="32">
        <v>18940.0</v>
      </c>
      <c r="B176" s="4" t="s">
        <v>20</v>
      </c>
      <c r="C176" s="4" t="s">
        <v>5057</v>
      </c>
      <c r="D176" s="4" t="s">
        <v>87</v>
      </c>
      <c r="E176" s="4" t="s">
        <v>87</v>
      </c>
      <c r="F176" s="27"/>
      <c r="G176" s="32">
        <v>3.0</v>
      </c>
      <c r="H176" s="103"/>
      <c r="I176" s="27"/>
      <c r="J176" s="29" t="s">
        <v>4682</v>
      </c>
      <c r="K176" s="27"/>
      <c r="L176" s="27"/>
      <c r="M176" s="27"/>
      <c r="N176" s="27"/>
      <c r="O176" s="27"/>
      <c r="P176" s="27"/>
      <c r="Q176" s="27"/>
      <c r="R176" s="27"/>
      <c r="S176" s="27"/>
    </row>
    <row r="177">
      <c r="A177" s="27"/>
      <c r="B177" s="4" t="s">
        <v>20</v>
      </c>
      <c r="C177" s="4" t="s">
        <v>4478</v>
      </c>
      <c r="D177" s="4" t="s">
        <v>87</v>
      </c>
      <c r="E177" s="4" t="s">
        <v>87</v>
      </c>
      <c r="F177" s="27"/>
      <c r="G177" s="32">
        <v>3.0</v>
      </c>
      <c r="H177" s="101" t="s">
        <v>5058</v>
      </c>
      <c r="I177" s="29" t="s">
        <v>5059</v>
      </c>
      <c r="J177" s="29" t="s">
        <v>5060</v>
      </c>
      <c r="K177" s="27"/>
      <c r="L177" s="27"/>
      <c r="M177" s="27"/>
      <c r="N177" s="27"/>
      <c r="O177" s="27"/>
      <c r="P177" s="27"/>
      <c r="Q177" s="27"/>
      <c r="R177" s="27"/>
      <c r="S177" s="27"/>
    </row>
    <row r="178">
      <c r="A178" s="32">
        <v>30575.0</v>
      </c>
      <c r="B178" s="4" t="s">
        <v>20</v>
      </c>
      <c r="C178" s="4" t="s">
        <v>850</v>
      </c>
      <c r="D178" s="4" t="s">
        <v>87</v>
      </c>
      <c r="E178" s="4" t="s">
        <v>87</v>
      </c>
      <c r="F178" s="27"/>
      <c r="G178" s="32">
        <v>3.0</v>
      </c>
      <c r="H178" s="103"/>
      <c r="I178" s="27"/>
      <c r="J178" s="29" t="s">
        <v>5061</v>
      </c>
      <c r="K178" s="27"/>
      <c r="L178" s="27"/>
      <c r="M178" s="27"/>
      <c r="N178" s="27"/>
      <c r="O178" s="27"/>
      <c r="P178" s="27"/>
      <c r="Q178" s="27"/>
      <c r="R178" s="27"/>
      <c r="S178" s="27"/>
    </row>
    <row r="179">
      <c r="A179" s="27"/>
      <c r="B179" s="4" t="s">
        <v>687</v>
      </c>
      <c r="C179" s="4" t="s">
        <v>21</v>
      </c>
      <c r="D179" s="4" t="s">
        <v>87</v>
      </c>
      <c r="E179" s="4" t="s">
        <v>87</v>
      </c>
      <c r="F179" s="27"/>
      <c r="G179" s="32">
        <v>3.0</v>
      </c>
      <c r="H179" s="106" t="s">
        <v>5062</v>
      </c>
      <c r="I179" s="101" t="s">
        <v>5063</v>
      </c>
      <c r="J179" s="105"/>
      <c r="K179" s="27"/>
      <c r="L179" s="27"/>
      <c r="M179" s="27"/>
      <c r="N179" s="27"/>
      <c r="O179" s="27"/>
      <c r="P179" s="27"/>
      <c r="Q179" s="27"/>
      <c r="R179" s="27"/>
      <c r="S179" s="27"/>
    </row>
    <row r="180">
      <c r="A180" s="32" t="s">
        <v>5064</v>
      </c>
      <c r="B180" s="4" t="s">
        <v>20</v>
      </c>
      <c r="C180" s="4" t="s">
        <v>5065</v>
      </c>
      <c r="D180" s="4" t="s">
        <v>87</v>
      </c>
      <c r="E180" s="4" t="s">
        <v>87</v>
      </c>
      <c r="F180" s="27"/>
      <c r="G180" s="32">
        <v>3.0</v>
      </c>
      <c r="H180" s="101" t="s">
        <v>5066</v>
      </c>
      <c r="I180" s="27"/>
      <c r="J180" s="29" t="s">
        <v>5067</v>
      </c>
      <c r="K180" s="27"/>
      <c r="L180" s="27"/>
      <c r="M180" s="27"/>
      <c r="N180" s="27"/>
      <c r="O180" s="27"/>
      <c r="P180" s="27"/>
      <c r="Q180" s="27"/>
      <c r="R180" s="27"/>
      <c r="S180" s="27"/>
    </row>
    <row r="181">
      <c r="A181" s="32">
        <v>31211.0</v>
      </c>
      <c r="B181" s="4" t="s">
        <v>20</v>
      </c>
      <c r="C181" s="4" t="s">
        <v>5068</v>
      </c>
      <c r="D181" s="4" t="s">
        <v>87</v>
      </c>
      <c r="E181" s="4" t="s">
        <v>87</v>
      </c>
      <c r="F181" s="27"/>
      <c r="G181" s="32">
        <v>3.0</v>
      </c>
      <c r="H181" s="102" t="s">
        <v>5069</v>
      </c>
      <c r="I181" s="27"/>
      <c r="J181" s="29" t="s">
        <v>5070</v>
      </c>
      <c r="K181" s="27"/>
      <c r="L181" s="27"/>
      <c r="M181" s="27"/>
      <c r="N181" s="27"/>
      <c r="O181" s="27"/>
      <c r="P181" s="27"/>
      <c r="Q181" s="27"/>
      <c r="R181" s="27"/>
      <c r="S181" s="27"/>
    </row>
    <row r="182">
      <c r="A182" s="27"/>
      <c r="B182" s="4" t="s">
        <v>20</v>
      </c>
      <c r="C182" s="4" t="s">
        <v>5071</v>
      </c>
      <c r="D182" s="4" t="s">
        <v>87</v>
      </c>
      <c r="E182" s="4" t="s">
        <v>87</v>
      </c>
      <c r="F182" s="27"/>
      <c r="G182" s="32">
        <v>3.0</v>
      </c>
      <c r="H182" s="101" t="s">
        <v>5072</v>
      </c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</row>
    <row r="183">
      <c r="A183" s="27"/>
      <c r="B183" s="4" t="s">
        <v>20</v>
      </c>
      <c r="C183" s="4" t="s">
        <v>5073</v>
      </c>
      <c r="D183" s="4" t="s">
        <v>87</v>
      </c>
      <c r="E183" s="4" t="s">
        <v>87</v>
      </c>
      <c r="F183" s="27"/>
      <c r="G183" s="32">
        <v>3.0</v>
      </c>
      <c r="H183" s="101" t="s">
        <v>5074</v>
      </c>
      <c r="I183" s="29" t="s">
        <v>5075</v>
      </c>
      <c r="J183" s="27"/>
      <c r="K183" s="27"/>
      <c r="L183" s="27"/>
      <c r="M183" s="27"/>
      <c r="N183" s="27"/>
      <c r="O183" s="27"/>
      <c r="P183" s="27"/>
      <c r="Q183" s="27"/>
      <c r="R183" s="27"/>
      <c r="S183" s="27"/>
    </row>
    <row r="184">
      <c r="A184" s="27"/>
      <c r="B184" s="4" t="s">
        <v>20</v>
      </c>
      <c r="C184" s="4" t="s">
        <v>5076</v>
      </c>
      <c r="D184" s="4" t="s">
        <v>87</v>
      </c>
      <c r="E184" s="4" t="s">
        <v>87</v>
      </c>
      <c r="F184" s="27"/>
      <c r="G184" s="32">
        <v>3.0</v>
      </c>
      <c r="H184" s="101" t="s">
        <v>5077</v>
      </c>
      <c r="I184" s="43" t="s">
        <v>5078</v>
      </c>
      <c r="J184" s="43" t="s">
        <v>5079</v>
      </c>
      <c r="K184" s="27"/>
      <c r="L184" s="27"/>
      <c r="M184" s="27"/>
      <c r="N184" s="27"/>
      <c r="O184" s="27"/>
      <c r="P184" s="27"/>
      <c r="Q184" s="27"/>
      <c r="R184" s="27"/>
      <c r="S184" s="27"/>
    </row>
    <row r="185">
      <c r="A185" s="32">
        <v>31946.0</v>
      </c>
      <c r="B185" s="4" t="s">
        <v>20</v>
      </c>
      <c r="C185" s="4" t="s">
        <v>882</v>
      </c>
      <c r="D185" s="4" t="s">
        <v>87</v>
      </c>
      <c r="E185" s="4" t="s">
        <v>87</v>
      </c>
      <c r="F185" s="27"/>
      <c r="G185" s="32">
        <v>3.0</v>
      </c>
      <c r="H185" s="101" t="s">
        <v>5080</v>
      </c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</row>
    <row r="186">
      <c r="A186" s="32">
        <v>24816.0</v>
      </c>
      <c r="B186" s="4" t="s">
        <v>20</v>
      </c>
      <c r="C186" s="4" t="s">
        <v>5081</v>
      </c>
      <c r="D186" s="4" t="s">
        <v>87</v>
      </c>
      <c r="E186" s="4" t="s">
        <v>87</v>
      </c>
      <c r="F186" s="27"/>
      <c r="G186" s="32">
        <v>3.0</v>
      </c>
      <c r="H186" s="103"/>
      <c r="I186" s="27"/>
      <c r="J186" s="29" t="s">
        <v>5082</v>
      </c>
      <c r="K186" s="27"/>
      <c r="L186" s="27"/>
      <c r="M186" s="27"/>
      <c r="N186" s="27"/>
      <c r="O186" s="27"/>
      <c r="P186" s="27"/>
      <c r="Q186" s="27"/>
      <c r="R186" s="27"/>
      <c r="S186" s="27"/>
    </row>
    <row r="187">
      <c r="A187" s="37">
        <v>224344.0</v>
      </c>
      <c r="B187" s="4" t="s">
        <v>20</v>
      </c>
      <c r="C187" s="4" t="s">
        <v>5083</v>
      </c>
      <c r="D187" s="4" t="s">
        <v>87</v>
      </c>
      <c r="E187" s="4" t="s">
        <v>87</v>
      </c>
      <c r="F187" s="27"/>
      <c r="G187" s="32">
        <v>3.0</v>
      </c>
      <c r="H187" s="107" t="s">
        <v>5084</v>
      </c>
      <c r="I187" s="27"/>
      <c r="J187" s="29" t="s">
        <v>5085</v>
      </c>
      <c r="K187" s="27"/>
      <c r="L187" s="27"/>
      <c r="M187" s="27"/>
      <c r="N187" s="27"/>
      <c r="O187" s="27"/>
      <c r="P187" s="27"/>
      <c r="Q187" s="27"/>
      <c r="R187" s="27"/>
      <c r="S187" s="27"/>
    </row>
    <row r="188">
      <c r="A188" s="32">
        <v>18168.0</v>
      </c>
      <c r="B188" s="4" t="s">
        <v>20</v>
      </c>
      <c r="C188" s="4" t="s">
        <v>5086</v>
      </c>
      <c r="D188" s="4" t="s">
        <v>87</v>
      </c>
      <c r="E188" s="4" t="s">
        <v>87</v>
      </c>
      <c r="F188" s="27"/>
      <c r="G188" s="32">
        <v>3.0</v>
      </c>
      <c r="H188" s="103"/>
      <c r="I188" s="27"/>
      <c r="J188" s="29" t="s">
        <v>5087</v>
      </c>
      <c r="K188" s="27"/>
      <c r="L188" s="27"/>
      <c r="M188" s="27"/>
      <c r="N188" s="27"/>
      <c r="O188" s="27"/>
      <c r="P188" s="27"/>
      <c r="Q188" s="27"/>
      <c r="R188" s="27"/>
      <c r="S188" s="27"/>
    </row>
    <row r="189">
      <c r="A189" s="27"/>
      <c r="B189" s="4" t="s">
        <v>20</v>
      </c>
      <c r="C189" s="4" t="s">
        <v>2929</v>
      </c>
      <c r="D189" s="4" t="s">
        <v>87</v>
      </c>
      <c r="E189" s="4" t="s">
        <v>87</v>
      </c>
      <c r="F189" s="27"/>
      <c r="G189" s="32">
        <v>3.0</v>
      </c>
      <c r="H189" s="101" t="s">
        <v>5088</v>
      </c>
      <c r="I189" s="102" t="s">
        <v>4713</v>
      </c>
      <c r="J189" s="102" t="s">
        <v>5089</v>
      </c>
      <c r="K189" s="27"/>
      <c r="L189" s="27"/>
      <c r="M189" s="27"/>
      <c r="N189" s="27"/>
      <c r="O189" s="27"/>
      <c r="P189" s="27"/>
      <c r="Q189" s="27"/>
      <c r="R189" s="27"/>
      <c r="S189" s="27"/>
    </row>
    <row r="190">
      <c r="A190" s="27"/>
      <c r="B190" s="4" t="s">
        <v>20</v>
      </c>
      <c r="C190" s="4" t="s">
        <v>95</v>
      </c>
      <c r="D190" s="4" t="s">
        <v>87</v>
      </c>
      <c r="E190" s="4" t="s">
        <v>87</v>
      </c>
      <c r="F190" s="27"/>
      <c r="G190" s="32">
        <v>3.0</v>
      </c>
      <c r="H190" s="101" t="s">
        <v>5090</v>
      </c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</row>
    <row r="191">
      <c r="A191" s="27"/>
      <c r="B191" s="4" t="s">
        <v>20</v>
      </c>
      <c r="C191" s="4" t="s">
        <v>5091</v>
      </c>
      <c r="D191" s="4" t="s">
        <v>87</v>
      </c>
      <c r="E191" s="4" t="s">
        <v>87</v>
      </c>
      <c r="F191" s="27"/>
      <c r="G191" s="32">
        <v>3.0</v>
      </c>
      <c r="H191" s="101" t="s">
        <v>5092</v>
      </c>
      <c r="I191" s="29" t="s">
        <v>5093</v>
      </c>
      <c r="J191" s="29" t="s">
        <v>5094</v>
      </c>
      <c r="K191" s="27"/>
      <c r="L191" s="27"/>
      <c r="M191" s="27"/>
      <c r="N191" s="27"/>
      <c r="O191" s="27"/>
      <c r="P191" s="27"/>
      <c r="Q191" s="27"/>
      <c r="R191" s="27"/>
      <c r="S191" s="27"/>
    </row>
    <row r="192">
      <c r="A192" s="27"/>
      <c r="B192" s="4" t="s">
        <v>20</v>
      </c>
      <c r="C192" s="4" t="s">
        <v>5095</v>
      </c>
      <c r="D192" s="4" t="s">
        <v>87</v>
      </c>
      <c r="E192" s="4" t="s">
        <v>87</v>
      </c>
      <c r="F192" s="27"/>
      <c r="G192" s="32">
        <v>3.0</v>
      </c>
      <c r="H192" s="101" t="s">
        <v>5096</v>
      </c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</row>
    <row r="193">
      <c r="A193" s="27"/>
      <c r="B193" s="4" t="s">
        <v>20</v>
      </c>
      <c r="C193" s="4" t="s">
        <v>5097</v>
      </c>
      <c r="D193" s="4" t="s">
        <v>87</v>
      </c>
      <c r="E193" s="4" t="s">
        <v>87</v>
      </c>
      <c r="F193" s="27"/>
      <c r="G193" s="32">
        <v>3.0</v>
      </c>
      <c r="H193" s="101" t="s">
        <v>5098</v>
      </c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</row>
    <row r="194">
      <c r="A194" s="32">
        <v>29753.0</v>
      </c>
      <c r="B194" s="4" t="s">
        <v>20</v>
      </c>
      <c r="C194" s="4" t="s">
        <v>5099</v>
      </c>
      <c r="D194" s="4" t="s">
        <v>87</v>
      </c>
      <c r="E194" s="4" t="s">
        <v>87</v>
      </c>
      <c r="F194" s="27"/>
      <c r="G194" s="32">
        <v>3.0</v>
      </c>
      <c r="H194" s="101" t="s">
        <v>5100</v>
      </c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</row>
    <row r="195">
      <c r="A195" s="32">
        <v>32445.0</v>
      </c>
      <c r="B195" s="4" t="s">
        <v>173</v>
      </c>
      <c r="C195" s="4" t="s">
        <v>5101</v>
      </c>
      <c r="D195" s="4" t="s">
        <v>87</v>
      </c>
      <c r="E195" s="4" t="s">
        <v>87</v>
      </c>
      <c r="F195" s="27"/>
      <c r="G195" s="32">
        <v>3.0</v>
      </c>
      <c r="H195" s="103"/>
      <c r="I195" s="27"/>
      <c r="J195" s="29" t="s">
        <v>5102</v>
      </c>
      <c r="K195" s="27"/>
      <c r="L195" s="27"/>
      <c r="M195" s="27"/>
      <c r="N195" s="27"/>
      <c r="O195" s="27"/>
      <c r="P195" s="27"/>
      <c r="Q195" s="27"/>
      <c r="R195" s="27"/>
      <c r="S195" s="27"/>
    </row>
    <row r="196">
      <c r="A196" s="32">
        <v>10814.0</v>
      </c>
      <c r="B196" s="4" t="s">
        <v>20</v>
      </c>
      <c r="C196" s="4" t="s">
        <v>1047</v>
      </c>
      <c r="D196" s="4" t="s">
        <v>87</v>
      </c>
      <c r="E196" s="4" t="s">
        <v>87</v>
      </c>
      <c r="F196" s="27"/>
      <c r="G196" s="32">
        <v>3.0</v>
      </c>
      <c r="H196" s="103"/>
      <c r="I196" s="27"/>
      <c r="J196" s="29" t="s">
        <v>5103</v>
      </c>
      <c r="K196" s="27"/>
      <c r="L196" s="27"/>
      <c r="M196" s="27"/>
      <c r="N196" s="27"/>
      <c r="O196" s="27"/>
      <c r="P196" s="27"/>
      <c r="Q196" s="27"/>
      <c r="R196" s="27"/>
      <c r="S196" s="27"/>
    </row>
    <row r="197">
      <c r="A197" s="27"/>
      <c r="B197" s="4" t="s">
        <v>20</v>
      </c>
      <c r="C197" s="4" t="s">
        <v>5104</v>
      </c>
      <c r="D197" s="4" t="s">
        <v>87</v>
      </c>
      <c r="E197" s="4" t="s">
        <v>87</v>
      </c>
      <c r="F197" s="27"/>
      <c r="G197" s="32">
        <v>3.0</v>
      </c>
      <c r="H197" s="101" t="s">
        <v>5105</v>
      </c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</row>
    <row r="198">
      <c r="A198" s="27"/>
      <c r="B198" s="4" t="s">
        <v>20</v>
      </c>
      <c r="C198" s="4" t="s">
        <v>2587</v>
      </c>
      <c r="D198" s="4" t="s">
        <v>87</v>
      </c>
      <c r="E198" s="4" t="s">
        <v>87</v>
      </c>
      <c r="F198" s="27"/>
      <c r="G198" s="32">
        <v>3.0</v>
      </c>
      <c r="H198" s="101" t="s">
        <v>5106</v>
      </c>
      <c r="I198" s="29" t="s">
        <v>5107</v>
      </c>
      <c r="J198" s="27"/>
      <c r="K198" s="27"/>
      <c r="L198" s="27"/>
      <c r="M198" s="27"/>
      <c r="N198" s="27"/>
      <c r="O198" s="27"/>
      <c r="P198" s="27"/>
      <c r="Q198" s="27"/>
      <c r="R198" s="27"/>
      <c r="S198" s="27"/>
    </row>
    <row r="199">
      <c r="A199" s="32">
        <v>27521.0</v>
      </c>
      <c r="B199" s="4" t="s">
        <v>20</v>
      </c>
      <c r="C199" s="4" t="s">
        <v>685</v>
      </c>
      <c r="D199" s="4" t="s">
        <v>87</v>
      </c>
      <c r="E199" s="4" t="s">
        <v>87</v>
      </c>
      <c r="F199" s="27"/>
      <c r="G199" s="32">
        <v>3.0</v>
      </c>
      <c r="H199" s="43" t="s">
        <v>5108</v>
      </c>
      <c r="I199" s="27"/>
      <c r="J199" s="29" t="s">
        <v>5109</v>
      </c>
      <c r="K199" s="27"/>
      <c r="L199" s="27"/>
      <c r="M199" s="27"/>
      <c r="N199" s="27"/>
      <c r="O199" s="27"/>
      <c r="P199" s="27"/>
      <c r="Q199" s="27"/>
      <c r="R199" s="27"/>
      <c r="S199" s="27"/>
    </row>
    <row r="200">
      <c r="A200" s="27"/>
      <c r="B200" s="4" t="s">
        <v>20</v>
      </c>
      <c r="C200" s="4" t="s">
        <v>5110</v>
      </c>
      <c r="D200" s="4" t="s">
        <v>87</v>
      </c>
      <c r="E200" s="4" t="s">
        <v>87</v>
      </c>
      <c r="F200" s="27"/>
      <c r="G200" s="32">
        <v>3.0</v>
      </c>
      <c r="H200" s="101" t="s">
        <v>5111</v>
      </c>
      <c r="I200" s="29" t="s">
        <v>5112</v>
      </c>
      <c r="J200" s="27"/>
      <c r="K200" s="27"/>
      <c r="L200" s="27"/>
      <c r="M200" s="27"/>
      <c r="N200" s="27"/>
      <c r="O200" s="27"/>
      <c r="P200" s="27"/>
      <c r="Q200" s="27"/>
      <c r="R200" s="27"/>
      <c r="S200" s="27"/>
    </row>
    <row r="201">
      <c r="A201" s="27"/>
      <c r="B201" s="4" t="s">
        <v>20</v>
      </c>
      <c r="C201" s="4" t="s">
        <v>5113</v>
      </c>
      <c r="D201" s="4" t="s">
        <v>87</v>
      </c>
      <c r="E201" s="4" t="s">
        <v>87</v>
      </c>
      <c r="F201" s="27"/>
      <c r="G201" s="32">
        <v>3.0</v>
      </c>
      <c r="H201" s="101" t="s">
        <v>5114</v>
      </c>
      <c r="I201" s="29" t="s">
        <v>5115</v>
      </c>
      <c r="J201" s="29" t="s">
        <v>5116</v>
      </c>
      <c r="K201" s="27"/>
      <c r="L201" s="27"/>
      <c r="M201" s="27"/>
      <c r="N201" s="27"/>
      <c r="O201" s="27"/>
      <c r="P201" s="27"/>
      <c r="Q201" s="27"/>
      <c r="R201" s="27"/>
      <c r="S201" s="27"/>
    </row>
    <row r="202">
      <c r="A202" s="32">
        <v>31461.0</v>
      </c>
      <c r="B202" s="4" t="s">
        <v>20</v>
      </c>
      <c r="C202" s="4" t="s">
        <v>5117</v>
      </c>
      <c r="D202" s="4" t="s">
        <v>87</v>
      </c>
      <c r="E202" s="4" t="s">
        <v>87</v>
      </c>
      <c r="F202" s="27"/>
      <c r="G202" s="32">
        <v>3.0</v>
      </c>
      <c r="H202" s="103"/>
      <c r="I202" s="27"/>
      <c r="J202" s="29" t="s">
        <v>5118</v>
      </c>
      <c r="K202" s="27"/>
      <c r="L202" s="27"/>
      <c r="M202" s="27"/>
      <c r="N202" s="27"/>
      <c r="O202" s="27"/>
      <c r="P202" s="27"/>
      <c r="Q202" s="27"/>
      <c r="R202" s="27"/>
      <c r="S202" s="27"/>
    </row>
    <row r="203">
      <c r="A203" s="27"/>
      <c r="B203" s="4" t="s">
        <v>20</v>
      </c>
      <c r="C203" s="4" t="s">
        <v>4017</v>
      </c>
      <c r="D203" s="4" t="s">
        <v>87</v>
      </c>
      <c r="E203" s="4" t="s">
        <v>87</v>
      </c>
      <c r="F203" s="27"/>
      <c r="G203" s="32">
        <v>3.0</v>
      </c>
      <c r="H203" s="103"/>
      <c r="I203" s="27"/>
      <c r="J203" s="43" t="s">
        <v>5119</v>
      </c>
      <c r="K203" s="27"/>
      <c r="L203" s="27"/>
      <c r="M203" s="27"/>
      <c r="N203" s="27"/>
      <c r="O203" s="27"/>
      <c r="P203" s="27"/>
      <c r="Q203" s="27"/>
      <c r="R203" s="27"/>
      <c r="S203" s="27"/>
    </row>
    <row r="204">
      <c r="A204" s="32">
        <v>25333.0</v>
      </c>
      <c r="B204" s="4" t="s">
        <v>20</v>
      </c>
      <c r="C204" s="4" t="s">
        <v>922</v>
      </c>
      <c r="D204" s="4" t="s">
        <v>87</v>
      </c>
      <c r="E204" s="4" t="s">
        <v>87</v>
      </c>
      <c r="F204" s="27"/>
      <c r="G204" s="32">
        <v>3.0</v>
      </c>
      <c r="H204" s="103"/>
      <c r="I204" s="27"/>
      <c r="J204" s="29" t="s">
        <v>5120</v>
      </c>
      <c r="K204" s="27"/>
      <c r="L204" s="27"/>
      <c r="M204" s="27"/>
      <c r="N204" s="27"/>
      <c r="O204" s="27"/>
      <c r="P204" s="27"/>
      <c r="Q204" s="27"/>
      <c r="R204" s="27"/>
      <c r="S204" s="27"/>
    </row>
    <row r="205">
      <c r="A205" s="27"/>
      <c r="B205" s="4" t="s">
        <v>20</v>
      </c>
      <c r="C205" s="4" t="s">
        <v>5121</v>
      </c>
      <c r="D205" s="4" t="s">
        <v>87</v>
      </c>
      <c r="E205" s="4" t="s">
        <v>87</v>
      </c>
      <c r="F205" s="27"/>
      <c r="G205" s="32">
        <v>3.0</v>
      </c>
      <c r="H205" s="101" t="s">
        <v>5122</v>
      </c>
      <c r="I205" s="29" t="s">
        <v>5123</v>
      </c>
      <c r="J205" s="27"/>
      <c r="K205" s="27"/>
      <c r="L205" s="27"/>
      <c r="M205" s="27"/>
      <c r="N205" s="27"/>
      <c r="O205" s="27"/>
      <c r="P205" s="27"/>
      <c r="Q205" s="27"/>
      <c r="R205" s="27"/>
      <c r="S205" s="27"/>
    </row>
    <row r="206">
      <c r="A206" s="32">
        <v>29719.0</v>
      </c>
      <c r="B206" s="4" t="s">
        <v>20</v>
      </c>
      <c r="C206" s="4" t="s">
        <v>5124</v>
      </c>
      <c r="D206" s="4" t="s">
        <v>87</v>
      </c>
      <c r="E206" s="4" t="s">
        <v>87</v>
      </c>
      <c r="F206" s="27"/>
      <c r="G206" s="32">
        <v>3.0</v>
      </c>
      <c r="H206" s="103"/>
      <c r="I206" s="27"/>
      <c r="J206" s="29" t="s">
        <v>5125</v>
      </c>
      <c r="K206" s="27"/>
      <c r="L206" s="27"/>
      <c r="M206" s="27"/>
      <c r="N206" s="27"/>
      <c r="O206" s="27"/>
      <c r="P206" s="27"/>
      <c r="Q206" s="27"/>
      <c r="R206" s="27"/>
      <c r="S206" s="27"/>
    </row>
    <row r="207">
      <c r="A207" s="27"/>
      <c r="B207" s="4" t="s">
        <v>20</v>
      </c>
      <c r="C207" s="4" t="s">
        <v>794</v>
      </c>
      <c r="D207" s="4" t="s">
        <v>87</v>
      </c>
      <c r="E207" s="4" t="s">
        <v>87</v>
      </c>
      <c r="F207" s="27"/>
      <c r="G207" s="32">
        <v>3.0</v>
      </c>
      <c r="H207" s="101" t="s">
        <v>5126</v>
      </c>
      <c r="I207" s="27"/>
      <c r="J207" s="29" t="s">
        <v>5127</v>
      </c>
      <c r="K207" s="27"/>
      <c r="L207" s="27"/>
      <c r="M207" s="27"/>
      <c r="N207" s="27"/>
      <c r="O207" s="27"/>
      <c r="P207" s="27"/>
      <c r="Q207" s="27"/>
      <c r="R207" s="27"/>
      <c r="S207" s="27"/>
    </row>
    <row r="208">
      <c r="A208" s="27"/>
      <c r="B208" s="4" t="s">
        <v>20</v>
      </c>
      <c r="C208" s="4" t="s">
        <v>4033</v>
      </c>
      <c r="D208" s="4" t="s">
        <v>87</v>
      </c>
      <c r="E208" s="4" t="s">
        <v>87</v>
      </c>
      <c r="F208" s="27"/>
      <c r="G208" s="32">
        <v>3.0</v>
      </c>
      <c r="H208" s="103"/>
      <c r="I208" s="27"/>
      <c r="J208" s="43" t="s">
        <v>5128</v>
      </c>
      <c r="K208" s="27"/>
      <c r="L208" s="27"/>
      <c r="M208" s="27"/>
      <c r="N208" s="27"/>
      <c r="O208" s="27"/>
      <c r="P208" s="27"/>
      <c r="Q208" s="27"/>
      <c r="R208" s="27"/>
      <c r="S208" s="27"/>
    </row>
    <row r="209">
      <c r="A209" s="32">
        <v>21965.0</v>
      </c>
      <c r="B209" s="4" t="s">
        <v>20</v>
      </c>
      <c r="C209" s="4" t="s">
        <v>5129</v>
      </c>
      <c r="D209" s="4" t="s">
        <v>87</v>
      </c>
      <c r="E209" s="4" t="s">
        <v>87</v>
      </c>
      <c r="F209" s="27"/>
      <c r="G209" s="32">
        <v>3.0</v>
      </c>
      <c r="H209" s="101" t="s">
        <v>5130</v>
      </c>
      <c r="I209" s="27"/>
      <c r="J209" s="29" t="s">
        <v>5131</v>
      </c>
      <c r="K209" s="27"/>
      <c r="L209" s="27"/>
      <c r="M209" s="27"/>
      <c r="N209" s="27"/>
      <c r="O209" s="27"/>
      <c r="P209" s="27"/>
      <c r="Q209" s="27"/>
      <c r="R209" s="27"/>
      <c r="S209" s="27"/>
    </row>
    <row r="210">
      <c r="A210" s="27"/>
      <c r="B210" s="4" t="s">
        <v>720</v>
      </c>
      <c r="C210" s="4" t="s">
        <v>5132</v>
      </c>
      <c r="D210" s="4" t="s">
        <v>87</v>
      </c>
      <c r="E210" s="4" t="s">
        <v>87</v>
      </c>
      <c r="F210" s="27"/>
      <c r="G210" s="32">
        <v>3.0</v>
      </c>
      <c r="H210" s="101" t="s">
        <v>5133</v>
      </c>
      <c r="I210" s="32"/>
      <c r="J210" s="27"/>
      <c r="K210" s="27"/>
      <c r="L210" s="27"/>
      <c r="M210" s="27"/>
      <c r="N210" s="27"/>
      <c r="O210" s="27"/>
      <c r="P210" s="27"/>
      <c r="Q210" s="27"/>
      <c r="R210" s="27"/>
      <c r="S210" s="27"/>
    </row>
    <row r="211">
      <c r="A211" s="32">
        <v>20847.0</v>
      </c>
      <c r="B211" s="4" t="s">
        <v>20</v>
      </c>
      <c r="C211" s="4" t="s">
        <v>5134</v>
      </c>
      <c r="D211" s="4" t="s">
        <v>87</v>
      </c>
      <c r="E211" s="4" t="s">
        <v>87</v>
      </c>
      <c r="F211" s="27"/>
      <c r="G211" s="32">
        <v>3.0</v>
      </c>
      <c r="H211" s="103"/>
      <c r="I211" s="27"/>
      <c r="J211" s="29" t="s">
        <v>5135</v>
      </c>
      <c r="K211" s="27"/>
      <c r="L211" s="27"/>
      <c r="M211" s="27"/>
      <c r="N211" s="27"/>
      <c r="O211" s="27"/>
      <c r="P211" s="27"/>
      <c r="Q211" s="27"/>
      <c r="R211" s="27"/>
      <c r="S211" s="27"/>
    </row>
    <row r="212">
      <c r="A212" s="32">
        <v>32859.0</v>
      </c>
      <c r="B212" s="4" t="s">
        <v>20</v>
      </c>
      <c r="C212" s="4" t="s">
        <v>5136</v>
      </c>
      <c r="D212" s="4" t="s">
        <v>87</v>
      </c>
      <c r="E212" s="4" t="s">
        <v>87</v>
      </c>
      <c r="F212" s="27"/>
      <c r="G212" s="32">
        <v>3.0</v>
      </c>
      <c r="H212" s="101" t="s">
        <v>5137</v>
      </c>
      <c r="I212" s="27"/>
      <c r="J212" s="29" t="s">
        <v>5138</v>
      </c>
      <c r="K212" s="27"/>
      <c r="L212" s="27"/>
      <c r="M212" s="27"/>
      <c r="N212" s="27"/>
      <c r="O212" s="27"/>
      <c r="P212" s="27"/>
      <c r="Q212" s="27"/>
      <c r="R212" s="27"/>
      <c r="S212" s="27"/>
    </row>
    <row r="213">
      <c r="A213" s="27"/>
      <c r="B213" s="4" t="s">
        <v>5139</v>
      </c>
      <c r="C213" s="4" t="s">
        <v>1937</v>
      </c>
      <c r="D213" s="4" t="s">
        <v>87</v>
      </c>
      <c r="E213" s="4" t="s">
        <v>87</v>
      </c>
      <c r="F213" s="27"/>
      <c r="G213" s="32">
        <v>3.0</v>
      </c>
      <c r="H213" s="101" t="s">
        <v>5140</v>
      </c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</row>
    <row r="214">
      <c r="A214" s="27"/>
      <c r="B214" s="4" t="s">
        <v>20</v>
      </c>
      <c r="C214" s="4" t="s">
        <v>3225</v>
      </c>
      <c r="D214" s="4" t="s">
        <v>87</v>
      </c>
      <c r="E214" s="4" t="s">
        <v>87</v>
      </c>
      <c r="F214" s="27"/>
      <c r="G214" s="32">
        <v>3.0</v>
      </c>
      <c r="H214" s="101" t="s">
        <v>5141</v>
      </c>
      <c r="I214" s="43" t="s">
        <v>5142</v>
      </c>
      <c r="J214" s="43" t="s">
        <v>5143</v>
      </c>
      <c r="K214" s="27"/>
      <c r="L214" s="27"/>
      <c r="M214" s="27"/>
      <c r="N214" s="27"/>
      <c r="O214" s="27"/>
      <c r="P214" s="27"/>
      <c r="Q214" s="27"/>
      <c r="R214" s="27"/>
      <c r="S214" s="27"/>
    </row>
    <row r="215">
      <c r="A215" s="32">
        <v>6386.0</v>
      </c>
      <c r="B215" s="4" t="s">
        <v>20</v>
      </c>
      <c r="C215" s="4" t="s">
        <v>5144</v>
      </c>
      <c r="D215" s="4" t="s">
        <v>87</v>
      </c>
      <c r="E215" s="4" t="s">
        <v>87</v>
      </c>
      <c r="F215" s="27"/>
      <c r="G215" s="32">
        <v>3.0</v>
      </c>
      <c r="H215" s="101" t="s">
        <v>5145</v>
      </c>
      <c r="I215" s="27"/>
      <c r="J215" s="12" t="s">
        <v>5146</v>
      </c>
      <c r="K215" s="27"/>
      <c r="L215" s="27"/>
      <c r="M215" s="27"/>
      <c r="N215" s="27"/>
      <c r="O215" s="27"/>
      <c r="P215" s="27"/>
      <c r="Q215" s="27"/>
      <c r="R215" s="27"/>
      <c r="S215" s="27"/>
    </row>
    <row r="216">
      <c r="A216" s="27"/>
      <c r="B216" s="4" t="s">
        <v>20</v>
      </c>
      <c r="C216" s="4" t="s">
        <v>2212</v>
      </c>
      <c r="D216" s="4" t="s">
        <v>87</v>
      </c>
      <c r="E216" s="4" t="s">
        <v>87</v>
      </c>
      <c r="F216" s="27"/>
      <c r="G216" s="32">
        <v>3.0</v>
      </c>
      <c r="H216" s="101" t="s">
        <v>5147</v>
      </c>
      <c r="I216" s="29" t="s">
        <v>5148</v>
      </c>
      <c r="J216" s="29" t="s">
        <v>5149</v>
      </c>
      <c r="K216" s="27"/>
      <c r="L216" s="27"/>
      <c r="M216" s="27"/>
      <c r="N216" s="27"/>
      <c r="O216" s="27"/>
      <c r="P216" s="27"/>
      <c r="Q216" s="27"/>
      <c r="R216" s="27"/>
      <c r="S216" s="27"/>
    </row>
    <row r="217">
      <c r="A217" s="32">
        <v>24231.0</v>
      </c>
      <c r="B217" s="4" t="s">
        <v>20</v>
      </c>
      <c r="C217" s="4" t="s">
        <v>5150</v>
      </c>
      <c r="D217" s="4" t="s">
        <v>87</v>
      </c>
      <c r="E217" s="4" t="s">
        <v>87</v>
      </c>
      <c r="F217" s="27"/>
      <c r="G217" s="32">
        <v>3.0</v>
      </c>
      <c r="H217" s="103"/>
      <c r="I217" s="27"/>
      <c r="J217" s="29" t="s">
        <v>5151</v>
      </c>
      <c r="K217" s="27"/>
      <c r="L217" s="27"/>
      <c r="M217" s="27"/>
      <c r="N217" s="27"/>
      <c r="O217" s="27"/>
      <c r="P217" s="27"/>
      <c r="Q217" s="27"/>
      <c r="R217" s="27"/>
      <c r="S217" s="27"/>
    </row>
    <row r="218">
      <c r="A218" s="32">
        <v>33176.0</v>
      </c>
      <c r="B218" s="4" t="s">
        <v>173</v>
      </c>
      <c r="C218" s="4" t="s">
        <v>5152</v>
      </c>
      <c r="D218" s="4" t="s">
        <v>87</v>
      </c>
      <c r="E218" s="4" t="s">
        <v>87</v>
      </c>
      <c r="F218" s="27"/>
      <c r="G218" s="32">
        <v>4.0</v>
      </c>
      <c r="H218" s="103"/>
      <c r="I218" s="27"/>
      <c r="J218" s="29" t="s">
        <v>5153</v>
      </c>
      <c r="K218" s="27"/>
      <c r="L218" s="27"/>
      <c r="M218" s="27"/>
      <c r="N218" s="27"/>
      <c r="O218" s="27"/>
      <c r="P218" s="27"/>
      <c r="Q218" s="27"/>
      <c r="R218" s="27"/>
      <c r="S218" s="27"/>
    </row>
    <row r="219">
      <c r="A219" s="27"/>
      <c r="B219" s="4" t="s">
        <v>5139</v>
      </c>
      <c r="C219" s="4" t="s">
        <v>356</v>
      </c>
      <c r="D219" s="4" t="s">
        <v>87</v>
      </c>
      <c r="E219" s="4" t="s">
        <v>87</v>
      </c>
      <c r="F219" s="27"/>
      <c r="G219" s="32">
        <v>4.0</v>
      </c>
      <c r="H219" s="101" t="s">
        <v>5154</v>
      </c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</row>
    <row r="220">
      <c r="A220" s="27"/>
      <c r="B220" s="4" t="s">
        <v>20</v>
      </c>
      <c r="C220" s="4" t="s">
        <v>5155</v>
      </c>
      <c r="D220" s="4" t="s">
        <v>87</v>
      </c>
      <c r="E220" s="4" t="s">
        <v>87</v>
      </c>
      <c r="F220" s="27"/>
      <c r="G220" s="32">
        <v>4.0</v>
      </c>
      <c r="H220" s="101" t="s">
        <v>5156</v>
      </c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</row>
    <row r="221">
      <c r="A221" s="32">
        <v>27535.0</v>
      </c>
      <c r="B221" s="4" t="s">
        <v>20</v>
      </c>
      <c r="C221" s="4" t="s">
        <v>5157</v>
      </c>
      <c r="D221" s="4" t="s">
        <v>87</v>
      </c>
      <c r="E221" s="4" t="s">
        <v>87</v>
      </c>
      <c r="F221" s="27"/>
      <c r="G221" s="32">
        <v>4.0</v>
      </c>
      <c r="H221" s="103"/>
      <c r="I221" s="27"/>
      <c r="J221" s="29" t="s">
        <v>4728</v>
      </c>
      <c r="K221" s="27"/>
      <c r="L221" s="27"/>
      <c r="M221" s="27"/>
      <c r="N221" s="27"/>
      <c r="O221" s="27"/>
      <c r="P221" s="27"/>
      <c r="Q221" s="27"/>
      <c r="R221" s="27"/>
      <c r="S221" s="27"/>
    </row>
    <row r="222">
      <c r="A222" s="27"/>
      <c r="B222" s="4" t="s">
        <v>20</v>
      </c>
      <c r="C222" s="4" t="s">
        <v>2229</v>
      </c>
      <c r="D222" s="4" t="s">
        <v>87</v>
      </c>
      <c r="E222" s="4" t="s">
        <v>87</v>
      </c>
      <c r="F222" s="27"/>
      <c r="G222" s="32">
        <v>4.0</v>
      </c>
      <c r="H222" s="101" t="s">
        <v>5158</v>
      </c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</row>
    <row r="223">
      <c r="A223" s="27"/>
      <c r="B223" s="4" t="s">
        <v>20</v>
      </c>
      <c r="C223" s="4" t="s">
        <v>3662</v>
      </c>
      <c r="D223" s="4" t="s">
        <v>87</v>
      </c>
      <c r="E223" s="4" t="s">
        <v>87</v>
      </c>
      <c r="F223" s="27"/>
      <c r="G223" s="32">
        <v>4.0</v>
      </c>
      <c r="H223" s="105"/>
      <c r="I223" s="27"/>
      <c r="J223" s="43" t="s">
        <v>5159</v>
      </c>
      <c r="K223" s="27"/>
      <c r="L223" s="27"/>
      <c r="M223" s="27"/>
      <c r="N223" s="27"/>
      <c r="O223" s="27"/>
      <c r="P223" s="27"/>
      <c r="Q223" s="27"/>
      <c r="R223" s="27"/>
      <c r="S223" s="27"/>
    </row>
    <row r="224">
      <c r="A224" s="32" t="s">
        <v>5160</v>
      </c>
      <c r="B224" s="4" t="s">
        <v>20</v>
      </c>
      <c r="C224" s="4" t="s">
        <v>1189</v>
      </c>
      <c r="D224" s="4" t="s">
        <v>87</v>
      </c>
      <c r="E224" s="4" t="s">
        <v>87</v>
      </c>
      <c r="F224" s="27"/>
      <c r="G224" s="32">
        <v>4.0</v>
      </c>
      <c r="H224" s="102" t="s">
        <v>5161</v>
      </c>
      <c r="I224" s="27"/>
      <c r="J224" s="29" t="s">
        <v>5162</v>
      </c>
      <c r="K224" s="27"/>
      <c r="L224" s="27"/>
      <c r="M224" s="27"/>
      <c r="N224" s="27"/>
      <c r="O224" s="27"/>
      <c r="P224" s="27"/>
      <c r="Q224" s="27"/>
      <c r="R224" s="27"/>
      <c r="S224" s="27"/>
    </row>
    <row r="225">
      <c r="A225" s="27"/>
      <c r="B225" s="4" t="s">
        <v>20</v>
      </c>
      <c r="C225" s="4" t="s">
        <v>5163</v>
      </c>
      <c r="D225" s="4" t="s">
        <v>87</v>
      </c>
      <c r="E225" s="4" t="s">
        <v>87</v>
      </c>
      <c r="F225" s="27"/>
      <c r="G225" s="32">
        <v>4.0</v>
      </c>
      <c r="H225" s="101" t="s">
        <v>5164</v>
      </c>
      <c r="I225" s="27"/>
      <c r="J225" s="43" t="s">
        <v>5165</v>
      </c>
      <c r="K225" s="27"/>
      <c r="L225" s="27"/>
      <c r="M225" s="27"/>
      <c r="N225" s="27"/>
      <c r="O225" s="27"/>
      <c r="P225" s="27"/>
      <c r="Q225" s="27"/>
      <c r="R225" s="27"/>
      <c r="S225" s="27"/>
    </row>
    <row r="226">
      <c r="A226" s="27"/>
      <c r="B226" s="4" t="s">
        <v>276</v>
      </c>
      <c r="C226" s="4" t="s">
        <v>5166</v>
      </c>
      <c r="D226" s="4" t="s">
        <v>87</v>
      </c>
      <c r="E226" s="4" t="s">
        <v>87</v>
      </c>
      <c r="F226" s="27"/>
      <c r="G226" s="32">
        <v>4.0</v>
      </c>
      <c r="H226" s="102" t="s">
        <v>5167</v>
      </c>
      <c r="I226" s="29" t="s">
        <v>5168</v>
      </c>
      <c r="J226" s="43" t="s">
        <v>5169</v>
      </c>
      <c r="K226" s="27"/>
      <c r="L226" s="27"/>
      <c r="M226" s="27"/>
      <c r="N226" s="27"/>
      <c r="O226" s="27"/>
      <c r="P226" s="27"/>
      <c r="Q226" s="27"/>
      <c r="R226" s="27"/>
      <c r="S226" s="27"/>
    </row>
    <row r="227">
      <c r="A227" s="27"/>
      <c r="B227" s="4" t="s">
        <v>20</v>
      </c>
      <c r="C227" s="4" t="s">
        <v>5170</v>
      </c>
      <c r="D227" s="4" t="s">
        <v>87</v>
      </c>
      <c r="E227" s="4" t="s">
        <v>87</v>
      </c>
      <c r="F227" s="27"/>
      <c r="G227" s="32">
        <v>4.0</v>
      </c>
      <c r="H227" s="101" t="s">
        <v>5171</v>
      </c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</row>
    <row r="228">
      <c r="A228" s="27"/>
      <c r="B228" s="4" t="s">
        <v>20</v>
      </c>
      <c r="C228" s="4" t="s">
        <v>5172</v>
      </c>
      <c r="D228" s="4" t="s">
        <v>87</v>
      </c>
      <c r="E228" s="4" t="s">
        <v>87</v>
      </c>
      <c r="F228" s="27"/>
      <c r="G228" s="32">
        <v>4.0</v>
      </c>
      <c r="H228" s="101" t="s">
        <v>5173</v>
      </c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</row>
    <row r="229">
      <c r="A229" s="27"/>
      <c r="B229" s="4" t="s">
        <v>20</v>
      </c>
      <c r="C229" s="4" t="s">
        <v>5037</v>
      </c>
      <c r="D229" s="4" t="s">
        <v>87</v>
      </c>
      <c r="E229" s="4" t="s">
        <v>87</v>
      </c>
      <c r="F229" s="27"/>
      <c r="G229" s="32">
        <v>4.0</v>
      </c>
      <c r="H229" s="101" t="s">
        <v>5174</v>
      </c>
      <c r="I229" s="29" t="s">
        <v>5175</v>
      </c>
      <c r="J229" s="27"/>
      <c r="K229" s="27"/>
      <c r="L229" s="27"/>
      <c r="M229" s="27"/>
      <c r="N229" s="27"/>
      <c r="O229" s="27"/>
      <c r="P229" s="27"/>
      <c r="Q229" s="27"/>
      <c r="R229" s="27"/>
      <c r="S229" s="27"/>
    </row>
    <row r="230">
      <c r="A230" s="27"/>
      <c r="B230" s="4" t="s">
        <v>20</v>
      </c>
      <c r="C230" s="4" t="s">
        <v>2066</v>
      </c>
      <c r="D230" s="4" t="s">
        <v>87</v>
      </c>
      <c r="E230" s="4" t="s">
        <v>87</v>
      </c>
      <c r="F230" s="27"/>
      <c r="G230" s="32">
        <v>4.0</v>
      </c>
      <c r="H230" s="101" t="s">
        <v>5176</v>
      </c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</row>
    <row r="231">
      <c r="A231" s="32">
        <v>10917.0</v>
      </c>
      <c r="B231" s="4" t="s">
        <v>20</v>
      </c>
      <c r="C231" s="4" t="s">
        <v>5177</v>
      </c>
      <c r="D231" s="4" t="s">
        <v>87</v>
      </c>
      <c r="E231" s="4" t="s">
        <v>87</v>
      </c>
      <c r="F231" s="27"/>
      <c r="G231" s="32">
        <v>4.0</v>
      </c>
      <c r="H231" s="101" t="s">
        <v>5178</v>
      </c>
      <c r="I231" s="27"/>
      <c r="J231" s="29" t="s">
        <v>5179</v>
      </c>
      <c r="K231" s="27"/>
      <c r="L231" s="27"/>
      <c r="M231" s="27"/>
      <c r="N231" s="27"/>
      <c r="O231" s="27"/>
      <c r="P231" s="27"/>
      <c r="Q231" s="27"/>
      <c r="R231" s="27"/>
      <c r="S231" s="27"/>
    </row>
    <row r="232">
      <c r="A232" s="27"/>
      <c r="B232" s="4" t="s">
        <v>20</v>
      </c>
      <c r="C232" s="4" t="s">
        <v>5180</v>
      </c>
      <c r="D232" s="4" t="s">
        <v>87</v>
      </c>
      <c r="E232" s="4" t="s">
        <v>87</v>
      </c>
      <c r="F232" s="4" t="s">
        <v>5181</v>
      </c>
      <c r="G232" s="32">
        <v>5.0</v>
      </c>
      <c r="H232" s="101" t="s">
        <v>5182</v>
      </c>
      <c r="I232" s="27"/>
      <c r="J232" s="29" t="s">
        <v>5183</v>
      </c>
      <c r="K232" s="27"/>
      <c r="L232" s="27"/>
      <c r="M232" s="27"/>
      <c r="N232" s="27"/>
      <c r="O232" s="27"/>
      <c r="P232" s="27"/>
      <c r="Q232" s="27"/>
      <c r="R232" s="27"/>
      <c r="S232" s="27"/>
    </row>
    <row r="233">
      <c r="A233" s="27"/>
      <c r="B233" s="4" t="s">
        <v>20</v>
      </c>
      <c r="C233" s="4" t="s">
        <v>333</v>
      </c>
      <c r="D233" s="4" t="s">
        <v>87</v>
      </c>
      <c r="E233" s="4" t="s">
        <v>87</v>
      </c>
      <c r="F233" s="27"/>
      <c r="G233" s="32">
        <v>5.0</v>
      </c>
      <c r="H233" s="101" t="s">
        <v>5184</v>
      </c>
      <c r="I233" s="29" t="s">
        <v>5185</v>
      </c>
      <c r="J233" s="27"/>
      <c r="K233" s="27"/>
      <c r="L233" s="27"/>
      <c r="M233" s="27"/>
      <c r="N233" s="27"/>
      <c r="O233" s="27"/>
      <c r="P233" s="27"/>
      <c r="Q233" s="27"/>
      <c r="R233" s="27"/>
      <c r="S233" s="27"/>
    </row>
    <row r="234">
      <c r="A234" s="32">
        <v>31952.0</v>
      </c>
      <c r="B234" s="4" t="s">
        <v>20</v>
      </c>
      <c r="C234" s="4" t="s">
        <v>458</v>
      </c>
      <c r="D234" s="4" t="s">
        <v>87</v>
      </c>
      <c r="E234" s="4" t="s">
        <v>87</v>
      </c>
      <c r="F234" s="27"/>
      <c r="G234" s="32">
        <v>5.0</v>
      </c>
      <c r="H234" s="101" t="s">
        <v>5186</v>
      </c>
      <c r="I234" s="29" t="s">
        <v>5187</v>
      </c>
      <c r="J234" s="27"/>
      <c r="K234" s="27"/>
      <c r="L234" s="27"/>
      <c r="M234" s="27"/>
      <c r="N234" s="27"/>
      <c r="O234" s="27"/>
      <c r="P234" s="27"/>
      <c r="Q234" s="27"/>
      <c r="R234" s="27"/>
      <c r="S234" s="27"/>
    </row>
    <row r="235">
      <c r="A235" s="27"/>
      <c r="B235" s="4" t="s">
        <v>276</v>
      </c>
      <c r="C235" s="4" t="s">
        <v>386</v>
      </c>
      <c r="D235" s="4" t="s">
        <v>87</v>
      </c>
      <c r="E235" s="4" t="s">
        <v>87</v>
      </c>
      <c r="F235" s="4" t="s">
        <v>5181</v>
      </c>
      <c r="G235" s="32">
        <v>5.0</v>
      </c>
      <c r="H235" s="101" t="s">
        <v>5188</v>
      </c>
      <c r="I235" s="105"/>
      <c r="J235" s="105"/>
      <c r="K235" s="29" t="s">
        <v>5189</v>
      </c>
      <c r="L235" s="27"/>
      <c r="M235" s="27"/>
      <c r="N235" s="27"/>
      <c r="O235" s="27"/>
      <c r="P235" s="27"/>
      <c r="Q235" s="27"/>
      <c r="R235" s="27"/>
      <c r="S235" s="27"/>
    </row>
    <row r="236">
      <c r="A236" s="27"/>
      <c r="B236" s="4" t="s">
        <v>20</v>
      </c>
      <c r="C236" s="4" t="s">
        <v>49</v>
      </c>
      <c r="D236" s="4" t="s">
        <v>87</v>
      </c>
      <c r="E236" s="4" t="s">
        <v>87</v>
      </c>
      <c r="F236" s="27"/>
      <c r="G236" s="32">
        <v>5.0</v>
      </c>
      <c r="H236" s="102" t="s">
        <v>5190</v>
      </c>
      <c r="I236" s="102" t="s">
        <v>5191</v>
      </c>
      <c r="J236" s="105"/>
      <c r="K236" s="27"/>
      <c r="L236" s="27"/>
      <c r="M236" s="27"/>
      <c r="N236" s="27"/>
      <c r="O236" s="27"/>
      <c r="P236" s="27"/>
      <c r="Q236" s="27"/>
      <c r="R236" s="27"/>
      <c r="S236" s="27"/>
    </row>
    <row r="237">
      <c r="A237" s="32">
        <v>33097.0</v>
      </c>
      <c r="B237" s="4" t="s">
        <v>20</v>
      </c>
      <c r="C237" s="4" t="s">
        <v>55</v>
      </c>
      <c r="D237" s="4" t="s">
        <v>87</v>
      </c>
      <c r="E237" s="4" t="s">
        <v>87</v>
      </c>
      <c r="F237" s="4" t="s">
        <v>5192</v>
      </c>
      <c r="G237" s="32">
        <v>5.0</v>
      </c>
      <c r="H237" s="101" t="s">
        <v>5193</v>
      </c>
      <c r="I237" s="27"/>
      <c r="J237" s="29" t="s">
        <v>5194</v>
      </c>
      <c r="K237" s="27"/>
      <c r="L237" s="29" t="s">
        <v>5195</v>
      </c>
      <c r="M237" s="27"/>
      <c r="N237" s="27"/>
      <c r="O237" s="27"/>
      <c r="P237" s="27"/>
      <c r="Q237" s="27"/>
      <c r="R237" s="27"/>
      <c r="S237" s="27"/>
    </row>
    <row r="238">
      <c r="A238" s="27"/>
      <c r="B238" s="4" t="s">
        <v>20</v>
      </c>
      <c r="C238" s="4" t="s">
        <v>5196</v>
      </c>
      <c r="D238" s="4" t="s">
        <v>87</v>
      </c>
      <c r="E238" s="4" t="s">
        <v>87</v>
      </c>
      <c r="F238" s="4" t="s">
        <v>5197</v>
      </c>
      <c r="G238" s="32">
        <v>5.0</v>
      </c>
      <c r="H238" s="101" t="s">
        <v>5198</v>
      </c>
      <c r="I238" s="29" t="s">
        <v>5199</v>
      </c>
      <c r="J238" s="27"/>
      <c r="K238" s="27"/>
      <c r="L238" s="27"/>
      <c r="M238" s="27"/>
      <c r="N238" s="27"/>
      <c r="O238" s="27"/>
      <c r="P238" s="27"/>
      <c r="Q238" s="27"/>
      <c r="R238" s="27"/>
      <c r="S238" s="27"/>
    </row>
    <row r="239">
      <c r="A239" s="27"/>
      <c r="B239" s="4" t="s">
        <v>5200</v>
      </c>
      <c r="C239" s="4" t="s">
        <v>5201</v>
      </c>
      <c r="D239" s="4" t="s">
        <v>87</v>
      </c>
      <c r="E239" s="4" t="s">
        <v>87</v>
      </c>
      <c r="F239" s="27"/>
      <c r="G239" s="32">
        <v>5.0</v>
      </c>
      <c r="H239" s="101" t="s">
        <v>5202</v>
      </c>
      <c r="I239" s="101" t="s">
        <v>5203</v>
      </c>
      <c r="J239" s="105"/>
      <c r="K239" s="27"/>
      <c r="L239" s="27"/>
      <c r="M239" s="27"/>
      <c r="N239" s="27"/>
      <c r="O239" s="27"/>
      <c r="P239" s="27"/>
      <c r="Q239" s="27"/>
      <c r="R239" s="27"/>
      <c r="S239" s="27"/>
    </row>
    <row r="240">
      <c r="A240" s="32">
        <v>27526.0</v>
      </c>
      <c r="B240" s="4" t="s">
        <v>20</v>
      </c>
      <c r="C240" s="108" t="s">
        <v>5204</v>
      </c>
      <c r="D240" s="4" t="s">
        <v>87</v>
      </c>
      <c r="E240" s="4" t="s">
        <v>87</v>
      </c>
      <c r="F240" s="27"/>
      <c r="G240" s="32">
        <v>5.0</v>
      </c>
      <c r="H240" s="101" t="s">
        <v>5205</v>
      </c>
      <c r="I240" s="29" t="s">
        <v>5078</v>
      </c>
      <c r="J240" s="29" t="s">
        <v>5079</v>
      </c>
      <c r="K240" s="27"/>
      <c r="L240" s="27"/>
      <c r="M240" s="27"/>
      <c r="N240" s="27"/>
      <c r="O240" s="27"/>
      <c r="P240" s="27"/>
      <c r="Q240" s="27"/>
      <c r="R240" s="27"/>
      <c r="S240" s="27"/>
    </row>
    <row r="241">
      <c r="A241" s="27"/>
      <c r="B241" s="4" t="s">
        <v>276</v>
      </c>
      <c r="C241" s="4" t="s">
        <v>3693</v>
      </c>
      <c r="D241" s="4" t="s">
        <v>87</v>
      </c>
      <c r="E241" s="4" t="s">
        <v>87</v>
      </c>
      <c r="F241" s="27"/>
      <c r="G241" s="32">
        <v>5.0</v>
      </c>
      <c r="H241" s="101" t="s">
        <v>5206</v>
      </c>
      <c r="I241" s="27"/>
      <c r="J241" s="29" t="s">
        <v>5207</v>
      </c>
      <c r="K241" s="27"/>
      <c r="L241" s="27"/>
      <c r="M241" s="27"/>
      <c r="N241" s="27"/>
      <c r="O241" s="27"/>
      <c r="P241" s="27"/>
      <c r="Q241" s="27"/>
      <c r="R241" s="27"/>
      <c r="S241" s="27"/>
    </row>
    <row r="242">
      <c r="A242" s="32">
        <v>10938.0</v>
      </c>
      <c r="B242" s="4" t="s">
        <v>20</v>
      </c>
      <c r="C242" s="4" t="s">
        <v>3077</v>
      </c>
      <c r="D242" s="4" t="s">
        <v>87</v>
      </c>
      <c r="E242" s="4" t="s">
        <v>87</v>
      </c>
      <c r="F242" s="27"/>
      <c r="G242" s="32">
        <v>5.0</v>
      </c>
      <c r="H242" s="101" t="s">
        <v>5208</v>
      </c>
      <c r="I242" s="29" t="s">
        <v>5209</v>
      </c>
      <c r="J242" s="29" t="s">
        <v>5210</v>
      </c>
      <c r="K242" s="27"/>
      <c r="L242" s="29" t="s">
        <v>5211</v>
      </c>
      <c r="M242" s="27"/>
      <c r="N242" s="27"/>
      <c r="O242" s="27"/>
      <c r="P242" s="27"/>
      <c r="Q242" s="27"/>
      <c r="R242" s="27"/>
      <c r="S242" s="27"/>
    </row>
    <row r="243">
      <c r="A243" s="27"/>
      <c r="B243" s="4" t="s">
        <v>20</v>
      </c>
      <c r="C243" s="4" t="s">
        <v>5212</v>
      </c>
      <c r="D243" s="4" t="s">
        <v>87</v>
      </c>
      <c r="E243" s="4" t="s">
        <v>87</v>
      </c>
      <c r="F243" s="27"/>
      <c r="G243" s="32">
        <v>5.0</v>
      </c>
      <c r="H243" s="101" t="s">
        <v>5213</v>
      </c>
      <c r="I243" s="29" t="s">
        <v>5214</v>
      </c>
      <c r="J243" s="27"/>
      <c r="K243" s="27"/>
      <c r="L243" s="27"/>
      <c r="M243" s="27"/>
      <c r="N243" s="27"/>
      <c r="O243" s="27"/>
      <c r="P243" s="27"/>
      <c r="Q243" s="27"/>
      <c r="R243" s="27"/>
      <c r="S243" s="27"/>
    </row>
    <row r="244">
      <c r="A244" s="27"/>
      <c r="B244" s="4" t="s">
        <v>20</v>
      </c>
      <c r="C244" s="4" t="s">
        <v>5215</v>
      </c>
      <c r="D244" s="4" t="s">
        <v>87</v>
      </c>
      <c r="E244" s="4" t="s">
        <v>87</v>
      </c>
      <c r="F244" s="27"/>
      <c r="G244" s="32">
        <v>5.0</v>
      </c>
      <c r="H244" s="101" t="s">
        <v>5216</v>
      </c>
      <c r="I244" s="29" t="s">
        <v>5217</v>
      </c>
      <c r="J244" s="27"/>
      <c r="K244" s="27"/>
      <c r="L244" s="27"/>
      <c r="M244" s="27"/>
      <c r="N244" s="27"/>
      <c r="O244" s="27"/>
      <c r="P244" s="27"/>
      <c r="Q244" s="27"/>
      <c r="R244" s="27"/>
      <c r="S244" s="27"/>
    </row>
    <row r="245">
      <c r="A245" s="32">
        <v>10713.0</v>
      </c>
      <c r="B245" s="4" t="s">
        <v>20</v>
      </c>
      <c r="C245" s="4" t="s">
        <v>3209</v>
      </c>
      <c r="D245" s="4" t="s">
        <v>87</v>
      </c>
      <c r="E245" s="4" t="s">
        <v>87</v>
      </c>
      <c r="F245" s="27"/>
      <c r="G245" s="32">
        <v>5.0</v>
      </c>
      <c r="H245" s="101" t="s">
        <v>5218</v>
      </c>
      <c r="I245" s="29" t="s">
        <v>5219</v>
      </c>
      <c r="J245" s="29" t="s">
        <v>5220</v>
      </c>
      <c r="K245" s="12" t="s">
        <v>5221</v>
      </c>
      <c r="L245" s="29" t="s">
        <v>5222</v>
      </c>
      <c r="M245" s="27"/>
      <c r="N245" s="27"/>
      <c r="O245" s="27"/>
      <c r="P245" s="27"/>
      <c r="Q245" s="27"/>
      <c r="R245" s="27"/>
      <c r="S245" s="27"/>
    </row>
    <row r="246">
      <c r="A246" s="27"/>
      <c r="B246" s="4" t="s">
        <v>20</v>
      </c>
      <c r="C246" s="4" t="s">
        <v>2460</v>
      </c>
      <c r="D246" s="4" t="s">
        <v>87</v>
      </c>
      <c r="E246" s="4" t="s">
        <v>87</v>
      </c>
      <c r="F246" s="27"/>
      <c r="G246" s="32">
        <v>5.0</v>
      </c>
      <c r="H246" s="101" t="s">
        <v>5223</v>
      </c>
      <c r="I246" s="29" t="s">
        <v>5224</v>
      </c>
      <c r="J246" s="29" t="s">
        <v>5225</v>
      </c>
      <c r="K246" s="27"/>
      <c r="L246" s="27"/>
      <c r="M246" s="27"/>
      <c r="N246" s="27"/>
      <c r="O246" s="27"/>
      <c r="P246" s="27"/>
      <c r="Q246" s="27"/>
      <c r="R246" s="27"/>
      <c r="S246" s="27"/>
    </row>
    <row r="247">
      <c r="A247" s="27"/>
      <c r="B247" s="4" t="s">
        <v>20</v>
      </c>
      <c r="C247" s="4" t="s">
        <v>5226</v>
      </c>
      <c r="D247" s="4" t="s">
        <v>87</v>
      </c>
      <c r="E247" s="4" t="s">
        <v>87</v>
      </c>
      <c r="F247" s="27"/>
      <c r="G247" s="32">
        <v>6.0</v>
      </c>
      <c r="H247" s="101" t="s">
        <v>5227</v>
      </c>
      <c r="I247" s="29" t="s">
        <v>5228</v>
      </c>
      <c r="J247" s="29" t="s">
        <v>5229</v>
      </c>
      <c r="K247" s="27"/>
      <c r="L247" s="27"/>
      <c r="M247" s="27"/>
      <c r="N247" s="27"/>
      <c r="O247" s="27"/>
      <c r="P247" s="29" t="s">
        <v>5230</v>
      </c>
      <c r="Q247" s="27"/>
      <c r="R247" s="27"/>
      <c r="S247" s="27"/>
    </row>
    <row r="248">
      <c r="A248" s="27"/>
      <c r="B248" s="4" t="s">
        <v>20</v>
      </c>
      <c r="C248" s="4" t="s">
        <v>5231</v>
      </c>
      <c r="D248" s="4" t="s">
        <v>87</v>
      </c>
      <c r="E248" s="4" t="s">
        <v>87</v>
      </c>
      <c r="F248" s="27"/>
      <c r="G248" s="32">
        <v>6.0</v>
      </c>
      <c r="H248" s="101" t="s">
        <v>5232</v>
      </c>
      <c r="I248" s="29" t="s">
        <v>5233</v>
      </c>
      <c r="J248" s="27"/>
      <c r="K248" s="27"/>
      <c r="L248" s="27"/>
      <c r="M248" s="27"/>
      <c r="N248" s="27"/>
      <c r="O248" s="27"/>
      <c r="P248" s="27"/>
      <c r="Q248" s="27"/>
      <c r="R248" s="27"/>
      <c r="S248" s="27"/>
    </row>
    <row r="249">
      <c r="A249" s="27"/>
      <c r="B249" s="4" t="s">
        <v>20</v>
      </c>
      <c r="C249" s="4" t="s">
        <v>356</v>
      </c>
      <c r="D249" s="4" t="s">
        <v>87</v>
      </c>
      <c r="E249" s="4" t="s">
        <v>87</v>
      </c>
      <c r="F249" s="27"/>
      <c r="G249" s="32">
        <v>6.0</v>
      </c>
      <c r="H249" s="101" t="s">
        <v>5234</v>
      </c>
      <c r="I249" s="101" t="s">
        <v>5235</v>
      </c>
      <c r="J249" s="105"/>
      <c r="K249" s="27"/>
      <c r="L249" s="27"/>
      <c r="M249" s="27"/>
      <c r="N249" s="27"/>
      <c r="O249" s="27"/>
      <c r="P249" s="27"/>
      <c r="Q249" s="27"/>
      <c r="R249" s="27"/>
      <c r="S249" s="27"/>
    </row>
    <row r="250">
      <c r="A250" s="32">
        <v>24881.0</v>
      </c>
      <c r="B250" s="4" t="s">
        <v>20</v>
      </c>
      <c r="C250" s="4" t="s">
        <v>5236</v>
      </c>
      <c r="D250" s="4" t="s">
        <v>87</v>
      </c>
      <c r="E250" s="4" t="s">
        <v>87</v>
      </c>
      <c r="F250" s="27"/>
      <c r="G250" s="32">
        <v>6.0</v>
      </c>
      <c r="H250" s="101" t="s">
        <v>5237</v>
      </c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</row>
    <row r="251">
      <c r="A251" s="32">
        <v>10548.0</v>
      </c>
      <c r="B251" s="4" t="s">
        <v>20</v>
      </c>
      <c r="C251" s="4" t="s">
        <v>74</v>
      </c>
      <c r="D251" s="4" t="s">
        <v>87</v>
      </c>
      <c r="E251" s="4" t="s">
        <v>87</v>
      </c>
      <c r="F251" s="27"/>
      <c r="G251" s="32">
        <v>6.0</v>
      </c>
      <c r="H251" s="103"/>
      <c r="I251" s="27"/>
      <c r="J251" s="43" t="s">
        <v>5238</v>
      </c>
      <c r="K251" s="27"/>
      <c r="L251" s="27"/>
      <c r="M251" s="27"/>
      <c r="N251" s="27"/>
      <c r="O251" s="27"/>
      <c r="P251" s="27"/>
      <c r="Q251" s="27"/>
      <c r="R251" s="27"/>
      <c r="S251" s="27"/>
    </row>
    <row r="252">
      <c r="A252" s="32">
        <v>11113.0</v>
      </c>
      <c r="B252" s="4" t="s">
        <v>20</v>
      </c>
      <c r="C252" s="4" t="s">
        <v>5239</v>
      </c>
      <c r="D252" s="4" t="s">
        <v>87</v>
      </c>
      <c r="E252" s="4" t="s">
        <v>87</v>
      </c>
      <c r="F252" s="27"/>
      <c r="G252" s="32">
        <v>7.0</v>
      </c>
      <c r="H252" s="43" t="s">
        <v>5240</v>
      </c>
      <c r="I252" s="27"/>
      <c r="J252" s="29" t="s">
        <v>5241</v>
      </c>
      <c r="K252" s="27"/>
      <c r="L252" s="43" t="s">
        <v>5242</v>
      </c>
      <c r="M252" s="27"/>
      <c r="N252" s="27"/>
      <c r="O252" s="27"/>
      <c r="P252" s="27"/>
      <c r="Q252" s="27"/>
      <c r="R252" s="27"/>
      <c r="S252" s="27"/>
    </row>
    <row r="253">
      <c r="A253" s="32">
        <v>33178.0</v>
      </c>
      <c r="B253" s="4" t="s">
        <v>173</v>
      </c>
      <c r="C253" s="4" t="s">
        <v>5243</v>
      </c>
      <c r="D253" s="4" t="s">
        <v>87</v>
      </c>
      <c r="E253" s="4" t="s">
        <v>87</v>
      </c>
      <c r="F253" s="27"/>
      <c r="G253" s="32">
        <v>7.0</v>
      </c>
      <c r="H253" s="103"/>
      <c r="I253" s="27"/>
      <c r="J253" s="29" t="s">
        <v>5244</v>
      </c>
      <c r="K253" s="27"/>
      <c r="L253" s="27"/>
      <c r="M253" s="27"/>
      <c r="N253" s="27"/>
      <c r="O253" s="27"/>
      <c r="P253" s="27"/>
      <c r="Q253" s="27"/>
      <c r="R253" s="27"/>
      <c r="S253" s="27"/>
    </row>
    <row r="254">
      <c r="A254" s="27"/>
      <c r="B254" s="4" t="s">
        <v>20</v>
      </c>
      <c r="C254" s="4" t="s">
        <v>5245</v>
      </c>
      <c r="D254" s="4" t="s">
        <v>87</v>
      </c>
      <c r="E254" s="4" t="s">
        <v>87</v>
      </c>
      <c r="F254" s="27"/>
      <c r="G254" s="32">
        <v>7.0</v>
      </c>
      <c r="H254" s="101" t="s">
        <v>5246</v>
      </c>
      <c r="I254" s="101" t="s">
        <v>5247</v>
      </c>
      <c r="J254" s="102" t="s">
        <v>5248</v>
      </c>
      <c r="K254" s="27"/>
      <c r="L254" s="27"/>
      <c r="M254" s="27"/>
      <c r="N254" s="27"/>
      <c r="O254" s="27"/>
      <c r="P254" s="27"/>
      <c r="Q254" s="27"/>
      <c r="R254" s="27"/>
      <c r="S254" s="27"/>
    </row>
    <row r="255">
      <c r="A255" s="27"/>
      <c r="B255" s="4" t="s">
        <v>20</v>
      </c>
      <c r="C255" s="4" t="s">
        <v>5249</v>
      </c>
      <c r="D255" s="4" t="s">
        <v>87</v>
      </c>
      <c r="E255" s="4" t="s">
        <v>87</v>
      </c>
      <c r="F255" s="27"/>
      <c r="G255" s="109">
        <v>45794.0</v>
      </c>
      <c r="H255" s="101" t="s">
        <v>5250</v>
      </c>
      <c r="I255" s="29" t="s">
        <v>5251</v>
      </c>
      <c r="J255" s="27"/>
      <c r="K255" s="27"/>
      <c r="L255" s="27"/>
      <c r="M255" s="27"/>
      <c r="N255" s="27"/>
      <c r="O255" s="27"/>
      <c r="P255" s="27"/>
      <c r="Q255" s="27"/>
      <c r="R255" s="27"/>
      <c r="S255" s="27"/>
    </row>
    <row r="256">
      <c r="A256" s="27"/>
      <c r="B256" s="4" t="s">
        <v>20</v>
      </c>
      <c r="C256" s="4" t="s">
        <v>5252</v>
      </c>
      <c r="D256" s="4" t="s">
        <v>87</v>
      </c>
      <c r="E256" s="4" t="s">
        <v>87</v>
      </c>
      <c r="F256" s="27"/>
      <c r="G256" s="109">
        <v>45794.0</v>
      </c>
      <c r="H256" s="101" t="s">
        <v>5253</v>
      </c>
      <c r="I256" s="29" t="s">
        <v>5254</v>
      </c>
      <c r="J256" s="27"/>
      <c r="K256" s="27"/>
      <c r="L256" s="27"/>
      <c r="M256" s="27"/>
      <c r="N256" s="27"/>
      <c r="O256" s="27"/>
      <c r="P256" s="27"/>
      <c r="Q256" s="27"/>
      <c r="R256" s="27"/>
      <c r="S256" s="27"/>
    </row>
    <row r="257">
      <c r="A257" s="27"/>
      <c r="B257" s="4" t="s">
        <v>20</v>
      </c>
      <c r="C257" s="4" t="s">
        <v>4569</v>
      </c>
      <c r="D257" s="4" t="s">
        <v>87</v>
      </c>
      <c r="E257" s="4" t="s">
        <v>87</v>
      </c>
      <c r="F257" s="27"/>
      <c r="G257" s="109">
        <v>45794.0</v>
      </c>
      <c r="H257" s="101" t="s">
        <v>5255</v>
      </c>
      <c r="I257" s="29" t="s">
        <v>5256</v>
      </c>
      <c r="J257" s="27"/>
      <c r="K257" s="27"/>
      <c r="L257" s="27"/>
      <c r="M257" s="27"/>
      <c r="N257" s="27"/>
      <c r="O257" s="27"/>
      <c r="P257" s="27"/>
      <c r="Q257" s="27"/>
      <c r="R257" s="27"/>
      <c r="S257" s="27"/>
    </row>
    <row r="258">
      <c r="A258" s="27"/>
      <c r="B258" s="4" t="s">
        <v>20</v>
      </c>
      <c r="C258" s="4" t="s">
        <v>5257</v>
      </c>
      <c r="D258" s="4" t="s">
        <v>87</v>
      </c>
      <c r="E258" s="4" t="s">
        <v>87</v>
      </c>
      <c r="F258" s="27"/>
      <c r="G258" s="109">
        <v>45794.0</v>
      </c>
      <c r="H258" s="101" t="s">
        <v>5258</v>
      </c>
      <c r="I258" s="29" t="s">
        <v>5259</v>
      </c>
      <c r="J258" s="27"/>
      <c r="K258" s="27"/>
      <c r="L258" s="27"/>
      <c r="M258" s="27"/>
      <c r="N258" s="27"/>
      <c r="O258" s="27"/>
      <c r="P258" s="27"/>
      <c r="Q258" s="27"/>
      <c r="R258" s="27"/>
      <c r="S258" s="27"/>
    </row>
    <row r="259">
      <c r="A259" s="27"/>
      <c r="B259" s="4" t="s">
        <v>20</v>
      </c>
      <c r="C259" s="4" t="s">
        <v>749</v>
      </c>
      <c r="D259" s="4" t="s">
        <v>87</v>
      </c>
      <c r="E259" s="4" t="s">
        <v>87</v>
      </c>
      <c r="F259" s="27"/>
      <c r="G259" s="109">
        <v>45794.0</v>
      </c>
      <c r="H259" s="101" t="s">
        <v>5260</v>
      </c>
      <c r="I259" s="29" t="s">
        <v>5261</v>
      </c>
      <c r="J259" s="27"/>
      <c r="K259" s="27"/>
      <c r="L259" s="27"/>
      <c r="M259" s="27"/>
      <c r="N259" s="27"/>
      <c r="O259" s="27"/>
      <c r="P259" s="27"/>
      <c r="Q259" s="27"/>
      <c r="R259" s="27"/>
      <c r="S259" s="27"/>
    </row>
    <row r="260">
      <c r="A260" s="27"/>
      <c r="B260" s="4" t="s">
        <v>20</v>
      </c>
      <c r="C260" s="4" t="s">
        <v>4783</v>
      </c>
      <c r="D260" s="4" t="s">
        <v>87</v>
      </c>
      <c r="E260" s="4" t="s">
        <v>87</v>
      </c>
      <c r="F260" s="27"/>
      <c r="G260" s="109">
        <v>45794.0</v>
      </c>
      <c r="H260" s="101" t="s">
        <v>5262</v>
      </c>
      <c r="I260" s="29" t="s">
        <v>5263</v>
      </c>
      <c r="J260" s="27"/>
      <c r="K260" s="29" t="s">
        <v>5264</v>
      </c>
      <c r="L260" s="27"/>
      <c r="M260" s="27"/>
      <c r="N260" s="27"/>
      <c r="O260" s="27"/>
      <c r="P260" s="27"/>
      <c r="Q260" s="27"/>
      <c r="R260" s="27"/>
      <c r="S260" s="27"/>
    </row>
    <row r="261">
      <c r="A261" s="27"/>
      <c r="B261" s="4" t="s">
        <v>20</v>
      </c>
      <c r="C261" s="4" t="s">
        <v>1298</v>
      </c>
      <c r="D261" s="4" t="s">
        <v>87</v>
      </c>
      <c r="E261" s="4" t="s">
        <v>87</v>
      </c>
      <c r="F261" s="27"/>
      <c r="G261" s="109">
        <v>45794.0</v>
      </c>
      <c r="H261" s="101" t="s">
        <v>5265</v>
      </c>
      <c r="I261" s="29" t="s">
        <v>5266</v>
      </c>
      <c r="J261" s="27"/>
      <c r="K261" s="27"/>
      <c r="L261" s="27"/>
      <c r="M261" s="27"/>
      <c r="N261" s="27"/>
      <c r="O261" s="27"/>
      <c r="P261" s="27"/>
      <c r="Q261" s="27"/>
      <c r="R261" s="27"/>
      <c r="S261" s="27"/>
    </row>
    <row r="262">
      <c r="A262" s="27"/>
      <c r="B262" s="4" t="s">
        <v>20</v>
      </c>
      <c r="C262" s="4" t="s">
        <v>5267</v>
      </c>
      <c r="D262" s="4" t="s">
        <v>87</v>
      </c>
      <c r="E262" s="4" t="s">
        <v>87</v>
      </c>
      <c r="F262" s="27"/>
      <c r="G262" s="109">
        <v>45794.0</v>
      </c>
      <c r="H262" s="101" t="s">
        <v>5268</v>
      </c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</row>
    <row r="263">
      <c r="A263" s="27"/>
      <c r="B263" s="4" t="s">
        <v>20</v>
      </c>
      <c r="C263" s="4" t="s">
        <v>1360</v>
      </c>
      <c r="D263" s="4" t="s">
        <v>87</v>
      </c>
      <c r="E263" s="4" t="s">
        <v>87</v>
      </c>
      <c r="F263" s="27"/>
      <c r="G263" s="109">
        <v>45794.0</v>
      </c>
      <c r="H263" s="101" t="s">
        <v>5269</v>
      </c>
      <c r="I263" s="43" t="s">
        <v>5270</v>
      </c>
      <c r="J263" s="27"/>
      <c r="K263" s="27"/>
      <c r="L263" s="27"/>
      <c r="M263" s="27"/>
      <c r="N263" s="27"/>
      <c r="O263" s="27"/>
      <c r="P263" s="27"/>
      <c r="Q263" s="27"/>
      <c r="R263" s="27"/>
      <c r="S263" s="27"/>
    </row>
    <row r="264">
      <c r="A264" s="32">
        <v>31376.0</v>
      </c>
      <c r="B264" s="4" t="s">
        <v>20</v>
      </c>
      <c r="C264" s="4" t="s">
        <v>5271</v>
      </c>
      <c r="D264" s="4" t="s">
        <v>87</v>
      </c>
      <c r="E264" s="4" t="s">
        <v>87</v>
      </c>
      <c r="F264" s="27"/>
      <c r="G264" s="109">
        <v>45794.0</v>
      </c>
      <c r="H264" s="101" t="s">
        <v>5272</v>
      </c>
      <c r="I264" s="29" t="s">
        <v>5273</v>
      </c>
      <c r="J264" s="29" t="s">
        <v>4728</v>
      </c>
      <c r="K264" s="27"/>
      <c r="L264" s="27"/>
      <c r="M264" s="27"/>
      <c r="N264" s="27"/>
      <c r="O264" s="27"/>
      <c r="P264" s="27"/>
      <c r="Q264" s="27"/>
      <c r="R264" s="27"/>
      <c r="S264" s="27"/>
    </row>
    <row r="265">
      <c r="A265" s="27"/>
      <c r="B265" s="4" t="s">
        <v>20</v>
      </c>
      <c r="C265" s="4" t="s">
        <v>2310</v>
      </c>
      <c r="D265" s="4" t="s">
        <v>87</v>
      </c>
      <c r="E265" s="4" t="s">
        <v>87</v>
      </c>
      <c r="F265" s="27"/>
      <c r="G265" s="109">
        <v>45794.0</v>
      </c>
      <c r="H265" s="101" t="s">
        <v>5274</v>
      </c>
      <c r="I265" s="101" t="s">
        <v>5275</v>
      </c>
      <c r="J265" s="101" t="s">
        <v>5276</v>
      </c>
      <c r="K265" s="29" t="s">
        <v>5277</v>
      </c>
      <c r="L265" s="27"/>
      <c r="M265" s="27"/>
      <c r="N265" s="27"/>
      <c r="O265" s="27"/>
      <c r="P265" s="27"/>
      <c r="Q265" s="27"/>
      <c r="R265" s="27"/>
      <c r="S265" s="27"/>
    </row>
    <row r="266">
      <c r="A266" s="27"/>
      <c r="B266" s="4" t="s">
        <v>20</v>
      </c>
      <c r="C266" s="4" t="s">
        <v>5278</v>
      </c>
      <c r="D266" s="4" t="s">
        <v>87</v>
      </c>
      <c r="E266" s="4" t="s">
        <v>87</v>
      </c>
      <c r="F266" s="27"/>
      <c r="G266" s="109">
        <v>45794.0</v>
      </c>
      <c r="H266" s="102" t="s">
        <v>5279</v>
      </c>
      <c r="I266" s="101" t="s">
        <v>5280</v>
      </c>
      <c r="J266" s="105"/>
      <c r="K266" s="27"/>
      <c r="L266" s="27"/>
      <c r="M266" s="27"/>
      <c r="N266" s="27"/>
      <c r="O266" s="27"/>
      <c r="P266" s="27"/>
      <c r="Q266" s="27"/>
      <c r="R266" s="27"/>
      <c r="S266" s="27"/>
    </row>
    <row r="267">
      <c r="A267" s="32">
        <v>10925.0</v>
      </c>
      <c r="B267" s="4" t="s">
        <v>20</v>
      </c>
      <c r="C267" s="4" t="s">
        <v>5281</v>
      </c>
      <c r="D267" s="4" t="s">
        <v>87</v>
      </c>
      <c r="E267" s="4" t="s">
        <v>87</v>
      </c>
      <c r="F267" s="27"/>
      <c r="G267" s="109">
        <v>45794.0</v>
      </c>
      <c r="H267" s="101" t="s">
        <v>5282</v>
      </c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</row>
    <row r="268">
      <c r="A268" s="32">
        <v>33177.0</v>
      </c>
      <c r="B268" s="4" t="s">
        <v>20</v>
      </c>
      <c r="C268" s="4" t="s">
        <v>5283</v>
      </c>
      <c r="D268" s="4" t="s">
        <v>87</v>
      </c>
      <c r="E268" s="4" t="s">
        <v>87</v>
      </c>
      <c r="F268" s="27"/>
      <c r="G268" s="109">
        <v>45795.0</v>
      </c>
      <c r="H268" s="103"/>
      <c r="I268" s="27"/>
      <c r="J268" s="43" t="s">
        <v>5284</v>
      </c>
      <c r="K268" s="27"/>
      <c r="L268" s="27"/>
      <c r="M268" s="27"/>
      <c r="N268" s="27"/>
      <c r="O268" s="27"/>
      <c r="P268" s="27"/>
      <c r="Q268" s="27"/>
      <c r="R268" s="27"/>
      <c r="S268" s="27"/>
    </row>
    <row r="269">
      <c r="A269" s="27"/>
      <c r="B269" s="4" t="s">
        <v>20</v>
      </c>
      <c r="C269" s="4" t="s">
        <v>5285</v>
      </c>
      <c r="D269" s="4" t="s">
        <v>87</v>
      </c>
      <c r="E269" s="4" t="s">
        <v>87</v>
      </c>
      <c r="F269" s="27"/>
      <c r="G269" s="109">
        <v>45795.0</v>
      </c>
      <c r="H269" s="101" t="s">
        <v>5286</v>
      </c>
      <c r="I269" s="29" t="s">
        <v>5287</v>
      </c>
      <c r="J269" s="29" t="s">
        <v>5288</v>
      </c>
      <c r="K269" s="27"/>
      <c r="L269" s="27"/>
      <c r="M269" s="27"/>
      <c r="N269" s="27"/>
      <c r="O269" s="27"/>
      <c r="P269" s="27"/>
      <c r="Q269" s="27"/>
      <c r="R269" s="27"/>
      <c r="S269" s="27"/>
    </row>
    <row r="270">
      <c r="A270" s="27"/>
      <c r="B270" s="4" t="s">
        <v>20</v>
      </c>
      <c r="C270" s="4" t="s">
        <v>5289</v>
      </c>
      <c r="D270" s="4" t="s">
        <v>87</v>
      </c>
      <c r="E270" s="4" t="s">
        <v>87</v>
      </c>
      <c r="F270" s="27"/>
      <c r="G270" s="109">
        <v>45796.0</v>
      </c>
      <c r="H270" s="101" t="s">
        <v>5290</v>
      </c>
      <c r="I270" s="29" t="s">
        <v>5291</v>
      </c>
      <c r="J270" s="27"/>
      <c r="K270" s="27"/>
      <c r="L270" s="27"/>
      <c r="M270" s="27"/>
      <c r="N270" s="27"/>
      <c r="O270" s="27"/>
      <c r="P270" s="27"/>
      <c r="Q270" s="27"/>
      <c r="R270" s="27"/>
      <c r="S270" s="27"/>
    </row>
    <row r="271">
      <c r="A271" s="27"/>
      <c r="B271" s="4" t="s">
        <v>20</v>
      </c>
      <c r="C271" s="4" t="s">
        <v>5292</v>
      </c>
      <c r="D271" s="4" t="s">
        <v>87</v>
      </c>
      <c r="E271" s="4" t="s">
        <v>87</v>
      </c>
      <c r="F271" s="27"/>
      <c r="G271" s="109">
        <v>45828.0</v>
      </c>
      <c r="H271" s="101" t="s">
        <v>5293</v>
      </c>
      <c r="I271" s="29" t="s">
        <v>5294</v>
      </c>
      <c r="J271" s="27"/>
      <c r="K271" s="27"/>
      <c r="L271" s="27"/>
      <c r="M271" s="27"/>
      <c r="N271" s="27"/>
      <c r="O271" s="27"/>
      <c r="P271" s="27"/>
      <c r="Q271" s="27"/>
      <c r="R271" s="27"/>
      <c r="S271" s="27"/>
    </row>
    <row r="272">
      <c r="A272" s="27"/>
      <c r="B272" s="4" t="s">
        <v>20</v>
      </c>
      <c r="C272" s="4" t="s">
        <v>5295</v>
      </c>
      <c r="D272" s="4" t="s">
        <v>87</v>
      </c>
      <c r="E272" s="4" t="s">
        <v>87</v>
      </c>
      <c r="F272" s="27"/>
      <c r="G272" s="109">
        <v>45828.0</v>
      </c>
      <c r="H272" s="101" t="s">
        <v>5296</v>
      </c>
      <c r="I272" s="29" t="s">
        <v>5297</v>
      </c>
      <c r="J272" s="29" t="s">
        <v>5298</v>
      </c>
      <c r="K272" s="27"/>
      <c r="L272" s="27"/>
      <c r="M272" s="27"/>
      <c r="N272" s="27"/>
      <c r="O272" s="27"/>
      <c r="P272" s="27"/>
      <c r="Q272" s="27"/>
      <c r="R272" s="27"/>
      <c r="S272" s="27"/>
    </row>
    <row r="273">
      <c r="A273" s="32">
        <v>29355.0</v>
      </c>
      <c r="B273" s="4" t="s">
        <v>20</v>
      </c>
      <c r="C273" s="4" t="s">
        <v>5299</v>
      </c>
      <c r="D273" s="4" t="s">
        <v>87</v>
      </c>
      <c r="E273" s="4" t="s">
        <v>87</v>
      </c>
      <c r="F273" s="27"/>
      <c r="G273" s="109">
        <v>45861.0</v>
      </c>
      <c r="H273" s="103"/>
      <c r="I273" s="27"/>
      <c r="J273" s="29" t="s">
        <v>5300</v>
      </c>
      <c r="K273" s="27"/>
      <c r="L273" s="27"/>
      <c r="M273" s="27"/>
      <c r="N273" s="27"/>
      <c r="O273" s="27"/>
      <c r="P273" s="27"/>
      <c r="Q273" s="27"/>
      <c r="R273" s="27"/>
      <c r="S273" s="27"/>
    </row>
    <row r="274">
      <c r="A274" s="32">
        <v>27519.0</v>
      </c>
      <c r="B274" s="4" t="s">
        <v>20</v>
      </c>
      <c r="C274" s="4" t="s">
        <v>5301</v>
      </c>
      <c r="D274" s="4" t="s">
        <v>87</v>
      </c>
      <c r="E274" s="4" t="s">
        <v>87</v>
      </c>
      <c r="F274" s="27"/>
      <c r="G274" s="32" t="s">
        <v>5302</v>
      </c>
      <c r="H274" s="103"/>
      <c r="I274" s="27"/>
      <c r="J274" s="29" t="s">
        <v>5303</v>
      </c>
      <c r="K274" s="27"/>
      <c r="L274" s="27"/>
      <c r="M274" s="27"/>
      <c r="N274" s="27"/>
      <c r="O274" s="27"/>
      <c r="P274" s="27"/>
      <c r="Q274" s="27"/>
      <c r="R274" s="27"/>
      <c r="S274" s="27"/>
    </row>
    <row r="275">
      <c r="A275" s="32">
        <v>26411.0</v>
      </c>
      <c r="B275" s="4" t="s">
        <v>5304</v>
      </c>
      <c r="C275" s="4" t="s">
        <v>5305</v>
      </c>
      <c r="D275" s="4" t="s">
        <v>87</v>
      </c>
      <c r="E275" s="4" t="s">
        <v>87</v>
      </c>
      <c r="F275" s="27"/>
      <c r="G275" s="32" t="s">
        <v>5306</v>
      </c>
      <c r="H275" s="103"/>
      <c r="I275" s="27"/>
      <c r="J275" s="29" t="s">
        <v>5307</v>
      </c>
      <c r="K275" s="27"/>
      <c r="L275" s="27"/>
      <c r="M275" s="27"/>
      <c r="N275" s="27"/>
      <c r="O275" s="27"/>
      <c r="P275" s="27"/>
      <c r="Q275" s="27"/>
      <c r="R275" s="27"/>
      <c r="S275" s="27"/>
    </row>
    <row r="276">
      <c r="A276" s="27"/>
      <c r="B276" s="4" t="s">
        <v>20</v>
      </c>
      <c r="C276" s="4" t="s">
        <v>446</v>
      </c>
      <c r="D276" s="4" t="s">
        <v>87</v>
      </c>
      <c r="E276" s="4" t="s">
        <v>87</v>
      </c>
      <c r="F276" s="27"/>
      <c r="G276" s="32" t="s">
        <v>5308</v>
      </c>
      <c r="H276" s="101" t="s">
        <v>5309</v>
      </c>
      <c r="I276" s="29" t="s">
        <v>5310</v>
      </c>
      <c r="J276" s="29" t="s">
        <v>5311</v>
      </c>
      <c r="K276" s="27"/>
      <c r="L276" s="27"/>
      <c r="M276" s="27"/>
      <c r="N276" s="27"/>
      <c r="O276" s="27"/>
      <c r="P276" s="27"/>
      <c r="Q276" s="27"/>
      <c r="R276" s="27"/>
      <c r="S276" s="27"/>
    </row>
    <row r="277">
      <c r="A277" s="32">
        <v>23896.0</v>
      </c>
      <c r="B277" s="4" t="s">
        <v>5312</v>
      </c>
      <c r="C277" s="4" t="s">
        <v>5313</v>
      </c>
      <c r="D277" s="4" t="s">
        <v>87</v>
      </c>
      <c r="E277" s="4" t="s">
        <v>87</v>
      </c>
      <c r="F277" s="27"/>
      <c r="G277" s="32" t="s">
        <v>5314</v>
      </c>
      <c r="H277" s="101" t="s">
        <v>5315</v>
      </c>
      <c r="I277" s="27"/>
      <c r="J277" s="29" t="s">
        <v>5316</v>
      </c>
      <c r="K277" s="27"/>
      <c r="L277" s="27"/>
      <c r="M277" s="27"/>
      <c r="N277" s="27"/>
      <c r="O277" s="27"/>
      <c r="P277" s="27"/>
      <c r="Q277" s="27"/>
      <c r="R277" s="27"/>
      <c r="S277" s="27"/>
    </row>
    <row r="278">
      <c r="A278" s="27"/>
      <c r="B278" s="4" t="s">
        <v>20</v>
      </c>
      <c r="C278" s="4" t="s">
        <v>3009</v>
      </c>
      <c r="D278" s="4" t="s">
        <v>87</v>
      </c>
      <c r="E278" s="4" t="s">
        <v>87</v>
      </c>
      <c r="F278" s="27"/>
      <c r="G278" s="32" t="s">
        <v>5314</v>
      </c>
      <c r="H278" s="101" t="s">
        <v>5317</v>
      </c>
      <c r="I278" s="29" t="s">
        <v>5318</v>
      </c>
      <c r="J278" s="27"/>
      <c r="K278" s="27"/>
      <c r="L278" s="27"/>
      <c r="M278" s="27"/>
      <c r="N278" s="27"/>
      <c r="O278" s="27"/>
      <c r="P278" s="27"/>
      <c r="Q278" s="27"/>
      <c r="R278" s="27"/>
      <c r="S278" s="27"/>
    </row>
    <row r="279">
      <c r="A279" s="27"/>
      <c r="B279" s="4" t="s">
        <v>20</v>
      </c>
      <c r="C279" s="4" t="s">
        <v>5319</v>
      </c>
      <c r="D279" s="4" t="s">
        <v>87</v>
      </c>
      <c r="E279" s="4" t="s">
        <v>87</v>
      </c>
      <c r="F279" s="27"/>
      <c r="G279" s="32" t="s">
        <v>5314</v>
      </c>
      <c r="H279" s="101" t="s">
        <v>5320</v>
      </c>
      <c r="I279" s="43" t="s">
        <v>5321</v>
      </c>
      <c r="J279" s="27"/>
      <c r="K279" s="27"/>
      <c r="L279" s="27"/>
      <c r="M279" s="27"/>
      <c r="N279" s="27"/>
      <c r="O279" s="27"/>
      <c r="P279" s="27"/>
      <c r="Q279" s="27"/>
      <c r="R279" s="27"/>
      <c r="S279" s="27"/>
    </row>
    <row r="280">
      <c r="A280" s="27"/>
      <c r="B280" s="4" t="s">
        <v>20</v>
      </c>
      <c r="C280" s="4" t="s">
        <v>5322</v>
      </c>
      <c r="D280" s="4" t="s">
        <v>87</v>
      </c>
      <c r="E280" s="4" t="s">
        <v>87</v>
      </c>
      <c r="F280" s="27"/>
      <c r="G280" s="32" t="s">
        <v>5314</v>
      </c>
      <c r="H280" s="101" t="s">
        <v>5323</v>
      </c>
      <c r="I280" s="43" t="s">
        <v>5324</v>
      </c>
      <c r="J280" s="43" t="s">
        <v>5325</v>
      </c>
      <c r="K280" s="27"/>
      <c r="L280" s="27"/>
      <c r="M280" s="27"/>
      <c r="N280" s="27"/>
      <c r="O280" s="27"/>
      <c r="P280" s="27"/>
      <c r="Q280" s="27"/>
      <c r="R280" s="27"/>
      <c r="S280" s="27"/>
    </row>
    <row r="281">
      <c r="A281" s="32">
        <v>10633.0</v>
      </c>
      <c r="B281" s="4" t="s">
        <v>20</v>
      </c>
      <c r="C281" s="4" t="s">
        <v>5326</v>
      </c>
      <c r="D281" s="4" t="s">
        <v>87</v>
      </c>
      <c r="E281" s="4" t="s">
        <v>87</v>
      </c>
      <c r="F281" s="27"/>
      <c r="G281" s="32" t="s">
        <v>5314</v>
      </c>
      <c r="H281" s="102" t="s">
        <v>5327</v>
      </c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</row>
    <row r="282">
      <c r="A282" s="32">
        <v>27512.0</v>
      </c>
      <c r="B282" s="4" t="s">
        <v>20</v>
      </c>
      <c r="C282" s="4" t="s">
        <v>5328</v>
      </c>
      <c r="D282" s="4" t="s">
        <v>87</v>
      </c>
      <c r="E282" s="4" t="s">
        <v>87</v>
      </c>
      <c r="F282" s="27"/>
      <c r="G282" s="4" t="s">
        <v>5329</v>
      </c>
      <c r="H282" s="103"/>
      <c r="I282" s="27"/>
      <c r="J282" s="29" t="s">
        <v>5330</v>
      </c>
      <c r="K282" s="27"/>
      <c r="L282" s="27"/>
      <c r="M282" s="27"/>
      <c r="N282" s="27"/>
      <c r="O282" s="27"/>
      <c r="P282" s="27"/>
      <c r="Q282" s="27"/>
      <c r="R282" s="27"/>
      <c r="S282" s="27"/>
    </row>
    <row r="283">
      <c r="A283" s="27"/>
      <c r="B283" s="4" t="s">
        <v>20</v>
      </c>
      <c r="C283" s="4" t="s">
        <v>2801</v>
      </c>
      <c r="D283" s="4" t="s">
        <v>87</v>
      </c>
      <c r="E283" s="4" t="s">
        <v>87</v>
      </c>
      <c r="F283" s="27"/>
      <c r="G283" s="32" t="s">
        <v>5331</v>
      </c>
      <c r="H283" s="101" t="s">
        <v>5332</v>
      </c>
      <c r="I283" s="29" t="s">
        <v>5333</v>
      </c>
      <c r="J283" s="29" t="s">
        <v>5334</v>
      </c>
      <c r="K283" s="27"/>
      <c r="L283" s="27"/>
      <c r="M283" s="27"/>
      <c r="N283" s="27"/>
      <c r="O283" s="27"/>
      <c r="P283" s="27"/>
      <c r="Q283" s="27"/>
      <c r="R283" s="27"/>
      <c r="S283" s="27"/>
    </row>
    <row r="284">
      <c r="A284" s="27"/>
      <c r="B284" s="4" t="s">
        <v>220</v>
      </c>
      <c r="C284" s="4" t="s">
        <v>5335</v>
      </c>
      <c r="D284" s="4" t="s">
        <v>87</v>
      </c>
      <c r="E284" s="4" t="s">
        <v>87</v>
      </c>
      <c r="F284" s="27"/>
      <c r="G284" s="27"/>
      <c r="H284" s="101" t="s">
        <v>5336</v>
      </c>
      <c r="I284" s="101" t="s">
        <v>5337</v>
      </c>
      <c r="J284" s="105"/>
      <c r="K284" s="27"/>
      <c r="L284" s="27"/>
      <c r="M284" s="27"/>
      <c r="N284" s="27"/>
      <c r="O284" s="27"/>
      <c r="P284" s="27"/>
      <c r="Q284" s="27"/>
      <c r="R284" s="27"/>
      <c r="S284" s="27"/>
    </row>
    <row r="285">
      <c r="A285" s="32">
        <v>26380.0</v>
      </c>
      <c r="B285" s="4" t="s">
        <v>20</v>
      </c>
      <c r="C285" s="4" t="s">
        <v>4088</v>
      </c>
      <c r="D285" s="4" t="s">
        <v>87</v>
      </c>
      <c r="E285" s="4" t="s">
        <v>87</v>
      </c>
      <c r="F285" s="27"/>
      <c r="G285" s="27"/>
      <c r="H285" s="105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</row>
    <row r="286">
      <c r="A286" s="27"/>
      <c r="B286" s="4" t="s">
        <v>220</v>
      </c>
      <c r="C286" s="4" t="s">
        <v>5338</v>
      </c>
      <c r="D286" s="4" t="s">
        <v>87</v>
      </c>
      <c r="E286" s="4" t="s">
        <v>87</v>
      </c>
      <c r="F286" s="27"/>
      <c r="G286" s="27"/>
      <c r="H286" s="101" t="s">
        <v>5339</v>
      </c>
      <c r="I286" s="29" t="s">
        <v>5340</v>
      </c>
      <c r="J286" s="29" t="s">
        <v>5341</v>
      </c>
      <c r="K286" s="27"/>
      <c r="L286" s="27"/>
      <c r="M286" s="27"/>
      <c r="N286" s="27"/>
      <c r="O286" s="27"/>
      <c r="P286" s="27"/>
      <c r="Q286" s="27"/>
      <c r="R286" s="27"/>
      <c r="S286" s="27"/>
    </row>
    <row r="287">
      <c r="A287" s="27"/>
      <c r="B287" s="4" t="s">
        <v>220</v>
      </c>
      <c r="C287" s="4" t="s">
        <v>5342</v>
      </c>
      <c r="D287" s="4" t="s">
        <v>87</v>
      </c>
      <c r="E287" s="4" t="s">
        <v>87</v>
      </c>
      <c r="F287" s="27"/>
      <c r="G287" s="27"/>
      <c r="H287" s="101" t="s">
        <v>5343</v>
      </c>
      <c r="I287" s="101" t="s">
        <v>5344</v>
      </c>
      <c r="J287" s="101" t="s">
        <v>5345</v>
      </c>
      <c r="K287" s="27"/>
      <c r="L287" s="27"/>
      <c r="M287" s="27"/>
      <c r="N287" s="27"/>
      <c r="O287" s="27"/>
      <c r="P287" s="27"/>
      <c r="Q287" s="27"/>
      <c r="R287" s="27"/>
      <c r="S287" s="27"/>
    </row>
    <row r="288">
      <c r="A288" s="32">
        <v>32674.0</v>
      </c>
      <c r="B288" s="4" t="s">
        <v>20</v>
      </c>
      <c r="C288" s="4" t="s">
        <v>5346</v>
      </c>
      <c r="D288" s="4" t="s">
        <v>87</v>
      </c>
      <c r="E288" s="4" t="s">
        <v>87</v>
      </c>
      <c r="F288" s="27"/>
      <c r="G288" s="27"/>
      <c r="H288" s="103"/>
      <c r="I288" s="27"/>
      <c r="J288" s="29" t="s">
        <v>5347</v>
      </c>
      <c r="K288" s="27"/>
      <c r="L288" s="27"/>
      <c r="M288" s="27"/>
      <c r="N288" s="27"/>
      <c r="O288" s="27"/>
      <c r="P288" s="27"/>
      <c r="Q288" s="27"/>
      <c r="R288" s="27"/>
      <c r="S288" s="27"/>
    </row>
    <row r="289">
      <c r="A289" s="27"/>
      <c r="B289" s="4" t="s">
        <v>220</v>
      </c>
      <c r="C289" s="4" t="s">
        <v>5348</v>
      </c>
      <c r="D289" s="4" t="s">
        <v>87</v>
      </c>
      <c r="E289" s="4" t="s">
        <v>87</v>
      </c>
      <c r="F289" s="27"/>
      <c r="G289" s="27"/>
      <c r="H289" s="101" t="s">
        <v>5349</v>
      </c>
      <c r="I289" s="105"/>
      <c r="J289" s="105"/>
      <c r="K289" s="27"/>
      <c r="L289" s="27"/>
      <c r="M289" s="27"/>
      <c r="N289" s="27"/>
      <c r="O289" s="27"/>
      <c r="P289" s="27"/>
      <c r="Q289" s="27"/>
      <c r="R289" s="27"/>
      <c r="S289" s="27"/>
    </row>
    <row r="290">
      <c r="A290" s="27"/>
      <c r="B290" s="4" t="s">
        <v>220</v>
      </c>
      <c r="C290" s="4" t="s">
        <v>5350</v>
      </c>
      <c r="D290" s="4" t="s">
        <v>87</v>
      </c>
      <c r="E290" s="4" t="s">
        <v>87</v>
      </c>
      <c r="F290" s="27"/>
      <c r="G290" s="27"/>
      <c r="H290" s="101" t="s">
        <v>5351</v>
      </c>
      <c r="I290" s="101" t="s">
        <v>5352</v>
      </c>
      <c r="J290" s="105"/>
      <c r="K290" s="27"/>
      <c r="L290" s="29" t="s">
        <v>5353</v>
      </c>
      <c r="M290" s="27"/>
      <c r="N290" s="27"/>
      <c r="O290" s="27"/>
      <c r="P290" s="27"/>
      <c r="Q290" s="27"/>
      <c r="R290" s="27"/>
      <c r="S290" s="27"/>
    </row>
    <row r="291">
      <c r="A291" s="4"/>
      <c r="B291" s="4" t="s">
        <v>220</v>
      </c>
      <c r="C291" s="4" t="s">
        <v>5354</v>
      </c>
      <c r="D291" s="4" t="s">
        <v>87</v>
      </c>
      <c r="E291" s="4" t="s">
        <v>87</v>
      </c>
      <c r="F291" s="27"/>
      <c r="G291" s="27"/>
      <c r="H291" s="101" t="s">
        <v>5355</v>
      </c>
      <c r="I291" s="29" t="s">
        <v>5356</v>
      </c>
      <c r="J291" s="29" t="s">
        <v>5357</v>
      </c>
      <c r="K291" s="27"/>
      <c r="L291" s="27"/>
      <c r="M291" s="27"/>
      <c r="N291" s="27"/>
      <c r="O291" s="27"/>
      <c r="P291" s="27"/>
      <c r="Q291" s="27"/>
      <c r="R291" s="27"/>
      <c r="S291" s="27"/>
    </row>
    <row r="292">
      <c r="A292" s="4"/>
      <c r="B292" s="4" t="s">
        <v>220</v>
      </c>
      <c r="C292" s="4" t="s">
        <v>5358</v>
      </c>
      <c r="D292" s="4" t="s">
        <v>87</v>
      </c>
      <c r="E292" s="4" t="s">
        <v>87</v>
      </c>
      <c r="F292" s="27"/>
      <c r="G292" s="27"/>
      <c r="H292" s="101" t="s">
        <v>5359</v>
      </c>
      <c r="I292" s="29" t="s">
        <v>5360</v>
      </c>
      <c r="J292" s="27"/>
      <c r="K292" s="27"/>
      <c r="L292" s="27"/>
      <c r="M292" s="27"/>
      <c r="N292" s="27"/>
      <c r="O292" s="27"/>
      <c r="P292" s="27"/>
      <c r="Q292" s="27"/>
      <c r="R292" s="27"/>
      <c r="S292" s="27"/>
    </row>
    <row r="293">
      <c r="A293" s="32">
        <v>31559.0</v>
      </c>
      <c r="B293" s="4" t="s">
        <v>20</v>
      </c>
      <c r="C293" s="4" t="s">
        <v>5361</v>
      </c>
      <c r="D293" s="4" t="s">
        <v>87</v>
      </c>
      <c r="E293" s="4" t="s">
        <v>87</v>
      </c>
      <c r="F293" s="27"/>
      <c r="G293" s="27"/>
      <c r="H293" s="110"/>
      <c r="I293" s="27"/>
      <c r="J293" s="27"/>
      <c r="K293" s="32" t="s">
        <v>4926</v>
      </c>
      <c r="L293" s="29" t="s">
        <v>5362</v>
      </c>
      <c r="M293" s="27"/>
      <c r="N293" s="27"/>
      <c r="O293" s="27"/>
      <c r="P293" s="27"/>
      <c r="Q293" s="27"/>
      <c r="R293" s="27"/>
      <c r="S293" s="27"/>
    </row>
    <row r="294">
      <c r="A294" s="32">
        <v>32122.0</v>
      </c>
      <c r="B294" s="4" t="s">
        <v>5363</v>
      </c>
      <c r="C294" s="4" t="s">
        <v>5364</v>
      </c>
      <c r="D294" s="4" t="s">
        <v>87</v>
      </c>
      <c r="E294" s="4" t="s">
        <v>87</v>
      </c>
      <c r="F294" s="27"/>
      <c r="G294" s="27"/>
      <c r="H294" s="101" t="s">
        <v>5365</v>
      </c>
      <c r="I294" s="27"/>
      <c r="J294" s="43" t="s">
        <v>5366</v>
      </c>
      <c r="K294" s="27"/>
      <c r="L294" s="27"/>
      <c r="M294" s="27"/>
      <c r="N294" s="27"/>
      <c r="O294" s="27"/>
      <c r="P294" s="27"/>
      <c r="Q294" s="27"/>
      <c r="R294" s="27"/>
      <c r="S294" s="27"/>
    </row>
    <row r="295">
      <c r="A295" s="27"/>
      <c r="B295" s="4" t="s">
        <v>220</v>
      </c>
      <c r="C295" s="4" t="s">
        <v>5367</v>
      </c>
      <c r="D295" s="4" t="s">
        <v>87</v>
      </c>
      <c r="E295" s="4" t="s">
        <v>87</v>
      </c>
      <c r="F295" s="27"/>
      <c r="G295" s="27"/>
      <c r="H295" s="101" t="s">
        <v>5368</v>
      </c>
      <c r="I295" s="101" t="s">
        <v>5369</v>
      </c>
      <c r="J295" s="105"/>
      <c r="K295" s="27"/>
      <c r="L295" s="27"/>
      <c r="M295" s="27"/>
      <c r="N295" s="27"/>
      <c r="O295" s="27"/>
      <c r="P295" s="27"/>
      <c r="Q295" s="27"/>
      <c r="R295" s="27"/>
      <c r="S295" s="27"/>
    </row>
    <row r="296">
      <c r="A296" s="32"/>
      <c r="B296" s="4" t="s">
        <v>5370</v>
      </c>
      <c r="C296" s="4" t="s">
        <v>5371</v>
      </c>
      <c r="D296" s="4" t="s">
        <v>87</v>
      </c>
      <c r="E296" s="4" t="s">
        <v>87</v>
      </c>
      <c r="F296" s="27"/>
      <c r="G296" s="27"/>
      <c r="H296" s="103"/>
      <c r="I296" s="27"/>
      <c r="J296" s="29" t="s">
        <v>1514</v>
      </c>
      <c r="K296" s="27"/>
      <c r="L296" s="27"/>
      <c r="M296" s="27"/>
      <c r="N296" s="27"/>
      <c r="O296" s="27"/>
      <c r="P296" s="27"/>
      <c r="Q296" s="27"/>
      <c r="R296" s="27"/>
      <c r="S296" s="27"/>
    </row>
    <row r="297">
      <c r="A297" s="111"/>
      <c r="C297" s="8" t="s">
        <v>5372</v>
      </c>
      <c r="D297" s="8" t="s">
        <v>87</v>
      </c>
      <c r="E297" s="8" t="s">
        <v>87</v>
      </c>
      <c r="H297" s="112"/>
      <c r="J297" s="113" t="s">
        <v>5373</v>
      </c>
    </row>
    <row r="298">
      <c r="A298" s="114"/>
      <c r="B298" s="115"/>
      <c r="C298" s="115" t="s">
        <v>5374</v>
      </c>
      <c r="D298" s="116" t="s">
        <v>87</v>
      </c>
      <c r="E298" s="8" t="s">
        <v>87</v>
      </c>
      <c r="H298" s="112"/>
      <c r="J298" s="12" t="s">
        <v>5375</v>
      </c>
    </row>
    <row r="299">
      <c r="A299" s="111"/>
      <c r="B299" s="8" t="s">
        <v>1489</v>
      </c>
      <c r="C299" s="8" t="s">
        <v>5376</v>
      </c>
      <c r="D299" s="8" t="s">
        <v>87</v>
      </c>
      <c r="E299" s="8" t="s">
        <v>87</v>
      </c>
      <c r="H299" s="112"/>
      <c r="J299" s="12" t="s">
        <v>5377</v>
      </c>
    </row>
    <row r="300" ht="16.5" customHeight="1">
      <c r="A300" s="111"/>
      <c r="B300" s="8" t="s">
        <v>20</v>
      </c>
      <c r="C300" s="8" t="s">
        <v>5378</v>
      </c>
      <c r="D300" s="8" t="s">
        <v>87</v>
      </c>
      <c r="E300" s="8" t="s">
        <v>87</v>
      </c>
      <c r="H300" s="112"/>
      <c r="J300" s="12" t="s">
        <v>5379</v>
      </c>
    </row>
    <row r="301">
      <c r="B301" s="8" t="s">
        <v>1489</v>
      </c>
      <c r="C301" s="8" t="s">
        <v>5380</v>
      </c>
      <c r="D301" s="8" t="s">
        <v>87</v>
      </c>
      <c r="E301" s="8" t="s">
        <v>87</v>
      </c>
      <c r="H301" s="117" t="s">
        <v>5381</v>
      </c>
      <c r="J301" s="12" t="s">
        <v>5382</v>
      </c>
    </row>
    <row r="302">
      <c r="B302" s="8" t="s">
        <v>20</v>
      </c>
      <c r="C302" s="8" t="s">
        <v>5383</v>
      </c>
      <c r="D302" s="8" t="s">
        <v>87</v>
      </c>
      <c r="E302" s="8" t="s">
        <v>87</v>
      </c>
      <c r="H302" s="112"/>
      <c r="J302" s="12" t="s">
        <v>5384</v>
      </c>
    </row>
    <row r="303">
      <c r="B303" s="8" t="s">
        <v>17</v>
      </c>
      <c r="C303" s="8" t="s">
        <v>5385</v>
      </c>
      <c r="D303" s="8" t="s">
        <v>87</v>
      </c>
      <c r="E303" s="8" t="s">
        <v>87</v>
      </c>
      <c r="H303" s="112"/>
      <c r="J303" s="12" t="s">
        <v>5386</v>
      </c>
    </row>
    <row r="304">
      <c r="B304" s="8" t="s">
        <v>17</v>
      </c>
      <c r="C304" s="118" t="s">
        <v>5387</v>
      </c>
      <c r="D304" s="8" t="s">
        <v>87</v>
      </c>
      <c r="E304" s="8" t="s">
        <v>87</v>
      </c>
      <c r="H304" s="112"/>
      <c r="J304" s="12" t="s">
        <v>5388</v>
      </c>
    </row>
    <row r="305">
      <c r="B305" s="8" t="s">
        <v>20</v>
      </c>
      <c r="C305" s="8" t="s">
        <v>5389</v>
      </c>
      <c r="D305" s="8" t="s">
        <v>87</v>
      </c>
      <c r="E305" s="8" t="s">
        <v>87</v>
      </c>
      <c r="H305" s="112"/>
      <c r="J305" s="12" t="s">
        <v>5390</v>
      </c>
    </row>
    <row r="306">
      <c r="B306" s="8" t="s">
        <v>20</v>
      </c>
      <c r="C306" s="8" t="s">
        <v>5129</v>
      </c>
      <c r="D306" s="8" t="s">
        <v>87</v>
      </c>
      <c r="E306" s="8" t="s">
        <v>87</v>
      </c>
      <c r="H306" s="117" t="s">
        <v>5130</v>
      </c>
      <c r="I306" s="9" t="s">
        <v>5391</v>
      </c>
      <c r="J306" s="12" t="s">
        <v>5131</v>
      </c>
    </row>
    <row r="307">
      <c r="B307" s="8" t="s">
        <v>20</v>
      </c>
      <c r="C307" s="8" t="s">
        <v>5392</v>
      </c>
      <c r="D307" s="8" t="s">
        <v>87</v>
      </c>
      <c r="E307" s="8" t="s">
        <v>87</v>
      </c>
      <c r="H307" s="112"/>
      <c r="J307" s="12" t="s">
        <v>5393</v>
      </c>
    </row>
    <row r="308">
      <c r="B308" s="8" t="s">
        <v>20</v>
      </c>
      <c r="C308" s="8" t="s">
        <v>5394</v>
      </c>
      <c r="D308" s="8" t="s">
        <v>87</v>
      </c>
      <c r="E308" s="8" t="s">
        <v>87</v>
      </c>
      <c r="H308" s="112"/>
      <c r="J308" s="12" t="s">
        <v>5395</v>
      </c>
    </row>
    <row r="309">
      <c r="B309" s="8" t="s">
        <v>20</v>
      </c>
      <c r="C309" s="8" t="s">
        <v>39</v>
      </c>
      <c r="D309" s="8" t="s">
        <v>87</v>
      </c>
      <c r="E309" s="8" t="s">
        <v>87</v>
      </c>
      <c r="H309" s="112"/>
      <c r="J309" s="12" t="s">
        <v>5396</v>
      </c>
    </row>
    <row r="310">
      <c r="B310" s="8" t="s">
        <v>20</v>
      </c>
      <c r="C310" s="8" t="s">
        <v>341</v>
      </c>
      <c r="D310" s="8" t="s">
        <v>87</v>
      </c>
      <c r="E310" s="8" t="s">
        <v>87</v>
      </c>
      <c r="H310" s="112"/>
      <c r="J310" s="12" t="s">
        <v>5397</v>
      </c>
    </row>
    <row r="311">
      <c r="B311" s="8" t="s">
        <v>20</v>
      </c>
      <c r="C311" s="8" t="s">
        <v>5398</v>
      </c>
      <c r="D311" s="8" t="s">
        <v>87</v>
      </c>
      <c r="E311" s="8" t="s">
        <v>87</v>
      </c>
      <c r="H311" s="112"/>
      <c r="J311" s="12" t="s">
        <v>5399</v>
      </c>
    </row>
    <row r="312">
      <c r="B312" s="8" t="s">
        <v>276</v>
      </c>
      <c r="C312" s="8" t="s">
        <v>5400</v>
      </c>
      <c r="D312" s="8" t="s">
        <v>87</v>
      </c>
      <c r="E312" s="8" t="s">
        <v>87</v>
      </c>
      <c r="H312" s="112"/>
      <c r="J312" s="12" t="s">
        <v>5401</v>
      </c>
    </row>
    <row r="313">
      <c r="B313" s="8" t="s">
        <v>20</v>
      </c>
      <c r="C313" s="8" t="s">
        <v>2212</v>
      </c>
      <c r="D313" s="8" t="s">
        <v>87</v>
      </c>
      <c r="E313" s="8" t="s">
        <v>87</v>
      </c>
      <c r="H313" s="117" t="s">
        <v>5402</v>
      </c>
      <c r="J313" s="12" t="s">
        <v>5403</v>
      </c>
    </row>
    <row r="314">
      <c r="B314" s="8" t="s">
        <v>17</v>
      </c>
      <c r="C314" s="8" t="s">
        <v>5404</v>
      </c>
      <c r="D314" s="8" t="s">
        <v>87</v>
      </c>
      <c r="E314" s="8" t="s">
        <v>87</v>
      </c>
      <c r="H314" s="112"/>
      <c r="J314" s="12" t="s">
        <v>5405</v>
      </c>
    </row>
    <row r="315">
      <c r="B315" s="8" t="s">
        <v>20</v>
      </c>
      <c r="C315" s="8" t="s">
        <v>1189</v>
      </c>
      <c r="D315" s="8" t="s">
        <v>87</v>
      </c>
      <c r="E315" s="8" t="s">
        <v>87</v>
      </c>
      <c r="H315" s="112"/>
      <c r="J315" s="119" t="s">
        <v>5406</v>
      </c>
    </row>
    <row r="316">
      <c r="B316" s="8" t="s">
        <v>20</v>
      </c>
      <c r="C316" s="8" t="s">
        <v>5407</v>
      </c>
      <c r="D316" s="8" t="s">
        <v>87</v>
      </c>
      <c r="E316" s="8" t="s">
        <v>87</v>
      </c>
      <c r="H316" s="112"/>
      <c r="J316" s="12" t="s">
        <v>5408</v>
      </c>
    </row>
    <row r="317">
      <c r="B317" s="8" t="s">
        <v>20</v>
      </c>
      <c r="C317" s="8" t="s">
        <v>5226</v>
      </c>
      <c r="D317" s="8" t="s">
        <v>87</v>
      </c>
      <c r="E317" s="8" t="s">
        <v>87</v>
      </c>
      <c r="H317" s="112"/>
      <c r="J317" s="12" t="s">
        <v>5409</v>
      </c>
    </row>
    <row r="318">
      <c r="B318" s="8" t="s">
        <v>20</v>
      </c>
      <c r="C318" s="8" t="s">
        <v>804</v>
      </c>
      <c r="D318" s="8" t="s">
        <v>87</v>
      </c>
      <c r="E318" s="8" t="s">
        <v>87</v>
      </c>
      <c r="H318" s="112"/>
      <c r="J318" s="12" t="s">
        <v>5410</v>
      </c>
    </row>
    <row r="319">
      <c r="B319" s="8" t="s">
        <v>276</v>
      </c>
      <c r="C319" s="8" t="s">
        <v>5411</v>
      </c>
      <c r="D319" s="8" t="s">
        <v>87</v>
      </c>
      <c r="E319" s="8" t="s">
        <v>87</v>
      </c>
      <c r="H319" s="112"/>
      <c r="J319" s="12" t="s">
        <v>5412</v>
      </c>
    </row>
    <row r="320">
      <c r="B320" s="8" t="s">
        <v>20</v>
      </c>
      <c r="C320" s="8" t="s">
        <v>5170</v>
      </c>
      <c r="D320" s="8" t="s">
        <v>87</v>
      </c>
      <c r="E320" s="8" t="s">
        <v>87</v>
      </c>
      <c r="H320" s="112"/>
      <c r="J320" s="12" t="s">
        <v>5413</v>
      </c>
    </row>
    <row r="321">
      <c r="B321" s="8" t="s">
        <v>20</v>
      </c>
      <c r="C321" s="8" t="s">
        <v>5414</v>
      </c>
      <c r="D321" s="8" t="s">
        <v>87</v>
      </c>
      <c r="E321" s="8" t="s">
        <v>87</v>
      </c>
      <c r="H321" s="112"/>
      <c r="J321" s="12" t="s">
        <v>5415</v>
      </c>
    </row>
    <row r="322">
      <c r="B322" s="8" t="s">
        <v>276</v>
      </c>
      <c r="C322" s="8" t="s">
        <v>292</v>
      </c>
      <c r="D322" s="8" t="s">
        <v>87</v>
      </c>
      <c r="E322" s="8" t="s">
        <v>87</v>
      </c>
      <c r="H322" s="112"/>
      <c r="J322" s="12" t="s">
        <v>5416</v>
      </c>
    </row>
    <row r="323">
      <c r="B323" s="8" t="s">
        <v>276</v>
      </c>
      <c r="C323" s="8" t="s">
        <v>5417</v>
      </c>
      <c r="D323" s="8" t="s">
        <v>87</v>
      </c>
      <c r="E323" s="8" t="s">
        <v>87</v>
      </c>
      <c r="H323" s="112"/>
      <c r="J323" s="12" t="s">
        <v>5418</v>
      </c>
    </row>
    <row r="324">
      <c r="B324" s="8" t="s">
        <v>20</v>
      </c>
      <c r="C324" s="8" t="s">
        <v>5326</v>
      </c>
      <c r="D324" s="8" t="s">
        <v>87</v>
      </c>
      <c r="E324" s="8" t="s">
        <v>87</v>
      </c>
      <c r="H324" s="112"/>
      <c r="J324" s="12" t="s">
        <v>5419</v>
      </c>
    </row>
    <row r="325">
      <c r="B325" s="8" t="s">
        <v>276</v>
      </c>
      <c r="C325" s="8" t="s">
        <v>5420</v>
      </c>
      <c r="D325" s="8" t="s">
        <v>87</v>
      </c>
      <c r="E325" s="8" t="s">
        <v>5421</v>
      </c>
      <c r="H325" s="112"/>
      <c r="J325" s="12" t="s">
        <v>5422</v>
      </c>
    </row>
    <row r="326">
      <c r="C326" s="8"/>
      <c r="H326" s="112"/>
    </row>
    <row r="327">
      <c r="C327" s="8"/>
      <c r="H327" s="112"/>
    </row>
    <row r="328">
      <c r="C328" s="8"/>
      <c r="H328" s="112"/>
    </row>
    <row r="329">
      <c r="C329" s="8"/>
      <c r="H329" s="112"/>
    </row>
    <row r="330">
      <c r="C330" s="8"/>
      <c r="H330" s="112"/>
    </row>
    <row r="331">
      <c r="C331" s="8"/>
      <c r="H331" s="112"/>
    </row>
    <row r="332">
      <c r="C332" s="8"/>
      <c r="H332" s="112"/>
    </row>
    <row r="333">
      <c r="C333" s="8"/>
      <c r="H333" s="112"/>
    </row>
    <row r="334">
      <c r="C334" s="8"/>
      <c r="H334" s="112"/>
    </row>
    <row r="335">
      <c r="C335" s="8"/>
      <c r="H335" s="112"/>
    </row>
    <row r="336">
      <c r="C336" s="8"/>
      <c r="H336" s="112"/>
    </row>
    <row r="337">
      <c r="C337" s="8"/>
      <c r="H337" s="112"/>
    </row>
    <row r="338">
      <c r="C338" s="8"/>
      <c r="H338" s="112"/>
    </row>
    <row r="339">
      <c r="C339" s="8"/>
      <c r="H339" s="112"/>
    </row>
    <row r="340">
      <c r="C340" s="8"/>
      <c r="H340" s="112"/>
    </row>
    <row r="341">
      <c r="C341" s="8"/>
      <c r="H341" s="112"/>
    </row>
    <row r="342">
      <c r="C342" s="8"/>
      <c r="H342" s="112"/>
    </row>
    <row r="343">
      <c r="C343" s="8"/>
      <c r="H343" s="112"/>
    </row>
    <row r="344">
      <c r="C344" s="8"/>
      <c r="H344" s="112"/>
    </row>
    <row r="345">
      <c r="C345" s="8"/>
      <c r="H345" s="112"/>
    </row>
    <row r="346">
      <c r="C346" s="8"/>
      <c r="H346" s="112"/>
    </row>
    <row r="347">
      <c r="C347" s="8"/>
      <c r="H347" s="112"/>
    </row>
    <row r="348">
      <c r="C348" s="8"/>
      <c r="H348" s="112"/>
    </row>
    <row r="349">
      <c r="C349" s="8"/>
      <c r="H349" s="112"/>
    </row>
    <row r="350">
      <c r="C350" s="8"/>
      <c r="H350" s="112"/>
    </row>
    <row r="351">
      <c r="C351" s="8"/>
      <c r="H351" s="112"/>
    </row>
    <row r="352">
      <c r="C352" s="8"/>
      <c r="H352" s="112"/>
    </row>
    <row r="353">
      <c r="C353" s="8"/>
      <c r="H353" s="112"/>
    </row>
    <row r="354">
      <c r="C354" s="8"/>
      <c r="H354" s="112"/>
    </row>
    <row r="355">
      <c r="C355" s="8"/>
      <c r="H355" s="112"/>
    </row>
    <row r="356">
      <c r="C356" s="8"/>
      <c r="H356" s="112"/>
    </row>
    <row r="357">
      <c r="C357" s="8"/>
      <c r="H357" s="112"/>
    </row>
    <row r="358">
      <c r="C358" s="8"/>
      <c r="H358" s="112"/>
    </row>
    <row r="359">
      <c r="C359" s="8"/>
      <c r="H359" s="112"/>
    </row>
    <row r="360">
      <c r="C360" s="8"/>
      <c r="H360" s="112"/>
    </row>
    <row r="361">
      <c r="C361" s="8"/>
      <c r="H361" s="112"/>
    </row>
    <row r="362">
      <c r="C362" s="8"/>
      <c r="H362" s="112"/>
    </row>
    <row r="363">
      <c r="C363" s="8"/>
      <c r="H363" s="112"/>
    </row>
    <row r="364">
      <c r="C364" s="8"/>
      <c r="H364" s="112"/>
    </row>
    <row r="365">
      <c r="C365" s="8"/>
      <c r="H365" s="112"/>
    </row>
    <row r="366">
      <c r="C366" s="8"/>
      <c r="H366" s="112"/>
    </row>
    <row r="367">
      <c r="C367" s="8"/>
      <c r="H367" s="112"/>
    </row>
    <row r="368">
      <c r="C368" s="8"/>
      <c r="H368" s="112"/>
    </row>
    <row r="369">
      <c r="C369" s="8"/>
      <c r="H369" s="112"/>
    </row>
    <row r="370">
      <c r="C370" s="8"/>
      <c r="H370" s="112"/>
    </row>
    <row r="371">
      <c r="C371" s="8"/>
      <c r="H371" s="112"/>
    </row>
    <row r="372">
      <c r="C372" s="8"/>
      <c r="H372" s="112"/>
    </row>
    <row r="373">
      <c r="C373" s="8"/>
      <c r="H373" s="112"/>
    </row>
    <row r="374">
      <c r="C374" s="8"/>
      <c r="H374" s="112"/>
    </row>
    <row r="375">
      <c r="C375" s="8"/>
      <c r="H375" s="112"/>
    </row>
    <row r="376">
      <c r="C376" s="8"/>
      <c r="H376" s="112"/>
    </row>
    <row r="377">
      <c r="C377" s="8"/>
      <c r="H377" s="112"/>
    </row>
    <row r="378">
      <c r="C378" s="8"/>
      <c r="H378" s="112"/>
    </row>
    <row r="379">
      <c r="C379" s="8"/>
      <c r="H379" s="112"/>
    </row>
    <row r="380">
      <c r="C380" s="8"/>
      <c r="H380" s="112"/>
    </row>
    <row r="381">
      <c r="C381" s="8"/>
      <c r="H381" s="112"/>
    </row>
    <row r="382">
      <c r="C382" s="8"/>
      <c r="H382" s="112"/>
    </row>
    <row r="383">
      <c r="C383" s="8"/>
      <c r="H383" s="112"/>
    </row>
    <row r="384">
      <c r="C384" s="8"/>
      <c r="H384" s="112"/>
    </row>
    <row r="385">
      <c r="C385" s="8"/>
      <c r="H385" s="112"/>
    </row>
    <row r="386">
      <c r="C386" s="8"/>
      <c r="H386" s="112"/>
    </row>
    <row r="387">
      <c r="C387" s="8"/>
      <c r="H387" s="112"/>
    </row>
    <row r="388">
      <c r="C388" s="8"/>
      <c r="H388" s="112"/>
    </row>
    <row r="389">
      <c r="C389" s="8"/>
      <c r="H389" s="112"/>
    </row>
    <row r="390">
      <c r="C390" s="8"/>
      <c r="H390" s="112"/>
    </row>
    <row r="391">
      <c r="C391" s="8"/>
      <c r="H391" s="112"/>
    </row>
    <row r="392">
      <c r="C392" s="8"/>
      <c r="H392" s="112"/>
    </row>
    <row r="393">
      <c r="C393" s="8"/>
      <c r="H393" s="112"/>
    </row>
    <row r="394">
      <c r="C394" s="8"/>
      <c r="H394" s="112"/>
    </row>
    <row r="395">
      <c r="C395" s="8"/>
      <c r="H395" s="112"/>
    </row>
    <row r="396">
      <c r="C396" s="8"/>
      <c r="H396" s="112"/>
    </row>
    <row r="397">
      <c r="C397" s="8"/>
      <c r="H397" s="112"/>
    </row>
    <row r="398">
      <c r="C398" s="8"/>
      <c r="H398" s="112"/>
    </row>
    <row r="399">
      <c r="C399" s="8"/>
      <c r="H399" s="112"/>
    </row>
    <row r="400">
      <c r="C400" s="8"/>
      <c r="H400" s="112"/>
    </row>
    <row r="401">
      <c r="C401" s="8"/>
      <c r="H401" s="112"/>
    </row>
    <row r="402">
      <c r="C402" s="8"/>
      <c r="H402" s="112"/>
    </row>
    <row r="403">
      <c r="C403" s="8"/>
      <c r="H403" s="112"/>
    </row>
    <row r="404">
      <c r="C404" s="8"/>
      <c r="H404" s="112"/>
    </row>
    <row r="405">
      <c r="C405" s="8"/>
      <c r="H405" s="112"/>
    </row>
    <row r="406">
      <c r="C406" s="8"/>
      <c r="H406" s="112"/>
    </row>
    <row r="407">
      <c r="C407" s="8"/>
      <c r="H407" s="112"/>
    </row>
    <row r="408">
      <c r="C408" s="8"/>
      <c r="H408" s="112"/>
    </row>
    <row r="409">
      <c r="C409" s="8"/>
      <c r="H409" s="112"/>
    </row>
    <row r="410">
      <c r="C410" s="8"/>
      <c r="H410" s="112"/>
    </row>
    <row r="411">
      <c r="C411" s="8"/>
      <c r="H411" s="112"/>
    </row>
    <row r="412">
      <c r="C412" s="8"/>
      <c r="H412" s="112"/>
    </row>
    <row r="413">
      <c r="C413" s="8"/>
      <c r="H413" s="112"/>
    </row>
    <row r="414">
      <c r="C414" s="8"/>
      <c r="H414" s="112"/>
    </row>
    <row r="415">
      <c r="C415" s="8"/>
      <c r="H415" s="112"/>
    </row>
    <row r="416">
      <c r="C416" s="8"/>
      <c r="H416" s="112"/>
    </row>
    <row r="417">
      <c r="C417" s="8"/>
      <c r="H417" s="112"/>
    </row>
    <row r="418">
      <c r="C418" s="8"/>
      <c r="H418" s="112"/>
    </row>
    <row r="419">
      <c r="C419" s="8"/>
      <c r="H419" s="112"/>
    </row>
    <row r="420">
      <c r="C420" s="8"/>
      <c r="H420" s="112"/>
    </row>
    <row r="421">
      <c r="C421" s="8"/>
      <c r="H421" s="112"/>
    </row>
    <row r="422">
      <c r="C422" s="8"/>
      <c r="H422" s="112"/>
    </row>
    <row r="423">
      <c r="C423" s="8"/>
      <c r="H423" s="112"/>
    </row>
    <row r="424">
      <c r="C424" s="8"/>
      <c r="H424" s="112"/>
    </row>
    <row r="425">
      <c r="C425" s="8"/>
      <c r="H425" s="112"/>
    </row>
    <row r="426">
      <c r="C426" s="8"/>
      <c r="H426" s="112"/>
    </row>
    <row r="427">
      <c r="C427" s="8"/>
      <c r="H427" s="112"/>
    </row>
    <row r="428">
      <c r="C428" s="8"/>
      <c r="H428" s="112"/>
    </row>
    <row r="429">
      <c r="C429" s="8"/>
      <c r="H429" s="112"/>
    </row>
    <row r="430">
      <c r="C430" s="8"/>
      <c r="H430" s="112"/>
    </row>
    <row r="431">
      <c r="C431" s="8"/>
      <c r="H431" s="112"/>
    </row>
    <row r="432">
      <c r="C432" s="8"/>
      <c r="H432" s="112"/>
    </row>
    <row r="433">
      <c r="C433" s="8"/>
      <c r="H433" s="112"/>
    </row>
    <row r="434">
      <c r="C434" s="8"/>
      <c r="H434" s="112"/>
    </row>
    <row r="435">
      <c r="C435" s="8"/>
      <c r="H435" s="112"/>
    </row>
    <row r="436">
      <c r="C436" s="8"/>
      <c r="H436" s="112"/>
    </row>
    <row r="437">
      <c r="C437" s="8"/>
      <c r="H437" s="112"/>
    </row>
    <row r="438">
      <c r="C438" s="8"/>
      <c r="H438" s="112"/>
    </row>
    <row r="439">
      <c r="C439" s="8"/>
      <c r="H439" s="112"/>
    </row>
    <row r="440">
      <c r="C440" s="8"/>
      <c r="H440" s="112"/>
    </row>
    <row r="441">
      <c r="C441" s="8"/>
      <c r="H441" s="112"/>
    </row>
    <row r="442">
      <c r="C442" s="8"/>
      <c r="H442" s="112"/>
    </row>
    <row r="443">
      <c r="C443" s="8"/>
      <c r="H443" s="112"/>
    </row>
    <row r="444">
      <c r="C444" s="8"/>
      <c r="H444" s="112"/>
    </row>
    <row r="445">
      <c r="C445" s="8"/>
      <c r="H445" s="112"/>
    </row>
    <row r="446">
      <c r="C446" s="8"/>
      <c r="H446" s="112"/>
    </row>
    <row r="447">
      <c r="C447" s="8"/>
      <c r="H447" s="112"/>
    </row>
    <row r="448">
      <c r="C448" s="8"/>
      <c r="H448" s="112"/>
    </row>
    <row r="449">
      <c r="C449" s="8"/>
      <c r="H449" s="112"/>
    </row>
    <row r="450">
      <c r="C450" s="8"/>
      <c r="H450" s="112"/>
    </row>
    <row r="451">
      <c r="C451" s="8"/>
      <c r="H451" s="112"/>
    </row>
    <row r="452">
      <c r="C452" s="8"/>
      <c r="H452" s="112"/>
    </row>
    <row r="453">
      <c r="C453" s="8"/>
      <c r="H453" s="112"/>
    </row>
    <row r="454">
      <c r="C454" s="8"/>
      <c r="H454" s="112"/>
    </row>
    <row r="455">
      <c r="C455" s="8"/>
      <c r="H455" s="112"/>
    </row>
    <row r="456">
      <c r="C456" s="8"/>
      <c r="H456" s="112"/>
    </row>
    <row r="457">
      <c r="C457" s="8"/>
      <c r="H457" s="112"/>
    </row>
    <row r="458">
      <c r="C458" s="8"/>
      <c r="H458" s="112"/>
    </row>
    <row r="459">
      <c r="C459" s="8"/>
      <c r="H459" s="112"/>
    </row>
    <row r="460">
      <c r="C460" s="8"/>
      <c r="H460" s="112"/>
    </row>
    <row r="461">
      <c r="C461" s="8"/>
      <c r="H461" s="112"/>
    </row>
    <row r="462">
      <c r="C462" s="8"/>
      <c r="H462" s="112"/>
    </row>
    <row r="463">
      <c r="C463" s="8"/>
      <c r="H463" s="112"/>
    </row>
    <row r="464">
      <c r="C464" s="8"/>
      <c r="H464" s="112"/>
    </row>
    <row r="465">
      <c r="C465" s="8"/>
      <c r="H465" s="112"/>
    </row>
    <row r="466">
      <c r="C466" s="8"/>
      <c r="H466" s="112"/>
    </row>
    <row r="467">
      <c r="C467" s="8"/>
      <c r="H467" s="112"/>
    </row>
    <row r="468">
      <c r="C468" s="8"/>
      <c r="H468" s="112"/>
    </row>
    <row r="469">
      <c r="C469" s="8"/>
      <c r="H469" s="112"/>
    </row>
    <row r="470">
      <c r="C470" s="8"/>
      <c r="H470" s="112"/>
    </row>
    <row r="471">
      <c r="C471" s="8"/>
      <c r="H471" s="112"/>
    </row>
    <row r="472">
      <c r="C472" s="8"/>
      <c r="H472" s="112"/>
    </row>
    <row r="473">
      <c r="C473" s="8"/>
      <c r="H473" s="112"/>
    </row>
    <row r="474">
      <c r="C474" s="8"/>
      <c r="H474" s="112"/>
    </row>
    <row r="475">
      <c r="C475" s="8"/>
      <c r="H475" s="112"/>
    </row>
    <row r="476">
      <c r="C476" s="8"/>
      <c r="H476" s="112"/>
    </row>
    <row r="477">
      <c r="C477" s="8"/>
      <c r="H477" s="112"/>
    </row>
    <row r="478">
      <c r="C478" s="8"/>
      <c r="H478" s="112"/>
    </row>
    <row r="479">
      <c r="C479" s="8"/>
      <c r="H479" s="112"/>
    </row>
    <row r="480">
      <c r="C480" s="8"/>
      <c r="H480" s="112"/>
    </row>
    <row r="481">
      <c r="C481" s="8"/>
      <c r="H481" s="112"/>
    </row>
    <row r="482">
      <c r="C482" s="8"/>
      <c r="H482" s="112"/>
    </row>
    <row r="483">
      <c r="C483" s="8"/>
      <c r="H483" s="112"/>
    </row>
    <row r="484">
      <c r="C484" s="8"/>
      <c r="H484" s="112"/>
    </row>
    <row r="485">
      <c r="C485" s="8"/>
      <c r="H485" s="112"/>
    </row>
    <row r="486">
      <c r="C486" s="8"/>
      <c r="H486" s="112"/>
    </row>
    <row r="487">
      <c r="C487" s="8"/>
      <c r="H487" s="112"/>
    </row>
    <row r="488">
      <c r="C488" s="8"/>
      <c r="H488" s="112"/>
    </row>
    <row r="489">
      <c r="C489" s="8"/>
      <c r="H489" s="112"/>
    </row>
    <row r="490">
      <c r="C490" s="8"/>
      <c r="H490" s="112"/>
    </row>
    <row r="491">
      <c r="C491" s="8"/>
      <c r="H491" s="112"/>
    </row>
    <row r="492">
      <c r="C492" s="8"/>
      <c r="H492" s="112"/>
    </row>
    <row r="493">
      <c r="C493" s="8"/>
      <c r="H493" s="112"/>
    </row>
    <row r="494">
      <c r="C494" s="8"/>
      <c r="H494" s="112"/>
    </row>
    <row r="495">
      <c r="C495" s="8"/>
      <c r="H495" s="112"/>
    </row>
    <row r="496">
      <c r="C496" s="8"/>
      <c r="H496" s="112"/>
    </row>
    <row r="497">
      <c r="C497" s="8"/>
      <c r="H497" s="112"/>
    </row>
    <row r="498">
      <c r="C498" s="8"/>
      <c r="H498" s="112"/>
    </row>
    <row r="499">
      <c r="C499" s="8"/>
      <c r="H499" s="112"/>
    </row>
    <row r="500">
      <c r="C500" s="8"/>
      <c r="H500" s="112"/>
    </row>
    <row r="501">
      <c r="C501" s="8"/>
      <c r="H501" s="112"/>
    </row>
    <row r="502">
      <c r="C502" s="8"/>
      <c r="H502" s="112"/>
    </row>
    <row r="503">
      <c r="C503" s="8"/>
      <c r="H503" s="112"/>
    </row>
    <row r="504">
      <c r="C504" s="8"/>
      <c r="H504" s="112"/>
    </row>
    <row r="505">
      <c r="C505" s="8"/>
      <c r="H505" s="112"/>
    </row>
    <row r="506">
      <c r="C506" s="8"/>
      <c r="H506" s="112"/>
    </row>
    <row r="507">
      <c r="C507" s="8"/>
      <c r="H507" s="112"/>
    </row>
    <row r="508">
      <c r="C508" s="8"/>
      <c r="H508" s="112"/>
    </row>
    <row r="509">
      <c r="C509" s="8"/>
      <c r="H509" s="112"/>
    </row>
    <row r="510">
      <c r="C510" s="8"/>
      <c r="H510" s="112"/>
    </row>
    <row r="511">
      <c r="C511" s="8"/>
      <c r="H511" s="112"/>
    </row>
    <row r="512">
      <c r="C512" s="8"/>
      <c r="H512" s="112"/>
    </row>
    <row r="513">
      <c r="C513" s="8"/>
      <c r="H513" s="112"/>
    </row>
    <row r="514">
      <c r="C514" s="8"/>
      <c r="H514" s="112"/>
    </row>
    <row r="515">
      <c r="C515" s="8"/>
      <c r="H515" s="112"/>
    </row>
    <row r="516">
      <c r="C516" s="8"/>
      <c r="H516" s="112"/>
    </row>
    <row r="517">
      <c r="C517" s="8"/>
      <c r="H517" s="112"/>
    </row>
    <row r="518">
      <c r="C518" s="8"/>
      <c r="H518" s="112"/>
    </row>
    <row r="519">
      <c r="C519" s="8"/>
      <c r="H519" s="112"/>
    </row>
    <row r="520">
      <c r="C520" s="8"/>
      <c r="H520" s="112"/>
    </row>
    <row r="521">
      <c r="C521" s="8"/>
      <c r="H521" s="112"/>
    </row>
    <row r="522">
      <c r="C522" s="8"/>
      <c r="H522" s="112"/>
    </row>
    <row r="523">
      <c r="C523" s="8"/>
      <c r="H523" s="112"/>
    </row>
    <row r="524">
      <c r="C524" s="8"/>
      <c r="H524" s="112"/>
    </row>
    <row r="525">
      <c r="C525" s="8"/>
      <c r="H525" s="112"/>
    </row>
    <row r="526">
      <c r="C526" s="8"/>
      <c r="H526" s="112"/>
    </row>
    <row r="527">
      <c r="C527" s="8"/>
      <c r="H527" s="112"/>
    </row>
    <row r="528">
      <c r="C528" s="8"/>
      <c r="H528" s="112"/>
    </row>
    <row r="529">
      <c r="C529" s="8"/>
      <c r="H529" s="112"/>
    </row>
    <row r="530">
      <c r="C530" s="8"/>
      <c r="H530" s="112"/>
    </row>
    <row r="531">
      <c r="C531" s="8"/>
      <c r="H531" s="112"/>
    </row>
    <row r="532">
      <c r="C532" s="8"/>
      <c r="H532" s="112"/>
    </row>
    <row r="533">
      <c r="C533" s="8"/>
      <c r="H533" s="112"/>
    </row>
    <row r="534">
      <c r="C534" s="8"/>
      <c r="H534" s="112"/>
    </row>
    <row r="535">
      <c r="C535" s="8"/>
      <c r="H535" s="112"/>
    </row>
    <row r="536">
      <c r="C536" s="8"/>
      <c r="H536" s="112"/>
    </row>
    <row r="537">
      <c r="C537" s="8"/>
      <c r="H537" s="112"/>
    </row>
    <row r="538">
      <c r="C538" s="8"/>
      <c r="H538" s="112"/>
    </row>
    <row r="539">
      <c r="C539" s="8"/>
      <c r="H539" s="112"/>
    </row>
    <row r="540">
      <c r="C540" s="8"/>
      <c r="H540" s="112"/>
    </row>
    <row r="541">
      <c r="C541" s="8"/>
      <c r="H541" s="112"/>
    </row>
    <row r="542">
      <c r="C542" s="8"/>
      <c r="H542" s="112"/>
    </row>
    <row r="543">
      <c r="C543" s="8"/>
      <c r="H543" s="112"/>
    </row>
    <row r="544">
      <c r="C544" s="8"/>
      <c r="H544" s="112"/>
    </row>
    <row r="545">
      <c r="C545" s="8"/>
      <c r="H545" s="112"/>
    </row>
    <row r="546">
      <c r="C546" s="8"/>
      <c r="H546" s="112"/>
    </row>
    <row r="547">
      <c r="C547" s="8"/>
      <c r="H547" s="112"/>
    </row>
    <row r="548">
      <c r="C548" s="8"/>
      <c r="H548" s="112"/>
    </row>
    <row r="549">
      <c r="C549" s="8"/>
      <c r="H549" s="112"/>
    </row>
    <row r="550">
      <c r="C550" s="8"/>
      <c r="H550" s="112"/>
    </row>
    <row r="551">
      <c r="C551" s="8"/>
      <c r="H551" s="112"/>
    </row>
    <row r="552">
      <c r="C552" s="8"/>
      <c r="H552" s="112"/>
    </row>
    <row r="553">
      <c r="C553" s="8"/>
      <c r="H553" s="112"/>
    </row>
    <row r="554">
      <c r="C554" s="8"/>
      <c r="H554" s="112"/>
    </row>
    <row r="555">
      <c r="C555" s="8"/>
      <c r="H555" s="112"/>
    </row>
    <row r="556">
      <c r="C556" s="8"/>
      <c r="H556" s="112"/>
    </row>
    <row r="557">
      <c r="C557" s="8"/>
      <c r="H557" s="112"/>
    </row>
    <row r="558">
      <c r="C558" s="8"/>
      <c r="H558" s="112"/>
    </row>
    <row r="559">
      <c r="C559" s="8"/>
      <c r="H559" s="112"/>
    </row>
    <row r="560">
      <c r="C560" s="8"/>
      <c r="H560" s="112"/>
    </row>
    <row r="561">
      <c r="C561" s="8"/>
      <c r="H561" s="112"/>
    </row>
    <row r="562">
      <c r="C562" s="8"/>
      <c r="H562" s="112"/>
    </row>
    <row r="563">
      <c r="C563" s="8"/>
      <c r="H563" s="112"/>
    </row>
    <row r="564">
      <c r="C564" s="8"/>
      <c r="H564" s="112"/>
    </row>
    <row r="565">
      <c r="C565" s="8"/>
      <c r="H565" s="112"/>
    </row>
    <row r="566">
      <c r="C566" s="8"/>
      <c r="H566" s="112"/>
    </row>
    <row r="567">
      <c r="C567" s="8"/>
      <c r="H567" s="112"/>
    </row>
    <row r="568">
      <c r="C568" s="8"/>
      <c r="H568" s="112"/>
    </row>
    <row r="569">
      <c r="C569" s="8"/>
      <c r="H569" s="112"/>
    </row>
    <row r="570">
      <c r="C570" s="8"/>
      <c r="H570" s="112"/>
    </row>
    <row r="571">
      <c r="C571" s="8"/>
      <c r="H571" s="112"/>
    </row>
    <row r="572">
      <c r="C572" s="8"/>
      <c r="H572" s="112"/>
    </row>
    <row r="573">
      <c r="C573" s="8"/>
      <c r="H573" s="112"/>
    </row>
    <row r="574">
      <c r="C574" s="8"/>
      <c r="H574" s="112"/>
    </row>
    <row r="575">
      <c r="C575" s="8"/>
      <c r="H575" s="112"/>
    </row>
    <row r="576">
      <c r="C576" s="8"/>
      <c r="H576" s="112"/>
    </row>
    <row r="577">
      <c r="C577" s="8"/>
      <c r="H577" s="112"/>
    </row>
    <row r="578">
      <c r="C578" s="8"/>
      <c r="H578" s="112"/>
    </row>
    <row r="579">
      <c r="C579" s="8"/>
      <c r="H579" s="112"/>
    </row>
    <row r="580">
      <c r="C580" s="8"/>
      <c r="H580" s="112"/>
    </row>
    <row r="581">
      <c r="C581" s="8"/>
      <c r="H581" s="112"/>
    </row>
    <row r="582">
      <c r="C582" s="8"/>
      <c r="H582" s="112"/>
    </row>
    <row r="583">
      <c r="C583" s="8"/>
      <c r="H583" s="112"/>
    </row>
    <row r="584">
      <c r="C584" s="8"/>
      <c r="H584" s="112"/>
    </row>
    <row r="585">
      <c r="C585" s="8"/>
      <c r="H585" s="112"/>
    </row>
    <row r="586">
      <c r="C586" s="8"/>
      <c r="H586" s="112"/>
    </row>
    <row r="587">
      <c r="C587" s="8"/>
      <c r="H587" s="112"/>
    </row>
    <row r="588">
      <c r="C588" s="8"/>
      <c r="H588" s="112"/>
    </row>
    <row r="589">
      <c r="C589" s="8"/>
      <c r="H589" s="112"/>
    </row>
    <row r="590">
      <c r="C590" s="8"/>
      <c r="H590" s="112"/>
    </row>
    <row r="591">
      <c r="C591" s="8"/>
      <c r="H591" s="112"/>
    </row>
    <row r="592">
      <c r="C592" s="8"/>
      <c r="H592" s="112"/>
    </row>
    <row r="593">
      <c r="C593" s="8"/>
      <c r="H593" s="112"/>
    </row>
    <row r="594">
      <c r="C594" s="8"/>
      <c r="H594" s="112"/>
    </row>
    <row r="595">
      <c r="C595" s="8"/>
      <c r="H595" s="112"/>
    </row>
    <row r="596">
      <c r="C596" s="8"/>
      <c r="H596" s="112"/>
    </row>
    <row r="597">
      <c r="C597" s="8"/>
      <c r="H597" s="112"/>
    </row>
    <row r="598">
      <c r="C598" s="8"/>
      <c r="H598" s="112"/>
    </row>
    <row r="599">
      <c r="C599" s="8"/>
      <c r="H599" s="112"/>
    </row>
    <row r="600">
      <c r="C600" s="8"/>
      <c r="H600" s="112"/>
    </row>
    <row r="601">
      <c r="C601" s="8"/>
      <c r="H601" s="112"/>
    </row>
    <row r="602">
      <c r="C602" s="8"/>
      <c r="H602" s="112"/>
    </row>
    <row r="603">
      <c r="C603" s="8"/>
      <c r="H603" s="112"/>
    </row>
    <row r="604">
      <c r="C604" s="8"/>
      <c r="H604" s="112"/>
    </row>
    <row r="605">
      <c r="C605" s="8"/>
      <c r="H605" s="112"/>
    </row>
    <row r="606">
      <c r="C606" s="8"/>
      <c r="H606" s="112"/>
    </row>
    <row r="607">
      <c r="C607" s="8"/>
      <c r="H607" s="112"/>
    </row>
    <row r="608">
      <c r="C608" s="8"/>
      <c r="H608" s="112"/>
    </row>
    <row r="609">
      <c r="C609" s="8"/>
      <c r="H609" s="112"/>
    </row>
    <row r="610">
      <c r="C610" s="8"/>
      <c r="H610" s="112"/>
    </row>
    <row r="611">
      <c r="C611" s="8"/>
      <c r="H611" s="112"/>
    </row>
    <row r="612">
      <c r="C612" s="8"/>
      <c r="H612" s="112"/>
    </row>
    <row r="613">
      <c r="C613" s="8"/>
      <c r="H613" s="112"/>
    </row>
    <row r="614">
      <c r="C614" s="8"/>
      <c r="H614" s="112"/>
    </row>
    <row r="615">
      <c r="C615" s="8"/>
      <c r="H615" s="112"/>
    </row>
    <row r="616">
      <c r="C616" s="8"/>
      <c r="H616" s="112"/>
    </row>
    <row r="617">
      <c r="C617" s="8"/>
      <c r="H617" s="112"/>
    </row>
    <row r="618">
      <c r="C618" s="8"/>
      <c r="H618" s="112"/>
    </row>
    <row r="619">
      <c r="C619" s="8"/>
      <c r="H619" s="112"/>
    </row>
    <row r="620">
      <c r="C620" s="8"/>
      <c r="H620" s="112"/>
    </row>
    <row r="621">
      <c r="C621" s="8"/>
      <c r="H621" s="112"/>
    </row>
    <row r="622">
      <c r="C622" s="8"/>
      <c r="H622" s="112"/>
    </row>
    <row r="623">
      <c r="C623" s="8"/>
      <c r="H623" s="112"/>
    </row>
    <row r="624">
      <c r="C624" s="8"/>
      <c r="H624" s="112"/>
    </row>
    <row r="625">
      <c r="C625" s="8"/>
      <c r="H625" s="112"/>
    </row>
    <row r="626">
      <c r="C626" s="8"/>
      <c r="H626" s="112"/>
    </row>
    <row r="627">
      <c r="C627" s="8"/>
      <c r="H627" s="112"/>
    </row>
    <row r="628">
      <c r="C628" s="8"/>
      <c r="H628" s="112"/>
    </row>
    <row r="629">
      <c r="C629" s="8"/>
      <c r="H629" s="112"/>
    </row>
    <row r="630">
      <c r="C630" s="8"/>
      <c r="H630" s="112"/>
    </row>
    <row r="631">
      <c r="C631" s="8"/>
      <c r="H631" s="112"/>
    </row>
    <row r="632">
      <c r="C632" s="8"/>
      <c r="H632" s="112"/>
    </row>
    <row r="633">
      <c r="C633" s="8"/>
      <c r="H633" s="112"/>
    </row>
    <row r="634">
      <c r="C634" s="8"/>
      <c r="H634" s="112"/>
    </row>
    <row r="635">
      <c r="C635" s="8"/>
      <c r="H635" s="112"/>
    </row>
    <row r="636">
      <c r="C636" s="8"/>
      <c r="H636" s="112"/>
    </row>
    <row r="637">
      <c r="C637" s="8"/>
      <c r="H637" s="112"/>
    </row>
    <row r="638">
      <c r="C638" s="8"/>
      <c r="H638" s="112"/>
    </row>
    <row r="639">
      <c r="C639" s="8"/>
      <c r="H639" s="112"/>
    </row>
    <row r="640">
      <c r="C640" s="8"/>
      <c r="H640" s="112"/>
    </row>
    <row r="641">
      <c r="C641" s="8"/>
      <c r="H641" s="112"/>
    </row>
    <row r="642">
      <c r="C642" s="8"/>
      <c r="H642" s="112"/>
    </row>
    <row r="643">
      <c r="C643" s="8"/>
      <c r="H643" s="112"/>
    </row>
    <row r="644">
      <c r="C644" s="8"/>
      <c r="H644" s="112"/>
    </row>
    <row r="645">
      <c r="C645" s="8"/>
      <c r="H645" s="112"/>
    </row>
    <row r="646">
      <c r="C646" s="8"/>
      <c r="H646" s="112"/>
    </row>
    <row r="647">
      <c r="C647" s="8"/>
      <c r="H647" s="112"/>
    </row>
    <row r="648">
      <c r="C648" s="8"/>
      <c r="H648" s="112"/>
    </row>
    <row r="649">
      <c r="C649" s="8"/>
      <c r="H649" s="112"/>
    </row>
    <row r="650">
      <c r="C650" s="8"/>
      <c r="H650" s="112"/>
    </row>
    <row r="651">
      <c r="C651" s="8"/>
      <c r="H651" s="112"/>
    </row>
    <row r="652">
      <c r="C652" s="8"/>
      <c r="H652" s="112"/>
    </row>
    <row r="653">
      <c r="C653" s="8"/>
      <c r="H653" s="112"/>
    </row>
    <row r="654">
      <c r="C654" s="8"/>
      <c r="H654" s="112"/>
    </row>
    <row r="655">
      <c r="C655" s="8"/>
      <c r="H655" s="112"/>
    </row>
    <row r="656">
      <c r="C656" s="8"/>
      <c r="H656" s="112"/>
    </row>
    <row r="657">
      <c r="C657" s="8"/>
      <c r="H657" s="112"/>
    </row>
    <row r="658">
      <c r="C658" s="8"/>
      <c r="H658" s="112"/>
    </row>
    <row r="659">
      <c r="C659" s="8"/>
      <c r="H659" s="112"/>
    </row>
    <row r="660">
      <c r="C660" s="8"/>
      <c r="H660" s="112"/>
    </row>
    <row r="661">
      <c r="C661" s="8"/>
      <c r="H661" s="112"/>
    </row>
    <row r="662">
      <c r="C662" s="8"/>
      <c r="H662" s="112"/>
    </row>
    <row r="663">
      <c r="C663" s="8"/>
      <c r="H663" s="112"/>
    </row>
    <row r="664">
      <c r="C664" s="8"/>
      <c r="H664" s="112"/>
    </row>
    <row r="665">
      <c r="C665" s="8"/>
      <c r="H665" s="112"/>
    </row>
    <row r="666">
      <c r="C666" s="8"/>
      <c r="H666" s="112"/>
    </row>
    <row r="667">
      <c r="C667" s="8"/>
      <c r="H667" s="112"/>
    </row>
    <row r="668">
      <c r="C668" s="8"/>
      <c r="H668" s="112"/>
    </row>
    <row r="669">
      <c r="C669" s="8"/>
      <c r="H669" s="112"/>
    </row>
    <row r="670">
      <c r="C670" s="8"/>
      <c r="H670" s="112"/>
    </row>
    <row r="671">
      <c r="C671" s="8"/>
      <c r="H671" s="112"/>
    </row>
    <row r="672">
      <c r="C672" s="8"/>
      <c r="H672" s="112"/>
    </row>
    <row r="673">
      <c r="C673" s="8"/>
      <c r="H673" s="112"/>
    </row>
    <row r="674">
      <c r="C674" s="8"/>
      <c r="H674" s="112"/>
    </row>
    <row r="675">
      <c r="C675" s="8"/>
      <c r="H675" s="112"/>
    </row>
    <row r="676">
      <c r="C676" s="8"/>
      <c r="H676" s="112"/>
    </row>
    <row r="677">
      <c r="C677" s="8"/>
      <c r="H677" s="112"/>
    </row>
    <row r="678">
      <c r="C678" s="8"/>
      <c r="H678" s="112"/>
    </row>
    <row r="679">
      <c r="C679" s="8"/>
      <c r="H679" s="112"/>
    </row>
    <row r="680">
      <c r="C680" s="8"/>
      <c r="H680" s="112"/>
    </row>
    <row r="681">
      <c r="C681" s="8"/>
      <c r="H681" s="112"/>
    </row>
    <row r="682">
      <c r="C682" s="8"/>
      <c r="H682" s="112"/>
    </row>
    <row r="683">
      <c r="C683" s="8"/>
      <c r="H683" s="112"/>
    </row>
    <row r="684">
      <c r="C684" s="8"/>
      <c r="H684" s="112"/>
    </row>
    <row r="685">
      <c r="C685" s="8"/>
      <c r="H685" s="112"/>
    </row>
    <row r="686">
      <c r="C686" s="8"/>
      <c r="H686" s="112"/>
    </row>
    <row r="687">
      <c r="C687" s="8"/>
      <c r="H687" s="112"/>
    </row>
    <row r="688">
      <c r="C688" s="8"/>
      <c r="H688" s="112"/>
    </row>
    <row r="689">
      <c r="C689" s="8"/>
      <c r="H689" s="112"/>
    </row>
    <row r="690">
      <c r="C690" s="8"/>
      <c r="H690" s="112"/>
    </row>
    <row r="691">
      <c r="C691" s="8"/>
      <c r="H691" s="112"/>
    </row>
    <row r="692">
      <c r="C692" s="8"/>
      <c r="H692" s="112"/>
    </row>
    <row r="693">
      <c r="C693" s="8"/>
      <c r="H693" s="112"/>
    </row>
    <row r="694">
      <c r="C694" s="8"/>
      <c r="H694" s="112"/>
    </row>
    <row r="695">
      <c r="C695" s="8"/>
      <c r="H695" s="112"/>
    </row>
    <row r="696">
      <c r="C696" s="8"/>
      <c r="H696" s="112"/>
    </row>
    <row r="697">
      <c r="C697" s="8"/>
      <c r="H697" s="112"/>
    </row>
    <row r="698">
      <c r="C698" s="8"/>
      <c r="H698" s="112"/>
    </row>
    <row r="699">
      <c r="C699" s="8"/>
      <c r="H699" s="112"/>
    </row>
    <row r="700">
      <c r="C700" s="8"/>
      <c r="H700" s="112"/>
    </row>
    <row r="701">
      <c r="C701" s="8"/>
      <c r="H701" s="112"/>
    </row>
    <row r="702">
      <c r="C702" s="8"/>
      <c r="H702" s="112"/>
    </row>
    <row r="703">
      <c r="C703" s="8"/>
      <c r="H703" s="112"/>
    </row>
    <row r="704">
      <c r="C704" s="8"/>
      <c r="H704" s="112"/>
    </row>
    <row r="705">
      <c r="C705" s="8"/>
      <c r="H705" s="112"/>
    </row>
    <row r="706">
      <c r="C706" s="8"/>
      <c r="H706" s="112"/>
    </row>
    <row r="707">
      <c r="C707" s="8"/>
      <c r="H707" s="112"/>
    </row>
    <row r="708">
      <c r="C708" s="8"/>
      <c r="H708" s="112"/>
    </row>
    <row r="709">
      <c r="C709" s="8"/>
      <c r="H709" s="112"/>
    </row>
    <row r="710">
      <c r="C710" s="8"/>
      <c r="H710" s="112"/>
    </row>
    <row r="711">
      <c r="C711" s="8"/>
      <c r="H711" s="112"/>
    </row>
    <row r="712">
      <c r="C712" s="8"/>
      <c r="H712" s="112"/>
    </row>
    <row r="713">
      <c r="C713" s="8"/>
      <c r="H713" s="112"/>
    </row>
    <row r="714">
      <c r="C714" s="8"/>
      <c r="H714" s="112"/>
    </row>
    <row r="715">
      <c r="C715" s="8"/>
      <c r="H715" s="112"/>
    </row>
    <row r="716">
      <c r="C716" s="8"/>
      <c r="H716" s="112"/>
    </row>
    <row r="717">
      <c r="C717" s="8"/>
      <c r="H717" s="112"/>
    </row>
    <row r="718">
      <c r="C718" s="8"/>
      <c r="H718" s="112"/>
    </row>
    <row r="719">
      <c r="C719" s="8"/>
      <c r="H719" s="112"/>
    </row>
    <row r="720">
      <c r="C720" s="8"/>
      <c r="H720" s="112"/>
    </row>
    <row r="721">
      <c r="C721" s="8"/>
      <c r="H721" s="112"/>
    </row>
    <row r="722">
      <c r="C722" s="8"/>
      <c r="H722" s="112"/>
    </row>
    <row r="723">
      <c r="C723" s="8"/>
      <c r="H723" s="112"/>
    </row>
    <row r="724">
      <c r="C724" s="8"/>
      <c r="H724" s="112"/>
    </row>
    <row r="725">
      <c r="C725" s="8"/>
      <c r="H725" s="112"/>
    </row>
    <row r="726">
      <c r="C726" s="8"/>
      <c r="H726" s="112"/>
    </row>
    <row r="727">
      <c r="C727" s="8"/>
      <c r="H727" s="112"/>
    </row>
    <row r="728">
      <c r="C728" s="8"/>
      <c r="H728" s="112"/>
    </row>
    <row r="729">
      <c r="C729" s="8"/>
      <c r="H729" s="112"/>
    </row>
    <row r="730">
      <c r="C730" s="8"/>
      <c r="H730" s="112"/>
    </row>
    <row r="731">
      <c r="C731" s="8"/>
      <c r="H731" s="112"/>
    </row>
    <row r="732">
      <c r="C732" s="8"/>
      <c r="H732" s="112"/>
    </row>
    <row r="733">
      <c r="C733" s="8"/>
      <c r="H733" s="112"/>
    </row>
    <row r="734">
      <c r="C734" s="8"/>
      <c r="H734" s="112"/>
    </row>
    <row r="735">
      <c r="C735" s="8"/>
      <c r="H735" s="112"/>
    </row>
    <row r="736">
      <c r="C736" s="8"/>
      <c r="H736" s="112"/>
    </row>
    <row r="737">
      <c r="C737" s="8"/>
      <c r="H737" s="112"/>
    </row>
    <row r="738">
      <c r="C738" s="8"/>
      <c r="H738" s="112"/>
    </row>
    <row r="739">
      <c r="C739" s="8"/>
      <c r="H739" s="112"/>
    </row>
    <row r="740">
      <c r="C740" s="8"/>
      <c r="H740" s="112"/>
    </row>
    <row r="741">
      <c r="C741" s="8"/>
      <c r="H741" s="112"/>
    </row>
    <row r="742">
      <c r="C742" s="8"/>
      <c r="H742" s="112"/>
    </row>
    <row r="743">
      <c r="C743" s="8"/>
      <c r="H743" s="112"/>
    </row>
    <row r="744">
      <c r="C744" s="8"/>
      <c r="H744" s="112"/>
    </row>
    <row r="745">
      <c r="C745" s="8"/>
      <c r="H745" s="112"/>
    </row>
    <row r="746">
      <c r="C746" s="8"/>
      <c r="H746" s="112"/>
    </row>
    <row r="747">
      <c r="C747" s="8"/>
      <c r="H747" s="112"/>
    </row>
    <row r="748">
      <c r="C748" s="8"/>
      <c r="H748" s="112"/>
    </row>
    <row r="749">
      <c r="C749" s="8"/>
      <c r="H749" s="112"/>
    </row>
    <row r="750">
      <c r="C750" s="8"/>
      <c r="H750" s="112"/>
    </row>
    <row r="751">
      <c r="C751" s="8"/>
      <c r="H751" s="112"/>
    </row>
    <row r="752">
      <c r="C752" s="8"/>
      <c r="H752" s="112"/>
    </row>
    <row r="753">
      <c r="C753" s="8"/>
      <c r="H753" s="112"/>
    </row>
    <row r="754">
      <c r="C754" s="8"/>
      <c r="H754" s="112"/>
    </row>
    <row r="755">
      <c r="C755" s="8"/>
      <c r="H755" s="112"/>
    </row>
    <row r="756">
      <c r="C756" s="8"/>
      <c r="H756" s="112"/>
    </row>
    <row r="757">
      <c r="C757" s="8"/>
      <c r="H757" s="112"/>
    </row>
    <row r="758">
      <c r="C758" s="8"/>
      <c r="H758" s="112"/>
    </row>
    <row r="759">
      <c r="C759" s="8"/>
      <c r="H759" s="112"/>
    </row>
    <row r="760">
      <c r="C760" s="8"/>
      <c r="H760" s="112"/>
    </row>
    <row r="761">
      <c r="C761" s="8"/>
      <c r="H761" s="112"/>
    </row>
    <row r="762">
      <c r="C762" s="8"/>
      <c r="H762" s="112"/>
    </row>
    <row r="763">
      <c r="C763" s="8"/>
      <c r="H763" s="112"/>
    </row>
    <row r="764">
      <c r="C764" s="8"/>
      <c r="H764" s="112"/>
    </row>
    <row r="765">
      <c r="C765" s="8"/>
      <c r="H765" s="112"/>
    </row>
    <row r="766">
      <c r="C766" s="8"/>
      <c r="H766" s="112"/>
    </row>
    <row r="767">
      <c r="C767" s="8"/>
      <c r="H767" s="112"/>
    </row>
    <row r="768">
      <c r="C768" s="8"/>
      <c r="H768" s="112"/>
    </row>
    <row r="769">
      <c r="C769" s="8"/>
      <c r="H769" s="112"/>
    </row>
    <row r="770">
      <c r="C770" s="8"/>
      <c r="H770" s="112"/>
    </row>
    <row r="771">
      <c r="C771" s="8"/>
      <c r="H771" s="112"/>
    </row>
    <row r="772">
      <c r="C772" s="8"/>
      <c r="H772" s="112"/>
    </row>
    <row r="773">
      <c r="C773" s="8"/>
      <c r="H773" s="112"/>
    </row>
    <row r="774">
      <c r="C774" s="8"/>
      <c r="H774" s="112"/>
    </row>
    <row r="775">
      <c r="C775" s="8"/>
      <c r="H775" s="112"/>
    </row>
    <row r="776">
      <c r="C776" s="8"/>
      <c r="H776" s="112"/>
    </row>
    <row r="777">
      <c r="C777" s="8"/>
      <c r="H777" s="112"/>
    </row>
    <row r="778">
      <c r="C778" s="8"/>
      <c r="H778" s="112"/>
    </row>
    <row r="779">
      <c r="C779" s="8"/>
      <c r="H779" s="112"/>
    </row>
    <row r="780">
      <c r="C780" s="8"/>
      <c r="H780" s="112"/>
    </row>
    <row r="781">
      <c r="C781" s="8"/>
      <c r="H781" s="112"/>
    </row>
    <row r="782">
      <c r="C782" s="8"/>
      <c r="H782" s="112"/>
    </row>
    <row r="783">
      <c r="C783" s="8"/>
      <c r="H783" s="112"/>
    </row>
    <row r="784">
      <c r="C784" s="8"/>
      <c r="H784" s="112"/>
    </row>
    <row r="785">
      <c r="C785" s="8"/>
      <c r="H785" s="112"/>
    </row>
    <row r="786">
      <c r="C786" s="8"/>
      <c r="H786" s="112"/>
    </row>
    <row r="787">
      <c r="C787" s="8"/>
      <c r="H787" s="112"/>
    </row>
    <row r="788">
      <c r="C788" s="8"/>
      <c r="H788" s="112"/>
    </row>
    <row r="789">
      <c r="C789" s="8"/>
      <c r="H789" s="112"/>
    </row>
    <row r="790">
      <c r="C790" s="8"/>
      <c r="H790" s="112"/>
    </row>
    <row r="791">
      <c r="C791" s="8"/>
      <c r="H791" s="112"/>
    </row>
    <row r="792">
      <c r="C792" s="8"/>
      <c r="H792" s="112"/>
    </row>
    <row r="793">
      <c r="C793" s="8"/>
      <c r="H793" s="112"/>
    </row>
    <row r="794">
      <c r="C794" s="8"/>
      <c r="H794" s="112"/>
    </row>
    <row r="795">
      <c r="C795" s="8"/>
      <c r="H795" s="112"/>
    </row>
    <row r="796">
      <c r="C796" s="8"/>
      <c r="H796" s="112"/>
    </row>
    <row r="797">
      <c r="C797" s="8"/>
      <c r="H797" s="112"/>
    </row>
    <row r="798">
      <c r="C798" s="8"/>
      <c r="H798" s="112"/>
    </row>
    <row r="799">
      <c r="C799" s="8"/>
      <c r="H799" s="112"/>
    </row>
    <row r="800">
      <c r="C800" s="8"/>
      <c r="H800" s="112"/>
    </row>
    <row r="801">
      <c r="C801" s="8"/>
      <c r="H801" s="112"/>
    </row>
    <row r="802">
      <c r="C802" s="8"/>
      <c r="H802" s="112"/>
    </row>
    <row r="803">
      <c r="C803" s="8"/>
      <c r="H803" s="112"/>
    </row>
    <row r="804">
      <c r="C804" s="8"/>
      <c r="H804" s="112"/>
    </row>
    <row r="805">
      <c r="C805" s="8"/>
      <c r="H805" s="112"/>
    </row>
    <row r="806">
      <c r="C806" s="8"/>
      <c r="H806" s="112"/>
    </row>
    <row r="807">
      <c r="C807" s="8"/>
      <c r="H807" s="112"/>
    </row>
    <row r="808">
      <c r="C808" s="8"/>
      <c r="H808" s="112"/>
    </row>
    <row r="809">
      <c r="C809" s="8"/>
      <c r="H809" s="112"/>
    </row>
    <row r="810">
      <c r="C810" s="8"/>
      <c r="H810" s="112"/>
    </row>
    <row r="811">
      <c r="C811" s="8"/>
      <c r="H811" s="112"/>
    </row>
    <row r="812">
      <c r="C812" s="8"/>
      <c r="H812" s="112"/>
    </row>
    <row r="813">
      <c r="C813" s="8"/>
      <c r="H813" s="112"/>
    </row>
    <row r="814">
      <c r="C814" s="8"/>
      <c r="H814" s="112"/>
    </row>
    <row r="815">
      <c r="C815" s="8"/>
      <c r="H815" s="112"/>
    </row>
    <row r="816">
      <c r="C816" s="8"/>
      <c r="H816" s="112"/>
    </row>
    <row r="817">
      <c r="C817" s="8"/>
      <c r="H817" s="112"/>
    </row>
    <row r="818">
      <c r="C818" s="8"/>
      <c r="H818" s="112"/>
    </row>
    <row r="819">
      <c r="C819" s="8"/>
      <c r="H819" s="112"/>
    </row>
    <row r="820">
      <c r="C820" s="8"/>
      <c r="H820" s="112"/>
    </row>
    <row r="821">
      <c r="C821" s="8"/>
      <c r="H821" s="112"/>
    </row>
    <row r="822">
      <c r="C822" s="8"/>
      <c r="H822" s="112"/>
    </row>
    <row r="823">
      <c r="C823" s="8"/>
      <c r="H823" s="112"/>
    </row>
    <row r="824">
      <c r="C824" s="8"/>
      <c r="H824" s="112"/>
    </row>
    <row r="825">
      <c r="C825" s="8"/>
      <c r="H825" s="112"/>
    </row>
    <row r="826">
      <c r="C826" s="8"/>
      <c r="H826" s="112"/>
    </row>
    <row r="827">
      <c r="C827" s="8"/>
      <c r="H827" s="112"/>
    </row>
    <row r="828">
      <c r="C828" s="8"/>
      <c r="H828" s="112"/>
    </row>
    <row r="829">
      <c r="C829" s="8"/>
      <c r="H829" s="112"/>
    </row>
    <row r="830">
      <c r="C830" s="8"/>
      <c r="H830" s="112"/>
    </row>
    <row r="831">
      <c r="C831" s="8"/>
      <c r="H831" s="112"/>
    </row>
    <row r="832">
      <c r="C832" s="8"/>
      <c r="H832" s="112"/>
    </row>
    <row r="833">
      <c r="C833" s="8"/>
      <c r="H833" s="112"/>
    </row>
    <row r="834">
      <c r="C834" s="8"/>
      <c r="H834" s="112"/>
    </row>
    <row r="835">
      <c r="C835" s="8"/>
      <c r="H835" s="112"/>
    </row>
    <row r="836">
      <c r="C836" s="8"/>
      <c r="H836" s="112"/>
    </row>
    <row r="837">
      <c r="C837" s="8"/>
      <c r="H837" s="112"/>
    </row>
    <row r="838">
      <c r="C838" s="8"/>
      <c r="H838" s="112"/>
    </row>
    <row r="839">
      <c r="C839" s="8"/>
      <c r="H839" s="112"/>
    </row>
    <row r="840">
      <c r="C840" s="8"/>
      <c r="H840" s="112"/>
    </row>
    <row r="841">
      <c r="C841" s="8"/>
      <c r="H841" s="112"/>
    </row>
    <row r="842">
      <c r="C842" s="8"/>
      <c r="H842" s="112"/>
    </row>
    <row r="843">
      <c r="C843" s="8"/>
      <c r="H843" s="112"/>
    </row>
    <row r="844">
      <c r="C844" s="8"/>
      <c r="H844" s="112"/>
    </row>
    <row r="845">
      <c r="C845" s="8"/>
      <c r="H845" s="112"/>
    </row>
    <row r="846">
      <c r="C846" s="8"/>
      <c r="H846" s="112"/>
    </row>
    <row r="847">
      <c r="C847" s="8"/>
      <c r="H847" s="112"/>
    </row>
    <row r="848">
      <c r="C848" s="8"/>
      <c r="H848" s="112"/>
    </row>
    <row r="849">
      <c r="C849" s="8"/>
      <c r="H849" s="112"/>
    </row>
    <row r="850">
      <c r="C850" s="8"/>
      <c r="H850" s="112"/>
    </row>
    <row r="851">
      <c r="C851" s="8"/>
      <c r="H851" s="112"/>
    </row>
    <row r="852">
      <c r="C852" s="8"/>
      <c r="H852" s="112"/>
    </row>
    <row r="853">
      <c r="C853" s="8"/>
      <c r="H853" s="112"/>
    </row>
    <row r="854">
      <c r="C854" s="8"/>
      <c r="H854" s="112"/>
    </row>
    <row r="855">
      <c r="C855" s="8"/>
      <c r="H855" s="112"/>
    </row>
    <row r="856">
      <c r="C856" s="8"/>
      <c r="H856" s="112"/>
    </row>
    <row r="857">
      <c r="C857" s="8"/>
      <c r="H857" s="112"/>
    </row>
    <row r="858">
      <c r="C858" s="8"/>
      <c r="H858" s="112"/>
    </row>
    <row r="859">
      <c r="C859" s="8"/>
      <c r="H859" s="112"/>
    </row>
    <row r="860">
      <c r="C860" s="8"/>
      <c r="H860" s="112"/>
    </row>
    <row r="861">
      <c r="C861" s="8"/>
      <c r="H861" s="112"/>
    </row>
    <row r="862">
      <c r="C862" s="8"/>
      <c r="H862" s="112"/>
    </row>
    <row r="863">
      <c r="C863" s="8"/>
      <c r="H863" s="112"/>
    </row>
    <row r="864">
      <c r="C864" s="8"/>
      <c r="H864" s="112"/>
    </row>
    <row r="865">
      <c r="C865" s="8"/>
      <c r="H865" s="112"/>
    </row>
    <row r="866">
      <c r="C866" s="8"/>
      <c r="H866" s="112"/>
    </row>
    <row r="867">
      <c r="C867" s="8"/>
      <c r="H867" s="112"/>
    </row>
    <row r="868">
      <c r="C868" s="8"/>
      <c r="H868" s="112"/>
    </row>
    <row r="869">
      <c r="C869" s="8"/>
      <c r="H869" s="112"/>
    </row>
    <row r="870">
      <c r="C870" s="8"/>
      <c r="H870" s="112"/>
    </row>
    <row r="871">
      <c r="C871" s="8"/>
      <c r="H871" s="112"/>
    </row>
    <row r="872">
      <c r="C872" s="8"/>
      <c r="H872" s="112"/>
    </row>
    <row r="873">
      <c r="C873" s="8"/>
      <c r="H873" s="112"/>
    </row>
    <row r="874">
      <c r="C874" s="8"/>
      <c r="H874" s="112"/>
    </row>
    <row r="875">
      <c r="C875" s="8"/>
      <c r="H875" s="112"/>
    </row>
    <row r="876">
      <c r="C876" s="8"/>
      <c r="H876" s="112"/>
    </row>
    <row r="877">
      <c r="C877" s="8"/>
      <c r="H877" s="112"/>
    </row>
    <row r="878">
      <c r="C878" s="8"/>
      <c r="H878" s="112"/>
    </row>
    <row r="879">
      <c r="C879" s="8"/>
      <c r="H879" s="112"/>
    </row>
    <row r="880">
      <c r="C880" s="8"/>
      <c r="H880" s="112"/>
    </row>
    <row r="881">
      <c r="C881" s="8"/>
      <c r="H881" s="112"/>
    </row>
    <row r="882">
      <c r="C882" s="8"/>
      <c r="H882" s="112"/>
    </row>
    <row r="883">
      <c r="C883" s="8"/>
      <c r="H883" s="112"/>
    </row>
    <row r="884">
      <c r="C884" s="8"/>
      <c r="H884" s="112"/>
    </row>
    <row r="885">
      <c r="C885" s="8"/>
      <c r="H885" s="112"/>
    </row>
    <row r="886">
      <c r="C886" s="8"/>
      <c r="H886" s="112"/>
    </row>
    <row r="887">
      <c r="C887" s="8"/>
      <c r="H887" s="112"/>
    </row>
    <row r="888">
      <c r="C888" s="8"/>
      <c r="H888" s="112"/>
    </row>
    <row r="889">
      <c r="C889" s="8"/>
      <c r="H889" s="112"/>
    </row>
    <row r="890">
      <c r="C890" s="8"/>
      <c r="H890" s="112"/>
    </row>
    <row r="891">
      <c r="C891" s="8"/>
      <c r="H891" s="112"/>
    </row>
    <row r="892">
      <c r="C892" s="8"/>
      <c r="H892" s="112"/>
    </row>
    <row r="893">
      <c r="C893" s="8"/>
      <c r="H893" s="112"/>
    </row>
    <row r="894">
      <c r="C894" s="8"/>
      <c r="H894" s="112"/>
    </row>
    <row r="895">
      <c r="C895" s="8"/>
      <c r="H895" s="112"/>
    </row>
    <row r="896">
      <c r="C896" s="8"/>
      <c r="H896" s="112"/>
    </row>
    <row r="897">
      <c r="C897" s="8"/>
      <c r="H897" s="112"/>
    </row>
    <row r="898">
      <c r="C898" s="8"/>
      <c r="H898" s="112"/>
    </row>
    <row r="899">
      <c r="C899" s="8"/>
      <c r="H899" s="112"/>
    </row>
    <row r="900">
      <c r="C900" s="8"/>
      <c r="H900" s="112"/>
    </row>
    <row r="901">
      <c r="C901" s="8"/>
      <c r="H901" s="112"/>
    </row>
    <row r="902">
      <c r="C902" s="8"/>
      <c r="H902" s="112"/>
    </row>
    <row r="903">
      <c r="C903" s="8"/>
      <c r="H903" s="112"/>
    </row>
    <row r="904">
      <c r="C904" s="8"/>
      <c r="H904" s="112"/>
    </row>
    <row r="905">
      <c r="C905" s="8"/>
      <c r="H905" s="112"/>
    </row>
    <row r="906">
      <c r="C906" s="8"/>
      <c r="H906" s="112"/>
    </row>
    <row r="907">
      <c r="C907" s="8"/>
      <c r="H907" s="112"/>
    </row>
    <row r="908">
      <c r="C908" s="8"/>
      <c r="H908" s="112"/>
    </row>
    <row r="909">
      <c r="C909" s="8"/>
      <c r="H909" s="112"/>
    </row>
    <row r="910">
      <c r="C910" s="8"/>
      <c r="H910" s="112"/>
    </row>
    <row r="911">
      <c r="C911" s="8"/>
      <c r="H911" s="112"/>
    </row>
    <row r="912">
      <c r="C912" s="8"/>
      <c r="H912" s="112"/>
    </row>
    <row r="913">
      <c r="C913" s="8"/>
      <c r="H913" s="112"/>
    </row>
    <row r="914">
      <c r="C914" s="8"/>
      <c r="H914" s="112"/>
    </row>
    <row r="915">
      <c r="C915" s="8"/>
      <c r="H915" s="112"/>
    </row>
    <row r="916">
      <c r="C916" s="8"/>
      <c r="H916" s="112"/>
    </row>
    <row r="917">
      <c r="C917" s="8"/>
      <c r="H917" s="112"/>
    </row>
    <row r="918">
      <c r="C918" s="8"/>
      <c r="H918" s="112"/>
    </row>
    <row r="919">
      <c r="C919" s="8"/>
      <c r="H919" s="112"/>
    </row>
    <row r="920">
      <c r="C920" s="8"/>
      <c r="H920" s="112"/>
    </row>
    <row r="921">
      <c r="C921" s="8"/>
      <c r="H921" s="112"/>
    </row>
    <row r="922">
      <c r="C922" s="8"/>
      <c r="H922" s="112"/>
    </row>
    <row r="923">
      <c r="C923" s="8"/>
      <c r="H923" s="112"/>
    </row>
    <row r="924">
      <c r="C924" s="8"/>
      <c r="H924" s="112"/>
    </row>
    <row r="925">
      <c r="C925" s="8"/>
      <c r="H925" s="112"/>
    </row>
    <row r="926">
      <c r="C926" s="8"/>
      <c r="H926" s="112"/>
    </row>
    <row r="927">
      <c r="C927" s="8"/>
      <c r="H927" s="112"/>
    </row>
    <row r="928">
      <c r="C928" s="8"/>
      <c r="H928" s="112"/>
    </row>
    <row r="929">
      <c r="C929" s="8"/>
      <c r="H929" s="112"/>
    </row>
    <row r="930">
      <c r="C930" s="8"/>
      <c r="H930" s="112"/>
    </row>
    <row r="931">
      <c r="C931" s="8"/>
      <c r="H931" s="112"/>
    </row>
    <row r="932">
      <c r="C932" s="8"/>
      <c r="H932" s="112"/>
    </row>
    <row r="933">
      <c r="C933" s="8"/>
      <c r="H933" s="112"/>
    </row>
    <row r="934">
      <c r="C934" s="8"/>
      <c r="H934" s="112"/>
    </row>
    <row r="935">
      <c r="C935" s="8"/>
      <c r="H935" s="112"/>
    </row>
    <row r="936">
      <c r="C936" s="8"/>
      <c r="H936" s="112"/>
    </row>
    <row r="937">
      <c r="C937" s="8"/>
      <c r="H937" s="112"/>
    </row>
    <row r="938">
      <c r="C938" s="8"/>
      <c r="H938" s="112"/>
    </row>
    <row r="939">
      <c r="C939" s="8"/>
      <c r="H939" s="112"/>
    </row>
    <row r="940">
      <c r="C940" s="8"/>
      <c r="H940" s="112"/>
    </row>
    <row r="941">
      <c r="C941" s="8"/>
      <c r="H941" s="112"/>
    </row>
    <row r="942">
      <c r="C942" s="8"/>
      <c r="H942" s="112"/>
    </row>
    <row r="943">
      <c r="C943" s="8"/>
      <c r="H943" s="112"/>
    </row>
    <row r="944">
      <c r="C944" s="8"/>
      <c r="H944" s="112"/>
    </row>
    <row r="945">
      <c r="C945" s="8"/>
      <c r="H945" s="112"/>
    </row>
    <row r="946">
      <c r="C946" s="8"/>
      <c r="H946" s="112"/>
    </row>
    <row r="947">
      <c r="C947" s="8"/>
      <c r="H947" s="112"/>
    </row>
    <row r="948">
      <c r="C948" s="8"/>
      <c r="H948" s="112"/>
    </row>
    <row r="949">
      <c r="C949" s="8"/>
      <c r="H949" s="112"/>
    </row>
    <row r="950">
      <c r="C950" s="8"/>
      <c r="H950" s="112"/>
    </row>
    <row r="951">
      <c r="C951" s="8"/>
      <c r="H951" s="112"/>
    </row>
    <row r="952">
      <c r="C952" s="8"/>
      <c r="H952" s="112"/>
    </row>
    <row r="953">
      <c r="C953" s="8"/>
      <c r="H953" s="112"/>
    </row>
  </sheetData>
  <conditionalFormatting sqref="A1:AD1">
    <cfRule type="notContainsBlanks" dxfId="0" priority="1">
      <formula>LEN(TRIM(A1))&gt;0</formula>
    </cfRule>
  </conditionalFormatting>
  <hyperlinks>
    <hyperlink r:id="rId1" ref="H2"/>
    <hyperlink r:id="rId2" ref="H3"/>
    <hyperlink r:id="rId3" ref="H4"/>
    <hyperlink r:id="rId4" ref="I4"/>
    <hyperlink r:id="rId5" ref="H5"/>
    <hyperlink r:id="rId6" ref="J5"/>
    <hyperlink r:id="rId7" ref="H6"/>
    <hyperlink r:id="rId8" ref="I6"/>
    <hyperlink r:id="rId9" ref="H7"/>
    <hyperlink r:id="rId10" ref="I7"/>
    <hyperlink r:id="rId11" ref="H8"/>
    <hyperlink r:id="rId12" ref="H9"/>
    <hyperlink r:id="rId13" ref="I9"/>
    <hyperlink r:id="rId14" ref="H10"/>
    <hyperlink r:id="rId15" ref="J10"/>
    <hyperlink r:id="rId16" ref="H11"/>
    <hyperlink r:id="rId17" ref="H12"/>
    <hyperlink r:id="rId18" ref="H13"/>
    <hyperlink r:id="rId19" ref="I13"/>
    <hyperlink r:id="rId20" ref="H14"/>
    <hyperlink r:id="rId21" ref="I14"/>
    <hyperlink r:id="rId22" ref="H15"/>
    <hyperlink r:id="rId23" ref="I15"/>
    <hyperlink r:id="rId24" ref="H16"/>
    <hyperlink r:id="rId25" ref="I16"/>
    <hyperlink r:id="rId26" ref="H17"/>
    <hyperlink r:id="rId27" ref="H18"/>
    <hyperlink r:id="rId28" ref="I18"/>
    <hyperlink r:id="rId29" ref="H19"/>
    <hyperlink r:id="rId30" ref="I19"/>
    <hyperlink r:id="rId31" ref="H20"/>
    <hyperlink r:id="rId32" ref="J20"/>
    <hyperlink r:id="rId33" ref="H21"/>
    <hyperlink r:id="rId34" ref="H22"/>
    <hyperlink r:id="rId35" ref="I22"/>
    <hyperlink r:id="rId36" ref="H23"/>
    <hyperlink r:id="rId37" ref="I23"/>
    <hyperlink r:id="rId38" ref="J23"/>
    <hyperlink r:id="rId39" ref="H24"/>
    <hyperlink r:id="rId40" ref="H25"/>
    <hyperlink r:id="rId41" ref="I25"/>
    <hyperlink r:id="rId42" ref="H26"/>
    <hyperlink r:id="rId43" ref="H27"/>
    <hyperlink r:id="rId44" ref="J27"/>
    <hyperlink r:id="rId45" ref="H28"/>
    <hyperlink r:id="rId46" ref="J28"/>
    <hyperlink r:id="rId47" ref="H29"/>
    <hyperlink r:id="rId48" ref="J29"/>
    <hyperlink r:id="rId49" ref="H30"/>
    <hyperlink r:id="rId50" ref="H31"/>
    <hyperlink r:id="rId51" ref="I31"/>
    <hyperlink r:id="rId52" ref="H32"/>
    <hyperlink r:id="rId53" ref="I32"/>
    <hyperlink r:id="rId54" ref="H33"/>
    <hyperlink r:id="rId55" ref="I33"/>
    <hyperlink r:id="rId56" ref="H34"/>
    <hyperlink r:id="rId57" ref="I34"/>
    <hyperlink r:id="rId58" ref="H35"/>
    <hyperlink r:id="rId59" ref="I35"/>
    <hyperlink r:id="rId60" ref="J35"/>
    <hyperlink r:id="rId61" ref="H36"/>
    <hyperlink r:id="rId62" ref="H37"/>
    <hyperlink r:id="rId63" ref="I37"/>
    <hyperlink r:id="rId64" ref="J37"/>
    <hyperlink r:id="rId65" ref="H38"/>
    <hyperlink r:id="rId66" ref="H39"/>
    <hyperlink r:id="rId67" ref="H40"/>
    <hyperlink r:id="rId68" ref="I40"/>
    <hyperlink r:id="rId69" ref="J41"/>
    <hyperlink r:id="rId70" ref="H42"/>
    <hyperlink r:id="rId71" ref="H43"/>
    <hyperlink r:id="rId72" ref="I43"/>
    <hyperlink r:id="rId73" ref="H44"/>
    <hyperlink r:id="rId74" ref="H45"/>
    <hyperlink r:id="rId75" ref="I45"/>
    <hyperlink r:id="rId76" ref="H46"/>
    <hyperlink r:id="rId77" ref="I46"/>
    <hyperlink r:id="rId78" ref="H47"/>
    <hyperlink r:id="rId79" ref="H48"/>
    <hyperlink r:id="rId80" ref="I48"/>
    <hyperlink r:id="rId81" ref="H49"/>
    <hyperlink r:id="rId82" ref="I49"/>
    <hyperlink r:id="rId83" ref="H50"/>
    <hyperlink r:id="rId84" ref="J51"/>
    <hyperlink r:id="rId85" ref="H52"/>
    <hyperlink r:id="rId86" ref="I52"/>
    <hyperlink r:id="rId87" ref="H53"/>
    <hyperlink r:id="rId88" ref="I53"/>
    <hyperlink r:id="rId89" ref="H54"/>
    <hyperlink r:id="rId90" ref="I54"/>
    <hyperlink r:id="rId91" ref="H55"/>
    <hyperlink r:id="rId92" ref="I55"/>
    <hyperlink r:id="rId93" ref="H56"/>
    <hyperlink r:id="rId94" ref="H57"/>
    <hyperlink r:id="rId95" ref="H58"/>
    <hyperlink r:id="rId96" ref="H59"/>
    <hyperlink r:id="rId97" ref="H60"/>
    <hyperlink r:id="rId98" ref="I60"/>
    <hyperlink r:id="rId99" ref="H61"/>
    <hyperlink r:id="rId100" ref="I61"/>
    <hyperlink r:id="rId101" ref="H62"/>
    <hyperlink r:id="rId102" ref="I62"/>
    <hyperlink r:id="rId103" ref="H63"/>
    <hyperlink r:id="rId104" ref="I63"/>
    <hyperlink r:id="rId105" ref="H64"/>
    <hyperlink r:id="rId106" ref="H65"/>
    <hyperlink r:id="rId107" ref="H66"/>
    <hyperlink r:id="rId108" ref="I66"/>
    <hyperlink r:id="rId109" ref="J67"/>
    <hyperlink r:id="rId110" ref="H68"/>
    <hyperlink r:id="rId111" ref="I68"/>
    <hyperlink r:id="rId112" ref="H69"/>
    <hyperlink r:id="rId113" ref="I69"/>
    <hyperlink r:id="rId114" ref="H70"/>
    <hyperlink r:id="rId115" ref="J71"/>
    <hyperlink r:id="rId116" ref="J72"/>
    <hyperlink r:id="rId117" ref="H73"/>
    <hyperlink r:id="rId118" ref="I73"/>
    <hyperlink r:id="rId119" ref="H74"/>
    <hyperlink r:id="rId120" ref="I74"/>
    <hyperlink r:id="rId121" ref="H75"/>
    <hyperlink r:id="rId122" ref="H76"/>
    <hyperlink r:id="rId123" ref="J76"/>
    <hyperlink r:id="rId124" ref="H77"/>
    <hyperlink r:id="rId125" ref="I77"/>
    <hyperlink r:id="rId126" ref="J78"/>
    <hyperlink r:id="rId127" ref="H79"/>
    <hyperlink r:id="rId128" ref="H80"/>
    <hyperlink r:id="rId129" ref="H81"/>
    <hyperlink r:id="rId130" ref="J81"/>
    <hyperlink r:id="rId131" ref="H82"/>
    <hyperlink r:id="rId132" ref="J83"/>
    <hyperlink r:id="rId133" ref="H84"/>
    <hyperlink r:id="rId134" ref="J84"/>
    <hyperlink r:id="rId135" ref="H85"/>
    <hyperlink r:id="rId136" ref="H86"/>
    <hyperlink r:id="rId137" ref="H87"/>
    <hyperlink r:id="rId138" ref="H88"/>
    <hyperlink r:id="rId139" ref="I88"/>
    <hyperlink r:id="rId140" ref="H89"/>
    <hyperlink r:id="rId141" ref="J89"/>
    <hyperlink r:id="rId142" ref="H90"/>
    <hyperlink r:id="rId143" ref="I90"/>
    <hyperlink r:id="rId144" ref="H91"/>
    <hyperlink r:id="rId145" ref="I91"/>
    <hyperlink r:id="rId146" ref="H92"/>
    <hyperlink r:id="rId147" ref="H93"/>
    <hyperlink r:id="rId148" ref="H94"/>
    <hyperlink r:id="rId149" ref="I94"/>
    <hyperlink r:id="rId150" ref="H95"/>
    <hyperlink r:id="rId151" ref="J96"/>
    <hyperlink r:id="rId152" ref="H97"/>
    <hyperlink r:id="rId153" ref="J98"/>
    <hyperlink r:id="rId154" ref="H99"/>
    <hyperlink r:id="rId155" ref="H100"/>
    <hyperlink r:id="rId156" ref="I100"/>
    <hyperlink r:id="rId157" ref="H101"/>
    <hyperlink r:id="rId158" ref="I101"/>
    <hyperlink r:id="rId159" ref="K101"/>
    <hyperlink r:id="rId160" ref="H102"/>
    <hyperlink r:id="rId161" ref="H103"/>
    <hyperlink r:id="rId162" ref="H104"/>
    <hyperlink r:id="rId163" ref="J104"/>
    <hyperlink r:id="rId164" ref="J105"/>
    <hyperlink r:id="rId165" ref="H106"/>
    <hyperlink r:id="rId166" ref="J107"/>
    <hyperlink r:id="rId167" ref="H108"/>
    <hyperlink r:id="rId168" ref="H109"/>
    <hyperlink r:id="rId169" ref="H110"/>
    <hyperlink r:id="rId170" ref="J110"/>
    <hyperlink r:id="rId171" ref="J111"/>
    <hyperlink r:id="rId172" ref="H112"/>
    <hyperlink r:id="rId173" ref="I112"/>
    <hyperlink r:id="rId174" ref="H113"/>
    <hyperlink r:id="rId175" ref="J113"/>
    <hyperlink r:id="rId176" ref="H114"/>
    <hyperlink r:id="rId177" ref="I114"/>
    <hyperlink r:id="rId178" ref="J115"/>
    <hyperlink r:id="rId179" ref="H116"/>
    <hyperlink r:id="rId180" ref="J116"/>
    <hyperlink r:id="rId181" ref="H117"/>
    <hyperlink r:id="rId182" ref="J117"/>
    <hyperlink r:id="rId183" ref="H118"/>
    <hyperlink r:id="rId184" ref="H119"/>
    <hyperlink r:id="rId185" ref="L119"/>
    <hyperlink r:id="rId186" ref="J120"/>
    <hyperlink r:id="rId187" ref="H121"/>
    <hyperlink r:id="rId188" ref="I121"/>
    <hyperlink r:id="rId189" ref="H122"/>
    <hyperlink r:id="rId190" ref="I122"/>
    <hyperlink r:id="rId191" ref="J122"/>
    <hyperlink r:id="rId192" ref="H123"/>
    <hyperlink r:id="rId193" ref="I123"/>
    <hyperlink r:id="rId194" ref="H124"/>
    <hyperlink r:id="rId195" ref="I124"/>
    <hyperlink r:id="rId196" ref="H125"/>
    <hyperlink r:id="rId197" ref="H126"/>
    <hyperlink r:id="rId198" ref="H127"/>
    <hyperlink r:id="rId199" ref="H128"/>
    <hyperlink r:id="rId200" ref="J128"/>
    <hyperlink r:id="rId201" ref="H129"/>
    <hyperlink r:id="rId202" ref="H130"/>
    <hyperlink r:id="rId203" ref="J131"/>
    <hyperlink r:id="rId204" ref="J132"/>
    <hyperlink r:id="rId205" ref="H133"/>
    <hyperlink r:id="rId206" ref="J133"/>
    <hyperlink r:id="rId207" ref="J134"/>
    <hyperlink r:id="rId208" ref="J135"/>
    <hyperlink r:id="rId209" ref="J136"/>
    <hyperlink r:id="rId210" ref="H137"/>
    <hyperlink r:id="rId211" ref="I137"/>
    <hyperlink r:id="rId212" ref="J138"/>
    <hyperlink r:id="rId213" ref="J139"/>
    <hyperlink r:id="rId214" ref="H140"/>
    <hyperlink r:id="rId215" ref="J140"/>
    <hyperlink r:id="rId216" ref="H141"/>
    <hyperlink r:id="rId217" ref="J142"/>
    <hyperlink r:id="rId218" ref="H143"/>
    <hyperlink r:id="rId219" ref="I143"/>
    <hyperlink r:id="rId220" ref="H144"/>
    <hyperlink r:id="rId221" ref="I144"/>
    <hyperlink r:id="rId222" ref="J144"/>
    <hyperlink r:id="rId223" ref="H145"/>
    <hyperlink r:id="rId224" ref="J145"/>
    <hyperlink r:id="rId225" ref="H146"/>
    <hyperlink r:id="rId226" ref="J147"/>
    <hyperlink r:id="rId227" ref="J148"/>
    <hyperlink r:id="rId228" ref="J149"/>
    <hyperlink r:id="rId229" ref="J150"/>
    <hyperlink r:id="rId230" ref="H151"/>
    <hyperlink r:id="rId231" ref="J151"/>
    <hyperlink r:id="rId232" ref="J152"/>
    <hyperlink r:id="rId233" ref="H153"/>
    <hyperlink r:id="rId234" ref="I153"/>
    <hyperlink r:id="rId235" ref="H154"/>
    <hyperlink r:id="rId236" ref="I154"/>
    <hyperlink r:id="rId237" ref="J155"/>
    <hyperlink r:id="rId238" ref="H156"/>
    <hyperlink r:id="rId239" ref="I156"/>
    <hyperlink r:id="rId240" ref="H157"/>
    <hyperlink r:id="rId241" ref="I157"/>
    <hyperlink r:id="rId242" ref="H158"/>
    <hyperlink r:id="rId243" ref="I158"/>
    <hyperlink r:id="rId244" ref="J158"/>
    <hyperlink r:id="rId245" ref="H159"/>
    <hyperlink r:id="rId246" ref="I159"/>
    <hyperlink r:id="rId247" ref="H160"/>
    <hyperlink r:id="rId248" ref="K160"/>
    <hyperlink r:id="rId249" ref="J161"/>
    <hyperlink r:id="rId250" ref="J162"/>
    <hyperlink r:id="rId251" ref="H163"/>
    <hyperlink r:id="rId252" ref="J163"/>
    <hyperlink r:id="rId253" ref="H164"/>
    <hyperlink r:id="rId254" ref="H165"/>
    <hyperlink r:id="rId255" ref="J166"/>
    <hyperlink r:id="rId256" ref="J167"/>
    <hyperlink r:id="rId257" ref="H168"/>
    <hyperlink r:id="rId258" ref="H169"/>
    <hyperlink r:id="rId259" ref="J169"/>
    <hyperlink r:id="rId260" ref="J170"/>
    <hyperlink r:id="rId261" ref="J171"/>
    <hyperlink r:id="rId262" ref="J172"/>
    <hyperlink r:id="rId263" ref="J173"/>
    <hyperlink r:id="rId264" ref="H174"/>
    <hyperlink r:id="rId265" ref="I174"/>
    <hyperlink r:id="rId266" ref="H175"/>
    <hyperlink r:id="rId267" ref="J175"/>
    <hyperlink r:id="rId268" ref="J176"/>
    <hyperlink r:id="rId269" ref="H177"/>
    <hyperlink r:id="rId270" ref="I177"/>
    <hyperlink r:id="rId271" ref="J177"/>
    <hyperlink r:id="rId272" ref="J178"/>
    <hyperlink r:id="rId273" ref="H179"/>
    <hyperlink r:id="rId274" ref="I179"/>
    <hyperlink r:id="rId275" ref="H180"/>
    <hyperlink r:id="rId276" ref="J180"/>
    <hyperlink r:id="rId277" ref="H181"/>
    <hyperlink r:id="rId278" ref="J181"/>
    <hyperlink r:id="rId279" ref="H182"/>
    <hyperlink r:id="rId280" ref="H183"/>
    <hyperlink r:id="rId281" ref="I183"/>
    <hyperlink r:id="rId282" ref="H184"/>
    <hyperlink r:id="rId283" ref="I184"/>
    <hyperlink r:id="rId284" ref="J184"/>
    <hyperlink r:id="rId285" ref="H185"/>
    <hyperlink r:id="rId286" ref="J186"/>
    <hyperlink r:id="rId287" ref="H187"/>
    <hyperlink r:id="rId288" ref="J187"/>
    <hyperlink r:id="rId289" ref="J188"/>
    <hyperlink r:id="rId290" ref="H189"/>
    <hyperlink r:id="rId291" ref="I189"/>
    <hyperlink r:id="rId292" ref="J189"/>
    <hyperlink r:id="rId293" ref="H190"/>
    <hyperlink r:id="rId294" ref="H191"/>
    <hyperlink r:id="rId295" ref="I191"/>
    <hyperlink r:id="rId296" ref="J191"/>
    <hyperlink r:id="rId297" ref="H192"/>
    <hyperlink r:id="rId298" ref="H193"/>
    <hyperlink r:id="rId299" ref="H194"/>
    <hyperlink r:id="rId300" ref="J195"/>
    <hyperlink r:id="rId301" ref="J196"/>
    <hyperlink r:id="rId302" ref="H197"/>
    <hyperlink r:id="rId303" ref="H198"/>
    <hyperlink r:id="rId304" ref="I198"/>
    <hyperlink r:id="rId305" ref="H199"/>
    <hyperlink r:id="rId306" ref="J199"/>
    <hyperlink r:id="rId307" ref="H200"/>
    <hyperlink r:id="rId308" ref="I200"/>
    <hyperlink r:id="rId309" ref="H201"/>
    <hyperlink r:id="rId310" ref="I201"/>
    <hyperlink r:id="rId311" ref="J201"/>
    <hyperlink r:id="rId312" ref="J202"/>
    <hyperlink r:id="rId313" ref="J203"/>
    <hyperlink r:id="rId314" ref="J204"/>
    <hyperlink r:id="rId315" ref="H205"/>
    <hyperlink r:id="rId316" ref="I205"/>
    <hyperlink r:id="rId317" ref="J206"/>
    <hyperlink r:id="rId318" ref="H207"/>
    <hyperlink r:id="rId319" ref="J207"/>
    <hyperlink r:id="rId320" ref="J208"/>
    <hyperlink r:id="rId321" ref="H209"/>
    <hyperlink r:id="rId322" ref="J209"/>
    <hyperlink r:id="rId323" ref="H210"/>
    <hyperlink r:id="rId324" ref="J211"/>
    <hyperlink r:id="rId325" ref="H212"/>
    <hyperlink r:id="rId326" ref="J212"/>
    <hyperlink r:id="rId327" ref="H213"/>
    <hyperlink r:id="rId328" ref="H214"/>
    <hyperlink r:id="rId329" ref="I214"/>
    <hyperlink r:id="rId330" ref="J214"/>
    <hyperlink r:id="rId331" ref="H215"/>
    <hyperlink r:id="rId332" ref="J215"/>
    <hyperlink r:id="rId333" ref="H216"/>
    <hyperlink r:id="rId334" ref="I216"/>
    <hyperlink r:id="rId335" ref="J216"/>
    <hyperlink r:id="rId336" ref="J217"/>
    <hyperlink r:id="rId337" ref="J218"/>
    <hyperlink r:id="rId338" ref="H219"/>
    <hyperlink r:id="rId339" ref="H220"/>
    <hyperlink r:id="rId340" ref="J221"/>
    <hyperlink r:id="rId341" ref="H222"/>
    <hyperlink r:id="rId342" ref="J223"/>
    <hyperlink r:id="rId343" ref="H224"/>
    <hyperlink r:id="rId344" ref="J224"/>
    <hyperlink r:id="rId345" ref="H225"/>
    <hyperlink r:id="rId346" ref="J225"/>
    <hyperlink r:id="rId347" ref="H226"/>
    <hyperlink r:id="rId348" ref="I226"/>
    <hyperlink r:id="rId349" ref="J226"/>
    <hyperlink r:id="rId350" ref="H227"/>
    <hyperlink r:id="rId351" ref="H228"/>
    <hyperlink r:id="rId352" ref="H229"/>
    <hyperlink r:id="rId353" ref="I229"/>
    <hyperlink r:id="rId354" ref="H230"/>
    <hyperlink r:id="rId355" ref="H231"/>
    <hyperlink r:id="rId356" ref="J231"/>
    <hyperlink r:id="rId357" ref="H232"/>
    <hyperlink r:id="rId358" ref="J232"/>
    <hyperlink r:id="rId359" ref="H233"/>
    <hyperlink r:id="rId360" ref="I233"/>
    <hyperlink r:id="rId361" ref="H234"/>
    <hyperlink r:id="rId362" ref="I234"/>
    <hyperlink r:id="rId363" ref="H235"/>
    <hyperlink r:id="rId364" ref="K235"/>
    <hyperlink r:id="rId365" ref="H236"/>
    <hyperlink r:id="rId366" ref="I236"/>
    <hyperlink r:id="rId367" ref="H237"/>
    <hyperlink r:id="rId368" ref="J237"/>
    <hyperlink r:id="rId369" ref="L237"/>
    <hyperlink r:id="rId370" ref="H238"/>
    <hyperlink r:id="rId371" ref="I238"/>
    <hyperlink r:id="rId372" ref="H239"/>
    <hyperlink r:id="rId373" ref="I239"/>
    <hyperlink r:id="rId374" ref="H240"/>
    <hyperlink r:id="rId375" ref="I240"/>
    <hyperlink r:id="rId376" ref="J240"/>
    <hyperlink r:id="rId377" ref="H241"/>
    <hyperlink r:id="rId378" ref="J241"/>
    <hyperlink r:id="rId379" ref="H242"/>
    <hyperlink r:id="rId380" ref="I242"/>
    <hyperlink r:id="rId381" ref="J242"/>
    <hyperlink r:id="rId382" ref="L242"/>
    <hyperlink r:id="rId383" ref="H243"/>
    <hyperlink r:id="rId384" ref="I243"/>
    <hyperlink r:id="rId385" ref="H244"/>
    <hyperlink r:id="rId386" ref="I244"/>
    <hyperlink r:id="rId387" ref="H245"/>
    <hyperlink r:id="rId388" ref="I245"/>
    <hyperlink r:id="rId389" ref="J245"/>
    <hyperlink r:id="rId390" ref="K245"/>
    <hyperlink r:id="rId391" ref="L245"/>
    <hyperlink r:id="rId392" ref="H246"/>
    <hyperlink r:id="rId393" ref="I246"/>
    <hyperlink r:id="rId394" ref="J246"/>
    <hyperlink r:id="rId395" ref="H247"/>
    <hyperlink r:id="rId396" ref="I247"/>
    <hyperlink r:id="rId397" ref="J247"/>
    <hyperlink r:id="rId398" ref="P247"/>
    <hyperlink r:id="rId399" ref="H248"/>
    <hyperlink r:id="rId400" ref="I248"/>
    <hyperlink r:id="rId401" ref="H249"/>
    <hyperlink r:id="rId402" ref="I249"/>
    <hyperlink r:id="rId403" ref="H250"/>
    <hyperlink r:id="rId404" ref="J251"/>
    <hyperlink r:id="rId405" ref="H252"/>
    <hyperlink r:id="rId406" ref="J252"/>
    <hyperlink r:id="rId407" ref="L252"/>
    <hyperlink r:id="rId408" ref="J253"/>
    <hyperlink r:id="rId409" ref="H254"/>
    <hyperlink r:id="rId410" ref="I254"/>
    <hyperlink r:id="rId411" ref="J254"/>
    <hyperlink r:id="rId412" ref="H255"/>
    <hyperlink r:id="rId413" ref="I255"/>
    <hyperlink r:id="rId414" ref="H256"/>
    <hyperlink r:id="rId415" ref="I256"/>
    <hyperlink r:id="rId416" ref="H257"/>
    <hyperlink r:id="rId417" ref="I257"/>
    <hyperlink r:id="rId418" ref="H258"/>
    <hyperlink r:id="rId419" ref="I258"/>
    <hyperlink r:id="rId420" ref="H259"/>
    <hyperlink r:id="rId421" ref="I259"/>
    <hyperlink r:id="rId422" ref="H260"/>
    <hyperlink r:id="rId423" ref="I260"/>
    <hyperlink r:id="rId424" ref="K260"/>
    <hyperlink r:id="rId425" ref="H261"/>
    <hyperlink r:id="rId426" ref="I261"/>
    <hyperlink r:id="rId427" ref="H262"/>
    <hyperlink r:id="rId428" ref="H263"/>
    <hyperlink r:id="rId429" ref="I263"/>
    <hyperlink r:id="rId430" ref="H264"/>
    <hyperlink r:id="rId431" ref="I264"/>
    <hyperlink r:id="rId432" ref="J264"/>
    <hyperlink r:id="rId433" ref="H265"/>
    <hyperlink r:id="rId434" ref="I265"/>
    <hyperlink r:id="rId435" ref="J265"/>
    <hyperlink r:id="rId436" ref="K265"/>
    <hyperlink r:id="rId437" ref="H266"/>
    <hyperlink r:id="rId438" ref="I266"/>
    <hyperlink r:id="rId439" ref="H267"/>
    <hyperlink r:id="rId440" ref="J268"/>
    <hyperlink r:id="rId441" ref="H269"/>
    <hyperlink r:id="rId442" ref="I269"/>
    <hyperlink r:id="rId443" ref="J269"/>
    <hyperlink r:id="rId444" ref="H270"/>
    <hyperlink r:id="rId445" ref="I270"/>
    <hyperlink r:id="rId446" ref="H271"/>
    <hyperlink r:id="rId447" ref="I271"/>
    <hyperlink r:id="rId448" ref="H272"/>
    <hyperlink r:id="rId449" ref="I272"/>
    <hyperlink r:id="rId450" ref="J272"/>
    <hyperlink r:id="rId451" ref="J273"/>
    <hyperlink r:id="rId452" ref="J274"/>
    <hyperlink r:id="rId453" ref="J275"/>
    <hyperlink r:id="rId454" ref="H276"/>
    <hyperlink r:id="rId455" ref="I276"/>
    <hyperlink r:id="rId456" ref="J276"/>
    <hyperlink r:id="rId457" ref="H277"/>
    <hyperlink r:id="rId458" ref="J277"/>
    <hyperlink r:id="rId459" ref="H278"/>
    <hyperlink r:id="rId460" ref="I278"/>
    <hyperlink r:id="rId461" ref="H279"/>
    <hyperlink r:id="rId462" ref="I279"/>
    <hyperlink r:id="rId463" ref="H280"/>
    <hyperlink r:id="rId464" ref="I280"/>
    <hyperlink r:id="rId465" ref="J280"/>
    <hyperlink r:id="rId466" ref="H281"/>
    <hyperlink r:id="rId467" ref="J282"/>
    <hyperlink r:id="rId468" ref="H283"/>
    <hyperlink r:id="rId469" ref="I283"/>
    <hyperlink r:id="rId470" ref="J283"/>
    <hyperlink r:id="rId471" ref="H284"/>
    <hyperlink r:id="rId472" ref="I284"/>
    <hyperlink r:id="rId473" ref="H286"/>
    <hyperlink r:id="rId474" ref="I286"/>
    <hyperlink r:id="rId475" ref="J286"/>
    <hyperlink r:id="rId476" ref="H287"/>
    <hyperlink r:id="rId477" ref="I287"/>
    <hyperlink r:id="rId478" ref="J287"/>
    <hyperlink r:id="rId479" ref="J288"/>
    <hyperlink r:id="rId480" ref="H289"/>
    <hyperlink r:id="rId481" ref="H290"/>
    <hyperlink r:id="rId482" ref="I290"/>
    <hyperlink r:id="rId483" ref="L290"/>
    <hyperlink r:id="rId484" ref="H291"/>
    <hyperlink r:id="rId485" ref="I291"/>
    <hyperlink r:id="rId486" ref="J291"/>
    <hyperlink r:id="rId487" ref="H292"/>
    <hyperlink r:id="rId488" ref="I292"/>
    <hyperlink r:id="rId489" ref="L293"/>
    <hyperlink r:id="rId490" ref="H294"/>
    <hyperlink r:id="rId491" ref="J294"/>
    <hyperlink r:id="rId492" ref="H295"/>
    <hyperlink r:id="rId493" ref="I295"/>
    <hyperlink r:id="rId494" ref="J296"/>
    <hyperlink r:id="rId495" ref="J297"/>
    <hyperlink r:id="rId496" ref="J298"/>
    <hyperlink r:id="rId497" ref="J299"/>
    <hyperlink r:id="rId498" ref="J300"/>
    <hyperlink r:id="rId499" ref="H301"/>
    <hyperlink r:id="rId500" ref="J301"/>
    <hyperlink r:id="rId501" ref="J302"/>
    <hyperlink r:id="rId502" ref="J303"/>
    <hyperlink r:id="rId503" ref="J304"/>
    <hyperlink r:id="rId504" ref="J305"/>
    <hyperlink r:id="rId505" ref="H306"/>
    <hyperlink r:id="rId506" ref="I306"/>
    <hyperlink r:id="rId507" ref="J306"/>
    <hyperlink r:id="rId508" ref="J307"/>
    <hyperlink r:id="rId509" ref="J308"/>
    <hyperlink r:id="rId510" ref="J309"/>
    <hyperlink r:id="rId511" ref="J310"/>
    <hyperlink r:id="rId512" ref="J311"/>
    <hyperlink r:id="rId513" ref="J312"/>
    <hyperlink r:id="rId514" ref="H313"/>
    <hyperlink r:id="rId515" ref="J313"/>
    <hyperlink r:id="rId516" ref="J314"/>
    <hyperlink r:id="rId517" ref="J315"/>
    <hyperlink r:id="rId518" ref="J316"/>
    <hyperlink r:id="rId519" ref="J317"/>
    <hyperlink r:id="rId520" ref="J318"/>
    <hyperlink r:id="rId521" ref="J319"/>
    <hyperlink r:id="rId522" ref="J320"/>
    <hyperlink r:id="rId523" ref="J321"/>
    <hyperlink r:id="rId524" ref="J322"/>
    <hyperlink r:id="rId525" ref="J323"/>
    <hyperlink r:id="rId526" ref="J324"/>
    <hyperlink r:id="rId527" ref="J325"/>
  </hyperlinks>
  <drawing r:id="rId52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3.5"/>
    <col customWidth="1" min="3" max="3" width="26.75"/>
    <col customWidth="1" min="4" max="4" width="6.5"/>
    <col customWidth="1" min="5" max="5" width="9.38"/>
    <col customWidth="1" min="6" max="6" width="11.0"/>
    <col customWidth="1" min="7" max="7" width="5.25"/>
    <col customWidth="1" min="8" max="8" width="45.38"/>
    <col customWidth="1" min="9" max="9" width="30.75"/>
    <col customWidth="1" min="10" max="10" width="34.25"/>
    <col customWidth="1" min="11" max="11" width="37.38"/>
    <col customWidth="1" min="12" max="12" width="26.88"/>
    <col customWidth="1" min="13" max="13" width="20.63"/>
    <col customWidth="1" min="14" max="14" width="7.25"/>
    <col customWidth="1" min="15" max="15" width="4.38"/>
    <col customWidth="1" min="16" max="16" width="4.5"/>
    <col customWidth="1" min="17" max="17" width="4.13"/>
    <col customWidth="1" min="18" max="18" width="5.13"/>
    <col customWidth="1" min="19" max="19" width="4.25"/>
    <col customWidth="1" min="20" max="20" width="4.5"/>
    <col customWidth="1" min="21" max="21" width="61.88"/>
    <col customWidth="1" min="22" max="28" width="205.0"/>
  </cols>
  <sheetData>
    <row r="1">
      <c r="A1" s="120" t="s">
        <v>19</v>
      </c>
      <c r="B1" s="120" t="s">
        <v>1</v>
      </c>
      <c r="C1" s="120" t="s">
        <v>2</v>
      </c>
      <c r="D1" s="120" t="s">
        <v>3</v>
      </c>
      <c r="E1" s="120" t="s">
        <v>4</v>
      </c>
      <c r="F1" s="120" t="s">
        <v>5</v>
      </c>
      <c r="G1" s="121" t="s">
        <v>6</v>
      </c>
      <c r="H1" s="122" t="s">
        <v>7</v>
      </c>
      <c r="I1" s="122" t="s">
        <v>8</v>
      </c>
      <c r="J1" s="122" t="s">
        <v>3567</v>
      </c>
      <c r="K1" s="122" t="s">
        <v>10</v>
      </c>
      <c r="L1" s="2" t="s">
        <v>3568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123" t="s">
        <v>5423</v>
      </c>
    </row>
    <row r="2">
      <c r="A2" s="38">
        <v>29317.0</v>
      </c>
      <c r="B2" s="120" t="s">
        <v>20</v>
      </c>
      <c r="C2" s="28" t="s">
        <v>5424</v>
      </c>
      <c r="D2" s="120" t="s">
        <v>70</v>
      </c>
      <c r="E2" s="120" t="s">
        <v>5425</v>
      </c>
      <c r="F2" s="124"/>
      <c r="G2" s="125">
        <v>1.0</v>
      </c>
      <c r="H2" s="126" t="s">
        <v>5426</v>
      </c>
      <c r="I2" s="127"/>
      <c r="J2" s="127"/>
      <c r="K2" s="127"/>
      <c r="L2" s="78"/>
      <c r="M2" s="78"/>
      <c r="N2" s="78"/>
      <c r="O2" s="78"/>
      <c r="P2" s="78"/>
      <c r="Q2" s="78"/>
      <c r="R2" s="78"/>
      <c r="S2" s="78"/>
      <c r="T2" s="78"/>
    </row>
    <row r="3">
      <c r="A3" s="124"/>
      <c r="B3" s="120" t="s">
        <v>20</v>
      </c>
      <c r="C3" s="28" t="s">
        <v>5427</v>
      </c>
      <c r="D3" s="120" t="s">
        <v>70</v>
      </c>
      <c r="E3" s="120" t="s">
        <v>5425</v>
      </c>
      <c r="F3" s="124"/>
      <c r="G3" s="125">
        <v>1.0</v>
      </c>
      <c r="H3" s="128" t="s">
        <v>5428</v>
      </c>
      <c r="I3" s="127"/>
      <c r="J3" s="127"/>
      <c r="K3" s="127"/>
      <c r="L3" s="78"/>
      <c r="M3" s="78"/>
      <c r="N3" s="78"/>
      <c r="O3" s="78"/>
      <c r="P3" s="78"/>
      <c r="Q3" s="78"/>
      <c r="R3" s="78"/>
      <c r="S3" s="78"/>
      <c r="T3" s="78"/>
    </row>
    <row r="4">
      <c r="A4" s="124"/>
      <c r="B4" s="120" t="s">
        <v>276</v>
      </c>
      <c r="C4" s="28" t="s">
        <v>5429</v>
      </c>
      <c r="D4" s="120" t="s">
        <v>70</v>
      </c>
      <c r="E4" s="120" t="s">
        <v>5425</v>
      </c>
      <c r="F4" s="124"/>
      <c r="G4" s="125">
        <v>1.0</v>
      </c>
      <c r="H4" s="126" t="s">
        <v>5430</v>
      </c>
      <c r="I4" s="127"/>
      <c r="J4" s="127"/>
      <c r="K4" s="127"/>
      <c r="L4" s="78"/>
      <c r="M4" s="78"/>
      <c r="N4" s="78"/>
      <c r="O4" s="78"/>
      <c r="P4" s="78"/>
      <c r="Q4" s="78"/>
      <c r="R4" s="78"/>
      <c r="S4" s="78"/>
      <c r="T4" s="78"/>
    </row>
    <row r="5">
      <c r="A5" s="124"/>
      <c r="B5" s="120" t="s">
        <v>276</v>
      </c>
      <c r="C5" s="28" t="s">
        <v>5431</v>
      </c>
      <c r="D5" s="120" t="s">
        <v>70</v>
      </c>
      <c r="E5" s="120" t="s">
        <v>5425</v>
      </c>
      <c r="F5" s="124"/>
      <c r="G5" s="125">
        <v>1.0</v>
      </c>
      <c r="H5" s="126" t="s">
        <v>5432</v>
      </c>
      <c r="I5" s="126" t="s">
        <v>5433</v>
      </c>
      <c r="J5" s="127"/>
      <c r="K5" s="127"/>
      <c r="L5" s="78"/>
      <c r="M5" s="78"/>
      <c r="N5" s="78"/>
      <c r="O5" s="78"/>
      <c r="P5" s="78"/>
      <c r="Q5" s="78"/>
      <c r="R5" s="78"/>
      <c r="S5" s="78"/>
      <c r="T5" s="78"/>
    </row>
    <row r="6">
      <c r="A6" s="129"/>
      <c r="B6" s="120" t="s">
        <v>720</v>
      </c>
      <c r="C6" s="28" t="s">
        <v>1371</v>
      </c>
      <c r="D6" s="120" t="s">
        <v>70</v>
      </c>
      <c r="E6" s="120" t="s">
        <v>5425</v>
      </c>
      <c r="F6" s="124"/>
      <c r="G6" s="125">
        <v>1.0</v>
      </c>
      <c r="H6" s="126" t="s">
        <v>5434</v>
      </c>
      <c r="I6" s="127"/>
      <c r="J6" s="127"/>
      <c r="K6" s="127"/>
      <c r="L6" s="27"/>
      <c r="M6" s="27"/>
      <c r="N6" s="27"/>
      <c r="O6" s="27"/>
      <c r="P6" s="27"/>
      <c r="Q6" s="27"/>
      <c r="R6" s="27"/>
      <c r="S6" s="27"/>
      <c r="T6" s="27"/>
    </row>
    <row r="7">
      <c r="A7" s="129"/>
      <c r="B7" s="120" t="s">
        <v>687</v>
      </c>
      <c r="C7" s="28" t="s">
        <v>3615</v>
      </c>
      <c r="D7" s="120" t="s">
        <v>70</v>
      </c>
      <c r="E7" s="120" t="s">
        <v>5425</v>
      </c>
      <c r="F7" s="124"/>
      <c r="G7" s="125">
        <v>1.0</v>
      </c>
      <c r="H7" s="126" t="s">
        <v>5435</v>
      </c>
      <c r="I7" s="127"/>
      <c r="J7" s="127"/>
      <c r="K7" s="127"/>
      <c r="L7" s="27"/>
      <c r="M7" s="27"/>
      <c r="N7" s="27"/>
      <c r="O7" s="27"/>
      <c r="P7" s="27"/>
      <c r="Q7" s="27"/>
      <c r="R7" s="27"/>
      <c r="S7" s="27"/>
      <c r="T7" s="27"/>
    </row>
    <row r="8">
      <c r="A8" s="124"/>
      <c r="B8" s="120" t="s">
        <v>276</v>
      </c>
      <c r="C8" s="28" t="s">
        <v>5436</v>
      </c>
      <c r="D8" s="120" t="s">
        <v>70</v>
      </c>
      <c r="E8" s="120" t="s">
        <v>5425</v>
      </c>
      <c r="F8" s="38"/>
      <c r="G8" s="125">
        <v>1.0</v>
      </c>
      <c r="H8" s="126" t="s">
        <v>5437</v>
      </c>
      <c r="I8" s="127"/>
      <c r="J8" s="127"/>
      <c r="K8" s="127"/>
      <c r="L8" s="78"/>
      <c r="M8" s="78"/>
      <c r="N8" s="78"/>
      <c r="O8" s="78"/>
      <c r="P8" s="78"/>
      <c r="Q8" s="78"/>
      <c r="R8" s="78"/>
      <c r="S8" s="78"/>
      <c r="T8" s="78"/>
    </row>
    <row r="9">
      <c r="A9" s="124"/>
      <c r="B9" s="120" t="s">
        <v>20</v>
      </c>
      <c r="C9" s="28" t="s">
        <v>5438</v>
      </c>
      <c r="D9" s="120" t="s">
        <v>70</v>
      </c>
      <c r="E9" s="120" t="s">
        <v>5425</v>
      </c>
      <c r="F9" s="124"/>
      <c r="G9" s="125">
        <v>1.0</v>
      </c>
      <c r="H9" s="126" t="s">
        <v>5439</v>
      </c>
      <c r="I9" s="128" t="s">
        <v>5440</v>
      </c>
      <c r="J9" s="127"/>
      <c r="K9" s="127"/>
      <c r="L9" s="78"/>
      <c r="M9" s="78"/>
      <c r="N9" s="78"/>
      <c r="O9" s="78"/>
      <c r="P9" s="78"/>
      <c r="Q9" s="78"/>
      <c r="R9" s="78"/>
      <c r="S9" s="78"/>
      <c r="T9" s="78"/>
    </row>
    <row r="10">
      <c r="A10" s="124"/>
      <c r="B10" s="120" t="s">
        <v>276</v>
      </c>
      <c r="C10" s="28" t="s">
        <v>5441</v>
      </c>
      <c r="D10" s="120" t="s">
        <v>70</v>
      </c>
      <c r="E10" s="120" t="s">
        <v>5425</v>
      </c>
      <c r="F10" s="124"/>
      <c r="G10" s="125">
        <v>1.0</v>
      </c>
      <c r="H10" s="126" t="s">
        <v>5442</v>
      </c>
      <c r="I10" s="127"/>
      <c r="J10" s="127"/>
      <c r="K10" s="127"/>
      <c r="L10" s="78"/>
      <c r="M10" s="78"/>
      <c r="N10" s="78"/>
      <c r="O10" s="78"/>
      <c r="P10" s="78"/>
      <c r="Q10" s="78"/>
      <c r="R10" s="78"/>
      <c r="S10" s="78"/>
      <c r="T10" s="78"/>
    </row>
    <row r="11">
      <c r="A11" s="124"/>
      <c r="B11" s="120" t="s">
        <v>5443</v>
      </c>
      <c r="C11" s="28" t="s">
        <v>5444</v>
      </c>
      <c r="D11" s="120" t="s">
        <v>70</v>
      </c>
      <c r="E11" s="120" t="s">
        <v>5425</v>
      </c>
      <c r="F11" s="124"/>
      <c r="G11" s="125">
        <v>1.0</v>
      </c>
      <c r="H11" s="126" t="s">
        <v>5445</v>
      </c>
      <c r="I11" s="127"/>
      <c r="J11" s="127"/>
      <c r="K11" s="127"/>
      <c r="L11" s="78"/>
      <c r="M11" s="78"/>
      <c r="N11" s="78"/>
      <c r="O11" s="78"/>
      <c r="P11" s="78"/>
      <c r="Q11" s="78"/>
      <c r="R11" s="78"/>
      <c r="S11" s="78"/>
      <c r="T11" s="78"/>
    </row>
    <row r="12">
      <c r="A12" s="129"/>
      <c r="B12" s="120" t="s">
        <v>687</v>
      </c>
      <c r="C12" s="28" t="s">
        <v>5446</v>
      </c>
      <c r="D12" s="120" t="s">
        <v>70</v>
      </c>
      <c r="E12" s="120" t="s">
        <v>5425</v>
      </c>
      <c r="F12" s="124"/>
      <c r="G12" s="125">
        <v>1.0</v>
      </c>
      <c r="H12" s="126" t="s">
        <v>5447</v>
      </c>
      <c r="I12" s="127"/>
      <c r="J12" s="127"/>
      <c r="K12" s="127"/>
      <c r="L12" s="27"/>
      <c r="M12" s="27"/>
      <c r="N12" s="27"/>
      <c r="O12" s="27"/>
      <c r="P12" s="27"/>
      <c r="Q12" s="27"/>
      <c r="R12" s="27"/>
      <c r="S12" s="27"/>
      <c r="T12" s="27"/>
    </row>
    <row r="13">
      <c r="A13" s="38">
        <v>30260.0</v>
      </c>
      <c r="B13" s="120" t="s">
        <v>20</v>
      </c>
      <c r="C13" s="28" t="s">
        <v>5448</v>
      </c>
      <c r="D13" s="120" t="s">
        <v>70</v>
      </c>
      <c r="E13" s="120" t="s">
        <v>5449</v>
      </c>
      <c r="F13" s="120" t="s">
        <v>5450</v>
      </c>
      <c r="G13" s="125">
        <v>1.0</v>
      </c>
      <c r="H13" s="126" t="s">
        <v>5451</v>
      </c>
      <c r="I13" s="127"/>
      <c r="J13" s="127"/>
      <c r="K13" s="127"/>
      <c r="L13" s="78"/>
      <c r="M13" s="78"/>
      <c r="N13" s="78"/>
      <c r="O13" s="78"/>
      <c r="P13" s="78"/>
      <c r="Q13" s="78"/>
      <c r="R13" s="78"/>
      <c r="S13" s="78"/>
      <c r="T13" s="78"/>
    </row>
    <row r="14">
      <c r="A14" s="38">
        <v>30488.0</v>
      </c>
      <c r="B14" s="120" t="s">
        <v>20</v>
      </c>
      <c r="C14" s="28" t="s">
        <v>4391</v>
      </c>
      <c r="D14" s="120" t="s">
        <v>70</v>
      </c>
      <c r="E14" s="120" t="s">
        <v>5452</v>
      </c>
      <c r="F14" s="124"/>
      <c r="G14" s="125">
        <v>1.0</v>
      </c>
      <c r="H14" s="127"/>
      <c r="I14" s="127"/>
      <c r="J14" s="126" t="s">
        <v>5453</v>
      </c>
      <c r="K14" s="127"/>
      <c r="L14" s="78"/>
      <c r="M14" s="78"/>
      <c r="N14" s="78"/>
      <c r="O14" s="78"/>
      <c r="P14" s="78"/>
      <c r="Q14" s="78"/>
      <c r="R14" s="78"/>
      <c r="S14" s="78"/>
      <c r="T14" s="78"/>
    </row>
    <row r="15">
      <c r="A15" s="129"/>
      <c r="B15" s="120" t="s">
        <v>5443</v>
      </c>
      <c r="C15" s="28" t="s">
        <v>5454</v>
      </c>
      <c r="D15" s="120" t="s">
        <v>70</v>
      </c>
      <c r="E15" s="120" t="s">
        <v>5452</v>
      </c>
      <c r="F15" s="124"/>
      <c r="G15" s="125">
        <v>1.0</v>
      </c>
      <c r="H15" s="127"/>
      <c r="I15" s="127"/>
      <c r="J15" s="126" t="s">
        <v>5453</v>
      </c>
      <c r="K15" s="127"/>
      <c r="L15" s="27"/>
      <c r="M15" s="27"/>
      <c r="N15" s="27"/>
      <c r="O15" s="27"/>
      <c r="P15" s="27"/>
      <c r="Q15" s="27"/>
      <c r="R15" s="27"/>
      <c r="S15" s="27"/>
      <c r="T15" s="27"/>
    </row>
    <row r="16">
      <c r="A16" s="38" t="s">
        <v>5455</v>
      </c>
      <c r="B16" s="120" t="s">
        <v>687</v>
      </c>
      <c r="C16" s="28" t="s">
        <v>5456</v>
      </c>
      <c r="D16" s="120" t="s">
        <v>70</v>
      </c>
      <c r="E16" s="120" t="s">
        <v>5452</v>
      </c>
      <c r="F16" s="124"/>
      <c r="G16" s="125">
        <v>1.0</v>
      </c>
      <c r="H16" s="126" t="s">
        <v>5457</v>
      </c>
      <c r="I16" s="127"/>
      <c r="J16" s="127"/>
      <c r="K16" s="127"/>
      <c r="L16" s="78"/>
      <c r="M16" s="78"/>
      <c r="N16" s="78"/>
      <c r="O16" s="78"/>
      <c r="P16" s="78"/>
      <c r="Q16" s="78"/>
      <c r="R16" s="78"/>
      <c r="S16" s="78"/>
      <c r="T16" s="78"/>
    </row>
    <row r="17">
      <c r="A17" s="124"/>
      <c r="B17" s="120" t="s">
        <v>20</v>
      </c>
      <c r="C17" s="28" t="s">
        <v>5458</v>
      </c>
      <c r="D17" s="120" t="s">
        <v>70</v>
      </c>
      <c r="E17" s="120" t="s">
        <v>5459</v>
      </c>
      <c r="F17" s="124"/>
      <c r="G17" s="125">
        <v>1.0</v>
      </c>
      <c r="H17" s="126" t="s">
        <v>5460</v>
      </c>
      <c r="I17" s="127"/>
      <c r="J17" s="127"/>
      <c r="K17" s="127"/>
      <c r="L17" s="78"/>
      <c r="M17" s="78"/>
      <c r="N17" s="78"/>
      <c r="O17" s="78"/>
      <c r="P17" s="78"/>
      <c r="Q17" s="78"/>
      <c r="R17" s="78"/>
      <c r="S17" s="78"/>
      <c r="T17" s="78"/>
    </row>
    <row r="18">
      <c r="A18" s="38">
        <v>29310.0</v>
      </c>
      <c r="B18" s="120" t="s">
        <v>20</v>
      </c>
      <c r="C18" s="28" t="s">
        <v>5461</v>
      </c>
      <c r="D18" s="120" t="s">
        <v>70</v>
      </c>
      <c r="E18" s="120" t="s">
        <v>5459</v>
      </c>
      <c r="F18" s="124"/>
      <c r="G18" s="125">
        <v>1.0</v>
      </c>
      <c r="H18" s="126" t="s">
        <v>5462</v>
      </c>
      <c r="I18" s="127"/>
      <c r="J18" s="127"/>
      <c r="K18" s="127"/>
      <c r="L18" s="78"/>
      <c r="M18" s="78"/>
      <c r="N18" s="78"/>
      <c r="O18" s="78"/>
      <c r="P18" s="78"/>
      <c r="Q18" s="78"/>
      <c r="R18" s="78"/>
      <c r="S18" s="78"/>
      <c r="T18" s="78"/>
    </row>
    <row r="19">
      <c r="A19" s="129"/>
      <c r="B19" s="120" t="s">
        <v>720</v>
      </c>
      <c r="C19" s="28" t="s">
        <v>5463</v>
      </c>
      <c r="D19" s="120" t="s">
        <v>70</v>
      </c>
      <c r="E19" s="120" t="s">
        <v>5459</v>
      </c>
      <c r="F19" s="124"/>
      <c r="G19" s="125">
        <v>1.0</v>
      </c>
      <c r="H19" s="130"/>
      <c r="I19" s="127"/>
      <c r="J19" s="126" t="s">
        <v>5464</v>
      </c>
      <c r="K19" s="127"/>
      <c r="L19" s="27"/>
      <c r="M19" s="27"/>
      <c r="N19" s="27"/>
      <c r="O19" s="27"/>
      <c r="P19" s="27"/>
      <c r="Q19" s="27"/>
      <c r="R19" s="27"/>
      <c r="S19" s="27"/>
      <c r="T19" s="27"/>
    </row>
    <row r="20">
      <c r="A20" s="129"/>
      <c r="B20" s="120" t="s">
        <v>20</v>
      </c>
      <c r="C20" s="28" t="s">
        <v>4560</v>
      </c>
      <c r="D20" s="120" t="s">
        <v>70</v>
      </c>
      <c r="E20" s="120" t="s">
        <v>5459</v>
      </c>
      <c r="F20" s="124"/>
      <c r="G20" s="125">
        <v>1.0</v>
      </c>
      <c r="H20" s="43" t="s">
        <v>5465</v>
      </c>
      <c r="I20" s="27"/>
      <c r="J20" s="127"/>
      <c r="K20" s="127"/>
      <c r="L20" s="27"/>
      <c r="M20" s="27"/>
      <c r="N20" s="27"/>
      <c r="O20" s="27"/>
      <c r="P20" s="27"/>
      <c r="Q20" s="27"/>
      <c r="R20" s="27"/>
      <c r="S20" s="27"/>
      <c r="T20" s="27"/>
    </row>
    <row r="21">
      <c r="A21" s="124"/>
      <c r="B21" s="120" t="s">
        <v>20</v>
      </c>
      <c r="C21" s="28" t="s">
        <v>5466</v>
      </c>
      <c r="D21" s="120" t="s">
        <v>70</v>
      </c>
      <c r="E21" s="120" t="s">
        <v>5459</v>
      </c>
      <c r="F21" s="120"/>
      <c r="G21" s="125">
        <v>1.0</v>
      </c>
      <c r="H21" s="128" t="s">
        <v>5467</v>
      </c>
      <c r="I21" s="127"/>
      <c r="J21" s="127"/>
      <c r="K21" s="127"/>
      <c r="L21" s="78"/>
      <c r="M21" s="78"/>
      <c r="N21" s="78"/>
      <c r="O21" s="78"/>
      <c r="P21" s="78"/>
      <c r="Q21" s="78"/>
      <c r="R21" s="78"/>
      <c r="S21" s="78"/>
      <c r="T21" s="78"/>
    </row>
    <row r="22">
      <c r="A22" s="124"/>
      <c r="B22" s="120" t="s">
        <v>20</v>
      </c>
      <c r="C22" s="28" t="s">
        <v>5468</v>
      </c>
      <c r="D22" s="120" t="s">
        <v>70</v>
      </c>
      <c r="E22" s="120" t="s">
        <v>5459</v>
      </c>
      <c r="F22" s="120"/>
      <c r="G22" s="125">
        <v>1.0</v>
      </c>
      <c r="H22" s="126" t="s">
        <v>5469</v>
      </c>
      <c r="I22" s="127"/>
      <c r="J22" s="126" t="s">
        <v>5470</v>
      </c>
      <c r="K22" s="127"/>
      <c r="L22" s="78"/>
      <c r="M22" s="78"/>
      <c r="N22" s="78"/>
      <c r="O22" s="78"/>
      <c r="P22" s="78"/>
      <c r="Q22" s="78"/>
      <c r="R22" s="78"/>
      <c r="S22" s="78"/>
      <c r="T22" s="78"/>
    </row>
    <row r="23">
      <c r="A23" s="38">
        <v>32868.0</v>
      </c>
      <c r="B23" s="120" t="s">
        <v>20</v>
      </c>
      <c r="C23" s="28" t="s">
        <v>5471</v>
      </c>
      <c r="D23" s="120" t="s">
        <v>70</v>
      </c>
      <c r="E23" s="120" t="s">
        <v>5459</v>
      </c>
      <c r="F23" s="120"/>
      <c r="G23" s="125">
        <v>1.0</v>
      </c>
      <c r="H23" s="126" t="s">
        <v>5472</v>
      </c>
      <c r="I23" s="126" t="s">
        <v>5473</v>
      </c>
      <c r="J23" s="127"/>
      <c r="K23" s="127"/>
      <c r="L23" s="78"/>
      <c r="M23" s="78"/>
      <c r="N23" s="78"/>
      <c r="O23" s="78"/>
      <c r="P23" s="78"/>
      <c r="Q23" s="78"/>
      <c r="R23" s="78"/>
      <c r="S23" s="78"/>
      <c r="T23" s="78"/>
    </row>
    <row r="24">
      <c r="A24" s="124"/>
      <c r="B24" s="120" t="s">
        <v>20</v>
      </c>
      <c r="C24" s="28" t="s">
        <v>272</v>
      </c>
      <c r="D24" s="120" t="s">
        <v>70</v>
      </c>
      <c r="E24" s="120" t="s">
        <v>5459</v>
      </c>
      <c r="F24" s="124"/>
      <c r="G24" s="125">
        <v>1.0</v>
      </c>
      <c r="H24" s="126" t="s">
        <v>5474</v>
      </c>
      <c r="I24" s="127"/>
      <c r="J24" s="127"/>
      <c r="K24" s="127"/>
      <c r="L24" s="78"/>
      <c r="M24" s="78"/>
      <c r="N24" s="78"/>
      <c r="O24" s="78"/>
      <c r="P24" s="78"/>
      <c r="Q24" s="78"/>
      <c r="R24" s="78"/>
      <c r="S24" s="78"/>
      <c r="T24" s="78"/>
    </row>
    <row r="25">
      <c r="A25" s="125"/>
      <c r="B25" s="120" t="s">
        <v>17</v>
      </c>
      <c r="C25" s="131" t="s">
        <v>5475</v>
      </c>
      <c r="D25" s="120" t="s">
        <v>70</v>
      </c>
      <c r="E25" s="120" t="s">
        <v>5459</v>
      </c>
      <c r="F25" s="124"/>
      <c r="G25" s="125">
        <v>1.0</v>
      </c>
      <c r="H25" s="126" t="s">
        <v>5476</v>
      </c>
      <c r="I25" s="127"/>
      <c r="J25" s="127"/>
      <c r="K25" s="127"/>
      <c r="L25" s="27"/>
      <c r="M25" s="27"/>
      <c r="N25" s="27"/>
      <c r="O25" s="27"/>
      <c r="P25" s="27"/>
      <c r="Q25" s="27"/>
      <c r="R25" s="27"/>
      <c r="S25" s="27"/>
      <c r="T25" s="27"/>
    </row>
    <row r="26">
      <c r="A26" s="38">
        <v>28014.0</v>
      </c>
      <c r="B26" s="120" t="s">
        <v>687</v>
      </c>
      <c r="C26" s="28" t="s">
        <v>5477</v>
      </c>
      <c r="D26" s="120" t="s">
        <v>70</v>
      </c>
      <c r="E26" s="120" t="s">
        <v>5459</v>
      </c>
      <c r="F26" s="124"/>
      <c r="G26" s="125">
        <v>1.0</v>
      </c>
      <c r="H26" s="126" t="s">
        <v>5478</v>
      </c>
      <c r="I26" s="127"/>
      <c r="J26" s="127"/>
      <c r="K26" s="127"/>
      <c r="L26" s="78"/>
      <c r="M26" s="78"/>
      <c r="N26" s="78"/>
      <c r="O26" s="78"/>
      <c r="P26" s="78"/>
      <c r="Q26" s="78"/>
      <c r="R26" s="78"/>
      <c r="S26" s="78"/>
      <c r="T26" s="78"/>
    </row>
    <row r="27">
      <c r="A27" s="129"/>
      <c r="B27" s="120" t="s">
        <v>20</v>
      </c>
      <c r="C27" s="28" t="s">
        <v>5479</v>
      </c>
      <c r="D27" s="120" t="s">
        <v>70</v>
      </c>
      <c r="E27" s="120" t="s">
        <v>5459</v>
      </c>
      <c r="F27" s="124"/>
      <c r="G27" s="125">
        <v>1.0</v>
      </c>
      <c r="H27" s="126" t="s">
        <v>5480</v>
      </c>
      <c r="I27" s="127"/>
      <c r="J27" s="127"/>
      <c r="K27" s="127"/>
      <c r="L27" s="27"/>
      <c r="M27" s="27"/>
      <c r="N27" s="27"/>
      <c r="O27" s="27"/>
      <c r="P27" s="27"/>
      <c r="Q27" s="27"/>
      <c r="R27" s="27"/>
      <c r="S27" s="27"/>
      <c r="T27" s="27"/>
    </row>
    <row r="28">
      <c r="A28" s="129"/>
      <c r="B28" s="120" t="s">
        <v>687</v>
      </c>
      <c r="C28" s="28" t="s">
        <v>5481</v>
      </c>
      <c r="D28" s="120" t="s">
        <v>70</v>
      </c>
      <c r="E28" s="120" t="s">
        <v>5459</v>
      </c>
      <c r="F28" s="124"/>
      <c r="G28" s="125">
        <v>1.0</v>
      </c>
      <c r="H28" s="126" t="s">
        <v>5482</v>
      </c>
      <c r="I28" s="127"/>
      <c r="J28" s="127"/>
      <c r="K28" s="127"/>
      <c r="L28" s="27"/>
      <c r="M28" s="27"/>
      <c r="N28" s="27"/>
      <c r="O28" s="27"/>
      <c r="P28" s="27"/>
      <c r="Q28" s="27"/>
      <c r="R28" s="27"/>
      <c r="S28" s="27"/>
      <c r="T28" s="27"/>
    </row>
    <row r="29">
      <c r="A29" s="129"/>
      <c r="B29" s="120" t="s">
        <v>20</v>
      </c>
      <c r="C29" s="28" t="s">
        <v>5483</v>
      </c>
      <c r="D29" s="120" t="s">
        <v>70</v>
      </c>
      <c r="E29" s="120" t="s">
        <v>5459</v>
      </c>
      <c r="F29" s="124"/>
      <c r="G29" s="125">
        <v>1.0</v>
      </c>
      <c r="H29" s="126" t="s">
        <v>5484</v>
      </c>
      <c r="I29" s="127"/>
      <c r="J29" s="127"/>
      <c r="K29" s="127"/>
      <c r="L29" s="27"/>
      <c r="M29" s="27"/>
      <c r="N29" s="27"/>
      <c r="O29" s="27"/>
      <c r="P29" s="27"/>
      <c r="Q29" s="27"/>
      <c r="R29" s="27"/>
      <c r="S29" s="27"/>
      <c r="T29" s="27"/>
    </row>
    <row r="30">
      <c r="A30" s="129"/>
      <c r="B30" s="120" t="s">
        <v>276</v>
      </c>
      <c r="C30" s="28" t="s">
        <v>281</v>
      </c>
      <c r="D30" s="120" t="s">
        <v>70</v>
      </c>
      <c r="E30" s="120" t="s">
        <v>5459</v>
      </c>
      <c r="F30" s="124"/>
      <c r="G30" s="125">
        <v>1.0</v>
      </c>
      <c r="H30" s="126" t="s">
        <v>5485</v>
      </c>
      <c r="I30" s="127"/>
      <c r="J30" s="127"/>
      <c r="K30" s="127"/>
      <c r="L30" s="27"/>
      <c r="M30" s="27"/>
      <c r="N30" s="27"/>
      <c r="O30" s="27"/>
      <c r="P30" s="27"/>
      <c r="Q30" s="27"/>
      <c r="R30" s="27"/>
      <c r="S30" s="27"/>
      <c r="T30" s="27"/>
    </row>
    <row r="31">
      <c r="A31" s="124"/>
      <c r="B31" s="120" t="s">
        <v>276</v>
      </c>
      <c r="C31" s="28" t="s">
        <v>2229</v>
      </c>
      <c r="D31" s="120" t="s">
        <v>70</v>
      </c>
      <c r="E31" s="120" t="s">
        <v>5459</v>
      </c>
      <c r="F31" s="120" t="s">
        <v>5486</v>
      </c>
      <c r="G31" s="125">
        <v>1.0</v>
      </c>
      <c r="H31" s="126" t="s">
        <v>5487</v>
      </c>
      <c r="I31" s="127"/>
      <c r="J31" s="127"/>
      <c r="K31" s="127"/>
      <c r="L31" s="78"/>
      <c r="M31" s="78"/>
      <c r="N31" s="78"/>
      <c r="O31" s="78"/>
      <c r="P31" s="78"/>
      <c r="Q31" s="78"/>
      <c r="R31" s="78"/>
      <c r="S31" s="78"/>
      <c r="T31" s="78"/>
    </row>
    <row r="32">
      <c r="A32" s="129"/>
      <c r="B32" s="120" t="s">
        <v>20</v>
      </c>
      <c r="C32" s="28" t="s">
        <v>5488</v>
      </c>
      <c r="D32" s="120" t="s">
        <v>70</v>
      </c>
      <c r="E32" s="120" t="s">
        <v>5459</v>
      </c>
      <c r="F32" s="124"/>
      <c r="G32" s="125">
        <v>1.0</v>
      </c>
      <c r="H32" s="128" t="s">
        <v>5489</v>
      </c>
      <c r="I32" s="132" t="s">
        <v>318</v>
      </c>
      <c r="J32" s="132" t="s">
        <v>318</v>
      </c>
      <c r="K32" s="127"/>
      <c r="L32" s="27"/>
      <c r="M32" s="27"/>
      <c r="N32" s="27"/>
      <c r="O32" s="27"/>
      <c r="P32" s="27"/>
      <c r="Q32" s="27"/>
      <c r="R32" s="27"/>
      <c r="S32" s="27"/>
      <c r="T32" s="27"/>
    </row>
    <row r="33">
      <c r="A33" s="129"/>
      <c r="B33" s="120" t="s">
        <v>687</v>
      </c>
      <c r="C33" s="28" t="s">
        <v>5490</v>
      </c>
      <c r="D33" s="120" t="s">
        <v>70</v>
      </c>
      <c r="E33" s="120" t="s">
        <v>5459</v>
      </c>
      <c r="F33" s="124"/>
      <c r="G33" s="125">
        <v>1.0</v>
      </c>
      <c r="H33" s="126" t="s">
        <v>5491</v>
      </c>
      <c r="I33" s="127"/>
      <c r="J33" s="127"/>
      <c r="K33" s="127"/>
      <c r="L33" s="27"/>
      <c r="M33" s="27"/>
      <c r="N33" s="27"/>
      <c r="O33" s="27"/>
      <c r="P33" s="27"/>
      <c r="Q33" s="27"/>
      <c r="R33" s="27"/>
      <c r="S33" s="27"/>
      <c r="T33" s="27"/>
    </row>
    <row r="34">
      <c r="A34" s="129"/>
      <c r="B34" s="120" t="s">
        <v>276</v>
      </c>
      <c r="C34" s="28" t="s">
        <v>786</v>
      </c>
      <c r="D34" s="120" t="s">
        <v>70</v>
      </c>
      <c r="E34" s="120" t="s">
        <v>5459</v>
      </c>
      <c r="F34" s="124"/>
      <c r="G34" s="125">
        <v>1.0</v>
      </c>
      <c r="H34" s="126" t="s">
        <v>5492</v>
      </c>
      <c r="I34" s="127"/>
      <c r="J34" s="127"/>
      <c r="K34" s="127"/>
      <c r="L34" s="27"/>
      <c r="M34" s="27"/>
      <c r="N34" s="27"/>
      <c r="O34" s="27"/>
      <c r="P34" s="27"/>
      <c r="Q34" s="27"/>
      <c r="R34" s="27"/>
      <c r="S34" s="27"/>
      <c r="T34" s="27"/>
    </row>
    <row r="35">
      <c r="A35" s="124"/>
      <c r="B35" s="120" t="s">
        <v>20</v>
      </c>
      <c r="C35" s="28" t="s">
        <v>74</v>
      </c>
      <c r="D35" s="120" t="s">
        <v>70</v>
      </c>
      <c r="E35" s="120" t="s">
        <v>5459</v>
      </c>
      <c r="F35" s="120"/>
      <c r="G35" s="125">
        <v>1.0</v>
      </c>
      <c r="H35" s="126" t="s">
        <v>5493</v>
      </c>
      <c r="I35" s="126" t="s">
        <v>5494</v>
      </c>
      <c r="J35" s="126" t="s">
        <v>5495</v>
      </c>
      <c r="K35" s="127"/>
      <c r="L35" s="78"/>
      <c r="M35" s="78"/>
      <c r="N35" s="78"/>
      <c r="O35" s="78"/>
      <c r="P35" s="78"/>
      <c r="Q35" s="78"/>
      <c r="R35" s="78"/>
      <c r="S35" s="78"/>
      <c r="T35" s="78"/>
    </row>
    <row r="36">
      <c r="A36" s="124"/>
      <c r="B36" s="120" t="s">
        <v>102</v>
      </c>
      <c r="C36" s="28" t="s">
        <v>74</v>
      </c>
      <c r="D36" s="120" t="s">
        <v>70</v>
      </c>
      <c r="E36" s="120" t="s">
        <v>5459</v>
      </c>
      <c r="F36" s="120" t="s">
        <v>5496</v>
      </c>
      <c r="G36" s="125">
        <v>1.0</v>
      </c>
      <c r="H36" s="126" t="s">
        <v>5497</v>
      </c>
      <c r="I36" s="127"/>
      <c r="J36" s="127"/>
      <c r="K36" s="127"/>
      <c r="L36" s="78"/>
      <c r="M36" s="78"/>
      <c r="N36" s="78"/>
      <c r="O36" s="78"/>
      <c r="P36" s="78"/>
      <c r="Q36" s="78"/>
      <c r="R36" s="78"/>
      <c r="S36" s="78"/>
      <c r="T36" s="78"/>
    </row>
    <row r="37">
      <c r="A37" s="129"/>
      <c r="B37" s="120"/>
      <c r="C37" s="28" t="s">
        <v>5498</v>
      </c>
      <c r="D37" s="120" t="s">
        <v>70</v>
      </c>
      <c r="E37" s="120" t="s">
        <v>5459</v>
      </c>
      <c r="F37" s="124"/>
      <c r="G37" s="125">
        <v>1.0</v>
      </c>
      <c r="H37" s="126" t="s">
        <v>5499</v>
      </c>
      <c r="I37" s="127"/>
      <c r="J37" s="127"/>
      <c r="K37" s="127"/>
      <c r="L37" s="27"/>
      <c r="M37" s="27"/>
      <c r="N37" s="27"/>
      <c r="O37" s="27"/>
      <c r="P37" s="27"/>
      <c r="Q37" s="27"/>
      <c r="R37" s="27"/>
      <c r="S37" s="27"/>
      <c r="T37" s="27"/>
    </row>
    <row r="38">
      <c r="A38" s="129"/>
      <c r="B38" s="120" t="s">
        <v>20</v>
      </c>
      <c r="C38" s="28" t="s">
        <v>5500</v>
      </c>
      <c r="D38" s="120" t="s">
        <v>70</v>
      </c>
      <c r="E38" s="120" t="s">
        <v>5459</v>
      </c>
      <c r="F38" s="124"/>
      <c r="G38" s="125">
        <v>1.0</v>
      </c>
      <c r="H38" s="126" t="s">
        <v>5501</v>
      </c>
      <c r="I38" s="127"/>
      <c r="J38" s="127"/>
      <c r="K38" s="127"/>
      <c r="L38" s="27"/>
      <c r="M38" s="27"/>
      <c r="N38" s="27"/>
      <c r="O38" s="27"/>
      <c r="P38" s="27"/>
      <c r="Q38" s="27"/>
      <c r="R38" s="27"/>
      <c r="S38" s="27"/>
      <c r="T38" s="27"/>
    </row>
    <row r="39">
      <c r="A39" s="129"/>
      <c r="B39" s="120" t="s">
        <v>687</v>
      </c>
      <c r="C39" s="28" t="s">
        <v>5502</v>
      </c>
      <c r="D39" s="120" t="s">
        <v>70</v>
      </c>
      <c r="E39" s="120" t="s">
        <v>5459</v>
      </c>
      <c r="F39" s="124"/>
      <c r="G39" s="125">
        <v>1.0</v>
      </c>
      <c r="H39" s="126" t="s">
        <v>5503</v>
      </c>
      <c r="I39" s="127"/>
      <c r="J39" s="127"/>
      <c r="K39" s="127"/>
      <c r="L39" s="27"/>
      <c r="M39" s="27"/>
      <c r="N39" s="27"/>
      <c r="O39" s="27"/>
      <c r="P39" s="27"/>
      <c r="Q39" s="27"/>
      <c r="R39" s="27"/>
      <c r="S39" s="27"/>
      <c r="T39" s="27"/>
    </row>
    <row r="40">
      <c r="A40" s="129"/>
      <c r="B40" s="120" t="s">
        <v>687</v>
      </c>
      <c r="C40" s="28" t="s">
        <v>5504</v>
      </c>
      <c r="D40" s="120" t="s">
        <v>70</v>
      </c>
      <c r="E40" s="120" t="s">
        <v>5459</v>
      </c>
      <c r="F40" s="124"/>
      <c r="G40" s="125">
        <v>1.0</v>
      </c>
      <c r="H40" s="126" t="s">
        <v>5505</v>
      </c>
      <c r="I40" s="127"/>
      <c r="J40" s="127"/>
      <c r="K40" s="127"/>
      <c r="L40" s="27"/>
      <c r="M40" s="27"/>
      <c r="N40" s="27"/>
      <c r="O40" s="27"/>
      <c r="P40" s="27"/>
      <c r="Q40" s="27"/>
      <c r="R40" s="27"/>
      <c r="S40" s="27"/>
      <c r="T40" s="27"/>
    </row>
    <row r="41">
      <c r="A41" s="129"/>
      <c r="B41" s="120" t="s">
        <v>687</v>
      </c>
      <c r="C41" s="28" t="s">
        <v>5506</v>
      </c>
      <c r="D41" s="120" t="s">
        <v>70</v>
      </c>
      <c r="E41" s="120" t="s">
        <v>5459</v>
      </c>
      <c r="F41" s="124"/>
      <c r="G41" s="125">
        <v>1.0</v>
      </c>
      <c r="H41" s="126" t="s">
        <v>5507</v>
      </c>
      <c r="I41" s="29" t="s">
        <v>5508</v>
      </c>
      <c r="J41" s="127"/>
      <c r="K41" s="127"/>
      <c r="L41" s="27"/>
      <c r="M41" s="27"/>
      <c r="N41" s="27"/>
      <c r="O41" s="27"/>
      <c r="P41" s="27"/>
      <c r="Q41" s="27"/>
      <c r="R41" s="27"/>
      <c r="S41" s="27"/>
      <c r="T41" s="27"/>
    </row>
    <row r="42">
      <c r="A42" s="124"/>
      <c r="B42" s="120" t="s">
        <v>20</v>
      </c>
      <c r="C42" s="28" t="s">
        <v>5509</v>
      </c>
      <c r="D42" s="120" t="s">
        <v>70</v>
      </c>
      <c r="E42" s="120" t="s">
        <v>5459</v>
      </c>
      <c r="F42" s="124"/>
      <c r="G42" s="125">
        <v>1.0</v>
      </c>
      <c r="H42" s="126" t="s">
        <v>5510</v>
      </c>
      <c r="I42" s="127"/>
      <c r="J42" s="127"/>
      <c r="K42" s="127"/>
      <c r="L42" s="78"/>
      <c r="M42" s="78"/>
      <c r="N42" s="78"/>
      <c r="O42" s="78"/>
      <c r="P42" s="78"/>
      <c r="Q42" s="78"/>
      <c r="R42" s="78"/>
      <c r="S42" s="78"/>
      <c r="T42" s="78"/>
    </row>
    <row r="43">
      <c r="A43" s="38">
        <v>31512.0</v>
      </c>
      <c r="B43" s="120" t="s">
        <v>20</v>
      </c>
      <c r="C43" s="28" t="s">
        <v>5511</v>
      </c>
      <c r="D43" s="120" t="s">
        <v>70</v>
      </c>
      <c r="E43" s="120" t="s">
        <v>5459</v>
      </c>
      <c r="F43" s="120"/>
      <c r="G43" s="125">
        <v>1.0</v>
      </c>
      <c r="H43" s="126" t="s">
        <v>5512</v>
      </c>
      <c r="I43" s="127"/>
      <c r="J43" s="127"/>
      <c r="K43" s="127"/>
      <c r="L43" s="78"/>
      <c r="M43" s="78"/>
      <c r="N43" s="78"/>
      <c r="O43" s="78"/>
      <c r="P43" s="78"/>
      <c r="Q43" s="78"/>
      <c r="R43" s="78"/>
      <c r="S43" s="78"/>
      <c r="T43" s="78"/>
    </row>
    <row r="44">
      <c r="A44" s="124"/>
      <c r="B44" s="120" t="s">
        <v>20</v>
      </c>
      <c r="C44" s="28" t="s">
        <v>5513</v>
      </c>
      <c r="D44" s="120" t="s">
        <v>70</v>
      </c>
      <c r="E44" s="120" t="s">
        <v>5514</v>
      </c>
      <c r="F44" s="124"/>
      <c r="G44" s="125">
        <v>1.0</v>
      </c>
      <c r="H44" s="128" t="s">
        <v>5515</v>
      </c>
      <c r="I44" s="127"/>
      <c r="J44" s="127"/>
      <c r="K44" s="127"/>
      <c r="L44" s="78"/>
      <c r="M44" s="78"/>
      <c r="N44" s="78"/>
      <c r="O44" s="78"/>
      <c r="P44" s="78"/>
      <c r="Q44" s="78"/>
      <c r="R44" s="78"/>
      <c r="S44" s="78"/>
      <c r="T44" s="78"/>
    </row>
    <row r="45">
      <c r="A45" s="124"/>
      <c r="B45" s="120" t="s">
        <v>276</v>
      </c>
      <c r="C45" s="28" t="s">
        <v>5516</v>
      </c>
      <c r="D45" s="120" t="s">
        <v>70</v>
      </c>
      <c r="E45" s="120" t="s">
        <v>5514</v>
      </c>
      <c r="F45" s="124"/>
      <c r="G45" s="125">
        <v>1.0</v>
      </c>
      <c r="H45" s="126" t="s">
        <v>5517</v>
      </c>
      <c r="I45" s="127"/>
      <c r="J45" s="127"/>
      <c r="K45" s="127"/>
      <c r="L45" s="78"/>
      <c r="M45" s="78"/>
      <c r="N45" s="78"/>
      <c r="O45" s="78"/>
      <c r="P45" s="78"/>
      <c r="Q45" s="78"/>
      <c r="R45" s="78"/>
      <c r="S45" s="78"/>
      <c r="T45" s="78"/>
    </row>
    <row r="46">
      <c r="A46" s="124"/>
      <c r="B46" s="120" t="s">
        <v>20</v>
      </c>
      <c r="C46" s="28" t="s">
        <v>5518</v>
      </c>
      <c r="D46" s="120" t="s">
        <v>70</v>
      </c>
      <c r="E46" s="120" t="s">
        <v>5514</v>
      </c>
      <c r="F46" s="124"/>
      <c r="G46" s="125">
        <v>1.0</v>
      </c>
      <c r="H46" s="126" t="s">
        <v>5519</v>
      </c>
      <c r="I46" s="126" t="s">
        <v>5520</v>
      </c>
      <c r="J46" s="126" t="s">
        <v>5521</v>
      </c>
      <c r="K46" s="127"/>
      <c r="L46" s="78"/>
      <c r="M46" s="78"/>
      <c r="N46" s="78"/>
      <c r="O46" s="78"/>
      <c r="P46" s="78"/>
      <c r="Q46" s="78"/>
      <c r="R46" s="78"/>
      <c r="S46" s="78"/>
      <c r="T46" s="78"/>
    </row>
    <row r="47">
      <c r="A47" s="38">
        <v>28606.0</v>
      </c>
      <c r="B47" s="120" t="s">
        <v>20</v>
      </c>
      <c r="C47" s="28" t="s">
        <v>5522</v>
      </c>
      <c r="D47" s="120" t="s">
        <v>70</v>
      </c>
      <c r="E47" s="120" t="s">
        <v>5523</v>
      </c>
      <c r="F47" s="124"/>
      <c r="G47" s="125">
        <v>1.0</v>
      </c>
      <c r="H47" s="126" t="s">
        <v>5524</v>
      </c>
      <c r="I47" s="127"/>
      <c r="J47" s="127"/>
      <c r="K47" s="127"/>
      <c r="L47" s="78"/>
      <c r="M47" s="78"/>
      <c r="N47" s="78"/>
      <c r="O47" s="78"/>
      <c r="P47" s="78"/>
      <c r="Q47" s="78"/>
      <c r="R47" s="78"/>
      <c r="S47" s="78"/>
      <c r="T47" s="78"/>
    </row>
    <row r="48">
      <c r="A48" s="124"/>
      <c r="B48" s="120" t="s">
        <v>20</v>
      </c>
      <c r="C48" s="28" t="s">
        <v>5525</v>
      </c>
      <c r="D48" s="120" t="s">
        <v>70</v>
      </c>
      <c r="E48" s="120" t="s">
        <v>5526</v>
      </c>
      <c r="F48" s="120"/>
      <c r="G48" s="125">
        <v>1.0</v>
      </c>
      <c r="H48" s="126" t="s">
        <v>5527</v>
      </c>
      <c r="I48" s="127"/>
      <c r="J48" s="127"/>
      <c r="K48" s="127"/>
      <c r="L48" s="78"/>
      <c r="M48" s="78"/>
      <c r="N48" s="78"/>
      <c r="O48" s="78"/>
      <c r="P48" s="78"/>
      <c r="Q48" s="78"/>
      <c r="R48" s="78"/>
      <c r="S48" s="78"/>
      <c r="T48" s="78"/>
    </row>
    <row r="49">
      <c r="A49" s="124"/>
      <c r="B49" s="120" t="s">
        <v>276</v>
      </c>
      <c r="C49" s="28" t="s">
        <v>5528</v>
      </c>
      <c r="D49" s="120" t="s">
        <v>70</v>
      </c>
      <c r="E49" s="120" t="s">
        <v>5526</v>
      </c>
      <c r="F49" s="120"/>
      <c r="G49" s="125">
        <v>1.0</v>
      </c>
      <c r="H49" s="126" t="s">
        <v>5529</v>
      </c>
      <c r="I49" s="127"/>
      <c r="J49" s="127"/>
      <c r="K49" s="127"/>
      <c r="L49" s="78"/>
      <c r="M49" s="78"/>
      <c r="N49" s="78"/>
      <c r="O49" s="78"/>
      <c r="P49" s="78"/>
      <c r="Q49" s="78"/>
      <c r="R49" s="78"/>
      <c r="S49" s="78"/>
      <c r="T49" s="78"/>
    </row>
    <row r="50">
      <c r="A50" s="124"/>
      <c r="B50" s="120" t="s">
        <v>20</v>
      </c>
      <c r="C50" s="28" t="s">
        <v>5530</v>
      </c>
      <c r="D50" s="120" t="s">
        <v>70</v>
      </c>
      <c r="E50" s="120" t="s">
        <v>5526</v>
      </c>
      <c r="F50" s="120"/>
      <c r="G50" s="125">
        <v>1.0</v>
      </c>
      <c r="H50" s="126" t="s">
        <v>5531</v>
      </c>
      <c r="I50" s="127"/>
      <c r="J50" s="127"/>
      <c r="K50" s="127"/>
      <c r="L50" s="78"/>
      <c r="M50" s="78"/>
      <c r="N50" s="78"/>
      <c r="O50" s="78"/>
      <c r="P50" s="78"/>
      <c r="Q50" s="78"/>
      <c r="R50" s="78"/>
      <c r="S50" s="78"/>
      <c r="T50" s="78"/>
    </row>
    <row r="51">
      <c r="A51" s="74">
        <v>20739.0</v>
      </c>
      <c r="B51" s="120" t="s">
        <v>20</v>
      </c>
      <c r="C51" s="28" t="s">
        <v>5532</v>
      </c>
      <c r="D51" s="120" t="s">
        <v>70</v>
      </c>
      <c r="E51" s="120" t="s">
        <v>5533</v>
      </c>
      <c r="F51" s="120"/>
      <c r="G51" s="125">
        <v>1.0</v>
      </c>
      <c r="H51" s="126" t="s">
        <v>5534</v>
      </c>
      <c r="I51" s="127"/>
      <c r="J51" s="127"/>
      <c r="K51" s="127"/>
      <c r="L51" s="78"/>
      <c r="M51" s="78"/>
      <c r="N51" s="78"/>
      <c r="O51" s="78"/>
      <c r="P51" s="78"/>
      <c r="Q51" s="78"/>
      <c r="R51" s="78"/>
      <c r="S51" s="78"/>
      <c r="T51" s="78"/>
    </row>
    <row r="52">
      <c r="A52" s="74">
        <v>30395.0</v>
      </c>
      <c r="B52" s="120" t="s">
        <v>20</v>
      </c>
      <c r="C52" s="28" t="s">
        <v>727</v>
      </c>
      <c r="D52" s="120" t="s">
        <v>70</v>
      </c>
      <c r="E52" s="120" t="s">
        <v>5533</v>
      </c>
      <c r="F52" s="120" t="s">
        <v>5535</v>
      </c>
      <c r="G52" s="125">
        <v>1.0</v>
      </c>
      <c r="H52" s="126" t="s">
        <v>5536</v>
      </c>
      <c r="I52" s="127"/>
      <c r="J52" s="127"/>
      <c r="K52" s="127"/>
      <c r="L52" s="78"/>
      <c r="M52" s="78"/>
      <c r="N52" s="78"/>
      <c r="O52" s="78"/>
      <c r="P52" s="78"/>
      <c r="Q52" s="78"/>
      <c r="R52" s="78"/>
      <c r="S52" s="78"/>
      <c r="T52" s="78"/>
    </row>
    <row r="53">
      <c r="A53" s="129"/>
      <c r="B53" s="120" t="s">
        <v>687</v>
      </c>
      <c r="C53" s="28" t="s">
        <v>1223</v>
      </c>
      <c r="D53" s="120" t="s">
        <v>70</v>
      </c>
      <c r="E53" s="120" t="s">
        <v>5537</v>
      </c>
      <c r="F53" s="124"/>
      <c r="G53" s="125">
        <v>1.0</v>
      </c>
      <c r="H53" s="126" t="s">
        <v>5538</v>
      </c>
      <c r="I53" s="127"/>
      <c r="J53" s="127"/>
      <c r="K53" s="127"/>
      <c r="L53" s="27"/>
      <c r="M53" s="27"/>
      <c r="N53" s="27"/>
      <c r="O53" s="27"/>
      <c r="P53" s="27"/>
      <c r="Q53" s="27"/>
      <c r="R53" s="27"/>
      <c r="S53" s="27"/>
      <c r="T53" s="27"/>
    </row>
    <row r="54">
      <c r="A54" s="129"/>
      <c r="B54" s="120" t="s">
        <v>687</v>
      </c>
      <c r="C54" s="28" t="s">
        <v>855</v>
      </c>
      <c r="D54" s="120" t="s">
        <v>70</v>
      </c>
      <c r="E54" s="120" t="s">
        <v>5539</v>
      </c>
      <c r="F54" s="124"/>
      <c r="G54" s="125">
        <v>1.0</v>
      </c>
      <c r="H54" s="126" t="s">
        <v>5540</v>
      </c>
      <c r="I54" s="44" t="s">
        <v>5541</v>
      </c>
      <c r="J54" s="127"/>
      <c r="K54" s="127"/>
      <c r="L54" s="27"/>
      <c r="M54" s="27"/>
      <c r="N54" s="27"/>
      <c r="O54" s="27"/>
      <c r="P54" s="27"/>
      <c r="Q54" s="27"/>
      <c r="R54" s="27"/>
      <c r="S54" s="27"/>
      <c r="T54" s="27"/>
    </row>
    <row r="55">
      <c r="A55" s="38">
        <v>32334.0</v>
      </c>
      <c r="B55" s="120" t="s">
        <v>20</v>
      </c>
      <c r="C55" s="28" t="s">
        <v>5157</v>
      </c>
      <c r="D55" s="120" t="s">
        <v>70</v>
      </c>
      <c r="E55" s="120" t="s">
        <v>5539</v>
      </c>
      <c r="F55" s="120"/>
      <c r="G55" s="125">
        <v>1.0</v>
      </c>
      <c r="H55" s="126" t="s">
        <v>5542</v>
      </c>
      <c r="I55" s="127"/>
      <c r="J55" s="127"/>
      <c r="K55" s="127"/>
      <c r="L55" s="78"/>
      <c r="M55" s="78"/>
      <c r="N55" s="78"/>
      <c r="O55" s="78"/>
      <c r="P55" s="78"/>
      <c r="Q55" s="78"/>
      <c r="R55" s="78"/>
      <c r="S55" s="78"/>
      <c r="T55" s="78"/>
    </row>
    <row r="56">
      <c r="A56" s="38">
        <v>31313.0</v>
      </c>
      <c r="B56" s="120" t="s">
        <v>20</v>
      </c>
      <c r="C56" s="28" t="s">
        <v>5543</v>
      </c>
      <c r="D56" s="120" t="s">
        <v>70</v>
      </c>
      <c r="E56" s="120" t="s">
        <v>5539</v>
      </c>
      <c r="F56" s="120"/>
      <c r="G56" s="125">
        <v>1.0</v>
      </c>
      <c r="H56" s="126" t="s">
        <v>5544</v>
      </c>
      <c r="I56" s="127"/>
      <c r="J56" s="127"/>
      <c r="K56" s="127"/>
      <c r="L56" s="78"/>
      <c r="M56" s="78"/>
      <c r="N56" s="78"/>
      <c r="O56" s="78"/>
      <c r="P56" s="78"/>
      <c r="Q56" s="78"/>
      <c r="R56" s="78"/>
      <c r="S56" s="78"/>
      <c r="T56" s="78"/>
    </row>
    <row r="57">
      <c r="A57" s="38">
        <v>29513.0</v>
      </c>
      <c r="B57" s="120" t="s">
        <v>20</v>
      </c>
      <c r="C57" s="28" t="s">
        <v>5545</v>
      </c>
      <c r="D57" s="120" t="s">
        <v>70</v>
      </c>
      <c r="E57" s="120" t="s">
        <v>5546</v>
      </c>
      <c r="F57" s="124"/>
      <c r="G57" s="125">
        <v>1.0</v>
      </c>
      <c r="H57" s="126" t="s">
        <v>5547</v>
      </c>
      <c r="I57" s="126" t="s">
        <v>5548</v>
      </c>
      <c r="J57" s="127"/>
      <c r="K57" s="127"/>
      <c r="L57" s="78"/>
      <c r="M57" s="78"/>
      <c r="N57" s="78"/>
      <c r="O57" s="78"/>
      <c r="P57" s="78"/>
      <c r="Q57" s="78"/>
      <c r="R57" s="78"/>
      <c r="S57" s="78"/>
      <c r="T57" s="78"/>
    </row>
    <row r="58">
      <c r="A58" s="124"/>
      <c r="B58" s="120" t="s">
        <v>20</v>
      </c>
      <c r="C58" s="28" t="s">
        <v>5549</v>
      </c>
      <c r="D58" s="120" t="s">
        <v>70</v>
      </c>
      <c r="E58" s="120" t="s">
        <v>5546</v>
      </c>
      <c r="F58" s="120"/>
      <c r="G58" s="125">
        <v>1.0</v>
      </c>
      <c r="H58" s="126" t="s">
        <v>5550</v>
      </c>
      <c r="I58" s="127"/>
      <c r="J58" s="127"/>
      <c r="K58" s="127"/>
      <c r="L58" s="78"/>
      <c r="M58" s="78"/>
      <c r="N58" s="78"/>
      <c r="O58" s="78"/>
      <c r="P58" s="78"/>
      <c r="Q58" s="78"/>
      <c r="R58" s="78"/>
      <c r="S58" s="78"/>
      <c r="T58" s="78"/>
    </row>
    <row r="59">
      <c r="A59" s="124"/>
      <c r="B59" s="120" t="s">
        <v>20</v>
      </c>
      <c r="C59" s="28" t="s">
        <v>1027</v>
      </c>
      <c r="D59" s="120" t="s">
        <v>70</v>
      </c>
      <c r="E59" s="120" t="s">
        <v>5546</v>
      </c>
      <c r="F59" s="120"/>
      <c r="G59" s="125">
        <v>1.0</v>
      </c>
      <c r="H59" s="126" t="s">
        <v>5551</v>
      </c>
      <c r="I59" s="127"/>
      <c r="J59" s="127"/>
      <c r="K59" s="127"/>
      <c r="L59" s="78"/>
      <c r="M59" s="78"/>
      <c r="N59" s="78"/>
      <c r="O59" s="78"/>
      <c r="P59" s="78"/>
      <c r="Q59" s="78"/>
      <c r="R59" s="78"/>
      <c r="S59" s="78"/>
      <c r="T59" s="78"/>
    </row>
    <row r="60">
      <c r="A60" s="129"/>
      <c r="B60" s="120" t="s">
        <v>687</v>
      </c>
      <c r="C60" s="28" t="s">
        <v>1027</v>
      </c>
      <c r="D60" s="120" t="s">
        <v>70</v>
      </c>
      <c r="E60" s="120" t="s">
        <v>5546</v>
      </c>
      <c r="F60" s="124"/>
      <c r="G60" s="125">
        <v>1.0</v>
      </c>
      <c r="H60" s="127"/>
      <c r="I60" s="127"/>
      <c r="J60" s="126" t="s">
        <v>5552</v>
      </c>
      <c r="K60" s="127"/>
      <c r="L60" s="27"/>
      <c r="M60" s="27"/>
      <c r="N60" s="27"/>
      <c r="O60" s="27"/>
      <c r="P60" s="27"/>
      <c r="Q60" s="27"/>
      <c r="R60" s="27"/>
      <c r="S60" s="27"/>
      <c r="T60" s="27"/>
    </row>
    <row r="61">
      <c r="A61" s="124"/>
      <c r="B61" s="120" t="s">
        <v>20</v>
      </c>
      <c r="C61" s="28" t="s">
        <v>5553</v>
      </c>
      <c r="D61" s="120" t="s">
        <v>70</v>
      </c>
      <c r="E61" s="120" t="s">
        <v>5546</v>
      </c>
      <c r="F61" s="120"/>
      <c r="G61" s="125">
        <v>1.0</v>
      </c>
      <c r="H61" s="126" t="s">
        <v>5554</v>
      </c>
      <c r="I61" s="126" t="s">
        <v>5555</v>
      </c>
      <c r="J61" s="127"/>
      <c r="K61" s="127"/>
      <c r="L61" s="78"/>
      <c r="M61" s="78"/>
      <c r="N61" s="78"/>
      <c r="O61" s="78"/>
      <c r="P61" s="78"/>
      <c r="Q61" s="78"/>
      <c r="R61" s="78"/>
      <c r="S61" s="78"/>
      <c r="T61" s="78"/>
    </row>
    <row r="62">
      <c r="A62" s="124"/>
      <c r="B62" s="120" t="s">
        <v>20</v>
      </c>
      <c r="C62" s="28" t="s">
        <v>5556</v>
      </c>
      <c r="D62" s="120" t="s">
        <v>70</v>
      </c>
      <c r="E62" s="120" t="s">
        <v>5546</v>
      </c>
      <c r="F62" s="120"/>
      <c r="G62" s="125">
        <v>1.0</v>
      </c>
      <c r="H62" s="126" t="s">
        <v>5557</v>
      </c>
      <c r="I62" s="127"/>
      <c r="J62" s="127"/>
      <c r="K62" s="127"/>
      <c r="L62" s="78"/>
      <c r="M62" s="78"/>
      <c r="N62" s="78"/>
      <c r="O62" s="78"/>
      <c r="P62" s="78"/>
      <c r="Q62" s="78"/>
      <c r="R62" s="78"/>
      <c r="S62" s="78"/>
      <c r="T62" s="78"/>
    </row>
    <row r="63">
      <c r="A63" s="124"/>
      <c r="B63" s="120" t="s">
        <v>720</v>
      </c>
      <c r="C63" s="28" t="s">
        <v>5558</v>
      </c>
      <c r="D63" s="120" t="s">
        <v>70</v>
      </c>
      <c r="E63" s="120" t="s">
        <v>5546</v>
      </c>
      <c r="F63" s="120"/>
      <c r="G63" s="125">
        <v>1.0</v>
      </c>
      <c r="H63" s="126" t="s">
        <v>5559</v>
      </c>
      <c r="I63" s="127"/>
      <c r="J63" s="127"/>
      <c r="K63" s="127"/>
      <c r="L63" s="78"/>
      <c r="M63" s="78"/>
      <c r="N63" s="78"/>
      <c r="O63" s="78"/>
      <c r="P63" s="78"/>
      <c r="Q63" s="78"/>
      <c r="R63" s="78"/>
      <c r="S63" s="78"/>
      <c r="T63" s="78"/>
    </row>
    <row r="64">
      <c r="A64" s="129"/>
      <c r="B64" s="120" t="s">
        <v>687</v>
      </c>
      <c r="C64" s="28" t="s">
        <v>5560</v>
      </c>
      <c r="D64" s="120" t="s">
        <v>70</v>
      </c>
      <c r="E64" s="120" t="s">
        <v>5546</v>
      </c>
      <c r="F64" s="124"/>
      <c r="G64" s="125">
        <v>1.0</v>
      </c>
      <c r="H64" s="126" t="s">
        <v>5561</v>
      </c>
      <c r="I64" s="127"/>
      <c r="J64" s="127"/>
      <c r="K64" s="127"/>
      <c r="L64" s="27"/>
      <c r="M64" s="27"/>
      <c r="N64" s="27"/>
      <c r="O64" s="27"/>
      <c r="P64" s="27"/>
      <c r="Q64" s="27"/>
      <c r="R64" s="27"/>
      <c r="S64" s="27"/>
      <c r="T64" s="27"/>
    </row>
    <row r="65">
      <c r="A65" s="124"/>
      <c r="B65" s="120" t="s">
        <v>20</v>
      </c>
      <c r="C65" s="28" t="s">
        <v>5562</v>
      </c>
      <c r="D65" s="120" t="s">
        <v>70</v>
      </c>
      <c r="E65" s="120" t="s">
        <v>5546</v>
      </c>
      <c r="F65" s="120"/>
      <c r="G65" s="125">
        <v>1.0</v>
      </c>
      <c r="H65" s="126" t="s">
        <v>5563</v>
      </c>
      <c r="I65" s="126" t="s">
        <v>5564</v>
      </c>
      <c r="J65" s="127"/>
      <c r="K65" s="127"/>
      <c r="L65" s="78"/>
      <c r="M65" s="78"/>
      <c r="N65" s="78"/>
      <c r="O65" s="78"/>
      <c r="P65" s="78"/>
      <c r="Q65" s="78"/>
      <c r="R65" s="78"/>
      <c r="S65" s="78"/>
      <c r="T65" s="78"/>
    </row>
    <row r="66">
      <c r="A66" s="124"/>
      <c r="B66" s="120" t="s">
        <v>20</v>
      </c>
      <c r="C66" s="28" t="s">
        <v>5565</v>
      </c>
      <c r="D66" s="120" t="s">
        <v>70</v>
      </c>
      <c r="E66" s="120" t="s">
        <v>5546</v>
      </c>
      <c r="F66" s="120" t="s">
        <v>5566</v>
      </c>
      <c r="G66" s="125">
        <v>1.0</v>
      </c>
      <c r="H66" s="126" t="s">
        <v>5567</v>
      </c>
      <c r="I66" s="128" t="s">
        <v>5568</v>
      </c>
      <c r="J66" s="126" t="s">
        <v>5569</v>
      </c>
      <c r="K66" s="127"/>
      <c r="L66" s="78"/>
      <c r="M66" s="78"/>
      <c r="N66" s="78"/>
      <c r="O66" s="78"/>
      <c r="P66" s="78"/>
      <c r="Q66" s="78"/>
      <c r="R66" s="78"/>
      <c r="S66" s="78"/>
      <c r="T66" s="78"/>
    </row>
    <row r="67">
      <c r="A67" s="124"/>
      <c r="B67" s="120" t="s">
        <v>20</v>
      </c>
      <c r="C67" s="28" t="s">
        <v>3209</v>
      </c>
      <c r="D67" s="120" t="s">
        <v>70</v>
      </c>
      <c r="E67" s="120" t="s">
        <v>5546</v>
      </c>
      <c r="F67" s="120"/>
      <c r="G67" s="125">
        <v>1.0</v>
      </c>
      <c r="H67" s="126" t="s">
        <v>5570</v>
      </c>
      <c r="I67" s="127"/>
      <c r="J67" s="127"/>
      <c r="K67" s="127"/>
      <c r="L67" s="78"/>
      <c r="M67" s="78"/>
      <c r="N67" s="78"/>
      <c r="O67" s="78"/>
      <c r="P67" s="78"/>
      <c r="Q67" s="78"/>
      <c r="R67" s="78"/>
      <c r="S67" s="78"/>
      <c r="T67" s="78"/>
    </row>
    <row r="68">
      <c r="A68" s="124"/>
      <c r="B68" s="120" t="s">
        <v>20</v>
      </c>
      <c r="C68" s="28" t="s">
        <v>5571</v>
      </c>
      <c r="D68" s="120" t="s">
        <v>70</v>
      </c>
      <c r="E68" s="120" t="s">
        <v>5546</v>
      </c>
      <c r="F68" s="120"/>
      <c r="G68" s="125">
        <v>1.0</v>
      </c>
      <c r="H68" s="126" t="s">
        <v>5572</v>
      </c>
      <c r="I68" s="127"/>
      <c r="J68" s="127"/>
      <c r="K68" s="127"/>
      <c r="L68" s="78"/>
      <c r="M68" s="78"/>
      <c r="N68" s="78"/>
      <c r="O68" s="78"/>
      <c r="P68" s="78"/>
      <c r="Q68" s="78"/>
      <c r="R68" s="78"/>
      <c r="S68" s="78"/>
      <c r="T68" s="78"/>
    </row>
    <row r="69">
      <c r="A69" s="124"/>
      <c r="B69" s="120" t="s">
        <v>102</v>
      </c>
      <c r="C69" s="28" t="s">
        <v>2999</v>
      </c>
      <c r="D69" s="120" t="s">
        <v>70</v>
      </c>
      <c r="E69" s="120" t="s">
        <v>5546</v>
      </c>
      <c r="F69" s="120" t="s">
        <v>5573</v>
      </c>
      <c r="G69" s="125">
        <v>1.0</v>
      </c>
      <c r="H69" s="126" t="s">
        <v>5574</v>
      </c>
      <c r="I69" s="127"/>
      <c r="J69" s="126" t="s">
        <v>5575</v>
      </c>
      <c r="K69" s="127"/>
      <c r="L69" s="78"/>
      <c r="M69" s="78"/>
      <c r="N69" s="78"/>
      <c r="O69" s="78"/>
      <c r="P69" s="78"/>
      <c r="Q69" s="78"/>
      <c r="R69" s="78"/>
      <c r="S69" s="78"/>
      <c r="T69" s="78"/>
    </row>
    <row r="70">
      <c r="A70" s="129"/>
      <c r="B70" s="120" t="s">
        <v>687</v>
      </c>
      <c r="C70" s="28" t="s">
        <v>1047</v>
      </c>
      <c r="D70" s="120" t="s">
        <v>70</v>
      </c>
      <c r="E70" s="120" t="s">
        <v>5546</v>
      </c>
      <c r="F70" s="124"/>
      <c r="G70" s="125">
        <v>1.0</v>
      </c>
      <c r="H70" s="126" t="s">
        <v>5576</v>
      </c>
      <c r="I70" s="127"/>
      <c r="J70" s="127"/>
      <c r="K70" s="127"/>
      <c r="L70" s="27"/>
      <c r="M70" s="27"/>
      <c r="N70" s="27"/>
      <c r="O70" s="27"/>
      <c r="P70" s="27"/>
      <c r="Q70" s="27"/>
      <c r="R70" s="27"/>
      <c r="S70" s="27"/>
      <c r="T70" s="27"/>
    </row>
    <row r="71">
      <c r="A71" s="129"/>
      <c r="B71" s="120" t="s">
        <v>687</v>
      </c>
      <c r="C71" s="28" t="s">
        <v>5577</v>
      </c>
      <c r="D71" s="120" t="s">
        <v>70</v>
      </c>
      <c r="E71" s="120" t="s">
        <v>5546</v>
      </c>
      <c r="F71" s="124"/>
      <c r="G71" s="125">
        <v>1.0</v>
      </c>
      <c r="H71" s="127"/>
      <c r="I71" s="127"/>
      <c r="J71" s="126" t="s">
        <v>5578</v>
      </c>
      <c r="K71" s="127"/>
      <c r="L71" s="27"/>
      <c r="M71" s="27"/>
      <c r="N71" s="27"/>
      <c r="O71" s="27"/>
      <c r="P71" s="27"/>
      <c r="Q71" s="27"/>
      <c r="R71" s="27"/>
      <c r="S71" s="27"/>
      <c r="T71" s="27"/>
    </row>
    <row r="72">
      <c r="A72" s="124"/>
      <c r="B72" s="120" t="s">
        <v>20</v>
      </c>
      <c r="C72" s="28" t="s">
        <v>5579</v>
      </c>
      <c r="D72" s="120" t="s">
        <v>70</v>
      </c>
      <c r="E72" s="120" t="s">
        <v>5546</v>
      </c>
      <c r="F72" s="120"/>
      <c r="G72" s="125">
        <v>1.0</v>
      </c>
      <c r="H72" s="126" t="s">
        <v>5580</v>
      </c>
      <c r="I72" s="126" t="s">
        <v>5581</v>
      </c>
      <c r="J72" s="127"/>
      <c r="K72" s="127"/>
      <c r="L72" s="78"/>
      <c r="M72" s="78"/>
      <c r="N72" s="78"/>
      <c r="O72" s="78"/>
      <c r="P72" s="78"/>
      <c r="Q72" s="78"/>
      <c r="R72" s="78"/>
      <c r="S72" s="78"/>
      <c r="T72" s="78"/>
    </row>
    <row r="73">
      <c r="A73" s="129"/>
      <c r="B73" s="120" t="s">
        <v>687</v>
      </c>
      <c r="C73" s="28" t="s">
        <v>698</v>
      </c>
      <c r="D73" s="120" t="s">
        <v>70</v>
      </c>
      <c r="E73" s="120" t="s">
        <v>5582</v>
      </c>
      <c r="F73" s="124"/>
      <c r="G73" s="125">
        <v>1.0</v>
      </c>
      <c r="H73" s="127"/>
      <c r="I73" s="126" t="s">
        <v>5583</v>
      </c>
      <c r="J73" s="127"/>
      <c r="K73" s="127"/>
      <c r="L73" s="27"/>
      <c r="M73" s="27"/>
      <c r="N73" s="27"/>
      <c r="O73" s="27"/>
      <c r="P73" s="27"/>
      <c r="Q73" s="27"/>
      <c r="R73" s="27"/>
      <c r="S73" s="27"/>
      <c r="T73" s="27"/>
    </row>
    <row r="74">
      <c r="A74" s="124"/>
      <c r="B74" s="120" t="s">
        <v>20</v>
      </c>
      <c r="C74" s="28" t="s">
        <v>5584</v>
      </c>
      <c r="D74" s="120" t="s">
        <v>70</v>
      </c>
      <c r="E74" s="120" t="s">
        <v>5585</v>
      </c>
      <c r="F74" s="120"/>
      <c r="G74" s="125">
        <v>1.0</v>
      </c>
      <c r="H74" s="126" t="s">
        <v>5586</v>
      </c>
      <c r="I74" s="127"/>
      <c r="J74" s="127"/>
      <c r="K74" s="127"/>
      <c r="L74" s="78"/>
      <c r="M74" s="78"/>
      <c r="N74" s="78"/>
      <c r="O74" s="78"/>
      <c r="P74" s="78"/>
      <c r="Q74" s="78"/>
      <c r="R74" s="78"/>
      <c r="S74" s="78"/>
      <c r="T74" s="78"/>
    </row>
    <row r="75">
      <c r="A75" s="124"/>
      <c r="B75" s="120" t="s">
        <v>276</v>
      </c>
      <c r="C75" s="28" t="s">
        <v>5587</v>
      </c>
      <c r="D75" s="120" t="s">
        <v>70</v>
      </c>
      <c r="E75" s="120" t="s">
        <v>5585</v>
      </c>
      <c r="F75" s="120" t="s">
        <v>5588</v>
      </c>
      <c r="G75" s="125">
        <v>1.0</v>
      </c>
      <c r="H75" s="126" t="s">
        <v>5589</v>
      </c>
      <c r="I75" s="127"/>
      <c r="J75" s="127"/>
      <c r="K75" s="127"/>
      <c r="L75" s="78"/>
      <c r="M75" s="78"/>
      <c r="N75" s="78"/>
      <c r="O75" s="78"/>
      <c r="P75" s="78"/>
      <c r="Q75" s="78"/>
      <c r="R75" s="78"/>
      <c r="S75" s="78"/>
      <c r="T75" s="78"/>
    </row>
    <row r="76">
      <c r="A76" s="124"/>
      <c r="B76" s="120" t="s">
        <v>20</v>
      </c>
      <c r="C76" s="28" t="s">
        <v>5590</v>
      </c>
      <c r="D76" s="120" t="s">
        <v>70</v>
      </c>
      <c r="E76" s="120" t="s">
        <v>5585</v>
      </c>
      <c r="F76" s="120"/>
      <c r="G76" s="125">
        <v>1.0</v>
      </c>
      <c r="H76" s="128" t="s">
        <v>5591</v>
      </c>
      <c r="I76" s="128" t="s">
        <v>5592</v>
      </c>
      <c r="J76" s="127"/>
      <c r="K76" s="127"/>
      <c r="L76" s="78"/>
      <c r="M76" s="78"/>
      <c r="N76" s="78"/>
      <c r="O76" s="78"/>
      <c r="P76" s="78"/>
      <c r="Q76" s="78"/>
      <c r="R76" s="78"/>
      <c r="S76" s="78"/>
      <c r="T76" s="78"/>
    </row>
    <row r="77">
      <c r="A77" s="124"/>
      <c r="B77" s="120" t="s">
        <v>20</v>
      </c>
      <c r="C77" s="28" t="s">
        <v>5593</v>
      </c>
      <c r="D77" s="120" t="s">
        <v>70</v>
      </c>
      <c r="E77" s="120" t="s">
        <v>5585</v>
      </c>
      <c r="F77" s="120"/>
      <c r="G77" s="125">
        <v>1.0</v>
      </c>
      <c r="H77" s="126" t="s">
        <v>5594</v>
      </c>
      <c r="I77" s="127"/>
      <c r="J77" s="127"/>
      <c r="K77" s="127"/>
      <c r="L77" s="78"/>
      <c r="M77" s="78"/>
      <c r="N77" s="78"/>
      <c r="O77" s="78"/>
      <c r="P77" s="78"/>
      <c r="Q77" s="78"/>
      <c r="R77" s="78"/>
      <c r="S77" s="78"/>
      <c r="T77" s="78"/>
    </row>
    <row r="78">
      <c r="A78" s="124"/>
      <c r="B78" s="120" t="s">
        <v>20</v>
      </c>
      <c r="C78" s="28" t="s">
        <v>2052</v>
      </c>
      <c r="D78" s="120" t="s">
        <v>70</v>
      </c>
      <c r="E78" s="120" t="s">
        <v>5585</v>
      </c>
      <c r="F78" s="120" t="s">
        <v>5595</v>
      </c>
      <c r="G78" s="125">
        <v>1.0</v>
      </c>
      <c r="H78" s="126" t="s">
        <v>5596</v>
      </c>
      <c r="I78" s="127"/>
      <c r="J78" s="127"/>
      <c r="K78" s="127"/>
      <c r="L78" s="78"/>
      <c r="M78" s="78"/>
      <c r="N78" s="78"/>
      <c r="O78" s="78"/>
      <c r="P78" s="78"/>
      <c r="Q78" s="78"/>
      <c r="R78" s="78"/>
      <c r="S78" s="78"/>
      <c r="T78" s="78"/>
    </row>
    <row r="79">
      <c r="A79" s="124"/>
      <c r="B79" s="120" t="s">
        <v>20</v>
      </c>
      <c r="C79" s="28" t="s">
        <v>5597</v>
      </c>
      <c r="D79" s="120" t="s">
        <v>70</v>
      </c>
      <c r="E79" s="120" t="s">
        <v>5585</v>
      </c>
      <c r="F79" s="124"/>
      <c r="G79" s="125">
        <v>1.0</v>
      </c>
      <c r="H79" s="126" t="s">
        <v>5598</v>
      </c>
      <c r="I79" s="127"/>
      <c r="J79" s="126" t="s">
        <v>5599</v>
      </c>
      <c r="K79" s="127"/>
      <c r="L79" s="78"/>
      <c r="M79" s="133" t="s">
        <v>5600</v>
      </c>
      <c r="N79" s="78"/>
      <c r="O79" s="78"/>
      <c r="P79" s="78"/>
      <c r="Q79" s="78"/>
      <c r="R79" s="78"/>
      <c r="S79" s="78"/>
      <c r="T79" s="78"/>
    </row>
    <row r="80">
      <c r="A80" s="124"/>
      <c r="B80" s="120" t="s">
        <v>20</v>
      </c>
      <c r="C80" s="28" t="s">
        <v>5037</v>
      </c>
      <c r="D80" s="120" t="s">
        <v>70</v>
      </c>
      <c r="E80" s="120" t="s">
        <v>5585</v>
      </c>
      <c r="F80" s="120"/>
      <c r="G80" s="125">
        <v>1.0</v>
      </c>
      <c r="H80" s="126" t="s">
        <v>5601</v>
      </c>
      <c r="I80" s="127"/>
      <c r="J80" s="127"/>
      <c r="K80" s="127"/>
      <c r="L80" s="78"/>
      <c r="M80" s="78"/>
      <c r="N80" s="78"/>
      <c r="O80" s="78"/>
      <c r="P80" s="78"/>
      <c r="Q80" s="78"/>
      <c r="R80" s="78"/>
      <c r="S80" s="78"/>
      <c r="T80" s="78"/>
    </row>
    <row r="81">
      <c r="A81" s="129"/>
      <c r="B81" s="120" t="s">
        <v>687</v>
      </c>
      <c r="C81" s="28" t="s">
        <v>5602</v>
      </c>
      <c r="D81" s="120" t="s">
        <v>70</v>
      </c>
      <c r="E81" s="120" t="s">
        <v>5585</v>
      </c>
      <c r="F81" s="124"/>
      <c r="G81" s="125">
        <v>1.0</v>
      </c>
      <c r="H81" s="126" t="s">
        <v>5603</v>
      </c>
      <c r="I81" s="127"/>
      <c r="J81" s="127"/>
      <c r="K81" s="127"/>
      <c r="L81" s="27"/>
      <c r="M81" s="29" t="s">
        <v>5604</v>
      </c>
      <c r="N81" s="27"/>
      <c r="O81" s="27"/>
      <c r="P81" s="27"/>
      <c r="Q81" s="27"/>
      <c r="R81" s="27"/>
      <c r="S81" s="27"/>
      <c r="T81" s="27"/>
    </row>
    <row r="82">
      <c r="A82" s="38">
        <v>32953.0</v>
      </c>
      <c r="B82" s="120" t="s">
        <v>20</v>
      </c>
      <c r="C82" s="28" t="s">
        <v>5605</v>
      </c>
      <c r="D82" s="120" t="s">
        <v>70</v>
      </c>
      <c r="E82" s="120" t="s">
        <v>5606</v>
      </c>
      <c r="F82" s="120"/>
      <c r="G82" s="125">
        <v>1.0</v>
      </c>
      <c r="H82" s="126" t="s">
        <v>5607</v>
      </c>
      <c r="I82" s="127"/>
      <c r="J82" s="127"/>
      <c r="K82" s="127"/>
      <c r="L82" s="78"/>
      <c r="M82" s="78"/>
      <c r="N82" s="78"/>
      <c r="O82" s="78"/>
      <c r="P82" s="78"/>
      <c r="Q82" s="78"/>
      <c r="R82" s="78"/>
      <c r="S82" s="78"/>
      <c r="T82" s="78"/>
    </row>
    <row r="83">
      <c r="A83" s="38">
        <v>33127.0</v>
      </c>
      <c r="B83" s="120" t="s">
        <v>20</v>
      </c>
      <c r="C83" s="28" t="s">
        <v>5608</v>
      </c>
      <c r="D83" s="120" t="s">
        <v>70</v>
      </c>
      <c r="E83" s="120" t="s">
        <v>5606</v>
      </c>
      <c r="F83" s="120"/>
      <c r="G83" s="125">
        <v>1.0</v>
      </c>
      <c r="H83" s="128" t="s">
        <v>5609</v>
      </c>
      <c r="I83" s="127"/>
      <c r="J83" s="127"/>
      <c r="K83" s="127"/>
      <c r="L83" s="78"/>
      <c r="M83" s="78"/>
      <c r="N83" s="78"/>
      <c r="O83" s="78"/>
      <c r="P83" s="78"/>
      <c r="Q83" s="78"/>
      <c r="R83" s="78"/>
      <c r="S83" s="78"/>
      <c r="T83" s="78"/>
    </row>
    <row r="84">
      <c r="A84" s="38">
        <v>32958.0</v>
      </c>
      <c r="B84" s="120" t="s">
        <v>20</v>
      </c>
      <c r="C84" s="28" t="s">
        <v>760</v>
      </c>
      <c r="D84" s="120" t="s">
        <v>70</v>
      </c>
      <c r="E84" s="120" t="s">
        <v>5606</v>
      </c>
      <c r="F84" s="120"/>
      <c r="G84" s="125">
        <v>1.0</v>
      </c>
      <c r="H84" s="126" t="s">
        <v>5610</v>
      </c>
      <c r="I84" s="127"/>
      <c r="J84" s="127"/>
      <c r="K84" s="127"/>
      <c r="L84" s="78"/>
      <c r="M84" s="78"/>
      <c r="N84" s="78"/>
      <c r="O84" s="78"/>
      <c r="P84" s="78"/>
      <c r="Q84" s="78"/>
      <c r="R84" s="78"/>
      <c r="S84" s="78"/>
      <c r="T84" s="78"/>
    </row>
    <row r="85">
      <c r="A85" s="129"/>
      <c r="B85" s="120" t="s">
        <v>687</v>
      </c>
      <c r="C85" s="28" t="s">
        <v>755</v>
      </c>
      <c r="D85" s="120" t="s">
        <v>70</v>
      </c>
      <c r="E85" s="120" t="s">
        <v>5606</v>
      </c>
      <c r="F85" s="124"/>
      <c r="G85" s="125">
        <v>1.0</v>
      </c>
      <c r="H85" s="126" t="s">
        <v>5611</v>
      </c>
      <c r="I85" s="29" t="s">
        <v>5612</v>
      </c>
      <c r="J85" s="127"/>
      <c r="K85" s="127"/>
      <c r="L85" s="27"/>
      <c r="M85" s="27"/>
      <c r="N85" s="27"/>
      <c r="O85" s="27"/>
      <c r="P85" s="27"/>
      <c r="Q85" s="27"/>
      <c r="R85" s="27"/>
      <c r="S85" s="27"/>
      <c r="T85" s="27"/>
    </row>
    <row r="86">
      <c r="A86" s="38">
        <v>30685.0</v>
      </c>
      <c r="B86" s="120" t="s">
        <v>20</v>
      </c>
      <c r="C86" s="28" t="s">
        <v>4420</v>
      </c>
      <c r="D86" s="120" t="s">
        <v>70</v>
      </c>
      <c r="E86" s="120" t="s">
        <v>5613</v>
      </c>
      <c r="F86" s="124"/>
      <c r="G86" s="125">
        <v>1.0</v>
      </c>
      <c r="H86" s="127"/>
      <c r="I86" s="127"/>
      <c r="J86" s="126" t="s">
        <v>5614</v>
      </c>
      <c r="K86" s="127"/>
      <c r="L86" s="78"/>
      <c r="M86" s="78"/>
      <c r="N86" s="78"/>
      <c r="O86" s="78"/>
      <c r="P86" s="78"/>
      <c r="Q86" s="78"/>
      <c r="R86" s="78"/>
      <c r="S86" s="78"/>
      <c r="T86" s="78"/>
    </row>
    <row r="87">
      <c r="A87" s="129"/>
      <c r="B87" s="120" t="s">
        <v>687</v>
      </c>
      <c r="C87" s="28" t="s">
        <v>5615</v>
      </c>
      <c r="D87" s="120" t="s">
        <v>70</v>
      </c>
      <c r="E87" s="120" t="s">
        <v>5616</v>
      </c>
      <c r="F87" s="124"/>
      <c r="G87" s="125">
        <v>1.0</v>
      </c>
      <c r="H87" s="126" t="s">
        <v>5617</v>
      </c>
      <c r="I87" s="127"/>
      <c r="J87" s="127"/>
      <c r="K87" s="127"/>
      <c r="L87" s="27"/>
      <c r="M87" s="27"/>
      <c r="N87" s="27"/>
      <c r="O87" s="27"/>
      <c r="P87" s="27"/>
      <c r="Q87" s="27"/>
      <c r="R87" s="27"/>
      <c r="S87" s="27"/>
      <c r="T87" s="27"/>
    </row>
    <row r="88">
      <c r="A88" s="129"/>
      <c r="B88" s="120" t="s">
        <v>687</v>
      </c>
      <c r="C88" s="28" t="s">
        <v>5509</v>
      </c>
      <c r="D88" s="120" t="s">
        <v>70</v>
      </c>
      <c r="E88" s="120" t="s">
        <v>5616</v>
      </c>
      <c r="F88" s="124"/>
      <c r="G88" s="125">
        <v>1.0</v>
      </c>
      <c r="H88" s="126" t="s">
        <v>5618</v>
      </c>
      <c r="I88" s="127"/>
      <c r="J88" s="127"/>
      <c r="K88" s="127"/>
      <c r="L88" s="29" t="s">
        <v>5619</v>
      </c>
      <c r="M88" s="27"/>
      <c r="N88" s="27"/>
      <c r="O88" s="27"/>
      <c r="P88" s="27"/>
      <c r="Q88" s="27"/>
      <c r="R88" s="27"/>
      <c r="S88" s="27"/>
      <c r="T88" s="27"/>
    </row>
    <row r="89">
      <c r="A89" s="38">
        <v>30114.0</v>
      </c>
      <c r="B89" s="120" t="s">
        <v>20</v>
      </c>
      <c r="C89" s="28" t="s">
        <v>1439</v>
      </c>
      <c r="D89" s="120" t="s">
        <v>70</v>
      </c>
      <c r="E89" s="120" t="s">
        <v>71</v>
      </c>
      <c r="F89" s="124"/>
      <c r="G89" s="125">
        <v>1.0</v>
      </c>
      <c r="H89" s="126" t="s">
        <v>5620</v>
      </c>
      <c r="I89" s="127"/>
      <c r="J89" s="127"/>
      <c r="K89" s="127"/>
      <c r="L89" s="78"/>
      <c r="M89" s="78"/>
      <c r="N89" s="78"/>
      <c r="O89" s="78"/>
      <c r="P89" s="78"/>
      <c r="Q89" s="78"/>
      <c r="R89" s="78"/>
      <c r="S89" s="78"/>
      <c r="T89" s="78"/>
    </row>
    <row r="90">
      <c r="A90" s="38">
        <v>28189.0</v>
      </c>
      <c r="B90" s="120" t="s">
        <v>20</v>
      </c>
      <c r="C90" s="28" t="s">
        <v>5621</v>
      </c>
      <c r="D90" s="120" t="s">
        <v>70</v>
      </c>
      <c r="E90" s="120" t="s">
        <v>71</v>
      </c>
      <c r="F90" s="124"/>
      <c r="G90" s="125">
        <v>1.0</v>
      </c>
      <c r="H90" s="126" t="s">
        <v>5622</v>
      </c>
      <c r="I90" s="127"/>
      <c r="J90" s="127"/>
      <c r="K90" s="127"/>
      <c r="L90" s="78"/>
      <c r="M90" s="78"/>
      <c r="N90" s="78"/>
      <c r="O90" s="78"/>
      <c r="P90" s="78"/>
      <c r="Q90" s="78"/>
      <c r="R90" s="78"/>
      <c r="S90" s="78"/>
      <c r="T90" s="78"/>
    </row>
    <row r="91">
      <c r="A91" s="38">
        <v>29314.0</v>
      </c>
      <c r="B91" s="120" t="s">
        <v>20</v>
      </c>
      <c r="C91" s="28" t="s">
        <v>5623</v>
      </c>
      <c r="D91" s="120" t="s">
        <v>70</v>
      </c>
      <c r="E91" s="120" t="s">
        <v>71</v>
      </c>
      <c r="F91" s="124"/>
      <c r="G91" s="125">
        <v>1.0</v>
      </c>
      <c r="H91" s="127"/>
      <c r="I91" s="126" t="s">
        <v>5624</v>
      </c>
      <c r="J91" s="127"/>
      <c r="K91" s="127"/>
      <c r="L91" s="78"/>
      <c r="M91" s="78"/>
      <c r="N91" s="78"/>
      <c r="O91" s="78"/>
      <c r="P91" s="78"/>
      <c r="Q91" s="78"/>
      <c r="R91" s="78"/>
      <c r="S91" s="78"/>
      <c r="T91" s="78"/>
    </row>
    <row r="92">
      <c r="A92" s="38">
        <v>29122.0</v>
      </c>
      <c r="B92" s="120" t="s">
        <v>20</v>
      </c>
      <c r="C92" s="28" t="s">
        <v>5625</v>
      </c>
      <c r="D92" s="120" t="s">
        <v>70</v>
      </c>
      <c r="E92" s="120" t="s">
        <v>71</v>
      </c>
      <c r="F92" s="124"/>
      <c r="G92" s="125">
        <v>1.0</v>
      </c>
      <c r="H92" s="126" t="s">
        <v>5626</v>
      </c>
      <c r="I92" s="126" t="s">
        <v>5627</v>
      </c>
      <c r="J92" s="127"/>
      <c r="K92" s="127"/>
      <c r="L92" s="78"/>
      <c r="M92" s="78"/>
      <c r="N92" s="78"/>
      <c r="O92" s="78"/>
      <c r="P92" s="78"/>
      <c r="Q92" s="78"/>
      <c r="R92" s="78"/>
      <c r="S92" s="78"/>
      <c r="T92" s="78"/>
    </row>
    <row r="93">
      <c r="A93" s="124"/>
      <c r="B93" s="120" t="s">
        <v>276</v>
      </c>
      <c r="C93" s="28" t="s">
        <v>5628</v>
      </c>
      <c r="D93" s="120" t="s">
        <v>70</v>
      </c>
      <c r="E93" s="120" t="s">
        <v>5629</v>
      </c>
      <c r="F93" s="120"/>
      <c r="G93" s="125">
        <v>1.0</v>
      </c>
      <c r="H93" s="126" t="s">
        <v>5630</v>
      </c>
      <c r="I93" s="127"/>
      <c r="J93" s="127"/>
      <c r="K93" s="127"/>
      <c r="L93" s="78"/>
      <c r="M93" s="78"/>
      <c r="N93" s="78"/>
      <c r="O93" s="78"/>
      <c r="P93" s="78"/>
      <c r="Q93" s="78"/>
      <c r="R93" s="78"/>
      <c r="S93" s="78"/>
      <c r="T93" s="78"/>
    </row>
    <row r="94">
      <c r="A94" s="124"/>
      <c r="B94" s="120" t="s">
        <v>20</v>
      </c>
      <c r="C94" s="28" t="s">
        <v>5631</v>
      </c>
      <c r="D94" s="120" t="s">
        <v>70</v>
      </c>
      <c r="E94" s="120" t="s">
        <v>5629</v>
      </c>
      <c r="F94" s="120"/>
      <c r="G94" s="125">
        <v>1.0</v>
      </c>
      <c r="H94" s="126" t="s">
        <v>5632</v>
      </c>
      <c r="I94" s="126" t="s">
        <v>5633</v>
      </c>
      <c r="J94" s="127"/>
      <c r="K94" s="127"/>
      <c r="L94" s="78"/>
      <c r="M94" s="78"/>
      <c r="N94" s="78"/>
      <c r="O94" s="78"/>
      <c r="P94" s="78"/>
      <c r="Q94" s="78"/>
      <c r="R94" s="78"/>
      <c r="S94" s="78"/>
      <c r="T94" s="78"/>
    </row>
    <row r="95">
      <c r="A95" s="124"/>
      <c r="B95" s="120" t="s">
        <v>20</v>
      </c>
      <c r="C95" s="28" t="s">
        <v>5634</v>
      </c>
      <c r="D95" s="120" t="s">
        <v>70</v>
      </c>
      <c r="E95" s="120" t="s">
        <v>5629</v>
      </c>
      <c r="F95" s="120"/>
      <c r="G95" s="125">
        <v>1.0</v>
      </c>
      <c r="H95" s="128" t="s">
        <v>5635</v>
      </c>
      <c r="I95" s="127"/>
      <c r="J95" s="127"/>
      <c r="K95" s="127"/>
      <c r="L95" s="78"/>
      <c r="M95" s="78"/>
      <c r="N95" s="78"/>
      <c r="O95" s="78"/>
      <c r="P95" s="78"/>
      <c r="Q95" s="78"/>
      <c r="R95" s="78"/>
      <c r="S95" s="78"/>
      <c r="T95" s="78"/>
    </row>
    <row r="96">
      <c r="A96" s="129"/>
      <c r="B96" s="120" t="s">
        <v>687</v>
      </c>
      <c r="C96" s="28" t="s">
        <v>5636</v>
      </c>
      <c r="D96" s="120" t="s">
        <v>70</v>
      </c>
      <c r="E96" s="120" t="s">
        <v>5629</v>
      </c>
      <c r="F96" s="124"/>
      <c r="G96" s="125">
        <v>1.0</v>
      </c>
      <c r="H96" s="126" t="s">
        <v>5637</v>
      </c>
      <c r="I96" s="127"/>
      <c r="J96" s="127"/>
      <c r="K96" s="127"/>
      <c r="L96" s="27"/>
      <c r="M96" s="27"/>
      <c r="N96" s="27"/>
      <c r="O96" s="27"/>
      <c r="P96" s="27"/>
      <c r="Q96" s="27"/>
      <c r="R96" s="27"/>
      <c r="S96" s="27"/>
      <c r="T96" s="27"/>
    </row>
    <row r="97">
      <c r="A97" s="129"/>
      <c r="B97" s="120" t="s">
        <v>687</v>
      </c>
      <c r="C97" s="28" t="s">
        <v>5638</v>
      </c>
      <c r="D97" s="120" t="s">
        <v>70</v>
      </c>
      <c r="E97" s="120" t="s">
        <v>5629</v>
      </c>
      <c r="F97" s="124"/>
      <c r="G97" s="125">
        <v>1.0</v>
      </c>
      <c r="H97" s="126" t="s">
        <v>5639</v>
      </c>
      <c r="I97" s="127"/>
      <c r="J97" s="127"/>
      <c r="K97" s="127"/>
      <c r="L97" s="27"/>
      <c r="M97" s="27"/>
      <c r="N97" s="27"/>
      <c r="O97" s="27"/>
      <c r="P97" s="27"/>
      <c r="Q97" s="27"/>
      <c r="R97" s="27"/>
      <c r="S97" s="27"/>
      <c r="T97" s="27"/>
    </row>
    <row r="98">
      <c r="A98" s="124"/>
      <c r="B98" s="120" t="s">
        <v>20</v>
      </c>
      <c r="C98" s="28" t="s">
        <v>4396</v>
      </c>
      <c r="D98" s="120" t="s">
        <v>70</v>
      </c>
      <c r="E98" s="120" t="s">
        <v>5629</v>
      </c>
      <c r="F98" s="120"/>
      <c r="G98" s="125">
        <v>1.0</v>
      </c>
      <c r="H98" s="126" t="s">
        <v>5640</v>
      </c>
      <c r="I98" s="127"/>
      <c r="J98" s="127"/>
      <c r="K98" s="127"/>
      <c r="L98" s="78"/>
      <c r="M98" s="78"/>
      <c r="N98" s="78"/>
      <c r="O98" s="78"/>
      <c r="P98" s="78"/>
      <c r="Q98" s="78"/>
      <c r="R98" s="78"/>
      <c r="S98" s="78"/>
      <c r="T98" s="78"/>
    </row>
    <row r="99">
      <c r="A99" s="124"/>
      <c r="B99" s="120" t="s">
        <v>20</v>
      </c>
      <c r="C99" s="28" t="s">
        <v>763</v>
      </c>
      <c r="D99" s="120" t="s">
        <v>70</v>
      </c>
      <c r="E99" s="120" t="s">
        <v>5629</v>
      </c>
      <c r="F99" s="120"/>
      <c r="G99" s="125">
        <v>1.0</v>
      </c>
      <c r="H99" s="126" t="s">
        <v>5641</v>
      </c>
      <c r="I99" s="126" t="s">
        <v>5642</v>
      </c>
      <c r="J99" s="127"/>
      <c r="K99" s="127"/>
      <c r="L99" s="78"/>
      <c r="M99" s="78"/>
      <c r="N99" s="78"/>
      <c r="O99" s="78"/>
      <c r="P99" s="78"/>
      <c r="Q99" s="78"/>
      <c r="R99" s="78"/>
      <c r="S99" s="78"/>
      <c r="T99" s="78"/>
    </row>
    <row r="100">
      <c r="A100" s="124"/>
      <c r="B100" s="120" t="s">
        <v>20</v>
      </c>
      <c r="C100" s="28" t="s">
        <v>763</v>
      </c>
      <c r="D100" s="120" t="s">
        <v>70</v>
      </c>
      <c r="E100" s="120" t="s">
        <v>5629</v>
      </c>
      <c r="F100" s="120"/>
      <c r="G100" s="125">
        <v>1.0</v>
      </c>
      <c r="H100" s="126" t="s">
        <v>5643</v>
      </c>
      <c r="I100" s="126" t="s">
        <v>5644</v>
      </c>
      <c r="J100" s="127"/>
      <c r="K100" s="127"/>
      <c r="L100" s="78"/>
      <c r="M100" s="78"/>
      <c r="N100" s="78"/>
      <c r="O100" s="78"/>
      <c r="P100" s="78"/>
      <c r="Q100" s="78"/>
      <c r="R100" s="78"/>
      <c r="S100" s="78"/>
      <c r="T100" s="78"/>
    </row>
    <row r="101">
      <c r="A101" s="129"/>
      <c r="B101" s="120" t="s">
        <v>687</v>
      </c>
      <c r="C101" s="28" t="s">
        <v>5645</v>
      </c>
      <c r="D101" s="120" t="s">
        <v>70</v>
      </c>
      <c r="E101" s="120" t="s">
        <v>5629</v>
      </c>
      <c r="F101" s="124"/>
      <c r="G101" s="125">
        <v>1.0</v>
      </c>
      <c r="H101" s="126" t="s">
        <v>5646</v>
      </c>
      <c r="I101" s="127"/>
      <c r="J101" s="127"/>
      <c r="K101" s="127"/>
      <c r="L101" s="27"/>
      <c r="M101" s="27"/>
      <c r="N101" s="27"/>
      <c r="O101" s="27"/>
      <c r="P101" s="27"/>
      <c r="Q101" s="27"/>
      <c r="R101" s="27"/>
      <c r="S101" s="27"/>
      <c r="T101" s="27"/>
    </row>
    <row r="102">
      <c r="A102" s="38">
        <v>31199.0</v>
      </c>
      <c r="B102" s="120" t="s">
        <v>20</v>
      </c>
      <c r="C102" s="28" t="s">
        <v>5647</v>
      </c>
      <c r="D102" s="120" t="s">
        <v>70</v>
      </c>
      <c r="E102" s="120" t="s">
        <v>5629</v>
      </c>
      <c r="F102" s="120"/>
      <c r="G102" s="125">
        <v>1.0</v>
      </c>
      <c r="H102" s="126" t="s">
        <v>5648</v>
      </c>
      <c r="I102" s="127"/>
      <c r="J102" s="127"/>
      <c r="K102" s="127"/>
      <c r="L102" s="78"/>
      <c r="M102" s="78"/>
      <c r="N102" s="78"/>
      <c r="O102" s="78"/>
      <c r="P102" s="78"/>
      <c r="Q102" s="78"/>
      <c r="R102" s="78"/>
      <c r="S102" s="78"/>
      <c r="T102" s="78"/>
    </row>
    <row r="103">
      <c r="A103" s="38">
        <v>31316.0</v>
      </c>
      <c r="B103" s="120" t="s">
        <v>20</v>
      </c>
      <c r="C103" s="28" t="s">
        <v>5649</v>
      </c>
      <c r="D103" s="120" t="s">
        <v>70</v>
      </c>
      <c r="E103" s="120" t="s">
        <v>5629</v>
      </c>
      <c r="F103" s="120"/>
      <c r="G103" s="125">
        <v>1.0</v>
      </c>
      <c r="H103" s="126" t="s">
        <v>5650</v>
      </c>
      <c r="I103" s="127"/>
      <c r="J103" s="127"/>
      <c r="K103" s="127"/>
      <c r="L103" s="78"/>
      <c r="M103" s="78"/>
      <c r="N103" s="78"/>
      <c r="O103" s="78"/>
      <c r="P103" s="78"/>
      <c r="Q103" s="78"/>
      <c r="R103" s="78"/>
      <c r="S103" s="78"/>
      <c r="T103" s="78"/>
    </row>
    <row r="104">
      <c r="A104" s="38">
        <v>32341.0</v>
      </c>
      <c r="B104" s="120" t="s">
        <v>20</v>
      </c>
      <c r="C104" s="28" t="s">
        <v>74</v>
      </c>
      <c r="D104" s="120" t="s">
        <v>70</v>
      </c>
      <c r="E104" s="120" t="s">
        <v>5651</v>
      </c>
      <c r="F104" s="120"/>
      <c r="G104" s="125">
        <v>1.0</v>
      </c>
      <c r="H104" s="127"/>
      <c r="I104" s="126" t="s">
        <v>5652</v>
      </c>
      <c r="J104" s="127"/>
      <c r="K104" s="127"/>
      <c r="L104" s="78"/>
      <c r="M104" s="78"/>
      <c r="N104" s="78"/>
      <c r="O104" s="78"/>
      <c r="P104" s="78"/>
      <c r="Q104" s="78"/>
      <c r="R104" s="78"/>
      <c r="S104" s="78"/>
      <c r="T104" s="78"/>
    </row>
    <row r="105">
      <c r="A105" s="28">
        <v>26657.0</v>
      </c>
      <c r="B105" s="120" t="s">
        <v>20</v>
      </c>
      <c r="C105" s="28" t="s">
        <v>5653</v>
      </c>
      <c r="D105" s="120" t="s">
        <v>70</v>
      </c>
      <c r="E105" s="120" t="s">
        <v>5654</v>
      </c>
      <c r="F105" s="120"/>
      <c r="G105" s="125">
        <v>1.0</v>
      </c>
      <c r="H105" s="126" t="s">
        <v>5655</v>
      </c>
      <c r="I105" s="127"/>
      <c r="J105" s="127"/>
      <c r="K105" s="127"/>
      <c r="L105" s="78"/>
      <c r="M105" s="78"/>
      <c r="N105" s="78"/>
      <c r="O105" s="78"/>
      <c r="P105" s="78"/>
      <c r="Q105" s="78"/>
      <c r="R105" s="78"/>
      <c r="S105" s="78"/>
      <c r="T105" s="78"/>
    </row>
    <row r="106">
      <c r="A106" s="129"/>
      <c r="B106" s="120" t="s">
        <v>687</v>
      </c>
      <c r="C106" s="28" t="s">
        <v>5656</v>
      </c>
      <c r="D106" s="120" t="s">
        <v>70</v>
      </c>
      <c r="E106" s="120" t="s">
        <v>5657</v>
      </c>
      <c r="F106" s="120" t="s">
        <v>5658</v>
      </c>
      <c r="G106" s="125">
        <v>1.0</v>
      </c>
      <c r="H106" s="126" t="s">
        <v>5659</v>
      </c>
      <c r="I106" s="127"/>
      <c r="J106" s="127"/>
      <c r="K106" s="127"/>
      <c r="L106" s="27"/>
      <c r="M106" s="27"/>
      <c r="N106" s="27"/>
      <c r="O106" s="27"/>
      <c r="P106" s="27"/>
      <c r="Q106" s="27"/>
      <c r="R106" s="27"/>
      <c r="S106" s="27"/>
      <c r="T106" s="27"/>
    </row>
    <row r="107">
      <c r="A107" s="38">
        <v>28147.0</v>
      </c>
      <c r="B107" s="120" t="s">
        <v>20</v>
      </c>
      <c r="C107" s="28" t="s">
        <v>5660</v>
      </c>
      <c r="D107" s="120" t="s">
        <v>70</v>
      </c>
      <c r="E107" s="120" t="s">
        <v>5657</v>
      </c>
      <c r="F107" s="124"/>
      <c r="G107" s="125">
        <v>1.0</v>
      </c>
      <c r="H107" s="126" t="s">
        <v>5661</v>
      </c>
      <c r="I107" s="127"/>
      <c r="J107" s="127"/>
      <c r="K107" s="127"/>
      <c r="L107" s="78"/>
      <c r="M107" s="78"/>
      <c r="N107" s="78"/>
      <c r="O107" s="78"/>
      <c r="P107" s="78"/>
      <c r="Q107" s="78"/>
      <c r="R107" s="78"/>
      <c r="S107" s="78"/>
      <c r="T107" s="78"/>
    </row>
    <row r="108">
      <c r="A108" s="38" t="s">
        <v>5662</v>
      </c>
      <c r="B108" s="120" t="s">
        <v>20</v>
      </c>
      <c r="C108" s="28" t="s">
        <v>327</v>
      </c>
      <c r="D108" s="120" t="s">
        <v>70</v>
      </c>
      <c r="E108" s="120" t="s">
        <v>5657</v>
      </c>
      <c r="F108" s="124"/>
      <c r="G108" s="125">
        <v>1.0</v>
      </c>
      <c r="H108" s="126" t="s">
        <v>5663</v>
      </c>
      <c r="I108" s="127"/>
      <c r="J108" s="127"/>
      <c r="K108" s="127"/>
      <c r="L108" s="78"/>
      <c r="M108" s="78"/>
      <c r="N108" s="78"/>
      <c r="O108" s="78"/>
      <c r="P108" s="78"/>
      <c r="Q108" s="78"/>
      <c r="R108" s="78"/>
      <c r="S108" s="78"/>
      <c r="T108" s="78"/>
    </row>
    <row r="109">
      <c r="A109" s="38">
        <v>28611.0</v>
      </c>
      <c r="B109" s="120" t="s">
        <v>20</v>
      </c>
      <c r="C109" s="28" t="s">
        <v>5664</v>
      </c>
      <c r="D109" s="120" t="s">
        <v>70</v>
      </c>
      <c r="E109" s="120" t="s">
        <v>5665</v>
      </c>
      <c r="F109" s="124"/>
      <c r="G109" s="125">
        <v>1.0</v>
      </c>
      <c r="H109" s="126" t="s">
        <v>5666</v>
      </c>
      <c r="I109" s="127"/>
      <c r="J109" s="127"/>
      <c r="K109" s="127"/>
      <c r="L109" s="78"/>
      <c r="M109" s="78"/>
      <c r="N109" s="78"/>
      <c r="O109" s="78"/>
      <c r="P109" s="78"/>
      <c r="Q109" s="78"/>
      <c r="R109" s="78"/>
      <c r="S109" s="78"/>
      <c r="T109" s="78"/>
    </row>
    <row r="110">
      <c r="A110" s="124"/>
      <c r="B110" s="120" t="s">
        <v>5667</v>
      </c>
      <c r="C110" s="28" t="s">
        <v>4355</v>
      </c>
      <c r="D110" s="120" t="s">
        <v>70</v>
      </c>
      <c r="E110" s="120" t="s">
        <v>5668</v>
      </c>
      <c r="F110" s="124"/>
      <c r="G110" s="125">
        <v>1.0</v>
      </c>
      <c r="H110" s="126" t="s">
        <v>5669</v>
      </c>
      <c r="I110" s="127"/>
      <c r="J110" s="127"/>
      <c r="K110" s="127"/>
      <c r="L110" s="78"/>
      <c r="M110" s="78"/>
      <c r="N110" s="78"/>
      <c r="O110" s="78"/>
      <c r="P110" s="78"/>
      <c r="Q110" s="78"/>
      <c r="R110" s="78"/>
      <c r="S110" s="78"/>
      <c r="T110" s="78"/>
    </row>
    <row r="111">
      <c r="A111" s="129"/>
      <c r="B111" s="120" t="s">
        <v>687</v>
      </c>
      <c r="C111" s="28" t="s">
        <v>5670</v>
      </c>
      <c r="D111" s="120" t="s">
        <v>70</v>
      </c>
      <c r="E111" s="120" t="s">
        <v>5671</v>
      </c>
      <c r="F111" s="124"/>
      <c r="G111" s="125">
        <v>1.0</v>
      </c>
      <c r="H111" s="128" t="s">
        <v>5672</v>
      </c>
      <c r="I111" s="127"/>
      <c r="J111" s="127"/>
      <c r="K111" s="127"/>
      <c r="L111" s="27"/>
      <c r="M111" s="27"/>
      <c r="N111" s="27"/>
      <c r="O111" s="27"/>
      <c r="P111" s="27"/>
      <c r="Q111" s="27"/>
      <c r="R111" s="27"/>
      <c r="S111" s="27"/>
      <c r="T111" s="27"/>
    </row>
    <row r="112">
      <c r="A112" s="124"/>
      <c r="B112" s="120" t="s">
        <v>276</v>
      </c>
      <c r="C112" s="28" t="s">
        <v>5673</v>
      </c>
      <c r="D112" s="120" t="s">
        <v>70</v>
      </c>
      <c r="E112" s="120" t="s">
        <v>5425</v>
      </c>
      <c r="F112" s="124"/>
      <c r="G112" s="125">
        <v>2.0</v>
      </c>
      <c r="H112" s="126" t="s">
        <v>5674</v>
      </c>
      <c r="I112" s="127"/>
      <c r="J112" s="127"/>
      <c r="K112" s="127"/>
      <c r="L112" s="78"/>
      <c r="M112" s="78"/>
      <c r="N112" s="78"/>
      <c r="O112" s="78"/>
      <c r="P112" s="78"/>
      <c r="Q112" s="78"/>
      <c r="R112" s="78"/>
      <c r="S112" s="78"/>
      <c r="T112" s="78"/>
    </row>
    <row r="113">
      <c r="A113" s="124"/>
      <c r="B113" s="120" t="s">
        <v>102</v>
      </c>
      <c r="C113" s="28" t="s">
        <v>1925</v>
      </c>
      <c r="D113" s="120" t="s">
        <v>70</v>
      </c>
      <c r="E113" s="120" t="s">
        <v>5425</v>
      </c>
      <c r="F113" s="120" t="s">
        <v>5675</v>
      </c>
      <c r="G113" s="125">
        <v>2.0</v>
      </c>
      <c r="H113" s="126" t="s">
        <v>5676</v>
      </c>
      <c r="I113" s="127"/>
      <c r="J113" s="127"/>
      <c r="K113" s="127"/>
      <c r="L113" s="78"/>
      <c r="M113" s="78"/>
      <c r="N113" s="78"/>
      <c r="O113" s="78"/>
      <c r="P113" s="78"/>
      <c r="Q113" s="78"/>
      <c r="R113" s="78"/>
      <c r="S113" s="78"/>
      <c r="T113" s="78"/>
    </row>
    <row r="114">
      <c r="A114" s="124"/>
      <c r="B114" s="120" t="s">
        <v>20</v>
      </c>
      <c r="C114" s="28" t="s">
        <v>5677</v>
      </c>
      <c r="D114" s="120" t="s">
        <v>70</v>
      </c>
      <c r="E114" s="120" t="s">
        <v>5425</v>
      </c>
      <c r="F114" s="120"/>
      <c r="G114" s="125">
        <v>2.0</v>
      </c>
      <c r="H114" s="126" t="s">
        <v>5678</v>
      </c>
      <c r="I114" s="127"/>
      <c r="J114" s="127"/>
      <c r="K114" s="127"/>
      <c r="L114" s="78"/>
      <c r="M114" s="78"/>
      <c r="N114" s="78"/>
      <c r="O114" s="78"/>
      <c r="P114" s="78"/>
      <c r="Q114" s="78"/>
      <c r="R114" s="78"/>
      <c r="S114" s="78"/>
      <c r="T114" s="78"/>
    </row>
    <row r="115">
      <c r="A115" s="124"/>
      <c r="B115" s="120" t="s">
        <v>20</v>
      </c>
      <c r="C115" s="28" t="s">
        <v>5679</v>
      </c>
      <c r="D115" s="120" t="s">
        <v>70</v>
      </c>
      <c r="E115" s="120" t="s">
        <v>5425</v>
      </c>
      <c r="F115" s="120" t="s">
        <v>5680</v>
      </c>
      <c r="G115" s="125">
        <v>2.0</v>
      </c>
      <c r="H115" s="126" t="s">
        <v>5681</v>
      </c>
      <c r="I115" s="127"/>
      <c r="J115" s="127"/>
      <c r="K115" s="127"/>
      <c r="L115" s="78"/>
      <c r="M115" s="78"/>
      <c r="N115" s="78"/>
      <c r="O115" s="78"/>
      <c r="P115" s="78"/>
      <c r="Q115" s="78"/>
      <c r="R115" s="78"/>
      <c r="S115" s="78"/>
      <c r="T115" s="78"/>
    </row>
    <row r="116">
      <c r="A116" s="124"/>
      <c r="B116" s="120" t="s">
        <v>276</v>
      </c>
      <c r="C116" s="28" t="s">
        <v>5682</v>
      </c>
      <c r="D116" s="120" t="s">
        <v>70</v>
      </c>
      <c r="E116" s="120" t="s">
        <v>5425</v>
      </c>
      <c r="F116" s="124"/>
      <c r="G116" s="125">
        <v>2.0</v>
      </c>
      <c r="H116" s="126" t="s">
        <v>5683</v>
      </c>
      <c r="I116" s="127"/>
      <c r="J116" s="127"/>
      <c r="K116" s="127"/>
      <c r="L116" s="78"/>
      <c r="M116" s="78"/>
      <c r="N116" s="78"/>
      <c r="O116" s="78"/>
      <c r="P116" s="78"/>
      <c r="Q116" s="78"/>
      <c r="R116" s="78"/>
      <c r="S116" s="78"/>
      <c r="T116" s="78"/>
    </row>
    <row r="117">
      <c r="A117" s="129"/>
      <c r="B117" s="120" t="s">
        <v>687</v>
      </c>
      <c r="C117" s="28" t="s">
        <v>3615</v>
      </c>
      <c r="D117" s="120" t="s">
        <v>70</v>
      </c>
      <c r="E117" s="120" t="s">
        <v>5425</v>
      </c>
      <c r="F117" s="124"/>
      <c r="G117" s="125">
        <v>2.0</v>
      </c>
      <c r="H117" s="127"/>
      <c r="I117" s="127"/>
      <c r="J117" s="126" t="s">
        <v>5684</v>
      </c>
      <c r="K117" s="127"/>
      <c r="L117" s="27"/>
      <c r="M117" s="27"/>
      <c r="N117" s="27"/>
      <c r="O117" s="27"/>
      <c r="P117" s="27"/>
      <c r="Q117" s="27"/>
      <c r="R117" s="27"/>
      <c r="S117" s="27"/>
      <c r="T117" s="27"/>
    </row>
    <row r="118">
      <c r="A118" s="38">
        <v>29816.0</v>
      </c>
      <c r="B118" s="120" t="s">
        <v>20</v>
      </c>
      <c r="C118" s="28" t="s">
        <v>5685</v>
      </c>
      <c r="D118" s="120" t="s">
        <v>70</v>
      </c>
      <c r="E118" s="120" t="s">
        <v>5425</v>
      </c>
      <c r="F118" s="124"/>
      <c r="G118" s="125">
        <v>2.0</v>
      </c>
      <c r="H118" s="126" t="s">
        <v>5686</v>
      </c>
      <c r="I118" s="127"/>
      <c r="J118" s="126" t="s">
        <v>5687</v>
      </c>
      <c r="K118" s="127"/>
      <c r="L118" s="78"/>
      <c r="M118" s="78"/>
      <c r="N118" s="78"/>
      <c r="O118" s="78"/>
      <c r="P118" s="78"/>
      <c r="Q118" s="78"/>
      <c r="R118" s="78"/>
      <c r="S118" s="78"/>
      <c r="T118" s="78"/>
    </row>
    <row r="119">
      <c r="A119" s="124"/>
      <c r="B119" s="120" t="s">
        <v>20</v>
      </c>
      <c r="C119" s="28" t="s">
        <v>446</v>
      </c>
      <c r="D119" s="120" t="s">
        <v>70</v>
      </c>
      <c r="E119" s="120" t="s">
        <v>5425</v>
      </c>
      <c r="F119" s="120"/>
      <c r="G119" s="125">
        <v>2.0</v>
      </c>
      <c r="H119" s="126" t="s">
        <v>5688</v>
      </c>
      <c r="I119" s="127"/>
      <c r="J119" s="127"/>
      <c r="K119" s="127"/>
      <c r="L119" s="78"/>
      <c r="M119" s="78"/>
      <c r="N119" s="78"/>
      <c r="O119" s="78"/>
      <c r="P119" s="78"/>
      <c r="Q119" s="78"/>
      <c r="R119" s="78"/>
      <c r="S119" s="78"/>
      <c r="T119" s="78"/>
    </row>
    <row r="120">
      <c r="A120" s="124"/>
      <c r="B120" s="120" t="s">
        <v>20</v>
      </c>
      <c r="C120" s="28" t="s">
        <v>5689</v>
      </c>
      <c r="D120" s="120" t="s">
        <v>70</v>
      </c>
      <c r="E120" s="120" t="s">
        <v>5452</v>
      </c>
      <c r="F120" s="120"/>
      <c r="G120" s="125">
        <v>2.0</v>
      </c>
      <c r="H120" s="126" t="s">
        <v>5690</v>
      </c>
      <c r="I120" s="127"/>
      <c r="J120" s="127"/>
      <c r="K120" s="127"/>
      <c r="L120" s="78"/>
      <c r="M120" s="78"/>
      <c r="N120" s="78"/>
      <c r="O120" s="78"/>
      <c r="P120" s="78"/>
      <c r="Q120" s="78"/>
      <c r="R120" s="78"/>
      <c r="S120" s="78"/>
      <c r="T120" s="78"/>
    </row>
    <row r="121">
      <c r="A121" s="38">
        <v>30499.0</v>
      </c>
      <c r="B121" s="120" t="s">
        <v>20</v>
      </c>
      <c r="C121" s="28" t="s">
        <v>5691</v>
      </c>
      <c r="D121" s="120" t="s">
        <v>70</v>
      </c>
      <c r="E121" s="120" t="s">
        <v>5452</v>
      </c>
      <c r="F121" s="124"/>
      <c r="G121" s="125">
        <v>2.0</v>
      </c>
      <c r="H121" s="127"/>
      <c r="I121" s="127"/>
      <c r="J121" s="126" t="s">
        <v>5692</v>
      </c>
      <c r="K121" s="127"/>
      <c r="L121" s="78"/>
      <c r="M121" s="78"/>
      <c r="N121" s="78"/>
      <c r="O121" s="78"/>
      <c r="P121" s="78"/>
      <c r="Q121" s="78"/>
      <c r="R121" s="78"/>
      <c r="S121" s="78"/>
      <c r="T121" s="78"/>
    </row>
    <row r="122">
      <c r="A122" s="129"/>
      <c r="B122" s="120" t="s">
        <v>720</v>
      </c>
      <c r="C122" s="28" t="s">
        <v>5693</v>
      </c>
      <c r="D122" s="120" t="s">
        <v>70</v>
      </c>
      <c r="E122" s="120" t="s">
        <v>5452</v>
      </c>
      <c r="F122" s="124"/>
      <c r="G122" s="125">
        <v>2.0</v>
      </c>
      <c r="H122" s="127"/>
      <c r="I122" s="127"/>
      <c r="J122" s="126" t="s">
        <v>5694</v>
      </c>
      <c r="K122" s="127"/>
      <c r="L122" s="27"/>
      <c r="M122" s="27"/>
      <c r="N122" s="27"/>
      <c r="O122" s="27"/>
      <c r="P122" s="27"/>
      <c r="Q122" s="27"/>
      <c r="R122" s="27"/>
      <c r="S122" s="27"/>
      <c r="T122" s="27"/>
    </row>
    <row r="123">
      <c r="A123" s="124"/>
      <c r="B123" s="124"/>
      <c r="C123" s="28" t="s">
        <v>5511</v>
      </c>
      <c r="D123" s="120" t="s">
        <v>70</v>
      </c>
      <c r="E123" s="120" t="s">
        <v>5452</v>
      </c>
      <c r="F123" s="124"/>
      <c r="G123" s="125">
        <v>2.0</v>
      </c>
      <c r="H123" s="126" t="s">
        <v>5695</v>
      </c>
      <c r="I123" s="127"/>
      <c r="J123" s="127"/>
      <c r="K123" s="127"/>
      <c r="L123" s="78"/>
      <c r="M123" s="78"/>
      <c r="N123" s="78"/>
      <c r="O123" s="78"/>
      <c r="P123" s="78"/>
      <c r="Q123" s="78"/>
      <c r="R123" s="78"/>
      <c r="S123" s="78"/>
      <c r="T123" s="78"/>
    </row>
    <row r="124">
      <c r="A124" s="38">
        <v>29826.0</v>
      </c>
      <c r="B124" s="120" t="s">
        <v>720</v>
      </c>
      <c r="C124" s="28" t="s">
        <v>5696</v>
      </c>
      <c r="D124" s="120" t="s">
        <v>70</v>
      </c>
      <c r="E124" s="120" t="s">
        <v>5452</v>
      </c>
      <c r="F124" s="124"/>
      <c r="G124" s="125">
        <v>2.0</v>
      </c>
      <c r="H124" s="127"/>
      <c r="I124" s="127"/>
      <c r="J124" s="126" t="s">
        <v>5697</v>
      </c>
      <c r="K124" s="127"/>
      <c r="L124" s="78"/>
      <c r="M124" s="78"/>
      <c r="N124" s="78"/>
      <c r="O124" s="78"/>
      <c r="P124" s="78"/>
      <c r="Q124" s="78"/>
      <c r="R124" s="78"/>
      <c r="S124" s="78"/>
      <c r="T124" s="78"/>
    </row>
    <row r="125">
      <c r="A125" s="74"/>
      <c r="B125" s="120" t="s">
        <v>720</v>
      </c>
      <c r="C125" s="28" t="s">
        <v>5696</v>
      </c>
      <c r="D125" s="120" t="s">
        <v>70</v>
      </c>
      <c r="E125" s="120" t="s">
        <v>5459</v>
      </c>
      <c r="F125" s="120"/>
      <c r="G125" s="125">
        <v>2.0</v>
      </c>
      <c r="H125" s="127"/>
      <c r="I125" s="127"/>
      <c r="J125" s="126" t="s">
        <v>5698</v>
      </c>
      <c r="K125" s="127"/>
      <c r="L125" s="78"/>
      <c r="M125" s="78"/>
      <c r="N125" s="78"/>
      <c r="O125" s="78"/>
      <c r="P125" s="78"/>
      <c r="Q125" s="78"/>
      <c r="R125" s="78"/>
      <c r="S125" s="78"/>
      <c r="T125" s="78"/>
    </row>
    <row r="126">
      <c r="A126" s="129"/>
      <c r="B126" s="120" t="s">
        <v>687</v>
      </c>
      <c r="C126" s="28" t="s">
        <v>5699</v>
      </c>
      <c r="D126" s="120" t="s">
        <v>70</v>
      </c>
      <c r="E126" s="120" t="s">
        <v>5459</v>
      </c>
      <c r="F126" s="120" t="s">
        <v>5597</v>
      </c>
      <c r="G126" s="125">
        <v>2.0</v>
      </c>
      <c r="H126" s="127"/>
      <c r="I126" s="127"/>
      <c r="J126" s="126" t="s">
        <v>5700</v>
      </c>
      <c r="K126" s="127"/>
      <c r="L126" s="27"/>
      <c r="M126" s="27"/>
      <c r="N126" s="27"/>
      <c r="O126" s="27"/>
      <c r="P126" s="27"/>
      <c r="Q126" s="27"/>
      <c r="R126" s="27"/>
      <c r="S126" s="27"/>
      <c r="T126" s="27"/>
    </row>
    <row r="127">
      <c r="A127" s="129"/>
      <c r="B127" s="120" t="s">
        <v>720</v>
      </c>
      <c r="C127" s="28" t="s">
        <v>5628</v>
      </c>
      <c r="D127" s="120" t="s">
        <v>70</v>
      </c>
      <c r="E127" s="120" t="s">
        <v>5459</v>
      </c>
      <c r="F127" s="38" t="s">
        <v>0</v>
      </c>
      <c r="G127" s="125">
        <v>2.0</v>
      </c>
      <c r="H127" s="127"/>
      <c r="I127" s="127"/>
      <c r="J127" s="126" t="s">
        <v>5701</v>
      </c>
      <c r="K127" s="127"/>
      <c r="L127" s="27"/>
      <c r="M127" s="27"/>
      <c r="N127" s="27"/>
      <c r="O127" s="27"/>
      <c r="P127" s="27"/>
      <c r="Q127" s="27"/>
      <c r="R127" s="27"/>
      <c r="S127" s="27"/>
      <c r="T127" s="27"/>
    </row>
    <row r="128">
      <c r="A128" s="124"/>
      <c r="B128" s="120" t="s">
        <v>20</v>
      </c>
      <c r="C128" s="28" t="s">
        <v>5702</v>
      </c>
      <c r="D128" s="120" t="s">
        <v>70</v>
      </c>
      <c r="E128" s="120" t="s">
        <v>5459</v>
      </c>
      <c r="F128" s="120"/>
      <c r="G128" s="125">
        <v>2.0</v>
      </c>
      <c r="H128" s="126" t="s">
        <v>5703</v>
      </c>
      <c r="I128" s="127"/>
      <c r="J128" s="127"/>
      <c r="K128" s="127"/>
      <c r="L128" s="78"/>
      <c r="M128" s="78"/>
      <c r="N128" s="78"/>
      <c r="O128" s="78"/>
      <c r="P128" s="78"/>
      <c r="Q128" s="78"/>
      <c r="R128" s="78"/>
      <c r="S128" s="78"/>
      <c r="T128" s="78"/>
    </row>
    <row r="129">
      <c r="A129" s="38">
        <v>31805.0</v>
      </c>
      <c r="B129" s="120" t="s">
        <v>20</v>
      </c>
      <c r="C129" s="28" t="s">
        <v>5704</v>
      </c>
      <c r="D129" s="120" t="s">
        <v>70</v>
      </c>
      <c r="E129" s="120" t="s">
        <v>5459</v>
      </c>
      <c r="F129" s="120"/>
      <c r="G129" s="125">
        <v>2.0</v>
      </c>
      <c r="H129" s="126" t="s">
        <v>5705</v>
      </c>
      <c r="I129" s="127"/>
      <c r="J129" s="127"/>
      <c r="K129" s="127"/>
      <c r="L129" s="78"/>
      <c r="M129" s="78"/>
      <c r="N129" s="78"/>
      <c r="O129" s="78"/>
      <c r="P129" s="78"/>
      <c r="Q129" s="78"/>
      <c r="R129" s="78"/>
      <c r="S129" s="78"/>
      <c r="T129" s="78"/>
    </row>
    <row r="130">
      <c r="A130" s="129"/>
      <c r="B130" s="4" t="s">
        <v>687</v>
      </c>
      <c r="C130" s="28" t="s">
        <v>5706</v>
      </c>
      <c r="D130" s="120" t="s">
        <v>70</v>
      </c>
      <c r="E130" s="120" t="s">
        <v>5459</v>
      </c>
      <c r="F130" s="124"/>
      <c r="G130" s="125">
        <v>2.0</v>
      </c>
      <c r="H130" s="27"/>
      <c r="I130" s="127"/>
      <c r="J130" s="126" t="s">
        <v>5707</v>
      </c>
      <c r="K130" s="127"/>
      <c r="L130" s="27"/>
      <c r="M130" s="27"/>
      <c r="N130" s="27"/>
      <c r="O130" s="27"/>
      <c r="P130" s="27"/>
      <c r="Q130" s="27"/>
      <c r="R130" s="27"/>
      <c r="S130" s="27"/>
      <c r="T130" s="27"/>
    </row>
    <row r="131">
      <c r="A131" s="129"/>
      <c r="B131" s="120" t="s">
        <v>687</v>
      </c>
      <c r="C131" s="28" t="s">
        <v>5708</v>
      </c>
      <c r="D131" s="120" t="s">
        <v>70</v>
      </c>
      <c r="E131" s="120" t="s">
        <v>5459</v>
      </c>
      <c r="F131" s="120" t="s">
        <v>5709</v>
      </c>
      <c r="G131" s="125">
        <v>2.0</v>
      </c>
      <c r="H131" s="127"/>
      <c r="I131" s="127"/>
      <c r="J131" s="126" t="s">
        <v>5710</v>
      </c>
      <c r="K131" s="127"/>
      <c r="L131" s="27"/>
      <c r="M131" s="27"/>
      <c r="N131" s="27"/>
      <c r="O131" s="27"/>
      <c r="P131" s="27"/>
      <c r="Q131" s="27"/>
      <c r="R131" s="27"/>
      <c r="S131" s="27"/>
      <c r="T131" s="27"/>
    </row>
    <row r="132">
      <c r="A132" s="129"/>
      <c r="B132" s="120" t="s">
        <v>687</v>
      </c>
      <c r="C132" s="28" t="s">
        <v>680</v>
      </c>
      <c r="D132" s="120" t="s">
        <v>70</v>
      </c>
      <c r="E132" s="120" t="s">
        <v>5459</v>
      </c>
      <c r="F132" s="124"/>
      <c r="G132" s="125">
        <v>2.0</v>
      </c>
      <c r="H132" s="128" t="s">
        <v>5711</v>
      </c>
      <c r="I132" s="127"/>
      <c r="J132" s="127"/>
      <c r="K132" s="127"/>
      <c r="L132" s="27"/>
      <c r="M132" s="27"/>
      <c r="N132" s="27"/>
      <c r="O132" s="27"/>
      <c r="P132" s="27"/>
      <c r="Q132" s="27"/>
      <c r="R132" s="27"/>
      <c r="S132" s="27"/>
      <c r="T132" s="27"/>
    </row>
    <row r="133">
      <c r="A133" s="129"/>
      <c r="B133" s="120" t="s">
        <v>720</v>
      </c>
      <c r="C133" s="28" t="s">
        <v>5712</v>
      </c>
      <c r="D133" s="120" t="s">
        <v>70</v>
      </c>
      <c r="E133" s="120" t="s">
        <v>5459</v>
      </c>
      <c r="F133" s="124"/>
      <c r="G133" s="125">
        <v>2.0</v>
      </c>
      <c r="H133" s="127"/>
      <c r="I133" s="127"/>
      <c r="J133" s="126" t="s">
        <v>5713</v>
      </c>
      <c r="K133" s="127"/>
      <c r="L133" s="27"/>
      <c r="M133" s="27"/>
      <c r="N133" s="27"/>
      <c r="O133" s="27"/>
      <c r="P133" s="27"/>
      <c r="Q133" s="27"/>
      <c r="R133" s="27"/>
      <c r="S133" s="27"/>
      <c r="T133" s="27"/>
    </row>
    <row r="134">
      <c r="A134" s="129"/>
      <c r="B134" s="120" t="s">
        <v>4161</v>
      </c>
      <c r="C134" s="28" t="s">
        <v>5714</v>
      </c>
      <c r="D134" s="120" t="s">
        <v>70</v>
      </c>
      <c r="E134" s="120" t="s">
        <v>5459</v>
      </c>
      <c r="F134" s="124"/>
      <c r="G134" s="125">
        <v>2.0</v>
      </c>
      <c r="H134" s="127"/>
      <c r="I134" s="127"/>
      <c r="J134" s="126" t="s">
        <v>5715</v>
      </c>
      <c r="K134" s="127"/>
      <c r="L134" s="27"/>
      <c r="M134" s="27"/>
      <c r="N134" s="27"/>
      <c r="O134" s="27"/>
      <c r="P134" s="27"/>
      <c r="Q134" s="27"/>
      <c r="R134" s="27"/>
      <c r="S134" s="27"/>
      <c r="T134" s="27"/>
      <c r="U134" s="8" t="s">
        <v>5716</v>
      </c>
    </row>
    <row r="135">
      <c r="A135" s="38">
        <v>31915.0</v>
      </c>
      <c r="B135" s="120" t="s">
        <v>301</v>
      </c>
      <c r="C135" s="28" t="s">
        <v>4391</v>
      </c>
      <c r="D135" s="120" t="s">
        <v>70</v>
      </c>
      <c r="E135" s="120" t="s">
        <v>5459</v>
      </c>
      <c r="F135" s="120"/>
      <c r="G135" s="125">
        <v>2.0</v>
      </c>
      <c r="H135" s="127"/>
      <c r="I135" s="127"/>
      <c r="J135" s="126" t="s">
        <v>5717</v>
      </c>
      <c r="K135" s="127"/>
      <c r="L135" s="78"/>
      <c r="M135" s="78"/>
      <c r="N135" s="78"/>
      <c r="O135" s="78"/>
      <c r="P135" s="78"/>
      <c r="Q135" s="78"/>
      <c r="R135" s="78"/>
      <c r="S135" s="78"/>
      <c r="T135" s="78"/>
    </row>
    <row r="136">
      <c r="A136" s="74">
        <v>29818.0</v>
      </c>
      <c r="B136" s="120" t="s">
        <v>20</v>
      </c>
      <c r="C136" s="28" t="s">
        <v>3209</v>
      </c>
      <c r="D136" s="120" t="s">
        <v>70</v>
      </c>
      <c r="E136" s="120" t="s">
        <v>5459</v>
      </c>
      <c r="F136" s="120" t="s">
        <v>5718</v>
      </c>
      <c r="G136" s="134">
        <v>2.0</v>
      </c>
      <c r="H136" s="128" t="s">
        <v>5719</v>
      </c>
      <c r="I136" s="127"/>
      <c r="J136" s="127"/>
      <c r="K136" s="127"/>
      <c r="L136" s="78"/>
      <c r="M136" s="78"/>
      <c r="N136" s="78"/>
      <c r="O136" s="78"/>
      <c r="P136" s="78"/>
      <c r="Q136" s="78"/>
      <c r="R136" s="78"/>
      <c r="S136" s="78"/>
      <c r="T136" s="78"/>
    </row>
    <row r="137">
      <c r="A137" s="129"/>
      <c r="B137" s="120" t="s">
        <v>20</v>
      </c>
      <c r="C137" s="28" t="s">
        <v>5720</v>
      </c>
      <c r="D137" s="120" t="s">
        <v>70</v>
      </c>
      <c r="E137" s="120" t="s">
        <v>5459</v>
      </c>
      <c r="F137" s="124"/>
      <c r="G137" s="125">
        <v>2.0</v>
      </c>
      <c r="H137" s="127"/>
      <c r="I137" s="127"/>
      <c r="J137" s="126" t="s">
        <v>5721</v>
      </c>
      <c r="K137" s="127"/>
      <c r="L137" s="27"/>
      <c r="M137" s="27"/>
      <c r="N137" s="27"/>
      <c r="O137" s="27"/>
      <c r="P137" s="27"/>
      <c r="Q137" s="27"/>
      <c r="R137" s="27"/>
      <c r="S137" s="27"/>
      <c r="T137" s="27"/>
    </row>
    <row r="138">
      <c r="A138" s="124"/>
      <c r="B138" s="120" t="s">
        <v>20</v>
      </c>
      <c r="C138" s="28" t="s">
        <v>2460</v>
      </c>
      <c r="D138" s="120" t="s">
        <v>70</v>
      </c>
      <c r="E138" s="120" t="s">
        <v>5459</v>
      </c>
      <c r="F138" s="120"/>
      <c r="G138" s="125">
        <v>2.0</v>
      </c>
      <c r="H138" s="126" t="s">
        <v>5722</v>
      </c>
      <c r="I138" s="126" t="s">
        <v>5723</v>
      </c>
      <c r="J138" s="127"/>
      <c r="K138" s="127"/>
      <c r="L138" s="78"/>
      <c r="M138" s="78"/>
      <c r="N138" s="78"/>
      <c r="O138" s="78"/>
      <c r="P138" s="78"/>
      <c r="Q138" s="78"/>
      <c r="R138" s="78"/>
      <c r="S138" s="78"/>
      <c r="T138" s="78"/>
    </row>
    <row r="139">
      <c r="A139" s="38">
        <v>28212.0</v>
      </c>
      <c r="B139" s="120" t="s">
        <v>20</v>
      </c>
      <c r="C139" s="28" t="s">
        <v>773</v>
      </c>
      <c r="D139" s="120" t="s">
        <v>70</v>
      </c>
      <c r="E139" s="120" t="s">
        <v>5459</v>
      </c>
      <c r="F139" s="124"/>
      <c r="G139" s="125">
        <v>2.0</v>
      </c>
      <c r="H139" s="126" t="s">
        <v>5724</v>
      </c>
      <c r="I139" s="127"/>
      <c r="J139" s="127"/>
      <c r="K139" s="127"/>
      <c r="L139" s="78"/>
      <c r="M139" s="78"/>
      <c r="N139" s="78"/>
      <c r="O139" s="78"/>
      <c r="P139" s="78"/>
      <c r="Q139" s="78"/>
      <c r="R139" s="78"/>
      <c r="S139" s="78"/>
      <c r="T139" s="78"/>
    </row>
    <row r="140">
      <c r="A140" s="124"/>
      <c r="B140" s="120" t="s">
        <v>20</v>
      </c>
      <c r="C140" s="28" t="s">
        <v>5725</v>
      </c>
      <c r="D140" s="120" t="s">
        <v>70</v>
      </c>
      <c r="E140" s="120" t="s">
        <v>5459</v>
      </c>
      <c r="F140" s="120"/>
      <c r="G140" s="125">
        <v>2.0</v>
      </c>
      <c r="H140" s="128" t="s">
        <v>5726</v>
      </c>
      <c r="I140" s="127"/>
      <c r="J140" s="127"/>
      <c r="K140" s="127"/>
      <c r="L140" s="78"/>
      <c r="M140" s="78"/>
      <c r="N140" s="78"/>
      <c r="O140" s="78"/>
      <c r="P140" s="78"/>
      <c r="Q140" s="78"/>
      <c r="R140" s="78"/>
      <c r="S140" s="78"/>
      <c r="T140" s="78"/>
    </row>
    <row r="141">
      <c r="A141" s="124"/>
      <c r="B141" s="120" t="s">
        <v>20</v>
      </c>
      <c r="C141" s="28" t="s">
        <v>2932</v>
      </c>
      <c r="D141" s="120" t="s">
        <v>70</v>
      </c>
      <c r="E141" s="120" t="s">
        <v>5459</v>
      </c>
      <c r="F141" s="120"/>
      <c r="G141" s="125">
        <v>2.0</v>
      </c>
      <c r="H141" s="126" t="s">
        <v>5727</v>
      </c>
      <c r="I141" s="126" t="s">
        <v>5728</v>
      </c>
      <c r="J141" s="127"/>
      <c r="K141" s="127"/>
      <c r="L141" s="78"/>
      <c r="M141" s="78"/>
      <c r="N141" s="78"/>
      <c r="O141" s="78"/>
      <c r="P141" s="78"/>
      <c r="Q141" s="78"/>
      <c r="R141" s="78"/>
      <c r="S141" s="78"/>
      <c r="T141" s="78"/>
    </row>
    <row r="142">
      <c r="A142" s="129"/>
      <c r="B142" s="120" t="s">
        <v>20</v>
      </c>
      <c r="C142" s="28" t="s">
        <v>5729</v>
      </c>
      <c r="D142" s="120" t="s">
        <v>70</v>
      </c>
      <c r="E142" s="120" t="s">
        <v>5459</v>
      </c>
      <c r="F142" s="124"/>
      <c r="G142" s="125">
        <v>2.0</v>
      </c>
      <c r="H142" s="126" t="s">
        <v>5730</v>
      </c>
      <c r="I142" s="29" t="s">
        <v>5731</v>
      </c>
      <c r="J142" s="127"/>
      <c r="K142" s="127"/>
      <c r="L142" s="27"/>
      <c r="M142" s="27"/>
      <c r="N142" s="27"/>
      <c r="O142" s="27"/>
      <c r="P142" s="27"/>
      <c r="Q142" s="27"/>
      <c r="R142" s="27"/>
      <c r="S142" s="27"/>
      <c r="T142" s="27"/>
    </row>
    <row r="143">
      <c r="A143" s="124"/>
      <c r="B143" s="120" t="s">
        <v>20</v>
      </c>
      <c r="C143" s="28" t="s">
        <v>2542</v>
      </c>
      <c r="D143" s="120" t="s">
        <v>70</v>
      </c>
      <c r="E143" s="120" t="s">
        <v>5459</v>
      </c>
      <c r="F143" s="120"/>
      <c r="G143" s="125">
        <v>2.0</v>
      </c>
      <c r="H143" s="126" t="s">
        <v>5732</v>
      </c>
      <c r="I143" s="128" t="s">
        <v>5733</v>
      </c>
      <c r="J143" s="128" t="s">
        <v>5734</v>
      </c>
      <c r="K143" s="127"/>
      <c r="L143" s="78"/>
      <c r="M143" s="78"/>
      <c r="N143" s="78"/>
      <c r="O143" s="78"/>
      <c r="P143" s="78"/>
      <c r="Q143" s="78"/>
      <c r="R143" s="78"/>
      <c r="S143" s="78"/>
      <c r="T143" s="78"/>
    </row>
    <row r="144">
      <c r="A144" s="124"/>
      <c r="B144" s="120" t="s">
        <v>20</v>
      </c>
      <c r="C144" s="28" t="s">
        <v>1262</v>
      </c>
      <c r="D144" s="120" t="s">
        <v>70</v>
      </c>
      <c r="E144" s="120" t="s">
        <v>5459</v>
      </c>
      <c r="F144" s="124"/>
      <c r="G144" s="125">
        <v>2.0</v>
      </c>
      <c r="H144" s="126" t="s">
        <v>5735</v>
      </c>
      <c r="I144" s="127"/>
      <c r="J144" s="127"/>
      <c r="K144" s="127"/>
      <c r="L144" s="78"/>
      <c r="M144" s="78"/>
      <c r="N144" s="78"/>
      <c r="O144" s="78"/>
      <c r="P144" s="78"/>
      <c r="Q144" s="78"/>
      <c r="R144" s="78"/>
      <c r="S144" s="78"/>
      <c r="T144" s="78"/>
    </row>
    <row r="145">
      <c r="A145" s="124"/>
      <c r="B145" s="120" t="s">
        <v>20</v>
      </c>
      <c r="C145" s="28" t="s">
        <v>5736</v>
      </c>
      <c r="D145" s="120" t="s">
        <v>70</v>
      </c>
      <c r="E145" s="120" t="s">
        <v>5459</v>
      </c>
      <c r="F145" s="120"/>
      <c r="G145" s="125">
        <v>2.0</v>
      </c>
      <c r="H145" s="126" t="s">
        <v>5737</v>
      </c>
      <c r="I145" s="126" t="s">
        <v>5738</v>
      </c>
      <c r="J145" s="126" t="s">
        <v>5739</v>
      </c>
      <c r="K145" s="127"/>
      <c r="L145" s="78"/>
      <c r="M145" s="78"/>
      <c r="N145" s="78"/>
      <c r="O145" s="78"/>
      <c r="P145" s="78"/>
      <c r="Q145" s="78"/>
      <c r="R145" s="78"/>
      <c r="S145" s="78"/>
      <c r="T145" s="78"/>
    </row>
    <row r="146">
      <c r="A146" s="129"/>
      <c r="B146" s="120" t="s">
        <v>720</v>
      </c>
      <c r="C146" s="28" t="s">
        <v>5740</v>
      </c>
      <c r="D146" s="120" t="s">
        <v>70</v>
      </c>
      <c r="E146" s="120" t="s">
        <v>5459</v>
      </c>
      <c r="F146" s="124"/>
      <c r="G146" s="125">
        <v>2.0</v>
      </c>
      <c r="H146" s="127"/>
      <c r="I146" s="127"/>
      <c r="J146" s="126" t="s">
        <v>5741</v>
      </c>
      <c r="K146" s="127"/>
      <c r="L146" s="27"/>
      <c r="M146" s="27"/>
      <c r="N146" s="27"/>
      <c r="O146" s="27"/>
      <c r="P146" s="27"/>
      <c r="Q146" s="27"/>
      <c r="R146" s="27"/>
      <c r="S146" s="27"/>
      <c r="T146" s="27"/>
    </row>
    <row r="147">
      <c r="A147" s="124"/>
      <c r="B147" s="120" t="s">
        <v>102</v>
      </c>
      <c r="C147" s="28" t="s">
        <v>1221</v>
      </c>
      <c r="D147" s="120" t="s">
        <v>70</v>
      </c>
      <c r="E147" s="120" t="s">
        <v>5459</v>
      </c>
      <c r="F147" s="120" t="s">
        <v>5742</v>
      </c>
      <c r="G147" s="125">
        <v>2.0</v>
      </c>
      <c r="H147" s="126" t="s">
        <v>5743</v>
      </c>
      <c r="I147" s="127"/>
      <c r="J147" s="126" t="s">
        <v>5744</v>
      </c>
      <c r="K147" s="127"/>
      <c r="L147" s="78"/>
      <c r="M147" s="78"/>
      <c r="N147" s="78"/>
      <c r="O147" s="78"/>
      <c r="P147" s="78"/>
      <c r="Q147" s="78"/>
      <c r="R147" s="78"/>
      <c r="S147" s="78"/>
      <c r="T147" s="78"/>
    </row>
    <row r="148">
      <c r="A148" s="124"/>
      <c r="B148" s="120" t="s">
        <v>102</v>
      </c>
      <c r="C148" s="28" t="s">
        <v>1221</v>
      </c>
      <c r="D148" s="120" t="s">
        <v>70</v>
      </c>
      <c r="E148" s="120" t="s">
        <v>5459</v>
      </c>
      <c r="F148" s="120" t="s">
        <v>5745</v>
      </c>
      <c r="G148" s="125">
        <v>2.0</v>
      </c>
      <c r="H148" s="126" t="s">
        <v>5746</v>
      </c>
      <c r="I148" s="127"/>
      <c r="J148" s="126" t="s">
        <v>5747</v>
      </c>
      <c r="K148" s="127"/>
      <c r="L148" s="78"/>
      <c r="M148" s="78"/>
      <c r="N148" s="78"/>
      <c r="O148" s="78"/>
      <c r="P148" s="78"/>
      <c r="Q148" s="78"/>
      <c r="R148" s="78"/>
      <c r="S148" s="78"/>
      <c r="T148" s="78"/>
    </row>
    <row r="149">
      <c r="A149" s="124"/>
      <c r="B149" s="120" t="s">
        <v>102</v>
      </c>
      <c r="C149" s="28" t="s">
        <v>1221</v>
      </c>
      <c r="D149" s="120" t="s">
        <v>70</v>
      </c>
      <c r="E149" s="120" t="s">
        <v>5459</v>
      </c>
      <c r="F149" s="120" t="s">
        <v>5748</v>
      </c>
      <c r="G149" s="125">
        <v>2.0</v>
      </c>
      <c r="H149" s="126" t="s">
        <v>5749</v>
      </c>
      <c r="I149" s="127"/>
      <c r="J149" s="127"/>
      <c r="K149" s="127"/>
      <c r="L149" s="78"/>
      <c r="M149" s="78"/>
      <c r="N149" s="78"/>
      <c r="O149" s="78"/>
      <c r="P149" s="78"/>
      <c r="Q149" s="78"/>
      <c r="R149" s="78"/>
      <c r="S149" s="78"/>
      <c r="T149" s="78"/>
    </row>
    <row r="150">
      <c r="A150" s="124"/>
      <c r="B150" s="120" t="s">
        <v>102</v>
      </c>
      <c r="C150" s="28" t="s">
        <v>1221</v>
      </c>
      <c r="D150" s="120" t="s">
        <v>70</v>
      </c>
      <c r="E150" s="120" t="s">
        <v>5459</v>
      </c>
      <c r="F150" s="120" t="s">
        <v>5750</v>
      </c>
      <c r="G150" s="125">
        <v>2.0</v>
      </c>
      <c r="H150" s="126" t="s">
        <v>5751</v>
      </c>
      <c r="I150" s="126" t="s">
        <v>5752</v>
      </c>
      <c r="J150" s="127"/>
      <c r="K150" s="127"/>
      <c r="L150" s="78"/>
      <c r="M150" s="78"/>
      <c r="N150" s="78"/>
      <c r="O150" s="78"/>
      <c r="P150" s="78"/>
      <c r="Q150" s="78"/>
      <c r="R150" s="78"/>
      <c r="S150" s="78"/>
      <c r="T150" s="78"/>
    </row>
    <row r="151">
      <c r="A151" s="124"/>
      <c r="B151" s="120" t="s">
        <v>102</v>
      </c>
      <c r="C151" s="28" t="s">
        <v>2052</v>
      </c>
      <c r="D151" s="120" t="s">
        <v>70</v>
      </c>
      <c r="E151" s="120" t="s">
        <v>5459</v>
      </c>
      <c r="F151" s="120" t="s">
        <v>5753</v>
      </c>
      <c r="G151" s="125">
        <v>2.0</v>
      </c>
      <c r="H151" s="128" t="s">
        <v>5754</v>
      </c>
      <c r="I151" s="127"/>
      <c r="J151" s="127"/>
      <c r="K151" s="127"/>
      <c r="L151" s="78"/>
      <c r="M151" s="78"/>
      <c r="N151" s="78"/>
      <c r="O151" s="78"/>
      <c r="P151" s="78"/>
      <c r="Q151" s="78"/>
      <c r="R151" s="78"/>
      <c r="S151" s="78"/>
      <c r="T151" s="78"/>
    </row>
    <row r="152">
      <c r="A152" s="129"/>
      <c r="B152" s="120" t="s">
        <v>687</v>
      </c>
      <c r="C152" s="28" t="s">
        <v>1155</v>
      </c>
      <c r="D152" s="120" t="s">
        <v>70</v>
      </c>
      <c r="E152" s="120" t="s">
        <v>5459</v>
      </c>
      <c r="F152" s="124"/>
      <c r="G152" s="125">
        <v>2.0</v>
      </c>
      <c r="H152" s="126" t="s">
        <v>5755</v>
      </c>
      <c r="I152" s="127"/>
      <c r="J152" s="126" t="s">
        <v>5756</v>
      </c>
      <c r="K152" s="127"/>
      <c r="L152" s="27"/>
      <c r="M152" s="27"/>
      <c r="N152" s="27"/>
      <c r="O152" s="27"/>
      <c r="P152" s="27"/>
      <c r="Q152" s="27"/>
      <c r="R152" s="27"/>
      <c r="S152" s="27"/>
      <c r="T152" s="27"/>
    </row>
    <row r="153">
      <c r="A153" s="129"/>
      <c r="B153" s="120" t="s">
        <v>687</v>
      </c>
      <c r="C153" s="28" t="s">
        <v>5757</v>
      </c>
      <c r="D153" s="120" t="s">
        <v>70</v>
      </c>
      <c r="E153" s="120" t="s">
        <v>5459</v>
      </c>
      <c r="F153" s="124"/>
      <c r="G153" s="125">
        <v>2.0</v>
      </c>
      <c r="H153" s="127"/>
      <c r="I153" s="127"/>
      <c r="J153" s="126" t="s">
        <v>5758</v>
      </c>
      <c r="K153" s="127"/>
      <c r="L153" s="27"/>
      <c r="M153" s="27"/>
      <c r="N153" s="27"/>
      <c r="O153" s="27"/>
      <c r="P153" s="27"/>
      <c r="Q153" s="27"/>
      <c r="R153" s="27"/>
      <c r="S153" s="27"/>
      <c r="T153" s="27"/>
    </row>
    <row r="154">
      <c r="A154" s="38">
        <v>28451.0</v>
      </c>
      <c r="B154" s="120" t="s">
        <v>720</v>
      </c>
      <c r="C154" s="28" t="s">
        <v>5759</v>
      </c>
      <c r="D154" s="120" t="s">
        <v>70</v>
      </c>
      <c r="E154" s="120" t="s">
        <v>5514</v>
      </c>
      <c r="F154" s="124"/>
      <c r="G154" s="125">
        <v>2.0</v>
      </c>
      <c r="H154" s="127"/>
      <c r="I154" s="127"/>
      <c r="J154" s="126" t="s">
        <v>5760</v>
      </c>
      <c r="K154" s="127"/>
      <c r="L154" s="78"/>
      <c r="M154" s="78"/>
      <c r="N154" s="78"/>
      <c r="O154" s="78"/>
      <c r="P154" s="78"/>
      <c r="Q154" s="78"/>
      <c r="R154" s="78"/>
      <c r="S154" s="78"/>
      <c r="T154" s="78"/>
    </row>
    <row r="155">
      <c r="A155" s="124"/>
      <c r="B155" s="120" t="s">
        <v>20</v>
      </c>
      <c r="C155" s="28" t="s">
        <v>69</v>
      </c>
      <c r="D155" s="120" t="s">
        <v>70</v>
      </c>
      <c r="E155" s="120" t="s">
        <v>5514</v>
      </c>
      <c r="F155" s="124"/>
      <c r="G155" s="125">
        <v>2.0</v>
      </c>
      <c r="H155" s="126" t="s">
        <v>5761</v>
      </c>
      <c r="I155" s="126" t="s">
        <v>5762</v>
      </c>
      <c r="J155" s="127"/>
      <c r="K155" s="127"/>
      <c r="L155" s="78"/>
      <c r="M155" s="78"/>
      <c r="N155" s="78"/>
      <c r="O155" s="78"/>
      <c r="P155" s="78"/>
      <c r="Q155" s="78"/>
      <c r="R155" s="78"/>
      <c r="S155" s="78"/>
      <c r="T155" s="78"/>
    </row>
    <row r="156">
      <c r="A156" s="38">
        <v>30194.0</v>
      </c>
      <c r="B156" s="120" t="s">
        <v>20</v>
      </c>
      <c r="C156" s="28" t="s">
        <v>5763</v>
      </c>
      <c r="D156" s="120" t="s">
        <v>70</v>
      </c>
      <c r="E156" s="120" t="s">
        <v>5514</v>
      </c>
      <c r="F156" s="124"/>
      <c r="G156" s="125">
        <v>2.0</v>
      </c>
      <c r="H156" s="127"/>
      <c r="I156" s="127"/>
      <c r="J156" s="126" t="s">
        <v>5764</v>
      </c>
      <c r="K156" s="127"/>
      <c r="L156" s="78"/>
      <c r="M156" s="78"/>
      <c r="N156" s="78"/>
      <c r="O156" s="78"/>
      <c r="P156" s="78"/>
      <c r="Q156" s="78"/>
      <c r="R156" s="78"/>
      <c r="S156" s="78"/>
      <c r="T156" s="78"/>
    </row>
    <row r="157">
      <c r="A157" s="38">
        <v>29597.0</v>
      </c>
      <c r="B157" s="120" t="s">
        <v>20</v>
      </c>
      <c r="C157" s="28" t="s">
        <v>5461</v>
      </c>
      <c r="D157" s="120" t="s">
        <v>70</v>
      </c>
      <c r="E157" s="120" t="s">
        <v>5523</v>
      </c>
      <c r="F157" s="124"/>
      <c r="G157" s="125">
        <v>2.0</v>
      </c>
      <c r="H157" s="126" t="s">
        <v>5765</v>
      </c>
      <c r="I157" s="127"/>
      <c r="J157" s="127"/>
      <c r="K157" s="127"/>
      <c r="L157" s="78"/>
      <c r="M157" s="78"/>
      <c r="N157" s="78"/>
      <c r="O157" s="78"/>
      <c r="P157" s="78"/>
      <c r="Q157" s="78"/>
      <c r="R157" s="78"/>
      <c r="S157" s="78"/>
      <c r="T157" s="78"/>
    </row>
    <row r="158">
      <c r="A158" s="124"/>
      <c r="B158" s="120" t="s">
        <v>20</v>
      </c>
      <c r="C158" s="28" t="s">
        <v>3209</v>
      </c>
      <c r="D158" s="120" t="s">
        <v>70</v>
      </c>
      <c r="E158" s="120" t="s">
        <v>5526</v>
      </c>
      <c r="F158" s="120"/>
      <c r="G158" s="125">
        <v>2.0</v>
      </c>
      <c r="H158" s="126" t="s">
        <v>5766</v>
      </c>
      <c r="I158" s="127"/>
      <c r="J158" s="127"/>
      <c r="K158" s="127"/>
      <c r="L158" s="78"/>
      <c r="M158" s="78"/>
      <c r="N158" s="78"/>
      <c r="O158" s="78"/>
      <c r="P158" s="78"/>
      <c r="Q158" s="78"/>
      <c r="R158" s="78"/>
      <c r="S158" s="78"/>
      <c r="T158" s="78"/>
    </row>
    <row r="159">
      <c r="A159" s="124"/>
      <c r="B159" s="120" t="s">
        <v>720</v>
      </c>
      <c r="C159" s="28" t="s">
        <v>510</v>
      </c>
      <c r="D159" s="120" t="s">
        <v>70</v>
      </c>
      <c r="E159" s="120" t="s">
        <v>5533</v>
      </c>
      <c r="F159" s="120"/>
      <c r="G159" s="125">
        <v>2.0</v>
      </c>
      <c r="H159" s="126" t="s">
        <v>5767</v>
      </c>
      <c r="I159" s="127"/>
      <c r="J159" s="127"/>
      <c r="K159" s="127"/>
      <c r="L159" s="78"/>
      <c r="M159" s="78"/>
      <c r="N159" s="78"/>
      <c r="O159" s="78"/>
      <c r="P159" s="78"/>
      <c r="Q159" s="78"/>
      <c r="R159" s="78"/>
      <c r="S159" s="78"/>
      <c r="T159" s="78"/>
    </row>
    <row r="160">
      <c r="A160" s="28"/>
      <c r="B160" s="120" t="s">
        <v>20</v>
      </c>
      <c r="C160" s="28" t="s">
        <v>2284</v>
      </c>
      <c r="D160" s="120" t="s">
        <v>70</v>
      </c>
      <c r="E160" s="120" t="s">
        <v>5533</v>
      </c>
      <c r="F160" s="120"/>
      <c r="G160" s="125">
        <v>2.0</v>
      </c>
      <c r="H160" s="126" t="s">
        <v>5768</v>
      </c>
      <c r="I160" s="126" t="s">
        <v>5769</v>
      </c>
      <c r="J160" s="126" t="s">
        <v>5770</v>
      </c>
      <c r="K160" s="127"/>
      <c r="L160" s="78"/>
      <c r="M160" s="78"/>
      <c r="N160" s="78"/>
      <c r="O160" s="78"/>
      <c r="P160" s="78"/>
      <c r="Q160" s="78"/>
      <c r="R160" s="78"/>
      <c r="S160" s="78"/>
      <c r="T160" s="78"/>
    </row>
    <row r="161">
      <c r="A161" s="124"/>
      <c r="B161" s="120" t="s">
        <v>20</v>
      </c>
      <c r="C161" s="28" t="s">
        <v>3186</v>
      </c>
      <c r="D161" s="120" t="s">
        <v>70</v>
      </c>
      <c r="E161" s="120" t="s">
        <v>5533</v>
      </c>
      <c r="F161" s="120"/>
      <c r="G161" s="125">
        <v>2.0</v>
      </c>
      <c r="H161" s="126" t="s">
        <v>5771</v>
      </c>
      <c r="I161" s="127"/>
      <c r="J161" s="126" t="s">
        <v>5772</v>
      </c>
      <c r="K161" s="127"/>
      <c r="L161" s="78"/>
      <c r="M161" s="78"/>
      <c r="N161" s="78"/>
      <c r="O161" s="78"/>
      <c r="P161" s="78"/>
      <c r="Q161" s="78"/>
      <c r="R161" s="78"/>
      <c r="S161" s="78"/>
      <c r="T161" s="78"/>
    </row>
    <row r="162">
      <c r="A162" s="124"/>
      <c r="B162" s="120" t="s">
        <v>20</v>
      </c>
      <c r="C162" s="28" t="s">
        <v>2466</v>
      </c>
      <c r="D162" s="120" t="s">
        <v>70</v>
      </c>
      <c r="E162" s="120" t="s">
        <v>5533</v>
      </c>
      <c r="F162" s="120"/>
      <c r="G162" s="125">
        <v>2.0</v>
      </c>
      <c r="H162" s="126" t="s">
        <v>5773</v>
      </c>
      <c r="I162" s="127"/>
      <c r="J162" s="127"/>
      <c r="K162" s="127"/>
      <c r="L162" s="78"/>
      <c r="M162" s="78"/>
      <c r="N162" s="78"/>
      <c r="O162" s="78"/>
      <c r="P162" s="78"/>
      <c r="Q162" s="78"/>
      <c r="R162" s="78"/>
      <c r="S162" s="78"/>
      <c r="T162" s="78"/>
    </row>
    <row r="163">
      <c r="A163" s="38">
        <v>30495.0</v>
      </c>
      <c r="B163" s="120" t="s">
        <v>20</v>
      </c>
      <c r="C163" s="28" t="s">
        <v>4391</v>
      </c>
      <c r="D163" s="120" t="s">
        <v>70</v>
      </c>
      <c r="E163" s="120" t="s">
        <v>5537</v>
      </c>
      <c r="F163" s="124"/>
      <c r="G163" s="125">
        <v>2.0</v>
      </c>
      <c r="H163" s="127"/>
      <c r="I163" s="127"/>
      <c r="J163" s="130" t="s">
        <v>5774</v>
      </c>
      <c r="K163" s="127"/>
      <c r="L163" s="78"/>
      <c r="M163" s="78"/>
      <c r="N163" s="78"/>
      <c r="O163" s="78"/>
      <c r="P163" s="78"/>
      <c r="Q163" s="78"/>
      <c r="R163" s="78"/>
      <c r="S163" s="78"/>
      <c r="T163" s="78"/>
    </row>
    <row r="164">
      <c r="A164" s="129"/>
      <c r="B164" s="120" t="s">
        <v>687</v>
      </c>
      <c r="C164" s="28" t="s">
        <v>5775</v>
      </c>
      <c r="D164" s="120" t="s">
        <v>70</v>
      </c>
      <c r="E164" s="120" t="s">
        <v>5546</v>
      </c>
      <c r="F164" s="124"/>
      <c r="G164" s="125">
        <v>2.0</v>
      </c>
      <c r="H164" s="126" t="s">
        <v>5776</v>
      </c>
      <c r="I164" s="127"/>
      <c r="J164" s="127"/>
      <c r="K164" s="127"/>
      <c r="L164" s="27"/>
      <c r="M164" s="27"/>
      <c r="N164" s="27"/>
      <c r="O164" s="27"/>
      <c r="P164" s="27"/>
      <c r="Q164" s="27"/>
      <c r="R164" s="27"/>
      <c r="S164" s="27"/>
      <c r="T164" s="27"/>
    </row>
    <row r="165">
      <c r="A165" s="124"/>
      <c r="B165" s="120" t="s">
        <v>20</v>
      </c>
      <c r="C165" s="28" t="s">
        <v>1221</v>
      </c>
      <c r="D165" s="120" t="s">
        <v>70</v>
      </c>
      <c r="E165" s="120" t="s">
        <v>5546</v>
      </c>
      <c r="F165" s="120"/>
      <c r="G165" s="125">
        <v>2.0</v>
      </c>
      <c r="H165" s="126" t="s">
        <v>5777</v>
      </c>
      <c r="I165" s="127"/>
      <c r="J165" s="127"/>
      <c r="K165" s="127"/>
      <c r="L165" s="78"/>
      <c r="M165" s="78"/>
      <c r="N165" s="78"/>
      <c r="O165" s="78"/>
      <c r="P165" s="78"/>
      <c r="Q165" s="78"/>
      <c r="R165" s="78"/>
      <c r="S165" s="78"/>
      <c r="T165" s="78"/>
      <c r="U165" s="8" t="s">
        <v>5778</v>
      </c>
    </row>
    <row r="166">
      <c r="A166" s="38">
        <v>27385.0</v>
      </c>
      <c r="B166" s="120" t="s">
        <v>687</v>
      </c>
      <c r="C166" s="135" t="s">
        <v>5779</v>
      </c>
      <c r="D166" s="120" t="s">
        <v>70</v>
      </c>
      <c r="E166" s="120" t="s">
        <v>5546</v>
      </c>
      <c r="F166" s="124"/>
      <c r="G166" s="125">
        <v>2.0</v>
      </c>
      <c r="H166" s="127"/>
      <c r="I166" s="127"/>
      <c r="J166" s="126" t="s">
        <v>5780</v>
      </c>
      <c r="K166" s="127"/>
      <c r="L166" s="78"/>
      <c r="M166" s="78"/>
      <c r="N166" s="78"/>
      <c r="O166" s="78"/>
      <c r="P166" s="78"/>
      <c r="Q166" s="78"/>
      <c r="R166" s="78"/>
      <c r="S166" s="78"/>
      <c r="T166" s="78"/>
    </row>
    <row r="167">
      <c r="A167" s="124"/>
      <c r="B167" s="120" t="s">
        <v>20</v>
      </c>
      <c r="C167" s="28" t="s">
        <v>5781</v>
      </c>
      <c r="D167" s="120" t="s">
        <v>70</v>
      </c>
      <c r="E167" s="120" t="s">
        <v>5585</v>
      </c>
      <c r="F167" s="120"/>
      <c r="G167" s="125">
        <v>2.0</v>
      </c>
      <c r="H167" s="126" t="s">
        <v>5782</v>
      </c>
      <c r="I167" s="126" t="s">
        <v>5783</v>
      </c>
      <c r="J167" s="127"/>
      <c r="K167" s="127"/>
      <c r="L167" s="78"/>
      <c r="M167" s="78"/>
      <c r="N167" s="78"/>
      <c r="O167" s="78"/>
      <c r="P167" s="78"/>
      <c r="Q167" s="78"/>
      <c r="R167" s="78"/>
      <c r="S167" s="78"/>
      <c r="T167" s="78"/>
    </row>
    <row r="168">
      <c r="A168" s="38">
        <v>32954.0</v>
      </c>
      <c r="B168" s="120" t="s">
        <v>20</v>
      </c>
      <c r="C168" s="28" t="s">
        <v>5784</v>
      </c>
      <c r="D168" s="120" t="s">
        <v>70</v>
      </c>
      <c r="E168" s="120" t="s">
        <v>5785</v>
      </c>
      <c r="F168" s="120"/>
      <c r="G168" s="125">
        <v>2.0</v>
      </c>
      <c r="H168" s="126" t="s">
        <v>5786</v>
      </c>
      <c r="I168" s="127"/>
      <c r="J168" s="127"/>
      <c r="K168" s="127"/>
      <c r="L168" s="78"/>
      <c r="M168" s="78"/>
      <c r="N168" s="78"/>
      <c r="O168" s="78"/>
      <c r="P168" s="78"/>
      <c r="Q168" s="78"/>
      <c r="R168" s="78"/>
      <c r="S168" s="78"/>
      <c r="T168" s="78"/>
    </row>
    <row r="169">
      <c r="A169" s="124"/>
      <c r="B169" s="120" t="s">
        <v>20</v>
      </c>
      <c r="C169" s="28" t="s">
        <v>5787</v>
      </c>
      <c r="D169" s="120" t="s">
        <v>70</v>
      </c>
      <c r="E169" s="120" t="s">
        <v>5613</v>
      </c>
      <c r="F169" s="124"/>
      <c r="G169" s="125">
        <v>2.0</v>
      </c>
      <c r="H169" s="126" t="s">
        <v>5788</v>
      </c>
      <c r="I169" s="127"/>
      <c r="J169" s="127"/>
      <c r="K169" s="127"/>
      <c r="L169" s="78"/>
      <c r="M169" s="78"/>
      <c r="N169" s="78"/>
      <c r="O169" s="78"/>
      <c r="P169" s="78"/>
      <c r="Q169" s="78"/>
      <c r="R169" s="78"/>
      <c r="S169" s="78"/>
      <c r="T169" s="78"/>
    </row>
    <row r="170">
      <c r="A170" s="129"/>
      <c r="B170" s="120" t="s">
        <v>20</v>
      </c>
      <c r="C170" s="28" t="s">
        <v>5789</v>
      </c>
      <c r="D170" s="120" t="s">
        <v>70</v>
      </c>
      <c r="E170" s="120" t="s">
        <v>5790</v>
      </c>
      <c r="F170" s="124"/>
      <c r="G170" s="125">
        <v>2.0</v>
      </c>
      <c r="H170" s="126" t="s">
        <v>5791</v>
      </c>
      <c r="I170" s="29" t="s">
        <v>5792</v>
      </c>
      <c r="J170" s="127"/>
      <c r="K170" s="127"/>
      <c r="L170" s="27"/>
      <c r="M170" s="27"/>
      <c r="N170" s="27"/>
      <c r="O170" s="27"/>
      <c r="P170" s="27"/>
      <c r="Q170" s="27"/>
      <c r="R170" s="27"/>
      <c r="S170" s="27"/>
      <c r="T170" s="27"/>
    </row>
    <row r="171">
      <c r="A171" s="74">
        <v>20735.0</v>
      </c>
      <c r="B171" s="120" t="s">
        <v>20</v>
      </c>
      <c r="C171" s="28" t="s">
        <v>5793</v>
      </c>
      <c r="D171" s="120" t="s">
        <v>70</v>
      </c>
      <c r="E171" s="120" t="s">
        <v>5616</v>
      </c>
      <c r="F171" s="120"/>
      <c r="G171" s="125">
        <v>2.0</v>
      </c>
      <c r="H171" s="128" t="s">
        <v>5794</v>
      </c>
      <c r="I171" s="127"/>
      <c r="J171" s="127"/>
      <c r="K171" s="127"/>
      <c r="L171" s="78"/>
      <c r="M171" s="78"/>
      <c r="N171" s="78"/>
      <c r="O171" s="78"/>
      <c r="P171" s="78"/>
      <c r="Q171" s="78"/>
      <c r="R171" s="78"/>
      <c r="S171" s="78"/>
      <c r="T171" s="78"/>
    </row>
    <row r="172">
      <c r="A172" s="124"/>
      <c r="B172" s="120" t="s">
        <v>20</v>
      </c>
      <c r="C172" s="28" t="s">
        <v>5795</v>
      </c>
      <c r="D172" s="120" t="s">
        <v>70</v>
      </c>
      <c r="E172" s="120" t="s">
        <v>5616</v>
      </c>
      <c r="F172" s="120" t="s">
        <v>5796</v>
      </c>
      <c r="G172" s="125">
        <v>2.0</v>
      </c>
      <c r="H172" s="126" t="s">
        <v>5797</v>
      </c>
      <c r="I172" s="127"/>
      <c r="J172" s="127"/>
      <c r="K172" s="127"/>
      <c r="L172" s="78"/>
      <c r="M172" s="78"/>
      <c r="N172" s="78"/>
      <c r="O172" s="78"/>
      <c r="P172" s="78"/>
      <c r="Q172" s="78"/>
      <c r="R172" s="78"/>
      <c r="S172" s="78"/>
      <c r="T172" s="78"/>
    </row>
    <row r="173">
      <c r="A173" s="74">
        <v>20738.0</v>
      </c>
      <c r="B173" s="120" t="s">
        <v>20</v>
      </c>
      <c r="C173" s="28" t="s">
        <v>5798</v>
      </c>
      <c r="D173" s="120" t="s">
        <v>70</v>
      </c>
      <c r="E173" s="120" t="s">
        <v>71</v>
      </c>
      <c r="F173" s="120"/>
      <c r="G173" s="125">
        <v>2.0</v>
      </c>
      <c r="H173" s="126" t="s">
        <v>5799</v>
      </c>
      <c r="I173" s="126" t="s">
        <v>5800</v>
      </c>
      <c r="J173" s="127"/>
      <c r="K173" s="127"/>
      <c r="L173" s="78"/>
      <c r="M173" s="78"/>
      <c r="N173" s="78"/>
      <c r="O173" s="78"/>
      <c r="P173" s="78"/>
      <c r="Q173" s="78"/>
      <c r="R173" s="78"/>
      <c r="S173" s="78"/>
      <c r="T173" s="78"/>
    </row>
    <row r="174">
      <c r="A174" s="124"/>
      <c r="B174" s="120" t="s">
        <v>20</v>
      </c>
      <c r="C174" s="28" t="s">
        <v>5801</v>
      </c>
      <c r="D174" s="120" t="s">
        <v>70</v>
      </c>
      <c r="E174" s="120" t="s">
        <v>71</v>
      </c>
      <c r="F174" s="120"/>
      <c r="G174" s="125">
        <v>2.0</v>
      </c>
      <c r="H174" s="126" t="s">
        <v>5802</v>
      </c>
      <c r="I174" s="127"/>
      <c r="J174" s="127"/>
      <c r="K174" s="127"/>
      <c r="L174" s="78"/>
      <c r="M174" s="78"/>
      <c r="N174" s="78"/>
      <c r="O174" s="78"/>
      <c r="P174" s="78"/>
      <c r="Q174" s="78"/>
      <c r="R174" s="78"/>
      <c r="S174" s="78"/>
      <c r="T174" s="78"/>
    </row>
    <row r="175">
      <c r="A175" s="124"/>
      <c r="B175" s="120" t="s">
        <v>20</v>
      </c>
      <c r="C175" s="28" t="s">
        <v>5803</v>
      </c>
      <c r="D175" s="120" t="s">
        <v>70</v>
      </c>
      <c r="E175" s="120" t="s">
        <v>5629</v>
      </c>
      <c r="F175" s="120"/>
      <c r="G175" s="125">
        <v>2.0</v>
      </c>
      <c r="H175" s="126" t="s">
        <v>5804</v>
      </c>
      <c r="I175" s="127"/>
      <c r="J175" s="127"/>
      <c r="K175" s="127"/>
      <c r="L175" s="78"/>
      <c r="M175" s="78"/>
      <c r="N175" s="78"/>
      <c r="O175" s="78"/>
      <c r="P175" s="78"/>
      <c r="Q175" s="78"/>
      <c r="R175" s="78"/>
      <c r="S175" s="78"/>
      <c r="T175" s="78"/>
    </row>
    <row r="176">
      <c r="A176" s="124"/>
      <c r="B176" s="120" t="s">
        <v>20</v>
      </c>
      <c r="C176" s="28" t="s">
        <v>5805</v>
      </c>
      <c r="D176" s="120" t="s">
        <v>70</v>
      </c>
      <c r="E176" s="120" t="s">
        <v>5629</v>
      </c>
      <c r="F176" s="120"/>
      <c r="G176" s="125">
        <v>2.0</v>
      </c>
      <c r="H176" s="126" t="s">
        <v>5806</v>
      </c>
      <c r="I176" s="127"/>
      <c r="J176" s="127"/>
      <c r="K176" s="127"/>
      <c r="L176" s="78"/>
      <c r="M176" s="78"/>
      <c r="N176" s="78"/>
      <c r="O176" s="78"/>
      <c r="P176" s="78"/>
      <c r="Q176" s="78"/>
      <c r="R176" s="78"/>
      <c r="S176" s="78"/>
      <c r="T176" s="78"/>
    </row>
    <row r="177">
      <c r="A177" s="124"/>
      <c r="B177" s="120" t="s">
        <v>720</v>
      </c>
      <c r="C177" s="28" t="s">
        <v>5807</v>
      </c>
      <c r="D177" s="120" t="s">
        <v>70</v>
      </c>
      <c r="E177" s="120" t="s">
        <v>5629</v>
      </c>
      <c r="F177" s="120"/>
      <c r="G177" s="125">
        <v>2.0</v>
      </c>
      <c r="H177" s="126" t="s">
        <v>5808</v>
      </c>
      <c r="I177" s="127"/>
      <c r="J177" s="127"/>
      <c r="K177" s="127"/>
      <c r="L177" s="78"/>
      <c r="M177" s="78"/>
      <c r="N177" s="78"/>
      <c r="O177" s="78"/>
      <c r="P177" s="78"/>
      <c r="Q177" s="78"/>
      <c r="R177" s="78"/>
      <c r="S177" s="78"/>
      <c r="T177" s="78"/>
    </row>
    <row r="178">
      <c r="A178" s="124"/>
      <c r="B178" s="120" t="s">
        <v>20</v>
      </c>
      <c r="C178" s="28" t="s">
        <v>5636</v>
      </c>
      <c r="D178" s="120" t="s">
        <v>70</v>
      </c>
      <c r="E178" s="120" t="s">
        <v>5629</v>
      </c>
      <c r="F178" s="120"/>
      <c r="G178" s="125">
        <v>2.0</v>
      </c>
      <c r="H178" s="126" t="s">
        <v>5809</v>
      </c>
      <c r="I178" s="127"/>
      <c r="J178" s="127"/>
      <c r="K178" s="127"/>
      <c r="L178" s="78"/>
      <c r="M178" s="78"/>
      <c r="N178" s="78"/>
      <c r="O178" s="78"/>
      <c r="P178" s="78"/>
      <c r="Q178" s="78"/>
      <c r="R178" s="78"/>
      <c r="S178" s="78"/>
      <c r="T178" s="78"/>
    </row>
    <row r="179">
      <c r="A179" s="124"/>
      <c r="B179" s="120" t="s">
        <v>20</v>
      </c>
      <c r="C179" s="28" t="s">
        <v>118</v>
      </c>
      <c r="D179" s="120" t="s">
        <v>70</v>
      </c>
      <c r="E179" s="120" t="s">
        <v>5629</v>
      </c>
      <c r="F179" s="120"/>
      <c r="G179" s="125">
        <v>2.0</v>
      </c>
      <c r="H179" s="126" t="s">
        <v>5810</v>
      </c>
      <c r="I179" s="127"/>
      <c r="J179" s="127"/>
      <c r="K179" s="127"/>
      <c r="L179" s="78"/>
      <c r="M179" s="78"/>
      <c r="N179" s="78"/>
      <c r="O179" s="78"/>
      <c r="P179" s="78"/>
      <c r="Q179" s="78"/>
      <c r="R179" s="78"/>
      <c r="S179" s="78"/>
      <c r="T179" s="78"/>
    </row>
    <row r="180">
      <c r="A180" s="124"/>
      <c r="B180" s="120" t="s">
        <v>20</v>
      </c>
      <c r="C180" s="28" t="s">
        <v>5811</v>
      </c>
      <c r="D180" s="120" t="s">
        <v>70</v>
      </c>
      <c r="E180" s="120" t="s">
        <v>5629</v>
      </c>
      <c r="F180" s="120" t="s">
        <v>5812</v>
      </c>
      <c r="G180" s="125">
        <v>2.0</v>
      </c>
      <c r="H180" s="126" t="s">
        <v>5813</v>
      </c>
      <c r="I180" s="127"/>
      <c r="J180" s="127"/>
      <c r="K180" s="127"/>
      <c r="L180" s="78"/>
      <c r="M180" s="78"/>
      <c r="N180" s="78"/>
      <c r="O180" s="78"/>
      <c r="P180" s="78"/>
      <c r="Q180" s="78"/>
      <c r="R180" s="78"/>
      <c r="S180" s="78"/>
      <c r="T180" s="78"/>
    </row>
    <row r="181">
      <c r="A181" s="124"/>
      <c r="B181" s="120" t="s">
        <v>276</v>
      </c>
      <c r="C181" s="28" t="s">
        <v>5814</v>
      </c>
      <c r="D181" s="120" t="s">
        <v>70</v>
      </c>
      <c r="E181" s="120" t="s">
        <v>5629</v>
      </c>
      <c r="F181" s="120"/>
      <c r="G181" s="125">
        <v>2.0</v>
      </c>
      <c r="H181" s="126" t="s">
        <v>5815</v>
      </c>
      <c r="I181" s="127"/>
      <c r="J181" s="127"/>
      <c r="K181" s="127"/>
      <c r="L181" s="78"/>
      <c r="M181" s="78"/>
      <c r="N181" s="78"/>
      <c r="O181" s="78"/>
      <c r="P181" s="78"/>
      <c r="Q181" s="78"/>
      <c r="R181" s="78"/>
      <c r="S181" s="78"/>
      <c r="T181" s="78"/>
    </row>
    <row r="182">
      <c r="A182" s="124"/>
      <c r="B182" s="120" t="s">
        <v>20</v>
      </c>
      <c r="C182" s="28" t="s">
        <v>5816</v>
      </c>
      <c r="D182" s="120" t="s">
        <v>70</v>
      </c>
      <c r="E182" s="120" t="s">
        <v>5629</v>
      </c>
      <c r="F182" s="120"/>
      <c r="G182" s="125">
        <v>2.0</v>
      </c>
      <c r="H182" s="126" t="s">
        <v>5817</v>
      </c>
      <c r="I182" s="127"/>
      <c r="J182" s="127"/>
      <c r="K182" s="127"/>
      <c r="L182" s="78"/>
      <c r="M182" s="78"/>
      <c r="N182" s="78"/>
      <c r="O182" s="78"/>
      <c r="P182" s="78"/>
      <c r="Q182" s="78"/>
      <c r="R182" s="78"/>
      <c r="S182" s="78"/>
      <c r="T182" s="78"/>
    </row>
    <row r="183">
      <c r="A183" s="124"/>
      <c r="B183" s="120" t="s">
        <v>20</v>
      </c>
      <c r="C183" s="28" t="s">
        <v>5818</v>
      </c>
      <c r="D183" s="120" t="s">
        <v>70</v>
      </c>
      <c r="E183" s="120" t="s">
        <v>5629</v>
      </c>
      <c r="F183" s="120"/>
      <c r="G183" s="125">
        <v>2.0</v>
      </c>
      <c r="H183" s="126" t="s">
        <v>5819</v>
      </c>
      <c r="I183" s="127"/>
      <c r="J183" s="127"/>
      <c r="K183" s="127"/>
      <c r="L183" s="78"/>
      <c r="M183" s="78"/>
      <c r="N183" s="78"/>
      <c r="O183" s="78"/>
      <c r="P183" s="78"/>
      <c r="Q183" s="78"/>
      <c r="R183" s="78"/>
      <c r="S183" s="78"/>
      <c r="T183" s="78"/>
    </row>
    <row r="184">
      <c r="A184" s="28">
        <v>21430.0</v>
      </c>
      <c r="B184" s="120" t="s">
        <v>20</v>
      </c>
      <c r="C184" s="28" t="s">
        <v>5820</v>
      </c>
      <c r="D184" s="120" t="s">
        <v>70</v>
      </c>
      <c r="E184" s="120" t="s">
        <v>5651</v>
      </c>
      <c r="F184" s="120"/>
      <c r="G184" s="125">
        <v>2.0</v>
      </c>
      <c r="H184" s="126" t="s">
        <v>5821</v>
      </c>
      <c r="I184" s="127"/>
      <c r="J184" s="126" t="s">
        <v>5822</v>
      </c>
      <c r="K184" s="127"/>
      <c r="L184" s="78"/>
      <c r="M184" s="78"/>
      <c r="N184" s="78"/>
      <c r="O184" s="78"/>
      <c r="P184" s="78"/>
      <c r="Q184" s="78"/>
      <c r="R184" s="78"/>
      <c r="S184" s="78"/>
      <c r="T184" s="78"/>
    </row>
    <row r="185">
      <c r="A185" s="124"/>
      <c r="B185" s="120" t="s">
        <v>17</v>
      </c>
      <c r="C185" s="28" t="s">
        <v>272</v>
      </c>
      <c r="D185" s="120" t="s">
        <v>70</v>
      </c>
      <c r="E185" s="120" t="s">
        <v>5665</v>
      </c>
      <c r="F185" s="124"/>
      <c r="G185" s="125">
        <v>2.0</v>
      </c>
      <c r="H185" s="126" t="s">
        <v>5823</v>
      </c>
      <c r="I185" s="127"/>
      <c r="J185" s="127"/>
      <c r="K185" s="127"/>
      <c r="L185" s="78"/>
      <c r="M185" s="78"/>
      <c r="N185" s="78"/>
      <c r="O185" s="78"/>
      <c r="P185" s="78"/>
      <c r="Q185" s="78"/>
      <c r="R185" s="78"/>
      <c r="S185" s="78"/>
      <c r="T185" s="78"/>
    </row>
    <row r="186">
      <c r="A186" s="38">
        <v>28958.0</v>
      </c>
      <c r="B186" s="120" t="s">
        <v>20</v>
      </c>
      <c r="C186" s="28" t="s">
        <v>1420</v>
      </c>
      <c r="D186" s="120" t="s">
        <v>70</v>
      </c>
      <c r="E186" s="120" t="s">
        <v>5665</v>
      </c>
      <c r="F186" s="124"/>
      <c r="G186" s="125">
        <v>2.0</v>
      </c>
      <c r="H186" s="126" t="s">
        <v>5824</v>
      </c>
      <c r="I186" s="127"/>
      <c r="J186" s="127"/>
      <c r="K186" s="127"/>
      <c r="L186" s="78"/>
      <c r="M186" s="78"/>
      <c r="N186" s="78"/>
      <c r="O186" s="78"/>
      <c r="P186" s="78"/>
      <c r="Q186" s="78"/>
      <c r="R186" s="78"/>
      <c r="S186" s="78"/>
      <c r="T186" s="78"/>
    </row>
    <row r="187">
      <c r="A187" s="28">
        <v>20368.0</v>
      </c>
      <c r="B187" s="120" t="s">
        <v>20</v>
      </c>
      <c r="C187" s="28" t="s">
        <v>74</v>
      </c>
      <c r="D187" s="120" t="s">
        <v>70</v>
      </c>
      <c r="E187" s="120" t="s">
        <v>5665</v>
      </c>
      <c r="F187" s="120"/>
      <c r="G187" s="125">
        <v>2.0</v>
      </c>
      <c r="H187" s="126" t="s">
        <v>5825</v>
      </c>
      <c r="I187" s="127"/>
      <c r="J187" s="127"/>
      <c r="K187" s="127"/>
      <c r="L187" s="78"/>
      <c r="M187" s="78"/>
      <c r="N187" s="78"/>
      <c r="O187" s="78"/>
      <c r="P187" s="78"/>
      <c r="Q187" s="78"/>
      <c r="R187" s="78"/>
      <c r="S187" s="78"/>
      <c r="T187" s="78"/>
    </row>
    <row r="188">
      <c r="A188" s="38">
        <v>31900.0</v>
      </c>
      <c r="B188" s="120" t="s">
        <v>20</v>
      </c>
      <c r="C188" s="28" t="s">
        <v>5826</v>
      </c>
      <c r="D188" s="120" t="s">
        <v>70</v>
      </c>
      <c r="E188" s="120" t="s">
        <v>5668</v>
      </c>
      <c r="F188" s="120"/>
      <c r="G188" s="125">
        <v>2.0</v>
      </c>
      <c r="H188" s="126" t="s">
        <v>5827</v>
      </c>
      <c r="I188" s="127"/>
      <c r="J188" s="127"/>
      <c r="K188" s="127"/>
      <c r="L188" s="78"/>
      <c r="M188" s="78"/>
      <c r="N188" s="78"/>
      <c r="O188" s="78"/>
      <c r="P188" s="78"/>
      <c r="Q188" s="78"/>
      <c r="R188" s="78"/>
      <c r="S188" s="78"/>
      <c r="T188" s="78"/>
    </row>
    <row r="189">
      <c r="A189" s="124"/>
      <c r="B189" s="120" t="s">
        <v>20</v>
      </c>
      <c r="C189" s="28" t="s">
        <v>5828</v>
      </c>
      <c r="D189" s="120" t="s">
        <v>70</v>
      </c>
      <c r="E189" s="120" t="s">
        <v>5668</v>
      </c>
      <c r="F189" s="124"/>
      <c r="G189" s="125">
        <v>2.0</v>
      </c>
      <c r="H189" s="126" t="s">
        <v>5829</v>
      </c>
      <c r="I189" s="127"/>
      <c r="J189" s="127"/>
      <c r="K189" s="126" t="s">
        <v>5830</v>
      </c>
      <c r="L189" s="78"/>
      <c r="M189" s="78"/>
      <c r="N189" s="78"/>
      <c r="O189" s="78"/>
      <c r="P189" s="78"/>
      <c r="Q189" s="78"/>
      <c r="R189" s="78"/>
      <c r="S189" s="78"/>
      <c r="T189" s="78"/>
    </row>
    <row r="190">
      <c r="A190" s="124"/>
      <c r="B190" s="120" t="s">
        <v>20</v>
      </c>
      <c r="C190" s="28" t="s">
        <v>5831</v>
      </c>
      <c r="D190" s="120" t="s">
        <v>70</v>
      </c>
      <c r="E190" s="120" t="s">
        <v>5425</v>
      </c>
      <c r="F190" s="120"/>
      <c r="G190" s="125">
        <v>3.0</v>
      </c>
      <c r="H190" s="126" t="s">
        <v>5832</v>
      </c>
      <c r="I190" s="126" t="s">
        <v>5833</v>
      </c>
      <c r="J190" s="127"/>
      <c r="K190" s="127"/>
      <c r="L190" s="78"/>
      <c r="M190" s="78"/>
      <c r="N190" s="78"/>
      <c r="O190" s="78"/>
      <c r="P190" s="78"/>
      <c r="Q190" s="78"/>
      <c r="R190" s="78"/>
      <c r="S190" s="78"/>
      <c r="T190" s="78"/>
    </row>
    <row r="191">
      <c r="A191" s="124"/>
      <c r="B191" s="120" t="s">
        <v>20</v>
      </c>
      <c r="C191" s="28" t="s">
        <v>4304</v>
      </c>
      <c r="D191" s="120" t="s">
        <v>70</v>
      </c>
      <c r="E191" s="120" t="s">
        <v>5425</v>
      </c>
      <c r="F191" s="120"/>
      <c r="G191" s="125">
        <v>3.0</v>
      </c>
      <c r="H191" s="126" t="s">
        <v>5834</v>
      </c>
      <c r="I191" s="127"/>
      <c r="J191" s="127"/>
      <c r="K191" s="126" t="s">
        <v>5835</v>
      </c>
      <c r="L191" s="78"/>
      <c r="M191" s="78"/>
      <c r="N191" s="78"/>
      <c r="O191" s="78"/>
      <c r="P191" s="78"/>
      <c r="Q191" s="78"/>
      <c r="R191" s="78"/>
      <c r="S191" s="78"/>
      <c r="T191" s="78"/>
    </row>
    <row r="192">
      <c r="A192" s="124"/>
      <c r="B192" s="120" t="s">
        <v>276</v>
      </c>
      <c r="C192" s="28" t="s">
        <v>5836</v>
      </c>
      <c r="D192" s="120" t="s">
        <v>70</v>
      </c>
      <c r="E192" s="120" t="s">
        <v>5425</v>
      </c>
      <c r="F192" s="124"/>
      <c r="G192" s="125">
        <v>3.0</v>
      </c>
      <c r="H192" s="126" t="s">
        <v>5837</v>
      </c>
      <c r="I192" s="127"/>
      <c r="J192" s="127"/>
      <c r="K192" s="127"/>
      <c r="L192" s="78"/>
      <c r="M192" s="78"/>
      <c r="N192" s="78"/>
      <c r="O192" s="78"/>
      <c r="P192" s="78"/>
      <c r="Q192" s="78"/>
      <c r="R192" s="78"/>
      <c r="S192" s="78"/>
      <c r="T192" s="78"/>
    </row>
    <row r="193">
      <c r="A193" s="124"/>
      <c r="B193" s="120" t="s">
        <v>20</v>
      </c>
      <c r="C193" s="28" t="s">
        <v>5838</v>
      </c>
      <c r="D193" s="120" t="s">
        <v>70</v>
      </c>
      <c r="E193" s="120" t="s">
        <v>5425</v>
      </c>
      <c r="F193" s="120"/>
      <c r="G193" s="125">
        <v>3.0</v>
      </c>
      <c r="H193" s="126" t="s">
        <v>5839</v>
      </c>
      <c r="I193" s="126" t="s">
        <v>5840</v>
      </c>
      <c r="J193" s="127"/>
      <c r="K193" s="127"/>
      <c r="L193" s="78"/>
      <c r="M193" s="78"/>
      <c r="N193" s="78"/>
      <c r="O193" s="78"/>
      <c r="P193" s="78"/>
      <c r="Q193" s="78"/>
      <c r="R193" s="78"/>
      <c r="S193" s="78"/>
      <c r="T193" s="78"/>
    </row>
    <row r="194">
      <c r="A194" s="124"/>
      <c r="B194" s="120" t="s">
        <v>20</v>
      </c>
      <c r="C194" s="28" t="s">
        <v>5841</v>
      </c>
      <c r="D194" s="120" t="s">
        <v>70</v>
      </c>
      <c r="E194" s="120" t="s">
        <v>5425</v>
      </c>
      <c r="F194" s="124"/>
      <c r="G194" s="125">
        <v>3.0</v>
      </c>
      <c r="H194" s="126" t="s">
        <v>5842</v>
      </c>
      <c r="I194" s="126" t="s">
        <v>5843</v>
      </c>
      <c r="J194" s="128" t="s">
        <v>5844</v>
      </c>
      <c r="K194" s="127"/>
      <c r="L194" s="78"/>
      <c r="M194" s="78"/>
      <c r="N194" s="78"/>
      <c r="O194" s="78"/>
      <c r="P194" s="78"/>
      <c r="Q194" s="78"/>
      <c r="R194" s="78"/>
      <c r="S194" s="78"/>
      <c r="T194" s="78"/>
    </row>
    <row r="195">
      <c r="A195" s="124"/>
      <c r="B195" s="120" t="s">
        <v>276</v>
      </c>
      <c r="C195" s="28" t="s">
        <v>1045</v>
      </c>
      <c r="D195" s="120" t="s">
        <v>70</v>
      </c>
      <c r="E195" s="120" t="s">
        <v>5425</v>
      </c>
      <c r="F195" s="124"/>
      <c r="G195" s="125">
        <v>3.0</v>
      </c>
      <c r="H195" s="126" t="s">
        <v>5845</v>
      </c>
      <c r="I195" s="127"/>
      <c r="J195" s="127"/>
      <c r="K195" s="127"/>
      <c r="L195" s="78"/>
      <c r="M195" s="78"/>
      <c r="N195" s="78"/>
      <c r="O195" s="78"/>
      <c r="P195" s="78"/>
      <c r="Q195" s="78"/>
      <c r="R195" s="78"/>
      <c r="S195" s="78"/>
      <c r="T195" s="78"/>
    </row>
    <row r="196">
      <c r="A196" s="74">
        <v>29816.0</v>
      </c>
      <c r="B196" s="120" t="s">
        <v>20</v>
      </c>
      <c r="C196" s="28" t="s">
        <v>5685</v>
      </c>
      <c r="D196" s="120" t="s">
        <v>70</v>
      </c>
      <c r="E196" s="120" t="s">
        <v>5425</v>
      </c>
      <c r="F196" s="120"/>
      <c r="G196" s="125">
        <v>3.0</v>
      </c>
      <c r="H196" s="126" t="s">
        <v>5846</v>
      </c>
      <c r="I196" s="127"/>
      <c r="J196" s="127"/>
      <c r="K196" s="127"/>
      <c r="L196" s="78"/>
      <c r="M196" s="78"/>
      <c r="N196" s="78"/>
      <c r="O196" s="78"/>
      <c r="P196" s="78"/>
      <c r="Q196" s="78"/>
      <c r="R196" s="78"/>
      <c r="S196" s="78"/>
      <c r="T196" s="78"/>
    </row>
    <row r="197">
      <c r="A197" s="124"/>
      <c r="B197" s="136" t="s">
        <v>1981</v>
      </c>
      <c r="C197" s="28" t="s">
        <v>5847</v>
      </c>
      <c r="D197" s="120" t="s">
        <v>70</v>
      </c>
      <c r="E197" s="120" t="s">
        <v>5425</v>
      </c>
      <c r="F197" s="124"/>
      <c r="G197" s="137">
        <v>3.0</v>
      </c>
      <c r="H197" s="126" t="s">
        <v>5848</v>
      </c>
      <c r="I197" s="127"/>
      <c r="J197" s="126" t="s">
        <v>5849</v>
      </c>
      <c r="K197" s="127"/>
      <c r="L197" s="78"/>
      <c r="M197" s="78"/>
      <c r="N197" s="78"/>
      <c r="O197" s="78"/>
      <c r="P197" s="78"/>
      <c r="Q197" s="78"/>
      <c r="R197" s="78"/>
      <c r="S197" s="78"/>
      <c r="T197" s="78"/>
    </row>
    <row r="198">
      <c r="A198" s="124"/>
      <c r="B198" s="120" t="s">
        <v>20</v>
      </c>
      <c r="C198" s="28" t="s">
        <v>5805</v>
      </c>
      <c r="D198" s="120" t="s">
        <v>70</v>
      </c>
      <c r="E198" s="120" t="s">
        <v>5449</v>
      </c>
      <c r="F198" s="124"/>
      <c r="G198" s="125">
        <v>3.0</v>
      </c>
      <c r="H198" s="126" t="s">
        <v>5850</v>
      </c>
      <c r="I198" s="127"/>
      <c r="J198" s="126" t="s">
        <v>5851</v>
      </c>
      <c r="K198" s="127"/>
      <c r="L198" s="78"/>
      <c r="M198" s="78"/>
      <c r="N198" s="78"/>
      <c r="O198" s="78"/>
      <c r="P198" s="78"/>
      <c r="Q198" s="78"/>
      <c r="R198" s="78"/>
      <c r="S198" s="78"/>
      <c r="T198" s="78"/>
    </row>
    <row r="199">
      <c r="A199" s="124"/>
      <c r="B199" s="124"/>
      <c r="C199" s="28" t="s">
        <v>792</v>
      </c>
      <c r="D199" s="120" t="s">
        <v>70</v>
      </c>
      <c r="E199" s="120" t="s">
        <v>5452</v>
      </c>
      <c r="F199" s="124"/>
      <c r="G199" s="125">
        <v>3.0</v>
      </c>
      <c r="H199" s="127"/>
      <c r="I199" s="127"/>
      <c r="J199" s="126" t="s">
        <v>5852</v>
      </c>
      <c r="K199" s="127"/>
      <c r="L199" s="78"/>
      <c r="M199" s="78"/>
      <c r="N199" s="78"/>
      <c r="O199" s="78"/>
      <c r="P199" s="78"/>
      <c r="Q199" s="78"/>
      <c r="R199" s="78"/>
      <c r="S199" s="78"/>
      <c r="T199" s="78"/>
    </row>
    <row r="200">
      <c r="A200" s="124"/>
      <c r="B200" s="120" t="s">
        <v>20</v>
      </c>
      <c r="C200" s="28" t="s">
        <v>5853</v>
      </c>
      <c r="D200" s="120" t="s">
        <v>70</v>
      </c>
      <c r="E200" s="120" t="s">
        <v>5459</v>
      </c>
      <c r="F200" s="120"/>
      <c r="G200" s="125">
        <v>3.0</v>
      </c>
      <c r="H200" s="126" t="s">
        <v>5854</v>
      </c>
      <c r="I200" s="126" t="s">
        <v>5855</v>
      </c>
      <c r="J200" s="127"/>
      <c r="K200" s="127"/>
      <c r="L200" s="78"/>
      <c r="M200" s="78"/>
      <c r="N200" s="78"/>
      <c r="O200" s="78"/>
      <c r="P200" s="78"/>
      <c r="Q200" s="78"/>
      <c r="R200" s="78"/>
      <c r="S200" s="78"/>
      <c r="T200" s="78"/>
    </row>
    <row r="201">
      <c r="A201" s="124"/>
      <c r="B201" s="120" t="s">
        <v>20</v>
      </c>
      <c r="C201" s="28" t="s">
        <v>1587</v>
      </c>
      <c r="D201" s="120" t="s">
        <v>70</v>
      </c>
      <c r="E201" s="120" t="s">
        <v>5459</v>
      </c>
      <c r="F201" s="120"/>
      <c r="G201" s="125">
        <v>3.0</v>
      </c>
      <c r="H201" s="126" t="s">
        <v>5856</v>
      </c>
      <c r="I201" s="127"/>
      <c r="J201" s="128" t="s">
        <v>5857</v>
      </c>
      <c r="K201" s="127"/>
      <c r="L201" s="78"/>
      <c r="M201" s="78"/>
      <c r="N201" s="78"/>
      <c r="O201" s="78"/>
      <c r="P201" s="78"/>
      <c r="Q201" s="78"/>
      <c r="R201" s="78"/>
      <c r="S201" s="78"/>
      <c r="T201" s="78"/>
    </row>
    <row r="202">
      <c r="A202" s="124"/>
      <c r="B202" s="120" t="s">
        <v>20</v>
      </c>
      <c r="C202" s="28" t="s">
        <v>5858</v>
      </c>
      <c r="D202" s="120" t="s">
        <v>70</v>
      </c>
      <c r="E202" s="120" t="s">
        <v>5459</v>
      </c>
      <c r="F202" s="120"/>
      <c r="G202" s="125">
        <v>3.0</v>
      </c>
      <c r="H202" s="126" t="s">
        <v>5859</v>
      </c>
      <c r="I202" s="127"/>
      <c r="J202" s="127"/>
      <c r="K202" s="127"/>
      <c r="L202" s="78"/>
      <c r="M202" s="78"/>
      <c r="N202" s="78"/>
      <c r="O202" s="78"/>
      <c r="P202" s="78"/>
      <c r="Q202" s="78"/>
      <c r="R202" s="78"/>
      <c r="S202" s="78"/>
      <c r="T202" s="78"/>
    </row>
    <row r="203">
      <c r="A203" s="124"/>
      <c r="B203" s="120" t="s">
        <v>20</v>
      </c>
      <c r="C203" s="28" t="s">
        <v>5860</v>
      </c>
      <c r="D203" s="120" t="s">
        <v>70</v>
      </c>
      <c r="E203" s="120" t="s">
        <v>5459</v>
      </c>
      <c r="F203" s="120"/>
      <c r="G203" s="125">
        <v>3.0</v>
      </c>
      <c r="H203" s="128" t="s">
        <v>5861</v>
      </c>
      <c r="I203" s="126" t="s">
        <v>5862</v>
      </c>
      <c r="J203" s="127"/>
      <c r="K203" s="127"/>
      <c r="L203" s="78"/>
      <c r="M203" s="78"/>
      <c r="N203" s="78"/>
      <c r="O203" s="78"/>
      <c r="P203" s="78"/>
      <c r="Q203" s="78"/>
      <c r="R203" s="78"/>
      <c r="S203" s="78"/>
      <c r="T203" s="78"/>
    </row>
    <row r="204">
      <c r="A204" s="124"/>
      <c r="B204" s="120" t="s">
        <v>20</v>
      </c>
      <c r="C204" s="28" t="s">
        <v>5863</v>
      </c>
      <c r="D204" s="120" t="s">
        <v>70</v>
      </c>
      <c r="E204" s="120" t="s">
        <v>5459</v>
      </c>
      <c r="F204" s="120"/>
      <c r="G204" s="125">
        <v>3.0</v>
      </c>
      <c r="H204" s="126" t="s">
        <v>5864</v>
      </c>
      <c r="I204" s="127"/>
      <c r="J204" s="127"/>
      <c r="K204" s="127"/>
      <c r="L204" s="78"/>
      <c r="M204" s="78"/>
      <c r="N204" s="78"/>
      <c r="O204" s="78"/>
      <c r="P204" s="78"/>
      <c r="Q204" s="78"/>
      <c r="R204" s="78"/>
      <c r="S204" s="78"/>
      <c r="T204" s="78"/>
    </row>
    <row r="205">
      <c r="A205" s="124"/>
      <c r="B205" s="120" t="s">
        <v>20</v>
      </c>
      <c r="C205" s="28" t="s">
        <v>5865</v>
      </c>
      <c r="D205" s="120" t="s">
        <v>70</v>
      </c>
      <c r="E205" s="120" t="s">
        <v>5459</v>
      </c>
      <c r="F205" s="120"/>
      <c r="G205" s="125">
        <v>3.0</v>
      </c>
      <c r="H205" s="126" t="s">
        <v>5866</v>
      </c>
      <c r="I205" s="127"/>
      <c r="J205" s="127"/>
      <c r="K205" s="127"/>
      <c r="L205" s="78"/>
      <c r="M205" s="78"/>
      <c r="N205" s="78"/>
      <c r="O205" s="78"/>
      <c r="P205" s="78"/>
      <c r="Q205" s="78"/>
      <c r="R205" s="78"/>
      <c r="S205" s="78"/>
      <c r="T205" s="78"/>
    </row>
    <row r="206">
      <c r="A206" s="124"/>
      <c r="B206" s="120" t="s">
        <v>20</v>
      </c>
      <c r="C206" s="28" t="s">
        <v>5867</v>
      </c>
      <c r="D206" s="120" t="s">
        <v>70</v>
      </c>
      <c r="E206" s="120" t="s">
        <v>5459</v>
      </c>
      <c r="F206" s="120"/>
      <c r="G206" s="125">
        <v>3.0</v>
      </c>
      <c r="H206" s="126" t="s">
        <v>5868</v>
      </c>
      <c r="I206" s="127"/>
      <c r="J206" s="126" t="s">
        <v>5869</v>
      </c>
      <c r="K206" s="127"/>
      <c r="L206" s="78"/>
      <c r="M206" s="78"/>
      <c r="N206" s="78"/>
      <c r="O206" s="78"/>
      <c r="P206" s="78"/>
      <c r="Q206" s="78"/>
      <c r="R206" s="78"/>
      <c r="S206" s="78"/>
      <c r="T206" s="78"/>
    </row>
    <row r="207">
      <c r="A207" s="38">
        <v>31201.0</v>
      </c>
      <c r="B207" s="120" t="s">
        <v>20</v>
      </c>
      <c r="C207" s="28" t="s">
        <v>5870</v>
      </c>
      <c r="D207" s="120" t="s">
        <v>70</v>
      </c>
      <c r="E207" s="120" t="s">
        <v>5514</v>
      </c>
      <c r="F207" s="120"/>
      <c r="G207" s="125">
        <v>3.0</v>
      </c>
      <c r="H207" s="126" t="s">
        <v>5871</v>
      </c>
      <c r="I207" s="127"/>
      <c r="J207" s="126" t="s">
        <v>5872</v>
      </c>
      <c r="K207" s="127"/>
      <c r="L207" s="78"/>
      <c r="M207" s="78"/>
      <c r="N207" s="78"/>
      <c r="O207" s="78"/>
      <c r="P207" s="78"/>
      <c r="Q207" s="78"/>
      <c r="R207" s="78"/>
      <c r="S207" s="78"/>
      <c r="T207" s="78"/>
    </row>
    <row r="208">
      <c r="A208" s="124"/>
      <c r="B208" s="120" t="s">
        <v>20</v>
      </c>
      <c r="C208" s="28" t="s">
        <v>272</v>
      </c>
      <c r="D208" s="120" t="s">
        <v>70</v>
      </c>
      <c r="E208" s="120" t="s">
        <v>5526</v>
      </c>
      <c r="F208" s="120"/>
      <c r="G208" s="125">
        <v>3.0</v>
      </c>
      <c r="H208" s="126" t="s">
        <v>5873</v>
      </c>
      <c r="I208" s="127"/>
      <c r="J208" s="126" t="s">
        <v>5874</v>
      </c>
      <c r="K208" s="127"/>
      <c r="L208" s="78"/>
      <c r="M208" s="78"/>
      <c r="N208" s="78"/>
      <c r="O208" s="78"/>
      <c r="P208" s="78"/>
      <c r="Q208" s="78"/>
      <c r="R208" s="78"/>
      <c r="S208" s="78"/>
      <c r="T208" s="78"/>
    </row>
    <row r="209">
      <c r="A209" s="124"/>
      <c r="B209" s="120" t="s">
        <v>276</v>
      </c>
      <c r="C209" s="28" t="s">
        <v>3689</v>
      </c>
      <c r="D209" s="120" t="s">
        <v>70</v>
      </c>
      <c r="E209" s="120" t="s">
        <v>5526</v>
      </c>
      <c r="F209" s="120"/>
      <c r="G209" s="125">
        <v>3.0</v>
      </c>
      <c r="H209" s="126" t="s">
        <v>5875</v>
      </c>
      <c r="I209" s="127"/>
      <c r="J209" s="127"/>
      <c r="K209" s="127"/>
      <c r="L209" s="78"/>
      <c r="M209" s="78"/>
      <c r="N209" s="78"/>
      <c r="O209" s="78"/>
      <c r="P209" s="78"/>
      <c r="Q209" s="78"/>
      <c r="R209" s="78"/>
      <c r="S209" s="78"/>
      <c r="T209" s="78"/>
    </row>
    <row r="210">
      <c r="A210" s="124"/>
      <c r="B210" s="120" t="s">
        <v>276</v>
      </c>
      <c r="C210" s="28" t="s">
        <v>5876</v>
      </c>
      <c r="D210" s="120" t="s">
        <v>70</v>
      </c>
      <c r="E210" s="120" t="s">
        <v>5533</v>
      </c>
      <c r="F210" s="120"/>
      <c r="G210" s="125">
        <v>3.0</v>
      </c>
      <c r="H210" s="126" t="s">
        <v>5877</v>
      </c>
      <c r="I210" s="127"/>
      <c r="J210" s="127"/>
      <c r="K210" s="127"/>
      <c r="L210" s="78"/>
      <c r="M210" s="78"/>
      <c r="N210" s="78"/>
      <c r="O210" s="78"/>
      <c r="P210" s="78"/>
      <c r="Q210" s="78"/>
      <c r="R210" s="78"/>
      <c r="S210" s="78"/>
      <c r="T210" s="78"/>
    </row>
    <row r="211">
      <c r="A211" s="124"/>
      <c r="B211" s="120" t="s">
        <v>173</v>
      </c>
      <c r="C211" s="28" t="s">
        <v>5878</v>
      </c>
      <c r="D211" s="120" t="s">
        <v>70</v>
      </c>
      <c r="E211" s="120" t="s">
        <v>5533</v>
      </c>
      <c r="F211" s="120"/>
      <c r="G211" s="125">
        <v>3.0</v>
      </c>
      <c r="H211" s="126" t="s">
        <v>5879</v>
      </c>
      <c r="I211" s="127"/>
      <c r="J211" s="127"/>
      <c r="K211" s="127"/>
      <c r="L211" s="78"/>
      <c r="M211" s="78"/>
      <c r="N211" s="78"/>
      <c r="O211" s="78"/>
      <c r="P211" s="78"/>
      <c r="Q211" s="78"/>
      <c r="R211" s="78"/>
      <c r="S211" s="78"/>
      <c r="T211" s="78"/>
    </row>
    <row r="212">
      <c r="A212" s="124"/>
      <c r="B212" s="120" t="s">
        <v>20</v>
      </c>
      <c r="C212" s="28" t="s">
        <v>5880</v>
      </c>
      <c r="D212" s="120" t="s">
        <v>70</v>
      </c>
      <c r="E212" s="120" t="s">
        <v>5533</v>
      </c>
      <c r="F212" s="120" t="s">
        <v>5881</v>
      </c>
      <c r="G212" s="125">
        <v>3.0</v>
      </c>
      <c r="H212" s="126" t="s">
        <v>5882</v>
      </c>
      <c r="I212" s="127"/>
      <c r="J212" s="126" t="s">
        <v>5883</v>
      </c>
      <c r="K212" s="127"/>
      <c r="L212" s="78"/>
      <c r="M212" s="78"/>
      <c r="N212" s="78"/>
      <c r="O212" s="78"/>
      <c r="P212" s="78"/>
      <c r="Q212" s="78"/>
      <c r="R212" s="78"/>
      <c r="S212" s="78"/>
      <c r="T212" s="78"/>
    </row>
    <row r="213">
      <c r="A213" s="124"/>
      <c r="B213" s="120" t="s">
        <v>20</v>
      </c>
      <c r="C213" s="28" t="s">
        <v>3036</v>
      </c>
      <c r="D213" s="120" t="s">
        <v>70</v>
      </c>
      <c r="E213" s="120" t="s">
        <v>5533</v>
      </c>
      <c r="F213" s="120"/>
      <c r="G213" s="125">
        <v>3.0</v>
      </c>
      <c r="H213" s="126" t="s">
        <v>5884</v>
      </c>
      <c r="I213" s="127"/>
      <c r="J213" s="127"/>
      <c r="K213" s="127"/>
      <c r="L213" s="78"/>
      <c r="M213" s="78"/>
      <c r="N213" s="78"/>
      <c r="O213" s="78"/>
      <c r="P213" s="78"/>
      <c r="Q213" s="78"/>
      <c r="R213" s="78"/>
      <c r="S213" s="78"/>
      <c r="T213" s="78"/>
    </row>
    <row r="214">
      <c r="A214" s="124"/>
      <c r="B214" s="120" t="s">
        <v>20</v>
      </c>
      <c r="C214" s="28" t="s">
        <v>5885</v>
      </c>
      <c r="D214" s="120" t="s">
        <v>70</v>
      </c>
      <c r="E214" s="120" t="s">
        <v>5533</v>
      </c>
      <c r="F214" s="120"/>
      <c r="G214" s="125">
        <v>3.0</v>
      </c>
      <c r="H214" s="126" t="s">
        <v>5886</v>
      </c>
      <c r="I214" s="126" t="s">
        <v>5887</v>
      </c>
      <c r="J214" s="127"/>
      <c r="K214" s="127"/>
      <c r="L214" s="78"/>
      <c r="M214" s="78"/>
      <c r="N214" s="78"/>
      <c r="O214" s="78"/>
      <c r="P214" s="78"/>
      <c r="Q214" s="78"/>
      <c r="R214" s="78"/>
      <c r="S214" s="78"/>
      <c r="T214" s="78"/>
    </row>
    <row r="215">
      <c r="A215" s="129"/>
      <c r="B215" s="120" t="s">
        <v>687</v>
      </c>
      <c r="C215" s="28" t="s">
        <v>3209</v>
      </c>
      <c r="D215" s="120" t="s">
        <v>70</v>
      </c>
      <c r="E215" s="120" t="s">
        <v>5539</v>
      </c>
      <c r="F215" s="124"/>
      <c r="G215" s="125">
        <v>3.0</v>
      </c>
      <c r="H215" s="127"/>
      <c r="I215" s="127"/>
      <c r="J215" s="126" t="s">
        <v>5888</v>
      </c>
      <c r="K215" s="127"/>
      <c r="L215" s="27"/>
      <c r="M215" s="27"/>
      <c r="N215" s="27"/>
      <c r="O215" s="27"/>
      <c r="P215" s="27"/>
      <c r="Q215" s="27"/>
      <c r="R215" s="27"/>
      <c r="S215" s="27"/>
      <c r="T215" s="27"/>
    </row>
    <row r="216">
      <c r="A216" s="124"/>
      <c r="B216" s="120" t="s">
        <v>20</v>
      </c>
      <c r="C216" s="28" t="s">
        <v>5889</v>
      </c>
      <c r="D216" s="120" t="s">
        <v>70</v>
      </c>
      <c r="E216" s="120" t="s">
        <v>5546</v>
      </c>
      <c r="F216" s="120"/>
      <c r="G216" s="125">
        <v>3.0</v>
      </c>
      <c r="H216" s="126" t="s">
        <v>5890</v>
      </c>
      <c r="I216" s="127"/>
      <c r="J216" s="127"/>
      <c r="K216" s="126" t="s">
        <v>5891</v>
      </c>
      <c r="L216" s="78"/>
      <c r="M216" s="78"/>
      <c r="N216" s="78"/>
      <c r="O216" s="78"/>
      <c r="P216" s="78"/>
      <c r="Q216" s="78"/>
      <c r="R216" s="78"/>
      <c r="S216" s="78"/>
      <c r="T216" s="78"/>
    </row>
    <row r="217">
      <c r="A217" s="124"/>
      <c r="B217" s="120" t="s">
        <v>102</v>
      </c>
      <c r="C217" s="28" t="s">
        <v>356</v>
      </c>
      <c r="D217" s="120" t="s">
        <v>70</v>
      </c>
      <c r="E217" s="120" t="s">
        <v>5546</v>
      </c>
      <c r="F217" s="120" t="s">
        <v>5892</v>
      </c>
      <c r="G217" s="125">
        <v>3.0</v>
      </c>
      <c r="H217" s="126" t="s">
        <v>5893</v>
      </c>
      <c r="I217" s="127"/>
      <c r="J217" s="127"/>
      <c r="K217" s="127"/>
      <c r="L217" s="78"/>
      <c r="M217" s="78"/>
      <c r="N217" s="78"/>
      <c r="O217" s="78"/>
      <c r="P217" s="78"/>
      <c r="Q217" s="78"/>
      <c r="R217" s="78"/>
      <c r="S217" s="78"/>
      <c r="T217" s="78"/>
    </row>
    <row r="218">
      <c r="A218" s="124"/>
      <c r="B218" s="120" t="s">
        <v>20</v>
      </c>
      <c r="C218" s="28" t="s">
        <v>5894</v>
      </c>
      <c r="D218" s="120" t="s">
        <v>70</v>
      </c>
      <c r="E218" s="120" t="s">
        <v>5546</v>
      </c>
      <c r="F218" s="120"/>
      <c r="G218" s="125">
        <v>3.0</v>
      </c>
      <c r="H218" s="126" t="s">
        <v>5895</v>
      </c>
      <c r="I218" s="127"/>
      <c r="J218" s="127"/>
      <c r="K218" s="127"/>
      <c r="L218" s="78"/>
      <c r="M218" s="78"/>
      <c r="N218" s="78"/>
      <c r="O218" s="78"/>
      <c r="P218" s="78"/>
      <c r="Q218" s="78"/>
      <c r="R218" s="78"/>
      <c r="S218" s="78"/>
      <c r="T218" s="78"/>
    </row>
    <row r="219">
      <c r="A219" s="74">
        <v>19717.0</v>
      </c>
      <c r="B219" s="120" t="s">
        <v>20</v>
      </c>
      <c r="C219" s="28" t="s">
        <v>39</v>
      </c>
      <c r="D219" s="120" t="s">
        <v>70</v>
      </c>
      <c r="E219" s="120" t="s">
        <v>5546</v>
      </c>
      <c r="F219" s="120"/>
      <c r="G219" s="125">
        <v>3.0</v>
      </c>
      <c r="H219" s="128" t="s">
        <v>5896</v>
      </c>
      <c r="I219" s="127"/>
      <c r="J219" s="126" t="s">
        <v>5897</v>
      </c>
      <c r="K219" s="127"/>
      <c r="L219" s="78"/>
      <c r="M219" s="78"/>
      <c r="N219" s="78"/>
      <c r="O219" s="78"/>
      <c r="P219" s="78"/>
      <c r="Q219" s="78"/>
      <c r="R219" s="78"/>
      <c r="S219" s="78"/>
      <c r="T219" s="78"/>
    </row>
    <row r="220">
      <c r="A220" s="129"/>
      <c r="B220" s="120" t="s">
        <v>687</v>
      </c>
      <c r="C220" s="28" t="s">
        <v>5898</v>
      </c>
      <c r="D220" s="120" t="s">
        <v>70</v>
      </c>
      <c r="E220" s="120" t="s">
        <v>5546</v>
      </c>
      <c r="F220" s="124"/>
      <c r="G220" s="125">
        <v>3.0</v>
      </c>
      <c r="H220" s="127"/>
      <c r="I220" s="127"/>
      <c r="J220" s="126" t="s">
        <v>5899</v>
      </c>
      <c r="K220" s="127"/>
      <c r="L220" s="27"/>
      <c r="M220" s="27"/>
      <c r="N220" s="27"/>
      <c r="O220" s="27"/>
      <c r="P220" s="27"/>
      <c r="Q220" s="27"/>
      <c r="R220" s="27"/>
      <c r="S220" s="27"/>
      <c r="T220" s="27"/>
    </row>
    <row r="221">
      <c r="A221" s="124"/>
      <c r="B221" s="120" t="s">
        <v>20</v>
      </c>
      <c r="C221" s="28" t="s">
        <v>5900</v>
      </c>
      <c r="D221" s="120" t="s">
        <v>70</v>
      </c>
      <c r="E221" s="120" t="s">
        <v>5546</v>
      </c>
      <c r="F221" s="120"/>
      <c r="G221" s="125">
        <v>3.0</v>
      </c>
      <c r="H221" s="126" t="s">
        <v>5901</v>
      </c>
      <c r="I221" s="127"/>
      <c r="J221" s="127"/>
      <c r="K221" s="127"/>
      <c r="L221" s="78"/>
      <c r="M221" s="78"/>
      <c r="N221" s="78"/>
      <c r="O221" s="78"/>
      <c r="P221" s="78"/>
      <c r="Q221" s="78"/>
      <c r="R221" s="78"/>
      <c r="S221" s="78"/>
      <c r="T221" s="78"/>
    </row>
    <row r="222">
      <c r="A222" s="124"/>
      <c r="B222" s="120" t="s">
        <v>20</v>
      </c>
      <c r="C222" s="28" t="s">
        <v>2889</v>
      </c>
      <c r="D222" s="120" t="s">
        <v>70</v>
      </c>
      <c r="E222" s="120" t="s">
        <v>5425</v>
      </c>
      <c r="F222" s="120"/>
      <c r="G222" s="125">
        <v>4.0</v>
      </c>
      <c r="H222" s="126" t="s">
        <v>5902</v>
      </c>
      <c r="I222" s="126" t="s">
        <v>5903</v>
      </c>
      <c r="J222" s="126" t="s">
        <v>5904</v>
      </c>
      <c r="K222" s="127"/>
      <c r="L222" s="78"/>
      <c r="M222" s="78"/>
      <c r="N222" s="78"/>
      <c r="O222" s="78"/>
      <c r="P222" s="78"/>
      <c r="Q222" s="78"/>
      <c r="R222" s="78"/>
      <c r="S222" s="78"/>
      <c r="T222" s="78"/>
    </row>
    <row r="223">
      <c r="A223" s="38">
        <v>29801.0</v>
      </c>
      <c r="B223" s="120" t="s">
        <v>20</v>
      </c>
      <c r="C223" s="28" t="s">
        <v>5905</v>
      </c>
      <c r="D223" s="120" t="s">
        <v>70</v>
      </c>
      <c r="E223" s="120" t="s">
        <v>5906</v>
      </c>
      <c r="F223" s="124"/>
      <c r="G223" s="125">
        <v>4.0</v>
      </c>
      <c r="H223" s="126" t="s">
        <v>5907</v>
      </c>
      <c r="I223" s="126" t="s">
        <v>5908</v>
      </c>
      <c r="J223" s="127"/>
      <c r="K223" s="127"/>
      <c r="L223" s="78"/>
      <c r="M223" s="78"/>
      <c r="N223" s="78"/>
      <c r="O223" s="78"/>
      <c r="P223" s="78"/>
      <c r="Q223" s="78"/>
      <c r="R223" s="78"/>
      <c r="S223" s="78"/>
      <c r="T223" s="78"/>
    </row>
    <row r="224">
      <c r="A224" s="74">
        <v>29823.0</v>
      </c>
      <c r="B224" s="120" t="s">
        <v>20</v>
      </c>
      <c r="C224" s="28" t="s">
        <v>5909</v>
      </c>
      <c r="D224" s="120" t="s">
        <v>70</v>
      </c>
      <c r="E224" s="120" t="s">
        <v>5449</v>
      </c>
      <c r="F224" s="120"/>
      <c r="G224" s="125">
        <v>4.0</v>
      </c>
      <c r="H224" s="128" t="s">
        <v>5910</v>
      </c>
      <c r="I224" s="127"/>
      <c r="J224" s="127"/>
      <c r="K224" s="132" t="s">
        <v>5911</v>
      </c>
      <c r="L224" s="78"/>
      <c r="M224" s="78"/>
      <c r="N224" s="78"/>
      <c r="O224" s="78"/>
      <c r="P224" s="78"/>
      <c r="Q224" s="78"/>
      <c r="R224" s="78"/>
      <c r="S224" s="78"/>
      <c r="T224" s="78"/>
    </row>
    <row r="225">
      <c r="A225" s="124"/>
      <c r="B225" s="120" t="s">
        <v>20</v>
      </c>
      <c r="C225" s="28" t="s">
        <v>5912</v>
      </c>
      <c r="D225" s="120" t="s">
        <v>70</v>
      </c>
      <c r="E225" s="120" t="s">
        <v>5459</v>
      </c>
      <c r="F225" s="120"/>
      <c r="G225" s="125">
        <v>4.0</v>
      </c>
      <c r="H225" s="126" t="s">
        <v>5913</v>
      </c>
      <c r="I225" s="127"/>
      <c r="J225" s="127"/>
      <c r="K225" s="127"/>
      <c r="L225" s="78"/>
      <c r="M225" s="78"/>
      <c r="N225" s="78"/>
      <c r="O225" s="78"/>
      <c r="P225" s="78"/>
      <c r="Q225" s="78"/>
      <c r="R225" s="78"/>
      <c r="S225" s="78"/>
      <c r="T225" s="78"/>
    </row>
    <row r="226">
      <c r="A226" s="124"/>
      <c r="B226" s="120" t="s">
        <v>20</v>
      </c>
      <c r="C226" s="28" t="s">
        <v>3182</v>
      </c>
      <c r="D226" s="120" t="s">
        <v>70</v>
      </c>
      <c r="E226" s="120" t="s">
        <v>5459</v>
      </c>
      <c r="F226" s="120"/>
      <c r="G226" s="125">
        <v>4.0</v>
      </c>
      <c r="H226" s="128" t="s">
        <v>5914</v>
      </c>
      <c r="I226" s="128" t="s">
        <v>5915</v>
      </c>
      <c r="J226" s="126" t="s">
        <v>5916</v>
      </c>
      <c r="K226" s="127"/>
      <c r="L226" s="78"/>
      <c r="M226" s="78"/>
      <c r="N226" s="78"/>
      <c r="O226" s="78"/>
      <c r="P226" s="78"/>
      <c r="Q226" s="78"/>
      <c r="R226" s="78"/>
      <c r="S226" s="78"/>
      <c r="T226" s="78"/>
    </row>
    <row r="227">
      <c r="A227" s="74">
        <v>21322.0</v>
      </c>
      <c r="B227" s="120" t="s">
        <v>20</v>
      </c>
      <c r="C227" s="28" t="s">
        <v>5917</v>
      </c>
      <c r="D227" s="120" t="s">
        <v>70</v>
      </c>
      <c r="E227" s="120" t="s">
        <v>5459</v>
      </c>
      <c r="F227" s="120"/>
      <c r="G227" s="125">
        <v>4.0</v>
      </c>
      <c r="H227" s="128" t="s">
        <v>5918</v>
      </c>
      <c r="I227" s="126" t="s">
        <v>5919</v>
      </c>
      <c r="J227" s="126" t="s">
        <v>5920</v>
      </c>
      <c r="K227" s="127"/>
      <c r="L227" s="78"/>
      <c r="M227" s="78"/>
      <c r="N227" s="78"/>
      <c r="O227" s="78"/>
      <c r="P227" s="78"/>
      <c r="Q227" s="78"/>
      <c r="R227" s="78"/>
      <c r="S227" s="78"/>
      <c r="T227" s="78"/>
    </row>
    <row r="228">
      <c r="A228" s="124"/>
      <c r="B228" s="120" t="s">
        <v>20</v>
      </c>
      <c r="C228" s="28" t="s">
        <v>386</v>
      </c>
      <c r="D228" s="120" t="s">
        <v>70</v>
      </c>
      <c r="E228" s="120" t="s">
        <v>5459</v>
      </c>
      <c r="F228" s="120"/>
      <c r="G228" s="125">
        <v>4.0</v>
      </c>
      <c r="H228" s="126" t="s">
        <v>5921</v>
      </c>
      <c r="I228" s="128" t="s">
        <v>5922</v>
      </c>
      <c r="J228" s="126" t="s">
        <v>5923</v>
      </c>
      <c r="K228" s="127"/>
      <c r="L228" s="78"/>
      <c r="M228" s="78"/>
      <c r="N228" s="78"/>
      <c r="O228" s="78"/>
      <c r="P228" s="78"/>
      <c r="Q228" s="78"/>
      <c r="R228" s="78"/>
      <c r="S228" s="78"/>
      <c r="T228" s="78"/>
    </row>
    <row r="229">
      <c r="A229" s="124"/>
      <c r="B229" s="120" t="s">
        <v>20</v>
      </c>
      <c r="C229" s="28" t="s">
        <v>5924</v>
      </c>
      <c r="D229" s="120" t="s">
        <v>70</v>
      </c>
      <c r="E229" s="120" t="s">
        <v>5459</v>
      </c>
      <c r="F229" s="120"/>
      <c r="G229" s="125">
        <v>4.0</v>
      </c>
      <c r="H229" s="126" t="s">
        <v>5925</v>
      </c>
      <c r="I229" s="127"/>
      <c r="J229" s="127"/>
      <c r="K229" s="127"/>
      <c r="L229" s="78"/>
      <c r="M229" s="78"/>
      <c r="N229" s="78"/>
      <c r="O229" s="78"/>
      <c r="P229" s="78"/>
      <c r="Q229" s="78"/>
      <c r="R229" s="78"/>
      <c r="S229" s="78"/>
      <c r="T229" s="78"/>
    </row>
    <row r="230">
      <c r="A230" s="124"/>
      <c r="B230" s="120" t="s">
        <v>20</v>
      </c>
      <c r="C230" s="28" t="s">
        <v>5682</v>
      </c>
      <c r="D230" s="120" t="s">
        <v>70</v>
      </c>
      <c r="E230" s="120" t="s">
        <v>5459</v>
      </c>
      <c r="F230" s="120"/>
      <c r="G230" s="125">
        <v>4.0</v>
      </c>
      <c r="H230" s="128" t="s">
        <v>5926</v>
      </c>
      <c r="I230" s="127"/>
      <c r="J230" s="127"/>
      <c r="K230" s="127"/>
      <c r="L230" s="78"/>
      <c r="M230" s="78"/>
      <c r="N230" s="78"/>
      <c r="O230" s="78"/>
      <c r="P230" s="78"/>
      <c r="Q230" s="78"/>
      <c r="R230" s="78"/>
      <c r="S230" s="78"/>
      <c r="T230" s="78"/>
    </row>
    <row r="231">
      <c r="A231" s="38">
        <v>32870.0</v>
      </c>
      <c r="B231" s="120" t="s">
        <v>20</v>
      </c>
      <c r="C231" s="28" t="s">
        <v>5927</v>
      </c>
      <c r="D231" s="120" t="s">
        <v>70</v>
      </c>
      <c r="E231" s="120" t="s">
        <v>5459</v>
      </c>
      <c r="F231" s="120" t="s">
        <v>5928</v>
      </c>
      <c r="G231" s="134">
        <v>4.0</v>
      </c>
      <c r="H231" s="126" t="s">
        <v>5929</v>
      </c>
      <c r="I231" s="127"/>
      <c r="J231" s="127"/>
      <c r="K231" s="127"/>
      <c r="L231" s="138" t="s">
        <v>5930</v>
      </c>
      <c r="M231" s="78"/>
      <c r="N231" s="78"/>
      <c r="O231" s="78"/>
      <c r="P231" s="78"/>
      <c r="Q231" s="78"/>
      <c r="R231" s="78"/>
      <c r="S231" s="78"/>
      <c r="T231" s="78"/>
    </row>
    <row r="232">
      <c r="A232" s="124"/>
      <c r="B232" s="120" t="s">
        <v>20</v>
      </c>
      <c r="C232" s="28" t="s">
        <v>3077</v>
      </c>
      <c r="D232" s="120" t="s">
        <v>70</v>
      </c>
      <c r="E232" s="120" t="s">
        <v>5459</v>
      </c>
      <c r="F232" s="120"/>
      <c r="G232" s="125">
        <v>4.0</v>
      </c>
      <c r="H232" s="126" t="s">
        <v>5931</v>
      </c>
      <c r="I232" s="126" t="s">
        <v>5932</v>
      </c>
      <c r="J232" s="126" t="s">
        <v>5933</v>
      </c>
      <c r="K232" s="127"/>
      <c r="L232" s="78"/>
      <c r="M232" s="78"/>
      <c r="N232" s="78"/>
      <c r="O232" s="78"/>
      <c r="P232" s="78"/>
      <c r="Q232" s="78"/>
      <c r="R232" s="78"/>
      <c r="S232" s="78"/>
      <c r="T232" s="78"/>
    </row>
    <row r="233">
      <c r="A233" s="124"/>
      <c r="B233" s="120" t="s">
        <v>20</v>
      </c>
      <c r="C233" s="28" t="s">
        <v>5934</v>
      </c>
      <c r="D233" s="120" t="s">
        <v>70</v>
      </c>
      <c r="E233" s="120" t="s">
        <v>5459</v>
      </c>
      <c r="F233" s="120"/>
      <c r="G233" s="125">
        <v>4.0</v>
      </c>
      <c r="H233" s="126" t="s">
        <v>5935</v>
      </c>
      <c r="I233" s="126" t="s">
        <v>5936</v>
      </c>
      <c r="J233" s="126" t="s">
        <v>5937</v>
      </c>
      <c r="K233" s="127"/>
      <c r="L233" s="78"/>
      <c r="M233" s="78"/>
      <c r="N233" s="78"/>
      <c r="O233" s="78"/>
      <c r="P233" s="78"/>
      <c r="Q233" s="78"/>
      <c r="R233" s="78"/>
      <c r="S233" s="78"/>
      <c r="T233" s="78"/>
    </row>
    <row r="234">
      <c r="A234" s="124"/>
      <c r="B234" s="120" t="s">
        <v>20</v>
      </c>
      <c r="C234" s="28" t="s">
        <v>5938</v>
      </c>
      <c r="D234" s="120" t="s">
        <v>70</v>
      </c>
      <c r="E234" s="120" t="s">
        <v>5459</v>
      </c>
      <c r="F234" s="120"/>
      <c r="G234" s="125">
        <v>4.0</v>
      </c>
      <c r="H234" s="126" t="s">
        <v>5939</v>
      </c>
      <c r="I234" s="126" t="s">
        <v>5940</v>
      </c>
      <c r="J234" s="127"/>
      <c r="K234" s="126" t="s">
        <v>5941</v>
      </c>
      <c r="L234" s="78"/>
      <c r="M234" s="78"/>
      <c r="N234" s="78"/>
      <c r="O234" s="78"/>
      <c r="P234" s="78"/>
      <c r="Q234" s="78"/>
      <c r="R234" s="78"/>
      <c r="S234" s="78"/>
      <c r="T234" s="78"/>
      <c r="U234" s="8" t="s">
        <v>5942</v>
      </c>
    </row>
    <row r="235">
      <c r="A235" s="74">
        <v>20835.0</v>
      </c>
      <c r="B235" s="120" t="s">
        <v>20</v>
      </c>
      <c r="C235" s="28" t="s">
        <v>5943</v>
      </c>
      <c r="D235" s="120" t="s">
        <v>70</v>
      </c>
      <c r="E235" s="120" t="s">
        <v>5459</v>
      </c>
      <c r="F235" s="120"/>
      <c r="G235" s="125">
        <v>4.0</v>
      </c>
      <c r="H235" s="128" t="s">
        <v>5944</v>
      </c>
      <c r="I235" s="128" t="s">
        <v>5945</v>
      </c>
      <c r="J235" s="127"/>
      <c r="K235" s="127"/>
      <c r="L235" s="78"/>
      <c r="M235" s="78"/>
      <c r="N235" s="78"/>
      <c r="O235" s="78"/>
      <c r="P235" s="78"/>
      <c r="Q235" s="78"/>
      <c r="R235" s="78"/>
      <c r="S235" s="78"/>
      <c r="T235" s="78"/>
      <c r="U235" s="8" t="s">
        <v>5946</v>
      </c>
    </row>
    <row r="236">
      <c r="A236" s="74">
        <v>20731.0</v>
      </c>
      <c r="B236" s="120" t="s">
        <v>20</v>
      </c>
      <c r="C236" s="28" t="s">
        <v>4208</v>
      </c>
      <c r="D236" s="120" t="s">
        <v>70</v>
      </c>
      <c r="E236" s="120" t="s">
        <v>5459</v>
      </c>
      <c r="F236" s="120"/>
      <c r="G236" s="125">
        <v>4.0</v>
      </c>
      <c r="H236" s="126" t="s">
        <v>5947</v>
      </c>
      <c r="I236" s="127"/>
      <c r="J236" s="127"/>
      <c r="K236" s="127"/>
      <c r="L236" s="78"/>
      <c r="M236" s="78"/>
      <c r="N236" s="78"/>
      <c r="O236" s="78"/>
      <c r="P236" s="78"/>
      <c r="Q236" s="78"/>
      <c r="R236" s="78"/>
      <c r="S236" s="78"/>
      <c r="T236" s="78"/>
    </row>
    <row r="237">
      <c r="A237" s="129"/>
      <c r="B237" s="120" t="s">
        <v>720</v>
      </c>
      <c r="C237" s="28" t="s">
        <v>1420</v>
      </c>
      <c r="D237" s="120" t="s">
        <v>70</v>
      </c>
      <c r="E237" s="120" t="s">
        <v>5459</v>
      </c>
      <c r="F237" s="124"/>
      <c r="G237" s="125">
        <v>4.0</v>
      </c>
      <c r="H237" s="127"/>
      <c r="I237" s="127"/>
      <c r="J237" s="126" t="s">
        <v>5948</v>
      </c>
      <c r="K237" s="127"/>
      <c r="L237" s="27"/>
      <c r="M237" s="27"/>
      <c r="N237" s="27"/>
      <c r="O237" s="27"/>
      <c r="P237" s="27"/>
      <c r="Q237" s="27"/>
      <c r="R237" s="27"/>
      <c r="S237" s="27"/>
      <c r="T237" s="27"/>
    </row>
    <row r="238">
      <c r="A238" s="124"/>
      <c r="B238" s="120" t="s">
        <v>20</v>
      </c>
      <c r="C238" s="28" t="s">
        <v>2797</v>
      </c>
      <c r="D238" s="120" t="s">
        <v>70</v>
      </c>
      <c r="E238" s="120" t="s">
        <v>5459</v>
      </c>
      <c r="F238" s="120"/>
      <c r="G238" s="125">
        <v>4.0</v>
      </c>
      <c r="H238" s="126" t="s">
        <v>5949</v>
      </c>
      <c r="I238" s="127"/>
      <c r="J238" s="127"/>
      <c r="K238" s="127"/>
      <c r="L238" s="78"/>
      <c r="M238" s="78"/>
      <c r="N238" s="78"/>
      <c r="O238" s="78"/>
      <c r="P238" s="78"/>
      <c r="Q238" s="78"/>
      <c r="R238" s="78"/>
      <c r="S238" s="78"/>
      <c r="T238" s="78"/>
    </row>
    <row r="239">
      <c r="A239" s="38">
        <v>30198.0</v>
      </c>
      <c r="B239" s="120" t="s">
        <v>20</v>
      </c>
      <c r="C239" s="28" t="s">
        <v>5950</v>
      </c>
      <c r="D239" s="120" t="s">
        <v>70</v>
      </c>
      <c r="E239" s="120" t="s">
        <v>5459</v>
      </c>
      <c r="F239" s="124"/>
      <c r="G239" s="125">
        <v>4.0</v>
      </c>
      <c r="H239" s="126" t="s">
        <v>5951</v>
      </c>
      <c r="I239" s="127"/>
      <c r="J239" s="127"/>
      <c r="K239" s="127"/>
      <c r="L239" s="78"/>
      <c r="M239" s="78"/>
      <c r="N239" s="78"/>
      <c r="O239" s="78"/>
      <c r="P239" s="78"/>
      <c r="Q239" s="78"/>
      <c r="R239" s="78"/>
      <c r="S239" s="78"/>
      <c r="T239" s="78"/>
    </row>
    <row r="240">
      <c r="A240" s="124"/>
      <c r="B240" s="120" t="s">
        <v>20</v>
      </c>
      <c r="C240" s="28" t="s">
        <v>2052</v>
      </c>
      <c r="D240" s="120" t="s">
        <v>70</v>
      </c>
      <c r="E240" s="120" t="s">
        <v>5459</v>
      </c>
      <c r="F240" s="120"/>
      <c r="G240" s="125">
        <v>4.0</v>
      </c>
      <c r="H240" s="126" t="s">
        <v>5952</v>
      </c>
      <c r="I240" s="126" t="s">
        <v>5953</v>
      </c>
      <c r="J240" s="127"/>
      <c r="K240" s="126" t="s">
        <v>5954</v>
      </c>
      <c r="L240" s="78"/>
      <c r="M240" s="78"/>
      <c r="N240" s="78"/>
      <c r="O240" s="78"/>
      <c r="P240" s="78"/>
      <c r="Q240" s="78"/>
      <c r="R240" s="78"/>
      <c r="S240" s="78"/>
      <c r="T240" s="78"/>
    </row>
    <row r="241">
      <c r="A241" s="129"/>
      <c r="B241" s="120" t="s">
        <v>687</v>
      </c>
      <c r="C241" s="28" t="s">
        <v>5955</v>
      </c>
      <c r="D241" s="120" t="s">
        <v>70</v>
      </c>
      <c r="E241" s="120" t="s">
        <v>5956</v>
      </c>
      <c r="F241" s="124"/>
      <c r="G241" s="125">
        <v>4.0</v>
      </c>
      <c r="H241" s="126" t="s">
        <v>5957</v>
      </c>
      <c r="I241" s="29" t="s">
        <v>5958</v>
      </c>
      <c r="J241" s="127"/>
      <c r="K241" s="127"/>
      <c r="L241" s="27"/>
      <c r="M241" s="27"/>
      <c r="N241" s="27"/>
      <c r="O241" s="27"/>
      <c r="P241" s="27"/>
      <c r="Q241" s="27"/>
      <c r="R241" s="27"/>
      <c r="S241" s="27"/>
      <c r="T241" s="27"/>
    </row>
    <row r="242">
      <c r="A242" s="124"/>
      <c r="B242" s="120" t="s">
        <v>20</v>
      </c>
      <c r="C242" s="28" t="s">
        <v>1221</v>
      </c>
      <c r="D242" s="120" t="s">
        <v>70</v>
      </c>
      <c r="E242" s="120" t="s">
        <v>5526</v>
      </c>
      <c r="F242" s="120"/>
      <c r="G242" s="125">
        <v>4.0</v>
      </c>
      <c r="H242" s="126" t="s">
        <v>5959</v>
      </c>
      <c r="I242" s="127"/>
      <c r="J242" s="126" t="s">
        <v>5960</v>
      </c>
      <c r="K242" s="126" t="s">
        <v>5961</v>
      </c>
      <c r="L242" s="78"/>
      <c r="M242" s="78"/>
      <c r="N242" s="78"/>
      <c r="O242" s="78"/>
      <c r="P242" s="78"/>
      <c r="Q242" s="78"/>
      <c r="R242" s="78"/>
      <c r="S242" s="78"/>
      <c r="T242" s="78"/>
    </row>
    <row r="243">
      <c r="A243" s="124"/>
      <c r="B243" s="120" t="s">
        <v>20</v>
      </c>
      <c r="C243" s="28" t="s">
        <v>1399</v>
      </c>
      <c r="D243" s="120" t="s">
        <v>70</v>
      </c>
      <c r="E243" s="120" t="s">
        <v>5526</v>
      </c>
      <c r="F243" s="120"/>
      <c r="G243" s="125">
        <v>4.0</v>
      </c>
      <c r="H243" s="126" t="s">
        <v>5962</v>
      </c>
      <c r="I243" s="127"/>
      <c r="J243" s="127"/>
      <c r="K243" s="127"/>
      <c r="L243" s="78"/>
      <c r="M243" s="78"/>
      <c r="N243" s="78"/>
      <c r="O243" s="78"/>
      <c r="P243" s="78"/>
      <c r="Q243" s="78"/>
      <c r="R243" s="78"/>
      <c r="S243" s="78"/>
      <c r="T243" s="78"/>
    </row>
    <row r="244">
      <c r="A244" s="74">
        <v>25184.0</v>
      </c>
      <c r="B244" s="120" t="s">
        <v>20</v>
      </c>
      <c r="C244" s="28" t="s">
        <v>1223</v>
      </c>
      <c r="D244" s="120" t="s">
        <v>70</v>
      </c>
      <c r="E244" s="120" t="s">
        <v>5533</v>
      </c>
      <c r="F244" s="120"/>
      <c r="G244" s="125">
        <v>4.0</v>
      </c>
      <c r="H244" s="126" t="s">
        <v>5963</v>
      </c>
      <c r="I244" s="127"/>
      <c r="J244" s="126" t="s">
        <v>5964</v>
      </c>
      <c r="K244" s="127"/>
      <c r="L244" s="133" t="s">
        <v>5965</v>
      </c>
      <c r="M244" s="78"/>
      <c r="N244" s="78"/>
      <c r="O244" s="78"/>
      <c r="P244" s="78"/>
      <c r="Q244" s="78"/>
      <c r="R244" s="78"/>
      <c r="S244" s="78"/>
      <c r="T244" s="78"/>
    </row>
    <row r="245">
      <c r="A245" s="124"/>
      <c r="B245" s="120" t="s">
        <v>20</v>
      </c>
      <c r="C245" s="28" t="s">
        <v>641</v>
      </c>
      <c r="D245" s="120" t="s">
        <v>70</v>
      </c>
      <c r="E245" s="120" t="s">
        <v>5533</v>
      </c>
      <c r="F245" s="120"/>
      <c r="G245" s="125">
        <v>4.0</v>
      </c>
      <c r="H245" s="126" t="s">
        <v>5966</v>
      </c>
      <c r="I245" s="126" t="s">
        <v>5967</v>
      </c>
      <c r="J245" s="126" t="s">
        <v>5968</v>
      </c>
      <c r="K245" s="127"/>
      <c r="L245" s="78"/>
      <c r="M245" s="78"/>
      <c r="N245" s="78"/>
      <c r="O245" s="78"/>
      <c r="P245" s="78"/>
      <c r="Q245" s="78"/>
      <c r="R245" s="78"/>
      <c r="S245" s="78"/>
      <c r="T245" s="78"/>
    </row>
    <row r="246">
      <c r="A246" s="74">
        <v>26611.0</v>
      </c>
      <c r="B246" s="120" t="s">
        <v>20</v>
      </c>
      <c r="C246" s="28" t="s">
        <v>1108</v>
      </c>
      <c r="D246" s="120" t="s">
        <v>70</v>
      </c>
      <c r="E246" s="120" t="s">
        <v>5546</v>
      </c>
      <c r="F246" s="120"/>
      <c r="G246" s="125">
        <v>4.0</v>
      </c>
      <c r="H246" s="128" t="s">
        <v>5969</v>
      </c>
      <c r="I246" s="127"/>
      <c r="J246" s="126" t="s">
        <v>5970</v>
      </c>
      <c r="K246" s="127"/>
      <c r="L246" s="78"/>
      <c r="M246" s="78"/>
      <c r="N246" s="78"/>
      <c r="O246" s="78"/>
      <c r="P246" s="78"/>
      <c r="Q246" s="78"/>
      <c r="R246" s="78"/>
      <c r="S246" s="78"/>
      <c r="T246" s="78"/>
    </row>
    <row r="247">
      <c r="A247" s="74">
        <v>20747.0</v>
      </c>
      <c r="B247" s="120" t="s">
        <v>20</v>
      </c>
      <c r="C247" s="28" t="s">
        <v>1223</v>
      </c>
      <c r="D247" s="120" t="s">
        <v>70</v>
      </c>
      <c r="E247" s="120" t="s">
        <v>5546</v>
      </c>
      <c r="F247" s="120"/>
      <c r="G247" s="125">
        <v>4.0</v>
      </c>
      <c r="H247" s="128" t="s">
        <v>5971</v>
      </c>
      <c r="I247" s="127"/>
      <c r="J247" s="127"/>
      <c r="K247" s="127"/>
      <c r="L247" s="78"/>
      <c r="M247" s="78"/>
      <c r="N247" s="78"/>
      <c r="O247" s="78"/>
      <c r="P247" s="78"/>
      <c r="Q247" s="78"/>
      <c r="R247" s="78"/>
      <c r="S247" s="78"/>
      <c r="T247" s="78"/>
    </row>
    <row r="248">
      <c r="A248" s="28"/>
      <c r="B248" s="120" t="s">
        <v>173</v>
      </c>
      <c r="C248" s="28" t="s">
        <v>1975</v>
      </c>
      <c r="D248" s="120" t="s">
        <v>70</v>
      </c>
      <c r="E248" s="120" t="s">
        <v>5449</v>
      </c>
      <c r="F248" s="120"/>
      <c r="G248" s="125">
        <v>5.0</v>
      </c>
      <c r="H248" s="128" t="s">
        <v>5972</v>
      </c>
      <c r="I248" s="127"/>
      <c r="J248" s="126" t="s">
        <v>5973</v>
      </c>
      <c r="K248" s="127"/>
      <c r="L248" s="78"/>
      <c r="M248" s="78"/>
      <c r="N248" s="78"/>
      <c r="O248" s="78"/>
      <c r="P248" s="78"/>
      <c r="Q248" s="78"/>
      <c r="R248" s="78"/>
      <c r="S248" s="78"/>
      <c r="T248" s="78"/>
      <c r="U248" s="8" t="s">
        <v>5974</v>
      </c>
    </row>
    <row r="249">
      <c r="A249" s="124"/>
      <c r="B249" s="120" t="s">
        <v>20</v>
      </c>
      <c r="C249" s="28" t="s">
        <v>5975</v>
      </c>
      <c r="D249" s="120" t="s">
        <v>70</v>
      </c>
      <c r="E249" s="120" t="s">
        <v>5449</v>
      </c>
      <c r="F249" s="120" t="s">
        <v>5976</v>
      </c>
      <c r="G249" s="125">
        <v>6.0</v>
      </c>
      <c r="H249" s="128" t="s">
        <v>5977</v>
      </c>
      <c r="I249" s="126" t="s">
        <v>5978</v>
      </c>
      <c r="J249" s="126" t="s">
        <v>5979</v>
      </c>
      <c r="K249" s="127"/>
      <c r="L249" s="78"/>
      <c r="M249" s="78"/>
      <c r="N249" s="78"/>
      <c r="O249" s="78"/>
      <c r="P249" s="78"/>
      <c r="Q249" s="78"/>
      <c r="R249" s="78"/>
      <c r="S249" s="78"/>
      <c r="T249" s="78"/>
      <c r="U249" s="8" t="s">
        <v>5980</v>
      </c>
    </row>
    <row r="250">
      <c r="A250" s="124"/>
      <c r="B250" s="120" t="s">
        <v>20</v>
      </c>
      <c r="C250" s="28" t="s">
        <v>74</v>
      </c>
      <c r="D250" s="120" t="s">
        <v>70</v>
      </c>
      <c r="E250" s="120" t="s">
        <v>5533</v>
      </c>
      <c r="F250" s="120" t="s">
        <v>5981</v>
      </c>
      <c r="G250" s="125">
        <v>6.0</v>
      </c>
      <c r="H250" s="126" t="s">
        <v>5982</v>
      </c>
      <c r="I250" s="126" t="s">
        <v>5983</v>
      </c>
      <c r="J250" s="126" t="s">
        <v>5984</v>
      </c>
      <c r="K250" s="127"/>
      <c r="L250" s="78"/>
      <c r="M250" s="78"/>
      <c r="N250" s="78"/>
      <c r="O250" s="78"/>
      <c r="P250" s="78"/>
      <c r="Q250" s="78"/>
      <c r="R250" s="78"/>
      <c r="S250" s="78"/>
      <c r="T250" s="78"/>
    </row>
    <row r="251">
      <c r="A251" s="125">
        <v>27334.0</v>
      </c>
      <c r="B251" s="120" t="s">
        <v>20</v>
      </c>
      <c r="C251" s="28" t="s">
        <v>855</v>
      </c>
      <c r="D251" s="120" t="s">
        <v>70</v>
      </c>
      <c r="E251" s="120" t="s">
        <v>5425</v>
      </c>
      <c r="F251" s="124"/>
      <c r="G251" s="125">
        <v>7.0</v>
      </c>
      <c r="H251" s="127"/>
      <c r="I251" s="127"/>
      <c r="J251" s="126" t="s">
        <v>5985</v>
      </c>
      <c r="K251" s="127"/>
      <c r="L251" s="27"/>
      <c r="M251" s="27"/>
      <c r="N251" s="27"/>
      <c r="O251" s="27"/>
      <c r="P251" s="27"/>
      <c r="Q251" s="27"/>
      <c r="R251" s="27"/>
      <c r="S251" s="27"/>
      <c r="T251" s="27"/>
      <c r="U251" s="8" t="s">
        <v>5986</v>
      </c>
    </row>
    <row r="252">
      <c r="A252" s="129"/>
      <c r="B252" s="120" t="s">
        <v>687</v>
      </c>
      <c r="C252" s="28" t="s">
        <v>5987</v>
      </c>
      <c r="D252" s="120" t="s">
        <v>70</v>
      </c>
      <c r="E252" s="120" t="s">
        <v>5459</v>
      </c>
      <c r="F252" s="120" t="s">
        <v>5192</v>
      </c>
      <c r="G252" s="125">
        <v>7.0</v>
      </c>
      <c r="H252" s="127"/>
      <c r="I252" s="127"/>
      <c r="J252" s="126" t="s">
        <v>5988</v>
      </c>
      <c r="K252" s="127"/>
      <c r="L252" s="27"/>
      <c r="M252" s="27"/>
      <c r="N252" s="27"/>
      <c r="O252" s="27"/>
      <c r="P252" s="27"/>
      <c r="Q252" s="27"/>
      <c r="R252" s="27"/>
      <c r="S252" s="27"/>
      <c r="T252" s="27"/>
    </row>
    <row r="253">
      <c r="A253" s="74">
        <v>29825.0</v>
      </c>
      <c r="B253" s="120" t="s">
        <v>20</v>
      </c>
      <c r="C253" s="28" t="s">
        <v>5989</v>
      </c>
      <c r="D253" s="120" t="s">
        <v>70</v>
      </c>
      <c r="E253" s="120" t="s">
        <v>5425</v>
      </c>
      <c r="F253" s="120"/>
      <c r="G253" s="139">
        <v>45762.0</v>
      </c>
      <c r="H253" s="126" t="s">
        <v>5990</v>
      </c>
      <c r="I253" s="126" t="s">
        <v>5991</v>
      </c>
      <c r="J253" s="126" t="s">
        <v>5992</v>
      </c>
      <c r="K253" s="127"/>
      <c r="L253" s="78"/>
      <c r="M253" s="78"/>
      <c r="N253" s="78"/>
      <c r="O253" s="78"/>
      <c r="P253" s="78"/>
      <c r="Q253" s="78"/>
      <c r="R253" s="78"/>
      <c r="S253" s="78"/>
      <c r="T253" s="78"/>
      <c r="U253" s="8" t="s">
        <v>5993</v>
      </c>
    </row>
    <row r="254">
      <c r="A254" s="124"/>
      <c r="B254" s="120" t="s">
        <v>20</v>
      </c>
      <c r="C254" s="28" t="s">
        <v>5155</v>
      </c>
      <c r="D254" s="120" t="s">
        <v>70</v>
      </c>
      <c r="E254" s="120" t="s">
        <v>5449</v>
      </c>
      <c r="F254" s="120"/>
      <c r="G254" s="139">
        <v>45794.0</v>
      </c>
      <c r="H254" s="126" t="s">
        <v>5994</v>
      </c>
      <c r="I254" s="126" t="s">
        <v>5995</v>
      </c>
      <c r="J254" s="127"/>
      <c r="K254" s="127"/>
      <c r="L254" s="78"/>
      <c r="M254" s="78"/>
      <c r="N254" s="78"/>
      <c r="O254" s="78"/>
      <c r="P254" s="78"/>
      <c r="Q254" s="78"/>
      <c r="R254" s="78"/>
      <c r="S254" s="78"/>
      <c r="T254" s="78"/>
      <c r="U254" s="8" t="s">
        <v>5996</v>
      </c>
    </row>
    <row r="255">
      <c r="A255" s="124"/>
      <c r="B255" s="120" t="s">
        <v>20</v>
      </c>
      <c r="C255" s="28" t="s">
        <v>5997</v>
      </c>
      <c r="D255" s="120" t="s">
        <v>70</v>
      </c>
      <c r="E255" s="120" t="s">
        <v>5449</v>
      </c>
      <c r="F255" s="124"/>
      <c r="G255" s="139">
        <v>45794.0</v>
      </c>
      <c r="H255" s="126" t="s">
        <v>5998</v>
      </c>
      <c r="I255" s="126" t="s">
        <v>5999</v>
      </c>
      <c r="J255" s="127"/>
      <c r="K255" s="127"/>
      <c r="L255" s="78"/>
      <c r="M255" s="78"/>
      <c r="N255" s="78"/>
      <c r="O255" s="78"/>
      <c r="P255" s="78"/>
      <c r="Q255" s="78"/>
      <c r="R255" s="78"/>
      <c r="S255" s="78"/>
      <c r="T255" s="78"/>
    </row>
    <row r="256">
      <c r="A256" s="124"/>
      <c r="B256" s="120" t="s">
        <v>20</v>
      </c>
      <c r="C256" s="28" t="s">
        <v>6000</v>
      </c>
      <c r="D256" s="120" t="s">
        <v>70</v>
      </c>
      <c r="E256" s="120" t="s">
        <v>5459</v>
      </c>
      <c r="F256" s="120"/>
      <c r="G256" s="139">
        <v>45794.0</v>
      </c>
      <c r="H256" s="128" t="s">
        <v>6001</v>
      </c>
      <c r="I256" s="126" t="s">
        <v>6002</v>
      </c>
      <c r="J256" s="126" t="s">
        <v>6003</v>
      </c>
      <c r="K256" s="127"/>
      <c r="L256" s="78"/>
      <c r="M256" s="78"/>
      <c r="N256" s="78"/>
      <c r="O256" s="78"/>
      <c r="P256" s="78"/>
      <c r="Q256" s="78"/>
      <c r="R256" s="78"/>
      <c r="S256" s="78"/>
      <c r="T256" s="78"/>
    </row>
    <row r="257">
      <c r="A257" s="74">
        <v>26304.0</v>
      </c>
      <c r="B257" s="120" t="s">
        <v>20</v>
      </c>
      <c r="C257" s="28" t="s">
        <v>4304</v>
      </c>
      <c r="D257" s="120" t="s">
        <v>70</v>
      </c>
      <c r="E257" s="120" t="s">
        <v>5459</v>
      </c>
      <c r="F257" s="120"/>
      <c r="G257" s="139">
        <v>45794.0</v>
      </c>
      <c r="H257" s="128" t="s">
        <v>6004</v>
      </c>
      <c r="I257" s="127"/>
      <c r="J257" s="127"/>
      <c r="K257" s="127"/>
      <c r="L257" s="78"/>
      <c r="M257" s="78"/>
      <c r="N257" s="78"/>
      <c r="O257" s="78"/>
      <c r="P257" s="78"/>
      <c r="Q257" s="78"/>
      <c r="R257" s="78"/>
      <c r="S257" s="78"/>
      <c r="T257" s="78"/>
      <c r="U257" s="8" t="s">
        <v>6005</v>
      </c>
    </row>
    <row r="258">
      <c r="A258" s="124"/>
      <c r="B258" s="120" t="s">
        <v>20</v>
      </c>
      <c r="C258" s="28" t="s">
        <v>2294</v>
      </c>
      <c r="D258" s="120" t="s">
        <v>70</v>
      </c>
      <c r="E258" s="120" t="s">
        <v>5459</v>
      </c>
      <c r="F258" s="120"/>
      <c r="G258" s="139">
        <v>45794.0</v>
      </c>
      <c r="H258" s="126" t="s">
        <v>6006</v>
      </c>
      <c r="I258" s="126" t="s">
        <v>6007</v>
      </c>
      <c r="J258" s="127"/>
      <c r="K258" s="127"/>
      <c r="L258" s="78"/>
      <c r="M258" s="78"/>
      <c r="N258" s="78"/>
      <c r="O258" s="78"/>
      <c r="P258" s="78"/>
      <c r="Q258" s="78"/>
      <c r="R258" s="78"/>
      <c r="S258" s="78"/>
      <c r="T258" s="78"/>
    </row>
    <row r="259">
      <c r="A259" s="28"/>
      <c r="B259" s="120" t="s">
        <v>20</v>
      </c>
      <c r="C259" s="28" t="s">
        <v>749</v>
      </c>
      <c r="D259" s="120" t="s">
        <v>70</v>
      </c>
      <c r="E259" s="120" t="s">
        <v>5459</v>
      </c>
      <c r="F259" s="120"/>
      <c r="G259" s="139">
        <v>45794.0</v>
      </c>
      <c r="H259" s="126" t="s">
        <v>6008</v>
      </c>
      <c r="I259" s="126" t="s">
        <v>6009</v>
      </c>
      <c r="J259" s="127"/>
      <c r="K259" s="127"/>
      <c r="L259" s="78"/>
      <c r="M259" s="78"/>
      <c r="N259" s="78"/>
      <c r="O259" s="78"/>
      <c r="P259" s="78"/>
      <c r="Q259" s="78"/>
      <c r="R259" s="78"/>
      <c r="S259" s="78"/>
      <c r="T259" s="78"/>
      <c r="U259" s="8" t="s">
        <v>6010</v>
      </c>
    </row>
    <row r="260">
      <c r="A260" s="124"/>
      <c r="B260" s="120" t="s">
        <v>102</v>
      </c>
      <c r="C260" s="28" t="s">
        <v>6011</v>
      </c>
      <c r="D260" s="120" t="s">
        <v>70</v>
      </c>
      <c r="E260" s="120" t="s">
        <v>5459</v>
      </c>
      <c r="F260" s="120" t="s">
        <v>6012</v>
      </c>
      <c r="G260" s="139">
        <v>45794.0</v>
      </c>
      <c r="H260" s="128" t="s">
        <v>6013</v>
      </c>
      <c r="I260" s="127"/>
      <c r="J260" s="127"/>
      <c r="K260" s="127"/>
      <c r="L260" s="78"/>
      <c r="M260" s="78"/>
      <c r="N260" s="78"/>
      <c r="O260" s="78"/>
      <c r="P260" s="78"/>
      <c r="Q260" s="78"/>
      <c r="R260" s="78"/>
      <c r="S260" s="78"/>
      <c r="T260" s="78"/>
      <c r="U260" s="8" t="s">
        <v>6014</v>
      </c>
    </row>
    <row r="261">
      <c r="A261" s="124"/>
      <c r="B261" s="120" t="s">
        <v>20</v>
      </c>
      <c r="C261" s="28" t="s">
        <v>6015</v>
      </c>
      <c r="D261" s="120" t="s">
        <v>70</v>
      </c>
      <c r="E261" s="120" t="s">
        <v>5459</v>
      </c>
      <c r="F261" s="120"/>
      <c r="G261" s="139">
        <v>45794.0</v>
      </c>
      <c r="H261" s="126" t="s">
        <v>6016</v>
      </c>
      <c r="I261" s="126" t="s">
        <v>6017</v>
      </c>
      <c r="J261" s="127"/>
      <c r="K261" s="127"/>
      <c r="L261" s="78"/>
      <c r="M261" s="78"/>
      <c r="N261" s="78"/>
      <c r="O261" s="78"/>
      <c r="P261" s="78"/>
      <c r="Q261" s="78"/>
      <c r="R261" s="78"/>
      <c r="S261" s="78"/>
      <c r="T261" s="78"/>
    </row>
    <row r="262">
      <c r="A262" s="124"/>
      <c r="B262" s="120" t="s">
        <v>20</v>
      </c>
      <c r="C262" s="28" t="s">
        <v>2052</v>
      </c>
      <c r="D262" s="120" t="s">
        <v>70</v>
      </c>
      <c r="E262" s="120" t="s">
        <v>5459</v>
      </c>
      <c r="F262" s="120"/>
      <c r="G262" s="140">
        <v>45794.0</v>
      </c>
      <c r="H262" s="126" t="s">
        <v>6018</v>
      </c>
      <c r="I262" s="126" t="s">
        <v>6019</v>
      </c>
      <c r="J262" s="127"/>
      <c r="K262" s="127"/>
      <c r="L262" s="78"/>
      <c r="M262" s="78"/>
      <c r="N262" s="78"/>
      <c r="O262" s="78"/>
      <c r="P262" s="78"/>
      <c r="Q262" s="78"/>
      <c r="R262" s="78"/>
      <c r="S262" s="78"/>
      <c r="T262" s="78"/>
    </row>
    <row r="263">
      <c r="A263" s="124"/>
      <c r="B263" s="120" t="s">
        <v>20</v>
      </c>
      <c r="C263" s="28" t="s">
        <v>6020</v>
      </c>
      <c r="D263" s="120" t="s">
        <v>70</v>
      </c>
      <c r="E263" s="120" t="s">
        <v>5526</v>
      </c>
      <c r="F263" s="120"/>
      <c r="G263" s="139">
        <v>45794.0</v>
      </c>
      <c r="H263" s="126" t="s">
        <v>6021</v>
      </c>
      <c r="I263" s="126" t="s">
        <v>6022</v>
      </c>
      <c r="J263" s="127"/>
      <c r="K263" s="127"/>
      <c r="L263" s="78"/>
      <c r="M263" s="78"/>
      <c r="N263" s="78"/>
      <c r="O263" s="78"/>
      <c r="P263" s="78"/>
      <c r="Q263" s="78"/>
      <c r="R263" s="78"/>
      <c r="S263" s="78"/>
      <c r="T263" s="78"/>
    </row>
    <row r="264">
      <c r="A264" s="124"/>
      <c r="B264" s="120" t="s">
        <v>20</v>
      </c>
      <c r="C264" s="28" t="s">
        <v>1952</v>
      </c>
      <c r="D264" s="120" t="s">
        <v>70</v>
      </c>
      <c r="E264" s="120" t="s">
        <v>5526</v>
      </c>
      <c r="F264" s="120"/>
      <c r="G264" s="139">
        <v>45794.0</v>
      </c>
      <c r="H264" s="126" t="s">
        <v>6023</v>
      </c>
      <c r="I264" s="127"/>
      <c r="J264" s="127"/>
      <c r="K264" s="127"/>
      <c r="L264" s="78"/>
      <c r="M264" s="78"/>
      <c r="N264" s="78"/>
      <c r="O264" s="78"/>
      <c r="P264" s="78"/>
      <c r="Q264" s="78"/>
      <c r="R264" s="78"/>
      <c r="S264" s="78"/>
      <c r="T264" s="78"/>
    </row>
    <row r="265">
      <c r="A265" s="124"/>
      <c r="B265" s="120" t="s">
        <v>20</v>
      </c>
      <c r="C265" s="28" t="s">
        <v>498</v>
      </c>
      <c r="D265" s="120" t="s">
        <v>70</v>
      </c>
      <c r="E265" s="120" t="s">
        <v>5533</v>
      </c>
      <c r="F265" s="120"/>
      <c r="G265" s="139">
        <v>45794.0</v>
      </c>
      <c r="H265" s="126" t="s">
        <v>6024</v>
      </c>
      <c r="I265" s="126" t="s">
        <v>6025</v>
      </c>
      <c r="J265" s="127"/>
      <c r="K265" s="127"/>
      <c r="L265" s="78"/>
      <c r="M265" s="78"/>
      <c r="N265" s="78"/>
      <c r="O265" s="78"/>
      <c r="P265" s="78"/>
      <c r="Q265" s="78"/>
      <c r="R265" s="78"/>
      <c r="S265" s="78"/>
      <c r="T265" s="78"/>
    </row>
    <row r="266">
      <c r="A266" s="124"/>
      <c r="B266" s="120" t="s">
        <v>20</v>
      </c>
      <c r="C266" s="28" t="s">
        <v>6026</v>
      </c>
      <c r="D266" s="120" t="s">
        <v>70</v>
      </c>
      <c r="E266" s="120" t="s">
        <v>5533</v>
      </c>
      <c r="F266" s="120"/>
      <c r="G266" s="139">
        <v>45794.0</v>
      </c>
      <c r="H266" s="126" t="s">
        <v>6027</v>
      </c>
      <c r="I266" s="126" t="s">
        <v>6028</v>
      </c>
      <c r="J266" s="127"/>
      <c r="K266" s="127"/>
      <c r="L266" s="78"/>
      <c r="M266" s="78"/>
      <c r="N266" s="78"/>
      <c r="O266" s="78"/>
      <c r="P266" s="78"/>
      <c r="Q266" s="78"/>
      <c r="R266" s="78"/>
      <c r="S266" s="78"/>
      <c r="T266" s="78"/>
    </row>
    <row r="267">
      <c r="A267" s="124"/>
      <c r="B267" s="120" t="s">
        <v>720</v>
      </c>
      <c r="C267" s="28" t="s">
        <v>6029</v>
      </c>
      <c r="D267" s="120" t="s">
        <v>70</v>
      </c>
      <c r="E267" s="120" t="s">
        <v>5425</v>
      </c>
      <c r="F267" s="120" t="s">
        <v>5192</v>
      </c>
      <c r="G267" s="139">
        <v>45795.0</v>
      </c>
      <c r="H267" s="126" t="s">
        <v>6030</v>
      </c>
      <c r="I267" s="127"/>
      <c r="J267" s="126" t="s">
        <v>6031</v>
      </c>
      <c r="K267" s="127"/>
      <c r="L267" s="78"/>
      <c r="M267" s="78"/>
      <c r="N267" s="78"/>
      <c r="O267" s="78"/>
      <c r="P267" s="78"/>
      <c r="Q267" s="78"/>
      <c r="R267" s="78"/>
      <c r="S267" s="78"/>
      <c r="T267" s="78"/>
      <c r="U267" s="8" t="s">
        <v>6032</v>
      </c>
    </row>
    <row r="268">
      <c r="A268" s="74">
        <v>19714.0</v>
      </c>
      <c r="B268" s="120" t="s">
        <v>20</v>
      </c>
      <c r="C268" s="28" t="s">
        <v>963</v>
      </c>
      <c r="D268" s="120" t="s">
        <v>70</v>
      </c>
      <c r="E268" s="120" t="s">
        <v>5459</v>
      </c>
      <c r="F268" s="120"/>
      <c r="G268" s="139">
        <v>45795.0</v>
      </c>
      <c r="H268" s="128" t="s">
        <v>6033</v>
      </c>
      <c r="I268" s="126" t="s">
        <v>6034</v>
      </c>
      <c r="J268" s="126" t="s">
        <v>6035</v>
      </c>
      <c r="K268" s="127"/>
      <c r="L268" s="78"/>
      <c r="M268" s="78"/>
      <c r="N268" s="78"/>
      <c r="O268" s="78"/>
      <c r="P268" s="78"/>
      <c r="Q268" s="78"/>
      <c r="R268" s="78"/>
      <c r="S268" s="78"/>
      <c r="T268" s="78"/>
    </row>
    <row r="269">
      <c r="A269" s="28"/>
      <c r="B269" s="120" t="s">
        <v>20</v>
      </c>
      <c r="C269" s="28" t="s">
        <v>698</v>
      </c>
      <c r="D269" s="120" t="s">
        <v>70</v>
      </c>
      <c r="E269" s="120" t="s">
        <v>5526</v>
      </c>
      <c r="F269" s="120"/>
      <c r="G269" s="139">
        <v>45795.0</v>
      </c>
      <c r="H269" s="126" t="s">
        <v>6036</v>
      </c>
      <c r="I269" s="126" t="s">
        <v>6037</v>
      </c>
      <c r="J269" s="127"/>
      <c r="K269" s="127"/>
      <c r="L269" s="78"/>
      <c r="M269" s="78"/>
      <c r="N269" s="78"/>
      <c r="O269" s="78"/>
      <c r="P269" s="78"/>
      <c r="Q269" s="78"/>
      <c r="R269" s="78"/>
      <c r="S269" s="78"/>
      <c r="T269" s="78"/>
    </row>
    <row r="270">
      <c r="A270" s="124"/>
      <c r="B270" s="120" t="s">
        <v>20</v>
      </c>
      <c r="C270" s="28" t="s">
        <v>2775</v>
      </c>
      <c r="D270" s="120" t="s">
        <v>70</v>
      </c>
      <c r="E270" s="120" t="s">
        <v>5533</v>
      </c>
      <c r="F270" s="120"/>
      <c r="G270" s="139">
        <v>45795.0</v>
      </c>
      <c r="H270" s="126" t="s">
        <v>6038</v>
      </c>
      <c r="I270" s="127"/>
      <c r="J270" s="126" t="s">
        <v>6039</v>
      </c>
      <c r="K270" s="127"/>
      <c r="L270" s="78"/>
      <c r="M270" s="78"/>
      <c r="N270" s="78"/>
      <c r="O270" s="78"/>
      <c r="P270" s="78"/>
      <c r="Q270" s="78"/>
      <c r="R270" s="78"/>
      <c r="S270" s="78"/>
      <c r="T270" s="78"/>
    </row>
    <row r="271">
      <c r="A271" s="124"/>
      <c r="B271" s="120" t="s">
        <v>20</v>
      </c>
      <c r="C271" s="28" t="s">
        <v>6040</v>
      </c>
      <c r="D271" s="120" t="s">
        <v>70</v>
      </c>
      <c r="E271" s="120" t="s">
        <v>5546</v>
      </c>
      <c r="F271" s="120"/>
      <c r="G271" s="139">
        <v>45795.0</v>
      </c>
      <c r="H271" s="126" t="s">
        <v>6041</v>
      </c>
      <c r="I271" s="126" t="s">
        <v>6042</v>
      </c>
      <c r="J271" s="127"/>
      <c r="K271" s="127"/>
      <c r="L271" s="78"/>
      <c r="M271" s="78"/>
      <c r="N271" s="78"/>
      <c r="O271" s="78"/>
      <c r="P271" s="78"/>
      <c r="Q271" s="78"/>
      <c r="R271" s="78"/>
      <c r="S271" s="78"/>
      <c r="T271" s="78"/>
    </row>
    <row r="272">
      <c r="A272" s="124"/>
      <c r="B272" s="120" t="s">
        <v>20</v>
      </c>
      <c r="C272" s="28" t="s">
        <v>6043</v>
      </c>
      <c r="D272" s="120" t="s">
        <v>70</v>
      </c>
      <c r="E272" s="120" t="s">
        <v>5449</v>
      </c>
      <c r="F272" s="120"/>
      <c r="G272" s="139">
        <v>45796.0</v>
      </c>
      <c r="H272" s="126" t="s">
        <v>6044</v>
      </c>
      <c r="I272" s="126" t="s">
        <v>6045</v>
      </c>
      <c r="J272" s="128" t="s">
        <v>6046</v>
      </c>
      <c r="K272" s="127"/>
      <c r="L272" s="78"/>
      <c r="M272" s="78"/>
      <c r="N272" s="78"/>
      <c r="O272" s="78"/>
      <c r="P272" s="78"/>
      <c r="Q272" s="78"/>
      <c r="R272" s="78"/>
      <c r="S272" s="78"/>
      <c r="T272" s="78"/>
    </row>
    <row r="273">
      <c r="A273" s="124"/>
      <c r="B273" s="120" t="s">
        <v>20</v>
      </c>
      <c r="C273" s="28" t="s">
        <v>6047</v>
      </c>
      <c r="D273" s="120" t="s">
        <v>70</v>
      </c>
      <c r="E273" s="120" t="s">
        <v>5459</v>
      </c>
      <c r="F273" s="120"/>
      <c r="G273" s="139">
        <v>45796.0</v>
      </c>
      <c r="H273" s="126" t="s">
        <v>6048</v>
      </c>
      <c r="I273" s="126" t="s">
        <v>6049</v>
      </c>
      <c r="J273" s="127"/>
      <c r="K273" s="126" t="s">
        <v>6050</v>
      </c>
      <c r="L273" s="78"/>
      <c r="M273" s="78"/>
      <c r="N273" s="78"/>
      <c r="O273" s="78"/>
      <c r="P273" s="78"/>
      <c r="Q273" s="78"/>
      <c r="R273" s="78"/>
      <c r="S273" s="78"/>
      <c r="T273" s="78"/>
    </row>
    <row r="274">
      <c r="A274" s="124"/>
      <c r="B274" s="120" t="s">
        <v>20</v>
      </c>
      <c r="C274" s="28" t="s">
        <v>2155</v>
      </c>
      <c r="D274" s="120" t="s">
        <v>70</v>
      </c>
      <c r="E274" s="120" t="s">
        <v>5459</v>
      </c>
      <c r="F274" s="120" t="s">
        <v>5981</v>
      </c>
      <c r="G274" s="139">
        <v>45796.0</v>
      </c>
      <c r="H274" s="126" t="s">
        <v>6051</v>
      </c>
      <c r="I274" s="126" t="s">
        <v>6052</v>
      </c>
      <c r="J274" s="126" t="s">
        <v>6053</v>
      </c>
      <c r="K274" s="127"/>
      <c r="L274" s="78"/>
      <c r="M274" s="78"/>
      <c r="N274" s="78"/>
      <c r="O274" s="78"/>
      <c r="P274" s="78"/>
      <c r="Q274" s="78"/>
      <c r="R274" s="78"/>
      <c r="S274" s="78"/>
      <c r="T274" s="78"/>
    </row>
    <row r="275">
      <c r="A275" s="124"/>
      <c r="B275" s="120" t="s">
        <v>20</v>
      </c>
      <c r="C275" s="28" t="s">
        <v>2542</v>
      </c>
      <c r="D275" s="120" t="s">
        <v>70</v>
      </c>
      <c r="E275" s="120" t="s">
        <v>5459</v>
      </c>
      <c r="F275" s="120"/>
      <c r="G275" s="139">
        <v>45796.0</v>
      </c>
      <c r="H275" s="126" t="s">
        <v>6054</v>
      </c>
      <c r="I275" s="127"/>
      <c r="J275" s="127"/>
      <c r="K275" s="126" t="s">
        <v>6055</v>
      </c>
      <c r="L275" s="78"/>
      <c r="M275" s="78"/>
      <c r="N275" s="78"/>
      <c r="O275" s="78"/>
      <c r="P275" s="78"/>
      <c r="Q275" s="78"/>
      <c r="R275" s="78"/>
      <c r="S275" s="78"/>
      <c r="T275" s="78"/>
    </row>
    <row r="276">
      <c r="A276" s="124"/>
      <c r="B276" s="120" t="s">
        <v>276</v>
      </c>
      <c r="C276" s="28" t="s">
        <v>6056</v>
      </c>
      <c r="D276" s="120" t="s">
        <v>70</v>
      </c>
      <c r="E276" s="120" t="s">
        <v>5459</v>
      </c>
      <c r="F276" s="120"/>
      <c r="G276" s="139">
        <v>45796.0</v>
      </c>
      <c r="H276" s="126" t="s">
        <v>6057</v>
      </c>
      <c r="I276" s="127"/>
      <c r="J276" s="127"/>
      <c r="K276" s="126" t="s">
        <v>6058</v>
      </c>
      <c r="L276" s="78"/>
      <c r="M276" s="78"/>
      <c r="N276" s="78"/>
      <c r="O276" s="78"/>
      <c r="P276" s="78"/>
      <c r="Q276" s="78"/>
      <c r="R276" s="78"/>
      <c r="S276" s="78"/>
      <c r="T276" s="78"/>
    </row>
    <row r="277">
      <c r="A277" s="74">
        <v>20746.0</v>
      </c>
      <c r="B277" s="120" t="s">
        <v>687</v>
      </c>
      <c r="C277" s="28" t="s">
        <v>3705</v>
      </c>
      <c r="D277" s="120" t="s">
        <v>70</v>
      </c>
      <c r="E277" s="120" t="s">
        <v>5459</v>
      </c>
      <c r="F277" s="120" t="s">
        <v>5981</v>
      </c>
      <c r="G277" s="139">
        <v>45796.0</v>
      </c>
      <c r="H277" s="128" t="s">
        <v>6059</v>
      </c>
      <c r="I277" s="127"/>
      <c r="J277" s="126" t="s">
        <v>6060</v>
      </c>
      <c r="K277" s="127"/>
      <c r="L277" s="27"/>
      <c r="M277" s="27"/>
      <c r="N277" s="27"/>
      <c r="O277" s="27"/>
      <c r="P277" s="27"/>
      <c r="Q277" s="27"/>
      <c r="R277" s="27"/>
      <c r="S277" s="27"/>
      <c r="T277" s="27"/>
    </row>
    <row r="278">
      <c r="A278" s="124"/>
      <c r="B278" s="120" t="s">
        <v>20</v>
      </c>
      <c r="C278" s="28" t="s">
        <v>6061</v>
      </c>
      <c r="D278" s="120" t="s">
        <v>70</v>
      </c>
      <c r="E278" s="120" t="s">
        <v>5459</v>
      </c>
      <c r="F278" s="120"/>
      <c r="G278" s="139">
        <v>45796.0</v>
      </c>
      <c r="H278" s="126" t="s">
        <v>6062</v>
      </c>
      <c r="I278" s="127"/>
      <c r="J278" s="126" t="s">
        <v>6063</v>
      </c>
      <c r="K278" s="127"/>
      <c r="L278" s="78"/>
      <c r="M278" s="78"/>
      <c r="N278" s="78"/>
      <c r="O278" s="78"/>
      <c r="P278" s="78"/>
      <c r="Q278" s="78"/>
      <c r="R278" s="78"/>
      <c r="S278" s="78"/>
      <c r="T278" s="78"/>
    </row>
    <row r="279">
      <c r="A279" s="74">
        <v>24271.0</v>
      </c>
      <c r="B279" s="120" t="s">
        <v>20</v>
      </c>
      <c r="C279" s="28" t="s">
        <v>3192</v>
      </c>
      <c r="D279" s="120" t="s">
        <v>70</v>
      </c>
      <c r="E279" s="120" t="s">
        <v>5514</v>
      </c>
      <c r="F279" s="120"/>
      <c r="G279" s="141">
        <v>45796.0</v>
      </c>
      <c r="H279" s="126" t="s">
        <v>6064</v>
      </c>
      <c r="I279" s="126" t="s">
        <v>6065</v>
      </c>
      <c r="J279" s="126" t="s">
        <v>6066</v>
      </c>
      <c r="K279" s="127"/>
      <c r="L279" s="78"/>
      <c r="M279" s="78"/>
      <c r="N279" s="78"/>
      <c r="O279" s="78"/>
      <c r="P279" s="78"/>
      <c r="Q279" s="78"/>
      <c r="R279" s="78"/>
      <c r="S279" s="78"/>
      <c r="T279" s="78"/>
    </row>
    <row r="280">
      <c r="A280" s="124"/>
      <c r="B280" s="120" t="s">
        <v>20</v>
      </c>
      <c r="C280" s="28" t="s">
        <v>1925</v>
      </c>
      <c r="D280" s="120" t="s">
        <v>70</v>
      </c>
      <c r="E280" s="120" t="s">
        <v>5533</v>
      </c>
      <c r="F280" s="120"/>
      <c r="G280" s="139">
        <v>45796.0</v>
      </c>
      <c r="H280" s="126" t="s">
        <v>6067</v>
      </c>
      <c r="I280" s="126" t="s">
        <v>6068</v>
      </c>
      <c r="J280" s="126" t="s">
        <v>6069</v>
      </c>
      <c r="K280" s="127"/>
      <c r="L280" s="78"/>
      <c r="M280" s="78"/>
      <c r="N280" s="78"/>
      <c r="O280" s="78"/>
      <c r="P280" s="78"/>
      <c r="Q280" s="78"/>
      <c r="R280" s="78"/>
      <c r="S280" s="78"/>
      <c r="T280" s="78"/>
    </row>
    <row r="281">
      <c r="A281" s="74">
        <v>20744.0</v>
      </c>
      <c r="B281" s="120" t="s">
        <v>20</v>
      </c>
      <c r="C281" s="28" t="s">
        <v>4733</v>
      </c>
      <c r="D281" s="120" t="s">
        <v>70</v>
      </c>
      <c r="E281" s="120" t="s">
        <v>5533</v>
      </c>
      <c r="F281" s="120"/>
      <c r="G281" s="139">
        <v>45796.0</v>
      </c>
      <c r="H281" s="126" t="s">
        <v>6070</v>
      </c>
      <c r="I281" s="126" t="s">
        <v>6071</v>
      </c>
      <c r="J281" s="127"/>
      <c r="K281" s="127"/>
      <c r="L281" s="78"/>
      <c r="M281" s="78"/>
      <c r="N281" s="78"/>
      <c r="O281" s="78"/>
      <c r="P281" s="78"/>
      <c r="Q281" s="78"/>
      <c r="R281" s="78"/>
      <c r="S281" s="78"/>
      <c r="T281" s="78"/>
    </row>
    <row r="282">
      <c r="A282" s="28"/>
      <c r="B282" s="120" t="s">
        <v>20</v>
      </c>
      <c r="C282" s="28" t="s">
        <v>6072</v>
      </c>
      <c r="D282" s="120" t="s">
        <v>70</v>
      </c>
      <c r="E282" s="120" t="s">
        <v>5533</v>
      </c>
      <c r="F282" s="120" t="s">
        <v>5881</v>
      </c>
      <c r="G282" s="139">
        <v>45796.0</v>
      </c>
      <c r="H282" s="126" t="s">
        <v>6073</v>
      </c>
      <c r="I282" s="126" t="s">
        <v>6074</v>
      </c>
      <c r="J282" s="127"/>
      <c r="K282" s="127"/>
      <c r="L282" s="78"/>
      <c r="M282" s="78"/>
      <c r="N282" s="78"/>
      <c r="O282" s="78"/>
      <c r="P282" s="78"/>
      <c r="Q282" s="78"/>
      <c r="R282" s="78"/>
      <c r="S282" s="78"/>
      <c r="T282" s="78"/>
    </row>
    <row r="283">
      <c r="A283" s="124"/>
      <c r="B283" s="120" t="s">
        <v>20</v>
      </c>
      <c r="C283" s="28" t="s">
        <v>1274</v>
      </c>
      <c r="D283" s="120" t="s">
        <v>70</v>
      </c>
      <c r="E283" s="120" t="s">
        <v>5533</v>
      </c>
      <c r="F283" s="120"/>
      <c r="G283" s="139">
        <v>45796.0</v>
      </c>
      <c r="H283" s="126" t="s">
        <v>6075</v>
      </c>
      <c r="I283" s="128" t="s">
        <v>6076</v>
      </c>
      <c r="J283" s="126" t="s">
        <v>6077</v>
      </c>
      <c r="K283" s="127"/>
      <c r="L283" s="78"/>
      <c r="M283" s="78"/>
      <c r="N283" s="78"/>
      <c r="O283" s="78"/>
      <c r="P283" s="78"/>
      <c r="Q283" s="78"/>
      <c r="R283" s="78"/>
      <c r="S283" s="78"/>
      <c r="T283" s="78"/>
    </row>
    <row r="284">
      <c r="A284" s="28"/>
      <c r="B284" s="120" t="s">
        <v>20</v>
      </c>
      <c r="C284" s="28" t="s">
        <v>6078</v>
      </c>
      <c r="D284" s="120" t="s">
        <v>70</v>
      </c>
      <c r="E284" s="120" t="s">
        <v>5533</v>
      </c>
      <c r="F284" s="120"/>
      <c r="G284" s="139">
        <v>45796.0</v>
      </c>
      <c r="H284" s="126" t="s">
        <v>6079</v>
      </c>
      <c r="I284" s="127"/>
      <c r="J284" s="127"/>
      <c r="K284" s="127"/>
      <c r="L284" s="78"/>
      <c r="M284" s="78"/>
      <c r="N284" s="78"/>
      <c r="O284" s="78"/>
      <c r="P284" s="78"/>
      <c r="Q284" s="78"/>
      <c r="R284" s="78"/>
      <c r="S284" s="78"/>
      <c r="T284" s="78"/>
    </row>
    <row r="285">
      <c r="A285" s="124"/>
      <c r="B285" s="120" t="s">
        <v>20</v>
      </c>
      <c r="C285" s="28" t="s">
        <v>6080</v>
      </c>
      <c r="D285" s="120" t="s">
        <v>70</v>
      </c>
      <c r="E285" s="120" t="s">
        <v>5546</v>
      </c>
      <c r="F285" s="120"/>
      <c r="G285" s="139">
        <v>45796.0</v>
      </c>
      <c r="H285" s="126" t="s">
        <v>6081</v>
      </c>
      <c r="I285" s="127"/>
      <c r="J285" s="126" t="s">
        <v>6082</v>
      </c>
      <c r="K285" s="127"/>
      <c r="L285" s="78"/>
      <c r="M285" s="78"/>
      <c r="N285" s="78"/>
      <c r="O285" s="78"/>
      <c r="P285" s="78"/>
      <c r="Q285" s="78"/>
      <c r="R285" s="78"/>
      <c r="S285" s="78"/>
      <c r="T285" s="78"/>
      <c r="U285" s="8" t="s">
        <v>6083</v>
      </c>
    </row>
    <row r="286">
      <c r="A286" s="124"/>
      <c r="B286" s="120" t="s">
        <v>20</v>
      </c>
      <c r="C286" s="28" t="s">
        <v>6084</v>
      </c>
      <c r="D286" s="120" t="s">
        <v>70</v>
      </c>
      <c r="E286" s="120" t="s">
        <v>5533</v>
      </c>
      <c r="F286" s="120"/>
      <c r="G286" s="139">
        <v>45861.0</v>
      </c>
      <c r="H286" s="126" t="s">
        <v>6085</v>
      </c>
      <c r="I286" s="126" t="s">
        <v>6086</v>
      </c>
      <c r="J286" s="126" t="s">
        <v>6087</v>
      </c>
      <c r="K286" s="127"/>
      <c r="L286" s="78"/>
      <c r="M286" s="78"/>
      <c r="N286" s="78"/>
      <c r="O286" s="78"/>
      <c r="P286" s="78"/>
      <c r="Q286" s="78"/>
      <c r="R286" s="78"/>
      <c r="S286" s="78"/>
      <c r="T286" s="78"/>
    </row>
    <row r="287">
      <c r="A287" s="124"/>
      <c r="B287" s="120" t="s">
        <v>20</v>
      </c>
      <c r="C287" s="142" t="s">
        <v>6088</v>
      </c>
      <c r="D287" s="120" t="s">
        <v>70</v>
      </c>
      <c r="E287" s="120" t="s">
        <v>5533</v>
      </c>
      <c r="F287" s="120"/>
      <c r="G287" s="139">
        <v>45861.0</v>
      </c>
      <c r="H287" s="126" t="s">
        <v>6089</v>
      </c>
      <c r="I287" s="126" t="s">
        <v>6086</v>
      </c>
      <c r="J287" s="126" t="s">
        <v>6087</v>
      </c>
      <c r="K287" s="127"/>
      <c r="L287" s="78"/>
      <c r="M287" s="78"/>
      <c r="N287" s="78"/>
      <c r="O287" s="78"/>
      <c r="P287" s="78"/>
      <c r="Q287" s="78"/>
      <c r="R287" s="78"/>
      <c r="S287" s="78"/>
      <c r="T287" s="78"/>
    </row>
    <row r="288">
      <c r="A288" s="124"/>
      <c r="B288" s="120" t="s">
        <v>20</v>
      </c>
      <c r="C288" s="28" t="s">
        <v>6090</v>
      </c>
      <c r="D288" s="120" t="s">
        <v>70</v>
      </c>
      <c r="E288" s="120" t="s">
        <v>5546</v>
      </c>
      <c r="F288" s="120" t="s">
        <v>5981</v>
      </c>
      <c r="G288" s="139">
        <v>45861.0</v>
      </c>
      <c r="H288" s="126" t="s">
        <v>6091</v>
      </c>
      <c r="I288" s="127"/>
      <c r="J288" s="126" t="s">
        <v>6092</v>
      </c>
      <c r="K288" s="127"/>
      <c r="L288" s="78"/>
      <c r="M288" s="78"/>
      <c r="N288" s="78"/>
      <c r="O288" s="78"/>
      <c r="P288" s="78"/>
      <c r="Q288" s="78"/>
      <c r="R288" s="78"/>
      <c r="S288" s="78"/>
      <c r="T288" s="78"/>
    </row>
    <row r="289">
      <c r="A289" s="124"/>
      <c r="B289" s="120" t="s">
        <v>20</v>
      </c>
      <c r="C289" s="28" t="s">
        <v>6093</v>
      </c>
      <c r="D289" s="120" t="s">
        <v>70</v>
      </c>
      <c r="E289" s="120" t="s">
        <v>5459</v>
      </c>
      <c r="F289" s="120"/>
      <c r="G289" s="125" t="s">
        <v>6094</v>
      </c>
      <c r="H289" s="126" t="s">
        <v>6095</v>
      </c>
      <c r="I289" s="127"/>
      <c r="J289" s="126" t="s">
        <v>6096</v>
      </c>
      <c r="K289" s="127"/>
      <c r="L289" s="78"/>
      <c r="M289" s="78"/>
      <c r="N289" s="78"/>
      <c r="O289" s="78"/>
      <c r="P289" s="78"/>
      <c r="Q289" s="78"/>
      <c r="R289" s="78"/>
      <c r="S289" s="78"/>
      <c r="T289" s="78"/>
      <c r="U289" s="8" t="s">
        <v>6097</v>
      </c>
    </row>
    <row r="290">
      <c r="A290" s="38">
        <v>33027.0</v>
      </c>
      <c r="B290" s="120" t="s">
        <v>20</v>
      </c>
      <c r="C290" s="28" t="s">
        <v>6098</v>
      </c>
      <c r="D290" s="120" t="s">
        <v>70</v>
      </c>
      <c r="E290" s="120" t="s">
        <v>5582</v>
      </c>
      <c r="F290" s="120"/>
      <c r="G290" s="143" t="s">
        <v>6099</v>
      </c>
      <c r="H290" s="126" t="s">
        <v>6100</v>
      </c>
      <c r="I290" s="127"/>
      <c r="J290" s="126" t="s">
        <v>6101</v>
      </c>
      <c r="K290" s="127"/>
      <c r="L290" s="78"/>
      <c r="M290" s="78"/>
      <c r="N290" s="78"/>
      <c r="O290" s="78"/>
      <c r="P290" s="78"/>
      <c r="Q290" s="78"/>
      <c r="R290" s="78"/>
      <c r="S290" s="78"/>
      <c r="T290" s="78"/>
    </row>
    <row r="291">
      <c r="A291" s="38">
        <v>32151.0</v>
      </c>
      <c r="B291" s="120" t="s">
        <v>5370</v>
      </c>
      <c r="C291" s="28" t="s">
        <v>6102</v>
      </c>
      <c r="D291" s="120" t="s">
        <v>70</v>
      </c>
      <c r="E291" s="120" t="s">
        <v>5425</v>
      </c>
      <c r="F291" s="120"/>
      <c r="G291" s="125">
        <v>2.0</v>
      </c>
      <c r="H291" s="127"/>
      <c r="I291" s="127"/>
      <c r="J291" s="126" t="s">
        <v>6103</v>
      </c>
      <c r="K291" s="127"/>
      <c r="L291" s="78"/>
      <c r="M291" s="78"/>
      <c r="N291" s="78"/>
      <c r="O291" s="78"/>
      <c r="P291" s="78"/>
      <c r="Q291" s="78"/>
      <c r="R291" s="78"/>
      <c r="S291" s="78"/>
      <c r="T291" s="78"/>
    </row>
    <row r="292">
      <c r="A292" s="124"/>
      <c r="B292" s="120" t="s">
        <v>220</v>
      </c>
      <c r="C292" s="28" t="s">
        <v>6104</v>
      </c>
      <c r="D292" s="120" t="s">
        <v>70</v>
      </c>
      <c r="E292" s="120" t="s">
        <v>5459</v>
      </c>
      <c r="F292" s="120"/>
      <c r="G292" s="125" t="s">
        <v>6105</v>
      </c>
      <c r="H292" s="126" t="s">
        <v>6106</v>
      </c>
      <c r="I292" s="127"/>
      <c r="J292" s="126" t="s">
        <v>6107</v>
      </c>
      <c r="K292" s="127"/>
      <c r="L292" s="78"/>
      <c r="M292" s="78"/>
      <c r="N292" s="78"/>
      <c r="O292" s="78"/>
      <c r="P292" s="78"/>
      <c r="Q292" s="78"/>
      <c r="R292" s="78"/>
      <c r="S292" s="78"/>
      <c r="T292" s="78"/>
    </row>
    <row r="293">
      <c r="A293" s="38">
        <v>29322.0</v>
      </c>
      <c r="B293" s="120" t="s">
        <v>6108</v>
      </c>
      <c r="C293" s="28" t="s">
        <v>6109</v>
      </c>
      <c r="D293" s="120" t="s">
        <v>70</v>
      </c>
      <c r="E293" s="120" t="s">
        <v>6110</v>
      </c>
      <c r="F293" s="38" t="s">
        <v>6111</v>
      </c>
      <c r="G293" s="125" t="s">
        <v>6105</v>
      </c>
      <c r="H293" s="127"/>
      <c r="I293" s="127"/>
      <c r="J293" s="126" t="s">
        <v>6112</v>
      </c>
      <c r="K293" s="127"/>
      <c r="L293" s="78"/>
      <c r="M293" s="78"/>
      <c r="N293" s="78"/>
      <c r="O293" s="78"/>
      <c r="P293" s="78"/>
      <c r="Q293" s="78"/>
      <c r="R293" s="78"/>
      <c r="S293" s="78"/>
      <c r="T293" s="78"/>
    </row>
    <row r="294">
      <c r="A294" s="74">
        <v>20733.0</v>
      </c>
      <c r="B294" s="120" t="s">
        <v>20</v>
      </c>
      <c r="C294" s="28" t="s">
        <v>5653</v>
      </c>
      <c r="D294" s="120" t="s">
        <v>70</v>
      </c>
      <c r="E294" s="120" t="s">
        <v>5546</v>
      </c>
      <c r="F294" s="120"/>
      <c r="G294" s="139">
        <v>45796.0</v>
      </c>
      <c r="H294" s="128" t="s">
        <v>6113</v>
      </c>
      <c r="I294" s="127"/>
      <c r="J294" s="127"/>
      <c r="K294" s="127"/>
      <c r="L294" s="78"/>
      <c r="M294" s="78"/>
      <c r="N294" s="78"/>
      <c r="O294" s="78"/>
      <c r="P294" s="78"/>
      <c r="Q294" s="78"/>
      <c r="R294" s="78"/>
      <c r="S294" s="78"/>
      <c r="T294" s="78"/>
    </row>
    <row r="295">
      <c r="A295" s="38">
        <v>30116.0</v>
      </c>
      <c r="B295" s="120" t="s">
        <v>20</v>
      </c>
      <c r="C295" s="28" t="s">
        <v>6114</v>
      </c>
      <c r="D295" s="120" t="s">
        <v>70</v>
      </c>
      <c r="E295" s="120" t="s">
        <v>5546</v>
      </c>
      <c r="F295" s="124"/>
      <c r="G295" s="125">
        <v>1.0</v>
      </c>
      <c r="H295" s="126" t="s">
        <v>6115</v>
      </c>
      <c r="I295" s="127"/>
      <c r="J295" s="127"/>
      <c r="K295" s="127"/>
      <c r="L295" s="78"/>
      <c r="M295" s="78"/>
      <c r="N295" s="78"/>
      <c r="O295" s="78"/>
      <c r="P295" s="78"/>
      <c r="Q295" s="78"/>
      <c r="R295" s="78"/>
      <c r="S295" s="78"/>
      <c r="T295" s="78"/>
    </row>
    <row r="296">
      <c r="A296" s="38">
        <v>31885.0</v>
      </c>
      <c r="B296" s="120" t="s">
        <v>20</v>
      </c>
      <c r="C296" s="28" t="s">
        <v>743</v>
      </c>
      <c r="D296" s="120" t="s">
        <v>70</v>
      </c>
      <c r="E296" s="120" t="s">
        <v>5582</v>
      </c>
      <c r="F296" s="120"/>
      <c r="G296" s="125">
        <v>1.0</v>
      </c>
      <c r="H296" s="126" t="s">
        <v>6116</v>
      </c>
      <c r="I296" s="127"/>
      <c r="J296" s="127"/>
      <c r="K296" s="127"/>
      <c r="L296" s="78"/>
      <c r="M296" s="78"/>
      <c r="N296" s="78"/>
      <c r="O296" s="78"/>
      <c r="P296" s="78"/>
      <c r="Q296" s="78"/>
      <c r="R296" s="78"/>
      <c r="S296" s="78"/>
      <c r="T296" s="78"/>
    </row>
    <row r="297">
      <c r="A297" s="38">
        <v>32665.0</v>
      </c>
      <c r="B297" s="120" t="s">
        <v>20</v>
      </c>
      <c r="C297" s="28" t="s">
        <v>21</v>
      </c>
      <c r="D297" s="120" t="s">
        <v>70</v>
      </c>
      <c r="E297" s="120" t="s">
        <v>5582</v>
      </c>
      <c r="F297" s="120" t="s">
        <v>6117</v>
      </c>
      <c r="G297" s="144">
        <v>45796.0</v>
      </c>
      <c r="H297" s="128" t="s">
        <v>6118</v>
      </c>
      <c r="I297" s="127"/>
      <c r="J297" s="145" t="s">
        <v>6119</v>
      </c>
      <c r="K297" s="127"/>
      <c r="L297" s="78"/>
      <c r="M297" s="78"/>
      <c r="N297" s="78"/>
      <c r="O297" s="78"/>
      <c r="P297" s="78"/>
      <c r="Q297" s="78"/>
      <c r="R297" s="78"/>
      <c r="S297" s="78"/>
      <c r="T297" s="78"/>
    </row>
    <row r="298">
      <c r="A298" s="129"/>
      <c r="B298" s="120" t="s">
        <v>687</v>
      </c>
      <c r="C298" s="28" t="s">
        <v>4206</v>
      </c>
      <c r="D298" s="120" t="s">
        <v>70</v>
      </c>
      <c r="E298" s="120" t="s">
        <v>5582</v>
      </c>
      <c r="F298" s="124"/>
      <c r="G298" s="125">
        <v>3.0</v>
      </c>
      <c r="H298" s="127"/>
      <c r="I298" s="127"/>
      <c r="J298" s="126" t="s">
        <v>6119</v>
      </c>
      <c r="K298" s="127"/>
      <c r="L298" s="27"/>
      <c r="M298" s="27"/>
      <c r="N298" s="27"/>
      <c r="O298" s="27"/>
      <c r="P298" s="27"/>
      <c r="Q298" s="27"/>
      <c r="R298" s="27"/>
      <c r="S298" s="27"/>
      <c r="T298" s="27"/>
    </row>
    <row r="299">
      <c r="A299" s="124"/>
      <c r="B299" s="120" t="s">
        <v>276</v>
      </c>
      <c r="C299" s="28" t="s">
        <v>6120</v>
      </c>
      <c r="D299" s="120" t="s">
        <v>70</v>
      </c>
      <c r="E299" s="120" t="s">
        <v>5582</v>
      </c>
      <c r="F299" s="120"/>
      <c r="G299" s="125">
        <v>3.0</v>
      </c>
      <c r="H299" s="126" t="s">
        <v>6121</v>
      </c>
      <c r="I299" s="127"/>
      <c r="J299" s="127"/>
      <c r="K299" s="127"/>
      <c r="L299" s="78"/>
      <c r="M299" s="78"/>
      <c r="N299" s="78"/>
      <c r="O299" s="78"/>
      <c r="P299" s="78"/>
      <c r="Q299" s="78"/>
      <c r="R299" s="78"/>
      <c r="S299" s="78"/>
      <c r="T299" s="78"/>
    </row>
    <row r="300">
      <c r="A300" s="124"/>
      <c r="B300" s="120" t="s">
        <v>20</v>
      </c>
      <c r="C300" s="28" t="s">
        <v>6122</v>
      </c>
      <c r="D300" s="120" t="s">
        <v>70</v>
      </c>
      <c r="E300" s="120" t="s">
        <v>5582</v>
      </c>
      <c r="F300" s="120"/>
      <c r="G300" s="129"/>
      <c r="H300" s="126" t="s">
        <v>6123</v>
      </c>
      <c r="I300" s="127"/>
      <c r="J300" s="127"/>
      <c r="K300" s="127"/>
      <c r="L300" s="78"/>
      <c r="M300" s="78"/>
      <c r="N300" s="78"/>
      <c r="O300" s="78"/>
      <c r="P300" s="78"/>
      <c r="Q300" s="78"/>
      <c r="R300" s="78"/>
      <c r="S300" s="78"/>
      <c r="T300" s="78"/>
    </row>
    <row r="301">
      <c r="A301" s="129"/>
      <c r="B301" s="120" t="s">
        <v>687</v>
      </c>
      <c r="C301" s="28" t="s">
        <v>1975</v>
      </c>
      <c r="D301" s="120" t="s">
        <v>70</v>
      </c>
      <c r="E301" s="120" t="s">
        <v>5582</v>
      </c>
      <c r="F301" s="124"/>
      <c r="G301" s="129"/>
      <c r="H301" s="126" t="s">
        <v>6124</v>
      </c>
      <c r="I301" s="127"/>
      <c r="J301" s="127"/>
      <c r="K301" s="127"/>
      <c r="L301" s="27"/>
      <c r="M301" s="27"/>
      <c r="N301" s="27"/>
      <c r="O301" s="27"/>
      <c r="P301" s="27"/>
      <c r="Q301" s="27"/>
      <c r="R301" s="27"/>
      <c r="S301" s="27"/>
      <c r="T301" s="27"/>
    </row>
    <row r="302">
      <c r="A302" s="74">
        <v>27341.0</v>
      </c>
      <c r="B302" s="120" t="s">
        <v>20</v>
      </c>
      <c r="C302" s="28" t="s">
        <v>6125</v>
      </c>
      <c r="D302" s="120" t="s">
        <v>70</v>
      </c>
      <c r="E302" s="120" t="s">
        <v>5582</v>
      </c>
      <c r="F302" s="120"/>
      <c r="G302" s="129"/>
      <c r="H302" s="128" t="s">
        <v>6126</v>
      </c>
      <c r="I302" s="127"/>
      <c r="J302" s="127"/>
      <c r="K302" s="127"/>
      <c r="L302" s="78"/>
      <c r="M302" s="78"/>
      <c r="N302" s="78"/>
      <c r="O302" s="78"/>
      <c r="P302" s="78"/>
      <c r="Q302" s="78"/>
      <c r="R302" s="78"/>
      <c r="S302" s="78"/>
      <c r="T302" s="78"/>
    </row>
    <row r="303">
      <c r="A303" s="38">
        <v>31513.0</v>
      </c>
      <c r="B303" s="120" t="s">
        <v>20</v>
      </c>
      <c r="C303" s="28" t="s">
        <v>6127</v>
      </c>
      <c r="D303" s="120" t="s">
        <v>70</v>
      </c>
      <c r="E303" s="120" t="s">
        <v>5582</v>
      </c>
      <c r="F303" s="120"/>
      <c r="G303" s="129"/>
      <c r="H303" s="126" t="s">
        <v>6128</v>
      </c>
      <c r="I303" s="128" t="s">
        <v>6129</v>
      </c>
      <c r="J303" s="127"/>
      <c r="K303" s="127"/>
      <c r="L303" s="78"/>
      <c r="M303" s="78"/>
      <c r="N303" s="78"/>
      <c r="O303" s="78"/>
      <c r="P303" s="78"/>
      <c r="Q303" s="78"/>
      <c r="R303" s="78"/>
      <c r="S303" s="78"/>
      <c r="T303" s="78"/>
    </row>
    <row r="304">
      <c r="A304" s="129"/>
      <c r="B304" s="120" t="s">
        <v>687</v>
      </c>
      <c r="C304" s="28" t="s">
        <v>6130</v>
      </c>
      <c r="D304" s="120" t="s">
        <v>70</v>
      </c>
      <c r="E304" s="120" t="s">
        <v>5582</v>
      </c>
      <c r="F304" s="120" t="s">
        <v>6131</v>
      </c>
      <c r="G304" s="129"/>
      <c r="H304" s="126" t="s">
        <v>6132</v>
      </c>
      <c r="I304" s="127"/>
      <c r="J304" s="127"/>
      <c r="K304" s="127"/>
      <c r="L304" s="27"/>
      <c r="M304" s="27"/>
      <c r="N304" s="27"/>
      <c r="O304" s="27"/>
      <c r="P304" s="27"/>
      <c r="Q304" s="27"/>
      <c r="R304" s="27"/>
      <c r="S304" s="27"/>
      <c r="T304" s="27"/>
    </row>
    <row r="305">
      <c r="A305" s="28"/>
      <c r="B305" s="120" t="s">
        <v>20</v>
      </c>
      <c r="C305" s="28" t="s">
        <v>6133</v>
      </c>
      <c r="D305" s="120" t="s">
        <v>70</v>
      </c>
      <c r="E305" s="120" t="s">
        <v>5582</v>
      </c>
      <c r="F305" s="120"/>
      <c r="G305" s="129"/>
      <c r="H305" s="126" t="s">
        <v>6134</v>
      </c>
      <c r="I305" s="126" t="s">
        <v>6135</v>
      </c>
      <c r="J305" s="127"/>
      <c r="K305" s="127"/>
      <c r="L305" s="78"/>
      <c r="M305" s="78"/>
      <c r="N305" s="78"/>
      <c r="O305" s="78"/>
      <c r="P305" s="78"/>
      <c r="Q305" s="78"/>
      <c r="R305" s="78"/>
      <c r="S305" s="78"/>
      <c r="T305" s="78"/>
    </row>
    <row r="306">
      <c r="A306" s="124"/>
      <c r="B306" s="120" t="s">
        <v>102</v>
      </c>
      <c r="C306" s="28" t="s">
        <v>1221</v>
      </c>
      <c r="D306" s="120" t="s">
        <v>70</v>
      </c>
      <c r="E306" s="120" t="s">
        <v>5582</v>
      </c>
      <c r="F306" s="120" t="s">
        <v>6136</v>
      </c>
      <c r="G306" s="121"/>
      <c r="H306" s="126" t="s">
        <v>6137</v>
      </c>
      <c r="I306" s="127"/>
      <c r="J306" s="126" t="s">
        <v>6138</v>
      </c>
      <c r="K306" s="127"/>
      <c r="L306" s="78"/>
      <c r="M306" s="78"/>
      <c r="N306" s="78"/>
      <c r="O306" s="78"/>
      <c r="P306" s="78"/>
      <c r="Q306" s="78"/>
      <c r="R306" s="78"/>
      <c r="S306" s="78"/>
      <c r="T306" s="78"/>
    </row>
    <row r="307">
      <c r="A307" s="124"/>
      <c r="B307" s="120" t="s">
        <v>276</v>
      </c>
      <c r="C307" s="28" t="s">
        <v>6139</v>
      </c>
      <c r="D307" s="120" t="s">
        <v>70</v>
      </c>
      <c r="E307" s="120" t="s">
        <v>5582</v>
      </c>
      <c r="F307" s="124"/>
      <c r="G307" s="129"/>
      <c r="H307" s="126" t="s">
        <v>6140</v>
      </c>
      <c r="I307" s="127"/>
      <c r="J307" s="127"/>
      <c r="K307" s="127"/>
      <c r="L307" s="78"/>
      <c r="M307" s="78"/>
      <c r="N307" s="78"/>
      <c r="O307" s="78"/>
      <c r="P307" s="78"/>
      <c r="Q307" s="78"/>
      <c r="R307" s="78"/>
      <c r="S307" s="78"/>
      <c r="T307" s="78"/>
    </row>
    <row r="308">
      <c r="A308" s="124"/>
      <c r="B308" s="120" t="s">
        <v>20</v>
      </c>
      <c r="C308" s="28" t="s">
        <v>2066</v>
      </c>
      <c r="D308" s="120" t="s">
        <v>70</v>
      </c>
      <c r="E308" s="120" t="s">
        <v>5582</v>
      </c>
      <c r="F308" s="124"/>
      <c r="G308" s="129"/>
      <c r="H308" s="126" t="s">
        <v>6141</v>
      </c>
      <c r="I308" s="127"/>
      <c r="J308" s="127"/>
      <c r="K308" s="127"/>
      <c r="L308" s="78"/>
      <c r="M308" s="78"/>
      <c r="N308" s="78"/>
      <c r="O308" s="78"/>
      <c r="P308" s="78"/>
      <c r="Q308" s="78"/>
      <c r="R308" s="78"/>
      <c r="S308" s="78"/>
      <c r="T308" s="78"/>
    </row>
    <row r="309">
      <c r="A309" s="124"/>
      <c r="B309" s="120" t="s">
        <v>20</v>
      </c>
      <c r="C309" s="28" t="s">
        <v>5885</v>
      </c>
      <c r="D309" s="120" t="s">
        <v>70</v>
      </c>
      <c r="E309" s="120" t="s">
        <v>5582</v>
      </c>
      <c r="F309" s="120"/>
      <c r="G309" s="129"/>
      <c r="H309" s="126" t="s">
        <v>6142</v>
      </c>
      <c r="I309" s="127"/>
      <c r="J309" s="127"/>
      <c r="K309" s="127"/>
      <c r="L309" s="78"/>
      <c r="M309" s="78"/>
      <c r="N309" s="78"/>
      <c r="O309" s="78"/>
      <c r="P309" s="78"/>
      <c r="Q309" s="78"/>
      <c r="R309" s="78"/>
      <c r="S309" s="78"/>
      <c r="T309" s="78"/>
    </row>
    <row r="310">
      <c r="A310" s="124"/>
      <c r="B310" s="120" t="s">
        <v>20</v>
      </c>
      <c r="C310" s="28" t="s">
        <v>1967</v>
      </c>
      <c r="D310" s="120" t="s">
        <v>70</v>
      </c>
      <c r="E310" s="120" t="s">
        <v>5585</v>
      </c>
      <c r="F310" s="120"/>
      <c r="G310" s="129"/>
      <c r="H310" s="126" t="s">
        <v>6143</v>
      </c>
      <c r="I310" s="127"/>
      <c r="J310" s="126" t="s">
        <v>6144</v>
      </c>
      <c r="K310" s="127"/>
      <c r="L310" s="78"/>
      <c r="M310" s="78"/>
      <c r="N310" s="78"/>
      <c r="O310" s="78"/>
      <c r="P310" s="78"/>
      <c r="Q310" s="78"/>
      <c r="R310" s="78"/>
      <c r="S310" s="78"/>
      <c r="T310" s="78"/>
    </row>
    <row r="311">
      <c r="A311" s="124"/>
      <c r="B311" s="120" t="s">
        <v>20</v>
      </c>
      <c r="C311" s="28" t="s">
        <v>1925</v>
      </c>
      <c r="D311" s="120" t="s">
        <v>70</v>
      </c>
      <c r="E311" s="120" t="s">
        <v>5585</v>
      </c>
      <c r="F311" s="120"/>
      <c r="G311" s="129"/>
      <c r="H311" s="126" t="s">
        <v>6145</v>
      </c>
      <c r="I311" s="127"/>
      <c r="J311" s="127"/>
      <c r="K311" s="127"/>
      <c r="L311" s="78"/>
      <c r="M311" s="78"/>
      <c r="N311" s="78"/>
      <c r="O311" s="78"/>
      <c r="P311" s="78"/>
      <c r="Q311" s="78"/>
      <c r="R311" s="78"/>
      <c r="S311" s="78"/>
      <c r="T311" s="78"/>
    </row>
    <row r="312">
      <c r="A312" s="124"/>
      <c r="B312" s="120" t="s">
        <v>276</v>
      </c>
      <c r="C312" s="28" t="s">
        <v>6146</v>
      </c>
      <c r="D312" s="120" t="s">
        <v>70</v>
      </c>
      <c r="E312" s="120" t="s">
        <v>5585</v>
      </c>
      <c r="F312" s="120"/>
      <c r="G312" s="129"/>
      <c r="H312" s="126" t="s">
        <v>6147</v>
      </c>
      <c r="I312" s="127"/>
      <c r="J312" s="126" t="s">
        <v>6148</v>
      </c>
      <c r="K312" s="127"/>
      <c r="L312" s="78"/>
      <c r="M312" s="78"/>
      <c r="N312" s="78"/>
      <c r="O312" s="78"/>
      <c r="P312" s="78"/>
      <c r="Q312" s="78"/>
      <c r="R312" s="78"/>
      <c r="S312" s="78"/>
      <c r="T312" s="78"/>
    </row>
    <row r="313">
      <c r="A313" s="38">
        <v>27370.0</v>
      </c>
      <c r="B313" s="28" t="s">
        <v>6149</v>
      </c>
      <c r="C313" s="120" t="s">
        <v>6150</v>
      </c>
      <c r="D313" s="120" t="s">
        <v>70</v>
      </c>
      <c r="E313" s="120" t="s">
        <v>5585</v>
      </c>
      <c r="F313" s="120" t="s">
        <v>6151</v>
      </c>
      <c r="G313" s="129"/>
      <c r="H313" s="126" t="s">
        <v>6152</v>
      </c>
      <c r="I313" s="127"/>
      <c r="J313" s="127"/>
      <c r="K313" s="127"/>
      <c r="L313" s="78"/>
      <c r="M313" s="78"/>
      <c r="N313" s="78"/>
      <c r="O313" s="78"/>
      <c r="P313" s="78"/>
      <c r="Q313" s="78"/>
      <c r="R313" s="78"/>
      <c r="S313" s="78"/>
      <c r="T313" s="78"/>
    </row>
    <row r="314">
      <c r="A314" s="124"/>
      <c r="B314" s="120" t="s">
        <v>20</v>
      </c>
      <c r="C314" s="28" t="s">
        <v>1952</v>
      </c>
      <c r="D314" s="120" t="s">
        <v>70</v>
      </c>
      <c r="E314" s="120" t="s">
        <v>5585</v>
      </c>
      <c r="F314" s="120"/>
      <c r="G314" s="129"/>
      <c r="H314" s="126" t="s">
        <v>6153</v>
      </c>
      <c r="I314" s="127"/>
      <c r="J314" s="127"/>
      <c r="K314" s="127"/>
      <c r="L314" s="78"/>
      <c r="M314" s="78"/>
      <c r="N314" s="78"/>
      <c r="O314" s="78"/>
      <c r="P314" s="78"/>
      <c r="Q314" s="78"/>
      <c r="R314" s="78"/>
      <c r="S314" s="78"/>
      <c r="T314" s="78"/>
    </row>
    <row r="315">
      <c r="A315" s="124"/>
      <c r="B315" s="120" t="s">
        <v>20</v>
      </c>
      <c r="C315" s="28" t="s">
        <v>3622</v>
      </c>
      <c r="D315" s="120" t="s">
        <v>70</v>
      </c>
      <c r="E315" s="120" t="s">
        <v>5585</v>
      </c>
      <c r="F315" s="120"/>
      <c r="G315" s="129"/>
      <c r="H315" s="126" t="s">
        <v>6154</v>
      </c>
      <c r="I315" s="127"/>
      <c r="J315" s="126" t="s">
        <v>6155</v>
      </c>
      <c r="K315" s="127"/>
      <c r="L315" s="78"/>
      <c r="M315" s="78"/>
      <c r="N315" s="78"/>
      <c r="O315" s="78"/>
      <c r="P315" s="78"/>
      <c r="Q315" s="78"/>
      <c r="R315" s="78"/>
      <c r="S315" s="78"/>
      <c r="T315" s="78"/>
    </row>
    <row r="316">
      <c r="A316" s="124"/>
      <c r="B316" s="120" t="s">
        <v>20</v>
      </c>
      <c r="C316" s="28" t="s">
        <v>6156</v>
      </c>
      <c r="D316" s="120" t="s">
        <v>70</v>
      </c>
      <c r="E316" s="120" t="s">
        <v>5585</v>
      </c>
      <c r="F316" s="120"/>
      <c r="G316" s="129"/>
      <c r="H316" s="126" t="s">
        <v>6157</v>
      </c>
      <c r="I316" s="127"/>
      <c r="J316" s="127"/>
      <c r="K316" s="127"/>
      <c r="L316" s="78"/>
      <c r="M316" s="78"/>
      <c r="N316" s="78"/>
      <c r="O316" s="78"/>
      <c r="P316" s="78"/>
      <c r="Q316" s="78"/>
      <c r="R316" s="78"/>
      <c r="S316" s="78"/>
      <c r="T316" s="78"/>
    </row>
    <row r="317">
      <c r="A317" s="38">
        <v>29072.0</v>
      </c>
      <c r="B317" s="120" t="s">
        <v>20</v>
      </c>
      <c r="C317" s="28" t="s">
        <v>292</v>
      </c>
      <c r="D317" s="120" t="s">
        <v>70</v>
      </c>
      <c r="E317" s="120" t="s">
        <v>5585</v>
      </c>
      <c r="F317" s="124"/>
      <c r="G317" s="129"/>
      <c r="H317" s="130" t="s">
        <v>6158</v>
      </c>
      <c r="I317" s="126" t="s">
        <v>6159</v>
      </c>
      <c r="J317" s="127"/>
      <c r="K317" s="127"/>
      <c r="L317" s="78"/>
      <c r="M317" s="78"/>
      <c r="N317" s="78"/>
      <c r="O317" s="78"/>
      <c r="P317" s="78"/>
      <c r="Q317" s="78"/>
      <c r="R317" s="78"/>
      <c r="S317" s="78"/>
      <c r="T317" s="78"/>
    </row>
    <row r="318">
      <c r="A318" s="38">
        <v>28600.0</v>
      </c>
      <c r="B318" s="120" t="s">
        <v>20</v>
      </c>
      <c r="C318" s="28" t="s">
        <v>6160</v>
      </c>
      <c r="D318" s="120" t="s">
        <v>70</v>
      </c>
      <c r="E318" s="120" t="s">
        <v>5585</v>
      </c>
      <c r="F318" s="124"/>
      <c r="G318" s="129"/>
      <c r="H318" s="126" t="s">
        <v>6161</v>
      </c>
      <c r="I318" s="127"/>
      <c r="J318" s="127"/>
      <c r="K318" s="127"/>
      <c r="L318" s="78"/>
      <c r="M318" s="78"/>
      <c r="N318" s="78"/>
      <c r="O318" s="78"/>
      <c r="P318" s="78"/>
      <c r="Q318" s="78"/>
      <c r="R318" s="78"/>
      <c r="S318" s="78"/>
      <c r="T318" s="78"/>
    </row>
    <row r="319">
      <c r="A319" s="124"/>
      <c r="B319" s="120" t="s">
        <v>20</v>
      </c>
      <c r="C319" s="28" t="s">
        <v>6162</v>
      </c>
      <c r="D319" s="120" t="s">
        <v>70</v>
      </c>
      <c r="E319" s="120" t="s">
        <v>5585</v>
      </c>
      <c r="F319" s="120"/>
      <c r="G319" s="129"/>
      <c r="H319" s="126" t="s">
        <v>6163</v>
      </c>
      <c r="I319" s="127"/>
      <c r="J319" s="127"/>
      <c r="K319" s="127"/>
      <c r="L319" s="78"/>
      <c r="M319" s="78"/>
      <c r="N319" s="78"/>
      <c r="O319" s="78"/>
      <c r="P319" s="78"/>
      <c r="Q319" s="78"/>
      <c r="R319" s="78"/>
      <c r="S319" s="78"/>
      <c r="T319" s="78"/>
    </row>
    <row r="320">
      <c r="A320" s="124"/>
      <c r="B320" s="120" t="s">
        <v>20</v>
      </c>
      <c r="C320" s="28" t="s">
        <v>272</v>
      </c>
      <c r="D320" s="120" t="s">
        <v>70</v>
      </c>
      <c r="E320" s="120" t="s">
        <v>5585</v>
      </c>
      <c r="F320" s="120"/>
      <c r="G320" s="129"/>
      <c r="H320" s="126" t="s">
        <v>6164</v>
      </c>
      <c r="I320" s="127"/>
      <c r="J320" s="127"/>
      <c r="K320" s="127"/>
      <c r="L320" s="78"/>
      <c r="M320" s="78"/>
      <c r="N320" s="78"/>
      <c r="O320" s="78"/>
      <c r="P320" s="78"/>
      <c r="Q320" s="78"/>
      <c r="R320" s="78"/>
      <c r="S320" s="78"/>
      <c r="T320" s="78"/>
    </row>
    <row r="321">
      <c r="A321" s="74">
        <v>29814.0</v>
      </c>
      <c r="B321" s="120" t="s">
        <v>20</v>
      </c>
      <c r="C321" s="28" t="s">
        <v>6165</v>
      </c>
      <c r="D321" s="120" t="s">
        <v>70</v>
      </c>
      <c r="E321" s="120" t="s">
        <v>5585</v>
      </c>
      <c r="F321" s="120"/>
      <c r="G321" s="129"/>
      <c r="H321" s="126" t="s">
        <v>6166</v>
      </c>
      <c r="I321" s="127"/>
      <c r="J321" s="126" t="s">
        <v>6167</v>
      </c>
      <c r="K321" s="127"/>
      <c r="L321" s="78"/>
      <c r="M321" s="78"/>
      <c r="N321" s="78"/>
      <c r="O321" s="78"/>
      <c r="P321" s="78"/>
      <c r="Q321" s="78"/>
      <c r="R321" s="78"/>
      <c r="S321" s="78"/>
      <c r="T321" s="78"/>
    </row>
    <row r="322">
      <c r="A322" s="124"/>
      <c r="B322" s="120" t="s">
        <v>20</v>
      </c>
      <c r="C322" s="28" t="s">
        <v>6168</v>
      </c>
      <c r="D322" s="120" t="s">
        <v>70</v>
      </c>
      <c r="E322" s="120" t="s">
        <v>5585</v>
      </c>
      <c r="F322" s="120"/>
      <c r="G322" s="129"/>
      <c r="H322" s="126" t="s">
        <v>6169</v>
      </c>
      <c r="I322" s="126" t="s">
        <v>6170</v>
      </c>
      <c r="J322" s="126" t="s">
        <v>6171</v>
      </c>
      <c r="K322" s="127"/>
      <c r="L322" s="78"/>
      <c r="M322" s="78"/>
      <c r="N322" s="78"/>
      <c r="O322" s="78"/>
      <c r="P322" s="78"/>
      <c r="Q322" s="78"/>
      <c r="R322" s="78"/>
      <c r="S322" s="78"/>
      <c r="T322" s="78"/>
    </row>
    <row r="323">
      <c r="A323" s="124"/>
      <c r="B323" s="120" t="s">
        <v>20</v>
      </c>
      <c r="C323" s="28" t="s">
        <v>6172</v>
      </c>
      <c r="D323" s="120" t="s">
        <v>70</v>
      </c>
      <c r="E323" s="120" t="s">
        <v>5585</v>
      </c>
      <c r="F323" s="120"/>
      <c r="G323" s="129"/>
      <c r="H323" s="126" t="s">
        <v>6173</v>
      </c>
      <c r="I323" s="127"/>
      <c r="J323" s="127"/>
      <c r="K323" s="127"/>
      <c r="L323" s="78"/>
      <c r="M323" s="78"/>
      <c r="N323" s="78"/>
      <c r="O323" s="78"/>
      <c r="P323" s="78"/>
      <c r="Q323" s="78"/>
      <c r="R323" s="78"/>
      <c r="S323" s="78"/>
      <c r="T323" s="78"/>
    </row>
    <row r="324">
      <c r="A324" s="124"/>
      <c r="B324" s="120" t="s">
        <v>20</v>
      </c>
      <c r="C324" s="28" t="s">
        <v>2900</v>
      </c>
      <c r="D324" s="120" t="s">
        <v>70</v>
      </c>
      <c r="E324" s="120" t="s">
        <v>5585</v>
      </c>
      <c r="F324" s="120"/>
      <c r="G324" s="129"/>
      <c r="H324" s="126" t="s">
        <v>6174</v>
      </c>
      <c r="I324" s="127"/>
      <c r="J324" s="127"/>
      <c r="K324" s="127"/>
      <c r="L324" s="78"/>
      <c r="M324" s="78"/>
      <c r="N324" s="78"/>
      <c r="O324" s="78"/>
      <c r="P324" s="78"/>
      <c r="Q324" s="78"/>
      <c r="R324" s="78"/>
      <c r="S324" s="78"/>
      <c r="T324" s="78"/>
    </row>
    <row r="325">
      <c r="A325" s="124"/>
      <c r="B325" s="120" t="s">
        <v>20</v>
      </c>
      <c r="C325" s="28" t="s">
        <v>3209</v>
      </c>
      <c r="D325" s="120" t="s">
        <v>70</v>
      </c>
      <c r="E325" s="120" t="s">
        <v>5585</v>
      </c>
      <c r="F325" s="120"/>
      <c r="G325" s="129"/>
      <c r="H325" s="126" t="s">
        <v>6175</v>
      </c>
      <c r="I325" s="127"/>
      <c r="J325" s="126" t="s">
        <v>6176</v>
      </c>
      <c r="K325" s="127"/>
      <c r="L325" s="78"/>
      <c r="M325" s="78"/>
      <c r="N325" s="78"/>
      <c r="O325" s="78"/>
      <c r="P325" s="78"/>
      <c r="Q325" s="78"/>
      <c r="R325" s="78"/>
      <c r="S325" s="78"/>
      <c r="T325" s="78"/>
    </row>
    <row r="326">
      <c r="A326" s="124"/>
      <c r="B326" s="120" t="s">
        <v>20</v>
      </c>
      <c r="C326" s="28" t="s">
        <v>698</v>
      </c>
      <c r="D326" s="120" t="s">
        <v>70</v>
      </c>
      <c r="E326" s="120" t="s">
        <v>5585</v>
      </c>
      <c r="F326" s="120"/>
      <c r="G326" s="129"/>
      <c r="H326" s="126" t="s">
        <v>6177</v>
      </c>
      <c r="I326" s="127"/>
      <c r="J326" s="126" t="s">
        <v>6178</v>
      </c>
      <c r="K326" s="127"/>
      <c r="L326" s="78"/>
      <c r="M326" s="78"/>
      <c r="N326" s="78"/>
      <c r="O326" s="78"/>
      <c r="P326" s="78"/>
      <c r="Q326" s="78"/>
      <c r="R326" s="78"/>
      <c r="S326" s="78"/>
      <c r="T326" s="78"/>
    </row>
    <row r="327">
      <c r="A327" s="124"/>
      <c r="B327" s="120" t="s">
        <v>20</v>
      </c>
      <c r="C327" s="28" t="s">
        <v>2460</v>
      </c>
      <c r="D327" s="120" t="s">
        <v>70</v>
      </c>
      <c r="E327" s="120" t="s">
        <v>5585</v>
      </c>
      <c r="F327" s="120"/>
      <c r="G327" s="129"/>
      <c r="H327" s="126" t="s">
        <v>6179</v>
      </c>
      <c r="I327" s="127"/>
      <c r="J327" s="126" t="s">
        <v>6180</v>
      </c>
      <c r="K327" s="127"/>
      <c r="L327" s="78"/>
      <c r="M327" s="78"/>
      <c r="N327" s="78"/>
      <c r="O327" s="78"/>
      <c r="P327" s="78"/>
      <c r="Q327" s="78"/>
      <c r="R327" s="78"/>
      <c r="S327" s="78"/>
      <c r="T327" s="78"/>
    </row>
    <row r="328">
      <c r="A328" s="124"/>
      <c r="B328" s="120" t="s">
        <v>20</v>
      </c>
      <c r="C328" s="28" t="s">
        <v>6181</v>
      </c>
      <c r="D328" s="120" t="s">
        <v>70</v>
      </c>
      <c r="E328" s="120" t="s">
        <v>5585</v>
      </c>
      <c r="F328" s="120"/>
      <c r="G328" s="129"/>
      <c r="H328" s="126" t="s">
        <v>6182</v>
      </c>
      <c r="I328" s="127"/>
      <c r="J328" s="127"/>
      <c r="K328" s="127"/>
      <c r="L328" s="78"/>
      <c r="M328" s="78"/>
      <c r="N328" s="78"/>
      <c r="O328" s="78"/>
      <c r="P328" s="78"/>
      <c r="Q328" s="78"/>
      <c r="R328" s="78"/>
      <c r="S328" s="78"/>
      <c r="T328" s="78"/>
    </row>
    <row r="329">
      <c r="A329" s="124"/>
      <c r="B329" s="120" t="s">
        <v>20</v>
      </c>
      <c r="C329" s="28" t="s">
        <v>6183</v>
      </c>
      <c r="D329" s="120" t="s">
        <v>70</v>
      </c>
      <c r="E329" s="120" t="s">
        <v>5585</v>
      </c>
      <c r="F329" s="120"/>
      <c r="G329" s="129"/>
      <c r="H329" s="126" t="s">
        <v>6184</v>
      </c>
      <c r="I329" s="126" t="s">
        <v>6185</v>
      </c>
      <c r="J329" s="127"/>
      <c r="K329" s="127"/>
      <c r="L329" s="78"/>
      <c r="M329" s="78"/>
      <c r="N329" s="78"/>
      <c r="O329" s="78"/>
      <c r="P329" s="78"/>
      <c r="Q329" s="78"/>
      <c r="R329" s="78"/>
      <c r="S329" s="78"/>
      <c r="T329" s="78"/>
    </row>
    <row r="330">
      <c r="A330" s="124"/>
      <c r="B330" s="120" t="s">
        <v>20</v>
      </c>
      <c r="C330" s="28" t="s">
        <v>6186</v>
      </c>
      <c r="D330" s="120" t="s">
        <v>70</v>
      </c>
      <c r="E330" s="120" t="s">
        <v>5585</v>
      </c>
      <c r="F330" s="120"/>
      <c r="G330" s="129"/>
      <c r="H330" s="126" t="s">
        <v>6187</v>
      </c>
      <c r="I330" s="127"/>
      <c r="J330" s="127"/>
      <c r="K330" s="127"/>
      <c r="L330" s="78"/>
      <c r="M330" s="78"/>
      <c r="N330" s="78"/>
      <c r="O330" s="78"/>
      <c r="P330" s="78"/>
      <c r="Q330" s="78"/>
      <c r="R330" s="78"/>
      <c r="S330" s="78"/>
      <c r="T330" s="78"/>
    </row>
    <row r="331">
      <c r="A331" s="124"/>
      <c r="B331" s="120" t="s">
        <v>20</v>
      </c>
      <c r="C331" s="28" t="s">
        <v>6188</v>
      </c>
      <c r="D331" s="120" t="s">
        <v>70</v>
      </c>
      <c r="E331" s="120" t="s">
        <v>5585</v>
      </c>
      <c r="F331" s="124"/>
      <c r="G331" s="129"/>
      <c r="H331" s="126" t="s">
        <v>6189</v>
      </c>
      <c r="I331" s="127"/>
      <c r="J331" s="127"/>
      <c r="K331" s="127"/>
      <c r="L331" s="78"/>
      <c r="M331" s="78"/>
      <c r="N331" s="78"/>
      <c r="O331" s="78"/>
      <c r="P331" s="78"/>
      <c r="Q331" s="78"/>
      <c r="R331" s="78"/>
      <c r="S331" s="78"/>
      <c r="T331" s="78"/>
    </row>
    <row r="332">
      <c r="A332" s="124"/>
      <c r="B332" s="120" t="s">
        <v>20</v>
      </c>
      <c r="C332" s="28" t="s">
        <v>6190</v>
      </c>
      <c r="D332" s="120" t="s">
        <v>70</v>
      </c>
      <c r="E332" s="120" t="s">
        <v>5585</v>
      </c>
      <c r="F332" s="120"/>
      <c r="G332" s="129"/>
      <c r="H332" s="126" t="s">
        <v>6191</v>
      </c>
      <c r="I332" s="128" t="s">
        <v>6192</v>
      </c>
      <c r="J332" s="126" t="s">
        <v>6193</v>
      </c>
      <c r="K332" s="127"/>
      <c r="L332" s="78"/>
      <c r="M332" s="78"/>
      <c r="N332" s="78"/>
      <c r="O332" s="78"/>
      <c r="P332" s="78"/>
      <c r="Q332" s="78"/>
      <c r="R332" s="78"/>
      <c r="S332" s="78"/>
      <c r="T332" s="78"/>
    </row>
    <row r="333">
      <c r="A333" s="124"/>
      <c r="B333" s="120" t="s">
        <v>20</v>
      </c>
      <c r="C333" s="28" t="s">
        <v>6194</v>
      </c>
      <c r="D333" s="120" t="s">
        <v>70</v>
      </c>
      <c r="E333" s="120" t="s">
        <v>5585</v>
      </c>
      <c r="F333" s="120"/>
      <c r="G333" s="129"/>
      <c r="H333" s="128" t="s">
        <v>6195</v>
      </c>
      <c r="I333" s="127"/>
      <c r="J333" s="127"/>
      <c r="K333" s="127"/>
      <c r="L333" s="78"/>
      <c r="M333" s="78"/>
      <c r="N333" s="78"/>
      <c r="O333" s="78"/>
      <c r="P333" s="78"/>
      <c r="Q333" s="78"/>
      <c r="R333" s="78"/>
      <c r="S333" s="78"/>
      <c r="T333" s="78"/>
    </row>
    <row r="334">
      <c r="A334" s="129"/>
      <c r="B334" s="120" t="s">
        <v>6196</v>
      </c>
      <c r="C334" s="28" t="s">
        <v>6197</v>
      </c>
      <c r="D334" s="120" t="s">
        <v>70</v>
      </c>
      <c r="E334" s="120" t="s">
        <v>5585</v>
      </c>
      <c r="F334" s="124"/>
      <c r="G334" s="129"/>
      <c r="H334" s="126" t="s">
        <v>6198</v>
      </c>
      <c r="I334" s="127"/>
      <c r="J334" s="127"/>
      <c r="K334" s="127"/>
      <c r="L334" s="27"/>
      <c r="M334" s="27"/>
      <c r="N334" s="27"/>
      <c r="O334" s="27"/>
      <c r="P334" s="27"/>
      <c r="Q334" s="27"/>
      <c r="R334" s="27"/>
      <c r="S334" s="27"/>
      <c r="T334" s="27"/>
    </row>
    <row r="335">
      <c r="A335" s="124"/>
      <c r="B335" s="120" t="s">
        <v>20</v>
      </c>
      <c r="C335" s="28" t="s">
        <v>6199</v>
      </c>
      <c r="D335" s="120" t="s">
        <v>70</v>
      </c>
      <c r="E335" s="120" t="s">
        <v>5585</v>
      </c>
      <c r="F335" s="120"/>
      <c r="G335" s="129"/>
      <c r="H335" s="126" t="s">
        <v>6200</v>
      </c>
      <c r="I335" s="127"/>
      <c r="J335" s="127"/>
      <c r="K335" s="127"/>
      <c r="L335" s="78"/>
      <c r="M335" s="78"/>
      <c r="N335" s="78"/>
      <c r="O335" s="78"/>
      <c r="P335" s="78"/>
      <c r="Q335" s="78"/>
      <c r="R335" s="78"/>
      <c r="S335" s="78"/>
      <c r="T335" s="78"/>
    </row>
    <row r="336">
      <c r="A336" s="124"/>
      <c r="B336" s="120" t="s">
        <v>20</v>
      </c>
      <c r="C336" s="28" t="s">
        <v>6201</v>
      </c>
      <c r="D336" s="120" t="s">
        <v>70</v>
      </c>
      <c r="E336" s="120" t="s">
        <v>5585</v>
      </c>
      <c r="F336" s="120"/>
      <c r="G336" s="129"/>
      <c r="H336" s="126" t="s">
        <v>6202</v>
      </c>
      <c r="I336" s="127"/>
      <c r="J336" s="127"/>
      <c r="K336" s="127"/>
      <c r="L336" s="78"/>
      <c r="M336" s="78"/>
      <c r="N336" s="78"/>
      <c r="O336" s="78"/>
      <c r="P336" s="78"/>
      <c r="Q336" s="78"/>
      <c r="R336" s="78"/>
      <c r="S336" s="78"/>
      <c r="T336" s="78"/>
    </row>
    <row r="337">
      <c r="A337" s="38">
        <v>30703.0</v>
      </c>
      <c r="B337" s="120" t="s">
        <v>720</v>
      </c>
      <c r="C337" s="28" t="s">
        <v>6203</v>
      </c>
      <c r="D337" s="120" t="s">
        <v>70</v>
      </c>
      <c r="E337" s="120" t="s">
        <v>5585</v>
      </c>
      <c r="F337" s="124"/>
      <c r="G337" s="129"/>
      <c r="H337" s="126" t="s">
        <v>6204</v>
      </c>
      <c r="I337" s="127"/>
      <c r="J337" s="127"/>
      <c r="K337" s="127"/>
      <c r="L337" s="78"/>
      <c r="M337" s="78"/>
      <c r="N337" s="78"/>
      <c r="O337" s="78"/>
      <c r="P337" s="78"/>
      <c r="Q337" s="78"/>
      <c r="R337" s="78"/>
      <c r="S337" s="78"/>
      <c r="T337" s="78"/>
    </row>
    <row r="338">
      <c r="A338" s="124"/>
      <c r="B338" s="120" t="s">
        <v>276</v>
      </c>
      <c r="C338" s="28" t="s">
        <v>2229</v>
      </c>
      <c r="D338" s="120" t="s">
        <v>70</v>
      </c>
      <c r="E338" s="120" t="s">
        <v>5585</v>
      </c>
      <c r="F338" s="120"/>
      <c r="G338" s="129"/>
      <c r="H338" s="126" t="s">
        <v>6205</v>
      </c>
      <c r="I338" s="126" t="s">
        <v>6206</v>
      </c>
      <c r="J338" s="127"/>
      <c r="K338" s="127"/>
      <c r="L338" s="78"/>
      <c r="M338" s="78"/>
      <c r="N338" s="78"/>
      <c r="O338" s="78"/>
      <c r="P338" s="78"/>
      <c r="Q338" s="78"/>
      <c r="R338" s="78"/>
      <c r="S338" s="78"/>
      <c r="T338" s="78"/>
    </row>
    <row r="339">
      <c r="A339" s="124"/>
      <c r="B339" s="120" t="s">
        <v>276</v>
      </c>
      <c r="C339" s="28" t="s">
        <v>6207</v>
      </c>
      <c r="D339" s="120" t="s">
        <v>70</v>
      </c>
      <c r="E339" s="120" t="s">
        <v>5585</v>
      </c>
      <c r="F339" s="120"/>
      <c r="G339" s="129"/>
      <c r="H339" s="126" t="s">
        <v>6208</v>
      </c>
      <c r="I339" s="126" t="s">
        <v>6209</v>
      </c>
      <c r="J339" s="127"/>
      <c r="K339" s="127"/>
      <c r="L339" s="78"/>
      <c r="M339" s="78"/>
      <c r="N339" s="78"/>
      <c r="O339" s="78"/>
      <c r="P339" s="78"/>
      <c r="Q339" s="78"/>
      <c r="R339" s="78"/>
      <c r="S339" s="78"/>
      <c r="T339" s="78"/>
    </row>
    <row r="340">
      <c r="A340" s="124"/>
      <c r="B340" s="120" t="s">
        <v>20</v>
      </c>
      <c r="C340" s="28" t="s">
        <v>6210</v>
      </c>
      <c r="D340" s="120" t="s">
        <v>70</v>
      </c>
      <c r="E340" s="120" t="s">
        <v>5585</v>
      </c>
      <c r="F340" s="120"/>
      <c r="G340" s="129"/>
      <c r="H340" s="126" t="s">
        <v>6211</v>
      </c>
      <c r="I340" s="127"/>
      <c r="J340" s="127"/>
      <c r="K340" s="127"/>
      <c r="L340" s="78"/>
      <c r="M340" s="78"/>
      <c r="N340" s="78"/>
      <c r="O340" s="78"/>
      <c r="P340" s="78"/>
      <c r="Q340" s="78"/>
      <c r="R340" s="78"/>
      <c r="S340" s="78"/>
      <c r="T340" s="78"/>
    </row>
    <row r="341">
      <c r="A341" s="124"/>
      <c r="B341" s="120" t="s">
        <v>102</v>
      </c>
      <c r="C341" s="28" t="s">
        <v>1975</v>
      </c>
      <c r="D341" s="120" t="s">
        <v>70</v>
      </c>
      <c r="E341" s="120" t="s">
        <v>5585</v>
      </c>
      <c r="F341" s="120" t="s">
        <v>6212</v>
      </c>
      <c r="G341" s="121"/>
      <c r="H341" s="126" t="s">
        <v>6213</v>
      </c>
      <c r="I341" s="127"/>
      <c r="J341" s="127"/>
      <c r="K341" s="127"/>
      <c r="L341" s="78"/>
      <c r="M341" s="78"/>
      <c r="N341" s="78"/>
      <c r="O341" s="78"/>
      <c r="P341" s="78"/>
      <c r="Q341" s="78"/>
      <c r="R341" s="78"/>
      <c r="S341" s="78"/>
      <c r="T341" s="78"/>
    </row>
    <row r="342">
      <c r="A342" s="124"/>
      <c r="B342" s="120" t="s">
        <v>20</v>
      </c>
      <c r="C342" s="28" t="s">
        <v>6214</v>
      </c>
      <c r="D342" s="120" t="s">
        <v>70</v>
      </c>
      <c r="E342" s="120" t="s">
        <v>5585</v>
      </c>
      <c r="F342" s="120"/>
      <c r="G342" s="129"/>
      <c r="H342" s="126" t="s">
        <v>6215</v>
      </c>
      <c r="I342" s="127"/>
      <c r="J342" s="127"/>
      <c r="K342" s="127"/>
      <c r="L342" s="78"/>
      <c r="M342" s="78"/>
      <c r="N342" s="78"/>
      <c r="O342" s="78"/>
      <c r="P342" s="78"/>
      <c r="Q342" s="78"/>
      <c r="R342" s="78"/>
      <c r="S342" s="78"/>
      <c r="T342" s="78"/>
    </row>
    <row r="343">
      <c r="A343" s="124"/>
      <c r="B343" s="120" t="s">
        <v>20</v>
      </c>
      <c r="C343" s="28" t="s">
        <v>4214</v>
      </c>
      <c r="D343" s="120" t="s">
        <v>70</v>
      </c>
      <c r="E343" s="120" t="s">
        <v>5585</v>
      </c>
      <c r="F343" s="120"/>
      <c r="G343" s="129"/>
      <c r="H343" s="126" t="s">
        <v>6216</v>
      </c>
      <c r="I343" s="127"/>
      <c r="J343" s="127"/>
      <c r="K343" s="127"/>
      <c r="L343" s="78"/>
      <c r="M343" s="78"/>
      <c r="N343" s="78"/>
      <c r="O343" s="78"/>
      <c r="P343" s="78"/>
      <c r="Q343" s="78"/>
      <c r="R343" s="78"/>
      <c r="S343" s="78"/>
      <c r="T343" s="78"/>
    </row>
    <row r="344">
      <c r="A344" s="124"/>
      <c r="B344" s="120" t="s">
        <v>20</v>
      </c>
      <c r="C344" s="28" t="s">
        <v>6217</v>
      </c>
      <c r="D344" s="120" t="s">
        <v>70</v>
      </c>
      <c r="E344" s="120" t="s">
        <v>5585</v>
      </c>
      <c r="F344" s="120"/>
      <c r="G344" s="129"/>
      <c r="H344" s="126" t="s">
        <v>6218</v>
      </c>
      <c r="I344" s="127"/>
      <c r="J344" s="127"/>
      <c r="K344" s="127"/>
      <c r="L344" s="78"/>
      <c r="M344" s="78"/>
      <c r="N344" s="78"/>
      <c r="O344" s="78"/>
      <c r="P344" s="78"/>
      <c r="Q344" s="78"/>
      <c r="R344" s="78"/>
      <c r="S344" s="78"/>
      <c r="T344" s="78"/>
    </row>
    <row r="345">
      <c r="A345" s="124"/>
      <c r="B345" s="120" t="s">
        <v>20</v>
      </c>
      <c r="C345" s="28" t="s">
        <v>6219</v>
      </c>
      <c r="D345" s="120" t="s">
        <v>70</v>
      </c>
      <c r="E345" s="120" t="s">
        <v>5585</v>
      </c>
      <c r="F345" s="120"/>
      <c r="G345" s="129"/>
      <c r="H345" s="126" t="s">
        <v>6220</v>
      </c>
      <c r="I345" s="127"/>
      <c r="J345" s="127"/>
      <c r="K345" s="127"/>
      <c r="L345" s="78"/>
      <c r="M345" s="78"/>
      <c r="N345" s="78"/>
      <c r="O345" s="78"/>
      <c r="P345" s="78"/>
      <c r="Q345" s="78"/>
      <c r="R345" s="78"/>
      <c r="S345" s="78"/>
      <c r="T345" s="78"/>
    </row>
    <row r="346">
      <c r="A346" s="124"/>
      <c r="B346" s="120" t="s">
        <v>20</v>
      </c>
      <c r="C346" s="28" t="s">
        <v>6221</v>
      </c>
      <c r="D346" s="120" t="s">
        <v>70</v>
      </c>
      <c r="E346" s="120" t="s">
        <v>5585</v>
      </c>
      <c r="F346" s="120"/>
      <c r="G346" s="129"/>
      <c r="H346" s="126" t="s">
        <v>6222</v>
      </c>
      <c r="I346" s="127"/>
      <c r="J346" s="127"/>
      <c r="K346" s="127"/>
      <c r="L346" s="78"/>
      <c r="M346" s="78"/>
      <c r="N346" s="78"/>
      <c r="O346" s="78"/>
      <c r="P346" s="78"/>
      <c r="Q346" s="78"/>
      <c r="R346" s="78"/>
      <c r="S346" s="78"/>
      <c r="T346" s="78"/>
    </row>
    <row r="347">
      <c r="A347" s="38">
        <v>29134.0</v>
      </c>
      <c r="B347" s="120" t="s">
        <v>20</v>
      </c>
      <c r="C347" s="28" t="s">
        <v>6223</v>
      </c>
      <c r="D347" s="120" t="s">
        <v>70</v>
      </c>
      <c r="E347" s="120" t="s">
        <v>5585</v>
      </c>
      <c r="F347" s="124"/>
      <c r="G347" s="129"/>
      <c r="H347" s="126" t="s">
        <v>6224</v>
      </c>
      <c r="I347" s="127"/>
      <c r="J347" s="127"/>
      <c r="K347" s="127"/>
      <c r="L347" s="78"/>
      <c r="M347" s="78"/>
      <c r="N347" s="78"/>
      <c r="O347" s="78"/>
      <c r="P347" s="78"/>
      <c r="Q347" s="78"/>
      <c r="R347" s="78"/>
      <c r="S347" s="78"/>
      <c r="T347" s="78"/>
    </row>
    <row r="348">
      <c r="A348" s="124"/>
      <c r="B348" s="120" t="s">
        <v>20</v>
      </c>
      <c r="C348" s="28" t="s">
        <v>6225</v>
      </c>
      <c r="D348" s="120" t="s">
        <v>70</v>
      </c>
      <c r="E348" s="120" t="s">
        <v>5585</v>
      </c>
      <c r="F348" s="120"/>
      <c r="G348" s="129"/>
      <c r="H348" s="126" t="s">
        <v>6226</v>
      </c>
      <c r="I348" s="127"/>
      <c r="J348" s="127"/>
      <c r="K348" s="127"/>
      <c r="L348" s="78"/>
      <c r="M348" s="78"/>
      <c r="N348" s="78"/>
      <c r="O348" s="78"/>
      <c r="P348" s="78"/>
      <c r="Q348" s="78"/>
      <c r="R348" s="78"/>
      <c r="S348" s="78"/>
      <c r="T348" s="78"/>
    </row>
    <row r="349">
      <c r="A349" s="38">
        <v>30831.0</v>
      </c>
      <c r="B349" s="120" t="s">
        <v>20</v>
      </c>
      <c r="C349" s="28" t="s">
        <v>6227</v>
      </c>
      <c r="D349" s="120" t="s">
        <v>70</v>
      </c>
      <c r="E349" s="120" t="s">
        <v>5585</v>
      </c>
      <c r="F349" s="124"/>
      <c r="G349" s="129"/>
      <c r="H349" s="126" t="s">
        <v>6228</v>
      </c>
      <c r="I349" s="127"/>
      <c r="J349" s="127"/>
      <c r="K349" s="127"/>
      <c r="L349" s="78"/>
      <c r="M349" s="78"/>
      <c r="N349" s="78"/>
      <c r="O349" s="78"/>
      <c r="P349" s="78"/>
      <c r="Q349" s="78"/>
      <c r="R349" s="78"/>
      <c r="S349" s="78"/>
      <c r="T349" s="78"/>
    </row>
    <row r="350">
      <c r="A350" s="124"/>
      <c r="B350" s="120" t="s">
        <v>20</v>
      </c>
      <c r="C350" s="28" t="s">
        <v>6229</v>
      </c>
      <c r="D350" s="120" t="s">
        <v>70</v>
      </c>
      <c r="E350" s="120" t="s">
        <v>5585</v>
      </c>
      <c r="F350" s="120"/>
      <c r="G350" s="129"/>
      <c r="H350" s="126" t="s">
        <v>6230</v>
      </c>
      <c r="I350" s="126" t="s">
        <v>6231</v>
      </c>
      <c r="J350" s="127"/>
      <c r="K350" s="127"/>
      <c r="L350" s="78"/>
      <c r="M350" s="78"/>
      <c r="N350" s="78"/>
      <c r="O350" s="78"/>
      <c r="P350" s="78"/>
      <c r="Q350" s="78"/>
      <c r="R350" s="78"/>
      <c r="S350" s="78"/>
      <c r="T350" s="78"/>
    </row>
    <row r="351">
      <c r="A351" s="124"/>
      <c r="B351" s="120" t="s">
        <v>276</v>
      </c>
      <c r="C351" s="28" t="s">
        <v>6232</v>
      </c>
      <c r="D351" s="120" t="s">
        <v>70</v>
      </c>
      <c r="E351" s="120" t="s">
        <v>5585</v>
      </c>
      <c r="F351" s="120"/>
      <c r="G351" s="129"/>
      <c r="H351" s="126" t="s">
        <v>6233</v>
      </c>
      <c r="I351" s="127"/>
      <c r="J351" s="127"/>
      <c r="K351" s="127"/>
      <c r="L351" s="78"/>
      <c r="M351" s="78"/>
      <c r="N351" s="78"/>
      <c r="O351" s="78"/>
      <c r="P351" s="78"/>
      <c r="Q351" s="78"/>
      <c r="R351" s="78"/>
      <c r="S351" s="78"/>
      <c r="T351" s="78"/>
    </row>
    <row r="352">
      <c r="A352" s="129"/>
      <c r="B352" s="120" t="s">
        <v>687</v>
      </c>
      <c r="C352" s="28" t="s">
        <v>763</v>
      </c>
      <c r="D352" s="120" t="s">
        <v>70</v>
      </c>
      <c r="E352" s="120" t="s">
        <v>5585</v>
      </c>
      <c r="F352" s="124"/>
      <c r="G352" s="129"/>
      <c r="H352" s="126" t="s">
        <v>6234</v>
      </c>
      <c r="I352" s="127"/>
      <c r="J352" s="127"/>
      <c r="K352" s="127"/>
      <c r="L352" s="27"/>
      <c r="M352" s="27"/>
      <c r="N352" s="27"/>
      <c r="O352" s="27"/>
      <c r="P352" s="27"/>
      <c r="Q352" s="27"/>
      <c r="R352" s="27"/>
      <c r="S352" s="27"/>
      <c r="T352" s="27"/>
    </row>
    <row r="353">
      <c r="A353" s="129"/>
      <c r="B353" s="120" t="s">
        <v>720</v>
      </c>
      <c r="C353" s="28" t="s">
        <v>6235</v>
      </c>
      <c r="D353" s="120" t="s">
        <v>70</v>
      </c>
      <c r="E353" s="120" t="s">
        <v>5585</v>
      </c>
      <c r="F353" s="124"/>
      <c r="G353" s="129"/>
      <c r="H353" s="126" t="s">
        <v>6236</v>
      </c>
      <c r="I353" s="126" t="s">
        <v>6237</v>
      </c>
      <c r="J353" s="127"/>
      <c r="K353" s="127"/>
      <c r="L353" s="27"/>
      <c r="M353" s="27"/>
      <c r="N353" s="27"/>
      <c r="O353" s="27"/>
      <c r="P353" s="27"/>
      <c r="Q353" s="27"/>
      <c r="R353" s="27"/>
      <c r="S353" s="27"/>
      <c r="T353" s="27"/>
    </row>
    <row r="354">
      <c r="A354" s="124"/>
      <c r="B354" s="120" t="s">
        <v>720</v>
      </c>
      <c r="C354" s="28" t="s">
        <v>6238</v>
      </c>
      <c r="D354" s="120" t="s">
        <v>70</v>
      </c>
      <c r="E354" s="120" t="s">
        <v>5585</v>
      </c>
      <c r="F354" s="120"/>
      <c r="G354" s="129"/>
      <c r="H354" s="126" t="s">
        <v>6239</v>
      </c>
      <c r="I354" s="127"/>
      <c r="J354" s="126" t="s">
        <v>6240</v>
      </c>
      <c r="K354" s="127"/>
      <c r="L354" s="78"/>
      <c r="M354" s="78"/>
      <c r="N354" s="78"/>
      <c r="O354" s="78"/>
      <c r="P354" s="78"/>
      <c r="Q354" s="78"/>
      <c r="R354" s="78"/>
      <c r="S354" s="78"/>
      <c r="T354" s="78"/>
    </row>
    <row r="355">
      <c r="A355" s="124"/>
      <c r="B355" s="120" t="s">
        <v>276</v>
      </c>
      <c r="C355" s="28" t="s">
        <v>3643</v>
      </c>
      <c r="D355" s="120" t="s">
        <v>70</v>
      </c>
      <c r="E355" s="120" t="s">
        <v>5585</v>
      </c>
      <c r="F355" s="120"/>
      <c r="G355" s="129"/>
      <c r="H355" s="126" t="s">
        <v>6241</v>
      </c>
      <c r="I355" s="126" t="s">
        <v>6242</v>
      </c>
      <c r="J355" s="126" t="s">
        <v>6243</v>
      </c>
      <c r="K355" s="127"/>
      <c r="L355" s="78"/>
      <c r="M355" s="78"/>
      <c r="N355" s="78"/>
      <c r="O355" s="78"/>
      <c r="P355" s="78"/>
      <c r="Q355" s="78"/>
      <c r="R355" s="78"/>
      <c r="S355" s="78"/>
      <c r="T355" s="78"/>
    </row>
    <row r="356">
      <c r="A356" s="124"/>
      <c r="B356" s="120" t="s">
        <v>276</v>
      </c>
      <c r="C356" s="28" t="s">
        <v>6244</v>
      </c>
      <c r="D356" s="120" t="s">
        <v>70</v>
      </c>
      <c r="E356" s="120" t="s">
        <v>5585</v>
      </c>
      <c r="F356" s="120"/>
      <c r="G356" s="129"/>
      <c r="H356" s="126" t="s">
        <v>6245</v>
      </c>
      <c r="I356" s="127"/>
      <c r="J356" s="127"/>
      <c r="K356" s="127"/>
      <c r="L356" s="78"/>
      <c r="M356" s="78"/>
      <c r="N356" s="78"/>
      <c r="O356" s="78"/>
      <c r="P356" s="78"/>
      <c r="Q356" s="78"/>
      <c r="R356" s="78"/>
      <c r="S356" s="78"/>
      <c r="T356" s="78"/>
    </row>
    <row r="357">
      <c r="A357" s="124"/>
      <c r="B357" s="120" t="s">
        <v>20</v>
      </c>
      <c r="C357" s="28" t="s">
        <v>6246</v>
      </c>
      <c r="D357" s="120" t="s">
        <v>70</v>
      </c>
      <c r="E357" s="120" t="s">
        <v>5585</v>
      </c>
      <c r="F357" s="120"/>
      <c r="G357" s="129"/>
      <c r="H357" s="126" t="s">
        <v>6247</v>
      </c>
      <c r="I357" s="126" t="s">
        <v>6248</v>
      </c>
      <c r="J357" s="127"/>
      <c r="K357" s="127"/>
      <c r="L357" s="78"/>
      <c r="M357" s="78"/>
      <c r="N357" s="78"/>
      <c r="O357" s="78"/>
      <c r="P357" s="78"/>
      <c r="Q357" s="78"/>
      <c r="R357" s="78"/>
      <c r="S357" s="78"/>
      <c r="T357" s="78"/>
    </row>
    <row r="358">
      <c r="A358" s="124"/>
      <c r="B358" s="120" t="s">
        <v>20</v>
      </c>
      <c r="C358" s="28" t="s">
        <v>6249</v>
      </c>
      <c r="D358" s="120" t="s">
        <v>70</v>
      </c>
      <c r="E358" s="120" t="s">
        <v>5585</v>
      </c>
      <c r="F358" s="120"/>
      <c r="G358" s="129"/>
      <c r="H358" s="126" t="s">
        <v>6250</v>
      </c>
      <c r="I358" s="126" t="s">
        <v>6251</v>
      </c>
      <c r="J358" s="127"/>
      <c r="K358" s="127"/>
      <c r="L358" s="78"/>
      <c r="M358" s="78"/>
      <c r="N358" s="78"/>
      <c r="O358" s="78"/>
      <c r="P358" s="78"/>
      <c r="Q358" s="78"/>
      <c r="R358" s="78"/>
      <c r="S358" s="78"/>
      <c r="T358" s="78"/>
    </row>
    <row r="359">
      <c r="A359" s="124"/>
      <c r="B359" s="120" t="s">
        <v>20</v>
      </c>
      <c r="C359" s="28" t="s">
        <v>6252</v>
      </c>
      <c r="D359" s="120" t="s">
        <v>70</v>
      </c>
      <c r="E359" s="120" t="s">
        <v>5585</v>
      </c>
      <c r="F359" s="120"/>
      <c r="G359" s="129"/>
      <c r="H359" s="126" t="s">
        <v>6253</v>
      </c>
      <c r="I359" s="126" t="s">
        <v>6254</v>
      </c>
      <c r="J359" s="127"/>
      <c r="K359" s="127"/>
      <c r="L359" s="78"/>
      <c r="M359" s="78"/>
      <c r="N359" s="78"/>
      <c r="O359" s="78"/>
      <c r="P359" s="78"/>
      <c r="Q359" s="78"/>
      <c r="R359" s="78"/>
      <c r="S359" s="78"/>
      <c r="T359" s="78"/>
    </row>
    <row r="360">
      <c r="A360" s="74">
        <v>19873.0</v>
      </c>
      <c r="B360" s="120" t="s">
        <v>20</v>
      </c>
      <c r="C360" s="28" t="s">
        <v>6255</v>
      </c>
      <c r="D360" s="120" t="s">
        <v>70</v>
      </c>
      <c r="E360" s="120" t="s">
        <v>5585</v>
      </c>
      <c r="F360" s="120"/>
      <c r="G360" s="129"/>
      <c r="H360" s="128" t="s">
        <v>6256</v>
      </c>
      <c r="I360" s="127"/>
      <c r="J360" s="126" t="s">
        <v>6257</v>
      </c>
      <c r="K360" s="127"/>
      <c r="L360" s="78"/>
      <c r="M360" s="78"/>
      <c r="N360" s="78"/>
      <c r="O360" s="78"/>
      <c r="P360" s="78"/>
      <c r="Q360" s="78"/>
      <c r="R360" s="78"/>
      <c r="S360" s="78"/>
      <c r="T360" s="78"/>
    </row>
    <row r="361">
      <c r="A361" s="124"/>
      <c r="B361" s="120" t="s">
        <v>20</v>
      </c>
      <c r="C361" s="28" t="s">
        <v>6258</v>
      </c>
      <c r="D361" s="120" t="s">
        <v>70</v>
      </c>
      <c r="E361" s="120" t="s">
        <v>5585</v>
      </c>
      <c r="F361" s="124"/>
      <c r="G361" s="129"/>
      <c r="H361" s="126" t="s">
        <v>6259</v>
      </c>
      <c r="I361" s="127"/>
      <c r="J361" s="127"/>
      <c r="K361" s="127"/>
      <c r="L361" s="78"/>
      <c r="M361" s="78"/>
      <c r="N361" s="78"/>
      <c r="O361" s="78"/>
      <c r="P361" s="78"/>
      <c r="Q361" s="78"/>
      <c r="R361" s="78"/>
      <c r="S361" s="78"/>
      <c r="T361" s="78"/>
    </row>
    <row r="362">
      <c r="A362" s="124"/>
      <c r="B362" s="120" t="s">
        <v>20</v>
      </c>
      <c r="C362" s="28" t="s">
        <v>2066</v>
      </c>
      <c r="D362" s="120" t="s">
        <v>70</v>
      </c>
      <c r="E362" s="120" t="s">
        <v>5585</v>
      </c>
      <c r="F362" s="120"/>
      <c r="G362" s="129"/>
      <c r="H362" s="126" t="s">
        <v>6260</v>
      </c>
      <c r="I362" s="126" t="s">
        <v>6261</v>
      </c>
      <c r="J362" s="127"/>
      <c r="K362" s="127"/>
      <c r="L362" s="78"/>
      <c r="M362" s="78"/>
      <c r="N362" s="78"/>
      <c r="O362" s="78"/>
      <c r="P362" s="78"/>
      <c r="Q362" s="78"/>
      <c r="R362" s="78"/>
      <c r="S362" s="78"/>
      <c r="T362" s="78"/>
    </row>
    <row r="363">
      <c r="A363" s="74">
        <v>32602.0</v>
      </c>
      <c r="B363" s="120" t="s">
        <v>20</v>
      </c>
      <c r="C363" s="28" t="s">
        <v>3592</v>
      </c>
      <c r="D363" s="120" t="s">
        <v>70</v>
      </c>
      <c r="E363" s="120" t="s">
        <v>5585</v>
      </c>
      <c r="F363" s="120"/>
      <c r="G363" s="134"/>
      <c r="H363" s="126" t="s">
        <v>6262</v>
      </c>
      <c r="I363" s="127"/>
      <c r="J363" s="127"/>
      <c r="K363" s="127"/>
      <c r="L363" s="78"/>
      <c r="M363" s="78"/>
      <c r="N363" s="78"/>
      <c r="O363" s="78"/>
      <c r="P363" s="78"/>
      <c r="Q363" s="78"/>
      <c r="R363" s="78"/>
      <c r="S363" s="78"/>
      <c r="T363" s="78"/>
    </row>
    <row r="364">
      <c r="A364" s="74">
        <v>19721.0</v>
      </c>
      <c r="B364" s="120" t="s">
        <v>20</v>
      </c>
      <c r="C364" s="28" t="s">
        <v>5602</v>
      </c>
      <c r="D364" s="120" t="s">
        <v>70</v>
      </c>
      <c r="E364" s="120" t="s">
        <v>5585</v>
      </c>
      <c r="F364" s="120"/>
      <c r="G364" s="129"/>
      <c r="H364" s="126" t="s">
        <v>6263</v>
      </c>
      <c r="I364" s="127"/>
      <c r="J364" s="126" t="s">
        <v>6264</v>
      </c>
      <c r="K364" s="127"/>
      <c r="L364" s="78"/>
      <c r="M364" s="138" t="s">
        <v>6265</v>
      </c>
      <c r="N364" s="78"/>
      <c r="O364" s="78"/>
      <c r="P364" s="78"/>
      <c r="Q364" s="78"/>
      <c r="R364" s="78"/>
      <c r="S364" s="78"/>
      <c r="T364" s="78"/>
    </row>
    <row r="365">
      <c r="A365" s="38">
        <v>28487.0</v>
      </c>
      <c r="B365" s="120" t="s">
        <v>20</v>
      </c>
      <c r="C365" s="28" t="s">
        <v>6266</v>
      </c>
      <c r="D365" s="120" t="s">
        <v>70</v>
      </c>
      <c r="E365" s="120" t="s">
        <v>5606</v>
      </c>
      <c r="F365" s="124"/>
      <c r="G365" s="129"/>
      <c r="H365" s="126" t="s">
        <v>6267</v>
      </c>
      <c r="I365" s="126" t="s">
        <v>6268</v>
      </c>
      <c r="J365" s="127"/>
      <c r="K365" s="127"/>
      <c r="L365" s="78"/>
      <c r="M365" s="78"/>
      <c r="N365" s="78"/>
      <c r="O365" s="78"/>
      <c r="P365" s="78"/>
      <c r="Q365" s="78"/>
      <c r="R365" s="78"/>
      <c r="S365" s="78"/>
      <c r="T365" s="78"/>
    </row>
    <row r="366">
      <c r="A366" s="28"/>
      <c r="B366" s="120" t="s">
        <v>20</v>
      </c>
      <c r="C366" s="28" t="s">
        <v>6269</v>
      </c>
      <c r="D366" s="120" t="s">
        <v>70</v>
      </c>
      <c r="E366" s="120" t="s">
        <v>5606</v>
      </c>
      <c r="F366" s="120"/>
      <c r="G366" s="125"/>
      <c r="H366" s="126" t="s">
        <v>6270</v>
      </c>
      <c r="I366" s="127"/>
      <c r="J366" s="127"/>
      <c r="K366" s="127"/>
      <c r="L366" s="78"/>
      <c r="M366" s="78"/>
      <c r="N366" s="78"/>
      <c r="O366" s="78"/>
      <c r="P366" s="78"/>
      <c r="Q366" s="78"/>
      <c r="R366" s="78"/>
      <c r="S366" s="78"/>
      <c r="T366" s="78"/>
    </row>
    <row r="367">
      <c r="A367" s="129"/>
      <c r="B367" s="120" t="s">
        <v>687</v>
      </c>
      <c r="C367" s="28" t="s">
        <v>6271</v>
      </c>
      <c r="D367" s="120" t="s">
        <v>70</v>
      </c>
      <c r="E367" s="120" t="s">
        <v>5613</v>
      </c>
      <c r="F367" s="124"/>
      <c r="G367" s="129"/>
      <c r="H367" s="127"/>
      <c r="I367" s="127"/>
      <c r="J367" s="126" t="s">
        <v>6272</v>
      </c>
      <c r="K367" s="127"/>
      <c r="L367" s="27"/>
      <c r="M367" s="27"/>
      <c r="N367" s="27"/>
      <c r="O367" s="27"/>
      <c r="P367" s="27"/>
      <c r="Q367" s="27"/>
      <c r="R367" s="27"/>
      <c r="S367" s="27"/>
      <c r="T367" s="27"/>
    </row>
    <row r="368">
      <c r="A368" s="124"/>
      <c r="B368" s="120" t="s">
        <v>20</v>
      </c>
      <c r="C368" s="28" t="s">
        <v>3881</v>
      </c>
      <c r="D368" s="120" t="s">
        <v>70</v>
      </c>
      <c r="E368" s="120" t="s">
        <v>5613</v>
      </c>
      <c r="F368" s="120"/>
      <c r="G368" s="129"/>
      <c r="H368" s="126" t="s">
        <v>6273</v>
      </c>
      <c r="I368" s="126" t="s">
        <v>6274</v>
      </c>
      <c r="J368" s="126" t="s">
        <v>6275</v>
      </c>
      <c r="K368" s="127"/>
      <c r="L368" s="78"/>
      <c r="M368" s="78"/>
      <c r="N368" s="78"/>
      <c r="O368" s="78"/>
      <c r="P368" s="78"/>
      <c r="Q368" s="78"/>
      <c r="R368" s="78"/>
      <c r="S368" s="78"/>
      <c r="T368" s="78"/>
    </row>
    <row r="369">
      <c r="A369" s="38">
        <v>30483.0</v>
      </c>
      <c r="B369" s="120" t="s">
        <v>20</v>
      </c>
      <c r="C369" s="28" t="s">
        <v>3209</v>
      </c>
      <c r="D369" s="120" t="s">
        <v>70</v>
      </c>
      <c r="E369" s="120" t="s">
        <v>5613</v>
      </c>
      <c r="F369" s="124"/>
      <c r="G369" s="129"/>
      <c r="H369" s="127"/>
      <c r="I369" s="127"/>
      <c r="J369" s="126" t="s">
        <v>6276</v>
      </c>
      <c r="K369" s="127"/>
      <c r="L369" s="78"/>
      <c r="M369" s="78"/>
      <c r="N369" s="78"/>
      <c r="O369" s="78"/>
      <c r="P369" s="78"/>
      <c r="Q369" s="78"/>
      <c r="R369" s="78"/>
      <c r="S369" s="78"/>
      <c r="T369" s="78"/>
    </row>
    <row r="370">
      <c r="A370" s="124"/>
      <c r="B370" s="120" t="s">
        <v>102</v>
      </c>
      <c r="C370" s="28" t="s">
        <v>3030</v>
      </c>
      <c r="D370" s="120" t="s">
        <v>70</v>
      </c>
      <c r="E370" s="120" t="s">
        <v>5613</v>
      </c>
      <c r="F370" s="120" t="s">
        <v>6277</v>
      </c>
      <c r="G370" s="121"/>
      <c r="H370" s="126" t="s">
        <v>6278</v>
      </c>
      <c r="I370" s="127"/>
      <c r="J370" s="126" t="s">
        <v>6279</v>
      </c>
      <c r="K370" s="127"/>
      <c r="L370" s="78"/>
      <c r="M370" s="78"/>
      <c r="N370" s="78"/>
      <c r="O370" s="78"/>
      <c r="P370" s="78"/>
      <c r="Q370" s="78"/>
      <c r="R370" s="78"/>
      <c r="S370" s="78"/>
      <c r="T370" s="78"/>
    </row>
    <row r="371">
      <c r="A371" s="124"/>
      <c r="B371" s="120" t="s">
        <v>20</v>
      </c>
      <c r="C371" s="28" t="s">
        <v>4823</v>
      </c>
      <c r="D371" s="120" t="s">
        <v>70</v>
      </c>
      <c r="E371" s="120" t="s">
        <v>5613</v>
      </c>
      <c r="F371" s="120"/>
      <c r="G371" s="129"/>
      <c r="H371" s="126" t="s">
        <v>6280</v>
      </c>
      <c r="I371" s="127"/>
      <c r="J371" s="127"/>
      <c r="K371" s="127"/>
      <c r="L371" s="78"/>
      <c r="M371" s="78"/>
      <c r="N371" s="78"/>
      <c r="O371" s="78"/>
      <c r="P371" s="78"/>
      <c r="Q371" s="78"/>
      <c r="R371" s="78"/>
      <c r="S371" s="78"/>
      <c r="T371" s="78"/>
    </row>
    <row r="372">
      <c r="A372" s="38">
        <v>30492.0</v>
      </c>
      <c r="B372" s="120" t="s">
        <v>20</v>
      </c>
      <c r="C372" s="28" t="s">
        <v>6281</v>
      </c>
      <c r="D372" s="120" t="s">
        <v>70</v>
      </c>
      <c r="E372" s="120" t="s">
        <v>5613</v>
      </c>
      <c r="F372" s="124"/>
      <c r="G372" s="129"/>
      <c r="H372" s="127"/>
      <c r="I372" s="127"/>
      <c r="J372" s="126" t="s">
        <v>6282</v>
      </c>
      <c r="K372" s="127"/>
      <c r="L372" s="78"/>
      <c r="M372" s="78"/>
      <c r="N372" s="78"/>
      <c r="O372" s="78"/>
      <c r="P372" s="78"/>
      <c r="Q372" s="78"/>
      <c r="R372" s="78"/>
      <c r="S372" s="78"/>
      <c r="T372" s="78"/>
    </row>
    <row r="373">
      <c r="A373" s="124"/>
      <c r="B373" s="120" t="s">
        <v>276</v>
      </c>
      <c r="C373" s="28" t="s">
        <v>5628</v>
      </c>
      <c r="D373" s="120" t="s">
        <v>70</v>
      </c>
      <c r="E373" s="120" t="s">
        <v>6283</v>
      </c>
      <c r="F373" s="124"/>
      <c r="G373" s="129"/>
      <c r="H373" s="126" t="s">
        <v>6284</v>
      </c>
      <c r="I373" s="127"/>
      <c r="J373" s="127"/>
      <c r="K373" s="126" t="s">
        <v>6285</v>
      </c>
      <c r="L373" s="78"/>
      <c r="M373" s="78"/>
      <c r="N373" s="78"/>
      <c r="O373" s="78"/>
      <c r="P373" s="78"/>
      <c r="Q373" s="78"/>
      <c r="R373" s="78"/>
      <c r="S373" s="78"/>
      <c r="T373" s="78"/>
    </row>
    <row r="374">
      <c r="A374" s="124"/>
      <c r="B374" s="120" t="s">
        <v>20</v>
      </c>
      <c r="C374" s="28" t="s">
        <v>6286</v>
      </c>
      <c r="D374" s="120" t="s">
        <v>70</v>
      </c>
      <c r="E374" s="120" t="s">
        <v>5616</v>
      </c>
      <c r="F374" s="120" t="s">
        <v>6287</v>
      </c>
      <c r="G374" s="129"/>
      <c r="H374" s="126" t="s">
        <v>6288</v>
      </c>
      <c r="I374" s="127"/>
      <c r="J374" s="127"/>
      <c r="K374" s="126" t="s">
        <v>6289</v>
      </c>
      <c r="L374" s="78"/>
      <c r="M374" s="78"/>
      <c r="N374" s="78"/>
      <c r="O374" s="78"/>
      <c r="P374" s="78"/>
      <c r="Q374" s="78"/>
      <c r="R374" s="78"/>
      <c r="S374" s="78"/>
      <c r="T374" s="78"/>
    </row>
    <row r="375">
      <c r="A375" s="74">
        <v>19723.0</v>
      </c>
      <c r="B375" s="120" t="s">
        <v>20</v>
      </c>
      <c r="C375" s="28" t="s">
        <v>5509</v>
      </c>
      <c r="D375" s="120" t="s">
        <v>70</v>
      </c>
      <c r="E375" s="120" t="s">
        <v>5616</v>
      </c>
      <c r="F375" s="120"/>
      <c r="G375" s="129"/>
      <c r="H375" s="128" t="s">
        <v>6290</v>
      </c>
      <c r="I375" s="127"/>
      <c r="J375" s="127"/>
      <c r="K375" s="127"/>
      <c r="L375" s="78"/>
      <c r="M375" s="78"/>
      <c r="N375" s="78"/>
      <c r="O375" s="78"/>
      <c r="P375" s="78"/>
      <c r="Q375" s="78"/>
      <c r="R375" s="78"/>
      <c r="S375" s="78"/>
      <c r="T375" s="78"/>
    </row>
    <row r="376">
      <c r="A376" s="74">
        <v>20745.0</v>
      </c>
      <c r="B376" s="120" t="s">
        <v>20</v>
      </c>
      <c r="C376" s="28" t="s">
        <v>6291</v>
      </c>
      <c r="D376" s="120" t="s">
        <v>70</v>
      </c>
      <c r="E376" s="120" t="s">
        <v>5616</v>
      </c>
      <c r="F376" s="120"/>
      <c r="G376" s="129"/>
      <c r="H376" s="126" t="s">
        <v>6292</v>
      </c>
      <c r="I376" s="126" t="s">
        <v>6293</v>
      </c>
      <c r="J376" s="127"/>
      <c r="K376" s="127"/>
      <c r="L376" s="78"/>
      <c r="M376" s="78"/>
      <c r="N376" s="78"/>
      <c r="O376" s="78"/>
      <c r="P376" s="78"/>
      <c r="Q376" s="78"/>
      <c r="R376" s="78"/>
      <c r="S376" s="78"/>
      <c r="T376" s="78"/>
    </row>
    <row r="377">
      <c r="A377" s="38">
        <v>30696.0</v>
      </c>
      <c r="B377" s="120" t="s">
        <v>20</v>
      </c>
      <c r="C377" s="28" t="s">
        <v>55</v>
      </c>
      <c r="D377" s="120" t="s">
        <v>70</v>
      </c>
      <c r="E377" s="120" t="s">
        <v>71</v>
      </c>
      <c r="F377" s="124"/>
      <c r="G377" s="129"/>
      <c r="H377" s="126" t="s">
        <v>6294</v>
      </c>
      <c r="I377" s="127"/>
      <c r="J377" s="126" t="s">
        <v>6295</v>
      </c>
      <c r="K377" s="127"/>
      <c r="L377" s="78"/>
      <c r="M377" s="78"/>
      <c r="N377" s="78"/>
      <c r="O377" s="78"/>
      <c r="P377" s="78"/>
      <c r="Q377" s="78"/>
      <c r="R377" s="78"/>
      <c r="S377" s="78"/>
      <c r="T377" s="78"/>
    </row>
    <row r="378">
      <c r="A378" s="124"/>
      <c r="B378" s="120" t="s">
        <v>20</v>
      </c>
      <c r="C378" s="28" t="s">
        <v>6296</v>
      </c>
      <c r="D378" s="120" t="s">
        <v>70</v>
      </c>
      <c r="E378" s="120" t="s">
        <v>71</v>
      </c>
      <c r="F378" s="120"/>
      <c r="G378" s="129"/>
      <c r="H378" s="126" t="s">
        <v>6297</v>
      </c>
      <c r="I378" s="127"/>
      <c r="J378" s="127"/>
      <c r="K378" s="127"/>
      <c r="L378" s="78"/>
      <c r="M378" s="78"/>
      <c r="N378" s="78"/>
      <c r="O378" s="78"/>
      <c r="P378" s="78"/>
      <c r="Q378" s="78"/>
      <c r="R378" s="78"/>
      <c r="S378" s="78"/>
      <c r="T378" s="78"/>
    </row>
    <row r="379">
      <c r="A379" s="38">
        <v>29610.0</v>
      </c>
      <c r="B379" s="120" t="s">
        <v>20</v>
      </c>
      <c r="C379" s="28" t="s">
        <v>6298</v>
      </c>
      <c r="D379" s="120" t="s">
        <v>70</v>
      </c>
      <c r="E379" s="120" t="s">
        <v>71</v>
      </c>
      <c r="F379" s="124"/>
      <c r="G379" s="129"/>
      <c r="H379" s="127"/>
      <c r="I379" s="127"/>
      <c r="J379" s="126" t="s">
        <v>6299</v>
      </c>
      <c r="K379" s="127"/>
      <c r="L379" s="78"/>
      <c r="M379" s="78"/>
      <c r="N379" s="78"/>
      <c r="O379" s="78"/>
      <c r="P379" s="78"/>
      <c r="Q379" s="78"/>
      <c r="R379" s="78"/>
      <c r="S379" s="78"/>
      <c r="T379" s="78"/>
    </row>
    <row r="380">
      <c r="A380" s="38">
        <v>30195.0</v>
      </c>
      <c r="B380" s="120" t="s">
        <v>20</v>
      </c>
      <c r="C380" s="28" t="s">
        <v>6300</v>
      </c>
      <c r="D380" s="120" t="s">
        <v>70</v>
      </c>
      <c r="E380" s="120" t="s">
        <v>71</v>
      </c>
      <c r="F380" s="124"/>
      <c r="G380" s="129"/>
      <c r="H380" s="127"/>
      <c r="I380" s="127"/>
      <c r="J380" s="126" t="s">
        <v>6301</v>
      </c>
      <c r="K380" s="127"/>
      <c r="L380" s="78"/>
      <c r="M380" s="78"/>
      <c r="N380" s="78"/>
      <c r="O380" s="78"/>
      <c r="P380" s="78"/>
      <c r="Q380" s="78"/>
      <c r="R380" s="78"/>
      <c r="S380" s="78"/>
      <c r="T380" s="78"/>
    </row>
    <row r="381">
      <c r="A381" s="129"/>
      <c r="B381" s="120" t="s">
        <v>276</v>
      </c>
      <c r="C381" s="28" t="s">
        <v>6302</v>
      </c>
      <c r="D381" s="120" t="s">
        <v>70</v>
      </c>
      <c r="E381" s="120" t="s">
        <v>71</v>
      </c>
      <c r="F381" s="124"/>
      <c r="G381" s="129"/>
      <c r="H381" s="126" t="s">
        <v>6303</v>
      </c>
      <c r="I381" s="29" t="s">
        <v>6304</v>
      </c>
      <c r="J381" s="27"/>
      <c r="K381" s="127"/>
      <c r="L381" s="27"/>
      <c r="M381" s="27"/>
      <c r="N381" s="27"/>
      <c r="O381" s="27"/>
      <c r="P381" s="27"/>
      <c r="Q381" s="27"/>
      <c r="R381" s="27"/>
      <c r="S381" s="27"/>
      <c r="T381" s="27"/>
    </row>
    <row r="382">
      <c r="A382" s="38">
        <v>29576.0</v>
      </c>
      <c r="B382" s="120" t="s">
        <v>20</v>
      </c>
      <c r="C382" s="28" t="s">
        <v>6305</v>
      </c>
      <c r="D382" s="120" t="s">
        <v>70</v>
      </c>
      <c r="E382" s="120" t="s">
        <v>71</v>
      </c>
      <c r="F382" s="124"/>
      <c r="G382" s="129"/>
      <c r="H382" s="126" t="s">
        <v>6306</v>
      </c>
      <c r="I382" s="126" t="s">
        <v>6307</v>
      </c>
      <c r="J382" s="127"/>
      <c r="K382" s="127"/>
      <c r="L382" s="78"/>
      <c r="M382" s="78"/>
      <c r="N382" s="78"/>
      <c r="O382" s="78"/>
      <c r="P382" s="78"/>
      <c r="Q382" s="78"/>
      <c r="R382" s="78"/>
      <c r="S382" s="78"/>
      <c r="T382" s="78"/>
    </row>
    <row r="383">
      <c r="A383" s="124"/>
      <c r="B383" s="120" t="s">
        <v>20</v>
      </c>
      <c r="C383" s="28" t="s">
        <v>341</v>
      </c>
      <c r="D383" s="120" t="s">
        <v>70</v>
      </c>
      <c r="E383" s="120" t="s">
        <v>5629</v>
      </c>
      <c r="F383" s="120" t="s">
        <v>6308</v>
      </c>
      <c r="G383" s="129"/>
      <c r="H383" s="126" t="s">
        <v>6309</v>
      </c>
      <c r="I383" s="127"/>
      <c r="J383" s="127"/>
      <c r="K383" s="127"/>
      <c r="L383" s="78"/>
      <c r="M383" s="78"/>
      <c r="N383" s="78"/>
      <c r="O383" s="78"/>
      <c r="P383" s="78"/>
      <c r="Q383" s="78"/>
      <c r="R383" s="78"/>
      <c r="S383" s="78"/>
      <c r="T383" s="78"/>
    </row>
    <row r="384">
      <c r="A384" s="124"/>
      <c r="B384" s="120" t="s">
        <v>20</v>
      </c>
      <c r="C384" s="28" t="s">
        <v>6310</v>
      </c>
      <c r="D384" s="120" t="s">
        <v>70</v>
      </c>
      <c r="E384" s="120" t="s">
        <v>5629</v>
      </c>
      <c r="F384" s="120"/>
      <c r="G384" s="129"/>
      <c r="H384" s="128" t="s">
        <v>6311</v>
      </c>
      <c r="I384" s="127"/>
      <c r="J384" s="127"/>
      <c r="K384" s="127"/>
      <c r="L384" s="78"/>
      <c r="M384" s="78"/>
      <c r="N384" s="78"/>
      <c r="O384" s="78"/>
      <c r="P384" s="78"/>
      <c r="Q384" s="78"/>
      <c r="R384" s="78"/>
      <c r="S384" s="78"/>
      <c r="T384" s="78"/>
    </row>
    <row r="385">
      <c r="A385" s="124"/>
      <c r="B385" s="120" t="s">
        <v>20</v>
      </c>
      <c r="C385" s="28" t="s">
        <v>6312</v>
      </c>
      <c r="D385" s="120" t="s">
        <v>70</v>
      </c>
      <c r="E385" s="120" t="s">
        <v>5629</v>
      </c>
      <c r="F385" s="120"/>
      <c r="G385" s="129"/>
      <c r="H385" s="126" t="s">
        <v>6313</v>
      </c>
      <c r="I385" s="127"/>
      <c r="J385" s="127"/>
      <c r="K385" s="127"/>
      <c r="L385" s="78"/>
      <c r="M385" s="78"/>
      <c r="N385" s="78"/>
      <c r="O385" s="78"/>
      <c r="P385" s="78"/>
      <c r="Q385" s="78"/>
      <c r="R385" s="78"/>
      <c r="S385" s="78"/>
      <c r="T385" s="78"/>
    </row>
    <row r="386">
      <c r="A386" s="124"/>
      <c r="B386" s="120" t="s">
        <v>20</v>
      </c>
      <c r="C386" s="28" t="s">
        <v>6314</v>
      </c>
      <c r="D386" s="120" t="s">
        <v>70</v>
      </c>
      <c r="E386" s="120" t="s">
        <v>5629</v>
      </c>
      <c r="F386" s="120"/>
      <c r="G386" s="129"/>
      <c r="H386" s="126" t="s">
        <v>6315</v>
      </c>
      <c r="I386" s="127"/>
      <c r="J386" s="127"/>
      <c r="K386" s="127"/>
      <c r="L386" s="78"/>
      <c r="M386" s="78"/>
      <c r="N386" s="78"/>
      <c r="O386" s="78"/>
      <c r="P386" s="78"/>
      <c r="Q386" s="78"/>
      <c r="R386" s="78"/>
      <c r="S386" s="78"/>
      <c r="T386" s="78"/>
    </row>
    <row r="387">
      <c r="A387" s="124"/>
      <c r="B387" s="120" t="s">
        <v>20</v>
      </c>
      <c r="C387" s="28" t="s">
        <v>3172</v>
      </c>
      <c r="D387" s="120" t="s">
        <v>70</v>
      </c>
      <c r="E387" s="120" t="s">
        <v>5629</v>
      </c>
      <c r="F387" s="120"/>
      <c r="G387" s="129"/>
      <c r="H387" s="126" t="s">
        <v>6316</v>
      </c>
      <c r="I387" s="127"/>
      <c r="J387" s="127"/>
      <c r="K387" s="127"/>
      <c r="L387" s="78"/>
      <c r="M387" s="78"/>
      <c r="N387" s="78"/>
      <c r="O387" s="78"/>
      <c r="P387" s="78"/>
      <c r="Q387" s="78"/>
      <c r="R387" s="78"/>
      <c r="S387" s="78"/>
      <c r="T387" s="78"/>
    </row>
    <row r="388">
      <c r="A388" s="124"/>
      <c r="B388" s="120" t="s">
        <v>20</v>
      </c>
      <c r="C388" s="28" t="s">
        <v>4396</v>
      </c>
      <c r="D388" s="120" t="s">
        <v>70</v>
      </c>
      <c r="E388" s="120" t="s">
        <v>5629</v>
      </c>
      <c r="F388" s="120"/>
      <c r="G388" s="129"/>
      <c r="H388" s="126" t="s">
        <v>6317</v>
      </c>
      <c r="I388" s="127"/>
      <c r="J388" s="127"/>
      <c r="K388" s="127"/>
      <c r="L388" s="78"/>
      <c r="M388" s="78"/>
      <c r="N388" s="78"/>
      <c r="O388" s="78"/>
      <c r="P388" s="78"/>
      <c r="Q388" s="78"/>
      <c r="R388" s="78"/>
      <c r="S388" s="78"/>
      <c r="T388" s="78"/>
    </row>
    <row r="389">
      <c r="A389" s="124"/>
      <c r="B389" s="120" t="s">
        <v>20</v>
      </c>
      <c r="C389" s="28" t="s">
        <v>2229</v>
      </c>
      <c r="D389" s="120" t="s">
        <v>70</v>
      </c>
      <c r="E389" s="120" t="s">
        <v>5629</v>
      </c>
      <c r="F389" s="120" t="s">
        <v>6318</v>
      </c>
      <c r="G389" s="129"/>
      <c r="H389" s="126" t="s">
        <v>6319</v>
      </c>
      <c r="I389" s="127"/>
      <c r="J389" s="127"/>
      <c r="K389" s="127"/>
      <c r="L389" s="78"/>
      <c r="M389" s="78"/>
      <c r="N389" s="78"/>
      <c r="O389" s="78"/>
      <c r="P389" s="78"/>
      <c r="Q389" s="78"/>
      <c r="R389" s="78"/>
      <c r="S389" s="78"/>
      <c r="T389" s="78"/>
    </row>
    <row r="390">
      <c r="A390" s="124"/>
      <c r="B390" s="120" t="s">
        <v>20</v>
      </c>
      <c r="C390" s="28" t="s">
        <v>6320</v>
      </c>
      <c r="D390" s="120" t="s">
        <v>70</v>
      </c>
      <c r="E390" s="120" t="s">
        <v>5629</v>
      </c>
      <c r="F390" s="120"/>
      <c r="G390" s="129"/>
      <c r="H390" s="126" t="s">
        <v>6321</v>
      </c>
      <c r="I390" s="127"/>
      <c r="J390" s="127"/>
      <c r="K390" s="127"/>
      <c r="L390" s="78"/>
      <c r="M390" s="78"/>
      <c r="N390" s="78"/>
      <c r="O390" s="78"/>
      <c r="P390" s="78"/>
      <c r="Q390" s="78"/>
      <c r="R390" s="78"/>
      <c r="S390" s="78"/>
      <c r="T390" s="78"/>
    </row>
    <row r="391">
      <c r="A391" s="124"/>
      <c r="B391" s="120" t="s">
        <v>20</v>
      </c>
      <c r="C391" s="28" t="s">
        <v>6322</v>
      </c>
      <c r="D391" s="120" t="s">
        <v>70</v>
      </c>
      <c r="E391" s="120" t="s">
        <v>5629</v>
      </c>
      <c r="F391" s="120"/>
      <c r="G391" s="129"/>
      <c r="H391" s="126" t="s">
        <v>6323</v>
      </c>
      <c r="I391" s="126" t="s">
        <v>6324</v>
      </c>
      <c r="J391" s="127"/>
      <c r="K391" s="127"/>
      <c r="L391" s="78"/>
      <c r="M391" s="78"/>
      <c r="N391" s="78"/>
      <c r="O391" s="78"/>
      <c r="P391" s="78"/>
      <c r="Q391" s="78"/>
      <c r="R391" s="78"/>
      <c r="S391" s="78"/>
      <c r="T391" s="78"/>
    </row>
    <row r="392">
      <c r="A392" s="124"/>
      <c r="B392" s="120" t="s">
        <v>20</v>
      </c>
      <c r="C392" s="28" t="s">
        <v>2542</v>
      </c>
      <c r="D392" s="120" t="s">
        <v>70</v>
      </c>
      <c r="E392" s="120" t="s">
        <v>5629</v>
      </c>
      <c r="F392" s="120"/>
      <c r="G392" s="129"/>
      <c r="H392" s="126" t="s">
        <v>6325</v>
      </c>
      <c r="I392" s="127"/>
      <c r="J392" s="127"/>
      <c r="K392" s="127"/>
      <c r="L392" s="78"/>
      <c r="M392" s="78"/>
      <c r="N392" s="78"/>
      <c r="O392" s="78"/>
      <c r="P392" s="78"/>
      <c r="Q392" s="78"/>
      <c r="R392" s="78"/>
      <c r="S392" s="78"/>
      <c r="T392" s="78"/>
    </row>
    <row r="393">
      <c r="A393" s="38">
        <v>30193.0</v>
      </c>
      <c r="B393" s="120" t="s">
        <v>20</v>
      </c>
      <c r="C393" s="28" t="s">
        <v>6326</v>
      </c>
      <c r="D393" s="120" t="s">
        <v>70</v>
      </c>
      <c r="E393" s="120" t="s">
        <v>5629</v>
      </c>
      <c r="F393" s="124"/>
      <c r="G393" s="129"/>
      <c r="H393" s="126" t="s">
        <v>6327</v>
      </c>
      <c r="I393" s="127"/>
      <c r="J393" s="126" t="s">
        <v>6328</v>
      </c>
      <c r="K393" s="127"/>
      <c r="L393" s="78"/>
      <c r="M393" s="78"/>
      <c r="N393" s="78"/>
      <c r="O393" s="78"/>
      <c r="P393" s="78"/>
      <c r="Q393" s="78"/>
      <c r="R393" s="78"/>
      <c r="S393" s="78"/>
      <c r="T393" s="78"/>
    </row>
    <row r="394">
      <c r="A394" s="124"/>
      <c r="B394" s="120" t="s">
        <v>20</v>
      </c>
      <c r="C394" s="28" t="s">
        <v>6329</v>
      </c>
      <c r="D394" s="120" t="s">
        <v>70</v>
      </c>
      <c r="E394" s="120" t="s">
        <v>5629</v>
      </c>
      <c r="F394" s="120"/>
      <c r="G394" s="129"/>
      <c r="H394" s="126" t="s">
        <v>6330</v>
      </c>
      <c r="I394" s="128" t="s">
        <v>6331</v>
      </c>
      <c r="J394" s="126" t="s">
        <v>6332</v>
      </c>
      <c r="K394" s="127"/>
      <c r="L394" s="78"/>
      <c r="M394" s="78"/>
      <c r="N394" s="78"/>
      <c r="O394" s="78"/>
      <c r="P394" s="78"/>
      <c r="Q394" s="78"/>
      <c r="R394" s="78"/>
      <c r="S394" s="78"/>
      <c r="T394" s="78"/>
    </row>
    <row r="395">
      <c r="A395" s="124"/>
      <c r="B395" s="120" t="s">
        <v>20</v>
      </c>
      <c r="C395" s="28" t="s">
        <v>74</v>
      </c>
      <c r="D395" s="120" t="s">
        <v>70</v>
      </c>
      <c r="E395" s="120" t="s">
        <v>5629</v>
      </c>
      <c r="F395" s="120" t="s">
        <v>6333</v>
      </c>
      <c r="G395" s="129"/>
      <c r="H395" s="126" t="s">
        <v>6334</v>
      </c>
      <c r="I395" s="127"/>
      <c r="J395" s="126" t="s">
        <v>6335</v>
      </c>
      <c r="K395" s="127"/>
      <c r="L395" s="78"/>
      <c r="M395" s="78"/>
      <c r="N395" s="78"/>
      <c r="O395" s="78"/>
      <c r="P395" s="78"/>
      <c r="Q395" s="78"/>
      <c r="R395" s="78"/>
      <c r="S395" s="78"/>
      <c r="T395" s="78"/>
    </row>
    <row r="396">
      <c r="A396" s="124"/>
      <c r="B396" s="120" t="s">
        <v>20</v>
      </c>
      <c r="C396" s="28" t="s">
        <v>6336</v>
      </c>
      <c r="D396" s="120" t="s">
        <v>70</v>
      </c>
      <c r="E396" s="120" t="s">
        <v>5629</v>
      </c>
      <c r="F396" s="120"/>
      <c r="G396" s="129"/>
      <c r="H396" s="126" t="s">
        <v>6337</v>
      </c>
      <c r="I396" s="127"/>
      <c r="J396" s="127"/>
      <c r="K396" s="127"/>
      <c r="L396" s="78"/>
      <c r="M396" s="78"/>
      <c r="N396" s="78"/>
      <c r="O396" s="78"/>
      <c r="P396" s="78"/>
      <c r="Q396" s="78"/>
      <c r="R396" s="78"/>
      <c r="S396" s="78"/>
      <c r="T396" s="78"/>
    </row>
    <row r="397">
      <c r="A397" s="124"/>
      <c r="B397" s="120" t="s">
        <v>20</v>
      </c>
      <c r="C397" s="28" t="s">
        <v>6338</v>
      </c>
      <c r="D397" s="120" t="s">
        <v>70</v>
      </c>
      <c r="E397" s="120" t="s">
        <v>5629</v>
      </c>
      <c r="F397" s="120"/>
      <c r="G397" s="129"/>
      <c r="H397" s="126" t="s">
        <v>6339</v>
      </c>
      <c r="I397" s="126" t="s">
        <v>6340</v>
      </c>
      <c r="J397" s="127"/>
      <c r="K397" s="127"/>
      <c r="L397" s="78"/>
      <c r="M397" s="78"/>
      <c r="N397" s="78"/>
      <c r="O397" s="78"/>
      <c r="P397" s="78"/>
      <c r="Q397" s="78"/>
      <c r="R397" s="78"/>
      <c r="S397" s="78"/>
      <c r="T397" s="78"/>
    </row>
    <row r="398">
      <c r="A398" s="124"/>
      <c r="B398" s="120" t="s">
        <v>20</v>
      </c>
      <c r="C398" s="28" t="s">
        <v>6341</v>
      </c>
      <c r="D398" s="120" t="s">
        <v>70</v>
      </c>
      <c r="E398" s="120" t="s">
        <v>5629</v>
      </c>
      <c r="F398" s="120"/>
      <c r="G398" s="129"/>
      <c r="H398" s="126" t="s">
        <v>6342</v>
      </c>
      <c r="I398" s="127"/>
      <c r="J398" s="127"/>
      <c r="K398" s="127"/>
      <c r="L398" s="78"/>
      <c r="M398" s="78"/>
      <c r="N398" s="78"/>
      <c r="O398" s="78"/>
      <c r="P398" s="78"/>
      <c r="Q398" s="78"/>
      <c r="R398" s="78"/>
      <c r="S398" s="78"/>
      <c r="T398" s="78"/>
    </row>
    <row r="399">
      <c r="A399" s="124"/>
      <c r="B399" s="120" t="s">
        <v>20</v>
      </c>
      <c r="C399" s="28" t="s">
        <v>6343</v>
      </c>
      <c r="D399" s="120" t="s">
        <v>70</v>
      </c>
      <c r="E399" s="120" t="s">
        <v>5629</v>
      </c>
      <c r="F399" s="120"/>
      <c r="G399" s="129"/>
      <c r="H399" s="126" t="s">
        <v>6344</v>
      </c>
      <c r="I399" s="126" t="s">
        <v>6345</v>
      </c>
      <c r="J399" s="127"/>
      <c r="K399" s="127"/>
      <c r="L399" s="78"/>
      <c r="M399" s="78"/>
      <c r="N399" s="78"/>
      <c r="O399" s="78"/>
      <c r="P399" s="78"/>
      <c r="Q399" s="78"/>
      <c r="R399" s="78"/>
      <c r="S399" s="78"/>
      <c r="T399" s="78"/>
    </row>
    <row r="400">
      <c r="A400" s="38">
        <v>29319.0</v>
      </c>
      <c r="B400" s="120" t="s">
        <v>20</v>
      </c>
      <c r="C400" s="28" t="s">
        <v>6346</v>
      </c>
      <c r="D400" s="120" t="s">
        <v>70</v>
      </c>
      <c r="E400" s="120" t="s">
        <v>5654</v>
      </c>
      <c r="F400" s="124"/>
      <c r="G400" s="129"/>
      <c r="H400" s="126" t="s">
        <v>6347</v>
      </c>
      <c r="I400" s="127"/>
      <c r="J400" s="127"/>
      <c r="K400" s="127"/>
      <c r="L400" s="78"/>
      <c r="M400" s="78"/>
      <c r="N400" s="78"/>
      <c r="O400" s="78"/>
      <c r="P400" s="78"/>
      <c r="Q400" s="78"/>
      <c r="R400" s="78"/>
      <c r="S400" s="78"/>
      <c r="T400" s="78"/>
    </row>
    <row r="401">
      <c r="A401" s="38">
        <v>27401.0</v>
      </c>
      <c r="B401" s="120" t="s">
        <v>687</v>
      </c>
      <c r="C401" s="28" t="s">
        <v>3612</v>
      </c>
      <c r="D401" s="120" t="s">
        <v>70</v>
      </c>
      <c r="E401" s="120" t="s">
        <v>5657</v>
      </c>
      <c r="F401" s="124"/>
      <c r="G401" s="129"/>
      <c r="H401" s="127"/>
      <c r="I401" s="127"/>
      <c r="J401" s="126" t="s">
        <v>6348</v>
      </c>
      <c r="K401" s="127"/>
      <c r="L401" s="78"/>
      <c r="M401" s="78"/>
      <c r="N401" s="78"/>
      <c r="O401" s="78"/>
      <c r="P401" s="78"/>
      <c r="Q401" s="78"/>
      <c r="R401" s="78"/>
      <c r="S401" s="78"/>
      <c r="T401" s="78"/>
    </row>
    <row r="402">
      <c r="A402" s="129"/>
      <c r="B402" s="120" t="s">
        <v>687</v>
      </c>
      <c r="C402" s="28" t="s">
        <v>6349</v>
      </c>
      <c r="D402" s="120" t="s">
        <v>70</v>
      </c>
      <c r="E402" s="120" t="s">
        <v>5665</v>
      </c>
      <c r="F402" s="124"/>
      <c r="G402" s="129"/>
      <c r="H402" s="27"/>
      <c r="I402" s="127"/>
      <c r="J402" s="126" t="s">
        <v>6350</v>
      </c>
      <c r="K402" s="127"/>
      <c r="L402" s="27"/>
      <c r="M402" s="27"/>
      <c r="N402" s="27"/>
      <c r="O402" s="27"/>
      <c r="P402" s="27"/>
      <c r="Q402" s="27"/>
      <c r="R402" s="27"/>
      <c r="S402" s="27"/>
      <c r="T402" s="27"/>
    </row>
    <row r="403">
      <c r="A403" s="38">
        <v>28340.0</v>
      </c>
      <c r="B403" s="120" t="s">
        <v>17</v>
      </c>
      <c r="C403" s="28" t="s">
        <v>6351</v>
      </c>
      <c r="D403" s="120" t="s">
        <v>70</v>
      </c>
      <c r="E403" s="120" t="s">
        <v>5668</v>
      </c>
      <c r="F403" s="124"/>
      <c r="G403" s="129"/>
      <c r="H403" s="126" t="s">
        <v>6352</v>
      </c>
      <c r="I403" s="127"/>
      <c r="J403" s="127"/>
      <c r="K403" s="127"/>
      <c r="L403" s="78"/>
      <c r="M403" s="78"/>
      <c r="N403" s="78"/>
      <c r="O403" s="78"/>
      <c r="P403" s="78"/>
      <c r="Q403" s="78"/>
      <c r="R403" s="78"/>
      <c r="S403" s="78"/>
      <c r="T403" s="78"/>
    </row>
    <row r="404">
      <c r="A404" s="146"/>
      <c r="B404" s="147" t="s">
        <v>34</v>
      </c>
      <c r="C404" s="11" t="s">
        <v>6353</v>
      </c>
      <c r="D404" s="120" t="s">
        <v>70</v>
      </c>
      <c r="E404" s="148"/>
      <c r="F404" s="148"/>
      <c r="G404" s="146"/>
      <c r="H404" s="149" t="s">
        <v>6354</v>
      </c>
      <c r="I404" s="150"/>
      <c r="J404" s="150"/>
      <c r="K404" s="150"/>
    </row>
    <row r="405">
      <c r="A405" s="146"/>
      <c r="B405" s="147" t="s">
        <v>34</v>
      </c>
      <c r="C405" s="11" t="s">
        <v>6355</v>
      </c>
      <c r="D405" s="120" t="s">
        <v>70</v>
      </c>
      <c r="E405" s="148"/>
      <c r="F405" s="148"/>
      <c r="G405" s="146"/>
      <c r="H405" s="149" t="s">
        <v>6356</v>
      </c>
      <c r="I405" s="150"/>
      <c r="J405" s="150"/>
      <c r="K405" s="150"/>
    </row>
    <row r="406">
      <c r="A406" s="146"/>
      <c r="B406" s="148"/>
      <c r="C406" s="11" t="s">
        <v>6357</v>
      </c>
      <c r="D406" s="120" t="s">
        <v>70</v>
      </c>
      <c r="E406" s="148"/>
      <c r="F406" s="148"/>
      <c r="G406" s="146"/>
      <c r="H406" s="149" t="s">
        <v>6358</v>
      </c>
      <c r="I406" s="150"/>
      <c r="J406" s="150"/>
      <c r="K406" s="150"/>
    </row>
    <row r="407">
      <c r="A407" s="146"/>
      <c r="B407" s="148"/>
      <c r="C407" s="11" t="s">
        <v>6359</v>
      </c>
      <c r="D407" s="120" t="s">
        <v>70</v>
      </c>
      <c r="E407" s="148"/>
      <c r="F407" s="148"/>
      <c r="G407" s="146"/>
      <c r="H407" s="149" t="s">
        <v>6360</v>
      </c>
      <c r="I407" s="150"/>
      <c r="J407" s="150"/>
      <c r="K407" s="150"/>
    </row>
    <row r="408">
      <c r="A408" s="146"/>
      <c r="B408" s="148"/>
      <c r="C408" s="11" t="s">
        <v>6361</v>
      </c>
      <c r="D408" s="148"/>
      <c r="E408" s="148"/>
      <c r="F408" s="148"/>
      <c r="G408" s="146"/>
      <c r="H408" s="9" t="s">
        <v>6362</v>
      </c>
      <c r="I408" s="151" t="s">
        <v>6363</v>
      </c>
      <c r="J408" s="150"/>
      <c r="K408" s="150"/>
    </row>
    <row r="409">
      <c r="A409" s="146"/>
      <c r="B409" s="148"/>
      <c r="C409" s="11" t="s">
        <v>6364</v>
      </c>
      <c r="D409" s="148"/>
      <c r="E409" s="148"/>
      <c r="F409" s="148"/>
      <c r="G409" s="146"/>
      <c r="H409" s="149" t="s">
        <v>6365</v>
      </c>
      <c r="I409" s="151" t="s">
        <v>6366</v>
      </c>
      <c r="J409" s="150"/>
      <c r="K409" s="150"/>
    </row>
    <row r="410">
      <c r="A410" s="114"/>
      <c r="B410" s="147" t="s">
        <v>220</v>
      </c>
      <c r="C410" s="11" t="s">
        <v>6367</v>
      </c>
      <c r="D410" s="147" t="s">
        <v>70</v>
      </c>
      <c r="E410" s="147" t="s">
        <v>70</v>
      </c>
      <c r="F410" s="148"/>
      <c r="G410" s="146"/>
      <c r="H410" s="149" t="s">
        <v>6368</v>
      </c>
      <c r="I410" s="149" t="s">
        <v>6369</v>
      </c>
      <c r="J410" s="149" t="s">
        <v>6370</v>
      </c>
      <c r="K410" s="150"/>
    </row>
    <row r="411">
      <c r="A411" s="111"/>
      <c r="B411" s="147" t="s">
        <v>276</v>
      </c>
      <c r="C411" s="11" t="s">
        <v>6371</v>
      </c>
      <c r="D411" s="147" t="s">
        <v>70</v>
      </c>
      <c r="E411" s="147" t="s">
        <v>5459</v>
      </c>
      <c r="F411" s="148"/>
      <c r="G411" s="146"/>
      <c r="H411" s="150"/>
      <c r="I411" s="150"/>
      <c r="J411" s="72" t="s">
        <v>6372</v>
      </c>
      <c r="K411" s="150"/>
    </row>
    <row r="412">
      <c r="A412" s="111"/>
      <c r="B412" s="147" t="s">
        <v>20</v>
      </c>
      <c r="C412" s="11" t="s">
        <v>6373</v>
      </c>
      <c r="D412" s="147" t="s">
        <v>70</v>
      </c>
      <c r="E412" s="147" t="s">
        <v>5459</v>
      </c>
      <c r="F412" s="148"/>
      <c r="G412" s="146"/>
      <c r="H412" s="150"/>
      <c r="I412" s="150"/>
      <c r="J412" s="72" t="s">
        <v>6374</v>
      </c>
      <c r="K412" s="150"/>
    </row>
    <row r="413">
      <c r="A413" s="146"/>
      <c r="B413" s="147" t="s">
        <v>20</v>
      </c>
      <c r="C413" s="11" t="s">
        <v>3403</v>
      </c>
      <c r="D413" s="147" t="s">
        <v>6375</v>
      </c>
      <c r="E413" s="147" t="s">
        <v>5585</v>
      </c>
      <c r="F413" s="148"/>
      <c r="G413" s="146"/>
      <c r="H413" s="150"/>
      <c r="I413" s="150"/>
      <c r="J413" s="72" t="s">
        <v>6376</v>
      </c>
      <c r="K413" s="150"/>
    </row>
    <row r="414">
      <c r="A414" s="146"/>
      <c r="B414" s="147" t="s">
        <v>276</v>
      </c>
      <c r="C414" s="11" t="s">
        <v>55</v>
      </c>
      <c r="D414" s="147" t="s">
        <v>70</v>
      </c>
      <c r="E414" s="147" t="s">
        <v>5585</v>
      </c>
      <c r="F414" s="148"/>
      <c r="G414" s="146"/>
      <c r="H414" s="150"/>
      <c r="I414" s="150"/>
      <c r="J414" s="72" t="s">
        <v>6377</v>
      </c>
      <c r="K414" s="150"/>
    </row>
    <row r="415">
      <c r="A415" s="146"/>
      <c r="B415" s="147" t="s">
        <v>276</v>
      </c>
      <c r="C415" s="11" t="s">
        <v>6378</v>
      </c>
      <c r="D415" s="147" t="s">
        <v>70</v>
      </c>
      <c r="E415" s="147" t="s">
        <v>5459</v>
      </c>
      <c r="F415" s="148"/>
      <c r="G415" s="146"/>
      <c r="H415" s="150"/>
      <c r="I415" s="150"/>
      <c r="J415" s="72" t="s">
        <v>6379</v>
      </c>
      <c r="K415" s="150"/>
    </row>
    <row r="416">
      <c r="A416" s="146"/>
      <c r="B416" s="147" t="s">
        <v>20</v>
      </c>
      <c r="C416" s="11" t="s">
        <v>6380</v>
      </c>
      <c r="D416" s="147" t="s">
        <v>70</v>
      </c>
      <c r="E416" s="147" t="s">
        <v>5585</v>
      </c>
      <c r="F416" s="148"/>
      <c r="G416" s="146"/>
      <c r="H416" s="150"/>
      <c r="I416" s="150"/>
      <c r="J416" s="72" t="s">
        <v>6381</v>
      </c>
      <c r="K416" s="150"/>
    </row>
    <row r="417">
      <c r="A417" s="146"/>
      <c r="B417" s="147" t="s">
        <v>20</v>
      </c>
      <c r="C417" s="11" t="s">
        <v>6382</v>
      </c>
      <c r="D417" s="147" t="s">
        <v>70</v>
      </c>
      <c r="E417" s="147" t="s">
        <v>5546</v>
      </c>
      <c r="F417" s="148"/>
      <c r="G417" s="146"/>
      <c r="H417" s="149" t="s">
        <v>6383</v>
      </c>
      <c r="I417" s="150"/>
      <c r="J417" s="72" t="s">
        <v>6384</v>
      </c>
      <c r="K417" s="150"/>
    </row>
    <row r="418">
      <c r="A418" s="146"/>
      <c r="B418" s="147" t="s">
        <v>20</v>
      </c>
      <c r="C418" s="11" t="s">
        <v>6385</v>
      </c>
      <c r="D418" s="147" t="s">
        <v>70</v>
      </c>
      <c r="E418" s="147" t="s">
        <v>5585</v>
      </c>
      <c r="F418" s="148"/>
      <c r="G418" s="146"/>
      <c r="H418" s="150"/>
      <c r="I418" s="150"/>
      <c r="J418" s="72" t="s">
        <v>6386</v>
      </c>
      <c r="K418" s="150"/>
    </row>
    <row r="419">
      <c r="A419" s="146"/>
      <c r="B419" s="147" t="s">
        <v>20</v>
      </c>
      <c r="C419" s="11" t="s">
        <v>5826</v>
      </c>
      <c r="D419" s="147" t="s">
        <v>70</v>
      </c>
      <c r="E419" s="147" t="s">
        <v>5459</v>
      </c>
      <c r="F419" s="148"/>
      <c r="G419" s="146"/>
      <c r="H419" s="149" t="s">
        <v>5918</v>
      </c>
      <c r="I419" s="72" t="s">
        <v>5919</v>
      </c>
      <c r="J419" s="72" t="s">
        <v>6387</v>
      </c>
      <c r="K419" s="150"/>
    </row>
    <row r="420">
      <c r="A420" s="146"/>
      <c r="B420" s="147" t="s">
        <v>276</v>
      </c>
      <c r="C420" s="21" t="s">
        <v>6388</v>
      </c>
      <c r="D420" s="147" t="s">
        <v>70</v>
      </c>
      <c r="E420" s="147" t="s">
        <v>70</v>
      </c>
      <c r="F420" s="148"/>
      <c r="G420" s="146"/>
      <c r="H420" s="150"/>
      <c r="I420" s="150"/>
      <c r="J420" s="72" t="s">
        <v>6389</v>
      </c>
      <c r="K420" s="150"/>
    </row>
    <row r="421">
      <c r="A421" s="146"/>
      <c r="B421" s="147" t="s">
        <v>276</v>
      </c>
      <c r="C421" s="11" t="s">
        <v>6146</v>
      </c>
      <c r="D421" s="147" t="s">
        <v>70</v>
      </c>
      <c r="E421" s="147" t="s">
        <v>5459</v>
      </c>
      <c r="F421" s="148"/>
      <c r="G421" s="146"/>
      <c r="H421" s="150"/>
      <c r="I421" s="150"/>
      <c r="J421" s="72" t="s">
        <v>6390</v>
      </c>
      <c r="K421" s="150"/>
    </row>
    <row r="422">
      <c r="A422" s="146"/>
      <c r="B422" s="147" t="s">
        <v>20</v>
      </c>
      <c r="C422" s="11" t="s">
        <v>2785</v>
      </c>
      <c r="D422" s="147" t="s">
        <v>6375</v>
      </c>
      <c r="E422" s="147" t="s">
        <v>5459</v>
      </c>
      <c r="F422" s="148"/>
      <c r="G422" s="146"/>
      <c r="H422" s="150"/>
      <c r="I422" s="150"/>
      <c r="J422" s="72" t="s">
        <v>6391</v>
      </c>
      <c r="K422" s="150"/>
    </row>
    <row r="423">
      <c r="A423" s="146"/>
      <c r="B423" s="148"/>
      <c r="C423" s="11"/>
      <c r="D423" s="148"/>
      <c r="E423" s="148"/>
      <c r="F423" s="148"/>
      <c r="G423" s="146"/>
      <c r="H423" s="150"/>
      <c r="I423" s="150"/>
      <c r="J423" s="150"/>
      <c r="K423" s="150"/>
    </row>
    <row r="424">
      <c r="A424" s="146"/>
      <c r="B424" s="148"/>
      <c r="C424" s="11"/>
      <c r="D424" s="148"/>
      <c r="E424" s="148"/>
      <c r="F424" s="148"/>
      <c r="G424" s="146"/>
      <c r="H424" s="150"/>
      <c r="I424" s="150"/>
      <c r="J424" s="150"/>
      <c r="K424" s="150"/>
    </row>
    <row r="425">
      <c r="A425" s="146"/>
      <c r="B425" s="148"/>
      <c r="C425" s="11"/>
      <c r="D425" s="148"/>
      <c r="E425" s="148"/>
      <c r="F425" s="148"/>
      <c r="G425" s="146"/>
      <c r="H425" s="150"/>
      <c r="I425" s="150"/>
      <c r="J425" s="150"/>
      <c r="K425" s="150"/>
    </row>
    <row r="426">
      <c r="A426" s="146"/>
      <c r="B426" s="148"/>
      <c r="C426" s="11"/>
      <c r="D426" s="148"/>
      <c r="E426" s="148"/>
      <c r="F426" s="148"/>
      <c r="G426" s="146"/>
      <c r="H426" s="150"/>
      <c r="I426" s="150"/>
      <c r="J426" s="150"/>
      <c r="K426" s="150"/>
    </row>
    <row r="427">
      <c r="A427" s="146"/>
      <c r="B427" s="148"/>
      <c r="C427" s="11"/>
      <c r="D427" s="148"/>
      <c r="E427" s="148"/>
      <c r="F427" s="148"/>
      <c r="G427" s="146"/>
      <c r="H427" s="150"/>
      <c r="I427" s="150"/>
      <c r="J427" s="150"/>
      <c r="K427" s="150"/>
    </row>
    <row r="428">
      <c r="A428" s="146"/>
      <c r="B428" s="148"/>
      <c r="C428" s="11"/>
      <c r="D428" s="148"/>
      <c r="E428" s="148"/>
      <c r="F428" s="148"/>
      <c r="G428" s="146"/>
      <c r="H428" s="150"/>
      <c r="I428" s="150"/>
      <c r="J428" s="150"/>
      <c r="K428" s="150"/>
    </row>
    <row r="429">
      <c r="A429" s="146"/>
      <c r="B429" s="148"/>
      <c r="C429" s="11"/>
      <c r="D429" s="148"/>
      <c r="E429" s="148"/>
      <c r="F429" s="148"/>
      <c r="G429" s="146"/>
      <c r="H429" s="150"/>
      <c r="I429" s="150"/>
      <c r="J429" s="150"/>
      <c r="K429" s="150"/>
    </row>
    <row r="430">
      <c r="A430" s="146"/>
      <c r="B430" s="148"/>
      <c r="C430" s="11"/>
      <c r="D430" s="148"/>
      <c r="E430" s="148"/>
      <c r="F430" s="148"/>
      <c r="G430" s="146"/>
      <c r="H430" s="150"/>
      <c r="I430" s="150"/>
      <c r="J430" s="150"/>
      <c r="K430" s="150"/>
    </row>
    <row r="431">
      <c r="A431" s="146"/>
      <c r="B431" s="148"/>
      <c r="C431" s="11"/>
      <c r="D431" s="148"/>
      <c r="E431" s="148"/>
      <c r="F431" s="148"/>
      <c r="G431" s="146"/>
      <c r="H431" s="150"/>
      <c r="I431" s="150"/>
      <c r="J431" s="150"/>
      <c r="K431" s="150"/>
    </row>
    <row r="432">
      <c r="A432" s="146"/>
      <c r="B432" s="148"/>
      <c r="C432" s="11"/>
      <c r="D432" s="148"/>
      <c r="E432" s="148"/>
      <c r="F432" s="148"/>
      <c r="G432" s="146"/>
      <c r="H432" s="150"/>
      <c r="I432" s="150"/>
      <c r="J432" s="150"/>
      <c r="K432" s="150"/>
    </row>
    <row r="433">
      <c r="A433" s="146"/>
      <c r="B433" s="148"/>
      <c r="C433" s="11"/>
      <c r="D433" s="148"/>
      <c r="E433" s="148"/>
      <c r="F433" s="148"/>
      <c r="G433" s="146"/>
      <c r="H433" s="150"/>
      <c r="I433" s="150"/>
      <c r="J433" s="150"/>
      <c r="K433" s="150"/>
    </row>
    <row r="434">
      <c r="A434" s="146"/>
      <c r="B434" s="148"/>
      <c r="C434" s="11"/>
      <c r="D434" s="148"/>
      <c r="E434" s="148"/>
      <c r="F434" s="148"/>
      <c r="G434" s="146"/>
      <c r="H434" s="150"/>
      <c r="I434" s="150"/>
      <c r="J434" s="150"/>
      <c r="K434" s="150"/>
    </row>
    <row r="435">
      <c r="A435" s="146"/>
      <c r="B435" s="148"/>
      <c r="C435" s="11"/>
      <c r="D435" s="148"/>
      <c r="E435" s="148"/>
      <c r="F435" s="148"/>
      <c r="G435" s="146"/>
      <c r="H435" s="150"/>
      <c r="I435" s="150"/>
      <c r="J435" s="150"/>
      <c r="K435" s="150"/>
    </row>
    <row r="436">
      <c r="A436" s="146"/>
      <c r="B436" s="148"/>
      <c r="C436" s="11"/>
      <c r="D436" s="148"/>
      <c r="E436" s="148"/>
      <c r="F436" s="148"/>
      <c r="G436" s="146"/>
      <c r="H436" s="150"/>
      <c r="I436" s="150"/>
      <c r="J436" s="150"/>
      <c r="K436" s="150"/>
    </row>
    <row r="437">
      <c r="A437" s="146"/>
      <c r="B437" s="148"/>
      <c r="C437" s="11"/>
      <c r="D437" s="148"/>
      <c r="E437" s="148"/>
      <c r="F437" s="148"/>
      <c r="G437" s="146"/>
      <c r="H437" s="150"/>
      <c r="I437" s="150"/>
      <c r="J437" s="150"/>
      <c r="K437" s="150"/>
    </row>
    <row r="438">
      <c r="A438" s="146"/>
      <c r="B438" s="148"/>
      <c r="C438" s="11"/>
      <c r="D438" s="148"/>
      <c r="E438" s="148"/>
      <c r="F438" s="148"/>
      <c r="G438" s="146"/>
      <c r="H438" s="150"/>
      <c r="I438" s="150"/>
      <c r="J438" s="150"/>
      <c r="K438" s="150"/>
    </row>
    <row r="439">
      <c r="A439" s="146"/>
      <c r="B439" s="148"/>
      <c r="C439" s="11"/>
      <c r="D439" s="148"/>
      <c r="E439" s="148"/>
      <c r="F439" s="148"/>
      <c r="G439" s="146"/>
      <c r="H439" s="150"/>
      <c r="I439" s="150"/>
      <c r="J439" s="150"/>
      <c r="K439" s="150"/>
    </row>
    <row r="440">
      <c r="A440" s="146"/>
      <c r="B440" s="148"/>
      <c r="C440" s="11"/>
      <c r="D440" s="148"/>
      <c r="E440" s="148"/>
      <c r="F440" s="148"/>
      <c r="G440" s="146"/>
      <c r="H440" s="150"/>
      <c r="I440" s="150"/>
      <c r="J440" s="150"/>
      <c r="K440" s="150"/>
    </row>
    <row r="441">
      <c r="A441" s="146"/>
      <c r="B441" s="148"/>
      <c r="C441" s="11"/>
      <c r="D441" s="148"/>
      <c r="E441" s="148"/>
      <c r="F441" s="148"/>
      <c r="G441" s="146"/>
      <c r="H441" s="150"/>
      <c r="I441" s="150"/>
      <c r="J441" s="150"/>
      <c r="K441" s="150"/>
    </row>
    <row r="442">
      <c r="A442" s="146"/>
      <c r="B442" s="148"/>
      <c r="C442" s="11"/>
      <c r="D442" s="148"/>
      <c r="E442" s="148"/>
      <c r="F442" s="148"/>
      <c r="G442" s="146"/>
      <c r="H442" s="150"/>
      <c r="I442" s="150"/>
      <c r="J442" s="150"/>
      <c r="K442" s="150"/>
    </row>
    <row r="443">
      <c r="A443" s="146"/>
      <c r="B443" s="148"/>
      <c r="C443" s="11"/>
      <c r="D443" s="148"/>
      <c r="E443" s="148"/>
      <c r="F443" s="148"/>
      <c r="G443" s="146"/>
      <c r="H443" s="150"/>
      <c r="I443" s="150"/>
      <c r="J443" s="150"/>
      <c r="K443" s="150"/>
    </row>
    <row r="444">
      <c r="A444" s="146"/>
      <c r="B444" s="148"/>
      <c r="C444" s="11"/>
      <c r="D444" s="148"/>
      <c r="E444" s="148"/>
      <c r="F444" s="148"/>
      <c r="G444" s="146"/>
      <c r="H444" s="150"/>
      <c r="I444" s="150"/>
      <c r="J444" s="150"/>
      <c r="K444" s="150"/>
    </row>
    <row r="445">
      <c r="A445" s="146"/>
      <c r="B445" s="148"/>
      <c r="C445" s="11"/>
      <c r="D445" s="148"/>
      <c r="E445" s="148"/>
      <c r="F445" s="148"/>
      <c r="G445" s="146"/>
      <c r="H445" s="150"/>
      <c r="I445" s="150"/>
      <c r="J445" s="150"/>
      <c r="K445" s="150"/>
    </row>
    <row r="446">
      <c r="A446" s="146"/>
      <c r="B446" s="148"/>
      <c r="C446" s="11"/>
      <c r="D446" s="148"/>
      <c r="E446" s="148"/>
      <c r="F446" s="148"/>
      <c r="G446" s="146"/>
      <c r="H446" s="150"/>
      <c r="I446" s="150"/>
      <c r="J446" s="150"/>
      <c r="K446" s="150"/>
    </row>
    <row r="447">
      <c r="A447" s="146"/>
      <c r="B447" s="148"/>
      <c r="C447" s="11"/>
      <c r="D447" s="148"/>
      <c r="E447" s="148"/>
      <c r="F447" s="148"/>
      <c r="G447" s="146"/>
      <c r="H447" s="150"/>
      <c r="I447" s="150"/>
      <c r="J447" s="150"/>
      <c r="K447" s="150"/>
    </row>
    <row r="448">
      <c r="A448" s="146"/>
      <c r="B448" s="148"/>
      <c r="C448" s="11"/>
      <c r="D448" s="148"/>
      <c r="E448" s="148"/>
      <c r="F448" s="148"/>
      <c r="G448" s="146"/>
      <c r="H448" s="150"/>
      <c r="I448" s="150"/>
      <c r="J448" s="150"/>
      <c r="K448" s="150"/>
    </row>
    <row r="449">
      <c r="A449" s="146"/>
      <c r="B449" s="148"/>
      <c r="C449" s="11"/>
      <c r="D449" s="148"/>
      <c r="E449" s="148"/>
      <c r="F449" s="148"/>
      <c r="G449" s="146"/>
      <c r="H449" s="150"/>
      <c r="I449" s="150"/>
      <c r="J449" s="150"/>
      <c r="K449" s="150"/>
    </row>
    <row r="450">
      <c r="A450" s="146"/>
      <c r="B450" s="148"/>
      <c r="C450" s="11"/>
      <c r="D450" s="148"/>
      <c r="E450" s="148"/>
      <c r="F450" s="148"/>
      <c r="G450" s="146"/>
      <c r="H450" s="150"/>
      <c r="I450" s="150"/>
      <c r="J450" s="150"/>
      <c r="K450" s="150"/>
    </row>
    <row r="451">
      <c r="A451" s="146"/>
      <c r="B451" s="148"/>
      <c r="C451" s="11"/>
      <c r="D451" s="148"/>
      <c r="E451" s="148"/>
      <c r="F451" s="148"/>
      <c r="G451" s="146"/>
      <c r="H451" s="150"/>
      <c r="I451" s="150"/>
      <c r="J451" s="150"/>
      <c r="K451" s="150"/>
    </row>
    <row r="452">
      <c r="A452" s="146"/>
      <c r="B452" s="148"/>
      <c r="C452" s="11"/>
      <c r="D452" s="148"/>
      <c r="E452" s="148"/>
      <c r="F452" s="148"/>
      <c r="G452" s="146"/>
      <c r="H452" s="150"/>
      <c r="I452" s="150"/>
      <c r="J452" s="150"/>
      <c r="K452" s="150"/>
    </row>
    <row r="453">
      <c r="A453" s="146"/>
      <c r="B453" s="148"/>
      <c r="C453" s="11"/>
      <c r="D453" s="148"/>
      <c r="E453" s="148"/>
      <c r="F453" s="148"/>
      <c r="G453" s="146"/>
      <c r="H453" s="150"/>
      <c r="I453" s="150"/>
      <c r="J453" s="150"/>
      <c r="K453" s="150"/>
    </row>
    <row r="454">
      <c r="A454" s="146"/>
      <c r="B454" s="148"/>
      <c r="C454" s="11"/>
      <c r="D454" s="148"/>
      <c r="E454" s="148"/>
      <c r="F454" s="148"/>
      <c r="G454" s="146"/>
      <c r="H454" s="150"/>
      <c r="I454" s="150"/>
      <c r="J454" s="150"/>
      <c r="K454" s="150"/>
    </row>
    <row r="455">
      <c r="A455" s="146"/>
      <c r="B455" s="148"/>
      <c r="C455" s="11"/>
      <c r="D455" s="148"/>
      <c r="E455" s="148"/>
      <c r="F455" s="148"/>
      <c r="G455" s="146"/>
      <c r="H455" s="150"/>
      <c r="I455" s="150"/>
      <c r="J455" s="150"/>
      <c r="K455" s="150"/>
    </row>
    <row r="456">
      <c r="A456" s="146"/>
      <c r="B456" s="148"/>
      <c r="C456" s="11"/>
      <c r="D456" s="148"/>
      <c r="E456" s="148"/>
      <c r="F456" s="148"/>
      <c r="G456" s="146"/>
      <c r="H456" s="150"/>
      <c r="I456" s="150"/>
      <c r="J456" s="150"/>
      <c r="K456" s="150"/>
    </row>
    <row r="457">
      <c r="A457" s="146"/>
      <c r="B457" s="148"/>
      <c r="C457" s="11"/>
      <c r="D457" s="148"/>
      <c r="E457" s="148"/>
      <c r="F457" s="148"/>
      <c r="G457" s="146"/>
      <c r="H457" s="150"/>
      <c r="I457" s="150"/>
      <c r="J457" s="150"/>
      <c r="K457" s="150"/>
    </row>
    <row r="458">
      <c r="A458" s="146"/>
      <c r="B458" s="148"/>
      <c r="C458" s="11"/>
      <c r="D458" s="148"/>
      <c r="E458" s="148"/>
      <c r="F458" s="148"/>
      <c r="G458" s="146"/>
      <c r="H458" s="150"/>
      <c r="I458" s="150"/>
      <c r="J458" s="150"/>
      <c r="K458" s="150"/>
    </row>
    <row r="459">
      <c r="A459" s="146"/>
      <c r="B459" s="148"/>
      <c r="C459" s="11"/>
      <c r="D459" s="148"/>
      <c r="E459" s="148"/>
      <c r="F459" s="148"/>
      <c r="G459" s="146"/>
      <c r="H459" s="150"/>
      <c r="I459" s="150"/>
      <c r="J459" s="150"/>
      <c r="K459" s="150"/>
    </row>
    <row r="460">
      <c r="A460" s="146"/>
      <c r="B460" s="148"/>
      <c r="C460" s="11"/>
      <c r="D460" s="148"/>
      <c r="E460" s="148"/>
      <c r="F460" s="148"/>
      <c r="G460" s="146"/>
      <c r="H460" s="150"/>
      <c r="I460" s="150"/>
      <c r="J460" s="150"/>
      <c r="K460" s="150"/>
    </row>
    <row r="461">
      <c r="A461" s="146"/>
      <c r="B461" s="148"/>
      <c r="C461" s="11"/>
      <c r="D461" s="148"/>
      <c r="E461" s="148"/>
      <c r="F461" s="148"/>
      <c r="G461" s="146"/>
      <c r="H461" s="150"/>
      <c r="I461" s="150"/>
      <c r="J461" s="150"/>
      <c r="K461" s="150"/>
    </row>
    <row r="462">
      <c r="A462" s="146"/>
      <c r="B462" s="148"/>
      <c r="C462" s="11"/>
      <c r="D462" s="148"/>
      <c r="E462" s="148"/>
      <c r="F462" s="148"/>
      <c r="G462" s="146"/>
      <c r="H462" s="150"/>
      <c r="I462" s="150"/>
      <c r="J462" s="150"/>
      <c r="K462" s="150"/>
    </row>
    <row r="463">
      <c r="A463" s="146"/>
      <c r="B463" s="148"/>
      <c r="C463" s="11"/>
      <c r="D463" s="148"/>
      <c r="E463" s="148"/>
      <c r="F463" s="148"/>
      <c r="G463" s="146"/>
      <c r="H463" s="150"/>
      <c r="I463" s="150"/>
      <c r="J463" s="150"/>
      <c r="K463" s="150"/>
    </row>
    <row r="464">
      <c r="A464" s="146"/>
      <c r="B464" s="148"/>
      <c r="C464" s="11"/>
      <c r="D464" s="148"/>
      <c r="E464" s="148"/>
      <c r="F464" s="148"/>
      <c r="G464" s="146"/>
      <c r="H464" s="150"/>
      <c r="I464" s="150"/>
      <c r="J464" s="150"/>
      <c r="K464" s="150"/>
    </row>
    <row r="465">
      <c r="A465" s="146"/>
      <c r="B465" s="148"/>
      <c r="C465" s="11"/>
      <c r="D465" s="148"/>
      <c r="E465" s="148"/>
      <c r="F465" s="148"/>
      <c r="G465" s="146"/>
      <c r="H465" s="150"/>
      <c r="I465" s="150"/>
      <c r="J465" s="150"/>
      <c r="K465" s="150"/>
    </row>
    <row r="466">
      <c r="A466" s="146"/>
      <c r="B466" s="148"/>
      <c r="C466" s="11"/>
      <c r="D466" s="148"/>
      <c r="E466" s="148"/>
      <c r="F466" s="148"/>
      <c r="G466" s="146"/>
      <c r="H466" s="150"/>
      <c r="I466" s="150"/>
      <c r="J466" s="150"/>
      <c r="K466" s="150"/>
    </row>
    <row r="467">
      <c r="A467" s="146"/>
      <c r="B467" s="148"/>
      <c r="C467" s="11"/>
      <c r="D467" s="148"/>
      <c r="E467" s="148"/>
      <c r="F467" s="148"/>
      <c r="G467" s="146"/>
      <c r="H467" s="150"/>
      <c r="I467" s="150"/>
      <c r="J467" s="150"/>
      <c r="K467" s="150"/>
    </row>
    <row r="468">
      <c r="A468" s="146"/>
      <c r="B468" s="148"/>
      <c r="C468" s="11"/>
      <c r="D468" s="148"/>
      <c r="E468" s="148"/>
      <c r="F468" s="148"/>
      <c r="G468" s="146"/>
      <c r="H468" s="150"/>
      <c r="I468" s="150"/>
      <c r="J468" s="150"/>
      <c r="K468" s="150"/>
    </row>
    <row r="469">
      <c r="A469" s="146"/>
      <c r="B469" s="148"/>
      <c r="C469" s="11"/>
      <c r="D469" s="148"/>
      <c r="E469" s="148"/>
      <c r="F469" s="148"/>
      <c r="G469" s="146"/>
      <c r="H469" s="150"/>
      <c r="I469" s="150"/>
      <c r="J469" s="150"/>
      <c r="K469" s="150"/>
    </row>
    <row r="470">
      <c r="A470" s="146"/>
      <c r="B470" s="148"/>
      <c r="C470" s="11"/>
      <c r="D470" s="148"/>
      <c r="E470" s="148"/>
      <c r="F470" s="148"/>
      <c r="G470" s="146"/>
      <c r="H470" s="150"/>
      <c r="I470" s="150"/>
      <c r="J470" s="150"/>
      <c r="K470" s="150"/>
    </row>
    <row r="471">
      <c r="A471" s="146"/>
      <c r="B471" s="148"/>
      <c r="C471" s="11"/>
      <c r="D471" s="148"/>
      <c r="E471" s="148"/>
      <c r="F471" s="148"/>
      <c r="G471" s="146"/>
      <c r="H471" s="150"/>
      <c r="I471" s="150"/>
      <c r="J471" s="150"/>
      <c r="K471" s="150"/>
    </row>
    <row r="472">
      <c r="A472" s="146"/>
      <c r="B472" s="148"/>
      <c r="C472" s="11"/>
      <c r="D472" s="148"/>
      <c r="E472" s="148"/>
      <c r="F472" s="148"/>
      <c r="G472" s="146"/>
      <c r="H472" s="150"/>
      <c r="I472" s="150"/>
      <c r="J472" s="150"/>
      <c r="K472" s="150"/>
    </row>
    <row r="473">
      <c r="A473" s="146"/>
      <c r="B473" s="148"/>
      <c r="C473" s="11"/>
      <c r="D473" s="148"/>
      <c r="E473" s="148"/>
      <c r="F473" s="148"/>
      <c r="G473" s="146"/>
      <c r="H473" s="150"/>
      <c r="I473" s="150"/>
      <c r="J473" s="150"/>
      <c r="K473" s="150"/>
    </row>
    <row r="474">
      <c r="A474" s="146"/>
      <c r="B474" s="148"/>
      <c r="C474" s="11"/>
      <c r="D474" s="148"/>
      <c r="E474" s="148"/>
      <c r="F474" s="148"/>
      <c r="G474" s="146"/>
      <c r="H474" s="150"/>
      <c r="I474" s="150"/>
      <c r="J474" s="150"/>
      <c r="K474" s="150"/>
    </row>
    <row r="475">
      <c r="A475" s="146"/>
      <c r="B475" s="148"/>
      <c r="C475" s="11"/>
      <c r="D475" s="148"/>
      <c r="E475" s="148"/>
      <c r="F475" s="148"/>
      <c r="G475" s="146"/>
      <c r="H475" s="150"/>
      <c r="I475" s="150"/>
      <c r="J475" s="150"/>
      <c r="K475" s="150"/>
    </row>
    <row r="476">
      <c r="A476" s="146"/>
      <c r="B476" s="148"/>
      <c r="C476" s="11"/>
      <c r="D476" s="148"/>
      <c r="E476" s="148"/>
      <c r="F476" s="148"/>
      <c r="G476" s="146"/>
      <c r="H476" s="150"/>
      <c r="I476" s="150"/>
      <c r="J476" s="150"/>
      <c r="K476" s="150"/>
    </row>
    <row r="477">
      <c r="A477" s="146"/>
      <c r="B477" s="148"/>
      <c r="C477" s="11"/>
      <c r="D477" s="148"/>
      <c r="E477" s="148"/>
      <c r="F477" s="148"/>
      <c r="G477" s="146"/>
      <c r="H477" s="150"/>
      <c r="I477" s="150"/>
      <c r="J477" s="150"/>
      <c r="K477" s="150"/>
    </row>
    <row r="478">
      <c r="A478" s="146"/>
      <c r="B478" s="148"/>
      <c r="C478" s="11"/>
      <c r="D478" s="148"/>
      <c r="E478" s="148"/>
      <c r="F478" s="148"/>
      <c r="G478" s="146"/>
      <c r="H478" s="150"/>
      <c r="I478" s="150"/>
      <c r="J478" s="150"/>
      <c r="K478" s="150"/>
    </row>
    <row r="479">
      <c r="A479" s="146"/>
      <c r="B479" s="148"/>
      <c r="C479" s="11"/>
      <c r="D479" s="148"/>
      <c r="E479" s="148"/>
      <c r="F479" s="148"/>
      <c r="G479" s="146"/>
      <c r="H479" s="150"/>
      <c r="I479" s="150"/>
      <c r="J479" s="150"/>
      <c r="K479" s="150"/>
    </row>
    <row r="480">
      <c r="A480" s="146"/>
      <c r="B480" s="148"/>
      <c r="C480" s="11"/>
      <c r="D480" s="148"/>
      <c r="E480" s="148"/>
      <c r="F480" s="148"/>
      <c r="G480" s="146"/>
      <c r="H480" s="150"/>
      <c r="I480" s="150"/>
      <c r="J480" s="150"/>
      <c r="K480" s="150"/>
    </row>
    <row r="481">
      <c r="A481" s="146"/>
      <c r="B481" s="148"/>
      <c r="C481" s="11"/>
      <c r="D481" s="148"/>
      <c r="E481" s="148"/>
      <c r="F481" s="148"/>
      <c r="G481" s="146"/>
      <c r="H481" s="150"/>
      <c r="I481" s="150"/>
      <c r="J481" s="150"/>
      <c r="K481" s="150"/>
    </row>
    <row r="482">
      <c r="A482" s="146"/>
      <c r="B482" s="148"/>
      <c r="C482" s="11"/>
      <c r="D482" s="148"/>
      <c r="E482" s="148"/>
      <c r="F482" s="148"/>
      <c r="G482" s="146"/>
      <c r="H482" s="150"/>
      <c r="I482" s="150"/>
      <c r="J482" s="150"/>
      <c r="K482" s="150"/>
    </row>
    <row r="483">
      <c r="A483" s="146"/>
      <c r="B483" s="148"/>
      <c r="C483" s="11"/>
      <c r="D483" s="148"/>
      <c r="E483" s="148"/>
      <c r="F483" s="148"/>
      <c r="G483" s="146"/>
      <c r="H483" s="150"/>
      <c r="I483" s="150"/>
      <c r="J483" s="150"/>
      <c r="K483" s="150"/>
    </row>
    <row r="484">
      <c r="A484" s="146"/>
      <c r="B484" s="148"/>
      <c r="C484" s="11"/>
      <c r="D484" s="148"/>
      <c r="E484" s="148"/>
      <c r="F484" s="148"/>
      <c r="G484" s="146"/>
      <c r="H484" s="150"/>
      <c r="I484" s="150"/>
      <c r="J484" s="150"/>
      <c r="K484" s="150"/>
    </row>
    <row r="485">
      <c r="A485" s="146"/>
      <c r="B485" s="148"/>
      <c r="C485" s="11"/>
      <c r="D485" s="148"/>
      <c r="E485" s="148"/>
      <c r="F485" s="148"/>
      <c r="G485" s="146"/>
      <c r="H485" s="150"/>
      <c r="I485" s="150"/>
      <c r="J485" s="150"/>
      <c r="K485" s="150"/>
    </row>
    <row r="486">
      <c r="A486" s="146"/>
      <c r="B486" s="148"/>
      <c r="C486" s="11"/>
      <c r="D486" s="148"/>
      <c r="E486" s="148"/>
      <c r="F486" s="148"/>
      <c r="G486" s="146"/>
      <c r="H486" s="150"/>
      <c r="I486" s="150"/>
      <c r="J486" s="150"/>
      <c r="K486" s="150"/>
    </row>
    <row r="487">
      <c r="A487" s="146"/>
      <c r="B487" s="148"/>
      <c r="C487" s="11"/>
      <c r="D487" s="148"/>
      <c r="E487" s="148"/>
      <c r="F487" s="148"/>
      <c r="G487" s="146"/>
      <c r="H487" s="150"/>
      <c r="I487" s="150"/>
      <c r="J487" s="150"/>
      <c r="K487" s="150"/>
    </row>
    <row r="488">
      <c r="A488" s="146"/>
      <c r="B488" s="148"/>
      <c r="C488" s="11"/>
      <c r="D488" s="148"/>
      <c r="E488" s="148"/>
      <c r="F488" s="148"/>
      <c r="G488" s="146"/>
      <c r="H488" s="150"/>
      <c r="I488" s="150"/>
      <c r="J488" s="150"/>
      <c r="K488" s="150"/>
    </row>
    <row r="489">
      <c r="A489" s="146"/>
      <c r="B489" s="148"/>
      <c r="C489" s="11"/>
      <c r="D489" s="148"/>
      <c r="E489" s="148"/>
      <c r="F489" s="148"/>
      <c r="G489" s="146"/>
      <c r="H489" s="150"/>
      <c r="I489" s="150"/>
      <c r="J489" s="150"/>
      <c r="K489" s="150"/>
    </row>
    <row r="490">
      <c r="A490" s="146"/>
      <c r="B490" s="148"/>
      <c r="C490" s="11"/>
      <c r="D490" s="148"/>
      <c r="E490" s="148"/>
      <c r="F490" s="148"/>
      <c r="G490" s="146"/>
      <c r="H490" s="150"/>
      <c r="I490" s="150"/>
      <c r="J490" s="150"/>
      <c r="K490" s="150"/>
    </row>
    <row r="491">
      <c r="A491" s="146"/>
      <c r="B491" s="148"/>
      <c r="C491" s="11"/>
      <c r="D491" s="148"/>
      <c r="E491" s="148"/>
      <c r="F491" s="148"/>
      <c r="G491" s="146"/>
      <c r="H491" s="150"/>
      <c r="I491" s="150"/>
      <c r="J491" s="150"/>
      <c r="K491" s="150"/>
    </row>
    <row r="492">
      <c r="A492" s="146"/>
      <c r="B492" s="148"/>
      <c r="C492" s="11"/>
      <c r="D492" s="148"/>
      <c r="E492" s="148"/>
      <c r="F492" s="148"/>
      <c r="G492" s="146"/>
      <c r="H492" s="150"/>
      <c r="I492" s="150"/>
      <c r="J492" s="150"/>
      <c r="K492" s="150"/>
    </row>
    <row r="493">
      <c r="A493" s="146"/>
      <c r="B493" s="148"/>
      <c r="C493" s="11"/>
      <c r="D493" s="148"/>
      <c r="E493" s="148"/>
      <c r="F493" s="148"/>
      <c r="G493" s="146"/>
      <c r="H493" s="150"/>
      <c r="I493" s="150"/>
      <c r="J493" s="150"/>
      <c r="K493" s="150"/>
    </row>
    <row r="494">
      <c r="A494" s="146"/>
      <c r="B494" s="148"/>
      <c r="C494" s="11"/>
      <c r="D494" s="148"/>
      <c r="E494" s="148"/>
      <c r="F494" s="148"/>
      <c r="G494" s="146"/>
      <c r="H494" s="150"/>
      <c r="I494" s="150"/>
      <c r="J494" s="150"/>
      <c r="K494" s="150"/>
    </row>
    <row r="495">
      <c r="A495" s="146"/>
      <c r="B495" s="148"/>
      <c r="C495" s="11"/>
      <c r="D495" s="148"/>
      <c r="E495" s="148"/>
      <c r="F495" s="148"/>
      <c r="G495" s="146"/>
      <c r="H495" s="150"/>
      <c r="I495" s="150"/>
      <c r="J495" s="150"/>
      <c r="K495" s="150"/>
    </row>
    <row r="496">
      <c r="A496" s="146"/>
      <c r="B496" s="148"/>
      <c r="C496" s="11"/>
      <c r="D496" s="148"/>
      <c r="E496" s="148"/>
      <c r="F496" s="148"/>
      <c r="G496" s="146"/>
      <c r="H496" s="150"/>
      <c r="I496" s="150"/>
      <c r="J496" s="150"/>
      <c r="K496" s="150"/>
    </row>
    <row r="497">
      <c r="A497" s="146"/>
      <c r="B497" s="148"/>
      <c r="C497" s="11"/>
      <c r="D497" s="148"/>
      <c r="E497" s="148"/>
      <c r="F497" s="148"/>
      <c r="G497" s="146"/>
      <c r="H497" s="150"/>
      <c r="I497" s="150"/>
      <c r="J497" s="150"/>
      <c r="K497" s="150"/>
    </row>
    <row r="498">
      <c r="A498" s="146"/>
      <c r="B498" s="148"/>
      <c r="C498" s="11"/>
      <c r="D498" s="148"/>
      <c r="E498" s="148"/>
      <c r="F498" s="148"/>
      <c r="G498" s="146"/>
      <c r="H498" s="150"/>
      <c r="I498" s="150"/>
      <c r="J498" s="150"/>
      <c r="K498" s="150"/>
    </row>
    <row r="499">
      <c r="A499" s="146"/>
      <c r="B499" s="148"/>
      <c r="C499" s="11"/>
      <c r="D499" s="148"/>
      <c r="E499" s="148"/>
      <c r="F499" s="148"/>
      <c r="G499" s="146"/>
      <c r="H499" s="150"/>
      <c r="I499" s="150"/>
      <c r="J499" s="150"/>
      <c r="K499" s="150"/>
    </row>
    <row r="500">
      <c r="A500" s="146"/>
      <c r="B500" s="148"/>
      <c r="C500" s="11"/>
      <c r="D500" s="148"/>
      <c r="E500" s="148"/>
      <c r="F500" s="148"/>
      <c r="G500" s="146"/>
      <c r="H500" s="150"/>
      <c r="I500" s="150"/>
      <c r="J500" s="150"/>
      <c r="K500" s="150"/>
    </row>
    <row r="501">
      <c r="A501" s="146"/>
      <c r="B501" s="148"/>
      <c r="C501" s="11"/>
      <c r="D501" s="148"/>
      <c r="E501" s="148"/>
      <c r="F501" s="148"/>
      <c r="G501" s="146"/>
      <c r="H501" s="150"/>
      <c r="I501" s="150"/>
      <c r="J501" s="150"/>
      <c r="K501" s="150"/>
    </row>
    <row r="502">
      <c r="A502" s="146"/>
      <c r="B502" s="148"/>
      <c r="C502" s="11"/>
      <c r="D502" s="148"/>
      <c r="E502" s="148"/>
      <c r="F502" s="148"/>
      <c r="G502" s="146"/>
      <c r="H502" s="150"/>
      <c r="I502" s="150"/>
      <c r="J502" s="150"/>
      <c r="K502" s="150"/>
    </row>
    <row r="503">
      <c r="A503" s="146"/>
      <c r="B503" s="148"/>
      <c r="C503" s="11"/>
      <c r="D503" s="148"/>
      <c r="E503" s="148"/>
      <c r="F503" s="148"/>
      <c r="G503" s="146"/>
      <c r="H503" s="150"/>
      <c r="I503" s="150"/>
      <c r="J503" s="150"/>
      <c r="K503" s="150"/>
    </row>
    <row r="504">
      <c r="A504" s="146"/>
      <c r="B504" s="148"/>
      <c r="C504" s="11"/>
      <c r="D504" s="148"/>
      <c r="E504" s="148"/>
      <c r="F504" s="148"/>
      <c r="G504" s="146"/>
      <c r="H504" s="150"/>
      <c r="I504" s="150"/>
      <c r="J504" s="150"/>
      <c r="K504" s="150"/>
    </row>
    <row r="505">
      <c r="A505" s="146"/>
      <c r="B505" s="148"/>
      <c r="C505" s="11"/>
      <c r="D505" s="148"/>
      <c r="E505" s="148"/>
      <c r="F505" s="148"/>
      <c r="G505" s="146"/>
      <c r="H505" s="150"/>
      <c r="I505" s="150"/>
      <c r="J505" s="150"/>
      <c r="K505" s="150"/>
    </row>
    <row r="506">
      <c r="A506" s="146"/>
      <c r="B506" s="148"/>
      <c r="C506" s="11"/>
      <c r="D506" s="148"/>
      <c r="E506" s="148"/>
      <c r="F506" s="148"/>
      <c r="G506" s="146"/>
      <c r="H506" s="150"/>
      <c r="I506" s="150"/>
      <c r="J506" s="150"/>
      <c r="K506" s="150"/>
    </row>
    <row r="507">
      <c r="A507" s="146"/>
      <c r="B507" s="148"/>
      <c r="C507" s="11"/>
      <c r="D507" s="148"/>
      <c r="E507" s="148"/>
      <c r="F507" s="148"/>
      <c r="G507" s="146"/>
      <c r="H507" s="150"/>
      <c r="I507" s="150"/>
      <c r="J507" s="150"/>
      <c r="K507" s="150"/>
    </row>
    <row r="508">
      <c r="A508" s="146"/>
      <c r="B508" s="148"/>
      <c r="C508" s="11"/>
      <c r="D508" s="148"/>
      <c r="E508" s="148"/>
      <c r="F508" s="148"/>
      <c r="G508" s="146"/>
      <c r="H508" s="150"/>
      <c r="I508" s="150"/>
      <c r="J508" s="150"/>
      <c r="K508" s="150"/>
    </row>
    <row r="509">
      <c r="A509" s="146"/>
      <c r="B509" s="148"/>
      <c r="C509" s="11"/>
      <c r="D509" s="148"/>
      <c r="E509" s="148"/>
      <c r="F509" s="148"/>
      <c r="G509" s="146"/>
      <c r="H509" s="150"/>
      <c r="I509" s="150"/>
      <c r="J509" s="150"/>
      <c r="K509" s="150"/>
    </row>
    <row r="510">
      <c r="A510" s="146"/>
      <c r="B510" s="148"/>
      <c r="C510" s="11"/>
      <c r="D510" s="148"/>
      <c r="E510" s="148"/>
      <c r="F510" s="148"/>
      <c r="G510" s="146"/>
      <c r="H510" s="150"/>
      <c r="I510" s="150"/>
      <c r="J510" s="150"/>
      <c r="K510" s="150"/>
    </row>
    <row r="511">
      <c r="A511" s="146"/>
      <c r="B511" s="148"/>
      <c r="C511" s="11"/>
      <c r="D511" s="148"/>
      <c r="E511" s="148"/>
      <c r="F511" s="148"/>
      <c r="G511" s="146"/>
      <c r="H511" s="150"/>
      <c r="I511" s="150"/>
      <c r="J511" s="150"/>
      <c r="K511" s="150"/>
    </row>
    <row r="512">
      <c r="A512" s="146"/>
      <c r="B512" s="148"/>
      <c r="C512" s="11"/>
      <c r="D512" s="148"/>
      <c r="E512" s="148"/>
      <c r="F512" s="148"/>
      <c r="G512" s="146"/>
      <c r="H512" s="150"/>
      <c r="I512" s="150"/>
      <c r="J512" s="150"/>
      <c r="K512" s="150"/>
    </row>
    <row r="513">
      <c r="A513" s="146"/>
      <c r="B513" s="148"/>
      <c r="C513" s="11"/>
      <c r="D513" s="148"/>
      <c r="E513" s="148"/>
      <c r="F513" s="148"/>
      <c r="G513" s="146"/>
      <c r="H513" s="150"/>
      <c r="I513" s="150"/>
      <c r="J513" s="150"/>
      <c r="K513" s="150"/>
    </row>
    <row r="514">
      <c r="A514" s="146"/>
      <c r="B514" s="148"/>
      <c r="C514" s="11"/>
      <c r="D514" s="148"/>
      <c r="E514" s="148"/>
      <c r="F514" s="148"/>
      <c r="G514" s="146"/>
      <c r="H514" s="150"/>
      <c r="I514" s="150"/>
      <c r="J514" s="150"/>
      <c r="K514" s="150"/>
    </row>
    <row r="515">
      <c r="A515" s="146"/>
      <c r="B515" s="148"/>
      <c r="C515" s="11"/>
      <c r="D515" s="148"/>
      <c r="E515" s="148"/>
      <c r="F515" s="148"/>
      <c r="G515" s="146"/>
      <c r="H515" s="150"/>
      <c r="I515" s="150"/>
      <c r="J515" s="150"/>
      <c r="K515" s="150"/>
    </row>
    <row r="516">
      <c r="A516" s="146"/>
      <c r="B516" s="148"/>
      <c r="C516" s="11"/>
      <c r="D516" s="148"/>
      <c r="E516" s="148"/>
      <c r="F516" s="148"/>
      <c r="G516" s="146"/>
      <c r="H516" s="150"/>
      <c r="I516" s="150"/>
      <c r="J516" s="150"/>
      <c r="K516" s="150"/>
    </row>
    <row r="517">
      <c r="A517" s="146"/>
      <c r="B517" s="148"/>
      <c r="C517" s="11"/>
      <c r="D517" s="148"/>
      <c r="E517" s="148"/>
      <c r="F517" s="148"/>
      <c r="G517" s="146"/>
      <c r="H517" s="150"/>
      <c r="I517" s="150"/>
      <c r="J517" s="150"/>
      <c r="K517" s="150"/>
    </row>
    <row r="518">
      <c r="A518" s="146"/>
      <c r="B518" s="148"/>
      <c r="C518" s="11"/>
      <c r="D518" s="148"/>
      <c r="E518" s="148"/>
      <c r="F518" s="148"/>
      <c r="G518" s="146"/>
      <c r="H518" s="150"/>
      <c r="I518" s="150"/>
      <c r="J518" s="150"/>
      <c r="K518" s="150"/>
    </row>
    <row r="519">
      <c r="A519" s="146"/>
      <c r="B519" s="148"/>
      <c r="C519" s="11"/>
      <c r="D519" s="148"/>
      <c r="E519" s="148"/>
      <c r="F519" s="148"/>
      <c r="G519" s="146"/>
      <c r="H519" s="150"/>
      <c r="I519" s="150"/>
      <c r="J519" s="150"/>
      <c r="K519" s="150"/>
    </row>
    <row r="520">
      <c r="A520" s="146"/>
      <c r="B520" s="148"/>
      <c r="C520" s="11"/>
      <c r="D520" s="148"/>
      <c r="E520" s="148"/>
      <c r="F520" s="148"/>
      <c r="G520" s="146"/>
      <c r="H520" s="150"/>
      <c r="I520" s="150"/>
      <c r="J520" s="150"/>
      <c r="K520" s="150"/>
    </row>
    <row r="521">
      <c r="A521" s="146"/>
      <c r="B521" s="148"/>
      <c r="C521" s="11"/>
      <c r="D521" s="148"/>
      <c r="E521" s="148"/>
      <c r="F521" s="148"/>
      <c r="G521" s="146"/>
      <c r="H521" s="150"/>
      <c r="I521" s="150"/>
      <c r="J521" s="150"/>
      <c r="K521" s="150"/>
    </row>
    <row r="522">
      <c r="A522" s="146"/>
      <c r="B522" s="148"/>
      <c r="C522" s="11"/>
      <c r="D522" s="148"/>
      <c r="E522" s="148"/>
      <c r="F522" s="148"/>
      <c r="G522" s="146"/>
      <c r="H522" s="150"/>
      <c r="I522" s="150"/>
      <c r="J522" s="150"/>
      <c r="K522" s="150"/>
    </row>
    <row r="523">
      <c r="A523" s="146"/>
      <c r="B523" s="148"/>
      <c r="C523" s="11"/>
      <c r="D523" s="148"/>
      <c r="E523" s="148"/>
      <c r="F523" s="148"/>
      <c r="G523" s="146"/>
      <c r="H523" s="150"/>
      <c r="I523" s="150"/>
      <c r="J523" s="150"/>
      <c r="K523" s="150"/>
    </row>
    <row r="524">
      <c r="A524" s="146"/>
      <c r="B524" s="148"/>
      <c r="C524" s="11"/>
      <c r="D524" s="148"/>
      <c r="E524" s="148"/>
      <c r="F524" s="148"/>
      <c r="G524" s="146"/>
      <c r="H524" s="150"/>
      <c r="I524" s="150"/>
      <c r="J524" s="150"/>
      <c r="K524" s="150"/>
    </row>
    <row r="525">
      <c r="A525" s="146"/>
      <c r="B525" s="148"/>
      <c r="C525" s="11"/>
      <c r="D525" s="148"/>
      <c r="E525" s="148"/>
      <c r="F525" s="148"/>
      <c r="G525" s="146"/>
      <c r="H525" s="150"/>
      <c r="I525" s="150"/>
      <c r="J525" s="150"/>
      <c r="K525" s="150"/>
    </row>
    <row r="526">
      <c r="A526" s="146"/>
      <c r="B526" s="148"/>
      <c r="C526" s="11"/>
      <c r="D526" s="148"/>
      <c r="E526" s="148"/>
      <c r="F526" s="148"/>
      <c r="G526" s="146"/>
      <c r="H526" s="150"/>
      <c r="I526" s="150"/>
      <c r="J526" s="150"/>
      <c r="K526" s="150"/>
    </row>
    <row r="527">
      <c r="A527" s="146"/>
      <c r="B527" s="148"/>
      <c r="C527" s="11"/>
      <c r="D527" s="148"/>
      <c r="E527" s="148"/>
      <c r="F527" s="148"/>
      <c r="G527" s="146"/>
      <c r="H527" s="150"/>
      <c r="I527" s="150"/>
      <c r="J527" s="150"/>
      <c r="K527" s="150"/>
    </row>
    <row r="528">
      <c r="A528" s="146"/>
      <c r="B528" s="148"/>
      <c r="C528" s="11"/>
      <c r="D528" s="148"/>
      <c r="E528" s="148"/>
      <c r="F528" s="148"/>
      <c r="G528" s="146"/>
      <c r="H528" s="150"/>
      <c r="I528" s="150"/>
      <c r="J528" s="150"/>
      <c r="K528" s="150"/>
    </row>
    <row r="529">
      <c r="A529" s="146"/>
      <c r="B529" s="148"/>
      <c r="C529" s="11"/>
      <c r="D529" s="148"/>
      <c r="E529" s="148"/>
      <c r="F529" s="148"/>
      <c r="G529" s="146"/>
      <c r="H529" s="150"/>
      <c r="I529" s="150"/>
      <c r="J529" s="150"/>
      <c r="K529" s="150"/>
    </row>
    <row r="530">
      <c r="A530" s="146"/>
      <c r="B530" s="148"/>
      <c r="C530" s="11"/>
      <c r="D530" s="148"/>
      <c r="E530" s="148"/>
      <c r="F530" s="148"/>
      <c r="G530" s="146"/>
      <c r="H530" s="150"/>
      <c r="I530" s="150"/>
      <c r="J530" s="150"/>
      <c r="K530" s="150"/>
    </row>
    <row r="531">
      <c r="A531" s="146"/>
      <c r="B531" s="148"/>
      <c r="C531" s="11"/>
      <c r="D531" s="148"/>
      <c r="E531" s="148"/>
      <c r="F531" s="148"/>
      <c r="G531" s="146"/>
      <c r="H531" s="150"/>
      <c r="I531" s="150"/>
      <c r="J531" s="150"/>
      <c r="K531" s="150"/>
    </row>
    <row r="532">
      <c r="A532" s="146"/>
      <c r="B532" s="148"/>
      <c r="C532" s="11"/>
      <c r="D532" s="148"/>
      <c r="E532" s="148"/>
      <c r="F532" s="148"/>
      <c r="G532" s="146"/>
      <c r="H532" s="150"/>
      <c r="I532" s="150"/>
      <c r="J532" s="150"/>
      <c r="K532" s="150"/>
    </row>
    <row r="533">
      <c r="A533" s="146"/>
      <c r="B533" s="148"/>
      <c r="C533" s="11"/>
      <c r="D533" s="148"/>
      <c r="E533" s="148"/>
      <c r="F533" s="148"/>
      <c r="G533" s="146"/>
      <c r="H533" s="150"/>
      <c r="I533" s="150"/>
      <c r="J533" s="150"/>
      <c r="K533" s="150"/>
    </row>
    <row r="534">
      <c r="A534" s="146"/>
      <c r="B534" s="148"/>
      <c r="C534" s="11"/>
      <c r="D534" s="148"/>
      <c r="E534" s="148"/>
      <c r="F534" s="148"/>
      <c r="G534" s="146"/>
      <c r="H534" s="150"/>
      <c r="I534" s="150"/>
      <c r="J534" s="150"/>
      <c r="K534" s="150"/>
    </row>
    <row r="535">
      <c r="A535" s="146"/>
      <c r="B535" s="148"/>
      <c r="C535" s="11"/>
      <c r="D535" s="148"/>
      <c r="E535" s="148"/>
      <c r="F535" s="148"/>
      <c r="G535" s="146"/>
      <c r="H535" s="150"/>
      <c r="I535" s="150"/>
      <c r="J535" s="150"/>
      <c r="K535" s="150"/>
    </row>
    <row r="536">
      <c r="A536" s="146"/>
      <c r="B536" s="148"/>
      <c r="C536" s="11"/>
      <c r="D536" s="148"/>
      <c r="E536" s="148"/>
      <c r="F536" s="148"/>
      <c r="G536" s="146"/>
      <c r="H536" s="150"/>
      <c r="I536" s="150"/>
      <c r="J536" s="150"/>
      <c r="K536" s="150"/>
    </row>
    <row r="537">
      <c r="A537" s="146"/>
      <c r="B537" s="148"/>
      <c r="C537" s="11"/>
      <c r="D537" s="148"/>
      <c r="E537" s="148"/>
      <c r="F537" s="148"/>
      <c r="G537" s="146"/>
      <c r="H537" s="150"/>
      <c r="I537" s="150"/>
      <c r="J537" s="150"/>
      <c r="K537" s="150"/>
    </row>
    <row r="538">
      <c r="A538" s="146"/>
      <c r="B538" s="148"/>
      <c r="C538" s="11"/>
      <c r="D538" s="148"/>
      <c r="E538" s="148"/>
      <c r="F538" s="148"/>
      <c r="G538" s="146"/>
      <c r="H538" s="150"/>
      <c r="I538" s="150"/>
      <c r="J538" s="150"/>
      <c r="K538" s="150"/>
    </row>
    <row r="539">
      <c r="A539" s="146"/>
      <c r="B539" s="148"/>
      <c r="C539" s="11"/>
      <c r="D539" s="148"/>
      <c r="E539" s="148"/>
      <c r="F539" s="148"/>
      <c r="G539" s="146"/>
      <c r="H539" s="150"/>
      <c r="I539" s="150"/>
      <c r="J539" s="150"/>
      <c r="K539" s="150"/>
    </row>
    <row r="540">
      <c r="A540" s="146"/>
      <c r="B540" s="148"/>
      <c r="C540" s="11"/>
      <c r="D540" s="148"/>
      <c r="E540" s="148"/>
      <c r="F540" s="148"/>
      <c r="G540" s="146"/>
      <c r="H540" s="150"/>
      <c r="I540" s="150"/>
      <c r="J540" s="150"/>
      <c r="K540" s="150"/>
    </row>
    <row r="541">
      <c r="A541" s="146"/>
      <c r="B541" s="148"/>
      <c r="C541" s="11"/>
      <c r="D541" s="148"/>
      <c r="E541" s="148"/>
      <c r="F541" s="148"/>
      <c r="G541" s="146"/>
      <c r="H541" s="150"/>
      <c r="I541" s="150"/>
      <c r="J541" s="150"/>
      <c r="K541" s="150"/>
    </row>
    <row r="542">
      <c r="A542" s="146"/>
      <c r="B542" s="148"/>
      <c r="C542" s="11"/>
      <c r="D542" s="148"/>
      <c r="E542" s="148"/>
      <c r="F542" s="148"/>
      <c r="G542" s="146"/>
      <c r="H542" s="150"/>
      <c r="I542" s="150"/>
      <c r="J542" s="150"/>
      <c r="K542" s="150"/>
    </row>
    <row r="543">
      <c r="A543" s="146"/>
      <c r="B543" s="148"/>
      <c r="C543" s="11"/>
      <c r="D543" s="148"/>
      <c r="E543" s="148"/>
      <c r="F543" s="148"/>
      <c r="G543" s="146"/>
      <c r="H543" s="150"/>
      <c r="I543" s="150"/>
      <c r="J543" s="150"/>
      <c r="K543" s="150"/>
    </row>
    <row r="544">
      <c r="A544" s="146"/>
      <c r="B544" s="148"/>
      <c r="C544" s="11"/>
      <c r="D544" s="148"/>
      <c r="E544" s="148"/>
      <c r="F544" s="148"/>
      <c r="G544" s="146"/>
      <c r="H544" s="150"/>
      <c r="I544" s="150"/>
      <c r="J544" s="150"/>
      <c r="K544" s="150"/>
    </row>
    <row r="545">
      <c r="A545" s="146"/>
      <c r="B545" s="148"/>
      <c r="C545" s="11"/>
      <c r="D545" s="148"/>
      <c r="E545" s="148"/>
      <c r="F545" s="148"/>
      <c r="G545" s="146"/>
      <c r="H545" s="150"/>
      <c r="I545" s="150"/>
      <c r="J545" s="150"/>
      <c r="K545" s="150"/>
    </row>
    <row r="546">
      <c r="A546" s="146"/>
      <c r="B546" s="148"/>
      <c r="C546" s="11"/>
      <c r="D546" s="148"/>
      <c r="E546" s="148"/>
      <c r="F546" s="148"/>
      <c r="G546" s="146"/>
      <c r="H546" s="150"/>
      <c r="I546" s="150"/>
      <c r="J546" s="150"/>
      <c r="K546" s="150"/>
    </row>
    <row r="547">
      <c r="A547" s="146"/>
      <c r="B547" s="148"/>
      <c r="C547" s="11"/>
      <c r="D547" s="148"/>
      <c r="E547" s="148"/>
      <c r="F547" s="148"/>
      <c r="G547" s="146"/>
      <c r="H547" s="150"/>
      <c r="I547" s="150"/>
      <c r="J547" s="150"/>
      <c r="K547" s="150"/>
    </row>
    <row r="548">
      <c r="A548" s="146"/>
      <c r="B548" s="148"/>
      <c r="C548" s="11"/>
      <c r="D548" s="148"/>
      <c r="E548" s="148"/>
      <c r="F548" s="148"/>
      <c r="G548" s="146"/>
      <c r="H548" s="150"/>
      <c r="I548" s="150"/>
      <c r="J548" s="150"/>
      <c r="K548" s="150"/>
    </row>
    <row r="549">
      <c r="A549" s="146"/>
      <c r="B549" s="148"/>
      <c r="C549" s="11"/>
      <c r="D549" s="148"/>
      <c r="E549" s="148"/>
      <c r="F549" s="148"/>
      <c r="G549" s="146"/>
      <c r="H549" s="150"/>
      <c r="I549" s="150"/>
      <c r="J549" s="150"/>
      <c r="K549" s="150"/>
    </row>
    <row r="550">
      <c r="A550" s="146"/>
      <c r="B550" s="148"/>
      <c r="C550" s="11"/>
      <c r="D550" s="148"/>
      <c r="E550" s="148"/>
      <c r="F550" s="148"/>
      <c r="G550" s="146"/>
      <c r="H550" s="150"/>
      <c r="I550" s="150"/>
      <c r="J550" s="150"/>
      <c r="K550" s="150"/>
    </row>
    <row r="551">
      <c r="A551" s="146"/>
      <c r="B551" s="148"/>
      <c r="C551" s="11"/>
      <c r="D551" s="148"/>
      <c r="E551" s="148"/>
      <c r="F551" s="148"/>
      <c r="G551" s="146"/>
      <c r="H551" s="150"/>
      <c r="I551" s="150"/>
      <c r="J551" s="150"/>
      <c r="K551" s="150"/>
    </row>
    <row r="552">
      <c r="A552" s="146"/>
      <c r="B552" s="148"/>
      <c r="C552" s="11"/>
      <c r="D552" s="148"/>
      <c r="E552" s="148"/>
      <c r="F552" s="148"/>
      <c r="G552" s="146"/>
      <c r="H552" s="150"/>
      <c r="I552" s="150"/>
      <c r="J552" s="150"/>
      <c r="K552" s="150"/>
    </row>
    <row r="553">
      <c r="A553" s="146"/>
      <c r="B553" s="148"/>
      <c r="C553" s="11"/>
      <c r="D553" s="148"/>
      <c r="E553" s="148"/>
      <c r="F553" s="148"/>
      <c r="G553" s="146"/>
      <c r="H553" s="150"/>
      <c r="I553" s="150"/>
      <c r="J553" s="150"/>
      <c r="K553" s="150"/>
    </row>
    <row r="554">
      <c r="A554" s="146"/>
      <c r="B554" s="148"/>
      <c r="C554" s="11"/>
      <c r="D554" s="148"/>
      <c r="E554" s="148"/>
      <c r="F554" s="148"/>
      <c r="G554" s="146"/>
      <c r="H554" s="150"/>
      <c r="I554" s="150"/>
      <c r="J554" s="150"/>
      <c r="K554" s="150"/>
    </row>
    <row r="555">
      <c r="A555" s="146"/>
      <c r="B555" s="148"/>
      <c r="C555" s="11"/>
      <c r="D555" s="148"/>
      <c r="E555" s="148"/>
      <c r="F555" s="148"/>
      <c r="G555" s="146"/>
      <c r="H555" s="150"/>
      <c r="I555" s="150"/>
      <c r="J555" s="150"/>
      <c r="K555" s="150"/>
    </row>
    <row r="556">
      <c r="A556" s="146"/>
      <c r="B556" s="148"/>
      <c r="C556" s="11"/>
      <c r="D556" s="148"/>
      <c r="E556" s="148"/>
      <c r="F556" s="148"/>
      <c r="G556" s="146"/>
      <c r="H556" s="150"/>
      <c r="I556" s="150"/>
      <c r="J556" s="150"/>
      <c r="K556" s="150"/>
    </row>
    <row r="557">
      <c r="A557" s="146"/>
      <c r="B557" s="148"/>
      <c r="C557" s="11"/>
      <c r="D557" s="148"/>
      <c r="E557" s="148"/>
      <c r="F557" s="148"/>
      <c r="G557" s="146"/>
      <c r="H557" s="150"/>
      <c r="I557" s="150"/>
      <c r="J557" s="150"/>
      <c r="K557" s="150"/>
    </row>
    <row r="558">
      <c r="A558" s="146"/>
      <c r="B558" s="148"/>
      <c r="C558" s="11"/>
      <c r="D558" s="148"/>
      <c r="E558" s="148"/>
      <c r="F558" s="148"/>
      <c r="G558" s="146"/>
      <c r="H558" s="150"/>
      <c r="I558" s="150"/>
      <c r="J558" s="150"/>
      <c r="K558" s="150"/>
    </row>
    <row r="559">
      <c r="A559" s="146"/>
      <c r="B559" s="148"/>
      <c r="C559" s="11"/>
      <c r="D559" s="148"/>
      <c r="E559" s="148"/>
      <c r="F559" s="148"/>
      <c r="G559" s="146"/>
      <c r="H559" s="150"/>
      <c r="I559" s="150"/>
      <c r="J559" s="150"/>
      <c r="K559" s="150"/>
    </row>
    <row r="560">
      <c r="A560" s="146"/>
      <c r="B560" s="148"/>
      <c r="C560" s="11"/>
      <c r="D560" s="148"/>
      <c r="E560" s="148"/>
      <c r="F560" s="148"/>
      <c r="G560" s="146"/>
      <c r="H560" s="150"/>
      <c r="I560" s="150"/>
      <c r="J560" s="150"/>
      <c r="K560" s="150"/>
    </row>
    <row r="561">
      <c r="A561" s="146"/>
      <c r="B561" s="148"/>
      <c r="C561" s="11"/>
      <c r="D561" s="148"/>
      <c r="E561" s="148"/>
      <c r="F561" s="148"/>
      <c r="G561" s="146"/>
      <c r="H561" s="150"/>
      <c r="I561" s="150"/>
      <c r="J561" s="150"/>
      <c r="K561" s="150"/>
    </row>
    <row r="562">
      <c r="A562" s="146"/>
      <c r="B562" s="148"/>
      <c r="C562" s="11"/>
      <c r="D562" s="148"/>
      <c r="E562" s="148"/>
      <c r="F562" s="148"/>
      <c r="G562" s="146"/>
      <c r="H562" s="150"/>
      <c r="I562" s="150"/>
      <c r="J562" s="150"/>
      <c r="K562" s="150"/>
    </row>
    <row r="563">
      <c r="A563" s="146"/>
      <c r="B563" s="148"/>
      <c r="C563" s="11"/>
      <c r="D563" s="148"/>
      <c r="E563" s="148"/>
      <c r="F563" s="148"/>
      <c r="G563" s="146"/>
      <c r="H563" s="150"/>
      <c r="I563" s="150"/>
      <c r="J563" s="150"/>
      <c r="K563" s="150"/>
    </row>
    <row r="564">
      <c r="A564" s="146"/>
      <c r="B564" s="148"/>
      <c r="C564" s="11"/>
      <c r="D564" s="148"/>
      <c r="E564" s="148"/>
      <c r="F564" s="148"/>
      <c r="G564" s="146"/>
      <c r="H564" s="150"/>
      <c r="I564" s="150"/>
      <c r="J564" s="150"/>
      <c r="K564" s="150"/>
    </row>
    <row r="565">
      <c r="A565" s="146"/>
      <c r="B565" s="148"/>
      <c r="C565" s="11"/>
      <c r="D565" s="148"/>
      <c r="E565" s="148"/>
      <c r="F565" s="148"/>
      <c r="G565" s="146"/>
      <c r="H565" s="150"/>
      <c r="I565" s="150"/>
      <c r="J565" s="150"/>
      <c r="K565" s="150"/>
    </row>
    <row r="566">
      <c r="A566" s="146"/>
      <c r="B566" s="148"/>
      <c r="C566" s="11"/>
      <c r="D566" s="148"/>
      <c r="E566" s="148"/>
      <c r="F566" s="148"/>
      <c r="G566" s="146"/>
      <c r="H566" s="150"/>
      <c r="I566" s="150"/>
      <c r="J566" s="150"/>
      <c r="K566" s="150"/>
    </row>
    <row r="567">
      <c r="A567" s="146"/>
      <c r="B567" s="148"/>
      <c r="C567" s="11"/>
      <c r="D567" s="148"/>
      <c r="E567" s="148"/>
      <c r="F567" s="148"/>
      <c r="G567" s="146"/>
      <c r="H567" s="150"/>
      <c r="I567" s="150"/>
      <c r="J567" s="150"/>
      <c r="K567" s="150"/>
    </row>
    <row r="568">
      <c r="A568" s="146"/>
      <c r="B568" s="148"/>
      <c r="C568" s="11"/>
      <c r="D568" s="148"/>
      <c r="E568" s="148"/>
      <c r="F568" s="148"/>
      <c r="G568" s="146"/>
      <c r="H568" s="150"/>
      <c r="I568" s="150"/>
      <c r="J568" s="150"/>
      <c r="K568" s="150"/>
    </row>
    <row r="569">
      <c r="A569" s="146"/>
      <c r="B569" s="148"/>
      <c r="C569" s="11"/>
      <c r="D569" s="148"/>
      <c r="E569" s="148"/>
      <c r="F569" s="148"/>
      <c r="G569" s="146"/>
      <c r="H569" s="150"/>
      <c r="I569" s="150"/>
      <c r="J569" s="150"/>
      <c r="K569" s="150"/>
    </row>
    <row r="570">
      <c r="A570" s="146"/>
      <c r="B570" s="148"/>
      <c r="C570" s="11"/>
      <c r="D570" s="148"/>
      <c r="E570" s="148"/>
      <c r="F570" s="148"/>
      <c r="G570" s="146"/>
      <c r="H570" s="150"/>
      <c r="I570" s="150"/>
      <c r="J570" s="150"/>
      <c r="K570" s="150"/>
    </row>
    <row r="571">
      <c r="A571" s="146"/>
      <c r="B571" s="148"/>
      <c r="C571" s="11"/>
      <c r="D571" s="148"/>
      <c r="E571" s="148"/>
      <c r="F571" s="148"/>
      <c r="G571" s="146"/>
      <c r="H571" s="150"/>
      <c r="I571" s="150"/>
      <c r="J571" s="150"/>
      <c r="K571" s="150"/>
    </row>
    <row r="572">
      <c r="A572" s="146"/>
      <c r="B572" s="148"/>
      <c r="C572" s="11"/>
      <c r="D572" s="148"/>
      <c r="E572" s="148"/>
      <c r="F572" s="148"/>
      <c r="G572" s="146"/>
      <c r="H572" s="150"/>
      <c r="I572" s="150"/>
      <c r="J572" s="150"/>
      <c r="K572" s="150"/>
    </row>
    <row r="573">
      <c r="A573" s="146"/>
      <c r="B573" s="148"/>
      <c r="C573" s="11"/>
      <c r="D573" s="148"/>
      <c r="E573" s="148"/>
      <c r="F573" s="148"/>
      <c r="G573" s="146"/>
      <c r="H573" s="150"/>
      <c r="I573" s="150"/>
      <c r="J573" s="150"/>
      <c r="K573" s="150"/>
    </row>
    <row r="574">
      <c r="A574" s="146"/>
      <c r="B574" s="148"/>
      <c r="C574" s="11"/>
      <c r="D574" s="148"/>
      <c r="E574" s="148"/>
      <c r="F574" s="148"/>
      <c r="G574" s="146"/>
      <c r="H574" s="150"/>
      <c r="I574" s="150"/>
      <c r="J574" s="150"/>
      <c r="K574" s="150"/>
    </row>
    <row r="575">
      <c r="A575" s="146"/>
      <c r="B575" s="148"/>
      <c r="C575" s="11"/>
      <c r="D575" s="148"/>
      <c r="E575" s="148"/>
      <c r="F575" s="148"/>
      <c r="G575" s="146"/>
      <c r="H575" s="150"/>
      <c r="I575" s="150"/>
      <c r="J575" s="150"/>
      <c r="K575" s="150"/>
    </row>
    <row r="576">
      <c r="A576" s="146"/>
      <c r="B576" s="148"/>
      <c r="C576" s="11"/>
      <c r="D576" s="148"/>
      <c r="E576" s="148"/>
      <c r="F576" s="148"/>
      <c r="G576" s="146"/>
      <c r="H576" s="150"/>
      <c r="I576" s="150"/>
      <c r="J576" s="150"/>
      <c r="K576" s="150"/>
    </row>
    <row r="577">
      <c r="A577" s="146"/>
      <c r="B577" s="148"/>
      <c r="C577" s="11"/>
      <c r="D577" s="148"/>
      <c r="E577" s="148"/>
      <c r="F577" s="148"/>
      <c r="G577" s="146"/>
      <c r="H577" s="150"/>
      <c r="I577" s="150"/>
      <c r="J577" s="150"/>
      <c r="K577" s="150"/>
    </row>
    <row r="578">
      <c r="A578" s="146"/>
      <c r="B578" s="148"/>
      <c r="C578" s="11"/>
      <c r="D578" s="148"/>
      <c r="E578" s="148"/>
      <c r="F578" s="148"/>
      <c r="G578" s="146"/>
      <c r="H578" s="150"/>
      <c r="I578" s="150"/>
      <c r="J578" s="150"/>
      <c r="K578" s="150"/>
    </row>
    <row r="579">
      <c r="A579" s="146"/>
      <c r="B579" s="148"/>
      <c r="C579" s="11"/>
      <c r="D579" s="148"/>
      <c r="E579" s="148"/>
      <c r="F579" s="148"/>
      <c r="G579" s="146"/>
      <c r="H579" s="150"/>
      <c r="I579" s="150"/>
      <c r="J579" s="150"/>
      <c r="K579" s="150"/>
    </row>
    <row r="580">
      <c r="A580" s="146"/>
      <c r="B580" s="148"/>
      <c r="C580" s="11"/>
      <c r="D580" s="148"/>
      <c r="E580" s="148"/>
      <c r="F580" s="148"/>
      <c r="G580" s="146"/>
      <c r="H580" s="150"/>
      <c r="I580" s="150"/>
      <c r="J580" s="150"/>
      <c r="K580" s="150"/>
    </row>
    <row r="581">
      <c r="A581" s="146"/>
      <c r="B581" s="148"/>
      <c r="C581" s="11"/>
      <c r="D581" s="148"/>
      <c r="E581" s="148"/>
      <c r="F581" s="148"/>
      <c r="G581" s="146"/>
      <c r="H581" s="150"/>
      <c r="I581" s="150"/>
      <c r="J581" s="150"/>
      <c r="K581" s="150"/>
    </row>
    <row r="582">
      <c r="A582" s="146"/>
      <c r="B582" s="148"/>
      <c r="C582" s="11"/>
      <c r="D582" s="148"/>
      <c r="E582" s="148"/>
      <c r="F582" s="148"/>
      <c r="G582" s="146"/>
      <c r="H582" s="150"/>
      <c r="I582" s="150"/>
      <c r="J582" s="150"/>
      <c r="K582" s="150"/>
    </row>
    <row r="583">
      <c r="A583" s="146"/>
      <c r="B583" s="148"/>
      <c r="C583" s="11"/>
      <c r="D583" s="148"/>
      <c r="E583" s="148"/>
      <c r="F583" s="148"/>
      <c r="G583" s="146"/>
      <c r="H583" s="150"/>
      <c r="I583" s="150"/>
      <c r="J583" s="150"/>
      <c r="K583" s="150"/>
    </row>
    <row r="584">
      <c r="A584" s="146"/>
      <c r="B584" s="148"/>
      <c r="C584" s="11"/>
      <c r="D584" s="148"/>
      <c r="E584" s="148"/>
      <c r="F584" s="148"/>
      <c r="G584" s="146"/>
      <c r="H584" s="150"/>
      <c r="I584" s="150"/>
      <c r="J584" s="150"/>
      <c r="K584" s="150"/>
    </row>
    <row r="585">
      <c r="A585" s="146"/>
      <c r="B585" s="148"/>
      <c r="C585" s="11"/>
      <c r="D585" s="148"/>
      <c r="E585" s="148"/>
      <c r="F585" s="148"/>
      <c r="G585" s="146"/>
      <c r="H585" s="150"/>
      <c r="I585" s="150"/>
      <c r="J585" s="150"/>
      <c r="K585" s="150"/>
    </row>
    <row r="586">
      <c r="A586" s="146"/>
      <c r="B586" s="148"/>
      <c r="C586" s="11"/>
      <c r="D586" s="148"/>
      <c r="E586" s="148"/>
      <c r="F586" s="148"/>
      <c r="G586" s="146"/>
      <c r="H586" s="150"/>
      <c r="I586" s="150"/>
      <c r="J586" s="150"/>
      <c r="K586" s="150"/>
    </row>
    <row r="587">
      <c r="A587" s="146"/>
      <c r="B587" s="148"/>
      <c r="C587" s="11"/>
      <c r="D587" s="148"/>
      <c r="E587" s="148"/>
      <c r="F587" s="148"/>
      <c r="G587" s="146"/>
      <c r="H587" s="150"/>
      <c r="I587" s="150"/>
      <c r="J587" s="150"/>
      <c r="K587" s="150"/>
    </row>
    <row r="588">
      <c r="A588" s="146"/>
      <c r="B588" s="148"/>
      <c r="C588" s="11"/>
      <c r="D588" s="148"/>
      <c r="E588" s="148"/>
      <c r="F588" s="148"/>
      <c r="G588" s="146"/>
      <c r="H588" s="150"/>
      <c r="I588" s="150"/>
      <c r="J588" s="150"/>
      <c r="K588" s="150"/>
    </row>
    <row r="589">
      <c r="A589" s="146"/>
      <c r="B589" s="148"/>
      <c r="C589" s="11"/>
      <c r="D589" s="148"/>
      <c r="E589" s="148"/>
      <c r="F589" s="148"/>
      <c r="G589" s="146"/>
      <c r="H589" s="150"/>
      <c r="I589" s="150"/>
      <c r="J589" s="150"/>
      <c r="K589" s="150"/>
    </row>
    <row r="590">
      <c r="A590" s="146"/>
      <c r="B590" s="148"/>
      <c r="C590" s="11"/>
      <c r="D590" s="148"/>
      <c r="E590" s="148"/>
      <c r="F590" s="148"/>
      <c r="G590" s="146"/>
      <c r="H590" s="150"/>
      <c r="I590" s="150"/>
      <c r="J590" s="150"/>
      <c r="K590" s="150"/>
    </row>
    <row r="591">
      <c r="A591" s="146"/>
      <c r="B591" s="148"/>
      <c r="C591" s="11"/>
      <c r="D591" s="148"/>
      <c r="E591" s="148"/>
      <c r="F591" s="148"/>
      <c r="G591" s="146"/>
      <c r="H591" s="150"/>
      <c r="I591" s="150"/>
      <c r="J591" s="150"/>
      <c r="K591" s="150"/>
    </row>
    <row r="592">
      <c r="A592" s="146"/>
      <c r="B592" s="148"/>
      <c r="C592" s="11"/>
      <c r="D592" s="148"/>
      <c r="E592" s="148"/>
      <c r="F592" s="148"/>
      <c r="G592" s="146"/>
      <c r="H592" s="150"/>
      <c r="I592" s="150"/>
      <c r="J592" s="150"/>
      <c r="K592" s="150"/>
    </row>
    <row r="593">
      <c r="A593" s="146"/>
      <c r="B593" s="148"/>
      <c r="C593" s="11"/>
      <c r="D593" s="148"/>
      <c r="E593" s="148"/>
      <c r="F593" s="148"/>
      <c r="G593" s="146"/>
      <c r="H593" s="150"/>
      <c r="I593" s="150"/>
      <c r="J593" s="150"/>
      <c r="K593" s="150"/>
    </row>
    <row r="594">
      <c r="A594" s="146"/>
      <c r="B594" s="148"/>
      <c r="C594" s="11"/>
      <c r="D594" s="148"/>
      <c r="E594" s="148"/>
      <c r="F594" s="148"/>
      <c r="G594" s="146"/>
      <c r="H594" s="150"/>
      <c r="I594" s="150"/>
      <c r="J594" s="150"/>
      <c r="K594" s="150"/>
    </row>
    <row r="595">
      <c r="A595" s="146"/>
      <c r="B595" s="148"/>
      <c r="C595" s="11"/>
      <c r="D595" s="148"/>
      <c r="E595" s="148"/>
      <c r="F595" s="148"/>
      <c r="G595" s="146"/>
      <c r="H595" s="150"/>
      <c r="I595" s="150"/>
      <c r="J595" s="150"/>
      <c r="K595" s="150"/>
    </row>
    <row r="596">
      <c r="A596" s="146"/>
      <c r="B596" s="148"/>
      <c r="C596" s="11"/>
      <c r="D596" s="148"/>
      <c r="E596" s="148"/>
      <c r="F596" s="148"/>
      <c r="G596" s="146"/>
      <c r="H596" s="150"/>
      <c r="I596" s="150"/>
      <c r="J596" s="150"/>
      <c r="K596" s="150"/>
    </row>
    <row r="597">
      <c r="A597" s="146"/>
      <c r="B597" s="148"/>
      <c r="C597" s="11"/>
      <c r="D597" s="148"/>
      <c r="E597" s="148"/>
      <c r="F597" s="148"/>
      <c r="G597" s="146"/>
      <c r="H597" s="150"/>
      <c r="I597" s="150"/>
      <c r="J597" s="150"/>
      <c r="K597" s="150"/>
    </row>
    <row r="598">
      <c r="A598" s="146"/>
      <c r="B598" s="148"/>
      <c r="C598" s="11"/>
      <c r="D598" s="148"/>
      <c r="E598" s="148"/>
      <c r="F598" s="148"/>
      <c r="G598" s="146"/>
      <c r="H598" s="150"/>
      <c r="I598" s="150"/>
      <c r="J598" s="150"/>
      <c r="K598" s="150"/>
    </row>
    <row r="599">
      <c r="A599" s="146"/>
      <c r="B599" s="148"/>
      <c r="C599" s="11"/>
      <c r="D599" s="148"/>
      <c r="E599" s="148"/>
      <c r="F599" s="148"/>
      <c r="G599" s="146"/>
      <c r="H599" s="150"/>
      <c r="I599" s="150"/>
      <c r="J599" s="150"/>
      <c r="K599" s="150"/>
    </row>
    <row r="600">
      <c r="A600" s="146"/>
      <c r="B600" s="148"/>
      <c r="C600" s="11"/>
      <c r="D600" s="148"/>
      <c r="E600" s="148"/>
      <c r="F600" s="148"/>
      <c r="G600" s="146"/>
      <c r="H600" s="150"/>
      <c r="I600" s="150"/>
      <c r="J600" s="150"/>
      <c r="K600" s="150"/>
    </row>
    <row r="601">
      <c r="A601" s="146"/>
      <c r="B601" s="148"/>
      <c r="C601" s="11"/>
      <c r="D601" s="148"/>
      <c r="E601" s="148"/>
      <c r="F601" s="148"/>
      <c r="G601" s="146"/>
      <c r="H601" s="150"/>
      <c r="I601" s="150"/>
      <c r="J601" s="150"/>
      <c r="K601" s="150"/>
    </row>
    <row r="602">
      <c r="A602" s="146"/>
      <c r="B602" s="148"/>
      <c r="C602" s="11"/>
      <c r="D602" s="148"/>
      <c r="E602" s="148"/>
      <c r="F602" s="148"/>
      <c r="G602" s="146"/>
      <c r="H602" s="150"/>
      <c r="I602" s="150"/>
      <c r="J602" s="150"/>
      <c r="K602" s="150"/>
    </row>
    <row r="603">
      <c r="A603" s="146"/>
      <c r="B603" s="148"/>
      <c r="C603" s="11"/>
      <c r="D603" s="148"/>
      <c r="E603" s="148"/>
      <c r="F603" s="148"/>
      <c r="G603" s="146"/>
      <c r="H603" s="150"/>
      <c r="I603" s="150"/>
      <c r="J603" s="150"/>
      <c r="K603" s="150"/>
    </row>
    <row r="604">
      <c r="A604" s="146"/>
      <c r="B604" s="148"/>
      <c r="C604" s="11"/>
      <c r="D604" s="148"/>
      <c r="E604" s="148"/>
      <c r="F604" s="148"/>
      <c r="G604" s="146"/>
      <c r="H604" s="150"/>
      <c r="I604" s="150"/>
      <c r="J604" s="150"/>
      <c r="K604" s="150"/>
    </row>
    <row r="605">
      <c r="A605" s="146"/>
      <c r="B605" s="148"/>
      <c r="C605" s="11"/>
      <c r="D605" s="148"/>
      <c r="E605" s="148"/>
      <c r="F605" s="148"/>
      <c r="G605" s="146"/>
      <c r="H605" s="150"/>
      <c r="I605" s="150"/>
      <c r="J605" s="150"/>
      <c r="K605" s="150"/>
    </row>
    <row r="606">
      <c r="A606" s="146"/>
      <c r="B606" s="148"/>
      <c r="C606" s="11"/>
      <c r="D606" s="148"/>
      <c r="E606" s="148"/>
      <c r="F606" s="148"/>
      <c r="G606" s="146"/>
      <c r="H606" s="150"/>
      <c r="I606" s="150"/>
      <c r="J606" s="150"/>
      <c r="K606" s="150"/>
    </row>
    <row r="607">
      <c r="A607" s="146"/>
      <c r="B607" s="148"/>
      <c r="C607" s="11"/>
      <c r="D607" s="148"/>
      <c r="E607" s="148"/>
      <c r="F607" s="148"/>
      <c r="G607" s="146"/>
      <c r="H607" s="150"/>
      <c r="I607" s="150"/>
      <c r="J607" s="150"/>
      <c r="K607" s="150"/>
    </row>
    <row r="608">
      <c r="A608" s="146"/>
      <c r="B608" s="148"/>
      <c r="C608" s="11"/>
      <c r="D608" s="148"/>
      <c r="E608" s="148"/>
      <c r="F608" s="148"/>
      <c r="G608" s="146"/>
      <c r="H608" s="150"/>
      <c r="I608" s="150"/>
      <c r="J608" s="150"/>
      <c r="K608" s="150"/>
    </row>
    <row r="609">
      <c r="A609" s="146"/>
      <c r="B609" s="148"/>
      <c r="C609" s="11"/>
      <c r="D609" s="148"/>
      <c r="E609" s="148"/>
      <c r="F609" s="148"/>
      <c r="G609" s="146"/>
      <c r="H609" s="150"/>
      <c r="I609" s="150"/>
      <c r="J609" s="150"/>
      <c r="K609" s="150"/>
    </row>
    <row r="610">
      <c r="A610" s="146"/>
      <c r="B610" s="148"/>
      <c r="C610" s="11"/>
      <c r="D610" s="148"/>
      <c r="E610" s="148"/>
      <c r="F610" s="148"/>
      <c r="G610" s="146"/>
      <c r="H610" s="150"/>
      <c r="I610" s="150"/>
      <c r="J610" s="150"/>
      <c r="K610" s="150"/>
    </row>
    <row r="611">
      <c r="A611" s="146"/>
      <c r="B611" s="148"/>
      <c r="C611" s="11"/>
      <c r="D611" s="148"/>
      <c r="E611" s="148"/>
      <c r="F611" s="148"/>
      <c r="G611" s="146"/>
      <c r="H611" s="150"/>
      <c r="I611" s="150"/>
      <c r="J611" s="150"/>
      <c r="K611" s="150"/>
    </row>
    <row r="612">
      <c r="A612" s="146"/>
      <c r="B612" s="148"/>
      <c r="C612" s="11"/>
      <c r="D612" s="148"/>
      <c r="E612" s="148"/>
      <c r="F612" s="148"/>
      <c r="G612" s="146"/>
      <c r="H612" s="150"/>
      <c r="I612" s="150"/>
      <c r="J612" s="150"/>
      <c r="K612" s="150"/>
    </row>
    <row r="613">
      <c r="A613" s="146"/>
      <c r="B613" s="148"/>
      <c r="C613" s="11"/>
      <c r="D613" s="148"/>
      <c r="E613" s="148"/>
      <c r="F613" s="148"/>
      <c r="G613" s="146"/>
      <c r="H613" s="150"/>
      <c r="I613" s="150"/>
      <c r="J613" s="150"/>
      <c r="K613" s="150"/>
    </row>
    <row r="614">
      <c r="A614" s="146"/>
      <c r="B614" s="148"/>
      <c r="C614" s="11"/>
      <c r="D614" s="148"/>
      <c r="E614" s="148"/>
      <c r="F614" s="148"/>
      <c r="G614" s="146"/>
      <c r="H614" s="150"/>
      <c r="I614" s="150"/>
      <c r="J614" s="150"/>
      <c r="K614" s="150"/>
    </row>
    <row r="615">
      <c r="A615" s="146"/>
      <c r="B615" s="148"/>
      <c r="C615" s="11"/>
      <c r="D615" s="148"/>
      <c r="E615" s="148"/>
      <c r="F615" s="148"/>
      <c r="G615" s="146"/>
      <c r="H615" s="150"/>
      <c r="I615" s="150"/>
      <c r="J615" s="150"/>
      <c r="K615" s="150"/>
    </row>
    <row r="616">
      <c r="A616" s="146"/>
      <c r="B616" s="148"/>
      <c r="C616" s="11"/>
      <c r="D616" s="148"/>
      <c r="E616" s="148"/>
      <c r="F616" s="148"/>
      <c r="G616" s="146"/>
      <c r="H616" s="150"/>
      <c r="I616" s="150"/>
      <c r="J616" s="150"/>
      <c r="K616" s="150"/>
    </row>
    <row r="617">
      <c r="A617" s="146"/>
      <c r="B617" s="148"/>
      <c r="C617" s="11"/>
      <c r="D617" s="148"/>
      <c r="E617" s="148"/>
      <c r="F617" s="148"/>
      <c r="G617" s="146"/>
      <c r="H617" s="150"/>
      <c r="I617" s="150"/>
      <c r="J617" s="150"/>
      <c r="K617" s="150"/>
    </row>
    <row r="618">
      <c r="A618" s="146"/>
      <c r="B618" s="148"/>
      <c r="C618" s="11"/>
      <c r="D618" s="148"/>
      <c r="E618" s="148"/>
      <c r="F618" s="148"/>
      <c r="G618" s="146"/>
      <c r="H618" s="150"/>
      <c r="I618" s="150"/>
      <c r="J618" s="150"/>
      <c r="K618" s="150"/>
    </row>
    <row r="619">
      <c r="A619" s="146"/>
      <c r="B619" s="148"/>
      <c r="C619" s="11"/>
      <c r="D619" s="148"/>
      <c r="E619" s="148"/>
      <c r="F619" s="148"/>
      <c r="G619" s="146"/>
      <c r="H619" s="150"/>
      <c r="I619" s="150"/>
      <c r="J619" s="150"/>
      <c r="K619" s="150"/>
    </row>
    <row r="620">
      <c r="A620" s="146"/>
      <c r="B620" s="148"/>
      <c r="C620" s="11"/>
      <c r="D620" s="148"/>
      <c r="E620" s="148"/>
      <c r="F620" s="148"/>
      <c r="G620" s="146"/>
      <c r="H620" s="150"/>
      <c r="I620" s="150"/>
      <c r="J620" s="150"/>
      <c r="K620" s="150"/>
    </row>
    <row r="621">
      <c r="A621" s="146"/>
      <c r="B621" s="148"/>
      <c r="C621" s="11"/>
      <c r="D621" s="148"/>
      <c r="E621" s="148"/>
      <c r="F621" s="148"/>
      <c r="G621" s="146"/>
      <c r="H621" s="150"/>
      <c r="I621" s="150"/>
      <c r="J621" s="150"/>
      <c r="K621" s="150"/>
    </row>
    <row r="622">
      <c r="A622" s="146"/>
      <c r="B622" s="148"/>
      <c r="C622" s="11"/>
      <c r="D622" s="148"/>
      <c r="E622" s="148"/>
      <c r="F622" s="148"/>
      <c r="G622" s="146"/>
      <c r="H622" s="150"/>
      <c r="I622" s="150"/>
      <c r="J622" s="150"/>
      <c r="K622" s="150"/>
    </row>
    <row r="623">
      <c r="A623" s="146"/>
      <c r="B623" s="148"/>
      <c r="C623" s="11"/>
      <c r="D623" s="148"/>
      <c r="E623" s="148"/>
      <c r="F623" s="148"/>
      <c r="G623" s="146"/>
      <c r="H623" s="150"/>
      <c r="I623" s="150"/>
      <c r="J623" s="150"/>
      <c r="K623" s="150"/>
    </row>
    <row r="624">
      <c r="A624" s="146"/>
      <c r="B624" s="148"/>
      <c r="C624" s="11"/>
      <c r="D624" s="148"/>
      <c r="E624" s="148"/>
      <c r="F624" s="148"/>
      <c r="G624" s="146"/>
      <c r="H624" s="150"/>
      <c r="I624" s="150"/>
      <c r="J624" s="150"/>
      <c r="K624" s="150"/>
    </row>
    <row r="625">
      <c r="A625" s="146"/>
      <c r="B625" s="148"/>
      <c r="C625" s="11"/>
      <c r="D625" s="148"/>
      <c r="E625" s="148"/>
      <c r="F625" s="148"/>
      <c r="G625" s="146"/>
      <c r="H625" s="150"/>
      <c r="I625" s="150"/>
      <c r="J625" s="150"/>
      <c r="K625" s="150"/>
    </row>
    <row r="626">
      <c r="A626" s="146"/>
      <c r="B626" s="148"/>
      <c r="C626" s="11"/>
      <c r="D626" s="148"/>
      <c r="E626" s="148"/>
      <c r="F626" s="148"/>
      <c r="G626" s="146"/>
      <c r="H626" s="150"/>
      <c r="I626" s="150"/>
      <c r="J626" s="150"/>
      <c r="K626" s="150"/>
    </row>
    <row r="627">
      <c r="A627" s="146"/>
      <c r="B627" s="148"/>
      <c r="C627" s="11"/>
      <c r="D627" s="148"/>
      <c r="E627" s="148"/>
      <c r="F627" s="148"/>
      <c r="G627" s="146"/>
      <c r="H627" s="150"/>
      <c r="I627" s="150"/>
      <c r="J627" s="150"/>
      <c r="K627" s="150"/>
    </row>
    <row r="628">
      <c r="A628" s="146"/>
      <c r="B628" s="148"/>
      <c r="C628" s="11"/>
      <c r="D628" s="148"/>
      <c r="E628" s="148"/>
      <c r="F628" s="148"/>
      <c r="G628" s="146"/>
      <c r="H628" s="150"/>
      <c r="I628" s="150"/>
      <c r="J628" s="150"/>
      <c r="K628" s="150"/>
    </row>
    <row r="629">
      <c r="A629" s="146"/>
      <c r="B629" s="148"/>
      <c r="C629" s="11"/>
      <c r="D629" s="148"/>
      <c r="E629" s="148"/>
      <c r="F629" s="148"/>
      <c r="G629" s="146"/>
      <c r="H629" s="150"/>
      <c r="I629" s="150"/>
      <c r="J629" s="150"/>
      <c r="K629" s="150"/>
    </row>
    <row r="630">
      <c r="A630" s="146"/>
      <c r="B630" s="148"/>
      <c r="C630" s="11"/>
      <c r="D630" s="148"/>
      <c r="E630" s="148"/>
      <c r="F630" s="148"/>
      <c r="G630" s="146"/>
      <c r="H630" s="150"/>
      <c r="I630" s="150"/>
      <c r="J630" s="150"/>
      <c r="K630" s="150"/>
    </row>
    <row r="631">
      <c r="A631" s="146"/>
      <c r="B631" s="148"/>
      <c r="C631" s="11"/>
      <c r="D631" s="148"/>
      <c r="E631" s="148"/>
      <c r="F631" s="148"/>
      <c r="G631" s="146"/>
      <c r="H631" s="150"/>
      <c r="I631" s="150"/>
      <c r="J631" s="150"/>
      <c r="K631" s="150"/>
    </row>
    <row r="632">
      <c r="A632" s="146"/>
      <c r="B632" s="148"/>
      <c r="C632" s="11"/>
      <c r="D632" s="148"/>
      <c r="E632" s="148"/>
      <c r="F632" s="148"/>
      <c r="G632" s="146"/>
      <c r="H632" s="150"/>
      <c r="I632" s="150"/>
      <c r="J632" s="150"/>
      <c r="K632" s="150"/>
    </row>
    <row r="633">
      <c r="A633" s="146"/>
      <c r="B633" s="148"/>
      <c r="C633" s="11"/>
      <c r="D633" s="148"/>
      <c r="E633" s="148"/>
      <c r="F633" s="148"/>
      <c r="G633" s="146"/>
      <c r="H633" s="150"/>
      <c r="I633" s="150"/>
      <c r="J633" s="150"/>
      <c r="K633" s="150"/>
    </row>
    <row r="634">
      <c r="A634" s="146"/>
      <c r="B634" s="148"/>
      <c r="C634" s="11"/>
      <c r="D634" s="148"/>
      <c r="E634" s="148"/>
      <c r="F634" s="148"/>
      <c r="G634" s="146"/>
      <c r="H634" s="150"/>
      <c r="I634" s="150"/>
      <c r="J634" s="150"/>
      <c r="K634" s="150"/>
    </row>
    <row r="635">
      <c r="A635" s="146"/>
      <c r="B635" s="148"/>
      <c r="C635" s="11"/>
      <c r="D635" s="148"/>
      <c r="E635" s="148"/>
      <c r="F635" s="148"/>
      <c r="G635" s="146"/>
      <c r="H635" s="150"/>
      <c r="I635" s="150"/>
      <c r="J635" s="150"/>
      <c r="K635" s="150"/>
    </row>
    <row r="636">
      <c r="A636" s="146"/>
      <c r="B636" s="148"/>
      <c r="C636" s="11"/>
      <c r="D636" s="148"/>
      <c r="E636" s="148"/>
      <c r="F636" s="148"/>
      <c r="G636" s="146"/>
      <c r="H636" s="150"/>
      <c r="I636" s="150"/>
      <c r="J636" s="150"/>
      <c r="K636" s="150"/>
    </row>
    <row r="637">
      <c r="A637" s="146"/>
      <c r="B637" s="148"/>
      <c r="C637" s="11"/>
      <c r="D637" s="148"/>
      <c r="E637" s="148"/>
      <c r="F637" s="148"/>
      <c r="G637" s="146"/>
      <c r="H637" s="150"/>
      <c r="I637" s="150"/>
      <c r="J637" s="150"/>
      <c r="K637" s="150"/>
    </row>
    <row r="638">
      <c r="A638" s="146"/>
      <c r="B638" s="148"/>
      <c r="C638" s="11"/>
      <c r="D638" s="148"/>
      <c r="E638" s="148"/>
      <c r="F638" s="148"/>
      <c r="G638" s="146"/>
      <c r="H638" s="150"/>
      <c r="I638" s="150"/>
      <c r="J638" s="150"/>
      <c r="K638" s="150"/>
    </row>
    <row r="639">
      <c r="A639" s="146"/>
      <c r="B639" s="148"/>
      <c r="C639" s="11"/>
      <c r="D639" s="148"/>
      <c r="E639" s="148"/>
      <c r="F639" s="148"/>
      <c r="G639" s="146"/>
      <c r="H639" s="150"/>
      <c r="I639" s="150"/>
      <c r="J639" s="150"/>
      <c r="K639" s="150"/>
    </row>
    <row r="640">
      <c r="A640" s="146"/>
      <c r="B640" s="148"/>
      <c r="C640" s="11"/>
      <c r="D640" s="148"/>
      <c r="E640" s="148"/>
      <c r="F640" s="148"/>
      <c r="G640" s="146"/>
      <c r="H640" s="150"/>
      <c r="I640" s="150"/>
      <c r="J640" s="150"/>
      <c r="K640" s="150"/>
    </row>
    <row r="641">
      <c r="A641" s="146"/>
      <c r="B641" s="148"/>
      <c r="C641" s="11"/>
      <c r="D641" s="148"/>
      <c r="E641" s="148"/>
      <c r="F641" s="148"/>
      <c r="G641" s="146"/>
      <c r="H641" s="150"/>
      <c r="I641" s="150"/>
      <c r="J641" s="150"/>
      <c r="K641" s="150"/>
    </row>
    <row r="642">
      <c r="A642" s="146"/>
      <c r="B642" s="148"/>
      <c r="C642" s="11"/>
      <c r="D642" s="148"/>
      <c r="E642" s="148"/>
      <c r="F642" s="148"/>
      <c r="G642" s="146"/>
      <c r="H642" s="150"/>
      <c r="I642" s="150"/>
      <c r="J642" s="150"/>
      <c r="K642" s="150"/>
    </row>
    <row r="643">
      <c r="A643" s="146"/>
      <c r="B643" s="148"/>
      <c r="C643" s="11"/>
      <c r="D643" s="148"/>
      <c r="E643" s="148"/>
      <c r="F643" s="148"/>
      <c r="G643" s="146"/>
      <c r="H643" s="150"/>
      <c r="I643" s="150"/>
      <c r="J643" s="150"/>
      <c r="K643" s="150"/>
    </row>
    <row r="644">
      <c r="A644" s="146"/>
      <c r="B644" s="148"/>
      <c r="C644" s="11"/>
      <c r="D644" s="148"/>
      <c r="E644" s="148"/>
      <c r="F644" s="148"/>
      <c r="G644" s="146"/>
      <c r="H644" s="150"/>
      <c r="I644" s="150"/>
      <c r="J644" s="150"/>
      <c r="K644" s="150"/>
    </row>
    <row r="645">
      <c r="A645" s="146"/>
      <c r="B645" s="148"/>
      <c r="C645" s="11"/>
      <c r="D645" s="148"/>
      <c r="E645" s="148"/>
      <c r="F645" s="148"/>
      <c r="G645" s="146"/>
      <c r="H645" s="150"/>
      <c r="I645" s="150"/>
      <c r="J645" s="150"/>
      <c r="K645" s="150"/>
    </row>
    <row r="646">
      <c r="A646" s="146"/>
      <c r="B646" s="148"/>
      <c r="C646" s="11"/>
      <c r="D646" s="148"/>
      <c r="E646" s="148"/>
      <c r="F646" s="148"/>
      <c r="G646" s="146"/>
      <c r="H646" s="150"/>
      <c r="I646" s="150"/>
      <c r="J646" s="150"/>
      <c r="K646" s="150"/>
    </row>
    <row r="647">
      <c r="A647" s="146"/>
      <c r="B647" s="148"/>
      <c r="C647" s="11"/>
      <c r="D647" s="148"/>
      <c r="E647" s="148"/>
      <c r="F647" s="148"/>
      <c r="G647" s="146"/>
      <c r="H647" s="150"/>
      <c r="I647" s="150"/>
      <c r="J647" s="150"/>
      <c r="K647" s="150"/>
    </row>
    <row r="648">
      <c r="A648" s="146"/>
      <c r="B648" s="148"/>
      <c r="C648" s="11"/>
      <c r="D648" s="148"/>
      <c r="E648" s="148"/>
      <c r="F648" s="148"/>
      <c r="G648" s="146"/>
      <c r="H648" s="150"/>
      <c r="I648" s="150"/>
      <c r="J648" s="150"/>
      <c r="K648" s="150"/>
    </row>
    <row r="649">
      <c r="A649" s="146"/>
      <c r="B649" s="148"/>
      <c r="C649" s="11"/>
      <c r="D649" s="148"/>
      <c r="E649" s="148"/>
      <c r="F649" s="148"/>
      <c r="G649" s="146"/>
      <c r="H649" s="150"/>
      <c r="I649" s="150"/>
      <c r="J649" s="150"/>
      <c r="K649" s="150"/>
    </row>
    <row r="650">
      <c r="A650" s="146"/>
      <c r="B650" s="148"/>
      <c r="C650" s="11"/>
      <c r="D650" s="148"/>
      <c r="E650" s="148"/>
      <c r="F650" s="148"/>
      <c r="G650" s="146"/>
      <c r="H650" s="150"/>
      <c r="I650" s="150"/>
      <c r="J650" s="150"/>
      <c r="K650" s="150"/>
    </row>
    <row r="651">
      <c r="A651" s="146"/>
      <c r="B651" s="148"/>
      <c r="C651" s="11"/>
      <c r="D651" s="148"/>
      <c r="E651" s="148"/>
      <c r="F651" s="148"/>
      <c r="G651" s="146"/>
      <c r="H651" s="150"/>
      <c r="I651" s="150"/>
      <c r="J651" s="150"/>
      <c r="K651" s="150"/>
    </row>
    <row r="652">
      <c r="A652" s="146"/>
      <c r="B652" s="148"/>
      <c r="C652" s="11"/>
      <c r="D652" s="148"/>
      <c r="E652" s="148"/>
      <c r="F652" s="148"/>
      <c r="G652" s="146"/>
      <c r="H652" s="150"/>
      <c r="I652" s="150"/>
      <c r="J652" s="150"/>
      <c r="K652" s="150"/>
    </row>
    <row r="653">
      <c r="A653" s="146"/>
      <c r="B653" s="148"/>
      <c r="C653" s="11"/>
      <c r="D653" s="148"/>
      <c r="E653" s="148"/>
      <c r="F653" s="148"/>
      <c r="G653" s="146"/>
      <c r="H653" s="150"/>
      <c r="I653" s="150"/>
      <c r="J653" s="150"/>
      <c r="K653" s="150"/>
    </row>
    <row r="654">
      <c r="A654" s="146"/>
      <c r="B654" s="148"/>
      <c r="C654" s="11"/>
      <c r="D654" s="148"/>
      <c r="E654" s="148"/>
      <c r="F654" s="148"/>
      <c r="G654" s="146"/>
      <c r="H654" s="150"/>
      <c r="I654" s="150"/>
      <c r="J654" s="150"/>
      <c r="K654" s="150"/>
    </row>
    <row r="655">
      <c r="A655" s="146"/>
      <c r="B655" s="148"/>
      <c r="C655" s="11"/>
      <c r="D655" s="148"/>
      <c r="E655" s="148"/>
      <c r="F655" s="148"/>
      <c r="G655" s="146"/>
      <c r="H655" s="150"/>
      <c r="I655" s="150"/>
      <c r="J655" s="150"/>
      <c r="K655" s="150"/>
    </row>
    <row r="656">
      <c r="A656" s="146"/>
      <c r="B656" s="148"/>
      <c r="C656" s="11"/>
      <c r="D656" s="148"/>
      <c r="E656" s="148"/>
      <c r="F656" s="148"/>
      <c r="G656" s="146"/>
      <c r="H656" s="150"/>
      <c r="I656" s="150"/>
      <c r="J656" s="150"/>
      <c r="K656" s="150"/>
    </row>
    <row r="657">
      <c r="A657" s="146"/>
      <c r="B657" s="148"/>
      <c r="C657" s="11"/>
      <c r="D657" s="148"/>
      <c r="E657" s="148"/>
      <c r="F657" s="148"/>
      <c r="G657" s="146"/>
      <c r="H657" s="150"/>
      <c r="I657" s="150"/>
      <c r="J657" s="150"/>
      <c r="K657" s="150"/>
    </row>
    <row r="658">
      <c r="A658" s="146"/>
      <c r="B658" s="148"/>
      <c r="C658" s="11"/>
      <c r="D658" s="148"/>
      <c r="E658" s="148"/>
      <c r="F658" s="148"/>
      <c r="G658" s="146"/>
      <c r="H658" s="150"/>
      <c r="I658" s="150"/>
      <c r="J658" s="150"/>
      <c r="K658" s="150"/>
    </row>
    <row r="659">
      <c r="A659" s="146"/>
      <c r="B659" s="148"/>
      <c r="C659" s="11"/>
      <c r="D659" s="148"/>
      <c r="E659" s="148"/>
      <c r="F659" s="148"/>
      <c r="G659" s="146"/>
      <c r="H659" s="150"/>
      <c r="I659" s="150"/>
      <c r="J659" s="150"/>
      <c r="K659" s="150"/>
    </row>
    <row r="660">
      <c r="A660" s="146"/>
      <c r="B660" s="148"/>
      <c r="C660" s="11"/>
      <c r="D660" s="148"/>
      <c r="E660" s="148"/>
      <c r="F660" s="148"/>
      <c r="G660" s="146"/>
      <c r="H660" s="150"/>
      <c r="I660" s="150"/>
      <c r="J660" s="150"/>
      <c r="K660" s="150"/>
    </row>
    <row r="661">
      <c r="A661" s="146"/>
      <c r="B661" s="148"/>
      <c r="C661" s="11"/>
      <c r="D661" s="148"/>
      <c r="E661" s="148"/>
      <c r="F661" s="148"/>
      <c r="G661" s="146"/>
      <c r="H661" s="150"/>
      <c r="I661" s="150"/>
      <c r="J661" s="150"/>
      <c r="K661" s="150"/>
    </row>
    <row r="662">
      <c r="A662" s="146"/>
      <c r="B662" s="148"/>
      <c r="C662" s="11"/>
      <c r="D662" s="148"/>
      <c r="E662" s="148"/>
      <c r="F662" s="148"/>
      <c r="G662" s="146"/>
      <c r="H662" s="150"/>
      <c r="I662" s="150"/>
      <c r="J662" s="150"/>
      <c r="K662" s="150"/>
    </row>
    <row r="663">
      <c r="A663" s="146"/>
      <c r="B663" s="148"/>
      <c r="C663" s="11"/>
      <c r="D663" s="148"/>
      <c r="E663" s="148"/>
      <c r="F663" s="148"/>
      <c r="G663" s="146"/>
      <c r="H663" s="150"/>
      <c r="I663" s="150"/>
      <c r="J663" s="150"/>
      <c r="K663" s="150"/>
    </row>
    <row r="664">
      <c r="A664" s="146"/>
      <c r="B664" s="148"/>
      <c r="C664" s="11"/>
      <c r="D664" s="148"/>
      <c r="E664" s="148"/>
      <c r="F664" s="148"/>
      <c r="G664" s="146"/>
      <c r="H664" s="150"/>
      <c r="I664" s="150"/>
      <c r="J664" s="150"/>
      <c r="K664" s="150"/>
    </row>
    <row r="665">
      <c r="A665" s="146"/>
      <c r="B665" s="148"/>
      <c r="C665" s="11"/>
      <c r="D665" s="148"/>
      <c r="E665" s="148"/>
      <c r="F665" s="148"/>
      <c r="G665" s="146"/>
      <c r="H665" s="150"/>
      <c r="I665" s="150"/>
      <c r="J665" s="150"/>
      <c r="K665" s="150"/>
    </row>
    <row r="666">
      <c r="A666" s="146"/>
      <c r="B666" s="148"/>
      <c r="C666" s="11"/>
      <c r="D666" s="148"/>
      <c r="E666" s="148"/>
      <c r="F666" s="148"/>
      <c r="G666" s="146"/>
      <c r="H666" s="150"/>
      <c r="I666" s="150"/>
      <c r="J666" s="150"/>
      <c r="K666" s="150"/>
    </row>
    <row r="667">
      <c r="A667" s="146"/>
      <c r="B667" s="148"/>
      <c r="C667" s="11"/>
      <c r="D667" s="148"/>
      <c r="E667" s="148"/>
      <c r="F667" s="148"/>
      <c r="G667" s="146"/>
      <c r="H667" s="150"/>
      <c r="I667" s="150"/>
      <c r="J667" s="150"/>
      <c r="K667" s="150"/>
    </row>
    <row r="668">
      <c r="A668" s="146"/>
      <c r="B668" s="148"/>
      <c r="C668" s="11"/>
      <c r="D668" s="148"/>
      <c r="E668" s="148"/>
      <c r="F668" s="148"/>
      <c r="G668" s="146"/>
      <c r="H668" s="150"/>
      <c r="I668" s="150"/>
      <c r="J668" s="150"/>
      <c r="K668" s="150"/>
    </row>
    <row r="669">
      <c r="A669" s="146"/>
      <c r="B669" s="148"/>
      <c r="C669" s="11"/>
      <c r="D669" s="148"/>
      <c r="E669" s="148"/>
      <c r="F669" s="148"/>
      <c r="G669" s="146"/>
      <c r="H669" s="150"/>
      <c r="I669" s="150"/>
      <c r="J669" s="150"/>
      <c r="K669" s="150"/>
    </row>
    <row r="670">
      <c r="A670" s="146"/>
      <c r="B670" s="148"/>
      <c r="C670" s="11"/>
      <c r="D670" s="148"/>
      <c r="E670" s="148"/>
      <c r="F670" s="148"/>
      <c r="G670" s="146"/>
      <c r="H670" s="150"/>
      <c r="I670" s="150"/>
      <c r="J670" s="150"/>
      <c r="K670" s="150"/>
    </row>
    <row r="671">
      <c r="A671" s="146"/>
      <c r="B671" s="148"/>
      <c r="C671" s="11"/>
      <c r="D671" s="148"/>
      <c r="E671" s="148"/>
      <c r="F671" s="148"/>
      <c r="G671" s="146"/>
      <c r="H671" s="150"/>
      <c r="I671" s="150"/>
      <c r="J671" s="150"/>
      <c r="K671" s="150"/>
    </row>
    <row r="672">
      <c r="A672" s="146"/>
      <c r="B672" s="148"/>
      <c r="C672" s="11"/>
      <c r="D672" s="148"/>
      <c r="E672" s="148"/>
      <c r="F672" s="148"/>
      <c r="G672" s="146"/>
      <c r="H672" s="150"/>
      <c r="I672" s="150"/>
      <c r="J672" s="150"/>
      <c r="K672" s="150"/>
    </row>
    <row r="673">
      <c r="A673" s="146"/>
      <c r="B673" s="148"/>
      <c r="C673" s="11"/>
      <c r="D673" s="148"/>
      <c r="E673" s="148"/>
      <c r="F673" s="148"/>
      <c r="G673" s="146"/>
      <c r="H673" s="150"/>
      <c r="I673" s="150"/>
      <c r="J673" s="150"/>
      <c r="K673" s="150"/>
    </row>
    <row r="674">
      <c r="A674" s="146"/>
      <c r="B674" s="148"/>
      <c r="C674" s="11"/>
      <c r="D674" s="148"/>
      <c r="E674" s="148"/>
      <c r="F674" s="148"/>
      <c r="G674" s="146"/>
      <c r="H674" s="150"/>
      <c r="I674" s="150"/>
      <c r="J674" s="150"/>
      <c r="K674" s="150"/>
    </row>
    <row r="675">
      <c r="A675" s="146"/>
      <c r="B675" s="148"/>
      <c r="C675" s="11"/>
      <c r="D675" s="148"/>
      <c r="E675" s="148"/>
      <c r="F675" s="148"/>
      <c r="G675" s="146"/>
      <c r="H675" s="150"/>
      <c r="I675" s="150"/>
      <c r="J675" s="150"/>
      <c r="K675" s="150"/>
    </row>
    <row r="676">
      <c r="A676" s="146"/>
      <c r="B676" s="148"/>
      <c r="C676" s="11"/>
      <c r="D676" s="148"/>
      <c r="E676" s="148"/>
      <c r="F676" s="148"/>
      <c r="G676" s="146"/>
      <c r="H676" s="150"/>
      <c r="I676" s="150"/>
      <c r="J676" s="150"/>
      <c r="K676" s="150"/>
    </row>
    <row r="677">
      <c r="A677" s="146"/>
      <c r="B677" s="148"/>
      <c r="C677" s="11"/>
      <c r="D677" s="148"/>
      <c r="E677" s="148"/>
      <c r="F677" s="148"/>
      <c r="G677" s="146"/>
      <c r="H677" s="150"/>
      <c r="I677" s="150"/>
      <c r="J677" s="150"/>
      <c r="K677" s="150"/>
    </row>
    <row r="678">
      <c r="A678" s="146"/>
      <c r="B678" s="148"/>
      <c r="C678" s="11"/>
      <c r="D678" s="148"/>
      <c r="E678" s="148"/>
      <c r="F678" s="148"/>
      <c r="G678" s="146"/>
      <c r="H678" s="150"/>
      <c r="I678" s="150"/>
      <c r="J678" s="150"/>
      <c r="K678" s="150"/>
    </row>
    <row r="679">
      <c r="A679" s="146"/>
      <c r="B679" s="148"/>
      <c r="C679" s="11"/>
      <c r="D679" s="148"/>
      <c r="E679" s="148"/>
      <c r="F679" s="148"/>
      <c r="G679" s="146"/>
      <c r="H679" s="150"/>
      <c r="I679" s="150"/>
      <c r="J679" s="150"/>
      <c r="K679" s="150"/>
    </row>
    <row r="680">
      <c r="A680" s="146"/>
      <c r="B680" s="148"/>
      <c r="C680" s="11"/>
      <c r="D680" s="148"/>
      <c r="E680" s="148"/>
      <c r="F680" s="148"/>
      <c r="G680" s="146"/>
      <c r="H680" s="150"/>
      <c r="I680" s="150"/>
      <c r="J680" s="150"/>
      <c r="K680" s="150"/>
    </row>
    <row r="681">
      <c r="A681" s="146"/>
      <c r="B681" s="148"/>
      <c r="C681" s="11"/>
      <c r="D681" s="148"/>
      <c r="E681" s="148"/>
      <c r="F681" s="148"/>
      <c r="G681" s="146"/>
      <c r="H681" s="150"/>
      <c r="I681" s="150"/>
      <c r="J681" s="150"/>
      <c r="K681" s="150"/>
    </row>
    <row r="682">
      <c r="A682" s="146"/>
      <c r="B682" s="148"/>
      <c r="C682" s="11"/>
      <c r="D682" s="148"/>
      <c r="E682" s="148"/>
      <c r="F682" s="148"/>
      <c r="G682" s="146"/>
      <c r="H682" s="150"/>
      <c r="I682" s="150"/>
      <c r="J682" s="150"/>
      <c r="K682" s="150"/>
    </row>
    <row r="683">
      <c r="A683" s="146"/>
      <c r="B683" s="148"/>
      <c r="C683" s="11"/>
      <c r="D683" s="148"/>
      <c r="E683" s="148"/>
      <c r="F683" s="148"/>
      <c r="G683" s="146"/>
      <c r="H683" s="150"/>
      <c r="I683" s="150"/>
      <c r="J683" s="150"/>
      <c r="K683" s="150"/>
    </row>
    <row r="684">
      <c r="A684" s="146"/>
      <c r="B684" s="148"/>
      <c r="C684" s="11"/>
      <c r="D684" s="148"/>
      <c r="E684" s="148"/>
      <c r="F684" s="148"/>
      <c r="G684" s="146"/>
      <c r="H684" s="150"/>
      <c r="I684" s="150"/>
      <c r="J684" s="150"/>
      <c r="K684" s="150"/>
    </row>
    <row r="685">
      <c r="A685" s="146"/>
      <c r="B685" s="148"/>
      <c r="C685" s="11"/>
      <c r="D685" s="148"/>
      <c r="E685" s="148"/>
      <c r="F685" s="148"/>
      <c r="G685" s="146"/>
      <c r="H685" s="150"/>
      <c r="I685" s="150"/>
      <c r="J685" s="150"/>
      <c r="K685" s="150"/>
    </row>
    <row r="686">
      <c r="A686" s="146"/>
      <c r="B686" s="148"/>
      <c r="C686" s="11"/>
      <c r="D686" s="148"/>
      <c r="E686" s="148"/>
      <c r="F686" s="148"/>
      <c r="G686" s="146"/>
      <c r="H686" s="150"/>
      <c r="I686" s="150"/>
      <c r="J686" s="150"/>
      <c r="K686" s="150"/>
    </row>
    <row r="687">
      <c r="A687" s="146"/>
      <c r="B687" s="148"/>
      <c r="C687" s="11"/>
      <c r="D687" s="148"/>
      <c r="E687" s="148"/>
      <c r="F687" s="148"/>
      <c r="G687" s="146"/>
      <c r="H687" s="150"/>
      <c r="I687" s="150"/>
      <c r="J687" s="150"/>
      <c r="K687" s="150"/>
    </row>
    <row r="688">
      <c r="A688" s="146"/>
      <c r="B688" s="148"/>
      <c r="C688" s="11"/>
      <c r="D688" s="148"/>
      <c r="E688" s="148"/>
      <c r="F688" s="148"/>
      <c r="G688" s="146"/>
      <c r="H688" s="150"/>
      <c r="I688" s="150"/>
      <c r="J688" s="150"/>
      <c r="K688" s="150"/>
    </row>
    <row r="689">
      <c r="A689" s="146"/>
      <c r="B689" s="148"/>
      <c r="C689" s="11"/>
      <c r="D689" s="148"/>
      <c r="E689" s="148"/>
      <c r="F689" s="148"/>
      <c r="G689" s="146"/>
      <c r="H689" s="150"/>
      <c r="I689" s="150"/>
      <c r="J689" s="150"/>
      <c r="K689" s="150"/>
    </row>
    <row r="690">
      <c r="A690" s="146"/>
      <c r="B690" s="148"/>
      <c r="C690" s="11"/>
      <c r="D690" s="148"/>
      <c r="E690" s="148"/>
      <c r="F690" s="148"/>
      <c r="G690" s="146"/>
      <c r="H690" s="150"/>
      <c r="I690" s="150"/>
      <c r="J690" s="150"/>
      <c r="K690" s="150"/>
    </row>
    <row r="691">
      <c r="A691" s="146"/>
      <c r="B691" s="148"/>
      <c r="C691" s="11"/>
      <c r="D691" s="148"/>
      <c r="E691" s="148"/>
      <c r="F691" s="148"/>
      <c r="G691" s="146"/>
      <c r="H691" s="150"/>
      <c r="I691" s="150"/>
      <c r="J691" s="150"/>
      <c r="K691" s="150"/>
    </row>
    <row r="692">
      <c r="A692" s="146"/>
      <c r="B692" s="148"/>
      <c r="C692" s="11"/>
      <c r="D692" s="148"/>
      <c r="E692" s="148"/>
      <c r="F692" s="148"/>
      <c r="G692" s="146"/>
      <c r="H692" s="150"/>
      <c r="I692" s="150"/>
      <c r="J692" s="150"/>
      <c r="K692" s="150"/>
    </row>
    <row r="693">
      <c r="A693" s="146"/>
      <c r="B693" s="148"/>
      <c r="C693" s="11"/>
      <c r="D693" s="148"/>
      <c r="E693" s="148"/>
      <c r="F693" s="148"/>
      <c r="G693" s="146"/>
      <c r="H693" s="150"/>
      <c r="I693" s="150"/>
      <c r="J693" s="150"/>
      <c r="K693" s="150"/>
    </row>
    <row r="694">
      <c r="A694" s="146"/>
      <c r="B694" s="148"/>
      <c r="C694" s="11"/>
      <c r="D694" s="148"/>
      <c r="E694" s="148"/>
      <c r="F694" s="148"/>
      <c r="G694" s="146"/>
      <c r="H694" s="150"/>
      <c r="I694" s="150"/>
      <c r="J694" s="150"/>
      <c r="K694" s="150"/>
    </row>
    <row r="695">
      <c r="A695" s="146"/>
      <c r="B695" s="148"/>
      <c r="C695" s="11"/>
      <c r="D695" s="148"/>
      <c r="E695" s="148"/>
      <c r="F695" s="148"/>
      <c r="G695" s="146"/>
      <c r="H695" s="150"/>
      <c r="I695" s="150"/>
      <c r="J695" s="150"/>
      <c r="K695" s="150"/>
    </row>
    <row r="696">
      <c r="A696" s="146"/>
      <c r="B696" s="148"/>
      <c r="C696" s="11"/>
      <c r="D696" s="148"/>
      <c r="E696" s="148"/>
      <c r="F696" s="148"/>
      <c r="G696" s="146"/>
      <c r="H696" s="150"/>
      <c r="I696" s="150"/>
      <c r="J696" s="150"/>
      <c r="K696" s="150"/>
    </row>
    <row r="697">
      <c r="A697" s="146"/>
      <c r="B697" s="148"/>
      <c r="C697" s="11"/>
      <c r="D697" s="148"/>
      <c r="E697" s="148"/>
      <c r="F697" s="148"/>
      <c r="G697" s="146"/>
      <c r="H697" s="150"/>
      <c r="I697" s="150"/>
      <c r="J697" s="150"/>
      <c r="K697" s="150"/>
    </row>
    <row r="698">
      <c r="A698" s="146"/>
      <c r="B698" s="148"/>
      <c r="C698" s="11"/>
      <c r="D698" s="148"/>
      <c r="E698" s="148"/>
      <c r="F698" s="148"/>
      <c r="G698" s="146"/>
      <c r="H698" s="150"/>
      <c r="I698" s="150"/>
      <c r="J698" s="150"/>
      <c r="K698" s="150"/>
    </row>
    <row r="699">
      <c r="A699" s="146"/>
      <c r="B699" s="148"/>
      <c r="C699" s="11"/>
      <c r="D699" s="148"/>
      <c r="E699" s="148"/>
      <c r="F699" s="148"/>
      <c r="G699" s="146"/>
      <c r="H699" s="150"/>
      <c r="I699" s="150"/>
      <c r="J699" s="150"/>
      <c r="K699" s="150"/>
    </row>
    <row r="700">
      <c r="A700" s="146"/>
      <c r="B700" s="148"/>
      <c r="C700" s="11"/>
      <c r="D700" s="148"/>
      <c r="E700" s="148"/>
      <c r="F700" s="148"/>
      <c r="G700" s="146"/>
      <c r="H700" s="150"/>
      <c r="I700" s="150"/>
      <c r="J700" s="150"/>
      <c r="K700" s="150"/>
    </row>
    <row r="701">
      <c r="A701" s="146"/>
      <c r="B701" s="148"/>
      <c r="C701" s="11"/>
      <c r="D701" s="148"/>
      <c r="E701" s="148"/>
      <c r="F701" s="148"/>
      <c r="G701" s="146"/>
      <c r="H701" s="150"/>
      <c r="I701" s="150"/>
      <c r="J701" s="150"/>
      <c r="K701" s="150"/>
    </row>
    <row r="702">
      <c r="A702" s="146"/>
      <c r="B702" s="148"/>
      <c r="C702" s="11"/>
      <c r="D702" s="148"/>
      <c r="E702" s="148"/>
      <c r="F702" s="148"/>
      <c r="G702" s="146"/>
      <c r="H702" s="150"/>
      <c r="I702" s="150"/>
      <c r="J702" s="150"/>
      <c r="K702" s="150"/>
    </row>
    <row r="703">
      <c r="A703" s="146"/>
      <c r="B703" s="148"/>
      <c r="C703" s="11"/>
      <c r="D703" s="148"/>
      <c r="E703" s="148"/>
      <c r="F703" s="148"/>
      <c r="G703" s="146"/>
      <c r="H703" s="150"/>
      <c r="I703" s="150"/>
      <c r="J703" s="150"/>
      <c r="K703" s="150"/>
    </row>
    <row r="704">
      <c r="A704" s="146"/>
      <c r="B704" s="148"/>
      <c r="C704" s="11"/>
      <c r="D704" s="148"/>
      <c r="E704" s="148"/>
      <c r="F704" s="148"/>
      <c r="G704" s="146"/>
      <c r="H704" s="150"/>
      <c r="I704" s="150"/>
      <c r="J704" s="150"/>
      <c r="K704" s="150"/>
    </row>
    <row r="705">
      <c r="A705" s="146"/>
      <c r="B705" s="148"/>
      <c r="C705" s="11"/>
      <c r="D705" s="148"/>
      <c r="E705" s="148"/>
      <c r="F705" s="148"/>
      <c r="G705" s="146"/>
      <c r="H705" s="150"/>
      <c r="I705" s="150"/>
      <c r="J705" s="150"/>
      <c r="K705" s="150"/>
    </row>
    <row r="706">
      <c r="A706" s="146"/>
      <c r="B706" s="148"/>
      <c r="C706" s="11"/>
      <c r="D706" s="148"/>
      <c r="E706" s="148"/>
      <c r="F706" s="148"/>
      <c r="G706" s="146"/>
      <c r="H706" s="150"/>
      <c r="I706" s="150"/>
      <c r="J706" s="150"/>
      <c r="K706" s="150"/>
    </row>
    <row r="707">
      <c r="A707" s="146"/>
      <c r="B707" s="148"/>
      <c r="C707" s="11"/>
      <c r="D707" s="148"/>
      <c r="E707" s="148"/>
      <c r="F707" s="148"/>
      <c r="G707" s="146"/>
      <c r="H707" s="150"/>
      <c r="I707" s="150"/>
      <c r="J707" s="150"/>
      <c r="K707" s="150"/>
    </row>
    <row r="708">
      <c r="A708" s="146"/>
      <c r="B708" s="148"/>
      <c r="C708" s="11"/>
      <c r="D708" s="148"/>
      <c r="E708" s="148"/>
      <c r="F708" s="148"/>
      <c r="G708" s="146"/>
      <c r="H708" s="150"/>
      <c r="I708" s="150"/>
      <c r="J708" s="150"/>
      <c r="K708" s="150"/>
    </row>
    <row r="709">
      <c r="A709" s="146"/>
      <c r="B709" s="148"/>
      <c r="C709" s="11"/>
      <c r="D709" s="148"/>
      <c r="E709" s="148"/>
      <c r="F709" s="148"/>
      <c r="G709" s="146"/>
      <c r="H709" s="150"/>
      <c r="I709" s="150"/>
      <c r="J709" s="150"/>
      <c r="K709" s="150"/>
    </row>
    <row r="710">
      <c r="A710" s="146"/>
      <c r="B710" s="148"/>
      <c r="C710" s="11"/>
      <c r="D710" s="148"/>
      <c r="E710" s="148"/>
      <c r="F710" s="148"/>
      <c r="G710" s="146"/>
      <c r="H710" s="150"/>
      <c r="I710" s="150"/>
      <c r="J710" s="150"/>
      <c r="K710" s="150"/>
    </row>
    <row r="711">
      <c r="A711" s="146"/>
      <c r="B711" s="148"/>
      <c r="C711" s="11"/>
      <c r="D711" s="148"/>
      <c r="E711" s="148"/>
      <c r="F711" s="148"/>
      <c r="G711" s="146"/>
      <c r="H711" s="150"/>
      <c r="I711" s="150"/>
      <c r="J711" s="150"/>
      <c r="K711" s="150"/>
    </row>
    <row r="712">
      <c r="A712" s="146"/>
      <c r="B712" s="148"/>
      <c r="C712" s="11"/>
      <c r="D712" s="148"/>
      <c r="E712" s="148"/>
      <c r="F712" s="148"/>
      <c r="G712" s="146"/>
      <c r="H712" s="150"/>
      <c r="I712" s="150"/>
      <c r="J712" s="150"/>
      <c r="K712" s="150"/>
    </row>
    <row r="713">
      <c r="A713" s="146"/>
      <c r="B713" s="148"/>
      <c r="C713" s="11"/>
      <c r="D713" s="148"/>
      <c r="E713" s="148"/>
      <c r="F713" s="148"/>
      <c r="G713" s="146"/>
      <c r="H713" s="150"/>
      <c r="I713" s="150"/>
      <c r="J713" s="150"/>
      <c r="K713" s="150"/>
    </row>
    <row r="714">
      <c r="A714" s="146"/>
      <c r="B714" s="148"/>
      <c r="C714" s="11"/>
      <c r="D714" s="148"/>
      <c r="E714" s="148"/>
      <c r="F714" s="148"/>
      <c r="G714" s="146"/>
      <c r="H714" s="150"/>
      <c r="I714" s="150"/>
      <c r="J714" s="150"/>
      <c r="K714" s="150"/>
    </row>
    <row r="715">
      <c r="A715" s="146"/>
      <c r="B715" s="148"/>
      <c r="C715" s="11"/>
      <c r="D715" s="148"/>
      <c r="E715" s="148"/>
      <c r="F715" s="148"/>
      <c r="G715" s="146"/>
      <c r="H715" s="150"/>
      <c r="I715" s="150"/>
      <c r="J715" s="150"/>
      <c r="K715" s="150"/>
    </row>
    <row r="716">
      <c r="A716" s="146"/>
      <c r="B716" s="148"/>
      <c r="C716" s="11"/>
      <c r="D716" s="148"/>
      <c r="E716" s="148"/>
      <c r="F716" s="148"/>
      <c r="G716" s="146"/>
      <c r="H716" s="150"/>
      <c r="I716" s="150"/>
      <c r="J716" s="150"/>
      <c r="K716" s="150"/>
    </row>
    <row r="717">
      <c r="A717" s="146"/>
      <c r="B717" s="148"/>
      <c r="C717" s="11"/>
      <c r="D717" s="148"/>
      <c r="E717" s="148"/>
      <c r="F717" s="148"/>
      <c r="G717" s="146"/>
      <c r="H717" s="150"/>
      <c r="I717" s="150"/>
      <c r="J717" s="150"/>
      <c r="K717" s="150"/>
    </row>
    <row r="718">
      <c r="A718" s="146"/>
      <c r="B718" s="148"/>
      <c r="C718" s="11"/>
      <c r="D718" s="148"/>
      <c r="E718" s="148"/>
      <c r="F718" s="148"/>
      <c r="G718" s="146"/>
      <c r="H718" s="150"/>
      <c r="I718" s="150"/>
      <c r="J718" s="150"/>
      <c r="K718" s="150"/>
    </row>
    <row r="719">
      <c r="A719" s="146"/>
      <c r="B719" s="148"/>
      <c r="C719" s="11"/>
      <c r="D719" s="148"/>
      <c r="E719" s="148"/>
      <c r="F719" s="148"/>
      <c r="G719" s="146"/>
      <c r="H719" s="150"/>
      <c r="I719" s="150"/>
      <c r="J719" s="150"/>
      <c r="K719" s="150"/>
    </row>
    <row r="720">
      <c r="A720" s="146"/>
      <c r="B720" s="148"/>
      <c r="C720" s="11"/>
      <c r="D720" s="148"/>
      <c r="E720" s="148"/>
      <c r="F720" s="148"/>
      <c r="G720" s="146"/>
      <c r="H720" s="150"/>
      <c r="I720" s="150"/>
      <c r="J720" s="150"/>
      <c r="K720" s="150"/>
    </row>
    <row r="721">
      <c r="A721" s="146"/>
      <c r="B721" s="148"/>
      <c r="C721" s="11"/>
      <c r="D721" s="148"/>
      <c r="E721" s="148"/>
      <c r="F721" s="148"/>
      <c r="G721" s="146"/>
      <c r="H721" s="150"/>
      <c r="I721" s="150"/>
      <c r="J721" s="150"/>
      <c r="K721" s="150"/>
    </row>
    <row r="722">
      <c r="A722" s="146"/>
      <c r="B722" s="148"/>
      <c r="C722" s="11"/>
      <c r="D722" s="148"/>
      <c r="E722" s="148"/>
      <c r="F722" s="148"/>
      <c r="G722" s="146"/>
      <c r="H722" s="150"/>
      <c r="I722" s="150"/>
      <c r="J722" s="150"/>
      <c r="K722" s="150"/>
    </row>
    <row r="723">
      <c r="A723" s="146"/>
      <c r="B723" s="148"/>
      <c r="C723" s="11"/>
      <c r="D723" s="148"/>
      <c r="E723" s="148"/>
      <c r="F723" s="148"/>
      <c r="G723" s="146"/>
      <c r="H723" s="150"/>
      <c r="I723" s="150"/>
      <c r="J723" s="150"/>
      <c r="K723" s="150"/>
    </row>
    <row r="724">
      <c r="A724" s="146"/>
      <c r="B724" s="148"/>
      <c r="C724" s="11"/>
      <c r="D724" s="148"/>
      <c r="E724" s="148"/>
      <c r="F724" s="148"/>
      <c r="G724" s="146"/>
      <c r="H724" s="150"/>
      <c r="I724" s="150"/>
      <c r="J724" s="150"/>
      <c r="K724" s="150"/>
    </row>
    <row r="725">
      <c r="A725" s="146"/>
      <c r="B725" s="148"/>
      <c r="C725" s="11"/>
      <c r="D725" s="148"/>
      <c r="E725" s="148"/>
      <c r="F725" s="148"/>
      <c r="G725" s="146"/>
      <c r="H725" s="150"/>
      <c r="I725" s="150"/>
      <c r="J725" s="150"/>
      <c r="K725" s="150"/>
    </row>
    <row r="726">
      <c r="A726" s="146"/>
      <c r="B726" s="148"/>
      <c r="C726" s="11"/>
      <c r="D726" s="148"/>
      <c r="E726" s="148"/>
      <c r="F726" s="148"/>
      <c r="G726" s="146"/>
      <c r="H726" s="150"/>
      <c r="I726" s="150"/>
      <c r="J726" s="150"/>
      <c r="K726" s="150"/>
    </row>
    <row r="727">
      <c r="A727" s="146"/>
      <c r="B727" s="148"/>
      <c r="C727" s="11"/>
      <c r="D727" s="148"/>
      <c r="E727" s="148"/>
      <c r="F727" s="148"/>
      <c r="G727" s="146"/>
      <c r="H727" s="150"/>
      <c r="I727" s="150"/>
      <c r="J727" s="150"/>
      <c r="K727" s="150"/>
    </row>
    <row r="728">
      <c r="A728" s="146"/>
      <c r="B728" s="148"/>
      <c r="C728" s="11"/>
      <c r="D728" s="148"/>
      <c r="E728" s="148"/>
      <c r="F728" s="148"/>
      <c r="G728" s="146"/>
      <c r="H728" s="150"/>
      <c r="I728" s="150"/>
      <c r="J728" s="150"/>
      <c r="K728" s="150"/>
    </row>
    <row r="729">
      <c r="A729" s="146"/>
      <c r="B729" s="148"/>
      <c r="C729" s="11"/>
      <c r="D729" s="148"/>
      <c r="E729" s="148"/>
      <c r="F729" s="148"/>
      <c r="G729" s="146"/>
      <c r="H729" s="150"/>
      <c r="I729" s="150"/>
      <c r="J729" s="150"/>
      <c r="K729" s="150"/>
    </row>
    <row r="730">
      <c r="A730" s="146"/>
      <c r="B730" s="148"/>
      <c r="C730" s="11"/>
      <c r="D730" s="148"/>
      <c r="E730" s="148"/>
      <c r="F730" s="148"/>
      <c r="G730" s="146"/>
      <c r="H730" s="150"/>
      <c r="I730" s="150"/>
      <c r="J730" s="150"/>
      <c r="K730" s="150"/>
    </row>
    <row r="731">
      <c r="A731" s="146"/>
      <c r="B731" s="148"/>
      <c r="C731" s="11"/>
      <c r="D731" s="148"/>
      <c r="E731" s="148"/>
      <c r="F731" s="148"/>
      <c r="G731" s="146"/>
      <c r="H731" s="150"/>
      <c r="I731" s="150"/>
      <c r="J731" s="150"/>
      <c r="K731" s="150"/>
    </row>
    <row r="732">
      <c r="A732" s="146"/>
      <c r="B732" s="148"/>
      <c r="C732" s="11"/>
      <c r="D732" s="148"/>
      <c r="E732" s="148"/>
      <c r="F732" s="148"/>
      <c r="G732" s="146"/>
      <c r="H732" s="150"/>
      <c r="I732" s="150"/>
      <c r="J732" s="150"/>
      <c r="K732" s="150"/>
    </row>
    <row r="733">
      <c r="A733" s="146"/>
      <c r="B733" s="148"/>
      <c r="C733" s="11"/>
      <c r="D733" s="148"/>
      <c r="E733" s="148"/>
      <c r="F733" s="148"/>
      <c r="G733" s="146"/>
      <c r="H733" s="150"/>
      <c r="I733" s="150"/>
      <c r="J733" s="150"/>
      <c r="K733" s="150"/>
    </row>
    <row r="734">
      <c r="A734" s="146"/>
      <c r="B734" s="148"/>
      <c r="C734" s="11"/>
      <c r="D734" s="148"/>
      <c r="E734" s="148"/>
      <c r="F734" s="148"/>
      <c r="G734" s="146"/>
      <c r="H734" s="150"/>
      <c r="I734" s="150"/>
      <c r="J734" s="150"/>
      <c r="K734" s="150"/>
    </row>
    <row r="735">
      <c r="A735" s="146"/>
      <c r="B735" s="148"/>
      <c r="C735" s="11"/>
      <c r="D735" s="148"/>
      <c r="E735" s="148"/>
      <c r="F735" s="148"/>
      <c r="G735" s="146"/>
      <c r="H735" s="150"/>
      <c r="I735" s="150"/>
      <c r="J735" s="150"/>
      <c r="K735" s="150"/>
    </row>
    <row r="736">
      <c r="A736" s="146"/>
      <c r="B736" s="148"/>
      <c r="C736" s="11"/>
      <c r="D736" s="148"/>
      <c r="E736" s="148"/>
      <c r="F736" s="148"/>
      <c r="G736" s="146"/>
      <c r="H736" s="150"/>
      <c r="I736" s="150"/>
      <c r="J736" s="150"/>
      <c r="K736" s="150"/>
    </row>
    <row r="737">
      <c r="A737" s="146"/>
      <c r="B737" s="148"/>
      <c r="C737" s="11"/>
      <c r="D737" s="148"/>
      <c r="E737" s="148"/>
      <c r="F737" s="148"/>
      <c r="G737" s="146"/>
      <c r="H737" s="150"/>
      <c r="I737" s="150"/>
      <c r="J737" s="150"/>
      <c r="K737" s="150"/>
    </row>
    <row r="738">
      <c r="A738" s="146"/>
      <c r="B738" s="148"/>
      <c r="C738" s="11"/>
      <c r="D738" s="148"/>
      <c r="E738" s="148"/>
      <c r="F738" s="148"/>
      <c r="G738" s="146"/>
      <c r="H738" s="150"/>
      <c r="I738" s="150"/>
      <c r="J738" s="150"/>
      <c r="K738" s="150"/>
    </row>
    <row r="739">
      <c r="A739" s="146"/>
      <c r="B739" s="148"/>
      <c r="C739" s="11"/>
      <c r="D739" s="148"/>
      <c r="E739" s="148"/>
      <c r="F739" s="148"/>
      <c r="G739" s="146"/>
      <c r="H739" s="150"/>
      <c r="I739" s="150"/>
      <c r="J739" s="150"/>
      <c r="K739" s="150"/>
    </row>
    <row r="740">
      <c r="A740" s="146"/>
      <c r="B740" s="148"/>
      <c r="C740" s="11"/>
      <c r="D740" s="148"/>
      <c r="E740" s="148"/>
      <c r="F740" s="148"/>
      <c r="G740" s="146"/>
      <c r="H740" s="150"/>
      <c r="I740" s="150"/>
      <c r="J740" s="150"/>
      <c r="K740" s="150"/>
    </row>
    <row r="741">
      <c r="A741" s="146"/>
      <c r="B741" s="148"/>
      <c r="C741" s="11"/>
      <c r="D741" s="148"/>
      <c r="E741" s="148"/>
      <c r="F741" s="148"/>
      <c r="G741" s="146"/>
      <c r="H741" s="150"/>
      <c r="I741" s="150"/>
      <c r="J741" s="150"/>
      <c r="K741" s="150"/>
    </row>
    <row r="742">
      <c r="A742" s="146"/>
      <c r="B742" s="148"/>
      <c r="C742" s="11"/>
      <c r="D742" s="148"/>
      <c r="E742" s="148"/>
      <c r="F742" s="148"/>
      <c r="G742" s="146"/>
      <c r="H742" s="150"/>
      <c r="I742" s="150"/>
      <c r="J742" s="150"/>
      <c r="K742" s="150"/>
    </row>
    <row r="743">
      <c r="A743" s="146"/>
      <c r="B743" s="148"/>
      <c r="C743" s="11"/>
      <c r="D743" s="148"/>
      <c r="E743" s="148"/>
      <c r="F743" s="148"/>
      <c r="G743" s="146"/>
      <c r="H743" s="150"/>
      <c r="I743" s="150"/>
      <c r="J743" s="150"/>
      <c r="K743" s="150"/>
    </row>
    <row r="744">
      <c r="A744" s="146"/>
      <c r="B744" s="148"/>
      <c r="C744" s="11"/>
      <c r="D744" s="148"/>
      <c r="E744" s="148"/>
      <c r="F744" s="148"/>
      <c r="G744" s="146"/>
      <c r="H744" s="150"/>
      <c r="I744" s="150"/>
      <c r="J744" s="150"/>
      <c r="K744" s="150"/>
    </row>
    <row r="745">
      <c r="A745" s="146"/>
      <c r="B745" s="148"/>
      <c r="C745" s="11"/>
      <c r="D745" s="148"/>
      <c r="E745" s="148"/>
      <c r="F745" s="148"/>
      <c r="G745" s="146"/>
      <c r="H745" s="150"/>
      <c r="I745" s="150"/>
      <c r="J745" s="150"/>
      <c r="K745" s="150"/>
    </row>
    <row r="746">
      <c r="A746" s="146"/>
      <c r="B746" s="148"/>
      <c r="C746" s="11"/>
      <c r="D746" s="148"/>
      <c r="E746" s="148"/>
      <c r="F746" s="148"/>
      <c r="G746" s="146"/>
      <c r="H746" s="150"/>
      <c r="I746" s="150"/>
      <c r="J746" s="150"/>
      <c r="K746" s="150"/>
    </row>
    <row r="747">
      <c r="A747" s="146"/>
      <c r="B747" s="148"/>
      <c r="C747" s="11"/>
      <c r="D747" s="148"/>
      <c r="E747" s="148"/>
      <c r="F747" s="148"/>
      <c r="G747" s="146"/>
      <c r="H747" s="150"/>
      <c r="I747" s="150"/>
      <c r="J747" s="150"/>
      <c r="K747" s="150"/>
    </row>
    <row r="748">
      <c r="A748" s="146"/>
      <c r="B748" s="148"/>
      <c r="C748" s="11"/>
      <c r="D748" s="148"/>
      <c r="E748" s="148"/>
      <c r="F748" s="148"/>
      <c r="G748" s="146"/>
      <c r="H748" s="150"/>
      <c r="I748" s="150"/>
      <c r="J748" s="150"/>
      <c r="K748" s="150"/>
    </row>
    <row r="749">
      <c r="A749" s="146"/>
      <c r="B749" s="148"/>
      <c r="C749" s="11"/>
      <c r="D749" s="148"/>
      <c r="E749" s="148"/>
      <c r="F749" s="148"/>
      <c r="G749" s="146"/>
      <c r="H749" s="150"/>
      <c r="I749" s="150"/>
      <c r="J749" s="150"/>
      <c r="K749" s="150"/>
    </row>
    <row r="750">
      <c r="A750" s="146"/>
      <c r="B750" s="148"/>
      <c r="C750" s="11"/>
      <c r="D750" s="148"/>
      <c r="E750" s="148"/>
      <c r="F750" s="148"/>
      <c r="G750" s="146"/>
      <c r="H750" s="150"/>
      <c r="I750" s="150"/>
      <c r="J750" s="150"/>
      <c r="K750" s="150"/>
    </row>
    <row r="751">
      <c r="A751" s="146"/>
      <c r="B751" s="148"/>
      <c r="C751" s="11"/>
      <c r="D751" s="148"/>
      <c r="E751" s="148"/>
      <c r="F751" s="148"/>
      <c r="G751" s="146"/>
      <c r="H751" s="150"/>
      <c r="I751" s="150"/>
      <c r="J751" s="150"/>
      <c r="K751" s="150"/>
    </row>
    <row r="752">
      <c r="A752" s="146"/>
      <c r="B752" s="148"/>
      <c r="C752" s="11"/>
      <c r="D752" s="148"/>
      <c r="E752" s="148"/>
      <c r="F752" s="148"/>
      <c r="G752" s="146"/>
      <c r="H752" s="150"/>
      <c r="I752" s="150"/>
      <c r="J752" s="150"/>
      <c r="K752" s="150"/>
    </row>
    <row r="753">
      <c r="A753" s="146"/>
      <c r="B753" s="148"/>
      <c r="C753" s="11"/>
      <c r="D753" s="148"/>
      <c r="E753" s="148"/>
      <c r="F753" s="148"/>
      <c r="G753" s="146"/>
      <c r="H753" s="150"/>
      <c r="I753" s="150"/>
      <c r="J753" s="150"/>
      <c r="K753" s="150"/>
    </row>
    <row r="754">
      <c r="A754" s="146"/>
      <c r="B754" s="148"/>
      <c r="C754" s="11"/>
      <c r="D754" s="148"/>
      <c r="E754" s="148"/>
      <c r="F754" s="148"/>
      <c r="G754" s="146"/>
      <c r="H754" s="150"/>
      <c r="I754" s="150"/>
      <c r="J754" s="150"/>
      <c r="K754" s="150"/>
    </row>
    <row r="755">
      <c r="A755" s="146"/>
      <c r="B755" s="148"/>
      <c r="C755" s="11"/>
      <c r="D755" s="148"/>
      <c r="E755" s="148"/>
      <c r="F755" s="148"/>
      <c r="G755" s="146"/>
      <c r="H755" s="150"/>
      <c r="I755" s="150"/>
      <c r="J755" s="150"/>
      <c r="K755" s="150"/>
    </row>
    <row r="756">
      <c r="A756" s="146"/>
      <c r="B756" s="148"/>
      <c r="C756" s="11"/>
      <c r="D756" s="148"/>
      <c r="E756" s="148"/>
      <c r="F756" s="148"/>
      <c r="G756" s="146"/>
      <c r="H756" s="150"/>
      <c r="I756" s="150"/>
      <c r="J756" s="150"/>
      <c r="K756" s="150"/>
    </row>
    <row r="757">
      <c r="A757" s="146"/>
      <c r="B757" s="148"/>
      <c r="C757" s="11"/>
      <c r="D757" s="148"/>
      <c r="E757" s="148"/>
      <c r="F757" s="148"/>
      <c r="G757" s="146"/>
      <c r="H757" s="150"/>
      <c r="I757" s="150"/>
      <c r="J757" s="150"/>
      <c r="K757" s="150"/>
    </row>
    <row r="758">
      <c r="A758" s="146"/>
      <c r="B758" s="148"/>
      <c r="C758" s="11"/>
      <c r="D758" s="148"/>
      <c r="E758" s="148"/>
      <c r="F758" s="148"/>
      <c r="G758" s="146"/>
      <c r="H758" s="150"/>
      <c r="I758" s="150"/>
      <c r="J758" s="150"/>
      <c r="K758" s="150"/>
    </row>
    <row r="759">
      <c r="A759" s="146"/>
      <c r="B759" s="148"/>
      <c r="C759" s="11"/>
      <c r="D759" s="148"/>
      <c r="E759" s="148"/>
      <c r="F759" s="148"/>
      <c r="G759" s="146"/>
      <c r="H759" s="150"/>
      <c r="I759" s="150"/>
      <c r="J759" s="150"/>
      <c r="K759" s="150"/>
    </row>
    <row r="760">
      <c r="A760" s="146"/>
      <c r="B760" s="148"/>
      <c r="C760" s="11"/>
      <c r="D760" s="148"/>
      <c r="E760" s="148"/>
      <c r="F760" s="148"/>
      <c r="G760" s="146"/>
      <c r="H760" s="150"/>
      <c r="I760" s="150"/>
      <c r="J760" s="150"/>
      <c r="K760" s="150"/>
    </row>
    <row r="761">
      <c r="A761" s="146"/>
      <c r="B761" s="148"/>
      <c r="C761" s="11"/>
      <c r="D761" s="148"/>
      <c r="E761" s="148"/>
      <c r="F761" s="148"/>
      <c r="G761" s="146"/>
      <c r="H761" s="150"/>
      <c r="I761" s="150"/>
      <c r="J761" s="150"/>
      <c r="K761" s="150"/>
    </row>
    <row r="762">
      <c r="A762" s="146"/>
      <c r="B762" s="148"/>
      <c r="C762" s="11"/>
      <c r="D762" s="148"/>
      <c r="E762" s="148"/>
      <c r="F762" s="148"/>
      <c r="G762" s="146"/>
      <c r="H762" s="150"/>
      <c r="I762" s="150"/>
      <c r="J762" s="150"/>
      <c r="K762" s="150"/>
    </row>
    <row r="763">
      <c r="A763" s="146"/>
      <c r="B763" s="148"/>
      <c r="C763" s="11"/>
      <c r="D763" s="148"/>
      <c r="E763" s="148"/>
      <c r="F763" s="148"/>
      <c r="G763" s="146"/>
      <c r="H763" s="150"/>
      <c r="I763" s="150"/>
      <c r="J763" s="150"/>
      <c r="K763" s="150"/>
    </row>
    <row r="764">
      <c r="A764" s="146"/>
      <c r="B764" s="148"/>
      <c r="C764" s="11"/>
      <c r="D764" s="148"/>
      <c r="E764" s="148"/>
      <c r="F764" s="148"/>
      <c r="G764" s="146"/>
      <c r="H764" s="150"/>
      <c r="I764" s="150"/>
      <c r="J764" s="150"/>
      <c r="K764" s="150"/>
    </row>
    <row r="765">
      <c r="A765" s="146"/>
      <c r="B765" s="148"/>
      <c r="C765" s="11"/>
      <c r="D765" s="148"/>
      <c r="E765" s="148"/>
      <c r="F765" s="148"/>
      <c r="G765" s="146"/>
      <c r="H765" s="150"/>
      <c r="I765" s="150"/>
      <c r="J765" s="150"/>
      <c r="K765" s="150"/>
    </row>
    <row r="766">
      <c r="A766" s="146"/>
      <c r="B766" s="148"/>
      <c r="C766" s="11"/>
      <c r="D766" s="148"/>
      <c r="E766" s="148"/>
      <c r="F766" s="148"/>
      <c r="G766" s="146"/>
      <c r="H766" s="150"/>
      <c r="I766" s="150"/>
      <c r="J766" s="150"/>
      <c r="K766" s="150"/>
    </row>
    <row r="767">
      <c r="A767" s="146"/>
      <c r="B767" s="148"/>
      <c r="C767" s="11"/>
      <c r="D767" s="148"/>
      <c r="E767" s="148"/>
      <c r="F767" s="148"/>
      <c r="G767" s="146"/>
      <c r="H767" s="150"/>
      <c r="I767" s="150"/>
      <c r="J767" s="150"/>
      <c r="K767" s="150"/>
    </row>
    <row r="768">
      <c r="A768" s="146"/>
      <c r="B768" s="148"/>
      <c r="C768" s="11"/>
      <c r="D768" s="148"/>
      <c r="E768" s="148"/>
      <c r="F768" s="148"/>
      <c r="G768" s="146"/>
      <c r="H768" s="150"/>
      <c r="I768" s="150"/>
      <c r="J768" s="150"/>
      <c r="K768" s="150"/>
    </row>
    <row r="769">
      <c r="A769" s="146"/>
      <c r="B769" s="148"/>
      <c r="C769" s="11"/>
      <c r="D769" s="148"/>
      <c r="E769" s="148"/>
      <c r="F769" s="148"/>
      <c r="G769" s="146"/>
      <c r="H769" s="150"/>
      <c r="I769" s="150"/>
      <c r="J769" s="150"/>
      <c r="K769" s="150"/>
    </row>
    <row r="770">
      <c r="A770" s="146"/>
      <c r="B770" s="148"/>
      <c r="C770" s="11"/>
      <c r="D770" s="148"/>
      <c r="E770" s="148"/>
      <c r="F770" s="148"/>
      <c r="G770" s="146"/>
      <c r="H770" s="150"/>
      <c r="I770" s="150"/>
      <c r="J770" s="150"/>
      <c r="K770" s="150"/>
    </row>
    <row r="771">
      <c r="A771" s="146"/>
      <c r="B771" s="148"/>
      <c r="C771" s="11"/>
      <c r="D771" s="148"/>
      <c r="E771" s="148"/>
      <c r="F771" s="148"/>
      <c r="G771" s="146"/>
      <c r="H771" s="150"/>
      <c r="I771" s="150"/>
      <c r="J771" s="150"/>
      <c r="K771" s="150"/>
    </row>
    <row r="772">
      <c r="A772" s="146"/>
      <c r="B772" s="148"/>
      <c r="C772" s="11"/>
      <c r="D772" s="148"/>
      <c r="E772" s="148"/>
      <c r="F772" s="148"/>
      <c r="G772" s="146"/>
      <c r="H772" s="150"/>
      <c r="I772" s="150"/>
      <c r="J772" s="150"/>
      <c r="K772" s="150"/>
    </row>
    <row r="773">
      <c r="A773" s="146"/>
      <c r="B773" s="148"/>
      <c r="C773" s="11"/>
      <c r="D773" s="148"/>
      <c r="E773" s="148"/>
      <c r="F773" s="148"/>
      <c r="G773" s="146"/>
      <c r="H773" s="150"/>
      <c r="I773" s="150"/>
      <c r="J773" s="150"/>
      <c r="K773" s="150"/>
    </row>
    <row r="774">
      <c r="A774" s="146"/>
      <c r="B774" s="148"/>
      <c r="C774" s="11"/>
      <c r="D774" s="148"/>
      <c r="E774" s="148"/>
      <c r="F774" s="148"/>
      <c r="G774" s="146"/>
      <c r="H774" s="150"/>
      <c r="I774" s="150"/>
      <c r="J774" s="150"/>
      <c r="K774" s="150"/>
    </row>
    <row r="775">
      <c r="A775" s="146"/>
      <c r="B775" s="148"/>
      <c r="C775" s="11"/>
      <c r="D775" s="148"/>
      <c r="E775" s="148"/>
      <c r="F775" s="148"/>
      <c r="G775" s="146"/>
      <c r="H775" s="150"/>
      <c r="I775" s="150"/>
      <c r="J775" s="150"/>
      <c r="K775" s="150"/>
    </row>
    <row r="776">
      <c r="A776" s="146"/>
      <c r="B776" s="148"/>
      <c r="C776" s="11"/>
      <c r="D776" s="148"/>
      <c r="E776" s="148"/>
      <c r="F776" s="148"/>
      <c r="G776" s="146"/>
      <c r="H776" s="150"/>
      <c r="I776" s="150"/>
      <c r="J776" s="150"/>
      <c r="K776" s="150"/>
    </row>
    <row r="777">
      <c r="A777" s="146"/>
      <c r="B777" s="148"/>
      <c r="C777" s="11"/>
      <c r="D777" s="148"/>
      <c r="E777" s="148"/>
      <c r="F777" s="148"/>
      <c r="G777" s="146"/>
      <c r="H777" s="150"/>
      <c r="I777" s="150"/>
      <c r="J777" s="150"/>
      <c r="K777" s="150"/>
    </row>
    <row r="778">
      <c r="A778" s="146"/>
      <c r="B778" s="148"/>
      <c r="C778" s="11"/>
      <c r="D778" s="148"/>
      <c r="E778" s="148"/>
      <c r="F778" s="148"/>
      <c r="G778" s="146"/>
      <c r="H778" s="150"/>
      <c r="I778" s="150"/>
      <c r="J778" s="150"/>
      <c r="K778" s="150"/>
    </row>
    <row r="779">
      <c r="A779" s="146"/>
      <c r="B779" s="148"/>
      <c r="C779" s="11"/>
      <c r="D779" s="148"/>
      <c r="E779" s="148"/>
      <c r="F779" s="148"/>
      <c r="G779" s="146"/>
      <c r="H779" s="150"/>
      <c r="I779" s="150"/>
      <c r="J779" s="150"/>
      <c r="K779" s="150"/>
    </row>
    <row r="780">
      <c r="A780" s="146"/>
      <c r="B780" s="148"/>
      <c r="C780" s="11"/>
      <c r="D780" s="148"/>
      <c r="E780" s="148"/>
      <c r="F780" s="148"/>
      <c r="G780" s="146"/>
      <c r="H780" s="150"/>
      <c r="I780" s="150"/>
      <c r="J780" s="150"/>
      <c r="K780" s="150"/>
    </row>
    <row r="781">
      <c r="A781" s="146"/>
      <c r="B781" s="148"/>
      <c r="C781" s="11"/>
      <c r="D781" s="148"/>
      <c r="E781" s="148"/>
      <c r="F781" s="148"/>
      <c r="G781" s="146"/>
      <c r="H781" s="150"/>
      <c r="I781" s="150"/>
      <c r="J781" s="150"/>
      <c r="K781" s="150"/>
    </row>
    <row r="782">
      <c r="A782" s="146"/>
      <c r="B782" s="148"/>
      <c r="C782" s="11"/>
      <c r="D782" s="148"/>
      <c r="E782" s="148"/>
      <c r="F782" s="148"/>
      <c r="G782" s="146"/>
      <c r="H782" s="150"/>
      <c r="I782" s="150"/>
      <c r="J782" s="150"/>
      <c r="K782" s="150"/>
    </row>
    <row r="783">
      <c r="A783" s="146"/>
      <c r="B783" s="148"/>
      <c r="C783" s="11"/>
      <c r="D783" s="148"/>
      <c r="E783" s="148"/>
      <c r="F783" s="148"/>
      <c r="G783" s="146"/>
      <c r="H783" s="150"/>
      <c r="I783" s="150"/>
      <c r="J783" s="150"/>
      <c r="K783" s="150"/>
    </row>
    <row r="784">
      <c r="A784" s="146"/>
      <c r="B784" s="148"/>
      <c r="C784" s="11"/>
      <c r="D784" s="148"/>
      <c r="E784" s="148"/>
      <c r="F784" s="148"/>
      <c r="G784" s="146"/>
      <c r="H784" s="150"/>
      <c r="I784" s="150"/>
      <c r="J784" s="150"/>
      <c r="K784" s="150"/>
    </row>
    <row r="785">
      <c r="A785" s="146"/>
      <c r="B785" s="148"/>
      <c r="C785" s="11"/>
      <c r="D785" s="148"/>
      <c r="E785" s="148"/>
      <c r="F785" s="148"/>
      <c r="G785" s="146"/>
      <c r="H785" s="150"/>
      <c r="I785" s="150"/>
      <c r="J785" s="150"/>
      <c r="K785" s="150"/>
    </row>
    <row r="786">
      <c r="A786" s="146"/>
      <c r="B786" s="148"/>
      <c r="C786" s="11"/>
      <c r="D786" s="148"/>
      <c r="E786" s="148"/>
      <c r="F786" s="148"/>
      <c r="G786" s="146"/>
      <c r="H786" s="150"/>
      <c r="I786" s="150"/>
      <c r="J786" s="150"/>
      <c r="K786" s="150"/>
    </row>
    <row r="787">
      <c r="A787" s="146"/>
      <c r="B787" s="148"/>
      <c r="C787" s="11"/>
      <c r="D787" s="148"/>
      <c r="E787" s="148"/>
      <c r="F787" s="148"/>
      <c r="G787" s="146"/>
      <c r="H787" s="150"/>
      <c r="I787" s="150"/>
      <c r="J787" s="150"/>
      <c r="K787" s="150"/>
    </row>
    <row r="788">
      <c r="A788" s="146"/>
      <c r="B788" s="148"/>
      <c r="C788" s="11"/>
      <c r="D788" s="148"/>
      <c r="E788" s="148"/>
      <c r="F788" s="148"/>
      <c r="G788" s="146"/>
      <c r="H788" s="150"/>
      <c r="I788" s="150"/>
      <c r="J788" s="150"/>
      <c r="K788" s="150"/>
    </row>
    <row r="789">
      <c r="A789" s="146"/>
      <c r="B789" s="148"/>
      <c r="C789" s="11"/>
      <c r="D789" s="148"/>
      <c r="E789" s="148"/>
      <c r="F789" s="148"/>
      <c r="G789" s="146"/>
      <c r="H789" s="150"/>
      <c r="I789" s="150"/>
      <c r="J789" s="150"/>
      <c r="K789" s="150"/>
    </row>
    <row r="790">
      <c r="A790" s="146"/>
      <c r="B790" s="148"/>
      <c r="C790" s="11"/>
      <c r="D790" s="148"/>
      <c r="E790" s="148"/>
      <c r="F790" s="148"/>
      <c r="G790" s="146"/>
      <c r="H790" s="150"/>
      <c r="I790" s="150"/>
      <c r="J790" s="150"/>
      <c r="K790" s="150"/>
    </row>
    <row r="791">
      <c r="A791" s="146"/>
      <c r="B791" s="148"/>
      <c r="C791" s="11"/>
      <c r="D791" s="148"/>
      <c r="E791" s="148"/>
      <c r="F791" s="148"/>
      <c r="G791" s="146"/>
      <c r="H791" s="150"/>
      <c r="I791" s="150"/>
      <c r="J791" s="150"/>
      <c r="K791" s="150"/>
    </row>
    <row r="792">
      <c r="A792" s="146"/>
      <c r="B792" s="148"/>
      <c r="C792" s="11"/>
      <c r="D792" s="148"/>
      <c r="E792" s="148"/>
      <c r="F792" s="148"/>
      <c r="G792" s="146"/>
      <c r="H792" s="150"/>
      <c r="I792" s="150"/>
      <c r="J792" s="150"/>
      <c r="K792" s="150"/>
    </row>
    <row r="793">
      <c r="A793" s="146"/>
      <c r="B793" s="148"/>
      <c r="C793" s="11"/>
      <c r="D793" s="148"/>
      <c r="E793" s="148"/>
      <c r="F793" s="148"/>
      <c r="G793" s="146"/>
      <c r="H793" s="150"/>
      <c r="I793" s="150"/>
      <c r="J793" s="150"/>
      <c r="K793" s="150"/>
    </row>
    <row r="794">
      <c r="A794" s="146"/>
      <c r="B794" s="148"/>
      <c r="C794" s="11"/>
      <c r="D794" s="148"/>
      <c r="E794" s="148"/>
      <c r="F794" s="148"/>
      <c r="G794" s="146"/>
      <c r="H794" s="150"/>
      <c r="I794" s="150"/>
      <c r="J794" s="150"/>
      <c r="K794" s="150"/>
    </row>
    <row r="795">
      <c r="A795" s="146"/>
      <c r="B795" s="148"/>
      <c r="C795" s="11"/>
      <c r="D795" s="148"/>
      <c r="E795" s="148"/>
      <c r="F795" s="148"/>
      <c r="G795" s="146"/>
      <c r="H795" s="150"/>
      <c r="I795" s="150"/>
      <c r="J795" s="150"/>
      <c r="K795" s="150"/>
    </row>
    <row r="796">
      <c r="A796" s="146"/>
      <c r="B796" s="148"/>
      <c r="C796" s="11"/>
      <c r="D796" s="148"/>
      <c r="E796" s="148"/>
      <c r="F796" s="148"/>
      <c r="G796" s="146"/>
      <c r="H796" s="150"/>
      <c r="I796" s="150"/>
      <c r="J796" s="150"/>
      <c r="K796" s="150"/>
    </row>
    <row r="797">
      <c r="A797" s="146"/>
      <c r="B797" s="148"/>
      <c r="C797" s="11"/>
      <c r="D797" s="148"/>
      <c r="E797" s="148"/>
      <c r="F797" s="148"/>
      <c r="G797" s="146"/>
      <c r="H797" s="150"/>
      <c r="I797" s="150"/>
      <c r="J797" s="150"/>
      <c r="K797" s="150"/>
    </row>
    <row r="798">
      <c r="A798" s="146"/>
      <c r="B798" s="148"/>
      <c r="C798" s="11"/>
      <c r="D798" s="148"/>
      <c r="E798" s="148"/>
      <c r="F798" s="148"/>
      <c r="G798" s="146"/>
      <c r="H798" s="150"/>
      <c r="I798" s="150"/>
      <c r="J798" s="150"/>
      <c r="K798" s="150"/>
    </row>
    <row r="799">
      <c r="A799" s="146"/>
      <c r="B799" s="148"/>
      <c r="C799" s="11"/>
      <c r="D799" s="148"/>
      <c r="E799" s="148"/>
      <c r="F799" s="148"/>
      <c r="G799" s="146"/>
      <c r="H799" s="150"/>
      <c r="I799" s="150"/>
      <c r="J799" s="150"/>
      <c r="K799" s="150"/>
    </row>
    <row r="800">
      <c r="A800" s="146"/>
      <c r="B800" s="148"/>
      <c r="C800" s="11"/>
      <c r="D800" s="148"/>
      <c r="E800" s="148"/>
      <c r="F800" s="148"/>
      <c r="G800" s="146"/>
      <c r="H800" s="150"/>
      <c r="I800" s="150"/>
      <c r="J800" s="150"/>
      <c r="K800" s="150"/>
    </row>
    <row r="801">
      <c r="A801" s="146"/>
      <c r="B801" s="148"/>
      <c r="C801" s="11"/>
      <c r="D801" s="148"/>
      <c r="E801" s="148"/>
      <c r="F801" s="148"/>
      <c r="G801" s="146"/>
      <c r="H801" s="150"/>
      <c r="I801" s="150"/>
      <c r="J801" s="150"/>
      <c r="K801" s="150"/>
    </row>
    <row r="802">
      <c r="A802" s="146"/>
      <c r="B802" s="148"/>
      <c r="C802" s="11"/>
      <c r="D802" s="148"/>
      <c r="E802" s="148"/>
      <c r="F802" s="148"/>
      <c r="G802" s="146"/>
      <c r="H802" s="150"/>
      <c r="I802" s="150"/>
      <c r="J802" s="150"/>
      <c r="K802" s="150"/>
    </row>
    <row r="803">
      <c r="A803" s="146"/>
      <c r="B803" s="148"/>
      <c r="C803" s="11"/>
      <c r="D803" s="148"/>
      <c r="E803" s="148"/>
      <c r="F803" s="148"/>
      <c r="G803" s="146"/>
      <c r="H803" s="150"/>
      <c r="I803" s="150"/>
      <c r="J803" s="150"/>
      <c r="K803" s="150"/>
    </row>
    <row r="804">
      <c r="A804" s="146"/>
      <c r="B804" s="148"/>
      <c r="C804" s="11"/>
      <c r="D804" s="148"/>
      <c r="E804" s="148"/>
      <c r="F804" s="148"/>
      <c r="G804" s="146"/>
      <c r="H804" s="150"/>
      <c r="I804" s="150"/>
      <c r="J804" s="150"/>
      <c r="K804" s="150"/>
    </row>
    <row r="805">
      <c r="A805" s="146"/>
      <c r="B805" s="148"/>
      <c r="C805" s="11"/>
      <c r="D805" s="148"/>
      <c r="E805" s="148"/>
      <c r="F805" s="148"/>
      <c r="G805" s="146"/>
      <c r="H805" s="150"/>
      <c r="I805" s="150"/>
      <c r="J805" s="150"/>
      <c r="K805" s="150"/>
    </row>
    <row r="806">
      <c r="A806" s="146"/>
      <c r="B806" s="148"/>
      <c r="C806" s="11"/>
      <c r="D806" s="148"/>
      <c r="E806" s="148"/>
      <c r="F806" s="148"/>
      <c r="G806" s="146"/>
      <c r="H806" s="150"/>
      <c r="I806" s="150"/>
      <c r="J806" s="150"/>
      <c r="K806" s="150"/>
    </row>
    <row r="807">
      <c r="A807" s="146"/>
      <c r="B807" s="148"/>
      <c r="C807" s="11"/>
      <c r="D807" s="148"/>
      <c r="E807" s="148"/>
      <c r="F807" s="148"/>
      <c r="G807" s="146"/>
      <c r="H807" s="150"/>
      <c r="I807" s="150"/>
      <c r="J807" s="150"/>
      <c r="K807" s="150"/>
    </row>
    <row r="808">
      <c r="A808" s="146"/>
      <c r="B808" s="148"/>
      <c r="C808" s="11"/>
      <c r="D808" s="148"/>
      <c r="E808" s="148"/>
      <c r="F808" s="148"/>
      <c r="G808" s="146"/>
      <c r="H808" s="150"/>
      <c r="I808" s="150"/>
      <c r="J808" s="150"/>
      <c r="K808" s="150"/>
    </row>
    <row r="809">
      <c r="A809" s="146"/>
      <c r="B809" s="148"/>
      <c r="C809" s="11"/>
      <c r="D809" s="148"/>
      <c r="E809" s="148"/>
      <c r="F809" s="148"/>
      <c r="G809" s="146"/>
      <c r="H809" s="150"/>
      <c r="I809" s="150"/>
      <c r="J809" s="150"/>
      <c r="K809" s="150"/>
    </row>
    <row r="810">
      <c r="A810" s="146"/>
      <c r="B810" s="148"/>
      <c r="C810" s="11"/>
      <c r="D810" s="148"/>
      <c r="E810" s="148"/>
      <c r="F810" s="148"/>
      <c r="G810" s="146"/>
      <c r="H810" s="150"/>
      <c r="I810" s="150"/>
      <c r="J810" s="150"/>
      <c r="K810" s="150"/>
    </row>
    <row r="811">
      <c r="A811" s="146"/>
      <c r="B811" s="148"/>
      <c r="C811" s="11"/>
      <c r="D811" s="148"/>
      <c r="E811" s="148"/>
      <c r="F811" s="148"/>
      <c r="G811" s="146"/>
      <c r="H811" s="150"/>
      <c r="I811" s="150"/>
      <c r="J811" s="150"/>
      <c r="K811" s="150"/>
    </row>
    <row r="812">
      <c r="A812" s="146"/>
      <c r="B812" s="148"/>
      <c r="C812" s="11"/>
      <c r="D812" s="148"/>
      <c r="E812" s="148"/>
      <c r="F812" s="148"/>
      <c r="G812" s="146"/>
      <c r="H812" s="150"/>
      <c r="I812" s="150"/>
      <c r="J812" s="150"/>
      <c r="K812" s="150"/>
    </row>
    <row r="813">
      <c r="A813" s="146"/>
      <c r="B813" s="148"/>
      <c r="C813" s="11"/>
      <c r="D813" s="148"/>
      <c r="E813" s="148"/>
      <c r="F813" s="148"/>
      <c r="G813" s="146"/>
      <c r="H813" s="150"/>
      <c r="I813" s="150"/>
      <c r="J813" s="150"/>
      <c r="K813" s="150"/>
    </row>
    <row r="814">
      <c r="A814" s="146"/>
      <c r="B814" s="148"/>
      <c r="C814" s="11"/>
      <c r="D814" s="148"/>
      <c r="E814" s="148"/>
      <c r="F814" s="148"/>
      <c r="G814" s="146"/>
      <c r="H814" s="150"/>
      <c r="I814" s="150"/>
      <c r="J814" s="150"/>
      <c r="K814" s="150"/>
    </row>
    <row r="815">
      <c r="A815" s="146"/>
      <c r="B815" s="148"/>
      <c r="C815" s="11"/>
      <c r="D815" s="148"/>
      <c r="E815" s="148"/>
      <c r="F815" s="148"/>
      <c r="G815" s="146"/>
      <c r="H815" s="150"/>
      <c r="I815" s="150"/>
      <c r="J815" s="150"/>
      <c r="K815" s="150"/>
    </row>
    <row r="816">
      <c r="A816" s="146"/>
      <c r="B816" s="148"/>
      <c r="C816" s="11"/>
      <c r="D816" s="148"/>
      <c r="E816" s="148"/>
      <c r="F816" s="148"/>
      <c r="G816" s="146"/>
      <c r="H816" s="150"/>
      <c r="I816" s="150"/>
      <c r="J816" s="150"/>
      <c r="K816" s="150"/>
    </row>
    <row r="817">
      <c r="A817" s="146"/>
      <c r="B817" s="148"/>
      <c r="C817" s="11"/>
      <c r="D817" s="148"/>
      <c r="E817" s="148"/>
      <c r="F817" s="148"/>
      <c r="G817" s="146"/>
      <c r="H817" s="150"/>
      <c r="I817" s="150"/>
      <c r="J817" s="150"/>
      <c r="K817" s="150"/>
    </row>
    <row r="818">
      <c r="A818" s="146"/>
      <c r="B818" s="148"/>
      <c r="C818" s="11"/>
      <c r="D818" s="148"/>
      <c r="E818" s="148"/>
      <c r="F818" s="148"/>
      <c r="G818" s="146"/>
      <c r="H818" s="150"/>
      <c r="I818" s="150"/>
      <c r="J818" s="150"/>
      <c r="K818" s="150"/>
    </row>
    <row r="819">
      <c r="A819" s="146"/>
      <c r="B819" s="148"/>
      <c r="C819" s="11"/>
      <c r="D819" s="148"/>
      <c r="E819" s="148"/>
      <c r="F819" s="148"/>
      <c r="G819" s="146"/>
      <c r="H819" s="150"/>
      <c r="I819" s="150"/>
      <c r="J819" s="150"/>
      <c r="K819" s="150"/>
    </row>
    <row r="820">
      <c r="A820" s="146"/>
      <c r="B820" s="148"/>
      <c r="C820" s="11"/>
      <c r="D820" s="148"/>
      <c r="E820" s="148"/>
      <c r="F820" s="148"/>
      <c r="G820" s="146"/>
      <c r="H820" s="150"/>
      <c r="I820" s="150"/>
      <c r="J820" s="150"/>
      <c r="K820" s="150"/>
    </row>
    <row r="821">
      <c r="A821" s="146"/>
      <c r="B821" s="148"/>
      <c r="C821" s="11"/>
      <c r="D821" s="148"/>
      <c r="E821" s="148"/>
      <c r="F821" s="148"/>
      <c r="G821" s="146"/>
      <c r="H821" s="150"/>
      <c r="I821" s="150"/>
      <c r="J821" s="150"/>
      <c r="K821" s="150"/>
    </row>
    <row r="822">
      <c r="A822" s="146"/>
      <c r="B822" s="148"/>
      <c r="C822" s="11"/>
      <c r="D822" s="148"/>
      <c r="E822" s="148"/>
      <c r="F822" s="148"/>
      <c r="G822" s="146"/>
      <c r="H822" s="150"/>
      <c r="I822" s="150"/>
      <c r="J822" s="150"/>
      <c r="K822" s="150"/>
    </row>
    <row r="823">
      <c r="A823" s="146"/>
      <c r="B823" s="148"/>
      <c r="C823" s="11"/>
      <c r="D823" s="148"/>
      <c r="E823" s="148"/>
      <c r="F823" s="148"/>
      <c r="G823" s="146"/>
      <c r="H823" s="150"/>
      <c r="I823" s="150"/>
      <c r="J823" s="150"/>
      <c r="K823" s="150"/>
    </row>
    <row r="824">
      <c r="A824" s="146"/>
      <c r="B824" s="148"/>
      <c r="C824" s="11"/>
      <c r="D824" s="148"/>
      <c r="E824" s="148"/>
      <c r="F824" s="148"/>
      <c r="G824" s="146"/>
      <c r="H824" s="150"/>
      <c r="I824" s="150"/>
      <c r="J824" s="150"/>
      <c r="K824" s="150"/>
    </row>
    <row r="825">
      <c r="A825" s="146"/>
      <c r="B825" s="148"/>
      <c r="C825" s="11"/>
      <c r="D825" s="148"/>
      <c r="E825" s="148"/>
      <c r="F825" s="148"/>
      <c r="G825" s="146"/>
      <c r="H825" s="150"/>
      <c r="I825" s="150"/>
      <c r="J825" s="150"/>
      <c r="K825" s="150"/>
    </row>
    <row r="826">
      <c r="A826" s="146"/>
      <c r="B826" s="148"/>
      <c r="C826" s="11"/>
      <c r="D826" s="148"/>
      <c r="E826" s="148"/>
      <c r="F826" s="148"/>
      <c r="G826" s="146"/>
      <c r="H826" s="150"/>
      <c r="I826" s="150"/>
      <c r="J826" s="150"/>
      <c r="K826" s="150"/>
    </row>
    <row r="827">
      <c r="A827" s="146"/>
      <c r="B827" s="148"/>
      <c r="C827" s="11"/>
      <c r="D827" s="148"/>
      <c r="E827" s="148"/>
      <c r="F827" s="148"/>
      <c r="G827" s="146"/>
      <c r="H827" s="150"/>
      <c r="I827" s="150"/>
      <c r="J827" s="150"/>
      <c r="K827" s="150"/>
    </row>
    <row r="828">
      <c r="A828" s="146"/>
      <c r="B828" s="148"/>
      <c r="C828" s="11"/>
      <c r="D828" s="148"/>
      <c r="E828" s="148"/>
      <c r="F828" s="148"/>
      <c r="G828" s="146"/>
      <c r="H828" s="150"/>
      <c r="I828" s="150"/>
      <c r="J828" s="150"/>
      <c r="K828" s="150"/>
    </row>
    <row r="829">
      <c r="A829" s="146"/>
      <c r="B829" s="148"/>
      <c r="C829" s="11"/>
      <c r="D829" s="148"/>
      <c r="E829" s="148"/>
      <c r="F829" s="148"/>
      <c r="G829" s="146"/>
      <c r="H829" s="150"/>
      <c r="I829" s="150"/>
      <c r="J829" s="150"/>
      <c r="K829" s="150"/>
    </row>
    <row r="830">
      <c r="A830" s="146"/>
      <c r="B830" s="148"/>
      <c r="C830" s="11"/>
      <c r="D830" s="148"/>
      <c r="E830" s="148"/>
      <c r="F830" s="148"/>
      <c r="G830" s="146"/>
      <c r="H830" s="150"/>
      <c r="I830" s="150"/>
      <c r="J830" s="150"/>
      <c r="K830" s="150"/>
    </row>
    <row r="831">
      <c r="A831" s="146"/>
      <c r="B831" s="148"/>
      <c r="C831" s="11"/>
      <c r="D831" s="148"/>
      <c r="E831" s="148"/>
      <c r="F831" s="148"/>
      <c r="G831" s="146"/>
      <c r="H831" s="150"/>
      <c r="I831" s="150"/>
      <c r="J831" s="150"/>
      <c r="K831" s="150"/>
    </row>
    <row r="832">
      <c r="A832" s="146"/>
      <c r="B832" s="148"/>
      <c r="C832" s="11"/>
      <c r="D832" s="148"/>
      <c r="E832" s="148"/>
      <c r="F832" s="148"/>
      <c r="G832" s="146"/>
      <c r="H832" s="150"/>
      <c r="I832" s="150"/>
      <c r="J832" s="150"/>
      <c r="K832" s="150"/>
    </row>
    <row r="833">
      <c r="A833" s="146"/>
      <c r="B833" s="148"/>
      <c r="C833" s="11"/>
      <c r="D833" s="148"/>
      <c r="E833" s="148"/>
      <c r="F833" s="148"/>
      <c r="G833" s="146"/>
      <c r="H833" s="150"/>
      <c r="I833" s="150"/>
      <c r="J833" s="150"/>
      <c r="K833" s="150"/>
    </row>
    <row r="834">
      <c r="A834" s="146"/>
      <c r="B834" s="148"/>
      <c r="C834" s="11"/>
      <c r="D834" s="148"/>
      <c r="E834" s="148"/>
      <c r="F834" s="148"/>
      <c r="G834" s="146"/>
      <c r="H834" s="150"/>
      <c r="I834" s="150"/>
      <c r="J834" s="150"/>
      <c r="K834" s="150"/>
    </row>
    <row r="835">
      <c r="A835" s="146"/>
      <c r="B835" s="148"/>
      <c r="C835" s="11"/>
      <c r="D835" s="148"/>
      <c r="E835" s="148"/>
      <c r="F835" s="148"/>
      <c r="G835" s="146"/>
      <c r="H835" s="150"/>
      <c r="I835" s="150"/>
      <c r="J835" s="150"/>
      <c r="K835" s="150"/>
    </row>
    <row r="836">
      <c r="A836" s="146"/>
      <c r="B836" s="148"/>
      <c r="C836" s="11"/>
      <c r="D836" s="148"/>
      <c r="E836" s="148"/>
      <c r="F836" s="148"/>
      <c r="G836" s="146"/>
      <c r="H836" s="150"/>
      <c r="I836" s="150"/>
      <c r="J836" s="150"/>
      <c r="K836" s="150"/>
    </row>
    <row r="837">
      <c r="A837" s="146"/>
      <c r="B837" s="148"/>
      <c r="C837" s="11"/>
      <c r="D837" s="148"/>
      <c r="E837" s="148"/>
      <c r="F837" s="148"/>
      <c r="G837" s="146"/>
      <c r="H837" s="150"/>
      <c r="I837" s="150"/>
      <c r="J837" s="150"/>
      <c r="K837" s="150"/>
    </row>
    <row r="838">
      <c r="A838" s="146"/>
      <c r="B838" s="148"/>
      <c r="C838" s="11"/>
      <c r="D838" s="148"/>
      <c r="E838" s="148"/>
      <c r="F838" s="148"/>
      <c r="G838" s="146"/>
      <c r="H838" s="150"/>
      <c r="I838" s="150"/>
      <c r="J838" s="150"/>
      <c r="K838" s="150"/>
    </row>
    <row r="839">
      <c r="A839" s="146"/>
      <c r="B839" s="148"/>
      <c r="C839" s="11"/>
      <c r="D839" s="148"/>
      <c r="E839" s="148"/>
      <c r="F839" s="148"/>
      <c r="G839" s="146"/>
      <c r="H839" s="150"/>
      <c r="I839" s="150"/>
      <c r="J839" s="150"/>
      <c r="K839" s="150"/>
    </row>
    <row r="840">
      <c r="A840" s="146"/>
      <c r="B840" s="148"/>
      <c r="C840" s="11"/>
      <c r="D840" s="148"/>
      <c r="E840" s="148"/>
      <c r="F840" s="148"/>
      <c r="G840" s="146"/>
      <c r="H840" s="150"/>
      <c r="I840" s="150"/>
      <c r="J840" s="150"/>
      <c r="K840" s="150"/>
    </row>
    <row r="841">
      <c r="A841" s="146"/>
      <c r="B841" s="148"/>
      <c r="C841" s="11"/>
      <c r="D841" s="148"/>
      <c r="E841" s="148"/>
      <c r="F841" s="148"/>
      <c r="G841" s="146"/>
      <c r="H841" s="150"/>
      <c r="I841" s="150"/>
      <c r="J841" s="150"/>
      <c r="K841" s="150"/>
    </row>
    <row r="842">
      <c r="A842" s="146"/>
      <c r="B842" s="148"/>
      <c r="C842" s="11"/>
      <c r="D842" s="148"/>
      <c r="E842" s="148"/>
      <c r="F842" s="148"/>
      <c r="G842" s="146"/>
      <c r="H842" s="150"/>
      <c r="I842" s="150"/>
      <c r="J842" s="150"/>
      <c r="K842" s="150"/>
    </row>
    <row r="843">
      <c r="A843" s="146"/>
      <c r="B843" s="148"/>
      <c r="C843" s="11"/>
      <c r="D843" s="148"/>
      <c r="E843" s="148"/>
      <c r="F843" s="148"/>
      <c r="G843" s="146"/>
      <c r="H843" s="150"/>
      <c r="I843" s="150"/>
      <c r="J843" s="150"/>
      <c r="K843" s="150"/>
    </row>
    <row r="844">
      <c r="A844" s="146"/>
      <c r="B844" s="148"/>
      <c r="C844" s="11"/>
      <c r="D844" s="148"/>
      <c r="E844" s="148"/>
      <c r="F844" s="148"/>
      <c r="G844" s="146"/>
      <c r="H844" s="150"/>
      <c r="I844" s="150"/>
      <c r="J844" s="150"/>
      <c r="K844" s="150"/>
    </row>
    <row r="845">
      <c r="A845" s="146"/>
      <c r="B845" s="148"/>
      <c r="C845" s="11"/>
      <c r="D845" s="148"/>
      <c r="E845" s="148"/>
      <c r="F845" s="148"/>
      <c r="G845" s="146"/>
      <c r="H845" s="150"/>
      <c r="I845" s="150"/>
      <c r="J845" s="150"/>
      <c r="K845" s="150"/>
    </row>
    <row r="846">
      <c r="A846" s="146"/>
      <c r="B846" s="148"/>
      <c r="C846" s="11"/>
      <c r="D846" s="148"/>
      <c r="E846" s="148"/>
      <c r="F846" s="148"/>
      <c r="G846" s="146"/>
      <c r="H846" s="150"/>
      <c r="I846" s="150"/>
      <c r="J846" s="150"/>
      <c r="K846" s="150"/>
    </row>
    <row r="847">
      <c r="A847" s="146"/>
      <c r="B847" s="148"/>
      <c r="C847" s="11"/>
      <c r="D847" s="148"/>
      <c r="E847" s="148"/>
      <c r="F847" s="148"/>
      <c r="G847" s="146"/>
      <c r="H847" s="150"/>
      <c r="I847" s="150"/>
      <c r="J847" s="150"/>
      <c r="K847" s="150"/>
    </row>
    <row r="848">
      <c r="A848" s="146"/>
      <c r="B848" s="148"/>
      <c r="C848" s="11"/>
      <c r="D848" s="148"/>
      <c r="E848" s="148"/>
      <c r="F848" s="148"/>
      <c r="G848" s="146"/>
      <c r="H848" s="150"/>
      <c r="I848" s="150"/>
      <c r="J848" s="150"/>
      <c r="K848" s="150"/>
    </row>
    <row r="849">
      <c r="A849" s="146"/>
      <c r="B849" s="148"/>
      <c r="C849" s="11"/>
      <c r="D849" s="148"/>
      <c r="E849" s="148"/>
      <c r="F849" s="148"/>
      <c r="G849" s="146"/>
      <c r="H849" s="150"/>
      <c r="I849" s="150"/>
      <c r="J849" s="150"/>
      <c r="K849" s="150"/>
    </row>
    <row r="850">
      <c r="A850" s="146"/>
      <c r="B850" s="148"/>
      <c r="C850" s="11"/>
      <c r="D850" s="148"/>
      <c r="E850" s="148"/>
      <c r="F850" s="148"/>
      <c r="G850" s="146"/>
      <c r="H850" s="150"/>
      <c r="I850" s="150"/>
      <c r="J850" s="150"/>
      <c r="K850" s="150"/>
    </row>
    <row r="851">
      <c r="A851" s="146"/>
      <c r="B851" s="148"/>
      <c r="C851" s="11"/>
      <c r="D851" s="148"/>
      <c r="E851" s="148"/>
      <c r="F851" s="148"/>
      <c r="G851" s="146"/>
      <c r="H851" s="150"/>
      <c r="I851" s="150"/>
      <c r="J851" s="150"/>
      <c r="K851" s="150"/>
    </row>
    <row r="852">
      <c r="A852" s="146"/>
      <c r="B852" s="148"/>
      <c r="C852" s="11"/>
      <c r="D852" s="148"/>
      <c r="E852" s="148"/>
      <c r="F852" s="148"/>
      <c r="G852" s="146"/>
      <c r="H852" s="150"/>
      <c r="I852" s="150"/>
      <c r="J852" s="150"/>
      <c r="K852" s="150"/>
    </row>
    <row r="853">
      <c r="A853" s="146"/>
      <c r="B853" s="148"/>
      <c r="C853" s="11"/>
      <c r="D853" s="148"/>
      <c r="E853" s="148"/>
      <c r="F853" s="148"/>
      <c r="G853" s="146"/>
      <c r="H853" s="150"/>
      <c r="I853" s="150"/>
      <c r="J853" s="150"/>
      <c r="K853" s="150"/>
    </row>
    <row r="854">
      <c r="A854" s="146"/>
      <c r="B854" s="148"/>
      <c r="C854" s="11"/>
      <c r="D854" s="148"/>
      <c r="E854" s="148"/>
      <c r="F854" s="148"/>
      <c r="G854" s="146"/>
      <c r="H854" s="150"/>
      <c r="I854" s="150"/>
      <c r="J854" s="150"/>
      <c r="K854" s="150"/>
    </row>
    <row r="855">
      <c r="A855" s="146"/>
      <c r="B855" s="148"/>
      <c r="C855" s="11"/>
      <c r="D855" s="148"/>
      <c r="E855" s="148"/>
      <c r="F855" s="148"/>
      <c r="G855" s="146"/>
      <c r="H855" s="150"/>
      <c r="I855" s="150"/>
      <c r="J855" s="150"/>
      <c r="K855" s="150"/>
    </row>
    <row r="856">
      <c r="A856" s="146"/>
      <c r="B856" s="148"/>
      <c r="C856" s="11"/>
      <c r="D856" s="148"/>
      <c r="E856" s="148"/>
      <c r="F856" s="148"/>
      <c r="G856" s="146"/>
      <c r="H856" s="150"/>
      <c r="I856" s="150"/>
      <c r="J856" s="150"/>
      <c r="K856" s="150"/>
    </row>
    <row r="857">
      <c r="A857" s="146"/>
      <c r="B857" s="148"/>
      <c r="C857" s="11"/>
      <c r="D857" s="148"/>
      <c r="E857" s="148"/>
      <c r="F857" s="148"/>
      <c r="G857" s="146"/>
      <c r="H857" s="150"/>
      <c r="I857" s="150"/>
      <c r="J857" s="150"/>
      <c r="K857" s="150"/>
    </row>
    <row r="858">
      <c r="A858" s="146"/>
      <c r="B858" s="148"/>
      <c r="C858" s="11"/>
      <c r="D858" s="148"/>
      <c r="E858" s="148"/>
      <c r="F858" s="148"/>
      <c r="G858" s="146"/>
      <c r="H858" s="150"/>
      <c r="I858" s="150"/>
      <c r="J858" s="150"/>
      <c r="K858" s="150"/>
    </row>
    <row r="859">
      <c r="A859" s="146"/>
      <c r="B859" s="148"/>
      <c r="C859" s="11"/>
      <c r="D859" s="148"/>
      <c r="E859" s="148"/>
      <c r="F859" s="148"/>
      <c r="G859" s="146"/>
      <c r="H859" s="150"/>
      <c r="I859" s="150"/>
      <c r="J859" s="150"/>
      <c r="K859" s="150"/>
    </row>
    <row r="860">
      <c r="A860" s="146"/>
      <c r="B860" s="148"/>
      <c r="C860" s="11"/>
      <c r="D860" s="148"/>
      <c r="E860" s="148"/>
      <c r="F860" s="148"/>
      <c r="G860" s="146"/>
      <c r="H860" s="150"/>
      <c r="I860" s="150"/>
      <c r="J860" s="150"/>
      <c r="K860" s="150"/>
    </row>
    <row r="861">
      <c r="A861" s="146"/>
      <c r="B861" s="148"/>
      <c r="C861" s="11"/>
      <c r="D861" s="148"/>
      <c r="E861" s="148"/>
      <c r="F861" s="148"/>
      <c r="G861" s="146"/>
      <c r="H861" s="150"/>
      <c r="I861" s="150"/>
      <c r="J861" s="150"/>
      <c r="K861" s="150"/>
    </row>
    <row r="862">
      <c r="A862" s="146"/>
      <c r="B862" s="148"/>
      <c r="C862" s="11"/>
      <c r="D862" s="148"/>
      <c r="E862" s="148"/>
      <c r="F862" s="148"/>
      <c r="G862" s="146"/>
      <c r="H862" s="150"/>
      <c r="I862" s="150"/>
      <c r="J862" s="150"/>
      <c r="K862" s="150"/>
    </row>
    <row r="863">
      <c r="A863" s="146"/>
      <c r="B863" s="148"/>
      <c r="C863" s="11"/>
      <c r="D863" s="148"/>
      <c r="E863" s="148"/>
      <c r="F863" s="148"/>
      <c r="G863" s="146"/>
      <c r="H863" s="150"/>
      <c r="I863" s="150"/>
      <c r="J863" s="150"/>
      <c r="K863" s="150"/>
    </row>
    <row r="864">
      <c r="A864" s="146"/>
      <c r="B864" s="148"/>
      <c r="C864" s="11"/>
      <c r="D864" s="148"/>
      <c r="E864" s="148"/>
      <c r="F864" s="148"/>
      <c r="G864" s="146"/>
      <c r="H864" s="150"/>
      <c r="I864" s="150"/>
      <c r="J864" s="150"/>
      <c r="K864" s="150"/>
    </row>
    <row r="865">
      <c r="A865" s="146"/>
      <c r="B865" s="148"/>
      <c r="C865" s="11"/>
      <c r="D865" s="148"/>
      <c r="E865" s="148"/>
      <c r="F865" s="148"/>
      <c r="G865" s="146"/>
      <c r="H865" s="150"/>
      <c r="I865" s="150"/>
      <c r="J865" s="150"/>
      <c r="K865" s="150"/>
    </row>
    <row r="866">
      <c r="A866" s="146"/>
      <c r="B866" s="148"/>
      <c r="C866" s="11"/>
      <c r="D866" s="148"/>
      <c r="E866" s="148"/>
      <c r="F866" s="148"/>
      <c r="G866" s="146"/>
      <c r="H866" s="150"/>
      <c r="I866" s="150"/>
      <c r="J866" s="150"/>
      <c r="K866" s="150"/>
    </row>
    <row r="867">
      <c r="A867" s="146"/>
      <c r="B867" s="148"/>
      <c r="C867" s="11"/>
      <c r="D867" s="148"/>
      <c r="E867" s="148"/>
      <c r="F867" s="148"/>
      <c r="G867" s="146"/>
      <c r="H867" s="150"/>
      <c r="I867" s="150"/>
      <c r="J867" s="150"/>
      <c r="K867" s="150"/>
    </row>
    <row r="868">
      <c r="A868" s="146"/>
      <c r="B868" s="148"/>
      <c r="C868" s="11"/>
      <c r="D868" s="148"/>
      <c r="E868" s="148"/>
      <c r="F868" s="148"/>
      <c r="G868" s="146"/>
      <c r="H868" s="150"/>
      <c r="I868" s="150"/>
      <c r="J868" s="150"/>
      <c r="K868" s="150"/>
    </row>
    <row r="869">
      <c r="A869" s="146"/>
      <c r="B869" s="148"/>
      <c r="C869" s="11"/>
      <c r="D869" s="148"/>
      <c r="E869" s="148"/>
      <c r="F869" s="148"/>
      <c r="G869" s="146"/>
      <c r="H869" s="150"/>
      <c r="I869" s="150"/>
      <c r="J869" s="150"/>
      <c r="K869" s="150"/>
    </row>
    <row r="870">
      <c r="A870" s="146"/>
      <c r="B870" s="148"/>
      <c r="C870" s="11"/>
      <c r="D870" s="148"/>
      <c r="E870" s="148"/>
      <c r="F870" s="148"/>
      <c r="G870" s="146"/>
      <c r="H870" s="150"/>
      <c r="I870" s="150"/>
      <c r="J870" s="150"/>
      <c r="K870" s="150"/>
    </row>
    <row r="871">
      <c r="A871" s="146"/>
      <c r="B871" s="148"/>
      <c r="C871" s="11"/>
      <c r="D871" s="148"/>
      <c r="E871" s="148"/>
      <c r="F871" s="148"/>
      <c r="G871" s="146"/>
      <c r="H871" s="150"/>
      <c r="I871" s="150"/>
      <c r="J871" s="150"/>
      <c r="K871" s="150"/>
    </row>
    <row r="872">
      <c r="A872" s="146"/>
      <c r="B872" s="148"/>
      <c r="C872" s="11"/>
      <c r="D872" s="148"/>
      <c r="E872" s="148"/>
      <c r="F872" s="148"/>
      <c r="G872" s="146"/>
      <c r="H872" s="150"/>
      <c r="I872" s="150"/>
      <c r="J872" s="150"/>
      <c r="K872" s="150"/>
    </row>
    <row r="873">
      <c r="A873" s="146"/>
      <c r="B873" s="148"/>
      <c r="C873" s="11"/>
      <c r="D873" s="148"/>
      <c r="E873" s="148"/>
      <c r="F873" s="148"/>
      <c r="G873" s="146"/>
      <c r="H873" s="150"/>
      <c r="I873" s="150"/>
      <c r="J873" s="150"/>
      <c r="K873" s="150"/>
    </row>
    <row r="874">
      <c r="A874" s="146"/>
      <c r="B874" s="148"/>
      <c r="C874" s="11"/>
      <c r="D874" s="148"/>
      <c r="E874" s="148"/>
      <c r="F874" s="148"/>
      <c r="G874" s="146"/>
      <c r="H874" s="150"/>
      <c r="I874" s="150"/>
      <c r="J874" s="150"/>
      <c r="K874" s="150"/>
    </row>
    <row r="875">
      <c r="A875" s="146"/>
      <c r="B875" s="148"/>
      <c r="C875" s="11"/>
      <c r="D875" s="148"/>
      <c r="E875" s="148"/>
      <c r="F875" s="148"/>
      <c r="G875" s="146"/>
      <c r="H875" s="150"/>
      <c r="I875" s="150"/>
      <c r="J875" s="150"/>
      <c r="K875" s="150"/>
    </row>
    <row r="876">
      <c r="A876" s="146"/>
      <c r="B876" s="148"/>
      <c r="C876" s="11"/>
      <c r="D876" s="148"/>
      <c r="E876" s="148"/>
      <c r="F876" s="148"/>
      <c r="G876" s="146"/>
      <c r="H876" s="150"/>
      <c r="I876" s="150"/>
      <c r="J876" s="150"/>
      <c r="K876" s="150"/>
    </row>
    <row r="877">
      <c r="A877" s="146"/>
      <c r="B877" s="148"/>
      <c r="C877" s="11"/>
      <c r="D877" s="148"/>
      <c r="E877" s="148"/>
      <c r="F877" s="148"/>
      <c r="G877" s="146"/>
      <c r="H877" s="150"/>
      <c r="I877" s="150"/>
      <c r="J877" s="150"/>
      <c r="K877" s="150"/>
    </row>
    <row r="878">
      <c r="A878" s="146"/>
      <c r="B878" s="148"/>
      <c r="C878" s="11"/>
      <c r="D878" s="148"/>
      <c r="E878" s="148"/>
      <c r="F878" s="148"/>
      <c r="G878" s="146"/>
      <c r="H878" s="150"/>
      <c r="I878" s="150"/>
      <c r="J878" s="150"/>
      <c r="K878" s="150"/>
    </row>
    <row r="879">
      <c r="A879" s="146"/>
      <c r="B879" s="148"/>
      <c r="C879" s="11"/>
      <c r="D879" s="148"/>
      <c r="E879" s="148"/>
      <c r="F879" s="148"/>
      <c r="G879" s="146"/>
      <c r="H879" s="150"/>
      <c r="I879" s="150"/>
      <c r="J879" s="150"/>
      <c r="K879" s="150"/>
    </row>
    <row r="880">
      <c r="A880" s="146"/>
      <c r="B880" s="148"/>
      <c r="C880" s="11"/>
      <c r="D880" s="148"/>
      <c r="E880" s="148"/>
      <c r="F880" s="148"/>
      <c r="G880" s="146"/>
      <c r="H880" s="150"/>
      <c r="I880" s="150"/>
      <c r="J880" s="150"/>
      <c r="K880" s="150"/>
    </row>
    <row r="881">
      <c r="A881" s="146"/>
      <c r="B881" s="148"/>
      <c r="C881" s="11"/>
      <c r="D881" s="148"/>
      <c r="E881" s="148"/>
      <c r="F881" s="148"/>
      <c r="G881" s="146"/>
      <c r="H881" s="150"/>
      <c r="I881" s="150"/>
      <c r="J881" s="150"/>
      <c r="K881" s="150"/>
    </row>
    <row r="882">
      <c r="A882" s="146"/>
      <c r="B882" s="148"/>
      <c r="C882" s="11"/>
      <c r="D882" s="148"/>
      <c r="E882" s="148"/>
      <c r="F882" s="148"/>
      <c r="G882" s="146"/>
      <c r="H882" s="150"/>
      <c r="I882" s="150"/>
      <c r="J882" s="150"/>
      <c r="K882" s="150"/>
    </row>
    <row r="883">
      <c r="A883" s="146"/>
      <c r="B883" s="148"/>
      <c r="C883" s="11"/>
      <c r="D883" s="148"/>
      <c r="E883" s="148"/>
      <c r="F883" s="148"/>
      <c r="G883" s="146"/>
      <c r="H883" s="150"/>
      <c r="I883" s="150"/>
      <c r="J883" s="150"/>
      <c r="K883" s="150"/>
    </row>
    <row r="884">
      <c r="A884" s="146"/>
      <c r="B884" s="148"/>
      <c r="C884" s="11"/>
      <c r="D884" s="148"/>
      <c r="E884" s="148"/>
      <c r="F884" s="148"/>
      <c r="G884" s="146"/>
      <c r="H884" s="150"/>
      <c r="I884" s="150"/>
      <c r="J884" s="150"/>
      <c r="K884" s="150"/>
    </row>
    <row r="885">
      <c r="A885" s="146"/>
      <c r="B885" s="148"/>
      <c r="C885" s="11"/>
      <c r="D885" s="148"/>
      <c r="E885" s="148"/>
      <c r="F885" s="148"/>
      <c r="G885" s="146"/>
      <c r="H885" s="150"/>
      <c r="I885" s="150"/>
      <c r="J885" s="150"/>
      <c r="K885" s="150"/>
    </row>
    <row r="886">
      <c r="A886" s="146"/>
      <c r="B886" s="148"/>
      <c r="C886" s="11"/>
      <c r="D886" s="148"/>
      <c r="E886" s="148"/>
      <c r="F886" s="148"/>
      <c r="G886" s="146"/>
      <c r="H886" s="150"/>
      <c r="I886" s="150"/>
      <c r="J886" s="150"/>
      <c r="K886" s="150"/>
    </row>
    <row r="887">
      <c r="A887" s="146"/>
      <c r="B887" s="148"/>
      <c r="C887" s="11"/>
      <c r="D887" s="148"/>
      <c r="E887" s="148"/>
      <c r="F887" s="148"/>
      <c r="G887" s="146"/>
      <c r="H887" s="150"/>
      <c r="I887" s="150"/>
      <c r="J887" s="150"/>
      <c r="K887" s="150"/>
    </row>
    <row r="888">
      <c r="A888" s="146"/>
      <c r="B888" s="148"/>
      <c r="C888" s="11"/>
      <c r="D888" s="148"/>
      <c r="E888" s="148"/>
      <c r="F888" s="148"/>
      <c r="G888" s="146"/>
      <c r="H888" s="150"/>
      <c r="I888" s="150"/>
      <c r="J888" s="150"/>
      <c r="K888" s="150"/>
    </row>
    <row r="889">
      <c r="A889" s="146"/>
      <c r="B889" s="148"/>
      <c r="C889" s="11"/>
      <c r="D889" s="148"/>
      <c r="E889" s="148"/>
      <c r="F889" s="148"/>
      <c r="G889" s="146"/>
      <c r="H889" s="150"/>
      <c r="I889" s="150"/>
      <c r="J889" s="150"/>
      <c r="K889" s="150"/>
    </row>
    <row r="890">
      <c r="A890" s="146"/>
      <c r="B890" s="148"/>
      <c r="C890" s="11"/>
      <c r="D890" s="148"/>
      <c r="E890" s="148"/>
      <c r="F890" s="148"/>
      <c r="G890" s="146"/>
      <c r="H890" s="150"/>
      <c r="I890" s="150"/>
      <c r="J890" s="150"/>
      <c r="K890" s="150"/>
    </row>
    <row r="891">
      <c r="A891" s="146"/>
      <c r="B891" s="148"/>
      <c r="C891" s="11"/>
      <c r="D891" s="148"/>
      <c r="E891" s="148"/>
      <c r="F891" s="148"/>
      <c r="G891" s="146"/>
      <c r="H891" s="150"/>
      <c r="I891" s="150"/>
      <c r="J891" s="150"/>
      <c r="K891" s="150"/>
    </row>
    <row r="892">
      <c r="A892" s="146"/>
      <c r="B892" s="148"/>
      <c r="C892" s="11"/>
      <c r="D892" s="148"/>
      <c r="E892" s="148"/>
      <c r="F892" s="148"/>
      <c r="G892" s="146"/>
      <c r="H892" s="150"/>
      <c r="I892" s="150"/>
      <c r="J892" s="150"/>
      <c r="K892" s="150"/>
    </row>
    <row r="893">
      <c r="A893" s="146"/>
      <c r="B893" s="148"/>
      <c r="C893" s="11"/>
      <c r="D893" s="148"/>
      <c r="E893" s="148"/>
      <c r="F893" s="148"/>
      <c r="G893" s="146"/>
      <c r="H893" s="150"/>
      <c r="I893" s="150"/>
      <c r="J893" s="150"/>
      <c r="K893" s="150"/>
    </row>
    <row r="894">
      <c r="A894" s="146"/>
      <c r="B894" s="148"/>
      <c r="C894" s="11"/>
      <c r="D894" s="148"/>
      <c r="E894" s="148"/>
      <c r="F894" s="148"/>
      <c r="G894" s="146"/>
      <c r="H894" s="150"/>
      <c r="I894" s="150"/>
      <c r="J894" s="150"/>
      <c r="K894" s="150"/>
    </row>
    <row r="895">
      <c r="A895" s="146"/>
      <c r="B895" s="148"/>
      <c r="C895" s="11"/>
      <c r="D895" s="148"/>
      <c r="E895" s="148"/>
      <c r="F895" s="148"/>
      <c r="G895" s="146"/>
      <c r="H895" s="150"/>
      <c r="I895" s="150"/>
      <c r="J895" s="150"/>
      <c r="K895" s="150"/>
    </row>
    <row r="896">
      <c r="A896" s="146"/>
      <c r="B896" s="148"/>
      <c r="C896" s="11"/>
      <c r="D896" s="148"/>
      <c r="E896" s="148"/>
      <c r="F896" s="148"/>
      <c r="G896" s="146"/>
      <c r="H896" s="150"/>
      <c r="I896" s="150"/>
      <c r="J896" s="150"/>
      <c r="K896" s="150"/>
    </row>
    <row r="897">
      <c r="A897" s="146"/>
      <c r="B897" s="148"/>
      <c r="C897" s="11"/>
      <c r="D897" s="148"/>
      <c r="E897" s="148"/>
      <c r="F897" s="148"/>
      <c r="G897" s="146"/>
      <c r="H897" s="150"/>
      <c r="I897" s="150"/>
      <c r="J897" s="150"/>
      <c r="K897" s="150"/>
    </row>
    <row r="898">
      <c r="A898" s="146"/>
      <c r="B898" s="148"/>
      <c r="C898" s="11"/>
      <c r="D898" s="148"/>
      <c r="E898" s="148"/>
      <c r="F898" s="148"/>
      <c r="G898" s="146"/>
      <c r="H898" s="150"/>
      <c r="I898" s="150"/>
      <c r="J898" s="150"/>
      <c r="K898" s="150"/>
    </row>
    <row r="899">
      <c r="A899" s="146"/>
      <c r="B899" s="148"/>
      <c r="C899" s="11"/>
      <c r="D899" s="148"/>
      <c r="E899" s="148"/>
      <c r="F899" s="148"/>
      <c r="G899" s="146"/>
      <c r="H899" s="150"/>
      <c r="I899" s="150"/>
      <c r="J899" s="150"/>
      <c r="K899" s="150"/>
    </row>
    <row r="900">
      <c r="A900" s="146"/>
      <c r="B900" s="148"/>
      <c r="C900" s="11"/>
      <c r="D900" s="148"/>
      <c r="E900" s="148"/>
      <c r="F900" s="148"/>
      <c r="G900" s="146"/>
      <c r="H900" s="150"/>
      <c r="I900" s="150"/>
      <c r="J900" s="150"/>
      <c r="K900" s="150"/>
    </row>
    <row r="901">
      <c r="A901" s="146"/>
      <c r="B901" s="148"/>
      <c r="C901" s="11"/>
      <c r="D901" s="148"/>
      <c r="E901" s="148"/>
      <c r="F901" s="148"/>
      <c r="G901" s="146"/>
      <c r="H901" s="150"/>
      <c r="I901" s="150"/>
      <c r="J901" s="150"/>
      <c r="K901" s="150"/>
    </row>
  </sheetData>
  <conditionalFormatting sqref="A1:T1">
    <cfRule type="notContainsBlanks" dxfId="0" priority="1">
      <formula>LEN(TRIM(A1))&gt;0</formula>
    </cfRule>
  </conditionalFormatting>
  <conditionalFormatting sqref="H1:H901">
    <cfRule type="expression" dxfId="1" priority="2">
      <formula>COUNTIF(A:A, A1) &gt; 1</formula>
    </cfRule>
  </conditionalFormatting>
  <conditionalFormatting sqref="J1:J901">
    <cfRule type="expression" dxfId="1" priority="3">
      <formula>COUNTIF(A:A, A1) &gt; 1</formula>
    </cfRule>
  </conditionalFormatting>
  <conditionalFormatting sqref="H1:H901">
    <cfRule type="expression" dxfId="0" priority="4">
      <formula>COUNTIF($H:$H,H1)&gt;1</formula>
    </cfRule>
  </conditionalFormatting>
  <hyperlinks>
    <hyperlink r:id="rId1" ref="H2"/>
    <hyperlink r:id="rId2" ref="H3"/>
    <hyperlink r:id="rId3" ref="H4"/>
    <hyperlink r:id="rId4" ref="H5"/>
    <hyperlink r:id="rId5" ref="I5"/>
    <hyperlink r:id="rId6" ref="H6"/>
    <hyperlink r:id="rId7" ref="H7"/>
    <hyperlink r:id="rId8" ref="H8"/>
    <hyperlink r:id="rId9" ref="H9"/>
    <hyperlink r:id="rId10" ref="I9"/>
    <hyperlink r:id="rId11" ref="H10"/>
    <hyperlink r:id="rId12" ref="H11"/>
    <hyperlink r:id="rId13" ref="H12"/>
    <hyperlink r:id="rId14" ref="H13"/>
    <hyperlink r:id="rId15" ref="J14"/>
    <hyperlink r:id="rId16" ref="J15"/>
    <hyperlink r:id="rId17" ref="H16"/>
    <hyperlink r:id="rId18" ref="H17"/>
    <hyperlink r:id="rId19" ref="H18"/>
    <hyperlink r:id="rId20" ref="J19"/>
    <hyperlink r:id="rId21" ref="H20"/>
    <hyperlink r:id="rId22" ref="H21"/>
    <hyperlink r:id="rId23" ref="H22"/>
    <hyperlink r:id="rId24" ref="J22"/>
    <hyperlink r:id="rId25" ref="H23"/>
    <hyperlink r:id="rId26" ref="I23"/>
    <hyperlink r:id="rId27" ref="H24"/>
    <hyperlink r:id="rId28" ref="H25"/>
    <hyperlink r:id="rId29" ref="H26"/>
    <hyperlink r:id="rId30" ref="H27"/>
    <hyperlink r:id="rId31" ref="H28"/>
    <hyperlink r:id="rId32" ref="H29"/>
    <hyperlink r:id="rId33" ref="H30"/>
    <hyperlink r:id="rId34" ref="H31"/>
    <hyperlink r:id="rId35" ref="H32"/>
    <hyperlink r:id="rId36" ref="H33"/>
    <hyperlink r:id="rId37" ref="H34"/>
    <hyperlink r:id="rId38" ref="H35"/>
    <hyperlink r:id="rId39" ref="I35"/>
    <hyperlink r:id="rId40" ref="J35"/>
    <hyperlink r:id="rId41" ref="H36"/>
    <hyperlink r:id="rId42" ref="H37"/>
    <hyperlink r:id="rId43" ref="H38"/>
    <hyperlink r:id="rId44" ref="H39"/>
    <hyperlink r:id="rId45" ref="H40"/>
    <hyperlink r:id="rId46" ref="H41"/>
    <hyperlink r:id="rId47" ref="I41"/>
    <hyperlink r:id="rId48" ref="H42"/>
    <hyperlink r:id="rId49" ref="H43"/>
    <hyperlink r:id="rId50" ref="H44"/>
    <hyperlink r:id="rId51" ref="H45"/>
    <hyperlink r:id="rId52" ref="H46"/>
    <hyperlink r:id="rId53" ref="I46"/>
    <hyperlink r:id="rId54" ref="J46"/>
    <hyperlink r:id="rId55" ref="H47"/>
    <hyperlink r:id="rId56" ref="H48"/>
    <hyperlink r:id="rId57" ref="H49"/>
    <hyperlink r:id="rId58" ref="H50"/>
    <hyperlink r:id="rId59" ref="H51"/>
    <hyperlink r:id="rId60" ref="H52"/>
    <hyperlink r:id="rId61" ref="H53"/>
    <hyperlink r:id="rId62" ref="H54"/>
    <hyperlink r:id="rId63" ref="I54"/>
    <hyperlink r:id="rId64" ref="H55"/>
    <hyperlink r:id="rId65" ref="H56"/>
    <hyperlink r:id="rId66" ref="H57"/>
    <hyperlink r:id="rId67" ref="I57"/>
    <hyperlink r:id="rId68" ref="H58"/>
    <hyperlink r:id="rId69" ref="H59"/>
    <hyperlink r:id="rId70" ref="J60"/>
    <hyperlink r:id="rId71" ref="H61"/>
    <hyperlink r:id="rId72" ref="I61"/>
    <hyperlink r:id="rId73" ref="H62"/>
    <hyperlink r:id="rId74" ref="H63"/>
    <hyperlink r:id="rId75" ref="H64"/>
    <hyperlink r:id="rId76" ref="H65"/>
    <hyperlink r:id="rId77" ref="I65"/>
    <hyperlink r:id="rId78" ref="H66"/>
    <hyperlink r:id="rId79" ref="I66"/>
    <hyperlink r:id="rId80" ref="J66"/>
    <hyperlink r:id="rId81" ref="H67"/>
    <hyperlink r:id="rId82" ref="H68"/>
    <hyperlink r:id="rId83" ref="H69"/>
    <hyperlink r:id="rId84" ref="J69"/>
    <hyperlink r:id="rId85" ref="H70"/>
    <hyperlink r:id="rId86" ref="J71"/>
    <hyperlink r:id="rId87" ref="H72"/>
    <hyperlink r:id="rId88" ref="I72"/>
    <hyperlink r:id="rId89" ref="I73"/>
    <hyperlink r:id="rId90" ref="H74"/>
    <hyperlink r:id="rId91" ref="H75"/>
    <hyperlink r:id="rId92" ref="H76"/>
    <hyperlink r:id="rId93" ref="I76"/>
    <hyperlink r:id="rId94" ref="H77"/>
    <hyperlink r:id="rId95" ref="H78"/>
    <hyperlink r:id="rId96" ref="H79"/>
    <hyperlink r:id="rId97" ref="J79"/>
    <hyperlink r:id="rId98" ref="M79"/>
    <hyperlink r:id="rId99" ref="H80"/>
    <hyperlink r:id="rId100" ref="H81"/>
    <hyperlink r:id="rId101" ref="M81"/>
    <hyperlink r:id="rId102" ref="H82"/>
    <hyperlink r:id="rId103" ref="H83"/>
    <hyperlink r:id="rId104" ref="H84"/>
    <hyperlink r:id="rId105" ref="H85"/>
    <hyperlink r:id="rId106" ref="I85"/>
    <hyperlink r:id="rId107" ref="J86"/>
    <hyperlink r:id="rId108" ref="H87"/>
    <hyperlink r:id="rId109" ref="H88"/>
    <hyperlink r:id="rId110" ref="L88"/>
    <hyperlink r:id="rId111" ref="H89"/>
    <hyperlink r:id="rId112" ref="H90"/>
    <hyperlink r:id="rId113" ref="I91"/>
    <hyperlink r:id="rId114" ref="H92"/>
    <hyperlink r:id="rId115" ref="I92"/>
    <hyperlink r:id="rId116" ref="H93"/>
    <hyperlink r:id="rId117" ref="H94"/>
    <hyperlink r:id="rId118" ref="I94"/>
    <hyperlink r:id="rId119" ref="H95"/>
    <hyperlink r:id="rId120" ref="H96"/>
    <hyperlink r:id="rId121" ref="H97"/>
    <hyperlink r:id="rId122" ref="H98"/>
    <hyperlink r:id="rId123" ref="H99"/>
    <hyperlink r:id="rId124" ref="I99"/>
    <hyperlink r:id="rId125" ref="H100"/>
    <hyperlink r:id="rId126" ref="I100"/>
    <hyperlink r:id="rId127" ref="H101"/>
    <hyperlink r:id="rId128" ref="H102"/>
    <hyperlink r:id="rId129" ref="H103"/>
    <hyperlink r:id="rId130" ref="I104"/>
    <hyperlink r:id="rId131" ref="H105"/>
    <hyperlink r:id="rId132" ref="H106"/>
    <hyperlink r:id="rId133" ref="H107"/>
    <hyperlink r:id="rId134" ref="H108"/>
    <hyperlink r:id="rId135" ref="H109"/>
    <hyperlink r:id="rId136" ref="H110"/>
    <hyperlink r:id="rId137" ref="H111"/>
    <hyperlink r:id="rId138" ref="H112"/>
    <hyperlink r:id="rId139" ref="H113"/>
    <hyperlink r:id="rId140" ref="H114"/>
    <hyperlink r:id="rId141" ref="H115"/>
    <hyperlink r:id="rId142" ref="H116"/>
    <hyperlink r:id="rId143" ref="J117"/>
    <hyperlink r:id="rId144" ref="H118"/>
    <hyperlink r:id="rId145" ref="J118"/>
    <hyperlink r:id="rId146" ref="H119"/>
    <hyperlink r:id="rId147" ref="H120"/>
    <hyperlink r:id="rId148" ref="J121"/>
    <hyperlink r:id="rId149" ref="J122"/>
    <hyperlink r:id="rId150" ref="H123"/>
    <hyperlink r:id="rId151" ref="J124"/>
    <hyperlink r:id="rId152" ref="J125"/>
    <hyperlink r:id="rId153" ref="J126"/>
    <hyperlink r:id="rId154" ref="J127"/>
    <hyperlink r:id="rId155" ref="H128"/>
    <hyperlink r:id="rId156" ref="H129"/>
    <hyperlink r:id="rId157" ref="J130"/>
    <hyperlink r:id="rId158" ref="J131"/>
    <hyperlink r:id="rId159" ref="H132"/>
    <hyperlink r:id="rId160" ref="J133"/>
    <hyperlink r:id="rId161" ref="J134"/>
    <hyperlink r:id="rId162" ref="J135"/>
    <hyperlink r:id="rId163" ref="H136"/>
    <hyperlink r:id="rId164" ref="J137"/>
    <hyperlink r:id="rId165" ref="H138"/>
    <hyperlink r:id="rId166" ref="I138"/>
    <hyperlink r:id="rId167" ref="H139"/>
    <hyperlink r:id="rId168" ref="H140"/>
    <hyperlink r:id="rId169" ref="H141"/>
    <hyperlink r:id="rId170" ref="I141"/>
    <hyperlink r:id="rId171" ref="H142"/>
    <hyperlink r:id="rId172" ref="I142"/>
    <hyperlink r:id="rId173" ref="H143"/>
    <hyperlink r:id="rId174" ref="I143"/>
    <hyperlink r:id="rId175" ref="J143"/>
    <hyperlink r:id="rId176" ref="H144"/>
    <hyperlink r:id="rId177" ref="H145"/>
    <hyperlink r:id="rId178" ref="I145"/>
    <hyperlink r:id="rId179" ref="J145"/>
    <hyperlink r:id="rId180" ref="J146"/>
    <hyperlink r:id="rId181" ref="H147"/>
    <hyperlink r:id="rId182" ref="J147"/>
    <hyperlink r:id="rId183" ref="H148"/>
    <hyperlink r:id="rId184" ref="J148"/>
    <hyperlink r:id="rId185" ref="H149"/>
    <hyperlink r:id="rId186" ref="H150"/>
    <hyperlink r:id="rId187" ref="I150"/>
    <hyperlink r:id="rId188" ref="H151"/>
    <hyperlink r:id="rId189" ref="H152"/>
    <hyperlink r:id="rId190" ref="J152"/>
    <hyperlink r:id="rId191" ref="J153"/>
    <hyperlink r:id="rId192" ref="J154"/>
    <hyperlink r:id="rId193" ref="H155"/>
    <hyperlink r:id="rId194" ref="I155"/>
    <hyperlink r:id="rId195" ref="J156"/>
    <hyperlink r:id="rId196" ref="H157"/>
    <hyperlink r:id="rId197" ref="H158"/>
    <hyperlink r:id="rId198" ref="H159"/>
    <hyperlink r:id="rId199" ref="H160"/>
    <hyperlink r:id="rId200" ref="I160"/>
    <hyperlink r:id="rId201" ref="J160"/>
    <hyperlink r:id="rId202" ref="H161"/>
    <hyperlink r:id="rId203" ref="J161"/>
    <hyperlink r:id="rId204" ref="H162"/>
    <hyperlink r:id="rId205" ref="J163"/>
    <hyperlink r:id="rId206" ref="H164"/>
    <hyperlink r:id="rId207" ref="H165"/>
    <hyperlink r:id="rId208" ref="J166"/>
    <hyperlink r:id="rId209" ref="H167"/>
    <hyperlink r:id="rId210" ref="I167"/>
    <hyperlink r:id="rId211" ref="H168"/>
    <hyperlink r:id="rId212" ref="H169"/>
    <hyperlink r:id="rId213" ref="H170"/>
    <hyperlink r:id="rId214" ref="I170"/>
    <hyperlink r:id="rId215" ref="H171"/>
    <hyperlink r:id="rId216" ref="H172"/>
    <hyperlink r:id="rId217" ref="H173"/>
    <hyperlink r:id="rId218" ref="I173"/>
    <hyperlink r:id="rId219" ref="H174"/>
    <hyperlink r:id="rId220" ref="H175"/>
    <hyperlink r:id="rId221" ref="H176"/>
    <hyperlink r:id="rId222" ref="H177"/>
    <hyperlink r:id="rId223" ref="H178"/>
    <hyperlink r:id="rId224" ref="H179"/>
    <hyperlink r:id="rId225" ref="H180"/>
    <hyperlink r:id="rId226" ref="H181"/>
    <hyperlink r:id="rId227" ref="H182"/>
    <hyperlink r:id="rId228" ref="H183"/>
    <hyperlink r:id="rId229" ref="H184"/>
    <hyperlink r:id="rId230" ref="J184"/>
    <hyperlink r:id="rId231" ref="H185"/>
    <hyperlink r:id="rId232" ref="H186"/>
    <hyperlink r:id="rId233" ref="H187"/>
    <hyperlink r:id="rId234" ref="H188"/>
    <hyperlink r:id="rId235" ref="H189"/>
    <hyperlink r:id="rId236" ref="K189"/>
    <hyperlink r:id="rId237" ref="H190"/>
    <hyperlink r:id="rId238" ref="I190"/>
    <hyperlink r:id="rId239" ref="H191"/>
    <hyperlink r:id="rId240" ref="K191"/>
    <hyperlink r:id="rId241" ref="H192"/>
    <hyperlink r:id="rId242" ref="H193"/>
    <hyperlink r:id="rId243" ref="I193"/>
    <hyperlink r:id="rId244" ref="H194"/>
    <hyperlink r:id="rId245" ref="I194"/>
    <hyperlink r:id="rId246" ref="J194"/>
    <hyperlink r:id="rId247" ref="H195"/>
    <hyperlink r:id="rId248" ref="H196"/>
    <hyperlink r:id="rId249" ref="H197"/>
    <hyperlink r:id="rId250" ref="J197"/>
    <hyperlink r:id="rId251" ref="H198"/>
    <hyperlink r:id="rId252" ref="J198"/>
    <hyperlink r:id="rId253" ref="J199"/>
    <hyperlink r:id="rId254" ref="H200"/>
    <hyperlink r:id="rId255" ref="I200"/>
    <hyperlink r:id="rId256" ref="H201"/>
    <hyperlink r:id="rId257" ref="J201"/>
    <hyperlink r:id="rId258" ref="H202"/>
    <hyperlink r:id="rId259" ref="H203"/>
    <hyperlink r:id="rId260" ref="I203"/>
    <hyperlink r:id="rId261" ref="H204"/>
    <hyperlink r:id="rId262" ref="H205"/>
    <hyperlink r:id="rId263" ref="H206"/>
    <hyperlink r:id="rId264" ref="J206"/>
    <hyperlink r:id="rId265" ref="H207"/>
    <hyperlink r:id="rId266" ref="J207"/>
    <hyperlink r:id="rId267" ref="H208"/>
    <hyperlink r:id="rId268" ref="J208"/>
    <hyperlink r:id="rId269" ref="H209"/>
    <hyperlink r:id="rId270" ref="H210"/>
    <hyperlink r:id="rId271" ref="H211"/>
    <hyperlink r:id="rId272" ref="H212"/>
    <hyperlink r:id="rId273" ref="J212"/>
    <hyperlink r:id="rId274" ref="H213"/>
    <hyperlink r:id="rId275" ref="H214"/>
    <hyperlink r:id="rId276" ref="I214"/>
    <hyperlink r:id="rId277" ref="J215"/>
    <hyperlink r:id="rId278" ref="H216"/>
    <hyperlink r:id="rId279" ref="K216"/>
    <hyperlink r:id="rId280" ref="H217"/>
    <hyperlink r:id="rId281" ref="H218"/>
    <hyperlink r:id="rId282" ref="H219"/>
    <hyperlink r:id="rId283" ref="J219"/>
    <hyperlink r:id="rId284" ref="J220"/>
    <hyperlink r:id="rId285" ref="H221"/>
    <hyperlink r:id="rId286" ref="H222"/>
    <hyperlink r:id="rId287" ref="I222"/>
    <hyperlink r:id="rId288" ref="J222"/>
    <hyperlink r:id="rId289" ref="H223"/>
    <hyperlink r:id="rId290" ref="I223"/>
    <hyperlink r:id="rId291" ref="H224"/>
    <hyperlink r:id="rId292" ref="H225"/>
    <hyperlink r:id="rId293" ref="H226"/>
    <hyperlink r:id="rId294" ref="I226"/>
    <hyperlink r:id="rId295" ref="J226"/>
    <hyperlink r:id="rId296" ref="H227"/>
    <hyperlink r:id="rId297" ref="I227"/>
    <hyperlink r:id="rId298" ref="J227"/>
    <hyperlink r:id="rId299" ref="H228"/>
    <hyperlink r:id="rId300" ref="I228"/>
    <hyperlink r:id="rId301" ref="J228"/>
    <hyperlink r:id="rId302" ref="H229"/>
    <hyperlink r:id="rId303" ref="H230"/>
    <hyperlink r:id="rId304" ref="H231"/>
    <hyperlink r:id="rId305" ref="L231"/>
    <hyperlink r:id="rId306" ref="H232"/>
    <hyperlink r:id="rId307" ref="I232"/>
    <hyperlink r:id="rId308" ref="J232"/>
    <hyperlink r:id="rId309" ref="H233"/>
    <hyperlink r:id="rId310" ref="I233"/>
    <hyperlink r:id="rId311" ref="J233"/>
    <hyperlink r:id="rId312" ref="H234"/>
    <hyperlink r:id="rId313" ref="I234"/>
    <hyperlink r:id="rId314" ref="K234"/>
    <hyperlink r:id="rId315" ref="H235"/>
    <hyperlink r:id="rId316" ref="I235"/>
    <hyperlink r:id="rId317" ref="H236"/>
    <hyperlink r:id="rId318" ref="J237"/>
    <hyperlink r:id="rId319" ref="H238"/>
    <hyperlink r:id="rId320" ref="H239"/>
    <hyperlink r:id="rId321" ref="H240"/>
    <hyperlink r:id="rId322" ref="I240"/>
    <hyperlink r:id="rId323" ref="K240"/>
    <hyperlink r:id="rId324" ref="H241"/>
    <hyperlink r:id="rId325" ref="I241"/>
    <hyperlink r:id="rId326" ref="H242"/>
    <hyperlink r:id="rId327" ref="J242"/>
    <hyperlink r:id="rId328" ref="K242"/>
    <hyperlink r:id="rId329" ref="H243"/>
    <hyperlink r:id="rId330" ref="H244"/>
    <hyperlink r:id="rId331" ref="J244"/>
    <hyperlink r:id="rId332" ref="L244"/>
    <hyperlink r:id="rId333" ref="H245"/>
    <hyperlink r:id="rId334" ref="I245"/>
    <hyperlink r:id="rId335" ref="J245"/>
    <hyperlink r:id="rId336" ref="H246"/>
    <hyperlink r:id="rId337" ref="J246"/>
    <hyperlink r:id="rId338" ref="H247"/>
    <hyperlink r:id="rId339" ref="H248"/>
    <hyperlink r:id="rId340" ref="J248"/>
    <hyperlink r:id="rId341" ref="H249"/>
    <hyperlink r:id="rId342" ref="I249"/>
    <hyperlink r:id="rId343" ref="J249"/>
    <hyperlink r:id="rId344" ref="H250"/>
    <hyperlink r:id="rId345" ref="I250"/>
    <hyperlink r:id="rId346" ref="J250"/>
    <hyperlink r:id="rId347" ref="J251"/>
    <hyperlink r:id="rId348" ref="J252"/>
    <hyperlink r:id="rId349" ref="H253"/>
    <hyperlink r:id="rId350" ref="I253"/>
    <hyperlink r:id="rId351" ref="J253"/>
    <hyperlink r:id="rId352" ref="H254"/>
    <hyperlink r:id="rId353" ref="I254"/>
    <hyperlink r:id="rId354" ref="H255"/>
    <hyperlink r:id="rId355" ref="I255"/>
    <hyperlink r:id="rId356" ref="H256"/>
    <hyperlink r:id="rId357" ref="I256"/>
    <hyperlink r:id="rId358" ref="J256"/>
    <hyperlink r:id="rId359" ref="H257"/>
    <hyperlink r:id="rId360" ref="H258"/>
    <hyperlink r:id="rId361" ref="I258"/>
    <hyperlink r:id="rId362" ref="H259"/>
    <hyperlink r:id="rId363" ref="I259"/>
    <hyperlink r:id="rId364" ref="H260"/>
    <hyperlink r:id="rId365" ref="H261"/>
    <hyperlink r:id="rId366" ref="I261"/>
    <hyperlink r:id="rId367" ref="H262"/>
    <hyperlink r:id="rId368" ref="I262"/>
    <hyperlink r:id="rId369" ref="H263"/>
    <hyperlink r:id="rId370" ref="I263"/>
    <hyperlink r:id="rId371" ref="H264"/>
    <hyperlink r:id="rId372" ref="H265"/>
    <hyperlink r:id="rId373" ref="I265"/>
    <hyperlink r:id="rId374" ref="H266"/>
    <hyperlink r:id="rId375" ref="I266"/>
    <hyperlink r:id="rId376" ref="H267"/>
    <hyperlink r:id="rId377" ref="J267"/>
    <hyperlink r:id="rId378" ref="H268"/>
    <hyperlink r:id="rId379" ref="I268"/>
    <hyperlink r:id="rId380" ref="J268"/>
    <hyperlink r:id="rId381" ref="H269"/>
    <hyperlink r:id="rId382" ref="I269"/>
    <hyperlink r:id="rId383" ref="H270"/>
    <hyperlink r:id="rId384" ref="J270"/>
    <hyperlink r:id="rId385" ref="H271"/>
    <hyperlink r:id="rId386" ref="I271"/>
    <hyperlink r:id="rId387" ref="H272"/>
    <hyperlink r:id="rId388" ref="I272"/>
    <hyperlink r:id="rId389" ref="J272"/>
    <hyperlink r:id="rId390" ref="H273"/>
    <hyperlink r:id="rId391" ref="I273"/>
    <hyperlink r:id="rId392" ref="K273"/>
    <hyperlink r:id="rId393" ref="H274"/>
    <hyperlink r:id="rId394" ref="I274"/>
    <hyperlink r:id="rId395" ref="J274"/>
    <hyperlink r:id="rId396" ref="H275"/>
    <hyperlink r:id="rId397" ref="K275"/>
    <hyperlink r:id="rId398" ref="H276"/>
    <hyperlink r:id="rId399" ref="K276"/>
    <hyperlink r:id="rId400" ref="H277"/>
    <hyperlink r:id="rId401" ref="J277"/>
    <hyperlink r:id="rId402" ref="H278"/>
    <hyperlink r:id="rId403" ref="J278"/>
    <hyperlink r:id="rId404" ref="H279"/>
    <hyperlink r:id="rId405" ref="I279"/>
    <hyperlink r:id="rId406" ref="J279"/>
    <hyperlink r:id="rId407" ref="H280"/>
    <hyperlink r:id="rId408" ref="I280"/>
    <hyperlink r:id="rId409" ref="J280"/>
    <hyperlink r:id="rId410" ref="H281"/>
    <hyperlink r:id="rId411" ref="I281"/>
    <hyperlink r:id="rId412" ref="H282"/>
    <hyperlink r:id="rId413" ref="I282"/>
    <hyperlink r:id="rId414" ref="H283"/>
    <hyperlink r:id="rId415" ref="I283"/>
    <hyperlink r:id="rId416" ref="J283"/>
    <hyperlink r:id="rId417" ref="H284"/>
    <hyperlink r:id="rId418" ref="H285"/>
    <hyperlink r:id="rId419" ref="J285"/>
    <hyperlink r:id="rId420" ref="H286"/>
    <hyperlink r:id="rId421" ref="I286"/>
    <hyperlink r:id="rId422" ref="J286"/>
    <hyperlink r:id="rId423" ref="H287"/>
    <hyperlink r:id="rId424" ref="I287"/>
    <hyperlink r:id="rId425" ref="J287"/>
    <hyperlink r:id="rId426" ref="H288"/>
    <hyperlink r:id="rId427" ref="J288"/>
    <hyperlink r:id="rId428" ref="H289"/>
    <hyperlink r:id="rId429" ref="J289"/>
    <hyperlink r:id="rId430" ref="H290"/>
    <hyperlink r:id="rId431" ref="J290"/>
    <hyperlink r:id="rId432" ref="J291"/>
    <hyperlink r:id="rId433" ref="H292"/>
    <hyperlink r:id="rId434" ref="J292"/>
    <hyperlink r:id="rId435" ref="J293"/>
    <hyperlink r:id="rId436" ref="H294"/>
    <hyperlink r:id="rId437" ref="H295"/>
    <hyperlink r:id="rId438" ref="H296"/>
    <hyperlink r:id="rId439" ref="H297"/>
    <hyperlink r:id="rId440" ref="J297"/>
    <hyperlink r:id="rId441" ref="J298"/>
    <hyperlink r:id="rId442" ref="H299"/>
    <hyperlink r:id="rId443" ref="H300"/>
    <hyperlink r:id="rId444" ref="H301"/>
    <hyperlink r:id="rId445" ref="H302"/>
    <hyperlink r:id="rId446" ref="H303"/>
    <hyperlink r:id="rId447" ref="I303"/>
    <hyperlink r:id="rId448" ref="H304"/>
    <hyperlink r:id="rId449" ref="H305"/>
    <hyperlink r:id="rId450" ref="I305"/>
    <hyperlink r:id="rId451" ref="H306"/>
    <hyperlink r:id="rId452" ref="J306"/>
    <hyperlink r:id="rId453" ref="H307"/>
    <hyperlink r:id="rId454" ref="H308"/>
    <hyperlink r:id="rId455" ref="H309"/>
    <hyperlink r:id="rId456" ref="H310"/>
    <hyperlink r:id="rId457" ref="J310"/>
    <hyperlink r:id="rId458" ref="H311"/>
    <hyperlink r:id="rId459" ref="H312"/>
    <hyperlink r:id="rId460" ref="J312"/>
    <hyperlink r:id="rId461" ref="H313"/>
    <hyperlink r:id="rId462" ref="H314"/>
    <hyperlink r:id="rId463" ref="H315"/>
    <hyperlink r:id="rId464" ref="J315"/>
    <hyperlink r:id="rId465" ref="H316"/>
    <hyperlink r:id="rId466" ref="H317"/>
    <hyperlink r:id="rId467" ref="I317"/>
    <hyperlink r:id="rId468" ref="H318"/>
    <hyperlink r:id="rId469" ref="H319"/>
    <hyperlink r:id="rId470" ref="H320"/>
    <hyperlink r:id="rId471" ref="H321"/>
    <hyperlink r:id="rId472" ref="J321"/>
    <hyperlink r:id="rId473" ref="H322"/>
    <hyperlink r:id="rId474" ref="I322"/>
    <hyperlink r:id="rId475" ref="J322"/>
    <hyperlink r:id="rId476" ref="H323"/>
    <hyperlink r:id="rId477" ref="H324"/>
    <hyperlink r:id="rId478" ref="H325"/>
    <hyperlink r:id="rId479" ref="J325"/>
    <hyperlink r:id="rId480" ref="H326"/>
    <hyperlink r:id="rId481" ref="J326"/>
    <hyperlink r:id="rId482" ref="H327"/>
    <hyperlink r:id="rId483" ref="J327"/>
    <hyperlink r:id="rId484" ref="H328"/>
    <hyperlink r:id="rId485" ref="H329"/>
    <hyperlink r:id="rId486" ref="I329"/>
    <hyperlink r:id="rId487" ref="H330"/>
    <hyperlink r:id="rId488" ref="H331"/>
    <hyperlink r:id="rId489" ref="H332"/>
    <hyperlink r:id="rId490" ref="I332"/>
    <hyperlink r:id="rId491" ref="J332"/>
    <hyperlink r:id="rId492" ref="H333"/>
    <hyperlink r:id="rId493" ref="H334"/>
    <hyperlink r:id="rId494" ref="H335"/>
    <hyperlink r:id="rId495" ref="H336"/>
    <hyperlink r:id="rId496" ref="H337"/>
    <hyperlink r:id="rId497" ref="H338"/>
    <hyperlink r:id="rId498" ref="I338"/>
    <hyperlink r:id="rId499" ref="H339"/>
    <hyperlink r:id="rId500" ref="I339"/>
    <hyperlink r:id="rId501" ref="H340"/>
    <hyperlink r:id="rId502" ref="H341"/>
    <hyperlink r:id="rId503" ref="H342"/>
    <hyperlink r:id="rId504" ref="H343"/>
    <hyperlink r:id="rId505" ref="H344"/>
    <hyperlink r:id="rId506" ref="H345"/>
    <hyperlink r:id="rId507" ref="H346"/>
    <hyperlink r:id="rId508" ref="H347"/>
    <hyperlink r:id="rId509" ref="H348"/>
    <hyperlink r:id="rId510" ref="H349"/>
    <hyperlink r:id="rId511" ref="H350"/>
    <hyperlink r:id="rId512" ref="I350"/>
    <hyperlink r:id="rId513" ref="H351"/>
    <hyperlink r:id="rId514" ref="H352"/>
    <hyperlink r:id="rId515" ref="H353"/>
    <hyperlink r:id="rId516" ref="I353"/>
    <hyperlink r:id="rId517" ref="H354"/>
    <hyperlink r:id="rId518" ref="J354"/>
    <hyperlink r:id="rId519" ref="H355"/>
    <hyperlink r:id="rId520" ref="I355"/>
    <hyperlink r:id="rId521" ref="J355"/>
    <hyperlink r:id="rId522" ref="H356"/>
    <hyperlink r:id="rId523" ref="H357"/>
    <hyperlink r:id="rId524" ref="I357"/>
    <hyperlink r:id="rId525" ref="H358"/>
    <hyperlink r:id="rId526" ref="I358"/>
    <hyperlink r:id="rId527" ref="H359"/>
    <hyperlink r:id="rId528" ref="I359"/>
    <hyperlink r:id="rId529" ref="H360"/>
    <hyperlink r:id="rId530" ref="J360"/>
    <hyperlink r:id="rId531" ref="H361"/>
    <hyperlink r:id="rId532" ref="H362"/>
    <hyperlink r:id="rId533" ref="I362"/>
    <hyperlink r:id="rId534" ref="H363"/>
    <hyperlink r:id="rId535" ref="H364"/>
    <hyperlink r:id="rId536" ref="J364"/>
    <hyperlink r:id="rId537" ref="M364"/>
    <hyperlink r:id="rId538" ref="H365"/>
    <hyperlink r:id="rId539" ref="I365"/>
    <hyperlink r:id="rId540" ref="H366"/>
    <hyperlink r:id="rId541" ref="J367"/>
    <hyperlink r:id="rId542" ref="H368"/>
    <hyperlink r:id="rId543" ref="I368"/>
    <hyperlink r:id="rId544" ref="J368"/>
    <hyperlink r:id="rId545" ref="J369"/>
    <hyperlink r:id="rId546" ref="H370"/>
    <hyperlink r:id="rId547" ref="J370"/>
    <hyperlink r:id="rId548" ref="H371"/>
    <hyperlink r:id="rId549" ref="J372"/>
    <hyperlink r:id="rId550" ref="H373"/>
    <hyperlink r:id="rId551" ref="K373"/>
    <hyperlink r:id="rId552" ref="H374"/>
    <hyperlink r:id="rId553" ref="K374"/>
    <hyperlink r:id="rId554" ref="H375"/>
    <hyperlink r:id="rId555" ref="H376"/>
    <hyperlink r:id="rId556" ref="I376"/>
    <hyperlink r:id="rId557" ref="H377"/>
    <hyperlink r:id="rId558" ref="J377"/>
    <hyperlink r:id="rId559" ref="H378"/>
    <hyperlink r:id="rId560" ref="J379"/>
    <hyperlink r:id="rId561" ref="J380"/>
    <hyperlink r:id="rId562" ref="H381"/>
    <hyperlink r:id="rId563" ref="I381"/>
    <hyperlink r:id="rId564" ref="H382"/>
    <hyperlink r:id="rId565" ref="I382"/>
    <hyperlink r:id="rId566" ref="H383"/>
    <hyperlink r:id="rId567" ref="H384"/>
    <hyperlink r:id="rId568" ref="H385"/>
    <hyperlink r:id="rId569" ref="H386"/>
    <hyperlink r:id="rId570" ref="H387"/>
    <hyperlink r:id="rId571" ref="H388"/>
    <hyperlink r:id="rId572" ref="H389"/>
    <hyperlink r:id="rId573" ref="H390"/>
    <hyperlink r:id="rId574" ref="H391"/>
    <hyperlink r:id="rId575" ref="I391"/>
    <hyperlink r:id="rId576" ref="H392"/>
    <hyperlink r:id="rId577" ref="H393"/>
    <hyperlink r:id="rId578" ref="J393"/>
    <hyperlink r:id="rId579" ref="H394"/>
    <hyperlink r:id="rId580" ref="I394"/>
    <hyperlink r:id="rId581" ref="J394"/>
    <hyperlink r:id="rId582" ref="H395"/>
    <hyperlink r:id="rId583" ref="J395"/>
    <hyperlink r:id="rId584" ref="H396"/>
    <hyperlink r:id="rId585" ref="H397"/>
    <hyperlink r:id="rId586" ref="I397"/>
    <hyperlink r:id="rId587" ref="H398"/>
    <hyperlink r:id="rId588" ref="H399"/>
    <hyperlink r:id="rId589" ref="I399"/>
    <hyperlink r:id="rId590" ref="H400"/>
    <hyperlink r:id="rId591" ref="J401"/>
    <hyperlink r:id="rId592" ref="J402"/>
    <hyperlink r:id="rId593" ref="H403"/>
    <hyperlink r:id="rId594" ref="H404"/>
    <hyperlink r:id="rId595" ref="H405"/>
    <hyperlink r:id="rId596" ref="H406"/>
    <hyperlink r:id="rId597" ref="H407"/>
    <hyperlink r:id="rId598" ref="H408"/>
    <hyperlink r:id="rId599" ref="H409"/>
    <hyperlink r:id="rId600" ref="H410"/>
    <hyperlink r:id="rId601" ref="I410"/>
    <hyperlink r:id="rId602" ref="J410"/>
    <hyperlink r:id="rId603" ref="J411"/>
    <hyperlink r:id="rId604" ref="J412"/>
    <hyperlink r:id="rId605" ref="J413"/>
    <hyperlink r:id="rId606" ref="J414"/>
    <hyperlink r:id="rId607" ref="J415"/>
    <hyperlink r:id="rId608" ref="J416"/>
    <hyperlink r:id="rId609" ref="H417"/>
    <hyperlink r:id="rId610" ref="J417"/>
    <hyperlink r:id="rId611" ref="J418"/>
    <hyperlink r:id="rId612" ref="H419"/>
    <hyperlink r:id="rId613" ref="I419"/>
    <hyperlink r:id="rId614" ref="J419"/>
    <hyperlink r:id="rId615" ref="J420"/>
    <hyperlink r:id="rId616" ref="J421"/>
    <hyperlink r:id="rId617" ref="J422"/>
  </hyperlinks>
  <drawing r:id="rId61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0.88"/>
    <col customWidth="1" min="3" max="3" width="37.5"/>
    <col customWidth="1" min="4" max="4" width="3.88"/>
    <col customWidth="1" min="5" max="5" width="8.88"/>
    <col customWidth="1" min="6" max="6" width="11.38"/>
    <col customWidth="1" min="7" max="7" width="3.0"/>
    <col customWidth="1" min="8" max="8" width="47.38"/>
    <col customWidth="1" min="9" max="9" width="40.88"/>
    <col customWidth="1" min="10" max="10" width="38.0"/>
    <col customWidth="1" min="11" max="11" width="4.88"/>
    <col customWidth="1" min="12" max="12" width="31.75"/>
    <col customWidth="1" min="13" max="13" width="7.25"/>
    <col customWidth="1" min="14" max="14" width="4.38"/>
    <col customWidth="1" min="15" max="15" width="4.5"/>
    <col customWidth="1" min="16" max="16" width="4.13"/>
    <col customWidth="1" min="17" max="17" width="5.13"/>
    <col customWidth="1" min="18" max="18" width="4.25"/>
    <col customWidth="1" min="19" max="19" width="4.5"/>
  </cols>
  <sheetData>
    <row r="1" ht="17.25" customHeight="1">
      <c r="A1" s="152" t="s">
        <v>19</v>
      </c>
      <c r="B1" s="152" t="s">
        <v>1</v>
      </c>
      <c r="C1" s="152" t="s">
        <v>2</v>
      </c>
      <c r="D1" s="152" t="s">
        <v>3</v>
      </c>
      <c r="E1" s="152" t="s">
        <v>4</v>
      </c>
      <c r="F1" s="152" t="s">
        <v>5</v>
      </c>
      <c r="G1" s="152" t="s">
        <v>6</v>
      </c>
      <c r="H1" s="152" t="s">
        <v>7</v>
      </c>
      <c r="I1" s="152" t="s">
        <v>8</v>
      </c>
      <c r="J1" s="152" t="s">
        <v>9</v>
      </c>
      <c r="K1" s="152" t="s">
        <v>10</v>
      </c>
      <c r="L1" s="152" t="s">
        <v>11</v>
      </c>
      <c r="M1" s="152" t="s">
        <v>12</v>
      </c>
      <c r="N1" s="152" t="s">
        <v>13</v>
      </c>
      <c r="O1" s="152" t="s">
        <v>14</v>
      </c>
      <c r="P1" s="152" t="s">
        <v>15</v>
      </c>
      <c r="Q1" s="152" t="s">
        <v>16</v>
      </c>
      <c r="R1" s="152" t="s">
        <v>17</v>
      </c>
      <c r="S1" s="152" t="s">
        <v>18</v>
      </c>
    </row>
    <row r="2">
      <c r="A2" s="74">
        <v>16793.0</v>
      </c>
      <c r="B2" s="4" t="s">
        <v>20</v>
      </c>
      <c r="C2" s="28" t="s">
        <v>4106</v>
      </c>
      <c r="D2" s="4" t="s">
        <v>148</v>
      </c>
      <c r="E2" s="4" t="s">
        <v>149</v>
      </c>
      <c r="F2" s="27"/>
      <c r="G2" s="27"/>
      <c r="H2" s="27"/>
      <c r="I2" s="27"/>
      <c r="J2" s="29" t="s">
        <v>6392</v>
      </c>
      <c r="K2" s="27"/>
      <c r="L2" s="27"/>
      <c r="M2" s="27"/>
      <c r="N2" s="27"/>
      <c r="O2" s="27"/>
      <c r="P2" s="27"/>
      <c r="Q2" s="27"/>
      <c r="R2" s="27"/>
      <c r="S2" s="27"/>
    </row>
    <row r="3">
      <c r="A3" s="74">
        <v>16795.0</v>
      </c>
      <c r="B3" s="4" t="s">
        <v>20</v>
      </c>
      <c r="C3" s="28" t="s">
        <v>6393</v>
      </c>
      <c r="D3" s="4" t="s">
        <v>148</v>
      </c>
      <c r="E3" s="4" t="s">
        <v>149</v>
      </c>
      <c r="F3" s="27"/>
      <c r="G3" s="27"/>
      <c r="H3" s="27"/>
      <c r="I3" s="27"/>
      <c r="J3" s="29" t="s">
        <v>6394</v>
      </c>
      <c r="K3" s="27"/>
      <c r="L3" s="27"/>
      <c r="M3" s="27"/>
      <c r="N3" s="27"/>
      <c r="O3" s="27"/>
      <c r="P3" s="27"/>
      <c r="Q3" s="27"/>
      <c r="R3" s="27"/>
      <c r="S3" s="27"/>
    </row>
    <row r="4">
      <c r="A4" s="74">
        <v>16797.0</v>
      </c>
      <c r="B4" s="4" t="s">
        <v>20</v>
      </c>
      <c r="C4" s="28" t="s">
        <v>74</v>
      </c>
      <c r="D4" s="4" t="s">
        <v>148</v>
      </c>
      <c r="E4" s="4" t="s">
        <v>149</v>
      </c>
      <c r="F4" s="27"/>
      <c r="G4" s="27"/>
      <c r="H4" s="43" t="s">
        <v>6395</v>
      </c>
      <c r="I4" s="27"/>
      <c r="J4" s="29" t="s">
        <v>6396</v>
      </c>
      <c r="K4" s="27"/>
      <c r="L4" s="27"/>
      <c r="M4" s="27"/>
      <c r="N4" s="27"/>
      <c r="O4" s="27"/>
      <c r="P4" s="27"/>
      <c r="Q4" s="27"/>
      <c r="R4" s="27"/>
      <c r="S4" s="27"/>
    </row>
    <row r="5">
      <c r="A5" s="74">
        <v>16799.0</v>
      </c>
      <c r="B5" s="4" t="s">
        <v>20</v>
      </c>
      <c r="C5" s="28" t="s">
        <v>867</v>
      </c>
      <c r="D5" s="4" t="s">
        <v>148</v>
      </c>
      <c r="E5" s="4" t="s">
        <v>149</v>
      </c>
      <c r="F5" s="27"/>
      <c r="G5" s="27"/>
      <c r="H5" s="27"/>
      <c r="I5" s="29" t="s">
        <v>6397</v>
      </c>
      <c r="J5" s="27"/>
      <c r="K5" s="27"/>
      <c r="L5" s="27"/>
      <c r="M5" s="27"/>
      <c r="N5" s="27"/>
      <c r="O5" s="27"/>
      <c r="P5" s="27"/>
      <c r="Q5" s="27"/>
      <c r="R5" s="27"/>
      <c r="S5" s="27"/>
    </row>
    <row r="6">
      <c r="A6" s="74">
        <v>17039.0</v>
      </c>
      <c r="B6" s="4" t="s">
        <v>20</v>
      </c>
      <c r="C6" s="28" t="s">
        <v>6398</v>
      </c>
      <c r="D6" s="4" t="s">
        <v>148</v>
      </c>
      <c r="E6" s="4" t="s">
        <v>149</v>
      </c>
      <c r="F6" s="27"/>
      <c r="G6" s="27"/>
      <c r="H6" s="27"/>
      <c r="I6" s="27"/>
      <c r="J6" s="29" t="s">
        <v>6399</v>
      </c>
      <c r="K6" s="27"/>
      <c r="L6" s="27"/>
      <c r="M6" s="27"/>
      <c r="N6" s="27"/>
      <c r="O6" s="27"/>
      <c r="P6" s="27"/>
      <c r="Q6" s="27"/>
      <c r="R6" s="27"/>
      <c r="S6" s="27"/>
    </row>
    <row r="7">
      <c r="A7" s="74">
        <v>17098.0</v>
      </c>
      <c r="B7" s="4" t="s">
        <v>20</v>
      </c>
      <c r="C7" s="28" t="s">
        <v>855</v>
      </c>
      <c r="D7" s="4" t="s">
        <v>148</v>
      </c>
      <c r="E7" s="4" t="s">
        <v>149</v>
      </c>
      <c r="F7" s="27"/>
      <c r="G7" s="27"/>
      <c r="H7" s="43" t="s">
        <v>6400</v>
      </c>
      <c r="I7" s="27"/>
      <c r="J7" s="29" t="s">
        <v>6401</v>
      </c>
      <c r="K7" s="27"/>
      <c r="L7" s="27"/>
      <c r="M7" s="27"/>
      <c r="N7" s="27"/>
      <c r="O7" s="27"/>
      <c r="P7" s="27"/>
      <c r="Q7" s="27"/>
      <c r="R7" s="27"/>
      <c r="S7" s="27"/>
    </row>
    <row r="8">
      <c r="A8" s="32">
        <v>17797.0</v>
      </c>
      <c r="B8" s="4" t="s">
        <v>20</v>
      </c>
      <c r="C8" s="28" t="s">
        <v>6402</v>
      </c>
      <c r="D8" s="4" t="s">
        <v>148</v>
      </c>
      <c r="E8" s="4" t="s">
        <v>149</v>
      </c>
      <c r="F8" s="27"/>
      <c r="G8" s="27"/>
      <c r="H8" s="27"/>
      <c r="I8" s="27"/>
      <c r="J8" s="29" t="s">
        <v>6403</v>
      </c>
      <c r="K8" s="27"/>
      <c r="L8" s="27"/>
      <c r="M8" s="27"/>
      <c r="N8" s="27"/>
      <c r="O8" s="27"/>
      <c r="P8" s="27"/>
      <c r="Q8" s="27"/>
      <c r="R8" s="27"/>
      <c r="S8" s="27"/>
    </row>
    <row r="9">
      <c r="A9" s="74">
        <v>18812.0</v>
      </c>
      <c r="B9" s="4" t="s">
        <v>2364</v>
      </c>
      <c r="C9" s="28" t="s">
        <v>6404</v>
      </c>
      <c r="D9" s="4" t="s">
        <v>148</v>
      </c>
      <c r="E9" s="4" t="s">
        <v>149</v>
      </c>
      <c r="F9" s="27"/>
      <c r="G9" s="27"/>
      <c r="H9" s="27"/>
      <c r="I9" s="27"/>
      <c r="J9" s="29" t="s">
        <v>6405</v>
      </c>
      <c r="K9" s="27"/>
      <c r="L9" s="27"/>
      <c r="M9" s="27"/>
      <c r="N9" s="27"/>
      <c r="O9" s="27"/>
      <c r="P9" s="27"/>
      <c r="Q9" s="27"/>
      <c r="R9" s="27"/>
      <c r="S9" s="27"/>
    </row>
    <row r="10">
      <c r="A10" s="74">
        <v>21308.0</v>
      </c>
      <c r="B10" s="4" t="s">
        <v>20</v>
      </c>
      <c r="C10" s="28" t="s">
        <v>3209</v>
      </c>
      <c r="D10" s="4" t="s">
        <v>148</v>
      </c>
      <c r="E10" s="4" t="s">
        <v>149</v>
      </c>
      <c r="F10" s="27"/>
      <c r="G10" s="27"/>
      <c r="H10" s="43" t="s">
        <v>6406</v>
      </c>
      <c r="I10" s="27"/>
      <c r="J10" s="29" t="s">
        <v>6405</v>
      </c>
      <c r="K10" s="27"/>
      <c r="L10" s="27"/>
      <c r="M10" s="27"/>
      <c r="N10" s="27"/>
      <c r="O10" s="27"/>
      <c r="P10" s="27"/>
      <c r="Q10" s="27"/>
      <c r="R10" s="27"/>
      <c r="S10" s="27"/>
    </row>
    <row r="11">
      <c r="A11" s="74">
        <v>27936.0</v>
      </c>
      <c r="B11" s="4" t="s">
        <v>20</v>
      </c>
      <c r="C11" s="28" t="s">
        <v>3629</v>
      </c>
      <c r="D11" s="4" t="s">
        <v>148</v>
      </c>
      <c r="E11" s="4" t="s">
        <v>149</v>
      </c>
      <c r="F11" s="27"/>
      <c r="G11" s="27"/>
      <c r="H11" s="43" t="s">
        <v>6407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</row>
    <row r="12">
      <c r="A12" s="74">
        <v>31295.0</v>
      </c>
      <c r="B12" s="4" t="s">
        <v>20</v>
      </c>
      <c r="C12" s="28" t="s">
        <v>6408</v>
      </c>
      <c r="D12" s="4" t="s">
        <v>148</v>
      </c>
      <c r="E12" s="4" t="s">
        <v>149</v>
      </c>
      <c r="F12" s="27"/>
      <c r="G12" s="27"/>
      <c r="H12" s="43" t="s">
        <v>6409</v>
      </c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</row>
    <row r="13">
      <c r="A13" s="32">
        <v>16810.0</v>
      </c>
      <c r="B13" s="4" t="s">
        <v>20</v>
      </c>
      <c r="C13" s="28" t="s">
        <v>5008</v>
      </c>
      <c r="D13" s="4" t="s">
        <v>148</v>
      </c>
      <c r="E13" s="4" t="s">
        <v>6410</v>
      </c>
      <c r="F13" s="27"/>
      <c r="G13" s="27"/>
      <c r="H13" s="27"/>
      <c r="I13" s="27"/>
      <c r="J13" s="29" t="s">
        <v>6411</v>
      </c>
      <c r="K13" s="27"/>
      <c r="L13" s="27"/>
      <c r="M13" s="27"/>
      <c r="N13" s="27"/>
      <c r="O13" s="27"/>
      <c r="P13" s="27"/>
      <c r="Q13" s="27"/>
      <c r="R13" s="27"/>
      <c r="S13" s="27"/>
    </row>
    <row r="14">
      <c r="A14" s="74">
        <v>16818.0</v>
      </c>
      <c r="B14" s="4" t="s">
        <v>20</v>
      </c>
      <c r="C14" s="28" t="s">
        <v>6412</v>
      </c>
      <c r="D14" s="4" t="s">
        <v>148</v>
      </c>
      <c r="E14" s="4" t="s">
        <v>6410</v>
      </c>
      <c r="F14" s="27"/>
      <c r="G14" s="27"/>
      <c r="H14" s="27"/>
      <c r="I14" s="27"/>
      <c r="J14" s="29" t="s">
        <v>6413</v>
      </c>
      <c r="K14" s="27"/>
      <c r="L14" s="27"/>
      <c r="M14" s="27"/>
      <c r="N14" s="27"/>
      <c r="O14" s="27"/>
      <c r="P14" s="27"/>
      <c r="Q14" s="27"/>
      <c r="R14" s="27"/>
      <c r="S14" s="27"/>
    </row>
    <row r="15">
      <c r="A15" s="74">
        <v>17013.0</v>
      </c>
      <c r="B15" s="4" t="s">
        <v>20</v>
      </c>
      <c r="C15" s="28" t="s">
        <v>6414</v>
      </c>
      <c r="D15" s="4" t="s">
        <v>148</v>
      </c>
      <c r="E15" s="4" t="s">
        <v>6410</v>
      </c>
      <c r="F15" s="27"/>
      <c r="G15" s="27"/>
      <c r="H15" s="27"/>
      <c r="I15" s="27"/>
      <c r="J15" s="29" t="s">
        <v>6415</v>
      </c>
      <c r="K15" s="27"/>
      <c r="L15" s="27"/>
      <c r="M15" s="27"/>
      <c r="N15" s="27"/>
      <c r="O15" s="27"/>
      <c r="P15" s="27"/>
      <c r="Q15" s="27"/>
      <c r="R15" s="27"/>
      <c r="S15" s="27"/>
    </row>
    <row r="16">
      <c r="A16" s="74">
        <v>17026.0</v>
      </c>
      <c r="B16" s="4" t="s">
        <v>20</v>
      </c>
      <c r="C16" s="28" t="s">
        <v>6416</v>
      </c>
      <c r="D16" s="4" t="s">
        <v>148</v>
      </c>
      <c r="E16" s="4" t="s">
        <v>6410</v>
      </c>
      <c r="F16" s="27"/>
      <c r="G16" s="27"/>
      <c r="H16" s="27"/>
      <c r="I16" s="27"/>
      <c r="J16" s="29" t="s">
        <v>6417</v>
      </c>
      <c r="K16" s="27"/>
      <c r="L16" s="27"/>
      <c r="M16" s="27"/>
      <c r="N16" s="27"/>
      <c r="O16" s="27"/>
      <c r="P16" s="27"/>
      <c r="Q16" s="27"/>
      <c r="R16" s="27"/>
      <c r="S16" s="27"/>
    </row>
    <row r="17">
      <c r="A17" s="74">
        <v>17027.0</v>
      </c>
      <c r="B17" s="4" t="s">
        <v>20</v>
      </c>
      <c r="C17" s="28" t="s">
        <v>6418</v>
      </c>
      <c r="D17" s="4" t="s">
        <v>148</v>
      </c>
      <c r="E17" s="4" t="s">
        <v>6410</v>
      </c>
      <c r="F17" s="27"/>
      <c r="G17" s="27"/>
      <c r="H17" s="27"/>
      <c r="I17" s="27"/>
      <c r="J17" s="29" t="s">
        <v>6419</v>
      </c>
      <c r="K17" s="27"/>
      <c r="L17" s="27"/>
      <c r="M17" s="27"/>
      <c r="N17" s="27"/>
      <c r="O17" s="27"/>
      <c r="P17" s="27"/>
      <c r="Q17" s="27"/>
      <c r="R17" s="27"/>
      <c r="S17" s="27"/>
    </row>
    <row r="18">
      <c r="A18" s="74">
        <v>17045.0</v>
      </c>
      <c r="B18" s="4" t="s">
        <v>20</v>
      </c>
      <c r="C18" s="28" t="s">
        <v>6420</v>
      </c>
      <c r="D18" s="4" t="s">
        <v>148</v>
      </c>
      <c r="E18" s="4" t="s">
        <v>6410</v>
      </c>
      <c r="F18" s="27"/>
      <c r="G18" s="27"/>
      <c r="H18" s="27"/>
      <c r="I18" s="27"/>
      <c r="J18" s="29" t="s">
        <v>6421</v>
      </c>
      <c r="K18" s="27"/>
      <c r="L18" s="27"/>
      <c r="M18" s="27"/>
      <c r="N18" s="27"/>
      <c r="O18" s="27"/>
      <c r="P18" s="27"/>
      <c r="Q18" s="27"/>
      <c r="R18" s="27"/>
      <c r="S18" s="27"/>
    </row>
    <row r="19">
      <c r="A19" s="74">
        <v>17055.0</v>
      </c>
      <c r="B19" s="4" t="s">
        <v>20</v>
      </c>
      <c r="C19" s="28" t="s">
        <v>145</v>
      </c>
      <c r="D19" s="4" t="s">
        <v>148</v>
      </c>
      <c r="E19" s="4" t="s">
        <v>6410</v>
      </c>
      <c r="F19" s="27"/>
      <c r="G19" s="27"/>
      <c r="H19" s="43" t="s">
        <v>6422</v>
      </c>
      <c r="I19" s="29" t="s">
        <v>6423</v>
      </c>
      <c r="J19" s="29" t="s">
        <v>6424</v>
      </c>
      <c r="K19" s="27"/>
      <c r="L19" s="27"/>
      <c r="M19" s="27"/>
      <c r="N19" s="27"/>
      <c r="O19" s="27"/>
      <c r="P19" s="27"/>
      <c r="Q19" s="27"/>
      <c r="R19" s="27"/>
      <c r="S19" s="27"/>
    </row>
    <row r="20">
      <c r="A20" s="74">
        <v>17079.0</v>
      </c>
      <c r="B20" s="4" t="s">
        <v>20</v>
      </c>
      <c r="C20" s="28" t="s">
        <v>1420</v>
      </c>
      <c r="D20" s="4" t="s">
        <v>148</v>
      </c>
      <c r="E20" s="4" t="s">
        <v>6410</v>
      </c>
      <c r="F20" s="27"/>
      <c r="G20" s="27"/>
      <c r="H20" s="27"/>
      <c r="I20" s="27"/>
      <c r="J20" s="29" t="s">
        <v>6425</v>
      </c>
      <c r="K20" s="27"/>
      <c r="L20" s="27"/>
      <c r="M20" s="27"/>
      <c r="N20" s="27"/>
      <c r="O20" s="27"/>
      <c r="P20" s="27"/>
      <c r="Q20" s="27"/>
      <c r="R20" s="27"/>
      <c r="S20" s="27"/>
    </row>
    <row r="21">
      <c r="A21" s="74">
        <v>17080.0</v>
      </c>
      <c r="B21" s="4" t="s">
        <v>20</v>
      </c>
      <c r="C21" s="28" t="s">
        <v>6426</v>
      </c>
      <c r="D21" s="4" t="s">
        <v>148</v>
      </c>
      <c r="E21" s="4" t="s">
        <v>6410</v>
      </c>
      <c r="F21" s="27"/>
      <c r="G21" s="27"/>
      <c r="H21" s="27"/>
      <c r="I21" s="27"/>
      <c r="J21" s="29" t="s">
        <v>6427</v>
      </c>
      <c r="K21" s="27"/>
      <c r="L21" s="27"/>
      <c r="M21" s="27"/>
      <c r="N21" s="27"/>
      <c r="O21" s="27"/>
      <c r="P21" s="27"/>
      <c r="Q21" s="27"/>
      <c r="R21" s="27"/>
      <c r="S21" s="27"/>
    </row>
    <row r="22">
      <c r="A22" s="74">
        <v>17784.0</v>
      </c>
      <c r="B22" s="4" t="s">
        <v>720</v>
      </c>
      <c r="C22" s="28" t="s">
        <v>6428</v>
      </c>
      <c r="D22" s="4" t="s">
        <v>148</v>
      </c>
      <c r="E22" s="4" t="s">
        <v>6410</v>
      </c>
      <c r="F22" s="27"/>
      <c r="G22" s="27"/>
      <c r="H22" s="27"/>
      <c r="I22" s="27"/>
      <c r="J22" s="29" t="s">
        <v>6429</v>
      </c>
      <c r="K22" s="27"/>
      <c r="L22" s="27"/>
      <c r="M22" s="27"/>
      <c r="N22" s="27"/>
      <c r="O22" s="27"/>
      <c r="P22" s="27"/>
      <c r="Q22" s="27"/>
      <c r="R22" s="27"/>
      <c r="S22" s="27"/>
    </row>
    <row r="23">
      <c r="A23" s="74">
        <v>18813.0</v>
      </c>
      <c r="B23" s="4" t="s">
        <v>2364</v>
      </c>
      <c r="C23" s="28" t="s">
        <v>6430</v>
      </c>
      <c r="D23" s="4" t="s">
        <v>148</v>
      </c>
      <c r="E23" s="4" t="s">
        <v>6410</v>
      </c>
      <c r="F23" s="27"/>
      <c r="G23" s="27"/>
      <c r="H23" s="27"/>
      <c r="I23" s="27"/>
      <c r="J23" s="29" t="s">
        <v>6431</v>
      </c>
      <c r="K23" s="27"/>
      <c r="L23" s="27"/>
      <c r="M23" s="27"/>
      <c r="N23" s="27"/>
      <c r="O23" s="27"/>
      <c r="P23" s="27"/>
      <c r="Q23" s="27"/>
      <c r="R23" s="27"/>
      <c r="S23" s="27"/>
    </row>
    <row r="24">
      <c r="A24" s="32">
        <v>21486.0</v>
      </c>
      <c r="B24" s="4" t="s">
        <v>20</v>
      </c>
      <c r="C24" s="28" t="s">
        <v>6432</v>
      </c>
      <c r="D24" s="4" t="s">
        <v>148</v>
      </c>
      <c r="E24" s="4" t="s">
        <v>6410</v>
      </c>
      <c r="F24" s="27"/>
      <c r="G24" s="27"/>
      <c r="H24" s="29" t="s">
        <v>6433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</row>
    <row r="25">
      <c r="A25" s="74">
        <v>24614.0</v>
      </c>
      <c r="B25" s="4" t="s">
        <v>20</v>
      </c>
      <c r="C25" s="28" t="s">
        <v>6434</v>
      </c>
      <c r="D25" s="4" t="s">
        <v>148</v>
      </c>
      <c r="E25" s="4" t="s">
        <v>6410</v>
      </c>
      <c r="F25" s="27"/>
      <c r="G25" s="27"/>
      <c r="H25" s="43" t="s">
        <v>6435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</row>
    <row r="26">
      <c r="A26" s="74">
        <v>24625.0</v>
      </c>
      <c r="B26" s="4" t="s">
        <v>20</v>
      </c>
      <c r="C26" s="28" t="s">
        <v>5838</v>
      </c>
      <c r="D26" s="4" t="s">
        <v>148</v>
      </c>
      <c r="E26" s="4" t="s">
        <v>6410</v>
      </c>
      <c r="F26" s="27"/>
      <c r="G26" s="27"/>
      <c r="H26" s="27"/>
      <c r="I26" s="27"/>
      <c r="J26" s="29" t="s">
        <v>6436</v>
      </c>
      <c r="K26" s="27"/>
      <c r="L26" s="27"/>
      <c r="M26" s="27"/>
      <c r="N26" s="27"/>
      <c r="O26" s="27"/>
      <c r="P26" s="27"/>
      <c r="Q26" s="27"/>
      <c r="R26" s="27"/>
      <c r="S26" s="27"/>
    </row>
    <row r="27">
      <c r="A27" s="74">
        <v>24707.0</v>
      </c>
      <c r="B27" s="4" t="s">
        <v>20</v>
      </c>
      <c r="C27" s="28" t="s">
        <v>6437</v>
      </c>
      <c r="D27" s="4" t="s">
        <v>148</v>
      </c>
      <c r="E27" s="4" t="s">
        <v>6410</v>
      </c>
      <c r="F27" s="27"/>
      <c r="G27" s="27"/>
      <c r="H27" s="43" t="s">
        <v>6438</v>
      </c>
      <c r="I27" s="27"/>
      <c r="J27" s="29" t="s">
        <v>6439</v>
      </c>
      <c r="K27" s="27"/>
      <c r="L27" s="27"/>
      <c r="M27" s="27"/>
      <c r="N27" s="27"/>
      <c r="O27" s="27"/>
      <c r="P27" s="27"/>
      <c r="Q27" s="27"/>
      <c r="R27" s="27"/>
      <c r="S27" s="27"/>
    </row>
    <row r="28">
      <c r="A28" s="74">
        <v>24748.0</v>
      </c>
      <c r="B28" s="4" t="s">
        <v>20</v>
      </c>
      <c r="C28" s="28" t="s">
        <v>6440</v>
      </c>
      <c r="D28" s="4" t="s">
        <v>148</v>
      </c>
      <c r="E28" s="4" t="s">
        <v>6410</v>
      </c>
      <c r="F28" s="27"/>
      <c r="G28" s="27"/>
      <c r="H28" s="43" t="s">
        <v>6441</v>
      </c>
      <c r="I28" s="27"/>
      <c r="J28" s="29" t="s">
        <v>6442</v>
      </c>
      <c r="K28" s="27"/>
      <c r="L28" s="27"/>
      <c r="M28" s="27"/>
      <c r="N28" s="27"/>
      <c r="O28" s="27"/>
      <c r="P28" s="27"/>
      <c r="Q28" s="27"/>
      <c r="R28" s="27"/>
      <c r="S28" s="27"/>
    </row>
    <row r="29">
      <c r="A29" s="74">
        <v>26812.0</v>
      </c>
      <c r="B29" s="4" t="s">
        <v>20</v>
      </c>
      <c r="C29" s="28" t="s">
        <v>6443</v>
      </c>
      <c r="D29" s="4" t="s">
        <v>148</v>
      </c>
      <c r="E29" s="4" t="s">
        <v>6410</v>
      </c>
      <c r="F29" s="27"/>
      <c r="G29" s="27"/>
      <c r="H29" s="27"/>
      <c r="I29" s="27"/>
      <c r="J29" s="29" t="s">
        <v>6444</v>
      </c>
      <c r="K29" s="27"/>
      <c r="L29" s="27"/>
      <c r="M29" s="27"/>
      <c r="N29" s="27"/>
      <c r="O29" s="27"/>
      <c r="P29" s="27"/>
      <c r="Q29" s="27"/>
      <c r="R29" s="27"/>
      <c r="S29" s="27"/>
    </row>
    <row r="30">
      <c r="A30" s="74">
        <v>27920.0</v>
      </c>
      <c r="B30" s="4" t="s">
        <v>20</v>
      </c>
      <c r="C30" s="28" t="s">
        <v>6445</v>
      </c>
      <c r="D30" s="4" t="s">
        <v>148</v>
      </c>
      <c r="E30" s="4" t="s">
        <v>6410</v>
      </c>
      <c r="F30" s="27"/>
      <c r="G30" s="27"/>
      <c r="H30" s="27"/>
      <c r="I30" s="27"/>
      <c r="J30" s="29" t="s">
        <v>6446</v>
      </c>
      <c r="K30" s="27"/>
      <c r="L30" s="27"/>
      <c r="M30" s="27"/>
      <c r="N30" s="27"/>
      <c r="O30" s="27"/>
      <c r="P30" s="27"/>
      <c r="Q30" s="27"/>
      <c r="R30" s="27"/>
      <c r="S30" s="27"/>
    </row>
    <row r="31">
      <c r="A31" s="74">
        <v>27921.0</v>
      </c>
      <c r="B31" s="4" t="s">
        <v>20</v>
      </c>
      <c r="C31" s="28" t="s">
        <v>6447</v>
      </c>
      <c r="D31" s="4" t="s">
        <v>148</v>
      </c>
      <c r="E31" s="4" t="s">
        <v>6410</v>
      </c>
      <c r="F31" s="27"/>
      <c r="G31" s="27"/>
      <c r="H31" s="43" t="s">
        <v>6448</v>
      </c>
      <c r="I31" s="27"/>
      <c r="J31" s="29" t="s">
        <v>6449</v>
      </c>
      <c r="K31" s="27"/>
      <c r="L31" s="27"/>
      <c r="M31" s="27"/>
      <c r="N31" s="27"/>
      <c r="O31" s="27"/>
      <c r="P31" s="27"/>
      <c r="Q31" s="27"/>
      <c r="R31" s="27"/>
      <c r="S31" s="27"/>
    </row>
    <row r="32">
      <c r="A32" s="74">
        <v>27922.0</v>
      </c>
      <c r="B32" s="4" t="s">
        <v>20</v>
      </c>
      <c r="C32" s="28" t="s">
        <v>6450</v>
      </c>
      <c r="D32" s="4" t="s">
        <v>148</v>
      </c>
      <c r="E32" s="4" t="s">
        <v>6410</v>
      </c>
      <c r="F32" s="27"/>
      <c r="G32" s="27"/>
      <c r="H32" s="27"/>
      <c r="I32" s="27"/>
      <c r="J32" s="29" t="s">
        <v>6451</v>
      </c>
      <c r="K32" s="27"/>
      <c r="L32" s="27"/>
      <c r="M32" s="27"/>
      <c r="N32" s="27"/>
      <c r="O32" s="27"/>
      <c r="P32" s="27"/>
      <c r="Q32" s="27"/>
      <c r="R32" s="27"/>
      <c r="S32" s="27"/>
    </row>
    <row r="33">
      <c r="A33" s="74">
        <v>27923.0</v>
      </c>
      <c r="B33" s="4" t="s">
        <v>20</v>
      </c>
      <c r="C33" s="28" t="s">
        <v>6452</v>
      </c>
      <c r="D33" s="4" t="s">
        <v>148</v>
      </c>
      <c r="E33" s="4" t="s">
        <v>6410</v>
      </c>
      <c r="F33" s="27"/>
      <c r="G33" s="27"/>
      <c r="H33" s="27"/>
      <c r="I33" s="27"/>
      <c r="J33" s="29" t="s">
        <v>6453</v>
      </c>
      <c r="K33" s="27"/>
      <c r="L33" s="27"/>
      <c r="M33" s="27"/>
      <c r="N33" s="27"/>
      <c r="O33" s="27"/>
      <c r="P33" s="27"/>
      <c r="Q33" s="27"/>
      <c r="R33" s="27"/>
      <c r="S33" s="27"/>
    </row>
    <row r="34">
      <c r="A34" s="74">
        <v>27924.0</v>
      </c>
      <c r="B34" s="4" t="s">
        <v>20</v>
      </c>
      <c r="C34" s="28" t="s">
        <v>6454</v>
      </c>
      <c r="D34" s="4" t="s">
        <v>148</v>
      </c>
      <c r="E34" s="4" t="s">
        <v>6410</v>
      </c>
      <c r="F34" s="27"/>
      <c r="G34" s="27"/>
      <c r="H34" s="43" t="s">
        <v>6455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</row>
    <row r="35">
      <c r="A35" s="74">
        <v>27925.0</v>
      </c>
      <c r="B35" s="4" t="s">
        <v>20</v>
      </c>
      <c r="C35" s="28" t="s">
        <v>6456</v>
      </c>
      <c r="D35" s="4" t="s">
        <v>148</v>
      </c>
      <c r="E35" s="4" t="s">
        <v>6410</v>
      </c>
      <c r="F35" s="27"/>
      <c r="G35" s="27"/>
      <c r="H35" s="27"/>
      <c r="I35" s="27"/>
      <c r="J35" s="29" t="s">
        <v>6415</v>
      </c>
      <c r="K35" s="27"/>
      <c r="L35" s="27"/>
      <c r="M35" s="27"/>
      <c r="N35" s="27"/>
      <c r="O35" s="27"/>
      <c r="P35" s="27"/>
      <c r="Q35" s="27"/>
      <c r="R35" s="27"/>
      <c r="S35" s="27"/>
    </row>
    <row r="36">
      <c r="A36" s="74">
        <v>27926.0</v>
      </c>
      <c r="B36" s="4" t="s">
        <v>20</v>
      </c>
      <c r="C36" s="28" t="s">
        <v>6457</v>
      </c>
      <c r="D36" s="4" t="s">
        <v>148</v>
      </c>
      <c r="E36" s="4" t="s">
        <v>6410</v>
      </c>
      <c r="F36" s="27"/>
      <c r="G36" s="27"/>
      <c r="H36" s="43" t="s">
        <v>6458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</row>
    <row r="37">
      <c r="A37" s="74">
        <v>27927.0</v>
      </c>
      <c r="B37" s="4" t="s">
        <v>20</v>
      </c>
      <c r="C37" s="28" t="s">
        <v>6459</v>
      </c>
      <c r="D37" s="4" t="s">
        <v>148</v>
      </c>
      <c r="E37" s="4" t="s">
        <v>6410</v>
      </c>
      <c r="F37" s="27"/>
      <c r="G37" s="27"/>
      <c r="H37" s="43" t="s">
        <v>6460</v>
      </c>
      <c r="I37" s="27"/>
      <c r="J37" s="29" t="s">
        <v>6461</v>
      </c>
      <c r="K37" s="27"/>
      <c r="L37" s="27"/>
      <c r="M37" s="27"/>
      <c r="N37" s="27"/>
      <c r="O37" s="27"/>
      <c r="P37" s="27"/>
      <c r="Q37" s="27"/>
      <c r="R37" s="27"/>
      <c r="S37" s="27"/>
    </row>
    <row r="38">
      <c r="A38" s="74">
        <v>27928.0</v>
      </c>
      <c r="B38" s="4" t="s">
        <v>20</v>
      </c>
      <c r="C38" s="28" t="s">
        <v>6462</v>
      </c>
      <c r="D38" s="4" t="s">
        <v>148</v>
      </c>
      <c r="E38" s="4" t="s">
        <v>6410</v>
      </c>
      <c r="F38" s="27"/>
      <c r="G38" s="27"/>
      <c r="H38" s="27"/>
      <c r="I38" s="29" t="s">
        <v>6463</v>
      </c>
      <c r="J38" s="29" t="s">
        <v>6464</v>
      </c>
      <c r="K38" s="27"/>
      <c r="L38" s="27"/>
      <c r="M38" s="27"/>
      <c r="N38" s="27"/>
      <c r="O38" s="27"/>
      <c r="P38" s="27"/>
      <c r="Q38" s="27"/>
      <c r="R38" s="27"/>
      <c r="S38" s="27"/>
    </row>
    <row r="39">
      <c r="A39" s="74">
        <v>27929.0</v>
      </c>
      <c r="B39" s="4" t="s">
        <v>20</v>
      </c>
      <c r="C39" s="28" t="s">
        <v>6465</v>
      </c>
      <c r="D39" s="4" t="s">
        <v>148</v>
      </c>
      <c r="E39" s="4" t="s">
        <v>6410</v>
      </c>
      <c r="F39" s="27"/>
      <c r="G39" s="27"/>
      <c r="H39" s="43" t="s">
        <v>6466</v>
      </c>
      <c r="I39" s="27"/>
      <c r="J39" s="29" t="s">
        <v>6467</v>
      </c>
      <c r="K39" s="27"/>
      <c r="L39" s="27"/>
      <c r="M39" s="27"/>
      <c r="N39" s="27"/>
      <c r="O39" s="27"/>
      <c r="P39" s="27"/>
      <c r="Q39" s="27"/>
      <c r="R39" s="27"/>
      <c r="S39" s="27"/>
    </row>
    <row r="40">
      <c r="A40" s="74">
        <v>27930.0</v>
      </c>
      <c r="B40" s="4" t="s">
        <v>20</v>
      </c>
      <c r="C40" s="28" t="s">
        <v>6468</v>
      </c>
      <c r="D40" s="4" t="s">
        <v>148</v>
      </c>
      <c r="E40" s="4" t="s">
        <v>6410</v>
      </c>
      <c r="F40" s="27"/>
      <c r="G40" s="27"/>
      <c r="H40" s="27"/>
      <c r="I40" s="27"/>
      <c r="J40" s="29" t="s">
        <v>6469</v>
      </c>
      <c r="K40" s="27"/>
      <c r="L40" s="27"/>
      <c r="M40" s="27"/>
      <c r="N40" s="27"/>
      <c r="O40" s="27"/>
      <c r="P40" s="27"/>
      <c r="Q40" s="27"/>
      <c r="R40" s="27"/>
      <c r="S40" s="27"/>
    </row>
    <row r="41">
      <c r="A41" s="74">
        <v>27933.0</v>
      </c>
      <c r="B41" s="4" t="s">
        <v>220</v>
      </c>
      <c r="C41" s="28" t="s">
        <v>5696</v>
      </c>
      <c r="D41" s="4" t="s">
        <v>148</v>
      </c>
      <c r="E41" s="4" t="s">
        <v>6410</v>
      </c>
      <c r="F41" s="27"/>
      <c r="G41" s="27"/>
      <c r="H41" s="43" t="s">
        <v>6470</v>
      </c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</row>
    <row r="42">
      <c r="A42" s="74">
        <v>28039.0</v>
      </c>
      <c r="B42" s="4" t="s">
        <v>20</v>
      </c>
      <c r="C42" s="28" t="s">
        <v>6471</v>
      </c>
      <c r="D42" s="4" t="s">
        <v>148</v>
      </c>
      <c r="E42" s="4" t="s">
        <v>6410</v>
      </c>
      <c r="F42" s="27"/>
      <c r="G42" s="27"/>
      <c r="H42" s="27"/>
      <c r="I42" s="27"/>
      <c r="J42" s="29" t="s">
        <v>6472</v>
      </c>
      <c r="K42" s="27"/>
      <c r="L42" s="27"/>
      <c r="M42" s="27"/>
      <c r="N42" s="27"/>
      <c r="O42" s="27"/>
      <c r="P42" s="27"/>
      <c r="Q42" s="27"/>
      <c r="R42" s="27"/>
      <c r="S42" s="27"/>
    </row>
    <row r="43">
      <c r="A43" s="74">
        <v>28042.0</v>
      </c>
      <c r="B43" s="4" t="s">
        <v>20</v>
      </c>
      <c r="C43" s="28" t="s">
        <v>6473</v>
      </c>
      <c r="D43" s="4" t="s">
        <v>148</v>
      </c>
      <c r="E43" s="4" t="s">
        <v>6410</v>
      </c>
      <c r="F43" s="27"/>
      <c r="G43" s="27"/>
      <c r="H43" s="43" t="s">
        <v>6474</v>
      </c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</row>
    <row r="44">
      <c r="A44" s="74">
        <v>28043.0</v>
      </c>
      <c r="B44" s="4" t="s">
        <v>20</v>
      </c>
      <c r="C44" s="28" t="s">
        <v>6475</v>
      </c>
      <c r="D44" s="4" t="s">
        <v>148</v>
      </c>
      <c r="E44" s="4" t="s">
        <v>6410</v>
      </c>
      <c r="F44" s="27"/>
      <c r="G44" s="27"/>
      <c r="H44" s="43" t="s">
        <v>6476</v>
      </c>
      <c r="I44" s="27"/>
      <c r="J44" s="29" t="s">
        <v>6477</v>
      </c>
      <c r="K44" s="27"/>
      <c r="L44" s="27"/>
      <c r="M44" s="27"/>
      <c r="N44" s="27"/>
      <c r="O44" s="27"/>
      <c r="P44" s="27"/>
      <c r="Q44" s="27"/>
      <c r="R44" s="27"/>
      <c r="S44" s="27"/>
    </row>
    <row r="45">
      <c r="A45" s="74">
        <v>28045.0</v>
      </c>
      <c r="B45" s="4" t="s">
        <v>20</v>
      </c>
      <c r="C45" s="28" t="s">
        <v>6478</v>
      </c>
      <c r="D45" s="4" t="s">
        <v>148</v>
      </c>
      <c r="E45" s="4" t="s">
        <v>6410</v>
      </c>
      <c r="F45" s="27"/>
      <c r="G45" s="27"/>
      <c r="H45" s="43" t="s">
        <v>6479</v>
      </c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</row>
    <row r="46">
      <c r="A46" s="74">
        <v>28050.0</v>
      </c>
      <c r="B46" s="4" t="s">
        <v>20</v>
      </c>
      <c r="C46" s="28" t="s">
        <v>6480</v>
      </c>
      <c r="D46" s="4" t="s">
        <v>148</v>
      </c>
      <c r="E46" s="4" t="s">
        <v>6410</v>
      </c>
      <c r="F46" s="27"/>
      <c r="G46" s="27"/>
      <c r="H46" s="43" t="s">
        <v>6481</v>
      </c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</row>
    <row r="47">
      <c r="A47" s="74">
        <v>28955.0</v>
      </c>
      <c r="B47" s="4" t="s">
        <v>20</v>
      </c>
      <c r="C47" s="28" t="s">
        <v>6482</v>
      </c>
      <c r="D47" s="4" t="s">
        <v>148</v>
      </c>
      <c r="E47" s="4" t="s">
        <v>6410</v>
      </c>
      <c r="F47" s="27"/>
      <c r="G47" s="27"/>
      <c r="H47" s="27"/>
      <c r="I47" s="29" t="s">
        <v>6483</v>
      </c>
      <c r="J47" s="27"/>
      <c r="K47" s="27"/>
      <c r="L47" s="27"/>
      <c r="M47" s="27"/>
      <c r="N47" s="27"/>
      <c r="O47" s="27"/>
      <c r="P47" s="27"/>
      <c r="Q47" s="27"/>
      <c r="R47" s="27"/>
      <c r="S47" s="27"/>
    </row>
    <row r="48">
      <c r="A48" s="74">
        <v>29016.0</v>
      </c>
      <c r="B48" s="4" t="s">
        <v>20</v>
      </c>
      <c r="C48" s="28" t="s">
        <v>6484</v>
      </c>
      <c r="D48" s="4" t="s">
        <v>148</v>
      </c>
      <c r="E48" s="4" t="s">
        <v>6410</v>
      </c>
      <c r="F48" s="4" t="s">
        <v>6485</v>
      </c>
      <c r="G48" s="27"/>
      <c r="H48" s="43" t="s">
        <v>6486</v>
      </c>
      <c r="I48" s="43" t="s">
        <v>6487</v>
      </c>
      <c r="J48" s="27"/>
      <c r="K48" s="27"/>
      <c r="L48" s="27"/>
      <c r="M48" s="27"/>
      <c r="N48" s="27"/>
      <c r="O48" s="27"/>
      <c r="P48" s="27"/>
      <c r="Q48" s="27"/>
      <c r="R48" s="27"/>
      <c r="S48" s="27"/>
    </row>
    <row r="49">
      <c r="A49" s="74">
        <v>29196.0</v>
      </c>
      <c r="B49" s="4" t="s">
        <v>20</v>
      </c>
      <c r="C49" s="28" t="s">
        <v>6488</v>
      </c>
      <c r="D49" s="4" t="s">
        <v>148</v>
      </c>
      <c r="E49" s="4" t="s">
        <v>6410</v>
      </c>
      <c r="F49" s="27"/>
      <c r="G49" s="27"/>
      <c r="H49" s="43" t="s">
        <v>6441</v>
      </c>
      <c r="I49" s="27"/>
      <c r="J49" s="29" t="s">
        <v>6442</v>
      </c>
      <c r="K49" s="27"/>
      <c r="L49" s="27"/>
      <c r="M49" s="27"/>
      <c r="N49" s="27"/>
      <c r="O49" s="27"/>
      <c r="P49" s="27"/>
      <c r="Q49" s="27"/>
      <c r="R49" s="27"/>
      <c r="S49" s="27"/>
    </row>
    <row r="50">
      <c r="A50" s="74">
        <v>29430.0</v>
      </c>
      <c r="B50" s="4" t="s">
        <v>20</v>
      </c>
      <c r="C50" s="4" t="s">
        <v>4414</v>
      </c>
      <c r="D50" s="4" t="s">
        <v>148</v>
      </c>
      <c r="E50" s="4" t="s">
        <v>6410</v>
      </c>
      <c r="F50" s="27"/>
      <c r="G50" s="27"/>
      <c r="H50" s="43" t="s">
        <v>6489</v>
      </c>
      <c r="I50" s="27"/>
      <c r="J50" s="29" t="s">
        <v>6490</v>
      </c>
      <c r="K50" s="27"/>
      <c r="L50" s="27"/>
      <c r="M50" s="27"/>
      <c r="N50" s="27"/>
      <c r="O50" s="27"/>
      <c r="P50" s="27"/>
      <c r="Q50" s="27"/>
      <c r="R50" s="27"/>
      <c r="S50" s="27"/>
    </row>
    <row r="51">
      <c r="A51" s="74">
        <v>29703.0</v>
      </c>
      <c r="B51" s="4" t="s">
        <v>720</v>
      </c>
      <c r="C51" s="28" t="s">
        <v>5704</v>
      </c>
      <c r="D51" s="4" t="s">
        <v>148</v>
      </c>
      <c r="E51" s="4" t="s">
        <v>6410</v>
      </c>
      <c r="F51" s="27"/>
      <c r="G51" s="27"/>
      <c r="H51" s="27"/>
      <c r="I51" s="27"/>
      <c r="J51" s="29" t="s">
        <v>6491</v>
      </c>
      <c r="K51" s="27"/>
      <c r="L51" s="27"/>
      <c r="M51" s="27"/>
      <c r="N51" s="27"/>
      <c r="O51" s="27"/>
      <c r="P51" s="27"/>
      <c r="Q51" s="27"/>
      <c r="R51" s="27"/>
      <c r="S51" s="27"/>
    </row>
    <row r="52">
      <c r="A52" s="74">
        <v>30140.0</v>
      </c>
      <c r="B52" s="4" t="s">
        <v>102</v>
      </c>
      <c r="C52" s="4" t="s">
        <v>6492</v>
      </c>
      <c r="D52" s="4" t="s">
        <v>148</v>
      </c>
      <c r="E52" s="4" t="s">
        <v>6410</v>
      </c>
      <c r="F52" s="27"/>
      <c r="G52" s="27"/>
      <c r="H52" s="27"/>
      <c r="I52" s="27"/>
      <c r="J52" s="29" t="s">
        <v>6493</v>
      </c>
      <c r="K52" s="27"/>
      <c r="L52" s="27"/>
      <c r="M52" s="27"/>
      <c r="N52" s="27"/>
      <c r="O52" s="27"/>
      <c r="P52" s="27"/>
      <c r="Q52" s="27"/>
      <c r="R52" s="27"/>
      <c r="S52" s="27"/>
    </row>
    <row r="53">
      <c r="A53" s="74">
        <v>30314.0</v>
      </c>
      <c r="B53" s="4" t="s">
        <v>20</v>
      </c>
      <c r="C53" s="28" t="s">
        <v>6494</v>
      </c>
      <c r="D53" s="4" t="s">
        <v>148</v>
      </c>
      <c r="E53" s="4" t="s">
        <v>6410</v>
      </c>
      <c r="F53" s="27"/>
      <c r="G53" s="27"/>
      <c r="H53" s="43" t="s">
        <v>6495</v>
      </c>
      <c r="I53" s="43" t="s">
        <v>6496</v>
      </c>
      <c r="J53" s="29" t="s">
        <v>6497</v>
      </c>
      <c r="K53" s="27"/>
      <c r="L53" s="27"/>
      <c r="M53" s="27"/>
      <c r="N53" s="27"/>
      <c r="O53" s="27"/>
      <c r="P53" s="27"/>
      <c r="Q53" s="27"/>
      <c r="R53" s="27"/>
      <c r="S53" s="27"/>
    </row>
    <row r="54">
      <c r="A54" s="74">
        <v>30319.0</v>
      </c>
      <c r="B54" s="4" t="s">
        <v>20</v>
      </c>
      <c r="C54" s="28" t="s">
        <v>6498</v>
      </c>
      <c r="D54" s="4" t="s">
        <v>148</v>
      </c>
      <c r="E54" s="4" t="s">
        <v>6410</v>
      </c>
      <c r="F54" s="27"/>
      <c r="G54" s="27"/>
      <c r="H54" s="27"/>
      <c r="I54" s="27"/>
      <c r="J54" s="29" t="s">
        <v>6449</v>
      </c>
      <c r="K54" s="27"/>
      <c r="L54" s="27"/>
      <c r="M54" s="27"/>
      <c r="N54" s="27"/>
      <c r="O54" s="27"/>
      <c r="P54" s="27"/>
      <c r="Q54" s="27"/>
      <c r="R54" s="27"/>
      <c r="S54" s="27"/>
    </row>
    <row r="55">
      <c r="A55" s="74">
        <v>30320.0</v>
      </c>
      <c r="B55" s="4" t="s">
        <v>20</v>
      </c>
      <c r="C55" s="28" t="s">
        <v>6499</v>
      </c>
      <c r="D55" s="4" t="s">
        <v>148</v>
      </c>
      <c r="E55" s="4" t="s">
        <v>6410</v>
      </c>
      <c r="F55" s="27"/>
      <c r="G55" s="27"/>
      <c r="H55" s="43" t="s">
        <v>6500</v>
      </c>
      <c r="I55" s="27"/>
      <c r="J55" s="29" t="s">
        <v>6501</v>
      </c>
      <c r="K55" s="27"/>
      <c r="L55" s="27"/>
      <c r="M55" s="27"/>
      <c r="N55" s="27"/>
      <c r="O55" s="27"/>
      <c r="P55" s="27"/>
      <c r="Q55" s="27"/>
      <c r="R55" s="27"/>
      <c r="S55" s="27"/>
    </row>
    <row r="56">
      <c r="A56" s="74">
        <v>31414.0</v>
      </c>
      <c r="B56" s="4" t="s">
        <v>20</v>
      </c>
      <c r="C56" s="4" t="s">
        <v>3209</v>
      </c>
      <c r="D56" s="4" t="s">
        <v>148</v>
      </c>
      <c r="E56" s="4" t="s">
        <v>6410</v>
      </c>
      <c r="F56" s="27"/>
      <c r="G56" s="27"/>
      <c r="H56" s="27"/>
      <c r="I56" s="27"/>
      <c r="J56" s="27"/>
      <c r="K56" s="27"/>
      <c r="L56" s="29" t="s">
        <v>6502</v>
      </c>
      <c r="M56" s="27"/>
      <c r="N56" s="27"/>
      <c r="O56" s="27"/>
      <c r="P56" s="27"/>
      <c r="Q56" s="27"/>
      <c r="R56" s="27"/>
      <c r="S56" s="27"/>
    </row>
    <row r="57">
      <c r="A57" s="74">
        <v>31983.0</v>
      </c>
      <c r="B57" s="4" t="s">
        <v>20</v>
      </c>
      <c r="C57" s="28" t="s">
        <v>3467</v>
      </c>
      <c r="D57" s="28" t="s">
        <v>148</v>
      </c>
      <c r="E57" s="4" t="s">
        <v>6410</v>
      </c>
      <c r="F57" s="27"/>
      <c r="G57" s="27"/>
      <c r="H57" s="43" t="s">
        <v>6503</v>
      </c>
      <c r="I57" s="27"/>
      <c r="J57" s="29" t="s">
        <v>6504</v>
      </c>
      <c r="K57" s="27"/>
      <c r="L57" s="27"/>
      <c r="M57" s="27"/>
      <c r="N57" s="27"/>
      <c r="O57" s="27"/>
      <c r="P57" s="27"/>
      <c r="Q57" s="27"/>
      <c r="R57" s="27"/>
      <c r="S57" s="27"/>
    </row>
    <row r="58">
      <c r="A58" s="27"/>
      <c r="B58" s="4" t="s">
        <v>276</v>
      </c>
      <c r="C58" s="4" t="s">
        <v>6505</v>
      </c>
      <c r="D58" s="4" t="s">
        <v>148</v>
      </c>
      <c r="E58" s="4" t="s">
        <v>6410</v>
      </c>
      <c r="F58" s="27"/>
      <c r="G58" s="27"/>
      <c r="H58" s="43" t="s">
        <v>6506</v>
      </c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</row>
    <row r="59">
      <c r="A59" s="27"/>
      <c r="B59" s="4" t="s">
        <v>20</v>
      </c>
      <c r="C59" s="4" t="s">
        <v>6507</v>
      </c>
      <c r="D59" s="4" t="s">
        <v>148</v>
      </c>
      <c r="E59" s="4" t="s">
        <v>6410</v>
      </c>
      <c r="F59" s="27"/>
      <c r="G59" s="32">
        <v>1.0</v>
      </c>
      <c r="H59" s="43" t="s">
        <v>6508</v>
      </c>
      <c r="I59" s="29" t="s">
        <v>6509</v>
      </c>
      <c r="J59" s="27"/>
      <c r="K59" s="27"/>
      <c r="L59" s="27"/>
      <c r="M59" s="27"/>
      <c r="N59" s="27"/>
      <c r="O59" s="27"/>
      <c r="P59" s="27"/>
      <c r="Q59" s="27"/>
      <c r="R59" s="27"/>
      <c r="S59" s="27"/>
    </row>
    <row r="60">
      <c r="A60" s="27"/>
      <c r="B60" s="4" t="s">
        <v>20</v>
      </c>
      <c r="C60" s="4" t="s">
        <v>6181</v>
      </c>
      <c r="D60" s="4" t="s">
        <v>148</v>
      </c>
      <c r="E60" s="4" t="s">
        <v>6410</v>
      </c>
      <c r="F60" s="27"/>
      <c r="G60" s="27"/>
      <c r="H60" s="43" t="s">
        <v>6510</v>
      </c>
      <c r="I60" s="27"/>
      <c r="J60" s="29" t="s">
        <v>6511</v>
      </c>
      <c r="K60" s="27"/>
      <c r="L60" s="27"/>
      <c r="M60" s="27"/>
      <c r="N60" s="27"/>
      <c r="O60" s="27"/>
      <c r="P60" s="27"/>
      <c r="Q60" s="27"/>
      <c r="R60" s="27"/>
      <c r="S60" s="27"/>
    </row>
    <row r="61">
      <c r="A61" s="27"/>
      <c r="B61" s="4" t="s">
        <v>20</v>
      </c>
      <c r="C61" s="4" t="s">
        <v>2407</v>
      </c>
      <c r="D61" s="4" t="s">
        <v>148</v>
      </c>
      <c r="E61" s="4" t="s">
        <v>6410</v>
      </c>
      <c r="F61" s="27"/>
      <c r="G61" s="27"/>
      <c r="H61" s="43" t="s">
        <v>6512</v>
      </c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</row>
    <row r="62" ht="16.5" customHeight="1">
      <c r="A62" s="27"/>
      <c r="B62" s="4" t="s">
        <v>20</v>
      </c>
      <c r="C62" s="4" t="s">
        <v>804</v>
      </c>
      <c r="D62" s="4" t="s">
        <v>148</v>
      </c>
      <c r="E62" s="4" t="s">
        <v>6410</v>
      </c>
      <c r="F62" s="4" t="s">
        <v>6513</v>
      </c>
      <c r="G62" s="27"/>
      <c r="H62" s="43" t="s">
        <v>6514</v>
      </c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</row>
    <row r="63">
      <c r="A63" s="32">
        <v>21487.0</v>
      </c>
      <c r="B63" s="4" t="s">
        <v>20</v>
      </c>
      <c r="C63" s="28" t="s">
        <v>6515</v>
      </c>
      <c r="D63" s="4" t="s">
        <v>148</v>
      </c>
      <c r="E63" s="4" t="s">
        <v>6516</v>
      </c>
      <c r="F63" s="27"/>
      <c r="G63" s="27"/>
      <c r="H63" s="29" t="s">
        <v>6517</v>
      </c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</row>
    <row r="64">
      <c r="A64" s="74">
        <v>22535.0</v>
      </c>
      <c r="B64" s="4" t="s">
        <v>20</v>
      </c>
      <c r="C64" s="28" t="s">
        <v>6518</v>
      </c>
      <c r="D64" s="4" t="s">
        <v>148</v>
      </c>
      <c r="E64" s="4" t="s">
        <v>6516</v>
      </c>
      <c r="F64" s="27"/>
      <c r="G64" s="27"/>
      <c r="H64" s="43" t="s">
        <v>6519</v>
      </c>
      <c r="I64" s="29" t="s">
        <v>6520</v>
      </c>
      <c r="J64" s="27"/>
      <c r="K64" s="27"/>
      <c r="L64" s="27"/>
      <c r="M64" s="27"/>
      <c r="N64" s="27"/>
      <c r="O64" s="27"/>
      <c r="P64" s="27"/>
      <c r="Q64" s="27"/>
      <c r="R64" s="27"/>
      <c r="S64" s="27"/>
    </row>
    <row r="65">
      <c r="A65" s="74">
        <v>28734.0</v>
      </c>
      <c r="B65" s="4" t="s">
        <v>20</v>
      </c>
      <c r="C65" s="28" t="s">
        <v>6521</v>
      </c>
      <c r="D65" s="4" t="s">
        <v>148</v>
      </c>
      <c r="E65" s="4" t="s">
        <v>6516</v>
      </c>
      <c r="F65" s="27"/>
      <c r="G65" s="27"/>
      <c r="H65" s="27"/>
      <c r="I65" s="29" t="s">
        <v>6522</v>
      </c>
      <c r="J65" s="27"/>
      <c r="K65" s="27"/>
      <c r="L65" s="27"/>
      <c r="M65" s="27"/>
      <c r="N65" s="27"/>
      <c r="O65" s="27"/>
      <c r="P65" s="27"/>
      <c r="Q65" s="27"/>
      <c r="R65" s="27"/>
      <c r="S65" s="27"/>
    </row>
    <row r="66">
      <c r="A66" s="32">
        <v>30073.0</v>
      </c>
      <c r="B66" s="4" t="s">
        <v>20</v>
      </c>
      <c r="C66" s="28" t="s">
        <v>6523</v>
      </c>
      <c r="D66" s="4" t="s">
        <v>148</v>
      </c>
      <c r="E66" s="4" t="s">
        <v>6516</v>
      </c>
      <c r="F66" s="27"/>
      <c r="G66" s="27"/>
      <c r="H66" s="27"/>
      <c r="I66" s="27"/>
      <c r="J66" s="29" t="s">
        <v>6524</v>
      </c>
      <c r="K66" s="27"/>
      <c r="L66" s="27"/>
      <c r="M66" s="27"/>
      <c r="N66" s="27"/>
      <c r="O66" s="27"/>
      <c r="P66" s="27"/>
      <c r="Q66" s="27"/>
      <c r="R66" s="27"/>
      <c r="S66" s="27"/>
    </row>
    <row r="67">
      <c r="A67" s="74">
        <v>31339.0</v>
      </c>
      <c r="B67" s="4" t="s">
        <v>20</v>
      </c>
      <c r="C67" s="28" t="s">
        <v>4724</v>
      </c>
      <c r="D67" s="4" t="s">
        <v>148</v>
      </c>
      <c r="E67" s="4" t="s">
        <v>6516</v>
      </c>
      <c r="F67" s="27"/>
      <c r="G67" s="27"/>
      <c r="H67" s="43" t="s">
        <v>6525</v>
      </c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</row>
    <row r="68">
      <c r="A68" s="74">
        <v>31342.0</v>
      </c>
      <c r="B68" s="4" t="s">
        <v>20</v>
      </c>
      <c r="C68" s="28" t="s">
        <v>4139</v>
      </c>
      <c r="D68" s="4" t="s">
        <v>148</v>
      </c>
      <c r="E68" s="4" t="s">
        <v>6516</v>
      </c>
      <c r="F68" s="27"/>
      <c r="G68" s="27"/>
      <c r="H68" s="43" t="s">
        <v>6526</v>
      </c>
      <c r="I68" s="27"/>
      <c r="J68" s="29" t="s">
        <v>6527</v>
      </c>
      <c r="K68" s="27"/>
      <c r="L68" s="27"/>
      <c r="M68" s="27"/>
      <c r="N68" s="27"/>
      <c r="O68" s="27"/>
      <c r="P68" s="27"/>
      <c r="Q68" s="27"/>
      <c r="R68" s="27"/>
      <c r="S68" s="27"/>
    </row>
    <row r="69">
      <c r="A69" s="74">
        <v>31481.0</v>
      </c>
      <c r="B69" s="4" t="s">
        <v>20</v>
      </c>
      <c r="C69" s="28" t="s">
        <v>3898</v>
      </c>
      <c r="D69" s="4" t="s">
        <v>148</v>
      </c>
      <c r="E69" s="4" t="s">
        <v>6516</v>
      </c>
      <c r="F69" s="27"/>
      <c r="G69" s="27"/>
      <c r="H69" s="43" t="s">
        <v>6528</v>
      </c>
      <c r="I69" s="43" t="s">
        <v>6529</v>
      </c>
      <c r="J69" s="29" t="s">
        <v>6530</v>
      </c>
      <c r="K69" s="27"/>
      <c r="L69" s="27"/>
      <c r="M69" s="27"/>
      <c r="N69" s="27"/>
      <c r="O69" s="27"/>
      <c r="P69" s="27"/>
      <c r="Q69" s="27"/>
      <c r="R69" s="27"/>
      <c r="S69" s="27"/>
    </row>
    <row r="70">
      <c r="A70" s="27"/>
      <c r="B70" s="4" t="s">
        <v>276</v>
      </c>
      <c r="C70" s="4" t="s">
        <v>6531</v>
      </c>
      <c r="D70" s="4" t="s">
        <v>148</v>
      </c>
      <c r="E70" s="4" t="s">
        <v>6516</v>
      </c>
      <c r="F70" s="27"/>
      <c r="G70" s="27"/>
      <c r="H70" s="43" t="s">
        <v>6532</v>
      </c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</row>
    <row r="71">
      <c r="A71" s="27"/>
      <c r="B71" s="4" t="s">
        <v>20</v>
      </c>
      <c r="C71" s="4" t="s">
        <v>4517</v>
      </c>
      <c r="D71" s="4" t="s">
        <v>148</v>
      </c>
      <c r="E71" s="4" t="s">
        <v>6516</v>
      </c>
      <c r="F71" s="27"/>
      <c r="G71" s="27"/>
      <c r="H71" s="43" t="s">
        <v>6533</v>
      </c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</row>
    <row r="72">
      <c r="A72" s="27"/>
      <c r="B72" s="4" t="s">
        <v>20</v>
      </c>
      <c r="C72" s="4" t="s">
        <v>3186</v>
      </c>
      <c r="D72" s="4" t="s">
        <v>148</v>
      </c>
      <c r="E72" s="4" t="s">
        <v>6516</v>
      </c>
      <c r="F72" s="4" t="s">
        <v>6534</v>
      </c>
      <c r="G72" s="27"/>
      <c r="H72" s="29" t="s">
        <v>6535</v>
      </c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</row>
    <row r="73">
      <c r="A73" s="27"/>
      <c r="B73" s="4" t="s">
        <v>20</v>
      </c>
      <c r="C73" s="4" t="s">
        <v>6536</v>
      </c>
      <c r="D73" s="4" t="s">
        <v>148</v>
      </c>
      <c r="E73" s="4" t="s">
        <v>6516</v>
      </c>
      <c r="F73" s="4" t="s">
        <v>6534</v>
      </c>
      <c r="G73" s="27"/>
      <c r="H73" s="43" t="s">
        <v>6537</v>
      </c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</row>
    <row r="74">
      <c r="A74" s="27"/>
      <c r="B74" s="4" t="s">
        <v>20</v>
      </c>
      <c r="C74" s="4" t="s">
        <v>6538</v>
      </c>
      <c r="D74" s="4" t="s">
        <v>148</v>
      </c>
      <c r="E74" s="4" t="s">
        <v>6516</v>
      </c>
      <c r="F74" s="4" t="s">
        <v>6534</v>
      </c>
      <c r="G74" s="27"/>
      <c r="H74" s="43" t="s">
        <v>6539</v>
      </c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</row>
    <row r="75">
      <c r="A75" s="27"/>
      <c r="B75" s="4" t="s">
        <v>20</v>
      </c>
      <c r="C75" s="4" t="s">
        <v>6540</v>
      </c>
      <c r="D75" s="4" t="s">
        <v>148</v>
      </c>
      <c r="E75" s="4" t="s">
        <v>6516</v>
      </c>
      <c r="F75" s="4" t="s">
        <v>6541</v>
      </c>
      <c r="G75" s="27"/>
      <c r="H75" s="43" t="s">
        <v>6542</v>
      </c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</row>
    <row r="76">
      <c r="A76" s="74">
        <v>16848.0</v>
      </c>
      <c r="B76" s="4" t="s">
        <v>20</v>
      </c>
      <c r="C76" s="28" t="s">
        <v>6543</v>
      </c>
      <c r="D76" s="4" t="s">
        <v>148</v>
      </c>
      <c r="E76" s="4" t="s">
        <v>6544</v>
      </c>
      <c r="F76" s="27"/>
      <c r="G76" s="27"/>
      <c r="H76" s="43" t="s">
        <v>6545</v>
      </c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</row>
    <row r="77">
      <c r="A77" s="74">
        <v>17001.0</v>
      </c>
      <c r="B77" s="4" t="s">
        <v>20</v>
      </c>
      <c r="C77" s="28" t="s">
        <v>1057</v>
      </c>
      <c r="D77" s="4" t="s">
        <v>148</v>
      </c>
      <c r="E77" s="4" t="s">
        <v>6544</v>
      </c>
      <c r="F77" s="27"/>
      <c r="G77" s="27"/>
      <c r="H77" s="43" t="s">
        <v>6546</v>
      </c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</row>
    <row r="78">
      <c r="A78" s="74">
        <v>17019.0</v>
      </c>
      <c r="B78" s="4" t="s">
        <v>20</v>
      </c>
      <c r="C78" s="28" t="s">
        <v>3325</v>
      </c>
      <c r="D78" s="4" t="s">
        <v>148</v>
      </c>
      <c r="E78" s="4" t="s">
        <v>6544</v>
      </c>
      <c r="F78" s="27"/>
      <c r="G78" s="27"/>
      <c r="H78" s="43" t="s">
        <v>6547</v>
      </c>
      <c r="I78" s="29" t="s">
        <v>6548</v>
      </c>
      <c r="J78" s="29" t="s">
        <v>6549</v>
      </c>
      <c r="K78" s="27"/>
      <c r="L78" s="27"/>
      <c r="M78" s="27"/>
      <c r="N78" s="27"/>
      <c r="O78" s="27"/>
      <c r="P78" s="27"/>
      <c r="Q78" s="27"/>
      <c r="R78" s="27"/>
      <c r="S78" s="27"/>
    </row>
    <row r="79">
      <c r="A79" s="74">
        <v>17087.0</v>
      </c>
      <c r="B79" s="4" t="s">
        <v>20</v>
      </c>
      <c r="C79" s="28" t="s">
        <v>6550</v>
      </c>
      <c r="D79" s="4" t="s">
        <v>148</v>
      </c>
      <c r="E79" s="4" t="s">
        <v>6544</v>
      </c>
      <c r="F79" s="27"/>
      <c r="G79" s="27"/>
      <c r="H79" s="43" t="s">
        <v>6551</v>
      </c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</row>
    <row r="80">
      <c r="A80" s="32">
        <v>20073.0</v>
      </c>
      <c r="B80" s="4" t="s">
        <v>20</v>
      </c>
      <c r="C80" s="28" t="s">
        <v>6552</v>
      </c>
      <c r="D80" s="4" t="s">
        <v>148</v>
      </c>
      <c r="E80" s="4" t="s">
        <v>6544</v>
      </c>
      <c r="F80" s="27"/>
      <c r="G80" s="27"/>
      <c r="H80" s="27"/>
      <c r="I80" s="27"/>
      <c r="J80" s="29" t="s">
        <v>6553</v>
      </c>
      <c r="K80" s="27"/>
      <c r="L80" s="27"/>
      <c r="M80" s="27"/>
      <c r="N80" s="27"/>
      <c r="O80" s="27"/>
      <c r="P80" s="27"/>
      <c r="Q80" s="27"/>
      <c r="R80" s="27"/>
      <c r="S80" s="27"/>
    </row>
    <row r="81">
      <c r="A81" s="74">
        <v>20074.0</v>
      </c>
      <c r="B81" s="4" t="s">
        <v>20</v>
      </c>
      <c r="C81" s="28" t="s">
        <v>6554</v>
      </c>
      <c r="D81" s="4" t="s">
        <v>148</v>
      </c>
      <c r="E81" s="4" t="s">
        <v>6544</v>
      </c>
      <c r="F81" s="27"/>
      <c r="G81" s="27"/>
      <c r="H81" s="27"/>
      <c r="I81" s="27"/>
      <c r="J81" s="29" t="s">
        <v>6555</v>
      </c>
      <c r="K81" s="27"/>
      <c r="L81" s="27"/>
      <c r="M81" s="27"/>
      <c r="N81" s="27"/>
      <c r="O81" s="27"/>
      <c r="P81" s="27"/>
      <c r="Q81" s="27"/>
      <c r="R81" s="27"/>
      <c r="S81" s="27"/>
    </row>
    <row r="82">
      <c r="A82" s="32">
        <v>20075.0</v>
      </c>
      <c r="B82" s="4" t="s">
        <v>20</v>
      </c>
      <c r="C82" s="28" t="s">
        <v>4214</v>
      </c>
      <c r="D82" s="4" t="s">
        <v>148</v>
      </c>
      <c r="E82" s="4" t="s">
        <v>6544</v>
      </c>
      <c r="F82" s="27"/>
      <c r="G82" s="27"/>
      <c r="H82" s="29" t="s">
        <v>6556</v>
      </c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</row>
    <row r="83">
      <c r="A83" s="74">
        <v>20078.0</v>
      </c>
      <c r="B83" s="4" t="s">
        <v>20</v>
      </c>
      <c r="C83" s="28" t="s">
        <v>4103</v>
      </c>
      <c r="D83" s="4" t="s">
        <v>148</v>
      </c>
      <c r="E83" s="4" t="s">
        <v>6544</v>
      </c>
      <c r="F83" s="27"/>
      <c r="G83" s="27"/>
      <c r="H83" s="43" t="s">
        <v>6557</v>
      </c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</row>
    <row r="84">
      <c r="A84" s="74">
        <v>22538.0</v>
      </c>
      <c r="B84" s="4" t="s">
        <v>20</v>
      </c>
      <c r="C84" s="28" t="s">
        <v>6558</v>
      </c>
      <c r="D84" s="4" t="s">
        <v>148</v>
      </c>
      <c r="E84" s="4" t="s">
        <v>6544</v>
      </c>
      <c r="F84" s="27"/>
      <c r="G84" s="27"/>
      <c r="H84" s="43" t="s">
        <v>6559</v>
      </c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</row>
    <row r="85">
      <c r="A85" s="74">
        <v>22540.0</v>
      </c>
      <c r="B85" s="4" t="s">
        <v>20</v>
      </c>
      <c r="C85" s="28" t="s">
        <v>3612</v>
      </c>
      <c r="D85" s="4" t="s">
        <v>148</v>
      </c>
      <c r="E85" s="4" t="s">
        <v>6544</v>
      </c>
      <c r="F85" s="27"/>
      <c r="G85" s="27"/>
      <c r="H85" s="43" t="s">
        <v>6560</v>
      </c>
      <c r="I85" s="27"/>
      <c r="J85" s="29" t="s">
        <v>6561</v>
      </c>
      <c r="K85" s="27"/>
      <c r="L85" s="27"/>
      <c r="M85" s="27"/>
      <c r="N85" s="27"/>
      <c r="O85" s="27"/>
      <c r="P85" s="27"/>
      <c r="Q85" s="27"/>
      <c r="R85" s="27"/>
      <c r="S85" s="27"/>
    </row>
    <row r="86">
      <c r="A86" s="74">
        <v>23262.0</v>
      </c>
      <c r="B86" s="4" t="s">
        <v>20</v>
      </c>
      <c r="C86" s="28" t="s">
        <v>6562</v>
      </c>
      <c r="D86" s="4" t="s">
        <v>148</v>
      </c>
      <c r="E86" s="4" t="s">
        <v>6544</v>
      </c>
      <c r="F86" s="27"/>
      <c r="G86" s="27"/>
      <c r="H86" s="27"/>
      <c r="I86" s="27"/>
      <c r="J86" s="29" t="s">
        <v>6563</v>
      </c>
      <c r="K86" s="27"/>
      <c r="L86" s="27"/>
      <c r="M86" s="27"/>
      <c r="N86" s="27"/>
      <c r="O86" s="27"/>
      <c r="P86" s="27"/>
      <c r="Q86" s="27"/>
      <c r="R86" s="27"/>
      <c r="S86" s="27"/>
    </row>
    <row r="87">
      <c r="A87" s="74">
        <v>23743.0</v>
      </c>
      <c r="B87" s="4" t="s">
        <v>20</v>
      </c>
      <c r="C87" s="28" t="s">
        <v>6564</v>
      </c>
      <c r="D87" s="4" t="s">
        <v>148</v>
      </c>
      <c r="E87" s="4" t="s">
        <v>6544</v>
      </c>
      <c r="F87" s="27"/>
      <c r="G87" s="32">
        <v>1.0</v>
      </c>
      <c r="H87" s="43" t="s">
        <v>6565</v>
      </c>
      <c r="I87" s="29" t="s">
        <v>6566</v>
      </c>
      <c r="J87" s="27"/>
      <c r="K87" s="27"/>
      <c r="L87" s="27"/>
      <c r="M87" s="27"/>
      <c r="N87" s="27"/>
      <c r="O87" s="27"/>
      <c r="P87" s="27"/>
      <c r="Q87" s="27"/>
      <c r="R87" s="27"/>
      <c r="S87" s="27"/>
    </row>
    <row r="88">
      <c r="A88" s="74">
        <v>24702.0</v>
      </c>
      <c r="B88" s="4" t="s">
        <v>20</v>
      </c>
      <c r="C88" s="28" t="s">
        <v>6567</v>
      </c>
      <c r="D88" s="4" t="s">
        <v>148</v>
      </c>
      <c r="E88" s="4" t="s">
        <v>6544</v>
      </c>
      <c r="F88" s="27"/>
      <c r="G88" s="27"/>
      <c r="H88" s="43" t="s">
        <v>6568</v>
      </c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</row>
    <row r="89">
      <c r="A89" s="74">
        <v>26537.0</v>
      </c>
      <c r="B89" s="4" t="s">
        <v>20</v>
      </c>
      <c r="C89" s="28" t="s">
        <v>5407</v>
      </c>
      <c r="D89" s="4" t="s">
        <v>148</v>
      </c>
      <c r="E89" s="4" t="s">
        <v>6544</v>
      </c>
      <c r="F89" s="27"/>
      <c r="G89" s="27"/>
      <c r="H89" s="43" t="s">
        <v>6569</v>
      </c>
      <c r="I89" s="27"/>
      <c r="J89" s="29" t="s">
        <v>6570</v>
      </c>
      <c r="K89" s="27"/>
      <c r="L89" s="27"/>
      <c r="M89" s="27"/>
      <c r="N89" s="27"/>
      <c r="O89" s="27"/>
      <c r="P89" s="27"/>
      <c r="Q89" s="27"/>
      <c r="R89" s="27"/>
      <c r="S89" s="27"/>
    </row>
    <row r="90">
      <c r="A90" s="74">
        <v>30263.0</v>
      </c>
      <c r="B90" s="4" t="s">
        <v>766</v>
      </c>
      <c r="C90" s="28" t="s">
        <v>6571</v>
      </c>
      <c r="D90" s="4" t="s">
        <v>148</v>
      </c>
      <c r="E90" s="4" t="s">
        <v>6544</v>
      </c>
      <c r="F90" s="27"/>
      <c r="G90" s="27"/>
      <c r="H90" s="43" t="s">
        <v>6572</v>
      </c>
      <c r="I90" s="27"/>
      <c r="J90" s="29" t="s">
        <v>6573</v>
      </c>
      <c r="K90" s="27"/>
      <c r="L90" s="27"/>
      <c r="M90" s="27"/>
      <c r="N90" s="27"/>
      <c r="O90" s="27"/>
      <c r="P90" s="27"/>
      <c r="Q90" s="27"/>
      <c r="R90" s="27"/>
      <c r="S90" s="27"/>
    </row>
    <row r="91">
      <c r="A91" s="74">
        <v>30436.0</v>
      </c>
      <c r="B91" s="4" t="s">
        <v>20</v>
      </c>
      <c r="C91" s="28" t="s">
        <v>6574</v>
      </c>
      <c r="D91" s="4" t="s">
        <v>148</v>
      </c>
      <c r="E91" s="4" t="s">
        <v>6544</v>
      </c>
      <c r="F91" s="27"/>
      <c r="G91" s="27"/>
      <c r="H91" s="43" t="s">
        <v>6575</v>
      </c>
      <c r="I91" s="27"/>
      <c r="J91" s="29" t="s">
        <v>6576</v>
      </c>
      <c r="K91" s="27"/>
      <c r="L91" s="27"/>
      <c r="M91" s="27"/>
      <c r="N91" s="27"/>
      <c r="O91" s="27"/>
      <c r="P91" s="27"/>
      <c r="Q91" s="27"/>
      <c r="R91" s="27"/>
      <c r="S91" s="27"/>
    </row>
    <row r="92">
      <c r="A92" s="27"/>
      <c r="B92" s="4" t="s">
        <v>20</v>
      </c>
      <c r="C92" s="4" t="s">
        <v>6577</v>
      </c>
      <c r="D92" s="4" t="s">
        <v>148</v>
      </c>
      <c r="E92" s="4" t="s">
        <v>6544</v>
      </c>
      <c r="F92" s="27"/>
      <c r="G92" s="27"/>
      <c r="H92" s="43" t="s">
        <v>6578</v>
      </c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</row>
    <row r="93">
      <c r="A93" s="27"/>
      <c r="B93" s="4" t="s">
        <v>20</v>
      </c>
      <c r="C93" s="4" t="s">
        <v>6579</v>
      </c>
      <c r="D93" s="4" t="s">
        <v>148</v>
      </c>
      <c r="E93" s="4" t="s">
        <v>6544</v>
      </c>
      <c r="F93" s="27"/>
      <c r="G93" s="32">
        <v>1.0</v>
      </c>
      <c r="H93" s="43" t="s">
        <v>6580</v>
      </c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</row>
    <row r="94">
      <c r="A94" s="27"/>
      <c r="B94" s="4" t="s">
        <v>20</v>
      </c>
      <c r="C94" s="4" t="s">
        <v>6581</v>
      </c>
      <c r="D94" s="4" t="s">
        <v>148</v>
      </c>
      <c r="E94" s="4" t="s">
        <v>6544</v>
      </c>
      <c r="F94" s="27"/>
      <c r="G94" s="27"/>
      <c r="H94" s="43" t="s">
        <v>6582</v>
      </c>
      <c r="I94" s="29" t="s">
        <v>6583</v>
      </c>
      <c r="J94" s="27"/>
      <c r="K94" s="27"/>
      <c r="L94" s="27"/>
      <c r="M94" s="27"/>
      <c r="N94" s="27"/>
      <c r="O94" s="27"/>
      <c r="P94" s="27"/>
      <c r="Q94" s="27"/>
      <c r="R94" s="27"/>
      <c r="S94" s="27"/>
    </row>
    <row r="95">
      <c r="A95" s="27"/>
      <c r="B95" s="4" t="s">
        <v>20</v>
      </c>
      <c r="C95" s="4" t="s">
        <v>813</v>
      </c>
      <c r="D95" s="4" t="s">
        <v>148</v>
      </c>
      <c r="E95" s="4" t="s">
        <v>6544</v>
      </c>
      <c r="F95" s="27"/>
      <c r="G95" s="27"/>
      <c r="H95" s="43" t="s">
        <v>6584</v>
      </c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</row>
    <row r="96">
      <c r="A96" s="74">
        <v>16958.0</v>
      </c>
      <c r="B96" s="4" t="s">
        <v>20</v>
      </c>
      <c r="C96" s="28" t="s">
        <v>1371</v>
      </c>
      <c r="D96" s="4" t="s">
        <v>148</v>
      </c>
      <c r="E96" s="4" t="s">
        <v>6585</v>
      </c>
      <c r="F96" s="27"/>
      <c r="G96" s="27"/>
      <c r="H96" s="43" t="s">
        <v>6586</v>
      </c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</row>
    <row r="97">
      <c r="A97" s="74">
        <v>16961.0</v>
      </c>
      <c r="B97" s="4" t="s">
        <v>20</v>
      </c>
      <c r="C97" s="28" t="s">
        <v>6587</v>
      </c>
      <c r="D97" s="4" t="s">
        <v>148</v>
      </c>
      <c r="E97" s="4" t="s">
        <v>6585</v>
      </c>
      <c r="F97" s="27"/>
      <c r="G97" s="27"/>
      <c r="H97" s="43" t="s">
        <v>6588</v>
      </c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</row>
    <row r="98">
      <c r="A98" s="74">
        <v>16969.0</v>
      </c>
      <c r="B98" s="4" t="s">
        <v>20</v>
      </c>
      <c r="C98" s="28" t="s">
        <v>6589</v>
      </c>
      <c r="D98" s="4" t="s">
        <v>148</v>
      </c>
      <c r="E98" s="4" t="s">
        <v>6585</v>
      </c>
      <c r="F98" s="27"/>
      <c r="G98" s="27"/>
      <c r="H98" s="43" t="s">
        <v>6590</v>
      </c>
      <c r="I98" s="29" t="s">
        <v>6591</v>
      </c>
      <c r="J98" s="27"/>
      <c r="K98" s="27"/>
      <c r="L98" s="27"/>
      <c r="M98" s="27"/>
      <c r="N98" s="27"/>
      <c r="O98" s="27"/>
      <c r="P98" s="27"/>
      <c r="Q98" s="27"/>
      <c r="R98" s="27"/>
      <c r="S98" s="27"/>
    </row>
    <row r="99">
      <c r="A99" s="74">
        <v>16970.0</v>
      </c>
      <c r="B99" s="4" t="s">
        <v>20</v>
      </c>
      <c r="C99" s="28" t="s">
        <v>6592</v>
      </c>
      <c r="D99" s="4" t="s">
        <v>148</v>
      </c>
      <c r="E99" s="4" t="s">
        <v>6585</v>
      </c>
      <c r="F99" s="27"/>
      <c r="G99" s="27"/>
      <c r="H99" s="43" t="s">
        <v>6593</v>
      </c>
      <c r="I99" s="27"/>
      <c r="J99" s="29" t="s">
        <v>6594</v>
      </c>
      <c r="K99" s="27"/>
      <c r="L99" s="27"/>
      <c r="M99" s="27"/>
      <c r="N99" s="27"/>
      <c r="O99" s="27"/>
      <c r="P99" s="27"/>
      <c r="Q99" s="27"/>
      <c r="R99" s="27"/>
      <c r="S99" s="27"/>
    </row>
    <row r="100">
      <c r="A100" s="32">
        <v>18034.0</v>
      </c>
      <c r="B100" s="4" t="s">
        <v>20</v>
      </c>
      <c r="C100" s="28" t="s">
        <v>49</v>
      </c>
      <c r="D100" s="4" t="s">
        <v>148</v>
      </c>
      <c r="E100" s="4" t="s">
        <v>6595</v>
      </c>
      <c r="F100" s="27"/>
      <c r="G100" s="27"/>
      <c r="H100" s="29" t="s">
        <v>6596</v>
      </c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</row>
    <row r="101">
      <c r="A101" s="74">
        <v>19741.0</v>
      </c>
      <c r="B101" s="4" t="s">
        <v>20</v>
      </c>
      <c r="C101" s="28" t="s">
        <v>6597</v>
      </c>
      <c r="D101" s="4" t="s">
        <v>148</v>
      </c>
      <c r="E101" s="4" t="s">
        <v>6595</v>
      </c>
      <c r="F101" s="27"/>
      <c r="G101" s="27"/>
      <c r="H101" s="27"/>
      <c r="I101" s="27"/>
      <c r="J101" s="29" t="s">
        <v>6598</v>
      </c>
      <c r="K101" s="27"/>
      <c r="L101" s="27"/>
      <c r="M101" s="27"/>
      <c r="N101" s="27"/>
      <c r="O101" s="27"/>
      <c r="P101" s="27"/>
      <c r="Q101" s="27"/>
      <c r="R101" s="27"/>
      <c r="S101" s="27"/>
    </row>
    <row r="102">
      <c r="A102" s="74">
        <v>29659.0</v>
      </c>
      <c r="B102" s="4" t="s">
        <v>20</v>
      </c>
      <c r="C102" s="4" t="s">
        <v>2267</v>
      </c>
      <c r="D102" s="4" t="s">
        <v>148</v>
      </c>
      <c r="E102" s="4" t="s">
        <v>6595</v>
      </c>
      <c r="F102" s="27"/>
      <c r="G102" s="27"/>
      <c r="H102" s="43" t="s">
        <v>6599</v>
      </c>
      <c r="I102" s="27"/>
      <c r="J102" s="29" t="s">
        <v>6600</v>
      </c>
      <c r="K102" s="27"/>
      <c r="L102" s="27"/>
      <c r="M102" s="27"/>
      <c r="N102" s="27"/>
      <c r="O102" s="27"/>
      <c r="P102" s="27"/>
      <c r="Q102" s="27"/>
      <c r="R102" s="27"/>
      <c r="S102" s="27"/>
    </row>
    <row r="103">
      <c r="A103" s="74">
        <v>29787.0</v>
      </c>
      <c r="B103" s="4" t="s">
        <v>20</v>
      </c>
      <c r="C103" s="28" t="s">
        <v>6601</v>
      </c>
      <c r="D103" s="4" t="s">
        <v>148</v>
      </c>
      <c r="E103" s="4" t="s">
        <v>6595</v>
      </c>
      <c r="F103" s="27"/>
      <c r="G103" s="27"/>
      <c r="H103" s="43" t="s">
        <v>6602</v>
      </c>
      <c r="I103" s="27"/>
      <c r="J103" s="29" t="s">
        <v>6603</v>
      </c>
      <c r="K103" s="27"/>
      <c r="L103" s="27"/>
      <c r="M103" s="27"/>
      <c r="N103" s="27"/>
      <c r="O103" s="27"/>
      <c r="P103" s="27"/>
      <c r="Q103" s="27"/>
      <c r="R103" s="27"/>
      <c r="S103" s="27"/>
    </row>
    <row r="104">
      <c r="A104" s="74">
        <v>31485.0</v>
      </c>
      <c r="B104" s="4" t="s">
        <v>20</v>
      </c>
      <c r="C104" s="28" t="s">
        <v>6604</v>
      </c>
      <c r="D104" s="4" t="s">
        <v>148</v>
      </c>
      <c r="E104" s="4" t="s">
        <v>6595</v>
      </c>
      <c r="F104" s="27"/>
      <c r="G104" s="27"/>
      <c r="H104" s="27"/>
      <c r="I104" s="27"/>
      <c r="J104" s="29" t="s">
        <v>6605</v>
      </c>
      <c r="K104" s="27"/>
      <c r="L104" s="27"/>
      <c r="M104" s="27"/>
      <c r="N104" s="27"/>
      <c r="O104" s="27"/>
      <c r="P104" s="27"/>
      <c r="Q104" s="27"/>
      <c r="R104" s="27"/>
      <c r="S104" s="27"/>
    </row>
    <row r="105">
      <c r="A105" s="27"/>
      <c r="B105" s="4" t="s">
        <v>20</v>
      </c>
      <c r="C105" s="4" t="s">
        <v>6606</v>
      </c>
      <c r="D105" s="4" t="s">
        <v>148</v>
      </c>
      <c r="E105" s="4" t="s">
        <v>6595</v>
      </c>
      <c r="F105" s="27"/>
      <c r="G105" s="27"/>
      <c r="H105" s="43" t="s">
        <v>6607</v>
      </c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</row>
    <row r="106">
      <c r="A106" s="27"/>
      <c r="B106" s="4" t="s">
        <v>20</v>
      </c>
      <c r="C106" s="4" t="s">
        <v>6608</v>
      </c>
      <c r="D106" s="4" t="s">
        <v>148</v>
      </c>
      <c r="E106" s="4" t="s">
        <v>6595</v>
      </c>
      <c r="F106" s="27"/>
      <c r="G106" s="27"/>
      <c r="H106" s="43" t="s">
        <v>6609</v>
      </c>
      <c r="I106" s="43" t="s">
        <v>6610</v>
      </c>
      <c r="J106" s="27"/>
      <c r="K106" s="27"/>
      <c r="L106" s="27"/>
      <c r="M106" s="27"/>
      <c r="N106" s="27"/>
      <c r="O106" s="27"/>
      <c r="P106" s="27"/>
      <c r="Q106" s="27"/>
      <c r="R106" s="27"/>
      <c r="S106" s="27"/>
    </row>
    <row r="107">
      <c r="A107" s="32">
        <v>16765.0</v>
      </c>
      <c r="B107" s="4" t="s">
        <v>20</v>
      </c>
      <c r="C107" s="28" t="s">
        <v>707</v>
      </c>
      <c r="D107" s="4" t="s">
        <v>148</v>
      </c>
      <c r="E107" s="4" t="s">
        <v>6611</v>
      </c>
      <c r="F107" s="27"/>
      <c r="G107" s="27"/>
      <c r="H107" s="27"/>
      <c r="I107" s="27"/>
      <c r="J107" s="29" t="s">
        <v>6612</v>
      </c>
      <c r="K107" s="27"/>
      <c r="L107" s="27"/>
      <c r="M107" s="27"/>
      <c r="N107" s="27"/>
      <c r="O107" s="27"/>
      <c r="P107" s="27"/>
      <c r="Q107" s="27"/>
      <c r="R107" s="27"/>
      <c r="S107" s="27"/>
    </row>
    <row r="108">
      <c r="A108" s="74">
        <v>16784.0</v>
      </c>
      <c r="B108" s="4" t="s">
        <v>20</v>
      </c>
      <c r="C108" s="28" t="s">
        <v>6613</v>
      </c>
      <c r="D108" s="4" t="s">
        <v>148</v>
      </c>
      <c r="E108" s="4" t="s">
        <v>6611</v>
      </c>
      <c r="F108" s="27"/>
      <c r="G108" s="27"/>
      <c r="H108" s="27"/>
      <c r="I108" s="27"/>
      <c r="J108" s="29" t="s">
        <v>6614</v>
      </c>
      <c r="K108" s="27"/>
      <c r="L108" s="27"/>
      <c r="M108" s="27"/>
      <c r="N108" s="27"/>
      <c r="O108" s="27"/>
      <c r="P108" s="27"/>
      <c r="Q108" s="27"/>
      <c r="R108" s="27"/>
      <c r="S108" s="27"/>
    </row>
    <row r="109">
      <c r="A109" s="74">
        <v>16836.0</v>
      </c>
      <c r="B109" s="4" t="s">
        <v>20</v>
      </c>
      <c r="C109" s="28" t="s">
        <v>4355</v>
      </c>
      <c r="D109" s="4" t="s">
        <v>148</v>
      </c>
      <c r="E109" s="4" t="s">
        <v>6611</v>
      </c>
      <c r="F109" s="27"/>
      <c r="G109" s="27"/>
      <c r="H109" s="43" t="s">
        <v>6615</v>
      </c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</row>
    <row r="110">
      <c r="A110" s="74">
        <v>16839.0</v>
      </c>
      <c r="B110" s="4" t="s">
        <v>20</v>
      </c>
      <c r="C110" s="28" t="s">
        <v>6616</v>
      </c>
      <c r="D110" s="4" t="s">
        <v>148</v>
      </c>
      <c r="E110" s="4" t="s">
        <v>6611</v>
      </c>
      <c r="F110" s="27"/>
      <c r="G110" s="27"/>
      <c r="H110" s="43" t="s">
        <v>6617</v>
      </c>
      <c r="I110" s="29" t="s">
        <v>6618</v>
      </c>
      <c r="J110" s="27"/>
      <c r="K110" s="27"/>
      <c r="L110" s="27"/>
      <c r="M110" s="27"/>
      <c r="N110" s="27"/>
      <c r="O110" s="27"/>
      <c r="P110" s="27"/>
      <c r="Q110" s="27"/>
      <c r="R110" s="27"/>
      <c r="S110" s="27"/>
    </row>
    <row r="111">
      <c r="A111" s="74">
        <v>16846.0</v>
      </c>
      <c r="B111" s="4" t="s">
        <v>20</v>
      </c>
      <c r="C111" s="28" t="s">
        <v>6619</v>
      </c>
      <c r="D111" s="4" t="s">
        <v>148</v>
      </c>
      <c r="E111" s="4" t="s">
        <v>6611</v>
      </c>
      <c r="F111" s="27"/>
      <c r="G111" s="27"/>
      <c r="H111" s="43" t="s">
        <v>6620</v>
      </c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</row>
    <row r="112">
      <c r="A112" s="74">
        <v>16847.0</v>
      </c>
      <c r="B112" s="4" t="s">
        <v>20</v>
      </c>
      <c r="C112" s="28" t="s">
        <v>6621</v>
      </c>
      <c r="D112" s="4" t="s">
        <v>148</v>
      </c>
      <c r="E112" s="4" t="s">
        <v>6611</v>
      </c>
      <c r="F112" s="27"/>
      <c r="G112" s="27"/>
      <c r="H112" s="27"/>
      <c r="I112" s="27"/>
      <c r="J112" s="29" t="s">
        <v>6622</v>
      </c>
      <c r="K112" s="27"/>
      <c r="L112" s="27"/>
      <c r="M112" s="27"/>
      <c r="N112" s="27"/>
      <c r="O112" s="27"/>
      <c r="P112" s="27"/>
      <c r="Q112" s="27"/>
      <c r="R112" s="27"/>
      <c r="S112" s="27"/>
    </row>
    <row r="113">
      <c r="A113" s="74">
        <v>17003.0</v>
      </c>
      <c r="B113" s="4" t="s">
        <v>20</v>
      </c>
      <c r="C113" s="28" t="s">
        <v>3898</v>
      </c>
      <c r="D113" s="4" t="s">
        <v>148</v>
      </c>
      <c r="E113" s="4" t="s">
        <v>6611</v>
      </c>
      <c r="F113" s="27"/>
      <c r="G113" s="27"/>
      <c r="H113" s="43" t="s">
        <v>6623</v>
      </c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</row>
    <row r="114">
      <c r="A114" s="74">
        <v>17043.0</v>
      </c>
      <c r="B114" s="4" t="s">
        <v>20</v>
      </c>
      <c r="C114" s="28" t="s">
        <v>1417</v>
      </c>
      <c r="D114" s="4" t="s">
        <v>148</v>
      </c>
      <c r="E114" s="4" t="s">
        <v>6611</v>
      </c>
      <c r="F114" s="27"/>
      <c r="G114" s="27"/>
      <c r="H114" s="43" t="s">
        <v>6624</v>
      </c>
      <c r="I114" s="29" t="s">
        <v>6625</v>
      </c>
      <c r="J114" s="29" t="s">
        <v>6626</v>
      </c>
      <c r="K114" s="27"/>
      <c r="L114" s="27"/>
      <c r="M114" s="27"/>
      <c r="N114" s="27"/>
      <c r="O114" s="27"/>
      <c r="P114" s="27"/>
      <c r="Q114" s="27"/>
      <c r="R114" s="27"/>
      <c r="S114" s="27"/>
    </row>
    <row r="115">
      <c r="A115" s="74">
        <v>17144.0</v>
      </c>
      <c r="B115" s="4" t="s">
        <v>20</v>
      </c>
      <c r="C115" s="28" t="s">
        <v>6627</v>
      </c>
      <c r="D115" s="4" t="s">
        <v>148</v>
      </c>
      <c r="E115" s="4" t="s">
        <v>6611</v>
      </c>
      <c r="F115" s="27"/>
      <c r="G115" s="27"/>
      <c r="H115" s="27"/>
      <c r="I115" s="27"/>
      <c r="J115" s="29" t="s">
        <v>6628</v>
      </c>
      <c r="K115" s="27"/>
      <c r="L115" s="27"/>
      <c r="M115" s="27"/>
      <c r="N115" s="27"/>
      <c r="O115" s="27"/>
      <c r="P115" s="27"/>
      <c r="Q115" s="27"/>
      <c r="R115" s="27"/>
      <c r="S115" s="27"/>
    </row>
    <row r="116">
      <c r="A116" s="74">
        <v>17145.0</v>
      </c>
      <c r="B116" s="4" t="s">
        <v>20</v>
      </c>
      <c r="C116" s="28" t="s">
        <v>6629</v>
      </c>
      <c r="D116" s="4" t="s">
        <v>148</v>
      </c>
      <c r="E116" s="4" t="s">
        <v>6611</v>
      </c>
      <c r="F116" s="27"/>
      <c r="G116" s="27"/>
      <c r="H116" s="43" t="s">
        <v>6630</v>
      </c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</row>
    <row r="117">
      <c r="A117" s="74">
        <v>20080.0</v>
      </c>
      <c r="B117" s="4" t="s">
        <v>20</v>
      </c>
      <c r="C117" s="28" t="s">
        <v>6631</v>
      </c>
      <c r="D117" s="4" t="s">
        <v>148</v>
      </c>
      <c r="E117" s="4" t="s">
        <v>6611</v>
      </c>
      <c r="F117" s="27"/>
      <c r="G117" s="27"/>
      <c r="H117" s="43" t="s">
        <v>6632</v>
      </c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</row>
    <row r="118">
      <c r="A118" s="74">
        <v>20875.0</v>
      </c>
      <c r="B118" s="4" t="s">
        <v>20</v>
      </c>
      <c r="C118" s="28" t="s">
        <v>6633</v>
      </c>
      <c r="D118" s="4" t="s">
        <v>148</v>
      </c>
      <c r="E118" s="4" t="s">
        <v>6611</v>
      </c>
      <c r="F118" s="4" t="s">
        <v>6634</v>
      </c>
      <c r="G118" s="27"/>
      <c r="H118" s="43" t="s">
        <v>6635</v>
      </c>
      <c r="I118" s="27"/>
      <c r="J118" s="29" t="s">
        <v>6636</v>
      </c>
      <c r="K118" s="27"/>
      <c r="L118" s="27"/>
      <c r="M118" s="27"/>
      <c r="N118" s="27"/>
      <c r="O118" s="27"/>
      <c r="P118" s="27"/>
      <c r="Q118" s="27"/>
      <c r="R118" s="27"/>
      <c r="S118" s="27"/>
    </row>
    <row r="119">
      <c r="A119" s="74">
        <v>21488.0</v>
      </c>
      <c r="B119" s="4" t="s">
        <v>20</v>
      </c>
      <c r="C119" s="28" t="s">
        <v>6637</v>
      </c>
      <c r="D119" s="4" t="s">
        <v>148</v>
      </c>
      <c r="E119" s="4" t="s">
        <v>6611</v>
      </c>
      <c r="F119" s="4" t="s">
        <v>6638</v>
      </c>
      <c r="G119" s="27"/>
      <c r="H119" s="27"/>
      <c r="I119" s="27"/>
      <c r="J119" s="29" t="s">
        <v>6639</v>
      </c>
      <c r="K119" s="27"/>
      <c r="L119" s="27"/>
      <c r="M119" s="27"/>
      <c r="N119" s="27"/>
      <c r="O119" s="27"/>
      <c r="P119" s="27"/>
      <c r="Q119" s="27"/>
      <c r="R119" s="27"/>
      <c r="S119" s="27"/>
    </row>
    <row r="120">
      <c r="A120" s="74">
        <v>22549.0</v>
      </c>
      <c r="B120" s="4" t="s">
        <v>20</v>
      </c>
      <c r="C120" s="28" t="s">
        <v>6640</v>
      </c>
      <c r="D120" s="4" t="s">
        <v>148</v>
      </c>
      <c r="E120" s="4" t="s">
        <v>6611</v>
      </c>
      <c r="F120" s="27"/>
      <c r="G120" s="27"/>
      <c r="H120" s="43" t="s">
        <v>6641</v>
      </c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</row>
    <row r="121">
      <c r="A121" s="74">
        <v>22566.0</v>
      </c>
      <c r="B121" s="4" t="s">
        <v>20</v>
      </c>
      <c r="C121" s="28" t="s">
        <v>773</v>
      </c>
      <c r="D121" s="4" t="s">
        <v>148</v>
      </c>
      <c r="E121" s="4" t="s">
        <v>6611</v>
      </c>
      <c r="F121" s="27"/>
      <c r="G121" s="27"/>
      <c r="H121" s="43" t="s">
        <v>6642</v>
      </c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</row>
    <row r="122">
      <c r="A122" s="74">
        <v>23734.0</v>
      </c>
      <c r="B122" s="4" t="s">
        <v>20</v>
      </c>
      <c r="C122" s="28" t="s">
        <v>4326</v>
      </c>
      <c r="D122" s="4" t="s">
        <v>148</v>
      </c>
      <c r="E122" s="4" t="s">
        <v>6611</v>
      </c>
      <c r="F122" s="27"/>
      <c r="G122" s="27"/>
      <c r="H122" s="29" t="s">
        <v>6643</v>
      </c>
      <c r="I122" s="29" t="s">
        <v>6644</v>
      </c>
      <c r="J122" s="29" t="s">
        <v>6626</v>
      </c>
      <c r="K122" s="27"/>
      <c r="L122" s="27"/>
      <c r="M122" s="27"/>
      <c r="N122" s="27"/>
      <c r="O122" s="27"/>
      <c r="P122" s="27"/>
      <c r="Q122" s="27"/>
      <c r="R122" s="27"/>
      <c r="S122" s="27"/>
    </row>
    <row r="123">
      <c r="A123" s="74">
        <v>24245.0</v>
      </c>
      <c r="B123" s="4" t="s">
        <v>20</v>
      </c>
      <c r="C123" s="28" t="s">
        <v>6645</v>
      </c>
      <c r="D123" s="4" t="s">
        <v>148</v>
      </c>
      <c r="E123" s="4" t="s">
        <v>6611</v>
      </c>
      <c r="F123" s="27"/>
      <c r="G123" s="27"/>
      <c r="H123" s="43" t="s">
        <v>6646</v>
      </c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</row>
    <row r="124">
      <c r="A124" s="74">
        <v>31653.0</v>
      </c>
      <c r="B124" s="4" t="s">
        <v>20</v>
      </c>
      <c r="C124" s="28" t="s">
        <v>1439</v>
      </c>
      <c r="D124" s="4" t="s">
        <v>148</v>
      </c>
      <c r="E124" s="4" t="s">
        <v>6611</v>
      </c>
      <c r="F124" s="27"/>
      <c r="G124" s="27"/>
      <c r="H124" s="43" t="s">
        <v>6647</v>
      </c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</row>
    <row r="125">
      <c r="A125" s="27"/>
      <c r="B125" s="4" t="s">
        <v>20</v>
      </c>
      <c r="C125" s="4" t="s">
        <v>6648</v>
      </c>
      <c r="D125" s="4" t="s">
        <v>148</v>
      </c>
      <c r="E125" s="4" t="s">
        <v>6611</v>
      </c>
      <c r="F125" s="27"/>
      <c r="G125" s="27"/>
      <c r="H125" s="43" t="s">
        <v>6649</v>
      </c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</row>
    <row r="126">
      <c r="A126" s="27"/>
      <c r="B126" s="4" t="s">
        <v>20</v>
      </c>
      <c r="C126" s="4" t="s">
        <v>6650</v>
      </c>
      <c r="D126" s="4" t="s">
        <v>148</v>
      </c>
      <c r="E126" s="4" t="s">
        <v>6611</v>
      </c>
      <c r="F126" s="4" t="s">
        <v>6651</v>
      </c>
      <c r="G126" s="27"/>
      <c r="H126" s="43" t="s">
        <v>6652</v>
      </c>
      <c r="I126" s="43" t="s">
        <v>6653</v>
      </c>
      <c r="J126" s="27"/>
      <c r="K126" s="27"/>
      <c r="L126" s="27"/>
      <c r="M126" s="27"/>
      <c r="N126" s="27"/>
      <c r="O126" s="27"/>
      <c r="P126" s="27"/>
      <c r="Q126" s="27"/>
      <c r="R126" s="27"/>
      <c r="S126" s="27"/>
    </row>
    <row r="127">
      <c r="A127" s="27"/>
      <c r="B127" s="4" t="s">
        <v>20</v>
      </c>
      <c r="C127" s="4" t="s">
        <v>6654</v>
      </c>
      <c r="D127" s="4" t="s">
        <v>148</v>
      </c>
      <c r="E127" s="4" t="s">
        <v>6611</v>
      </c>
      <c r="F127" s="27"/>
      <c r="G127" s="27"/>
      <c r="H127" s="43" t="s">
        <v>6655</v>
      </c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</row>
    <row r="128">
      <c r="A128" s="27"/>
      <c r="B128" s="4" t="s">
        <v>20</v>
      </c>
      <c r="C128" s="4" t="s">
        <v>6656</v>
      </c>
      <c r="D128" s="4" t="s">
        <v>148</v>
      </c>
      <c r="E128" s="4" t="s">
        <v>6611</v>
      </c>
      <c r="F128" s="27"/>
      <c r="G128" s="27"/>
      <c r="H128" s="43" t="s">
        <v>6657</v>
      </c>
      <c r="I128" s="43" t="s">
        <v>6658</v>
      </c>
      <c r="J128" s="27"/>
      <c r="K128" s="27"/>
      <c r="L128" s="27"/>
      <c r="M128" s="27"/>
      <c r="N128" s="27"/>
      <c r="O128" s="27"/>
      <c r="P128" s="27"/>
      <c r="Q128" s="27"/>
      <c r="R128" s="27"/>
      <c r="S128" s="27"/>
    </row>
    <row r="129">
      <c r="A129" s="27"/>
      <c r="B129" s="4" t="s">
        <v>20</v>
      </c>
      <c r="C129" s="4" t="s">
        <v>6659</v>
      </c>
      <c r="D129" s="4" t="s">
        <v>148</v>
      </c>
      <c r="E129" s="4" t="s">
        <v>6611</v>
      </c>
      <c r="F129" s="27"/>
      <c r="G129" s="27"/>
      <c r="H129" s="43" t="s">
        <v>6660</v>
      </c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</row>
    <row r="130">
      <c r="A130" s="27"/>
      <c r="B130" s="4" t="s">
        <v>20</v>
      </c>
      <c r="C130" s="4" t="s">
        <v>4736</v>
      </c>
      <c r="D130" s="4" t="s">
        <v>148</v>
      </c>
      <c r="E130" s="4" t="s">
        <v>6611</v>
      </c>
      <c r="F130" s="27"/>
      <c r="G130" s="27"/>
      <c r="H130" s="43" t="s">
        <v>6661</v>
      </c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</row>
    <row r="131">
      <c r="A131" s="27"/>
      <c r="B131" s="4" t="s">
        <v>20</v>
      </c>
      <c r="C131" s="4" t="s">
        <v>6662</v>
      </c>
      <c r="D131" s="4" t="s">
        <v>148</v>
      </c>
      <c r="E131" s="4" t="s">
        <v>6611</v>
      </c>
      <c r="F131" s="27"/>
      <c r="G131" s="27"/>
      <c r="H131" s="29" t="s">
        <v>6663</v>
      </c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</row>
    <row r="132">
      <c r="A132" s="32" t="s">
        <v>6664</v>
      </c>
      <c r="B132" s="4" t="s">
        <v>20</v>
      </c>
      <c r="C132" s="28" t="s">
        <v>6665</v>
      </c>
      <c r="D132" s="4" t="s">
        <v>148</v>
      </c>
      <c r="E132" s="4" t="s">
        <v>6666</v>
      </c>
      <c r="F132" s="27"/>
      <c r="G132" s="27"/>
      <c r="H132" s="27"/>
      <c r="I132" s="27"/>
      <c r="J132" s="29" t="s">
        <v>6667</v>
      </c>
      <c r="K132" s="27"/>
      <c r="L132" s="27"/>
      <c r="M132" s="27"/>
      <c r="N132" s="27"/>
      <c r="O132" s="27"/>
      <c r="P132" s="27"/>
      <c r="Q132" s="27"/>
      <c r="R132" s="27"/>
      <c r="S132" s="27"/>
    </row>
    <row r="133">
      <c r="A133" s="74">
        <v>16774.0</v>
      </c>
      <c r="B133" s="4" t="s">
        <v>20</v>
      </c>
      <c r="C133" s="28" t="s">
        <v>855</v>
      </c>
      <c r="D133" s="4" t="s">
        <v>148</v>
      </c>
      <c r="E133" s="4" t="s">
        <v>6668</v>
      </c>
      <c r="F133" s="27"/>
      <c r="G133" s="27"/>
      <c r="H133" s="43" t="s">
        <v>6669</v>
      </c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</row>
    <row r="134">
      <c r="A134" s="74"/>
      <c r="B134" s="4" t="s">
        <v>20</v>
      </c>
      <c r="C134" s="28" t="s">
        <v>6670</v>
      </c>
      <c r="D134" s="4" t="s">
        <v>148</v>
      </c>
      <c r="E134" s="4" t="s">
        <v>6668</v>
      </c>
      <c r="F134" s="27"/>
      <c r="G134" s="27"/>
      <c r="H134" s="43" t="s">
        <v>6671</v>
      </c>
      <c r="I134" s="27"/>
      <c r="J134" s="29" t="s">
        <v>6672</v>
      </c>
      <c r="K134" s="27"/>
      <c r="L134" s="27"/>
      <c r="M134" s="27"/>
      <c r="N134" s="27"/>
      <c r="O134" s="27"/>
      <c r="P134" s="27"/>
      <c r="Q134" s="27"/>
      <c r="R134" s="27"/>
      <c r="S134" s="27"/>
    </row>
    <row r="135">
      <c r="A135" s="74">
        <v>20081.0</v>
      </c>
      <c r="B135" s="4" t="s">
        <v>20</v>
      </c>
      <c r="C135" s="28" t="s">
        <v>707</v>
      </c>
      <c r="D135" s="4" t="s">
        <v>148</v>
      </c>
      <c r="E135" s="4" t="s">
        <v>6668</v>
      </c>
      <c r="F135" s="27"/>
      <c r="G135" s="27"/>
      <c r="H135" s="43" t="s">
        <v>6673</v>
      </c>
      <c r="I135" s="27"/>
      <c r="J135" s="29" t="s">
        <v>6674</v>
      </c>
      <c r="K135" s="27"/>
      <c r="L135" s="27"/>
      <c r="M135" s="27"/>
      <c r="N135" s="27"/>
      <c r="O135" s="27"/>
      <c r="P135" s="27"/>
      <c r="Q135" s="27"/>
      <c r="R135" s="27"/>
      <c r="S135" s="27"/>
    </row>
    <row r="136">
      <c r="A136" s="74">
        <v>27943.0</v>
      </c>
      <c r="B136" s="4" t="s">
        <v>20</v>
      </c>
      <c r="C136" s="28" t="s">
        <v>4088</v>
      </c>
      <c r="D136" s="4" t="s">
        <v>148</v>
      </c>
      <c r="E136" s="4" t="s">
        <v>6668</v>
      </c>
      <c r="F136" s="27"/>
      <c r="G136" s="27"/>
      <c r="H136" s="43" t="s">
        <v>6675</v>
      </c>
      <c r="I136" s="29" t="s">
        <v>6676</v>
      </c>
      <c r="J136" s="27"/>
      <c r="K136" s="27"/>
      <c r="L136" s="27"/>
      <c r="M136" s="27"/>
      <c r="N136" s="27"/>
      <c r="O136" s="27"/>
      <c r="P136" s="27"/>
      <c r="Q136" s="27"/>
      <c r="R136" s="27"/>
      <c r="S136" s="27"/>
    </row>
    <row r="137">
      <c r="A137" s="27"/>
      <c r="B137" s="4" t="s">
        <v>276</v>
      </c>
      <c r="C137" s="4" t="s">
        <v>6677</v>
      </c>
      <c r="D137" s="4" t="s">
        <v>148</v>
      </c>
      <c r="E137" s="4" t="s">
        <v>6668</v>
      </c>
      <c r="F137" s="4" t="s">
        <v>6678</v>
      </c>
      <c r="G137" s="27"/>
      <c r="H137" s="43" t="s">
        <v>6679</v>
      </c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</row>
    <row r="138">
      <c r="A138" s="74">
        <v>29649.0</v>
      </c>
      <c r="B138" s="4" t="s">
        <v>20</v>
      </c>
      <c r="C138" s="28" t="s">
        <v>6680</v>
      </c>
      <c r="D138" s="4" t="s">
        <v>148</v>
      </c>
      <c r="E138" s="4" t="s">
        <v>6681</v>
      </c>
      <c r="F138" s="27"/>
      <c r="G138" s="27"/>
      <c r="H138" s="43" t="s">
        <v>6682</v>
      </c>
      <c r="I138" s="27"/>
      <c r="J138" s="29" t="s">
        <v>6683</v>
      </c>
      <c r="K138" s="27"/>
      <c r="L138" s="27"/>
      <c r="M138" s="27"/>
      <c r="N138" s="27"/>
      <c r="O138" s="27"/>
      <c r="P138" s="27"/>
      <c r="Q138" s="27"/>
      <c r="R138" s="27"/>
      <c r="S138" s="27"/>
    </row>
    <row r="139">
      <c r="A139" s="74">
        <v>29656.0</v>
      </c>
      <c r="B139" s="4" t="s">
        <v>20</v>
      </c>
      <c r="C139" s="28" t="s">
        <v>6684</v>
      </c>
      <c r="D139" s="4" t="s">
        <v>148</v>
      </c>
      <c r="E139" s="4" t="s">
        <v>6681</v>
      </c>
      <c r="F139" s="27"/>
      <c r="G139" s="27"/>
      <c r="H139" s="29" t="s">
        <v>6685</v>
      </c>
      <c r="I139" s="29" t="s">
        <v>6686</v>
      </c>
      <c r="J139" s="29" t="s">
        <v>6687</v>
      </c>
      <c r="K139" s="27"/>
      <c r="L139" s="27"/>
      <c r="M139" s="27"/>
      <c r="N139" s="27"/>
      <c r="O139" s="27"/>
      <c r="P139" s="27"/>
      <c r="Q139" s="27"/>
      <c r="R139" s="27"/>
      <c r="S139" s="27"/>
    </row>
    <row r="140">
      <c r="A140" s="74">
        <v>32058.0</v>
      </c>
      <c r="B140" s="4" t="s">
        <v>20</v>
      </c>
      <c r="C140" s="4" t="s">
        <v>2260</v>
      </c>
      <c r="D140" s="4" t="s">
        <v>148</v>
      </c>
      <c r="E140" s="4" t="s">
        <v>6681</v>
      </c>
      <c r="F140" s="27"/>
      <c r="G140" s="27"/>
      <c r="H140" s="43" t="s">
        <v>6688</v>
      </c>
      <c r="I140" s="29" t="s">
        <v>6689</v>
      </c>
      <c r="J140" s="43" t="s">
        <v>6690</v>
      </c>
      <c r="K140" s="27"/>
      <c r="L140" s="27"/>
      <c r="M140" s="27"/>
      <c r="N140" s="27"/>
      <c r="O140" s="27"/>
      <c r="P140" s="27"/>
      <c r="Q140" s="27"/>
      <c r="R140" s="27"/>
      <c r="S140" s="27"/>
    </row>
    <row r="141">
      <c r="A141" s="27"/>
      <c r="B141" s="4" t="s">
        <v>20</v>
      </c>
      <c r="C141" s="4" t="s">
        <v>6412</v>
      </c>
      <c r="D141" s="4" t="s">
        <v>148</v>
      </c>
      <c r="E141" s="4" t="s">
        <v>6681</v>
      </c>
      <c r="F141" s="27"/>
      <c r="G141" s="27"/>
      <c r="H141" s="43" t="s">
        <v>6691</v>
      </c>
      <c r="I141" s="43" t="s">
        <v>6692</v>
      </c>
      <c r="J141" s="29" t="s">
        <v>6693</v>
      </c>
      <c r="K141" s="27"/>
      <c r="L141" s="27"/>
      <c r="M141" s="27"/>
      <c r="N141" s="27"/>
      <c r="O141" s="27"/>
      <c r="P141" s="27"/>
      <c r="Q141" s="27"/>
      <c r="R141" s="27"/>
      <c r="S141" s="27"/>
    </row>
    <row r="142">
      <c r="A142" s="27"/>
      <c r="B142" s="4" t="s">
        <v>276</v>
      </c>
      <c r="C142" s="4" t="s">
        <v>6681</v>
      </c>
      <c r="D142" s="4" t="s">
        <v>148</v>
      </c>
      <c r="E142" s="4" t="s">
        <v>6681</v>
      </c>
      <c r="F142" s="27"/>
      <c r="G142" s="27"/>
      <c r="H142" s="43" t="s">
        <v>6694</v>
      </c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</row>
    <row r="143">
      <c r="A143" s="27"/>
      <c r="B143" s="4" t="s">
        <v>20</v>
      </c>
      <c r="C143" s="4" t="s">
        <v>6695</v>
      </c>
      <c r="D143" s="4" t="s">
        <v>148</v>
      </c>
      <c r="E143" s="4" t="s">
        <v>6681</v>
      </c>
      <c r="F143" s="27"/>
      <c r="G143" s="27"/>
      <c r="H143" s="43" t="s">
        <v>6696</v>
      </c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</row>
    <row r="144">
      <c r="A144" s="27"/>
      <c r="B144" s="4" t="s">
        <v>20</v>
      </c>
      <c r="C144" s="4" t="s">
        <v>6697</v>
      </c>
      <c r="D144" s="4" t="s">
        <v>148</v>
      </c>
      <c r="E144" s="4" t="s">
        <v>6681</v>
      </c>
      <c r="F144" s="27"/>
      <c r="G144" s="27"/>
      <c r="H144" s="43" t="s">
        <v>6698</v>
      </c>
      <c r="I144" s="29" t="s">
        <v>6699</v>
      </c>
      <c r="J144" s="27"/>
      <c r="K144" s="27"/>
      <c r="L144" s="27"/>
      <c r="M144" s="27"/>
      <c r="N144" s="27"/>
      <c r="O144" s="27"/>
      <c r="P144" s="27"/>
      <c r="Q144" s="27"/>
      <c r="R144" s="27"/>
      <c r="S144" s="27"/>
    </row>
    <row r="145">
      <c r="A145" s="27"/>
      <c r="B145" s="4" t="s">
        <v>20</v>
      </c>
      <c r="C145" s="4" t="s">
        <v>4240</v>
      </c>
      <c r="D145" s="4" t="s">
        <v>148</v>
      </c>
      <c r="E145" s="4" t="s">
        <v>6681</v>
      </c>
      <c r="F145" s="27"/>
      <c r="G145" s="27"/>
      <c r="H145" s="43" t="s">
        <v>6700</v>
      </c>
      <c r="I145" s="29" t="s">
        <v>6686</v>
      </c>
      <c r="J145" s="29" t="s">
        <v>6687</v>
      </c>
      <c r="K145" s="27"/>
      <c r="L145" s="27"/>
      <c r="M145" s="27"/>
      <c r="N145" s="27"/>
      <c r="O145" s="27"/>
      <c r="P145" s="27"/>
      <c r="Q145" s="27"/>
      <c r="R145" s="27"/>
      <c r="S145" s="27"/>
    </row>
    <row r="146">
      <c r="A146" s="27"/>
      <c r="B146" s="4" t="s">
        <v>20</v>
      </c>
      <c r="C146" s="4" t="s">
        <v>6701</v>
      </c>
      <c r="D146" s="4" t="s">
        <v>148</v>
      </c>
      <c r="E146" s="4" t="s">
        <v>6681</v>
      </c>
      <c r="F146" s="27"/>
      <c r="G146" s="27"/>
      <c r="H146" s="29" t="s">
        <v>6702</v>
      </c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</row>
    <row r="147">
      <c r="A147" s="27"/>
      <c r="B147" s="4" t="s">
        <v>6703</v>
      </c>
      <c r="C147" s="4" t="s">
        <v>6704</v>
      </c>
      <c r="D147" s="4" t="s">
        <v>148</v>
      </c>
      <c r="E147" s="4" t="s">
        <v>6681</v>
      </c>
      <c r="F147" s="27"/>
      <c r="G147" s="27"/>
      <c r="H147" s="43" t="s">
        <v>6705</v>
      </c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</row>
    <row r="148">
      <c r="A148" s="74">
        <v>27094.0</v>
      </c>
      <c r="B148" s="4" t="s">
        <v>20</v>
      </c>
      <c r="C148" s="28" t="s">
        <v>3178</v>
      </c>
      <c r="D148" s="4" t="s">
        <v>148</v>
      </c>
      <c r="E148" s="4" t="s">
        <v>6706</v>
      </c>
      <c r="F148" s="27"/>
      <c r="G148" s="27"/>
      <c r="H148" s="43" t="s">
        <v>6707</v>
      </c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</row>
    <row r="149">
      <c r="A149" s="74">
        <v>27095.0</v>
      </c>
      <c r="B149" s="4" t="s">
        <v>20</v>
      </c>
      <c r="C149" s="28" t="s">
        <v>6708</v>
      </c>
      <c r="D149" s="4" t="s">
        <v>148</v>
      </c>
      <c r="E149" s="4" t="s">
        <v>6706</v>
      </c>
      <c r="F149" s="27"/>
      <c r="G149" s="27"/>
      <c r="H149" s="43" t="s">
        <v>6709</v>
      </c>
      <c r="I149" s="43" t="s">
        <v>6710</v>
      </c>
      <c r="J149" s="27"/>
      <c r="K149" s="27"/>
      <c r="L149" s="27"/>
      <c r="M149" s="27"/>
      <c r="N149" s="27"/>
      <c r="O149" s="27"/>
      <c r="P149" s="27"/>
      <c r="Q149" s="27"/>
      <c r="R149" s="27"/>
      <c r="S149" s="27"/>
    </row>
    <row r="150">
      <c r="A150" s="74">
        <v>27096.0</v>
      </c>
      <c r="B150" s="4" t="s">
        <v>20</v>
      </c>
      <c r="C150" s="28" t="s">
        <v>6711</v>
      </c>
      <c r="D150" s="4" t="s">
        <v>148</v>
      </c>
      <c r="E150" s="4" t="s">
        <v>6706</v>
      </c>
      <c r="F150" s="27"/>
      <c r="G150" s="27"/>
      <c r="H150" s="43" t="s">
        <v>6712</v>
      </c>
      <c r="I150" s="29" t="s">
        <v>6713</v>
      </c>
      <c r="J150" s="27"/>
      <c r="K150" s="27"/>
      <c r="L150" s="27"/>
      <c r="M150" s="27"/>
      <c r="N150" s="27"/>
      <c r="O150" s="27"/>
      <c r="P150" s="27"/>
      <c r="Q150" s="27"/>
      <c r="R150" s="27"/>
      <c r="S150" s="27"/>
    </row>
    <row r="151">
      <c r="A151" s="74">
        <v>26179.0</v>
      </c>
      <c r="B151" s="4" t="s">
        <v>20</v>
      </c>
      <c r="C151" s="28" t="s">
        <v>5471</v>
      </c>
      <c r="D151" s="4" t="s">
        <v>148</v>
      </c>
      <c r="E151" s="4" t="s">
        <v>6714</v>
      </c>
      <c r="F151" s="27"/>
      <c r="G151" s="27"/>
      <c r="H151" s="27"/>
      <c r="I151" s="27"/>
      <c r="J151" s="29" t="s">
        <v>6715</v>
      </c>
      <c r="K151" s="27"/>
      <c r="L151" s="27"/>
      <c r="M151" s="27"/>
      <c r="N151" s="27"/>
      <c r="O151" s="27"/>
      <c r="P151" s="27"/>
      <c r="Q151" s="27"/>
      <c r="R151" s="27"/>
      <c r="S151" s="27"/>
    </row>
    <row r="152">
      <c r="A152" s="74">
        <v>31294.0</v>
      </c>
      <c r="B152" s="4" t="s">
        <v>20</v>
      </c>
      <c r="C152" s="28" t="s">
        <v>6716</v>
      </c>
      <c r="D152" s="4" t="s">
        <v>148</v>
      </c>
      <c r="E152" s="4" t="s">
        <v>6714</v>
      </c>
      <c r="F152" s="27"/>
      <c r="G152" s="32">
        <v>1.0</v>
      </c>
      <c r="H152" s="43" t="s">
        <v>6717</v>
      </c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</row>
    <row r="153">
      <c r="A153" s="27"/>
      <c r="B153" s="4" t="s">
        <v>20</v>
      </c>
      <c r="C153" s="4" t="s">
        <v>6718</v>
      </c>
      <c r="D153" s="4" t="s">
        <v>148</v>
      </c>
      <c r="E153" s="4" t="s">
        <v>6714</v>
      </c>
      <c r="F153" s="27"/>
      <c r="G153" s="32">
        <v>1.0</v>
      </c>
      <c r="H153" s="43" t="s">
        <v>6719</v>
      </c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</row>
    <row r="154">
      <c r="A154" s="32">
        <v>19693.0</v>
      </c>
      <c r="B154" s="4" t="s">
        <v>20</v>
      </c>
      <c r="C154" s="28" t="s">
        <v>6720</v>
      </c>
      <c r="D154" s="4" t="s">
        <v>148</v>
      </c>
      <c r="E154" s="4" t="s">
        <v>6721</v>
      </c>
      <c r="F154" s="27"/>
      <c r="G154" s="27"/>
      <c r="H154" s="29" t="s">
        <v>6722</v>
      </c>
      <c r="I154" s="27"/>
      <c r="J154" s="29" t="s">
        <v>6723</v>
      </c>
      <c r="K154" s="27"/>
      <c r="L154" s="27"/>
      <c r="M154" s="27"/>
      <c r="N154" s="27"/>
      <c r="O154" s="27"/>
      <c r="P154" s="27"/>
      <c r="Q154" s="27"/>
      <c r="R154" s="27"/>
      <c r="S154" s="27"/>
    </row>
    <row r="155">
      <c r="A155" s="74">
        <v>16863.0</v>
      </c>
      <c r="B155" s="4" t="s">
        <v>720</v>
      </c>
      <c r="C155" s="28" t="s">
        <v>6724</v>
      </c>
      <c r="D155" s="4" t="s">
        <v>148</v>
      </c>
      <c r="E155" s="4" t="s">
        <v>6725</v>
      </c>
      <c r="F155" s="27"/>
      <c r="G155" s="32">
        <v>1.0</v>
      </c>
      <c r="H155" s="43" t="s">
        <v>6726</v>
      </c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</row>
    <row r="156">
      <c r="A156" s="74">
        <v>16869.0</v>
      </c>
      <c r="B156" s="4" t="s">
        <v>20</v>
      </c>
      <c r="C156" s="28" t="s">
        <v>6412</v>
      </c>
      <c r="D156" s="4" t="s">
        <v>148</v>
      </c>
      <c r="E156" s="4" t="s">
        <v>6725</v>
      </c>
      <c r="F156" s="27"/>
      <c r="G156" s="27"/>
      <c r="H156" s="43" t="s">
        <v>6727</v>
      </c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</row>
    <row r="157">
      <c r="A157" s="74">
        <v>16873.0</v>
      </c>
      <c r="B157" s="4" t="s">
        <v>20</v>
      </c>
      <c r="C157" s="28" t="s">
        <v>4106</v>
      </c>
      <c r="D157" s="4" t="s">
        <v>148</v>
      </c>
      <c r="E157" s="4" t="s">
        <v>6725</v>
      </c>
      <c r="F157" s="27"/>
      <c r="G157" s="27"/>
      <c r="H157" s="43" t="s">
        <v>6728</v>
      </c>
      <c r="I157" s="27"/>
      <c r="J157" s="29" t="s">
        <v>6729</v>
      </c>
      <c r="K157" s="27"/>
      <c r="L157" s="27"/>
      <c r="M157" s="27"/>
      <c r="N157" s="27"/>
      <c r="O157" s="27"/>
      <c r="P157" s="27"/>
      <c r="Q157" s="27"/>
      <c r="R157" s="27"/>
      <c r="S157" s="27"/>
    </row>
    <row r="158">
      <c r="A158" s="32">
        <v>17034.0</v>
      </c>
      <c r="B158" s="4" t="s">
        <v>20</v>
      </c>
      <c r="C158" s="28" t="s">
        <v>1378</v>
      </c>
      <c r="D158" s="4" t="s">
        <v>148</v>
      </c>
      <c r="E158" s="4" t="s">
        <v>6725</v>
      </c>
      <c r="F158" s="27"/>
      <c r="G158" s="27"/>
      <c r="H158" s="29" t="s">
        <v>6730</v>
      </c>
      <c r="I158" s="27"/>
      <c r="J158" s="29" t="s">
        <v>6731</v>
      </c>
      <c r="K158" s="32" t="s">
        <v>4926</v>
      </c>
      <c r="L158" s="29" t="s">
        <v>6732</v>
      </c>
      <c r="M158" s="27"/>
      <c r="N158" s="27"/>
      <c r="O158" s="27"/>
      <c r="P158" s="27"/>
      <c r="Q158" s="27"/>
      <c r="R158" s="27"/>
      <c r="S158" s="27"/>
    </row>
    <row r="159">
      <c r="A159" s="74">
        <v>17108.0</v>
      </c>
      <c r="B159" s="4" t="s">
        <v>20</v>
      </c>
      <c r="C159" s="28" t="s">
        <v>6733</v>
      </c>
      <c r="D159" s="4" t="s">
        <v>148</v>
      </c>
      <c r="E159" s="4" t="s">
        <v>6725</v>
      </c>
      <c r="F159" s="27"/>
      <c r="G159" s="27"/>
      <c r="H159" s="43" t="s">
        <v>6734</v>
      </c>
      <c r="I159" s="27"/>
      <c r="J159" s="29" t="s">
        <v>6735</v>
      </c>
      <c r="K159" s="27"/>
      <c r="L159" s="27"/>
      <c r="M159" s="27"/>
      <c r="N159" s="27"/>
      <c r="O159" s="27"/>
      <c r="P159" s="27"/>
      <c r="Q159" s="27"/>
      <c r="R159" s="27"/>
      <c r="S159" s="27"/>
    </row>
    <row r="160">
      <c r="A160" s="32">
        <v>17110.0</v>
      </c>
      <c r="B160" s="4" t="s">
        <v>20</v>
      </c>
      <c r="C160" s="28" t="s">
        <v>4088</v>
      </c>
      <c r="D160" s="4" t="s">
        <v>148</v>
      </c>
      <c r="E160" s="4" t="s">
        <v>6725</v>
      </c>
      <c r="F160" s="27"/>
      <c r="G160" s="27"/>
      <c r="H160" s="29" t="s">
        <v>6736</v>
      </c>
      <c r="I160" s="27"/>
      <c r="J160" s="29" t="s">
        <v>6737</v>
      </c>
      <c r="K160" s="27"/>
      <c r="L160" s="27"/>
      <c r="M160" s="27"/>
      <c r="N160" s="27"/>
      <c r="O160" s="27"/>
      <c r="P160" s="27"/>
      <c r="Q160" s="27"/>
      <c r="R160" s="27"/>
      <c r="S160" s="27"/>
    </row>
    <row r="161">
      <c r="A161" s="74">
        <v>17125.0</v>
      </c>
      <c r="B161" s="4" t="s">
        <v>20</v>
      </c>
      <c r="C161" s="28" t="s">
        <v>4079</v>
      </c>
      <c r="D161" s="4" t="s">
        <v>148</v>
      </c>
      <c r="E161" s="4" t="s">
        <v>6725</v>
      </c>
      <c r="F161" s="27"/>
      <c r="G161" s="27"/>
      <c r="H161" s="43" t="s">
        <v>6738</v>
      </c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</row>
    <row r="162">
      <c r="A162" s="74">
        <v>17133.0</v>
      </c>
      <c r="B162" s="4" t="s">
        <v>20</v>
      </c>
      <c r="C162" s="28" t="s">
        <v>6739</v>
      </c>
      <c r="D162" s="4" t="s">
        <v>148</v>
      </c>
      <c r="E162" s="4" t="s">
        <v>6725</v>
      </c>
      <c r="F162" s="27"/>
      <c r="G162" s="27"/>
      <c r="H162" s="43" t="s">
        <v>6740</v>
      </c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</row>
    <row r="163">
      <c r="A163" s="74">
        <v>19655.0</v>
      </c>
      <c r="B163" s="4" t="s">
        <v>20</v>
      </c>
      <c r="C163" s="28" t="s">
        <v>6741</v>
      </c>
      <c r="D163" s="4" t="s">
        <v>148</v>
      </c>
      <c r="E163" s="4" t="s">
        <v>6725</v>
      </c>
      <c r="F163" s="27"/>
      <c r="G163" s="27"/>
      <c r="H163" s="43" t="s">
        <v>6742</v>
      </c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</row>
    <row r="164">
      <c r="A164" s="74">
        <v>21315.0</v>
      </c>
      <c r="B164" s="4" t="s">
        <v>20</v>
      </c>
      <c r="C164" s="28" t="s">
        <v>6743</v>
      </c>
      <c r="D164" s="4" t="s">
        <v>148</v>
      </c>
      <c r="E164" s="4" t="s">
        <v>6725</v>
      </c>
      <c r="F164" s="27"/>
      <c r="G164" s="27"/>
      <c r="H164" s="43" t="s">
        <v>6744</v>
      </c>
      <c r="I164" s="27"/>
      <c r="J164" s="29" t="s">
        <v>6745</v>
      </c>
      <c r="K164" s="27"/>
      <c r="L164" s="27"/>
      <c r="M164" s="27"/>
      <c r="N164" s="27"/>
      <c r="O164" s="27"/>
      <c r="P164" s="27"/>
      <c r="Q164" s="27"/>
      <c r="R164" s="27"/>
      <c r="S164" s="27"/>
    </row>
    <row r="165">
      <c r="A165" s="74">
        <v>24062.0</v>
      </c>
      <c r="B165" s="4" t="s">
        <v>20</v>
      </c>
      <c r="C165" s="28" t="s">
        <v>6746</v>
      </c>
      <c r="D165" s="4" t="s">
        <v>148</v>
      </c>
      <c r="E165" s="4" t="s">
        <v>6725</v>
      </c>
      <c r="F165" s="27"/>
      <c r="G165" s="27"/>
      <c r="H165" s="43" t="s">
        <v>6747</v>
      </c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</row>
    <row r="166">
      <c r="A166" s="74">
        <v>27973.0</v>
      </c>
      <c r="B166" s="4" t="s">
        <v>720</v>
      </c>
      <c r="C166" s="28" t="s">
        <v>4331</v>
      </c>
      <c r="D166" s="4" t="s">
        <v>148</v>
      </c>
      <c r="E166" s="4" t="s">
        <v>6725</v>
      </c>
      <c r="F166" s="27"/>
      <c r="G166" s="27"/>
      <c r="H166" s="43" t="s">
        <v>6748</v>
      </c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</row>
    <row r="167">
      <c r="A167" s="74">
        <v>28221.0</v>
      </c>
      <c r="B167" s="4" t="s">
        <v>20</v>
      </c>
      <c r="C167" s="28" t="s">
        <v>6749</v>
      </c>
      <c r="D167" s="4" t="s">
        <v>148</v>
      </c>
      <c r="E167" s="4" t="s">
        <v>6725</v>
      </c>
      <c r="F167" s="27"/>
      <c r="G167" s="27"/>
      <c r="H167" s="43" t="s">
        <v>6750</v>
      </c>
      <c r="I167" s="27"/>
      <c r="J167" s="29" t="s">
        <v>6751</v>
      </c>
      <c r="K167" s="27"/>
      <c r="L167" s="27"/>
      <c r="M167" s="27"/>
      <c r="N167" s="27"/>
      <c r="O167" s="27"/>
      <c r="P167" s="27"/>
      <c r="Q167" s="27"/>
      <c r="R167" s="27"/>
      <c r="S167" s="27"/>
    </row>
    <row r="168">
      <c r="A168" s="74">
        <v>28617.0</v>
      </c>
      <c r="B168" s="4" t="s">
        <v>20</v>
      </c>
      <c r="C168" s="28" t="s">
        <v>6752</v>
      </c>
      <c r="D168" s="4" t="s">
        <v>148</v>
      </c>
      <c r="E168" s="4" t="s">
        <v>6725</v>
      </c>
      <c r="F168" s="27"/>
      <c r="G168" s="27"/>
      <c r="H168" s="27"/>
      <c r="I168" s="27"/>
      <c r="J168" s="29" t="s">
        <v>6753</v>
      </c>
      <c r="K168" s="27"/>
      <c r="L168" s="27"/>
      <c r="M168" s="27"/>
      <c r="N168" s="27"/>
      <c r="O168" s="27"/>
      <c r="P168" s="27"/>
      <c r="Q168" s="27"/>
      <c r="R168" s="27"/>
      <c r="S168" s="27"/>
    </row>
    <row r="169">
      <c r="A169" s="74">
        <v>29593.0</v>
      </c>
      <c r="B169" s="4" t="s">
        <v>20</v>
      </c>
      <c r="C169" s="28" t="s">
        <v>955</v>
      </c>
      <c r="D169" s="4" t="s">
        <v>148</v>
      </c>
      <c r="E169" s="4" t="s">
        <v>6725</v>
      </c>
      <c r="F169" s="27"/>
      <c r="G169" s="27"/>
      <c r="H169" s="43" t="s">
        <v>6754</v>
      </c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</row>
    <row r="170">
      <c r="A170" s="74">
        <v>30317.0</v>
      </c>
      <c r="B170" s="4" t="s">
        <v>20</v>
      </c>
      <c r="C170" s="4" t="s">
        <v>3662</v>
      </c>
      <c r="D170" s="4" t="s">
        <v>148</v>
      </c>
      <c r="E170" s="4" t="s">
        <v>6725</v>
      </c>
      <c r="F170" s="27"/>
      <c r="G170" s="27"/>
      <c r="H170" s="29" t="s">
        <v>6755</v>
      </c>
      <c r="I170" s="29" t="s">
        <v>6756</v>
      </c>
      <c r="J170" s="29" t="s">
        <v>6757</v>
      </c>
      <c r="K170" s="27"/>
      <c r="L170" s="27"/>
      <c r="M170" s="27"/>
      <c r="N170" s="27"/>
      <c r="O170" s="27"/>
      <c r="P170" s="27"/>
      <c r="Q170" s="27"/>
      <c r="R170" s="27"/>
      <c r="S170" s="27"/>
    </row>
    <row r="171">
      <c r="A171" s="74">
        <v>31037.0</v>
      </c>
      <c r="B171" s="4" t="s">
        <v>20</v>
      </c>
      <c r="C171" s="28" t="s">
        <v>1009</v>
      </c>
      <c r="D171" s="4" t="s">
        <v>148</v>
      </c>
      <c r="E171" s="4" t="s">
        <v>6725</v>
      </c>
      <c r="F171" s="27"/>
      <c r="G171" s="27"/>
      <c r="H171" s="43" t="s">
        <v>6758</v>
      </c>
      <c r="I171" s="27"/>
      <c r="J171" s="29" t="s">
        <v>6759</v>
      </c>
      <c r="K171" s="27"/>
      <c r="L171" s="27"/>
      <c r="M171" s="27"/>
      <c r="N171" s="27"/>
      <c r="O171" s="27"/>
      <c r="P171" s="27"/>
      <c r="Q171" s="27"/>
      <c r="R171" s="27"/>
      <c r="S171" s="27"/>
    </row>
    <row r="172">
      <c r="A172" s="74">
        <v>31337.0</v>
      </c>
      <c r="B172" s="4" t="s">
        <v>20</v>
      </c>
      <c r="C172" s="4" t="s">
        <v>6760</v>
      </c>
      <c r="D172" s="4" t="s">
        <v>148</v>
      </c>
      <c r="E172" s="4" t="s">
        <v>6725</v>
      </c>
      <c r="F172" s="27"/>
      <c r="G172" s="27"/>
      <c r="H172" s="43" t="s">
        <v>6754</v>
      </c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</row>
    <row r="173">
      <c r="A173" s="74">
        <v>31341.0</v>
      </c>
      <c r="B173" s="4" t="s">
        <v>20</v>
      </c>
      <c r="C173" s="153" t="s">
        <v>55</v>
      </c>
      <c r="D173" s="4" t="s">
        <v>148</v>
      </c>
      <c r="E173" s="4" t="s">
        <v>6725</v>
      </c>
      <c r="F173" s="27"/>
      <c r="G173" s="27"/>
      <c r="H173" s="29" t="s">
        <v>6761</v>
      </c>
      <c r="I173" s="29" t="s">
        <v>6762</v>
      </c>
      <c r="J173" s="29" t="s">
        <v>6763</v>
      </c>
      <c r="K173" s="27"/>
      <c r="L173" s="27"/>
      <c r="M173" s="27"/>
      <c r="N173" s="27"/>
      <c r="O173" s="27"/>
      <c r="P173" s="27"/>
      <c r="Q173" s="27"/>
      <c r="R173" s="27"/>
      <c r="S173" s="27"/>
    </row>
    <row r="174">
      <c r="A174" s="74">
        <v>31347.0</v>
      </c>
      <c r="B174" s="4" t="s">
        <v>20</v>
      </c>
      <c r="C174" s="28" t="s">
        <v>4084</v>
      </c>
      <c r="D174" s="4" t="s">
        <v>6764</v>
      </c>
      <c r="E174" s="4" t="s">
        <v>6725</v>
      </c>
      <c r="F174" s="27"/>
      <c r="G174" s="27"/>
      <c r="H174" s="43" t="s">
        <v>6765</v>
      </c>
      <c r="I174" s="29" t="s">
        <v>6766</v>
      </c>
      <c r="J174" s="27"/>
      <c r="K174" s="27"/>
      <c r="L174" s="27"/>
      <c r="M174" s="27"/>
      <c r="N174" s="27"/>
      <c r="O174" s="27"/>
      <c r="P174" s="27"/>
      <c r="Q174" s="27"/>
      <c r="R174" s="27"/>
      <c r="S174" s="27"/>
    </row>
    <row r="175">
      <c r="A175" s="74">
        <v>31348.0</v>
      </c>
      <c r="B175" s="4" t="s">
        <v>20</v>
      </c>
      <c r="C175" s="28" t="s">
        <v>6767</v>
      </c>
      <c r="D175" s="4" t="s">
        <v>148</v>
      </c>
      <c r="E175" s="4" t="s">
        <v>6725</v>
      </c>
      <c r="F175" s="27"/>
      <c r="G175" s="27"/>
      <c r="H175" s="43" t="s">
        <v>6768</v>
      </c>
      <c r="I175" s="27"/>
      <c r="J175" s="29" t="s">
        <v>6745</v>
      </c>
      <c r="K175" s="27"/>
      <c r="L175" s="27"/>
      <c r="M175" s="27"/>
      <c r="N175" s="27"/>
      <c r="O175" s="27"/>
      <c r="P175" s="27"/>
      <c r="Q175" s="27"/>
      <c r="R175" s="27"/>
      <c r="S175" s="27"/>
    </row>
    <row r="176">
      <c r="A176" s="74">
        <v>31359.0</v>
      </c>
      <c r="B176" s="4" t="s">
        <v>20</v>
      </c>
      <c r="C176" s="4" t="s">
        <v>6769</v>
      </c>
      <c r="D176" s="4" t="s">
        <v>148</v>
      </c>
      <c r="E176" s="4" t="s">
        <v>6725</v>
      </c>
      <c r="F176" s="27"/>
      <c r="G176" s="27"/>
      <c r="H176" s="43" t="s">
        <v>6770</v>
      </c>
      <c r="I176" s="27"/>
      <c r="J176" s="29" t="s">
        <v>6753</v>
      </c>
      <c r="K176" s="27"/>
      <c r="L176" s="27"/>
      <c r="M176" s="27"/>
      <c r="N176" s="27"/>
      <c r="O176" s="27"/>
      <c r="P176" s="27"/>
      <c r="Q176" s="27"/>
      <c r="R176" s="27"/>
      <c r="S176" s="27"/>
    </row>
    <row r="177">
      <c r="A177" s="74">
        <v>31455.0</v>
      </c>
      <c r="B177" s="4" t="s">
        <v>20</v>
      </c>
      <c r="C177" s="4" t="s">
        <v>5615</v>
      </c>
      <c r="D177" s="4" t="s">
        <v>148</v>
      </c>
      <c r="E177" s="4" t="s">
        <v>6725</v>
      </c>
      <c r="F177" s="27"/>
      <c r="G177" s="27"/>
      <c r="H177" s="43" t="s">
        <v>6771</v>
      </c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</row>
    <row r="178">
      <c r="A178" s="74">
        <v>31492.0</v>
      </c>
      <c r="B178" s="4" t="s">
        <v>20</v>
      </c>
      <c r="C178" s="28" t="s">
        <v>6772</v>
      </c>
      <c r="D178" s="4" t="s">
        <v>148</v>
      </c>
      <c r="E178" s="4" t="s">
        <v>6725</v>
      </c>
      <c r="F178" s="27"/>
      <c r="G178" s="27"/>
      <c r="H178" s="27"/>
      <c r="I178" s="27"/>
      <c r="J178" s="29" t="s">
        <v>6773</v>
      </c>
      <c r="K178" s="27"/>
      <c r="L178" s="27"/>
      <c r="M178" s="27"/>
      <c r="N178" s="27"/>
      <c r="O178" s="27"/>
      <c r="P178" s="27"/>
      <c r="Q178" s="27"/>
      <c r="R178" s="27"/>
      <c r="S178" s="27"/>
    </row>
    <row r="179">
      <c r="A179" s="74">
        <v>32057.0</v>
      </c>
      <c r="B179" s="4" t="s">
        <v>20</v>
      </c>
      <c r="C179" s="28" t="s">
        <v>917</v>
      </c>
      <c r="D179" s="4" t="s">
        <v>148</v>
      </c>
      <c r="E179" s="4" t="s">
        <v>6725</v>
      </c>
      <c r="F179" s="27"/>
      <c r="G179" s="27"/>
      <c r="H179" s="43" t="s">
        <v>6774</v>
      </c>
      <c r="I179" s="27"/>
      <c r="J179" s="29" t="s">
        <v>6737</v>
      </c>
      <c r="K179" s="27"/>
      <c r="L179" s="27"/>
      <c r="M179" s="27"/>
      <c r="N179" s="27"/>
      <c r="O179" s="27"/>
      <c r="P179" s="27"/>
      <c r="Q179" s="27"/>
      <c r="R179" s="27"/>
      <c r="S179" s="27"/>
    </row>
    <row r="180">
      <c r="A180" s="74">
        <v>32337.0</v>
      </c>
      <c r="B180" s="4" t="s">
        <v>20</v>
      </c>
      <c r="C180" s="28" t="s">
        <v>39</v>
      </c>
      <c r="D180" s="28" t="s">
        <v>148</v>
      </c>
      <c r="E180" s="4" t="s">
        <v>6725</v>
      </c>
      <c r="F180" s="27"/>
      <c r="G180" s="27"/>
      <c r="H180" s="43" t="s">
        <v>6775</v>
      </c>
      <c r="I180" s="27"/>
      <c r="J180" s="29" t="s">
        <v>6776</v>
      </c>
      <c r="K180" s="27"/>
      <c r="L180" s="27"/>
      <c r="M180" s="27"/>
      <c r="N180" s="27"/>
      <c r="O180" s="27"/>
      <c r="P180" s="27"/>
      <c r="Q180" s="27"/>
      <c r="R180" s="27"/>
      <c r="S180" s="27"/>
    </row>
    <row r="181">
      <c r="A181" s="27"/>
      <c r="B181" s="4" t="s">
        <v>20</v>
      </c>
      <c r="C181" s="4" t="s">
        <v>6777</v>
      </c>
      <c r="D181" s="4" t="s">
        <v>148</v>
      </c>
      <c r="E181" s="4" t="s">
        <v>6725</v>
      </c>
      <c r="F181" s="27"/>
      <c r="G181" s="27"/>
      <c r="H181" s="43" t="s">
        <v>6778</v>
      </c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</row>
    <row r="182">
      <c r="A182" s="27"/>
      <c r="B182" s="4" t="s">
        <v>276</v>
      </c>
      <c r="C182" s="4" t="s">
        <v>5628</v>
      </c>
      <c r="D182" s="4" t="s">
        <v>148</v>
      </c>
      <c r="E182" s="4" t="s">
        <v>6725</v>
      </c>
      <c r="F182" s="4" t="s">
        <v>6779</v>
      </c>
      <c r="G182" s="27"/>
      <c r="H182" s="43" t="s">
        <v>6780</v>
      </c>
      <c r="I182" s="77"/>
      <c r="J182" s="27"/>
      <c r="K182" s="27"/>
      <c r="L182" s="27"/>
      <c r="M182" s="27"/>
      <c r="N182" s="27"/>
      <c r="O182" s="27"/>
      <c r="P182" s="27"/>
      <c r="Q182" s="27"/>
      <c r="R182" s="27"/>
      <c r="S182" s="27"/>
    </row>
    <row r="183">
      <c r="A183" s="27"/>
      <c r="B183" s="4" t="s">
        <v>20</v>
      </c>
      <c r="C183" s="4" t="s">
        <v>6781</v>
      </c>
      <c r="D183" s="4" t="s">
        <v>148</v>
      </c>
      <c r="E183" s="4" t="s">
        <v>6725</v>
      </c>
      <c r="F183" s="27"/>
      <c r="G183" s="27"/>
      <c r="H183" s="43" t="s">
        <v>6782</v>
      </c>
      <c r="I183" s="43" t="s">
        <v>6783</v>
      </c>
      <c r="J183" s="27"/>
      <c r="K183" s="27"/>
      <c r="L183" s="27"/>
      <c r="M183" s="27"/>
      <c r="N183" s="27"/>
      <c r="O183" s="27"/>
      <c r="P183" s="27"/>
      <c r="Q183" s="27"/>
      <c r="R183" s="27"/>
      <c r="S183" s="27"/>
    </row>
    <row r="184">
      <c r="A184" s="27"/>
      <c r="B184" s="4" t="s">
        <v>276</v>
      </c>
      <c r="C184" s="4" t="s">
        <v>6784</v>
      </c>
      <c r="D184" s="4" t="s">
        <v>148</v>
      </c>
      <c r="E184" s="4" t="s">
        <v>6725</v>
      </c>
      <c r="F184" s="27"/>
      <c r="G184" s="27"/>
      <c r="H184" s="43" t="s">
        <v>6785</v>
      </c>
      <c r="I184" s="43" t="s">
        <v>6786</v>
      </c>
      <c r="J184" s="29" t="s">
        <v>6787</v>
      </c>
      <c r="K184" s="27"/>
      <c r="L184" s="27"/>
      <c r="M184" s="27"/>
      <c r="N184" s="27"/>
      <c r="O184" s="27"/>
      <c r="P184" s="27"/>
      <c r="Q184" s="27"/>
      <c r="R184" s="27"/>
      <c r="S184" s="27"/>
    </row>
    <row r="185">
      <c r="A185" s="27"/>
      <c r="B185" s="4" t="s">
        <v>20</v>
      </c>
      <c r="C185" s="4" t="s">
        <v>3032</v>
      </c>
      <c r="D185" s="4" t="s">
        <v>148</v>
      </c>
      <c r="E185" s="4" t="s">
        <v>6725</v>
      </c>
      <c r="F185" s="27"/>
      <c r="G185" s="27"/>
      <c r="H185" s="43" t="s">
        <v>6788</v>
      </c>
      <c r="I185" s="27"/>
      <c r="J185" s="43" t="s">
        <v>6789</v>
      </c>
      <c r="K185" s="27"/>
      <c r="L185" s="27"/>
      <c r="M185" s="27"/>
      <c r="N185" s="27"/>
      <c r="O185" s="27"/>
      <c r="P185" s="27"/>
      <c r="Q185" s="27"/>
      <c r="R185" s="27"/>
      <c r="S185" s="27"/>
    </row>
    <row r="186">
      <c r="A186" s="27"/>
      <c r="B186" s="4" t="s">
        <v>20</v>
      </c>
      <c r="C186" s="4" t="s">
        <v>6790</v>
      </c>
      <c r="D186" s="4" t="s">
        <v>148</v>
      </c>
      <c r="E186" s="4" t="s">
        <v>6725</v>
      </c>
      <c r="F186" s="27"/>
      <c r="G186" s="27"/>
      <c r="H186" s="43" t="s">
        <v>6791</v>
      </c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</row>
    <row r="187">
      <c r="A187" s="74">
        <v>16877.0</v>
      </c>
      <c r="B187" s="4" t="s">
        <v>20</v>
      </c>
      <c r="C187" s="28" t="s">
        <v>6792</v>
      </c>
      <c r="D187" s="4" t="s">
        <v>148</v>
      </c>
      <c r="E187" s="4" t="s">
        <v>159</v>
      </c>
      <c r="F187" s="27"/>
      <c r="G187" s="27"/>
      <c r="H187" s="43" t="s">
        <v>6793</v>
      </c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</row>
    <row r="188">
      <c r="A188" s="74">
        <v>16883.0</v>
      </c>
      <c r="B188" s="4" t="s">
        <v>20</v>
      </c>
      <c r="C188" s="28" t="s">
        <v>6794</v>
      </c>
      <c r="D188" s="4" t="s">
        <v>148</v>
      </c>
      <c r="E188" s="4" t="s">
        <v>159</v>
      </c>
      <c r="F188" s="27"/>
      <c r="G188" s="27"/>
      <c r="H188" s="27"/>
      <c r="I188" s="27"/>
      <c r="J188" s="29" t="s">
        <v>6795</v>
      </c>
      <c r="K188" s="27"/>
      <c r="L188" s="27"/>
      <c r="M188" s="27"/>
      <c r="N188" s="27"/>
      <c r="O188" s="27"/>
      <c r="P188" s="27"/>
      <c r="Q188" s="27"/>
      <c r="R188" s="27"/>
      <c r="S188" s="27"/>
    </row>
    <row r="189">
      <c r="A189" s="74">
        <v>16998.0</v>
      </c>
      <c r="B189" s="4" t="s">
        <v>20</v>
      </c>
      <c r="C189" s="28" t="s">
        <v>6796</v>
      </c>
      <c r="D189" s="4" t="s">
        <v>148</v>
      </c>
      <c r="E189" s="4" t="s">
        <v>159</v>
      </c>
      <c r="F189" s="27"/>
      <c r="G189" s="27"/>
      <c r="H189" s="43" t="s">
        <v>6797</v>
      </c>
      <c r="I189" s="27"/>
      <c r="J189" s="29" t="s">
        <v>6798</v>
      </c>
      <c r="K189" s="27"/>
      <c r="L189" s="27"/>
      <c r="M189" s="27"/>
      <c r="N189" s="27"/>
      <c r="O189" s="27"/>
      <c r="P189" s="27"/>
      <c r="Q189" s="27"/>
      <c r="R189" s="27"/>
      <c r="S189" s="27"/>
    </row>
    <row r="190">
      <c r="A190" s="74">
        <v>17036.0</v>
      </c>
      <c r="B190" s="4" t="s">
        <v>20</v>
      </c>
      <c r="C190" s="28" t="s">
        <v>6799</v>
      </c>
      <c r="D190" s="4" t="s">
        <v>148</v>
      </c>
      <c r="E190" s="4" t="s">
        <v>159</v>
      </c>
      <c r="F190" s="27"/>
      <c r="G190" s="27"/>
      <c r="H190" s="27"/>
      <c r="I190" s="27"/>
      <c r="J190" s="29" t="s">
        <v>6800</v>
      </c>
      <c r="K190" s="27"/>
      <c r="L190" s="27"/>
      <c r="M190" s="27"/>
      <c r="N190" s="27"/>
      <c r="O190" s="27"/>
      <c r="P190" s="27"/>
      <c r="Q190" s="27"/>
      <c r="R190" s="27"/>
      <c r="S190" s="27"/>
    </row>
    <row r="191">
      <c r="A191" s="74">
        <v>17038.0</v>
      </c>
      <c r="B191" s="4" t="s">
        <v>20</v>
      </c>
      <c r="C191" s="28" t="s">
        <v>3178</v>
      </c>
      <c r="D191" s="4" t="s">
        <v>148</v>
      </c>
      <c r="E191" s="4" t="s">
        <v>159</v>
      </c>
      <c r="F191" s="4" t="s">
        <v>6801</v>
      </c>
      <c r="G191" s="32">
        <v>1.0</v>
      </c>
      <c r="H191" s="43" t="s">
        <v>6802</v>
      </c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</row>
    <row r="192">
      <c r="A192" s="74">
        <v>17139.0</v>
      </c>
      <c r="B192" s="4" t="s">
        <v>20</v>
      </c>
      <c r="C192" s="28" t="s">
        <v>6803</v>
      </c>
      <c r="D192" s="4" t="s">
        <v>148</v>
      </c>
      <c r="E192" s="4" t="s">
        <v>159</v>
      </c>
      <c r="F192" s="27"/>
      <c r="G192" s="27"/>
      <c r="H192" s="27"/>
      <c r="I192" s="27"/>
      <c r="J192" s="29" t="s">
        <v>6804</v>
      </c>
      <c r="K192" s="27"/>
      <c r="L192" s="27"/>
      <c r="M192" s="27"/>
      <c r="N192" s="27"/>
      <c r="O192" s="27"/>
      <c r="P192" s="27"/>
      <c r="Q192" s="27"/>
      <c r="R192" s="27"/>
      <c r="S192" s="27"/>
    </row>
    <row r="193">
      <c r="A193" s="32">
        <v>21489.0</v>
      </c>
      <c r="B193" s="4" t="s">
        <v>20</v>
      </c>
      <c r="C193" s="153" t="s">
        <v>3662</v>
      </c>
      <c r="D193" s="4" t="s">
        <v>148</v>
      </c>
      <c r="E193" s="4" t="s">
        <v>159</v>
      </c>
      <c r="F193" s="27"/>
      <c r="G193" s="27"/>
      <c r="H193" s="29" t="s">
        <v>6805</v>
      </c>
      <c r="I193" s="29" t="s">
        <v>6756</v>
      </c>
      <c r="J193" s="29" t="s">
        <v>6757</v>
      </c>
      <c r="K193" s="27"/>
      <c r="L193" s="27"/>
      <c r="M193" s="27"/>
      <c r="N193" s="27"/>
      <c r="O193" s="27"/>
      <c r="P193" s="27"/>
      <c r="Q193" s="27"/>
      <c r="R193" s="27"/>
      <c r="S193" s="27"/>
    </row>
    <row r="194">
      <c r="A194" s="74">
        <v>21490.0</v>
      </c>
      <c r="B194" s="4" t="s">
        <v>20</v>
      </c>
      <c r="C194" s="28" t="s">
        <v>5008</v>
      </c>
      <c r="D194" s="4" t="s">
        <v>148</v>
      </c>
      <c r="E194" s="4" t="s">
        <v>159</v>
      </c>
      <c r="F194" s="27"/>
      <c r="G194" s="27"/>
      <c r="H194" s="43" t="s">
        <v>6806</v>
      </c>
      <c r="I194" s="27"/>
      <c r="J194" s="29" t="s">
        <v>6807</v>
      </c>
      <c r="K194" s="27"/>
      <c r="L194" s="27"/>
      <c r="M194" s="27"/>
      <c r="N194" s="27"/>
      <c r="O194" s="27"/>
      <c r="P194" s="27"/>
      <c r="Q194" s="27"/>
      <c r="R194" s="27"/>
      <c r="S194" s="27"/>
    </row>
    <row r="195">
      <c r="A195" s="32">
        <v>21491.0</v>
      </c>
      <c r="B195" s="4" t="s">
        <v>20</v>
      </c>
      <c r="C195" s="153" t="s">
        <v>6808</v>
      </c>
      <c r="D195" s="4" t="s">
        <v>148</v>
      </c>
      <c r="E195" s="4" t="s">
        <v>159</v>
      </c>
      <c r="F195" s="27"/>
      <c r="G195" s="27"/>
      <c r="H195" s="29" t="s">
        <v>6809</v>
      </c>
      <c r="I195" s="29" t="s">
        <v>6810</v>
      </c>
      <c r="J195" s="29" t="s">
        <v>6811</v>
      </c>
      <c r="K195" s="27"/>
      <c r="L195" s="27"/>
      <c r="M195" s="27"/>
      <c r="N195" s="27"/>
      <c r="O195" s="27"/>
      <c r="P195" s="27"/>
      <c r="Q195" s="27"/>
      <c r="R195" s="27"/>
      <c r="S195" s="27"/>
    </row>
    <row r="196">
      <c r="A196" s="74">
        <v>22551.0</v>
      </c>
      <c r="B196" s="4" t="s">
        <v>766</v>
      </c>
      <c r="C196" s="28" t="s">
        <v>6812</v>
      </c>
      <c r="D196" s="4" t="s">
        <v>148</v>
      </c>
      <c r="E196" s="4" t="s">
        <v>159</v>
      </c>
      <c r="F196" s="27"/>
      <c r="G196" s="27"/>
      <c r="H196" s="43" t="s">
        <v>6813</v>
      </c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</row>
    <row r="197">
      <c r="A197" s="74">
        <v>22553.0</v>
      </c>
      <c r="B197" s="4" t="s">
        <v>20</v>
      </c>
      <c r="C197" s="28" t="s">
        <v>922</v>
      </c>
      <c r="D197" s="4" t="s">
        <v>148</v>
      </c>
      <c r="E197" s="4" t="s">
        <v>159</v>
      </c>
      <c r="F197" s="27"/>
      <c r="G197" s="27"/>
      <c r="H197" s="43" t="s">
        <v>6814</v>
      </c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</row>
    <row r="198">
      <c r="A198" s="74">
        <v>23264.0</v>
      </c>
      <c r="B198" s="4" t="s">
        <v>20</v>
      </c>
      <c r="C198" s="28" t="s">
        <v>6815</v>
      </c>
      <c r="D198" s="4" t="s">
        <v>148</v>
      </c>
      <c r="E198" s="4" t="s">
        <v>159</v>
      </c>
      <c r="F198" s="27"/>
      <c r="G198" s="27"/>
      <c r="H198" s="27"/>
      <c r="I198" s="27"/>
      <c r="J198" s="29" t="s">
        <v>6816</v>
      </c>
      <c r="K198" s="27"/>
      <c r="L198" s="27"/>
      <c r="M198" s="27"/>
      <c r="N198" s="27"/>
      <c r="O198" s="27"/>
      <c r="P198" s="27"/>
      <c r="Q198" s="27"/>
      <c r="R198" s="27"/>
      <c r="S198" s="27"/>
    </row>
    <row r="199">
      <c r="A199" s="32">
        <v>25149.0</v>
      </c>
      <c r="B199" s="4" t="s">
        <v>20</v>
      </c>
      <c r="C199" s="28" t="s">
        <v>6817</v>
      </c>
      <c r="D199" s="4" t="s">
        <v>148</v>
      </c>
      <c r="E199" s="4" t="s">
        <v>159</v>
      </c>
      <c r="F199" s="27"/>
      <c r="G199" s="27"/>
      <c r="H199" s="27"/>
      <c r="I199" s="27"/>
      <c r="J199" s="29" t="s">
        <v>6818</v>
      </c>
      <c r="K199" s="27"/>
      <c r="L199" s="27"/>
      <c r="M199" s="27"/>
      <c r="N199" s="27"/>
      <c r="O199" s="27"/>
      <c r="P199" s="27"/>
      <c r="Q199" s="27"/>
      <c r="R199" s="27"/>
      <c r="S199" s="27"/>
    </row>
    <row r="200">
      <c r="A200" s="74">
        <v>25442.0</v>
      </c>
      <c r="B200" s="4" t="s">
        <v>20</v>
      </c>
      <c r="C200" s="28" t="s">
        <v>3024</v>
      </c>
      <c r="D200" s="4" t="s">
        <v>148</v>
      </c>
      <c r="E200" s="4" t="s">
        <v>159</v>
      </c>
      <c r="F200" s="27"/>
      <c r="G200" s="27"/>
      <c r="H200" s="27"/>
      <c r="I200" s="27"/>
      <c r="J200" s="29" t="s">
        <v>6819</v>
      </c>
      <c r="K200" s="27"/>
      <c r="L200" s="27"/>
      <c r="M200" s="27"/>
      <c r="N200" s="27"/>
      <c r="O200" s="27"/>
      <c r="P200" s="27"/>
      <c r="Q200" s="27"/>
      <c r="R200" s="27"/>
      <c r="S200" s="27"/>
    </row>
    <row r="201">
      <c r="A201" s="74">
        <v>28992.0</v>
      </c>
      <c r="B201" s="4" t="s">
        <v>20</v>
      </c>
      <c r="C201" s="28" t="s">
        <v>786</v>
      </c>
      <c r="D201" s="4" t="s">
        <v>148</v>
      </c>
      <c r="E201" s="4" t="s">
        <v>159</v>
      </c>
      <c r="F201" s="27"/>
      <c r="G201" s="27"/>
      <c r="H201" s="43" t="s">
        <v>6820</v>
      </c>
      <c r="I201" s="27"/>
      <c r="J201" s="29" t="s">
        <v>6821</v>
      </c>
      <c r="K201" s="27"/>
      <c r="L201" s="27"/>
      <c r="M201" s="27"/>
      <c r="N201" s="27"/>
      <c r="O201" s="27"/>
      <c r="P201" s="27"/>
      <c r="Q201" s="27"/>
      <c r="R201" s="27"/>
      <c r="S201" s="27"/>
    </row>
    <row r="202">
      <c r="A202" s="74">
        <v>29198.0</v>
      </c>
      <c r="B202" s="4" t="s">
        <v>20</v>
      </c>
      <c r="C202" s="4" t="s">
        <v>6822</v>
      </c>
      <c r="D202" s="4" t="s">
        <v>148</v>
      </c>
      <c r="E202" s="4" t="s">
        <v>159</v>
      </c>
      <c r="F202" s="27"/>
      <c r="G202" s="27"/>
      <c r="H202" s="43" t="s">
        <v>6823</v>
      </c>
      <c r="I202" s="27"/>
      <c r="J202" s="29" t="s">
        <v>6824</v>
      </c>
      <c r="K202" s="27"/>
      <c r="L202" s="27"/>
      <c r="M202" s="27"/>
      <c r="N202" s="27"/>
      <c r="O202" s="27"/>
      <c r="P202" s="27"/>
      <c r="Q202" s="27"/>
      <c r="R202" s="27"/>
      <c r="S202" s="27"/>
    </row>
    <row r="203">
      <c r="A203" s="74">
        <v>31356.0</v>
      </c>
      <c r="B203" s="4" t="s">
        <v>20</v>
      </c>
      <c r="C203" s="28" t="s">
        <v>6825</v>
      </c>
      <c r="D203" s="4" t="s">
        <v>148</v>
      </c>
      <c r="E203" s="4" t="s">
        <v>159</v>
      </c>
      <c r="F203" s="27"/>
      <c r="G203" s="27"/>
      <c r="H203" s="43" t="s">
        <v>6826</v>
      </c>
      <c r="I203" s="27"/>
      <c r="J203" s="154" t="s">
        <v>6827</v>
      </c>
      <c r="K203" s="27"/>
      <c r="L203" s="27"/>
      <c r="M203" s="27"/>
      <c r="N203" s="27"/>
      <c r="O203" s="27"/>
      <c r="P203" s="27"/>
      <c r="Q203" s="27"/>
      <c r="R203" s="27"/>
      <c r="S203" s="27"/>
    </row>
    <row r="204">
      <c r="A204" s="27"/>
      <c r="B204" s="4" t="s">
        <v>20</v>
      </c>
      <c r="C204" s="4" t="s">
        <v>74</v>
      </c>
      <c r="D204" s="4" t="s">
        <v>148</v>
      </c>
      <c r="E204" s="4" t="s">
        <v>159</v>
      </c>
      <c r="F204" s="4" t="s">
        <v>3428</v>
      </c>
      <c r="G204" s="27"/>
      <c r="H204" s="43" t="s">
        <v>6828</v>
      </c>
      <c r="I204" s="43" t="s">
        <v>6829</v>
      </c>
      <c r="J204" s="29" t="s">
        <v>6830</v>
      </c>
      <c r="K204" s="27"/>
      <c r="L204" s="27"/>
      <c r="M204" s="27"/>
      <c r="N204" s="27"/>
      <c r="O204" s="27"/>
      <c r="P204" s="27"/>
      <c r="Q204" s="27"/>
      <c r="R204" s="27"/>
      <c r="S204" s="27"/>
    </row>
    <row r="205">
      <c r="A205" s="27"/>
      <c r="B205" s="4" t="s">
        <v>20</v>
      </c>
      <c r="C205" s="4" t="s">
        <v>6831</v>
      </c>
      <c r="D205" s="4" t="s">
        <v>148</v>
      </c>
      <c r="E205" s="4" t="s">
        <v>159</v>
      </c>
      <c r="F205" s="4" t="s">
        <v>6832</v>
      </c>
      <c r="G205" s="27"/>
      <c r="H205" s="43" t="s">
        <v>6833</v>
      </c>
      <c r="I205" s="27"/>
      <c r="J205" s="29" t="s">
        <v>6834</v>
      </c>
      <c r="K205" s="27"/>
      <c r="L205" s="27"/>
      <c r="M205" s="27"/>
      <c r="N205" s="27"/>
      <c r="O205" s="27"/>
      <c r="P205" s="27"/>
      <c r="Q205" s="27"/>
      <c r="R205" s="27"/>
      <c r="S205" s="27"/>
    </row>
    <row r="206">
      <c r="A206" s="27"/>
      <c r="B206" s="4" t="s">
        <v>20</v>
      </c>
      <c r="C206" s="4" t="s">
        <v>6835</v>
      </c>
      <c r="D206" s="4" t="s">
        <v>148</v>
      </c>
      <c r="E206" s="4" t="s">
        <v>159</v>
      </c>
      <c r="F206" s="27"/>
      <c r="G206" s="27"/>
      <c r="H206" s="29" t="s">
        <v>6836</v>
      </c>
      <c r="I206" s="29" t="s">
        <v>6837</v>
      </c>
      <c r="J206" s="27"/>
      <c r="K206" s="27"/>
      <c r="L206" s="27"/>
      <c r="M206" s="27"/>
      <c r="N206" s="27"/>
      <c r="O206" s="27"/>
      <c r="P206" s="27"/>
      <c r="Q206" s="27"/>
      <c r="R206" s="27"/>
      <c r="S206" s="27"/>
    </row>
    <row r="207">
      <c r="A207" s="27"/>
      <c r="B207" s="4" t="s">
        <v>276</v>
      </c>
      <c r="C207" s="4" t="s">
        <v>6838</v>
      </c>
      <c r="D207" s="4" t="s">
        <v>148</v>
      </c>
      <c r="E207" s="4" t="s">
        <v>159</v>
      </c>
      <c r="F207" s="4" t="s">
        <v>6839</v>
      </c>
      <c r="G207" s="27"/>
      <c r="H207" s="43" t="s">
        <v>6840</v>
      </c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</row>
    <row r="208">
      <c r="A208" s="27"/>
      <c r="B208" s="4" t="s">
        <v>20</v>
      </c>
      <c r="C208" s="4" t="s">
        <v>6841</v>
      </c>
      <c r="D208" s="4" t="s">
        <v>148</v>
      </c>
      <c r="E208" s="4" t="s">
        <v>159</v>
      </c>
      <c r="F208" s="27"/>
      <c r="G208" s="27"/>
      <c r="H208" s="29" t="s">
        <v>6842</v>
      </c>
      <c r="I208" s="43" t="s">
        <v>6843</v>
      </c>
      <c r="J208" s="27"/>
      <c r="K208" s="27"/>
      <c r="L208" s="27"/>
      <c r="M208" s="27"/>
      <c r="N208" s="27"/>
      <c r="O208" s="27"/>
      <c r="P208" s="27"/>
      <c r="Q208" s="27"/>
      <c r="R208" s="27"/>
      <c r="S208" s="27"/>
    </row>
    <row r="209">
      <c r="A209" s="27"/>
      <c r="B209" s="4" t="s">
        <v>20</v>
      </c>
      <c r="C209" s="4" t="s">
        <v>6844</v>
      </c>
      <c r="D209" s="4" t="s">
        <v>148</v>
      </c>
      <c r="E209" s="4" t="s">
        <v>159</v>
      </c>
      <c r="F209" s="27"/>
      <c r="G209" s="27"/>
      <c r="H209" s="43" t="s">
        <v>6845</v>
      </c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</row>
    <row r="210">
      <c r="A210" s="27"/>
      <c r="B210" s="4" t="s">
        <v>20</v>
      </c>
      <c r="C210" s="4" t="s">
        <v>804</v>
      </c>
      <c r="D210" s="4" t="s">
        <v>148</v>
      </c>
      <c r="E210" s="4" t="s">
        <v>159</v>
      </c>
      <c r="F210" s="4" t="s">
        <v>6846</v>
      </c>
      <c r="G210" s="27"/>
      <c r="H210" s="43" t="s">
        <v>6847</v>
      </c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</row>
    <row r="211">
      <c r="A211" s="27"/>
      <c r="B211" s="4" t="s">
        <v>20</v>
      </c>
      <c r="C211" s="4" t="s">
        <v>6848</v>
      </c>
      <c r="D211" s="4" t="s">
        <v>148</v>
      </c>
      <c r="E211" s="4" t="s">
        <v>159</v>
      </c>
      <c r="F211" s="4" t="s">
        <v>6846</v>
      </c>
      <c r="G211" s="27"/>
      <c r="H211" s="43" t="s">
        <v>6849</v>
      </c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</row>
    <row r="212">
      <c r="A212" s="27"/>
      <c r="B212" s="4" t="s">
        <v>20</v>
      </c>
      <c r="C212" s="4" t="s">
        <v>4572</v>
      </c>
      <c r="D212" s="4" t="s">
        <v>148</v>
      </c>
      <c r="E212" s="4" t="s">
        <v>159</v>
      </c>
      <c r="F212" s="4" t="s">
        <v>6846</v>
      </c>
      <c r="G212" s="27"/>
      <c r="H212" s="43" t="s">
        <v>6850</v>
      </c>
      <c r="I212" s="27"/>
      <c r="J212" s="29" t="s">
        <v>6851</v>
      </c>
      <c r="K212" s="27"/>
      <c r="L212" s="27"/>
      <c r="M212" s="27"/>
      <c r="N212" s="27"/>
      <c r="O212" s="27"/>
      <c r="P212" s="27"/>
      <c r="Q212" s="27"/>
      <c r="R212" s="27"/>
      <c r="S212" s="27"/>
    </row>
    <row r="213">
      <c r="A213" s="27"/>
      <c r="B213" s="4" t="s">
        <v>20</v>
      </c>
      <c r="C213" s="4" t="s">
        <v>21</v>
      </c>
      <c r="D213" s="4" t="s">
        <v>148</v>
      </c>
      <c r="E213" s="4" t="s">
        <v>159</v>
      </c>
      <c r="F213" s="4" t="s">
        <v>6852</v>
      </c>
      <c r="G213" s="27"/>
      <c r="H213" s="43" t="s">
        <v>6853</v>
      </c>
      <c r="I213" s="43" t="s">
        <v>6854</v>
      </c>
      <c r="J213" s="43" t="s">
        <v>6855</v>
      </c>
      <c r="K213" s="27"/>
      <c r="L213" s="27"/>
      <c r="M213" s="27"/>
      <c r="N213" s="27"/>
      <c r="O213" s="27"/>
      <c r="P213" s="27"/>
      <c r="Q213" s="27"/>
      <c r="R213" s="27"/>
      <c r="S213" s="27"/>
    </row>
    <row r="214">
      <c r="A214" s="32"/>
      <c r="B214" s="4" t="s">
        <v>20</v>
      </c>
      <c r="C214" s="28" t="s">
        <v>6670</v>
      </c>
      <c r="D214" s="4" t="s">
        <v>148</v>
      </c>
      <c r="E214" s="4" t="s">
        <v>6678</v>
      </c>
      <c r="F214" s="27"/>
      <c r="G214" s="27"/>
      <c r="H214" s="29" t="s">
        <v>6856</v>
      </c>
      <c r="I214" s="43" t="s">
        <v>6857</v>
      </c>
      <c r="J214" s="29" t="s">
        <v>6672</v>
      </c>
      <c r="K214" s="27"/>
      <c r="L214" s="27"/>
      <c r="M214" s="27"/>
      <c r="N214" s="27"/>
      <c r="O214" s="27"/>
      <c r="P214" s="27"/>
      <c r="Q214" s="27"/>
      <c r="R214" s="27"/>
      <c r="S214" s="27"/>
    </row>
    <row r="215">
      <c r="A215" s="32">
        <v>16769.0</v>
      </c>
      <c r="B215" s="4" t="s">
        <v>20</v>
      </c>
      <c r="C215" s="28" t="s">
        <v>6858</v>
      </c>
      <c r="D215" s="4" t="s">
        <v>148</v>
      </c>
      <c r="E215" s="4" t="s">
        <v>148</v>
      </c>
      <c r="F215" s="27"/>
      <c r="G215" s="27"/>
      <c r="H215" s="29" t="s">
        <v>6859</v>
      </c>
      <c r="I215" s="29" t="s">
        <v>6860</v>
      </c>
      <c r="J215" s="29" t="s">
        <v>6861</v>
      </c>
      <c r="K215" s="27"/>
      <c r="L215" s="27"/>
      <c r="M215" s="27"/>
      <c r="N215" s="27"/>
      <c r="O215" s="27"/>
      <c r="P215" s="27"/>
      <c r="Q215" s="27"/>
      <c r="R215" s="27"/>
      <c r="S215" s="27"/>
    </row>
    <row r="216">
      <c r="A216" s="32">
        <v>16770.0</v>
      </c>
      <c r="B216" s="4" t="s">
        <v>20</v>
      </c>
      <c r="C216" s="28" t="s">
        <v>6862</v>
      </c>
      <c r="D216" s="4" t="s">
        <v>148</v>
      </c>
      <c r="E216" s="4" t="s">
        <v>148</v>
      </c>
      <c r="F216" s="27"/>
      <c r="G216" s="27"/>
      <c r="H216" s="29" t="s">
        <v>6863</v>
      </c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</row>
    <row r="217">
      <c r="A217" s="74">
        <v>16787.0</v>
      </c>
      <c r="B217" s="4" t="s">
        <v>20</v>
      </c>
      <c r="C217" s="28" t="s">
        <v>6864</v>
      </c>
      <c r="D217" s="4" t="s">
        <v>148</v>
      </c>
      <c r="E217" s="4" t="s">
        <v>148</v>
      </c>
      <c r="F217" s="27"/>
      <c r="G217" s="27"/>
      <c r="H217" s="43" t="s">
        <v>6865</v>
      </c>
      <c r="I217" s="29" t="s">
        <v>6866</v>
      </c>
      <c r="J217" s="27"/>
      <c r="K217" s="27"/>
      <c r="L217" s="27"/>
      <c r="M217" s="27"/>
      <c r="N217" s="27"/>
      <c r="O217" s="27"/>
      <c r="P217" s="27"/>
      <c r="Q217" s="27"/>
      <c r="R217" s="27"/>
      <c r="S217" s="27"/>
    </row>
    <row r="218">
      <c r="A218" s="74">
        <v>16789.0</v>
      </c>
      <c r="B218" s="4" t="s">
        <v>20</v>
      </c>
      <c r="C218" s="28" t="s">
        <v>6665</v>
      </c>
      <c r="D218" s="4" t="s">
        <v>148</v>
      </c>
      <c r="E218" s="4" t="s">
        <v>148</v>
      </c>
      <c r="F218" s="27"/>
      <c r="G218" s="27"/>
      <c r="H218" s="43" t="s">
        <v>6867</v>
      </c>
      <c r="I218" s="27"/>
      <c r="J218" s="29" t="s">
        <v>6667</v>
      </c>
      <c r="K218" s="27"/>
      <c r="L218" s="27"/>
      <c r="M218" s="27"/>
      <c r="N218" s="27"/>
      <c r="O218" s="27"/>
      <c r="P218" s="27"/>
      <c r="Q218" s="27"/>
      <c r="R218" s="27"/>
      <c r="S218" s="27"/>
    </row>
    <row r="219">
      <c r="A219" s="74">
        <v>16854.0</v>
      </c>
      <c r="B219" s="4" t="s">
        <v>20</v>
      </c>
      <c r="C219" s="28" t="s">
        <v>6868</v>
      </c>
      <c r="D219" s="4" t="s">
        <v>148</v>
      </c>
      <c r="E219" s="4" t="s">
        <v>148</v>
      </c>
      <c r="F219" s="27"/>
      <c r="G219" s="27"/>
      <c r="H219" s="27"/>
      <c r="I219" s="27"/>
      <c r="J219" s="29" t="s">
        <v>6869</v>
      </c>
      <c r="K219" s="27"/>
      <c r="L219" s="27"/>
      <c r="M219" s="27"/>
      <c r="N219" s="27"/>
      <c r="O219" s="27"/>
      <c r="P219" s="27"/>
      <c r="Q219" s="27"/>
      <c r="R219" s="27"/>
      <c r="S219" s="27"/>
    </row>
    <row r="220">
      <c r="A220" s="74">
        <v>16891.0</v>
      </c>
      <c r="B220" s="4" t="s">
        <v>20</v>
      </c>
      <c r="C220" s="28" t="s">
        <v>6870</v>
      </c>
      <c r="D220" s="4" t="s">
        <v>148</v>
      </c>
      <c r="E220" s="4" t="s">
        <v>148</v>
      </c>
      <c r="F220" s="27"/>
      <c r="G220" s="27"/>
      <c r="H220" s="43" t="s">
        <v>6871</v>
      </c>
      <c r="I220" s="29" t="s">
        <v>6872</v>
      </c>
      <c r="J220" s="27"/>
      <c r="K220" s="27"/>
      <c r="L220" s="27"/>
      <c r="M220" s="27"/>
      <c r="N220" s="27"/>
      <c r="O220" s="27"/>
      <c r="P220" s="27"/>
      <c r="Q220" s="27"/>
      <c r="R220" s="27"/>
      <c r="S220" s="27"/>
    </row>
    <row r="221">
      <c r="A221" s="74">
        <v>16892.0</v>
      </c>
      <c r="B221" s="4" t="s">
        <v>20</v>
      </c>
      <c r="C221" s="28" t="s">
        <v>4856</v>
      </c>
      <c r="D221" s="4" t="s">
        <v>148</v>
      </c>
      <c r="E221" s="4" t="s">
        <v>148</v>
      </c>
      <c r="F221" s="27"/>
      <c r="G221" s="27"/>
      <c r="H221" s="43" t="s">
        <v>6873</v>
      </c>
      <c r="I221" s="29" t="s">
        <v>6874</v>
      </c>
      <c r="J221" s="27"/>
      <c r="K221" s="27"/>
      <c r="L221" s="27"/>
      <c r="M221" s="27"/>
      <c r="N221" s="27"/>
      <c r="O221" s="27"/>
      <c r="P221" s="27"/>
      <c r="Q221" s="27"/>
      <c r="R221" s="27"/>
      <c r="S221" s="27"/>
    </row>
    <row r="222">
      <c r="A222" s="74">
        <v>16895.0</v>
      </c>
      <c r="B222" s="4" t="s">
        <v>20</v>
      </c>
      <c r="C222" s="28" t="s">
        <v>6875</v>
      </c>
      <c r="D222" s="4" t="s">
        <v>148</v>
      </c>
      <c r="E222" s="4" t="s">
        <v>148</v>
      </c>
      <c r="F222" s="27"/>
      <c r="G222" s="27"/>
      <c r="H222" s="43" t="s">
        <v>6876</v>
      </c>
      <c r="I222" s="29" t="s">
        <v>6877</v>
      </c>
      <c r="J222" s="154" t="s">
        <v>6878</v>
      </c>
      <c r="K222" s="27"/>
      <c r="L222" s="27"/>
      <c r="M222" s="27"/>
      <c r="N222" s="27"/>
      <c r="O222" s="27"/>
      <c r="P222" s="27"/>
      <c r="Q222" s="27"/>
      <c r="R222" s="27"/>
      <c r="S222" s="27"/>
    </row>
    <row r="223">
      <c r="A223" s="74">
        <v>16899.0</v>
      </c>
      <c r="B223" s="4" t="s">
        <v>20</v>
      </c>
      <c r="C223" s="28" t="s">
        <v>6879</v>
      </c>
      <c r="D223" s="4" t="s">
        <v>148</v>
      </c>
      <c r="E223" s="4" t="s">
        <v>148</v>
      </c>
      <c r="F223" s="27"/>
      <c r="G223" s="27"/>
      <c r="H223" s="43" t="s">
        <v>6880</v>
      </c>
      <c r="I223" s="29" t="s">
        <v>6881</v>
      </c>
      <c r="J223" s="29" t="s">
        <v>6882</v>
      </c>
      <c r="K223" s="27"/>
      <c r="L223" s="27"/>
      <c r="M223" s="27"/>
      <c r="N223" s="27"/>
      <c r="O223" s="27"/>
      <c r="P223" s="27"/>
      <c r="Q223" s="27"/>
      <c r="R223" s="27"/>
      <c r="S223" s="27"/>
    </row>
    <row r="224">
      <c r="A224" s="74">
        <v>16905.0</v>
      </c>
      <c r="B224" s="4" t="s">
        <v>20</v>
      </c>
      <c r="C224" s="28" t="s">
        <v>3808</v>
      </c>
      <c r="D224" s="4" t="s">
        <v>148</v>
      </c>
      <c r="E224" s="4" t="s">
        <v>148</v>
      </c>
      <c r="F224" s="27"/>
      <c r="G224" s="27"/>
      <c r="H224" s="43" t="s">
        <v>6883</v>
      </c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</row>
    <row r="225">
      <c r="A225" s="74">
        <v>16913.0</v>
      </c>
      <c r="B225" s="4" t="s">
        <v>20</v>
      </c>
      <c r="C225" s="28" t="s">
        <v>6884</v>
      </c>
      <c r="D225" s="4" t="s">
        <v>148</v>
      </c>
      <c r="E225" s="4" t="s">
        <v>148</v>
      </c>
      <c r="F225" s="27"/>
      <c r="G225" s="27"/>
      <c r="H225" s="27"/>
      <c r="I225" s="27"/>
      <c r="J225" s="29" t="s">
        <v>6885</v>
      </c>
      <c r="K225" s="27"/>
      <c r="L225" s="27"/>
      <c r="M225" s="27"/>
      <c r="N225" s="27"/>
      <c r="O225" s="27"/>
      <c r="P225" s="27"/>
      <c r="Q225" s="27"/>
      <c r="R225" s="27"/>
      <c r="S225" s="27"/>
    </row>
    <row r="226">
      <c r="A226" s="74">
        <v>16921.0</v>
      </c>
      <c r="B226" s="4" t="s">
        <v>20</v>
      </c>
      <c r="C226" s="28" t="s">
        <v>6886</v>
      </c>
      <c r="D226" s="4" t="s">
        <v>148</v>
      </c>
      <c r="E226" s="4" t="s">
        <v>148</v>
      </c>
      <c r="F226" s="27"/>
      <c r="G226" s="27"/>
      <c r="H226" s="27"/>
      <c r="I226" s="27"/>
      <c r="J226" s="29" t="s">
        <v>6887</v>
      </c>
      <c r="K226" s="27"/>
      <c r="L226" s="27"/>
      <c r="M226" s="27"/>
      <c r="N226" s="27"/>
      <c r="O226" s="27"/>
      <c r="P226" s="27"/>
      <c r="Q226" s="27"/>
      <c r="R226" s="27"/>
      <c r="S226" s="27"/>
    </row>
    <row r="227">
      <c r="A227" s="74">
        <v>16933.0</v>
      </c>
      <c r="B227" s="4" t="s">
        <v>20</v>
      </c>
      <c r="C227" s="28" t="s">
        <v>6888</v>
      </c>
      <c r="D227" s="4" t="s">
        <v>148</v>
      </c>
      <c r="E227" s="4" t="s">
        <v>148</v>
      </c>
      <c r="F227" s="27"/>
      <c r="G227" s="27"/>
      <c r="H227" s="43" t="s">
        <v>6889</v>
      </c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</row>
    <row r="228">
      <c r="A228" s="74">
        <v>16954.0</v>
      </c>
      <c r="B228" s="4" t="s">
        <v>20</v>
      </c>
      <c r="C228" s="28" t="s">
        <v>6733</v>
      </c>
      <c r="D228" s="4" t="s">
        <v>148</v>
      </c>
      <c r="E228" s="4" t="s">
        <v>148</v>
      </c>
      <c r="F228" s="27"/>
      <c r="G228" s="27"/>
      <c r="H228" s="27"/>
      <c r="I228" s="27"/>
      <c r="J228" s="29" t="s">
        <v>6890</v>
      </c>
      <c r="K228" s="27"/>
      <c r="L228" s="27"/>
      <c r="M228" s="27"/>
      <c r="N228" s="27"/>
      <c r="O228" s="27"/>
      <c r="P228" s="27"/>
      <c r="Q228" s="27"/>
      <c r="R228" s="27"/>
      <c r="S228" s="27"/>
    </row>
    <row r="229">
      <c r="A229" s="74">
        <v>16965.0</v>
      </c>
      <c r="B229" s="4" t="s">
        <v>20</v>
      </c>
      <c r="C229" s="28" t="s">
        <v>3806</v>
      </c>
      <c r="D229" s="4" t="s">
        <v>148</v>
      </c>
      <c r="E229" s="4" t="s">
        <v>148</v>
      </c>
      <c r="F229" s="27"/>
      <c r="G229" s="27"/>
      <c r="H229" s="43" t="s">
        <v>6891</v>
      </c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</row>
    <row r="230">
      <c r="A230" s="74">
        <v>16989.0</v>
      </c>
      <c r="B230" s="4" t="s">
        <v>20</v>
      </c>
      <c r="C230" s="28" t="s">
        <v>6892</v>
      </c>
      <c r="D230" s="4" t="s">
        <v>148</v>
      </c>
      <c r="E230" s="4" t="s">
        <v>148</v>
      </c>
      <c r="F230" s="27"/>
      <c r="G230" s="27"/>
      <c r="H230" s="43" t="s">
        <v>6893</v>
      </c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</row>
    <row r="231">
      <c r="A231" s="74">
        <v>16994.0</v>
      </c>
      <c r="B231" s="4" t="s">
        <v>20</v>
      </c>
      <c r="C231" s="28" t="s">
        <v>1432</v>
      </c>
      <c r="D231" s="4" t="s">
        <v>148</v>
      </c>
      <c r="E231" s="4" t="s">
        <v>148</v>
      </c>
      <c r="F231" s="27"/>
      <c r="G231" s="27"/>
      <c r="H231" s="43" t="s">
        <v>6894</v>
      </c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</row>
    <row r="232">
      <c r="A232" s="74">
        <v>16996.0</v>
      </c>
      <c r="B232" s="4" t="s">
        <v>20</v>
      </c>
      <c r="C232" s="28" t="s">
        <v>6895</v>
      </c>
      <c r="D232" s="4" t="s">
        <v>148</v>
      </c>
      <c r="E232" s="4" t="s">
        <v>148</v>
      </c>
      <c r="F232" s="27"/>
      <c r="G232" s="27"/>
      <c r="H232" s="43" t="s">
        <v>6896</v>
      </c>
      <c r="I232" s="27"/>
      <c r="J232" s="29" t="s">
        <v>6897</v>
      </c>
      <c r="K232" s="27"/>
      <c r="L232" s="27"/>
      <c r="M232" s="27"/>
      <c r="N232" s="27"/>
      <c r="O232" s="27"/>
      <c r="P232" s="27"/>
      <c r="Q232" s="27"/>
      <c r="R232" s="27"/>
      <c r="S232" s="27"/>
    </row>
    <row r="233">
      <c r="A233" s="74">
        <v>17002.0</v>
      </c>
      <c r="B233" s="4" t="s">
        <v>20</v>
      </c>
      <c r="C233" s="28" t="s">
        <v>727</v>
      </c>
      <c r="D233" s="4" t="s">
        <v>148</v>
      </c>
      <c r="E233" s="4" t="s">
        <v>148</v>
      </c>
      <c r="F233" s="27"/>
      <c r="G233" s="27"/>
      <c r="H233" s="43" t="s">
        <v>6898</v>
      </c>
      <c r="I233" s="27"/>
      <c r="J233" s="29" t="s">
        <v>6899</v>
      </c>
      <c r="K233" s="27"/>
      <c r="L233" s="27"/>
      <c r="M233" s="27"/>
      <c r="N233" s="27"/>
      <c r="O233" s="27"/>
      <c r="P233" s="27"/>
      <c r="Q233" s="27"/>
      <c r="R233" s="27"/>
      <c r="S233" s="27"/>
    </row>
    <row r="234">
      <c r="A234" s="74">
        <v>17048.0</v>
      </c>
      <c r="B234" s="4" t="s">
        <v>20</v>
      </c>
      <c r="C234" s="28" t="s">
        <v>2267</v>
      </c>
      <c r="D234" s="4" t="s">
        <v>148</v>
      </c>
      <c r="E234" s="4" t="s">
        <v>148</v>
      </c>
      <c r="F234" s="27"/>
      <c r="G234" s="27"/>
      <c r="H234" s="43" t="s">
        <v>6900</v>
      </c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</row>
    <row r="235">
      <c r="A235" s="74">
        <v>17053.0</v>
      </c>
      <c r="B235" s="4" t="s">
        <v>20</v>
      </c>
      <c r="C235" s="28" t="s">
        <v>6901</v>
      </c>
      <c r="D235" s="4" t="s">
        <v>148</v>
      </c>
      <c r="E235" s="4" t="s">
        <v>148</v>
      </c>
      <c r="F235" s="27"/>
      <c r="G235" s="27"/>
      <c r="H235" s="43" t="s">
        <v>6902</v>
      </c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</row>
    <row r="236">
      <c r="A236" s="74">
        <v>17078.0</v>
      </c>
      <c r="B236" s="4" t="s">
        <v>102</v>
      </c>
      <c r="C236" s="28" t="s">
        <v>6903</v>
      </c>
      <c r="D236" s="4" t="s">
        <v>148</v>
      </c>
      <c r="E236" s="4" t="s">
        <v>148</v>
      </c>
      <c r="F236" s="27"/>
      <c r="G236" s="27"/>
      <c r="H236" s="27"/>
      <c r="I236" s="27"/>
      <c r="J236" s="29" t="s">
        <v>6904</v>
      </c>
      <c r="K236" s="27"/>
      <c r="L236" s="27"/>
      <c r="M236" s="27"/>
      <c r="N236" s="27"/>
      <c r="O236" s="27"/>
      <c r="P236" s="27"/>
      <c r="Q236" s="27"/>
      <c r="R236" s="27"/>
      <c r="S236" s="27"/>
    </row>
    <row r="237">
      <c r="A237" s="74">
        <v>17082.0</v>
      </c>
      <c r="B237" s="4" t="s">
        <v>20</v>
      </c>
      <c r="C237" s="28" t="s">
        <v>49</v>
      </c>
      <c r="D237" s="4" t="s">
        <v>148</v>
      </c>
      <c r="E237" s="4" t="s">
        <v>148</v>
      </c>
      <c r="F237" s="27"/>
      <c r="G237" s="27"/>
      <c r="H237" s="43" t="s">
        <v>6905</v>
      </c>
      <c r="I237" s="29" t="s">
        <v>6906</v>
      </c>
      <c r="J237" s="29" t="s">
        <v>6907</v>
      </c>
      <c r="K237" s="27"/>
      <c r="L237" s="27"/>
      <c r="M237" s="27"/>
      <c r="N237" s="27"/>
      <c r="O237" s="27"/>
      <c r="P237" s="27"/>
      <c r="Q237" s="27"/>
      <c r="R237" s="27"/>
      <c r="S237" s="27"/>
    </row>
    <row r="238">
      <c r="A238" s="74">
        <v>17107.0</v>
      </c>
      <c r="B238" s="4" t="s">
        <v>20</v>
      </c>
      <c r="C238" s="28" t="s">
        <v>6908</v>
      </c>
      <c r="D238" s="4" t="s">
        <v>148</v>
      </c>
      <c r="E238" s="4" t="s">
        <v>148</v>
      </c>
      <c r="F238" s="27"/>
      <c r="G238" s="27"/>
      <c r="H238" s="43" t="s">
        <v>6909</v>
      </c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</row>
    <row r="239">
      <c r="A239" s="74">
        <v>17109.0</v>
      </c>
      <c r="B239" s="4" t="s">
        <v>20</v>
      </c>
      <c r="C239" s="28" t="s">
        <v>6910</v>
      </c>
      <c r="D239" s="4" t="s">
        <v>148</v>
      </c>
      <c r="E239" s="4" t="s">
        <v>148</v>
      </c>
      <c r="F239" s="27"/>
      <c r="G239" s="27"/>
      <c r="H239" s="43" t="s">
        <v>6911</v>
      </c>
      <c r="I239" s="27"/>
      <c r="J239" s="29" t="s">
        <v>6912</v>
      </c>
      <c r="K239" s="27"/>
      <c r="L239" s="27"/>
      <c r="M239" s="27"/>
      <c r="N239" s="27"/>
      <c r="O239" s="27"/>
      <c r="P239" s="27"/>
      <c r="Q239" s="27"/>
      <c r="R239" s="27"/>
      <c r="S239" s="27"/>
    </row>
    <row r="240">
      <c r="A240" s="74">
        <v>17111.0</v>
      </c>
      <c r="B240" s="4" t="s">
        <v>20</v>
      </c>
      <c r="C240" s="28" t="s">
        <v>6913</v>
      </c>
      <c r="D240" s="4" t="s">
        <v>148</v>
      </c>
      <c r="E240" s="4" t="s">
        <v>148</v>
      </c>
      <c r="F240" s="27"/>
      <c r="G240" s="27"/>
      <c r="H240" s="27"/>
      <c r="I240" s="27"/>
      <c r="J240" s="29" t="s">
        <v>6914</v>
      </c>
      <c r="K240" s="27"/>
      <c r="L240" s="27"/>
      <c r="M240" s="27"/>
      <c r="N240" s="27"/>
      <c r="O240" s="27"/>
      <c r="P240" s="27"/>
      <c r="Q240" s="27"/>
      <c r="R240" s="27"/>
      <c r="S240" s="27"/>
    </row>
    <row r="241">
      <c r="A241" s="74">
        <v>17114.0</v>
      </c>
      <c r="B241" s="4" t="s">
        <v>20</v>
      </c>
      <c r="C241" s="28" t="s">
        <v>6915</v>
      </c>
      <c r="D241" s="4" t="s">
        <v>148</v>
      </c>
      <c r="E241" s="4" t="s">
        <v>148</v>
      </c>
      <c r="F241" s="27"/>
      <c r="G241" s="27"/>
      <c r="H241" s="43" t="s">
        <v>6916</v>
      </c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</row>
    <row r="242">
      <c r="A242" s="74">
        <v>17120.0</v>
      </c>
      <c r="B242" s="4" t="s">
        <v>20</v>
      </c>
      <c r="C242" s="28" t="s">
        <v>6917</v>
      </c>
      <c r="D242" s="4" t="s">
        <v>148</v>
      </c>
      <c r="E242" s="4" t="s">
        <v>148</v>
      </c>
      <c r="F242" s="27"/>
      <c r="G242" s="27"/>
      <c r="H242" s="43" t="s">
        <v>6918</v>
      </c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</row>
    <row r="243">
      <c r="A243" s="74">
        <v>17122.0</v>
      </c>
      <c r="B243" s="4" t="s">
        <v>20</v>
      </c>
      <c r="C243" s="28" t="s">
        <v>6919</v>
      </c>
      <c r="D243" s="4" t="s">
        <v>148</v>
      </c>
      <c r="E243" s="4" t="s">
        <v>148</v>
      </c>
      <c r="F243" s="27"/>
      <c r="G243" s="27"/>
      <c r="H243" s="43" t="s">
        <v>6920</v>
      </c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</row>
    <row r="244">
      <c r="A244" s="32">
        <v>17126.0</v>
      </c>
      <c r="B244" s="4" t="s">
        <v>20</v>
      </c>
      <c r="C244" s="28" t="s">
        <v>1057</v>
      </c>
      <c r="D244" s="4" t="s">
        <v>148</v>
      </c>
      <c r="E244" s="4" t="s">
        <v>148</v>
      </c>
      <c r="F244" s="27"/>
      <c r="G244" s="27"/>
      <c r="H244" s="29" t="s">
        <v>6921</v>
      </c>
      <c r="I244" s="43" t="s">
        <v>6922</v>
      </c>
      <c r="J244" s="29" t="s">
        <v>6923</v>
      </c>
      <c r="K244" s="27"/>
      <c r="L244" s="27"/>
      <c r="M244" s="27"/>
      <c r="N244" s="27"/>
      <c r="O244" s="27"/>
      <c r="P244" s="27"/>
      <c r="Q244" s="27"/>
      <c r="R244" s="27"/>
      <c r="S244" s="27"/>
    </row>
    <row r="245">
      <c r="A245" s="74">
        <v>17143.0</v>
      </c>
      <c r="B245" s="4" t="s">
        <v>20</v>
      </c>
      <c r="C245" s="28" t="s">
        <v>6924</v>
      </c>
      <c r="D245" s="4" t="s">
        <v>148</v>
      </c>
      <c r="E245" s="4" t="s">
        <v>148</v>
      </c>
      <c r="F245" s="27"/>
      <c r="G245" s="27"/>
      <c r="H245" s="43" t="s">
        <v>6925</v>
      </c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</row>
    <row r="246">
      <c r="A246" s="74">
        <v>17146.0</v>
      </c>
      <c r="B246" s="4" t="s">
        <v>20</v>
      </c>
      <c r="C246" s="28" t="s">
        <v>6926</v>
      </c>
      <c r="D246" s="4" t="s">
        <v>148</v>
      </c>
      <c r="E246" s="4" t="s">
        <v>148</v>
      </c>
      <c r="F246" s="27"/>
      <c r="G246" s="27"/>
      <c r="H246" s="43" t="s">
        <v>6927</v>
      </c>
      <c r="I246" s="29" t="s">
        <v>6928</v>
      </c>
      <c r="J246" s="27"/>
      <c r="K246" s="27"/>
      <c r="L246" s="27"/>
      <c r="M246" s="27"/>
      <c r="N246" s="27"/>
      <c r="O246" s="27"/>
      <c r="P246" s="27"/>
      <c r="Q246" s="27"/>
      <c r="R246" s="27"/>
      <c r="S246" s="27"/>
    </row>
    <row r="247">
      <c r="A247" s="74">
        <v>17147.0</v>
      </c>
      <c r="B247" s="4" t="s">
        <v>20</v>
      </c>
      <c r="C247" s="28" t="s">
        <v>6929</v>
      </c>
      <c r="D247" s="4" t="s">
        <v>148</v>
      </c>
      <c r="E247" s="4" t="s">
        <v>148</v>
      </c>
      <c r="F247" s="27"/>
      <c r="G247" s="27"/>
      <c r="H247" s="43" t="s">
        <v>6930</v>
      </c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</row>
    <row r="248">
      <c r="A248" s="74">
        <v>17180.0</v>
      </c>
      <c r="B248" s="4" t="s">
        <v>20</v>
      </c>
      <c r="C248" s="28" t="s">
        <v>6931</v>
      </c>
      <c r="D248" s="4" t="s">
        <v>148</v>
      </c>
      <c r="E248" s="4" t="s">
        <v>148</v>
      </c>
      <c r="F248" s="27"/>
      <c r="G248" s="27"/>
      <c r="H248" s="43" t="s">
        <v>6932</v>
      </c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</row>
    <row r="249">
      <c r="A249" s="74">
        <v>17186.0</v>
      </c>
      <c r="B249" s="4" t="s">
        <v>20</v>
      </c>
      <c r="C249" s="28" t="s">
        <v>6933</v>
      </c>
      <c r="D249" s="4" t="s">
        <v>148</v>
      </c>
      <c r="E249" s="4" t="s">
        <v>148</v>
      </c>
      <c r="F249" s="27"/>
      <c r="G249" s="27"/>
      <c r="H249" s="27"/>
      <c r="I249" s="27"/>
      <c r="J249" s="29" t="s">
        <v>6934</v>
      </c>
      <c r="K249" s="27"/>
      <c r="L249" s="27"/>
      <c r="M249" s="27"/>
      <c r="N249" s="27"/>
      <c r="O249" s="27"/>
      <c r="P249" s="27"/>
      <c r="Q249" s="27"/>
      <c r="R249" s="27"/>
      <c r="S249" s="27"/>
    </row>
    <row r="250">
      <c r="A250" s="32">
        <v>17802.0</v>
      </c>
      <c r="B250" s="4" t="s">
        <v>20</v>
      </c>
      <c r="C250" s="28" t="s">
        <v>4033</v>
      </c>
      <c r="D250" s="4" t="s">
        <v>148</v>
      </c>
      <c r="E250" s="4" t="s">
        <v>148</v>
      </c>
      <c r="F250" s="27"/>
      <c r="G250" s="27"/>
      <c r="H250" s="29" t="s">
        <v>6935</v>
      </c>
      <c r="I250" s="29" t="s">
        <v>6936</v>
      </c>
      <c r="J250" s="27"/>
      <c r="K250" s="27"/>
      <c r="L250" s="27"/>
      <c r="M250" s="27"/>
      <c r="N250" s="27"/>
      <c r="O250" s="27"/>
      <c r="P250" s="27"/>
      <c r="Q250" s="27"/>
      <c r="R250" s="27"/>
      <c r="S250" s="27"/>
    </row>
    <row r="251">
      <c r="A251" s="32">
        <v>17805.0</v>
      </c>
      <c r="B251" s="4" t="s">
        <v>20</v>
      </c>
      <c r="C251" s="28" t="s">
        <v>6937</v>
      </c>
      <c r="D251" s="4" t="s">
        <v>148</v>
      </c>
      <c r="E251" s="4" t="s">
        <v>148</v>
      </c>
      <c r="F251" s="27"/>
      <c r="G251" s="27"/>
      <c r="H251" s="29" t="s">
        <v>6938</v>
      </c>
      <c r="I251" s="43" t="s">
        <v>6939</v>
      </c>
      <c r="J251" s="29" t="s">
        <v>6940</v>
      </c>
      <c r="K251" s="27"/>
      <c r="L251" s="27"/>
      <c r="M251" s="27"/>
      <c r="N251" s="27"/>
      <c r="O251" s="27"/>
      <c r="P251" s="27"/>
      <c r="Q251" s="27"/>
      <c r="R251" s="27"/>
      <c r="S251" s="27"/>
    </row>
    <row r="252">
      <c r="A252" s="74">
        <v>17808.0</v>
      </c>
      <c r="B252" s="4" t="s">
        <v>20</v>
      </c>
      <c r="C252" s="28" t="s">
        <v>6941</v>
      </c>
      <c r="D252" s="4" t="s">
        <v>148</v>
      </c>
      <c r="E252" s="4" t="s">
        <v>148</v>
      </c>
      <c r="F252" s="27"/>
      <c r="G252" s="27"/>
      <c r="H252" s="27"/>
      <c r="I252" s="27"/>
      <c r="J252" s="29" t="s">
        <v>6942</v>
      </c>
      <c r="K252" s="27"/>
      <c r="L252" s="27"/>
      <c r="M252" s="27"/>
      <c r="N252" s="27"/>
      <c r="O252" s="27"/>
      <c r="P252" s="27"/>
      <c r="Q252" s="27"/>
      <c r="R252" s="27"/>
      <c r="S252" s="27"/>
    </row>
    <row r="253">
      <c r="A253" s="32">
        <v>17992.0</v>
      </c>
      <c r="B253" s="4" t="s">
        <v>20</v>
      </c>
      <c r="C253" s="28" t="s">
        <v>6943</v>
      </c>
      <c r="D253" s="4" t="s">
        <v>148</v>
      </c>
      <c r="E253" s="4" t="s">
        <v>148</v>
      </c>
      <c r="F253" s="27"/>
      <c r="G253" s="27"/>
      <c r="H253" s="29" t="s">
        <v>6944</v>
      </c>
      <c r="I253" s="27"/>
      <c r="J253" s="29" t="s">
        <v>6945</v>
      </c>
      <c r="K253" s="32" t="s">
        <v>4926</v>
      </c>
      <c r="L253" s="29" t="s">
        <v>6946</v>
      </c>
      <c r="M253" s="27"/>
      <c r="N253" s="27"/>
      <c r="O253" s="27"/>
      <c r="P253" s="27"/>
      <c r="Q253" s="27"/>
      <c r="R253" s="27"/>
      <c r="S253" s="27"/>
    </row>
    <row r="254">
      <c r="A254" s="32">
        <v>18029.0</v>
      </c>
      <c r="B254" s="4" t="s">
        <v>20</v>
      </c>
      <c r="C254" s="28" t="s">
        <v>3209</v>
      </c>
      <c r="D254" s="4" t="s">
        <v>148</v>
      </c>
      <c r="E254" s="4" t="s">
        <v>148</v>
      </c>
      <c r="F254" s="27"/>
      <c r="G254" s="27"/>
      <c r="H254" s="155" t="s">
        <v>6947</v>
      </c>
      <c r="I254" s="27"/>
      <c r="J254" s="29" t="s">
        <v>6948</v>
      </c>
      <c r="K254" s="27"/>
      <c r="L254" s="27"/>
      <c r="M254" s="27"/>
      <c r="N254" s="27"/>
      <c r="O254" s="27"/>
      <c r="P254" s="27"/>
      <c r="Q254" s="27"/>
      <c r="R254" s="27"/>
      <c r="S254" s="27"/>
    </row>
    <row r="255">
      <c r="A255" s="74">
        <v>18030.0</v>
      </c>
      <c r="B255" s="4" t="s">
        <v>20</v>
      </c>
      <c r="C255" s="28" t="s">
        <v>6949</v>
      </c>
      <c r="D255" s="4" t="s">
        <v>148</v>
      </c>
      <c r="E255" s="4" t="s">
        <v>148</v>
      </c>
      <c r="F255" s="27"/>
      <c r="G255" s="27"/>
      <c r="H255" s="43" t="s">
        <v>6950</v>
      </c>
      <c r="I255" s="27"/>
      <c r="J255" s="29" t="s">
        <v>6951</v>
      </c>
      <c r="K255" s="27"/>
      <c r="L255" s="27"/>
      <c r="M255" s="27"/>
      <c r="N255" s="27"/>
      <c r="O255" s="27"/>
      <c r="P255" s="27"/>
      <c r="Q255" s="27"/>
      <c r="R255" s="27"/>
      <c r="S255" s="27"/>
    </row>
    <row r="256">
      <c r="A256" s="74">
        <v>18255.0</v>
      </c>
      <c r="B256" s="4" t="s">
        <v>20</v>
      </c>
      <c r="C256" s="28" t="s">
        <v>6349</v>
      </c>
      <c r="D256" s="4" t="s">
        <v>148</v>
      </c>
      <c r="E256" s="4" t="s">
        <v>148</v>
      </c>
      <c r="F256" s="27"/>
      <c r="G256" s="27"/>
      <c r="H256" s="43" t="s">
        <v>6952</v>
      </c>
      <c r="I256" s="29" t="s">
        <v>6953</v>
      </c>
      <c r="J256" s="29" t="s">
        <v>6954</v>
      </c>
      <c r="K256" s="27"/>
      <c r="L256" s="27"/>
      <c r="M256" s="27"/>
      <c r="N256" s="27"/>
      <c r="O256" s="27"/>
      <c r="P256" s="27"/>
      <c r="Q256" s="27"/>
      <c r="R256" s="27"/>
      <c r="S256" s="27"/>
    </row>
    <row r="257">
      <c r="A257" s="32">
        <v>18807.0</v>
      </c>
      <c r="B257" s="4" t="s">
        <v>20</v>
      </c>
      <c r="C257" s="28" t="s">
        <v>6955</v>
      </c>
      <c r="D257" s="4" t="s">
        <v>148</v>
      </c>
      <c r="E257" s="4" t="s">
        <v>148</v>
      </c>
      <c r="F257" s="27"/>
      <c r="G257" s="27"/>
      <c r="H257" s="27"/>
      <c r="I257" s="27"/>
      <c r="J257" s="29" t="s">
        <v>6956</v>
      </c>
      <c r="K257" s="27"/>
      <c r="L257" s="27"/>
      <c r="M257" s="27"/>
      <c r="N257" s="27"/>
      <c r="O257" s="27"/>
      <c r="P257" s="27"/>
      <c r="Q257" s="27"/>
      <c r="R257" s="27"/>
      <c r="S257" s="27"/>
    </row>
    <row r="258">
      <c r="A258" s="74">
        <v>18814.0</v>
      </c>
      <c r="B258" s="4" t="s">
        <v>20</v>
      </c>
      <c r="C258" s="28" t="s">
        <v>6957</v>
      </c>
      <c r="D258" s="4" t="s">
        <v>148</v>
      </c>
      <c r="E258" s="4" t="s">
        <v>148</v>
      </c>
      <c r="F258" s="27"/>
      <c r="G258" s="27"/>
      <c r="H258" s="43" t="s">
        <v>6958</v>
      </c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</row>
    <row r="259">
      <c r="A259" s="74">
        <v>18990.0</v>
      </c>
      <c r="B259" s="4" t="s">
        <v>20</v>
      </c>
      <c r="C259" s="28" t="s">
        <v>1108</v>
      </c>
      <c r="D259" s="4" t="s">
        <v>148</v>
      </c>
      <c r="E259" s="4" t="s">
        <v>148</v>
      </c>
      <c r="F259" s="27"/>
      <c r="G259" s="27"/>
      <c r="H259" s="27"/>
      <c r="I259" s="27"/>
      <c r="J259" s="29" t="s">
        <v>6959</v>
      </c>
      <c r="K259" s="27"/>
      <c r="L259" s="27"/>
      <c r="M259" s="27"/>
      <c r="N259" s="27"/>
      <c r="O259" s="27"/>
      <c r="P259" s="27"/>
      <c r="Q259" s="27"/>
      <c r="R259" s="27"/>
      <c r="S259" s="27"/>
    </row>
    <row r="260">
      <c r="A260" s="74">
        <v>19622.0</v>
      </c>
      <c r="B260" s="4" t="s">
        <v>20</v>
      </c>
      <c r="C260" s="28" t="s">
        <v>6960</v>
      </c>
      <c r="D260" s="4" t="s">
        <v>148</v>
      </c>
      <c r="E260" s="4" t="s">
        <v>148</v>
      </c>
      <c r="F260" s="27"/>
      <c r="G260" s="27"/>
      <c r="H260" s="27"/>
      <c r="I260" s="27"/>
      <c r="J260" s="29" t="s">
        <v>6961</v>
      </c>
      <c r="K260" s="27"/>
      <c r="L260" s="27"/>
      <c r="M260" s="27"/>
      <c r="N260" s="27"/>
      <c r="O260" s="27"/>
      <c r="P260" s="27"/>
      <c r="Q260" s="27"/>
      <c r="R260" s="27"/>
      <c r="S260" s="27"/>
    </row>
    <row r="261">
      <c r="A261" s="32"/>
      <c r="B261" s="4" t="s">
        <v>20</v>
      </c>
      <c r="C261" s="28" t="s">
        <v>4148</v>
      </c>
      <c r="D261" s="4" t="s">
        <v>148</v>
      </c>
      <c r="E261" s="4" t="s">
        <v>148</v>
      </c>
      <c r="F261" s="27"/>
      <c r="G261" s="27"/>
      <c r="H261" s="29" t="s">
        <v>6962</v>
      </c>
      <c r="I261" s="27"/>
      <c r="J261" s="29" t="s">
        <v>6963</v>
      </c>
      <c r="K261" s="27"/>
      <c r="L261" s="27"/>
      <c r="M261" s="27"/>
      <c r="N261" s="27"/>
      <c r="O261" s="27"/>
      <c r="P261" s="27"/>
      <c r="Q261" s="27"/>
      <c r="R261" s="27"/>
      <c r="S261" s="27"/>
    </row>
    <row r="262">
      <c r="A262" s="74"/>
      <c r="B262" s="4" t="s">
        <v>20</v>
      </c>
      <c r="C262" s="28" t="s">
        <v>5943</v>
      </c>
      <c r="D262" s="4" t="s">
        <v>148</v>
      </c>
      <c r="E262" s="4" t="s">
        <v>148</v>
      </c>
      <c r="F262" s="27"/>
      <c r="G262" s="27"/>
      <c r="H262" s="43" t="s">
        <v>6964</v>
      </c>
      <c r="I262" s="27"/>
      <c r="J262" s="29" t="s">
        <v>6965</v>
      </c>
      <c r="K262" s="27"/>
      <c r="L262" s="27"/>
      <c r="M262" s="27"/>
      <c r="N262" s="27"/>
      <c r="O262" s="27"/>
      <c r="P262" s="27"/>
      <c r="Q262" s="27"/>
      <c r="R262" s="27"/>
      <c r="S262" s="27"/>
    </row>
    <row r="263">
      <c r="A263" s="32">
        <v>20097.0</v>
      </c>
      <c r="B263" s="4" t="s">
        <v>20</v>
      </c>
      <c r="C263" s="28" t="s">
        <v>6966</v>
      </c>
      <c r="D263" s="4" t="s">
        <v>148</v>
      </c>
      <c r="E263" s="4" t="s">
        <v>148</v>
      </c>
      <c r="F263" s="27"/>
      <c r="G263" s="27"/>
      <c r="H263" s="27"/>
      <c r="I263" s="27"/>
      <c r="J263" s="29" t="s">
        <v>6967</v>
      </c>
      <c r="K263" s="27"/>
      <c r="L263" s="27"/>
      <c r="M263" s="27"/>
      <c r="N263" s="27"/>
      <c r="O263" s="27"/>
      <c r="P263" s="27"/>
      <c r="Q263" s="27"/>
      <c r="R263" s="27"/>
      <c r="S263" s="27"/>
    </row>
    <row r="264">
      <c r="A264" s="74">
        <v>20101.0</v>
      </c>
      <c r="B264" s="4" t="s">
        <v>20</v>
      </c>
      <c r="C264" s="28" t="s">
        <v>4072</v>
      </c>
      <c r="D264" s="4" t="s">
        <v>148</v>
      </c>
      <c r="E264" s="4" t="s">
        <v>148</v>
      </c>
      <c r="F264" s="27"/>
      <c r="G264" s="27"/>
      <c r="H264" s="43" t="s">
        <v>6968</v>
      </c>
      <c r="I264" s="27"/>
      <c r="J264" s="29" t="s">
        <v>6969</v>
      </c>
      <c r="K264" s="27"/>
      <c r="L264" s="27"/>
      <c r="M264" s="27"/>
      <c r="N264" s="27"/>
      <c r="O264" s="27"/>
      <c r="P264" s="27"/>
      <c r="Q264" s="27"/>
      <c r="R264" s="27"/>
      <c r="S264" s="27"/>
    </row>
    <row r="265">
      <c r="A265" s="74">
        <v>20461.0</v>
      </c>
      <c r="B265" s="4" t="s">
        <v>20</v>
      </c>
      <c r="C265" s="28" t="s">
        <v>6970</v>
      </c>
      <c r="D265" s="4" t="s">
        <v>148</v>
      </c>
      <c r="E265" s="4" t="s">
        <v>148</v>
      </c>
      <c r="F265" s="27"/>
      <c r="G265" s="27"/>
      <c r="H265" s="43" t="s">
        <v>6971</v>
      </c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</row>
    <row r="266">
      <c r="A266" s="32">
        <v>20664.0</v>
      </c>
      <c r="B266" s="4" t="s">
        <v>20</v>
      </c>
      <c r="C266" s="28" t="s">
        <v>6972</v>
      </c>
      <c r="D266" s="4" t="s">
        <v>148</v>
      </c>
      <c r="E266" s="4" t="s">
        <v>148</v>
      </c>
      <c r="F266" s="27"/>
      <c r="G266" s="27"/>
      <c r="H266" s="27"/>
      <c r="I266" s="27"/>
      <c r="J266" s="29" t="s">
        <v>6973</v>
      </c>
      <c r="K266" s="27"/>
      <c r="L266" s="27"/>
      <c r="M266" s="27"/>
      <c r="N266" s="27"/>
      <c r="O266" s="27"/>
      <c r="P266" s="27"/>
      <c r="Q266" s="27"/>
      <c r="R266" s="27"/>
      <c r="S266" s="27"/>
    </row>
    <row r="267">
      <c r="A267" s="74">
        <v>20679.0</v>
      </c>
      <c r="B267" s="4" t="s">
        <v>20</v>
      </c>
      <c r="C267" s="28" t="s">
        <v>841</v>
      </c>
      <c r="D267" s="4" t="s">
        <v>148</v>
      </c>
      <c r="E267" s="4" t="s">
        <v>148</v>
      </c>
      <c r="F267" s="27"/>
      <c r="G267" s="27"/>
      <c r="H267" s="43" t="s">
        <v>6974</v>
      </c>
      <c r="I267" s="27"/>
      <c r="J267" s="29" t="s">
        <v>6975</v>
      </c>
      <c r="K267" s="27"/>
      <c r="L267" s="27"/>
      <c r="M267" s="27"/>
      <c r="N267" s="27"/>
      <c r="O267" s="27"/>
      <c r="P267" s="27"/>
      <c r="Q267" s="27"/>
      <c r="R267" s="27"/>
      <c r="S267" s="27"/>
    </row>
    <row r="268">
      <c r="A268" s="74">
        <v>20722.0</v>
      </c>
      <c r="B268" s="4" t="s">
        <v>20</v>
      </c>
      <c r="C268" s="28" t="s">
        <v>3190</v>
      </c>
      <c r="D268" s="4" t="s">
        <v>148</v>
      </c>
      <c r="E268" s="4" t="s">
        <v>148</v>
      </c>
      <c r="F268" s="27"/>
      <c r="G268" s="27"/>
      <c r="H268" s="43" t="s">
        <v>6976</v>
      </c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</row>
    <row r="269">
      <c r="A269" s="74">
        <v>20993.0</v>
      </c>
      <c r="B269" s="4" t="s">
        <v>20</v>
      </c>
      <c r="C269" s="28" t="s">
        <v>6977</v>
      </c>
      <c r="D269" s="4" t="s">
        <v>148</v>
      </c>
      <c r="E269" s="4" t="s">
        <v>148</v>
      </c>
      <c r="F269" s="27"/>
      <c r="G269" s="27"/>
      <c r="H269" s="43" t="s">
        <v>6978</v>
      </c>
      <c r="I269" s="27"/>
      <c r="J269" s="29" t="s">
        <v>6979</v>
      </c>
      <c r="K269" s="27"/>
      <c r="L269" s="27"/>
      <c r="M269" s="27"/>
      <c r="N269" s="27"/>
      <c r="O269" s="27"/>
      <c r="P269" s="27"/>
      <c r="Q269" s="27"/>
      <c r="R269" s="27"/>
      <c r="S269" s="27"/>
    </row>
    <row r="270">
      <c r="A270" s="74">
        <v>21306.0</v>
      </c>
      <c r="B270" s="4" t="s">
        <v>20</v>
      </c>
      <c r="C270" s="28" t="s">
        <v>6980</v>
      </c>
      <c r="D270" s="4" t="s">
        <v>148</v>
      </c>
      <c r="E270" s="4" t="s">
        <v>148</v>
      </c>
      <c r="F270" s="27"/>
      <c r="G270" s="27"/>
      <c r="H270" s="27"/>
      <c r="I270" s="27"/>
      <c r="J270" s="29" t="s">
        <v>6981</v>
      </c>
      <c r="K270" s="27"/>
      <c r="L270" s="27"/>
      <c r="M270" s="27"/>
      <c r="N270" s="27"/>
      <c r="O270" s="27"/>
      <c r="P270" s="27"/>
      <c r="Q270" s="27"/>
      <c r="R270" s="27"/>
      <c r="S270" s="27"/>
    </row>
    <row r="271">
      <c r="A271" s="74">
        <v>21869.0</v>
      </c>
      <c r="B271" s="4" t="s">
        <v>20</v>
      </c>
      <c r="C271" s="28" t="s">
        <v>6982</v>
      </c>
      <c r="D271" s="4" t="s">
        <v>148</v>
      </c>
      <c r="E271" s="4" t="s">
        <v>148</v>
      </c>
      <c r="F271" s="27"/>
      <c r="G271" s="27"/>
      <c r="H271" s="27"/>
      <c r="I271" s="27"/>
      <c r="J271" s="29" t="s">
        <v>6967</v>
      </c>
      <c r="K271" s="27"/>
      <c r="L271" s="27"/>
      <c r="M271" s="27"/>
      <c r="N271" s="27"/>
      <c r="O271" s="27"/>
      <c r="P271" s="27"/>
      <c r="Q271" s="27"/>
      <c r="R271" s="27"/>
      <c r="S271" s="27"/>
    </row>
    <row r="272">
      <c r="A272" s="74">
        <v>21873.0</v>
      </c>
      <c r="B272" s="4" t="s">
        <v>20</v>
      </c>
      <c r="C272" s="28" t="s">
        <v>6983</v>
      </c>
      <c r="D272" s="4" t="s">
        <v>148</v>
      </c>
      <c r="E272" s="4" t="s">
        <v>148</v>
      </c>
      <c r="F272" s="27"/>
      <c r="G272" s="27"/>
      <c r="H272" s="27"/>
      <c r="I272" s="27"/>
      <c r="J272" s="29" t="s">
        <v>6878</v>
      </c>
      <c r="K272" s="27"/>
      <c r="L272" s="27"/>
      <c r="M272" s="27"/>
      <c r="N272" s="27"/>
      <c r="O272" s="27"/>
      <c r="P272" s="27"/>
      <c r="Q272" s="27"/>
      <c r="R272" s="27"/>
      <c r="S272" s="27"/>
    </row>
    <row r="273">
      <c r="A273" s="74">
        <v>22410.0</v>
      </c>
      <c r="B273" s="4" t="s">
        <v>20</v>
      </c>
      <c r="C273" s="28" t="s">
        <v>5836</v>
      </c>
      <c r="D273" s="4" t="s">
        <v>148</v>
      </c>
      <c r="E273" s="4" t="s">
        <v>148</v>
      </c>
      <c r="F273" s="27"/>
      <c r="G273" s="27"/>
      <c r="H273" s="43" t="s">
        <v>6984</v>
      </c>
      <c r="I273" s="32"/>
      <c r="J273" s="77"/>
      <c r="K273" s="27"/>
      <c r="L273" s="27"/>
      <c r="M273" s="27"/>
      <c r="N273" s="27"/>
      <c r="O273" s="27"/>
      <c r="P273" s="27"/>
      <c r="Q273" s="27"/>
      <c r="R273" s="27"/>
      <c r="S273" s="27"/>
    </row>
    <row r="274">
      <c r="A274" s="74">
        <v>22411.0</v>
      </c>
      <c r="B274" s="4" t="s">
        <v>102</v>
      </c>
      <c r="C274" s="28" t="s">
        <v>6985</v>
      </c>
      <c r="D274" s="4" t="s">
        <v>148</v>
      </c>
      <c r="E274" s="4" t="s">
        <v>148</v>
      </c>
      <c r="F274" s="27"/>
      <c r="G274" s="27"/>
      <c r="H274" s="27"/>
      <c r="I274" s="27"/>
      <c r="J274" s="29" t="s">
        <v>6986</v>
      </c>
      <c r="K274" s="27"/>
      <c r="L274" s="27"/>
      <c r="M274" s="27"/>
      <c r="N274" s="27"/>
      <c r="O274" s="27"/>
      <c r="P274" s="27"/>
      <c r="Q274" s="27"/>
      <c r="R274" s="27"/>
      <c r="S274" s="27"/>
    </row>
    <row r="275">
      <c r="A275" s="74">
        <v>22555.0</v>
      </c>
      <c r="B275" s="4" t="s">
        <v>20</v>
      </c>
      <c r="C275" s="28" t="s">
        <v>871</v>
      </c>
      <c r="D275" s="4" t="s">
        <v>148</v>
      </c>
      <c r="E275" s="4" t="s">
        <v>148</v>
      </c>
      <c r="F275" s="27"/>
      <c r="G275" s="32">
        <v>1.0</v>
      </c>
      <c r="H275" s="27"/>
      <c r="I275" s="29" t="s">
        <v>6987</v>
      </c>
      <c r="J275" s="27"/>
      <c r="K275" s="27"/>
      <c r="L275" s="27"/>
      <c r="M275" s="27"/>
      <c r="N275" s="27"/>
      <c r="O275" s="27"/>
      <c r="P275" s="27"/>
      <c r="Q275" s="27"/>
      <c r="R275" s="27"/>
      <c r="S275" s="27"/>
    </row>
    <row r="276">
      <c r="A276" s="74">
        <v>22565.0</v>
      </c>
      <c r="B276" s="4" t="s">
        <v>4322</v>
      </c>
      <c r="C276" s="28" t="s">
        <v>6988</v>
      </c>
      <c r="D276" s="4" t="s">
        <v>148</v>
      </c>
      <c r="E276" s="4" t="s">
        <v>148</v>
      </c>
      <c r="F276" s="27"/>
      <c r="G276" s="27"/>
      <c r="H276" s="27"/>
      <c r="I276" s="27"/>
      <c r="J276" s="29" t="s">
        <v>6989</v>
      </c>
      <c r="K276" s="27"/>
      <c r="L276" s="27"/>
      <c r="M276" s="27"/>
      <c r="N276" s="27"/>
      <c r="O276" s="27"/>
      <c r="P276" s="27"/>
      <c r="Q276" s="27"/>
      <c r="R276" s="27"/>
      <c r="S276" s="27"/>
    </row>
    <row r="277">
      <c r="A277" s="74">
        <v>22567.0</v>
      </c>
      <c r="B277" s="4" t="s">
        <v>20</v>
      </c>
      <c r="C277" s="28" t="s">
        <v>1975</v>
      </c>
      <c r="D277" s="4" t="s">
        <v>148</v>
      </c>
      <c r="E277" s="4" t="s">
        <v>148</v>
      </c>
      <c r="F277" s="27"/>
      <c r="G277" s="27"/>
      <c r="H277" s="43" t="s">
        <v>6990</v>
      </c>
      <c r="I277" s="27"/>
      <c r="J277" s="29" t="s">
        <v>6991</v>
      </c>
      <c r="K277" s="27"/>
      <c r="L277" s="27"/>
      <c r="M277" s="27"/>
      <c r="N277" s="27"/>
      <c r="O277" s="27"/>
      <c r="P277" s="27"/>
      <c r="Q277" s="27"/>
      <c r="R277" s="27"/>
      <c r="S277" s="27"/>
    </row>
    <row r="278">
      <c r="A278" s="74">
        <v>22568.0</v>
      </c>
      <c r="B278" s="4" t="s">
        <v>20</v>
      </c>
      <c r="C278" s="28" t="s">
        <v>74</v>
      </c>
      <c r="D278" s="4" t="s">
        <v>148</v>
      </c>
      <c r="E278" s="4" t="s">
        <v>148</v>
      </c>
      <c r="F278" s="27"/>
      <c r="G278" s="27"/>
      <c r="H278" s="29" t="s">
        <v>6992</v>
      </c>
      <c r="I278" s="29" t="s">
        <v>6993</v>
      </c>
      <c r="J278" s="29" t="s">
        <v>6994</v>
      </c>
      <c r="K278" s="27"/>
      <c r="L278" s="27"/>
      <c r="M278" s="27"/>
      <c r="N278" s="27"/>
      <c r="O278" s="27"/>
      <c r="P278" s="27"/>
      <c r="Q278" s="27"/>
      <c r="R278" s="27"/>
      <c r="S278" s="27"/>
    </row>
    <row r="279">
      <c r="A279" s="74">
        <v>23197.0</v>
      </c>
      <c r="B279" s="4" t="s">
        <v>20</v>
      </c>
      <c r="C279" s="28" t="s">
        <v>451</v>
      </c>
      <c r="D279" s="4" t="s">
        <v>148</v>
      </c>
      <c r="E279" s="4" t="s">
        <v>148</v>
      </c>
      <c r="F279" s="27"/>
      <c r="G279" s="27"/>
      <c r="H279" s="27"/>
      <c r="I279" s="27"/>
      <c r="J279" s="29" t="s">
        <v>6995</v>
      </c>
      <c r="K279" s="27"/>
      <c r="L279" s="27"/>
      <c r="M279" s="27"/>
      <c r="N279" s="27"/>
      <c r="O279" s="27"/>
      <c r="P279" s="27"/>
      <c r="Q279" s="27"/>
      <c r="R279" s="27"/>
      <c r="S279" s="27"/>
    </row>
    <row r="280">
      <c r="A280" s="74">
        <v>23583.0</v>
      </c>
      <c r="B280" s="4" t="s">
        <v>20</v>
      </c>
      <c r="C280" s="28" t="s">
        <v>6996</v>
      </c>
      <c r="D280" s="4" t="s">
        <v>148</v>
      </c>
      <c r="E280" s="4" t="s">
        <v>148</v>
      </c>
      <c r="F280" s="27"/>
      <c r="G280" s="27"/>
      <c r="H280" s="43" t="s">
        <v>6997</v>
      </c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</row>
    <row r="281">
      <c r="A281" s="74">
        <v>23733.0</v>
      </c>
      <c r="B281" s="4" t="s">
        <v>20</v>
      </c>
      <c r="C281" s="28" t="s">
        <v>4139</v>
      </c>
      <c r="D281" s="4" t="s">
        <v>148</v>
      </c>
      <c r="E281" s="4" t="s">
        <v>148</v>
      </c>
      <c r="F281" s="27"/>
      <c r="G281" s="27"/>
      <c r="H281" s="27"/>
      <c r="I281" s="27"/>
      <c r="J281" s="29" t="s">
        <v>6998</v>
      </c>
      <c r="K281" s="27"/>
      <c r="L281" s="27"/>
      <c r="M281" s="27"/>
      <c r="N281" s="27"/>
      <c r="O281" s="27"/>
      <c r="P281" s="27"/>
      <c r="Q281" s="27"/>
      <c r="R281" s="27"/>
      <c r="S281" s="27"/>
    </row>
    <row r="282">
      <c r="A282" s="74">
        <v>23745.0</v>
      </c>
      <c r="B282" s="4" t="s">
        <v>20</v>
      </c>
      <c r="C282" s="28" t="s">
        <v>21</v>
      </c>
      <c r="D282" s="4" t="s">
        <v>148</v>
      </c>
      <c r="E282" s="4" t="s">
        <v>148</v>
      </c>
      <c r="F282" s="27"/>
      <c r="G282" s="27"/>
      <c r="H282" s="43" t="s">
        <v>6999</v>
      </c>
      <c r="I282" s="27"/>
      <c r="J282" s="29" t="s">
        <v>7000</v>
      </c>
      <c r="K282" s="27"/>
      <c r="L282" s="27"/>
      <c r="M282" s="27"/>
      <c r="N282" s="27"/>
      <c r="O282" s="27"/>
      <c r="P282" s="27"/>
      <c r="Q282" s="27"/>
      <c r="R282" s="27"/>
      <c r="S282" s="27"/>
    </row>
    <row r="283">
      <c r="A283" s="74">
        <v>24265.0</v>
      </c>
      <c r="B283" s="4" t="s">
        <v>20</v>
      </c>
      <c r="C283" s="28" t="s">
        <v>7001</v>
      </c>
      <c r="D283" s="4" t="s">
        <v>148</v>
      </c>
      <c r="E283" s="4" t="s">
        <v>148</v>
      </c>
      <c r="F283" s="27"/>
      <c r="G283" s="27"/>
      <c r="H283" s="27"/>
      <c r="I283" s="27"/>
      <c r="J283" s="29" t="s">
        <v>5001</v>
      </c>
      <c r="K283" s="27"/>
      <c r="L283" s="27"/>
      <c r="M283" s="27"/>
      <c r="N283" s="27"/>
      <c r="O283" s="27"/>
      <c r="P283" s="27"/>
      <c r="Q283" s="27"/>
      <c r="R283" s="27"/>
      <c r="S283" s="27"/>
    </row>
    <row r="284">
      <c r="A284" s="74">
        <v>24800.0</v>
      </c>
      <c r="B284" s="4" t="s">
        <v>20</v>
      </c>
      <c r="C284" s="28" t="s">
        <v>7002</v>
      </c>
      <c r="D284" s="4" t="s">
        <v>148</v>
      </c>
      <c r="E284" s="4" t="s">
        <v>148</v>
      </c>
      <c r="F284" s="27"/>
      <c r="G284" s="27"/>
      <c r="H284" s="43" t="s">
        <v>7003</v>
      </c>
      <c r="I284" s="27"/>
      <c r="J284" s="29" t="s">
        <v>7004</v>
      </c>
      <c r="K284" s="27"/>
      <c r="L284" s="27"/>
      <c r="M284" s="27"/>
      <c r="N284" s="27"/>
      <c r="O284" s="27"/>
      <c r="P284" s="27"/>
      <c r="Q284" s="27"/>
      <c r="R284" s="27"/>
      <c r="S284" s="27"/>
    </row>
    <row r="285">
      <c r="A285" s="74">
        <v>24814.0</v>
      </c>
      <c r="B285" s="4" t="s">
        <v>301</v>
      </c>
      <c r="C285" s="28" t="s">
        <v>7005</v>
      </c>
      <c r="D285" s="4" t="s">
        <v>148</v>
      </c>
      <c r="E285" s="4" t="s">
        <v>148</v>
      </c>
      <c r="F285" s="27"/>
      <c r="G285" s="27"/>
      <c r="H285" s="43" t="s">
        <v>7006</v>
      </c>
      <c r="I285" s="27"/>
      <c r="J285" s="29" t="s">
        <v>7007</v>
      </c>
      <c r="K285" s="27"/>
      <c r="L285" s="27"/>
      <c r="M285" s="27"/>
      <c r="N285" s="27"/>
      <c r="O285" s="27"/>
      <c r="P285" s="27"/>
      <c r="Q285" s="27"/>
      <c r="R285" s="27"/>
      <c r="S285" s="27"/>
    </row>
    <row r="286">
      <c r="A286" s="74">
        <v>24886.0</v>
      </c>
      <c r="B286" s="4" t="s">
        <v>20</v>
      </c>
      <c r="C286" s="28" t="s">
        <v>6552</v>
      </c>
      <c r="D286" s="4" t="s">
        <v>148</v>
      </c>
      <c r="E286" s="4" t="s">
        <v>148</v>
      </c>
      <c r="F286" s="27"/>
      <c r="G286" s="27"/>
      <c r="H286" s="27"/>
      <c r="I286" s="27"/>
      <c r="J286" s="29" t="s">
        <v>7008</v>
      </c>
      <c r="K286" s="27"/>
      <c r="L286" s="27"/>
      <c r="M286" s="27"/>
      <c r="N286" s="27"/>
      <c r="O286" s="27"/>
      <c r="P286" s="27"/>
      <c r="Q286" s="27"/>
      <c r="R286" s="27"/>
      <c r="S286" s="27"/>
    </row>
    <row r="287">
      <c r="A287" s="74">
        <v>24897.0</v>
      </c>
      <c r="B287" s="4" t="s">
        <v>20</v>
      </c>
      <c r="C287" s="28" t="s">
        <v>7009</v>
      </c>
      <c r="D287" s="4" t="s">
        <v>148</v>
      </c>
      <c r="E287" s="4" t="s">
        <v>148</v>
      </c>
      <c r="F287" s="27"/>
      <c r="G287" s="27"/>
      <c r="H287" s="43" t="s">
        <v>7010</v>
      </c>
      <c r="I287" s="27"/>
      <c r="J287" s="29" t="s">
        <v>7011</v>
      </c>
      <c r="K287" s="27"/>
      <c r="L287" s="27"/>
      <c r="M287" s="27"/>
      <c r="N287" s="27"/>
      <c r="O287" s="27"/>
      <c r="P287" s="27"/>
      <c r="Q287" s="27"/>
      <c r="R287" s="27"/>
      <c r="S287" s="27"/>
    </row>
    <row r="288">
      <c r="A288" s="74">
        <v>24920.0</v>
      </c>
      <c r="B288" s="4" t="s">
        <v>20</v>
      </c>
      <c r="C288" s="28" t="s">
        <v>7012</v>
      </c>
      <c r="D288" s="4" t="s">
        <v>148</v>
      </c>
      <c r="E288" s="4" t="s">
        <v>148</v>
      </c>
      <c r="F288" s="27"/>
      <c r="G288" s="27"/>
      <c r="H288" s="43" t="s">
        <v>7013</v>
      </c>
      <c r="I288" s="27"/>
      <c r="J288" s="29" t="s">
        <v>7014</v>
      </c>
      <c r="K288" s="27"/>
      <c r="L288" s="27"/>
      <c r="M288" s="27"/>
      <c r="N288" s="27"/>
      <c r="O288" s="27"/>
      <c r="P288" s="27"/>
      <c r="Q288" s="27"/>
      <c r="R288" s="27"/>
      <c r="S288" s="27"/>
    </row>
    <row r="289">
      <c r="A289" s="74">
        <v>25062.0</v>
      </c>
      <c r="B289" s="4" t="s">
        <v>20</v>
      </c>
      <c r="C289" s="28" t="s">
        <v>7015</v>
      </c>
      <c r="D289" s="4" t="s">
        <v>148</v>
      </c>
      <c r="E289" s="4" t="s">
        <v>148</v>
      </c>
      <c r="F289" s="27"/>
      <c r="G289" s="27"/>
      <c r="H289" s="27"/>
      <c r="I289" s="27"/>
      <c r="J289" s="29" t="s">
        <v>7016</v>
      </c>
      <c r="K289" s="27"/>
      <c r="L289" s="27"/>
      <c r="M289" s="27"/>
      <c r="N289" s="27"/>
      <c r="O289" s="27"/>
      <c r="P289" s="27"/>
      <c r="Q289" s="27"/>
      <c r="R289" s="27"/>
      <c r="S289" s="27"/>
    </row>
    <row r="290">
      <c r="A290" s="32">
        <v>25216.0</v>
      </c>
      <c r="B290" s="4" t="s">
        <v>20</v>
      </c>
      <c r="C290" s="28" t="s">
        <v>7017</v>
      </c>
      <c r="D290" s="4" t="s">
        <v>148</v>
      </c>
      <c r="E290" s="4" t="s">
        <v>148</v>
      </c>
      <c r="F290" s="27"/>
      <c r="G290" s="27"/>
      <c r="H290" s="43" t="s">
        <v>7018</v>
      </c>
      <c r="I290" s="27"/>
      <c r="J290" s="29" t="s">
        <v>7019</v>
      </c>
      <c r="K290" s="27"/>
      <c r="L290" s="27"/>
      <c r="M290" s="27"/>
      <c r="N290" s="27"/>
      <c r="O290" s="27"/>
      <c r="P290" s="27"/>
      <c r="Q290" s="27"/>
      <c r="R290" s="27"/>
      <c r="S290" s="27"/>
    </row>
    <row r="291">
      <c r="A291" s="74">
        <v>25445.0</v>
      </c>
      <c r="B291" s="4" t="s">
        <v>20</v>
      </c>
      <c r="C291" s="28" t="s">
        <v>7020</v>
      </c>
      <c r="D291" s="4" t="s">
        <v>148</v>
      </c>
      <c r="E291" s="4" t="s">
        <v>148</v>
      </c>
      <c r="F291" s="27"/>
      <c r="G291" s="27"/>
      <c r="H291" s="27"/>
      <c r="I291" s="27"/>
      <c r="J291" s="29" t="s">
        <v>6914</v>
      </c>
      <c r="K291" s="27"/>
      <c r="L291" s="27"/>
      <c r="M291" s="27"/>
      <c r="N291" s="27"/>
      <c r="O291" s="27"/>
      <c r="P291" s="27"/>
      <c r="Q291" s="27"/>
      <c r="R291" s="27"/>
      <c r="S291" s="27"/>
    </row>
    <row r="292">
      <c r="A292" s="32">
        <v>25446.0</v>
      </c>
      <c r="B292" s="4" t="s">
        <v>20</v>
      </c>
      <c r="C292" s="28" t="s">
        <v>6402</v>
      </c>
      <c r="D292" s="4" t="s">
        <v>148</v>
      </c>
      <c r="E292" s="4" t="s">
        <v>148</v>
      </c>
      <c r="F292" s="156"/>
      <c r="G292" s="32"/>
      <c r="H292" s="43" t="s">
        <v>7021</v>
      </c>
      <c r="I292" s="29" t="s">
        <v>7022</v>
      </c>
      <c r="J292" s="29" t="s">
        <v>7023</v>
      </c>
      <c r="K292" s="27"/>
      <c r="L292" s="27"/>
      <c r="M292" s="27"/>
      <c r="N292" s="27"/>
      <c r="O292" s="27"/>
      <c r="P292" s="27"/>
      <c r="Q292" s="27"/>
      <c r="R292" s="27"/>
      <c r="S292" s="27"/>
    </row>
    <row r="293">
      <c r="A293" s="74">
        <v>26026.0</v>
      </c>
      <c r="B293" s="4" t="s">
        <v>20</v>
      </c>
      <c r="C293" s="28" t="s">
        <v>7024</v>
      </c>
      <c r="D293" s="4" t="s">
        <v>148</v>
      </c>
      <c r="E293" s="4" t="s">
        <v>148</v>
      </c>
      <c r="F293" s="27"/>
      <c r="G293" s="27"/>
      <c r="H293" s="43" t="s">
        <v>7025</v>
      </c>
      <c r="I293" s="27"/>
      <c r="J293" s="77"/>
      <c r="K293" s="27"/>
      <c r="L293" s="27"/>
      <c r="M293" s="27"/>
      <c r="N293" s="27"/>
      <c r="O293" s="27"/>
      <c r="P293" s="27"/>
      <c r="Q293" s="27"/>
      <c r="R293" s="27"/>
      <c r="S293" s="27"/>
    </row>
    <row r="294">
      <c r="A294" s="74">
        <v>26147.0</v>
      </c>
      <c r="B294" s="4" t="s">
        <v>102</v>
      </c>
      <c r="C294" s="28" t="s">
        <v>7026</v>
      </c>
      <c r="D294" s="4" t="s">
        <v>148</v>
      </c>
      <c r="E294" s="4" t="s">
        <v>148</v>
      </c>
      <c r="F294" s="27"/>
      <c r="G294" s="27"/>
      <c r="H294" s="43" t="s">
        <v>7027</v>
      </c>
      <c r="I294" s="27"/>
      <c r="J294" s="29" t="s">
        <v>7028</v>
      </c>
      <c r="K294" s="27"/>
      <c r="L294" s="27"/>
      <c r="M294" s="27"/>
      <c r="N294" s="27"/>
      <c r="O294" s="27"/>
      <c r="P294" s="27"/>
      <c r="Q294" s="27"/>
      <c r="R294" s="27"/>
      <c r="S294" s="27"/>
    </row>
    <row r="295">
      <c r="A295" s="74">
        <v>26410.0</v>
      </c>
      <c r="B295" s="4" t="s">
        <v>20</v>
      </c>
      <c r="C295" s="28" t="s">
        <v>7029</v>
      </c>
      <c r="D295" s="4" t="s">
        <v>148</v>
      </c>
      <c r="E295" s="4" t="s">
        <v>148</v>
      </c>
      <c r="F295" s="27"/>
      <c r="G295" s="27"/>
      <c r="H295" s="27"/>
      <c r="I295" s="27"/>
      <c r="J295" s="29" t="s">
        <v>7030</v>
      </c>
      <c r="K295" s="27"/>
      <c r="L295" s="27"/>
      <c r="M295" s="27"/>
      <c r="N295" s="27"/>
      <c r="O295" s="27"/>
      <c r="P295" s="27"/>
      <c r="Q295" s="27"/>
      <c r="R295" s="27"/>
      <c r="S295" s="27"/>
    </row>
    <row r="296">
      <c r="A296" s="74">
        <v>26747.0</v>
      </c>
      <c r="B296" s="4" t="s">
        <v>20</v>
      </c>
      <c r="C296" s="28" t="s">
        <v>7031</v>
      </c>
      <c r="D296" s="4" t="s">
        <v>148</v>
      </c>
      <c r="E296" s="4" t="s">
        <v>148</v>
      </c>
      <c r="F296" s="27"/>
      <c r="G296" s="27"/>
      <c r="H296" s="43" t="s">
        <v>7032</v>
      </c>
      <c r="I296" s="27"/>
      <c r="J296" s="29" t="s">
        <v>7033</v>
      </c>
      <c r="K296" s="27"/>
      <c r="L296" s="27"/>
      <c r="M296" s="27"/>
      <c r="N296" s="27"/>
      <c r="O296" s="27"/>
      <c r="P296" s="27"/>
      <c r="Q296" s="27"/>
      <c r="R296" s="27"/>
      <c r="S296" s="27"/>
    </row>
    <row r="297">
      <c r="A297" s="74">
        <v>26748.0</v>
      </c>
      <c r="B297" s="4" t="s">
        <v>20</v>
      </c>
      <c r="C297" s="28" t="s">
        <v>7034</v>
      </c>
      <c r="D297" s="4" t="s">
        <v>148</v>
      </c>
      <c r="E297" s="4" t="s">
        <v>148</v>
      </c>
      <c r="F297" s="27"/>
      <c r="G297" s="27"/>
      <c r="H297" s="27"/>
      <c r="I297" s="27"/>
      <c r="J297" s="29" t="s">
        <v>6890</v>
      </c>
      <c r="K297" s="27"/>
      <c r="L297" s="27"/>
      <c r="M297" s="27"/>
      <c r="N297" s="27"/>
      <c r="O297" s="27"/>
      <c r="P297" s="27"/>
      <c r="Q297" s="27"/>
      <c r="R297" s="27"/>
      <c r="S297" s="27"/>
    </row>
    <row r="298">
      <c r="A298" s="74">
        <v>26750.0</v>
      </c>
      <c r="B298" s="4" t="s">
        <v>2364</v>
      </c>
      <c r="C298" s="28" t="s">
        <v>7035</v>
      </c>
      <c r="D298" s="4" t="s">
        <v>148</v>
      </c>
      <c r="E298" s="4" t="s">
        <v>148</v>
      </c>
      <c r="F298" s="27"/>
      <c r="G298" s="27"/>
      <c r="H298" s="27"/>
      <c r="I298" s="27"/>
      <c r="J298" s="29" t="s">
        <v>7036</v>
      </c>
      <c r="K298" s="27"/>
      <c r="L298" s="27"/>
      <c r="M298" s="27"/>
      <c r="N298" s="27"/>
      <c r="O298" s="27"/>
      <c r="P298" s="27"/>
      <c r="Q298" s="27"/>
      <c r="R298" s="27"/>
      <c r="S298" s="27"/>
    </row>
    <row r="299">
      <c r="A299" s="74">
        <v>26752.0</v>
      </c>
      <c r="B299" s="4" t="s">
        <v>20</v>
      </c>
      <c r="C299" s="28" t="s">
        <v>7037</v>
      </c>
      <c r="D299" s="4" t="s">
        <v>148</v>
      </c>
      <c r="E299" s="4" t="s">
        <v>148</v>
      </c>
      <c r="F299" s="27"/>
      <c r="G299" s="27"/>
      <c r="H299" s="43" t="s">
        <v>7038</v>
      </c>
      <c r="I299" s="27"/>
      <c r="J299" s="29" t="s">
        <v>7039</v>
      </c>
      <c r="K299" s="27"/>
      <c r="L299" s="27"/>
      <c r="M299" s="27"/>
      <c r="N299" s="27"/>
      <c r="O299" s="27"/>
      <c r="P299" s="27"/>
      <c r="Q299" s="27"/>
      <c r="R299" s="27"/>
      <c r="S299" s="27"/>
    </row>
    <row r="300">
      <c r="A300" s="74">
        <v>26753.0</v>
      </c>
      <c r="B300" s="4" t="s">
        <v>20</v>
      </c>
      <c r="C300" s="28" t="s">
        <v>7040</v>
      </c>
      <c r="D300" s="4" t="s">
        <v>148</v>
      </c>
      <c r="E300" s="4" t="s">
        <v>148</v>
      </c>
      <c r="F300" s="27"/>
      <c r="G300" s="27"/>
      <c r="H300" s="43" t="s">
        <v>7041</v>
      </c>
      <c r="I300" s="27"/>
      <c r="J300" s="29" t="s">
        <v>7042</v>
      </c>
      <c r="K300" s="27"/>
      <c r="L300" s="27"/>
      <c r="M300" s="27"/>
      <c r="N300" s="27"/>
      <c r="O300" s="27"/>
      <c r="P300" s="27"/>
      <c r="Q300" s="27"/>
      <c r="R300" s="27"/>
      <c r="S300" s="27"/>
    </row>
    <row r="301">
      <c r="A301" s="74">
        <v>26754.0</v>
      </c>
      <c r="B301" s="4" t="s">
        <v>20</v>
      </c>
      <c r="C301" s="28" t="s">
        <v>7043</v>
      </c>
      <c r="D301" s="4" t="s">
        <v>148</v>
      </c>
      <c r="E301" s="4" t="s">
        <v>148</v>
      </c>
      <c r="F301" s="27"/>
      <c r="G301" s="27"/>
      <c r="H301" s="27"/>
      <c r="I301" s="27"/>
      <c r="J301" s="29" t="s">
        <v>7044</v>
      </c>
      <c r="K301" s="27"/>
      <c r="L301" s="27"/>
      <c r="M301" s="27"/>
      <c r="N301" s="27"/>
      <c r="O301" s="27"/>
      <c r="P301" s="27"/>
      <c r="Q301" s="27"/>
      <c r="R301" s="27"/>
      <c r="S301" s="27"/>
    </row>
    <row r="302">
      <c r="A302" s="74">
        <v>27915.0</v>
      </c>
      <c r="B302" s="4" t="s">
        <v>20</v>
      </c>
      <c r="C302" s="28" t="s">
        <v>7045</v>
      </c>
      <c r="D302" s="4" t="s">
        <v>148</v>
      </c>
      <c r="E302" s="4" t="s">
        <v>148</v>
      </c>
      <c r="F302" s="27"/>
      <c r="G302" s="27"/>
      <c r="H302" s="43" t="s">
        <v>7046</v>
      </c>
      <c r="I302" s="27"/>
      <c r="J302" s="29" t="s">
        <v>7047</v>
      </c>
      <c r="K302" s="27"/>
      <c r="L302" s="27"/>
      <c r="M302" s="27"/>
      <c r="N302" s="27"/>
      <c r="O302" s="27"/>
      <c r="P302" s="27"/>
      <c r="Q302" s="27"/>
      <c r="R302" s="27"/>
      <c r="S302" s="27"/>
    </row>
    <row r="303">
      <c r="A303" s="74">
        <v>27916.0</v>
      </c>
      <c r="B303" s="4" t="s">
        <v>20</v>
      </c>
      <c r="C303" s="28" t="s">
        <v>7048</v>
      </c>
      <c r="D303" s="4" t="s">
        <v>148</v>
      </c>
      <c r="E303" s="4" t="s">
        <v>148</v>
      </c>
      <c r="F303" s="27"/>
      <c r="G303" s="27"/>
      <c r="H303" s="43" t="s">
        <v>7049</v>
      </c>
      <c r="I303" s="27"/>
      <c r="J303" s="29" t="s">
        <v>7050</v>
      </c>
      <c r="K303" s="27"/>
      <c r="L303" s="27"/>
      <c r="M303" s="27"/>
      <c r="N303" s="27"/>
      <c r="O303" s="27"/>
      <c r="P303" s="27"/>
      <c r="Q303" s="27"/>
      <c r="R303" s="27"/>
      <c r="S303" s="27"/>
    </row>
    <row r="304">
      <c r="A304" s="74">
        <v>28188.0</v>
      </c>
      <c r="B304" s="4" t="s">
        <v>20</v>
      </c>
      <c r="C304" s="28" t="s">
        <v>7051</v>
      </c>
      <c r="D304" s="4" t="s">
        <v>148</v>
      </c>
      <c r="E304" s="4" t="s">
        <v>148</v>
      </c>
      <c r="F304" s="27"/>
      <c r="G304" s="27"/>
      <c r="H304" s="43" t="s">
        <v>7052</v>
      </c>
      <c r="I304" s="29" t="s">
        <v>7053</v>
      </c>
      <c r="J304" s="27"/>
      <c r="K304" s="27"/>
      <c r="L304" s="27"/>
      <c r="M304" s="27"/>
      <c r="N304" s="27"/>
      <c r="O304" s="27"/>
      <c r="P304" s="27"/>
      <c r="Q304" s="27"/>
      <c r="R304" s="27"/>
      <c r="S304" s="27"/>
    </row>
    <row r="305">
      <c r="A305" s="74">
        <v>28265.0</v>
      </c>
      <c r="B305" s="4" t="s">
        <v>20</v>
      </c>
      <c r="C305" s="28" t="s">
        <v>7054</v>
      </c>
      <c r="D305" s="4" t="s">
        <v>148</v>
      </c>
      <c r="E305" s="4" t="s">
        <v>148</v>
      </c>
      <c r="F305" s="27"/>
      <c r="G305" s="27"/>
      <c r="H305" s="43" t="s">
        <v>7055</v>
      </c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</row>
    <row r="306">
      <c r="A306" s="74">
        <v>28597.0</v>
      </c>
      <c r="B306" s="4" t="s">
        <v>20</v>
      </c>
      <c r="C306" s="28" t="s">
        <v>7056</v>
      </c>
      <c r="D306" s="4" t="s">
        <v>148</v>
      </c>
      <c r="E306" s="4" t="s">
        <v>148</v>
      </c>
      <c r="F306" s="27"/>
      <c r="G306" s="27"/>
      <c r="H306" s="43" t="s">
        <v>7057</v>
      </c>
      <c r="I306" s="29" t="s">
        <v>7058</v>
      </c>
      <c r="J306" s="27"/>
      <c r="K306" s="27"/>
      <c r="L306" s="27"/>
      <c r="M306" s="27"/>
      <c r="N306" s="27"/>
      <c r="O306" s="27"/>
      <c r="P306" s="27"/>
      <c r="Q306" s="27"/>
      <c r="R306" s="27"/>
      <c r="S306" s="27"/>
    </row>
    <row r="307">
      <c r="A307" s="74">
        <v>29104.0</v>
      </c>
      <c r="B307" s="4" t="s">
        <v>20</v>
      </c>
      <c r="C307" s="28" t="s">
        <v>7059</v>
      </c>
      <c r="D307" s="4" t="s">
        <v>148</v>
      </c>
      <c r="E307" s="4" t="s">
        <v>148</v>
      </c>
      <c r="F307" s="27"/>
      <c r="G307" s="27"/>
      <c r="H307" s="43" t="s">
        <v>7060</v>
      </c>
      <c r="I307" s="29" t="s">
        <v>7061</v>
      </c>
      <c r="J307" s="27"/>
      <c r="K307" s="27"/>
      <c r="L307" s="27"/>
      <c r="M307" s="27"/>
      <c r="N307" s="27"/>
      <c r="O307" s="27"/>
      <c r="P307" s="27"/>
      <c r="Q307" s="27"/>
      <c r="R307" s="27"/>
      <c r="S307" s="27"/>
    </row>
    <row r="308">
      <c r="A308" s="74">
        <v>29427.0</v>
      </c>
      <c r="B308" s="4" t="s">
        <v>20</v>
      </c>
      <c r="C308" s="28" t="s">
        <v>7062</v>
      </c>
      <c r="D308" s="4" t="s">
        <v>148</v>
      </c>
      <c r="E308" s="4" t="s">
        <v>148</v>
      </c>
      <c r="F308" s="27"/>
      <c r="G308" s="27"/>
      <c r="H308" s="43" t="s">
        <v>7063</v>
      </c>
      <c r="I308" s="27"/>
      <c r="J308" s="29" t="s">
        <v>7064</v>
      </c>
      <c r="K308" s="27"/>
      <c r="L308" s="27"/>
      <c r="M308" s="27"/>
      <c r="N308" s="27"/>
      <c r="O308" s="27"/>
      <c r="P308" s="27"/>
      <c r="Q308" s="27"/>
      <c r="R308" s="27"/>
      <c r="S308" s="27"/>
    </row>
    <row r="309">
      <c r="A309" s="74">
        <v>30139.0</v>
      </c>
      <c r="B309" s="4" t="s">
        <v>20</v>
      </c>
      <c r="C309" s="28" t="s">
        <v>7065</v>
      </c>
      <c r="D309" s="4" t="s">
        <v>148</v>
      </c>
      <c r="E309" s="4" t="s">
        <v>148</v>
      </c>
      <c r="F309" s="27"/>
      <c r="G309" s="27"/>
      <c r="H309" s="43" t="s">
        <v>7066</v>
      </c>
      <c r="I309" s="27"/>
      <c r="J309" s="77"/>
      <c r="K309" s="27"/>
      <c r="L309" s="27"/>
      <c r="M309" s="27"/>
      <c r="N309" s="27"/>
      <c r="O309" s="27"/>
      <c r="P309" s="27"/>
      <c r="Q309" s="27"/>
      <c r="R309" s="27"/>
      <c r="S309" s="27"/>
    </row>
    <row r="310">
      <c r="A310" s="32">
        <v>30377.0</v>
      </c>
      <c r="B310" s="4" t="s">
        <v>20</v>
      </c>
      <c r="C310" s="28" t="s">
        <v>7067</v>
      </c>
      <c r="D310" s="4" t="s">
        <v>148</v>
      </c>
      <c r="E310" s="4" t="s">
        <v>148</v>
      </c>
      <c r="F310" s="27"/>
      <c r="G310" s="27"/>
      <c r="H310" s="29" t="s">
        <v>7068</v>
      </c>
      <c r="I310" s="27"/>
      <c r="J310" s="29" t="s">
        <v>7069</v>
      </c>
      <c r="K310" s="27"/>
      <c r="L310" s="27"/>
      <c r="M310" s="27"/>
      <c r="N310" s="27"/>
      <c r="O310" s="27"/>
      <c r="P310" s="27"/>
      <c r="Q310" s="27"/>
      <c r="R310" s="27"/>
      <c r="S310" s="27"/>
    </row>
    <row r="311">
      <c r="A311" s="74">
        <v>30718.0</v>
      </c>
      <c r="B311" s="4" t="s">
        <v>20</v>
      </c>
      <c r="C311" s="28" t="s">
        <v>7070</v>
      </c>
      <c r="D311" s="4" t="s">
        <v>148</v>
      </c>
      <c r="E311" s="4" t="s">
        <v>148</v>
      </c>
      <c r="F311" s="27"/>
      <c r="G311" s="27"/>
      <c r="H311" s="43" t="s">
        <v>7071</v>
      </c>
      <c r="I311" s="27"/>
      <c r="J311" s="29" t="s">
        <v>7072</v>
      </c>
      <c r="K311" s="27"/>
      <c r="L311" s="27"/>
      <c r="M311" s="27"/>
      <c r="N311" s="27"/>
      <c r="O311" s="27"/>
      <c r="P311" s="27"/>
      <c r="Q311" s="27"/>
      <c r="R311" s="27"/>
      <c r="S311" s="27"/>
    </row>
    <row r="312">
      <c r="A312" s="74">
        <v>31462.0</v>
      </c>
      <c r="B312" s="4" t="s">
        <v>20</v>
      </c>
      <c r="C312" s="28" t="s">
        <v>7073</v>
      </c>
      <c r="D312" s="4" t="s">
        <v>148</v>
      </c>
      <c r="E312" s="4" t="s">
        <v>148</v>
      </c>
      <c r="F312" s="27"/>
      <c r="G312" s="27"/>
      <c r="H312" s="43" t="s">
        <v>6997</v>
      </c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</row>
    <row r="313">
      <c r="A313" s="74">
        <v>31869.0</v>
      </c>
      <c r="B313" s="4" t="s">
        <v>20</v>
      </c>
      <c r="C313" s="28" t="s">
        <v>4084</v>
      </c>
      <c r="D313" s="4" t="s">
        <v>148</v>
      </c>
      <c r="E313" s="4" t="s">
        <v>148</v>
      </c>
      <c r="F313" s="27"/>
      <c r="G313" s="27"/>
      <c r="H313" s="43" t="s">
        <v>7074</v>
      </c>
      <c r="I313" s="98" t="s">
        <v>7075</v>
      </c>
      <c r="J313" s="29" t="s">
        <v>7076</v>
      </c>
      <c r="K313" s="27"/>
      <c r="L313" s="27"/>
      <c r="M313" s="27"/>
      <c r="N313" s="27"/>
      <c r="O313" s="27"/>
      <c r="P313" s="27"/>
      <c r="Q313" s="27"/>
      <c r="R313" s="27"/>
      <c r="S313" s="27"/>
    </row>
    <row r="314">
      <c r="A314" s="74">
        <v>31954.0</v>
      </c>
      <c r="B314" s="4" t="s">
        <v>20</v>
      </c>
      <c r="C314" s="4" t="s">
        <v>7077</v>
      </c>
      <c r="D314" s="4" t="s">
        <v>148</v>
      </c>
      <c r="E314" s="4" t="s">
        <v>148</v>
      </c>
      <c r="F314" s="27"/>
      <c r="G314" s="27"/>
      <c r="H314" s="43" t="s">
        <v>7078</v>
      </c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</row>
    <row r="315">
      <c r="A315" s="74">
        <v>32059.0</v>
      </c>
      <c r="B315" s="4" t="s">
        <v>20</v>
      </c>
      <c r="C315" s="4" t="s">
        <v>3640</v>
      </c>
      <c r="D315" s="4" t="s">
        <v>148</v>
      </c>
      <c r="E315" s="4" t="s">
        <v>148</v>
      </c>
      <c r="F315" s="27"/>
      <c r="G315" s="27"/>
      <c r="H315" s="43" t="s">
        <v>7079</v>
      </c>
      <c r="I315" s="27"/>
      <c r="J315" s="29" t="s">
        <v>7000</v>
      </c>
      <c r="K315" s="27"/>
      <c r="L315" s="27"/>
      <c r="M315" s="27"/>
      <c r="N315" s="27"/>
      <c r="O315" s="27"/>
      <c r="P315" s="27"/>
      <c r="Q315" s="27"/>
      <c r="R315" s="27"/>
      <c r="S315" s="27"/>
    </row>
    <row r="316">
      <c r="A316" s="74">
        <v>32108.0</v>
      </c>
      <c r="B316" s="4" t="s">
        <v>20</v>
      </c>
      <c r="C316" s="4" t="s">
        <v>3689</v>
      </c>
      <c r="D316" s="4" t="s">
        <v>148</v>
      </c>
      <c r="E316" s="4" t="s">
        <v>148</v>
      </c>
      <c r="F316" s="27"/>
      <c r="G316" s="27"/>
      <c r="H316" s="43" t="s">
        <v>7080</v>
      </c>
      <c r="I316" s="29" t="s">
        <v>7081</v>
      </c>
      <c r="J316" s="27"/>
      <c r="K316" s="27"/>
      <c r="L316" s="27"/>
      <c r="M316" s="27"/>
      <c r="N316" s="27"/>
      <c r="O316" s="27"/>
      <c r="P316" s="27"/>
      <c r="Q316" s="27"/>
      <c r="R316" s="27"/>
      <c r="S316" s="27"/>
    </row>
    <row r="317">
      <c r="A317" s="74">
        <v>32335.0</v>
      </c>
      <c r="B317" s="4" t="s">
        <v>20</v>
      </c>
      <c r="C317" s="4" t="s">
        <v>510</v>
      </c>
      <c r="D317" s="4" t="s">
        <v>148</v>
      </c>
      <c r="E317" s="4" t="s">
        <v>148</v>
      </c>
      <c r="F317" s="27"/>
      <c r="G317" s="32">
        <v>1.0</v>
      </c>
      <c r="H317" s="43" t="s">
        <v>7082</v>
      </c>
      <c r="I317" s="27"/>
      <c r="J317" s="43" t="s">
        <v>7083</v>
      </c>
      <c r="K317" s="27"/>
      <c r="L317" s="27"/>
      <c r="M317" s="27"/>
      <c r="N317" s="27"/>
      <c r="O317" s="27"/>
      <c r="P317" s="27"/>
      <c r="Q317" s="27"/>
      <c r="R317" s="27"/>
      <c r="S317" s="27"/>
    </row>
    <row r="318">
      <c r="A318" s="74">
        <v>32780.0</v>
      </c>
      <c r="B318" s="4" t="s">
        <v>20</v>
      </c>
      <c r="C318" s="28" t="s">
        <v>7084</v>
      </c>
      <c r="D318" s="4" t="s">
        <v>148</v>
      </c>
      <c r="E318" s="4" t="s">
        <v>148</v>
      </c>
      <c r="F318" s="27"/>
      <c r="G318" s="32">
        <v>1.0</v>
      </c>
      <c r="H318" s="43" t="s">
        <v>7085</v>
      </c>
      <c r="I318" s="29" t="s">
        <v>7086</v>
      </c>
      <c r="J318" s="29" t="s">
        <v>7087</v>
      </c>
      <c r="K318" s="27"/>
      <c r="L318" s="27"/>
      <c r="M318" s="27"/>
      <c r="N318" s="27"/>
      <c r="O318" s="27"/>
      <c r="P318" s="27"/>
      <c r="Q318" s="27"/>
      <c r="R318" s="27"/>
      <c r="S318" s="27"/>
    </row>
    <row r="319">
      <c r="A319" s="27"/>
      <c r="B319" s="4" t="s">
        <v>20</v>
      </c>
      <c r="C319" s="4" t="s">
        <v>4088</v>
      </c>
      <c r="D319" s="4" t="s">
        <v>148</v>
      </c>
      <c r="E319" s="4" t="s">
        <v>148</v>
      </c>
      <c r="F319" s="27"/>
      <c r="G319" s="27"/>
      <c r="H319" s="43" t="s">
        <v>6675</v>
      </c>
      <c r="I319" s="29" t="s">
        <v>6676</v>
      </c>
      <c r="J319" s="27"/>
      <c r="K319" s="27"/>
      <c r="L319" s="27"/>
      <c r="M319" s="27"/>
      <c r="N319" s="27"/>
      <c r="O319" s="27"/>
      <c r="P319" s="27"/>
      <c r="Q319" s="27"/>
      <c r="R319" s="27"/>
      <c r="S319" s="27"/>
    </row>
    <row r="320">
      <c r="A320" s="27"/>
      <c r="B320" s="4" t="s">
        <v>20</v>
      </c>
      <c r="C320" s="4" t="s">
        <v>7088</v>
      </c>
      <c r="D320" s="4" t="s">
        <v>148</v>
      </c>
      <c r="E320" s="4" t="s">
        <v>148</v>
      </c>
      <c r="F320" s="27"/>
      <c r="G320" s="32">
        <v>1.0</v>
      </c>
      <c r="H320" s="43" t="s">
        <v>7089</v>
      </c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</row>
    <row r="321">
      <c r="A321" s="27"/>
      <c r="B321" s="4" t="s">
        <v>20</v>
      </c>
      <c r="C321" s="4" t="s">
        <v>7090</v>
      </c>
      <c r="D321" s="4" t="s">
        <v>148</v>
      </c>
      <c r="E321" s="4" t="s">
        <v>148</v>
      </c>
      <c r="F321" s="27"/>
      <c r="G321" s="27"/>
      <c r="H321" s="43" t="s">
        <v>7091</v>
      </c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</row>
    <row r="322">
      <c r="A322" s="27"/>
      <c r="B322" s="4" t="s">
        <v>20</v>
      </c>
      <c r="C322" s="4" t="s">
        <v>7092</v>
      </c>
      <c r="D322" s="4" t="s">
        <v>148</v>
      </c>
      <c r="E322" s="4" t="s">
        <v>148</v>
      </c>
      <c r="F322" s="27"/>
      <c r="G322" s="32">
        <v>1.0</v>
      </c>
      <c r="H322" s="43" t="s">
        <v>7093</v>
      </c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</row>
    <row r="323">
      <c r="A323" s="27"/>
      <c r="B323" s="4" t="s">
        <v>20</v>
      </c>
      <c r="C323" s="4" t="s">
        <v>7094</v>
      </c>
      <c r="D323" s="4" t="s">
        <v>148</v>
      </c>
      <c r="E323" s="4" t="s">
        <v>148</v>
      </c>
      <c r="F323" s="27"/>
      <c r="G323" s="27"/>
      <c r="H323" s="43" t="s">
        <v>7095</v>
      </c>
      <c r="I323" s="32" t="s">
        <v>318</v>
      </c>
      <c r="J323" s="32" t="s">
        <v>318</v>
      </c>
      <c r="K323" s="27"/>
      <c r="L323" s="27"/>
      <c r="M323" s="27"/>
      <c r="N323" s="27"/>
      <c r="O323" s="27"/>
      <c r="P323" s="27"/>
      <c r="Q323" s="27"/>
      <c r="R323" s="27"/>
      <c r="S323" s="27"/>
    </row>
    <row r="324">
      <c r="A324" s="27"/>
      <c r="B324" s="4" t="s">
        <v>20</v>
      </c>
      <c r="C324" s="4" t="s">
        <v>7096</v>
      </c>
      <c r="D324" s="4" t="s">
        <v>148</v>
      </c>
      <c r="E324" s="4" t="s">
        <v>148</v>
      </c>
      <c r="F324" s="27"/>
      <c r="G324" s="27"/>
      <c r="H324" s="43" t="s">
        <v>7097</v>
      </c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</row>
    <row r="325">
      <c r="A325" s="27"/>
      <c r="B325" s="4" t="s">
        <v>20</v>
      </c>
      <c r="C325" s="4" t="s">
        <v>7098</v>
      </c>
      <c r="D325" s="4" t="s">
        <v>148</v>
      </c>
      <c r="E325" s="4" t="s">
        <v>148</v>
      </c>
      <c r="F325" s="27"/>
      <c r="G325" s="32">
        <v>1.0</v>
      </c>
      <c r="H325" s="43" t="s">
        <v>7099</v>
      </c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</row>
    <row r="326">
      <c r="A326" s="27"/>
      <c r="B326" s="4" t="s">
        <v>20</v>
      </c>
      <c r="C326" s="4" t="s">
        <v>7100</v>
      </c>
      <c r="D326" s="4" t="s">
        <v>148</v>
      </c>
      <c r="E326" s="4" t="s">
        <v>148</v>
      </c>
      <c r="F326" s="27"/>
      <c r="G326" s="27"/>
      <c r="H326" s="29" t="s">
        <v>7101</v>
      </c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</row>
    <row r="327">
      <c r="A327" s="27"/>
      <c r="B327" s="4" t="s">
        <v>20</v>
      </c>
      <c r="C327" s="4" t="s">
        <v>7102</v>
      </c>
      <c r="D327" s="4" t="s">
        <v>148</v>
      </c>
      <c r="E327" s="4" t="s">
        <v>148</v>
      </c>
      <c r="F327" s="27"/>
      <c r="G327" s="27"/>
      <c r="H327" s="43" t="s">
        <v>7103</v>
      </c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</row>
    <row r="328">
      <c r="A328" s="27"/>
      <c r="B328" s="4" t="s">
        <v>20</v>
      </c>
      <c r="C328" s="4" t="s">
        <v>6769</v>
      </c>
      <c r="D328" s="4" t="s">
        <v>148</v>
      </c>
      <c r="E328" s="4" t="s">
        <v>148</v>
      </c>
      <c r="F328" s="4" t="s">
        <v>7104</v>
      </c>
      <c r="G328" s="27"/>
      <c r="H328" s="29" t="s">
        <v>7105</v>
      </c>
      <c r="I328" s="29" t="s">
        <v>7106</v>
      </c>
      <c r="J328" s="27"/>
      <c r="K328" s="27"/>
      <c r="L328" s="27"/>
      <c r="M328" s="27"/>
      <c r="N328" s="27"/>
      <c r="O328" s="27"/>
      <c r="P328" s="27"/>
      <c r="Q328" s="27"/>
      <c r="R328" s="27"/>
      <c r="S328" s="27"/>
    </row>
    <row r="329">
      <c r="A329" s="27"/>
      <c r="B329" s="4" t="s">
        <v>20</v>
      </c>
      <c r="C329" s="4" t="s">
        <v>7107</v>
      </c>
      <c r="D329" s="4" t="s">
        <v>148</v>
      </c>
      <c r="E329" s="4" t="s">
        <v>148</v>
      </c>
      <c r="F329" s="27"/>
      <c r="G329" s="27"/>
      <c r="H329" s="43" t="s">
        <v>7108</v>
      </c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</row>
    <row r="330">
      <c r="A330" s="27"/>
      <c r="B330" s="4" t="s">
        <v>20</v>
      </c>
      <c r="C330" s="4" t="s">
        <v>7109</v>
      </c>
      <c r="D330" s="4" t="s">
        <v>148</v>
      </c>
      <c r="E330" s="4" t="s">
        <v>148</v>
      </c>
      <c r="F330" s="27"/>
      <c r="G330" s="27"/>
      <c r="H330" s="43" t="s">
        <v>7110</v>
      </c>
      <c r="I330" s="29" t="s">
        <v>7111</v>
      </c>
      <c r="J330" s="29" t="s">
        <v>7112</v>
      </c>
      <c r="K330" s="27"/>
      <c r="L330" s="27"/>
      <c r="M330" s="27"/>
      <c r="N330" s="27"/>
      <c r="O330" s="27"/>
      <c r="P330" s="27"/>
      <c r="Q330" s="27"/>
      <c r="R330" s="27"/>
      <c r="S330" s="27"/>
    </row>
    <row r="331">
      <c r="A331" s="27"/>
      <c r="B331" s="4" t="s">
        <v>276</v>
      </c>
      <c r="C331" s="4" t="s">
        <v>7113</v>
      </c>
      <c r="D331" s="4" t="s">
        <v>148</v>
      </c>
      <c r="E331" s="4" t="s">
        <v>148</v>
      </c>
      <c r="F331" s="27"/>
      <c r="G331" s="27"/>
      <c r="H331" s="43" t="s">
        <v>7114</v>
      </c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</row>
    <row r="332">
      <c r="A332" s="27"/>
      <c r="B332" s="4" t="s">
        <v>20</v>
      </c>
      <c r="C332" s="4" t="s">
        <v>6769</v>
      </c>
      <c r="D332" s="4" t="s">
        <v>148</v>
      </c>
      <c r="E332" s="4" t="s">
        <v>148</v>
      </c>
      <c r="F332" s="4" t="s">
        <v>7115</v>
      </c>
      <c r="G332" s="27"/>
      <c r="H332" s="43" t="s">
        <v>7116</v>
      </c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</row>
    <row r="333">
      <c r="A333" s="27"/>
      <c r="B333" s="4" t="s">
        <v>20</v>
      </c>
      <c r="C333" s="4" t="s">
        <v>7117</v>
      </c>
      <c r="D333" s="4" t="s">
        <v>148</v>
      </c>
      <c r="E333" s="4" t="s">
        <v>148</v>
      </c>
      <c r="F333" s="27"/>
      <c r="G333" s="27"/>
      <c r="H333" s="43" t="s">
        <v>7118</v>
      </c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</row>
    <row r="334">
      <c r="A334" s="27"/>
      <c r="B334" s="4" t="s">
        <v>20</v>
      </c>
      <c r="C334" s="4" t="s">
        <v>7094</v>
      </c>
      <c r="D334" s="4" t="s">
        <v>148</v>
      </c>
      <c r="E334" s="4" t="s">
        <v>148</v>
      </c>
      <c r="F334" s="27"/>
      <c r="G334" s="27"/>
      <c r="H334" s="43" t="s">
        <v>7119</v>
      </c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</row>
    <row r="335">
      <c r="A335" s="27"/>
      <c r="B335" s="4" t="s">
        <v>20</v>
      </c>
      <c r="C335" s="4" t="s">
        <v>7120</v>
      </c>
      <c r="D335" s="4" t="s">
        <v>148</v>
      </c>
      <c r="E335" s="4" t="s">
        <v>148</v>
      </c>
      <c r="F335" s="27"/>
      <c r="G335" s="27"/>
      <c r="H335" s="43" t="s">
        <v>7121</v>
      </c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</row>
    <row r="336">
      <c r="A336" s="27"/>
      <c r="B336" s="4" t="s">
        <v>6703</v>
      </c>
      <c r="C336" s="4" t="s">
        <v>7122</v>
      </c>
      <c r="D336" s="4" t="s">
        <v>148</v>
      </c>
      <c r="E336" s="4" t="s">
        <v>148</v>
      </c>
      <c r="F336" s="27"/>
      <c r="G336" s="27"/>
      <c r="H336" s="29" t="s">
        <v>7123</v>
      </c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</row>
    <row r="337">
      <c r="A337" s="27"/>
      <c r="B337" s="4" t="s">
        <v>20</v>
      </c>
      <c r="C337" s="4" t="s">
        <v>7124</v>
      </c>
      <c r="D337" s="4" t="s">
        <v>148</v>
      </c>
      <c r="E337" s="4" t="s">
        <v>148</v>
      </c>
      <c r="F337" s="27"/>
      <c r="G337" s="27"/>
      <c r="H337" s="29" t="s">
        <v>7125</v>
      </c>
      <c r="I337" s="43" t="s">
        <v>7126</v>
      </c>
      <c r="J337" s="27"/>
      <c r="K337" s="27"/>
      <c r="L337" s="27"/>
      <c r="M337" s="27"/>
      <c r="N337" s="27"/>
      <c r="O337" s="27"/>
      <c r="P337" s="27"/>
      <c r="Q337" s="27"/>
      <c r="R337" s="27"/>
      <c r="S337" s="27"/>
    </row>
    <row r="338">
      <c r="A338" s="27"/>
      <c r="B338" s="4" t="s">
        <v>20</v>
      </c>
      <c r="C338" s="4" t="s">
        <v>7127</v>
      </c>
      <c r="D338" s="4" t="s">
        <v>148</v>
      </c>
      <c r="E338" s="4" t="s">
        <v>148</v>
      </c>
      <c r="F338" s="27"/>
      <c r="G338" s="27"/>
      <c r="H338" s="29" t="s">
        <v>7128</v>
      </c>
      <c r="I338" s="29" t="s">
        <v>7129</v>
      </c>
      <c r="J338" s="27"/>
      <c r="K338" s="27"/>
      <c r="L338" s="27"/>
      <c r="M338" s="27"/>
      <c r="N338" s="27"/>
      <c r="O338" s="27"/>
      <c r="P338" s="27"/>
      <c r="Q338" s="27"/>
      <c r="R338" s="27"/>
      <c r="S338" s="27"/>
    </row>
    <row r="339">
      <c r="A339" s="27"/>
      <c r="B339" s="4" t="s">
        <v>20</v>
      </c>
      <c r="C339" s="4" t="s">
        <v>7130</v>
      </c>
      <c r="D339" s="4" t="s">
        <v>148</v>
      </c>
      <c r="E339" s="4" t="s">
        <v>148</v>
      </c>
      <c r="F339" s="27"/>
      <c r="G339" s="27"/>
      <c r="H339" s="43" t="s">
        <v>7131</v>
      </c>
      <c r="I339" s="29" t="s">
        <v>7132</v>
      </c>
      <c r="J339" s="27"/>
      <c r="K339" s="27"/>
      <c r="L339" s="27"/>
      <c r="M339" s="27"/>
      <c r="N339" s="27"/>
      <c r="O339" s="27"/>
      <c r="P339" s="27"/>
      <c r="Q339" s="27"/>
      <c r="R339" s="27"/>
      <c r="S339" s="27"/>
    </row>
    <row r="340">
      <c r="A340" s="27"/>
      <c r="B340" s="4" t="s">
        <v>17</v>
      </c>
      <c r="C340" s="4" t="s">
        <v>1975</v>
      </c>
      <c r="D340" s="4" t="s">
        <v>148</v>
      </c>
      <c r="E340" s="4" t="s">
        <v>148</v>
      </c>
      <c r="F340" s="4" t="s">
        <v>7133</v>
      </c>
      <c r="G340" s="27"/>
      <c r="H340" s="43" t="s">
        <v>7134</v>
      </c>
      <c r="I340" s="27"/>
      <c r="J340" s="32" t="s">
        <v>318</v>
      </c>
      <c r="K340" s="27"/>
      <c r="L340" s="27"/>
      <c r="M340" s="27"/>
      <c r="N340" s="27"/>
      <c r="O340" s="27"/>
      <c r="P340" s="27"/>
      <c r="Q340" s="27"/>
      <c r="R340" s="27"/>
      <c r="S340" s="27"/>
    </row>
    <row r="341">
      <c r="A341" s="27"/>
      <c r="B341" s="4" t="s">
        <v>20</v>
      </c>
      <c r="C341" s="4" t="s">
        <v>678</v>
      </c>
      <c r="D341" s="4" t="s">
        <v>148</v>
      </c>
      <c r="E341" s="4" t="s">
        <v>148</v>
      </c>
      <c r="F341" s="4" t="s">
        <v>7135</v>
      </c>
      <c r="G341" s="27"/>
      <c r="H341" s="43" t="s">
        <v>7136</v>
      </c>
      <c r="I341" s="29" t="s">
        <v>7137</v>
      </c>
      <c r="J341" s="27"/>
      <c r="K341" s="27"/>
      <c r="L341" s="27"/>
      <c r="M341" s="27"/>
      <c r="N341" s="27"/>
      <c r="O341" s="27"/>
      <c r="P341" s="27"/>
      <c r="Q341" s="27"/>
      <c r="R341" s="27"/>
      <c r="S341" s="27"/>
    </row>
    <row r="342">
      <c r="A342" s="27"/>
      <c r="B342" s="4" t="s">
        <v>20</v>
      </c>
      <c r="C342" s="4" t="s">
        <v>7138</v>
      </c>
      <c r="D342" s="4" t="s">
        <v>148</v>
      </c>
      <c r="E342" s="4" t="s">
        <v>148</v>
      </c>
      <c r="F342" s="27"/>
      <c r="G342" s="27"/>
      <c r="H342" s="43" t="s">
        <v>7139</v>
      </c>
      <c r="I342" s="43" t="s">
        <v>7140</v>
      </c>
      <c r="J342" s="29" t="s">
        <v>7141</v>
      </c>
      <c r="K342" s="27"/>
      <c r="L342" s="27"/>
      <c r="M342" s="27"/>
      <c r="N342" s="27"/>
      <c r="O342" s="27"/>
      <c r="P342" s="27"/>
      <c r="Q342" s="27"/>
      <c r="R342" s="27"/>
      <c r="S342" s="27"/>
    </row>
    <row r="343">
      <c r="A343" s="27"/>
      <c r="B343" s="4" t="s">
        <v>20</v>
      </c>
      <c r="C343" s="4" t="s">
        <v>7142</v>
      </c>
      <c r="D343" s="4" t="s">
        <v>148</v>
      </c>
      <c r="E343" s="4" t="s">
        <v>148</v>
      </c>
      <c r="F343" s="27"/>
      <c r="G343" s="27"/>
      <c r="H343" s="29" t="s">
        <v>7143</v>
      </c>
      <c r="I343" s="27"/>
      <c r="J343" s="29" t="s">
        <v>7144</v>
      </c>
      <c r="K343" s="27"/>
      <c r="L343" s="27"/>
      <c r="M343" s="27"/>
      <c r="N343" s="27"/>
      <c r="O343" s="27"/>
      <c r="P343" s="27"/>
      <c r="Q343" s="27"/>
      <c r="R343" s="27"/>
      <c r="S343" s="27"/>
    </row>
    <row r="344">
      <c r="A344" s="27"/>
      <c r="B344" s="4" t="s">
        <v>20</v>
      </c>
      <c r="C344" s="4" t="s">
        <v>7145</v>
      </c>
      <c r="D344" s="4" t="s">
        <v>148</v>
      </c>
      <c r="E344" s="4" t="s">
        <v>148</v>
      </c>
      <c r="F344" s="27"/>
      <c r="G344" s="27"/>
      <c r="H344" s="43" t="s">
        <v>7146</v>
      </c>
      <c r="I344" s="29" t="s">
        <v>7147</v>
      </c>
      <c r="J344" s="27"/>
      <c r="K344" s="27"/>
      <c r="L344" s="27"/>
      <c r="M344" s="27"/>
      <c r="N344" s="27"/>
      <c r="O344" s="27"/>
      <c r="P344" s="27"/>
      <c r="Q344" s="27"/>
      <c r="R344" s="27"/>
      <c r="S344" s="27"/>
    </row>
    <row r="345">
      <c r="A345" s="27"/>
      <c r="B345" s="4" t="s">
        <v>20</v>
      </c>
      <c r="C345" s="4" t="s">
        <v>7148</v>
      </c>
      <c r="D345" s="4" t="s">
        <v>148</v>
      </c>
      <c r="E345" s="4" t="s">
        <v>148</v>
      </c>
      <c r="F345" s="27"/>
      <c r="G345" s="27"/>
      <c r="H345" s="43" t="s">
        <v>7149</v>
      </c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</row>
    <row r="346">
      <c r="A346" s="27"/>
      <c r="B346" s="4" t="s">
        <v>20</v>
      </c>
      <c r="C346" s="4" t="s">
        <v>7150</v>
      </c>
      <c r="D346" s="4" t="s">
        <v>148</v>
      </c>
      <c r="E346" s="4" t="s">
        <v>148</v>
      </c>
      <c r="F346" s="27"/>
      <c r="G346" s="27"/>
      <c r="H346" s="43" t="s">
        <v>7151</v>
      </c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</row>
    <row r="347">
      <c r="A347" s="27"/>
      <c r="B347" s="4" t="s">
        <v>20</v>
      </c>
      <c r="C347" s="4" t="s">
        <v>7152</v>
      </c>
      <c r="D347" s="4" t="s">
        <v>148</v>
      </c>
      <c r="E347" s="4" t="s">
        <v>148</v>
      </c>
      <c r="F347" s="27"/>
      <c r="G347" s="27"/>
      <c r="H347" s="43" t="s">
        <v>7153</v>
      </c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</row>
    <row r="348">
      <c r="A348" s="27"/>
      <c r="B348" s="4" t="s">
        <v>145</v>
      </c>
      <c r="C348" s="4" t="s">
        <v>7154</v>
      </c>
      <c r="D348" s="4" t="s">
        <v>148</v>
      </c>
      <c r="E348" s="4" t="s">
        <v>148</v>
      </c>
      <c r="F348" s="27"/>
      <c r="G348" s="27"/>
      <c r="H348" s="43" t="s">
        <v>7155</v>
      </c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</row>
    <row r="349">
      <c r="A349" s="27"/>
      <c r="B349" s="4" t="s">
        <v>20</v>
      </c>
      <c r="C349" s="4" t="s">
        <v>7156</v>
      </c>
      <c r="D349" s="4" t="s">
        <v>148</v>
      </c>
      <c r="E349" s="4" t="s">
        <v>148</v>
      </c>
      <c r="F349" s="27"/>
      <c r="G349" s="27"/>
      <c r="H349" s="43" t="s">
        <v>7157</v>
      </c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</row>
    <row r="350">
      <c r="A350" s="27"/>
      <c r="B350" s="4" t="s">
        <v>20</v>
      </c>
      <c r="C350" s="4" t="s">
        <v>7158</v>
      </c>
      <c r="D350" s="4" t="s">
        <v>148</v>
      </c>
      <c r="E350" s="4" t="s">
        <v>148</v>
      </c>
      <c r="F350" s="27"/>
      <c r="G350" s="27"/>
      <c r="H350" s="43" t="s">
        <v>7159</v>
      </c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</row>
    <row r="351">
      <c r="A351" s="27"/>
      <c r="B351" s="4" t="s">
        <v>20</v>
      </c>
      <c r="C351" s="4" t="s">
        <v>7160</v>
      </c>
      <c r="D351" s="4" t="s">
        <v>148</v>
      </c>
      <c r="E351" s="4" t="s">
        <v>148</v>
      </c>
      <c r="F351" s="27"/>
      <c r="G351" s="27"/>
      <c r="H351" s="43" t="s">
        <v>7161</v>
      </c>
      <c r="I351" s="43" t="s">
        <v>7162</v>
      </c>
      <c r="J351" s="27"/>
      <c r="K351" s="27"/>
      <c r="L351" s="27"/>
      <c r="M351" s="27"/>
      <c r="N351" s="27"/>
      <c r="O351" s="27"/>
      <c r="P351" s="27"/>
      <c r="Q351" s="27"/>
      <c r="R351" s="27"/>
      <c r="S351" s="27"/>
    </row>
    <row r="352">
      <c r="A352" s="27"/>
      <c r="B352" s="4" t="s">
        <v>20</v>
      </c>
      <c r="C352" s="4" t="s">
        <v>7163</v>
      </c>
      <c r="D352" s="4" t="s">
        <v>148</v>
      </c>
      <c r="E352" s="4" t="s">
        <v>148</v>
      </c>
      <c r="F352" s="27"/>
      <c r="G352" s="27"/>
      <c r="H352" s="43" t="s">
        <v>7164</v>
      </c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</row>
    <row r="353">
      <c r="A353" s="27"/>
      <c r="B353" s="4" t="s">
        <v>20</v>
      </c>
      <c r="C353" s="4" t="s">
        <v>763</v>
      </c>
      <c r="D353" s="4" t="s">
        <v>148</v>
      </c>
      <c r="E353" s="4" t="s">
        <v>148</v>
      </c>
      <c r="F353" s="27"/>
      <c r="G353" s="27"/>
      <c r="H353" s="43" t="s">
        <v>7165</v>
      </c>
      <c r="I353" s="43" t="s">
        <v>7166</v>
      </c>
      <c r="J353" s="43" t="s">
        <v>7167</v>
      </c>
      <c r="K353" s="27"/>
      <c r="L353" s="27"/>
      <c r="M353" s="27"/>
      <c r="N353" s="27"/>
      <c r="O353" s="27"/>
      <c r="P353" s="27"/>
      <c r="Q353" s="27"/>
      <c r="R353" s="27"/>
      <c r="S353" s="27"/>
    </row>
    <row r="354">
      <c r="A354" s="27"/>
      <c r="B354" s="4" t="s">
        <v>20</v>
      </c>
      <c r="C354" s="4" t="s">
        <v>7168</v>
      </c>
      <c r="D354" s="4" t="s">
        <v>148</v>
      </c>
      <c r="E354" s="4" t="s">
        <v>148</v>
      </c>
      <c r="F354" s="27"/>
      <c r="G354" s="27"/>
      <c r="H354" s="43" t="s">
        <v>7169</v>
      </c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</row>
    <row r="355">
      <c r="A355" s="27"/>
      <c r="B355" s="4" t="s">
        <v>276</v>
      </c>
      <c r="C355" s="4" t="s">
        <v>6704</v>
      </c>
      <c r="D355" s="4" t="s">
        <v>148</v>
      </c>
      <c r="E355" s="4" t="s">
        <v>148</v>
      </c>
      <c r="F355" s="27"/>
      <c r="G355" s="27"/>
      <c r="H355" s="43" t="s">
        <v>7170</v>
      </c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</row>
    <row r="356">
      <c r="A356" s="27"/>
      <c r="B356" s="4" t="s">
        <v>276</v>
      </c>
      <c r="C356" s="4" t="s">
        <v>7171</v>
      </c>
      <c r="D356" s="4" t="s">
        <v>148</v>
      </c>
      <c r="E356" s="4" t="s">
        <v>148</v>
      </c>
      <c r="F356" s="27"/>
      <c r="G356" s="27"/>
      <c r="H356" s="43" t="s">
        <v>7172</v>
      </c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</row>
    <row r="357">
      <c r="A357" s="27"/>
      <c r="B357" s="4" t="s">
        <v>20</v>
      </c>
      <c r="C357" s="4" t="s">
        <v>7173</v>
      </c>
      <c r="D357" s="4" t="s">
        <v>148</v>
      </c>
      <c r="E357" s="4" t="s">
        <v>148</v>
      </c>
      <c r="F357" s="27"/>
      <c r="G357" s="27"/>
      <c r="H357" s="43" t="s">
        <v>7174</v>
      </c>
      <c r="I357" s="27"/>
      <c r="J357" s="43" t="s">
        <v>7175</v>
      </c>
      <c r="K357" s="27"/>
      <c r="L357" s="27"/>
      <c r="M357" s="27"/>
      <c r="N357" s="27"/>
      <c r="O357" s="27"/>
      <c r="P357" s="27"/>
      <c r="Q357" s="27"/>
      <c r="R357" s="27"/>
      <c r="S357" s="27"/>
    </row>
    <row r="358">
      <c r="A358" s="27"/>
      <c r="B358" s="4" t="s">
        <v>20</v>
      </c>
      <c r="C358" s="4" t="s">
        <v>7176</v>
      </c>
      <c r="D358" s="4" t="s">
        <v>148</v>
      </c>
      <c r="E358" s="4" t="s">
        <v>148</v>
      </c>
      <c r="F358" s="4"/>
      <c r="G358" s="27"/>
      <c r="H358" s="43" t="s">
        <v>7177</v>
      </c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</row>
    <row r="359">
      <c r="A359" s="27"/>
      <c r="B359" s="4" t="s">
        <v>20</v>
      </c>
      <c r="C359" s="4" t="s">
        <v>7178</v>
      </c>
      <c r="D359" s="4" t="s">
        <v>148</v>
      </c>
      <c r="E359" s="4" t="s">
        <v>148</v>
      </c>
      <c r="F359" s="27"/>
      <c r="G359" s="27"/>
      <c r="H359" s="43" t="s">
        <v>7179</v>
      </c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</row>
    <row r="360">
      <c r="A360" s="27"/>
      <c r="B360" s="4" t="s">
        <v>20</v>
      </c>
      <c r="C360" s="4" t="s">
        <v>7180</v>
      </c>
      <c r="D360" s="4" t="s">
        <v>148</v>
      </c>
      <c r="E360" s="4" t="s">
        <v>148</v>
      </c>
      <c r="F360" s="27"/>
      <c r="G360" s="27"/>
      <c r="H360" s="43" t="s">
        <v>7181</v>
      </c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</row>
    <row r="361">
      <c r="A361" s="27"/>
      <c r="B361" s="4" t="s">
        <v>20</v>
      </c>
      <c r="C361" s="4" t="s">
        <v>7182</v>
      </c>
      <c r="D361" s="4" t="s">
        <v>148</v>
      </c>
      <c r="E361" s="4" t="s">
        <v>148</v>
      </c>
      <c r="F361" s="27"/>
      <c r="G361" s="27"/>
      <c r="H361" s="29" t="s">
        <v>7183</v>
      </c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</row>
    <row r="362">
      <c r="A362" s="27"/>
      <c r="B362" s="4" t="s">
        <v>20</v>
      </c>
      <c r="C362" s="4" t="s">
        <v>7184</v>
      </c>
      <c r="D362" s="4" t="s">
        <v>148</v>
      </c>
      <c r="E362" s="4" t="s">
        <v>148</v>
      </c>
      <c r="F362" s="27"/>
      <c r="G362" s="27"/>
      <c r="H362" s="43" t="s">
        <v>7185</v>
      </c>
      <c r="I362" s="27"/>
      <c r="J362" s="29" t="s">
        <v>7186</v>
      </c>
      <c r="K362" s="27"/>
      <c r="L362" s="27"/>
      <c r="M362" s="27"/>
      <c r="N362" s="27"/>
      <c r="O362" s="27"/>
      <c r="P362" s="27"/>
      <c r="Q362" s="27"/>
      <c r="R362" s="27"/>
      <c r="S362" s="27"/>
    </row>
    <row r="363">
      <c r="A363" s="27"/>
      <c r="B363" s="4" t="s">
        <v>20</v>
      </c>
      <c r="C363" s="4" t="s">
        <v>3815</v>
      </c>
      <c r="D363" s="4" t="s">
        <v>148</v>
      </c>
      <c r="E363" s="4" t="s">
        <v>148</v>
      </c>
      <c r="F363" s="27"/>
      <c r="G363" s="27"/>
      <c r="H363" s="43" t="s">
        <v>7187</v>
      </c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</row>
    <row r="364">
      <c r="A364" s="27"/>
      <c r="B364" s="4" t="s">
        <v>20</v>
      </c>
      <c r="C364" s="4" t="s">
        <v>7188</v>
      </c>
      <c r="D364" s="4" t="s">
        <v>148</v>
      </c>
      <c r="E364" s="4" t="s">
        <v>148</v>
      </c>
      <c r="F364" s="27"/>
      <c r="G364" s="27"/>
      <c r="H364" s="43" t="s">
        <v>7189</v>
      </c>
      <c r="I364" s="43" t="s">
        <v>7190</v>
      </c>
      <c r="J364" s="27"/>
      <c r="K364" s="27"/>
      <c r="L364" s="27"/>
      <c r="M364" s="27"/>
      <c r="N364" s="27"/>
      <c r="O364" s="27"/>
      <c r="P364" s="27"/>
      <c r="Q364" s="27"/>
      <c r="R364" s="27"/>
      <c r="S364" s="27"/>
    </row>
    <row r="365">
      <c r="A365" s="27"/>
      <c r="B365" s="4" t="s">
        <v>20</v>
      </c>
      <c r="C365" s="4" t="s">
        <v>7191</v>
      </c>
      <c r="D365" s="4" t="s">
        <v>148</v>
      </c>
      <c r="E365" s="4" t="s">
        <v>148</v>
      </c>
      <c r="F365" s="27"/>
      <c r="G365" s="27"/>
      <c r="H365" s="43" t="s">
        <v>7192</v>
      </c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</row>
    <row r="366">
      <c r="A366" s="27"/>
      <c r="B366" s="4" t="s">
        <v>20</v>
      </c>
      <c r="C366" s="4" t="s">
        <v>7193</v>
      </c>
      <c r="D366" s="4" t="s">
        <v>148</v>
      </c>
      <c r="E366" s="4" t="s">
        <v>148</v>
      </c>
      <c r="F366" s="27"/>
      <c r="G366" s="27"/>
      <c r="H366" s="43" t="s">
        <v>7194</v>
      </c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</row>
    <row r="367">
      <c r="A367" s="27"/>
      <c r="B367" s="4" t="s">
        <v>20</v>
      </c>
      <c r="C367" s="4" t="s">
        <v>7195</v>
      </c>
      <c r="D367" s="4" t="s">
        <v>148</v>
      </c>
      <c r="E367" s="4" t="s">
        <v>148</v>
      </c>
      <c r="F367" s="27"/>
      <c r="G367" s="27"/>
      <c r="H367" s="29" t="s">
        <v>7196</v>
      </c>
      <c r="I367" s="29" t="s">
        <v>7197</v>
      </c>
      <c r="J367" s="27"/>
      <c r="K367" s="27"/>
      <c r="L367" s="27"/>
      <c r="M367" s="27"/>
      <c r="N367" s="27"/>
      <c r="O367" s="27"/>
      <c r="P367" s="27"/>
      <c r="Q367" s="27"/>
      <c r="R367" s="27"/>
      <c r="S367" s="27"/>
    </row>
    <row r="368">
      <c r="A368" s="27"/>
      <c r="B368" s="4" t="s">
        <v>20</v>
      </c>
      <c r="C368" s="4" t="s">
        <v>7198</v>
      </c>
      <c r="D368" s="4" t="s">
        <v>148</v>
      </c>
      <c r="E368" s="4" t="s">
        <v>148</v>
      </c>
      <c r="F368" s="27"/>
      <c r="G368" s="27"/>
      <c r="H368" s="43" t="s">
        <v>7199</v>
      </c>
      <c r="I368" s="43" t="s">
        <v>7200</v>
      </c>
      <c r="J368" s="27"/>
      <c r="K368" s="27"/>
      <c r="L368" s="27"/>
      <c r="M368" s="27"/>
      <c r="N368" s="27"/>
      <c r="O368" s="27"/>
      <c r="P368" s="27"/>
      <c r="Q368" s="27"/>
      <c r="R368" s="27"/>
      <c r="S368" s="27"/>
    </row>
    <row r="369">
      <c r="A369" s="27"/>
      <c r="B369" s="4" t="s">
        <v>20</v>
      </c>
      <c r="C369" s="4" t="s">
        <v>6901</v>
      </c>
      <c r="D369" s="4" t="s">
        <v>148</v>
      </c>
      <c r="E369" s="4" t="s">
        <v>148</v>
      </c>
      <c r="F369" s="27"/>
      <c r="G369" s="27"/>
      <c r="H369" s="43" t="s">
        <v>7201</v>
      </c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</row>
    <row r="370">
      <c r="A370" s="27"/>
      <c r="B370" s="4" t="s">
        <v>20</v>
      </c>
      <c r="C370" s="4" t="s">
        <v>6697</v>
      </c>
      <c r="D370" s="4" t="s">
        <v>148</v>
      </c>
      <c r="E370" s="4" t="s">
        <v>148</v>
      </c>
      <c r="F370" s="4" t="s">
        <v>7202</v>
      </c>
      <c r="G370" s="27"/>
      <c r="H370" s="43" t="s">
        <v>7203</v>
      </c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</row>
    <row r="371">
      <c r="A371" s="27"/>
      <c r="B371" s="4" t="s">
        <v>20</v>
      </c>
      <c r="C371" s="4" t="s">
        <v>7204</v>
      </c>
      <c r="D371" s="4" t="s">
        <v>148</v>
      </c>
      <c r="E371" s="4" t="s">
        <v>148</v>
      </c>
      <c r="F371" s="4" t="s">
        <v>7205</v>
      </c>
      <c r="G371" s="27"/>
      <c r="H371" s="43" t="s">
        <v>7206</v>
      </c>
      <c r="I371" s="29" t="s">
        <v>7207</v>
      </c>
      <c r="J371" s="27"/>
      <c r="K371" s="27"/>
      <c r="L371" s="27"/>
      <c r="M371" s="27"/>
      <c r="N371" s="27"/>
      <c r="O371" s="27"/>
      <c r="P371" s="27"/>
      <c r="Q371" s="27"/>
      <c r="R371" s="27"/>
      <c r="S371" s="27"/>
    </row>
    <row r="372">
      <c r="A372" s="27"/>
      <c r="B372" s="4" t="s">
        <v>276</v>
      </c>
      <c r="C372" s="4" t="s">
        <v>7208</v>
      </c>
      <c r="D372" s="4" t="s">
        <v>148</v>
      </c>
      <c r="E372" s="4" t="s">
        <v>148</v>
      </c>
      <c r="F372" s="27"/>
      <c r="G372" s="27"/>
      <c r="H372" s="43" t="s">
        <v>7209</v>
      </c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</row>
    <row r="373">
      <c r="A373" s="27"/>
      <c r="B373" s="4" t="s">
        <v>20</v>
      </c>
      <c r="C373" s="4" t="s">
        <v>7210</v>
      </c>
      <c r="D373" s="4" t="s">
        <v>148</v>
      </c>
      <c r="E373" s="4" t="s">
        <v>148</v>
      </c>
      <c r="F373" s="27"/>
      <c r="G373" s="27"/>
      <c r="H373" s="43" t="s">
        <v>7211</v>
      </c>
      <c r="I373" s="43" t="s">
        <v>7212</v>
      </c>
      <c r="J373" s="43" t="s">
        <v>7213</v>
      </c>
      <c r="K373" s="27"/>
      <c r="L373" s="27"/>
      <c r="M373" s="27"/>
      <c r="N373" s="27"/>
      <c r="O373" s="27"/>
      <c r="P373" s="27"/>
      <c r="Q373" s="27"/>
      <c r="R373" s="27"/>
      <c r="S373" s="27"/>
    </row>
    <row r="374">
      <c r="A374" s="27"/>
      <c r="B374" s="4" t="s">
        <v>20</v>
      </c>
      <c r="C374" s="4" t="s">
        <v>7214</v>
      </c>
      <c r="D374" s="4" t="s">
        <v>148</v>
      </c>
      <c r="E374" s="4" t="s">
        <v>148</v>
      </c>
      <c r="F374" s="27"/>
      <c r="G374" s="27"/>
      <c r="H374" s="43" t="s">
        <v>7215</v>
      </c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</row>
    <row r="375">
      <c r="A375" s="27"/>
      <c r="B375" s="4" t="s">
        <v>20</v>
      </c>
      <c r="C375" s="4" t="s">
        <v>7216</v>
      </c>
      <c r="D375" s="4" t="s">
        <v>148</v>
      </c>
      <c r="E375" s="4" t="s">
        <v>148</v>
      </c>
      <c r="F375" s="27"/>
      <c r="G375" s="27"/>
      <c r="H375" s="43" t="s">
        <v>7217</v>
      </c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</row>
    <row r="376">
      <c r="A376" s="27"/>
      <c r="B376" s="4" t="s">
        <v>20</v>
      </c>
      <c r="C376" s="4" t="s">
        <v>7218</v>
      </c>
      <c r="D376" s="4" t="s">
        <v>148</v>
      </c>
      <c r="E376" s="4" t="s">
        <v>148</v>
      </c>
      <c r="F376" s="27"/>
      <c r="G376" s="27"/>
      <c r="H376" s="43" t="s">
        <v>7219</v>
      </c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</row>
    <row r="377">
      <c r="A377" s="27"/>
      <c r="B377" s="4" t="s">
        <v>20</v>
      </c>
      <c r="C377" s="4" t="s">
        <v>7220</v>
      </c>
      <c r="D377" s="4" t="s">
        <v>148</v>
      </c>
      <c r="E377" s="4" t="s">
        <v>148</v>
      </c>
      <c r="F377" s="4" t="s">
        <v>7205</v>
      </c>
      <c r="G377" s="27"/>
      <c r="H377" s="43" t="s">
        <v>7221</v>
      </c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</row>
    <row r="378">
      <c r="A378" s="27"/>
      <c r="B378" s="4" t="s">
        <v>20</v>
      </c>
      <c r="C378" s="4" t="s">
        <v>7222</v>
      </c>
      <c r="D378" s="4" t="s">
        <v>148</v>
      </c>
      <c r="E378" s="4" t="s">
        <v>148</v>
      </c>
      <c r="F378" s="27"/>
      <c r="G378" s="27"/>
      <c r="H378" s="29" t="s">
        <v>7223</v>
      </c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</row>
    <row r="379">
      <c r="A379" s="27"/>
      <c r="B379" s="4" t="s">
        <v>276</v>
      </c>
      <c r="C379" s="4" t="s">
        <v>1350</v>
      </c>
      <c r="D379" s="4" t="s">
        <v>148</v>
      </c>
      <c r="E379" s="4" t="s">
        <v>148</v>
      </c>
      <c r="F379" s="27"/>
      <c r="G379" s="27"/>
      <c r="H379" s="43" t="s">
        <v>7224</v>
      </c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</row>
    <row r="380">
      <c r="A380" s="27"/>
      <c r="B380" s="4" t="s">
        <v>20</v>
      </c>
      <c r="C380" s="4" t="s">
        <v>7225</v>
      </c>
      <c r="D380" s="4" t="s">
        <v>148</v>
      </c>
      <c r="E380" s="4" t="s">
        <v>148</v>
      </c>
      <c r="F380" s="27"/>
      <c r="G380" s="27"/>
      <c r="H380" s="29" t="s">
        <v>7226</v>
      </c>
      <c r="I380" s="27"/>
      <c r="J380" s="43" t="s">
        <v>7227</v>
      </c>
      <c r="K380" s="27"/>
      <c r="L380" s="27"/>
      <c r="M380" s="27"/>
      <c r="N380" s="27"/>
      <c r="O380" s="27"/>
      <c r="P380" s="27"/>
      <c r="Q380" s="27"/>
      <c r="R380" s="27"/>
      <c r="S380" s="27"/>
    </row>
    <row r="381">
      <c r="A381" s="27"/>
      <c r="B381" s="4" t="s">
        <v>20</v>
      </c>
      <c r="C381" s="4" t="s">
        <v>7228</v>
      </c>
      <c r="D381" s="4" t="s">
        <v>148</v>
      </c>
      <c r="E381" s="4" t="s">
        <v>148</v>
      </c>
      <c r="F381" s="27"/>
      <c r="G381" s="27"/>
      <c r="H381" s="43" t="s">
        <v>7229</v>
      </c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</row>
    <row r="382">
      <c r="A382" s="27"/>
      <c r="B382" s="4" t="s">
        <v>20</v>
      </c>
      <c r="C382" s="4" t="s">
        <v>7230</v>
      </c>
      <c r="D382" s="4" t="s">
        <v>148</v>
      </c>
      <c r="E382" s="4" t="s">
        <v>148</v>
      </c>
      <c r="F382" s="27"/>
      <c r="G382" s="27"/>
      <c r="H382" s="43" t="s">
        <v>7231</v>
      </c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</row>
    <row r="383">
      <c r="A383" s="27"/>
      <c r="B383" s="4" t="s">
        <v>20</v>
      </c>
      <c r="C383" s="4" t="s">
        <v>7232</v>
      </c>
      <c r="D383" s="4" t="s">
        <v>148</v>
      </c>
      <c r="E383" s="4" t="s">
        <v>148</v>
      </c>
      <c r="F383" s="27"/>
      <c r="G383" s="27"/>
      <c r="H383" s="43" t="s">
        <v>7233</v>
      </c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</row>
    <row r="384">
      <c r="A384" s="27"/>
      <c r="B384" s="4" t="s">
        <v>20</v>
      </c>
      <c r="C384" s="4" t="s">
        <v>7234</v>
      </c>
      <c r="D384" s="4" t="s">
        <v>148</v>
      </c>
      <c r="E384" s="4" t="s">
        <v>148</v>
      </c>
      <c r="F384" s="27"/>
      <c r="G384" s="27"/>
      <c r="H384" s="43" t="s">
        <v>7235</v>
      </c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</row>
    <row r="385">
      <c r="A385" s="27"/>
      <c r="B385" s="4" t="s">
        <v>20</v>
      </c>
      <c r="C385" s="4" t="s">
        <v>1302</v>
      </c>
      <c r="D385" s="4" t="s">
        <v>148</v>
      </c>
      <c r="E385" s="4" t="s">
        <v>148</v>
      </c>
      <c r="F385" s="27"/>
      <c r="G385" s="27"/>
      <c r="H385" s="43" t="s">
        <v>7236</v>
      </c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</row>
    <row r="386">
      <c r="A386" s="27"/>
      <c r="B386" s="4" t="s">
        <v>20</v>
      </c>
      <c r="C386" s="4" t="s">
        <v>7237</v>
      </c>
      <c r="D386" s="4" t="s">
        <v>148</v>
      </c>
      <c r="E386" s="4" t="s">
        <v>148</v>
      </c>
      <c r="F386" s="27"/>
      <c r="G386" s="27"/>
      <c r="H386" s="43" t="s">
        <v>7238</v>
      </c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</row>
    <row r="387">
      <c r="A387" s="27"/>
      <c r="B387" s="4" t="s">
        <v>276</v>
      </c>
      <c r="C387" s="4" t="s">
        <v>7239</v>
      </c>
      <c r="D387" s="4" t="s">
        <v>148</v>
      </c>
      <c r="E387" s="4" t="s">
        <v>148</v>
      </c>
      <c r="F387" s="27"/>
      <c r="G387" s="27"/>
      <c r="H387" s="43" t="s">
        <v>7240</v>
      </c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</row>
    <row r="388">
      <c r="A388" s="27"/>
      <c r="B388" s="4" t="s">
        <v>20</v>
      </c>
      <c r="C388" s="4" t="s">
        <v>7241</v>
      </c>
      <c r="D388" s="4" t="s">
        <v>148</v>
      </c>
      <c r="E388" s="4" t="s">
        <v>148</v>
      </c>
      <c r="F388" s="27"/>
      <c r="G388" s="27"/>
      <c r="H388" s="43" t="s">
        <v>7242</v>
      </c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</row>
    <row r="389">
      <c r="A389" s="27"/>
      <c r="B389" s="4" t="s">
        <v>20</v>
      </c>
      <c r="C389" s="4" t="s">
        <v>7243</v>
      </c>
      <c r="D389" s="4" t="s">
        <v>148</v>
      </c>
      <c r="E389" s="4" t="s">
        <v>148</v>
      </c>
      <c r="F389" s="27"/>
      <c r="G389" s="27"/>
      <c r="H389" s="43" t="s">
        <v>7244</v>
      </c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</row>
    <row r="390">
      <c r="A390" s="27"/>
      <c r="B390" s="4" t="s">
        <v>20</v>
      </c>
      <c r="C390" s="4" t="s">
        <v>7245</v>
      </c>
      <c r="D390" s="4" t="s">
        <v>148</v>
      </c>
      <c r="E390" s="4" t="s">
        <v>148</v>
      </c>
      <c r="F390" s="27"/>
      <c r="G390" s="27"/>
      <c r="H390" s="43" t="s">
        <v>7246</v>
      </c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</row>
    <row r="391">
      <c r="A391" s="27"/>
      <c r="B391" s="4" t="s">
        <v>276</v>
      </c>
      <c r="C391" s="4" t="s">
        <v>7247</v>
      </c>
      <c r="D391" s="4" t="s">
        <v>148</v>
      </c>
      <c r="E391" s="4" t="s">
        <v>148</v>
      </c>
      <c r="F391" s="27"/>
      <c r="G391" s="27"/>
      <c r="H391" s="29" t="s">
        <v>7248</v>
      </c>
      <c r="I391" s="43" t="s">
        <v>7249</v>
      </c>
      <c r="J391" s="27"/>
      <c r="K391" s="27"/>
      <c r="L391" s="27"/>
      <c r="M391" s="27"/>
      <c r="N391" s="27"/>
      <c r="O391" s="27"/>
      <c r="P391" s="27"/>
      <c r="Q391" s="27"/>
      <c r="R391" s="27"/>
      <c r="S391" s="27"/>
    </row>
    <row r="392">
      <c r="A392" s="27"/>
      <c r="B392" s="4" t="s">
        <v>20</v>
      </c>
      <c r="C392" s="4" t="s">
        <v>7250</v>
      </c>
      <c r="D392" s="4" t="s">
        <v>148</v>
      </c>
      <c r="E392" s="4" t="s">
        <v>148</v>
      </c>
      <c r="F392" s="27"/>
      <c r="G392" s="27"/>
      <c r="H392" s="43" t="s">
        <v>7251</v>
      </c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</row>
    <row r="393">
      <c r="A393" s="27"/>
      <c r="B393" s="4" t="s">
        <v>20</v>
      </c>
      <c r="C393" s="4" t="s">
        <v>7252</v>
      </c>
      <c r="D393" s="4" t="s">
        <v>148</v>
      </c>
      <c r="E393" s="4" t="s">
        <v>148</v>
      </c>
      <c r="F393" s="27"/>
      <c r="G393" s="27"/>
      <c r="H393" s="43" t="s">
        <v>7253</v>
      </c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</row>
    <row r="394">
      <c r="A394" s="27"/>
      <c r="B394" s="4" t="s">
        <v>20</v>
      </c>
      <c r="C394" s="4" t="s">
        <v>7254</v>
      </c>
      <c r="D394" s="4" t="s">
        <v>148</v>
      </c>
      <c r="E394" s="4" t="s">
        <v>148</v>
      </c>
      <c r="F394" s="27"/>
      <c r="G394" s="27"/>
      <c r="H394" s="43" t="s">
        <v>7255</v>
      </c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</row>
    <row r="395">
      <c r="A395" s="27"/>
      <c r="B395" s="4" t="s">
        <v>20</v>
      </c>
      <c r="C395" s="4" t="s">
        <v>7256</v>
      </c>
      <c r="D395" s="4" t="s">
        <v>148</v>
      </c>
      <c r="E395" s="4" t="s">
        <v>148</v>
      </c>
      <c r="F395" s="27"/>
      <c r="G395" s="27"/>
      <c r="H395" s="43" t="s">
        <v>7257</v>
      </c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</row>
    <row r="396">
      <c r="A396" s="27"/>
      <c r="B396" s="4" t="s">
        <v>20</v>
      </c>
      <c r="C396" s="4" t="s">
        <v>7258</v>
      </c>
      <c r="D396" s="4" t="s">
        <v>148</v>
      </c>
      <c r="E396" s="4" t="s">
        <v>148</v>
      </c>
      <c r="F396" s="27"/>
      <c r="G396" s="27"/>
      <c r="H396" s="29" t="s">
        <v>7259</v>
      </c>
      <c r="I396" s="29" t="s">
        <v>7260</v>
      </c>
      <c r="J396" s="27"/>
      <c r="K396" s="27"/>
      <c r="L396" s="27"/>
      <c r="M396" s="27"/>
      <c r="N396" s="27"/>
      <c r="O396" s="27"/>
      <c r="P396" s="27"/>
      <c r="Q396" s="27"/>
      <c r="R396" s="27"/>
      <c r="S396" s="27"/>
    </row>
    <row r="397">
      <c r="A397" s="4"/>
      <c r="B397" s="4" t="s">
        <v>20</v>
      </c>
      <c r="C397" s="4" t="s">
        <v>2804</v>
      </c>
      <c r="D397" s="4" t="s">
        <v>148</v>
      </c>
      <c r="E397" s="4" t="s">
        <v>148</v>
      </c>
      <c r="F397" s="27"/>
      <c r="G397" s="27"/>
      <c r="H397" s="43" t="s">
        <v>7261</v>
      </c>
      <c r="I397" s="29" t="s">
        <v>7262</v>
      </c>
      <c r="J397" s="27"/>
      <c r="K397" s="27"/>
      <c r="L397" s="27"/>
      <c r="M397" s="27"/>
      <c r="N397" s="27"/>
      <c r="O397" s="27"/>
      <c r="P397" s="27"/>
      <c r="Q397" s="27"/>
      <c r="R397" s="27"/>
      <c r="S397" s="27"/>
    </row>
    <row r="398">
      <c r="A398" s="4"/>
      <c r="B398" s="4" t="s">
        <v>220</v>
      </c>
      <c r="C398" s="4" t="s">
        <v>7263</v>
      </c>
      <c r="D398" s="4" t="s">
        <v>148</v>
      </c>
      <c r="E398" s="4" t="s">
        <v>148</v>
      </c>
      <c r="F398" s="27"/>
      <c r="G398" s="27"/>
      <c r="H398" s="29" t="s">
        <v>7264</v>
      </c>
      <c r="I398" s="32"/>
      <c r="J398" s="27"/>
      <c r="K398" s="27"/>
      <c r="L398" s="98" t="s">
        <v>7265</v>
      </c>
      <c r="M398" s="27"/>
      <c r="N398" s="27"/>
      <c r="O398" s="27"/>
      <c r="P398" s="27"/>
      <c r="Q398" s="27"/>
      <c r="R398" s="27"/>
      <c r="S398" s="27"/>
    </row>
    <row r="399">
      <c r="A399" s="114"/>
      <c r="B399" s="8" t="s">
        <v>20</v>
      </c>
      <c r="C399" s="8" t="s">
        <v>7266</v>
      </c>
      <c r="D399" s="8" t="s">
        <v>148</v>
      </c>
      <c r="E399" s="8" t="s">
        <v>148</v>
      </c>
      <c r="F399" s="5"/>
      <c r="J399" s="157" t="s">
        <v>6979</v>
      </c>
      <c r="L399" s="5"/>
    </row>
    <row r="400">
      <c r="A400" s="114"/>
      <c r="B400" s="8" t="s">
        <v>20</v>
      </c>
      <c r="C400" s="21" t="s">
        <v>7267</v>
      </c>
      <c r="D400" s="8" t="s">
        <v>148</v>
      </c>
      <c r="E400" s="8" t="s">
        <v>148</v>
      </c>
      <c r="J400" s="12" t="s">
        <v>7268</v>
      </c>
    </row>
    <row r="401">
      <c r="B401" s="8" t="s">
        <v>276</v>
      </c>
      <c r="C401" s="8" t="s">
        <v>7269</v>
      </c>
      <c r="D401" s="8" t="s">
        <v>148</v>
      </c>
      <c r="E401" s="8" t="s">
        <v>148</v>
      </c>
      <c r="H401" s="9" t="s">
        <v>7270</v>
      </c>
      <c r="J401" s="12" t="s">
        <v>7271</v>
      </c>
    </row>
    <row r="402">
      <c r="B402" s="8" t="s">
        <v>17</v>
      </c>
      <c r="C402" s="8" t="s">
        <v>7272</v>
      </c>
      <c r="D402" s="8" t="s">
        <v>148</v>
      </c>
      <c r="E402" s="8" t="s">
        <v>148</v>
      </c>
      <c r="J402" s="12" t="s">
        <v>7273</v>
      </c>
    </row>
    <row r="403">
      <c r="B403" s="8" t="s">
        <v>17</v>
      </c>
      <c r="C403" s="21" t="s">
        <v>7274</v>
      </c>
      <c r="D403" s="8" t="s">
        <v>148</v>
      </c>
      <c r="E403" s="8" t="s">
        <v>148</v>
      </c>
      <c r="J403" s="12" t="s">
        <v>7275</v>
      </c>
    </row>
    <row r="404">
      <c r="B404" s="8" t="s">
        <v>20</v>
      </c>
      <c r="C404" s="8" t="s">
        <v>804</v>
      </c>
      <c r="D404" s="8" t="s">
        <v>148</v>
      </c>
      <c r="E404" s="8" t="s">
        <v>148</v>
      </c>
      <c r="H404" s="12" t="s">
        <v>7276</v>
      </c>
    </row>
    <row r="405">
      <c r="B405" s="8" t="s">
        <v>20</v>
      </c>
      <c r="C405" s="8" t="s">
        <v>7277</v>
      </c>
      <c r="D405" s="8" t="s">
        <v>148</v>
      </c>
      <c r="E405" s="8" t="s">
        <v>7278</v>
      </c>
      <c r="J405" s="12" t="s">
        <v>7279</v>
      </c>
    </row>
    <row r="406">
      <c r="B406" s="8" t="s">
        <v>17</v>
      </c>
      <c r="C406" s="8" t="s">
        <v>5319</v>
      </c>
      <c r="D406" s="8" t="s">
        <v>148</v>
      </c>
      <c r="E406" s="8" t="s">
        <v>148</v>
      </c>
      <c r="J406" s="12" t="s">
        <v>7280</v>
      </c>
    </row>
    <row r="407">
      <c r="B407" s="8" t="s">
        <v>20</v>
      </c>
      <c r="C407" s="8" t="s">
        <v>7281</v>
      </c>
      <c r="D407" s="8" t="s">
        <v>148</v>
      </c>
      <c r="E407" s="8" t="s">
        <v>148</v>
      </c>
      <c r="J407" s="12" t="s">
        <v>7282</v>
      </c>
    </row>
    <row r="408">
      <c r="B408" s="8" t="s">
        <v>20</v>
      </c>
      <c r="C408" s="8" t="s">
        <v>6822</v>
      </c>
      <c r="D408" s="8" t="s">
        <v>148</v>
      </c>
      <c r="E408" s="8" t="s">
        <v>159</v>
      </c>
      <c r="J408" s="12" t="s">
        <v>6824</v>
      </c>
    </row>
    <row r="409">
      <c r="B409" s="8" t="s">
        <v>17</v>
      </c>
      <c r="C409" s="8" t="s">
        <v>1334</v>
      </c>
      <c r="D409" s="8" t="s">
        <v>148</v>
      </c>
      <c r="E409" s="8" t="s">
        <v>6721</v>
      </c>
      <c r="J409" s="12" t="s">
        <v>7283</v>
      </c>
    </row>
    <row r="410">
      <c r="B410" s="8" t="s">
        <v>20</v>
      </c>
      <c r="C410" s="8" t="s">
        <v>7284</v>
      </c>
      <c r="D410" s="8" t="s">
        <v>148</v>
      </c>
      <c r="E410" s="8" t="s">
        <v>148</v>
      </c>
      <c r="J410" s="12" t="s">
        <v>7285</v>
      </c>
    </row>
    <row r="411">
      <c r="B411" s="8" t="s">
        <v>20</v>
      </c>
      <c r="C411" s="8" t="s">
        <v>7286</v>
      </c>
      <c r="D411" s="8" t="s">
        <v>148</v>
      </c>
      <c r="E411" s="8" t="s">
        <v>7287</v>
      </c>
      <c r="J411" s="12" t="s">
        <v>7288</v>
      </c>
    </row>
    <row r="412">
      <c r="B412" s="8" t="s">
        <v>20</v>
      </c>
      <c r="C412" s="8" t="s">
        <v>7289</v>
      </c>
      <c r="D412" s="8" t="s">
        <v>148</v>
      </c>
      <c r="E412" s="8" t="s">
        <v>148</v>
      </c>
      <c r="J412" s="12" t="s">
        <v>7290</v>
      </c>
    </row>
    <row r="413">
      <c r="B413" s="8" t="s">
        <v>20</v>
      </c>
      <c r="C413" s="8" t="s">
        <v>7291</v>
      </c>
      <c r="D413" s="8" t="s">
        <v>148</v>
      </c>
      <c r="E413" s="8" t="s">
        <v>148</v>
      </c>
      <c r="J413" s="12" t="s">
        <v>7292</v>
      </c>
    </row>
    <row r="414">
      <c r="B414" s="8" t="s">
        <v>20</v>
      </c>
      <c r="C414" s="8" t="s">
        <v>7293</v>
      </c>
      <c r="D414" s="8" t="s">
        <v>148</v>
      </c>
      <c r="E414" s="8" t="s">
        <v>7293</v>
      </c>
      <c r="J414" s="12" t="s">
        <v>7294</v>
      </c>
    </row>
    <row r="415">
      <c r="B415" s="8" t="s">
        <v>20</v>
      </c>
      <c r="C415" s="8" t="s">
        <v>7295</v>
      </c>
      <c r="D415" s="8" t="s">
        <v>148</v>
      </c>
      <c r="E415" s="8" t="s">
        <v>148</v>
      </c>
      <c r="J415" s="12" t="s">
        <v>7296</v>
      </c>
    </row>
    <row r="416">
      <c r="B416" s="5"/>
      <c r="E416" s="8"/>
    </row>
    <row r="417">
      <c r="B417" s="5"/>
      <c r="E417" s="8"/>
    </row>
    <row r="418">
      <c r="B418" s="5"/>
      <c r="E418" s="8"/>
    </row>
    <row r="419">
      <c r="B419" s="5"/>
      <c r="E419" s="8"/>
    </row>
    <row r="420">
      <c r="B420" s="5"/>
      <c r="E420" s="8"/>
    </row>
    <row r="421">
      <c r="B421" s="5"/>
      <c r="E421" s="8"/>
    </row>
    <row r="422">
      <c r="B422" s="5"/>
      <c r="E422" s="8"/>
    </row>
    <row r="423">
      <c r="B423" s="5"/>
      <c r="E423" s="8"/>
    </row>
    <row r="424">
      <c r="B424" s="5"/>
      <c r="E424" s="8"/>
    </row>
    <row r="425">
      <c r="B425" s="5"/>
      <c r="E425" s="8"/>
    </row>
    <row r="426">
      <c r="B426" s="5"/>
      <c r="E426" s="8"/>
    </row>
    <row r="427">
      <c r="B427" s="5"/>
      <c r="E427" s="8"/>
    </row>
    <row r="428">
      <c r="B428" s="5"/>
      <c r="E428" s="8"/>
    </row>
    <row r="429">
      <c r="B429" s="5"/>
      <c r="E429" s="8"/>
    </row>
    <row r="430">
      <c r="B430" s="5"/>
      <c r="E430" s="8"/>
    </row>
    <row r="431">
      <c r="B431" s="5"/>
      <c r="E431" s="8"/>
    </row>
    <row r="432">
      <c r="B432" s="5"/>
      <c r="E432" s="8"/>
    </row>
    <row r="433">
      <c r="B433" s="5"/>
      <c r="E433" s="8"/>
    </row>
    <row r="434">
      <c r="B434" s="5"/>
      <c r="E434" s="8"/>
    </row>
    <row r="435">
      <c r="B435" s="5"/>
      <c r="E435" s="8"/>
    </row>
    <row r="436">
      <c r="B436" s="5"/>
      <c r="E436" s="8"/>
    </row>
    <row r="437">
      <c r="B437" s="5"/>
      <c r="E437" s="8"/>
    </row>
    <row r="438">
      <c r="B438" s="5"/>
      <c r="E438" s="8"/>
    </row>
    <row r="439">
      <c r="B439" s="5"/>
      <c r="E439" s="8"/>
    </row>
    <row r="440">
      <c r="B440" s="5"/>
      <c r="E440" s="8"/>
    </row>
    <row r="441">
      <c r="B441" s="5"/>
      <c r="E441" s="8"/>
    </row>
    <row r="442">
      <c r="B442" s="5"/>
      <c r="E442" s="8"/>
    </row>
    <row r="443">
      <c r="B443" s="5"/>
      <c r="E443" s="8"/>
    </row>
    <row r="444">
      <c r="B444" s="5"/>
      <c r="E444" s="8"/>
    </row>
    <row r="445">
      <c r="B445" s="5"/>
      <c r="E445" s="8"/>
    </row>
    <row r="446">
      <c r="B446" s="5"/>
      <c r="E446" s="8"/>
    </row>
    <row r="447">
      <c r="B447" s="5"/>
      <c r="E447" s="8"/>
    </row>
    <row r="448">
      <c r="B448" s="5"/>
      <c r="E448" s="8"/>
    </row>
    <row r="449">
      <c r="B449" s="5"/>
      <c r="E449" s="8"/>
    </row>
    <row r="450">
      <c r="B450" s="5"/>
      <c r="E450" s="8"/>
    </row>
    <row r="451">
      <c r="B451" s="5"/>
      <c r="E451" s="8"/>
    </row>
    <row r="452">
      <c r="B452" s="5"/>
      <c r="E452" s="8"/>
    </row>
    <row r="453">
      <c r="B453" s="5"/>
      <c r="E453" s="8"/>
    </row>
    <row r="454">
      <c r="B454" s="5"/>
      <c r="E454" s="8"/>
    </row>
    <row r="455">
      <c r="B455" s="5"/>
      <c r="E455" s="8"/>
    </row>
    <row r="456">
      <c r="B456" s="5"/>
      <c r="E456" s="8"/>
    </row>
    <row r="457">
      <c r="B457" s="5"/>
      <c r="E457" s="8"/>
    </row>
    <row r="458">
      <c r="B458" s="5"/>
      <c r="E458" s="8"/>
    </row>
    <row r="459">
      <c r="B459" s="5"/>
      <c r="E459" s="8"/>
    </row>
    <row r="460">
      <c r="B460" s="5"/>
      <c r="E460" s="8"/>
    </row>
    <row r="461">
      <c r="B461" s="5"/>
      <c r="E461" s="8"/>
    </row>
    <row r="462">
      <c r="B462" s="5"/>
      <c r="E462" s="8"/>
    </row>
    <row r="463">
      <c r="B463" s="5"/>
      <c r="E463" s="8"/>
    </row>
    <row r="464">
      <c r="B464" s="5"/>
      <c r="E464" s="8"/>
    </row>
    <row r="465">
      <c r="B465" s="5"/>
      <c r="E465" s="8"/>
    </row>
    <row r="466">
      <c r="B466" s="5"/>
      <c r="E466" s="8"/>
    </row>
    <row r="467">
      <c r="B467" s="5"/>
      <c r="E467" s="8"/>
    </row>
    <row r="468">
      <c r="B468" s="5"/>
      <c r="E468" s="8"/>
    </row>
    <row r="469">
      <c r="B469" s="5"/>
      <c r="E469" s="8"/>
    </row>
    <row r="470">
      <c r="B470" s="5"/>
      <c r="E470" s="8"/>
    </row>
    <row r="471">
      <c r="B471" s="5"/>
      <c r="E471" s="8"/>
    </row>
    <row r="472">
      <c r="B472" s="5"/>
      <c r="E472" s="8"/>
    </row>
    <row r="473">
      <c r="B473" s="5"/>
      <c r="E473" s="8"/>
    </row>
    <row r="474">
      <c r="B474" s="5"/>
      <c r="E474" s="8"/>
    </row>
    <row r="475">
      <c r="B475" s="5"/>
      <c r="E475" s="8"/>
    </row>
    <row r="476">
      <c r="B476" s="5"/>
      <c r="E476" s="8"/>
    </row>
    <row r="477">
      <c r="B477" s="5"/>
      <c r="E477" s="8"/>
    </row>
    <row r="478">
      <c r="B478" s="5"/>
      <c r="E478" s="8"/>
    </row>
    <row r="479">
      <c r="B479" s="5"/>
      <c r="E479" s="8"/>
    </row>
    <row r="480">
      <c r="B480" s="5"/>
      <c r="E480" s="8"/>
    </row>
    <row r="481">
      <c r="B481" s="5"/>
      <c r="E481" s="8"/>
    </row>
    <row r="482">
      <c r="B482" s="5"/>
      <c r="E482" s="8"/>
    </row>
    <row r="483">
      <c r="B483" s="5"/>
      <c r="E483" s="8"/>
    </row>
    <row r="484">
      <c r="B484" s="5"/>
      <c r="E484" s="8"/>
    </row>
    <row r="485">
      <c r="B485" s="5"/>
      <c r="E485" s="8"/>
    </row>
    <row r="486">
      <c r="B486" s="5"/>
      <c r="E486" s="8"/>
    </row>
    <row r="487">
      <c r="B487" s="5"/>
      <c r="E487" s="8"/>
    </row>
    <row r="488">
      <c r="B488" s="5"/>
      <c r="E488" s="8"/>
    </row>
    <row r="489">
      <c r="B489" s="5"/>
      <c r="E489" s="8"/>
    </row>
    <row r="490">
      <c r="B490" s="5"/>
      <c r="E490" s="8"/>
    </row>
    <row r="491">
      <c r="B491" s="5"/>
      <c r="E491" s="8"/>
    </row>
    <row r="492">
      <c r="B492" s="5"/>
      <c r="E492" s="8"/>
    </row>
    <row r="493">
      <c r="B493" s="5"/>
      <c r="E493" s="8"/>
    </row>
    <row r="494">
      <c r="B494" s="5"/>
      <c r="E494" s="8"/>
    </row>
    <row r="495">
      <c r="B495" s="5"/>
      <c r="E495" s="8"/>
    </row>
    <row r="496">
      <c r="B496" s="5"/>
      <c r="E496" s="8"/>
    </row>
    <row r="497">
      <c r="B497" s="5"/>
      <c r="E497" s="8"/>
    </row>
    <row r="498">
      <c r="B498" s="5"/>
      <c r="E498" s="8"/>
    </row>
    <row r="499">
      <c r="B499" s="5"/>
      <c r="E499" s="8"/>
    </row>
    <row r="500">
      <c r="B500" s="5"/>
      <c r="E500" s="8"/>
    </row>
    <row r="501">
      <c r="B501" s="5"/>
      <c r="E501" s="8"/>
    </row>
    <row r="502">
      <c r="B502" s="5"/>
      <c r="E502" s="8"/>
    </row>
    <row r="503">
      <c r="B503" s="5"/>
      <c r="E503" s="8"/>
    </row>
    <row r="504">
      <c r="B504" s="5"/>
      <c r="E504" s="8"/>
    </row>
    <row r="505">
      <c r="B505" s="5"/>
      <c r="E505" s="8"/>
    </row>
    <row r="506">
      <c r="B506" s="5"/>
      <c r="E506" s="8"/>
    </row>
    <row r="507">
      <c r="B507" s="5"/>
      <c r="E507" s="8"/>
    </row>
    <row r="508">
      <c r="B508" s="5"/>
      <c r="E508" s="8"/>
    </row>
    <row r="509">
      <c r="B509" s="5"/>
      <c r="E509" s="8"/>
    </row>
    <row r="510">
      <c r="B510" s="5"/>
      <c r="E510" s="8"/>
    </row>
    <row r="511">
      <c r="B511" s="5"/>
      <c r="E511" s="8"/>
    </row>
    <row r="512">
      <c r="B512" s="5"/>
      <c r="E512" s="8"/>
    </row>
    <row r="513">
      <c r="B513" s="5"/>
      <c r="E513" s="8"/>
    </row>
    <row r="514">
      <c r="B514" s="5"/>
      <c r="E514" s="8"/>
    </row>
    <row r="515">
      <c r="B515" s="5"/>
      <c r="E515" s="8"/>
    </row>
    <row r="516">
      <c r="B516" s="5"/>
      <c r="E516" s="8"/>
    </row>
    <row r="517">
      <c r="B517" s="5"/>
      <c r="E517" s="8"/>
    </row>
    <row r="518">
      <c r="B518" s="5"/>
      <c r="E518" s="8"/>
    </row>
    <row r="519">
      <c r="B519" s="5"/>
      <c r="E519" s="8"/>
    </row>
    <row r="520">
      <c r="B520" s="5"/>
      <c r="E520" s="8"/>
    </row>
    <row r="521">
      <c r="B521" s="5"/>
      <c r="E521" s="8"/>
    </row>
    <row r="522">
      <c r="B522" s="5"/>
      <c r="E522" s="8"/>
    </row>
    <row r="523">
      <c r="B523" s="5"/>
      <c r="E523" s="8"/>
    </row>
    <row r="524">
      <c r="B524" s="5"/>
      <c r="E524" s="8"/>
    </row>
    <row r="525">
      <c r="B525" s="5"/>
      <c r="E525" s="8"/>
    </row>
    <row r="526">
      <c r="B526" s="5"/>
      <c r="E526" s="8"/>
    </row>
    <row r="527">
      <c r="B527" s="5"/>
      <c r="E527" s="8"/>
    </row>
    <row r="528">
      <c r="B528" s="5"/>
      <c r="E528" s="8"/>
    </row>
    <row r="529">
      <c r="B529" s="5"/>
      <c r="E529" s="8"/>
    </row>
    <row r="530">
      <c r="B530" s="5"/>
      <c r="E530" s="8"/>
    </row>
    <row r="531">
      <c r="B531" s="5"/>
      <c r="E531" s="8"/>
    </row>
    <row r="532">
      <c r="B532" s="5"/>
      <c r="E532" s="8"/>
    </row>
    <row r="533">
      <c r="B533" s="5"/>
      <c r="E533" s="8"/>
    </row>
    <row r="534">
      <c r="B534" s="5"/>
      <c r="E534" s="8"/>
    </row>
    <row r="535">
      <c r="B535" s="5"/>
      <c r="E535" s="8"/>
    </row>
    <row r="536">
      <c r="B536" s="5"/>
      <c r="E536" s="8"/>
    </row>
    <row r="537">
      <c r="B537" s="5"/>
      <c r="E537" s="8"/>
    </row>
    <row r="538">
      <c r="B538" s="5"/>
      <c r="E538" s="8"/>
    </row>
    <row r="539">
      <c r="B539" s="5"/>
      <c r="E539" s="8"/>
    </row>
    <row r="540">
      <c r="B540" s="5"/>
      <c r="E540" s="8"/>
    </row>
    <row r="541">
      <c r="B541" s="5"/>
      <c r="E541" s="8"/>
    </row>
    <row r="542">
      <c r="B542" s="5"/>
      <c r="E542" s="8"/>
    </row>
    <row r="543">
      <c r="B543" s="5"/>
      <c r="E543" s="8"/>
    </row>
    <row r="544">
      <c r="B544" s="5"/>
      <c r="E544" s="8"/>
    </row>
    <row r="545">
      <c r="B545" s="5"/>
      <c r="E545" s="8"/>
    </row>
    <row r="546">
      <c r="B546" s="5"/>
      <c r="E546" s="8"/>
    </row>
    <row r="547">
      <c r="B547" s="5"/>
      <c r="E547" s="8"/>
    </row>
    <row r="548">
      <c r="B548" s="5"/>
      <c r="E548" s="8"/>
    </row>
    <row r="549">
      <c r="B549" s="5"/>
      <c r="E549" s="8"/>
    </row>
    <row r="550">
      <c r="B550" s="5"/>
      <c r="E550" s="8"/>
    </row>
    <row r="551">
      <c r="B551" s="5"/>
      <c r="E551" s="8"/>
    </row>
    <row r="552">
      <c r="B552" s="5"/>
      <c r="E552" s="8"/>
    </row>
    <row r="553">
      <c r="B553" s="5"/>
      <c r="E553" s="8"/>
    </row>
    <row r="554">
      <c r="B554" s="5"/>
      <c r="E554" s="8"/>
    </row>
    <row r="555">
      <c r="B555" s="5"/>
      <c r="E555" s="8"/>
    </row>
    <row r="556">
      <c r="B556" s="5"/>
      <c r="E556" s="8"/>
    </row>
    <row r="557">
      <c r="B557" s="5"/>
      <c r="E557" s="8"/>
    </row>
    <row r="558">
      <c r="B558" s="5"/>
      <c r="E558" s="8"/>
    </row>
    <row r="559">
      <c r="B559" s="5"/>
      <c r="E559" s="8"/>
    </row>
    <row r="560">
      <c r="B560" s="5"/>
      <c r="E560" s="8"/>
    </row>
    <row r="561">
      <c r="B561" s="5"/>
      <c r="E561" s="8"/>
    </row>
    <row r="562">
      <c r="B562" s="5"/>
      <c r="E562" s="8"/>
    </row>
    <row r="563">
      <c r="B563" s="5"/>
      <c r="E563" s="8"/>
    </row>
    <row r="564">
      <c r="B564" s="5"/>
      <c r="E564" s="8"/>
    </row>
    <row r="565">
      <c r="B565" s="5"/>
      <c r="E565" s="8"/>
    </row>
    <row r="566">
      <c r="B566" s="5"/>
      <c r="E566" s="8"/>
    </row>
    <row r="567">
      <c r="B567" s="5"/>
      <c r="E567" s="8"/>
    </row>
    <row r="568">
      <c r="B568" s="5"/>
      <c r="E568" s="8"/>
    </row>
    <row r="569">
      <c r="B569" s="5"/>
      <c r="E569" s="8"/>
    </row>
    <row r="570">
      <c r="B570" s="5"/>
      <c r="E570" s="8"/>
    </row>
    <row r="571">
      <c r="B571" s="5"/>
      <c r="E571" s="8"/>
    </row>
    <row r="572">
      <c r="B572" s="5"/>
      <c r="E572" s="8"/>
    </row>
    <row r="573">
      <c r="B573" s="5"/>
      <c r="E573" s="8"/>
    </row>
    <row r="574">
      <c r="B574" s="5"/>
      <c r="E574" s="8"/>
    </row>
    <row r="575">
      <c r="B575" s="5"/>
      <c r="E575" s="8"/>
    </row>
    <row r="576">
      <c r="B576" s="5"/>
      <c r="E576" s="8"/>
    </row>
    <row r="577">
      <c r="B577" s="5"/>
      <c r="E577" s="8"/>
    </row>
    <row r="578">
      <c r="B578" s="5"/>
      <c r="E578" s="8"/>
    </row>
    <row r="579">
      <c r="B579" s="5"/>
      <c r="E579" s="8"/>
    </row>
    <row r="580">
      <c r="B580" s="5"/>
      <c r="E580" s="8"/>
    </row>
    <row r="581">
      <c r="B581" s="5"/>
      <c r="E581" s="8"/>
    </row>
    <row r="582">
      <c r="B582" s="5"/>
      <c r="E582" s="8"/>
    </row>
    <row r="583">
      <c r="B583" s="5"/>
      <c r="E583" s="8"/>
    </row>
    <row r="584">
      <c r="B584" s="5"/>
      <c r="E584" s="8"/>
    </row>
    <row r="585">
      <c r="B585" s="5"/>
      <c r="E585" s="8"/>
    </row>
    <row r="586">
      <c r="B586" s="5"/>
      <c r="E586" s="8"/>
    </row>
    <row r="587">
      <c r="B587" s="5"/>
      <c r="E587" s="8"/>
    </row>
    <row r="588">
      <c r="B588" s="5"/>
      <c r="E588" s="8"/>
    </row>
    <row r="589">
      <c r="B589" s="5"/>
      <c r="E589" s="8"/>
    </row>
    <row r="590">
      <c r="B590" s="5"/>
      <c r="E590" s="8"/>
    </row>
    <row r="591">
      <c r="B591" s="5"/>
      <c r="E591" s="8"/>
    </row>
    <row r="592">
      <c r="B592" s="5"/>
      <c r="E592" s="8"/>
    </row>
    <row r="593">
      <c r="B593" s="5"/>
      <c r="E593" s="8"/>
    </row>
    <row r="594">
      <c r="B594" s="5"/>
      <c r="E594" s="8"/>
    </row>
    <row r="595">
      <c r="B595" s="5"/>
      <c r="E595" s="8"/>
    </row>
    <row r="596">
      <c r="B596" s="5"/>
      <c r="E596" s="8"/>
    </row>
    <row r="597">
      <c r="B597" s="5"/>
      <c r="E597" s="8"/>
    </row>
    <row r="598">
      <c r="B598" s="5"/>
      <c r="E598" s="8"/>
    </row>
    <row r="599">
      <c r="B599" s="5"/>
      <c r="E599" s="8"/>
    </row>
    <row r="600">
      <c r="B600" s="5"/>
      <c r="E600" s="8"/>
    </row>
    <row r="601">
      <c r="B601" s="5"/>
      <c r="E601" s="8"/>
    </row>
    <row r="602">
      <c r="B602" s="5"/>
      <c r="E602" s="8"/>
    </row>
    <row r="603">
      <c r="B603" s="5"/>
      <c r="E603" s="8"/>
    </row>
    <row r="604">
      <c r="B604" s="5"/>
      <c r="E604" s="8"/>
    </row>
    <row r="605">
      <c r="B605" s="5"/>
      <c r="E605" s="8"/>
    </row>
    <row r="606">
      <c r="B606" s="5"/>
      <c r="E606" s="8"/>
    </row>
    <row r="607">
      <c r="B607" s="5"/>
      <c r="E607" s="8"/>
    </row>
    <row r="608">
      <c r="B608" s="5"/>
      <c r="E608" s="8"/>
    </row>
    <row r="609">
      <c r="B609" s="5"/>
      <c r="E609" s="8"/>
    </row>
    <row r="610">
      <c r="B610" s="5"/>
      <c r="E610" s="8"/>
    </row>
    <row r="611">
      <c r="B611" s="5"/>
      <c r="E611" s="8"/>
    </row>
    <row r="612">
      <c r="B612" s="5"/>
      <c r="E612" s="8"/>
    </row>
    <row r="613">
      <c r="B613" s="5"/>
      <c r="E613" s="8"/>
    </row>
    <row r="614">
      <c r="B614" s="5"/>
      <c r="E614" s="8"/>
    </row>
    <row r="615">
      <c r="B615" s="5"/>
      <c r="E615" s="8"/>
    </row>
    <row r="616">
      <c r="B616" s="5"/>
      <c r="E616" s="8"/>
    </row>
    <row r="617">
      <c r="B617" s="5"/>
      <c r="E617" s="8"/>
    </row>
    <row r="618">
      <c r="B618" s="5"/>
      <c r="E618" s="8"/>
    </row>
    <row r="619">
      <c r="B619" s="5"/>
      <c r="E619" s="8"/>
    </row>
    <row r="620">
      <c r="B620" s="5"/>
      <c r="E620" s="8"/>
    </row>
    <row r="621">
      <c r="B621" s="5"/>
      <c r="E621" s="8"/>
    </row>
    <row r="622">
      <c r="B622" s="5"/>
      <c r="E622" s="8"/>
    </row>
    <row r="623">
      <c r="B623" s="5"/>
      <c r="E623" s="8"/>
    </row>
    <row r="624">
      <c r="B624" s="5"/>
      <c r="E624" s="8"/>
    </row>
    <row r="625">
      <c r="B625" s="5"/>
      <c r="E625" s="8"/>
    </row>
    <row r="626">
      <c r="B626" s="5"/>
      <c r="E626" s="8"/>
    </row>
    <row r="627">
      <c r="B627" s="5"/>
      <c r="E627" s="8"/>
    </row>
    <row r="628">
      <c r="B628" s="5"/>
      <c r="E628" s="8"/>
    </row>
    <row r="629">
      <c r="B629" s="5"/>
      <c r="E629" s="8"/>
    </row>
    <row r="630">
      <c r="B630" s="5"/>
      <c r="E630" s="8"/>
    </row>
    <row r="631">
      <c r="B631" s="5"/>
      <c r="E631" s="8"/>
    </row>
    <row r="632">
      <c r="B632" s="5"/>
      <c r="E632" s="8"/>
    </row>
    <row r="633">
      <c r="B633" s="5"/>
      <c r="E633" s="8"/>
    </row>
    <row r="634">
      <c r="B634" s="5"/>
      <c r="E634" s="8"/>
    </row>
    <row r="635">
      <c r="B635" s="5"/>
      <c r="E635" s="8"/>
    </row>
    <row r="636">
      <c r="B636" s="5"/>
      <c r="E636" s="8"/>
    </row>
    <row r="637">
      <c r="B637" s="5"/>
      <c r="E637" s="8"/>
    </row>
    <row r="638">
      <c r="B638" s="5"/>
      <c r="E638" s="8"/>
    </row>
    <row r="639">
      <c r="B639" s="5"/>
      <c r="E639" s="8"/>
    </row>
    <row r="640">
      <c r="B640" s="5"/>
      <c r="E640" s="8"/>
    </row>
    <row r="641">
      <c r="B641" s="5"/>
      <c r="E641" s="8"/>
    </row>
    <row r="642">
      <c r="B642" s="5"/>
      <c r="E642" s="8"/>
    </row>
    <row r="643">
      <c r="B643" s="5"/>
      <c r="E643" s="8"/>
    </row>
    <row r="644">
      <c r="B644" s="5"/>
      <c r="E644" s="8"/>
    </row>
    <row r="645">
      <c r="B645" s="5"/>
      <c r="E645" s="8"/>
    </row>
    <row r="646">
      <c r="B646" s="5"/>
      <c r="E646" s="8"/>
    </row>
    <row r="647">
      <c r="B647" s="5"/>
      <c r="E647" s="8"/>
    </row>
  </sheetData>
  <conditionalFormatting sqref="A1:A647">
    <cfRule type="expression" dxfId="0" priority="1">
      <formula>COUNTIF($A:$A,A1)&gt;1</formula>
    </cfRule>
  </conditionalFormatting>
  <dataValidations>
    <dataValidation type="list" allowBlank="1" showErrorMessage="1" sqref="D2:D399">
      <formula1>"یزد,یزد "</formula1>
    </dataValidation>
    <dataValidation type="list" allowBlank="1" showErrorMessage="1" sqref="L2:L399">
      <formula1>"https://heyatrazmandeganardakan.blog.ir/,rozatolshohada.ir,https://www.darozzekr.com,Www.haram133.com"</formula1>
    </dataValidation>
    <dataValidation type="list" allowBlank="1" showErrorMessage="1" sqref="F2:F399">
      <formula1>"روستای شریف آباد,خرانق,مجومرد,خضرآباد,نیر,دهشیر,محله‌غیاث‌آباد,هرات,مزویرآباد, (شهرک شهدا),محمودآباد,حسن آباد,ده آباد,بفروئیه,ندوشن,عیش آباد,نعیم آباد,محمدآباد,مردآباد,آزادشهر,مریم آباد"</formula1>
    </dataValidation>
    <dataValidation type="list" allowBlank="1" showErrorMessage="1" sqref="E2:E399">
      <formula1>"ابرکوه,اردکان,اشکذر,بافق,بدون شهرستان,بهاباد,تفت,حمیدیا,خاتم,زارچ,طبس,مروست,مهردشت,مهریز,میبد,هرات,یزد"</formula1>
    </dataValidation>
    <dataValidation type="list" allowBlank="1" showErrorMessage="1" sqref="B1:B647">
      <formula1>"هیأت,هیأت بانوان,مسجد,مداح,هیأت دانشجویی,حسینیه,هیأت جوانان,تکـیه,هیأت دانش آموزی,هیأت دخترانه,موکب,مهدیه,نوع"</formula1>
    </dataValidation>
  </dataValidations>
  <hyperlinks>
    <hyperlink r:id="rId1" ref="J2"/>
    <hyperlink r:id="rId2" ref="J3"/>
    <hyperlink r:id="rId3" ref="H4"/>
    <hyperlink r:id="rId4" ref="J4"/>
    <hyperlink r:id="rId5" ref="I5"/>
    <hyperlink r:id="rId6" ref="J6"/>
    <hyperlink r:id="rId7" ref="H7"/>
    <hyperlink r:id="rId8" ref="J7"/>
    <hyperlink r:id="rId9" ref="J8"/>
    <hyperlink r:id="rId10" ref="J9"/>
    <hyperlink r:id="rId11" ref="H10"/>
    <hyperlink r:id="rId12" ref="J10"/>
    <hyperlink r:id="rId13" ref="H11"/>
    <hyperlink r:id="rId14" ref="H12"/>
    <hyperlink r:id="rId15" ref="J13"/>
    <hyperlink r:id="rId16" ref="J14"/>
    <hyperlink r:id="rId17" ref="J15"/>
    <hyperlink r:id="rId18" ref="J16"/>
    <hyperlink r:id="rId19" ref="J17"/>
    <hyperlink r:id="rId20" ref="J18"/>
    <hyperlink r:id="rId21" ref="H19"/>
    <hyperlink r:id="rId22" ref="I19"/>
    <hyperlink r:id="rId23" ref="J19"/>
    <hyperlink r:id="rId24" ref="J20"/>
    <hyperlink r:id="rId25" ref="J21"/>
    <hyperlink r:id="rId26" ref="J22"/>
    <hyperlink r:id="rId27" ref="J23"/>
    <hyperlink r:id="rId28" ref="H24"/>
    <hyperlink r:id="rId29" ref="H25"/>
    <hyperlink r:id="rId30" ref="J26"/>
    <hyperlink r:id="rId31" ref="H27"/>
    <hyperlink r:id="rId32" ref="J27"/>
    <hyperlink r:id="rId33" ref="H28"/>
    <hyperlink r:id="rId34" ref="J28"/>
    <hyperlink r:id="rId35" ref="J29"/>
    <hyperlink r:id="rId36" ref="J30"/>
    <hyperlink r:id="rId37" ref="H31"/>
    <hyperlink r:id="rId38" ref="J31"/>
    <hyperlink r:id="rId39" ref="J32"/>
    <hyperlink r:id="rId40" ref="J33"/>
    <hyperlink r:id="rId41" ref="H34"/>
    <hyperlink r:id="rId42" ref="J35"/>
    <hyperlink r:id="rId43" ref="H36"/>
    <hyperlink r:id="rId44" ref="H37"/>
    <hyperlink r:id="rId45" ref="J37"/>
    <hyperlink r:id="rId46" ref="I38"/>
    <hyperlink r:id="rId47" ref="J38"/>
    <hyperlink r:id="rId48" ref="H39"/>
    <hyperlink r:id="rId49" ref="J39"/>
    <hyperlink r:id="rId50" ref="J40"/>
    <hyperlink r:id="rId51" ref="H41"/>
    <hyperlink r:id="rId52" ref="J42"/>
    <hyperlink r:id="rId53" ref="H43"/>
    <hyperlink r:id="rId54" ref="H44"/>
    <hyperlink r:id="rId55" ref="J44"/>
    <hyperlink r:id="rId56" ref="H45"/>
    <hyperlink r:id="rId57" ref="H46"/>
    <hyperlink r:id="rId58" ref="I47"/>
    <hyperlink r:id="rId59" ref="H48"/>
    <hyperlink r:id="rId60" ref="I48"/>
    <hyperlink r:id="rId61" ref="H49"/>
    <hyperlink r:id="rId62" ref="J49"/>
    <hyperlink r:id="rId63" ref="H50"/>
    <hyperlink r:id="rId64" ref="J50"/>
    <hyperlink r:id="rId65" ref="J51"/>
    <hyperlink r:id="rId66" ref="J52"/>
    <hyperlink r:id="rId67" ref="H53"/>
    <hyperlink r:id="rId68" ref="I53"/>
    <hyperlink r:id="rId69" ref="J53"/>
    <hyperlink r:id="rId70" ref="J54"/>
    <hyperlink r:id="rId71" ref="H55"/>
    <hyperlink r:id="rId72" ref="J55"/>
    <hyperlink r:id="rId73" ref="L56"/>
    <hyperlink r:id="rId74" ref="H57"/>
    <hyperlink r:id="rId75" ref="J57"/>
    <hyperlink r:id="rId76" ref="H58"/>
    <hyperlink r:id="rId77" ref="H59"/>
    <hyperlink r:id="rId78" ref="I59"/>
    <hyperlink r:id="rId79" ref="H60"/>
    <hyperlink r:id="rId80" ref="J60"/>
    <hyperlink r:id="rId81" ref="H61"/>
    <hyperlink r:id="rId82" ref="H62"/>
    <hyperlink r:id="rId83" ref="H63"/>
    <hyperlink r:id="rId84" ref="H64"/>
    <hyperlink r:id="rId85" ref="I64"/>
    <hyperlink r:id="rId86" ref="I65"/>
    <hyperlink r:id="rId87" ref="J66"/>
    <hyperlink r:id="rId88" ref="H67"/>
    <hyperlink r:id="rId89" ref="H68"/>
    <hyperlink r:id="rId90" ref="J68"/>
    <hyperlink r:id="rId91" ref="H69"/>
    <hyperlink r:id="rId92" ref="I69"/>
    <hyperlink r:id="rId93" ref="J69"/>
    <hyperlink r:id="rId94" ref="H70"/>
    <hyperlink r:id="rId95" ref="H71"/>
    <hyperlink r:id="rId96" ref="H72"/>
    <hyperlink r:id="rId97" ref="H73"/>
    <hyperlink r:id="rId98" ref="H74"/>
    <hyperlink r:id="rId99" ref="H75"/>
    <hyperlink r:id="rId100" ref="H76"/>
    <hyperlink r:id="rId101" ref="H77"/>
    <hyperlink r:id="rId102" ref="H78"/>
    <hyperlink r:id="rId103" ref="I78"/>
    <hyperlink r:id="rId104" ref="J78"/>
    <hyperlink r:id="rId105" ref="H79"/>
    <hyperlink r:id="rId106" ref="J80"/>
    <hyperlink r:id="rId107" ref="J81"/>
    <hyperlink r:id="rId108" ref="H82"/>
    <hyperlink r:id="rId109" ref="H83"/>
    <hyperlink r:id="rId110" ref="H84"/>
    <hyperlink r:id="rId111" ref="H85"/>
    <hyperlink r:id="rId112" ref="J85"/>
    <hyperlink r:id="rId113" ref="J86"/>
    <hyperlink r:id="rId114" ref="H87"/>
    <hyperlink r:id="rId115" ref="I87"/>
    <hyperlink r:id="rId116" ref="H88"/>
    <hyperlink r:id="rId117" ref="H89"/>
    <hyperlink r:id="rId118" ref="J89"/>
    <hyperlink r:id="rId119" ref="H90"/>
    <hyperlink r:id="rId120" ref="J90"/>
    <hyperlink r:id="rId121" ref="H91"/>
    <hyperlink r:id="rId122" ref="J91"/>
    <hyperlink r:id="rId123" ref="H92"/>
    <hyperlink r:id="rId124" ref="H93"/>
    <hyperlink r:id="rId125" ref="H94"/>
    <hyperlink r:id="rId126" ref="I94"/>
    <hyperlink r:id="rId127" ref="H95"/>
    <hyperlink r:id="rId128" ref="H96"/>
    <hyperlink r:id="rId129" ref="H97"/>
    <hyperlink r:id="rId130" ref="H98"/>
    <hyperlink r:id="rId131" ref="I98"/>
    <hyperlink r:id="rId132" ref="H99"/>
    <hyperlink r:id="rId133" ref="J99"/>
    <hyperlink r:id="rId134" ref="H100"/>
    <hyperlink r:id="rId135" ref="J101"/>
    <hyperlink r:id="rId136" ref="H102"/>
    <hyperlink r:id="rId137" ref="J102"/>
    <hyperlink r:id="rId138" ref="H103"/>
    <hyperlink r:id="rId139" ref="J103"/>
    <hyperlink r:id="rId140" ref="J104"/>
    <hyperlink r:id="rId141" ref="H105"/>
    <hyperlink r:id="rId142" ref="H106"/>
    <hyperlink r:id="rId143" ref="I106"/>
    <hyperlink r:id="rId144" ref="J107"/>
    <hyperlink r:id="rId145" ref="J108"/>
    <hyperlink r:id="rId146" ref="H109"/>
    <hyperlink r:id="rId147" ref="H110"/>
    <hyperlink r:id="rId148" ref="I110"/>
    <hyperlink r:id="rId149" ref="H111"/>
    <hyperlink r:id="rId150" ref="J112"/>
    <hyperlink r:id="rId151" ref="H113"/>
    <hyperlink r:id="rId152" ref="H114"/>
    <hyperlink r:id="rId153" ref="I114"/>
    <hyperlink r:id="rId154" ref="J114"/>
    <hyperlink r:id="rId155" ref="J115"/>
    <hyperlink r:id="rId156" ref="H116"/>
    <hyperlink r:id="rId157" ref="H117"/>
    <hyperlink r:id="rId158" ref="H118"/>
    <hyperlink r:id="rId159" ref="J118"/>
    <hyperlink r:id="rId160" ref="J119"/>
    <hyperlink r:id="rId161" ref="H120"/>
    <hyperlink r:id="rId162" ref="H121"/>
    <hyperlink r:id="rId163" ref="H122"/>
    <hyperlink r:id="rId164" ref="I122"/>
    <hyperlink r:id="rId165" ref="J122"/>
    <hyperlink r:id="rId166" ref="H123"/>
    <hyperlink r:id="rId167" ref="H124"/>
    <hyperlink r:id="rId168" ref="H125"/>
    <hyperlink r:id="rId169" ref="H126"/>
    <hyperlink r:id="rId170" ref="I126"/>
    <hyperlink r:id="rId171" ref="H127"/>
    <hyperlink r:id="rId172" ref="H128"/>
    <hyperlink r:id="rId173" ref="I128"/>
    <hyperlink r:id="rId174" ref="H129"/>
    <hyperlink r:id="rId175" ref="H130"/>
    <hyperlink r:id="rId176" ref="H131"/>
    <hyperlink r:id="rId177" ref="J132"/>
    <hyperlink r:id="rId178" ref="H133"/>
    <hyperlink r:id="rId179" ref="H134"/>
    <hyperlink r:id="rId180" ref="J134"/>
    <hyperlink r:id="rId181" ref="H135"/>
    <hyperlink r:id="rId182" ref="J135"/>
    <hyperlink r:id="rId183" ref="H136"/>
    <hyperlink r:id="rId184" ref="I136"/>
    <hyperlink r:id="rId185" ref="H137"/>
    <hyperlink r:id="rId186" ref="H138"/>
    <hyperlink r:id="rId187" ref="J138"/>
    <hyperlink r:id="rId188" ref="H139"/>
    <hyperlink r:id="rId189" ref="I139"/>
    <hyperlink r:id="rId190" ref="J139"/>
    <hyperlink r:id="rId191" ref="H140"/>
    <hyperlink r:id="rId192" ref="I140"/>
    <hyperlink r:id="rId193" ref="J140"/>
    <hyperlink r:id="rId194" ref="H141"/>
    <hyperlink r:id="rId195" ref="I141"/>
    <hyperlink r:id="rId196" ref="J141"/>
    <hyperlink r:id="rId197" ref="H142"/>
    <hyperlink r:id="rId198" ref="H143"/>
    <hyperlink r:id="rId199" ref="H144"/>
    <hyperlink r:id="rId200" ref="I144"/>
    <hyperlink r:id="rId201" ref="H145"/>
    <hyperlink r:id="rId202" ref="I145"/>
    <hyperlink r:id="rId203" ref="J145"/>
    <hyperlink r:id="rId204" ref="H146"/>
    <hyperlink r:id="rId205" ref="H147"/>
    <hyperlink r:id="rId206" ref="H148"/>
    <hyperlink r:id="rId207" ref="H149"/>
    <hyperlink r:id="rId208" ref="I149"/>
    <hyperlink r:id="rId209" ref="H150"/>
    <hyperlink r:id="rId210" ref="I150"/>
    <hyperlink r:id="rId211" ref="J151"/>
    <hyperlink r:id="rId212" ref="H152"/>
    <hyperlink r:id="rId213" ref="H153"/>
    <hyperlink r:id="rId214" ref="H154"/>
    <hyperlink r:id="rId215" ref="J154"/>
    <hyperlink r:id="rId216" ref="H155"/>
    <hyperlink r:id="rId217" ref="H156"/>
    <hyperlink r:id="rId218" ref="H157"/>
    <hyperlink r:id="rId219" ref="J157"/>
    <hyperlink r:id="rId220" ref="H158"/>
    <hyperlink r:id="rId221" ref="J158"/>
    <hyperlink r:id="rId222" ref="L158"/>
    <hyperlink r:id="rId223" ref="H159"/>
    <hyperlink r:id="rId224" ref="J159"/>
    <hyperlink r:id="rId225" ref="H160"/>
    <hyperlink r:id="rId226" ref="J160"/>
    <hyperlink r:id="rId227" ref="H161"/>
    <hyperlink r:id="rId228" ref="H162"/>
    <hyperlink r:id="rId229" ref="H163"/>
    <hyperlink r:id="rId230" ref="H164"/>
    <hyperlink r:id="rId231" ref="J164"/>
    <hyperlink r:id="rId232" ref="H165"/>
    <hyperlink r:id="rId233" ref="H166"/>
    <hyperlink r:id="rId234" ref="H167"/>
    <hyperlink r:id="rId235" ref="J167"/>
    <hyperlink r:id="rId236" ref="J168"/>
    <hyperlink r:id="rId237" ref="H169"/>
    <hyperlink r:id="rId238" ref="H170"/>
    <hyperlink r:id="rId239" ref="I170"/>
    <hyperlink r:id="rId240" ref="J170"/>
    <hyperlink r:id="rId241" ref="H171"/>
    <hyperlink r:id="rId242" ref="J171"/>
    <hyperlink r:id="rId243" ref="H172"/>
    <hyperlink r:id="rId244" ref="H173"/>
    <hyperlink r:id="rId245" ref="I173"/>
    <hyperlink r:id="rId246" ref="J173"/>
    <hyperlink r:id="rId247" ref="H174"/>
    <hyperlink r:id="rId248" ref="I174"/>
    <hyperlink r:id="rId249" ref="H175"/>
    <hyperlink r:id="rId250" ref="J175"/>
    <hyperlink r:id="rId251" ref="H176"/>
    <hyperlink r:id="rId252" ref="J176"/>
    <hyperlink r:id="rId253" ref="H177"/>
    <hyperlink r:id="rId254" ref="J178"/>
    <hyperlink r:id="rId255" ref="H179"/>
    <hyperlink r:id="rId256" ref="J179"/>
    <hyperlink r:id="rId257" ref="H180"/>
    <hyperlink r:id="rId258" ref="J180"/>
    <hyperlink r:id="rId259" ref="H181"/>
    <hyperlink r:id="rId260" ref="H182"/>
    <hyperlink r:id="rId261" ref="H183"/>
    <hyperlink r:id="rId262" ref="I183"/>
    <hyperlink r:id="rId263" ref="H184"/>
    <hyperlink r:id="rId264" ref="I184"/>
    <hyperlink r:id="rId265" ref="J184"/>
    <hyperlink r:id="rId266" ref="H185"/>
    <hyperlink r:id="rId267" ref="J185"/>
    <hyperlink r:id="rId268" ref="H186"/>
    <hyperlink r:id="rId269" ref="H187"/>
    <hyperlink r:id="rId270" ref="J188"/>
    <hyperlink r:id="rId271" ref="H189"/>
    <hyperlink r:id="rId272" ref="J189"/>
    <hyperlink r:id="rId273" ref="J190"/>
    <hyperlink r:id="rId274" ref="H191"/>
    <hyperlink r:id="rId275" ref="J192"/>
    <hyperlink r:id="rId276" ref="H193"/>
    <hyperlink r:id="rId277" ref="I193"/>
    <hyperlink r:id="rId278" ref="J193"/>
    <hyperlink r:id="rId279" ref="H194"/>
    <hyperlink r:id="rId280" ref="J194"/>
    <hyperlink r:id="rId281" ref="H195"/>
    <hyperlink r:id="rId282" ref="I195"/>
    <hyperlink r:id="rId283" ref="J195"/>
    <hyperlink r:id="rId284" ref="H196"/>
    <hyperlink r:id="rId285" ref="H197"/>
    <hyperlink r:id="rId286" ref="J198"/>
    <hyperlink r:id="rId287" ref="J199"/>
    <hyperlink r:id="rId288" ref="J200"/>
    <hyperlink r:id="rId289" ref="H201"/>
    <hyperlink r:id="rId290" ref="J201"/>
    <hyperlink r:id="rId291" ref="H202"/>
    <hyperlink r:id="rId292" ref="J202"/>
    <hyperlink r:id="rId293" ref="H203"/>
    <hyperlink r:id="rId294" ref="J203"/>
    <hyperlink r:id="rId295" ref="H204"/>
    <hyperlink r:id="rId296" ref="I204"/>
    <hyperlink r:id="rId297" ref="J204"/>
    <hyperlink r:id="rId298" ref="H205"/>
    <hyperlink r:id="rId299" ref="J205"/>
    <hyperlink r:id="rId300" ref="H206"/>
    <hyperlink r:id="rId301" ref="I206"/>
    <hyperlink r:id="rId302" ref="H207"/>
    <hyperlink r:id="rId303" ref="H208"/>
    <hyperlink r:id="rId304" ref="I208"/>
    <hyperlink r:id="rId305" ref="H209"/>
    <hyperlink r:id="rId306" ref="H210"/>
    <hyperlink r:id="rId307" ref="H211"/>
    <hyperlink r:id="rId308" ref="H212"/>
    <hyperlink r:id="rId309" ref="J212"/>
    <hyperlink r:id="rId310" ref="H213"/>
    <hyperlink r:id="rId311" ref="I213"/>
    <hyperlink r:id="rId312" ref="J213"/>
    <hyperlink r:id="rId313" ref="H214"/>
    <hyperlink r:id="rId314" ref="I214"/>
    <hyperlink r:id="rId315" ref="J214"/>
    <hyperlink r:id="rId316" ref="H215"/>
    <hyperlink r:id="rId317" ref="I215"/>
    <hyperlink r:id="rId318" ref="J215"/>
    <hyperlink r:id="rId319" ref="H216"/>
    <hyperlink r:id="rId320" ref="H217"/>
    <hyperlink r:id="rId321" ref="I217"/>
    <hyperlink r:id="rId322" ref="H218"/>
    <hyperlink r:id="rId323" ref="J218"/>
    <hyperlink r:id="rId324" ref="J219"/>
    <hyperlink r:id="rId325" ref="H220"/>
    <hyperlink r:id="rId326" ref="I220"/>
    <hyperlink r:id="rId327" ref="H221"/>
    <hyperlink r:id="rId328" ref="I221"/>
    <hyperlink r:id="rId329" ref="H222"/>
    <hyperlink r:id="rId330" ref="I222"/>
    <hyperlink r:id="rId331" ref="J222"/>
    <hyperlink r:id="rId332" ref="H223"/>
    <hyperlink r:id="rId333" ref="I223"/>
    <hyperlink r:id="rId334" ref="J223"/>
    <hyperlink r:id="rId335" ref="H224"/>
    <hyperlink r:id="rId336" ref="J225"/>
    <hyperlink r:id="rId337" ref="J226"/>
    <hyperlink r:id="rId338" ref="H227"/>
    <hyperlink r:id="rId339" ref="J228"/>
    <hyperlink r:id="rId340" ref="H229"/>
    <hyperlink r:id="rId341" ref="H230"/>
    <hyperlink r:id="rId342" ref="H231"/>
    <hyperlink r:id="rId343" ref="H232"/>
    <hyperlink r:id="rId344" ref="J232"/>
    <hyperlink r:id="rId345" ref="H233"/>
    <hyperlink r:id="rId346" ref="J233"/>
    <hyperlink r:id="rId347" ref="H234"/>
    <hyperlink r:id="rId348" ref="H235"/>
    <hyperlink r:id="rId349" ref="J236"/>
    <hyperlink r:id="rId350" ref="H237"/>
    <hyperlink r:id="rId351" ref="I237"/>
    <hyperlink r:id="rId352" ref="J237"/>
    <hyperlink r:id="rId353" ref="H238"/>
    <hyperlink r:id="rId354" ref="H239"/>
    <hyperlink r:id="rId355" ref="J239"/>
    <hyperlink r:id="rId356" ref="J240"/>
    <hyperlink r:id="rId357" ref="H241"/>
    <hyperlink r:id="rId358" ref="H242"/>
    <hyperlink r:id="rId359" ref="H243"/>
    <hyperlink r:id="rId360" ref="H244"/>
    <hyperlink r:id="rId361" ref="I244"/>
    <hyperlink r:id="rId362" ref="J244"/>
    <hyperlink r:id="rId363" ref="H245"/>
    <hyperlink r:id="rId364" ref="H246"/>
    <hyperlink r:id="rId365" ref="I246"/>
    <hyperlink r:id="rId366" ref="H247"/>
    <hyperlink r:id="rId367" ref="H248"/>
    <hyperlink r:id="rId368" ref="J249"/>
    <hyperlink r:id="rId369" ref="H250"/>
    <hyperlink r:id="rId370" ref="I250"/>
    <hyperlink r:id="rId371" ref="H251"/>
    <hyperlink r:id="rId372" ref="I251"/>
    <hyperlink r:id="rId373" ref="J251"/>
    <hyperlink r:id="rId374" ref="J252"/>
    <hyperlink r:id="rId375" ref="H253"/>
    <hyperlink r:id="rId376" ref="J253"/>
    <hyperlink r:id="rId377" ref="L253"/>
    <hyperlink r:id="rId378" ref="H254"/>
    <hyperlink r:id="rId379" ref="J254"/>
    <hyperlink r:id="rId380" ref="H255"/>
    <hyperlink r:id="rId381" ref="J255"/>
    <hyperlink r:id="rId382" ref="H256"/>
    <hyperlink r:id="rId383" ref="I256"/>
    <hyperlink r:id="rId384" ref="J256"/>
    <hyperlink r:id="rId385" ref="J257"/>
    <hyperlink r:id="rId386" ref="H258"/>
    <hyperlink r:id="rId387" ref="J259"/>
    <hyperlink r:id="rId388" ref="J260"/>
    <hyperlink r:id="rId389" ref="H261"/>
    <hyperlink r:id="rId390" ref="J261"/>
    <hyperlink r:id="rId391" ref="H262"/>
    <hyperlink r:id="rId392" ref="J262"/>
    <hyperlink r:id="rId393" ref="J263"/>
    <hyperlink r:id="rId394" ref="H264"/>
    <hyperlink r:id="rId395" ref="J264"/>
    <hyperlink r:id="rId396" ref="H265"/>
    <hyperlink r:id="rId397" ref="J266"/>
    <hyperlink r:id="rId398" ref="H267"/>
    <hyperlink r:id="rId399" ref="J267"/>
    <hyperlink r:id="rId400" ref="H268"/>
    <hyperlink r:id="rId401" ref="H269"/>
    <hyperlink r:id="rId402" ref="J269"/>
    <hyperlink r:id="rId403" ref="J270"/>
    <hyperlink r:id="rId404" ref="J271"/>
    <hyperlink r:id="rId405" ref="J272"/>
    <hyperlink r:id="rId406" ref="H273"/>
    <hyperlink r:id="rId407" ref="J274"/>
    <hyperlink r:id="rId408" ref="I275"/>
    <hyperlink r:id="rId409" ref="J276"/>
    <hyperlink r:id="rId410" ref="H277"/>
    <hyperlink r:id="rId411" ref="J277"/>
    <hyperlink r:id="rId412" ref="H278"/>
    <hyperlink r:id="rId413" ref="I278"/>
    <hyperlink r:id="rId414" ref="J278"/>
    <hyperlink r:id="rId415" ref="J279"/>
    <hyperlink r:id="rId416" ref="H280"/>
    <hyperlink r:id="rId417" ref="J281"/>
    <hyperlink r:id="rId418" ref="H282"/>
    <hyperlink r:id="rId419" ref="J282"/>
    <hyperlink r:id="rId420" ref="J283"/>
    <hyperlink r:id="rId421" ref="H284"/>
    <hyperlink r:id="rId422" ref="J284"/>
    <hyperlink r:id="rId423" ref="H285"/>
    <hyperlink r:id="rId424" ref="J285"/>
    <hyperlink r:id="rId425" ref="J286"/>
    <hyperlink r:id="rId426" ref="H287"/>
    <hyperlink r:id="rId427" ref="J287"/>
    <hyperlink r:id="rId428" ref="H288"/>
    <hyperlink r:id="rId429" ref="J288"/>
    <hyperlink r:id="rId430" ref="J289"/>
    <hyperlink r:id="rId431" ref="H290"/>
    <hyperlink r:id="rId432" ref="J290"/>
    <hyperlink r:id="rId433" ref="J291"/>
    <hyperlink r:id="rId434" ref="H292"/>
    <hyperlink r:id="rId435" ref="I292"/>
    <hyperlink r:id="rId436" ref="J292"/>
    <hyperlink r:id="rId437" ref="H293"/>
    <hyperlink r:id="rId438" ref="H294"/>
    <hyperlink r:id="rId439" ref="J294"/>
    <hyperlink r:id="rId440" ref="J295"/>
    <hyperlink r:id="rId441" ref="H296"/>
    <hyperlink r:id="rId442" ref="J296"/>
    <hyperlink r:id="rId443" ref="J297"/>
    <hyperlink r:id="rId444" ref="J298"/>
    <hyperlink r:id="rId445" ref="H299"/>
    <hyperlink r:id="rId446" ref="J299"/>
    <hyperlink r:id="rId447" ref="H300"/>
    <hyperlink r:id="rId448" ref="J300"/>
    <hyperlink r:id="rId449" ref="J301"/>
    <hyperlink r:id="rId450" ref="H302"/>
    <hyperlink r:id="rId451" ref="J302"/>
    <hyperlink r:id="rId452" ref="H303"/>
    <hyperlink r:id="rId453" ref="J303"/>
    <hyperlink r:id="rId454" ref="H304"/>
    <hyperlink r:id="rId455" ref="I304"/>
    <hyperlink r:id="rId456" ref="H305"/>
    <hyperlink r:id="rId457" ref="H306"/>
    <hyperlink r:id="rId458" ref="I306"/>
    <hyperlink r:id="rId459" ref="H307"/>
    <hyperlink r:id="rId460" ref="I307"/>
    <hyperlink r:id="rId461" ref="H308"/>
    <hyperlink r:id="rId462" ref="J308"/>
    <hyperlink r:id="rId463" ref="H309"/>
    <hyperlink r:id="rId464" ref="H310"/>
    <hyperlink r:id="rId465" ref="J310"/>
    <hyperlink r:id="rId466" ref="H311"/>
    <hyperlink r:id="rId467" ref="J311"/>
    <hyperlink r:id="rId468" ref="H312"/>
    <hyperlink r:id="rId469" ref="H313"/>
    <hyperlink r:id="rId470" ref="I313"/>
    <hyperlink r:id="rId471" ref="J313"/>
    <hyperlink r:id="rId472" ref="H314"/>
    <hyperlink r:id="rId473" ref="H315"/>
    <hyperlink r:id="rId474" ref="J315"/>
    <hyperlink r:id="rId475" ref="H316"/>
    <hyperlink r:id="rId476" ref="I316"/>
    <hyperlink r:id="rId477" ref="H317"/>
    <hyperlink r:id="rId478" ref="J317"/>
    <hyperlink r:id="rId479" ref="H318"/>
    <hyperlink r:id="rId480" ref="I318"/>
    <hyperlink r:id="rId481" ref="J318"/>
    <hyperlink r:id="rId482" ref="H319"/>
    <hyperlink r:id="rId483" ref="I319"/>
    <hyperlink r:id="rId484" ref="H320"/>
    <hyperlink r:id="rId485" ref="H321"/>
    <hyperlink r:id="rId486" ref="H322"/>
    <hyperlink r:id="rId487" ref="H323"/>
    <hyperlink r:id="rId488" ref="H324"/>
    <hyperlink r:id="rId489" ref="H325"/>
    <hyperlink r:id="rId490" ref="H326"/>
    <hyperlink r:id="rId491" ref="H327"/>
    <hyperlink r:id="rId492" ref="H328"/>
    <hyperlink r:id="rId493" ref="I328"/>
    <hyperlink r:id="rId494" ref="H329"/>
    <hyperlink r:id="rId495" ref="H330"/>
    <hyperlink r:id="rId496" ref="I330"/>
    <hyperlink r:id="rId497" ref="J330"/>
    <hyperlink r:id="rId498" ref="H331"/>
    <hyperlink r:id="rId499" ref="H332"/>
    <hyperlink r:id="rId500" ref="H333"/>
    <hyperlink r:id="rId501" ref="H334"/>
    <hyperlink r:id="rId502" ref="H335"/>
    <hyperlink r:id="rId503" ref="H336"/>
    <hyperlink r:id="rId504" ref="H337"/>
    <hyperlink r:id="rId505" ref="I337"/>
    <hyperlink r:id="rId506" ref="H338"/>
    <hyperlink r:id="rId507" ref="I338"/>
    <hyperlink r:id="rId508" ref="H339"/>
    <hyperlink r:id="rId509" ref="I339"/>
    <hyperlink r:id="rId510" ref="H340"/>
    <hyperlink r:id="rId511" ref="H341"/>
    <hyperlink r:id="rId512" ref="I341"/>
    <hyperlink r:id="rId513" ref="H342"/>
    <hyperlink r:id="rId514" ref="I342"/>
    <hyperlink r:id="rId515" ref="J342"/>
    <hyperlink r:id="rId516" ref="H343"/>
    <hyperlink r:id="rId517" ref="J343"/>
    <hyperlink r:id="rId518" ref="H344"/>
    <hyperlink r:id="rId519" ref="I344"/>
    <hyperlink r:id="rId520" ref="H345"/>
    <hyperlink r:id="rId521" ref="H346"/>
    <hyperlink r:id="rId522" ref="H347"/>
    <hyperlink r:id="rId523" ref="H348"/>
    <hyperlink r:id="rId524" ref="H349"/>
    <hyperlink r:id="rId525" ref="H350"/>
    <hyperlink r:id="rId526" ref="H351"/>
    <hyperlink r:id="rId527" ref="I351"/>
    <hyperlink r:id="rId528" ref="H352"/>
    <hyperlink r:id="rId529" ref="H353"/>
    <hyperlink r:id="rId530" ref="I353"/>
    <hyperlink r:id="rId531" ref="J353"/>
    <hyperlink r:id="rId532" ref="H354"/>
    <hyperlink r:id="rId533" ref="H355"/>
    <hyperlink r:id="rId534" ref="H356"/>
    <hyperlink r:id="rId535" ref="H357"/>
    <hyperlink r:id="rId536" ref="J357"/>
    <hyperlink r:id="rId537" ref="H358"/>
    <hyperlink r:id="rId538" ref="H359"/>
    <hyperlink r:id="rId539" ref="H360"/>
    <hyperlink r:id="rId540" ref="H361"/>
    <hyperlink r:id="rId541" ref="H362"/>
    <hyperlink r:id="rId542" ref="J362"/>
    <hyperlink r:id="rId543" ref="H363"/>
    <hyperlink r:id="rId544" ref="H364"/>
    <hyperlink r:id="rId545" ref="I364"/>
    <hyperlink r:id="rId546" ref="H365"/>
    <hyperlink r:id="rId547" ref="H366"/>
    <hyperlink r:id="rId548" ref="H367"/>
    <hyperlink r:id="rId549" ref="I367"/>
    <hyperlink r:id="rId550" ref="H368"/>
    <hyperlink r:id="rId551" ref="I368"/>
    <hyperlink r:id="rId552" ref="H369"/>
    <hyperlink r:id="rId553" ref="H370"/>
    <hyperlink r:id="rId554" ref="H371"/>
    <hyperlink r:id="rId555" ref="I371"/>
    <hyperlink r:id="rId556" ref="H372"/>
    <hyperlink r:id="rId557" ref="H373"/>
    <hyperlink r:id="rId558" ref="I373"/>
    <hyperlink r:id="rId559" ref="J373"/>
    <hyperlink r:id="rId560" ref="H374"/>
    <hyperlink r:id="rId561" ref="H375"/>
    <hyperlink r:id="rId562" ref="H376"/>
    <hyperlink r:id="rId563" ref="H377"/>
    <hyperlink r:id="rId564" ref="H378"/>
    <hyperlink r:id="rId565" ref="H379"/>
    <hyperlink r:id="rId566" ref="H380"/>
    <hyperlink r:id="rId567" ref="J380"/>
    <hyperlink r:id="rId568" ref="H381"/>
    <hyperlink r:id="rId569" ref="H382"/>
    <hyperlink r:id="rId570" ref="H383"/>
    <hyperlink r:id="rId571" ref="H384"/>
    <hyperlink r:id="rId572" ref="H385"/>
    <hyperlink r:id="rId573" ref="H386"/>
    <hyperlink r:id="rId574" ref="H387"/>
    <hyperlink r:id="rId575" ref="H388"/>
    <hyperlink r:id="rId576" ref="H389"/>
    <hyperlink r:id="rId577" ref="H390"/>
    <hyperlink r:id="rId578" ref="H391"/>
    <hyperlink r:id="rId579" ref="I391"/>
    <hyperlink r:id="rId580" ref="H392"/>
    <hyperlink r:id="rId581" ref="H393"/>
    <hyperlink r:id="rId582" ref="H394"/>
    <hyperlink r:id="rId583" ref="H395"/>
    <hyperlink r:id="rId584" ref="H396"/>
    <hyperlink r:id="rId585" ref="I396"/>
    <hyperlink r:id="rId586" ref="H397"/>
    <hyperlink r:id="rId587" ref="I397"/>
    <hyperlink r:id="rId588" ref="H398"/>
    <hyperlink r:id="rId589" ref="L398"/>
    <hyperlink r:id="rId590" ref="J399"/>
    <hyperlink r:id="rId591" ref="J400"/>
    <hyperlink r:id="rId592" ref="H401"/>
    <hyperlink r:id="rId593" ref="J401"/>
    <hyperlink r:id="rId594" ref="J402"/>
    <hyperlink r:id="rId595" ref="J403"/>
    <hyperlink r:id="rId596" ref="H404"/>
    <hyperlink r:id="rId597" ref="J405"/>
    <hyperlink r:id="rId598" ref="J406"/>
    <hyperlink r:id="rId599" ref="J407"/>
    <hyperlink r:id="rId600" ref="J408"/>
    <hyperlink r:id="rId601" ref="J409"/>
    <hyperlink r:id="rId602" ref="J410"/>
    <hyperlink r:id="rId603" ref="J411"/>
    <hyperlink r:id="rId604" ref="J412"/>
    <hyperlink r:id="rId605" ref="J413"/>
    <hyperlink r:id="rId606" ref="J414"/>
    <hyperlink r:id="rId607" ref="J415"/>
  </hyperlinks>
  <drawing r:id="rId60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2.38"/>
    <col customWidth="1" min="3" max="3" width="40.75"/>
    <col customWidth="1" min="4" max="4" width="4.5"/>
    <col customWidth="1" min="5" max="5" width="9.5"/>
    <col customWidth="1" min="6" max="6" width="9.0"/>
    <col customWidth="1" min="7" max="7" width="3.0"/>
    <col customWidth="1" min="8" max="8" width="46.13"/>
    <col customWidth="1" min="9" max="9" width="42.5"/>
    <col customWidth="1" min="10" max="10" width="46.38"/>
    <col customWidth="1" min="11" max="11" width="29.38"/>
    <col customWidth="1" min="12" max="12" width="3.88"/>
    <col customWidth="1" min="13" max="13" width="7.25"/>
    <col customWidth="1" min="14" max="14" width="36.0"/>
    <col customWidth="1" min="15" max="15" width="4.5"/>
    <col customWidth="1" min="16" max="16" width="4.13"/>
    <col customWidth="1" min="17" max="17" width="5.13"/>
    <col customWidth="1" min="18" max="18" width="4.25"/>
    <col customWidth="1" min="19" max="19" width="4.5"/>
  </cols>
  <sheetData>
    <row r="1" ht="19.5" customHeight="1">
      <c r="A1" s="4" t="s">
        <v>19</v>
      </c>
      <c r="B1" s="2" t="s">
        <v>1</v>
      </c>
      <c r="C1" s="2" t="s">
        <v>2</v>
      </c>
      <c r="D1" s="4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ht="19.5" customHeight="1">
      <c r="A2" s="129">
        <v>12944.0</v>
      </c>
      <c r="B2" s="2" t="s">
        <v>20</v>
      </c>
      <c r="C2" s="2" t="s">
        <v>1052</v>
      </c>
      <c r="D2" s="4" t="s">
        <v>109</v>
      </c>
      <c r="E2" s="2" t="s">
        <v>7297</v>
      </c>
      <c r="F2" s="4" t="s">
        <v>7298</v>
      </c>
      <c r="G2" s="158"/>
      <c r="H2" s="101" t="s">
        <v>7299</v>
      </c>
      <c r="I2" s="105"/>
      <c r="J2" s="105"/>
      <c r="K2" s="158"/>
      <c r="L2" s="158"/>
      <c r="M2" s="158"/>
      <c r="N2" s="158"/>
      <c r="O2" s="158"/>
      <c r="P2" s="158"/>
      <c r="Q2" s="158"/>
      <c r="R2" s="158"/>
      <c r="S2" s="158"/>
    </row>
    <row r="3" ht="19.5" customHeight="1">
      <c r="A3" s="159">
        <v>12949.0</v>
      </c>
      <c r="B3" s="160" t="s">
        <v>20</v>
      </c>
      <c r="C3" s="2" t="s">
        <v>4114</v>
      </c>
      <c r="D3" s="161" t="s">
        <v>109</v>
      </c>
      <c r="E3" s="162" t="s">
        <v>7300</v>
      </c>
      <c r="F3" s="163"/>
      <c r="G3" s="158"/>
      <c r="H3" s="164" t="s">
        <v>7301</v>
      </c>
      <c r="I3" s="165" t="s">
        <v>7302</v>
      </c>
      <c r="J3" s="166"/>
      <c r="K3" s="27"/>
      <c r="L3" s="27"/>
      <c r="M3" s="27"/>
      <c r="N3" s="27"/>
      <c r="O3" s="27"/>
      <c r="P3" s="27"/>
      <c r="Q3" s="27"/>
      <c r="R3" s="27"/>
      <c r="S3" s="27"/>
    </row>
    <row r="4" ht="19.5" customHeight="1">
      <c r="A4" s="159">
        <v>12953.0</v>
      </c>
      <c r="B4" s="160" t="s">
        <v>20</v>
      </c>
      <c r="C4" s="2" t="s">
        <v>7303</v>
      </c>
      <c r="D4" s="161" t="s">
        <v>109</v>
      </c>
      <c r="E4" s="162" t="s">
        <v>7300</v>
      </c>
      <c r="F4" s="163"/>
      <c r="G4" s="158"/>
      <c r="H4" s="164" t="s">
        <v>7304</v>
      </c>
      <c r="I4" s="166"/>
      <c r="J4" s="166"/>
      <c r="K4" s="27"/>
      <c r="L4" s="27"/>
      <c r="M4" s="27"/>
      <c r="N4" s="27"/>
      <c r="O4" s="27"/>
      <c r="P4" s="27"/>
      <c r="Q4" s="27"/>
      <c r="R4" s="27"/>
      <c r="S4" s="27"/>
    </row>
    <row r="5" ht="19.5" customHeight="1">
      <c r="A5" s="129">
        <v>12978.0</v>
      </c>
      <c r="B5" s="160" t="s">
        <v>20</v>
      </c>
      <c r="C5" s="2" t="s">
        <v>867</v>
      </c>
      <c r="D5" s="161" t="s">
        <v>109</v>
      </c>
      <c r="E5" s="162" t="s">
        <v>7305</v>
      </c>
      <c r="F5" s="163"/>
      <c r="G5" s="158"/>
      <c r="H5" s="167" t="s">
        <v>7306</v>
      </c>
      <c r="I5" s="166"/>
      <c r="J5" s="168" t="s">
        <v>7307</v>
      </c>
      <c r="K5" s="27"/>
      <c r="L5" s="27"/>
      <c r="M5" s="27"/>
      <c r="N5" s="27"/>
      <c r="O5" s="27"/>
      <c r="P5" s="27"/>
      <c r="Q5" s="27"/>
      <c r="R5" s="27"/>
      <c r="S5" s="27"/>
    </row>
    <row r="6" ht="19.5" customHeight="1">
      <c r="A6" s="129">
        <v>12987.0</v>
      </c>
      <c r="B6" s="160" t="s">
        <v>20</v>
      </c>
      <c r="C6" s="2" t="s">
        <v>7308</v>
      </c>
      <c r="D6" s="161" t="s">
        <v>109</v>
      </c>
      <c r="E6" s="162" t="s">
        <v>7309</v>
      </c>
      <c r="F6" s="163"/>
      <c r="G6" s="159">
        <v>1.0</v>
      </c>
      <c r="H6" s="167" t="s">
        <v>7310</v>
      </c>
      <c r="I6" s="169" t="s">
        <v>7311</v>
      </c>
      <c r="J6" s="166"/>
      <c r="K6" s="27"/>
      <c r="L6" s="27"/>
      <c r="M6" s="27"/>
      <c r="N6" s="27"/>
      <c r="O6" s="27"/>
      <c r="P6" s="27"/>
      <c r="Q6" s="27"/>
      <c r="R6" s="27"/>
      <c r="S6" s="27"/>
    </row>
    <row r="7" ht="19.5" customHeight="1">
      <c r="A7" s="159">
        <v>13002.0</v>
      </c>
      <c r="B7" s="160" t="s">
        <v>20</v>
      </c>
      <c r="C7" s="2" t="s">
        <v>7312</v>
      </c>
      <c r="D7" s="161" t="s">
        <v>109</v>
      </c>
      <c r="E7" s="162" t="s">
        <v>7300</v>
      </c>
      <c r="F7" s="163"/>
      <c r="G7" s="158"/>
      <c r="H7" s="164" t="s">
        <v>7313</v>
      </c>
      <c r="I7" s="166"/>
      <c r="J7" s="166"/>
      <c r="K7" s="27"/>
      <c r="L7" s="27"/>
      <c r="M7" s="27"/>
      <c r="N7" s="27"/>
      <c r="O7" s="27"/>
      <c r="P7" s="27"/>
      <c r="Q7" s="27"/>
      <c r="R7" s="27"/>
      <c r="S7" s="27"/>
    </row>
    <row r="8" ht="19.5" customHeight="1">
      <c r="A8" s="159">
        <v>13009.0</v>
      </c>
      <c r="B8" s="160" t="s">
        <v>20</v>
      </c>
      <c r="C8" s="2" t="s">
        <v>1420</v>
      </c>
      <c r="D8" s="161" t="s">
        <v>109</v>
      </c>
      <c r="E8" s="162" t="s">
        <v>7300</v>
      </c>
      <c r="F8" s="163"/>
      <c r="G8" s="158"/>
      <c r="H8" s="170" t="s">
        <v>7314</v>
      </c>
      <c r="I8" s="166"/>
      <c r="J8" s="166"/>
      <c r="K8" s="27"/>
      <c r="L8" s="27"/>
      <c r="M8" s="27"/>
      <c r="N8" s="27"/>
      <c r="O8" s="27"/>
      <c r="P8" s="27"/>
      <c r="Q8" s="27"/>
      <c r="R8" s="27"/>
      <c r="S8" s="27"/>
    </row>
    <row r="9" ht="19.5" customHeight="1">
      <c r="A9" s="129">
        <v>13019.0</v>
      </c>
      <c r="B9" s="160" t="s">
        <v>20</v>
      </c>
      <c r="C9" s="2" t="s">
        <v>7315</v>
      </c>
      <c r="D9" s="161" t="s">
        <v>109</v>
      </c>
      <c r="E9" s="162" t="s">
        <v>7305</v>
      </c>
      <c r="F9" s="163"/>
      <c r="G9" s="159">
        <v>1.0</v>
      </c>
      <c r="H9" s="167" t="s">
        <v>7316</v>
      </c>
      <c r="I9" s="166"/>
      <c r="J9" s="166"/>
      <c r="K9" s="27"/>
      <c r="L9" s="27"/>
      <c r="M9" s="27"/>
      <c r="N9" s="27"/>
      <c r="O9" s="27"/>
      <c r="P9" s="27"/>
      <c r="Q9" s="27"/>
      <c r="R9" s="27"/>
      <c r="S9" s="27"/>
    </row>
    <row r="10" ht="19.5" customHeight="1">
      <c r="A10" s="129">
        <v>13039.0</v>
      </c>
      <c r="B10" s="2" t="s">
        <v>7317</v>
      </c>
      <c r="C10" s="2" t="s">
        <v>7318</v>
      </c>
      <c r="D10" s="4" t="s">
        <v>109</v>
      </c>
      <c r="E10" s="2" t="s">
        <v>7300</v>
      </c>
      <c r="F10" s="4"/>
      <c r="G10" s="158"/>
      <c r="H10" s="105"/>
      <c r="I10" s="102" t="s">
        <v>7319</v>
      </c>
      <c r="J10" s="105"/>
      <c r="K10" s="158"/>
      <c r="L10" s="158"/>
      <c r="M10" s="158"/>
      <c r="N10" s="158"/>
      <c r="O10" s="158"/>
      <c r="P10" s="158"/>
      <c r="Q10" s="158"/>
      <c r="R10" s="158"/>
      <c r="S10" s="158"/>
    </row>
    <row r="11" ht="19.5" customHeight="1">
      <c r="A11" s="171">
        <v>13054.0</v>
      </c>
      <c r="B11" s="2" t="s">
        <v>20</v>
      </c>
      <c r="C11" s="2" t="s">
        <v>7320</v>
      </c>
      <c r="D11" s="4" t="s">
        <v>109</v>
      </c>
      <c r="E11" s="2" t="s">
        <v>7321</v>
      </c>
      <c r="F11" s="4" t="s">
        <v>7322</v>
      </c>
      <c r="G11" s="172"/>
      <c r="H11" s="102" t="s">
        <v>7323</v>
      </c>
      <c r="I11" s="105"/>
      <c r="J11" s="105"/>
      <c r="K11" s="172"/>
      <c r="L11" s="172"/>
      <c r="M11" s="172"/>
      <c r="N11" s="171" t="s">
        <v>7324</v>
      </c>
      <c r="O11" s="172"/>
      <c r="P11" s="172"/>
      <c r="Q11" s="172"/>
      <c r="R11" s="172"/>
      <c r="S11" s="172"/>
    </row>
    <row r="12" ht="19.5" customHeight="1">
      <c r="A12" s="159">
        <v>13056.0</v>
      </c>
      <c r="B12" s="160" t="s">
        <v>20</v>
      </c>
      <c r="C12" s="2" t="s">
        <v>5664</v>
      </c>
      <c r="D12" s="161" t="s">
        <v>109</v>
      </c>
      <c r="E12" s="162" t="s">
        <v>7300</v>
      </c>
      <c r="F12" s="163"/>
      <c r="G12" s="158"/>
      <c r="H12" s="167" t="s">
        <v>7325</v>
      </c>
      <c r="I12" s="166"/>
      <c r="J12" s="166"/>
      <c r="K12" s="27"/>
      <c r="L12" s="27"/>
      <c r="M12" s="27"/>
      <c r="N12" s="27"/>
      <c r="O12" s="27"/>
      <c r="P12" s="27"/>
      <c r="Q12" s="27"/>
      <c r="R12" s="27"/>
      <c r="S12" s="27"/>
    </row>
    <row r="13" ht="19.5" customHeight="1">
      <c r="A13" s="159">
        <v>13059.0</v>
      </c>
      <c r="B13" s="160" t="s">
        <v>20</v>
      </c>
      <c r="C13" s="2" t="s">
        <v>7326</v>
      </c>
      <c r="D13" s="161" t="s">
        <v>109</v>
      </c>
      <c r="E13" s="162" t="s">
        <v>7300</v>
      </c>
      <c r="F13" s="163"/>
      <c r="G13" s="158"/>
      <c r="H13" s="164" t="s">
        <v>7327</v>
      </c>
      <c r="I13" s="166"/>
      <c r="J13" s="166"/>
      <c r="K13" s="27"/>
      <c r="L13" s="27"/>
      <c r="M13" s="27"/>
      <c r="N13" s="27"/>
      <c r="O13" s="27"/>
      <c r="P13" s="27"/>
      <c r="Q13" s="27"/>
      <c r="R13" s="27"/>
      <c r="S13" s="27"/>
    </row>
    <row r="14" ht="19.5" customHeight="1">
      <c r="A14" s="129">
        <v>13074.0</v>
      </c>
      <c r="B14" s="2" t="s">
        <v>20</v>
      </c>
      <c r="C14" s="2" t="s">
        <v>7328</v>
      </c>
      <c r="D14" s="4" t="s">
        <v>109</v>
      </c>
      <c r="E14" s="2" t="s">
        <v>7300</v>
      </c>
      <c r="F14" s="4"/>
      <c r="G14" s="159">
        <v>1.0</v>
      </c>
      <c r="H14" s="101" t="s">
        <v>7329</v>
      </c>
      <c r="I14" s="105"/>
      <c r="J14" s="105"/>
      <c r="K14" s="158"/>
      <c r="L14" s="158"/>
      <c r="M14" s="158"/>
      <c r="N14" s="158"/>
      <c r="O14" s="158"/>
      <c r="P14" s="158"/>
      <c r="Q14" s="158"/>
      <c r="R14" s="158"/>
      <c r="S14" s="158"/>
    </row>
    <row r="15" ht="19.5" customHeight="1">
      <c r="A15" s="173">
        <v>13081.0</v>
      </c>
      <c r="B15" s="160" t="s">
        <v>20</v>
      </c>
      <c r="C15" s="2" t="s">
        <v>49</v>
      </c>
      <c r="D15" s="161" t="s">
        <v>109</v>
      </c>
      <c r="E15" s="162" t="s">
        <v>7330</v>
      </c>
      <c r="F15" s="163"/>
      <c r="G15" s="159">
        <v>1.0</v>
      </c>
      <c r="H15" s="167" t="s">
        <v>7331</v>
      </c>
      <c r="I15" s="174" t="s">
        <v>7332</v>
      </c>
      <c r="J15" s="166"/>
      <c r="K15" s="158"/>
      <c r="L15" s="158"/>
      <c r="M15" s="158"/>
      <c r="N15" s="158"/>
      <c r="O15" s="158"/>
      <c r="P15" s="158"/>
      <c r="Q15" s="158"/>
      <c r="R15" s="158"/>
      <c r="S15" s="158"/>
    </row>
    <row r="16" ht="19.5" customHeight="1">
      <c r="A16" s="159">
        <v>13099.0</v>
      </c>
      <c r="B16" s="160" t="s">
        <v>20</v>
      </c>
      <c r="C16" s="2" t="s">
        <v>7333</v>
      </c>
      <c r="D16" s="161" t="s">
        <v>109</v>
      </c>
      <c r="E16" s="162" t="s">
        <v>7300</v>
      </c>
      <c r="F16" s="163"/>
      <c r="G16" s="158"/>
      <c r="H16" s="164" t="s">
        <v>7334</v>
      </c>
      <c r="I16" s="166"/>
      <c r="J16" s="166"/>
      <c r="K16" s="27"/>
      <c r="L16" s="27"/>
      <c r="M16" s="27"/>
      <c r="N16" s="27"/>
      <c r="O16" s="27"/>
      <c r="P16" s="27"/>
      <c r="Q16" s="27"/>
      <c r="R16" s="27"/>
      <c r="S16" s="27"/>
    </row>
    <row r="17" ht="19.5" customHeight="1">
      <c r="A17" s="159">
        <v>13112.0</v>
      </c>
      <c r="B17" s="2" t="s">
        <v>20</v>
      </c>
      <c r="C17" s="2" t="s">
        <v>7335</v>
      </c>
      <c r="D17" s="4" t="s">
        <v>109</v>
      </c>
      <c r="E17" s="2" t="s">
        <v>7309</v>
      </c>
      <c r="F17" s="4" t="s">
        <v>7336</v>
      </c>
      <c r="G17" s="159">
        <v>1.0</v>
      </c>
      <c r="H17" s="101" t="s">
        <v>7337</v>
      </c>
      <c r="I17" s="105"/>
      <c r="J17" s="105"/>
      <c r="K17" s="158"/>
      <c r="L17" s="158"/>
      <c r="M17" s="158"/>
      <c r="N17" s="158"/>
      <c r="O17" s="158"/>
      <c r="P17" s="158"/>
      <c r="Q17" s="158"/>
      <c r="R17" s="158"/>
      <c r="S17" s="158"/>
    </row>
    <row r="18" ht="19.5" customHeight="1">
      <c r="A18" s="159">
        <v>13120.0</v>
      </c>
      <c r="B18" s="160" t="s">
        <v>20</v>
      </c>
      <c r="C18" s="2" t="s">
        <v>189</v>
      </c>
      <c r="D18" s="161" t="s">
        <v>109</v>
      </c>
      <c r="E18" s="162" t="s">
        <v>7300</v>
      </c>
      <c r="F18" s="163"/>
      <c r="G18" s="158"/>
      <c r="H18" s="164" t="s">
        <v>7338</v>
      </c>
      <c r="I18" s="166"/>
      <c r="J18" s="166"/>
      <c r="K18" s="27"/>
      <c r="L18" s="27"/>
      <c r="M18" s="27"/>
      <c r="N18" s="27"/>
      <c r="O18" s="27"/>
      <c r="P18" s="27"/>
      <c r="Q18" s="27"/>
      <c r="R18" s="27"/>
      <c r="S18" s="27"/>
    </row>
    <row r="19" ht="19.5" customHeight="1">
      <c r="A19" s="175">
        <v>13124.0</v>
      </c>
      <c r="B19" s="160" t="s">
        <v>20</v>
      </c>
      <c r="C19" s="2" t="s">
        <v>3209</v>
      </c>
      <c r="D19" s="161" t="s">
        <v>109</v>
      </c>
      <c r="E19" s="162" t="s">
        <v>7330</v>
      </c>
      <c r="F19" s="163"/>
      <c r="G19" s="158"/>
      <c r="H19" s="166"/>
      <c r="I19" s="166"/>
      <c r="J19" s="168" t="s">
        <v>7339</v>
      </c>
      <c r="K19" s="27"/>
      <c r="L19" s="27"/>
      <c r="M19" s="27"/>
      <c r="N19" s="27"/>
      <c r="O19" s="27"/>
      <c r="P19" s="27"/>
      <c r="Q19" s="27"/>
      <c r="R19" s="27"/>
      <c r="S19" s="27"/>
    </row>
    <row r="20" ht="19.5" customHeight="1">
      <c r="A20" s="159">
        <v>13128.0</v>
      </c>
      <c r="B20" s="160" t="s">
        <v>20</v>
      </c>
      <c r="C20" s="2" t="s">
        <v>7340</v>
      </c>
      <c r="D20" s="161" t="s">
        <v>109</v>
      </c>
      <c r="E20" s="162" t="s">
        <v>7300</v>
      </c>
      <c r="F20" s="163"/>
      <c r="G20" s="158"/>
      <c r="H20" s="166"/>
      <c r="I20" s="166"/>
      <c r="J20" s="169" t="s">
        <v>7341</v>
      </c>
      <c r="K20" s="27"/>
      <c r="L20" s="27"/>
      <c r="M20" s="27"/>
      <c r="N20" s="27"/>
      <c r="O20" s="27"/>
      <c r="P20" s="27"/>
      <c r="Q20" s="27"/>
      <c r="R20" s="27"/>
      <c r="S20" s="27"/>
    </row>
    <row r="21" ht="19.5" customHeight="1">
      <c r="A21" s="171">
        <v>13133.0</v>
      </c>
      <c r="B21" s="2" t="s">
        <v>7342</v>
      </c>
      <c r="C21" s="2" t="s">
        <v>7343</v>
      </c>
      <c r="D21" s="4" t="s">
        <v>109</v>
      </c>
      <c r="E21" s="2" t="s">
        <v>7321</v>
      </c>
      <c r="F21" s="4" t="s">
        <v>7344</v>
      </c>
      <c r="G21" s="172"/>
      <c r="H21" s="105"/>
      <c r="I21" s="101" t="s">
        <v>7345</v>
      </c>
      <c r="J21" s="105"/>
      <c r="K21" s="172"/>
      <c r="L21" s="172"/>
      <c r="M21" s="172"/>
      <c r="N21" s="171" t="s">
        <v>7324</v>
      </c>
      <c r="O21" s="172"/>
      <c r="P21" s="172"/>
      <c r="Q21" s="172"/>
      <c r="R21" s="172"/>
      <c r="S21" s="172"/>
    </row>
    <row r="22" ht="19.5" customHeight="1">
      <c r="A22" s="159">
        <v>13136.0</v>
      </c>
      <c r="B22" s="160" t="s">
        <v>20</v>
      </c>
      <c r="C22" s="2" t="s">
        <v>7346</v>
      </c>
      <c r="D22" s="161" t="s">
        <v>109</v>
      </c>
      <c r="E22" s="162" t="s">
        <v>7300</v>
      </c>
      <c r="F22" s="163"/>
      <c r="G22" s="158"/>
      <c r="H22" s="167" t="s">
        <v>7347</v>
      </c>
      <c r="I22" s="166"/>
      <c r="J22" s="166"/>
      <c r="K22" s="27"/>
      <c r="L22" s="27"/>
      <c r="M22" s="27"/>
      <c r="N22" s="27"/>
      <c r="O22" s="27"/>
      <c r="P22" s="27"/>
      <c r="Q22" s="27"/>
      <c r="R22" s="27"/>
      <c r="S22" s="27"/>
    </row>
    <row r="23" ht="19.5" customHeight="1">
      <c r="A23" s="129">
        <v>13146.0</v>
      </c>
      <c r="B23" s="160" t="s">
        <v>20</v>
      </c>
      <c r="C23" s="2" t="s">
        <v>7348</v>
      </c>
      <c r="D23" s="161" t="s">
        <v>109</v>
      </c>
      <c r="E23" s="162" t="s">
        <v>7300</v>
      </c>
      <c r="F23" s="163"/>
      <c r="G23" s="158"/>
      <c r="H23" s="167" t="s">
        <v>7349</v>
      </c>
      <c r="I23" s="169" t="s">
        <v>7350</v>
      </c>
      <c r="J23" s="166"/>
      <c r="K23" s="27"/>
      <c r="L23" s="27"/>
      <c r="M23" s="27"/>
      <c r="N23" s="27"/>
      <c r="O23" s="27"/>
      <c r="P23" s="27"/>
      <c r="Q23" s="27"/>
      <c r="R23" s="27"/>
      <c r="S23" s="27"/>
    </row>
    <row r="24" ht="19.5" customHeight="1">
      <c r="A24" s="159">
        <v>13148.0</v>
      </c>
      <c r="B24" s="160" t="s">
        <v>20</v>
      </c>
      <c r="C24" s="2" t="s">
        <v>1223</v>
      </c>
      <c r="D24" s="161" t="s">
        <v>109</v>
      </c>
      <c r="E24" s="162" t="s">
        <v>7300</v>
      </c>
      <c r="F24" s="163"/>
      <c r="G24" s="158"/>
      <c r="H24" s="167" t="s">
        <v>7351</v>
      </c>
      <c r="I24" s="166"/>
      <c r="J24" s="166"/>
      <c r="K24" s="27"/>
      <c r="L24" s="27"/>
      <c r="M24" s="27"/>
      <c r="N24" s="27"/>
      <c r="O24" s="27"/>
      <c r="P24" s="27"/>
      <c r="Q24" s="27"/>
      <c r="R24" s="27"/>
      <c r="S24" s="27"/>
    </row>
    <row r="25" ht="19.5" customHeight="1">
      <c r="A25" s="159">
        <v>13149.0</v>
      </c>
      <c r="B25" s="160" t="s">
        <v>20</v>
      </c>
      <c r="C25" s="2" t="s">
        <v>4062</v>
      </c>
      <c r="D25" s="161" t="s">
        <v>109</v>
      </c>
      <c r="E25" s="162" t="s">
        <v>7300</v>
      </c>
      <c r="F25" s="163"/>
      <c r="G25" s="158"/>
      <c r="H25" s="167" t="s">
        <v>7352</v>
      </c>
      <c r="I25" s="169" t="s">
        <v>7353</v>
      </c>
      <c r="J25" s="169" t="s">
        <v>7354</v>
      </c>
      <c r="K25" s="27"/>
      <c r="L25" s="27"/>
      <c r="M25" s="27"/>
      <c r="N25" s="27"/>
      <c r="O25" s="27"/>
      <c r="P25" s="27"/>
      <c r="Q25" s="27"/>
      <c r="R25" s="27"/>
      <c r="S25" s="27"/>
    </row>
    <row r="26" ht="19.5" customHeight="1">
      <c r="A26" s="159">
        <v>13152.0</v>
      </c>
      <c r="B26" s="160" t="s">
        <v>20</v>
      </c>
      <c r="C26" s="2" t="s">
        <v>7355</v>
      </c>
      <c r="D26" s="161" t="s">
        <v>109</v>
      </c>
      <c r="E26" s="162" t="s">
        <v>7300</v>
      </c>
      <c r="F26" s="163"/>
      <c r="G26" s="158"/>
      <c r="H26" s="164" t="s">
        <v>7356</v>
      </c>
      <c r="I26" s="166" t="s">
        <v>7357</v>
      </c>
      <c r="J26" s="166"/>
      <c r="K26" s="27"/>
      <c r="L26" s="27"/>
      <c r="M26" s="27"/>
      <c r="N26" s="27"/>
      <c r="O26" s="27"/>
      <c r="P26" s="27"/>
      <c r="Q26" s="27"/>
      <c r="R26" s="27"/>
      <c r="S26" s="27"/>
    </row>
    <row r="27" ht="19.5" customHeight="1">
      <c r="A27" s="159">
        <v>13175.0</v>
      </c>
      <c r="B27" s="160" t="s">
        <v>20</v>
      </c>
      <c r="C27" s="2" t="s">
        <v>7358</v>
      </c>
      <c r="D27" s="161" t="s">
        <v>109</v>
      </c>
      <c r="E27" s="162" t="s">
        <v>7300</v>
      </c>
      <c r="F27" s="163"/>
      <c r="G27" s="158"/>
      <c r="H27" s="164" t="s">
        <v>7359</v>
      </c>
      <c r="I27" s="166"/>
      <c r="J27" s="166"/>
      <c r="K27" s="27"/>
      <c r="L27" s="27"/>
      <c r="M27" s="27"/>
      <c r="N27" s="27"/>
      <c r="O27" s="27"/>
      <c r="P27" s="27"/>
      <c r="Q27" s="27"/>
      <c r="R27" s="27"/>
      <c r="S27" s="27"/>
    </row>
    <row r="28" ht="19.5" customHeight="1">
      <c r="A28" s="129">
        <v>13177.0</v>
      </c>
      <c r="B28" s="160" t="s">
        <v>20</v>
      </c>
      <c r="C28" s="2" t="s">
        <v>7360</v>
      </c>
      <c r="D28" s="161" t="s">
        <v>109</v>
      </c>
      <c r="E28" s="162" t="s">
        <v>7300</v>
      </c>
      <c r="F28" s="163"/>
      <c r="G28" s="158"/>
      <c r="H28" s="167" t="s">
        <v>7361</v>
      </c>
      <c r="I28" s="166"/>
      <c r="J28" s="166"/>
      <c r="K28" s="27"/>
      <c r="L28" s="27"/>
      <c r="M28" s="27"/>
      <c r="N28" s="27"/>
      <c r="O28" s="27"/>
      <c r="P28" s="27"/>
      <c r="Q28" s="27"/>
      <c r="R28" s="27"/>
      <c r="S28" s="27"/>
    </row>
    <row r="29" ht="19.5" customHeight="1">
      <c r="A29" s="129">
        <v>13180.0</v>
      </c>
      <c r="B29" s="160" t="s">
        <v>20</v>
      </c>
      <c r="C29" s="2" t="s">
        <v>7317</v>
      </c>
      <c r="D29" s="161" t="s">
        <v>109</v>
      </c>
      <c r="E29" s="2" t="s">
        <v>7362</v>
      </c>
      <c r="F29" s="163"/>
      <c r="G29" s="158"/>
      <c r="H29" s="167" t="s">
        <v>7363</v>
      </c>
      <c r="I29" s="166"/>
      <c r="J29" s="166"/>
      <c r="K29" s="27"/>
      <c r="L29" s="27"/>
      <c r="M29" s="27"/>
      <c r="N29" s="27"/>
      <c r="O29" s="27"/>
      <c r="P29" s="27"/>
      <c r="Q29" s="27"/>
      <c r="R29" s="27"/>
      <c r="S29" s="27"/>
    </row>
    <row r="30" ht="19.5" customHeight="1">
      <c r="A30" s="129">
        <v>13181.0</v>
      </c>
      <c r="B30" s="2" t="s">
        <v>20</v>
      </c>
      <c r="C30" s="2" t="s">
        <v>4572</v>
      </c>
      <c r="D30" s="4" t="s">
        <v>109</v>
      </c>
      <c r="E30" s="2" t="s">
        <v>7202</v>
      </c>
      <c r="F30" s="4" t="s">
        <v>7364</v>
      </c>
      <c r="G30" s="158"/>
      <c r="H30" s="101" t="s">
        <v>7365</v>
      </c>
      <c r="I30" s="102" t="s">
        <v>7366</v>
      </c>
      <c r="J30" s="101" t="s">
        <v>7367</v>
      </c>
      <c r="K30" s="158"/>
      <c r="L30" s="158"/>
      <c r="M30" s="158"/>
      <c r="N30" s="176" t="s">
        <v>7368</v>
      </c>
      <c r="O30" s="158"/>
      <c r="P30" s="158"/>
      <c r="Q30" s="158"/>
      <c r="R30" s="158"/>
      <c r="S30" s="158"/>
    </row>
    <row r="31" ht="19.5" customHeight="1">
      <c r="A31" s="129">
        <v>13191.0</v>
      </c>
      <c r="B31" s="160" t="s">
        <v>20</v>
      </c>
      <c r="C31" s="2" t="s">
        <v>4517</v>
      </c>
      <c r="D31" s="161" t="s">
        <v>109</v>
      </c>
      <c r="E31" s="162" t="s">
        <v>7300</v>
      </c>
      <c r="F31" s="163"/>
      <c r="G31" s="158"/>
      <c r="H31" s="167" t="s">
        <v>7369</v>
      </c>
      <c r="I31" s="166"/>
      <c r="J31" s="166"/>
      <c r="K31" s="27"/>
      <c r="L31" s="27"/>
      <c r="M31" s="27"/>
      <c r="N31" s="27"/>
      <c r="O31" s="27"/>
      <c r="P31" s="27"/>
      <c r="Q31" s="27"/>
      <c r="R31" s="27"/>
      <c r="S31" s="27"/>
    </row>
    <row r="32" ht="19.5" customHeight="1">
      <c r="A32" s="159">
        <v>13192.0</v>
      </c>
      <c r="B32" s="2" t="s">
        <v>7342</v>
      </c>
      <c r="C32" s="2" t="s">
        <v>7370</v>
      </c>
      <c r="D32" s="4" t="s">
        <v>109</v>
      </c>
      <c r="E32" s="2" t="s">
        <v>7297</v>
      </c>
      <c r="F32" s="4" t="s">
        <v>7371</v>
      </c>
      <c r="G32" s="159">
        <v>1.0</v>
      </c>
      <c r="H32" s="102" t="s">
        <v>7372</v>
      </c>
      <c r="I32" s="105"/>
      <c r="J32" s="105"/>
      <c r="K32" s="158"/>
      <c r="L32" s="158"/>
      <c r="M32" s="158"/>
      <c r="N32" s="158"/>
      <c r="O32" s="158"/>
      <c r="P32" s="158"/>
      <c r="Q32" s="158"/>
      <c r="R32" s="158"/>
      <c r="S32" s="158"/>
    </row>
    <row r="33" ht="19.5" customHeight="1">
      <c r="A33" s="159">
        <v>13197.0</v>
      </c>
      <c r="B33" s="160" t="s">
        <v>20</v>
      </c>
      <c r="C33" s="2" t="s">
        <v>7373</v>
      </c>
      <c r="D33" s="161" t="s">
        <v>109</v>
      </c>
      <c r="E33" s="162" t="s">
        <v>7300</v>
      </c>
      <c r="F33" s="163"/>
      <c r="G33" s="158"/>
      <c r="H33" s="166"/>
      <c r="I33" s="166"/>
      <c r="J33" s="169" t="s">
        <v>7374</v>
      </c>
      <c r="K33" s="27"/>
      <c r="L33" s="27"/>
      <c r="M33" s="27"/>
      <c r="N33" s="27"/>
      <c r="O33" s="27"/>
      <c r="P33" s="27"/>
      <c r="Q33" s="27"/>
      <c r="R33" s="27"/>
      <c r="S33" s="27"/>
    </row>
    <row r="34" ht="19.5" customHeight="1">
      <c r="A34" s="159">
        <v>13230.0</v>
      </c>
      <c r="B34" s="2" t="s">
        <v>7342</v>
      </c>
      <c r="C34" s="2" t="s">
        <v>7375</v>
      </c>
      <c r="D34" s="4" t="s">
        <v>109</v>
      </c>
      <c r="E34" s="2" t="s">
        <v>7202</v>
      </c>
      <c r="F34" s="4"/>
      <c r="G34" s="158"/>
      <c r="H34" s="101" t="s">
        <v>7376</v>
      </c>
      <c r="I34" s="105"/>
      <c r="J34" s="105"/>
      <c r="K34" s="158"/>
      <c r="L34" s="158"/>
      <c r="M34" s="158"/>
      <c r="N34" s="158"/>
      <c r="O34" s="158"/>
      <c r="P34" s="158"/>
      <c r="Q34" s="158"/>
      <c r="R34" s="158"/>
      <c r="S34" s="158"/>
    </row>
    <row r="35" ht="19.5" customHeight="1">
      <c r="A35" s="129">
        <v>13300.0</v>
      </c>
      <c r="B35" s="160" t="s">
        <v>20</v>
      </c>
      <c r="C35" s="2" t="s">
        <v>7377</v>
      </c>
      <c r="D35" s="161" t="s">
        <v>109</v>
      </c>
      <c r="E35" s="162" t="s">
        <v>7330</v>
      </c>
      <c r="F35" s="163"/>
      <c r="G35" s="158"/>
      <c r="H35" s="167" t="s">
        <v>7378</v>
      </c>
      <c r="I35" s="166"/>
      <c r="J35" s="166"/>
      <c r="K35" s="27"/>
      <c r="L35" s="27"/>
      <c r="M35" s="27"/>
      <c r="N35" s="27"/>
      <c r="O35" s="27"/>
      <c r="P35" s="27"/>
      <c r="Q35" s="27"/>
      <c r="R35" s="27"/>
      <c r="S35" s="27"/>
    </row>
    <row r="36" ht="19.5" customHeight="1">
      <c r="A36" s="129">
        <v>13304.0</v>
      </c>
      <c r="B36" s="177" t="s">
        <v>720</v>
      </c>
      <c r="C36" s="2" t="s">
        <v>7330</v>
      </c>
      <c r="D36" s="161" t="s">
        <v>109</v>
      </c>
      <c r="E36" s="162" t="s">
        <v>7330</v>
      </c>
      <c r="F36" s="163"/>
      <c r="G36" s="158"/>
      <c r="H36" s="166"/>
      <c r="I36" s="166"/>
      <c r="J36" s="168" t="s">
        <v>7379</v>
      </c>
      <c r="K36" s="27"/>
      <c r="L36" s="27"/>
      <c r="M36" s="27"/>
      <c r="N36" s="27"/>
      <c r="O36" s="27"/>
      <c r="P36" s="27"/>
      <c r="Q36" s="27"/>
      <c r="R36" s="27"/>
      <c r="S36" s="27"/>
    </row>
    <row r="37" ht="19.5" customHeight="1">
      <c r="A37" s="159">
        <v>13328.0</v>
      </c>
      <c r="B37" s="160" t="s">
        <v>20</v>
      </c>
      <c r="C37" s="2" t="s">
        <v>7380</v>
      </c>
      <c r="D37" s="161" t="s">
        <v>109</v>
      </c>
      <c r="E37" s="162" t="s">
        <v>7300</v>
      </c>
      <c r="F37" s="163"/>
      <c r="G37" s="158"/>
      <c r="H37" s="166"/>
      <c r="I37" s="169" t="s">
        <v>7381</v>
      </c>
      <c r="J37" s="166"/>
      <c r="K37" s="27"/>
      <c r="L37" s="27"/>
      <c r="M37" s="27"/>
      <c r="N37" s="27"/>
      <c r="O37" s="27"/>
      <c r="P37" s="27"/>
      <c r="Q37" s="27"/>
      <c r="R37" s="27"/>
      <c r="S37" s="27"/>
    </row>
    <row r="38" ht="19.5" customHeight="1">
      <c r="A38" s="159">
        <v>13350.0</v>
      </c>
      <c r="B38" s="2" t="s">
        <v>20</v>
      </c>
      <c r="C38" s="2" t="s">
        <v>3729</v>
      </c>
      <c r="D38" s="4" t="s">
        <v>109</v>
      </c>
      <c r="E38" s="2" t="s">
        <v>7300</v>
      </c>
      <c r="F38" s="4" t="s">
        <v>7382</v>
      </c>
      <c r="G38" s="158"/>
      <c r="H38" s="101" t="s">
        <v>7383</v>
      </c>
      <c r="I38" s="101" t="s">
        <v>7384</v>
      </c>
      <c r="J38" s="101" t="s">
        <v>7385</v>
      </c>
      <c r="K38" s="158"/>
      <c r="L38" s="158"/>
      <c r="M38" s="158"/>
      <c r="N38" s="178" t="s">
        <v>7386</v>
      </c>
      <c r="O38" s="158"/>
      <c r="P38" s="158"/>
      <c r="Q38" s="158"/>
      <c r="R38" s="158"/>
      <c r="S38" s="158"/>
    </row>
    <row r="39" ht="19.5" customHeight="1">
      <c r="A39" s="159">
        <v>13361.0</v>
      </c>
      <c r="B39" s="160" t="s">
        <v>20</v>
      </c>
      <c r="C39" s="2" t="s">
        <v>7387</v>
      </c>
      <c r="D39" s="161" t="s">
        <v>109</v>
      </c>
      <c r="E39" s="162" t="s">
        <v>7300</v>
      </c>
      <c r="F39" s="163"/>
      <c r="G39" s="158"/>
      <c r="H39" s="167" t="s">
        <v>7388</v>
      </c>
      <c r="I39" s="166"/>
      <c r="J39" s="166"/>
      <c r="K39" s="27"/>
      <c r="L39" s="27"/>
      <c r="M39" s="27"/>
      <c r="N39" s="27"/>
      <c r="O39" s="27"/>
      <c r="P39" s="27"/>
      <c r="Q39" s="27"/>
      <c r="R39" s="27"/>
      <c r="S39" s="27"/>
    </row>
    <row r="40" ht="19.5" customHeight="1">
      <c r="A40" s="159">
        <v>13382.0</v>
      </c>
      <c r="B40" s="160" t="s">
        <v>20</v>
      </c>
      <c r="C40" s="2" t="s">
        <v>7389</v>
      </c>
      <c r="D40" s="161" t="s">
        <v>109</v>
      </c>
      <c r="E40" s="162" t="s">
        <v>7300</v>
      </c>
      <c r="F40" s="163"/>
      <c r="G40" s="158"/>
      <c r="H40" s="167" t="s">
        <v>7390</v>
      </c>
      <c r="I40" s="166"/>
      <c r="J40" s="166"/>
      <c r="K40" s="27"/>
      <c r="L40" s="27"/>
      <c r="M40" s="27"/>
      <c r="N40" s="27"/>
      <c r="O40" s="27"/>
      <c r="P40" s="27"/>
      <c r="Q40" s="27"/>
      <c r="R40" s="27"/>
      <c r="S40" s="27"/>
    </row>
    <row r="41" ht="19.5" customHeight="1">
      <c r="A41" s="159">
        <v>13391.0</v>
      </c>
      <c r="B41" s="2" t="s">
        <v>20</v>
      </c>
      <c r="C41" s="2" t="s">
        <v>7391</v>
      </c>
      <c r="D41" s="4" t="s">
        <v>109</v>
      </c>
      <c r="E41" s="2" t="s">
        <v>7297</v>
      </c>
      <c r="F41" s="4"/>
      <c r="G41" s="158"/>
      <c r="H41" s="101" t="s">
        <v>7392</v>
      </c>
      <c r="I41" s="101" t="s">
        <v>7393</v>
      </c>
      <c r="J41" s="105"/>
      <c r="K41" s="158"/>
      <c r="L41" s="158"/>
      <c r="M41" s="158"/>
      <c r="N41" s="158"/>
      <c r="O41" s="158"/>
      <c r="P41" s="158"/>
      <c r="Q41" s="158"/>
      <c r="R41" s="158"/>
      <c r="S41" s="158"/>
    </row>
    <row r="42" ht="19.5" customHeight="1">
      <c r="A42" s="159">
        <v>13403.0</v>
      </c>
      <c r="B42" s="2" t="s">
        <v>20</v>
      </c>
      <c r="C42" s="2" t="s">
        <v>3479</v>
      </c>
      <c r="D42" s="4" t="s">
        <v>109</v>
      </c>
      <c r="E42" s="2" t="s">
        <v>7297</v>
      </c>
      <c r="F42" s="4" t="s">
        <v>7394</v>
      </c>
      <c r="G42" s="158"/>
      <c r="H42" s="101" t="s">
        <v>7395</v>
      </c>
      <c r="I42" s="105"/>
      <c r="J42" s="105"/>
      <c r="K42" s="158"/>
      <c r="L42" s="158"/>
      <c r="M42" s="158"/>
      <c r="N42" s="159" t="s">
        <v>7396</v>
      </c>
      <c r="O42" s="158"/>
      <c r="P42" s="158"/>
      <c r="Q42" s="158"/>
      <c r="R42" s="158"/>
      <c r="S42" s="158"/>
    </row>
    <row r="43" ht="19.5" customHeight="1">
      <c r="A43" s="159">
        <v>13407.0</v>
      </c>
      <c r="B43" s="2" t="s">
        <v>20</v>
      </c>
      <c r="C43" s="2" t="s">
        <v>7397</v>
      </c>
      <c r="D43" s="4" t="s">
        <v>109</v>
      </c>
      <c r="E43" s="2" t="s">
        <v>7297</v>
      </c>
      <c r="F43" s="4" t="s">
        <v>7398</v>
      </c>
      <c r="G43" s="158"/>
      <c r="H43" s="101" t="s">
        <v>7399</v>
      </c>
      <c r="I43" s="105"/>
      <c r="J43" s="105"/>
      <c r="K43" s="158"/>
      <c r="L43" s="158"/>
      <c r="M43" s="158"/>
      <c r="N43" s="158"/>
      <c r="O43" s="158"/>
      <c r="P43" s="158"/>
      <c r="Q43" s="158"/>
      <c r="R43" s="158"/>
      <c r="S43" s="158"/>
    </row>
    <row r="44" ht="19.5" customHeight="1">
      <c r="A44" s="159">
        <v>13408.0</v>
      </c>
      <c r="B44" s="2" t="s">
        <v>20</v>
      </c>
      <c r="C44" s="2" t="s">
        <v>7400</v>
      </c>
      <c r="D44" s="4" t="s">
        <v>109</v>
      </c>
      <c r="E44" s="2" t="s">
        <v>7297</v>
      </c>
      <c r="F44" s="4"/>
      <c r="G44" s="158"/>
      <c r="H44" s="101" t="s">
        <v>7401</v>
      </c>
      <c r="I44" s="105"/>
      <c r="J44" s="105"/>
      <c r="K44" s="158"/>
      <c r="L44" s="158"/>
      <c r="M44" s="158"/>
      <c r="N44" s="158"/>
      <c r="O44" s="158"/>
      <c r="P44" s="158"/>
      <c r="Q44" s="158"/>
      <c r="R44" s="158"/>
      <c r="S44" s="158"/>
    </row>
    <row r="45" ht="19.5" customHeight="1">
      <c r="A45" s="171">
        <v>13409.0</v>
      </c>
      <c r="B45" s="2" t="s">
        <v>7342</v>
      </c>
      <c r="C45" s="2" t="s">
        <v>7402</v>
      </c>
      <c r="D45" s="4" t="s">
        <v>109</v>
      </c>
      <c r="E45" s="2" t="s">
        <v>7321</v>
      </c>
      <c r="F45" s="4"/>
      <c r="G45" s="158"/>
      <c r="H45" s="105"/>
      <c r="I45" s="105"/>
      <c r="J45" s="101" t="s">
        <v>7403</v>
      </c>
      <c r="K45" s="158"/>
      <c r="L45" s="158"/>
      <c r="M45" s="158"/>
      <c r="N45" s="158"/>
      <c r="O45" s="158"/>
      <c r="P45" s="158"/>
      <c r="Q45" s="158"/>
      <c r="R45" s="158"/>
      <c r="S45" s="158"/>
    </row>
    <row r="46" ht="19.5" customHeight="1">
      <c r="A46" s="171">
        <v>13410.0</v>
      </c>
      <c r="B46" s="2" t="s">
        <v>20</v>
      </c>
      <c r="C46" s="2" t="s">
        <v>145</v>
      </c>
      <c r="D46" s="4" t="s">
        <v>109</v>
      </c>
      <c r="E46" s="2" t="s">
        <v>7321</v>
      </c>
      <c r="F46" s="4" t="s">
        <v>7404</v>
      </c>
      <c r="G46" s="179"/>
      <c r="H46" s="101" t="s">
        <v>7405</v>
      </c>
      <c r="I46" s="105"/>
      <c r="J46" s="105"/>
      <c r="K46" s="172"/>
      <c r="L46" s="172"/>
      <c r="M46" s="172"/>
      <c r="N46" s="171" t="s">
        <v>7396</v>
      </c>
      <c r="O46" s="172"/>
      <c r="P46" s="172"/>
      <c r="Q46" s="172"/>
      <c r="R46" s="172"/>
      <c r="S46" s="172"/>
    </row>
    <row r="47" ht="19.5" customHeight="1">
      <c r="A47" s="159">
        <v>13421.0</v>
      </c>
      <c r="B47" s="2" t="s">
        <v>20</v>
      </c>
      <c r="C47" s="2" t="s">
        <v>7406</v>
      </c>
      <c r="D47" s="4" t="s">
        <v>109</v>
      </c>
      <c r="E47" s="2" t="s">
        <v>7297</v>
      </c>
      <c r="F47" s="4"/>
      <c r="G47" s="159">
        <v>1.0</v>
      </c>
      <c r="H47" s="101" t="s">
        <v>7407</v>
      </c>
      <c r="I47" s="105"/>
      <c r="J47" s="105"/>
      <c r="K47" s="158"/>
      <c r="L47" s="158"/>
      <c r="M47" s="158"/>
      <c r="N47" s="158"/>
      <c r="O47" s="158"/>
      <c r="P47" s="158"/>
      <c r="Q47" s="158"/>
      <c r="R47" s="158"/>
      <c r="S47" s="158"/>
    </row>
    <row r="48" ht="19.5" customHeight="1">
      <c r="A48" s="159">
        <v>13436.0</v>
      </c>
      <c r="B48" s="2" t="s">
        <v>20</v>
      </c>
      <c r="C48" s="2" t="s">
        <v>7408</v>
      </c>
      <c r="D48" s="4" t="s">
        <v>109</v>
      </c>
      <c r="E48" s="2" t="s">
        <v>7297</v>
      </c>
      <c r="F48" s="4" t="s">
        <v>7409</v>
      </c>
      <c r="G48" s="159">
        <v>1.0</v>
      </c>
      <c r="H48" s="101" t="s">
        <v>7410</v>
      </c>
      <c r="I48" s="101" t="s">
        <v>7411</v>
      </c>
      <c r="J48" s="105"/>
      <c r="K48" s="158"/>
      <c r="L48" s="158"/>
      <c r="M48" s="158"/>
      <c r="N48" s="158"/>
      <c r="O48" s="158"/>
      <c r="P48" s="158"/>
      <c r="Q48" s="158"/>
      <c r="R48" s="158"/>
      <c r="S48" s="158"/>
    </row>
    <row r="49" ht="19.5" customHeight="1">
      <c r="A49" s="159">
        <v>13437.0</v>
      </c>
      <c r="B49" s="2" t="s">
        <v>20</v>
      </c>
      <c r="C49" s="2" t="s">
        <v>7412</v>
      </c>
      <c r="D49" s="4" t="s">
        <v>109</v>
      </c>
      <c r="E49" s="2" t="s">
        <v>7297</v>
      </c>
      <c r="F49" s="4" t="s">
        <v>7413</v>
      </c>
      <c r="G49" s="158"/>
      <c r="H49" s="101" t="s">
        <v>7414</v>
      </c>
      <c r="I49" s="105"/>
      <c r="J49" s="105"/>
      <c r="K49" s="158"/>
      <c r="L49" s="158"/>
      <c r="M49" s="158"/>
      <c r="N49" s="158"/>
      <c r="O49" s="158"/>
      <c r="P49" s="158"/>
      <c r="Q49" s="158"/>
      <c r="R49" s="158"/>
      <c r="S49" s="158"/>
    </row>
    <row r="50" ht="19.5" customHeight="1">
      <c r="A50" s="159">
        <v>13443.0</v>
      </c>
      <c r="B50" s="2" t="s">
        <v>20</v>
      </c>
      <c r="C50" s="2" t="s">
        <v>74</v>
      </c>
      <c r="D50" s="4" t="s">
        <v>109</v>
      </c>
      <c r="E50" s="2" t="s">
        <v>7297</v>
      </c>
      <c r="F50" s="4" t="s">
        <v>7415</v>
      </c>
      <c r="G50" s="4"/>
      <c r="H50" s="101" t="s">
        <v>7416</v>
      </c>
      <c r="I50" s="105"/>
      <c r="J50" s="101" t="s">
        <v>7417</v>
      </c>
      <c r="K50" s="43" t="s">
        <v>7418</v>
      </c>
      <c r="L50" s="27"/>
      <c r="M50" s="27"/>
      <c r="N50" s="4" t="s">
        <v>2888</v>
      </c>
      <c r="O50" s="27"/>
      <c r="P50" s="27"/>
      <c r="Q50" s="27"/>
      <c r="R50" s="27"/>
      <c r="S50" s="27"/>
    </row>
    <row r="51" ht="19.5" customHeight="1">
      <c r="A51" s="129">
        <v>13444.0</v>
      </c>
      <c r="B51" s="160" t="s">
        <v>20</v>
      </c>
      <c r="C51" s="2" t="s">
        <v>763</v>
      </c>
      <c r="D51" s="161" t="s">
        <v>109</v>
      </c>
      <c r="E51" s="2" t="s">
        <v>7362</v>
      </c>
      <c r="F51" s="163"/>
      <c r="G51" s="158"/>
      <c r="H51" s="167" t="s">
        <v>7419</v>
      </c>
      <c r="I51" s="166"/>
      <c r="J51" s="166"/>
      <c r="K51" s="27"/>
      <c r="L51" s="27"/>
      <c r="M51" s="27"/>
      <c r="N51" s="27"/>
      <c r="O51" s="27"/>
      <c r="P51" s="27"/>
      <c r="Q51" s="27"/>
      <c r="R51" s="27"/>
      <c r="S51" s="27"/>
    </row>
    <row r="52" ht="19.5" customHeight="1">
      <c r="A52" s="159">
        <v>13446.0</v>
      </c>
      <c r="B52" s="160" t="s">
        <v>20</v>
      </c>
      <c r="C52" s="2" t="s">
        <v>7420</v>
      </c>
      <c r="D52" s="161" t="s">
        <v>109</v>
      </c>
      <c r="E52" s="162" t="s">
        <v>7300</v>
      </c>
      <c r="F52" s="163"/>
      <c r="G52" s="158"/>
      <c r="H52" s="164" t="s">
        <v>7421</v>
      </c>
      <c r="I52" s="166"/>
      <c r="J52" s="166"/>
      <c r="K52" s="27"/>
      <c r="L52" s="27"/>
      <c r="M52" s="27"/>
      <c r="N52" s="27"/>
      <c r="O52" s="27"/>
      <c r="P52" s="27"/>
      <c r="Q52" s="27"/>
      <c r="R52" s="27"/>
      <c r="S52" s="27"/>
    </row>
    <row r="53" ht="19.5" customHeight="1">
      <c r="A53" s="129">
        <v>13451.0</v>
      </c>
      <c r="B53" s="160" t="s">
        <v>20</v>
      </c>
      <c r="C53" s="2" t="s">
        <v>7422</v>
      </c>
      <c r="D53" s="161" t="s">
        <v>109</v>
      </c>
      <c r="E53" s="162" t="s">
        <v>7300</v>
      </c>
      <c r="F53" s="163"/>
      <c r="G53" s="158"/>
      <c r="H53" s="166"/>
      <c r="I53" s="166"/>
      <c r="J53" s="168" t="s">
        <v>7423</v>
      </c>
      <c r="K53" s="27"/>
      <c r="L53" s="27"/>
      <c r="M53" s="27"/>
      <c r="N53" s="27"/>
      <c r="O53" s="27"/>
      <c r="P53" s="27"/>
      <c r="Q53" s="27"/>
      <c r="R53" s="27"/>
      <c r="S53" s="27"/>
    </row>
    <row r="54" ht="19.5" customHeight="1">
      <c r="A54" s="159">
        <v>13471.0</v>
      </c>
      <c r="B54" s="160" t="s">
        <v>20</v>
      </c>
      <c r="C54" s="2" t="s">
        <v>7424</v>
      </c>
      <c r="D54" s="161" t="s">
        <v>109</v>
      </c>
      <c r="E54" s="162" t="s">
        <v>7300</v>
      </c>
      <c r="F54" s="163"/>
      <c r="G54" s="158"/>
      <c r="H54" s="164" t="s">
        <v>7425</v>
      </c>
      <c r="I54" s="166"/>
      <c r="J54" s="166"/>
      <c r="K54" s="27"/>
      <c r="L54" s="27"/>
      <c r="M54" s="27"/>
      <c r="N54" s="27"/>
      <c r="O54" s="27"/>
      <c r="P54" s="27"/>
      <c r="Q54" s="27"/>
      <c r="R54" s="27"/>
      <c r="S54" s="27"/>
    </row>
    <row r="55" ht="19.5" customHeight="1">
      <c r="A55" s="159">
        <v>13472.0</v>
      </c>
      <c r="B55" s="2" t="s">
        <v>7342</v>
      </c>
      <c r="C55" s="2" t="s">
        <v>7426</v>
      </c>
      <c r="D55" s="4" t="s">
        <v>109</v>
      </c>
      <c r="E55" s="2" t="s">
        <v>7321</v>
      </c>
      <c r="F55" s="4" t="s">
        <v>7427</v>
      </c>
      <c r="G55" s="158"/>
      <c r="H55" s="102" t="s">
        <v>7428</v>
      </c>
      <c r="I55" s="105"/>
      <c r="J55" s="105"/>
      <c r="K55" s="158"/>
      <c r="L55" s="158"/>
      <c r="M55" s="158"/>
      <c r="N55" s="158"/>
      <c r="O55" s="158"/>
      <c r="P55" s="158"/>
      <c r="Q55" s="158"/>
      <c r="R55" s="158"/>
      <c r="S55" s="158"/>
    </row>
    <row r="56" ht="19.5" customHeight="1">
      <c r="A56" s="171">
        <v>13473.0</v>
      </c>
      <c r="B56" s="2" t="s">
        <v>20</v>
      </c>
      <c r="C56" s="2" t="s">
        <v>1439</v>
      </c>
      <c r="D56" s="4" t="s">
        <v>109</v>
      </c>
      <c r="E56" s="2" t="s">
        <v>7321</v>
      </c>
      <c r="F56" s="4" t="s">
        <v>7429</v>
      </c>
      <c r="G56" s="172"/>
      <c r="H56" s="101" t="s">
        <v>7430</v>
      </c>
      <c r="I56" s="105"/>
      <c r="J56" s="105"/>
      <c r="K56" s="172"/>
      <c r="L56" s="172"/>
      <c r="M56" s="172"/>
      <c r="N56" s="171" t="s">
        <v>7431</v>
      </c>
      <c r="O56" s="172"/>
      <c r="P56" s="172"/>
      <c r="Q56" s="172"/>
      <c r="R56" s="172"/>
      <c r="S56" s="172"/>
    </row>
    <row r="57" ht="19.5" customHeight="1">
      <c r="A57" s="180">
        <v>13475.0</v>
      </c>
      <c r="B57" s="2" t="s">
        <v>20</v>
      </c>
      <c r="C57" s="2" t="s">
        <v>7432</v>
      </c>
      <c r="D57" s="4" t="s">
        <v>109</v>
      </c>
      <c r="E57" s="2" t="s">
        <v>7202</v>
      </c>
      <c r="F57" s="4" t="s">
        <v>7433</v>
      </c>
      <c r="G57" s="158"/>
      <c r="H57" s="101" t="s">
        <v>7434</v>
      </c>
      <c r="I57" s="105"/>
      <c r="J57" s="105"/>
      <c r="K57" s="158"/>
      <c r="L57" s="158"/>
      <c r="M57" s="158"/>
      <c r="N57" s="158"/>
      <c r="O57" s="158"/>
      <c r="P57" s="158"/>
      <c r="Q57" s="158"/>
      <c r="R57" s="158"/>
      <c r="S57" s="158"/>
    </row>
    <row r="58" ht="19.5" customHeight="1">
      <c r="A58" s="159">
        <v>13477.0</v>
      </c>
      <c r="B58" s="160" t="s">
        <v>20</v>
      </c>
      <c r="C58" s="2" t="s">
        <v>7435</v>
      </c>
      <c r="D58" s="161" t="s">
        <v>109</v>
      </c>
      <c r="E58" s="162" t="s">
        <v>7309</v>
      </c>
      <c r="F58" s="163"/>
      <c r="G58" s="158"/>
      <c r="H58" s="167" t="s">
        <v>7436</v>
      </c>
      <c r="I58" s="166" t="s">
        <v>7437</v>
      </c>
      <c r="J58" s="169" t="s">
        <v>7438</v>
      </c>
      <c r="K58" s="27"/>
      <c r="L58" s="27"/>
      <c r="M58" s="27"/>
      <c r="N58" s="27"/>
      <c r="O58" s="27"/>
      <c r="P58" s="27"/>
      <c r="Q58" s="27"/>
      <c r="R58" s="27"/>
      <c r="S58" s="27"/>
    </row>
    <row r="59" ht="19.5" customHeight="1">
      <c r="A59" s="129">
        <v>13500.0</v>
      </c>
      <c r="B59" s="160" t="s">
        <v>20</v>
      </c>
      <c r="C59" s="2" t="s">
        <v>6708</v>
      </c>
      <c r="D59" s="161" t="s">
        <v>109</v>
      </c>
      <c r="E59" s="162" t="s">
        <v>7330</v>
      </c>
      <c r="F59" s="163"/>
      <c r="G59" s="158"/>
      <c r="H59" s="167" t="s">
        <v>7439</v>
      </c>
      <c r="I59" s="166"/>
      <c r="J59" s="166"/>
      <c r="K59" s="27"/>
      <c r="L59" s="27"/>
      <c r="M59" s="27"/>
      <c r="N59" s="27"/>
      <c r="O59" s="27"/>
      <c r="P59" s="27"/>
      <c r="Q59" s="27"/>
      <c r="R59" s="27"/>
      <c r="S59" s="27"/>
    </row>
    <row r="60" ht="19.5" customHeight="1">
      <c r="A60" s="159">
        <v>13501.0</v>
      </c>
      <c r="B60" s="160" t="s">
        <v>20</v>
      </c>
      <c r="C60" s="2" t="s">
        <v>7440</v>
      </c>
      <c r="D60" s="161" t="s">
        <v>109</v>
      </c>
      <c r="E60" s="162" t="s">
        <v>7300</v>
      </c>
      <c r="F60" s="163"/>
      <c r="G60" s="158"/>
      <c r="H60" s="164" t="s">
        <v>7441</v>
      </c>
      <c r="I60" s="166"/>
      <c r="J60" s="166"/>
      <c r="K60" s="27"/>
      <c r="L60" s="27"/>
      <c r="M60" s="27"/>
      <c r="N60" s="27"/>
      <c r="O60" s="27"/>
      <c r="P60" s="27"/>
      <c r="Q60" s="27"/>
      <c r="R60" s="27"/>
      <c r="S60" s="27"/>
    </row>
    <row r="61" ht="19.5" customHeight="1">
      <c r="A61" s="129">
        <v>13502.0</v>
      </c>
      <c r="B61" s="160" t="s">
        <v>20</v>
      </c>
      <c r="C61" s="2" t="s">
        <v>3209</v>
      </c>
      <c r="D61" s="161" t="s">
        <v>109</v>
      </c>
      <c r="E61" s="162" t="s">
        <v>7305</v>
      </c>
      <c r="F61" s="163"/>
      <c r="G61" s="158"/>
      <c r="H61" s="167" t="s">
        <v>7442</v>
      </c>
      <c r="I61" s="166"/>
      <c r="J61" s="166"/>
      <c r="K61" s="27"/>
      <c r="L61" s="27"/>
      <c r="M61" s="27"/>
      <c r="N61" s="27"/>
      <c r="O61" s="27"/>
      <c r="P61" s="27"/>
      <c r="Q61" s="27"/>
      <c r="R61" s="27"/>
      <c r="S61" s="27"/>
    </row>
    <row r="62" ht="19.5" customHeight="1">
      <c r="A62" s="159">
        <v>18193.0</v>
      </c>
      <c r="B62" s="2" t="s">
        <v>20</v>
      </c>
      <c r="C62" s="2" t="s">
        <v>7443</v>
      </c>
      <c r="D62" s="4" t="s">
        <v>109</v>
      </c>
      <c r="E62" s="2" t="s">
        <v>7202</v>
      </c>
      <c r="F62" s="4"/>
      <c r="G62" s="158"/>
      <c r="H62" s="101" t="s">
        <v>7444</v>
      </c>
      <c r="I62" s="101" t="s">
        <v>7445</v>
      </c>
      <c r="J62" s="101" t="s">
        <v>7446</v>
      </c>
      <c r="K62" s="158"/>
      <c r="L62" s="158"/>
      <c r="M62" s="158"/>
      <c r="N62" s="158"/>
      <c r="O62" s="158"/>
      <c r="P62" s="158"/>
      <c r="Q62" s="158"/>
      <c r="R62" s="158"/>
      <c r="S62" s="158"/>
    </row>
    <row r="63" ht="19.5" customHeight="1">
      <c r="A63" s="129">
        <v>18197.0</v>
      </c>
      <c r="B63" s="160" t="s">
        <v>20</v>
      </c>
      <c r="C63" s="2" t="s">
        <v>7447</v>
      </c>
      <c r="D63" s="161" t="s">
        <v>109</v>
      </c>
      <c r="E63" s="181" t="s">
        <v>7448</v>
      </c>
      <c r="F63" s="163"/>
      <c r="G63" s="158"/>
      <c r="H63" s="167" t="s">
        <v>7449</v>
      </c>
      <c r="I63" s="166"/>
      <c r="J63" s="166"/>
      <c r="K63" s="27"/>
      <c r="L63" s="27"/>
      <c r="M63" s="27"/>
      <c r="N63" s="27"/>
      <c r="O63" s="27"/>
      <c r="P63" s="27"/>
      <c r="Q63" s="27"/>
      <c r="R63" s="27"/>
      <c r="S63" s="27"/>
    </row>
    <row r="64" ht="19.5" customHeight="1">
      <c r="A64" s="159">
        <v>18198.0</v>
      </c>
      <c r="B64" s="2" t="s">
        <v>7450</v>
      </c>
      <c r="C64" s="2" t="s">
        <v>7451</v>
      </c>
      <c r="D64" s="4" t="s">
        <v>109</v>
      </c>
      <c r="E64" s="2" t="s">
        <v>7362</v>
      </c>
      <c r="F64" s="4" t="s">
        <v>7452</v>
      </c>
      <c r="G64" s="158"/>
      <c r="H64" s="101" t="s">
        <v>7453</v>
      </c>
      <c r="I64" s="105"/>
      <c r="J64" s="105"/>
      <c r="K64" s="158"/>
      <c r="L64" s="158"/>
      <c r="M64" s="158"/>
      <c r="N64" s="158"/>
      <c r="O64" s="158"/>
      <c r="P64" s="158"/>
      <c r="Q64" s="158"/>
      <c r="R64" s="158"/>
      <c r="S64" s="158"/>
    </row>
    <row r="65" ht="19.5" customHeight="1">
      <c r="A65" s="129">
        <v>18200.0</v>
      </c>
      <c r="B65" s="160" t="s">
        <v>20</v>
      </c>
      <c r="C65" s="2" t="s">
        <v>6621</v>
      </c>
      <c r="D65" s="161" t="s">
        <v>109</v>
      </c>
      <c r="E65" s="2" t="s">
        <v>7362</v>
      </c>
      <c r="F65" s="163"/>
      <c r="G65" s="158"/>
      <c r="H65" s="167" t="s">
        <v>7454</v>
      </c>
      <c r="I65" s="166"/>
      <c r="J65" s="166"/>
      <c r="K65" s="27"/>
      <c r="L65" s="27"/>
      <c r="M65" s="27"/>
      <c r="N65" s="27"/>
      <c r="O65" s="27"/>
      <c r="P65" s="27"/>
      <c r="Q65" s="27"/>
      <c r="R65" s="27"/>
      <c r="S65" s="27"/>
    </row>
    <row r="66" ht="19.5" customHeight="1">
      <c r="A66" s="159">
        <v>18201.0</v>
      </c>
      <c r="B66" s="160" t="s">
        <v>20</v>
      </c>
      <c r="C66" s="2" t="s">
        <v>7455</v>
      </c>
      <c r="D66" s="161" t="s">
        <v>109</v>
      </c>
      <c r="E66" s="162" t="s">
        <v>7300</v>
      </c>
      <c r="F66" s="163"/>
      <c r="G66" s="158"/>
      <c r="H66" s="164" t="s">
        <v>7456</v>
      </c>
      <c r="I66" s="166"/>
      <c r="J66" s="166"/>
      <c r="K66" s="27"/>
      <c r="L66" s="27"/>
      <c r="M66" s="27"/>
      <c r="N66" s="27"/>
      <c r="O66" s="27"/>
      <c r="P66" s="27"/>
      <c r="Q66" s="27"/>
      <c r="R66" s="27"/>
      <c r="S66" s="27"/>
    </row>
    <row r="67" ht="19.5" customHeight="1">
      <c r="A67" s="159">
        <v>18202.0</v>
      </c>
      <c r="B67" s="160" t="s">
        <v>20</v>
      </c>
      <c r="C67" s="2" t="s">
        <v>3209</v>
      </c>
      <c r="D67" s="161" t="s">
        <v>109</v>
      </c>
      <c r="E67" s="162" t="s">
        <v>7300</v>
      </c>
      <c r="F67" s="163"/>
      <c r="G67" s="158"/>
      <c r="H67" s="167" t="s">
        <v>7457</v>
      </c>
      <c r="I67" s="166"/>
      <c r="J67" s="166"/>
      <c r="K67" s="27"/>
      <c r="L67" s="27"/>
      <c r="M67" s="27"/>
      <c r="N67" s="27"/>
      <c r="O67" s="27"/>
      <c r="P67" s="27"/>
      <c r="Q67" s="27"/>
      <c r="R67" s="27"/>
      <c r="S67" s="27"/>
    </row>
    <row r="68" ht="19.5" customHeight="1">
      <c r="A68" s="159">
        <v>18208.0</v>
      </c>
      <c r="B68" s="160" t="s">
        <v>20</v>
      </c>
      <c r="C68" s="2" t="s">
        <v>7458</v>
      </c>
      <c r="D68" s="161" t="s">
        <v>109</v>
      </c>
      <c r="E68" s="162" t="s">
        <v>7309</v>
      </c>
      <c r="F68" s="163"/>
      <c r="G68" s="158"/>
      <c r="H68" s="164" t="s">
        <v>7459</v>
      </c>
      <c r="I68" s="166"/>
      <c r="J68" s="166"/>
      <c r="K68" s="27"/>
      <c r="L68" s="27"/>
      <c r="M68" s="27"/>
      <c r="N68" s="27"/>
      <c r="O68" s="27"/>
      <c r="P68" s="27"/>
      <c r="Q68" s="27"/>
      <c r="R68" s="27"/>
      <c r="S68" s="27"/>
    </row>
    <row r="69" ht="19.5" customHeight="1">
      <c r="A69" s="129">
        <v>18216.0</v>
      </c>
      <c r="B69" s="2" t="s">
        <v>20</v>
      </c>
      <c r="C69" s="2" t="s">
        <v>7460</v>
      </c>
      <c r="D69" s="4" t="s">
        <v>109</v>
      </c>
      <c r="E69" s="2" t="s">
        <v>7300</v>
      </c>
      <c r="F69" s="4"/>
      <c r="G69" s="158"/>
      <c r="H69" s="101" t="s">
        <v>7461</v>
      </c>
      <c r="I69" s="105"/>
      <c r="J69" s="105"/>
      <c r="K69" s="158"/>
      <c r="L69" s="158"/>
      <c r="M69" s="158"/>
      <c r="N69" s="158"/>
      <c r="O69" s="158"/>
      <c r="P69" s="158"/>
      <c r="Q69" s="158"/>
      <c r="R69" s="158"/>
      <c r="S69" s="158"/>
    </row>
    <row r="70" ht="19.5" customHeight="1">
      <c r="A70" s="159">
        <v>18217.0</v>
      </c>
      <c r="B70" s="2" t="s">
        <v>7342</v>
      </c>
      <c r="C70" s="2" t="s">
        <v>7462</v>
      </c>
      <c r="D70" s="4" t="s">
        <v>109</v>
      </c>
      <c r="E70" s="2" t="s">
        <v>7297</v>
      </c>
      <c r="F70" s="4" t="s">
        <v>7463</v>
      </c>
      <c r="G70" s="158"/>
      <c r="H70" s="105"/>
      <c r="I70" s="105"/>
      <c r="J70" s="101" t="s">
        <v>7464</v>
      </c>
      <c r="K70" s="158"/>
      <c r="L70" s="158"/>
      <c r="M70" s="158"/>
      <c r="N70" s="159" t="s">
        <v>7396</v>
      </c>
      <c r="O70" s="158"/>
      <c r="P70" s="158"/>
      <c r="Q70" s="158"/>
      <c r="R70" s="158"/>
      <c r="S70" s="158"/>
    </row>
    <row r="71" ht="19.5" customHeight="1">
      <c r="A71" s="159">
        <v>18218.0</v>
      </c>
      <c r="B71" s="2" t="s">
        <v>20</v>
      </c>
      <c r="C71" s="2" t="s">
        <v>6680</v>
      </c>
      <c r="D71" s="4" t="s">
        <v>109</v>
      </c>
      <c r="E71" s="2" t="s">
        <v>7297</v>
      </c>
      <c r="F71" s="4"/>
      <c r="G71" s="159">
        <v>1.0</v>
      </c>
      <c r="H71" s="101" t="s">
        <v>7465</v>
      </c>
      <c r="I71" s="101" t="s">
        <v>7466</v>
      </c>
      <c r="J71" s="105"/>
      <c r="K71" s="158"/>
      <c r="L71" s="158"/>
      <c r="M71" s="158"/>
      <c r="N71" s="158"/>
      <c r="O71" s="158"/>
      <c r="P71" s="158"/>
      <c r="Q71" s="158"/>
      <c r="R71" s="158"/>
      <c r="S71" s="158"/>
    </row>
    <row r="72" ht="19.5" customHeight="1">
      <c r="A72" s="129">
        <v>18219.0</v>
      </c>
      <c r="B72" s="2" t="s">
        <v>20</v>
      </c>
      <c r="C72" s="2" t="s">
        <v>4572</v>
      </c>
      <c r="D72" s="4" t="s">
        <v>109</v>
      </c>
      <c r="E72" s="2" t="s">
        <v>7297</v>
      </c>
      <c r="F72" s="4"/>
      <c r="G72" s="158"/>
      <c r="H72" s="101" t="s">
        <v>7467</v>
      </c>
      <c r="I72" s="182" t="s">
        <v>7468</v>
      </c>
      <c r="J72" s="105"/>
      <c r="K72" s="158"/>
      <c r="L72" s="158"/>
      <c r="M72" s="158"/>
      <c r="N72" s="158"/>
      <c r="O72" s="158"/>
      <c r="P72" s="158"/>
      <c r="Q72" s="158"/>
      <c r="R72" s="158"/>
      <c r="S72" s="158"/>
    </row>
    <row r="73" ht="19.5" customHeight="1">
      <c r="A73" s="129">
        <v>18787.0</v>
      </c>
      <c r="B73" s="160" t="s">
        <v>20</v>
      </c>
      <c r="C73" s="2" t="s">
        <v>7469</v>
      </c>
      <c r="D73" s="161" t="s">
        <v>109</v>
      </c>
      <c r="E73" s="162" t="s">
        <v>7305</v>
      </c>
      <c r="F73" s="163"/>
      <c r="G73" s="158"/>
      <c r="H73" s="167" t="s">
        <v>7470</v>
      </c>
      <c r="I73" s="166"/>
      <c r="J73" s="166"/>
      <c r="K73" s="27"/>
      <c r="L73" s="27"/>
      <c r="M73" s="27"/>
      <c r="N73" s="27"/>
      <c r="O73" s="27"/>
      <c r="P73" s="27"/>
      <c r="Q73" s="27"/>
      <c r="R73" s="27"/>
      <c r="S73" s="27"/>
    </row>
    <row r="74" ht="19.5" customHeight="1">
      <c r="A74" s="129">
        <v>18793.0</v>
      </c>
      <c r="B74" s="160" t="s">
        <v>20</v>
      </c>
      <c r="C74" s="2" t="s">
        <v>6430</v>
      </c>
      <c r="D74" s="161" t="s">
        <v>109</v>
      </c>
      <c r="E74" s="162" t="s">
        <v>7305</v>
      </c>
      <c r="F74" s="163"/>
      <c r="G74" s="158"/>
      <c r="H74" s="167" t="s">
        <v>7471</v>
      </c>
      <c r="I74" s="166"/>
      <c r="J74" s="166"/>
      <c r="K74" s="27"/>
      <c r="L74" s="27"/>
      <c r="M74" s="27"/>
      <c r="N74" s="27"/>
      <c r="O74" s="27"/>
      <c r="P74" s="27"/>
      <c r="Q74" s="27"/>
      <c r="R74" s="27"/>
      <c r="S74" s="27"/>
    </row>
    <row r="75" ht="19.5" customHeight="1">
      <c r="A75" s="129">
        <v>19120.0</v>
      </c>
      <c r="B75" s="2" t="s">
        <v>20</v>
      </c>
      <c r="C75" s="2" t="s">
        <v>5649</v>
      </c>
      <c r="D75" s="4" t="s">
        <v>109</v>
      </c>
      <c r="E75" s="2" t="s">
        <v>7300</v>
      </c>
      <c r="F75" s="4" t="s">
        <v>7472</v>
      </c>
      <c r="G75" s="159">
        <v>1.0</v>
      </c>
      <c r="H75" s="101" t="s">
        <v>7473</v>
      </c>
      <c r="I75" s="105"/>
      <c r="J75" s="105"/>
      <c r="K75" s="158"/>
      <c r="L75" s="158"/>
      <c r="M75" s="158"/>
      <c r="N75" s="158"/>
      <c r="O75" s="158"/>
      <c r="P75" s="158"/>
      <c r="Q75" s="158"/>
      <c r="R75" s="158"/>
      <c r="S75" s="158"/>
    </row>
    <row r="76" ht="19.5" customHeight="1">
      <c r="A76" s="159">
        <v>19151.0</v>
      </c>
      <c r="B76" s="160" t="s">
        <v>20</v>
      </c>
      <c r="C76" s="2" t="s">
        <v>4170</v>
      </c>
      <c r="D76" s="161" t="s">
        <v>109</v>
      </c>
      <c r="E76" s="162" t="s">
        <v>7300</v>
      </c>
      <c r="F76" s="163"/>
      <c r="G76" s="158"/>
      <c r="H76" s="167" t="s">
        <v>7474</v>
      </c>
      <c r="I76" s="166"/>
      <c r="J76" s="166"/>
      <c r="K76" s="27"/>
      <c r="L76" s="27"/>
      <c r="M76" s="27"/>
      <c r="N76" s="27"/>
      <c r="O76" s="27"/>
      <c r="P76" s="27"/>
      <c r="Q76" s="27"/>
      <c r="R76" s="27"/>
      <c r="S76" s="27"/>
    </row>
    <row r="77" ht="19.5" customHeight="1">
      <c r="A77" s="159">
        <v>19814.0</v>
      </c>
      <c r="B77" s="160" t="s">
        <v>20</v>
      </c>
      <c r="C77" s="2" t="s">
        <v>7475</v>
      </c>
      <c r="D77" s="161" t="s">
        <v>109</v>
      </c>
      <c r="E77" s="162" t="s">
        <v>7300</v>
      </c>
      <c r="F77" s="163"/>
      <c r="G77" s="158"/>
      <c r="H77" s="164" t="s">
        <v>7476</v>
      </c>
      <c r="I77" s="166"/>
      <c r="J77" s="166"/>
      <c r="K77" s="27"/>
      <c r="L77" s="27"/>
      <c r="M77" s="27"/>
      <c r="N77" s="27"/>
      <c r="O77" s="27"/>
      <c r="P77" s="27"/>
      <c r="Q77" s="27"/>
      <c r="R77" s="27"/>
      <c r="S77" s="27"/>
    </row>
    <row r="78" ht="19.5" customHeight="1">
      <c r="A78" s="129">
        <v>20374.0</v>
      </c>
      <c r="B78" s="160" t="s">
        <v>20</v>
      </c>
      <c r="C78" s="2" t="s">
        <v>7477</v>
      </c>
      <c r="D78" s="161" t="s">
        <v>109</v>
      </c>
      <c r="E78" s="162" t="s">
        <v>7300</v>
      </c>
      <c r="F78" s="163"/>
      <c r="G78" s="158"/>
      <c r="H78" s="167" t="s">
        <v>7478</v>
      </c>
      <c r="I78" s="166"/>
      <c r="J78" s="168" t="s">
        <v>7479</v>
      </c>
      <c r="K78" s="27"/>
      <c r="L78" s="27"/>
      <c r="M78" s="27"/>
      <c r="N78" s="27"/>
      <c r="O78" s="27"/>
      <c r="P78" s="27"/>
      <c r="Q78" s="27"/>
      <c r="R78" s="27"/>
      <c r="S78" s="27"/>
    </row>
    <row r="79" ht="19.5" customHeight="1">
      <c r="A79" s="159">
        <v>20794.0</v>
      </c>
      <c r="B79" s="160" t="s">
        <v>20</v>
      </c>
      <c r="C79" s="2" t="s">
        <v>7480</v>
      </c>
      <c r="D79" s="161" t="s">
        <v>109</v>
      </c>
      <c r="E79" s="162" t="s">
        <v>7300</v>
      </c>
      <c r="F79" s="163"/>
      <c r="G79" s="158"/>
      <c r="H79" s="164" t="s">
        <v>7481</v>
      </c>
      <c r="I79" s="166"/>
      <c r="J79" s="166"/>
      <c r="K79" s="27"/>
      <c r="L79" s="27"/>
      <c r="M79" s="27"/>
      <c r="N79" s="27"/>
      <c r="O79" s="27"/>
      <c r="P79" s="27"/>
      <c r="Q79" s="27"/>
      <c r="R79" s="27"/>
      <c r="S79" s="27"/>
    </row>
    <row r="80" ht="19.5" customHeight="1">
      <c r="A80" s="159">
        <v>20799.0</v>
      </c>
      <c r="B80" s="160" t="s">
        <v>20</v>
      </c>
      <c r="C80" s="2" t="s">
        <v>7482</v>
      </c>
      <c r="D80" s="161" t="s">
        <v>109</v>
      </c>
      <c r="E80" s="162" t="s">
        <v>7300</v>
      </c>
      <c r="F80" s="163"/>
      <c r="G80" s="158"/>
      <c r="H80" s="167" t="s">
        <v>7483</v>
      </c>
      <c r="I80" s="166"/>
      <c r="J80" s="166"/>
      <c r="K80" s="27"/>
      <c r="L80" s="27"/>
      <c r="M80" s="27"/>
      <c r="N80" s="27"/>
      <c r="O80" s="27"/>
      <c r="P80" s="27"/>
      <c r="Q80" s="27"/>
      <c r="R80" s="27"/>
      <c r="S80" s="27"/>
    </row>
    <row r="81" ht="19.5" customHeight="1">
      <c r="A81" s="129">
        <v>20801.0</v>
      </c>
      <c r="B81" s="2" t="s">
        <v>20</v>
      </c>
      <c r="C81" s="2" t="s">
        <v>7484</v>
      </c>
      <c r="D81" s="4" t="s">
        <v>109</v>
      </c>
      <c r="E81" s="2" t="s">
        <v>7300</v>
      </c>
      <c r="F81" s="4"/>
      <c r="G81" s="158"/>
      <c r="H81" s="101" t="s">
        <v>7485</v>
      </c>
      <c r="I81" s="105"/>
      <c r="J81" s="105"/>
      <c r="K81" s="158"/>
      <c r="L81" s="158"/>
      <c r="M81" s="158"/>
      <c r="N81" s="158"/>
      <c r="O81" s="158"/>
      <c r="P81" s="158"/>
      <c r="Q81" s="158"/>
      <c r="R81" s="158"/>
      <c r="S81" s="158"/>
    </row>
    <row r="82" ht="19.5" customHeight="1">
      <c r="A82" s="183">
        <v>20802.0</v>
      </c>
      <c r="B82" s="2" t="s">
        <v>20</v>
      </c>
      <c r="C82" s="2" t="s">
        <v>7486</v>
      </c>
      <c r="D82" s="4" t="s">
        <v>109</v>
      </c>
      <c r="E82" s="2" t="s">
        <v>7300</v>
      </c>
      <c r="F82" s="4" t="s">
        <v>7487</v>
      </c>
      <c r="G82" s="159">
        <v>1.0</v>
      </c>
      <c r="H82" s="101" t="s">
        <v>7488</v>
      </c>
      <c r="I82" s="105"/>
      <c r="J82" s="105"/>
      <c r="K82" s="158"/>
      <c r="L82" s="158"/>
      <c r="M82" s="158"/>
      <c r="N82" s="158"/>
      <c r="O82" s="158"/>
      <c r="P82" s="158"/>
      <c r="Q82" s="158"/>
      <c r="R82" s="158"/>
      <c r="S82" s="158"/>
    </row>
    <row r="83" ht="19.5" customHeight="1">
      <c r="A83" s="159">
        <v>20803.0</v>
      </c>
      <c r="B83" s="160" t="s">
        <v>20</v>
      </c>
      <c r="C83" s="2" t="s">
        <v>4001</v>
      </c>
      <c r="D83" s="161" t="s">
        <v>109</v>
      </c>
      <c r="E83" s="2" t="s">
        <v>7362</v>
      </c>
      <c r="F83" s="163"/>
      <c r="G83" s="158"/>
      <c r="H83" s="167" t="s">
        <v>7489</v>
      </c>
      <c r="I83" s="166"/>
      <c r="J83" s="166"/>
      <c r="K83" s="27"/>
      <c r="L83" s="27"/>
      <c r="M83" s="27"/>
      <c r="N83" s="27"/>
      <c r="O83" s="27"/>
      <c r="P83" s="27"/>
      <c r="Q83" s="27"/>
      <c r="R83" s="27"/>
      <c r="S83" s="27"/>
    </row>
    <row r="84" ht="19.5" customHeight="1">
      <c r="A84" s="129">
        <v>20805.0</v>
      </c>
      <c r="B84" s="2" t="s">
        <v>20</v>
      </c>
      <c r="C84" s="2" t="s">
        <v>7490</v>
      </c>
      <c r="D84" s="4" t="s">
        <v>109</v>
      </c>
      <c r="E84" s="2" t="s">
        <v>7300</v>
      </c>
      <c r="F84" s="4" t="s">
        <v>7491</v>
      </c>
      <c r="G84" s="158"/>
      <c r="H84" s="101" t="s">
        <v>7492</v>
      </c>
      <c r="I84" s="105"/>
      <c r="J84" s="105"/>
      <c r="K84" s="158"/>
      <c r="L84" s="158"/>
      <c r="M84" s="158"/>
      <c r="N84" s="158"/>
      <c r="O84" s="158"/>
      <c r="P84" s="158"/>
      <c r="Q84" s="158"/>
      <c r="R84" s="158"/>
      <c r="S84" s="158"/>
    </row>
    <row r="85" ht="19.5" customHeight="1">
      <c r="A85" s="159">
        <v>20806.0</v>
      </c>
      <c r="B85" s="160" t="s">
        <v>20</v>
      </c>
      <c r="C85" s="2" t="s">
        <v>7493</v>
      </c>
      <c r="D85" s="161" t="s">
        <v>109</v>
      </c>
      <c r="E85" s="162" t="s">
        <v>7300</v>
      </c>
      <c r="F85" s="163"/>
      <c r="G85" s="158"/>
      <c r="H85" s="164" t="s">
        <v>7494</v>
      </c>
      <c r="I85" s="166"/>
      <c r="J85" s="166"/>
      <c r="K85" s="27"/>
      <c r="L85" s="27"/>
      <c r="M85" s="27"/>
      <c r="N85" s="27"/>
      <c r="O85" s="27"/>
      <c r="P85" s="27"/>
      <c r="Q85" s="27"/>
      <c r="R85" s="27"/>
      <c r="S85" s="27"/>
    </row>
    <row r="86" ht="19.5" customHeight="1">
      <c r="A86" s="159">
        <v>21508.0</v>
      </c>
      <c r="B86" s="160" t="s">
        <v>20</v>
      </c>
      <c r="C86" s="2" t="s">
        <v>7495</v>
      </c>
      <c r="D86" s="161" t="s">
        <v>109</v>
      </c>
      <c r="E86" s="162" t="s">
        <v>7300</v>
      </c>
      <c r="F86" s="163"/>
      <c r="G86" s="158"/>
      <c r="H86" s="164" t="s">
        <v>7496</v>
      </c>
      <c r="I86" s="166"/>
      <c r="J86" s="166"/>
      <c r="K86" s="27"/>
      <c r="L86" s="27"/>
      <c r="M86" s="27"/>
      <c r="N86" s="27"/>
      <c r="O86" s="27"/>
      <c r="P86" s="27"/>
      <c r="Q86" s="27"/>
      <c r="R86" s="27"/>
      <c r="S86" s="27"/>
    </row>
    <row r="87" ht="19.5" customHeight="1">
      <c r="A87" s="175">
        <v>21511.0</v>
      </c>
      <c r="B87" s="160" t="s">
        <v>20</v>
      </c>
      <c r="C87" s="2" t="s">
        <v>7497</v>
      </c>
      <c r="D87" s="161" t="s">
        <v>109</v>
      </c>
      <c r="E87" s="162" t="s">
        <v>7330</v>
      </c>
      <c r="F87" s="163"/>
      <c r="G87" s="159">
        <v>1.0</v>
      </c>
      <c r="H87" s="167" t="s">
        <v>7498</v>
      </c>
      <c r="I87" s="166"/>
      <c r="J87" s="184"/>
      <c r="K87" s="27"/>
      <c r="L87" s="27"/>
      <c r="M87" s="27"/>
      <c r="N87" s="27"/>
      <c r="O87" s="27"/>
      <c r="P87" s="27"/>
      <c r="Q87" s="27"/>
      <c r="R87" s="27"/>
      <c r="S87" s="27"/>
    </row>
    <row r="88" ht="19.5" customHeight="1">
      <c r="A88" s="171">
        <v>21537.0</v>
      </c>
      <c r="B88" s="2" t="s">
        <v>20</v>
      </c>
      <c r="C88" s="2" t="s">
        <v>1360</v>
      </c>
      <c r="D88" s="4" t="s">
        <v>109</v>
      </c>
      <c r="E88" s="2" t="s">
        <v>7321</v>
      </c>
      <c r="F88" s="4" t="s">
        <v>7499</v>
      </c>
      <c r="G88" s="172"/>
      <c r="H88" s="102" t="s">
        <v>7500</v>
      </c>
      <c r="I88" s="102" t="s">
        <v>7501</v>
      </c>
      <c r="J88" s="105"/>
      <c r="K88" s="172"/>
      <c r="L88" s="172"/>
      <c r="M88" s="172"/>
      <c r="N88" s="171" t="s">
        <v>7502</v>
      </c>
      <c r="O88" s="172"/>
      <c r="P88" s="172"/>
      <c r="Q88" s="172"/>
      <c r="R88" s="172"/>
      <c r="S88" s="172"/>
    </row>
    <row r="89" ht="19.5" customHeight="1">
      <c r="A89" s="185">
        <v>21538.0</v>
      </c>
      <c r="B89" s="160" t="s">
        <v>20</v>
      </c>
      <c r="C89" s="2" t="s">
        <v>7503</v>
      </c>
      <c r="D89" s="161" t="s">
        <v>109</v>
      </c>
      <c r="E89" s="162" t="s">
        <v>7300</v>
      </c>
      <c r="F89" s="163"/>
      <c r="G89" s="158"/>
      <c r="H89" s="164" t="s">
        <v>7504</v>
      </c>
      <c r="I89" s="166"/>
      <c r="J89" s="166"/>
      <c r="K89" s="27"/>
      <c r="L89" s="27"/>
      <c r="M89" s="27"/>
      <c r="N89" s="27"/>
      <c r="O89" s="27"/>
      <c r="P89" s="27"/>
      <c r="Q89" s="27"/>
      <c r="R89" s="27"/>
      <c r="S89" s="27"/>
    </row>
    <row r="90" ht="19.5" customHeight="1">
      <c r="A90" s="159">
        <v>22437.0</v>
      </c>
      <c r="B90" s="2" t="s">
        <v>276</v>
      </c>
      <c r="C90" s="2" t="s">
        <v>7505</v>
      </c>
      <c r="D90" s="4" t="s">
        <v>109</v>
      </c>
      <c r="E90" s="2" t="s">
        <v>7297</v>
      </c>
      <c r="F90" s="4" t="s">
        <v>7506</v>
      </c>
      <c r="G90" s="158"/>
      <c r="H90" s="101" t="s">
        <v>7507</v>
      </c>
      <c r="I90" s="105"/>
      <c r="J90" s="105"/>
      <c r="K90" s="158"/>
      <c r="L90" s="158"/>
      <c r="M90" s="158"/>
      <c r="N90" s="159" t="s">
        <v>7396</v>
      </c>
      <c r="O90" s="158"/>
      <c r="P90" s="158"/>
      <c r="Q90" s="158"/>
      <c r="R90" s="158"/>
      <c r="S90" s="158"/>
    </row>
    <row r="91" ht="19.5" customHeight="1">
      <c r="A91" s="129">
        <v>22710.0</v>
      </c>
      <c r="B91" s="160" t="s">
        <v>7508</v>
      </c>
      <c r="C91" s="2" t="s">
        <v>7509</v>
      </c>
      <c r="D91" s="161" t="s">
        <v>109</v>
      </c>
      <c r="E91" s="2" t="s">
        <v>7362</v>
      </c>
      <c r="F91" s="163"/>
      <c r="G91" s="159">
        <v>1.0</v>
      </c>
      <c r="H91" s="167" t="s">
        <v>7510</v>
      </c>
      <c r="I91" s="166"/>
      <c r="J91" s="166"/>
      <c r="K91" s="27"/>
      <c r="L91" s="27"/>
      <c r="M91" s="27"/>
      <c r="N91" s="27"/>
      <c r="O91" s="27"/>
      <c r="P91" s="27"/>
      <c r="Q91" s="27"/>
      <c r="R91" s="27"/>
      <c r="S91" s="27"/>
    </row>
    <row r="92" ht="19.5" customHeight="1">
      <c r="A92" s="159">
        <v>22721.0</v>
      </c>
      <c r="B92" s="160" t="s">
        <v>20</v>
      </c>
      <c r="C92" s="2" t="s">
        <v>7511</v>
      </c>
      <c r="D92" s="161" t="s">
        <v>109</v>
      </c>
      <c r="E92" s="162" t="s">
        <v>7300</v>
      </c>
      <c r="F92" s="163"/>
      <c r="G92" s="158"/>
      <c r="H92" s="164" t="s">
        <v>7512</v>
      </c>
      <c r="I92" s="166"/>
      <c r="J92" s="166"/>
      <c r="K92" s="27"/>
      <c r="L92" s="27"/>
      <c r="M92" s="27"/>
      <c r="N92" s="27"/>
      <c r="O92" s="27"/>
      <c r="P92" s="27"/>
      <c r="Q92" s="27"/>
      <c r="R92" s="27"/>
      <c r="S92" s="27"/>
    </row>
    <row r="93" ht="19.5" customHeight="1">
      <c r="A93" s="159">
        <v>22730.0</v>
      </c>
      <c r="B93" s="2" t="s">
        <v>20</v>
      </c>
      <c r="C93" s="2" t="s">
        <v>3192</v>
      </c>
      <c r="D93" s="4" t="s">
        <v>109</v>
      </c>
      <c r="E93" s="2" t="s">
        <v>7297</v>
      </c>
      <c r="F93" s="4" t="s">
        <v>7513</v>
      </c>
      <c r="G93" s="158"/>
      <c r="H93" s="102" t="s">
        <v>7514</v>
      </c>
      <c r="I93" s="101" t="s">
        <v>7515</v>
      </c>
      <c r="J93" s="105"/>
      <c r="K93" s="158"/>
      <c r="L93" s="158"/>
      <c r="M93" s="158"/>
      <c r="N93" s="186" t="s">
        <v>7516</v>
      </c>
      <c r="O93" s="158"/>
      <c r="P93" s="158"/>
      <c r="Q93" s="158"/>
      <c r="R93" s="158"/>
      <c r="S93" s="158"/>
    </row>
    <row r="94" ht="19.5" customHeight="1">
      <c r="A94" s="129">
        <v>23243.0</v>
      </c>
      <c r="B94" s="2" t="s">
        <v>20</v>
      </c>
      <c r="C94" s="2" t="s">
        <v>6817</v>
      </c>
      <c r="D94" s="4" t="s">
        <v>109</v>
      </c>
      <c r="E94" s="2" t="s">
        <v>7202</v>
      </c>
      <c r="F94" s="4" t="s">
        <v>7517</v>
      </c>
      <c r="G94" s="159">
        <v>1.0</v>
      </c>
      <c r="H94" s="101" t="s">
        <v>7518</v>
      </c>
      <c r="I94" s="182" t="s">
        <v>7519</v>
      </c>
      <c r="J94" s="101" t="s">
        <v>7520</v>
      </c>
      <c r="K94" s="158"/>
      <c r="L94" s="158"/>
      <c r="M94" s="158"/>
      <c r="N94" s="158"/>
      <c r="O94" s="158"/>
      <c r="P94" s="158"/>
      <c r="Q94" s="158"/>
      <c r="R94" s="158"/>
      <c r="S94" s="187" t="s">
        <v>7521</v>
      </c>
    </row>
    <row r="95" ht="19.5" customHeight="1">
      <c r="A95" s="129">
        <v>23552.0</v>
      </c>
      <c r="B95" s="160" t="s">
        <v>20</v>
      </c>
      <c r="C95" s="2" t="s">
        <v>49</v>
      </c>
      <c r="D95" s="161" t="s">
        <v>109</v>
      </c>
      <c r="E95" s="162" t="s">
        <v>7522</v>
      </c>
      <c r="F95" s="163"/>
      <c r="G95" s="158"/>
      <c r="H95" s="166"/>
      <c r="I95" s="166"/>
      <c r="J95" s="168" t="s">
        <v>7523</v>
      </c>
      <c r="K95" s="27"/>
      <c r="L95" s="27"/>
      <c r="M95" s="27"/>
      <c r="N95" s="27"/>
      <c r="O95" s="27"/>
      <c r="P95" s="27"/>
      <c r="Q95" s="27"/>
      <c r="R95" s="27"/>
      <c r="S95" s="27"/>
    </row>
    <row r="96" ht="19.5" customHeight="1">
      <c r="A96" s="129">
        <v>24147.0</v>
      </c>
      <c r="B96" s="2" t="s">
        <v>20</v>
      </c>
      <c r="C96" s="2" t="s">
        <v>7524</v>
      </c>
      <c r="D96" s="4" t="s">
        <v>109</v>
      </c>
      <c r="E96" s="2" t="s">
        <v>7300</v>
      </c>
      <c r="F96" s="4"/>
      <c r="G96" s="158"/>
      <c r="H96" s="101" t="s">
        <v>7525</v>
      </c>
      <c r="I96" s="105"/>
      <c r="J96" s="101" t="s">
        <v>7526</v>
      </c>
      <c r="K96" s="158"/>
      <c r="L96" s="158"/>
      <c r="M96" s="158"/>
      <c r="N96" s="158"/>
      <c r="O96" s="158"/>
      <c r="P96" s="158"/>
      <c r="Q96" s="158"/>
      <c r="R96" s="158"/>
      <c r="S96" s="158"/>
    </row>
    <row r="97" ht="19.5" customHeight="1">
      <c r="A97" s="129">
        <v>25128.0</v>
      </c>
      <c r="B97" s="160" t="s">
        <v>20</v>
      </c>
      <c r="C97" s="2" t="s">
        <v>1439</v>
      </c>
      <c r="D97" s="161" t="s">
        <v>109</v>
      </c>
      <c r="E97" s="162" t="s">
        <v>7527</v>
      </c>
      <c r="F97" s="163"/>
      <c r="G97" s="158"/>
      <c r="H97" s="167" t="s">
        <v>7528</v>
      </c>
      <c r="I97" s="166"/>
      <c r="J97" s="166"/>
      <c r="K97" s="27"/>
      <c r="L97" s="27"/>
      <c r="M97" s="27"/>
      <c r="N97" s="27"/>
      <c r="O97" s="27"/>
      <c r="P97" s="27"/>
      <c r="Q97" s="27"/>
      <c r="R97" s="27"/>
      <c r="S97" s="27"/>
    </row>
    <row r="98" ht="19.5" customHeight="1">
      <c r="A98" s="129">
        <v>25134.0</v>
      </c>
      <c r="B98" s="160" t="s">
        <v>20</v>
      </c>
      <c r="C98" s="2" t="s">
        <v>7529</v>
      </c>
      <c r="D98" s="161" t="s">
        <v>109</v>
      </c>
      <c r="E98" s="162" t="s">
        <v>7300</v>
      </c>
      <c r="F98" s="188" t="s">
        <v>7530</v>
      </c>
      <c r="G98" s="159">
        <v>1.0</v>
      </c>
      <c r="H98" s="167" t="s">
        <v>7531</v>
      </c>
      <c r="I98" s="166"/>
      <c r="J98" s="168" t="s">
        <v>7532</v>
      </c>
      <c r="K98" s="27"/>
      <c r="L98" s="27"/>
      <c r="M98" s="27"/>
      <c r="N98" s="27"/>
      <c r="O98" s="27"/>
      <c r="P98" s="27"/>
      <c r="Q98" s="27"/>
      <c r="R98" s="27"/>
      <c r="S98" s="27"/>
    </row>
    <row r="99" ht="19.5" customHeight="1">
      <c r="A99" s="159">
        <v>25478.0</v>
      </c>
      <c r="B99" s="2" t="s">
        <v>20</v>
      </c>
      <c r="C99" s="2" t="s">
        <v>4304</v>
      </c>
      <c r="D99" s="4" t="s">
        <v>109</v>
      </c>
      <c r="E99" s="2" t="s">
        <v>7202</v>
      </c>
      <c r="F99" s="4" t="s">
        <v>7533</v>
      </c>
      <c r="G99" s="159">
        <v>1.0</v>
      </c>
      <c r="H99" s="101" t="s">
        <v>7534</v>
      </c>
      <c r="I99" s="105"/>
      <c r="J99" s="105"/>
      <c r="K99" s="158"/>
      <c r="L99" s="158"/>
      <c r="M99" s="158"/>
      <c r="N99" s="158"/>
      <c r="O99" s="158"/>
      <c r="P99" s="158"/>
      <c r="Q99" s="158"/>
      <c r="R99" s="158"/>
      <c r="S99" s="158"/>
    </row>
    <row r="100" ht="19.5" customHeight="1">
      <c r="A100" s="129">
        <v>25515.0</v>
      </c>
      <c r="B100" s="160" t="s">
        <v>20</v>
      </c>
      <c r="C100" s="2" t="s">
        <v>7535</v>
      </c>
      <c r="D100" s="161" t="s">
        <v>109</v>
      </c>
      <c r="E100" s="2" t="s">
        <v>7362</v>
      </c>
      <c r="F100" s="163"/>
      <c r="G100" s="158"/>
      <c r="H100" s="167" t="s">
        <v>7536</v>
      </c>
      <c r="I100" s="166"/>
      <c r="J100" s="166"/>
      <c r="K100" s="27"/>
      <c r="L100" s="27"/>
      <c r="M100" s="27"/>
      <c r="N100" s="27"/>
      <c r="O100" s="27"/>
      <c r="P100" s="27"/>
      <c r="Q100" s="27"/>
      <c r="R100" s="27"/>
      <c r="S100" s="27"/>
    </row>
    <row r="101" ht="19.5" customHeight="1">
      <c r="A101" s="159">
        <v>25828.0</v>
      </c>
      <c r="B101" s="160" t="s">
        <v>20</v>
      </c>
      <c r="C101" s="2" t="s">
        <v>7537</v>
      </c>
      <c r="D101" s="161" t="s">
        <v>109</v>
      </c>
      <c r="E101" s="162" t="s">
        <v>7309</v>
      </c>
      <c r="F101" s="188" t="s">
        <v>7538</v>
      </c>
      <c r="G101" s="158"/>
      <c r="H101" s="167" t="s">
        <v>7539</v>
      </c>
      <c r="I101" s="166"/>
      <c r="J101" s="166"/>
      <c r="K101" s="27"/>
      <c r="L101" s="27"/>
      <c r="M101" s="27"/>
      <c r="N101" s="27"/>
      <c r="O101" s="27"/>
      <c r="P101" s="27"/>
      <c r="Q101" s="27"/>
      <c r="R101" s="27"/>
      <c r="S101" s="27"/>
    </row>
    <row r="102" ht="19.5" customHeight="1">
      <c r="A102" s="159">
        <v>26619.0</v>
      </c>
      <c r="B102" s="160" t="s">
        <v>20</v>
      </c>
      <c r="C102" s="2" t="s">
        <v>3684</v>
      </c>
      <c r="D102" s="161" t="s">
        <v>109</v>
      </c>
      <c r="E102" s="162" t="s">
        <v>7300</v>
      </c>
      <c r="F102" s="163"/>
      <c r="G102" s="158"/>
      <c r="H102" s="164" t="s">
        <v>7540</v>
      </c>
      <c r="I102" s="166"/>
      <c r="J102" s="166"/>
      <c r="K102" s="27"/>
      <c r="L102" s="27"/>
      <c r="M102" s="27"/>
      <c r="N102" s="27"/>
      <c r="O102" s="27"/>
      <c r="P102" s="27"/>
      <c r="Q102" s="27"/>
      <c r="R102" s="27"/>
      <c r="S102" s="27"/>
    </row>
    <row r="103" ht="19.5" customHeight="1">
      <c r="A103" s="129">
        <v>27665.0</v>
      </c>
      <c r="B103" s="160" t="s">
        <v>20</v>
      </c>
      <c r="C103" s="2" t="s">
        <v>7541</v>
      </c>
      <c r="D103" s="161" t="s">
        <v>109</v>
      </c>
      <c r="E103" s="162" t="s">
        <v>7300</v>
      </c>
      <c r="F103" s="163"/>
      <c r="G103" s="158"/>
      <c r="H103" s="167" t="s">
        <v>7542</v>
      </c>
      <c r="I103" s="166"/>
      <c r="J103" s="166"/>
      <c r="K103" s="27"/>
      <c r="L103" s="27"/>
      <c r="M103" s="27"/>
      <c r="N103" s="27"/>
      <c r="O103" s="27"/>
      <c r="P103" s="27"/>
      <c r="Q103" s="27"/>
      <c r="R103" s="27"/>
      <c r="S103" s="27"/>
    </row>
    <row r="104" ht="19.5" customHeight="1">
      <c r="A104" s="129">
        <v>27677.0</v>
      </c>
      <c r="B104" s="160" t="s">
        <v>20</v>
      </c>
      <c r="C104" s="2" t="s">
        <v>7543</v>
      </c>
      <c r="D104" s="161" t="s">
        <v>109</v>
      </c>
      <c r="E104" s="162" t="s">
        <v>7330</v>
      </c>
      <c r="F104" s="163"/>
      <c r="G104" s="159">
        <v>1.0</v>
      </c>
      <c r="H104" s="167" t="s">
        <v>7544</v>
      </c>
      <c r="I104" s="166"/>
      <c r="J104" s="189" t="s">
        <v>7545</v>
      </c>
      <c r="K104" s="27"/>
      <c r="L104" s="27"/>
      <c r="M104" s="27"/>
      <c r="N104" s="27"/>
      <c r="O104" s="27"/>
      <c r="P104" s="27"/>
      <c r="Q104" s="27"/>
      <c r="R104" s="27"/>
      <c r="S104" s="27"/>
    </row>
    <row r="105" ht="19.5" customHeight="1">
      <c r="A105" s="159">
        <v>27678.0</v>
      </c>
      <c r="B105" s="160" t="s">
        <v>20</v>
      </c>
      <c r="C105" s="2" t="s">
        <v>7546</v>
      </c>
      <c r="D105" s="161" t="s">
        <v>109</v>
      </c>
      <c r="E105" s="162" t="s">
        <v>7309</v>
      </c>
      <c r="F105" s="163"/>
      <c r="G105" s="158"/>
      <c r="H105" s="167" t="s">
        <v>7547</v>
      </c>
      <c r="I105" s="166"/>
      <c r="J105" s="166"/>
      <c r="K105" s="27"/>
      <c r="L105" s="27"/>
      <c r="M105" s="27"/>
      <c r="N105" s="27"/>
      <c r="O105" s="27"/>
      <c r="P105" s="27"/>
      <c r="Q105" s="27"/>
      <c r="R105" s="27"/>
      <c r="S105" s="27"/>
    </row>
    <row r="106" ht="19.5" customHeight="1">
      <c r="A106" s="129">
        <v>27689.0</v>
      </c>
      <c r="B106" s="177" t="s">
        <v>4161</v>
      </c>
      <c r="C106" s="2" t="s">
        <v>7548</v>
      </c>
      <c r="D106" s="161" t="s">
        <v>109</v>
      </c>
      <c r="E106" s="162" t="s">
        <v>7305</v>
      </c>
      <c r="F106" s="163"/>
      <c r="G106" s="158"/>
      <c r="H106" s="166"/>
      <c r="I106" s="166"/>
      <c r="J106" s="168" t="s">
        <v>7549</v>
      </c>
      <c r="K106" s="27"/>
      <c r="L106" s="27"/>
      <c r="M106" s="27"/>
      <c r="N106" s="27"/>
      <c r="O106" s="27"/>
      <c r="P106" s="27"/>
      <c r="Q106" s="27"/>
      <c r="R106" s="27"/>
      <c r="S106" s="27"/>
    </row>
    <row r="107" ht="19.5" customHeight="1">
      <c r="A107" s="129">
        <v>27696.0</v>
      </c>
      <c r="B107" s="177" t="s">
        <v>1206</v>
      </c>
      <c r="C107" s="2" t="s">
        <v>7550</v>
      </c>
      <c r="D107" s="161" t="s">
        <v>109</v>
      </c>
      <c r="E107" s="162" t="s">
        <v>7551</v>
      </c>
      <c r="F107" s="163"/>
      <c r="G107" s="158"/>
      <c r="H107" s="167" t="s">
        <v>7552</v>
      </c>
      <c r="I107" s="184" t="s">
        <v>7553</v>
      </c>
      <c r="J107" s="166"/>
      <c r="K107" s="27"/>
      <c r="L107" s="27"/>
      <c r="M107" s="27"/>
      <c r="N107" s="27"/>
      <c r="O107" s="27"/>
      <c r="P107" s="27"/>
      <c r="Q107" s="27"/>
      <c r="R107" s="27"/>
      <c r="S107" s="27"/>
    </row>
    <row r="108" ht="19.5" customHeight="1">
      <c r="A108" s="159">
        <v>28208.0</v>
      </c>
      <c r="B108" s="2" t="s">
        <v>20</v>
      </c>
      <c r="C108" s="2" t="s">
        <v>1975</v>
      </c>
      <c r="D108" s="4" t="s">
        <v>109</v>
      </c>
      <c r="E108" s="2" t="s">
        <v>7297</v>
      </c>
      <c r="F108" s="4"/>
      <c r="G108" s="158"/>
      <c r="H108" s="101" t="s">
        <v>7554</v>
      </c>
      <c r="I108" s="105"/>
      <c r="J108" s="105"/>
      <c r="K108" s="158"/>
      <c r="L108" s="158"/>
      <c r="M108" s="158"/>
      <c r="N108" s="158"/>
      <c r="O108" s="158"/>
      <c r="P108" s="158"/>
      <c r="Q108" s="158"/>
      <c r="R108" s="158"/>
      <c r="S108" s="158"/>
    </row>
    <row r="109" ht="19.5" customHeight="1">
      <c r="A109" s="129">
        <v>30264.0</v>
      </c>
      <c r="B109" s="160" t="s">
        <v>20</v>
      </c>
      <c r="C109" s="2" t="s">
        <v>7555</v>
      </c>
      <c r="D109" s="161" t="s">
        <v>109</v>
      </c>
      <c r="E109" s="162" t="s">
        <v>7330</v>
      </c>
      <c r="F109" s="163"/>
      <c r="G109" s="158"/>
      <c r="H109" s="167" t="s">
        <v>7556</v>
      </c>
      <c r="I109" s="166"/>
      <c r="J109" s="168" t="s">
        <v>7557</v>
      </c>
      <c r="K109" s="27"/>
      <c r="L109" s="27"/>
      <c r="M109" s="27"/>
      <c r="N109" s="27"/>
      <c r="O109" s="27"/>
      <c r="P109" s="27"/>
      <c r="Q109" s="27"/>
      <c r="R109" s="27"/>
      <c r="S109" s="27"/>
    </row>
    <row r="110" ht="19.5" customHeight="1">
      <c r="A110" s="159">
        <v>30409.0</v>
      </c>
      <c r="B110" s="2" t="s">
        <v>20</v>
      </c>
      <c r="C110" s="2" t="s">
        <v>3036</v>
      </c>
      <c r="D110" s="4" t="s">
        <v>109</v>
      </c>
      <c r="E110" s="2" t="s">
        <v>7297</v>
      </c>
      <c r="F110" s="4" t="s">
        <v>7558</v>
      </c>
      <c r="G110" s="159">
        <v>1.0</v>
      </c>
      <c r="H110" s="101" t="s">
        <v>7559</v>
      </c>
      <c r="I110" s="101" t="s">
        <v>7560</v>
      </c>
      <c r="J110" s="105"/>
      <c r="K110" s="158"/>
      <c r="L110" s="158"/>
      <c r="M110" s="158"/>
      <c r="N110" s="179"/>
      <c r="O110" s="158"/>
      <c r="P110" s="158"/>
      <c r="Q110" s="158"/>
      <c r="R110" s="158"/>
      <c r="S110" s="158"/>
    </row>
    <row r="111" ht="19.5" customHeight="1">
      <c r="A111" s="159">
        <v>30410.0</v>
      </c>
      <c r="B111" s="2" t="s">
        <v>20</v>
      </c>
      <c r="C111" s="2" t="s">
        <v>7561</v>
      </c>
      <c r="D111" s="4" t="s">
        <v>109</v>
      </c>
      <c r="E111" s="2" t="s">
        <v>7297</v>
      </c>
      <c r="F111" s="4"/>
      <c r="G111" s="159">
        <v>1.0</v>
      </c>
      <c r="H111" s="101" t="s">
        <v>7562</v>
      </c>
      <c r="I111" s="102" t="s">
        <v>7563</v>
      </c>
      <c r="J111" s="105"/>
      <c r="K111" s="158"/>
      <c r="L111" s="158"/>
      <c r="M111" s="158"/>
      <c r="N111" s="159" t="s">
        <v>13</v>
      </c>
      <c r="O111" s="158"/>
      <c r="P111" s="158"/>
      <c r="Q111" s="158"/>
      <c r="R111" s="158"/>
      <c r="S111" s="158"/>
    </row>
    <row r="112" ht="19.5" customHeight="1">
      <c r="A112" s="129">
        <v>30411.0</v>
      </c>
      <c r="B112" s="2" t="s">
        <v>20</v>
      </c>
      <c r="C112" s="2" t="s">
        <v>7564</v>
      </c>
      <c r="D112" s="4" t="s">
        <v>109</v>
      </c>
      <c r="E112" s="2" t="s">
        <v>7300</v>
      </c>
      <c r="F112" s="4"/>
      <c r="G112" s="158"/>
      <c r="H112" s="101" t="s">
        <v>7565</v>
      </c>
      <c r="I112" s="105"/>
      <c r="J112" s="105"/>
      <c r="K112" s="158"/>
      <c r="L112" s="158"/>
      <c r="M112" s="158"/>
      <c r="N112" s="158"/>
      <c r="O112" s="158"/>
      <c r="P112" s="158"/>
      <c r="Q112" s="158"/>
      <c r="R112" s="158"/>
      <c r="S112" s="158"/>
    </row>
    <row r="113" ht="19.5" customHeight="1">
      <c r="A113" s="129">
        <v>30570.0</v>
      </c>
      <c r="B113" s="2" t="s">
        <v>20</v>
      </c>
      <c r="C113" s="2" t="s">
        <v>7566</v>
      </c>
      <c r="D113" s="4" t="s">
        <v>109</v>
      </c>
      <c r="E113" s="2" t="s">
        <v>7300</v>
      </c>
      <c r="F113" s="4"/>
      <c r="G113" s="158"/>
      <c r="H113" s="101" t="s">
        <v>7567</v>
      </c>
      <c r="I113" s="105"/>
      <c r="J113" s="105"/>
      <c r="K113" s="158"/>
      <c r="L113" s="158"/>
      <c r="M113" s="158"/>
      <c r="N113" s="158"/>
      <c r="O113" s="158"/>
      <c r="P113" s="158"/>
      <c r="Q113" s="158"/>
      <c r="R113" s="158"/>
      <c r="S113" s="158"/>
    </row>
    <row r="114" ht="19.5" customHeight="1">
      <c r="A114" s="129">
        <v>31191.0</v>
      </c>
      <c r="B114" s="160" t="s">
        <v>20</v>
      </c>
      <c r="C114" s="2" t="s">
        <v>7568</v>
      </c>
      <c r="D114" s="161" t="s">
        <v>109</v>
      </c>
      <c r="E114" s="162" t="s">
        <v>7300</v>
      </c>
      <c r="F114" s="163"/>
      <c r="G114" s="158"/>
      <c r="H114" s="167" t="s">
        <v>7569</v>
      </c>
      <c r="I114" s="166"/>
      <c r="J114" s="190" t="s">
        <v>7570</v>
      </c>
      <c r="K114" s="27"/>
      <c r="L114" s="27"/>
      <c r="M114" s="27"/>
      <c r="N114" s="27"/>
      <c r="O114" s="27"/>
      <c r="P114" s="27"/>
      <c r="Q114" s="27"/>
      <c r="R114" s="27"/>
      <c r="S114" s="27"/>
    </row>
    <row r="115" ht="19.5" customHeight="1">
      <c r="A115" s="129">
        <v>31192.0</v>
      </c>
      <c r="B115" s="2" t="s">
        <v>20</v>
      </c>
      <c r="C115" s="2" t="s">
        <v>7480</v>
      </c>
      <c r="D115" s="4" t="s">
        <v>109</v>
      </c>
      <c r="E115" s="2" t="s">
        <v>7300</v>
      </c>
      <c r="F115" s="4" t="s">
        <v>7571</v>
      </c>
      <c r="G115" s="158"/>
      <c r="H115" s="101" t="s">
        <v>7572</v>
      </c>
      <c r="I115" s="105"/>
      <c r="J115" s="105"/>
      <c r="K115" s="158"/>
      <c r="L115" s="158"/>
      <c r="M115" s="158"/>
      <c r="N115" s="158"/>
      <c r="O115" s="158"/>
      <c r="P115" s="158"/>
      <c r="Q115" s="158"/>
      <c r="R115" s="158"/>
      <c r="S115" s="158"/>
    </row>
    <row r="116" ht="19.5" customHeight="1">
      <c r="A116" s="159">
        <v>31262.0</v>
      </c>
      <c r="B116" s="2" t="s">
        <v>7342</v>
      </c>
      <c r="C116" s="2" t="s">
        <v>7573</v>
      </c>
      <c r="D116" s="4" t="s">
        <v>109</v>
      </c>
      <c r="E116" s="2" t="s">
        <v>7297</v>
      </c>
      <c r="F116" s="4"/>
      <c r="G116" s="158"/>
      <c r="H116" s="101" t="s">
        <v>7574</v>
      </c>
      <c r="I116" s="105"/>
      <c r="J116" s="105"/>
      <c r="K116" s="158"/>
      <c r="L116" s="158"/>
      <c r="M116" s="158"/>
      <c r="N116" s="158"/>
      <c r="O116" s="158"/>
      <c r="P116" s="158"/>
      <c r="Q116" s="158"/>
      <c r="R116" s="158"/>
      <c r="S116" s="158"/>
    </row>
    <row r="117" ht="19.5" customHeight="1">
      <c r="A117" s="171">
        <v>31288.0</v>
      </c>
      <c r="B117" s="2" t="s">
        <v>20</v>
      </c>
      <c r="C117" s="2" t="s">
        <v>3418</v>
      </c>
      <c r="D117" s="4" t="s">
        <v>109</v>
      </c>
      <c r="E117" s="2" t="s">
        <v>7321</v>
      </c>
      <c r="F117" s="4"/>
      <c r="G117" s="172"/>
      <c r="H117" s="102" t="s">
        <v>7575</v>
      </c>
      <c r="I117" s="101" t="s">
        <v>7576</v>
      </c>
      <c r="J117" s="101" t="s">
        <v>7577</v>
      </c>
      <c r="K117" s="172"/>
      <c r="L117" s="172"/>
      <c r="M117" s="172"/>
      <c r="N117" s="171" t="s">
        <v>7396</v>
      </c>
      <c r="O117" s="172"/>
      <c r="P117" s="172"/>
      <c r="Q117" s="172"/>
      <c r="R117" s="172"/>
      <c r="S117" s="172"/>
    </row>
    <row r="118" ht="19.5" customHeight="1">
      <c r="A118" s="129">
        <v>31289.0</v>
      </c>
      <c r="B118" s="160" t="s">
        <v>20</v>
      </c>
      <c r="C118" s="2" t="s">
        <v>7578</v>
      </c>
      <c r="D118" s="161" t="s">
        <v>109</v>
      </c>
      <c r="E118" s="162" t="s">
        <v>7300</v>
      </c>
      <c r="F118" s="163"/>
      <c r="G118" s="158"/>
      <c r="H118" s="167" t="s">
        <v>7579</v>
      </c>
      <c r="I118" s="166"/>
      <c r="J118" s="168" t="s">
        <v>7580</v>
      </c>
      <c r="K118" s="27"/>
      <c r="L118" s="27"/>
      <c r="M118" s="27"/>
      <c r="N118" s="27"/>
      <c r="O118" s="27"/>
      <c r="P118" s="27"/>
      <c r="Q118" s="27"/>
      <c r="R118" s="27"/>
      <c r="S118" s="27"/>
    </row>
    <row r="119" ht="19.5" customHeight="1">
      <c r="A119" s="129">
        <v>31424.0</v>
      </c>
      <c r="B119" s="160" t="s">
        <v>20</v>
      </c>
      <c r="C119" s="2" t="s">
        <v>327</v>
      </c>
      <c r="D119" s="161" t="s">
        <v>109</v>
      </c>
      <c r="E119" s="2" t="s">
        <v>7362</v>
      </c>
      <c r="F119" s="163"/>
      <c r="G119" s="158"/>
      <c r="H119" s="167" t="s">
        <v>7581</v>
      </c>
      <c r="I119" s="166"/>
      <c r="J119" s="166"/>
      <c r="K119" s="27"/>
      <c r="L119" s="27"/>
      <c r="M119" s="27"/>
      <c r="N119" s="27"/>
      <c r="O119" s="27"/>
      <c r="P119" s="27"/>
      <c r="Q119" s="27"/>
      <c r="R119" s="27"/>
      <c r="S119" s="27"/>
    </row>
    <row r="120" ht="19.5" customHeight="1">
      <c r="A120" s="129">
        <v>31429.0</v>
      </c>
      <c r="B120" s="160" t="s">
        <v>20</v>
      </c>
      <c r="C120" s="2" t="s">
        <v>7582</v>
      </c>
      <c r="D120" s="161" t="s">
        <v>109</v>
      </c>
      <c r="E120" s="162" t="s">
        <v>7330</v>
      </c>
      <c r="F120" s="163"/>
      <c r="G120" s="159">
        <v>1.0</v>
      </c>
      <c r="H120" s="167" t="s">
        <v>7583</v>
      </c>
      <c r="I120" s="166"/>
      <c r="J120" s="191"/>
      <c r="K120" s="27"/>
      <c r="L120" s="27"/>
      <c r="M120" s="27"/>
      <c r="N120" s="27"/>
      <c r="O120" s="27"/>
      <c r="P120" s="27"/>
      <c r="Q120" s="27"/>
      <c r="R120" s="27"/>
      <c r="S120" s="27"/>
    </row>
    <row r="121" ht="19.5" customHeight="1">
      <c r="A121" s="159">
        <v>32199.0</v>
      </c>
      <c r="B121" s="160" t="s">
        <v>20</v>
      </c>
      <c r="C121" s="2" t="s">
        <v>7584</v>
      </c>
      <c r="D121" s="161" t="s">
        <v>109</v>
      </c>
      <c r="E121" s="162" t="s">
        <v>7300</v>
      </c>
      <c r="F121" s="163"/>
      <c r="G121" s="158"/>
      <c r="H121" s="164" t="s">
        <v>7585</v>
      </c>
      <c r="I121" s="166"/>
      <c r="J121" s="166"/>
      <c r="K121" s="27"/>
      <c r="L121" s="27"/>
      <c r="M121" s="27"/>
      <c r="N121" s="27"/>
      <c r="O121" s="27"/>
      <c r="P121" s="27"/>
      <c r="Q121" s="27"/>
      <c r="R121" s="27"/>
      <c r="S121" s="27"/>
    </row>
    <row r="122" ht="19.5" customHeight="1">
      <c r="A122" s="129">
        <v>32475.0</v>
      </c>
      <c r="B122" s="160" t="s">
        <v>20</v>
      </c>
      <c r="C122" s="2" t="s">
        <v>7586</v>
      </c>
      <c r="D122" s="161" t="s">
        <v>109</v>
      </c>
      <c r="E122" s="162" t="s">
        <v>7300</v>
      </c>
      <c r="F122" s="163"/>
      <c r="G122" s="158"/>
      <c r="H122" s="167" t="s">
        <v>7587</v>
      </c>
      <c r="I122" s="174" t="s">
        <v>7588</v>
      </c>
      <c r="J122" s="166"/>
      <c r="K122" s="27"/>
      <c r="L122" s="27"/>
      <c r="M122" s="27"/>
      <c r="N122" s="27"/>
      <c r="O122" s="27"/>
      <c r="P122" s="27"/>
      <c r="Q122" s="27"/>
      <c r="R122" s="27"/>
      <c r="S122" s="27"/>
    </row>
    <row r="123" ht="19.5" customHeight="1">
      <c r="A123" s="175">
        <v>32618.0</v>
      </c>
      <c r="B123" s="160" t="s">
        <v>20</v>
      </c>
      <c r="C123" s="2" t="s">
        <v>7589</v>
      </c>
      <c r="D123" s="161" t="s">
        <v>109</v>
      </c>
      <c r="E123" s="162" t="s">
        <v>7300</v>
      </c>
      <c r="F123" s="163"/>
      <c r="G123" s="158"/>
      <c r="H123" s="167" t="s">
        <v>7590</v>
      </c>
      <c r="I123" s="166"/>
      <c r="J123" s="166"/>
      <c r="K123" s="27"/>
      <c r="L123" s="27"/>
      <c r="M123" s="27"/>
      <c r="N123" s="27"/>
      <c r="O123" s="27"/>
      <c r="P123" s="27"/>
      <c r="Q123" s="27"/>
      <c r="R123" s="27"/>
      <c r="S123" s="27"/>
    </row>
    <row r="124" ht="19.5" customHeight="1">
      <c r="A124" s="129">
        <v>32641.0</v>
      </c>
      <c r="B124" s="160" t="s">
        <v>20</v>
      </c>
      <c r="C124" s="2" t="s">
        <v>7591</v>
      </c>
      <c r="D124" s="161" t="s">
        <v>109</v>
      </c>
      <c r="E124" s="162" t="s">
        <v>7305</v>
      </c>
      <c r="F124" s="163"/>
      <c r="G124" s="158"/>
      <c r="H124" s="166"/>
      <c r="I124" s="166"/>
      <c r="J124" s="168" t="s">
        <v>7592</v>
      </c>
      <c r="K124" s="27"/>
      <c r="L124" s="27"/>
      <c r="M124" s="27"/>
      <c r="N124" s="27"/>
      <c r="O124" s="27"/>
      <c r="P124" s="27"/>
      <c r="Q124" s="27"/>
      <c r="R124" s="27"/>
      <c r="S124" s="27"/>
    </row>
    <row r="125" ht="19.5" customHeight="1">
      <c r="A125" s="159">
        <v>32729.0</v>
      </c>
      <c r="B125" s="160" t="s">
        <v>20</v>
      </c>
      <c r="C125" s="2" t="s">
        <v>7593</v>
      </c>
      <c r="D125" s="161" t="s">
        <v>109</v>
      </c>
      <c r="E125" s="162" t="s">
        <v>7300</v>
      </c>
      <c r="F125" s="163"/>
      <c r="G125" s="158"/>
      <c r="H125" s="167" t="s">
        <v>7594</v>
      </c>
      <c r="I125" s="166"/>
      <c r="J125" s="166"/>
      <c r="K125" s="27"/>
      <c r="L125" s="27"/>
      <c r="M125" s="27"/>
      <c r="N125" s="27"/>
      <c r="O125" s="27"/>
      <c r="P125" s="27"/>
      <c r="Q125" s="27"/>
      <c r="R125" s="27"/>
      <c r="S125" s="27"/>
    </row>
    <row r="126" ht="19.5" customHeight="1">
      <c r="A126" s="129">
        <v>32777.0</v>
      </c>
      <c r="B126" s="160" t="s">
        <v>20</v>
      </c>
      <c r="C126" s="2" t="s">
        <v>7595</v>
      </c>
      <c r="D126" s="161" t="s">
        <v>109</v>
      </c>
      <c r="E126" s="162" t="s">
        <v>7551</v>
      </c>
      <c r="F126" s="163"/>
      <c r="G126" s="158"/>
      <c r="H126" s="167" t="s">
        <v>7596</v>
      </c>
      <c r="I126" s="169" t="s">
        <v>7597</v>
      </c>
      <c r="J126" s="166"/>
      <c r="K126" s="27"/>
      <c r="L126" s="27"/>
      <c r="M126" s="27"/>
      <c r="N126" s="27"/>
      <c r="O126" s="27"/>
      <c r="P126" s="27"/>
      <c r="Q126" s="27"/>
      <c r="R126" s="27"/>
      <c r="S126" s="27"/>
    </row>
    <row r="127" ht="19.5" customHeight="1">
      <c r="A127" s="129">
        <v>32976.0</v>
      </c>
      <c r="B127" s="2" t="s">
        <v>20</v>
      </c>
      <c r="C127" s="2" t="s">
        <v>707</v>
      </c>
      <c r="D127" s="4" t="s">
        <v>109</v>
      </c>
      <c r="E127" s="2" t="s">
        <v>7300</v>
      </c>
      <c r="F127" s="4" t="s">
        <v>7598</v>
      </c>
      <c r="G127" s="158"/>
      <c r="H127" s="101" t="s">
        <v>7599</v>
      </c>
      <c r="I127" s="105"/>
      <c r="J127" s="101" t="s">
        <v>7600</v>
      </c>
      <c r="K127" s="158"/>
      <c r="L127" s="158"/>
      <c r="M127" s="158"/>
      <c r="N127" s="158"/>
      <c r="O127" s="158"/>
      <c r="P127" s="158"/>
      <c r="Q127" s="158"/>
      <c r="R127" s="158"/>
      <c r="S127" s="158"/>
    </row>
    <row r="128" ht="19.5" customHeight="1">
      <c r="A128" s="159">
        <v>33383.0</v>
      </c>
      <c r="B128" s="160" t="s">
        <v>20</v>
      </c>
      <c r="C128" s="2" t="s">
        <v>862</v>
      </c>
      <c r="D128" s="161" t="s">
        <v>109</v>
      </c>
      <c r="E128" s="162" t="s">
        <v>7300</v>
      </c>
      <c r="F128" s="163"/>
      <c r="G128" s="158"/>
      <c r="H128" s="167" t="s">
        <v>7601</v>
      </c>
      <c r="I128" s="166"/>
      <c r="J128" s="166"/>
      <c r="K128" s="27"/>
      <c r="L128" s="27"/>
      <c r="M128" s="27"/>
      <c r="N128" s="27"/>
      <c r="O128" s="27"/>
      <c r="P128" s="27"/>
      <c r="Q128" s="27"/>
      <c r="R128" s="27"/>
      <c r="S128" s="27"/>
    </row>
    <row r="129" ht="19.5" customHeight="1">
      <c r="A129" s="4"/>
      <c r="B129" s="2" t="s">
        <v>20</v>
      </c>
      <c r="C129" s="2" t="s">
        <v>21</v>
      </c>
      <c r="D129" s="4" t="s">
        <v>109</v>
      </c>
      <c r="E129" s="2" t="s">
        <v>7202</v>
      </c>
      <c r="F129" s="4"/>
      <c r="G129" s="27"/>
      <c r="H129" s="101" t="s">
        <v>7602</v>
      </c>
      <c r="I129" s="105"/>
      <c r="J129" s="101" t="s">
        <v>7603</v>
      </c>
      <c r="K129" s="27"/>
      <c r="L129" s="27"/>
      <c r="M129" s="27"/>
      <c r="N129" s="27"/>
      <c r="O129" s="27"/>
      <c r="P129" s="27"/>
      <c r="Q129" s="27"/>
      <c r="R129" s="27"/>
      <c r="S129" s="27"/>
    </row>
    <row r="130" ht="19.5" customHeight="1">
      <c r="A130" s="4"/>
      <c r="B130" s="2" t="s">
        <v>20</v>
      </c>
      <c r="C130" s="2" t="s">
        <v>3209</v>
      </c>
      <c r="D130" s="4" t="s">
        <v>109</v>
      </c>
      <c r="E130" s="2" t="s">
        <v>7202</v>
      </c>
      <c r="F130" s="4"/>
      <c r="G130" s="27"/>
      <c r="H130" s="101" t="s">
        <v>7604</v>
      </c>
      <c r="I130" s="105"/>
      <c r="J130" s="101" t="s">
        <v>7520</v>
      </c>
      <c r="K130" s="27"/>
      <c r="L130" s="27"/>
      <c r="M130" s="27"/>
      <c r="N130" s="27"/>
      <c r="O130" s="27"/>
      <c r="P130" s="27"/>
      <c r="Q130" s="27"/>
      <c r="R130" s="27"/>
      <c r="S130" s="27"/>
    </row>
    <row r="131" ht="19.5" customHeight="1">
      <c r="A131" s="158"/>
      <c r="B131" s="2" t="s">
        <v>7605</v>
      </c>
      <c r="C131" s="2" t="s">
        <v>7606</v>
      </c>
      <c r="D131" s="4" t="s">
        <v>109</v>
      </c>
      <c r="E131" s="2" t="s">
        <v>7202</v>
      </c>
      <c r="F131" s="4" t="s">
        <v>7607</v>
      </c>
      <c r="G131" s="158"/>
      <c r="H131" s="101" t="s">
        <v>7608</v>
      </c>
      <c r="I131" s="105"/>
      <c r="J131" s="105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 ht="19.5" customHeight="1">
      <c r="A132" s="158"/>
      <c r="B132" s="2" t="s">
        <v>20</v>
      </c>
      <c r="C132" s="2" t="s">
        <v>7609</v>
      </c>
      <c r="D132" s="4" t="s">
        <v>109</v>
      </c>
      <c r="E132" s="2" t="s">
        <v>7202</v>
      </c>
      <c r="F132" s="4" t="s">
        <v>7610</v>
      </c>
      <c r="G132" s="158"/>
      <c r="H132" s="101" t="s">
        <v>7611</v>
      </c>
      <c r="I132" s="105"/>
      <c r="J132" s="105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 ht="19.5" customHeight="1">
      <c r="A133" s="27"/>
      <c r="B133" s="160" t="s">
        <v>20</v>
      </c>
      <c r="C133" s="2" t="s">
        <v>7612</v>
      </c>
      <c r="D133" s="161" t="s">
        <v>109</v>
      </c>
      <c r="E133" s="2" t="s">
        <v>7202</v>
      </c>
      <c r="F133" s="2" t="s">
        <v>7613</v>
      </c>
      <c r="G133" s="27"/>
      <c r="H133" s="102" t="s">
        <v>7614</v>
      </c>
      <c r="I133" s="102" t="s">
        <v>7615</v>
      </c>
      <c r="J133" s="105"/>
      <c r="K133" s="27"/>
      <c r="L133" s="27"/>
      <c r="M133" s="27"/>
      <c r="N133" s="27"/>
      <c r="O133" s="27"/>
      <c r="P133" s="27"/>
      <c r="Q133" s="27"/>
      <c r="R133" s="27"/>
      <c r="S133" s="27"/>
    </row>
    <row r="134" ht="19.5" customHeight="1">
      <c r="A134" s="27"/>
      <c r="B134" s="160" t="s">
        <v>20</v>
      </c>
      <c r="C134" s="2" t="s">
        <v>3077</v>
      </c>
      <c r="D134" s="161" t="s">
        <v>109</v>
      </c>
      <c r="E134" s="2" t="s">
        <v>7202</v>
      </c>
      <c r="F134" s="4" t="s">
        <v>7616</v>
      </c>
      <c r="G134" s="27"/>
      <c r="H134" s="102" t="s">
        <v>7617</v>
      </c>
      <c r="I134" s="105"/>
      <c r="J134" s="105"/>
      <c r="K134" s="27"/>
      <c r="L134" s="27"/>
      <c r="M134" s="27"/>
      <c r="N134" s="27"/>
      <c r="O134" s="27"/>
      <c r="P134" s="27"/>
      <c r="Q134" s="27"/>
      <c r="R134" s="27"/>
      <c r="S134" s="27"/>
    </row>
    <row r="135" ht="19.5" customHeight="1">
      <c r="A135" s="27"/>
      <c r="B135" s="160" t="s">
        <v>20</v>
      </c>
      <c r="C135" s="2" t="s">
        <v>7618</v>
      </c>
      <c r="D135" s="161" t="s">
        <v>109</v>
      </c>
      <c r="E135" s="4" t="s">
        <v>7619</v>
      </c>
      <c r="F135" s="2" t="s">
        <v>7620</v>
      </c>
      <c r="G135" s="27"/>
      <c r="H135" s="102" t="s">
        <v>7621</v>
      </c>
      <c r="I135" s="101" t="s">
        <v>7622</v>
      </c>
      <c r="J135" s="105"/>
      <c r="K135" s="27"/>
      <c r="L135" s="27"/>
      <c r="M135" s="27"/>
      <c r="N135" s="27"/>
      <c r="O135" s="27"/>
      <c r="P135" s="27"/>
      <c r="Q135" s="27"/>
      <c r="R135" s="27"/>
      <c r="S135" s="27"/>
    </row>
    <row r="136" ht="19.5" customHeight="1">
      <c r="A136" s="27"/>
      <c r="B136" s="160" t="s">
        <v>20</v>
      </c>
      <c r="C136" s="2" t="s">
        <v>7618</v>
      </c>
      <c r="D136" s="161" t="s">
        <v>109</v>
      </c>
      <c r="E136" s="4" t="s">
        <v>7619</v>
      </c>
      <c r="F136" s="2" t="s">
        <v>7620</v>
      </c>
      <c r="G136" s="27"/>
      <c r="H136" s="102" t="s">
        <v>7623</v>
      </c>
      <c r="I136" s="105"/>
      <c r="J136" s="105"/>
      <c r="K136" s="27"/>
      <c r="L136" s="27"/>
      <c r="M136" s="27"/>
      <c r="N136" s="27"/>
      <c r="O136" s="27"/>
      <c r="P136" s="27"/>
      <c r="Q136" s="27"/>
      <c r="R136" s="27"/>
      <c r="S136" s="27"/>
    </row>
    <row r="137" ht="19.5" customHeight="1">
      <c r="A137" s="4"/>
      <c r="B137" s="2" t="s">
        <v>20</v>
      </c>
      <c r="C137" s="2" t="s">
        <v>1925</v>
      </c>
      <c r="D137" s="4" t="s">
        <v>109</v>
      </c>
      <c r="E137" s="2" t="s">
        <v>7624</v>
      </c>
      <c r="F137" s="4"/>
      <c r="G137" s="4"/>
      <c r="H137" s="101" t="s">
        <v>7625</v>
      </c>
      <c r="I137" s="101" t="s">
        <v>7626</v>
      </c>
      <c r="J137" s="105"/>
      <c r="K137" s="27"/>
      <c r="L137" s="27"/>
      <c r="M137" s="27"/>
      <c r="N137" s="4" t="s">
        <v>7396</v>
      </c>
      <c r="O137" s="27"/>
      <c r="P137" s="27"/>
      <c r="Q137" s="27"/>
      <c r="R137" s="27"/>
      <c r="S137" s="27"/>
    </row>
    <row r="138" ht="19.5" customHeight="1">
      <c r="A138" s="27"/>
      <c r="B138" s="160" t="s">
        <v>20</v>
      </c>
      <c r="C138" s="2" t="s">
        <v>6901</v>
      </c>
      <c r="D138" s="161" t="s">
        <v>109</v>
      </c>
      <c r="E138" s="2" t="s">
        <v>7624</v>
      </c>
      <c r="F138" s="4"/>
      <c r="G138" s="27"/>
      <c r="H138" s="102" t="s">
        <v>7627</v>
      </c>
      <c r="I138" s="105"/>
      <c r="J138" s="105"/>
      <c r="K138" s="27"/>
      <c r="L138" s="27"/>
      <c r="M138" s="27"/>
      <c r="N138" s="27"/>
      <c r="O138" s="27"/>
      <c r="P138" s="27"/>
      <c r="Q138" s="27"/>
      <c r="R138" s="27"/>
      <c r="S138" s="27"/>
    </row>
    <row r="139" ht="19.5" customHeight="1">
      <c r="A139" s="27"/>
      <c r="B139" s="160" t="s">
        <v>20</v>
      </c>
      <c r="C139" s="2" t="s">
        <v>7628</v>
      </c>
      <c r="D139" s="161" t="s">
        <v>109</v>
      </c>
      <c r="E139" s="2" t="s">
        <v>7624</v>
      </c>
      <c r="F139" s="4"/>
      <c r="G139" s="27"/>
      <c r="H139" s="101" t="s">
        <v>7629</v>
      </c>
      <c r="I139" s="105"/>
      <c r="J139" s="105"/>
      <c r="K139" s="27"/>
      <c r="L139" s="27"/>
      <c r="M139" s="27"/>
      <c r="N139" s="27"/>
      <c r="O139" s="27"/>
      <c r="P139" s="27"/>
      <c r="Q139" s="27"/>
      <c r="R139" s="27"/>
      <c r="S139" s="27"/>
    </row>
    <row r="140" ht="19.5" customHeight="1">
      <c r="A140" s="27"/>
      <c r="B140" s="160" t="s">
        <v>20</v>
      </c>
      <c r="C140" s="2" t="s">
        <v>1925</v>
      </c>
      <c r="D140" s="161" t="s">
        <v>109</v>
      </c>
      <c r="E140" s="2" t="s">
        <v>7624</v>
      </c>
      <c r="F140" s="4"/>
      <c r="G140" s="27"/>
      <c r="H140" s="101" t="s">
        <v>7630</v>
      </c>
      <c r="I140" s="105"/>
      <c r="J140" s="105"/>
      <c r="K140" s="27"/>
      <c r="L140" s="27"/>
      <c r="M140" s="27"/>
      <c r="N140" s="27"/>
      <c r="O140" s="27"/>
      <c r="P140" s="27"/>
      <c r="Q140" s="27"/>
      <c r="R140" s="27"/>
      <c r="S140" s="27"/>
    </row>
    <row r="141" ht="19.5" customHeight="1">
      <c r="A141" s="27"/>
      <c r="B141" s="160" t="s">
        <v>20</v>
      </c>
      <c r="C141" s="2" t="s">
        <v>641</v>
      </c>
      <c r="D141" s="161" t="s">
        <v>109</v>
      </c>
      <c r="E141" s="2" t="s">
        <v>7624</v>
      </c>
      <c r="F141" s="4" t="s">
        <v>7631</v>
      </c>
      <c r="G141" s="27"/>
      <c r="H141" s="102" t="s">
        <v>7632</v>
      </c>
      <c r="I141" s="101" t="s">
        <v>7633</v>
      </c>
      <c r="J141" s="105"/>
      <c r="K141" s="27"/>
      <c r="L141" s="27"/>
      <c r="M141" s="27"/>
      <c r="N141" s="27"/>
      <c r="O141" s="27"/>
      <c r="P141" s="27"/>
      <c r="Q141" s="27"/>
      <c r="R141" s="27"/>
      <c r="S141" s="27"/>
    </row>
    <row r="142" ht="19.5" customHeight="1">
      <c r="A142" s="27"/>
      <c r="B142" s="160" t="s">
        <v>20</v>
      </c>
      <c r="C142" s="2" t="s">
        <v>7634</v>
      </c>
      <c r="D142" s="161" t="s">
        <v>109</v>
      </c>
      <c r="E142" s="2" t="s">
        <v>7624</v>
      </c>
      <c r="F142" s="4" t="s">
        <v>7631</v>
      </c>
      <c r="G142" s="27"/>
      <c r="H142" s="102" t="s">
        <v>7635</v>
      </c>
      <c r="I142" s="105"/>
      <c r="J142" s="105"/>
      <c r="K142" s="27"/>
      <c r="L142" s="27"/>
      <c r="M142" s="27"/>
      <c r="N142" s="27"/>
      <c r="O142" s="27"/>
      <c r="P142" s="27"/>
      <c r="Q142" s="27"/>
      <c r="R142" s="27"/>
      <c r="S142" s="27"/>
    </row>
    <row r="143" ht="19.5" customHeight="1">
      <c r="A143" s="27"/>
      <c r="B143" s="160" t="s">
        <v>20</v>
      </c>
      <c r="C143" s="2" t="s">
        <v>4206</v>
      </c>
      <c r="D143" s="161" t="s">
        <v>109</v>
      </c>
      <c r="E143" s="2" t="s">
        <v>7636</v>
      </c>
      <c r="F143" s="4"/>
      <c r="G143" s="27"/>
      <c r="H143" s="101" t="s">
        <v>7637</v>
      </c>
      <c r="I143" s="105"/>
      <c r="J143" s="105"/>
      <c r="K143" s="27"/>
      <c r="L143" s="27"/>
      <c r="M143" s="27"/>
      <c r="N143" s="27"/>
      <c r="O143" s="27"/>
      <c r="P143" s="27"/>
      <c r="Q143" s="27"/>
      <c r="R143" s="27"/>
      <c r="S143" s="27"/>
    </row>
    <row r="144" ht="19.5" customHeight="1">
      <c r="A144" s="158"/>
      <c r="B144" s="2" t="s">
        <v>20</v>
      </c>
      <c r="C144" s="2" t="s">
        <v>7638</v>
      </c>
      <c r="D144" s="4" t="s">
        <v>109</v>
      </c>
      <c r="E144" s="2" t="s">
        <v>7309</v>
      </c>
      <c r="F144" s="4"/>
      <c r="G144" s="158"/>
      <c r="H144" s="101" t="s">
        <v>7639</v>
      </c>
      <c r="I144" s="105"/>
      <c r="J144" s="105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 ht="19.5" customHeight="1">
      <c r="A145" s="158"/>
      <c r="B145" s="2" t="s">
        <v>20</v>
      </c>
      <c r="C145" s="2" t="s">
        <v>6901</v>
      </c>
      <c r="D145" s="4" t="s">
        <v>109</v>
      </c>
      <c r="E145" s="2" t="s">
        <v>7309</v>
      </c>
      <c r="F145" s="4" t="s">
        <v>7640</v>
      </c>
      <c r="G145" s="159">
        <v>1.0</v>
      </c>
      <c r="H145" s="101" t="s">
        <v>7641</v>
      </c>
      <c r="I145" s="101" t="s">
        <v>7641</v>
      </c>
      <c r="J145" s="105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 ht="19.5" customHeight="1">
      <c r="A146" s="4"/>
      <c r="B146" s="2" t="s">
        <v>20</v>
      </c>
      <c r="C146" s="2" t="s">
        <v>641</v>
      </c>
      <c r="D146" s="4" t="s">
        <v>109</v>
      </c>
      <c r="E146" s="2" t="s">
        <v>7551</v>
      </c>
      <c r="F146" s="4"/>
      <c r="G146" s="27"/>
      <c r="H146" s="101" t="s">
        <v>7642</v>
      </c>
      <c r="I146" s="105"/>
      <c r="J146" s="105"/>
      <c r="K146" s="27"/>
      <c r="L146" s="27"/>
      <c r="M146" s="27"/>
      <c r="N146" s="27"/>
      <c r="O146" s="27"/>
      <c r="P146" s="27"/>
      <c r="Q146" s="27"/>
      <c r="R146" s="27"/>
      <c r="S146" s="27"/>
    </row>
    <row r="147" ht="19.5" customHeight="1">
      <c r="A147" s="158"/>
      <c r="B147" s="160" t="s">
        <v>20</v>
      </c>
      <c r="C147" s="2" t="s">
        <v>955</v>
      </c>
      <c r="D147" s="161" t="s">
        <v>109</v>
      </c>
      <c r="E147" s="162" t="s">
        <v>7551</v>
      </c>
      <c r="F147" s="163"/>
      <c r="G147" s="158"/>
      <c r="H147" s="164" t="s">
        <v>7643</v>
      </c>
      <c r="I147" s="166"/>
      <c r="J147" s="166"/>
      <c r="K147" s="27"/>
      <c r="L147" s="27"/>
      <c r="M147" s="27"/>
      <c r="N147" s="27"/>
      <c r="O147" s="27"/>
      <c r="P147" s="27"/>
      <c r="Q147" s="27"/>
      <c r="R147" s="27"/>
      <c r="S147" s="27"/>
    </row>
    <row r="148" ht="19.5" customHeight="1">
      <c r="A148" s="27"/>
      <c r="B148" s="160" t="s">
        <v>20</v>
      </c>
      <c r="C148" s="2" t="s">
        <v>7644</v>
      </c>
      <c r="D148" s="161" t="s">
        <v>109</v>
      </c>
      <c r="E148" s="2" t="s">
        <v>7551</v>
      </c>
      <c r="F148" s="4"/>
      <c r="G148" s="27"/>
      <c r="H148" s="102" t="s">
        <v>7645</v>
      </c>
      <c r="I148" s="102" t="s">
        <v>7646</v>
      </c>
      <c r="J148" s="105"/>
      <c r="K148" s="27"/>
      <c r="L148" s="27"/>
      <c r="M148" s="27"/>
      <c r="N148" s="27"/>
      <c r="O148" s="27"/>
      <c r="P148" s="27"/>
      <c r="Q148" s="27"/>
      <c r="R148" s="27"/>
      <c r="S148" s="27"/>
    </row>
    <row r="149" ht="19.5" customHeight="1">
      <c r="A149" s="27"/>
      <c r="B149" s="160" t="s">
        <v>20</v>
      </c>
      <c r="C149" s="2" t="s">
        <v>7647</v>
      </c>
      <c r="D149" s="161" t="s">
        <v>109</v>
      </c>
      <c r="E149" s="2" t="s">
        <v>7551</v>
      </c>
      <c r="F149" s="4"/>
      <c r="G149" s="27"/>
      <c r="H149" s="102" t="s">
        <v>7648</v>
      </c>
      <c r="I149" s="105"/>
      <c r="J149" s="105"/>
      <c r="K149" s="27"/>
      <c r="L149" s="27"/>
      <c r="M149" s="27"/>
      <c r="N149" s="27"/>
      <c r="O149" s="27"/>
      <c r="P149" s="27"/>
      <c r="Q149" s="27"/>
      <c r="R149" s="27"/>
      <c r="S149" s="27"/>
    </row>
    <row r="150" ht="19.5" customHeight="1">
      <c r="A150" s="158"/>
      <c r="B150" s="160" t="s">
        <v>20</v>
      </c>
      <c r="C150" s="2" t="s">
        <v>6769</v>
      </c>
      <c r="D150" s="161" t="s">
        <v>109</v>
      </c>
      <c r="E150" s="2" t="s">
        <v>7362</v>
      </c>
      <c r="F150" s="163"/>
      <c r="G150" s="158"/>
      <c r="H150" s="167" t="s">
        <v>7649</v>
      </c>
      <c r="I150" s="166"/>
      <c r="J150" s="166"/>
      <c r="K150" s="27"/>
      <c r="L150" s="27"/>
      <c r="M150" s="27"/>
      <c r="N150" s="27"/>
      <c r="O150" s="27"/>
      <c r="P150" s="27"/>
      <c r="Q150" s="27"/>
      <c r="R150" s="27"/>
      <c r="S150" s="27"/>
    </row>
    <row r="151" ht="19.5" customHeight="1">
      <c r="A151" s="4"/>
      <c r="B151" s="2" t="s">
        <v>20</v>
      </c>
      <c r="C151" s="2" t="s">
        <v>7650</v>
      </c>
      <c r="D151" s="4" t="s">
        <v>109</v>
      </c>
      <c r="E151" s="2" t="s">
        <v>7362</v>
      </c>
      <c r="F151" s="4"/>
      <c r="G151" s="27"/>
      <c r="H151" s="101" t="s">
        <v>7651</v>
      </c>
      <c r="I151" s="102" t="s">
        <v>7652</v>
      </c>
      <c r="J151" s="101" t="s">
        <v>7653</v>
      </c>
      <c r="K151" s="27"/>
      <c r="L151" s="27"/>
      <c r="M151" s="27"/>
      <c r="N151" s="27"/>
      <c r="O151" s="27"/>
      <c r="P151" s="27"/>
      <c r="Q151" s="27"/>
      <c r="R151" s="27"/>
      <c r="S151" s="27"/>
    </row>
    <row r="152" ht="19.5" customHeight="1">
      <c r="A152" s="158"/>
      <c r="B152" s="160" t="s">
        <v>20</v>
      </c>
      <c r="C152" s="2" t="s">
        <v>7654</v>
      </c>
      <c r="D152" s="161" t="s">
        <v>109</v>
      </c>
      <c r="E152" s="2" t="s">
        <v>7362</v>
      </c>
      <c r="F152" s="163"/>
      <c r="G152" s="159">
        <v>1.0</v>
      </c>
      <c r="H152" s="167" t="s">
        <v>7655</v>
      </c>
      <c r="I152" s="166"/>
      <c r="J152" s="169" t="s">
        <v>7656</v>
      </c>
      <c r="K152" s="27"/>
      <c r="L152" s="27"/>
      <c r="M152" s="27"/>
      <c r="N152" s="27"/>
      <c r="O152" s="27"/>
      <c r="P152" s="27"/>
      <c r="Q152" s="27"/>
      <c r="R152" s="27"/>
      <c r="S152" s="27"/>
    </row>
    <row r="153" ht="19.5" customHeight="1">
      <c r="A153" s="158"/>
      <c r="B153" s="160" t="s">
        <v>20</v>
      </c>
      <c r="C153" s="2" t="s">
        <v>4106</v>
      </c>
      <c r="D153" s="161" t="s">
        <v>109</v>
      </c>
      <c r="E153" s="2" t="s">
        <v>7362</v>
      </c>
      <c r="F153" s="188" t="s">
        <v>7657</v>
      </c>
      <c r="G153" s="158"/>
      <c r="H153" s="167" t="s">
        <v>7658</v>
      </c>
      <c r="I153" s="166"/>
      <c r="J153" s="166"/>
      <c r="K153" s="27"/>
      <c r="L153" s="27"/>
      <c r="M153" s="27"/>
      <c r="N153" s="27"/>
      <c r="O153" s="27"/>
      <c r="P153" s="27"/>
      <c r="Q153" s="27"/>
      <c r="R153" s="27"/>
      <c r="S153" s="27"/>
    </row>
    <row r="154" ht="19.5" customHeight="1">
      <c r="A154" s="4"/>
      <c r="B154" s="2" t="s">
        <v>20</v>
      </c>
      <c r="C154" s="2" t="s">
        <v>7659</v>
      </c>
      <c r="D154" s="4" t="s">
        <v>109</v>
      </c>
      <c r="E154" s="2" t="s">
        <v>7330</v>
      </c>
      <c r="F154" s="4" t="s">
        <v>7660</v>
      </c>
      <c r="G154" s="4"/>
      <c r="H154" s="101" t="s">
        <v>7661</v>
      </c>
      <c r="I154" s="105"/>
      <c r="J154" s="105"/>
      <c r="K154" s="27"/>
      <c r="L154" s="27"/>
      <c r="M154" s="27"/>
      <c r="N154" s="27"/>
      <c r="O154" s="27"/>
      <c r="P154" s="27"/>
      <c r="Q154" s="27"/>
      <c r="R154" s="27"/>
      <c r="S154" s="27"/>
    </row>
    <row r="155" ht="19.5" customHeight="1">
      <c r="A155" s="27"/>
      <c r="B155" s="160" t="s">
        <v>20</v>
      </c>
      <c r="C155" s="2" t="s">
        <v>7662</v>
      </c>
      <c r="D155" s="161" t="s">
        <v>109</v>
      </c>
      <c r="E155" s="2" t="s">
        <v>7330</v>
      </c>
      <c r="F155" s="4"/>
      <c r="G155" s="27"/>
      <c r="H155" s="101" t="s">
        <v>7663</v>
      </c>
      <c r="I155" s="105"/>
      <c r="J155" s="105"/>
      <c r="K155" s="27"/>
      <c r="L155" s="27"/>
      <c r="M155" s="27"/>
      <c r="N155" s="27"/>
      <c r="O155" s="27"/>
      <c r="P155" s="27"/>
      <c r="Q155" s="27"/>
      <c r="R155" s="27"/>
      <c r="S155" s="27"/>
    </row>
    <row r="156" ht="19.5" customHeight="1">
      <c r="A156" s="27"/>
      <c r="B156" s="160" t="s">
        <v>20</v>
      </c>
      <c r="C156" s="2" t="s">
        <v>281</v>
      </c>
      <c r="D156" s="161" t="s">
        <v>109</v>
      </c>
      <c r="E156" s="2" t="s">
        <v>7330</v>
      </c>
      <c r="F156" s="4"/>
      <c r="G156" s="27"/>
      <c r="H156" s="101" t="s">
        <v>7664</v>
      </c>
      <c r="I156" s="105"/>
      <c r="J156" s="101" t="s">
        <v>7665</v>
      </c>
      <c r="K156" s="27"/>
      <c r="L156" s="27"/>
      <c r="M156" s="27"/>
      <c r="N156" s="27"/>
      <c r="O156" s="27"/>
      <c r="P156" s="27"/>
      <c r="Q156" s="27"/>
      <c r="R156" s="27"/>
      <c r="S156" s="27"/>
    </row>
    <row r="157" ht="19.5" customHeight="1">
      <c r="A157" s="27"/>
      <c r="B157" s="160" t="s">
        <v>20</v>
      </c>
      <c r="C157" s="2" t="s">
        <v>3764</v>
      </c>
      <c r="D157" s="161" t="s">
        <v>109</v>
      </c>
      <c r="E157" s="2" t="s">
        <v>7330</v>
      </c>
      <c r="F157" s="4"/>
      <c r="G157" s="27"/>
      <c r="H157" s="102" t="s">
        <v>7666</v>
      </c>
      <c r="I157" s="105"/>
      <c r="J157" s="105"/>
      <c r="K157" s="27"/>
      <c r="L157" s="27"/>
      <c r="M157" s="27"/>
      <c r="N157" s="27"/>
      <c r="O157" s="27"/>
      <c r="P157" s="27"/>
      <c r="Q157" s="27"/>
      <c r="R157" s="27"/>
      <c r="S157" s="27"/>
    </row>
    <row r="158" ht="19.5" customHeight="1">
      <c r="A158" s="27"/>
      <c r="B158" s="160" t="s">
        <v>20</v>
      </c>
      <c r="C158" s="2" t="s">
        <v>7667</v>
      </c>
      <c r="D158" s="161" t="s">
        <v>109</v>
      </c>
      <c r="E158" s="2" t="s">
        <v>7330</v>
      </c>
      <c r="F158" s="4"/>
      <c r="G158" s="27"/>
      <c r="H158" s="102" t="s">
        <v>7668</v>
      </c>
      <c r="I158" s="105"/>
      <c r="J158" s="105"/>
      <c r="K158" s="27"/>
      <c r="L158" s="27"/>
      <c r="M158" s="27"/>
      <c r="N158" s="27"/>
      <c r="O158" s="27"/>
      <c r="P158" s="27"/>
      <c r="Q158" s="27"/>
      <c r="R158" s="27"/>
      <c r="S158" s="27"/>
    </row>
    <row r="159" ht="19.5" customHeight="1">
      <c r="A159" s="27"/>
      <c r="B159" s="160" t="s">
        <v>20</v>
      </c>
      <c r="C159" s="2" t="s">
        <v>49</v>
      </c>
      <c r="D159" s="161" t="s">
        <v>109</v>
      </c>
      <c r="E159" s="2" t="s">
        <v>7330</v>
      </c>
      <c r="F159" s="4"/>
      <c r="G159" s="27"/>
      <c r="H159" s="102" t="s">
        <v>7669</v>
      </c>
      <c r="I159" s="102" t="s">
        <v>7670</v>
      </c>
      <c r="J159" s="105"/>
      <c r="K159" s="27"/>
      <c r="L159" s="27"/>
      <c r="M159" s="27"/>
      <c r="N159" s="27"/>
      <c r="O159" s="27"/>
      <c r="P159" s="27"/>
      <c r="Q159" s="27"/>
      <c r="R159" s="27"/>
      <c r="S159" s="27"/>
    </row>
    <row r="160" ht="19.5" customHeight="1">
      <c r="A160" s="4"/>
      <c r="B160" s="2" t="s">
        <v>20</v>
      </c>
      <c r="C160" s="2" t="s">
        <v>7671</v>
      </c>
      <c r="D160" s="4" t="s">
        <v>109</v>
      </c>
      <c r="E160" s="2" t="s">
        <v>7305</v>
      </c>
      <c r="F160" s="4"/>
      <c r="G160" s="27"/>
      <c r="H160" s="101" t="s">
        <v>7672</v>
      </c>
      <c r="I160" s="105"/>
      <c r="J160" s="101" t="s">
        <v>7673</v>
      </c>
      <c r="K160" s="27"/>
      <c r="L160" s="27"/>
      <c r="M160" s="27"/>
      <c r="N160" s="27"/>
      <c r="O160" s="27"/>
      <c r="P160" s="27"/>
      <c r="Q160" s="27"/>
      <c r="R160" s="27"/>
      <c r="S160" s="27"/>
    </row>
    <row r="161" ht="19.5" customHeight="1">
      <c r="A161" s="27"/>
      <c r="B161" s="160" t="s">
        <v>20</v>
      </c>
      <c r="C161" s="2" t="s">
        <v>21</v>
      </c>
      <c r="D161" s="161" t="s">
        <v>109</v>
      </c>
      <c r="E161" s="2" t="s">
        <v>7305</v>
      </c>
      <c r="F161" s="4"/>
      <c r="G161" s="27"/>
      <c r="H161" s="101" t="s">
        <v>7674</v>
      </c>
      <c r="I161" s="105"/>
      <c r="J161" s="105"/>
      <c r="K161" s="27"/>
      <c r="L161" s="27"/>
      <c r="M161" s="27"/>
      <c r="N161" s="27"/>
      <c r="O161" s="27"/>
      <c r="P161" s="27"/>
      <c r="Q161" s="27"/>
      <c r="R161" s="27"/>
      <c r="S161" s="27"/>
    </row>
    <row r="162" ht="19.5" customHeight="1">
      <c r="A162" s="27"/>
      <c r="B162" s="160" t="s">
        <v>20</v>
      </c>
      <c r="C162" s="2" t="s">
        <v>7675</v>
      </c>
      <c r="D162" s="161" t="s">
        <v>109</v>
      </c>
      <c r="E162" s="2" t="s">
        <v>7305</v>
      </c>
      <c r="F162" s="4"/>
      <c r="G162" s="27"/>
      <c r="H162" s="102" t="s">
        <v>7676</v>
      </c>
      <c r="I162" s="105"/>
      <c r="J162" s="105"/>
      <c r="K162" s="27"/>
      <c r="L162" s="27"/>
      <c r="M162" s="27"/>
      <c r="N162" s="27"/>
      <c r="O162" s="27"/>
      <c r="P162" s="27"/>
      <c r="Q162" s="27"/>
      <c r="R162" s="27"/>
      <c r="S162" s="27"/>
    </row>
    <row r="163" ht="19.5" customHeight="1">
      <c r="A163" s="27"/>
      <c r="B163" s="160" t="s">
        <v>20</v>
      </c>
      <c r="C163" s="2" t="s">
        <v>7677</v>
      </c>
      <c r="D163" s="161" t="s">
        <v>109</v>
      </c>
      <c r="E163" s="2" t="s">
        <v>7305</v>
      </c>
      <c r="F163" s="4"/>
      <c r="G163" s="27"/>
      <c r="H163" s="101" t="s">
        <v>7678</v>
      </c>
      <c r="I163" s="105"/>
      <c r="J163" s="105"/>
      <c r="K163" s="27"/>
      <c r="L163" s="27"/>
      <c r="M163" s="27"/>
      <c r="N163" s="27"/>
      <c r="O163" s="27"/>
      <c r="P163" s="27"/>
      <c r="Q163" s="27"/>
      <c r="R163" s="27"/>
      <c r="S163" s="27"/>
    </row>
    <row r="164" ht="19.5" customHeight="1">
      <c r="A164" s="27"/>
      <c r="B164" s="160" t="s">
        <v>20</v>
      </c>
      <c r="C164" s="2" t="s">
        <v>7679</v>
      </c>
      <c r="D164" s="161" t="s">
        <v>109</v>
      </c>
      <c r="E164" s="2" t="s">
        <v>7305</v>
      </c>
      <c r="F164" s="4"/>
      <c r="G164" s="27"/>
      <c r="H164" s="102" t="s">
        <v>7680</v>
      </c>
      <c r="I164" s="105"/>
      <c r="J164" s="105"/>
      <c r="K164" s="27"/>
      <c r="L164" s="27"/>
      <c r="M164" s="27"/>
      <c r="N164" s="27"/>
      <c r="O164" s="27"/>
      <c r="P164" s="27"/>
      <c r="Q164" s="27"/>
      <c r="R164" s="27"/>
      <c r="S164" s="27"/>
    </row>
    <row r="165" ht="19.5" customHeight="1">
      <c r="A165" s="27"/>
      <c r="B165" s="160" t="s">
        <v>20</v>
      </c>
      <c r="C165" s="2" t="s">
        <v>7681</v>
      </c>
      <c r="D165" s="161" t="s">
        <v>109</v>
      </c>
      <c r="E165" s="2" t="s">
        <v>7522</v>
      </c>
      <c r="F165" s="4"/>
      <c r="G165" s="27"/>
      <c r="H165" s="102" t="s">
        <v>7682</v>
      </c>
      <c r="I165" s="105"/>
      <c r="J165" s="105"/>
      <c r="K165" s="27"/>
      <c r="L165" s="27"/>
      <c r="M165" s="27"/>
      <c r="N165" s="27"/>
      <c r="O165" s="27"/>
      <c r="P165" s="27"/>
      <c r="Q165" s="27"/>
      <c r="R165" s="27"/>
      <c r="S165" s="27"/>
    </row>
    <row r="166" ht="19.5" customHeight="1">
      <c r="A166" s="27"/>
      <c r="B166" s="177" t="s">
        <v>276</v>
      </c>
      <c r="C166" s="2" t="s">
        <v>7683</v>
      </c>
      <c r="D166" s="161" t="s">
        <v>109</v>
      </c>
      <c r="E166" s="2" t="s">
        <v>7522</v>
      </c>
      <c r="F166" s="4"/>
      <c r="G166" s="27"/>
      <c r="H166" s="102" t="s">
        <v>7684</v>
      </c>
      <c r="I166" s="102" t="s">
        <v>7685</v>
      </c>
      <c r="J166" s="105"/>
      <c r="K166" s="27"/>
      <c r="L166" s="27"/>
      <c r="M166" s="27"/>
      <c r="N166" s="27"/>
      <c r="O166" s="27"/>
      <c r="P166" s="27"/>
      <c r="Q166" s="27"/>
      <c r="R166" s="27"/>
      <c r="S166" s="27"/>
    </row>
    <row r="167" ht="19.5" customHeight="1">
      <c r="A167" s="158"/>
      <c r="B167" s="160" t="s">
        <v>20</v>
      </c>
      <c r="C167" s="2" t="s">
        <v>7686</v>
      </c>
      <c r="D167" s="161" t="s">
        <v>109</v>
      </c>
      <c r="E167" s="162" t="s">
        <v>7300</v>
      </c>
      <c r="F167" s="188" t="s">
        <v>7687</v>
      </c>
      <c r="G167" s="158"/>
      <c r="H167" s="167" t="s">
        <v>7688</v>
      </c>
      <c r="I167" s="166"/>
      <c r="J167" s="166"/>
      <c r="K167" s="27"/>
      <c r="L167" s="27"/>
      <c r="M167" s="27"/>
      <c r="N167" s="27"/>
      <c r="O167" s="27"/>
      <c r="P167" s="27"/>
      <c r="Q167" s="27"/>
      <c r="R167" s="27"/>
      <c r="S167" s="27"/>
    </row>
    <row r="168" ht="19.5" customHeight="1">
      <c r="A168" s="4"/>
      <c r="B168" s="2" t="s">
        <v>7689</v>
      </c>
      <c r="C168" s="2" t="s">
        <v>7690</v>
      </c>
      <c r="D168" s="4" t="s">
        <v>109</v>
      </c>
      <c r="E168" s="2" t="s">
        <v>7300</v>
      </c>
      <c r="F168" s="4"/>
      <c r="G168" s="27"/>
      <c r="H168" s="101" t="s">
        <v>7691</v>
      </c>
      <c r="I168" s="105"/>
      <c r="J168" s="101" t="s">
        <v>7692</v>
      </c>
      <c r="K168" s="27"/>
      <c r="L168" s="27"/>
      <c r="M168" s="27"/>
      <c r="N168" s="27"/>
      <c r="O168" s="27"/>
      <c r="P168" s="27"/>
      <c r="Q168" s="27"/>
      <c r="R168" s="27"/>
      <c r="S168" s="27"/>
    </row>
    <row r="169" ht="19.5" customHeight="1">
      <c r="A169" s="27"/>
      <c r="B169" s="2" t="s">
        <v>20</v>
      </c>
      <c r="C169" s="2" t="s">
        <v>74</v>
      </c>
      <c r="D169" s="4" t="s">
        <v>109</v>
      </c>
      <c r="E169" s="2" t="s">
        <v>7300</v>
      </c>
      <c r="F169" s="4"/>
      <c r="G169" s="27"/>
      <c r="H169" s="101" t="s">
        <v>7693</v>
      </c>
      <c r="I169" s="105"/>
      <c r="J169" s="105"/>
      <c r="K169" s="27"/>
      <c r="L169" s="27"/>
      <c r="M169" s="27"/>
      <c r="N169" s="27"/>
      <c r="O169" s="27"/>
      <c r="P169" s="27"/>
      <c r="Q169" s="27"/>
      <c r="R169" s="27"/>
      <c r="S169" s="27"/>
    </row>
    <row r="170" ht="19.5" customHeight="1">
      <c r="A170" s="158"/>
      <c r="B170" s="160" t="s">
        <v>20</v>
      </c>
      <c r="C170" s="2" t="s">
        <v>7694</v>
      </c>
      <c r="D170" s="161" t="s">
        <v>109</v>
      </c>
      <c r="E170" s="162" t="s">
        <v>7300</v>
      </c>
      <c r="F170" s="163"/>
      <c r="G170" s="158"/>
      <c r="H170" s="167" t="s">
        <v>7695</v>
      </c>
      <c r="I170" s="166"/>
      <c r="J170" s="166"/>
      <c r="K170" s="27"/>
      <c r="L170" s="27"/>
      <c r="M170" s="27"/>
      <c r="N170" s="27"/>
      <c r="O170" s="27"/>
      <c r="P170" s="27"/>
      <c r="Q170" s="27"/>
      <c r="R170" s="27"/>
      <c r="S170" s="27"/>
    </row>
    <row r="171" ht="19.5" customHeight="1">
      <c r="A171" s="158"/>
      <c r="B171" s="160" t="s">
        <v>20</v>
      </c>
      <c r="C171" s="2" t="s">
        <v>7696</v>
      </c>
      <c r="D171" s="161" t="s">
        <v>109</v>
      </c>
      <c r="E171" s="162" t="s">
        <v>7300</v>
      </c>
      <c r="F171" s="163"/>
      <c r="G171" s="158"/>
      <c r="H171" s="167" t="s">
        <v>7697</v>
      </c>
      <c r="I171" s="166"/>
      <c r="J171" s="166"/>
      <c r="K171" s="27"/>
      <c r="L171" s="27"/>
      <c r="M171" s="27"/>
      <c r="N171" s="27"/>
      <c r="O171" s="27"/>
      <c r="P171" s="27"/>
      <c r="Q171" s="27"/>
      <c r="R171" s="27"/>
      <c r="S171" s="27"/>
    </row>
    <row r="172" ht="19.5" customHeight="1">
      <c r="A172" s="158"/>
      <c r="B172" s="160" t="s">
        <v>20</v>
      </c>
      <c r="C172" s="2" t="s">
        <v>7698</v>
      </c>
      <c r="D172" s="161" t="s">
        <v>109</v>
      </c>
      <c r="E172" s="162" t="s">
        <v>7300</v>
      </c>
      <c r="F172" s="188" t="s">
        <v>7699</v>
      </c>
      <c r="G172" s="158"/>
      <c r="H172" s="167" t="s">
        <v>7700</v>
      </c>
      <c r="I172" s="166"/>
      <c r="J172" s="166"/>
      <c r="K172" s="27"/>
      <c r="L172" s="27"/>
      <c r="M172" s="27"/>
      <c r="N172" s="27"/>
      <c r="O172" s="27"/>
      <c r="P172" s="27"/>
      <c r="Q172" s="27"/>
      <c r="R172" s="27"/>
      <c r="S172" s="27"/>
    </row>
    <row r="173" ht="19.5" customHeight="1">
      <c r="A173" s="4"/>
      <c r="B173" s="2" t="s">
        <v>20</v>
      </c>
      <c r="C173" s="2" t="s">
        <v>7701</v>
      </c>
      <c r="D173" s="4" t="s">
        <v>109</v>
      </c>
      <c r="E173" s="2" t="s">
        <v>7300</v>
      </c>
      <c r="F173" s="4"/>
      <c r="G173" s="4"/>
      <c r="H173" s="101" t="s">
        <v>7702</v>
      </c>
      <c r="I173" s="105"/>
      <c r="J173" s="105"/>
      <c r="K173" s="27"/>
      <c r="L173" s="27"/>
      <c r="M173" s="27"/>
      <c r="N173" s="27"/>
      <c r="O173" s="27"/>
      <c r="P173" s="27"/>
      <c r="Q173" s="27"/>
      <c r="R173" s="27"/>
      <c r="S173" s="27"/>
    </row>
    <row r="174" ht="19.5" customHeight="1">
      <c r="A174" s="4"/>
      <c r="B174" s="2" t="s">
        <v>20</v>
      </c>
      <c r="C174" s="2" t="s">
        <v>7703</v>
      </c>
      <c r="D174" s="4" t="s">
        <v>109</v>
      </c>
      <c r="E174" s="2" t="s">
        <v>7300</v>
      </c>
      <c r="F174" s="4"/>
      <c r="G174" s="27"/>
      <c r="H174" s="101" t="s">
        <v>7704</v>
      </c>
      <c r="I174" s="105"/>
      <c r="J174" s="105"/>
      <c r="K174" s="192" t="s">
        <v>7705</v>
      </c>
      <c r="L174" s="27"/>
      <c r="M174" s="27"/>
      <c r="N174" s="27"/>
      <c r="O174" s="27"/>
      <c r="P174" s="27"/>
      <c r="Q174" s="27"/>
      <c r="R174" s="27"/>
      <c r="S174" s="27"/>
    </row>
    <row r="175" ht="19.5" customHeight="1">
      <c r="A175" s="4"/>
      <c r="B175" s="2" t="s">
        <v>20</v>
      </c>
      <c r="C175" s="2" t="s">
        <v>707</v>
      </c>
      <c r="D175" s="4" t="s">
        <v>109</v>
      </c>
      <c r="E175" s="2" t="s">
        <v>7300</v>
      </c>
      <c r="F175" s="4"/>
      <c r="G175" s="4"/>
      <c r="H175" s="101" t="s">
        <v>7706</v>
      </c>
      <c r="I175" s="105"/>
      <c r="J175" s="101" t="s">
        <v>7707</v>
      </c>
      <c r="K175" s="27"/>
      <c r="L175" s="27"/>
      <c r="M175" s="27"/>
      <c r="N175" s="4" t="s">
        <v>2884</v>
      </c>
      <c r="O175" s="27"/>
      <c r="P175" s="27"/>
      <c r="Q175" s="27"/>
      <c r="R175" s="27"/>
      <c r="S175" s="27"/>
    </row>
    <row r="176" ht="19.5" customHeight="1">
      <c r="A176" s="172"/>
      <c r="B176" s="2" t="s">
        <v>7317</v>
      </c>
      <c r="C176" s="2" t="s">
        <v>7708</v>
      </c>
      <c r="D176" s="4" t="s">
        <v>109</v>
      </c>
      <c r="E176" s="2" t="s">
        <v>7300</v>
      </c>
      <c r="F176" s="4"/>
      <c r="G176" s="158"/>
      <c r="H176" s="101" t="s">
        <v>7709</v>
      </c>
      <c r="I176" s="105"/>
      <c r="J176" s="105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 ht="19.5" customHeight="1">
      <c r="A177" s="158"/>
      <c r="B177" s="2" t="s">
        <v>7710</v>
      </c>
      <c r="C177" s="2" t="s">
        <v>7711</v>
      </c>
      <c r="D177" s="4" t="s">
        <v>109</v>
      </c>
      <c r="E177" s="2" t="s">
        <v>7300</v>
      </c>
      <c r="F177" s="4" t="s">
        <v>105</v>
      </c>
      <c r="G177" s="159">
        <v>1.0</v>
      </c>
      <c r="H177" s="101" t="s">
        <v>7712</v>
      </c>
      <c r="I177" s="105"/>
      <c r="J177" s="105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 ht="19.5" customHeight="1">
      <c r="A178" s="4"/>
      <c r="B178" s="2" t="s">
        <v>20</v>
      </c>
      <c r="C178" s="2" t="s">
        <v>7484</v>
      </c>
      <c r="D178" s="4" t="s">
        <v>109</v>
      </c>
      <c r="E178" s="2" t="s">
        <v>7300</v>
      </c>
      <c r="F178" s="4" t="s">
        <v>7713</v>
      </c>
      <c r="G178" s="4"/>
      <c r="H178" s="101" t="s">
        <v>7714</v>
      </c>
      <c r="I178" s="105"/>
      <c r="J178" s="101" t="s">
        <v>7715</v>
      </c>
      <c r="K178" s="27"/>
      <c r="L178" s="27"/>
      <c r="M178" s="27"/>
      <c r="N178" s="27"/>
      <c r="O178" s="27"/>
      <c r="P178" s="27"/>
      <c r="Q178" s="27"/>
      <c r="R178" s="27"/>
      <c r="S178" s="27"/>
    </row>
    <row r="179" ht="19.5" customHeight="1">
      <c r="A179" s="4"/>
      <c r="B179" s="2" t="s">
        <v>20</v>
      </c>
      <c r="C179" s="2" t="s">
        <v>7716</v>
      </c>
      <c r="D179" s="4" t="s">
        <v>109</v>
      </c>
      <c r="E179" s="2" t="s">
        <v>7300</v>
      </c>
      <c r="F179" s="4"/>
      <c r="G179" s="27"/>
      <c r="H179" s="101" t="s">
        <v>7717</v>
      </c>
      <c r="I179" s="101" t="s">
        <v>7718</v>
      </c>
      <c r="J179" s="101" t="s">
        <v>7719</v>
      </c>
      <c r="K179" s="27"/>
      <c r="L179" s="27"/>
      <c r="M179" s="27"/>
      <c r="N179" s="27"/>
      <c r="O179" s="27"/>
      <c r="P179" s="27"/>
      <c r="Q179" s="27"/>
      <c r="R179" s="27"/>
      <c r="S179" s="27"/>
    </row>
    <row r="180" ht="19.5" customHeight="1">
      <c r="A180" s="27"/>
      <c r="B180" s="160" t="s">
        <v>20</v>
      </c>
      <c r="C180" s="2" t="s">
        <v>7720</v>
      </c>
      <c r="D180" s="161" t="s">
        <v>109</v>
      </c>
      <c r="E180" s="2" t="s">
        <v>7300</v>
      </c>
      <c r="F180" s="4"/>
      <c r="G180" s="27"/>
      <c r="H180" s="101" t="s">
        <v>7721</v>
      </c>
      <c r="I180" s="105"/>
      <c r="J180" s="105"/>
      <c r="K180" s="27"/>
      <c r="L180" s="27"/>
      <c r="M180" s="27"/>
      <c r="N180" s="27"/>
      <c r="O180" s="27"/>
      <c r="P180" s="27"/>
      <c r="Q180" s="27"/>
      <c r="R180" s="27"/>
      <c r="S180" s="27"/>
    </row>
    <row r="181" ht="19.5" customHeight="1">
      <c r="A181" s="27"/>
      <c r="B181" s="160" t="s">
        <v>20</v>
      </c>
      <c r="C181" s="2" t="s">
        <v>4517</v>
      </c>
      <c r="D181" s="161" t="s">
        <v>109</v>
      </c>
      <c r="E181" s="2" t="s">
        <v>7300</v>
      </c>
      <c r="F181" s="2" t="s">
        <v>7722</v>
      </c>
      <c r="G181" s="27"/>
      <c r="H181" s="101" t="s">
        <v>7723</v>
      </c>
      <c r="I181" s="105"/>
      <c r="J181" s="105"/>
      <c r="K181" s="27"/>
      <c r="L181" s="27"/>
      <c r="M181" s="27"/>
      <c r="N181" s="27"/>
      <c r="O181" s="27"/>
      <c r="P181" s="27"/>
      <c r="Q181" s="27"/>
      <c r="R181" s="27"/>
      <c r="S181" s="27"/>
    </row>
    <row r="182" ht="19.5" customHeight="1">
      <c r="A182" s="27"/>
      <c r="B182" s="160" t="s">
        <v>20</v>
      </c>
      <c r="C182" s="2" t="s">
        <v>55</v>
      </c>
      <c r="D182" s="161" t="s">
        <v>109</v>
      </c>
      <c r="E182" s="2" t="s">
        <v>7300</v>
      </c>
      <c r="F182" s="2" t="s">
        <v>7722</v>
      </c>
      <c r="G182" s="27"/>
      <c r="H182" s="101" t="s">
        <v>7724</v>
      </c>
      <c r="I182" s="105"/>
      <c r="J182" s="105"/>
      <c r="K182" s="27"/>
      <c r="L182" s="27"/>
      <c r="M182" s="27"/>
      <c r="N182" s="27"/>
      <c r="O182" s="27"/>
      <c r="P182" s="27"/>
      <c r="Q182" s="27"/>
      <c r="R182" s="27"/>
      <c r="S182" s="27"/>
    </row>
    <row r="183" ht="19.5" customHeight="1">
      <c r="A183" s="27"/>
      <c r="B183" s="160" t="s">
        <v>20</v>
      </c>
      <c r="C183" s="2" t="s">
        <v>7725</v>
      </c>
      <c r="D183" s="161" t="s">
        <v>109</v>
      </c>
      <c r="E183" s="2" t="s">
        <v>7300</v>
      </c>
      <c r="F183" s="2" t="s">
        <v>7722</v>
      </c>
      <c r="G183" s="27"/>
      <c r="H183" s="101" t="s">
        <v>7726</v>
      </c>
      <c r="I183" s="105"/>
      <c r="J183" s="105"/>
      <c r="K183" s="27"/>
      <c r="L183" s="27"/>
      <c r="M183" s="27"/>
      <c r="N183" s="27"/>
      <c r="O183" s="27"/>
      <c r="P183" s="27"/>
      <c r="Q183" s="27"/>
      <c r="R183" s="27"/>
      <c r="S183" s="27"/>
    </row>
    <row r="184" ht="19.5" customHeight="1">
      <c r="A184" s="27"/>
      <c r="B184" s="160" t="s">
        <v>20</v>
      </c>
      <c r="C184" s="2" t="s">
        <v>7360</v>
      </c>
      <c r="D184" s="161" t="s">
        <v>109</v>
      </c>
      <c r="E184" s="2" t="s">
        <v>7300</v>
      </c>
      <c r="F184" s="2" t="s">
        <v>7722</v>
      </c>
      <c r="G184" s="27"/>
      <c r="H184" s="101" t="s">
        <v>7727</v>
      </c>
      <c r="I184" s="105"/>
      <c r="J184" s="105"/>
      <c r="K184" s="27"/>
      <c r="L184" s="27"/>
      <c r="M184" s="27"/>
      <c r="N184" s="27"/>
      <c r="O184" s="27"/>
      <c r="P184" s="27"/>
      <c r="Q184" s="27"/>
      <c r="R184" s="27"/>
      <c r="S184" s="27"/>
    </row>
    <row r="185" ht="19.5" customHeight="1">
      <c r="A185" s="172"/>
      <c r="B185" s="2" t="s">
        <v>20</v>
      </c>
      <c r="C185" s="2" t="s">
        <v>7728</v>
      </c>
      <c r="D185" s="4" t="s">
        <v>109</v>
      </c>
      <c r="E185" s="2" t="s">
        <v>7297</v>
      </c>
      <c r="F185" s="4" t="s">
        <v>7729</v>
      </c>
      <c r="G185" s="158"/>
      <c r="H185" s="101" t="s">
        <v>7730</v>
      </c>
      <c r="I185" s="105"/>
      <c r="J185" s="101" t="s">
        <v>7731</v>
      </c>
      <c r="K185" s="158"/>
      <c r="L185" s="158"/>
      <c r="M185" s="158"/>
      <c r="N185" s="159" t="s">
        <v>7732</v>
      </c>
      <c r="O185" s="158"/>
      <c r="P185" s="158"/>
      <c r="Q185" s="158"/>
      <c r="R185" s="158"/>
      <c r="S185" s="158"/>
    </row>
    <row r="186" ht="19.5" customHeight="1">
      <c r="A186" s="4"/>
      <c r="B186" s="2" t="s">
        <v>220</v>
      </c>
      <c r="C186" s="2" t="s">
        <v>7733</v>
      </c>
      <c r="D186" s="4" t="s">
        <v>109</v>
      </c>
      <c r="E186" s="2" t="s">
        <v>7297</v>
      </c>
      <c r="F186" s="4"/>
      <c r="G186" s="27"/>
      <c r="H186" s="101" t="s">
        <v>7734</v>
      </c>
      <c r="I186" s="105"/>
      <c r="J186" s="105"/>
      <c r="K186" s="27"/>
      <c r="L186" s="27"/>
      <c r="M186" s="27"/>
      <c r="N186" s="27"/>
      <c r="O186" s="27"/>
      <c r="P186" s="27"/>
      <c r="Q186" s="27"/>
      <c r="R186" s="27"/>
      <c r="S186" s="27"/>
    </row>
    <row r="187" ht="19.5" customHeight="1">
      <c r="A187" s="27"/>
      <c r="B187" s="160" t="s">
        <v>20</v>
      </c>
      <c r="C187" s="2" t="s">
        <v>7735</v>
      </c>
      <c r="D187" s="161" t="s">
        <v>109</v>
      </c>
      <c r="E187" s="2" t="s">
        <v>7297</v>
      </c>
      <c r="F187" s="4"/>
      <c r="G187" s="27"/>
      <c r="H187" s="102" t="s">
        <v>7736</v>
      </c>
      <c r="I187" s="101" t="s">
        <v>7515</v>
      </c>
      <c r="J187" s="105"/>
      <c r="K187" s="27"/>
      <c r="L187" s="27"/>
      <c r="M187" s="27"/>
      <c r="N187" s="27"/>
      <c r="O187" s="27"/>
      <c r="P187" s="27"/>
      <c r="Q187" s="27"/>
      <c r="R187" s="27"/>
      <c r="S187" s="27"/>
    </row>
    <row r="188" ht="19.5" customHeight="1">
      <c r="A188" s="27"/>
      <c r="B188" s="160" t="s">
        <v>20</v>
      </c>
      <c r="C188" s="2" t="s">
        <v>1925</v>
      </c>
      <c r="D188" s="161" t="s">
        <v>109</v>
      </c>
      <c r="E188" s="2" t="s">
        <v>7297</v>
      </c>
      <c r="F188" s="4"/>
      <c r="G188" s="27"/>
      <c r="H188" s="101" t="s">
        <v>7737</v>
      </c>
      <c r="I188" s="105"/>
      <c r="J188" s="105"/>
      <c r="K188" s="27"/>
      <c r="L188" s="27"/>
      <c r="M188" s="27"/>
      <c r="N188" s="27"/>
      <c r="O188" s="27"/>
      <c r="P188" s="27"/>
      <c r="Q188" s="27"/>
      <c r="R188" s="27"/>
      <c r="S188" s="27"/>
    </row>
    <row r="189" ht="19.5" customHeight="1">
      <c r="A189" s="27"/>
      <c r="B189" s="160" t="s">
        <v>20</v>
      </c>
      <c r="C189" s="2" t="s">
        <v>7738</v>
      </c>
      <c r="D189" s="161" t="s">
        <v>109</v>
      </c>
      <c r="E189" s="2" t="s">
        <v>7297</v>
      </c>
      <c r="F189" s="4"/>
      <c r="G189" s="27"/>
      <c r="H189" s="101" t="s">
        <v>7739</v>
      </c>
      <c r="I189" s="105"/>
      <c r="J189" s="105"/>
      <c r="K189" s="27"/>
      <c r="L189" s="27"/>
      <c r="M189" s="27"/>
      <c r="N189" s="27"/>
      <c r="O189" s="27"/>
      <c r="P189" s="27"/>
      <c r="Q189" s="27"/>
      <c r="R189" s="27"/>
      <c r="S189" s="27"/>
    </row>
    <row r="190" ht="19.5" customHeight="1">
      <c r="A190" s="27"/>
      <c r="B190" s="160" t="s">
        <v>20</v>
      </c>
      <c r="C190" s="2" t="s">
        <v>7561</v>
      </c>
      <c r="D190" s="161" t="s">
        <v>109</v>
      </c>
      <c r="E190" s="2" t="s">
        <v>7297</v>
      </c>
      <c r="F190" s="4"/>
      <c r="G190" s="27"/>
      <c r="H190" s="101" t="s">
        <v>7740</v>
      </c>
      <c r="I190" s="105"/>
      <c r="J190" s="105"/>
      <c r="K190" s="27"/>
      <c r="L190" s="27"/>
      <c r="M190" s="27"/>
      <c r="N190" s="27"/>
      <c r="O190" s="27"/>
      <c r="P190" s="27"/>
      <c r="Q190" s="27"/>
      <c r="R190" s="27"/>
      <c r="S190" s="27"/>
    </row>
    <row r="191" ht="19.5" customHeight="1">
      <c r="A191" s="27"/>
      <c r="B191" s="160" t="s">
        <v>20</v>
      </c>
      <c r="C191" s="2" t="s">
        <v>49</v>
      </c>
      <c r="D191" s="161" t="s">
        <v>109</v>
      </c>
      <c r="E191" s="2" t="s">
        <v>7321</v>
      </c>
      <c r="F191" s="4"/>
      <c r="G191" s="27"/>
      <c r="H191" s="101" t="s">
        <v>7741</v>
      </c>
      <c r="I191" s="102" t="s">
        <v>7742</v>
      </c>
      <c r="J191" s="105"/>
      <c r="K191" s="27"/>
      <c r="L191" s="27"/>
      <c r="M191" s="27"/>
      <c r="N191" s="27"/>
      <c r="O191" s="27"/>
      <c r="P191" s="27"/>
      <c r="Q191" s="27"/>
      <c r="R191" s="27"/>
      <c r="S191" s="27"/>
    </row>
    <row r="192" ht="19.5" customHeight="1">
      <c r="B192" s="7" t="s">
        <v>20</v>
      </c>
      <c r="C192" s="7" t="s">
        <v>7743</v>
      </c>
      <c r="D192" s="8" t="s">
        <v>109</v>
      </c>
      <c r="E192" s="7" t="s">
        <v>7297</v>
      </c>
      <c r="F192" s="8"/>
      <c r="H192" s="193"/>
      <c r="I192" s="193"/>
      <c r="J192" s="106" t="s">
        <v>7744</v>
      </c>
    </row>
    <row r="193" ht="19.5" customHeight="1">
      <c r="A193" s="171">
        <v>13133.0</v>
      </c>
      <c r="B193" s="194" t="s">
        <v>7342</v>
      </c>
      <c r="C193" s="194" t="s">
        <v>7343</v>
      </c>
      <c r="D193" s="195" t="s">
        <v>109</v>
      </c>
      <c r="E193" s="195" t="s">
        <v>7321</v>
      </c>
      <c r="F193" s="194" t="s">
        <v>7344</v>
      </c>
      <c r="G193" s="172"/>
      <c r="H193" s="196"/>
      <c r="I193" s="197" t="s">
        <v>7345</v>
      </c>
      <c r="J193" s="196"/>
      <c r="K193" s="172"/>
      <c r="L193" s="172"/>
      <c r="M193" s="172"/>
      <c r="N193" s="171" t="s">
        <v>7324</v>
      </c>
    </row>
    <row r="194" ht="19.5" customHeight="1">
      <c r="A194" s="171">
        <v>31288.0</v>
      </c>
      <c r="B194" s="194" t="s">
        <v>20</v>
      </c>
      <c r="C194" s="194" t="s">
        <v>3418</v>
      </c>
      <c r="D194" s="195" t="s">
        <v>109</v>
      </c>
      <c r="E194" s="195" t="s">
        <v>7321</v>
      </c>
      <c r="F194" s="196"/>
      <c r="G194" s="172"/>
      <c r="H194" s="198" t="s">
        <v>7745</v>
      </c>
      <c r="I194" s="197" t="s">
        <v>7576</v>
      </c>
      <c r="J194" s="197" t="s">
        <v>7577</v>
      </c>
      <c r="K194" s="172"/>
      <c r="L194" s="172"/>
      <c r="M194" s="172"/>
      <c r="N194" s="171" t="s">
        <v>7396</v>
      </c>
    </row>
    <row r="195" ht="19.5" customHeight="1">
      <c r="A195" s="172"/>
      <c r="B195" s="194" t="s">
        <v>20</v>
      </c>
      <c r="C195" s="194" t="s">
        <v>7746</v>
      </c>
      <c r="D195" s="195" t="s">
        <v>109</v>
      </c>
      <c r="E195" s="195" t="s">
        <v>7321</v>
      </c>
      <c r="F195" s="194" t="s">
        <v>7747</v>
      </c>
      <c r="G195" s="171">
        <v>1.0</v>
      </c>
      <c r="H195" s="198" t="s">
        <v>7748</v>
      </c>
      <c r="I195" s="196"/>
      <c r="J195" s="196"/>
      <c r="K195" s="172"/>
      <c r="L195" s="172"/>
      <c r="M195" s="172"/>
      <c r="N195" s="171" t="s">
        <v>7396</v>
      </c>
    </row>
    <row r="196" ht="19.5" customHeight="1">
      <c r="A196" s="171">
        <v>13409.0</v>
      </c>
      <c r="B196" s="188" t="s">
        <v>7342</v>
      </c>
      <c r="C196" s="188" t="s">
        <v>7402</v>
      </c>
      <c r="D196" s="161" t="s">
        <v>109</v>
      </c>
      <c r="E196" s="161" t="s">
        <v>7321</v>
      </c>
      <c r="F196" s="163"/>
      <c r="G196" s="158"/>
      <c r="H196" s="163"/>
      <c r="I196" s="163"/>
      <c r="J196" s="199" t="s">
        <v>7403</v>
      </c>
      <c r="K196" s="158"/>
      <c r="L196" s="158"/>
      <c r="M196" s="158"/>
      <c r="N196" s="158"/>
    </row>
    <row r="197" ht="19.5" customHeight="1">
      <c r="A197" s="159">
        <v>18217.0</v>
      </c>
      <c r="B197" s="188" t="s">
        <v>7342</v>
      </c>
      <c r="C197" s="188" t="s">
        <v>7462</v>
      </c>
      <c r="D197" s="161" t="s">
        <v>109</v>
      </c>
      <c r="E197" s="161" t="s">
        <v>7297</v>
      </c>
      <c r="F197" s="188" t="s">
        <v>7463</v>
      </c>
      <c r="G197" s="158"/>
      <c r="H197" s="163"/>
      <c r="I197" s="163"/>
      <c r="J197" s="199" t="s">
        <v>7464</v>
      </c>
      <c r="K197" s="158"/>
      <c r="L197" s="158"/>
      <c r="M197" s="158"/>
      <c r="N197" s="159" t="s">
        <v>7396</v>
      </c>
    </row>
    <row r="198" ht="19.5" customHeight="1">
      <c r="A198" s="129">
        <v>13039.0</v>
      </c>
      <c r="B198" s="188" t="s">
        <v>7317</v>
      </c>
      <c r="C198" s="200" t="s">
        <v>7749</v>
      </c>
      <c r="D198" s="161" t="s">
        <v>109</v>
      </c>
      <c r="E198" s="161" t="s">
        <v>7300</v>
      </c>
      <c r="F198" s="163"/>
      <c r="G198" s="158"/>
      <c r="H198" s="163"/>
      <c r="I198" s="201" t="s">
        <v>7750</v>
      </c>
      <c r="J198" s="163"/>
      <c r="K198" s="158"/>
      <c r="L198" s="158"/>
      <c r="M198" s="158"/>
      <c r="N198" s="158"/>
    </row>
    <row r="199" ht="19.5" customHeight="1">
      <c r="A199" s="202">
        <v>13124.0</v>
      </c>
      <c r="B199" s="188" t="s">
        <v>20</v>
      </c>
      <c r="C199" s="200" t="s">
        <v>3209</v>
      </c>
      <c r="D199" s="161" t="s">
        <v>109</v>
      </c>
      <c r="E199" s="161" t="s">
        <v>7330</v>
      </c>
      <c r="F199" s="163"/>
      <c r="G199" s="158"/>
      <c r="H199" s="163"/>
      <c r="I199" s="163"/>
      <c r="J199" s="203" t="s">
        <v>7751</v>
      </c>
      <c r="K199" s="158"/>
      <c r="L199" s="158"/>
      <c r="M199" s="158"/>
      <c r="N199" s="158"/>
    </row>
    <row r="200" ht="19.5" customHeight="1">
      <c r="A200" s="129">
        <v>13304.0</v>
      </c>
      <c r="B200" s="188" t="s">
        <v>20</v>
      </c>
      <c r="C200" s="200" t="s">
        <v>7752</v>
      </c>
      <c r="D200" s="161" t="s">
        <v>109</v>
      </c>
      <c r="E200" s="161" t="s">
        <v>7330</v>
      </c>
      <c r="F200" s="163"/>
      <c r="G200" s="158"/>
      <c r="H200" s="163"/>
      <c r="I200" s="163"/>
      <c r="J200" s="203" t="s">
        <v>7753</v>
      </c>
      <c r="K200" s="158"/>
      <c r="L200" s="158"/>
      <c r="M200" s="158"/>
      <c r="N200" s="158"/>
    </row>
    <row r="201" ht="19.5" customHeight="1">
      <c r="A201" s="129">
        <v>30264.0</v>
      </c>
      <c r="B201" s="188" t="s">
        <v>20</v>
      </c>
      <c r="C201" s="204" t="s">
        <v>7555</v>
      </c>
      <c r="D201" s="161" t="s">
        <v>109</v>
      </c>
      <c r="E201" s="161" t="s">
        <v>7330</v>
      </c>
      <c r="F201" s="163"/>
      <c r="G201" s="158"/>
      <c r="H201" s="205" t="s">
        <v>7556</v>
      </c>
      <c r="I201" s="163"/>
      <c r="J201" s="203" t="s">
        <v>7754</v>
      </c>
      <c r="K201" s="158"/>
      <c r="L201" s="158"/>
      <c r="M201" s="158"/>
      <c r="N201" s="158"/>
    </row>
    <row r="202" ht="19.5" customHeight="1">
      <c r="A202" s="129">
        <v>27689.0</v>
      </c>
      <c r="B202" s="188" t="s">
        <v>20</v>
      </c>
      <c r="C202" s="188" t="s">
        <v>7755</v>
      </c>
      <c r="D202" s="161" t="s">
        <v>109</v>
      </c>
      <c r="E202" s="161" t="s">
        <v>7305</v>
      </c>
      <c r="F202" s="163"/>
      <c r="G202" s="158"/>
      <c r="H202" s="163"/>
      <c r="I202" s="163"/>
      <c r="J202" s="203" t="s">
        <v>7756</v>
      </c>
      <c r="K202" s="158"/>
      <c r="L202" s="158"/>
      <c r="M202" s="158"/>
      <c r="N202" s="158"/>
    </row>
    <row r="203" ht="19.5" customHeight="1">
      <c r="A203" s="129">
        <v>32641.0</v>
      </c>
      <c r="B203" s="188" t="s">
        <v>20</v>
      </c>
      <c r="C203" s="204" t="s">
        <v>7591</v>
      </c>
      <c r="D203" s="161" t="s">
        <v>109</v>
      </c>
      <c r="E203" s="161" t="s">
        <v>7305</v>
      </c>
      <c r="F203" s="163"/>
      <c r="G203" s="158"/>
      <c r="H203" s="163"/>
      <c r="I203" s="163"/>
      <c r="J203" s="203" t="s">
        <v>7757</v>
      </c>
      <c r="K203" s="158"/>
      <c r="L203" s="158"/>
      <c r="M203" s="158"/>
      <c r="N203" s="158"/>
    </row>
    <row r="204" ht="19.5" customHeight="1">
      <c r="A204" s="129">
        <v>23552.0</v>
      </c>
      <c r="B204" s="188" t="s">
        <v>20</v>
      </c>
      <c r="C204" s="188" t="s">
        <v>49</v>
      </c>
      <c r="D204" s="161" t="s">
        <v>109</v>
      </c>
      <c r="E204" s="161" t="s">
        <v>7522</v>
      </c>
      <c r="F204" s="163"/>
      <c r="G204" s="158"/>
      <c r="H204" s="163"/>
      <c r="I204" s="163"/>
      <c r="J204" s="203" t="s">
        <v>7758</v>
      </c>
      <c r="K204" s="158"/>
      <c r="L204" s="158"/>
      <c r="M204" s="158"/>
      <c r="N204" s="158"/>
    </row>
    <row r="205" ht="19.5" customHeight="1">
      <c r="A205" s="129">
        <v>13451.0</v>
      </c>
      <c r="B205" s="188" t="s">
        <v>20</v>
      </c>
      <c r="C205" s="204" t="s">
        <v>7422</v>
      </c>
      <c r="D205" s="161" t="s">
        <v>109</v>
      </c>
      <c r="E205" s="161" t="s">
        <v>7300</v>
      </c>
      <c r="F205" s="163"/>
      <c r="G205" s="158"/>
      <c r="H205" s="163"/>
      <c r="I205" s="163"/>
      <c r="J205" s="203" t="s">
        <v>7759</v>
      </c>
      <c r="K205" s="158"/>
      <c r="L205" s="158"/>
      <c r="M205" s="158"/>
      <c r="N205" s="158"/>
    </row>
    <row r="206" ht="19.5" customHeight="1">
      <c r="A206" s="159">
        <v>13328.0</v>
      </c>
      <c r="B206" s="188" t="s">
        <v>20</v>
      </c>
      <c r="C206" s="188" t="s">
        <v>7380</v>
      </c>
      <c r="D206" s="161" t="s">
        <v>109</v>
      </c>
      <c r="E206" s="161" t="s">
        <v>7300</v>
      </c>
      <c r="F206" s="163"/>
      <c r="G206" s="158"/>
      <c r="H206" s="163"/>
      <c r="I206" s="199" t="s">
        <v>7381</v>
      </c>
      <c r="J206" s="163"/>
      <c r="K206" s="158"/>
      <c r="L206" s="158"/>
      <c r="M206" s="158"/>
      <c r="N206" s="158"/>
    </row>
    <row r="207" ht="19.5" customHeight="1">
      <c r="A207" s="159">
        <v>26619.0</v>
      </c>
      <c r="B207" s="188" t="s">
        <v>20</v>
      </c>
      <c r="C207" s="188" t="s">
        <v>3684</v>
      </c>
      <c r="D207" s="161" t="s">
        <v>109</v>
      </c>
      <c r="E207" s="161" t="s">
        <v>7300</v>
      </c>
      <c r="F207" s="163"/>
      <c r="G207" s="158"/>
      <c r="H207" s="205" t="s">
        <v>7760</v>
      </c>
      <c r="I207" s="163"/>
      <c r="J207" s="163"/>
      <c r="K207" s="158"/>
      <c r="L207" s="158"/>
      <c r="M207" s="158"/>
      <c r="N207" s="158"/>
    </row>
    <row r="208" ht="19.5" customHeight="1">
      <c r="A208" s="129">
        <v>25515.0</v>
      </c>
      <c r="B208" s="206" t="s">
        <v>20</v>
      </c>
      <c r="C208" s="200" t="s">
        <v>7535</v>
      </c>
      <c r="D208" s="207" t="s">
        <v>109</v>
      </c>
      <c r="E208" s="200" t="s">
        <v>7362</v>
      </c>
      <c r="F208" s="208"/>
      <c r="G208" s="15"/>
      <c r="H208" s="209" t="s">
        <v>7536</v>
      </c>
      <c r="I208" s="208"/>
      <c r="J208" s="208"/>
      <c r="K208" s="15"/>
      <c r="L208" s="15"/>
      <c r="M208" s="15"/>
      <c r="N208" s="15"/>
    </row>
    <row r="209" ht="19.5" customHeight="1">
      <c r="A209" s="129">
        <v>13270.0</v>
      </c>
      <c r="B209" s="206" t="s">
        <v>20</v>
      </c>
      <c r="C209" s="200" t="s">
        <v>1445</v>
      </c>
      <c r="D209" s="207" t="s">
        <v>109</v>
      </c>
      <c r="E209" s="200" t="s">
        <v>7362</v>
      </c>
      <c r="F209" s="208"/>
      <c r="G209" s="15"/>
      <c r="H209" s="209" t="s">
        <v>7761</v>
      </c>
      <c r="I209" s="208"/>
      <c r="J209" s="208"/>
      <c r="K209" s="15"/>
      <c r="L209" s="15"/>
      <c r="M209" s="15"/>
      <c r="N209" s="15"/>
    </row>
    <row r="210" ht="19.5" customHeight="1">
      <c r="B210" s="7" t="s">
        <v>20</v>
      </c>
      <c r="C210" s="7" t="s">
        <v>7762</v>
      </c>
      <c r="D210" s="8" t="s">
        <v>109</v>
      </c>
      <c r="E210" s="7" t="s">
        <v>7763</v>
      </c>
      <c r="F210" s="8"/>
      <c r="H210" s="193"/>
      <c r="I210" s="193"/>
      <c r="J210" s="106" t="s">
        <v>7764</v>
      </c>
    </row>
    <row r="211" ht="19.5" customHeight="1">
      <c r="B211" s="7" t="s">
        <v>17</v>
      </c>
      <c r="C211" s="7" t="s">
        <v>1068</v>
      </c>
      <c r="D211" s="8" t="s">
        <v>109</v>
      </c>
      <c r="E211" s="7" t="s">
        <v>7300</v>
      </c>
      <c r="F211" s="8"/>
      <c r="H211" s="193"/>
      <c r="I211" s="193"/>
      <c r="J211" s="106" t="s">
        <v>7765</v>
      </c>
    </row>
    <row r="212" ht="19.5" customHeight="1">
      <c r="B212" s="7"/>
      <c r="C212" s="7"/>
      <c r="D212" s="8"/>
      <c r="E212" s="7"/>
      <c r="F212" s="8"/>
      <c r="H212" s="193"/>
      <c r="I212" s="193"/>
      <c r="J212" s="193"/>
    </row>
    <row r="213" ht="19.5" customHeight="1">
      <c r="B213" s="7"/>
      <c r="C213" s="7"/>
      <c r="D213" s="8"/>
      <c r="E213" s="7"/>
      <c r="F213" s="8"/>
      <c r="H213" s="193"/>
      <c r="I213" s="193"/>
      <c r="J213" s="193"/>
    </row>
    <row r="214" ht="19.5" customHeight="1">
      <c r="B214" s="7"/>
      <c r="C214" s="7"/>
      <c r="D214" s="8"/>
      <c r="E214" s="7"/>
      <c r="F214" s="8"/>
      <c r="H214" s="193"/>
      <c r="I214" s="193"/>
      <c r="J214" s="193"/>
    </row>
    <row r="215" ht="19.5" customHeight="1">
      <c r="B215" s="7"/>
      <c r="C215" s="7"/>
      <c r="D215" s="8"/>
      <c r="E215" s="7"/>
      <c r="F215" s="8"/>
      <c r="H215" s="193"/>
      <c r="I215" s="193"/>
      <c r="J215" s="193"/>
    </row>
    <row r="216" ht="19.5" customHeight="1">
      <c r="B216" s="7"/>
      <c r="C216" s="7"/>
      <c r="D216" s="8"/>
      <c r="E216" s="7"/>
      <c r="F216" s="8"/>
      <c r="H216" s="193"/>
      <c r="I216" s="193"/>
      <c r="J216" s="193"/>
    </row>
    <row r="217" ht="19.5" customHeight="1">
      <c r="B217" s="7"/>
      <c r="C217" s="7"/>
      <c r="D217" s="8"/>
      <c r="E217" s="7"/>
      <c r="F217" s="8"/>
      <c r="H217" s="193"/>
      <c r="I217" s="193"/>
      <c r="J217" s="193"/>
    </row>
    <row r="218" ht="19.5" customHeight="1">
      <c r="B218" s="7"/>
      <c r="C218" s="7"/>
      <c r="D218" s="8"/>
      <c r="E218" s="7"/>
      <c r="F218" s="8"/>
      <c r="H218" s="193"/>
      <c r="I218" s="193"/>
      <c r="J218" s="193"/>
    </row>
    <row r="219" ht="19.5" customHeight="1">
      <c r="B219" s="7"/>
      <c r="C219" s="7"/>
      <c r="D219" s="8"/>
      <c r="E219" s="7"/>
      <c r="F219" s="8"/>
      <c r="H219" s="193"/>
      <c r="I219" s="193"/>
      <c r="J219" s="193"/>
    </row>
    <row r="220" ht="19.5" customHeight="1">
      <c r="B220" s="7"/>
      <c r="C220" s="7"/>
      <c r="D220" s="8"/>
      <c r="E220" s="7"/>
      <c r="F220" s="8"/>
      <c r="H220" s="193"/>
      <c r="I220" s="193"/>
      <c r="J220" s="193"/>
    </row>
    <row r="221" ht="19.5" customHeight="1">
      <c r="B221" s="7"/>
      <c r="C221" s="7"/>
      <c r="D221" s="8"/>
      <c r="E221" s="7"/>
      <c r="F221" s="8"/>
      <c r="H221" s="193"/>
      <c r="I221" s="193"/>
      <c r="J221" s="193"/>
    </row>
    <row r="222" ht="19.5" customHeight="1">
      <c r="B222" s="7"/>
      <c r="C222" s="7"/>
      <c r="D222" s="8"/>
      <c r="E222" s="7"/>
      <c r="F222" s="8"/>
      <c r="H222" s="193"/>
      <c r="I222" s="193"/>
      <c r="J222" s="193"/>
    </row>
    <row r="223" ht="19.5" customHeight="1">
      <c r="B223" s="7"/>
      <c r="C223" s="7"/>
      <c r="D223" s="8"/>
      <c r="E223" s="7"/>
      <c r="F223" s="8"/>
      <c r="H223" s="193"/>
      <c r="I223" s="193"/>
      <c r="J223" s="193"/>
    </row>
    <row r="224" ht="19.5" customHeight="1">
      <c r="B224" s="7"/>
      <c r="C224" s="7"/>
      <c r="D224" s="8"/>
      <c r="E224" s="7"/>
      <c r="F224" s="8"/>
      <c r="H224" s="193"/>
      <c r="I224" s="193"/>
      <c r="J224" s="193"/>
    </row>
    <row r="225" ht="19.5" customHeight="1">
      <c r="B225" s="7"/>
      <c r="C225" s="7"/>
      <c r="D225" s="8"/>
      <c r="E225" s="7"/>
      <c r="F225" s="8"/>
      <c r="H225" s="193"/>
      <c r="I225" s="193"/>
      <c r="J225" s="193"/>
    </row>
    <row r="226" ht="19.5" customHeight="1">
      <c r="B226" s="7"/>
      <c r="C226" s="7"/>
      <c r="D226" s="8"/>
      <c r="E226" s="7"/>
      <c r="F226" s="8"/>
      <c r="H226" s="193"/>
      <c r="I226" s="193"/>
      <c r="J226" s="193"/>
    </row>
    <row r="227" ht="19.5" customHeight="1">
      <c r="B227" s="7"/>
      <c r="C227" s="7"/>
      <c r="D227" s="8"/>
      <c r="E227" s="7"/>
      <c r="F227" s="8"/>
      <c r="H227" s="193"/>
      <c r="I227" s="193"/>
      <c r="J227" s="193"/>
    </row>
    <row r="228" ht="19.5" customHeight="1">
      <c r="B228" s="7"/>
      <c r="C228" s="7"/>
      <c r="D228" s="8"/>
      <c r="E228" s="7"/>
      <c r="F228" s="8"/>
      <c r="H228" s="193"/>
      <c r="I228" s="193"/>
      <c r="J228" s="193"/>
    </row>
    <row r="229" ht="19.5" customHeight="1">
      <c r="B229" s="7"/>
      <c r="C229" s="7"/>
      <c r="D229" s="8"/>
      <c r="E229" s="7"/>
      <c r="F229" s="8"/>
      <c r="H229" s="193"/>
      <c r="I229" s="193"/>
      <c r="J229" s="193"/>
    </row>
    <row r="230" ht="19.5" customHeight="1">
      <c r="B230" s="7"/>
      <c r="C230" s="7"/>
      <c r="D230" s="8"/>
      <c r="E230" s="7"/>
      <c r="F230" s="8"/>
      <c r="H230" s="193"/>
      <c r="I230" s="193"/>
      <c r="J230" s="193"/>
    </row>
    <row r="231" ht="19.5" customHeight="1">
      <c r="B231" s="7"/>
      <c r="C231" s="7"/>
      <c r="D231" s="8"/>
      <c r="E231" s="7"/>
      <c r="F231" s="8"/>
      <c r="H231" s="193"/>
      <c r="I231" s="193"/>
      <c r="J231" s="193"/>
    </row>
    <row r="232" ht="19.5" customHeight="1">
      <c r="B232" s="7"/>
      <c r="C232" s="7"/>
      <c r="D232" s="8"/>
      <c r="E232" s="7"/>
      <c r="F232" s="8"/>
      <c r="H232" s="193"/>
      <c r="I232" s="193"/>
      <c r="J232" s="193"/>
    </row>
    <row r="233" ht="19.5" customHeight="1">
      <c r="B233" s="7"/>
      <c r="C233" s="7"/>
      <c r="D233" s="8"/>
      <c r="E233" s="7"/>
      <c r="F233" s="8"/>
      <c r="H233" s="193"/>
      <c r="I233" s="193"/>
      <c r="J233" s="193"/>
    </row>
    <row r="234" ht="19.5" customHeight="1">
      <c r="B234" s="7"/>
      <c r="C234" s="7"/>
      <c r="D234" s="8"/>
      <c r="E234" s="7"/>
      <c r="F234" s="8"/>
      <c r="H234" s="193"/>
      <c r="I234" s="193"/>
      <c r="J234" s="193"/>
    </row>
    <row r="235" ht="19.5" customHeight="1">
      <c r="B235" s="7"/>
      <c r="C235" s="7"/>
      <c r="D235" s="8"/>
      <c r="E235" s="7"/>
      <c r="F235" s="8"/>
      <c r="H235" s="193"/>
      <c r="I235" s="193"/>
      <c r="J235" s="193"/>
    </row>
    <row r="236" ht="19.5" customHeight="1">
      <c r="B236" s="7"/>
      <c r="C236" s="7"/>
      <c r="D236" s="8"/>
      <c r="E236" s="7"/>
      <c r="F236" s="8"/>
      <c r="H236" s="193"/>
      <c r="I236" s="193"/>
      <c r="J236" s="193"/>
    </row>
    <row r="237" ht="19.5" customHeight="1">
      <c r="B237" s="7"/>
      <c r="C237" s="7"/>
      <c r="D237" s="8"/>
      <c r="E237" s="7"/>
      <c r="F237" s="8"/>
      <c r="H237" s="193"/>
      <c r="I237" s="193"/>
      <c r="J237" s="193"/>
    </row>
    <row r="238" ht="19.5" customHeight="1">
      <c r="B238" s="7"/>
      <c r="C238" s="7"/>
      <c r="D238" s="8"/>
      <c r="E238" s="7"/>
      <c r="F238" s="8"/>
      <c r="H238" s="193"/>
      <c r="I238" s="193"/>
      <c r="J238" s="193"/>
    </row>
    <row r="239" ht="19.5" customHeight="1">
      <c r="B239" s="7"/>
      <c r="C239" s="7"/>
      <c r="D239" s="8"/>
      <c r="E239" s="7"/>
      <c r="F239" s="8"/>
      <c r="H239" s="193"/>
      <c r="I239" s="193"/>
      <c r="J239" s="193"/>
    </row>
    <row r="240" ht="19.5" customHeight="1">
      <c r="B240" s="7"/>
      <c r="C240" s="7"/>
      <c r="D240" s="8"/>
      <c r="E240" s="7"/>
      <c r="F240" s="8"/>
      <c r="H240" s="193"/>
      <c r="I240" s="193"/>
      <c r="J240" s="193"/>
    </row>
    <row r="241" ht="19.5" customHeight="1">
      <c r="B241" s="7"/>
      <c r="C241" s="7"/>
      <c r="D241" s="8"/>
      <c r="E241" s="7"/>
      <c r="F241" s="8"/>
      <c r="H241" s="193"/>
      <c r="I241" s="193"/>
      <c r="J241" s="193"/>
    </row>
    <row r="242" ht="19.5" customHeight="1">
      <c r="B242" s="7"/>
      <c r="C242" s="7"/>
      <c r="D242" s="8"/>
      <c r="E242" s="7"/>
      <c r="F242" s="8"/>
      <c r="H242" s="193"/>
      <c r="I242" s="193"/>
      <c r="J242" s="193"/>
    </row>
    <row r="243" ht="19.5" customHeight="1">
      <c r="B243" s="7"/>
      <c r="C243" s="7"/>
      <c r="D243" s="8"/>
      <c r="E243" s="7"/>
      <c r="F243" s="8"/>
      <c r="H243" s="193"/>
      <c r="I243" s="193"/>
      <c r="J243" s="193"/>
    </row>
    <row r="244" ht="19.5" customHeight="1">
      <c r="B244" s="7"/>
      <c r="C244" s="7"/>
      <c r="D244" s="8"/>
      <c r="E244" s="7"/>
      <c r="F244" s="8"/>
      <c r="H244" s="193"/>
      <c r="I244" s="193"/>
      <c r="J244" s="193"/>
    </row>
    <row r="245" ht="19.5" customHeight="1">
      <c r="B245" s="7"/>
      <c r="C245" s="7"/>
      <c r="D245" s="8"/>
      <c r="E245" s="7"/>
      <c r="F245" s="8"/>
      <c r="H245" s="193"/>
      <c r="I245" s="193"/>
      <c r="J245" s="193"/>
    </row>
    <row r="246" ht="19.5" customHeight="1">
      <c r="B246" s="7"/>
      <c r="C246" s="7"/>
      <c r="D246" s="8"/>
      <c r="E246" s="7"/>
      <c r="F246" s="8"/>
      <c r="H246" s="193"/>
      <c r="I246" s="193"/>
      <c r="J246" s="193"/>
    </row>
    <row r="247" ht="19.5" customHeight="1">
      <c r="B247" s="7"/>
      <c r="C247" s="7"/>
      <c r="D247" s="8"/>
      <c r="E247" s="7"/>
      <c r="F247" s="8"/>
      <c r="H247" s="193"/>
      <c r="I247" s="193"/>
      <c r="J247" s="193"/>
    </row>
    <row r="248" ht="19.5" customHeight="1">
      <c r="B248" s="7"/>
      <c r="C248" s="7"/>
      <c r="D248" s="8"/>
      <c r="E248" s="7"/>
      <c r="F248" s="8"/>
      <c r="H248" s="193"/>
      <c r="I248" s="193"/>
      <c r="J248" s="193"/>
    </row>
    <row r="249" ht="19.5" customHeight="1">
      <c r="B249" s="7"/>
      <c r="C249" s="7"/>
      <c r="D249" s="8"/>
      <c r="E249" s="7"/>
      <c r="F249" s="8"/>
      <c r="H249" s="193"/>
      <c r="I249" s="193"/>
      <c r="J249" s="193"/>
    </row>
    <row r="250" ht="19.5" customHeight="1">
      <c r="B250" s="7"/>
      <c r="C250" s="7"/>
      <c r="D250" s="8"/>
      <c r="E250" s="7"/>
      <c r="F250" s="8"/>
      <c r="H250" s="193"/>
      <c r="I250" s="193"/>
      <c r="J250" s="193"/>
    </row>
    <row r="251" ht="19.5" customHeight="1">
      <c r="B251" s="7"/>
      <c r="C251" s="7"/>
      <c r="D251" s="8"/>
      <c r="E251" s="7"/>
      <c r="F251" s="8"/>
      <c r="H251" s="193"/>
      <c r="I251" s="193"/>
      <c r="J251" s="193"/>
    </row>
    <row r="252" ht="19.5" customHeight="1">
      <c r="B252" s="7"/>
      <c r="C252" s="7"/>
      <c r="D252" s="8"/>
      <c r="E252" s="7"/>
      <c r="F252" s="8"/>
      <c r="H252" s="193"/>
      <c r="I252" s="193"/>
      <c r="J252" s="193"/>
    </row>
    <row r="253" ht="19.5" customHeight="1">
      <c r="B253" s="7"/>
      <c r="C253" s="7"/>
      <c r="D253" s="8"/>
      <c r="E253" s="7"/>
      <c r="F253" s="8"/>
      <c r="H253" s="193"/>
      <c r="I253" s="193"/>
      <c r="J253" s="193"/>
    </row>
    <row r="254" ht="19.5" customHeight="1">
      <c r="B254" s="7"/>
      <c r="C254" s="7"/>
      <c r="D254" s="8"/>
      <c r="E254" s="7"/>
      <c r="F254" s="8"/>
      <c r="H254" s="193"/>
      <c r="I254" s="193"/>
      <c r="J254" s="193"/>
    </row>
    <row r="255" ht="19.5" customHeight="1">
      <c r="B255" s="7"/>
      <c r="C255" s="7"/>
      <c r="D255" s="8"/>
      <c r="E255" s="7"/>
      <c r="F255" s="8"/>
      <c r="H255" s="193"/>
      <c r="I255" s="193"/>
      <c r="J255" s="193"/>
    </row>
    <row r="256" ht="19.5" customHeight="1">
      <c r="B256" s="7"/>
      <c r="C256" s="7"/>
      <c r="D256" s="8"/>
      <c r="E256" s="7"/>
      <c r="F256" s="8"/>
      <c r="H256" s="193"/>
      <c r="I256" s="193"/>
      <c r="J256" s="193"/>
    </row>
    <row r="257" ht="19.5" customHeight="1">
      <c r="B257" s="7"/>
      <c r="C257" s="7"/>
      <c r="D257" s="8"/>
      <c r="E257" s="7"/>
      <c r="F257" s="8"/>
      <c r="H257" s="193"/>
      <c r="I257" s="193"/>
      <c r="J257" s="193"/>
    </row>
    <row r="258" ht="19.5" customHeight="1">
      <c r="B258" s="7"/>
      <c r="C258" s="7"/>
      <c r="D258" s="8"/>
      <c r="E258" s="7"/>
      <c r="F258" s="8"/>
      <c r="H258" s="193"/>
      <c r="I258" s="193"/>
      <c r="J258" s="193"/>
    </row>
    <row r="259" ht="19.5" customHeight="1">
      <c r="B259" s="7"/>
      <c r="C259" s="7"/>
      <c r="D259" s="8"/>
      <c r="E259" s="7"/>
      <c r="F259" s="8"/>
      <c r="H259" s="193"/>
      <c r="I259" s="193"/>
      <c r="J259" s="193"/>
    </row>
    <row r="260" ht="19.5" customHeight="1">
      <c r="B260" s="7"/>
      <c r="C260" s="7"/>
      <c r="D260" s="8"/>
      <c r="E260" s="7"/>
      <c r="F260" s="8"/>
      <c r="H260" s="193"/>
      <c r="I260" s="193"/>
      <c r="J260" s="193"/>
    </row>
    <row r="261" ht="19.5" customHeight="1">
      <c r="B261" s="7"/>
      <c r="C261" s="7"/>
      <c r="D261" s="8"/>
      <c r="E261" s="7"/>
      <c r="F261" s="8"/>
      <c r="H261" s="193"/>
      <c r="I261" s="193"/>
      <c r="J261" s="193"/>
    </row>
    <row r="262" ht="19.5" customHeight="1">
      <c r="B262" s="7"/>
      <c r="C262" s="7"/>
      <c r="D262" s="8"/>
      <c r="E262" s="7"/>
      <c r="F262" s="8"/>
      <c r="H262" s="193"/>
      <c r="I262" s="193"/>
      <c r="J262" s="193"/>
    </row>
    <row r="263" ht="19.5" customHeight="1">
      <c r="B263" s="7"/>
      <c r="C263" s="7"/>
      <c r="D263" s="8"/>
      <c r="E263" s="7"/>
      <c r="F263" s="8"/>
      <c r="H263" s="193"/>
      <c r="I263" s="193"/>
      <c r="J263" s="193"/>
    </row>
    <row r="264" ht="19.5" customHeight="1">
      <c r="B264" s="7"/>
      <c r="C264" s="7"/>
      <c r="D264" s="8"/>
      <c r="E264" s="7"/>
      <c r="F264" s="8"/>
      <c r="H264" s="193"/>
      <c r="I264" s="193"/>
      <c r="J264" s="193"/>
    </row>
    <row r="265" ht="19.5" customHeight="1">
      <c r="B265" s="7"/>
      <c r="C265" s="7"/>
      <c r="D265" s="8"/>
      <c r="E265" s="7"/>
      <c r="F265" s="8"/>
      <c r="H265" s="193"/>
      <c r="I265" s="193"/>
      <c r="J265" s="193"/>
    </row>
    <row r="266" ht="19.5" customHeight="1">
      <c r="B266" s="7"/>
      <c r="C266" s="7"/>
      <c r="D266" s="8"/>
      <c r="E266" s="7"/>
      <c r="F266" s="8"/>
      <c r="H266" s="193"/>
      <c r="I266" s="193"/>
      <c r="J266" s="193"/>
    </row>
    <row r="267" ht="19.5" customHeight="1">
      <c r="B267" s="7"/>
      <c r="C267" s="7"/>
      <c r="D267" s="8"/>
      <c r="E267" s="7"/>
      <c r="F267" s="8"/>
      <c r="H267" s="193"/>
      <c r="I267" s="193"/>
      <c r="J267" s="193"/>
    </row>
    <row r="268" ht="19.5" customHeight="1">
      <c r="B268" s="7"/>
      <c r="C268" s="7"/>
      <c r="D268" s="8"/>
      <c r="E268" s="7"/>
      <c r="F268" s="8"/>
      <c r="H268" s="193"/>
      <c r="I268" s="193"/>
      <c r="J268" s="193"/>
    </row>
    <row r="269" ht="19.5" customHeight="1">
      <c r="B269" s="7"/>
      <c r="C269" s="7"/>
      <c r="D269" s="8"/>
      <c r="E269" s="7"/>
      <c r="F269" s="8"/>
      <c r="H269" s="193"/>
      <c r="I269" s="193"/>
      <c r="J269" s="193"/>
    </row>
    <row r="270" ht="19.5" customHeight="1">
      <c r="B270" s="7"/>
      <c r="C270" s="7"/>
      <c r="D270" s="8"/>
      <c r="E270" s="7"/>
      <c r="F270" s="8"/>
      <c r="H270" s="193"/>
      <c r="I270" s="193"/>
      <c r="J270" s="193"/>
    </row>
    <row r="271" ht="19.5" customHeight="1">
      <c r="B271" s="7"/>
      <c r="C271" s="7"/>
      <c r="D271" s="8"/>
      <c r="E271" s="7"/>
      <c r="F271" s="8"/>
      <c r="H271" s="193"/>
      <c r="I271" s="193"/>
      <c r="J271" s="193"/>
    </row>
    <row r="272" ht="19.5" customHeight="1">
      <c r="B272" s="7"/>
      <c r="C272" s="7"/>
      <c r="D272" s="8"/>
      <c r="E272" s="7"/>
      <c r="F272" s="8"/>
      <c r="H272" s="193"/>
      <c r="I272" s="193"/>
      <c r="J272" s="193"/>
    </row>
    <row r="273" ht="19.5" customHeight="1">
      <c r="B273" s="7"/>
      <c r="C273" s="7"/>
      <c r="D273" s="8"/>
      <c r="E273" s="7"/>
      <c r="F273" s="8"/>
      <c r="H273" s="193"/>
      <c r="I273" s="193"/>
      <c r="J273" s="193"/>
    </row>
    <row r="274" ht="19.5" customHeight="1">
      <c r="B274" s="7"/>
      <c r="C274" s="7"/>
      <c r="D274" s="8"/>
      <c r="E274" s="7"/>
      <c r="F274" s="8"/>
      <c r="H274" s="193"/>
      <c r="I274" s="193"/>
      <c r="J274" s="193"/>
    </row>
    <row r="275" ht="19.5" customHeight="1">
      <c r="B275" s="7"/>
      <c r="C275" s="7"/>
      <c r="D275" s="8"/>
      <c r="E275" s="7"/>
      <c r="F275" s="8"/>
      <c r="H275" s="193"/>
      <c r="I275" s="193"/>
      <c r="J275" s="193"/>
    </row>
    <row r="276" ht="19.5" customHeight="1">
      <c r="B276" s="7"/>
      <c r="C276" s="7"/>
      <c r="D276" s="8"/>
      <c r="E276" s="7"/>
      <c r="F276" s="8"/>
      <c r="H276" s="193"/>
      <c r="I276" s="193"/>
      <c r="J276" s="193"/>
    </row>
    <row r="277" ht="19.5" customHeight="1">
      <c r="B277" s="7"/>
      <c r="C277" s="7"/>
      <c r="D277" s="8"/>
      <c r="E277" s="7"/>
      <c r="F277" s="8"/>
      <c r="H277" s="193"/>
      <c r="I277" s="193"/>
      <c r="J277" s="193"/>
    </row>
    <row r="278" ht="19.5" customHeight="1">
      <c r="B278" s="7"/>
      <c r="C278" s="7"/>
      <c r="D278" s="8"/>
      <c r="E278" s="7"/>
      <c r="F278" s="8"/>
      <c r="H278" s="193"/>
      <c r="I278" s="193"/>
      <c r="J278" s="193"/>
    </row>
    <row r="279" ht="19.5" customHeight="1">
      <c r="B279" s="7"/>
      <c r="C279" s="7"/>
      <c r="D279" s="8"/>
      <c r="E279" s="7"/>
      <c r="F279" s="8"/>
      <c r="H279" s="193"/>
      <c r="I279" s="193"/>
      <c r="J279" s="193"/>
    </row>
    <row r="280" ht="19.5" customHeight="1">
      <c r="B280" s="7"/>
      <c r="C280" s="7"/>
      <c r="D280" s="8"/>
      <c r="E280" s="7"/>
      <c r="F280" s="8"/>
      <c r="H280" s="193"/>
      <c r="I280" s="193"/>
      <c r="J280" s="193"/>
    </row>
    <row r="281" ht="19.5" customHeight="1">
      <c r="B281" s="7"/>
      <c r="C281" s="7"/>
      <c r="D281" s="8"/>
      <c r="E281" s="7"/>
      <c r="F281" s="8"/>
      <c r="H281" s="193"/>
      <c r="I281" s="193"/>
      <c r="J281" s="193"/>
    </row>
    <row r="282" ht="19.5" customHeight="1">
      <c r="B282" s="7"/>
      <c r="C282" s="7"/>
      <c r="D282" s="8"/>
      <c r="E282" s="7"/>
      <c r="F282" s="8"/>
      <c r="H282" s="193"/>
      <c r="I282" s="193"/>
      <c r="J282" s="193"/>
    </row>
    <row r="283" ht="19.5" customHeight="1">
      <c r="B283" s="7"/>
      <c r="C283" s="7"/>
      <c r="D283" s="8"/>
      <c r="E283" s="7"/>
      <c r="F283" s="8"/>
      <c r="H283" s="193"/>
      <c r="I283" s="193"/>
      <c r="J283" s="193"/>
    </row>
    <row r="284" ht="19.5" customHeight="1">
      <c r="B284" s="7"/>
      <c r="C284" s="7"/>
      <c r="D284" s="8"/>
      <c r="E284" s="7"/>
      <c r="F284" s="8"/>
      <c r="H284" s="193"/>
      <c r="I284" s="193"/>
      <c r="J284" s="193"/>
    </row>
    <row r="285" ht="19.5" customHeight="1">
      <c r="B285" s="7"/>
      <c r="C285" s="7"/>
      <c r="D285" s="8"/>
      <c r="E285" s="7"/>
      <c r="F285" s="8"/>
      <c r="H285" s="193"/>
      <c r="I285" s="193"/>
      <c r="J285" s="193"/>
    </row>
    <row r="286" ht="19.5" customHeight="1">
      <c r="B286" s="7"/>
      <c r="C286" s="7"/>
      <c r="D286" s="8"/>
      <c r="E286" s="7"/>
      <c r="F286" s="8"/>
      <c r="H286" s="193"/>
      <c r="I286" s="193"/>
      <c r="J286" s="193"/>
    </row>
    <row r="287" ht="19.5" customHeight="1">
      <c r="B287" s="7"/>
      <c r="C287" s="7"/>
      <c r="D287" s="8"/>
      <c r="E287" s="7"/>
      <c r="F287" s="8"/>
      <c r="H287" s="193"/>
      <c r="I287" s="193"/>
      <c r="J287" s="193"/>
    </row>
    <row r="288" ht="19.5" customHeight="1">
      <c r="B288" s="7"/>
      <c r="C288" s="7"/>
      <c r="D288" s="8"/>
      <c r="E288" s="7"/>
      <c r="F288" s="8"/>
      <c r="H288" s="193"/>
      <c r="I288" s="193"/>
      <c r="J288" s="193"/>
    </row>
    <row r="289" ht="19.5" customHeight="1">
      <c r="B289" s="7"/>
      <c r="C289" s="7"/>
      <c r="D289" s="8"/>
      <c r="E289" s="7"/>
      <c r="F289" s="8"/>
      <c r="H289" s="193"/>
      <c r="I289" s="193"/>
      <c r="J289" s="193"/>
    </row>
    <row r="290" ht="19.5" customHeight="1">
      <c r="B290" s="7"/>
      <c r="C290" s="7"/>
      <c r="D290" s="8"/>
      <c r="E290" s="7"/>
      <c r="F290" s="8"/>
      <c r="H290" s="193"/>
      <c r="I290" s="193"/>
      <c r="J290" s="193"/>
    </row>
    <row r="291" ht="19.5" customHeight="1">
      <c r="B291" s="7"/>
      <c r="C291" s="7"/>
      <c r="D291" s="8"/>
      <c r="E291" s="7"/>
      <c r="F291" s="8"/>
      <c r="H291" s="193"/>
      <c r="I291" s="193"/>
      <c r="J291" s="193"/>
    </row>
    <row r="292" ht="19.5" customHeight="1">
      <c r="B292" s="7"/>
      <c r="C292" s="7"/>
      <c r="D292" s="8"/>
      <c r="E292" s="7"/>
      <c r="F292" s="8"/>
      <c r="H292" s="193"/>
      <c r="I292" s="193"/>
      <c r="J292" s="193"/>
    </row>
    <row r="293" ht="19.5" customHeight="1">
      <c r="B293" s="7"/>
      <c r="C293" s="7"/>
      <c r="D293" s="8"/>
      <c r="E293" s="7"/>
      <c r="F293" s="8"/>
      <c r="H293" s="193"/>
      <c r="I293" s="193"/>
      <c r="J293" s="193"/>
    </row>
    <row r="294" ht="19.5" customHeight="1">
      <c r="B294" s="7"/>
      <c r="C294" s="7"/>
      <c r="D294" s="8"/>
      <c r="E294" s="7"/>
      <c r="F294" s="8"/>
      <c r="H294" s="193"/>
      <c r="I294" s="193"/>
      <c r="J294" s="193"/>
    </row>
    <row r="295" ht="19.5" customHeight="1">
      <c r="B295" s="7"/>
      <c r="C295" s="7"/>
      <c r="D295" s="8"/>
      <c r="E295" s="7"/>
      <c r="F295" s="8"/>
      <c r="H295" s="193"/>
      <c r="I295" s="193"/>
      <c r="J295" s="193"/>
    </row>
    <row r="296" ht="19.5" customHeight="1">
      <c r="B296" s="7"/>
      <c r="C296" s="7"/>
      <c r="D296" s="8"/>
      <c r="E296" s="7"/>
      <c r="F296" s="8"/>
      <c r="H296" s="193"/>
      <c r="I296" s="193"/>
      <c r="J296" s="193"/>
    </row>
    <row r="297" ht="19.5" customHeight="1">
      <c r="B297" s="7"/>
      <c r="C297" s="7"/>
      <c r="D297" s="8"/>
      <c r="E297" s="7"/>
      <c r="F297" s="8"/>
      <c r="H297" s="193"/>
      <c r="I297" s="193"/>
      <c r="J297" s="193"/>
    </row>
    <row r="298" ht="19.5" customHeight="1">
      <c r="B298" s="7"/>
      <c r="C298" s="7"/>
      <c r="D298" s="8"/>
      <c r="E298" s="7"/>
      <c r="F298" s="8"/>
      <c r="H298" s="193"/>
      <c r="I298" s="193"/>
      <c r="J298" s="193"/>
    </row>
    <row r="299" ht="19.5" customHeight="1">
      <c r="B299" s="7"/>
      <c r="C299" s="7"/>
      <c r="D299" s="8"/>
      <c r="E299" s="7"/>
      <c r="F299" s="8"/>
      <c r="H299" s="193"/>
      <c r="I299" s="193"/>
      <c r="J299" s="193"/>
    </row>
    <row r="300" ht="19.5" customHeight="1">
      <c r="B300" s="7"/>
      <c r="C300" s="7"/>
      <c r="D300" s="8"/>
      <c r="E300" s="7"/>
      <c r="F300" s="8"/>
      <c r="H300" s="193"/>
      <c r="I300" s="193"/>
      <c r="J300" s="193"/>
    </row>
    <row r="301" ht="19.5" customHeight="1">
      <c r="B301" s="7"/>
      <c r="C301" s="7"/>
      <c r="D301" s="8"/>
      <c r="E301" s="7"/>
      <c r="F301" s="8"/>
      <c r="H301" s="193"/>
      <c r="I301" s="193"/>
      <c r="J301" s="193"/>
    </row>
    <row r="302" ht="19.5" customHeight="1">
      <c r="B302" s="7"/>
      <c r="C302" s="7"/>
      <c r="D302" s="8"/>
      <c r="E302" s="7"/>
      <c r="F302" s="8"/>
      <c r="H302" s="193"/>
      <c r="I302" s="193"/>
      <c r="J302" s="193"/>
    </row>
    <row r="303" ht="19.5" customHeight="1">
      <c r="B303" s="7"/>
      <c r="C303" s="7"/>
      <c r="D303" s="8"/>
      <c r="E303" s="7"/>
      <c r="F303" s="8"/>
      <c r="H303" s="193"/>
      <c r="I303" s="193"/>
      <c r="J303" s="193"/>
    </row>
    <row r="304" ht="19.5" customHeight="1">
      <c r="B304" s="7"/>
      <c r="C304" s="7"/>
      <c r="D304" s="8"/>
      <c r="E304" s="7"/>
      <c r="F304" s="8"/>
      <c r="H304" s="193"/>
      <c r="I304" s="193"/>
      <c r="J304" s="193"/>
    </row>
    <row r="305" ht="19.5" customHeight="1">
      <c r="B305" s="7"/>
      <c r="C305" s="7"/>
      <c r="D305" s="8"/>
      <c r="E305" s="7"/>
      <c r="F305" s="8"/>
      <c r="H305" s="193"/>
      <c r="I305" s="193"/>
      <c r="J305" s="193"/>
    </row>
    <row r="306" ht="19.5" customHeight="1">
      <c r="B306" s="7"/>
      <c r="C306" s="7"/>
      <c r="D306" s="8"/>
      <c r="E306" s="7"/>
      <c r="F306" s="8"/>
      <c r="H306" s="193"/>
      <c r="I306" s="193"/>
      <c r="J306" s="193"/>
    </row>
    <row r="307" ht="19.5" customHeight="1">
      <c r="B307" s="7"/>
      <c r="C307" s="7"/>
      <c r="D307" s="8"/>
      <c r="E307" s="7"/>
      <c r="F307" s="8"/>
      <c r="H307" s="193"/>
      <c r="I307" s="193"/>
      <c r="J307" s="193"/>
    </row>
    <row r="308" ht="19.5" customHeight="1">
      <c r="B308" s="7"/>
      <c r="C308" s="7"/>
      <c r="D308" s="8"/>
      <c r="E308" s="7"/>
      <c r="F308" s="8"/>
      <c r="H308" s="193"/>
      <c r="I308" s="193"/>
      <c r="J308" s="193"/>
    </row>
    <row r="309" ht="19.5" customHeight="1">
      <c r="B309" s="7"/>
      <c r="C309" s="7"/>
      <c r="D309" s="8"/>
      <c r="E309" s="7"/>
      <c r="F309" s="8"/>
      <c r="H309" s="193"/>
      <c r="I309" s="193"/>
      <c r="J309" s="193"/>
    </row>
    <row r="310" ht="19.5" customHeight="1">
      <c r="B310" s="7"/>
      <c r="C310" s="7"/>
      <c r="D310" s="8"/>
      <c r="E310" s="7"/>
      <c r="F310" s="8"/>
      <c r="H310" s="193"/>
      <c r="I310" s="193"/>
      <c r="J310" s="193"/>
    </row>
    <row r="311" ht="19.5" customHeight="1">
      <c r="B311" s="7"/>
      <c r="C311" s="7"/>
      <c r="D311" s="8"/>
      <c r="E311" s="7"/>
      <c r="F311" s="8"/>
      <c r="H311" s="193"/>
      <c r="I311" s="193"/>
      <c r="J311" s="193"/>
    </row>
    <row r="312" ht="19.5" customHeight="1">
      <c r="B312" s="7"/>
      <c r="C312" s="7"/>
      <c r="D312" s="8"/>
      <c r="E312" s="7"/>
      <c r="F312" s="8"/>
      <c r="H312" s="193"/>
      <c r="I312" s="193"/>
      <c r="J312" s="193"/>
    </row>
    <row r="313" ht="19.5" customHeight="1">
      <c r="B313" s="7"/>
      <c r="C313" s="7"/>
      <c r="D313" s="8"/>
      <c r="E313" s="7"/>
      <c r="F313" s="8"/>
      <c r="H313" s="193"/>
      <c r="I313" s="193"/>
      <c r="J313" s="193"/>
    </row>
    <row r="314" ht="19.5" customHeight="1">
      <c r="B314" s="7"/>
      <c r="C314" s="7"/>
      <c r="D314" s="8"/>
      <c r="E314" s="7"/>
      <c r="F314" s="8"/>
      <c r="H314" s="193"/>
      <c r="I314" s="193"/>
      <c r="J314" s="193"/>
    </row>
    <row r="315" ht="19.5" customHeight="1">
      <c r="B315" s="7"/>
      <c r="C315" s="7"/>
      <c r="D315" s="8"/>
      <c r="E315" s="7"/>
      <c r="F315" s="8"/>
      <c r="H315" s="193"/>
      <c r="I315" s="193"/>
      <c r="J315" s="193"/>
    </row>
    <row r="316" ht="19.5" customHeight="1">
      <c r="B316" s="7"/>
      <c r="C316" s="7"/>
      <c r="D316" s="8"/>
      <c r="E316" s="7"/>
      <c r="F316" s="8"/>
      <c r="H316" s="193"/>
      <c r="I316" s="193"/>
      <c r="J316" s="193"/>
    </row>
    <row r="317" ht="19.5" customHeight="1">
      <c r="B317" s="7"/>
      <c r="C317" s="7"/>
      <c r="D317" s="8"/>
      <c r="E317" s="7"/>
      <c r="F317" s="8"/>
      <c r="H317" s="193"/>
      <c r="I317" s="193"/>
      <c r="J317" s="193"/>
    </row>
    <row r="318" ht="19.5" customHeight="1">
      <c r="B318" s="7"/>
      <c r="C318" s="7"/>
      <c r="D318" s="8"/>
      <c r="E318" s="7"/>
      <c r="F318" s="8"/>
      <c r="H318" s="193"/>
      <c r="I318" s="193"/>
      <c r="J318" s="193"/>
    </row>
    <row r="319" ht="19.5" customHeight="1">
      <c r="B319" s="7"/>
      <c r="C319" s="7"/>
      <c r="D319" s="8"/>
      <c r="E319" s="7"/>
      <c r="F319" s="8"/>
      <c r="H319" s="193"/>
      <c r="I319" s="193"/>
      <c r="J319" s="193"/>
    </row>
    <row r="320" ht="19.5" customHeight="1">
      <c r="B320" s="7"/>
      <c r="C320" s="7"/>
      <c r="D320" s="8"/>
      <c r="E320" s="7"/>
      <c r="F320" s="8"/>
      <c r="H320" s="193"/>
      <c r="I320" s="193"/>
      <c r="J320" s="193"/>
    </row>
    <row r="321" ht="19.5" customHeight="1">
      <c r="B321" s="7"/>
      <c r="C321" s="7"/>
      <c r="D321" s="8"/>
      <c r="E321" s="7"/>
      <c r="F321" s="8"/>
      <c r="H321" s="193"/>
      <c r="I321" s="193"/>
      <c r="J321" s="193"/>
    </row>
    <row r="322" ht="19.5" customHeight="1">
      <c r="B322" s="7"/>
      <c r="C322" s="7"/>
      <c r="D322" s="8"/>
      <c r="E322" s="7"/>
      <c r="F322" s="8"/>
      <c r="H322" s="193"/>
      <c r="I322" s="193"/>
      <c r="J322" s="193"/>
    </row>
    <row r="323" ht="19.5" customHeight="1">
      <c r="B323" s="7"/>
      <c r="C323" s="7"/>
      <c r="D323" s="8"/>
      <c r="E323" s="7"/>
      <c r="F323" s="8"/>
      <c r="H323" s="193"/>
      <c r="I323" s="193"/>
      <c r="J323" s="193"/>
    </row>
    <row r="324" ht="19.5" customHeight="1">
      <c r="B324" s="7"/>
      <c r="C324" s="7"/>
      <c r="D324" s="8"/>
      <c r="E324" s="7"/>
      <c r="F324" s="8"/>
      <c r="H324" s="193"/>
      <c r="I324" s="193"/>
      <c r="J324" s="193"/>
    </row>
    <row r="325" ht="19.5" customHeight="1">
      <c r="B325" s="7"/>
      <c r="C325" s="7"/>
      <c r="D325" s="8"/>
      <c r="E325" s="7"/>
      <c r="F325" s="8"/>
      <c r="H325" s="193"/>
      <c r="I325" s="193"/>
      <c r="J325" s="193"/>
    </row>
    <row r="326" ht="19.5" customHeight="1">
      <c r="B326" s="7"/>
      <c r="C326" s="7"/>
      <c r="D326" s="8"/>
      <c r="E326" s="7"/>
      <c r="F326" s="8"/>
      <c r="H326" s="193"/>
      <c r="I326" s="193"/>
      <c r="J326" s="193"/>
    </row>
    <row r="327" ht="19.5" customHeight="1">
      <c r="B327" s="7"/>
      <c r="C327" s="7"/>
      <c r="D327" s="8"/>
      <c r="E327" s="7"/>
      <c r="F327" s="8"/>
      <c r="H327" s="193"/>
      <c r="I327" s="193"/>
      <c r="J327" s="193"/>
    </row>
    <row r="328" ht="19.5" customHeight="1">
      <c r="B328" s="7"/>
      <c r="C328" s="7"/>
      <c r="D328" s="8"/>
      <c r="E328" s="7"/>
      <c r="F328" s="8"/>
      <c r="H328" s="193"/>
      <c r="I328" s="193"/>
      <c r="J328" s="193"/>
    </row>
    <row r="329" ht="19.5" customHeight="1">
      <c r="B329" s="7"/>
      <c r="C329" s="7"/>
      <c r="D329" s="8"/>
      <c r="E329" s="7"/>
      <c r="F329" s="8"/>
      <c r="H329" s="193"/>
      <c r="I329" s="193"/>
      <c r="J329" s="193"/>
    </row>
    <row r="330" ht="19.5" customHeight="1">
      <c r="B330" s="7"/>
      <c r="C330" s="7"/>
      <c r="D330" s="8"/>
      <c r="E330" s="7"/>
      <c r="F330" s="8"/>
      <c r="H330" s="193"/>
      <c r="I330" s="193"/>
      <c r="J330" s="193"/>
    </row>
    <row r="331" ht="19.5" customHeight="1">
      <c r="B331" s="7"/>
      <c r="C331" s="7"/>
      <c r="D331" s="8"/>
      <c r="E331" s="7"/>
      <c r="F331" s="8"/>
      <c r="H331" s="193"/>
      <c r="I331" s="193"/>
      <c r="J331" s="193"/>
    </row>
    <row r="332" ht="19.5" customHeight="1">
      <c r="B332" s="7"/>
      <c r="C332" s="7"/>
      <c r="D332" s="8"/>
      <c r="E332" s="7"/>
      <c r="F332" s="8"/>
      <c r="H332" s="193"/>
      <c r="I332" s="193"/>
      <c r="J332" s="193"/>
    </row>
    <row r="333" ht="19.5" customHeight="1">
      <c r="B333" s="7"/>
      <c r="C333" s="7"/>
      <c r="D333" s="8"/>
      <c r="E333" s="7"/>
      <c r="F333" s="8"/>
      <c r="H333" s="193"/>
      <c r="I333" s="193"/>
      <c r="J333" s="193"/>
    </row>
    <row r="334" ht="19.5" customHeight="1">
      <c r="B334" s="7"/>
      <c r="C334" s="7"/>
      <c r="D334" s="8"/>
      <c r="E334" s="7"/>
      <c r="F334" s="8"/>
      <c r="H334" s="193"/>
      <c r="I334" s="193"/>
      <c r="J334" s="193"/>
    </row>
    <row r="335" ht="19.5" customHeight="1">
      <c r="B335" s="7"/>
      <c r="C335" s="7"/>
      <c r="D335" s="8"/>
      <c r="E335" s="7"/>
      <c r="F335" s="8"/>
      <c r="H335" s="193"/>
      <c r="I335" s="193"/>
      <c r="J335" s="193"/>
    </row>
    <row r="336" ht="19.5" customHeight="1">
      <c r="B336" s="7"/>
      <c r="C336" s="7"/>
      <c r="D336" s="8"/>
      <c r="E336" s="7"/>
      <c r="F336" s="8"/>
      <c r="H336" s="193"/>
      <c r="I336" s="193"/>
      <c r="J336" s="193"/>
    </row>
    <row r="337" ht="19.5" customHeight="1">
      <c r="B337" s="7"/>
      <c r="C337" s="7"/>
      <c r="D337" s="8"/>
      <c r="E337" s="7"/>
      <c r="F337" s="8"/>
      <c r="H337" s="193"/>
      <c r="I337" s="193"/>
      <c r="J337" s="193"/>
    </row>
    <row r="338" ht="19.5" customHeight="1">
      <c r="B338" s="7"/>
      <c r="C338" s="7"/>
      <c r="D338" s="8"/>
      <c r="E338" s="7"/>
      <c r="F338" s="8"/>
      <c r="H338" s="193"/>
      <c r="I338" s="193"/>
      <c r="J338" s="193"/>
    </row>
    <row r="339" ht="19.5" customHeight="1">
      <c r="B339" s="7"/>
      <c r="C339" s="7"/>
      <c r="D339" s="8"/>
      <c r="E339" s="7"/>
      <c r="F339" s="8"/>
      <c r="H339" s="193"/>
      <c r="I339" s="193"/>
      <c r="J339" s="193"/>
    </row>
    <row r="340" ht="19.5" customHeight="1">
      <c r="B340" s="7"/>
      <c r="C340" s="7"/>
      <c r="D340" s="8"/>
      <c r="E340" s="7"/>
      <c r="F340" s="8"/>
      <c r="H340" s="193"/>
      <c r="I340" s="193"/>
      <c r="J340" s="193"/>
    </row>
    <row r="341" ht="19.5" customHeight="1">
      <c r="B341" s="7"/>
      <c r="C341" s="7"/>
      <c r="D341" s="8"/>
      <c r="E341" s="7"/>
      <c r="F341" s="8"/>
      <c r="H341" s="193"/>
      <c r="I341" s="193"/>
      <c r="J341" s="193"/>
    </row>
    <row r="342" ht="19.5" customHeight="1">
      <c r="B342" s="7"/>
      <c r="C342" s="7"/>
      <c r="D342" s="8"/>
      <c r="E342" s="7"/>
      <c r="F342" s="8"/>
      <c r="H342" s="193"/>
      <c r="I342" s="193"/>
      <c r="J342" s="193"/>
    </row>
    <row r="343" ht="19.5" customHeight="1">
      <c r="B343" s="7"/>
      <c r="C343" s="7"/>
      <c r="D343" s="8"/>
      <c r="E343" s="7"/>
      <c r="F343" s="8"/>
      <c r="H343" s="193"/>
      <c r="I343" s="193"/>
      <c r="J343" s="193"/>
    </row>
    <row r="344" ht="19.5" customHeight="1">
      <c r="B344" s="7"/>
      <c r="C344" s="7"/>
      <c r="D344" s="8"/>
      <c r="E344" s="7"/>
      <c r="F344" s="8"/>
      <c r="H344" s="193"/>
      <c r="I344" s="193"/>
      <c r="J344" s="193"/>
    </row>
    <row r="345" ht="19.5" customHeight="1">
      <c r="B345" s="7"/>
      <c r="C345" s="7"/>
      <c r="D345" s="8"/>
      <c r="E345" s="7"/>
      <c r="F345" s="8"/>
      <c r="H345" s="193"/>
      <c r="I345" s="193"/>
      <c r="J345" s="193"/>
    </row>
    <row r="346" ht="19.5" customHeight="1">
      <c r="B346" s="7"/>
      <c r="C346" s="7"/>
      <c r="D346" s="8"/>
      <c r="E346" s="7"/>
      <c r="F346" s="8"/>
      <c r="H346" s="193"/>
      <c r="I346" s="193"/>
      <c r="J346" s="193"/>
    </row>
    <row r="347" ht="19.5" customHeight="1">
      <c r="B347" s="7"/>
      <c r="C347" s="7"/>
      <c r="D347" s="8"/>
      <c r="E347" s="7"/>
      <c r="F347" s="8"/>
      <c r="H347" s="193"/>
      <c r="I347" s="193"/>
      <c r="J347" s="193"/>
    </row>
    <row r="348" ht="19.5" customHeight="1">
      <c r="B348" s="7"/>
      <c r="C348" s="7"/>
      <c r="D348" s="8"/>
      <c r="E348" s="7"/>
      <c r="F348" s="8"/>
      <c r="H348" s="193"/>
      <c r="I348" s="193"/>
      <c r="J348" s="193"/>
    </row>
    <row r="349" ht="19.5" customHeight="1">
      <c r="B349" s="7"/>
      <c r="C349" s="7"/>
      <c r="D349" s="8"/>
      <c r="E349" s="7"/>
      <c r="F349" s="8"/>
      <c r="H349" s="193"/>
      <c r="I349" s="193"/>
      <c r="J349" s="193"/>
    </row>
    <row r="350" ht="19.5" customHeight="1">
      <c r="B350" s="7"/>
      <c r="C350" s="7"/>
      <c r="D350" s="8"/>
      <c r="E350" s="7"/>
      <c r="F350" s="8"/>
      <c r="H350" s="193"/>
      <c r="I350" s="193"/>
      <c r="J350" s="193"/>
    </row>
    <row r="351" ht="19.5" customHeight="1">
      <c r="B351" s="7"/>
      <c r="C351" s="7"/>
      <c r="D351" s="8"/>
      <c r="E351" s="7"/>
      <c r="F351" s="8"/>
      <c r="H351" s="193"/>
      <c r="I351" s="193"/>
      <c r="J351" s="193"/>
    </row>
    <row r="352" ht="19.5" customHeight="1">
      <c r="B352" s="7"/>
      <c r="C352" s="7"/>
      <c r="D352" s="8"/>
      <c r="E352" s="7"/>
      <c r="F352" s="8"/>
      <c r="H352" s="193"/>
      <c r="I352" s="193"/>
      <c r="J352" s="193"/>
    </row>
    <row r="353" ht="19.5" customHeight="1">
      <c r="B353" s="7"/>
      <c r="C353" s="7"/>
      <c r="D353" s="8"/>
      <c r="E353" s="7"/>
      <c r="F353" s="8"/>
      <c r="H353" s="193"/>
      <c r="I353" s="193"/>
      <c r="J353" s="193"/>
    </row>
    <row r="354" ht="19.5" customHeight="1">
      <c r="B354" s="7"/>
      <c r="C354" s="7"/>
      <c r="D354" s="8"/>
      <c r="E354" s="7"/>
      <c r="F354" s="8"/>
      <c r="H354" s="193"/>
      <c r="I354" s="193"/>
      <c r="J354" s="193"/>
    </row>
    <row r="355" ht="19.5" customHeight="1">
      <c r="B355" s="7"/>
      <c r="C355" s="7"/>
      <c r="D355" s="8"/>
      <c r="E355" s="7"/>
      <c r="F355" s="8"/>
      <c r="H355" s="193"/>
      <c r="I355" s="193"/>
      <c r="J355" s="193"/>
    </row>
    <row r="356" ht="19.5" customHeight="1">
      <c r="B356" s="7"/>
      <c r="C356" s="7"/>
      <c r="D356" s="8"/>
      <c r="E356" s="7"/>
      <c r="F356" s="8"/>
      <c r="H356" s="193"/>
      <c r="I356" s="193"/>
      <c r="J356" s="193"/>
    </row>
    <row r="357" ht="19.5" customHeight="1">
      <c r="B357" s="7"/>
      <c r="C357" s="7"/>
      <c r="D357" s="8"/>
      <c r="E357" s="7"/>
      <c r="F357" s="8"/>
      <c r="H357" s="193"/>
      <c r="I357" s="193"/>
      <c r="J357" s="193"/>
    </row>
    <row r="358" ht="19.5" customHeight="1">
      <c r="B358" s="7"/>
      <c r="C358" s="7"/>
      <c r="D358" s="8"/>
      <c r="E358" s="7"/>
      <c r="F358" s="8"/>
      <c r="H358" s="193"/>
      <c r="I358" s="193"/>
      <c r="J358" s="193"/>
    </row>
    <row r="359" ht="19.5" customHeight="1">
      <c r="B359" s="7"/>
      <c r="C359" s="7"/>
      <c r="D359" s="8"/>
      <c r="E359" s="7"/>
      <c r="F359" s="8"/>
      <c r="H359" s="193"/>
      <c r="I359" s="193"/>
      <c r="J359" s="193"/>
    </row>
    <row r="360" ht="19.5" customHeight="1">
      <c r="B360" s="7"/>
      <c r="C360" s="7"/>
      <c r="D360" s="8"/>
      <c r="E360" s="7"/>
      <c r="F360" s="8"/>
      <c r="H360" s="193"/>
      <c r="I360" s="193"/>
      <c r="J360" s="193"/>
    </row>
    <row r="361" ht="19.5" customHeight="1">
      <c r="B361" s="7"/>
      <c r="C361" s="7"/>
      <c r="D361" s="8"/>
      <c r="E361" s="7"/>
      <c r="F361" s="8"/>
      <c r="H361" s="193"/>
      <c r="I361" s="193"/>
      <c r="J361" s="193"/>
    </row>
    <row r="362" ht="19.5" customHeight="1">
      <c r="B362" s="7"/>
      <c r="C362" s="7"/>
      <c r="D362" s="8"/>
      <c r="E362" s="7"/>
      <c r="F362" s="8"/>
      <c r="H362" s="193"/>
      <c r="I362" s="193"/>
      <c r="J362" s="193"/>
    </row>
    <row r="363" ht="19.5" customHeight="1">
      <c r="B363" s="7"/>
      <c r="C363" s="7"/>
      <c r="D363" s="8"/>
      <c r="E363" s="7"/>
      <c r="F363" s="8"/>
      <c r="H363" s="193"/>
      <c r="I363" s="193"/>
      <c r="J363" s="193"/>
    </row>
    <row r="364" ht="19.5" customHeight="1">
      <c r="B364" s="7"/>
      <c r="C364" s="7"/>
      <c r="D364" s="8"/>
      <c r="E364" s="7"/>
      <c r="F364" s="8"/>
      <c r="H364" s="193"/>
      <c r="I364" s="193"/>
      <c r="J364" s="193"/>
    </row>
    <row r="365" ht="19.5" customHeight="1">
      <c r="B365" s="7"/>
      <c r="C365" s="7"/>
      <c r="D365" s="8"/>
      <c r="E365" s="7"/>
      <c r="F365" s="8"/>
      <c r="H365" s="193"/>
      <c r="I365" s="193"/>
      <c r="J365" s="193"/>
    </row>
    <row r="366" ht="19.5" customHeight="1">
      <c r="B366" s="7"/>
      <c r="C366" s="7"/>
      <c r="D366" s="8"/>
      <c r="E366" s="7"/>
      <c r="F366" s="8"/>
      <c r="H366" s="193"/>
      <c r="I366" s="193"/>
      <c r="J366" s="193"/>
    </row>
    <row r="367" ht="19.5" customHeight="1">
      <c r="B367" s="7"/>
      <c r="C367" s="7"/>
      <c r="D367" s="8"/>
      <c r="E367" s="7"/>
      <c r="F367" s="8"/>
      <c r="H367" s="193"/>
      <c r="I367" s="193"/>
      <c r="J367" s="193"/>
    </row>
    <row r="368" ht="19.5" customHeight="1">
      <c r="B368" s="7"/>
      <c r="C368" s="7"/>
      <c r="D368" s="8"/>
      <c r="E368" s="7"/>
      <c r="F368" s="8"/>
      <c r="H368" s="193"/>
      <c r="I368" s="193"/>
      <c r="J368" s="193"/>
    </row>
    <row r="369" ht="19.5" customHeight="1">
      <c r="B369" s="7"/>
      <c r="C369" s="7"/>
      <c r="D369" s="8"/>
      <c r="E369" s="7"/>
      <c r="F369" s="8"/>
      <c r="H369" s="193"/>
      <c r="I369" s="193"/>
      <c r="J369" s="193"/>
    </row>
    <row r="370" ht="19.5" customHeight="1">
      <c r="B370" s="7"/>
      <c r="C370" s="7"/>
      <c r="D370" s="8"/>
      <c r="E370" s="7"/>
      <c r="F370" s="8"/>
      <c r="H370" s="193"/>
      <c r="I370" s="193"/>
      <c r="J370" s="193"/>
    </row>
    <row r="371" ht="19.5" customHeight="1">
      <c r="B371" s="7"/>
      <c r="C371" s="7"/>
      <c r="D371" s="8"/>
      <c r="E371" s="7"/>
      <c r="F371" s="8"/>
      <c r="H371" s="193"/>
      <c r="I371" s="193"/>
      <c r="J371" s="193"/>
    </row>
    <row r="372" ht="19.5" customHeight="1">
      <c r="B372" s="7"/>
      <c r="C372" s="7"/>
      <c r="D372" s="8"/>
      <c r="E372" s="7"/>
      <c r="F372" s="8"/>
      <c r="H372" s="193"/>
      <c r="I372" s="193"/>
      <c r="J372" s="193"/>
    </row>
    <row r="373" ht="19.5" customHeight="1">
      <c r="B373" s="7"/>
      <c r="C373" s="7"/>
      <c r="D373" s="8"/>
      <c r="E373" s="7"/>
      <c r="F373" s="8"/>
      <c r="H373" s="193"/>
      <c r="I373" s="193"/>
      <c r="J373" s="193"/>
    </row>
    <row r="374" ht="19.5" customHeight="1">
      <c r="B374" s="7"/>
      <c r="C374" s="7"/>
      <c r="D374" s="8"/>
      <c r="E374" s="7"/>
      <c r="F374" s="8"/>
      <c r="H374" s="193"/>
      <c r="I374" s="193"/>
      <c r="J374" s="193"/>
    </row>
    <row r="375" ht="19.5" customHeight="1">
      <c r="B375" s="7"/>
      <c r="C375" s="7"/>
      <c r="D375" s="8"/>
      <c r="E375" s="7"/>
      <c r="F375" s="8"/>
      <c r="H375" s="193"/>
      <c r="I375" s="193"/>
      <c r="J375" s="193"/>
    </row>
    <row r="376" ht="19.5" customHeight="1">
      <c r="B376" s="7"/>
      <c r="C376" s="7"/>
      <c r="D376" s="8"/>
      <c r="E376" s="7"/>
      <c r="F376" s="8"/>
      <c r="H376" s="193"/>
      <c r="I376" s="193"/>
      <c r="J376" s="193"/>
    </row>
    <row r="377" ht="19.5" customHeight="1">
      <c r="B377" s="7"/>
      <c r="C377" s="7"/>
      <c r="D377" s="8"/>
      <c r="E377" s="7"/>
      <c r="F377" s="8"/>
      <c r="H377" s="193"/>
      <c r="I377" s="193"/>
      <c r="J377" s="193"/>
    </row>
    <row r="378" ht="19.5" customHeight="1">
      <c r="B378" s="7"/>
      <c r="C378" s="7"/>
      <c r="D378" s="8"/>
      <c r="E378" s="7"/>
      <c r="F378" s="8"/>
      <c r="H378" s="193"/>
      <c r="I378" s="193"/>
      <c r="J378" s="193"/>
    </row>
    <row r="379" ht="19.5" customHeight="1">
      <c r="B379" s="7"/>
      <c r="C379" s="7"/>
      <c r="D379" s="8"/>
      <c r="E379" s="7"/>
      <c r="F379" s="8"/>
      <c r="H379" s="193"/>
      <c r="I379" s="193"/>
      <c r="J379" s="193"/>
    </row>
    <row r="380" ht="19.5" customHeight="1">
      <c r="B380" s="7"/>
      <c r="C380" s="7"/>
      <c r="D380" s="8"/>
      <c r="E380" s="7"/>
      <c r="F380" s="8"/>
      <c r="H380" s="193"/>
      <c r="I380" s="193"/>
      <c r="J380" s="193"/>
    </row>
    <row r="381" ht="19.5" customHeight="1">
      <c r="B381" s="7"/>
      <c r="C381" s="7"/>
      <c r="D381" s="8"/>
      <c r="E381" s="7"/>
      <c r="F381" s="8"/>
      <c r="H381" s="193"/>
      <c r="I381" s="193"/>
      <c r="J381" s="193"/>
    </row>
    <row r="382" ht="19.5" customHeight="1">
      <c r="B382" s="7"/>
      <c r="C382" s="7"/>
      <c r="D382" s="8"/>
      <c r="E382" s="7"/>
      <c r="F382" s="8"/>
      <c r="H382" s="193"/>
      <c r="I382" s="193"/>
      <c r="J382" s="193"/>
    </row>
    <row r="383" ht="19.5" customHeight="1">
      <c r="B383" s="7"/>
      <c r="C383" s="7"/>
      <c r="D383" s="8"/>
      <c r="E383" s="7"/>
      <c r="F383" s="8"/>
      <c r="H383" s="193"/>
      <c r="I383" s="193"/>
      <c r="J383" s="193"/>
    </row>
    <row r="384" ht="19.5" customHeight="1">
      <c r="B384" s="7"/>
      <c r="C384" s="7"/>
      <c r="D384" s="8"/>
      <c r="E384" s="7"/>
      <c r="F384" s="8"/>
      <c r="H384" s="193"/>
      <c r="I384" s="193"/>
      <c r="J384" s="193"/>
    </row>
    <row r="385" ht="19.5" customHeight="1">
      <c r="B385" s="7"/>
      <c r="C385" s="7"/>
      <c r="D385" s="8"/>
      <c r="E385" s="7"/>
      <c r="F385" s="8"/>
      <c r="H385" s="193"/>
      <c r="I385" s="193"/>
      <c r="J385" s="193"/>
    </row>
    <row r="386" ht="19.5" customHeight="1">
      <c r="B386" s="7"/>
      <c r="C386" s="7"/>
      <c r="D386" s="8"/>
      <c r="E386" s="7"/>
      <c r="F386" s="8"/>
      <c r="H386" s="193"/>
      <c r="I386" s="193"/>
      <c r="J386" s="193"/>
    </row>
    <row r="387" ht="19.5" customHeight="1">
      <c r="B387" s="7"/>
      <c r="C387" s="7"/>
      <c r="D387" s="8"/>
      <c r="E387" s="7"/>
      <c r="F387" s="8"/>
      <c r="H387" s="193"/>
      <c r="I387" s="193"/>
      <c r="J387" s="193"/>
    </row>
    <row r="388" ht="19.5" customHeight="1">
      <c r="B388" s="7"/>
      <c r="C388" s="7"/>
      <c r="D388" s="8"/>
      <c r="E388" s="7"/>
      <c r="F388" s="8"/>
      <c r="H388" s="193"/>
      <c r="I388" s="193"/>
      <c r="J388" s="193"/>
    </row>
    <row r="389" ht="19.5" customHeight="1">
      <c r="B389" s="7"/>
      <c r="C389" s="7"/>
      <c r="D389" s="8"/>
      <c r="E389" s="7"/>
      <c r="F389" s="8"/>
      <c r="H389" s="193"/>
      <c r="I389" s="193"/>
      <c r="J389" s="193"/>
    </row>
    <row r="390" ht="19.5" customHeight="1">
      <c r="B390" s="7"/>
      <c r="C390" s="7"/>
      <c r="D390" s="8"/>
      <c r="E390" s="7"/>
      <c r="F390" s="8"/>
      <c r="H390" s="193"/>
      <c r="I390" s="193"/>
      <c r="J390" s="193"/>
    </row>
    <row r="391" ht="19.5" customHeight="1">
      <c r="B391" s="7"/>
      <c r="C391" s="7"/>
      <c r="D391" s="8"/>
      <c r="E391" s="7"/>
      <c r="F391" s="8"/>
      <c r="H391" s="193"/>
      <c r="I391" s="193"/>
      <c r="J391" s="193"/>
    </row>
    <row r="392" ht="19.5" customHeight="1">
      <c r="B392" s="7"/>
      <c r="C392" s="7"/>
      <c r="D392" s="8"/>
      <c r="E392" s="7"/>
      <c r="F392" s="8"/>
      <c r="H392" s="193"/>
      <c r="I392" s="193"/>
      <c r="J392" s="193"/>
    </row>
    <row r="393" ht="19.5" customHeight="1">
      <c r="B393" s="7"/>
      <c r="C393" s="7"/>
      <c r="D393" s="8"/>
      <c r="E393" s="7"/>
      <c r="F393" s="8"/>
      <c r="H393" s="193"/>
      <c r="I393" s="193"/>
      <c r="J393" s="193"/>
    </row>
    <row r="394" ht="19.5" customHeight="1">
      <c r="B394" s="7"/>
      <c r="C394" s="7"/>
      <c r="D394" s="8"/>
      <c r="E394" s="7"/>
      <c r="F394" s="8"/>
      <c r="H394" s="193"/>
      <c r="I394" s="193"/>
      <c r="J394" s="193"/>
    </row>
    <row r="395" ht="19.5" customHeight="1">
      <c r="B395" s="7"/>
      <c r="C395" s="7"/>
      <c r="D395" s="8"/>
      <c r="E395" s="7"/>
      <c r="F395" s="8"/>
      <c r="H395" s="193"/>
      <c r="I395" s="193"/>
      <c r="J395" s="193"/>
    </row>
    <row r="396" ht="19.5" customHeight="1">
      <c r="B396" s="7"/>
      <c r="C396" s="7"/>
      <c r="D396" s="8"/>
      <c r="E396" s="7"/>
      <c r="F396" s="8"/>
      <c r="H396" s="193"/>
      <c r="I396" s="193"/>
      <c r="J396" s="193"/>
    </row>
    <row r="397" ht="19.5" customHeight="1">
      <c r="B397" s="7"/>
      <c r="C397" s="7"/>
      <c r="D397" s="8"/>
      <c r="E397" s="7"/>
      <c r="F397" s="8"/>
      <c r="H397" s="193"/>
      <c r="I397" s="193"/>
      <c r="J397" s="193"/>
    </row>
    <row r="398" ht="19.5" customHeight="1">
      <c r="B398" s="7"/>
      <c r="C398" s="7"/>
      <c r="D398" s="8"/>
      <c r="E398" s="7"/>
      <c r="F398" s="8"/>
      <c r="H398" s="193"/>
      <c r="I398" s="193"/>
      <c r="J398" s="193"/>
    </row>
    <row r="399" ht="19.5" customHeight="1">
      <c r="B399" s="7"/>
      <c r="C399" s="7"/>
      <c r="D399" s="8"/>
      <c r="E399" s="7"/>
      <c r="F399" s="8"/>
      <c r="H399" s="193"/>
      <c r="I399" s="193"/>
      <c r="J399" s="193"/>
    </row>
    <row r="400" ht="19.5" customHeight="1">
      <c r="B400" s="7"/>
      <c r="C400" s="7"/>
      <c r="D400" s="8"/>
      <c r="E400" s="7"/>
      <c r="F400" s="8"/>
      <c r="H400" s="193"/>
      <c r="I400" s="193"/>
      <c r="J400" s="193"/>
    </row>
    <row r="401" ht="19.5" customHeight="1">
      <c r="B401" s="7"/>
      <c r="C401" s="7"/>
      <c r="D401" s="8"/>
      <c r="E401" s="7"/>
      <c r="F401" s="8"/>
      <c r="H401" s="193"/>
      <c r="I401" s="193"/>
      <c r="J401" s="193"/>
    </row>
    <row r="402" ht="19.5" customHeight="1">
      <c r="B402" s="7"/>
      <c r="C402" s="7"/>
      <c r="D402" s="8"/>
      <c r="E402" s="7"/>
      <c r="F402" s="8"/>
      <c r="H402" s="193"/>
      <c r="I402" s="193"/>
      <c r="J402" s="193"/>
    </row>
    <row r="403" ht="19.5" customHeight="1">
      <c r="B403" s="7"/>
      <c r="C403" s="7"/>
      <c r="D403" s="8"/>
      <c r="E403" s="7"/>
      <c r="F403" s="8"/>
      <c r="H403" s="193"/>
      <c r="I403" s="193"/>
      <c r="J403" s="193"/>
    </row>
    <row r="404" ht="19.5" customHeight="1">
      <c r="B404" s="7"/>
      <c r="C404" s="7"/>
      <c r="D404" s="8"/>
      <c r="E404" s="7"/>
      <c r="F404" s="8"/>
      <c r="H404" s="193"/>
      <c r="I404" s="193"/>
      <c r="J404" s="193"/>
    </row>
    <row r="405" ht="19.5" customHeight="1">
      <c r="B405" s="7"/>
      <c r="C405" s="7"/>
      <c r="D405" s="8"/>
      <c r="E405" s="7"/>
      <c r="F405" s="8"/>
      <c r="H405" s="193"/>
      <c r="I405" s="193"/>
      <c r="J405" s="193"/>
    </row>
    <row r="406" ht="19.5" customHeight="1">
      <c r="B406" s="7"/>
      <c r="C406" s="7"/>
      <c r="D406" s="8"/>
      <c r="E406" s="7"/>
      <c r="F406" s="8"/>
      <c r="H406" s="193"/>
      <c r="I406" s="193"/>
      <c r="J406" s="193"/>
    </row>
    <row r="407" ht="19.5" customHeight="1">
      <c r="B407" s="7"/>
      <c r="C407" s="7"/>
      <c r="D407" s="8"/>
      <c r="E407" s="7"/>
      <c r="F407" s="8"/>
      <c r="H407" s="193"/>
      <c r="I407" s="193"/>
      <c r="J407" s="193"/>
    </row>
    <row r="408" ht="19.5" customHeight="1">
      <c r="B408" s="7"/>
      <c r="C408" s="7"/>
      <c r="D408" s="8"/>
      <c r="E408" s="7"/>
      <c r="F408" s="8"/>
      <c r="H408" s="193"/>
      <c r="I408" s="193"/>
      <c r="J408" s="193"/>
    </row>
    <row r="409" ht="19.5" customHeight="1">
      <c r="B409" s="7"/>
      <c r="C409" s="7"/>
      <c r="D409" s="8"/>
      <c r="E409" s="7"/>
      <c r="F409" s="8"/>
      <c r="H409" s="193"/>
      <c r="I409" s="193"/>
      <c r="J409" s="193"/>
    </row>
    <row r="410" ht="19.5" customHeight="1">
      <c r="B410" s="7"/>
      <c r="C410" s="7"/>
      <c r="D410" s="8"/>
      <c r="E410" s="7"/>
      <c r="F410" s="8"/>
      <c r="H410" s="193"/>
      <c r="I410" s="193"/>
      <c r="J410" s="193"/>
    </row>
    <row r="411" ht="19.5" customHeight="1">
      <c r="B411" s="7"/>
      <c r="C411" s="7"/>
      <c r="D411" s="8"/>
      <c r="E411" s="7"/>
      <c r="F411" s="8"/>
      <c r="H411" s="193"/>
      <c r="I411" s="193"/>
      <c r="J411" s="193"/>
    </row>
    <row r="412" ht="19.5" customHeight="1">
      <c r="B412" s="7"/>
      <c r="C412" s="7"/>
      <c r="D412" s="8"/>
      <c r="E412" s="7"/>
      <c r="F412" s="8"/>
      <c r="H412" s="193"/>
      <c r="I412" s="193"/>
      <c r="J412" s="193"/>
    </row>
    <row r="413" ht="19.5" customHeight="1">
      <c r="B413" s="7"/>
      <c r="C413" s="7"/>
      <c r="D413" s="8"/>
      <c r="E413" s="7"/>
      <c r="F413" s="8"/>
      <c r="H413" s="193"/>
      <c r="I413" s="193"/>
      <c r="J413" s="193"/>
    </row>
    <row r="414" ht="19.5" customHeight="1">
      <c r="B414" s="7"/>
      <c r="C414" s="7"/>
      <c r="D414" s="8"/>
      <c r="E414" s="7"/>
      <c r="F414" s="8"/>
      <c r="H414" s="193"/>
      <c r="I414" s="193"/>
      <c r="J414" s="193"/>
    </row>
    <row r="415" ht="19.5" customHeight="1">
      <c r="B415" s="7"/>
      <c r="C415" s="7"/>
      <c r="D415" s="8"/>
      <c r="E415" s="7"/>
      <c r="F415" s="8"/>
      <c r="H415" s="193"/>
      <c r="I415" s="193"/>
      <c r="J415" s="193"/>
    </row>
    <row r="416" ht="19.5" customHeight="1">
      <c r="B416" s="7"/>
      <c r="C416" s="7"/>
      <c r="D416" s="8"/>
      <c r="E416" s="7"/>
      <c r="F416" s="8"/>
      <c r="H416" s="193"/>
      <c r="I416" s="193"/>
      <c r="J416" s="193"/>
    </row>
    <row r="417" ht="19.5" customHeight="1">
      <c r="B417" s="7"/>
      <c r="C417" s="7"/>
      <c r="D417" s="8"/>
      <c r="E417" s="7"/>
      <c r="F417" s="8"/>
      <c r="H417" s="193"/>
      <c r="I417" s="193"/>
      <c r="J417" s="193"/>
    </row>
    <row r="418" ht="19.5" customHeight="1">
      <c r="B418" s="7"/>
      <c r="C418" s="7"/>
      <c r="D418" s="8"/>
      <c r="E418" s="7"/>
      <c r="F418" s="8"/>
      <c r="H418" s="193"/>
      <c r="I418" s="193"/>
      <c r="J418" s="193"/>
    </row>
    <row r="419" ht="19.5" customHeight="1">
      <c r="B419" s="7"/>
      <c r="C419" s="7"/>
      <c r="D419" s="8"/>
      <c r="E419" s="7"/>
      <c r="F419" s="8"/>
      <c r="H419" s="193"/>
      <c r="I419" s="193"/>
      <c r="J419" s="193"/>
    </row>
    <row r="420" ht="19.5" customHeight="1">
      <c r="B420" s="7"/>
      <c r="C420" s="7"/>
      <c r="D420" s="8"/>
      <c r="E420" s="7"/>
      <c r="F420" s="8"/>
      <c r="H420" s="193"/>
      <c r="I420" s="193"/>
      <c r="J420" s="193"/>
    </row>
    <row r="421" ht="19.5" customHeight="1">
      <c r="B421" s="7"/>
      <c r="C421" s="7"/>
      <c r="D421" s="8"/>
      <c r="E421" s="7"/>
      <c r="F421" s="8"/>
      <c r="H421" s="193"/>
      <c r="I421" s="193"/>
      <c r="J421" s="193"/>
    </row>
    <row r="422" ht="19.5" customHeight="1">
      <c r="B422" s="7"/>
      <c r="C422" s="7"/>
      <c r="D422" s="8"/>
      <c r="E422" s="7"/>
      <c r="F422" s="8"/>
      <c r="H422" s="193"/>
      <c r="I422" s="193"/>
      <c r="J422" s="193"/>
    </row>
    <row r="423" ht="19.5" customHeight="1">
      <c r="B423" s="7"/>
      <c r="C423" s="7"/>
      <c r="D423" s="8"/>
      <c r="E423" s="7"/>
      <c r="F423" s="8"/>
      <c r="H423" s="193"/>
      <c r="I423" s="193"/>
      <c r="J423" s="193"/>
    </row>
    <row r="424" ht="19.5" customHeight="1">
      <c r="B424" s="7"/>
      <c r="C424" s="7"/>
      <c r="D424" s="8"/>
      <c r="E424" s="7"/>
      <c r="F424" s="8"/>
      <c r="H424" s="193"/>
      <c r="I424" s="193"/>
      <c r="J424" s="193"/>
    </row>
    <row r="425" ht="19.5" customHeight="1">
      <c r="B425" s="7"/>
      <c r="C425" s="7"/>
      <c r="D425" s="8"/>
      <c r="E425" s="7"/>
      <c r="F425" s="8"/>
      <c r="H425" s="193"/>
      <c r="I425" s="193"/>
      <c r="J425" s="193"/>
    </row>
    <row r="426" ht="19.5" customHeight="1">
      <c r="B426" s="7"/>
      <c r="C426" s="7"/>
      <c r="D426" s="8"/>
      <c r="E426" s="7"/>
      <c r="F426" s="8"/>
      <c r="H426" s="193"/>
      <c r="I426" s="193"/>
      <c r="J426" s="193"/>
    </row>
    <row r="427" ht="19.5" customHeight="1">
      <c r="B427" s="7"/>
      <c r="C427" s="7"/>
      <c r="D427" s="8"/>
      <c r="E427" s="7"/>
      <c r="F427" s="8"/>
      <c r="H427" s="193"/>
      <c r="I427" s="193"/>
      <c r="J427" s="193"/>
    </row>
    <row r="428" ht="19.5" customHeight="1">
      <c r="B428" s="7"/>
      <c r="C428" s="7"/>
      <c r="D428" s="8"/>
      <c r="E428" s="7"/>
      <c r="F428" s="8"/>
      <c r="H428" s="193"/>
      <c r="I428" s="193"/>
      <c r="J428" s="193"/>
    </row>
    <row r="429" ht="19.5" customHeight="1">
      <c r="B429" s="7"/>
      <c r="C429" s="7"/>
      <c r="D429" s="8"/>
      <c r="E429" s="7"/>
      <c r="F429" s="8"/>
      <c r="H429" s="193"/>
      <c r="I429" s="193"/>
      <c r="J429" s="193"/>
    </row>
    <row r="430" ht="19.5" customHeight="1">
      <c r="B430" s="7"/>
      <c r="C430" s="7"/>
      <c r="D430" s="8"/>
      <c r="E430" s="7"/>
      <c r="F430" s="8"/>
      <c r="H430" s="193"/>
      <c r="I430" s="193"/>
      <c r="J430" s="193"/>
    </row>
    <row r="431" ht="19.5" customHeight="1">
      <c r="B431" s="7"/>
      <c r="C431" s="7"/>
      <c r="D431" s="8"/>
      <c r="E431" s="7"/>
      <c r="F431" s="8"/>
      <c r="H431" s="193"/>
      <c r="I431" s="193"/>
      <c r="J431" s="193"/>
    </row>
    <row r="432" ht="19.5" customHeight="1">
      <c r="B432" s="7"/>
      <c r="C432" s="7"/>
      <c r="D432" s="8"/>
      <c r="E432" s="7"/>
      <c r="F432" s="8"/>
      <c r="H432" s="193"/>
      <c r="I432" s="193"/>
      <c r="J432" s="193"/>
    </row>
    <row r="433" ht="19.5" customHeight="1">
      <c r="B433" s="7"/>
      <c r="C433" s="7"/>
      <c r="D433" s="8"/>
      <c r="E433" s="7"/>
      <c r="F433" s="8"/>
      <c r="H433" s="193"/>
      <c r="I433" s="193"/>
      <c r="J433" s="193"/>
    </row>
    <row r="434" ht="19.5" customHeight="1">
      <c r="B434" s="7"/>
      <c r="C434" s="7"/>
      <c r="D434" s="8"/>
      <c r="E434" s="7"/>
      <c r="F434" s="8"/>
      <c r="H434" s="193"/>
      <c r="I434" s="193"/>
      <c r="J434" s="193"/>
    </row>
    <row r="435" ht="19.5" customHeight="1">
      <c r="B435" s="7"/>
      <c r="C435" s="7"/>
      <c r="D435" s="8"/>
      <c r="E435" s="7"/>
      <c r="F435" s="8"/>
      <c r="H435" s="193"/>
      <c r="I435" s="193"/>
      <c r="J435" s="193"/>
    </row>
    <row r="436" ht="19.5" customHeight="1">
      <c r="B436" s="7"/>
      <c r="C436" s="7"/>
      <c r="D436" s="8"/>
      <c r="E436" s="7"/>
      <c r="F436" s="8"/>
      <c r="H436" s="193"/>
      <c r="I436" s="193"/>
      <c r="J436" s="193"/>
    </row>
    <row r="437" ht="19.5" customHeight="1">
      <c r="B437" s="7"/>
      <c r="C437" s="7"/>
      <c r="D437" s="8"/>
      <c r="E437" s="7"/>
      <c r="F437" s="8"/>
      <c r="H437" s="193"/>
      <c r="I437" s="193"/>
      <c r="J437" s="193"/>
    </row>
    <row r="438" ht="19.5" customHeight="1">
      <c r="B438" s="7"/>
      <c r="C438" s="7"/>
      <c r="D438" s="8"/>
      <c r="E438" s="7"/>
      <c r="F438" s="8"/>
      <c r="H438" s="193"/>
      <c r="I438" s="193"/>
      <c r="J438" s="193"/>
    </row>
    <row r="439" ht="19.5" customHeight="1">
      <c r="B439" s="7"/>
      <c r="C439" s="7"/>
      <c r="D439" s="8"/>
      <c r="E439" s="7"/>
      <c r="F439" s="8"/>
      <c r="H439" s="193"/>
      <c r="I439" s="193"/>
      <c r="J439" s="193"/>
    </row>
    <row r="440" ht="19.5" customHeight="1">
      <c r="B440" s="7"/>
      <c r="C440" s="7"/>
      <c r="D440" s="8"/>
      <c r="E440" s="7"/>
      <c r="F440" s="8"/>
      <c r="H440" s="193"/>
      <c r="I440" s="193"/>
      <c r="J440" s="193"/>
    </row>
    <row r="441" ht="19.5" customHeight="1">
      <c r="B441" s="7"/>
      <c r="C441" s="7"/>
      <c r="D441" s="8"/>
      <c r="E441" s="7"/>
      <c r="F441" s="8"/>
      <c r="H441" s="193"/>
      <c r="I441" s="193"/>
      <c r="J441" s="193"/>
    </row>
    <row r="442" ht="19.5" customHeight="1">
      <c r="B442" s="7"/>
      <c r="C442" s="7"/>
      <c r="D442" s="8"/>
      <c r="E442" s="7"/>
      <c r="F442" s="8"/>
      <c r="H442" s="193"/>
      <c r="I442" s="193"/>
      <c r="J442" s="193"/>
    </row>
    <row r="443" ht="19.5" customHeight="1">
      <c r="B443" s="7"/>
      <c r="C443" s="7"/>
      <c r="D443" s="8"/>
      <c r="E443" s="7"/>
      <c r="F443" s="8"/>
      <c r="H443" s="193"/>
      <c r="I443" s="193"/>
      <c r="J443" s="193"/>
    </row>
    <row r="444" ht="19.5" customHeight="1">
      <c r="B444" s="7"/>
      <c r="C444" s="7"/>
      <c r="D444" s="8"/>
      <c r="E444" s="7"/>
      <c r="F444" s="8"/>
      <c r="H444" s="193"/>
      <c r="I444" s="193"/>
      <c r="J444" s="193"/>
    </row>
    <row r="445" ht="19.5" customHeight="1">
      <c r="B445" s="7"/>
      <c r="C445" s="7"/>
      <c r="D445" s="8"/>
      <c r="E445" s="7"/>
      <c r="F445" s="8"/>
      <c r="H445" s="193"/>
      <c r="I445" s="193"/>
      <c r="J445" s="193"/>
    </row>
    <row r="446" ht="19.5" customHeight="1">
      <c r="B446" s="7"/>
      <c r="C446" s="7"/>
      <c r="D446" s="8"/>
      <c r="E446" s="7"/>
      <c r="F446" s="8"/>
      <c r="H446" s="193"/>
      <c r="I446" s="193"/>
      <c r="J446" s="193"/>
    </row>
    <row r="447" ht="19.5" customHeight="1">
      <c r="B447" s="7"/>
      <c r="C447" s="7"/>
      <c r="D447" s="8"/>
      <c r="E447" s="7"/>
      <c r="F447" s="8"/>
      <c r="H447" s="193"/>
      <c r="I447" s="193"/>
      <c r="J447" s="193"/>
    </row>
    <row r="448" ht="19.5" customHeight="1">
      <c r="B448" s="7"/>
      <c r="C448" s="7"/>
      <c r="D448" s="8"/>
      <c r="E448" s="7"/>
      <c r="F448" s="8"/>
      <c r="H448" s="193"/>
      <c r="I448" s="193"/>
      <c r="J448" s="193"/>
    </row>
    <row r="449" ht="19.5" customHeight="1">
      <c r="B449" s="7"/>
      <c r="C449" s="7"/>
      <c r="D449" s="8"/>
      <c r="E449" s="7"/>
      <c r="F449" s="8"/>
      <c r="H449" s="193"/>
      <c r="I449" s="193"/>
      <c r="J449" s="193"/>
    </row>
    <row r="450" ht="19.5" customHeight="1">
      <c r="B450" s="7"/>
      <c r="C450" s="7"/>
      <c r="D450" s="8"/>
      <c r="E450" s="7"/>
      <c r="F450" s="8"/>
      <c r="H450" s="193"/>
      <c r="I450" s="193"/>
      <c r="J450" s="193"/>
    </row>
    <row r="451" ht="19.5" customHeight="1">
      <c r="B451" s="7"/>
      <c r="C451" s="7"/>
      <c r="D451" s="8"/>
      <c r="E451" s="7"/>
      <c r="F451" s="8"/>
      <c r="H451" s="193"/>
      <c r="I451" s="193"/>
      <c r="J451" s="193"/>
    </row>
    <row r="452" ht="19.5" customHeight="1">
      <c r="B452" s="7"/>
      <c r="C452" s="7"/>
      <c r="D452" s="8"/>
      <c r="E452" s="7"/>
      <c r="F452" s="8"/>
      <c r="H452" s="193"/>
      <c r="I452" s="193"/>
      <c r="J452" s="193"/>
    </row>
    <row r="453" ht="19.5" customHeight="1">
      <c r="B453" s="7"/>
      <c r="C453" s="7"/>
      <c r="D453" s="8"/>
      <c r="E453" s="7"/>
      <c r="F453" s="8"/>
      <c r="H453" s="193"/>
      <c r="I453" s="193"/>
      <c r="J453" s="193"/>
    </row>
    <row r="454" ht="19.5" customHeight="1">
      <c r="B454" s="7"/>
      <c r="C454" s="7"/>
      <c r="D454" s="8"/>
      <c r="E454" s="7"/>
      <c r="F454" s="8"/>
      <c r="H454" s="193"/>
      <c r="I454" s="193"/>
      <c r="J454" s="193"/>
    </row>
    <row r="455" ht="19.5" customHeight="1">
      <c r="B455" s="7"/>
      <c r="C455" s="7"/>
      <c r="D455" s="8"/>
      <c r="E455" s="7"/>
      <c r="F455" s="8"/>
      <c r="H455" s="193"/>
      <c r="I455" s="193"/>
      <c r="J455" s="193"/>
    </row>
    <row r="456" ht="19.5" customHeight="1">
      <c r="B456" s="7"/>
      <c r="C456" s="7"/>
      <c r="D456" s="8"/>
      <c r="E456" s="7"/>
      <c r="F456" s="8"/>
      <c r="H456" s="193"/>
      <c r="I456" s="193"/>
      <c r="J456" s="193"/>
    </row>
    <row r="457" ht="19.5" customHeight="1">
      <c r="B457" s="7"/>
      <c r="C457" s="7"/>
      <c r="D457" s="8"/>
      <c r="E457" s="7"/>
      <c r="F457" s="8"/>
      <c r="H457" s="193"/>
      <c r="I457" s="193"/>
      <c r="J457" s="193"/>
    </row>
    <row r="458" ht="19.5" customHeight="1">
      <c r="B458" s="7"/>
      <c r="C458" s="7"/>
      <c r="D458" s="8"/>
      <c r="E458" s="7"/>
      <c r="F458" s="8"/>
      <c r="H458" s="193"/>
      <c r="I458" s="193"/>
      <c r="J458" s="193"/>
    </row>
    <row r="459" ht="19.5" customHeight="1">
      <c r="B459" s="7"/>
      <c r="C459" s="7"/>
      <c r="D459" s="8"/>
      <c r="E459" s="7"/>
      <c r="F459" s="8"/>
      <c r="H459" s="193"/>
      <c r="I459" s="193"/>
      <c r="J459" s="193"/>
    </row>
    <row r="460" ht="19.5" customHeight="1">
      <c r="B460" s="7"/>
      <c r="C460" s="7"/>
      <c r="D460" s="8"/>
      <c r="E460" s="7"/>
      <c r="F460" s="8"/>
      <c r="H460" s="193"/>
      <c r="I460" s="193"/>
      <c r="J460" s="193"/>
    </row>
    <row r="461" ht="19.5" customHeight="1">
      <c r="B461" s="7"/>
      <c r="C461" s="7"/>
      <c r="D461" s="8"/>
      <c r="E461" s="7"/>
      <c r="F461" s="8"/>
      <c r="H461" s="193"/>
      <c r="I461" s="193"/>
      <c r="J461" s="193"/>
    </row>
    <row r="462" ht="19.5" customHeight="1">
      <c r="B462" s="7"/>
      <c r="C462" s="7"/>
      <c r="D462" s="8"/>
      <c r="E462" s="7"/>
      <c r="F462" s="8"/>
      <c r="H462" s="193"/>
      <c r="I462" s="193"/>
      <c r="J462" s="193"/>
    </row>
    <row r="463" ht="19.5" customHeight="1">
      <c r="B463" s="7"/>
      <c r="C463" s="7"/>
      <c r="D463" s="8"/>
      <c r="E463" s="7"/>
      <c r="F463" s="8"/>
      <c r="H463" s="193"/>
      <c r="I463" s="193"/>
      <c r="J463" s="193"/>
    </row>
    <row r="464" ht="19.5" customHeight="1">
      <c r="B464" s="7"/>
      <c r="C464" s="7"/>
      <c r="D464" s="8"/>
      <c r="E464" s="7"/>
      <c r="F464" s="8"/>
      <c r="H464" s="193"/>
      <c r="I464" s="193"/>
      <c r="J464" s="193"/>
    </row>
    <row r="465" ht="19.5" customHeight="1">
      <c r="B465" s="7"/>
      <c r="C465" s="7"/>
      <c r="D465" s="8"/>
      <c r="E465" s="7"/>
      <c r="F465" s="8"/>
      <c r="H465" s="193"/>
      <c r="I465" s="193"/>
      <c r="J465" s="193"/>
    </row>
    <row r="466" ht="19.5" customHeight="1">
      <c r="B466" s="7"/>
      <c r="C466" s="7"/>
      <c r="D466" s="8"/>
      <c r="E466" s="7"/>
      <c r="F466" s="8"/>
      <c r="H466" s="193"/>
      <c r="I466" s="193"/>
      <c r="J466" s="193"/>
    </row>
    <row r="467" ht="19.5" customHeight="1">
      <c r="B467" s="7"/>
      <c r="C467" s="7"/>
      <c r="D467" s="8"/>
      <c r="E467" s="7"/>
      <c r="F467" s="8"/>
      <c r="H467" s="193"/>
      <c r="I467" s="193"/>
      <c r="J467" s="193"/>
    </row>
    <row r="468" ht="19.5" customHeight="1">
      <c r="B468" s="7"/>
      <c r="C468" s="7"/>
      <c r="D468" s="8"/>
      <c r="E468" s="7"/>
      <c r="F468" s="8"/>
      <c r="H468" s="193"/>
      <c r="I468" s="193"/>
      <c r="J468" s="193"/>
    </row>
    <row r="469" ht="19.5" customHeight="1">
      <c r="B469" s="7"/>
      <c r="C469" s="7"/>
      <c r="D469" s="8"/>
      <c r="E469" s="7"/>
      <c r="F469" s="8"/>
      <c r="H469" s="193"/>
      <c r="I469" s="193"/>
      <c r="J469" s="193"/>
    </row>
    <row r="470" ht="19.5" customHeight="1">
      <c r="B470" s="7"/>
      <c r="C470" s="7"/>
      <c r="D470" s="8"/>
      <c r="E470" s="7"/>
      <c r="F470" s="8"/>
      <c r="H470" s="193"/>
      <c r="I470" s="193"/>
      <c r="J470" s="193"/>
    </row>
    <row r="471" ht="19.5" customHeight="1">
      <c r="B471" s="7"/>
      <c r="C471" s="7"/>
      <c r="D471" s="8"/>
      <c r="E471" s="7"/>
      <c r="F471" s="8"/>
      <c r="H471" s="193"/>
      <c r="I471" s="193"/>
      <c r="J471" s="193"/>
    </row>
    <row r="472" ht="19.5" customHeight="1">
      <c r="B472" s="7"/>
      <c r="C472" s="7"/>
      <c r="D472" s="8"/>
      <c r="E472" s="7"/>
      <c r="F472" s="8"/>
      <c r="H472" s="193"/>
      <c r="I472" s="193"/>
      <c r="J472" s="193"/>
    </row>
    <row r="473" ht="19.5" customHeight="1">
      <c r="B473" s="7"/>
      <c r="C473" s="7"/>
      <c r="D473" s="8"/>
      <c r="E473" s="7"/>
      <c r="F473" s="8"/>
      <c r="H473" s="193"/>
      <c r="I473" s="193"/>
      <c r="J473" s="193"/>
    </row>
    <row r="474" ht="19.5" customHeight="1">
      <c r="B474" s="7"/>
      <c r="C474" s="7"/>
      <c r="D474" s="8"/>
      <c r="E474" s="7"/>
      <c r="F474" s="8"/>
      <c r="H474" s="193"/>
      <c r="I474" s="193"/>
      <c r="J474" s="193"/>
    </row>
    <row r="475" ht="19.5" customHeight="1">
      <c r="B475" s="7"/>
      <c r="C475" s="7"/>
      <c r="D475" s="8"/>
      <c r="E475" s="7"/>
      <c r="F475" s="8"/>
      <c r="H475" s="193"/>
      <c r="I475" s="193"/>
      <c r="J475" s="193"/>
    </row>
    <row r="476" ht="19.5" customHeight="1">
      <c r="B476" s="7"/>
      <c r="C476" s="7"/>
      <c r="D476" s="8"/>
      <c r="E476" s="7"/>
      <c r="F476" s="8"/>
      <c r="H476" s="193"/>
      <c r="I476" s="193"/>
      <c r="J476" s="193"/>
    </row>
    <row r="477" ht="19.5" customHeight="1">
      <c r="B477" s="7"/>
      <c r="C477" s="7"/>
      <c r="D477" s="8"/>
      <c r="E477" s="7"/>
      <c r="F477" s="8"/>
      <c r="H477" s="193"/>
      <c r="I477" s="193"/>
      <c r="J477" s="193"/>
    </row>
    <row r="478" ht="19.5" customHeight="1">
      <c r="B478" s="7"/>
      <c r="C478" s="7"/>
      <c r="D478" s="8"/>
      <c r="E478" s="7"/>
      <c r="F478" s="8"/>
      <c r="H478" s="193"/>
      <c r="I478" s="193"/>
      <c r="J478" s="193"/>
    </row>
    <row r="479" ht="19.5" customHeight="1">
      <c r="B479" s="7"/>
      <c r="C479" s="7"/>
      <c r="D479" s="8"/>
      <c r="E479" s="7"/>
      <c r="F479" s="8"/>
      <c r="H479" s="193"/>
      <c r="I479" s="193"/>
      <c r="J479" s="193"/>
    </row>
    <row r="480" ht="19.5" customHeight="1">
      <c r="B480" s="7"/>
      <c r="C480" s="7"/>
      <c r="D480" s="8"/>
      <c r="E480" s="7"/>
      <c r="F480" s="8"/>
      <c r="H480" s="193"/>
      <c r="I480" s="193"/>
      <c r="J480" s="193"/>
    </row>
    <row r="481" ht="19.5" customHeight="1">
      <c r="B481" s="7"/>
      <c r="C481" s="7"/>
      <c r="D481" s="8"/>
      <c r="E481" s="7"/>
      <c r="F481" s="8"/>
      <c r="H481" s="193"/>
      <c r="I481" s="193"/>
      <c r="J481" s="193"/>
    </row>
    <row r="482" ht="19.5" customHeight="1">
      <c r="B482" s="7"/>
      <c r="C482" s="7"/>
      <c r="D482" s="8"/>
      <c r="E482" s="7"/>
      <c r="F482" s="8"/>
      <c r="H482" s="193"/>
      <c r="I482" s="193"/>
      <c r="J482" s="193"/>
    </row>
    <row r="483" ht="19.5" customHeight="1">
      <c r="B483" s="7"/>
      <c r="C483" s="7"/>
      <c r="D483" s="8"/>
      <c r="E483" s="7"/>
      <c r="F483" s="8"/>
      <c r="H483" s="193"/>
      <c r="I483" s="193"/>
      <c r="J483" s="193"/>
    </row>
    <row r="484" ht="19.5" customHeight="1">
      <c r="B484" s="7"/>
      <c r="C484" s="7"/>
      <c r="D484" s="8"/>
      <c r="E484" s="7"/>
      <c r="F484" s="8"/>
      <c r="H484" s="193"/>
      <c r="I484" s="193"/>
      <c r="J484" s="193"/>
    </row>
    <row r="485" ht="19.5" customHeight="1">
      <c r="B485" s="7"/>
      <c r="C485" s="7"/>
      <c r="D485" s="8"/>
      <c r="E485" s="7"/>
      <c r="F485" s="8"/>
      <c r="H485" s="193"/>
      <c r="I485" s="193"/>
      <c r="J485" s="193"/>
    </row>
    <row r="486" ht="19.5" customHeight="1">
      <c r="B486" s="7"/>
      <c r="C486" s="7"/>
      <c r="D486" s="8"/>
      <c r="E486" s="7"/>
      <c r="F486" s="8"/>
      <c r="H486" s="193"/>
      <c r="I486" s="193"/>
      <c r="J486" s="193"/>
    </row>
    <row r="487" ht="19.5" customHeight="1">
      <c r="B487" s="7"/>
      <c r="C487" s="7"/>
      <c r="D487" s="8"/>
      <c r="E487" s="7"/>
      <c r="F487" s="8"/>
      <c r="H487" s="193"/>
      <c r="I487" s="193"/>
      <c r="J487" s="193"/>
    </row>
    <row r="488" ht="19.5" customHeight="1">
      <c r="B488" s="7"/>
      <c r="C488" s="7"/>
      <c r="D488" s="8"/>
      <c r="E488" s="7"/>
      <c r="F488" s="8"/>
      <c r="H488" s="193"/>
      <c r="I488" s="193"/>
      <c r="J488" s="193"/>
    </row>
    <row r="489" ht="19.5" customHeight="1">
      <c r="B489" s="7"/>
      <c r="C489" s="7"/>
      <c r="D489" s="8"/>
      <c r="E489" s="7"/>
      <c r="F489" s="8"/>
      <c r="H489" s="193"/>
      <c r="I489" s="193"/>
      <c r="J489" s="193"/>
    </row>
    <row r="490" ht="19.5" customHeight="1">
      <c r="B490" s="7"/>
      <c r="C490" s="7"/>
      <c r="D490" s="8"/>
      <c r="E490" s="7"/>
      <c r="F490" s="8"/>
      <c r="H490" s="193"/>
      <c r="I490" s="193"/>
      <c r="J490" s="193"/>
    </row>
    <row r="491" ht="19.5" customHeight="1">
      <c r="B491" s="7"/>
      <c r="C491" s="7"/>
      <c r="D491" s="8"/>
      <c r="E491" s="7"/>
      <c r="F491" s="8"/>
      <c r="H491" s="193"/>
      <c r="I491" s="193"/>
      <c r="J491" s="193"/>
    </row>
    <row r="492" ht="19.5" customHeight="1">
      <c r="B492" s="7"/>
      <c r="C492" s="7"/>
      <c r="D492" s="8"/>
      <c r="E492" s="7"/>
      <c r="F492" s="8"/>
      <c r="H492" s="193"/>
      <c r="I492" s="193"/>
      <c r="J492" s="193"/>
    </row>
    <row r="493" ht="19.5" customHeight="1">
      <c r="B493" s="7"/>
      <c r="C493" s="7"/>
      <c r="D493" s="8"/>
      <c r="E493" s="7"/>
      <c r="F493" s="8"/>
      <c r="H493" s="193"/>
      <c r="I493" s="193"/>
      <c r="J493" s="193"/>
    </row>
    <row r="494" ht="19.5" customHeight="1">
      <c r="B494" s="7"/>
      <c r="C494" s="7"/>
      <c r="D494" s="8"/>
      <c r="E494" s="7"/>
      <c r="F494" s="8"/>
      <c r="H494" s="193"/>
      <c r="I494" s="193"/>
      <c r="J494" s="193"/>
    </row>
    <row r="495" ht="19.5" customHeight="1">
      <c r="B495" s="7"/>
      <c r="C495" s="7"/>
      <c r="D495" s="8"/>
      <c r="E495" s="7"/>
      <c r="F495" s="8"/>
      <c r="H495" s="193"/>
      <c r="I495" s="193"/>
      <c r="J495" s="193"/>
    </row>
    <row r="496" ht="19.5" customHeight="1">
      <c r="B496" s="7"/>
      <c r="C496" s="7"/>
      <c r="D496" s="8"/>
      <c r="E496" s="7"/>
      <c r="F496" s="8"/>
      <c r="H496" s="193"/>
      <c r="I496" s="193"/>
      <c r="J496" s="193"/>
    </row>
    <row r="497" ht="19.5" customHeight="1">
      <c r="B497" s="7"/>
      <c r="C497" s="7"/>
      <c r="D497" s="8"/>
      <c r="E497" s="7"/>
      <c r="F497" s="8"/>
      <c r="H497" s="193"/>
      <c r="I497" s="193"/>
      <c r="J497" s="193"/>
    </row>
    <row r="498" ht="19.5" customHeight="1">
      <c r="B498" s="7"/>
      <c r="C498" s="7"/>
      <c r="D498" s="8"/>
      <c r="E498" s="7"/>
      <c r="F498" s="8"/>
      <c r="H498" s="193"/>
      <c r="I498" s="193"/>
      <c r="J498" s="193"/>
    </row>
    <row r="499" ht="19.5" customHeight="1">
      <c r="B499" s="7"/>
      <c r="C499" s="7"/>
      <c r="D499" s="8"/>
      <c r="E499" s="7"/>
      <c r="F499" s="8"/>
      <c r="H499" s="193"/>
      <c r="I499" s="193"/>
      <c r="J499" s="193"/>
    </row>
    <row r="500" ht="19.5" customHeight="1">
      <c r="B500" s="7"/>
      <c r="C500" s="7"/>
      <c r="D500" s="8"/>
      <c r="E500" s="7"/>
      <c r="F500" s="8"/>
      <c r="H500" s="193"/>
      <c r="I500" s="193"/>
      <c r="J500" s="193"/>
    </row>
    <row r="501" ht="19.5" customHeight="1">
      <c r="B501" s="7"/>
      <c r="C501" s="7"/>
      <c r="D501" s="8"/>
      <c r="E501" s="7"/>
      <c r="F501" s="8"/>
      <c r="H501" s="193"/>
      <c r="I501" s="193"/>
      <c r="J501" s="193"/>
    </row>
    <row r="502" ht="19.5" customHeight="1">
      <c r="B502" s="7"/>
      <c r="C502" s="7"/>
      <c r="D502" s="8"/>
      <c r="E502" s="7"/>
      <c r="F502" s="8"/>
      <c r="H502" s="193"/>
      <c r="I502" s="193"/>
      <c r="J502" s="193"/>
    </row>
    <row r="503" ht="19.5" customHeight="1">
      <c r="B503" s="7"/>
      <c r="C503" s="7"/>
      <c r="D503" s="8"/>
      <c r="E503" s="7"/>
      <c r="F503" s="8"/>
      <c r="H503" s="193"/>
      <c r="I503" s="193"/>
      <c r="J503" s="193"/>
    </row>
    <row r="504" ht="19.5" customHeight="1">
      <c r="B504" s="7"/>
      <c r="C504" s="7"/>
      <c r="D504" s="8"/>
      <c r="E504" s="7"/>
      <c r="F504" s="8"/>
      <c r="H504" s="193"/>
      <c r="I504" s="193"/>
      <c r="J504" s="193"/>
    </row>
    <row r="505" ht="19.5" customHeight="1">
      <c r="B505" s="7"/>
      <c r="C505" s="7"/>
      <c r="D505" s="8"/>
      <c r="E505" s="7"/>
      <c r="F505" s="8"/>
      <c r="H505" s="193"/>
      <c r="I505" s="193"/>
      <c r="J505" s="193"/>
    </row>
    <row r="506" ht="19.5" customHeight="1">
      <c r="B506" s="7"/>
      <c r="C506" s="7"/>
      <c r="D506" s="8"/>
      <c r="E506" s="7"/>
      <c r="F506" s="8"/>
      <c r="H506" s="193"/>
      <c r="I506" s="193"/>
      <c r="J506" s="193"/>
    </row>
    <row r="507" ht="19.5" customHeight="1">
      <c r="B507" s="7"/>
      <c r="C507" s="7"/>
      <c r="D507" s="8"/>
      <c r="E507" s="7"/>
      <c r="F507" s="8"/>
      <c r="H507" s="193"/>
      <c r="I507" s="193"/>
      <c r="J507" s="193"/>
    </row>
    <row r="508" ht="19.5" customHeight="1">
      <c r="B508" s="7"/>
      <c r="C508" s="7"/>
      <c r="D508" s="8"/>
      <c r="E508" s="7"/>
      <c r="F508" s="8"/>
      <c r="H508" s="193"/>
      <c r="I508" s="193"/>
      <c r="J508" s="193"/>
    </row>
    <row r="509" ht="19.5" customHeight="1">
      <c r="B509" s="7"/>
      <c r="C509" s="7"/>
      <c r="D509" s="8"/>
      <c r="E509" s="7"/>
      <c r="F509" s="8"/>
      <c r="H509" s="193"/>
      <c r="I509" s="193"/>
      <c r="J509" s="193"/>
    </row>
    <row r="510" ht="19.5" customHeight="1">
      <c r="B510" s="7"/>
      <c r="C510" s="7"/>
      <c r="D510" s="8"/>
      <c r="E510" s="7"/>
      <c r="F510" s="8"/>
      <c r="H510" s="193"/>
      <c r="I510" s="193"/>
      <c r="J510" s="193"/>
    </row>
    <row r="511" ht="19.5" customHeight="1">
      <c r="B511" s="7"/>
      <c r="C511" s="7"/>
      <c r="D511" s="8"/>
      <c r="E511" s="7"/>
      <c r="F511" s="8"/>
      <c r="H511" s="193"/>
      <c r="I511" s="193"/>
      <c r="J511" s="193"/>
    </row>
    <row r="512" ht="19.5" customHeight="1">
      <c r="B512" s="7"/>
      <c r="C512" s="7"/>
      <c r="D512" s="8"/>
      <c r="E512" s="7"/>
      <c r="F512" s="8"/>
      <c r="H512" s="193"/>
      <c r="I512" s="193"/>
      <c r="J512" s="193"/>
    </row>
    <row r="513" ht="19.5" customHeight="1">
      <c r="B513" s="7"/>
      <c r="C513" s="7"/>
      <c r="D513" s="8"/>
      <c r="E513" s="7"/>
      <c r="F513" s="8"/>
      <c r="H513" s="193"/>
      <c r="I513" s="193"/>
      <c r="J513" s="193"/>
    </row>
    <row r="514" ht="19.5" customHeight="1">
      <c r="B514" s="7"/>
      <c r="C514" s="7"/>
      <c r="D514" s="8"/>
      <c r="E514" s="7"/>
      <c r="F514" s="8"/>
      <c r="H514" s="193"/>
      <c r="I514" s="193"/>
      <c r="J514" s="193"/>
    </row>
    <row r="515" ht="19.5" customHeight="1">
      <c r="B515" s="7"/>
      <c r="C515" s="7"/>
      <c r="D515" s="8"/>
      <c r="E515" s="7"/>
      <c r="F515" s="8"/>
      <c r="H515" s="193"/>
      <c r="I515" s="193"/>
      <c r="J515" s="193"/>
    </row>
    <row r="516" ht="19.5" customHeight="1">
      <c r="B516" s="7"/>
      <c r="C516" s="7"/>
      <c r="D516" s="8"/>
      <c r="E516" s="7"/>
      <c r="F516" s="8"/>
      <c r="H516" s="193"/>
      <c r="I516" s="193"/>
      <c r="J516" s="193"/>
    </row>
    <row r="517" ht="19.5" customHeight="1">
      <c r="B517" s="7"/>
      <c r="C517" s="7"/>
      <c r="D517" s="8"/>
      <c r="E517" s="7"/>
      <c r="F517" s="8"/>
      <c r="H517" s="193"/>
      <c r="I517" s="193"/>
      <c r="J517" s="193"/>
    </row>
    <row r="518" ht="19.5" customHeight="1">
      <c r="B518" s="7"/>
      <c r="C518" s="7"/>
      <c r="D518" s="8"/>
      <c r="E518" s="7"/>
      <c r="F518" s="8"/>
      <c r="H518" s="193"/>
      <c r="I518" s="193"/>
      <c r="J518" s="193"/>
    </row>
    <row r="519" ht="19.5" customHeight="1">
      <c r="B519" s="7"/>
      <c r="C519" s="7"/>
      <c r="D519" s="8"/>
      <c r="E519" s="7"/>
      <c r="F519" s="8"/>
      <c r="H519" s="193"/>
      <c r="I519" s="193"/>
      <c r="J519" s="193"/>
    </row>
    <row r="520" ht="19.5" customHeight="1">
      <c r="B520" s="7"/>
      <c r="C520" s="7"/>
      <c r="D520" s="8"/>
      <c r="E520" s="7"/>
      <c r="F520" s="8"/>
      <c r="H520" s="193"/>
      <c r="I520" s="193"/>
      <c r="J520" s="193"/>
    </row>
    <row r="521" ht="19.5" customHeight="1">
      <c r="B521" s="7"/>
      <c r="C521" s="7"/>
      <c r="D521" s="8"/>
      <c r="E521" s="7"/>
      <c r="F521" s="8"/>
      <c r="H521" s="193"/>
      <c r="I521" s="193"/>
      <c r="J521" s="193"/>
    </row>
    <row r="522" ht="19.5" customHeight="1">
      <c r="B522" s="7"/>
      <c r="C522" s="7"/>
      <c r="D522" s="8"/>
      <c r="E522" s="7"/>
      <c r="F522" s="8"/>
      <c r="H522" s="193"/>
      <c r="I522" s="193"/>
      <c r="J522" s="193"/>
    </row>
    <row r="523" ht="19.5" customHeight="1">
      <c r="B523" s="7"/>
      <c r="C523" s="7"/>
      <c r="D523" s="8"/>
      <c r="E523" s="7"/>
      <c r="F523" s="8"/>
      <c r="H523" s="193"/>
      <c r="I523" s="193"/>
      <c r="J523" s="193"/>
    </row>
    <row r="524" ht="19.5" customHeight="1">
      <c r="B524" s="7"/>
      <c r="C524" s="7"/>
      <c r="D524" s="8"/>
      <c r="E524" s="7"/>
      <c r="F524" s="8"/>
      <c r="H524" s="193"/>
      <c r="I524" s="193"/>
      <c r="J524" s="193"/>
    </row>
    <row r="525" ht="19.5" customHeight="1">
      <c r="B525" s="7"/>
      <c r="C525" s="7"/>
      <c r="D525" s="8"/>
      <c r="E525" s="7"/>
      <c r="F525" s="8"/>
      <c r="H525" s="193"/>
      <c r="I525" s="193"/>
      <c r="J525" s="193"/>
    </row>
    <row r="526" ht="19.5" customHeight="1">
      <c r="B526" s="7"/>
      <c r="C526" s="7"/>
      <c r="D526" s="8"/>
      <c r="E526" s="7"/>
      <c r="F526" s="8"/>
      <c r="H526" s="193"/>
      <c r="I526" s="193"/>
      <c r="J526" s="193"/>
    </row>
    <row r="527" ht="19.5" customHeight="1">
      <c r="B527" s="7"/>
      <c r="C527" s="7"/>
      <c r="D527" s="8"/>
      <c r="E527" s="7"/>
      <c r="F527" s="8"/>
      <c r="H527" s="193"/>
      <c r="I527" s="193"/>
      <c r="J527" s="193"/>
    </row>
    <row r="528" ht="19.5" customHeight="1">
      <c r="B528" s="7"/>
      <c r="C528" s="7"/>
      <c r="D528" s="8"/>
      <c r="E528" s="7"/>
      <c r="F528" s="8"/>
      <c r="H528" s="193"/>
      <c r="I528" s="193"/>
      <c r="J528" s="193"/>
    </row>
    <row r="529" ht="19.5" customHeight="1">
      <c r="B529" s="7"/>
      <c r="C529" s="7"/>
      <c r="D529" s="8"/>
      <c r="E529" s="7"/>
      <c r="F529" s="8"/>
      <c r="H529" s="193"/>
      <c r="I529" s="193"/>
      <c r="J529" s="193"/>
    </row>
    <row r="530" ht="19.5" customHeight="1">
      <c r="B530" s="7"/>
      <c r="C530" s="7"/>
      <c r="D530" s="8"/>
      <c r="E530" s="7"/>
      <c r="F530" s="8"/>
      <c r="H530" s="193"/>
      <c r="I530" s="193"/>
      <c r="J530" s="193"/>
    </row>
    <row r="531" ht="19.5" customHeight="1">
      <c r="B531" s="7"/>
      <c r="C531" s="7"/>
      <c r="D531" s="8"/>
      <c r="E531" s="7"/>
      <c r="F531" s="8"/>
      <c r="H531" s="193"/>
      <c r="I531" s="193"/>
      <c r="J531" s="193"/>
    </row>
    <row r="532" ht="19.5" customHeight="1">
      <c r="B532" s="7"/>
      <c r="C532" s="7"/>
      <c r="D532" s="8"/>
      <c r="E532" s="7"/>
      <c r="F532" s="8"/>
      <c r="H532" s="193"/>
      <c r="I532" s="193"/>
      <c r="J532" s="193"/>
    </row>
    <row r="533" ht="19.5" customHeight="1">
      <c r="B533" s="7"/>
      <c r="C533" s="7"/>
      <c r="D533" s="8"/>
      <c r="E533" s="7"/>
      <c r="F533" s="8"/>
      <c r="H533" s="193"/>
      <c r="I533" s="193"/>
      <c r="J533" s="193"/>
    </row>
    <row r="534" ht="19.5" customHeight="1">
      <c r="B534" s="7"/>
      <c r="C534" s="7"/>
      <c r="D534" s="8"/>
      <c r="E534" s="7"/>
      <c r="F534" s="8"/>
      <c r="H534" s="193"/>
      <c r="I534" s="193"/>
      <c r="J534" s="193"/>
    </row>
    <row r="535" ht="19.5" customHeight="1">
      <c r="B535" s="7"/>
      <c r="C535" s="7"/>
      <c r="D535" s="8"/>
      <c r="E535" s="7"/>
      <c r="F535" s="8"/>
      <c r="H535" s="193"/>
      <c r="I535" s="193"/>
      <c r="J535" s="193"/>
    </row>
    <row r="536" ht="19.5" customHeight="1">
      <c r="B536" s="7"/>
      <c r="C536" s="7"/>
      <c r="D536" s="8"/>
      <c r="E536" s="7"/>
      <c r="F536" s="8"/>
      <c r="H536" s="193"/>
      <c r="I536" s="193"/>
      <c r="J536" s="193"/>
    </row>
    <row r="537" ht="19.5" customHeight="1">
      <c r="B537" s="7"/>
      <c r="C537" s="7"/>
      <c r="D537" s="8"/>
      <c r="E537" s="7"/>
      <c r="F537" s="8"/>
      <c r="H537" s="193"/>
      <c r="I537" s="193"/>
      <c r="J537" s="193"/>
    </row>
    <row r="538" ht="19.5" customHeight="1">
      <c r="B538" s="7"/>
      <c r="C538" s="7"/>
      <c r="D538" s="8"/>
      <c r="E538" s="7"/>
      <c r="F538" s="8"/>
      <c r="H538" s="193"/>
      <c r="I538" s="193"/>
      <c r="J538" s="193"/>
    </row>
    <row r="539" ht="19.5" customHeight="1">
      <c r="B539" s="7"/>
      <c r="C539" s="7"/>
      <c r="D539" s="8"/>
      <c r="E539" s="7"/>
      <c r="F539" s="8"/>
      <c r="H539" s="193"/>
      <c r="I539" s="193"/>
      <c r="J539" s="193"/>
    </row>
    <row r="540" ht="19.5" customHeight="1">
      <c r="B540" s="7"/>
      <c r="C540" s="7"/>
      <c r="D540" s="8"/>
      <c r="E540" s="7"/>
      <c r="F540" s="8"/>
      <c r="H540" s="193"/>
      <c r="I540" s="193"/>
      <c r="J540" s="193"/>
    </row>
    <row r="541" ht="19.5" customHeight="1">
      <c r="B541" s="7"/>
      <c r="C541" s="7"/>
      <c r="D541" s="8"/>
      <c r="E541" s="7"/>
      <c r="F541" s="8"/>
      <c r="H541" s="193"/>
      <c r="I541" s="193"/>
      <c r="J541" s="193"/>
    </row>
    <row r="542" ht="19.5" customHeight="1">
      <c r="B542" s="7"/>
      <c r="C542" s="7"/>
      <c r="D542" s="8"/>
      <c r="E542" s="7"/>
      <c r="F542" s="8"/>
      <c r="H542" s="193"/>
      <c r="I542" s="193"/>
      <c r="J542" s="193"/>
    </row>
    <row r="543" ht="19.5" customHeight="1">
      <c r="B543" s="7"/>
      <c r="C543" s="7"/>
      <c r="D543" s="8"/>
      <c r="E543" s="7"/>
      <c r="F543" s="8"/>
      <c r="H543" s="193"/>
      <c r="I543" s="193"/>
      <c r="J543" s="193"/>
    </row>
    <row r="544" ht="19.5" customHeight="1">
      <c r="B544" s="7"/>
      <c r="C544" s="7"/>
      <c r="D544" s="8"/>
      <c r="E544" s="7"/>
      <c r="F544" s="8"/>
      <c r="H544" s="193"/>
      <c r="I544" s="193"/>
      <c r="J544" s="193"/>
    </row>
    <row r="545" ht="19.5" customHeight="1">
      <c r="B545" s="7"/>
      <c r="C545" s="7"/>
      <c r="D545" s="8"/>
      <c r="E545" s="7"/>
      <c r="F545" s="8"/>
      <c r="H545" s="193"/>
      <c r="I545" s="193"/>
      <c r="J545" s="193"/>
    </row>
    <row r="546" ht="19.5" customHeight="1">
      <c r="B546" s="7"/>
      <c r="C546" s="7"/>
      <c r="D546" s="8"/>
      <c r="E546" s="7"/>
      <c r="F546" s="8"/>
      <c r="H546" s="193"/>
      <c r="I546" s="193"/>
      <c r="J546" s="193"/>
    </row>
    <row r="547" ht="19.5" customHeight="1">
      <c r="B547" s="7"/>
      <c r="C547" s="7"/>
      <c r="D547" s="8"/>
      <c r="E547" s="7"/>
      <c r="F547" s="8"/>
      <c r="H547" s="193"/>
      <c r="I547" s="193"/>
      <c r="J547" s="193"/>
    </row>
    <row r="548" ht="19.5" customHeight="1">
      <c r="B548" s="7"/>
      <c r="C548" s="7"/>
      <c r="D548" s="8"/>
      <c r="E548" s="7"/>
      <c r="F548" s="8"/>
      <c r="H548" s="193"/>
      <c r="I548" s="193"/>
      <c r="J548" s="193"/>
    </row>
    <row r="549" ht="19.5" customHeight="1">
      <c r="B549" s="7"/>
      <c r="C549" s="7"/>
      <c r="D549" s="8"/>
      <c r="E549" s="7"/>
      <c r="F549" s="8"/>
      <c r="H549" s="193"/>
      <c r="I549" s="193"/>
      <c r="J549" s="193"/>
    </row>
    <row r="550" ht="19.5" customHeight="1">
      <c r="B550" s="7"/>
      <c r="C550" s="7"/>
      <c r="D550" s="8"/>
      <c r="E550" s="7"/>
      <c r="F550" s="8"/>
      <c r="H550" s="193"/>
      <c r="I550" s="193"/>
      <c r="J550" s="193"/>
    </row>
    <row r="551" ht="19.5" customHeight="1">
      <c r="B551" s="7"/>
      <c r="C551" s="7"/>
      <c r="D551" s="8"/>
      <c r="E551" s="7"/>
      <c r="F551" s="8"/>
      <c r="H551" s="193"/>
      <c r="I551" s="193"/>
      <c r="J551" s="193"/>
    </row>
    <row r="552" ht="19.5" customHeight="1">
      <c r="B552" s="7"/>
      <c r="C552" s="7"/>
      <c r="D552" s="8"/>
      <c r="E552" s="7"/>
      <c r="F552" s="8"/>
      <c r="H552" s="193"/>
      <c r="I552" s="193"/>
      <c r="J552" s="193"/>
    </row>
    <row r="553" ht="19.5" customHeight="1">
      <c r="B553" s="7"/>
      <c r="C553" s="7"/>
      <c r="D553" s="8"/>
      <c r="E553" s="7"/>
      <c r="F553" s="8"/>
      <c r="H553" s="193"/>
      <c r="I553" s="193"/>
      <c r="J553" s="193"/>
    </row>
    <row r="554" ht="19.5" customHeight="1">
      <c r="B554" s="7"/>
      <c r="C554" s="7"/>
      <c r="D554" s="8"/>
      <c r="E554" s="7"/>
      <c r="F554" s="8"/>
      <c r="H554" s="193"/>
      <c r="I554" s="193"/>
      <c r="J554" s="193"/>
    </row>
    <row r="555" ht="19.5" customHeight="1">
      <c r="B555" s="7"/>
      <c r="C555" s="7"/>
      <c r="D555" s="8"/>
      <c r="E555" s="7"/>
      <c r="F555" s="8"/>
      <c r="H555" s="193"/>
      <c r="I555" s="193"/>
      <c r="J555" s="193"/>
    </row>
    <row r="556" ht="19.5" customHeight="1">
      <c r="B556" s="7"/>
      <c r="C556" s="7"/>
      <c r="D556" s="8"/>
      <c r="E556" s="7"/>
      <c r="F556" s="8"/>
      <c r="H556" s="193"/>
      <c r="I556" s="193"/>
      <c r="J556" s="193"/>
    </row>
    <row r="557" ht="19.5" customHeight="1">
      <c r="B557" s="7"/>
      <c r="C557" s="7"/>
      <c r="D557" s="8"/>
      <c r="E557" s="7"/>
      <c r="F557" s="8"/>
      <c r="H557" s="193"/>
      <c r="I557" s="193"/>
      <c r="J557" s="193"/>
    </row>
    <row r="558" ht="19.5" customHeight="1">
      <c r="B558" s="7"/>
      <c r="C558" s="7"/>
      <c r="D558" s="8"/>
      <c r="E558" s="7"/>
      <c r="F558" s="8"/>
      <c r="H558" s="193"/>
      <c r="I558" s="193"/>
      <c r="J558" s="193"/>
    </row>
    <row r="559" ht="19.5" customHeight="1">
      <c r="B559" s="7"/>
      <c r="C559" s="7"/>
      <c r="D559" s="8"/>
      <c r="E559" s="7"/>
      <c r="F559" s="8"/>
      <c r="H559" s="193"/>
      <c r="I559" s="193"/>
      <c r="J559" s="193"/>
    </row>
    <row r="560" ht="19.5" customHeight="1">
      <c r="B560" s="7"/>
      <c r="C560" s="7"/>
      <c r="D560" s="8"/>
      <c r="E560" s="7"/>
      <c r="F560" s="8"/>
      <c r="H560" s="193"/>
      <c r="I560" s="193"/>
      <c r="J560" s="193"/>
    </row>
    <row r="561" ht="19.5" customHeight="1">
      <c r="B561" s="7"/>
      <c r="C561" s="7"/>
      <c r="D561" s="8"/>
      <c r="E561" s="7"/>
      <c r="F561" s="8"/>
      <c r="H561" s="193"/>
      <c r="I561" s="193"/>
      <c r="J561" s="193"/>
    </row>
    <row r="562" ht="19.5" customHeight="1">
      <c r="B562" s="7"/>
      <c r="C562" s="7"/>
      <c r="D562" s="8"/>
      <c r="E562" s="7"/>
      <c r="F562" s="8"/>
      <c r="H562" s="193"/>
      <c r="I562" s="193"/>
      <c r="J562" s="193"/>
    </row>
    <row r="563" ht="19.5" customHeight="1">
      <c r="B563" s="7"/>
      <c r="C563" s="7"/>
      <c r="D563" s="8"/>
      <c r="E563" s="7"/>
      <c r="F563" s="8"/>
      <c r="H563" s="193"/>
      <c r="I563" s="193"/>
      <c r="J563" s="193"/>
    </row>
    <row r="564" ht="19.5" customHeight="1">
      <c r="B564" s="7"/>
      <c r="C564" s="7"/>
      <c r="D564" s="8"/>
      <c r="E564" s="7"/>
      <c r="F564" s="8"/>
      <c r="H564" s="193"/>
      <c r="I564" s="193"/>
      <c r="J564" s="193"/>
    </row>
    <row r="565" ht="19.5" customHeight="1">
      <c r="B565" s="7"/>
      <c r="C565" s="7"/>
      <c r="D565" s="8"/>
      <c r="E565" s="7"/>
      <c r="F565" s="8"/>
      <c r="H565" s="193"/>
      <c r="I565" s="193"/>
      <c r="J565" s="193"/>
    </row>
    <row r="566" ht="19.5" customHeight="1">
      <c r="B566" s="7"/>
      <c r="C566" s="7"/>
      <c r="D566" s="8"/>
      <c r="E566" s="7"/>
      <c r="F566" s="8"/>
      <c r="H566" s="193"/>
      <c r="I566" s="193"/>
      <c r="J566" s="193"/>
    </row>
    <row r="567" ht="19.5" customHeight="1">
      <c r="B567" s="7"/>
      <c r="C567" s="7"/>
      <c r="D567" s="8"/>
      <c r="E567" s="7"/>
      <c r="F567" s="8"/>
      <c r="H567" s="193"/>
      <c r="I567" s="193"/>
      <c r="J567" s="193"/>
    </row>
    <row r="568" ht="19.5" customHeight="1">
      <c r="B568" s="7"/>
      <c r="C568" s="7"/>
      <c r="D568" s="8"/>
      <c r="E568" s="7"/>
      <c r="F568" s="8"/>
      <c r="H568" s="193"/>
      <c r="I568" s="193"/>
      <c r="J568" s="193"/>
    </row>
    <row r="569" ht="19.5" customHeight="1">
      <c r="B569" s="7"/>
      <c r="C569" s="7"/>
      <c r="D569" s="8"/>
      <c r="E569" s="7"/>
      <c r="F569" s="8"/>
      <c r="H569" s="193"/>
      <c r="I569" s="193"/>
      <c r="J569" s="193"/>
    </row>
    <row r="570" ht="19.5" customHeight="1">
      <c r="B570" s="7"/>
      <c r="C570" s="7"/>
      <c r="D570" s="8"/>
      <c r="E570" s="7"/>
      <c r="F570" s="8"/>
      <c r="H570" s="193"/>
      <c r="I570" s="193"/>
      <c r="J570" s="193"/>
    </row>
    <row r="571" ht="19.5" customHeight="1">
      <c r="B571" s="7"/>
      <c r="C571" s="7"/>
      <c r="D571" s="8"/>
      <c r="E571" s="7"/>
      <c r="F571" s="8"/>
      <c r="H571" s="193"/>
      <c r="I571" s="193"/>
      <c r="J571" s="193"/>
    </row>
    <row r="572" ht="19.5" customHeight="1">
      <c r="B572" s="7"/>
      <c r="C572" s="7"/>
      <c r="D572" s="8"/>
      <c r="E572" s="7"/>
      <c r="F572" s="8"/>
      <c r="H572" s="193"/>
      <c r="I572" s="193"/>
      <c r="J572" s="193"/>
    </row>
    <row r="573" ht="19.5" customHeight="1">
      <c r="B573" s="7"/>
      <c r="C573" s="7"/>
      <c r="D573" s="8"/>
      <c r="E573" s="7"/>
      <c r="F573" s="8"/>
      <c r="H573" s="193"/>
      <c r="I573" s="193"/>
      <c r="J573" s="193"/>
    </row>
    <row r="574" ht="19.5" customHeight="1">
      <c r="B574" s="7"/>
      <c r="C574" s="7"/>
      <c r="D574" s="8"/>
      <c r="E574" s="7"/>
      <c r="F574" s="8"/>
      <c r="H574" s="193"/>
      <c r="I574" s="193"/>
      <c r="J574" s="193"/>
    </row>
    <row r="575" ht="19.5" customHeight="1">
      <c r="B575" s="7"/>
      <c r="C575" s="7"/>
      <c r="D575" s="8"/>
      <c r="E575" s="7"/>
      <c r="F575" s="8"/>
      <c r="H575" s="193"/>
      <c r="I575" s="193"/>
      <c r="J575" s="193"/>
    </row>
    <row r="576" ht="19.5" customHeight="1">
      <c r="B576" s="7"/>
      <c r="C576" s="7"/>
      <c r="D576" s="8"/>
      <c r="E576" s="7"/>
      <c r="F576" s="8"/>
      <c r="H576" s="193"/>
      <c r="I576" s="193"/>
      <c r="J576" s="193"/>
    </row>
    <row r="577" ht="19.5" customHeight="1">
      <c r="B577" s="7"/>
      <c r="C577" s="7"/>
      <c r="D577" s="8"/>
      <c r="E577" s="7"/>
      <c r="F577" s="8"/>
      <c r="H577" s="193"/>
      <c r="I577" s="193"/>
      <c r="J577" s="193"/>
    </row>
    <row r="578" ht="19.5" customHeight="1">
      <c r="B578" s="7"/>
      <c r="C578" s="7"/>
      <c r="D578" s="8"/>
      <c r="E578" s="7"/>
      <c r="F578" s="8"/>
      <c r="H578" s="193"/>
      <c r="I578" s="193"/>
      <c r="J578" s="193"/>
    </row>
    <row r="579" ht="19.5" customHeight="1">
      <c r="B579" s="7"/>
      <c r="C579" s="7"/>
      <c r="D579" s="8"/>
      <c r="E579" s="7"/>
      <c r="F579" s="8"/>
      <c r="H579" s="193"/>
      <c r="I579" s="193"/>
      <c r="J579" s="193"/>
    </row>
    <row r="580" ht="19.5" customHeight="1">
      <c r="B580" s="7"/>
      <c r="C580" s="7"/>
      <c r="D580" s="8"/>
      <c r="E580" s="7"/>
      <c r="F580" s="8"/>
      <c r="H580" s="193"/>
      <c r="I580" s="193"/>
      <c r="J580" s="193"/>
    </row>
    <row r="581" ht="19.5" customHeight="1">
      <c r="B581" s="7"/>
      <c r="C581" s="7"/>
      <c r="D581" s="8"/>
      <c r="E581" s="7"/>
      <c r="F581" s="8"/>
      <c r="H581" s="193"/>
      <c r="I581" s="193"/>
      <c r="J581" s="193"/>
    </row>
    <row r="582" ht="19.5" customHeight="1">
      <c r="B582" s="7"/>
      <c r="C582" s="7"/>
      <c r="D582" s="8"/>
      <c r="E582" s="7"/>
      <c r="F582" s="8"/>
      <c r="H582" s="193"/>
      <c r="I582" s="193"/>
      <c r="J582" s="193"/>
    </row>
    <row r="583" ht="19.5" customHeight="1">
      <c r="B583" s="7"/>
      <c r="C583" s="7"/>
      <c r="D583" s="8"/>
      <c r="E583" s="7"/>
      <c r="F583" s="8"/>
      <c r="H583" s="193"/>
      <c r="I583" s="193"/>
      <c r="J583" s="193"/>
    </row>
    <row r="584" ht="19.5" customHeight="1">
      <c r="B584" s="7"/>
      <c r="C584" s="7"/>
      <c r="D584" s="8"/>
      <c r="E584" s="7"/>
      <c r="F584" s="8"/>
      <c r="H584" s="193"/>
      <c r="I584" s="193"/>
      <c r="J584" s="193"/>
    </row>
    <row r="585" ht="19.5" customHeight="1">
      <c r="B585" s="7"/>
      <c r="C585" s="7"/>
      <c r="D585" s="8"/>
      <c r="E585" s="7"/>
      <c r="F585" s="8"/>
      <c r="H585" s="193"/>
      <c r="I585" s="193"/>
      <c r="J585" s="193"/>
    </row>
    <row r="586" ht="19.5" customHeight="1">
      <c r="B586" s="7"/>
      <c r="C586" s="7"/>
      <c r="D586" s="8"/>
      <c r="E586" s="7"/>
      <c r="F586" s="8"/>
      <c r="H586" s="193"/>
      <c r="I586" s="193"/>
      <c r="J586" s="193"/>
    </row>
    <row r="587" ht="19.5" customHeight="1">
      <c r="B587" s="7"/>
      <c r="C587" s="7"/>
      <c r="D587" s="8"/>
      <c r="E587" s="7"/>
      <c r="F587" s="8"/>
      <c r="H587" s="193"/>
      <c r="I587" s="193"/>
      <c r="J587" s="193"/>
    </row>
    <row r="588" ht="19.5" customHeight="1">
      <c r="B588" s="7"/>
      <c r="C588" s="7"/>
      <c r="D588" s="8"/>
      <c r="E588" s="7"/>
      <c r="F588" s="8"/>
      <c r="H588" s="193"/>
      <c r="I588" s="193"/>
      <c r="J588" s="193"/>
    </row>
    <row r="589" ht="19.5" customHeight="1">
      <c r="B589" s="7"/>
      <c r="C589" s="7"/>
      <c r="D589" s="8"/>
      <c r="E589" s="7"/>
      <c r="F589" s="8"/>
      <c r="H589" s="193"/>
      <c r="I589" s="193"/>
      <c r="J589" s="193"/>
    </row>
    <row r="590" ht="19.5" customHeight="1">
      <c r="B590" s="7"/>
      <c r="C590" s="7"/>
      <c r="D590" s="8"/>
      <c r="E590" s="7"/>
      <c r="F590" s="8"/>
      <c r="H590" s="193"/>
      <c r="I590" s="193"/>
      <c r="J590" s="193"/>
    </row>
    <row r="591" ht="19.5" customHeight="1">
      <c r="B591" s="7"/>
      <c r="C591" s="7"/>
      <c r="D591" s="8"/>
      <c r="E591" s="7"/>
      <c r="F591" s="8"/>
      <c r="H591" s="193"/>
      <c r="I591" s="193"/>
      <c r="J591" s="193"/>
    </row>
    <row r="592" ht="19.5" customHeight="1">
      <c r="B592" s="7"/>
      <c r="C592" s="7"/>
      <c r="D592" s="8"/>
      <c r="E592" s="7"/>
      <c r="F592" s="8"/>
      <c r="H592" s="193"/>
      <c r="I592" s="193"/>
      <c r="J592" s="193"/>
    </row>
    <row r="593" ht="19.5" customHeight="1">
      <c r="B593" s="7"/>
      <c r="C593" s="7"/>
      <c r="D593" s="8"/>
      <c r="E593" s="7"/>
      <c r="F593" s="8"/>
      <c r="H593" s="193"/>
      <c r="I593" s="193"/>
      <c r="J593" s="193"/>
    </row>
    <row r="594" ht="19.5" customHeight="1">
      <c r="B594" s="7"/>
      <c r="C594" s="7"/>
      <c r="D594" s="8"/>
      <c r="E594" s="7"/>
      <c r="F594" s="8"/>
      <c r="H594" s="193"/>
      <c r="I594" s="193"/>
      <c r="J594" s="193"/>
    </row>
    <row r="595" ht="19.5" customHeight="1">
      <c r="B595" s="7"/>
      <c r="C595" s="7"/>
      <c r="D595" s="8"/>
      <c r="E595" s="7"/>
      <c r="F595" s="8"/>
      <c r="H595" s="193"/>
      <c r="I595" s="193"/>
      <c r="J595" s="193"/>
    </row>
    <row r="596" ht="19.5" customHeight="1">
      <c r="B596" s="7"/>
      <c r="C596" s="7"/>
      <c r="D596" s="8"/>
      <c r="E596" s="7"/>
      <c r="F596" s="8"/>
      <c r="H596" s="193"/>
      <c r="I596" s="193"/>
      <c r="J596" s="193"/>
    </row>
    <row r="597" ht="19.5" customHeight="1">
      <c r="B597" s="7"/>
      <c r="C597" s="7"/>
      <c r="D597" s="8"/>
      <c r="E597" s="7"/>
      <c r="F597" s="8"/>
      <c r="H597" s="193"/>
      <c r="I597" s="193"/>
      <c r="J597" s="193"/>
    </row>
    <row r="598" ht="19.5" customHeight="1">
      <c r="B598" s="7"/>
      <c r="C598" s="7"/>
      <c r="D598" s="8"/>
      <c r="E598" s="7"/>
      <c r="F598" s="8"/>
      <c r="H598" s="193"/>
      <c r="I598" s="193"/>
      <c r="J598" s="193"/>
    </row>
    <row r="599" ht="19.5" customHeight="1">
      <c r="B599" s="7"/>
      <c r="C599" s="7"/>
      <c r="D599" s="8"/>
      <c r="E599" s="7"/>
      <c r="F599" s="8"/>
      <c r="H599" s="193"/>
      <c r="I599" s="193"/>
      <c r="J599" s="193"/>
    </row>
    <row r="600" ht="19.5" customHeight="1">
      <c r="B600" s="7"/>
      <c r="C600" s="7"/>
      <c r="D600" s="8"/>
      <c r="E600" s="7"/>
      <c r="F600" s="8"/>
      <c r="H600" s="193"/>
      <c r="I600" s="193"/>
      <c r="J600" s="193"/>
    </row>
    <row r="601" ht="19.5" customHeight="1">
      <c r="B601" s="7"/>
      <c r="C601" s="7"/>
      <c r="D601" s="8"/>
      <c r="E601" s="7"/>
      <c r="F601" s="8"/>
      <c r="H601" s="193"/>
      <c r="I601" s="193"/>
      <c r="J601" s="193"/>
    </row>
    <row r="602" ht="19.5" customHeight="1">
      <c r="B602" s="7"/>
      <c r="C602" s="7"/>
      <c r="D602" s="8"/>
      <c r="E602" s="7"/>
      <c r="F602" s="8"/>
      <c r="H602" s="193"/>
      <c r="I602" s="193"/>
      <c r="J602" s="193"/>
    </row>
    <row r="603" ht="19.5" customHeight="1">
      <c r="B603" s="7"/>
      <c r="C603" s="7"/>
      <c r="D603" s="8"/>
      <c r="E603" s="7"/>
      <c r="F603" s="8"/>
      <c r="H603" s="193"/>
      <c r="I603" s="193"/>
      <c r="J603" s="193"/>
    </row>
    <row r="604" ht="19.5" customHeight="1">
      <c r="B604" s="7"/>
      <c r="C604" s="7"/>
      <c r="D604" s="8"/>
      <c r="E604" s="7"/>
      <c r="F604" s="8"/>
      <c r="H604" s="193"/>
      <c r="I604" s="193"/>
      <c r="J604" s="193"/>
    </row>
    <row r="605" ht="19.5" customHeight="1">
      <c r="B605" s="7"/>
      <c r="C605" s="7"/>
      <c r="D605" s="8"/>
      <c r="E605" s="7"/>
      <c r="F605" s="8"/>
      <c r="H605" s="193"/>
      <c r="I605" s="193"/>
      <c r="J605" s="193"/>
    </row>
    <row r="606" ht="19.5" customHeight="1">
      <c r="B606" s="7"/>
      <c r="C606" s="7"/>
      <c r="D606" s="8"/>
      <c r="E606" s="7"/>
      <c r="F606" s="8"/>
      <c r="H606" s="193"/>
      <c r="I606" s="193"/>
      <c r="J606" s="193"/>
    </row>
    <row r="607" ht="19.5" customHeight="1">
      <c r="B607" s="7"/>
      <c r="C607" s="7"/>
      <c r="D607" s="8"/>
      <c r="E607" s="7"/>
      <c r="F607" s="8"/>
      <c r="H607" s="193"/>
      <c r="I607" s="193"/>
      <c r="J607" s="193"/>
    </row>
    <row r="608" ht="19.5" customHeight="1">
      <c r="B608" s="7"/>
      <c r="C608" s="7"/>
      <c r="D608" s="8"/>
      <c r="E608" s="7"/>
      <c r="F608" s="8"/>
      <c r="H608" s="193"/>
      <c r="I608" s="193"/>
      <c r="J608" s="193"/>
    </row>
    <row r="609" ht="19.5" customHeight="1">
      <c r="B609" s="7"/>
      <c r="C609" s="7"/>
      <c r="D609" s="8"/>
      <c r="E609" s="7"/>
      <c r="F609" s="8"/>
      <c r="H609" s="193"/>
      <c r="I609" s="193"/>
      <c r="J609" s="193"/>
    </row>
    <row r="610" ht="19.5" customHeight="1">
      <c r="B610" s="7"/>
      <c r="C610" s="7"/>
      <c r="D610" s="8"/>
      <c r="E610" s="7"/>
      <c r="F610" s="8"/>
      <c r="H610" s="193"/>
      <c r="I610" s="193"/>
      <c r="J610" s="193"/>
    </row>
    <row r="611" ht="19.5" customHeight="1">
      <c r="B611" s="7"/>
      <c r="C611" s="7"/>
      <c r="D611" s="8"/>
      <c r="E611" s="7"/>
      <c r="F611" s="8"/>
      <c r="H611" s="193"/>
      <c r="I611" s="193"/>
      <c r="J611" s="193"/>
    </row>
    <row r="612" ht="19.5" customHeight="1">
      <c r="B612" s="7"/>
      <c r="C612" s="7"/>
      <c r="D612" s="8"/>
      <c r="E612" s="7"/>
      <c r="F612" s="8"/>
      <c r="H612" s="193"/>
      <c r="I612" s="193"/>
      <c r="J612" s="193"/>
    </row>
    <row r="613" ht="19.5" customHeight="1">
      <c r="B613" s="7"/>
      <c r="C613" s="7"/>
      <c r="D613" s="8"/>
      <c r="E613" s="7"/>
      <c r="F613" s="8"/>
      <c r="H613" s="193"/>
      <c r="I613" s="193"/>
      <c r="J613" s="193"/>
    </row>
    <row r="614" ht="19.5" customHeight="1">
      <c r="B614" s="7"/>
      <c r="C614" s="7"/>
      <c r="D614" s="8"/>
      <c r="E614" s="7"/>
      <c r="F614" s="8"/>
      <c r="H614" s="193"/>
      <c r="I614" s="193"/>
      <c r="J614" s="193"/>
    </row>
    <row r="615" ht="19.5" customHeight="1">
      <c r="B615" s="7"/>
      <c r="C615" s="7"/>
      <c r="D615" s="8"/>
      <c r="E615" s="7"/>
      <c r="F615" s="8"/>
      <c r="H615" s="193"/>
      <c r="I615" s="193"/>
      <c r="J615" s="193"/>
    </row>
    <row r="616" ht="19.5" customHeight="1">
      <c r="B616" s="7"/>
      <c r="C616" s="7"/>
      <c r="D616" s="8"/>
      <c r="E616" s="7"/>
      <c r="F616" s="8"/>
      <c r="H616" s="193"/>
      <c r="I616" s="193"/>
      <c r="J616" s="193"/>
    </row>
    <row r="617" ht="19.5" customHeight="1">
      <c r="B617" s="7"/>
      <c r="C617" s="7"/>
      <c r="D617" s="8"/>
      <c r="E617" s="7"/>
      <c r="F617" s="8"/>
      <c r="H617" s="193"/>
      <c r="I617" s="193"/>
      <c r="J617" s="193"/>
    </row>
    <row r="618" ht="19.5" customHeight="1">
      <c r="B618" s="7"/>
      <c r="C618" s="7"/>
      <c r="D618" s="8"/>
      <c r="E618" s="7"/>
      <c r="F618" s="8"/>
      <c r="H618" s="193"/>
      <c r="I618" s="193"/>
      <c r="J618" s="193"/>
    </row>
    <row r="619" ht="19.5" customHeight="1">
      <c r="B619" s="7"/>
      <c r="C619" s="7"/>
      <c r="D619" s="8"/>
      <c r="E619" s="7"/>
      <c r="F619" s="8"/>
      <c r="H619" s="193"/>
      <c r="I619" s="193"/>
      <c r="J619" s="193"/>
    </row>
    <row r="620" ht="19.5" customHeight="1">
      <c r="B620" s="7"/>
      <c r="C620" s="7"/>
      <c r="D620" s="8"/>
      <c r="E620" s="7"/>
      <c r="F620" s="8"/>
      <c r="H620" s="193"/>
      <c r="I620" s="193"/>
      <c r="J620" s="193"/>
    </row>
    <row r="621" ht="19.5" customHeight="1">
      <c r="B621" s="7"/>
      <c r="C621" s="7"/>
      <c r="D621" s="8"/>
      <c r="E621" s="7"/>
      <c r="F621" s="8"/>
      <c r="H621" s="193"/>
      <c r="I621" s="193"/>
      <c r="J621" s="193"/>
    </row>
    <row r="622" ht="19.5" customHeight="1">
      <c r="B622" s="7"/>
      <c r="C622" s="7"/>
      <c r="D622" s="8"/>
      <c r="E622" s="7"/>
      <c r="F622" s="8"/>
      <c r="H622" s="193"/>
      <c r="I622" s="193"/>
      <c r="J622" s="193"/>
    </row>
    <row r="623" ht="19.5" customHeight="1">
      <c r="B623" s="7"/>
      <c r="C623" s="7"/>
      <c r="D623" s="8"/>
      <c r="E623" s="7"/>
      <c r="F623" s="8"/>
      <c r="H623" s="193"/>
      <c r="I623" s="193"/>
      <c r="J623" s="193"/>
    </row>
    <row r="624" ht="19.5" customHeight="1">
      <c r="B624" s="7"/>
      <c r="C624" s="7"/>
      <c r="D624" s="8"/>
      <c r="E624" s="7"/>
      <c r="F624" s="8"/>
      <c r="H624" s="193"/>
      <c r="I624" s="193"/>
      <c r="J624" s="193"/>
    </row>
    <row r="625" ht="19.5" customHeight="1">
      <c r="B625" s="7"/>
      <c r="C625" s="7"/>
      <c r="D625" s="8"/>
      <c r="E625" s="7"/>
      <c r="F625" s="8"/>
      <c r="H625" s="193"/>
      <c r="I625" s="193"/>
      <c r="J625" s="193"/>
    </row>
    <row r="626" ht="19.5" customHeight="1">
      <c r="B626" s="7"/>
      <c r="C626" s="7"/>
      <c r="D626" s="8"/>
      <c r="E626" s="7"/>
      <c r="F626" s="8"/>
      <c r="H626" s="193"/>
      <c r="I626" s="193"/>
      <c r="J626" s="193"/>
    </row>
    <row r="627" ht="19.5" customHeight="1">
      <c r="B627" s="7"/>
      <c r="C627" s="7"/>
      <c r="D627" s="8"/>
      <c r="E627" s="7"/>
      <c r="F627" s="8"/>
      <c r="H627" s="193"/>
      <c r="I627" s="193"/>
      <c r="J627" s="193"/>
    </row>
    <row r="628" ht="19.5" customHeight="1">
      <c r="B628" s="7"/>
      <c r="C628" s="7"/>
      <c r="D628" s="8"/>
      <c r="E628" s="7"/>
      <c r="F628" s="8"/>
      <c r="H628" s="193"/>
      <c r="I628" s="193"/>
      <c r="J628" s="193"/>
    </row>
    <row r="629" ht="19.5" customHeight="1">
      <c r="B629" s="7"/>
      <c r="C629" s="7"/>
      <c r="D629" s="8"/>
      <c r="E629" s="7"/>
      <c r="F629" s="8"/>
      <c r="H629" s="193"/>
      <c r="I629" s="193"/>
      <c r="J629" s="193"/>
    </row>
    <row r="630" ht="19.5" customHeight="1">
      <c r="B630" s="7"/>
      <c r="C630" s="7"/>
      <c r="D630" s="8"/>
      <c r="E630" s="7"/>
      <c r="F630" s="8"/>
      <c r="H630" s="193"/>
      <c r="I630" s="193"/>
      <c r="J630" s="193"/>
    </row>
    <row r="631" ht="19.5" customHeight="1">
      <c r="B631" s="7"/>
      <c r="C631" s="7"/>
      <c r="D631" s="8"/>
      <c r="E631" s="7"/>
      <c r="F631" s="8"/>
      <c r="H631" s="193"/>
      <c r="I631" s="193"/>
      <c r="J631" s="193"/>
    </row>
    <row r="632" ht="19.5" customHeight="1">
      <c r="B632" s="7"/>
      <c r="C632" s="7"/>
      <c r="D632" s="8"/>
      <c r="E632" s="7"/>
      <c r="F632" s="8"/>
      <c r="H632" s="193"/>
      <c r="I632" s="193"/>
      <c r="J632" s="193"/>
    </row>
    <row r="633" ht="19.5" customHeight="1">
      <c r="B633" s="7"/>
      <c r="C633" s="7"/>
      <c r="D633" s="8"/>
      <c r="E633" s="7"/>
      <c r="F633" s="8"/>
      <c r="H633" s="193"/>
      <c r="I633" s="193"/>
      <c r="J633" s="193"/>
    </row>
    <row r="634" ht="19.5" customHeight="1">
      <c r="B634" s="7"/>
      <c r="C634" s="7"/>
      <c r="D634" s="8"/>
      <c r="E634" s="7"/>
      <c r="F634" s="8"/>
      <c r="H634" s="193"/>
      <c r="I634" s="193"/>
      <c r="J634" s="193"/>
    </row>
    <row r="635" ht="19.5" customHeight="1">
      <c r="B635" s="7"/>
      <c r="C635" s="7"/>
      <c r="D635" s="8"/>
      <c r="E635" s="7"/>
      <c r="F635" s="8"/>
      <c r="H635" s="193"/>
      <c r="I635" s="193"/>
      <c r="J635" s="193"/>
    </row>
    <row r="636" ht="19.5" customHeight="1">
      <c r="B636" s="7"/>
      <c r="C636" s="7"/>
      <c r="D636" s="8"/>
      <c r="E636" s="7"/>
      <c r="F636" s="8"/>
      <c r="H636" s="193"/>
      <c r="I636" s="193"/>
      <c r="J636" s="193"/>
    </row>
    <row r="637" ht="19.5" customHeight="1">
      <c r="B637" s="7"/>
      <c r="C637" s="7"/>
      <c r="D637" s="8"/>
      <c r="E637" s="7"/>
      <c r="F637" s="8"/>
      <c r="H637" s="193"/>
      <c r="I637" s="193"/>
      <c r="J637" s="193"/>
    </row>
    <row r="638" ht="19.5" customHeight="1">
      <c r="B638" s="7"/>
      <c r="C638" s="7"/>
      <c r="D638" s="8"/>
      <c r="E638" s="7"/>
      <c r="F638" s="8"/>
      <c r="H638" s="193"/>
      <c r="I638" s="193"/>
      <c r="J638" s="193"/>
    </row>
    <row r="639" ht="19.5" customHeight="1">
      <c r="B639" s="7"/>
      <c r="C639" s="7"/>
      <c r="D639" s="8"/>
      <c r="E639" s="7"/>
      <c r="F639" s="8"/>
      <c r="H639" s="193"/>
      <c r="I639" s="193"/>
      <c r="J639" s="193"/>
    </row>
    <row r="640" ht="19.5" customHeight="1">
      <c r="B640" s="7"/>
      <c r="C640" s="7"/>
      <c r="D640" s="8"/>
      <c r="E640" s="7"/>
      <c r="F640" s="8"/>
      <c r="H640" s="193"/>
      <c r="I640" s="193"/>
      <c r="J640" s="193"/>
    </row>
    <row r="641" ht="19.5" customHeight="1">
      <c r="B641" s="7"/>
      <c r="C641" s="7"/>
      <c r="D641" s="8"/>
      <c r="E641" s="7"/>
      <c r="F641" s="8"/>
      <c r="H641" s="193"/>
      <c r="I641" s="193"/>
      <c r="J641" s="193"/>
    </row>
    <row r="642" ht="19.5" customHeight="1">
      <c r="B642" s="7"/>
      <c r="C642" s="7"/>
      <c r="D642" s="8"/>
      <c r="E642" s="7"/>
      <c r="F642" s="8"/>
      <c r="H642" s="193"/>
      <c r="I642" s="193"/>
      <c r="J642" s="193"/>
    </row>
    <row r="643" ht="19.5" customHeight="1">
      <c r="B643" s="7"/>
      <c r="C643" s="7"/>
      <c r="D643" s="8"/>
      <c r="E643" s="7"/>
      <c r="F643" s="8"/>
      <c r="H643" s="193"/>
      <c r="I643" s="193"/>
      <c r="J643" s="193"/>
    </row>
    <row r="644" ht="19.5" customHeight="1">
      <c r="B644" s="7"/>
      <c r="C644" s="7"/>
      <c r="D644" s="8"/>
      <c r="E644" s="7"/>
      <c r="F644" s="8"/>
      <c r="H644" s="193"/>
      <c r="I644" s="193"/>
      <c r="J644" s="193"/>
    </row>
    <row r="645" ht="19.5" customHeight="1">
      <c r="B645" s="7"/>
      <c r="C645" s="7"/>
      <c r="D645" s="8"/>
      <c r="E645" s="7"/>
      <c r="F645" s="8"/>
      <c r="H645" s="193"/>
      <c r="I645" s="193"/>
      <c r="J645" s="193"/>
    </row>
    <row r="646" ht="19.5" customHeight="1">
      <c r="B646" s="7"/>
      <c r="C646" s="7"/>
      <c r="D646" s="8"/>
      <c r="E646" s="7"/>
      <c r="F646" s="8"/>
      <c r="H646" s="193"/>
      <c r="I646" s="193"/>
      <c r="J646" s="193"/>
    </row>
    <row r="647" ht="19.5" customHeight="1">
      <c r="B647" s="7"/>
      <c r="C647" s="7"/>
      <c r="D647" s="8"/>
      <c r="E647" s="7"/>
      <c r="F647" s="8"/>
      <c r="H647" s="193"/>
      <c r="I647" s="193"/>
      <c r="J647" s="193"/>
    </row>
    <row r="648" ht="19.5" customHeight="1">
      <c r="B648" s="7"/>
      <c r="C648" s="7"/>
      <c r="D648" s="8"/>
      <c r="E648" s="7"/>
      <c r="F648" s="8"/>
      <c r="H648" s="193"/>
      <c r="I648" s="193"/>
      <c r="J648" s="193"/>
    </row>
    <row r="649" ht="19.5" customHeight="1">
      <c r="B649" s="7"/>
      <c r="C649" s="7"/>
      <c r="D649" s="8"/>
      <c r="E649" s="7"/>
      <c r="F649" s="8"/>
      <c r="H649" s="193"/>
      <c r="I649" s="193"/>
      <c r="J649" s="193"/>
    </row>
    <row r="650" ht="19.5" customHeight="1">
      <c r="B650" s="7"/>
      <c r="C650" s="7"/>
      <c r="D650" s="8"/>
      <c r="E650" s="7"/>
      <c r="F650" s="8"/>
      <c r="H650" s="193"/>
      <c r="I650" s="193"/>
      <c r="J650" s="193"/>
    </row>
    <row r="651" ht="19.5" customHeight="1">
      <c r="B651" s="7"/>
      <c r="C651" s="7"/>
      <c r="D651" s="8"/>
      <c r="E651" s="7"/>
      <c r="F651" s="8"/>
      <c r="H651" s="193"/>
      <c r="I651" s="193"/>
      <c r="J651" s="193"/>
    </row>
    <row r="652" ht="19.5" customHeight="1">
      <c r="B652" s="7"/>
      <c r="C652" s="7"/>
      <c r="D652" s="8"/>
      <c r="E652" s="7"/>
      <c r="F652" s="8"/>
      <c r="H652" s="193"/>
      <c r="I652" s="193"/>
      <c r="J652" s="193"/>
    </row>
    <row r="653" ht="19.5" customHeight="1">
      <c r="B653" s="7"/>
      <c r="C653" s="7"/>
      <c r="D653" s="8"/>
      <c r="E653" s="7"/>
      <c r="F653" s="8"/>
      <c r="H653" s="193"/>
      <c r="I653" s="193"/>
      <c r="J653" s="193"/>
    </row>
    <row r="654" ht="19.5" customHeight="1">
      <c r="B654" s="7"/>
      <c r="C654" s="7"/>
      <c r="D654" s="8"/>
      <c r="E654" s="7"/>
      <c r="F654" s="8"/>
      <c r="H654" s="193"/>
      <c r="I654" s="193"/>
      <c r="J654" s="193"/>
    </row>
    <row r="655" ht="19.5" customHeight="1">
      <c r="B655" s="7"/>
      <c r="C655" s="7"/>
      <c r="D655" s="8"/>
      <c r="E655" s="7"/>
      <c r="F655" s="8"/>
      <c r="H655" s="193"/>
      <c r="I655" s="193"/>
      <c r="J655" s="193"/>
    </row>
    <row r="656" ht="19.5" customHeight="1">
      <c r="B656" s="7"/>
      <c r="C656" s="7"/>
      <c r="D656" s="8"/>
      <c r="E656" s="7"/>
      <c r="F656" s="8"/>
      <c r="H656" s="193"/>
      <c r="I656" s="193"/>
      <c r="J656" s="193"/>
    </row>
    <row r="657" ht="19.5" customHeight="1">
      <c r="B657" s="7"/>
      <c r="C657" s="7"/>
      <c r="D657" s="8"/>
      <c r="E657" s="7"/>
      <c r="F657" s="8"/>
      <c r="H657" s="193"/>
      <c r="I657" s="193"/>
      <c r="J657" s="193"/>
    </row>
    <row r="658" ht="19.5" customHeight="1">
      <c r="B658" s="7"/>
      <c r="C658" s="7"/>
      <c r="D658" s="8"/>
      <c r="E658" s="7"/>
      <c r="F658" s="8"/>
      <c r="H658" s="193"/>
      <c r="I658" s="193"/>
      <c r="J658" s="193"/>
    </row>
    <row r="659" ht="19.5" customHeight="1">
      <c r="B659" s="7"/>
      <c r="C659" s="7"/>
      <c r="D659" s="8"/>
      <c r="E659" s="7"/>
      <c r="F659" s="8"/>
      <c r="H659" s="193"/>
      <c r="I659" s="193"/>
      <c r="J659" s="193"/>
    </row>
    <row r="660" ht="19.5" customHeight="1">
      <c r="B660" s="7"/>
      <c r="C660" s="7"/>
      <c r="D660" s="8"/>
      <c r="E660" s="7"/>
      <c r="F660" s="8"/>
      <c r="H660" s="193"/>
      <c r="I660" s="193"/>
      <c r="J660" s="193"/>
    </row>
    <row r="661" ht="19.5" customHeight="1">
      <c r="B661" s="7"/>
      <c r="C661" s="7"/>
      <c r="D661" s="8"/>
      <c r="E661" s="7"/>
      <c r="F661" s="8"/>
      <c r="H661" s="193"/>
      <c r="I661" s="193"/>
      <c r="J661" s="193"/>
    </row>
    <row r="662" ht="19.5" customHeight="1">
      <c r="B662" s="7"/>
      <c r="C662" s="7"/>
      <c r="D662" s="8"/>
      <c r="E662" s="7"/>
      <c r="F662" s="8"/>
      <c r="H662" s="193"/>
      <c r="I662" s="193"/>
      <c r="J662" s="193"/>
    </row>
    <row r="663" ht="19.5" customHeight="1">
      <c r="B663" s="7"/>
      <c r="C663" s="7"/>
      <c r="D663" s="8"/>
      <c r="E663" s="7"/>
      <c r="F663" s="8"/>
      <c r="H663" s="193"/>
      <c r="I663" s="193"/>
      <c r="J663" s="193"/>
    </row>
    <row r="664" ht="19.5" customHeight="1">
      <c r="B664" s="7"/>
      <c r="C664" s="7"/>
      <c r="D664" s="8"/>
      <c r="E664" s="7"/>
      <c r="F664" s="8"/>
      <c r="H664" s="193"/>
      <c r="I664" s="193"/>
      <c r="J664" s="193"/>
    </row>
    <row r="665" ht="19.5" customHeight="1">
      <c r="B665" s="7"/>
      <c r="C665" s="7"/>
      <c r="D665" s="8"/>
      <c r="E665" s="7"/>
      <c r="F665" s="8"/>
      <c r="H665" s="193"/>
      <c r="I665" s="193"/>
      <c r="J665" s="193"/>
    </row>
    <row r="666" ht="19.5" customHeight="1">
      <c r="B666" s="7"/>
      <c r="C666" s="7"/>
      <c r="D666" s="8"/>
      <c r="E666" s="7"/>
      <c r="F666" s="8"/>
      <c r="H666" s="193"/>
      <c r="I666" s="193"/>
      <c r="J666" s="193"/>
    </row>
    <row r="667" ht="19.5" customHeight="1">
      <c r="B667" s="7"/>
      <c r="C667" s="7"/>
      <c r="D667" s="8"/>
      <c r="E667" s="7"/>
      <c r="F667" s="8"/>
      <c r="H667" s="193"/>
      <c r="I667" s="193"/>
      <c r="J667" s="193"/>
    </row>
    <row r="668" ht="19.5" customHeight="1">
      <c r="B668" s="7"/>
      <c r="C668" s="7"/>
      <c r="D668" s="8"/>
      <c r="E668" s="7"/>
      <c r="F668" s="8"/>
      <c r="H668" s="193"/>
      <c r="I668" s="193"/>
      <c r="J668" s="193"/>
    </row>
    <row r="669" ht="19.5" customHeight="1">
      <c r="B669" s="7"/>
      <c r="C669" s="7"/>
      <c r="D669" s="8"/>
      <c r="E669" s="7"/>
      <c r="F669" s="8"/>
      <c r="H669" s="193"/>
      <c r="I669" s="193"/>
      <c r="J669" s="193"/>
    </row>
    <row r="670" ht="19.5" customHeight="1">
      <c r="B670" s="7"/>
      <c r="C670" s="7"/>
      <c r="D670" s="8"/>
      <c r="E670" s="7"/>
      <c r="F670" s="8"/>
      <c r="H670" s="193"/>
      <c r="I670" s="193"/>
      <c r="J670" s="193"/>
    </row>
    <row r="671" ht="19.5" customHeight="1">
      <c r="B671" s="7"/>
      <c r="C671" s="7"/>
      <c r="D671" s="8"/>
      <c r="E671" s="7"/>
      <c r="F671" s="8"/>
      <c r="H671" s="193"/>
      <c r="I671" s="193"/>
      <c r="J671" s="193"/>
    </row>
    <row r="672" ht="19.5" customHeight="1">
      <c r="B672" s="7"/>
      <c r="C672" s="7"/>
      <c r="D672" s="8"/>
      <c r="E672" s="7"/>
      <c r="F672" s="8"/>
      <c r="H672" s="193"/>
      <c r="I672" s="193"/>
      <c r="J672" s="193"/>
    </row>
    <row r="673" ht="19.5" customHeight="1">
      <c r="B673" s="7"/>
      <c r="C673" s="7"/>
      <c r="D673" s="8"/>
      <c r="E673" s="7"/>
      <c r="F673" s="8"/>
      <c r="H673" s="193"/>
      <c r="I673" s="193"/>
      <c r="J673" s="193"/>
    </row>
    <row r="674" ht="19.5" customHeight="1">
      <c r="B674" s="7"/>
      <c r="C674" s="7"/>
      <c r="D674" s="8"/>
      <c r="E674" s="7"/>
      <c r="F674" s="8"/>
      <c r="H674" s="193"/>
      <c r="I674" s="193"/>
      <c r="J674" s="193"/>
    </row>
    <row r="675" ht="19.5" customHeight="1">
      <c r="B675" s="7"/>
      <c r="C675" s="7"/>
      <c r="D675" s="8"/>
      <c r="E675" s="7"/>
      <c r="F675" s="8"/>
      <c r="H675" s="193"/>
      <c r="I675" s="193"/>
      <c r="J675" s="193"/>
    </row>
    <row r="676" ht="19.5" customHeight="1">
      <c r="B676" s="7"/>
      <c r="C676" s="7"/>
      <c r="D676" s="8"/>
      <c r="E676" s="7"/>
      <c r="F676" s="8"/>
      <c r="H676" s="193"/>
      <c r="I676" s="193"/>
      <c r="J676" s="193"/>
    </row>
    <row r="677" ht="19.5" customHeight="1">
      <c r="B677" s="7"/>
      <c r="C677" s="7"/>
      <c r="D677" s="8"/>
      <c r="E677" s="7"/>
      <c r="F677" s="8"/>
      <c r="H677" s="193"/>
      <c r="I677" s="193"/>
      <c r="J677" s="193"/>
    </row>
    <row r="678" ht="19.5" customHeight="1">
      <c r="B678" s="7"/>
      <c r="C678" s="7"/>
      <c r="D678" s="8"/>
      <c r="E678" s="7"/>
      <c r="F678" s="8"/>
      <c r="H678" s="193"/>
      <c r="I678" s="193"/>
      <c r="J678" s="193"/>
    </row>
    <row r="679" ht="19.5" customHeight="1">
      <c r="B679" s="7"/>
      <c r="C679" s="7"/>
      <c r="D679" s="8"/>
      <c r="E679" s="7"/>
      <c r="F679" s="8"/>
      <c r="H679" s="193"/>
      <c r="I679" s="193"/>
      <c r="J679" s="193"/>
    </row>
    <row r="680" ht="19.5" customHeight="1">
      <c r="B680" s="7"/>
      <c r="C680" s="7"/>
      <c r="D680" s="8"/>
      <c r="E680" s="7"/>
      <c r="F680" s="8"/>
      <c r="H680" s="193"/>
      <c r="I680" s="193"/>
      <c r="J680" s="193"/>
    </row>
    <row r="681" ht="19.5" customHeight="1">
      <c r="B681" s="7"/>
      <c r="C681" s="7"/>
      <c r="D681" s="8"/>
      <c r="E681" s="7"/>
      <c r="F681" s="8"/>
      <c r="H681" s="193"/>
      <c r="I681" s="193"/>
      <c r="J681" s="193"/>
    </row>
    <row r="682" ht="19.5" customHeight="1">
      <c r="B682" s="7"/>
      <c r="C682" s="7"/>
      <c r="D682" s="8"/>
      <c r="E682" s="7"/>
      <c r="F682" s="8"/>
      <c r="H682" s="193"/>
      <c r="I682" s="193"/>
      <c r="J682" s="193"/>
    </row>
    <row r="683" ht="19.5" customHeight="1">
      <c r="B683" s="7"/>
      <c r="C683" s="7"/>
      <c r="D683" s="8"/>
      <c r="E683" s="7"/>
      <c r="F683" s="8"/>
      <c r="H683" s="193"/>
      <c r="I683" s="193"/>
      <c r="J683" s="193"/>
    </row>
    <row r="684" ht="19.5" customHeight="1">
      <c r="B684" s="7"/>
      <c r="C684" s="7"/>
      <c r="D684" s="8"/>
      <c r="E684" s="7"/>
      <c r="F684" s="8"/>
      <c r="H684" s="193"/>
      <c r="I684" s="193"/>
      <c r="J684" s="193"/>
    </row>
    <row r="685" ht="19.5" customHeight="1">
      <c r="B685" s="7"/>
      <c r="C685" s="7"/>
      <c r="D685" s="8"/>
      <c r="E685" s="7"/>
      <c r="F685" s="8"/>
      <c r="H685" s="193"/>
      <c r="I685" s="193"/>
      <c r="J685" s="193"/>
    </row>
    <row r="686" ht="19.5" customHeight="1">
      <c r="B686" s="7"/>
      <c r="C686" s="7"/>
      <c r="D686" s="8"/>
      <c r="E686" s="7"/>
      <c r="F686" s="8"/>
      <c r="H686" s="193"/>
      <c r="I686" s="193"/>
      <c r="J686" s="193"/>
    </row>
    <row r="687" ht="19.5" customHeight="1">
      <c r="B687" s="7"/>
      <c r="C687" s="7"/>
      <c r="D687" s="8"/>
      <c r="E687" s="7"/>
      <c r="F687" s="8"/>
      <c r="H687" s="193"/>
      <c r="I687" s="193"/>
      <c r="J687" s="193"/>
    </row>
    <row r="688" ht="19.5" customHeight="1">
      <c r="B688" s="7"/>
      <c r="C688" s="7"/>
      <c r="D688" s="8"/>
      <c r="E688" s="7"/>
      <c r="F688" s="8"/>
      <c r="H688" s="193"/>
      <c r="I688" s="193"/>
      <c r="J688" s="193"/>
    </row>
    <row r="689" ht="19.5" customHeight="1">
      <c r="B689" s="7"/>
      <c r="C689" s="7"/>
      <c r="D689" s="8"/>
      <c r="E689" s="7"/>
      <c r="F689" s="8"/>
      <c r="H689" s="193"/>
      <c r="I689" s="193"/>
      <c r="J689" s="193"/>
    </row>
    <row r="690" ht="19.5" customHeight="1">
      <c r="B690" s="7"/>
      <c r="C690" s="7"/>
      <c r="D690" s="8"/>
      <c r="E690" s="7"/>
      <c r="F690" s="8"/>
      <c r="H690" s="193"/>
      <c r="I690" s="193"/>
      <c r="J690" s="193"/>
    </row>
    <row r="691" ht="19.5" customHeight="1">
      <c r="B691" s="7"/>
      <c r="C691" s="7"/>
      <c r="D691" s="8"/>
      <c r="E691" s="7"/>
      <c r="F691" s="8"/>
      <c r="H691" s="193"/>
      <c r="I691" s="193"/>
      <c r="J691" s="193"/>
    </row>
    <row r="692" ht="19.5" customHeight="1">
      <c r="B692" s="7"/>
      <c r="C692" s="7"/>
      <c r="D692" s="8"/>
      <c r="E692" s="7"/>
      <c r="F692" s="8"/>
      <c r="H692" s="193"/>
      <c r="I692" s="193"/>
      <c r="J692" s="193"/>
    </row>
    <row r="693" ht="19.5" customHeight="1">
      <c r="B693" s="7"/>
      <c r="C693" s="7"/>
      <c r="D693" s="8"/>
      <c r="E693" s="7"/>
      <c r="F693" s="8"/>
      <c r="H693" s="193"/>
      <c r="I693" s="193"/>
      <c r="J693" s="193"/>
    </row>
    <row r="694" ht="19.5" customHeight="1">
      <c r="B694" s="7"/>
      <c r="C694" s="7"/>
      <c r="D694" s="8"/>
      <c r="E694" s="7"/>
      <c r="F694" s="8"/>
      <c r="H694" s="193"/>
      <c r="I694" s="193"/>
      <c r="J694" s="193"/>
    </row>
    <row r="695" ht="19.5" customHeight="1">
      <c r="B695" s="7"/>
      <c r="C695" s="7"/>
      <c r="D695" s="8"/>
      <c r="E695" s="7"/>
      <c r="F695" s="8"/>
      <c r="H695" s="193"/>
      <c r="I695" s="193"/>
      <c r="J695" s="193"/>
    </row>
    <row r="696" ht="19.5" customHeight="1">
      <c r="B696" s="7"/>
      <c r="C696" s="7"/>
      <c r="D696" s="8"/>
      <c r="E696" s="7"/>
      <c r="F696" s="8"/>
      <c r="H696" s="193"/>
      <c r="I696" s="193"/>
      <c r="J696" s="193"/>
    </row>
    <row r="697" ht="19.5" customHeight="1">
      <c r="B697" s="7"/>
      <c r="C697" s="7"/>
      <c r="D697" s="8"/>
      <c r="E697" s="7"/>
      <c r="F697" s="8"/>
      <c r="H697" s="193"/>
      <c r="I697" s="193"/>
      <c r="J697" s="193"/>
    </row>
    <row r="698" ht="19.5" customHeight="1">
      <c r="B698" s="7"/>
      <c r="C698" s="7"/>
      <c r="D698" s="8"/>
      <c r="E698" s="7"/>
      <c r="F698" s="8"/>
      <c r="H698" s="193"/>
      <c r="I698" s="193"/>
      <c r="J698" s="193"/>
    </row>
    <row r="699" ht="19.5" customHeight="1">
      <c r="B699" s="7"/>
      <c r="C699" s="7"/>
      <c r="D699" s="8"/>
      <c r="E699" s="7"/>
      <c r="F699" s="8"/>
      <c r="H699" s="193"/>
      <c r="I699" s="193"/>
      <c r="J699" s="193"/>
    </row>
    <row r="700" ht="19.5" customHeight="1">
      <c r="B700" s="7"/>
      <c r="C700" s="7"/>
      <c r="D700" s="8"/>
      <c r="E700" s="7"/>
      <c r="F700" s="8"/>
      <c r="H700" s="193"/>
      <c r="I700" s="193"/>
      <c r="J700" s="193"/>
    </row>
    <row r="701" ht="19.5" customHeight="1">
      <c r="B701" s="7"/>
      <c r="C701" s="7"/>
      <c r="D701" s="8"/>
      <c r="E701" s="7"/>
      <c r="F701" s="8"/>
      <c r="H701" s="193"/>
      <c r="I701" s="193"/>
      <c r="J701" s="193"/>
    </row>
    <row r="702" ht="19.5" customHeight="1">
      <c r="B702" s="7"/>
      <c r="C702" s="7"/>
      <c r="D702" s="8"/>
      <c r="E702" s="7"/>
      <c r="F702" s="8"/>
      <c r="H702" s="193"/>
      <c r="I702" s="193"/>
      <c r="J702" s="193"/>
    </row>
    <row r="703" ht="19.5" customHeight="1">
      <c r="B703" s="7"/>
      <c r="C703" s="7"/>
      <c r="D703" s="8"/>
      <c r="E703" s="7"/>
      <c r="F703" s="8"/>
      <c r="H703" s="193"/>
      <c r="I703" s="193"/>
      <c r="J703" s="193"/>
    </row>
    <row r="704" ht="19.5" customHeight="1">
      <c r="B704" s="7"/>
      <c r="C704" s="7"/>
      <c r="D704" s="8"/>
      <c r="E704" s="7"/>
      <c r="F704" s="8"/>
      <c r="H704" s="193"/>
      <c r="I704" s="193"/>
      <c r="J704" s="193"/>
    </row>
    <row r="705" ht="19.5" customHeight="1">
      <c r="B705" s="7"/>
      <c r="C705" s="7"/>
      <c r="D705" s="8"/>
      <c r="E705" s="7"/>
      <c r="F705" s="8"/>
      <c r="H705" s="193"/>
      <c r="I705" s="193"/>
      <c r="J705" s="193"/>
    </row>
    <row r="706" ht="19.5" customHeight="1">
      <c r="B706" s="7"/>
      <c r="C706" s="7"/>
      <c r="D706" s="8"/>
      <c r="E706" s="7"/>
      <c r="F706" s="8"/>
      <c r="H706" s="193"/>
      <c r="I706" s="193"/>
      <c r="J706" s="193"/>
    </row>
    <row r="707" ht="19.5" customHeight="1">
      <c r="B707" s="7"/>
      <c r="C707" s="7"/>
      <c r="D707" s="8"/>
      <c r="E707" s="7"/>
      <c r="F707" s="8"/>
      <c r="H707" s="193"/>
      <c r="I707" s="193"/>
      <c r="J707" s="193"/>
    </row>
    <row r="708" ht="19.5" customHeight="1">
      <c r="B708" s="7"/>
      <c r="C708" s="7"/>
      <c r="D708" s="8"/>
      <c r="E708" s="7"/>
      <c r="F708" s="8"/>
      <c r="H708" s="193"/>
      <c r="I708" s="193"/>
      <c r="J708" s="193"/>
    </row>
    <row r="709" ht="19.5" customHeight="1">
      <c r="B709" s="7"/>
      <c r="C709" s="7"/>
      <c r="D709" s="8"/>
      <c r="E709" s="7"/>
      <c r="F709" s="8"/>
      <c r="H709" s="193"/>
      <c r="I709" s="193"/>
      <c r="J709" s="193"/>
    </row>
    <row r="710" ht="19.5" customHeight="1">
      <c r="B710" s="7"/>
      <c r="C710" s="7"/>
      <c r="D710" s="8"/>
      <c r="E710" s="7"/>
      <c r="F710" s="8"/>
      <c r="H710" s="193"/>
      <c r="I710" s="193"/>
      <c r="J710" s="193"/>
    </row>
    <row r="711" ht="19.5" customHeight="1">
      <c r="B711" s="7"/>
      <c r="C711" s="7"/>
      <c r="D711" s="8"/>
      <c r="E711" s="7"/>
      <c r="F711" s="8"/>
      <c r="H711" s="193"/>
      <c r="I711" s="193"/>
      <c r="J711" s="193"/>
    </row>
    <row r="712" ht="19.5" customHeight="1">
      <c r="B712" s="7"/>
      <c r="C712" s="7"/>
      <c r="D712" s="8"/>
      <c r="E712" s="7"/>
      <c r="F712" s="8"/>
      <c r="H712" s="193"/>
      <c r="I712" s="193"/>
      <c r="J712" s="193"/>
    </row>
    <row r="713" ht="19.5" customHeight="1">
      <c r="B713" s="7"/>
      <c r="C713" s="7"/>
      <c r="D713" s="8"/>
      <c r="E713" s="7"/>
      <c r="F713" s="8"/>
      <c r="H713" s="193"/>
      <c r="I713" s="193"/>
      <c r="J713" s="193"/>
    </row>
    <row r="714" ht="19.5" customHeight="1">
      <c r="B714" s="7"/>
      <c r="C714" s="7"/>
      <c r="D714" s="8"/>
      <c r="E714" s="7"/>
      <c r="F714" s="8"/>
      <c r="H714" s="193"/>
      <c r="I714" s="193"/>
      <c r="J714" s="193"/>
    </row>
    <row r="715" ht="19.5" customHeight="1">
      <c r="B715" s="7"/>
      <c r="C715" s="7"/>
      <c r="D715" s="8"/>
      <c r="E715" s="7"/>
      <c r="F715" s="8"/>
      <c r="H715" s="193"/>
      <c r="I715" s="193"/>
      <c r="J715" s="193"/>
    </row>
    <row r="716" ht="19.5" customHeight="1">
      <c r="B716" s="7"/>
      <c r="C716" s="7"/>
      <c r="D716" s="8"/>
      <c r="E716" s="7"/>
      <c r="F716" s="8"/>
      <c r="H716" s="193"/>
      <c r="I716" s="193"/>
      <c r="J716" s="193"/>
    </row>
    <row r="717" ht="19.5" customHeight="1">
      <c r="B717" s="7"/>
      <c r="C717" s="7"/>
      <c r="D717" s="8"/>
      <c r="E717" s="7"/>
      <c r="F717" s="8"/>
      <c r="H717" s="193"/>
      <c r="I717" s="193"/>
      <c r="J717" s="193"/>
    </row>
    <row r="718" ht="19.5" customHeight="1">
      <c r="B718" s="7"/>
      <c r="C718" s="7"/>
      <c r="D718" s="8"/>
      <c r="E718" s="7"/>
      <c r="F718" s="8"/>
      <c r="H718" s="193"/>
      <c r="I718" s="193"/>
      <c r="J718" s="193"/>
    </row>
    <row r="719" ht="19.5" customHeight="1">
      <c r="B719" s="7"/>
      <c r="C719" s="7"/>
      <c r="D719" s="8"/>
      <c r="E719" s="7"/>
      <c r="F719" s="8"/>
      <c r="H719" s="193"/>
      <c r="I719" s="193"/>
      <c r="J719" s="193"/>
    </row>
    <row r="720" ht="19.5" customHeight="1">
      <c r="B720" s="7"/>
      <c r="C720" s="7"/>
      <c r="D720" s="8"/>
      <c r="E720" s="7"/>
      <c r="F720" s="8"/>
      <c r="H720" s="193"/>
      <c r="I720" s="193"/>
      <c r="J720" s="193"/>
    </row>
    <row r="721" ht="19.5" customHeight="1">
      <c r="B721" s="7"/>
      <c r="C721" s="7"/>
      <c r="D721" s="8"/>
      <c r="E721" s="7"/>
      <c r="F721" s="8"/>
      <c r="H721" s="193"/>
      <c r="I721" s="193"/>
      <c r="J721" s="193"/>
    </row>
    <row r="722" ht="19.5" customHeight="1">
      <c r="B722" s="7"/>
      <c r="C722" s="7"/>
      <c r="D722" s="8"/>
      <c r="E722" s="7"/>
      <c r="F722" s="8"/>
      <c r="H722" s="193"/>
      <c r="I722" s="193"/>
      <c r="J722" s="193"/>
    </row>
    <row r="723" ht="19.5" customHeight="1">
      <c r="B723" s="7"/>
      <c r="C723" s="7"/>
      <c r="D723" s="8"/>
      <c r="E723" s="7"/>
      <c r="F723" s="8"/>
      <c r="H723" s="193"/>
      <c r="I723" s="193"/>
      <c r="J723" s="193"/>
    </row>
    <row r="724" ht="19.5" customHeight="1">
      <c r="B724" s="7"/>
      <c r="C724" s="7"/>
      <c r="D724" s="8"/>
      <c r="E724" s="7"/>
      <c r="F724" s="8"/>
      <c r="H724" s="193"/>
      <c r="I724" s="193"/>
      <c r="J724" s="193"/>
    </row>
    <row r="725" ht="19.5" customHeight="1">
      <c r="B725" s="7"/>
      <c r="C725" s="7"/>
      <c r="D725" s="8"/>
      <c r="E725" s="7"/>
      <c r="F725" s="8"/>
      <c r="H725" s="193"/>
      <c r="I725" s="193"/>
      <c r="J725" s="193"/>
    </row>
    <row r="726" ht="19.5" customHeight="1">
      <c r="B726" s="7"/>
      <c r="C726" s="7"/>
      <c r="D726" s="8"/>
      <c r="E726" s="7"/>
      <c r="F726" s="8"/>
      <c r="H726" s="193"/>
      <c r="I726" s="193"/>
      <c r="J726" s="193"/>
    </row>
    <row r="727" ht="19.5" customHeight="1">
      <c r="B727" s="7"/>
      <c r="C727" s="7"/>
      <c r="D727" s="8"/>
      <c r="E727" s="7"/>
      <c r="F727" s="8"/>
      <c r="H727" s="193"/>
      <c r="I727" s="193"/>
      <c r="J727" s="193"/>
    </row>
    <row r="728" ht="19.5" customHeight="1">
      <c r="B728" s="7"/>
      <c r="C728" s="7"/>
      <c r="D728" s="8"/>
      <c r="E728" s="7"/>
      <c r="F728" s="8"/>
      <c r="H728" s="193"/>
      <c r="I728" s="193"/>
      <c r="J728" s="193"/>
    </row>
    <row r="729" ht="19.5" customHeight="1">
      <c r="B729" s="7"/>
      <c r="C729" s="7"/>
      <c r="D729" s="8"/>
      <c r="E729" s="7"/>
      <c r="F729" s="8"/>
      <c r="H729" s="193"/>
      <c r="I729" s="193"/>
      <c r="J729" s="193"/>
    </row>
    <row r="730" ht="19.5" customHeight="1">
      <c r="B730" s="7"/>
      <c r="C730" s="7"/>
      <c r="D730" s="8"/>
      <c r="E730" s="7"/>
      <c r="F730" s="8"/>
      <c r="H730" s="193"/>
      <c r="I730" s="193"/>
      <c r="J730" s="193"/>
    </row>
    <row r="731" ht="19.5" customHeight="1">
      <c r="B731" s="7"/>
      <c r="C731" s="7"/>
      <c r="D731" s="8"/>
      <c r="E731" s="7"/>
      <c r="F731" s="8"/>
      <c r="H731" s="193"/>
      <c r="I731" s="193"/>
      <c r="J731" s="193"/>
    </row>
    <row r="732" ht="19.5" customHeight="1">
      <c r="B732" s="7"/>
      <c r="C732" s="7"/>
      <c r="D732" s="8"/>
      <c r="E732" s="7"/>
      <c r="F732" s="8"/>
      <c r="H732" s="193"/>
      <c r="I732" s="193"/>
      <c r="J732" s="193"/>
    </row>
    <row r="733" ht="19.5" customHeight="1">
      <c r="B733" s="7"/>
      <c r="C733" s="7"/>
      <c r="D733" s="8"/>
      <c r="E733" s="7"/>
      <c r="F733" s="8"/>
      <c r="H733" s="193"/>
      <c r="I733" s="193"/>
      <c r="J733" s="193"/>
    </row>
    <row r="734" ht="19.5" customHeight="1">
      <c r="B734" s="7"/>
      <c r="C734" s="7"/>
      <c r="D734" s="8"/>
      <c r="E734" s="7"/>
      <c r="F734" s="8"/>
      <c r="H734" s="193"/>
      <c r="I734" s="193"/>
      <c r="J734" s="193"/>
    </row>
    <row r="735" ht="19.5" customHeight="1">
      <c r="B735" s="7"/>
      <c r="C735" s="7"/>
      <c r="D735" s="8"/>
      <c r="E735" s="7"/>
      <c r="F735" s="8"/>
      <c r="H735" s="193"/>
      <c r="I735" s="193"/>
      <c r="J735" s="193"/>
    </row>
    <row r="736" ht="19.5" customHeight="1">
      <c r="B736" s="7"/>
      <c r="C736" s="7"/>
      <c r="D736" s="8"/>
      <c r="E736" s="7"/>
      <c r="F736" s="8"/>
      <c r="H736" s="193"/>
      <c r="I736" s="193"/>
      <c r="J736" s="193"/>
    </row>
    <row r="737" ht="19.5" customHeight="1">
      <c r="B737" s="7"/>
      <c r="C737" s="7"/>
      <c r="D737" s="8"/>
      <c r="E737" s="7"/>
      <c r="F737" s="8"/>
      <c r="H737" s="193"/>
      <c r="I737" s="193"/>
      <c r="J737" s="193"/>
    </row>
    <row r="738" ht="19.5" customHeight="1">
      <c r="B738" s="7"/>
      <c r="C738" s="7"/>
      <c r="D738" s="8"/>
      <c r="E738" s="7"/>
      <c r="F738" s="8"/>
      <c r="H738" s="193"/>
      <c r="I738" s="193"/>
      <c r="J738" s="193"/>
    </row>
    <row r="739" ht="19.5" customHeight="1">
      <c r="B739" s="7"/>
      <c r="C739" s="7"/>
      <c r="D739" s="8"/>
      <c r="E739" s="7"/>
      <c r="F739" s="8"/>
      <c r="H739" s="193"/>
      <c r="I739" s="193"/>
      <c r="J739" s="193"/>
    </row>
    <row r="740" ht="19.5" customHeight="1">
      <c r="B740" s="7"/>
      <c r="C740" s="7"/>
      <c r="D740" s="8"/>
      <c r="E740" s="7"/>
      <c r="F740" s="8"/>
      <c r="H740" s="193"/>
      <c r="I740" s="193"/>
      <c r="J740" s="193"/>
    </row>
    <row r="741" ht="19.5" customHeight="1">
      <c r="B741" s="7"/>
      <c r="C741" s="7"/>
      <c r="D741" s="8"/>
      <c r="E741" s="7"/>
      <c r="F741" s="8"/>
      <c r="H741" s="193"/>
      <c r="I741" s="193"/>
      <c r="J741" s="193"/>
    </row>
    <row r="742" ht="19.5" customHeight="1">
      <c r="B742" s="7"/>
      <c r="C742" s="7"/>
      <c r="D742" s="8"/>
      <c r="E742" s="7"/>
      <c r="F742" s="8"/>
      <c r="H742" s="193"/>
      <c r="I742" s="193"/>
      <c r="J742" s="193"/>
    </row>
    <row r="743" ht="19.5" customHeight="1">
      <c r="B743" s="7"/>
      <c r="C743" s="7"/>
      <c r="D743" s="8"/>
      <c r="E743" s="7"/>
      <c r="F743" s="8"/>
      <c r="H743" s="193"/>
      <c r="I743" s="193"/>
      <c r="J743" s="193"/>
    </row>
    <row r="744" ht="19.5" customHeight="1">
      <c r="B744" s="7"/>
      <c r="C744" s="7"/>
      <c r="D744" s="8"/>
      <c r="E744" s="7"/>
      <c r="F744" s="8"/>
      <c r="H744" s="193"/>
      <c r="I744" s="193"/>
      <c r="J744" s="193"/>
    </row>
    <row r="745" ht="19.5" customHeight="1">
      <c r="B745" s="7"/>
      <c r="C745" s="7"/>
      <c r="D745" s="8"/>
      <c r="E745" s="7"/>
      <c r="F745" s="8"/>
      <c r="H745" s="193"/>
      <c r="I745" s="193"/>
      <c r="J745" s="193"/>
    </row>
    <row r="746" ht="19.5" customHeight="1">
      <c r="B746" s="7"/>
      <c r="C746" s="7"/>
      <c r="D746" s="8"/>
      <c r="E746" s="7"/>
      <c r="F746" s="8"/>
      <c r="H746" s="193"/>
      <c r="I746" s="193"/>
      <c r="J746" s="193"/>
    </row>
    <row r="747" ht="19.5" customHeight="1">
      <c r="B747" s="7"/>
      <c r="C747" s="7"/>
      <c r="D747" s="8"/>
      <c r="E747" s="7"/>
      <c r="F747" s="8"/>
      <c r="H747" s="193"/>
      <c r="I747" s="193"/>
      <c r="J747" s="193"/>
    </row>
    <row r="748" ht="19.5" customHeight="1">
      <c r="B748" s="7"/>
      <c r="C748" s="7"/>
      <c r="D748" s="8"/>
      <c r="E748" s="7"/>
      <c r="F748" s="8"/>
      <c r="H748" s="193"/>
      <c r="I748" s="193"/>
      <c r="J748" s="193"/>
    </row>
    <row r="749" ht="19.5" customHeight="1">
      <c r="B749" s="7"/>
      <c r="C749" s="7"/>
      <c r="D749" s="8"/>
      <c r="E749" s="7"/>
      <c r="F749" s="8"/>
      <c r="H749" s="193"/>
      <c r="I749" s="193"/>
      <c r="J749" s="193"/>
    </row>
    <row r="750" ht="19.5" customHeight="1">
      <c r="B750" s="7"/>
      <c r="C750" s="7"/>
      <c r="D750" s="8"/>
      <c r="E750" s="7"/>
      <c r="F750" s="8"/>
      <c r="H750" s="193"/>
      <c r="I750" s="193"/>
      <c r="J750" s="193"/>
    </row>
    <row r="751" ht="19.5" customHeight="1">
      <c r="B751" s="7"/>
      <c r="C751" s="7"/>
      <c r="D751" s="8"/>
      <c r="E751" s="7"/>
      <c r="F751" s="8"/>
      <c r="H751" s="193"/>
      <c r="I751" s="193"/>
      <c r="J751" s="193"/>
    </row>
    <row r="752" ht="19.5" customHeight="1">
      <c r="B752" s="7"/>
      <c r="C752" s="7"/>
      <c r="D752" s="8"/>
      <c r="E752" s="7"/>
      <c r="F752" s="8"/>
      <c r="H752" s="193"/>
      <c r="I752" s="193"/>
      <c r="J752" s="193"/>
    </row>
    <row r="753" ht="19.5" customHeight="1">
      <c r="B753" s="7"/>
      <c r="C753" s="7"/>
      <c r="D753" s="8"/>
      <c r="E753" s="7"/>
      <c r="F753" s="8"/>
      <c r="H753" s="193"/>
      <c r="I753" s="193"/>
      <c r="J753" s="193"/>
    </row>
    <row r="754" ht="19.5" customHeight="1">
      <c r="B754" s="7"/>
      <c r="C754" s="7"/>
      <c r="D754" s="8"/>
      <c r="E754" s="7"/>
      <c r="F754" s="8"/>
      <c r="H754" s="193"/>
      <c r="I754" s="193"/>
      <c r="J754" s="193"/>
    </row>
    <row r="755" ht="19.5" customHeight="1">
      <c r="B755" s="7"/>
      <c r="C755" s="7"/>
      <c r="D755" s="8"/>
      <c r="E755" s="7"/>
      <c r="F755" s="8"/>
      <c r="H755" s="193"/>
      <c r="I755" s="193"/>
      <c r="J755" s="193"/>
    </row>
    <row r="756" ht="19.5" customHeight="1">
      <c r="B756" s="7"/>
      <c r="C756" s="7"/>
      <c r="D756" s="8"/>
      <c r="E756" s="7"/>
      <c r="F756" s="8"/>
      <c r="H756" s="193"/>
      <c r="I756" s="193"/>
      <c r="J756" s="193"/>
    </row>
    <row r="757" ht="19.5" customHeight="1">
      <c r="B757" s="7"/>
      <c r="C757" s="7"/>
      <c r="D757" s="8"/>
      <c r="E757" s="7"/>
      <c r="F757" s="8"/>
      <c r="H757" s="193"/>
      <c r="I757" s="193"/>
      <c r="J757" s="193"/>
    </row>
    <row r="758" ht="19.5" customHeight="1">
      <c r="B758" s="7"/>
      <c r="C758" s="7"/>
      <c r="D758" s="8"/>
      <c r="E758" s="7"/>
      <c r="F758" s="8"/>
      <c r="H758" s="193"/>
      <c r="I758" s="193"/>
      <c r="J758" s="193"/>
    </row>
    <row r="759" ht="19.5" customHeight="1">
      <c r="B759" s="7"/>
      <c r="C759" s="7"/>
      <c r="D759" s="8"/>
      <c r="E759" s="7"/>
      <c r="F759" s="8"/>
      <c r="H759" s="193"/>
      <c r="I759" s="193"/>
      <c r="J759" s="193"/>
    </row>
    <row r="760" ht="19.5" customHeight="1">
      <c r="B760" s="7"/>
      <c r="C760" s="7"/>
      <c r="D760" s="8"/>
      <c r="E760" s="7"/>
      <c r="F760" s="8"/>
      <c r="H760" s="193"/>
      <c r="I760" s="193"/>
      <c r="J760" s="193"/>
    </row>
    <row r="761" ht="19.5" customHeight="1">
      <c r="B761" s="7"/>
      <c r="C761" s="7"/>
      <c r="D761" s="8"/>
      <c r="E761" s="7"/>
      <c r="F761" s="8"/>
      <c r="H761" s="193"/>
      <c r="I761" s="193"/>
      <c r="J761" s="193"/>
    </row>
    <row r="762" ht="19.5" customHeight="1">
      <c r="B762" s="7"/>
      <c r="C762" s="7"/>
      <c r="D762" s="8"/>
      <c r="E762" s="7"/>
      <c r="F762" s="8"/>
      <c r="H762" s="193"/>
      <c r="I762" s="193"/>
      <c r="J762" s="193"/>
    </row>
    <row r="763" ht="19.5" customHeight="1">
      <c r="B763" s="7"/>
      <c r="C763" s="7"/>
      <c r="D763" s="8"/>
      <c r="E763" s="7"/>
      <c r="F763" s="8"/>
      <c r="H763" s="193"/>
      <c r="I763" s="193"/>
      <c r="J763" s="193"/>
    </row>
    <row r="764" ht="19.5" customHeight="1">
      <c r="B764" s="7"/>
      <c r="C764" s="7"/>
      <c r="D764" s="8"/>
      <c r="E764" s="7"/>
      <c r="F764" s="8"/>
      <c r="H764" s="193"/>
      <c r="I764" s="193"/>
      <c r="J764" s="193"/>
    </row>
    <row r="765" ht="19.5" customHeight="1">
      <c r="B765" s="7"/>
      <c r="C765" s="7"/>
      <c r="D765" s="8"/>
      <c r="E765" s="7"/>
      <c r="F765" s="8"/>
      <c r="H765" s="193"/>
      <c r="I765" s="193"/>
      <c r="J765" s="193"/>
    </row>
    <row r="766" ht="19.5" customHeight="1">
      <c r="B766" s="7"/>
      <c r="C766" s="7"/>
      <c r="D766" s="8"/>
      <c r="E766" s="7"/>
      <c r="F766" s="8"/>
      <c r="H766" s="193"/>
      <c r="I766" s="193"/>
      <c r="J766" s="193"/>
    </row>
    <row r="767" ht="19.5" customHeight="1">
      <c r="B767" s="7"/>
      <c r="C767" s="7"/>
      <c r="D767" s="8"/>
      <c r="E767" s="7"/>
      <c r="F767" s="8"/>
      <c r="H767" s="193"/>
      <c r="I767" s="193"/>
      <c r="J767" s="193"/>
    </row>
    <row r="768" ht="19.5" customHeight="1">
      <c r="B768" s="7"/>
      <c r="C768" s="7"/>
      <c r="D768" s="8"/>
      <c r="E768" s="7"/>
      <c r="F768" s="8"/>
      <c r="H768" s="193"/>
      <c r="I768" s="193"/>
      <c r="J768" s="193"/>
    </row>
    <row r="769" ht="19.5" customHeight="1">
      <c r="B769" s="7"/>
      <c r="C769" s="7"/>
      <c r="D769" s="8"/>
      <c r="E769" s="7"/>
      <c r="F769" s="8"/>
      <c r="H769" s="193"/>
      <c r="I769" s="193"/>
      <c r="J769" s="193"/>
    </row>
    <row r="770" ht="19.5" customHeight="1">
      <c r="B770" s="7"/>
      <c r="C770" s="7"/>
      <c r="D770" s="8"/>
      <c r="E770" s="7"/>
      <c r="F770" s="8"/>
      <c r="H770" s="193"/>
      <c r="I770" s="193"/>
      <c r="J770" s="193"/>
    </row>
    <row r="771" ht="19.5" customHeight="1">
      <c r="B771" s="7"/>
      <c r="C771" s="7"/>
      <c r="D771" s="8"/>
      <c r="E771" s="7"/>
      <c r="F771" s="8"/>
      <c r="H771" s="193"/>
      <c r="I771" s="193"/>
      <c r="J771" s="193"/>
    </row>
    <row r="772" ht="19.5" customHeight="1">
      <c r="B772" s="7"/>
      <c r="C772" s="7"/>
      <c r="D772" s="8"/>
      <c r="E772" s="7"/>
      <c r="F772" s="8"/>
      <c r="H772" s="193"/>
      <c r="I772" s="193"/>
      <c r="J772" s="193"/>
    </row>
    <row r="773" ht="19.5" customHeight="1">
      <c r="B773" s="7"/>
      <c r="C773" s="7"/>
      <c r="D773" s="8"/>
      <c r="E773" s="7"/>
      <c r="F773" s="8"/>
      <c r="H773" s="193"/>
      <c r="I773" s="193"/>
      <c r="J773" s="193"/>
    </row>
    <row r="774" ht="19.5" customHeight="1">
      <c r="B774" s="7"/>
      <c r="C774" s="7"/>
      <c r="D774" s="8"/>
      <c r="E774" s="7"/>
      <c r="F774" s="8"/>
      <c r="H774" s="193"/>
      <c r="I774" s="193"/>
      <c r="J774" s="193"/>
    </row>
    <row r="775" ht="19.5" customHeight="1">
      <c r="B775" s="7"/>
      <c r="C775" s="7"/>
      <c r="D775" s="8"/>
      <c r="E775" s="7"/>
      <c r="F775" s="8"/>
      <c r="H775" s="193"/>
      <c r="I775" s="193"/>
      <c r="J775" s="193"/>
    </row>
    <row r="776" ht="19.5" customHeight="1">
      <c r="B776" s="7"/>
      <c r="C776" s="7"/>
      <c r="D776" s="8"/>
      <c r="E776" s="7"/>
      <c r="F776" s="8"/>
      <c r="H776" s="193"/>
      <c r="I776" s="193"/>
      <c r="J776" s="193"/>
    </row>
    <row r="777" ht="19.5" customHeight="1">
      <c r="B777" s="7"/>
      <c r="C777" s="7"/>
      <c r="D777" s="8"/>
      <c r="E777" s="7"/>
      <c r="F777" s="8"/>
      <c r="H777" s="193"/>
      <c r="I777" s="193"/>
      <c r="J777" s="193"/>
    </row>
    <row r="778" ht="19.5" customHeight="1">
      <c r="B778" s="7"/>
      <c r="C778" s="7"/>
      <c r="D778" s="8"/>
      <c r="E778" s="7"/>
      <c r="F778" s="8"/>
      <c r="H778" s="193"/>
      <c r="I778" s="193"/>
      <c r="J778" s="193"/>
    </row>
    <row r="779" ht="19.5" customHeight="1">
      <c r="B779" s="7"/>
      <c r="C779" s="7"/>
      <c r="D779" s="8"/>
      <c r="E779" s="7"/>
      <c r="F779" s="8"/>
      <c r="H779" s="193"/>
      <c r="I779" s="193"/>
      <c r="J779" s="193"/>
    </row>
    <row r="780" ht="19.5" customHeight="1">
      <c r="B780" s="7"/>
      <c r="C780" s="7"/>
      <c r="D780" s="8"/>
      <c r="E780" s="7"/>
      <c r="F780" s="8"/>
      <c r="H780" s="193"/>
      <c r="I780" s="193"/>
      <c r="J780" s="193"/>
    </row>
    <row r="781" ht="19.5" customHeight="1">
      <c r="B781" s="7"/>
      <c r="C781" s="7"/>
      <c r="D781" s="8"/>
      <c r="E781" s="7"/>
      <c r="F781" s="8"/>
      <c r="H781" s="193"/>
      <c r="I781" s="193"/>
      <c r="J781" s="193"/>
    </row>
    <row r="782" ht="19.5" customHeight="1">
      <c r="B782" s="7"/>
      <c r="C782" s="7"/>
      <c r="D782" s="8"/>
      <c r="E782" s="7"/>
      <c r="F782" s="8"/>
      <c r="H782" s="193"/>
      <c r="I782" s="193"/>
      <c r="J782" s="193"/>
    </row>
    <row r="783" ht="19.5" customHeight="1">
      <c r="B783" s="7"/>
      <c r="C783" s="7"/>
      <c r="D783" s="8"/>
      <c r="E783" s="7"/>
      <c r="F783" s="8"/>
      <c r="H783" s="193"/>
      <c r="I783" s="193"/>
      <c r="J783" s="193"/>
    </row>
    <row r="784" ht="19.5" customHeight="1">
      <c r="B784" s="7"/>
      <c r="C784" s="7"/>
      <c r="D784" s="8"/>
      <c r="E784" s="7"/>
      <c r="F784" s="8"/>
      <c r="H784" s="193"/>
      <c r="I784" s="193"/>
      <c r="J784" s="193"/>
    </row>
    <row r="785" ht="19.5" customHeight="1">
      <c r="B785" s="7"/>
      <c r="C785" s="7"/>
      <c r="D785" s="8"/>
      <c r="E785" s="7"/>
      <c r="F785" s="8"/>
      <c r="H785" s="193"/>
      <c r="I785" s="193"/>
      <c r="J785" s="193"/>
    </row>
    <row r="786" ht="19.5" customHeight="1">
      <c r="B786" s="7"/>
      <c r="C786" s="7"/>
      <c r="D786" s="8"/>
      <c r="E786" s="7"/>
      <c r="F786" s="8"/>
      <c r="H786" s="193"/>
      <c r="I786" s="193"/>
      <c r="J786" s="193"/>
    </row>
    <row r="787" ht="19.5" customHeight="1">
      <c r="B787" s="7"/>
      <c r="C787" s="7"/>
      <c r="D787" s="8"/>
      <c r="E787" s="7"/>
      <c r="F787" s="8"/>
      <c r="H787" s="193"/>
      <c r="I787" s="193"/>
      <c r="J787" s="193"/>
    </row>
    <row r="788" ht="19.5" customHeight="1">
      <c r="B788" s="7"/>
      <c r="C788" s="7"/>
      <c r="D788" s="8"/>
      <c r="E788" s="7"/>
      <c r="F788" s="8"/>
      <c r="H788" s="193"/>
      <c r="I788" s="193"/>
      <c r="J788" s="193"/>
    </row>
    <row r="789" ht="19.5" customHeight="1">
      <c r="B789" s="7"/>
      <c r="C789" s="7"/>
      <c r="D789" s="8"/>
      <c r="E789" s="7"/>
      <c r="F789" s="8"/>
      <c r="H789" s="193"/>
      <c r="I789" s="193"/>
      <c r="J789" s="193"/>
    </row>
    <row r="790" ht="19.5" customHeight="1">
      <c r="B790" s="7"/>
      <c r="C790" s="7"/>
      <c r="D790" s="8"/>
      <c r="E790" s="7"/>
      <c r="F790" s="8"/>
      <c r="H790" s="193"/>
      <c r="I790" s="193"/>
      <c r="J790" s="193"/>
    </row>
    <row r="791" ht="19.5" customHeight="1">
      <c r="B791" s="7"/>
      <c r="C791" s="7"/>
      <c r="D791" s="8"/>
      <c r="E791" s="7"/>
      <c r="F791" s="8"/>
      <c r="H791" s="193"/>
      <c r="I791" s="193"/>
      <c r="J791" s="193"/>
    </row>
    <row r="792" ht="19.5" customHeight="1">
      <c r="B792" s="7"/>
      <c r="C792" s="7"/>
      <c r="D792" s="8"/>
      <c r="E792" s="7"/>
      <c r="F792" s="8"/>
      <c r="H792" s="193"/>
      <c r="I792" s="193"/>
      <c r="J792" s="193"/>
    </row>
    <row r="793" ht="19.5" customHeight="1">
      <c r="B793" s="7"/>
      <c r="C793" s="7"/>
      <c r="D793" s="8"/>
      <c r="E793" s="7"/>
      <c r="F793" s="8"/>
      <c r="H793" s="193"/>
      <c r="I793" s="193"/>
      <c r="J793" s="193"/>
    </row>
    <row r="794" ht="19.5" customHeight="1">
      <c r="B794" s="7"/>
      <c r="C794" s="7"/>
      <c r="D794" s="8"/>
      <c r="E794" s="7"/>
      <c r="F794" s="8"/>
      <c r="H794" s="193"/>
      <c r="I794" s="193"/>
      <c r="J794" s="193"/>
    </row>
    <row r="795" ht="19.5" customHeight="1">
      <c r="B795" s="7"/>
      <c r="C795" s="7"/>
      <c r="D795" s="8"/>
      <c r="E795" s="7"/>
      <c r="F795" s="8"/>
      <c r="H795" s="193"/>
      <c r="I795" s="193"/>
      <c r="J795" s="193"/>
    </row>
    <row r="796" ht="19.5" customHeight="1">
      <c r="B796" s="7"/>
      <c r="C796" s="7"/>
      <c r="D796" s="8"/>
      <c r="E796" s="7"/>
      <c r="F796" s="8"/>
      <c r="H796" s="193"/>
      <c r="I796" s="193"/>
      <c r="J796" s="193"/>
    </row>
    <row r="797" ht="19.5" customHeight="1">
      <c r="B797" s="7"/>
      <c r="C797" s="7"/>
      <c r="D797" s="8"/>
      <c r="E797" s="7"/>
      <c r="F797" s="8"/>
      <c r="H797" s="193"/>
      <c r="I797" s="193"/>
      <c r="J797" s="193"/>
    </row>
    <row r="798" ht="19.5" customHeight="1">
      <c r="B798" s="7"/>
      <c r="C798" s="7"/>
      <c r="D798" s="8"/>
      <c r="E798" s="7"/>
      <c r="F798" s="8"/>
      <c r="H798" s="193"/>
      <c r="I798" s="193"/>
      <c r="J798" s="193"/>
    </row>
    <row r="799" ht="19.5" customHeight="1">
      <c r="B799" s="7"/>
      <c r="C799" s="7"/>
      <c r="D799" s="8"/>
      <c r="E799" s="7"/>
      <c r="F799" s="8"/>
      <c r="H799" s="193"/>
      <c r="I799" s="193"/>
      <c r="J799" s="193"/>
    </row>
    <row r="800" ht="19.5" customHeight="1">
      <c r="B800" s="7"/>
      <c r="C800" s="7"/>
      <c r="D800" s="8"/>
      <c r="E800" s="7"/>
      <c r="F800" s="8"/>
      <c r="H800" s="193"/>
      <c r="I800" s="193"/>
      <c r="J800" s="193"/>
    </row>
    <row r="801" ht="19.5" customHeight="1">
      <c r="B801" s="7"/>
      <c r="C801" s="7"/>
      <c r="D801" s="8"/>
      <c r="E801" s="7"/>
      <c r="F801" s="8"/>
      <c r="H801" s="193"/>
      <c r="I801" s="193"/>
      <c r="J801" s="193"/>
    </row>
    <row r="802" ht="19.5" customHeight="1">
      <c r="B802" s="7"/>
      <c r="C802" s="7"/>
      <c r="D802" s="8"/>
      <c r="E802" s="7"/>
      <c r="F802" s="8"/>
      <c r="H802" s="193"/>
      <c r="I802" s="193"/>
      <c r="J802" s="193"/>
    </row>
    <row r="803" ht="19.5" customHeight="1">
      <c r="B803" s="7"/>
      <c r="C803" s="7"/>
      <c r="D803" s="8"/>
      <c r="E803" s="7"/>
      <c r="F803" s="8"/>
      <c r="H803" s="193"/>
      <c r="I803" s="193"/>
      <c r="J803" s="193"/>
    </row>
    <row r="804" ht="19.5" customHeight="1">
      <c r="B804" s="7"/>
      <c r="C804" s="7"/>
      <c r="D804" s="8"/>
      <c r="E804" s="7"/>
      <c r="F804" s="8"/>
      <c r="H804" s="193"/>
      <c r="I804" s="193"/>
      <c r="J804" s="193"/>
    </row>
    <row r="805" ht="19.5" customHeight="1">
      <c r="B805" s="7"/>
      <c r="C805" s="7"/>
      <c r="D805" s="8"/>
      <c r="E805" s="7"/>
      <c r="F805" s="8"/>
      <c r="H805" s="193"/>
      <c r="I805" s="193"/>
      <c r="J805" s="193"/>
    </row>
    <row r="806" ht="19.5" customHeight="1">
      <c r="B806" s="7"/>
      <c r="C806" s="7"/>
      <c r="D806" s="8"/>
      <c r="E806" s="7"/>
      <c r="F806" s="8"/>
      <c r="H806" s="193"/>
      <c r="I806" s="193"/>
      <c r="J806" s="193"/>
    </row>
    <row r="807" ht="19.5" customHeight="1">
      <c r="B807" s="7"/>
      <c r="C807" s="7"/>
      <c r="D807" s="8"/>
      <c r="E807" s="7"/>
      <c r="F807" s="8"/>
      <c r="H807" s="193"/>
      <c r="I807" s="193"/>
      <c r="J807" s="193"/>
    </row>
    <row r="808" ht="19.5" customHeight="1">
      <c r="B808" s="7"/>
      <c r="C808" s="7"/>
      <c r="D808" s="8"/>
      <c r="E808" s="7"/>
      <c r="F808" s="8"/>
      <c r="H808" s="193"/>
      <c r="I808" s="193"/>
      <c r="J808" s="193"/>
    </row>
    <row r="809" ht="19.5" customHeight="1">
      <c r="B809" s="7"/>
      <c r="C809" s="7"/>
      <c r="D809" s="8"/>
      <c r="E809" s="7"/>
      <c r="F809" s="8"/>
      <c r="H809" s="193"/>
      <c r="I809" s="193"/>
      <c r="J809" s="193"/>
    </row>
    <row r="810" ht="19.5" customHeight="1">
      <c r="B810" s="7"/>
      <c r="C810" s="7"/>
      <c r="D810" s="8"/>
      <c r="E810" s="7"/>
      <c r="F810" s="8"/>
      <c r="H810" s="193"/>
      <c r="I810" s="193"/>
      <c r="J810" s="193"/>
    </row>
    <row r="811" ht="19.5" customHeight="1">
      <c r="B811" s="7"/>
      <c r="C811" s="7"/>
      <c r="D811" s="8"/>
      <c r="E811" s="7"/>
      <c r="F811" s="8"/>
      <c r="H811" s="193"/>
      <c r="I811" s="193"/>
      <c r="J811" s="193"/>
    </row>
    <row r="812" ht="19.5" customHeight="1">
      <c r="B812" s="7"/>
      <c r="C812" s="7"/>
      <c r="D812" s="8"/>
      <c r="E812" s="7"/>
      <c r="F812" s="8"/>
      <c r="H812" s="193"/>
      <c r="I812" s="193"/>
      <c r="J812" s="193"/>
    </row>
  </sheetData>
  <conditionalFormatting sqref="A1:V1">
    <cfRule type="notContainsBlanks" dxfId="0" priority="1">
      <formula>LEN(TRIM(A1))&gt;0</formula>
    </cfRule>
  </conditionalFormatting>
  <conditionalFormatting sqref="H1:H812">
    <cfRule type="containsBlanks" dxfId="2" priority="2">
      <formula>LEN(TRIM(H1))=0</formula>
    </cfRule>
  </conditionalFormatting>
  <hyperlinks>
    <hyperlink r:id="rId1" ref="H2"/>
    <hyperlink r:id="rId2" ref="H3"/>
    <hyperlink r:id="rId3" ref="I3"/>
    <hyperlink r:id="rId4" ref="H4"/>
    <hyperlink r:id="rId5" ref="H5"/>
    <hyperlink r:id="rId6" ref="J5"/>
    <hyperlink r:id="rId7" ref="H6"/>
    <hyperlink r:id="rId8" ref="I6"/>
    <hyperlink r:id="rId9" ref="H7"/>
    <hyperlink r:id="rId10" ref="H9"/>
    <hyperlink r:id="rId11" ref="I10"/>
    <hyperlink r:id="rId12" ref="H11"/>
    <hyperlink r:id="rId13" ref="H12"/>
    <hyperlink r:id="rId14" ref="H13"/>
    <hyperlink r:id="rId15" ref="H14"/>
    <hyperlink r:id="rId16" ref="H15"/>
    <hyperlink r:id="rId17" ref="I15"/>
    <hyperlink r:id="rId18" ref="H16"/>
    <hyperlink r:id="rId19" ref="H17"/>
    <hyperlink r:id="rId20" ref="H18"/>
    <hyperlink r:id="rId21" ref="J19"/>
    <hyperlink r:id="rId22" ref="J20"/>
    <hyperlink r:id="rId23" ref="I21"/>
    <hyperlink r:id="rId24" ref="H22"/>
    <hyperlink r:id="rId25" ref="H23"/>
    <hyperlink r:id="rId26" ref="I23"/>
    <hyperlink r:id="rId27" ref="H24"/>
    <hyperlink r:id="rId28" ref="H25"/>
    <hyperlink r:id="rId29" ref="I25"/>
    <hyperlink r:id="rId30" ref="J25"/>
    <hyperlink r:id="rId31" ref="H26"/>
    <hyperlink r:id="rId32" ref="H27"/>
    <hyperlink r:id="rId33" ref="H28"/>
    <hyperlink r:id="rId34" ref="H29"/>
    <hyperlink r:id="rId35" ref="H30"/>
    <hyperlink r:id="rId36" ref="I30"/>
    <hyperlink r:id="rId37" ref="J30"/>
    <hyperlink r:id="rId38" ref="H31"/>
    <hyperlink r:id="rId39" ref="H32"/>
    <hyperlink r:id="rId40" ref="J33"/>
    <hyperlink r:id="rId41" ref="H34"/>
    <hyperlink r:id="rId42" ref="H35"/>
    <hyperlink r:id="rId43" ref="J36"/>
    <hyperlink r:id="rId44" ref="I37"/>
    <hyperlink r:id="rId45" ref="H38"/>
    <hyperlink r:id="rId46" ref="I38"/>
    <hyperlink r:id="rId47" ref="J38"/>
    <hyperlink r:id="rId48" ref="H39"/>
    <hyperlink r:id="rId49" ref="H40"/>
    <hyperlink r:id="rId50" ref="H41"/>
    <hyperlink r:id="rId51" ref="I41"/>
    <hyperlink r:id="rId52" ref="H42"/>
    <hyperlink r:id="rId53" ref="H43"/>
    <hyperlink r:id="rId54" ref="H44"/>
    <hyperlink r:id="rId55" ref="J45"/>
    <hyperlink r:id="rId56" ref="H46"/>
    <hyperlink r:id="rId57" ref="H47"/>
    <hyperlink r:id="rId58" ref="H48"/>
    <hyperlink r:id="rId59" ref="I48"/>
    <hyperlink r:id="rId60" ref="H49"/>
    <hyperlink r:id="rId61" ref="H50"/>
    <hyperlink r:id="rId62" ref="J50"/>
    <hyperlink r:id="rId63" ref="K50"/>
    <hyperlink r:id="rId64" ref="H51"/>
    <hyperlink r:id="rId65" ref="H52"/>
    <hyperlink r:id="rId66" ref="J53"/>
    <hyperlink r:id="rId67" ref="H54"/>
    <hyperlink r:id="rId68" ref="H55"/>
    <hyperlink r:id="rId69" ref="H56"/>
    <hyperlink r:id="rId70" ref="H57"/>
    <hyperlink r:id="rId71" ref="H58"/>
    <hyperlink r:id="rId72" ref="J58"/>
    <hyperlink r:id="rId73" ref="H59"/>
    <hyperlink r:id="rId74" ref="H60"/>
    <hyperlink r:id="rId75" ref="H61"/>
    <hyperlink r:id="rId76" ref="H62"/>
    <hyperlink r:id="rId77" ref="I62"/>
    <hyperlink r:id="rId78" ref="J62"/>
    <hyperlink r:id="rId79" ref="H63"/>
    <hyperlink r:id="rId80" ref="H64"/>
    <hyperlink r:id="rId81" ref="H65"/>
    <hyperlink r:id="rId82" ref="H66"/>
    <hyperlink r:id="rId83" ref="H67"/>
    <hyperlink r:id="rId84" ref="H68"/>
    <hyperlink r:id="rId85" ref="H69"/>
    <hyperlink r:id="rId86" ref="J70"/>
    <hyperlink r:id="rId87" ref="H71"/>
    <hyperlink r:id="rId88" ref="I71"/>
    <hyperlink r:id="rId89" ref="H72"/>
    <hyperlink r:id="rId90" ref="I72"/>
    <hyperlink r:id="rId91" ref="H73"/>
    <hyperlink r:id="rId92" ref="H74"/>
    <hyperlink r:id="rId93" ref="H75"/>
    <hyperlink r:id="rId94" ref="H76"/>
    <hyperlink r:id="rId95" ref="H77"/>
    <hyperlink r:id="rId96" ref="H78"/>
    <hyperlink r:id="rId97" ref="J78"/>
    <hyperlink r:id="rId98" ref="H79"/>
    <hyperlink r:id="rId99" ref="H80"/>
    <hyperlink r:id="rId100" ref="H81"/>
    <hyperlink r:id="rId101" ref="H82"/>
    <hyperlink r:id="rId102" ref="H83"/>
    <hyperlink r:id="rId103" ref="H84"/>
    <hyperlink r:id="rId104" ref="H85"/>
    <hyperlink r:id="rId105" ref="H86"/>
    <hyperlink r:id="rId106" ref="H87"/>
    <hyperlink r:id="rId107" ref="H88"/>
    <hyperlink r:id="rId108" ref="I88"/>
    <hyperlink r:id="rId109" ref="H89"/>
    <hyperlink r:id="rId110" ref="H90"/>
    <hyperlink r:id="rId111" ref="H91"/>
    <hyperlink r:id="rId112" ref="H92"/>
    <hyperlink r:id="rId113" ref="H93"/>
    <hyperlink r:id="rId114" ref="I93"/>
    <hyperlink r:id="rId115" ref="H94"/>
    <hyperlink r:id="rId116" ref="I94"/>
    <hyperlink r:id="rId117" ref="J94"/>
    <hyperlink r:id="rId118" ref="J95"/>
    <hyperlink r:id="rId119" ref="H96"/>
    <hyperlink r:id="rId120" ref="J96"/>
    <hyperlink r:id="rId121" ref="H97"/>
    <hyperlink r:id="rId122" ref="H98"/>
    <hyperlink r:id="rId123" ref="J98"/>
    <hyperlink r:id="rId124" ref="H99"/>
    <hyperlink r:id="rId125" ref="H100"/>
    <hyperlink r:id="rId126" ref="H101"/>
    <hyperlink r:id="rId127" ref="H102"/>
    <hyperlink r:id="rId128" ref="H103"/>
    <hyperlink r:id="rId129" ref="H104"/>
    <hyperlink r:id="rId130" ref="H105"/>
    <hyperlink r:id="rId131" ref="J106"/>
    <hyperlink r:id="rId132" ref="H107"/>
    <hyperlink r:id="rId133" ref="H108"/>
    <hyperlink r:id="rId134" ref="H109"/>
    <hyperlink r:id="rId135" ref="J109"/>
    <hyperlink r:id="rId136" ref="H110"/>
    <hyperlink r:id="rId137" ref="I110"/>
    <hyperlink r:id="rId138" ref="H111"/>
    <hyperlink r:id="rId139" ref="I111"/>
    <hyperlink r:id="rId140" ref="H112"/>
    <hyperlink r:id="rId141" ref="H113"/>
    <hyperlink r:id="rId142" ref="H114"/>
    <hyperlink r:id="rId143" ref="J114"/>
    <hyperlink r:id="rId144" ref="H115"/>
    <hyperlink r:id="rId145" ref="H116"/>
    <hyperlink r:id="rId146" ref="H117"/>
    <hyperlink r:id="rId147" ref="I117"/>
    <hyperlink r:id="rId148" ref="J117"/>
    <hyperlink r:id="rId149" ref="H118"/>
    <hyperlink r:id="rId150" ref="J118"/>
    <hyperlink r:id="rId151" ref="H119"/>
    <hyperlink r:id="rId152" ref="H120"/>
    <hyperlink r:id="rId153" ref="H121"/>
    <hyperlink r:id="rId154" ref="H122"/>
    <hyperlink r:id="rId155" ref="I122"/>
    <hyperlink r:id="rId156" ref="H123"/>
    <hyperlink r:id="rId157" ref="J124"/>
    <hyperlink r:id="rId158" ref="H125"/>
    <hyperlink r:id="rId159" ref="H126"/>
    <hyperlink r:id="rId160" ref="I126"/>
    <hyperlink r:id="rId161" ref="H127"/>
    <hyperlink r:id="rId162" ref="J127"/>
    <hyperlink r:id="rId163" ref="H128"/>
    <hyperlink r:id="rId164" ref="H129"/>
    <hyperlink r:id="rId165" ref="J129"/>
    <hyperlink r:id="rId166" ref="H130"/>
    <hyperlink r:id="rId167" ref="J130"/>
    <hyperlink r:id="rId168" ref="H131"/>
    <hyperlink r:id="rId169" ref="H132"/>
    <hyperlink r:id="rId170" ref="H133"/>
    <hyperlink r:id="rId171" ref="I133"/>
    <hyperlink r:id="rId172" ref="H134"/>
    <hyperlink r:id="rId173" ref="H135"/>
    <hyperlink r:id="rId174" ref="I135"/>
    <hyperlink r:id="rId175" ref="H136"/>
    <hyperlink r:id="rId176" ref="H137"/>
    <hyperlink r:id="rId177" ref="I137"/>
    <hyperlink r:id="rId178" ref="H138"/>
    <hyperlink r:id="rId179" ref="H139"/>
    <hyperlink r:id="rId180" ref="H140"/>
    <hyperlink r:id="rId181" ref="H141"/>
    <hyperlink r:id="rId182" ref="I141"/>
    <hyperlink r:id="rId183" ref="H142"/>
    <hyperlink r:id="rId184" ref="H143"/>
    <hyperlink r:id="rId185" ref="H144"/>
    <hyperlink r:id="rId186" ref="H145"/>
    <hyperlink r:id="rId187" ref="I145"/>
    <hyperlink r:id="rId188" ref="H146"/>
    <hyperlink r:id="rId189" ref="H147"/>
    <hyperlink r:id="rId190" ref="H148"/>
    <hyperlink r:id="rId191" ref="I148"/>
    <hyperlink r:id="rId192" ref="H149"/>
    <hyperlink r:id="rId193" ref="H150"/>
    <hyperlink r:id="rId194" ref="H151"/>
    <hyperlink r:id="rId195" ref="I151"/>
    <hyperlink r:id="rId196" ref="J151"/>
    <hyperlink r:id="rId197" ref="H152"/>
    <hyperlink r:id="rId198" ref="J152"/>
    <hyperlink r:id="rId199" ref="H153"/>
    <hyperlink r:id="rId200" ref="H154"/>
    <hyperlink r:id="rId201" ref="H155"/>
    <hyperlink r:id="rId202" ref="H156"/>
    <hyperlink r:id="rId203" ref="J156"/>
    <hyperlink r:id="rId204" ref="H157"/>
    <hyperlink r:id="rId205" ref="H158"/>
    <hyperlink r:id="rId206" ref="H159"/>
    <hyperlink r:id="rId207" ref="I159"/>
    <hyperlink r:id="rId208" ref="H160"/>
    <hyperlink r:id="rId209" ref="J160"/>
    <hyperlink r:id="rId210" ref="H161"/>
    <hyperlink r:id="rId211" ref="H162"/>
    <hyperlink r:id="rId212" ref="H163"/>
    <hyperlink r:id="rId213" ref="H164"/>
    <hyperlink r:id="rId214" ref="H165"/>
    <hyperlink r:id="rId215" ref="H166"/>
    <hyperlink r:id="rId216" ref="I166"/>
    <hyperlink r:id="rId217" ref="H167"/>
    <hyperlink r:id="rId218" ref="H168"/>
    <hyperlink r:id="rId219" ref="J168"/>
    <hyperlink r:id="rId220" ref="H169"/>
    <hyperlink r:id="rId221" ref="H170"/>
    <hyperlink r:id="rId222" ref="H171"/>
    <hyperlink r:id="rId223" ref="H172"/>
    <hyperlink r:id="rId224" ref="H173"/>
    <hyperlink r:id="rId225" ref="H174"/>
    <hyperlink r:id="rId226" ref="K174"/>
    <hyperlink r:id="rId227" ref="H175"/>
    <hyperlink r:id="rId228" ref="J175"/>
    <hyperlink r:id="rId229" ref="H176"/>
    <hyperlink r:id="rId230" ref="H177"/>
    <hyperlink r:id="rId231" ref="H178"/>
    <hyperlink r:id="rId232" ref="J178"/>
    <hyperlink r:id="rId233" ref="H179"/>
    <hyperlink r:id="rId234" ref="I179"/>
    <hyperlink r:id="rId235" ref="J179"/>
    <hyperlink r:id="rId236" ref="H180"/>
    <hyperlink r:id="rId237" ref="H181"/>
    <hyperlink r:id="rId238" ref="H182"/>
    <hyperlink r:id="rId239" ref="H183"/>
    <hyperlink r:id="rId240" ref="H184"/>
    <hyperlink r:id="rId241" ref="H185"/>
    <hyperlink r:id="rId242" ref="J185"/>
    <hyperlink r:id="rId243" ref="H186"/>
    <hyperlink r:id="rId244" ref="H187"/>
    <hyperlink r:id="rId245" ref="I187"/>
    <hyperlink r:id="rId246" ref="H188"/>
    <hyperlink r:id="rId247" ref="H189"/>
    <hyperlink r:id="rId248" ref="H190"/>
    <hyperlink r:id="rId249" ref="H191"/>
    <hyperlink r:id="rId250" ref="I191"/>
    <hyperlink r:id="rId251" ref="J192"/>
    <hyperlink r:id="rId252" ref="I193"/>
    <hyperlink r:id="rId253" ref="H194"/>
    <hyperlink r:id="rId254" ref="I194"/>
    <hyperlink r:id="rId255" ref="J194"/>
    <hyperlink r:id="rId256" ref="H195"/>
    <hyperlink r:id="rId257" ref="J196"/>
    <hyperlink r:id="rId258" ref="J197"/>
    <hyperlink r:id="rId259" ref="I198"/>
    <hyperlink r:id="rId260" ref="J199"/>
    <hyperlink r:id="rId261" ref="J200"/>
    <hyperlink r:id="rId262" ref="H201"/>
    <hyperlink r:id="rId263" ref="J201"/>
    <hyperlink r:id="rId264" ref="J202"/>
    <hyperlink r:id="rId265" ref="J203"/>
    <hyperlink r:id="rId266" ref="J204"/>
    <hyperlink r:id="rId267" ref="J205"/>
    <hyperlink r:id="rId268" ref="I206"/>
    <hyperlink r:id="rId269" ref="H207"/>
    <hyperlink r:id="rId270" ref="H208"/>
    <hyperlink r:id="rId271" ref="H209"/>
    <hyperlink r:id="rId272" ref="J210"/>
    <hyperlink r:id="rId273" ref="J211"/>
  </hyperlinks>
  <drawing r:id="rId27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9.38"/>
    <col customWidth="1" min="3" max="3" width="28.5"/>
    <col customWidth="1" min="4" max="4" width="8.0"/>
    <col customWidth="1" min="5" max="5" width="11.63"/>
    <col customWidth="1" min="6" max="6" width="7.88"/>
    <col customWidth="1" min="7" max="7" width="3.0"/>
    <col customWidth="1" min="8" max="8" width="47.5"/>
    <col customWidth="1" min="9" max="9" width="31.75"/>
    <col customWidth="1" min="10" max="10" width="40.88"/>
    <col customWidth="1" min="11" max="11" width="4.88"/>
    <col customWidth="1" min="12" max="12" width="3.88"/>
    <col customWidth="1" min="13" max="13" width="7.25"/>
    <col customWidth="1" min="14" max="14" width="4.38"/>
    <col customWidth="1" min="15" max="15" width="4.5"/>
    <col customWidth="1" min="16" max="16" width="4.13"/>
    <col customWidth="1" min="17" max="17" width="5.13"/>
    <col customWidth="1" min="18" max="18" width="4.25"/>
    <col customWidth="1" min="19" max="19" width="4.5"/>
  </cols>
  <sheetData>
    <row r="1" ht="22.5" customHeight="1">
      <c r="A1" s="210" t="s">
        <v>6111</v>
      </c>
      <c r="B1" s="211" t="s">
        <v>1</v>
      </c>
      <c r="C1" s="211" t="s">
        <v>2</v>
      </c>
      <c r="D1" s="211" t="s">
        <v>3</v>
      </c>
      <c r="E1" s="211" t="s">
        <v>4</v>
      </c>
      <c r="F1" s="210" t="s">
        <v>5</v>
      </c>
      <c r="G1" s="210" t="s">
        <v>6</v>
      </c>
      <c r="H1" s="210" t="s">
        <v>7</v>
      </c>
      <c r="I1" s="210" t="s">
        <v>8</v>
      </c>
      <c r="J1" s="210" t="s">
        <v>9</v>
      </c>
      <c r="K1" s="210" t="s">
        <v>10</v>
      </c>
      <c r="L1" s="210" t="s">
        <v>11</v>
      </c>
      <c r="M1" s="210" t="s">
        <v>12</v>
      </c>
      <c r="N1" s="210" t="s">
        <v>13</v>
      </c>
      <c r="O1" s="210" t="s">
        <v>14</v>
      </c>
      <c r="P1" s="210" t="s">
        <v>15</v>
      </c>
      <c r="Q1" s="210" t="s">
        <v>16</v>
      </c>
      <c r="R1" s="210" t="s">
        <v>17</v>
      </c>
      <c r="S1" s="210" t="s">
        <v>18</v>
      </c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</row>
    <row r="2" ht="22.5" customHeight="1">
      <c r="A2" s="74">
        <v>1124.0</v>
      </c>
      <c r="B2" s="211" t="s">
        <v>20</v>
      </c>
      <c r="C2" s="28" t="s">
        <v>7435</v>
      </c>
      <c r="D2" s="211" t="s">
        <v>177</v>
      </c>
      <c r="E2" s="28" t="s">
        <v>7766</v>
      </c>
      <c r="F2" s="213"/>
      <c r="G2" s="213"/>
      <c r="H2" s="214" t="s">
        <v>7767</v>
      </c>
      <c r="I2" s="215"/>
      <c r="J2" s="215"/>
      <c r="K2" s="213"/>
      <c r="L2" s="213"/>
      <c r="M2" s="213"/>
      <c r="N2" s="213"/>
      <c r="O2" s="213"/>
      <c r="P2" s="213"/>
      <c r="Q2" s="213"/>
      <c r="R2" s="213"/>
      <c r="S2" s="213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</row>
    <row r="3" ht="22.5" customHeight="1">
      <c r="A3" s="74">
        <v>1129.0</v>
      </c>
      <c r="B3" s="211" t="s">
        <v>20</v>
      </c>
      <c r="C3" s="28" t="s">
        <v>3662</v>
      </c>
      <c r="D3" s="211" t="s">
        <v>177</v>
      </c>
      <c r="E3" s="211" t="s">
        <v>7768</v>
      </c>
      <c r="F3" s="210" t="s">
        <v>7769</v>
      </c>
      <c r="G3" s="213"/>
      <c r="H3" s="216" t="s">
        <v>7770</v>
      </c>
      <c r="I3" s="215"/>
      <c r="J3" s="215"/>
      <c r="K3" s="213"/>
      <c r="L3" s="213"/>
      <c r="M3" s="213"/>
      <c r="N3" s="213"/>
      <c r="O3" s="213"/>
      <c r="P3" s="213"/>
      <c r="Q3" s="213"/>
      <c r="R3" s="213"/>
      <c r="S3" s="213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2"/>
    </row>
    <row r="4" ht="22.5" customHeight="1">
      <c r="A4" s="74">
        <v>1130.0</v>
      </c>
      <c r="B4" s="211" t="s">
        <v>20</v>
      </c>
      <c r="C4" s="28" t="s">
        <v>4055</v>
      </c>
      <c r="D4" s="211" t="s">
        <v>177</v>
      </c>
      <c r="E4" s="28" t="s">
        <v>7771</v>
      </c>
      <c r="F4" s="28" t="s">
        <v>7772</v>
      </c>
      <c r="G4" s="213"/>
      <c r="H4" s="214" t="s">
        <v>7773</v>
      </c>
      <c r="I4" s="215"/>
      <c r="J4" s="215"/>
      <c r="K4" s="213"/>
      <c r="L4" s="213"/>
      <c r="M4" s="213"/>
      <c r="N4" s="213"/>
      <c r="O4" s="213"/>
      <c r="P4" s="213"/>
      <c r="Q4" s="213"/>
      <c r="R4" s="213"/>
      <c r="S4" s="213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</row>
    <row r="5" ht="22.5" customHeight="1">
      <c r="A5" s="74">
        <v>1132.0</v>
      </c>
      <c r="B5" s="211" t="s">
        <v>20</v>
      </c>
      <c r="C5" s="28" t="s">
        <v>74</v>
      </c>
      <c r="D5" s="211" t="s">
        <v>177</v>
      </c>
      <c r="E5" s="211" t="s">
        <v>7774</v>
      </c>
      <c r="F5" s="213"/>
      <c r="G5" s="213"/>
      <c r="H5" s="216" t="s">
        <v>7775</v>
      </c>
      <c r="I5" s="215"/>
      <c r="J5" s="215"/>
      <c r="K5" s="213"/>
      <c r="L5" s="213"/>
      <c r="M5" s="213"/>
      <c r="N5" s="213"/>
      <c r="O5" s="213"/>
      <c r="P5" s="213"/>
      <c r="Q5" s="213"/>
      <c r="R5" s="213"/>
      <c r="S5" s="213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</row>
    <row r="6" ht="22.5" customHeight="1">
      <c r="A6" s="74">
        <v>1142.0</v>
      </c>
      <c r="B6" s="211" t="s">
        <v>20</v>
      </c>
      <c r="C6" s="28" t="s">
        <v>7776</v>
      </c>
      <c r="D6" s="211" t="s">
        <v>177</v>
      </c>
      <c r="E6" s="211" t="s">
        <v>177</v>
      </c>
      <c r="F6" s="213"/>
      <c r="G6" s="213"/>
      <c r="H6" s="216" t="s">
        <v>7777</v>
      </c>
      <c r="I6" s="217"/>
      <c r="J6" s="215"/>
      <c r="K6" s="213"/>
      <c r="L6" s="213"/>
      <c r="M6" s="213"/>
      <c r="N6" s="213"/>
      <c r="O6" s="213"/>
      <c r="P6" s="213"/>
      <c r="Q6" s="213"/>
      <c r="R6" s="213"/>
      <c r="S6" s="213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</row>
    <row r="7" ht="22.5" customHeight="1">
      <c r="A7" s="74">
        <v>1149.0</v>
      </c>
      <c r="B7" s="211" t="s">
        <v>20</v>
      </c>
      <c r="C7" s="28" t="s">
        <v>7778</v>
      </c>
      <c r="D7" s="211" t="s">
        <v>177</v>
      </c>
      <c r="E7" s="211" t="s">
        <v>177</v>
      </c>
      <c r="F7" s="213"/>
      <c r="G7" s="213"/>
      <c r="H7" s="216" t="s">
        <v>7779</v>
      </c>
      <c r="I7" s="218"/>
      <c r="J7" s="215"/>
      <c r="K7" s="213"/>
      <c r="L7" s="213"/>
      <c r="M7" s="213"/>
      <c r="N7" s="213"/>
      <c r="O7" s="213"/>
      <c r="P7" s="213"/>
      <c r="Q7" s="213"/>
      <c r="R7" s="213"/>
      <c r="S7" s="213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</row>
    <row r="8" ht="22.5" customHeight="1">
      <c r="A8" s="74">
        <v>1151.0</v>
      </c>
      <c r="B8" s="211" t="s">
        <v>20</v>
      </c>
      <c r="C8" s="28" t="s">
        <v>7780</v>
      </c>
      <c r="D8" s="211" t="s">
        <v>177</v>
      </c>
      <c r="E8" s="211" t="s">
        <v>177</v>
      </c>
      <c r="F8" s="213"/>
      <c r="G8" s="213"/>
      <c r="H8" s="216" t="s">
        <v>7781</v>
      </c>
      <c r="I8" s="215"/>
      <c r="J8" s="215"/>
      <c r="K8" s="213"/>
      <c r="L8" s="213"/>
      <c r="M8" s="213"/>
      <c r="N8" s="213"/>
      <c r="O8" s="213"/>
      <c r="P8" s="213"/>
      <c r="Q8" s="213"/>
      <c r="R8" s="213"/>
      <c r="S8" s="213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</row>
    <row r="9" ht="22.5" customHeight="1">
      <c r="A9" s="74">
        <v>1156.0</v>
      </c>
      <c r="B9" s="211" t="s">
        <v>20</v>
      </c>
      <c r="C9" s="28" t="s">
        <v>760</v>
      </c>
      <c r="D9" s="211" t="s">
        <v>177</v>
      </c>
      <c r="E9" s="211" t="s">
        <v>177</v>
      </c>
      <c r="F9" s="213"/>
      <c r="G9" s="213"/>
      <c r="H9" s="216" t="s">
        <v>7782</v>
      </c>
      <c r="I9" s="215"/>
      <c r="J9" s="217"/>
      <c r="K9" s="213"/>
      <c r="L9" s="213"/>
      <c r="M9" s="213"/>
      <c r="N9" s="213"/>
      <c r="O9" s="213"/>
      <c r="P9" s="213"/>
      <c r="Q9" s="213"/>
      <c r="R9" s="213"/>
      <c r="S9" s="213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</row>
    <row r="10" ht="22.5" customHeight="1">
      <c r="A10" s="219">
        <v>1158.0</v>
      </c>
      <c r="B10" s="211" t="s">
        <v>20</v>
      </c>
      <c r="C10" s="28" t="s">
        <v>7783</v>
      </c>
      <c r="D10" s="211" t="s">
        <v>177</v>
      </c>
      <c r="E10" s="211" t="s">
        <v>177</v>
      </c>
      <c r="F10" s="213"/>
      <c r="G10" s="213"/>
      <c r="H10" s="214" t="s">
        <v>7784</v>
      </c>
      <c r="I10" s="215"/>
      <c r="J10" s="216" t="s">
        <v>7785</v>
      </c>
      <c r="K10" s="213"/>
      <c r="L10" s="213"/>
      <c r="M10" s="213"/>
      <c r="N10" s="213"/>
      <c r="O10" s="213"/>
      <c r="P10" s="213"/>
      <c r="Q10" s="213"/>
      <c r="R10" s="213"/>
      <c r="S10" s="213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</row>
    <row r="11" ht="22.5" customHeight="1">
      <c r="A11" s="74">
        <v>1166.0</v>
      </c>
      <c r="B11" s="211" t="s">
        <v>20</v>
      </c>
      <c r="C11" s="28" t="s">
        <v>7786</v>
      </c>
      <c r="D11" s="211" t="s">
        <v>177</v>
      </c>
      <c r="E11" s="211" t="s">
        <v>177</v>
      </c>
      <c r="F11" s="213"/>
      <c r="G11" s="213"/>
      <c r="H11" s="214" t="s">
        <v>7787</v>
      </c>
      <c r="I11" s="216" t="s">
        <v>7788</v>
      </c>
      <c r="J11" s="215"/>
      <c r="K11" s="213"/>
      <c r="L11" s="213"/>
      <c r="M11" s="213"/>
      <c r="N11" s="213"/>
      <c r="O11" s="213"/>
      <c r="P11" s="213"/>
      <c r="Q11" s="213"/>
      <c r="R11" s="213"/>
      <c r="S11" s="213"/>
      <c r="T11" s="212"/>
      <c r="U11" s="212"/>
      <c r="V11" s="212"/>
      <c r="W11" s="212"/>
      <c r="X11" s="212"/>
      <c r="Y11" s="212"/>
      <c r="Z11" s="212"/>
      <c r="AA11" s="212"/>
      <c r="AB11" s="212"/>
      <c r="AC11" s="212"/>
      <c r="AD11" s="212"/>
    </row>
    <row r="12" ht="22.5" customHeight="1">
      <c r="A12" s="74">
        <v>1167.0</v>
      </c>
      <c r="B12" s="211" t="s">
        <v>20</v>
      </c>
      <c r="C12" s="28" t="s">
        <v>3705</v>
      </c>
      <c r="D12" s="211" t="s">
        <v>177</v>
      </c>
      <c r="E12" s="211" t="s">
        <v>177</v>
      </c>
      <c r="F12" s="213"/>
      <c r="G12" s="219" t="s">
        <v>318</v>
      </c>
      <c r="H12" s="214" t="s">
        <v>7789</v>
      </c>
      <c r="I12" s="215"/>
      <c r="J12" s="216" t="s">
        <v>7790</v>
      </c>
      <c r="K12" s="213"/>
      <c r="L12" s="213"/>
      <c r="M12" s="210" t="s">
        <v>7791</v>
      </c>
      <c r="N12" s="213"/>
      <c r="O12" s="213"/>
      <c r="P12" s="213"/>
      <c r="Q12" s="213"/>
      <c r="R12" s="213"/>
      <c r="S12" s="213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</row>
    <row r="13" ht="22.5" customHeight="1">
      <c r="A13" s="74">
        <v>1168.0</v>
      </c>
      <c r="B13" s="211" t="s">
        <v>20</v>
      </c>
      <c r="C13" s="28" t="s">
        <v>7792</v>
      </c>
      <c r="D13" s="211" t="s">
        <v>177</v>
      </c>
      <c r="E13" s="211" t="s">
        <v>177</v>
      </c>
      <c r="F13" s="213"/>
      <c r="G13" s="213"/>
      <c r="H13" s="216" t="s">
        <v>7793</v>
      </c>
      <c r="I13" s="215"/>
      <c r="J13" s="215"/>
      <c r="K13" s="213"/>
      <c r="L13" s="213"/>
      <c r="M13" s="213"/>
      <c r="N13" s="213"/>
      <c r="O13" s="213"/>
      <c r="P13" s="213"/>
      <c r="Q13" s="213"/>
      <c r="R13" s="213"/>
      <c r="S13" s="213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</row>
    <row r="14" ht="22.5" customHeight="1">
      <c r="A14" s="74">
        <v>1169.0</v>
      </c>
      <c r="B14" s="211" t="s">
        <v>20</v>
      </c>
      <c r="C14" s="28" t="s">
        <v>7794</v>
      </c>
      <c r="D14" s="211" t="s">
        <v>177</v>
      </c>
      <c r="E14" s="211" t="s">
        <v>177</v>
      </c>
      <c r="F14" s="213"/>
      <c r="G14" s="213"/>
      <c r="H14" s="216" t="s">
        <v>7795</v>
      </c>
      <c r="I14" s="215"/>
      <c r="J14" s="215"/>
      <c r="K14" s="213"/>
      <c r="L14" s="213"/>
      <c r="M14" s="213"/>
      <c r="N14" s="213"/>
      <c r="O14" s="213"/>
      <c r="P14" s="213"/>
      <c r="Q14" s="213"/>
      <c r="R14" s="213"/>
      <c r="S14" s="213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</row>
    <row r="15" ht="22.5" customHeight="1">
      <c r="A15" s="74">
        <v>1173.0</v>
      </c>
      <c r="B15" s="211" t="s">
        <v>20</v>
      </c>
      <c r="C15" s="28" t="s">
        <v>7796</v>
      </c>
      <c r="D15" s="211" t="s">
        <v>177</v>
      </c>
      <c r="E15" s="28" t="s">
        <v>7797</v>
      </c>
      <c r="F15" s="213"/>
      <c r="G15" s="213"/>
      <c r="H15" s="215"/>
      <c r="I15" s="215"/>
      <c r="J15" s="216" t="s">
        <v>7798</v>
      </c>
      <c r="K15" s="213"/>
      <c r="L15" s="213"/>
      <c r="M15" s="213"/>
      <c r="N15" s="213"/>
      <c r="O15" s="213"/>
      <c r="P15" s="213"/>
      <c r="Q15" s="213"/>
      <c r="R15" s="213"/>
      <c r="S15" s="213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</row>
    <row r="16" ht="22.5" customHeight="1">
      <c r="A16" s="74">
        <v>1176.0</v>
      </c>
      <c r="B16" s="211" t="s">
        <v>20</v>
      </c>
      <c r="C16" s="28" t="s">
        <v>7799</v>
      </c>
      <c r="D16" s="211" t="s">
        <v>177</v>
      </c>
      <c r="E16" s="211" t="s">
        <v>177</v>
      </c>
      <c r="F16" s="213"/>
      <c r="G16" s="213"/>
      <c r="H16" s="214" t="s">
        <v>7800</v>
      </c>
      <c r="I16" s="216" t="s">
        <v>7801</v>
      </c>
      <c r="J16" s="215"/>
      <c r="K16" s="213"/>
      <c r="L16" s="213"/>
      <c r="M16" s="213"/>
      <c r="N16" s="213"/>
      <c r="O16" s="213"/>
      <c r="P16" s="213"/>
      <c r="Q16" s="213"/>
      <c r="R16" s="213"/>
      <c r="S16" s="213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</row>
    <row r="17" ht="22.5" customHeight="1">
      <c r="A17" s="219">
        <v>1177.0</v>
      </c>
      <c r="B17" s="211" t="s">
        <v>20</v>
      </c>
      <c r="C17" s="28" t="s">
        <v>7802</v>
      </c>
      <c r="D17" s="211" t="s">
        <v>177</v>
      </c>
      <c r="E17" s="211" t="s">
        <v>177</v>
      </c>
      <c r="F17" s="213"/>
      <c r="G17" s="213"/>
      <c r="H17" s="214" t="s">
        <v>7803</v>
      </c>
      <c r="I17" s="216" t="s">
        <v>7804</v>
      </c>
      <c r="J17" s="215"/>
      <c r="K17" s="213"/>
      <c r="L17" s="213"/>
      <c r="M17" s="213"/>
      <c r="N17" s="213"/>
      <c r="O17" s="213"/>
      <c r="P17" s="213"/>
      <c r="Q17" s="213"/>
      <c r="R17" s="213"/>
      <c r="S17" s="213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</row>
    <row r="18" ht="22.5" customHeight="1">
      <c r="A18" s="219">
        <v>1179.0</v>
      </c>
      <c r="B18" s="211" t="s">
        <v>20</v>
      </c>
      <c r="C18" s="211" t="s">
        <v>7805</v>
      </c>
      <c r="D18" s="211" t="s">
        <v>177</v>
      </c>
      <c r="E18" s="211" t="s">
        <v>177</v>
      </c>
      <c r="F18" s="213"/>
      <c r="G18" s="213"/>
      <c r="H18" s="214" t="s">
        <v>7806</v>
      </c>
      <c r="I18" s="215"/>
      <c r="J18" s="215"/>
      <c r="K18" s="213"/>
      <c r="L18" s="213"/>
      <c r="M18" s="213"/>
      <c r="N18" s="213"/>
      <c r="O18" s="213"/>
      <c r="P18" s="213"/>
      <c r="Q18" s="213"/>
      <c r="R18" s="213"/>
      <c r="S18" s="213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</row>
    <row r="19" ht="22.5" customHeight="1">
      <c r="A19" s="219">
        <v>1185.0</v>
      </c>
      <c r="B19" s="211" t="s">
        <v>20</v>
      </c>
      <c r="C19" s="211" t="s">
        <v>205</v>
      </c>
      <c r="D19" s="211" t="s">
        <v>177</v>
      </c>
      <c r="E19" s="211" t="s">
        <v>177</v>
      </c>
      <c r="F19" s="213"/>
      <c r="G19" s="213"/>
      <c r="H19" s="214" t="s">
        <v>7807</v>
      </c>
      <c r="I19" s="216" t="s">
        <v>7808</v>
      </c>
      <c r="J19" s="216" t="s">
        <v>7809</v>
      </c>
      <c r="K19" s="213"/>
      <c r="L19" s="213"/>
      <c r="M19" s="213"/>
      <c r="N19" s="213"/>
      <c r="O19" s="213"/>
      <c r="P19" s="213"/>
      <c r="Q19" s="213"/>
      <c r="R19" s="213"/>
      <c r="S19" s="213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</row>
    <row r="20" ht="22.5" customHeight="1">
      <c r="A20" s="219">
        <v>1186.0</v>
      </c>
      <c r="B20" s="211" t="s">
        <v>20</v>
      </c>
      <c r="C20" s="211" t="s">
        <v>7810</v>
      </c>
      <c r="D20" s="211" t="s">
        <v>177</v>
      </c>
      <c r="E20" s="211" t="s">
        <v>177</v>
      </c>
      <c r="F20" s="213"/>
      <c r="G20" s="213"/>
      <c r="H20" s="214" t="s">
        <v>7811</v>
      </c>
      <c r="I20" s="215"/>
      <c r="J20" s="215"/>
      <c r="K20" s="213"/>
      <c r="L20" s="213"/>
      <c r="M20" s="213"/>
      <c r="N20" s="213"/>
      <c r="O20" s="213"/>
      <c r="P20" s="213"/>
      <c r="Q20" s="213"/>
      <c r="R20" s="213"/>
      <c r="S20" s="213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</row>
    <row r="21" ht="22.5" customHeight="1">
      <c r="A21" s="219">
        <v>1188.0</v>
      </c>
      <c r="B21" s="211" t="s">
        <v>20</v>
      </c>
      <c r="C21" s="211" t="s">
        <v>7812</v>
      </c>
      <c r="D21" s="211" t="s">
        <v>177</v>
      </c>
      <c r="E21" s="211" t="s">
        <v>177</v>
      </c>
      <c r="F21" s="213"/>
      <c r="G21" s="213"/>
      <c r="H21" s="214" t="s">
        <v>7813</v>
      </c>
      <c r="I21" s="215"/>
      <c r="J21" s="216" t="s">
        <v>7814</v>
      </c>
      <c r="K21" s="213"/>
      <c r="L21" s="213"/>
      <c r="M21" s="213"/>
      <c r="N21" s="213"/>
      <c r="O21" s="213"/>
      <c r="P21" s="213"/>
      <c r="Q21" s="213"/>
      <c r="R21" s="213"/>
      <c r="S21" s="213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</row>
    <row r="22" ht="22.5" customHeight="1">
      <c r="A22" s="219">
        <v>1189.0</v>
      </c>
      <c r="B22" s="211" t="s">
        <v>20</v>
      </c>
      <c r="C22" s="211" t="s">
        <v>7812</v>
      </c>
      <c r="D22" s="211" t="s">
        <v>177</v>
      </c>
      <c r="E22" s="211" t="s">
        <v>7815</v>
      </c>
      <c r="F22" s="213"/>
      <c r="G22" s="219">
        <v>1.0</v>
      </c>
      <c r="H22" s="214" t="s">
        <v>7816</v>
      </c>
      <c r="I22" s="215"/>
      <c r="J22" s="215"/>
      <c r="K22" s="213"/>
      <c r="L22" s="213"/>
      <c r="M22" s="213"/>
      <c r="N22" s="213"/>
      <c r="O22" s="213"/>
      <c r="P22" s="213"/>
      <c r="Q22" s="213"/>
      <c r="R22" s="213"/>
      <c r="S22" s="213"/>
      <c r="T22" s="212"/>
      <c r="U22" s="212"/>
      <c r="V22" s="212"/>
      <c r="W22" s="212"/>
      <c r="X22" s="212"/>
      <c r="Y22" s="212"/>
      <c r="Z22" s="212"/>
      <c r="AA22" s="212"/>
      <c r="AB22" s="212"/>
      <c r="AC22" s="212"/>
      <c r="AD22" s="212"/>
    </row>
    <row r="23" ht="22.5" customHeight="1">
      <c r="A23" s="213">
        <v>1191.0</v>
      </c>
      <c r="B23" s="220" t="s">
        <v>15</v>
      </c>
      <c r="C23" s="220" t="s">
        <v>7817</v>
      </c>
      <c r="D23" s="220" t="s">
        <v>177</v>
      </c>
      <c r="E23" s="220" t="s">
        <v>177</v>
      </c>
      <c r="F23" s="213"/>
      <c r="G23" s="213">
        <v>1.0</v>
      </c>
      <c r="H23" s="221" t="s">
        <v>7818</v>
      </c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</row>
    <row r="24" ht="22.5" customHeight="1">
      <c r="A24" s="219">
        <v>1193.0</v>
      </c>
      <c r="B24" s="211" t="s">
        <v>20</v>
      </c>
      <c r="C24" s="211" t="s">
        <v>7819</v>
      </c>
      <c r="D24" s="211" t="s">
        <v>177</v>
      </c>
      <c r="E24" s="211" t="s">
        <v>177</v>
      </c>
      <c r="F24" s="213"/>
      <c r="G24" s="213"/>
      <c r="H24" s="214" t="s">
        <v>7820</v>
      </c>
      <c r="I24" s="215"/>
      <c r="J24" s="215"/>
      <c r="K24" s="213"/>
      <c r="L24" s="213"/>
      <c r="M24" s="213"/>
      <c r="N24" s="213"/>
      <c r="O24" s="213"/>
      <c r="P24" s="213"/>
      <c r="Q24" s="213"/>
      <c r="R24" s="213"/>
      <c r="S24" s="213"/>
      <c r="T24" s="212"/>
      <c r="U24" s="212"/>
      <c r="V24" s="212"/>
      <c r="W24" s="212"/>
      <c r="X24" s="212"/>
      <c r="Y24" s="212"/>
      <c r="Z24" s="212"/>
      <c r="AA24" s="212"/>
      <c r="AB24" s="212"/>
      <c r="AC24" s="212"/>
      <c r="AD24" s="212"/>
    </row>
    <row r="25" ht="22.5" customHeight="1">
      <c r="A25" s="219">
        <v>1199.0</v>
      </c>
      <c r="B25" s="211" t="s">
        <v>20</v>
      </c>
      <c r="C25" s="211" t="s">
        <v>1417</v>
      </c>
      <c r="D25" s="211" t="s">
        <v>177</v>
      </c>
      <c r="E25" s="211" t="s">
        <v>7821</v>
      </c>
      <c r="F25" s="213"/>
      <c r="G25" s="213"/>
      <c r="H25" s="214" t="s">
        <v>7822</v>
      </c>
      <c r="I25" s="215"/>
      <c r="J25" s="216" t="s">
        <v>7823</v>
      </c>
      <c r="K25" s="213"/>
      <c r="L25" s="213"/>
      <c r="M25" s="213"/>
      <c r="N25" s="213"/>
      <c r="O25" s="213"/>
      <c r="P25" s="213"/>
      <c r="Q25" s="213"/>
      <c r="R25" s="213"/>
      <c r="S25" s="213"/>
      <c r="T25" s="212"/>
      <c r="U25" s="212"/>
      <c r="V25" s="212"/>
      <c r="W25" s="212"/>
      <c r="X25" s="212"/>
      <c r="Y25" s="212"/>
      <c r="Z25" s="212"/>
      <c r="AA25" s="212"/>
      <c r="AB25" s="212"/>
      <c r="AC25" s="212"/>
      <c r="AD25" s="212"/>
    </row>
    <row r="26" ht="22.5" customHeight="1">
      <c r="A26" s="219">
        <v>1200.0</v>
      </c>
      <c r="B26" s="211" t="s">
        <v>7824</v>
      </c>
      <c r="C26" s="211" t="s">
        <v>1420</v>
      </c>
      <c r="D26" s="211" t="s">
        <v>177</v>
      </c>
      <c r="E26" s="211" t="s">
        <v>177</v>
      </c>
      <c r="F26" s="213"/>
      <c r="G26" s="213"/>
      <c r="H26" s="27"/>
      <c r="I26" s="215"/>
      <c r="J26" s="216" t="s">
        <v>7825</v>
      </c>
      <c r="K26" s="213"/>
      <c r="L26" s="213"/>
      <c r="M26" s="213"/>
      <c r="N26" s="213"/>
      <c r="O26" s="213"/>
      <c r="P26" s="213"/>
      <c r="Q26" s="213"/>
      <c r="R26" s="213"/>
      <c r="S26" s="213"/>
      <c r="T26" s="212"/>
      <c r="U26" s="212"/>
      <c r="V26" s="212"/>
      <c r="W26" s="212"/>
      <c r="X26" s="212"/>
      <c r="Y26" s="212"/>
      <c r="Z26" s="212"/>
      <c r="AA26" s="212"/>
      <c r="AB26" s="212"/>
      <c r="AC26" s="212"/>
      <c r="AD26" s="212"/>
    </row>
    <row r="27" ht="22.5" customHeight="1">
      <c r="A27" s="219">
        <v>1202.0</v>
      </c>
      <c r="B27" s="211" t="s">
        <v>20</v>
      </c>
      <c r="C27" s="211" t="s">
        <v>7826</v>
      </c>
      <c r="D27" s="211" t="s">
        <v>177</v>
      </c>
      <c r="E27" s="211" t="s">
        <v>177</v>
      </c>
      <c r="F27" s="213"/>
      <c r="G27" s="219">
        <v>1.0</v>
      </c>
      <c r="H27" s="214" t="s">
        <v>7827</v>
      </c>
      <c r="I27" s="215"/>
      <c r="J27" s="215"/>
      <c r="K27" s="213"/>
      <c r="L27" s="213"/>
      <c r="M27" s="213"/>
      <c r="N27" s="213"/>
      <c r="O27" s="213"/>
      <c r="P27" s="213"/>
      <c r="Q27" s="213"/>
      <c r="R27" s="213"/>
      <c r="S27" s="213"/>
      <c r="T27" s="212"/>
      <c r="U27" s="212"/>
      <c r="V27" s="212"/>
      <c r="W27" s="212"/>
      <c r="X27" s="212"/>
      <c r="Y27" s="212"/>
      <c r="Z27" s="212"/>
      <c r="AA27" s="212"/>
      <c r="AB27" s="212"/>
      <c r="AC27" s="212"/>
      <c r="AD27" s="212"/>
    </row>
    <row r="28" ht="22.5" customHeight="1">
      <c r="A28" s="219">
        <v>1203.0</v>
      </c>
      <c r="B28" s="211" t="s">
        <v>20</v>
      </c>
      <c r="C28" s="211" t="s">
        <v>7828</v>
      </c>
      <c r="D28" s="211" t="s">
        <v>177</v>
      </c>
      <c r="E28" s="211" t="s">
        <v>177</v>
      </c>
      <c r="F28" s="213"/>
      <c r="G28" s="213"/>
      <c r="H28" s="214" t="s">
        <v>7829</v>
      </c>
      <c r="I28" s="215"/>
      <c r="J28" s="215"/>
      <c r="K28" s="213"/>
      <c r="L28" s="213"/>
      <c r="M28" s="213"/>
      <c r="N28" s="213"/>
      <c r="O28" s="213"/>
      <c r="P28" s="213"/>
      <c r="Q28" s="213"/>
      <c r="R28" s="213"/>
      <c r="S28" s="213"/>
      <c r="T28" s="212"/>
      <c r="U28" s="212"/>
      <c r="V28" s="212"/>
      <c r="W28" s="212"/>
      <c r="X28" s="212"/>
      <c r="Y28" s="212"/>
      <c r="Z28" s="212"/>
      <c r="AA28" s="212"/>
      <c r="AB28" s="212"/>
      <c r="AC28" s="212"/>
      <c r="AD28" s="212"/>
    </row>
    <row r="29" ht="22.5" customHeight="1">
      <c r="A29" s="219">
        <v>1208.0</v>
      </c>
      <c r="B29" s="211" t="s">
        <v>20</v>
      </c>
      <c r="C29" s="211" t="s">
        <v>7830</v>
      </c>
      <c r="D29" s="211" t="s">
        <v>177</v>
      </c>
      <c r="E29" s="211" t="s">
        <v>177</v>
      </c>
      <c r="F29" s="213"/>
      <c r="G29" s="219"/>
      <c r="H29" s="214" t="s">
        <v>7831</v>
      </c>
      <c r="I29" s="215"/>
      <c r="J29" s="215"/>
      <c r="K29" s="213"/>
      <c r="L29" s="213"/>
      <c r="M29" s="213"/>
      <c r="N29" s="213"/>
      <c r="O29" s="213"/>
      <c r="P29" s="213"/>
      <c r="Q29" s="213"/>
      <c r="R29" s="213"/>
      <c r="S29" s="213"/>
      <c r="T29" s="212"/>
      <c r="U29" s="212"/>
      <c r="V29" s="212"/>
      <c r="W29" s="212"/>
      <c r="X29" s="212"/>
      <c r="Y29" s="212"/>
      <c r="Z29" s="212"/>
      <c r="AA29" s="212"/>
      <c r="AB29" s="212"/>
      <c r="AC29" s="212"/>
      <c r="AD29" s="212"/>
    </row>
    <row r="30" ht="22.5" customHeight="1">
      <c r="A30" s="219">
        <v>1212.0</v>
      </c>
      <c r="B30" s="211" t="s">
        <v>20</v>
      </c>
      <c r="C30" s="211" t="s">
        <v>4106</v>
      </c>
      <c r="D30" s="211" t="s">
        <v>177</v>
      </c>
      <c r="E30" s="211" t="s">
        <v>177</v>
      </c>
      <c r="F30" s="213"/>
      <c r="G30" s="219">
        <v>1.0</v>
      </c>
      <c r="H30" s="214" t="s">
        <v>7832</v>
      </c>
      <c r="I30" s="215"/>
      <c r="J30" s="215"/>
      <c r="K30" s="213"/>
      <c r="L30" s="213"/>
      <c r="M30" s="213"/>
      <c r="N30" s="213"/>
      <c r="O30" s="213"/>
      <c r="P30" s="213"/>
      <c r="Q30" s="213"/>
      <c r="R30" s="213"/>
      <c r="S30" s="213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</row>
    <row r="31" ht="22.5" customHeight="1">
      <c r="A31" s="219">
        <v>1214.0</v>
      </c>
      <c r="B31" s="211" t="s">
        <v>20</v>
      </c>
      <c r="C31" s="211" t="s">
        <v>7833</v>
      </c>
      <c r="D31" s="211" t="s">
        <v>177</v>
      </c>
      <c r="E31" s="211" t="s">
        <v>177</v>
      </c>
      <c r="F31" s="213"/>
      <c r="G31" s="213"/>
      <c r="H31" s="215"/>
      <c r="I31" s="215"/>
      <c r="J31" s="216" t="s">
        <v>7834</v>
      </c>
      <c r="K31" s="213"/>
      <c r="L31" s="213"/>
      <c r="M31" s="213"/>
      <c r="N31" s="213"/>
      <c r="O31" s="213"/>
      <c r="P31" s="213"/>
      <c r="Q31" s="213"/>
      <c r="R31" s="213"/>
      <c r="S31" s="213"/>
      <c r="T31" s="212"/>
      <c r="U31" s="212"/>
      <c r="V31" s="212"/>
      <c r="W31" s="212"/>
      <c r="X31" s="212"/>
      <c r="Y31" s="212"/>
      <c r="Z31" s="212"/>
      <c r="AA31" s="212"/>
      <c r="AB31" s="212"/>
      <c r="AC31" s="212"/>
      <c r="AD31" s="212"/>
    </row>
    <row r="32" ht="22.5" customHeight="1">
      <c r="A32" s="219">
        <v>1220.0</v>
      </c>
      <c r="B32" s="211" t="s">
        <v>20</v>
      </c>
      <c r="C32" s="211" t="s">
        <v>6808</v>
      </c>
      <c r="D32" s="211" t="s">
        <v>177</v>
      </c>
      <c r="E32" s="211" t="s">
        <v>177</v>
      </c>
      <c r="F32" s="213"/>
      <c r="G32" s="219">
        <v>1.0</v>
      </c>
      <c r="H32" s="214" t="s">
        <v>7835</v>
      </c>
      <c r="I32" s="215"/>
      <c r="J32" s="215"/>
      <c r="K32" s="213"/>
      <c r="L32" s="213"/>
      <c r="M32" s="213"/>
      <c r="N32" s="213"/>
      <c r="O32" s="213"/>
      <c r="P32" s="213"/>
      <c r="Q32" s="213"/>
      <c r="R32" s="213"/>
      <c r="S32" s="213"/>
      <c r="T32" s="212"/>
      <c r="U32" s="212"/>
      <c r="V32" s="212"/>
      <c r="W32" s="212"/>
      <c r="X32" s="212"/>
      <c r="Y32" s="212"/>
      <c r="Z32" s="212"/>
      <c r="AA32" s="212"/>
      <c r="AB32" s="212"/>
      <c r="AC32" s="212"/>
      <c r="AD32" s="212"/>
    </row>
    <row r="33" ht="22.5" customHeight="1">
      <c r="A33" s="219">
        <v>1222.0</v>
      </c>
      <c r="B33" s="211" t="s">
        <v>20</v>
      </c>
      <c r="C33" s="211" t="s">
        <v>760</v>
      </c>
      <c r="D33" s="211" t="s">
        <v>177</v>
      </c>
      <c r="E33" s="211" t="s">
        <v>177</v>
      </c>
      <c r="F33" s="213"/>
      <c r="G33" s="219">
        <v>1.0</v>
      </c>
      <c r="H33" s="214" t="s">
        <v>7836</v>
      </c>
      <c r="I33" s="215"/>
      <c r="J33" s="215"/>
      <c r="K33" s="213"/>
      <c r="L33" s="213"/>
      <c r="M33" s="213"/>
      <c r="N33" s="213"/>
      <c r="O33" s="213"/>
      <c r="P33" s="213"/>
      <c r="Q33" s="213"/>
      <c r="R33" s="213"/>
      <c r="S33" s="213"/>
      <c r="T33" s="212"/>
      <c r="U33" s="212"/>
      <c r="V33" s="212"/>
      <c r="W33" s="212"/>
      <c r="X33" s="212"/>
      <c r="Y33" s="212"/>
      <c r="Z33" s="212"/>
      <c r="AA33" s="212"/>
      <c r="AB33" s="212"/>
      <c r="AC33" s="212"/>
      <c r="AD33" s="212"/>
    </row>
    <row r="34" ht="22.5" customHeight="1">
      <c r="A34" s="219">
        <v>1224.0</v>
      </c>
      <c r="B34" s="211" t="s">
        <v>20</v>
      </c>
      <c r="C34" s="211" t="s">
        <v>7837</v>
      </c>
      <c r="D34" s="211" t="s">
        <v>177</v>
      </c>
      <c r="E34" s="211" t="s">
        <v>177</v>
      </c>
      <c r="F34" s="213"/>
      <c r="G34" s="213"/>
      <c r="H34" s="214" t="s">
        <v>7838</v>
      </c>
      <c r="I34" s="216" t="s">
        <v>7839</v>
      </c>
      <c r="J34" s="216" t="s">
        <v>7840</v>
      </c>
      <c r="K34" s="213"/>
      <c r="L34" s="213"/>
      <c r="M34" s="213"/>
      <c r="N34" s="213"/>
      <c r="O34" s="213"/>
      <c r="P34" s="213"/>
      <c r="Q34" s="213"/>
      <c r="R34" s="213"/>
      <c r="S34" s="213"/>
      <c r="T34" s="212"/>
      <c r="U34" s="212"/>
      <c r="V34" s="212"/>
      <c r="W34" s="212"/>
      <c r="X34" s="212"/>
      <c r="Y34" s="212"/>
      <c r="Z34" s="212"/>
      <c r="AA34" s="212"/>
      <c r="AB34" s="212"/>
      <c r="AC34" s="212"/>
      <c r="AD34" s="212"/>
    </row>
    <row r="35" ht="22.5" customHeight="1">
      <c r="A35" s="219">
        <v>1226.0</v>
      </c>
      <c r="B35" s="211" t="s">
        <v>20</v>
      </c>
      <c r="C35" s="211" t="s">
        <v>7841</v>
      </c>
      <c r="D35" s="211" t="s">
        <v>177</v>
      </c>
      <c r="E35" s="211" t="s">
        <v>177</v>
      </c>
      <c r="F35" s="213"/>
      <c r="G35" s="219">
        <v>1.0</v>
      </c>
      <c r="H35" s="214" t="s">
        <v>7842</v>
      </c>
      <c r="I35" s="215"/>
      <c r="J35" s="215"/>
      <c r="K35" s="213"/>
      <c r="L35" s="213"/>
      <c r="M35" s="213"/>
      <c r="N35" s="213"/>
      <c r="O35" s="213"/>
      <c r="P35" s="213"/>
      <c r="Q35" s="213"/>
      <c r="R35" s="213"/>
      <c r="S35" s="213"/>
      <c r="T35" s="212"/>
      <c r="U35" s="212"/>
      <c r="V35" s="212"/>
      <c r="W35" s="212"/>
      <c r="X35" s="212"/>
      <c r="Y35" s="212"/>
      <c r="Z35" s="212"/>
      <c r="AA35" s="212"/>
      <c r="AB35" s="212"/>
      <c r="AC35" s="212"/>
      <c r="AD35" s="212"/>
    </row>
    <row r="36" ht="22.5" customHeight="1">
      <c r="A36" s="219">
        <v>1227.0</v>
      </c>
      <c r="B36" s="211" t="s">
        <v>20</v>
      </c>
      <c r="C36" s="211" t="s">
        <v>922</v>
      </c>
      <c r="D36" s="211" t="s">
        <v>177</v>
      </c>
      <c r="E36" s="211" t="s">
        <v>177</v>
      </c>
      <c r="F36" s="213"/>
      <c r="G36" s="213"/>
      <c r="H36" s="215"/>
      <c r="I36" s="215"/>
      <c r="J36" s="216" t="s">
        <v>7843</v>
      </c>
      <c r="K36" s="213"/>
      <c r="L36" s="213"/>
      <c r="M36" s="213"/>
      <c r="N36" s="213"/>
      <c r="O36" s="213"/>
      <c r="P36" s="213"/>
      <c r="Q36" s="213"/>
      <c r="R36" s="213"/>
      <c r="S36" s="213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</row>
    <row r="37" ht="22.5" customHeight="1">
      <c r="A37" s="219">
        <v>1228.0</v>
      </c>
      <c r="B37" s="211" t="s">
        <v>20</v>
      </c>
      <c r="C37" s="211" t="s">
        <v>7844</v>
      </c>
      <c r="D37" s="211" t="s">
        <v>177</v>
      </c>
      <c r="E37" s="211" t="s">
        <v>177</v>
      </c>
      <c r="F37" s="213"/>
      <c r="G37" s="219">
        <v>1.0</v>
      </c>
      <c r="H37" s="214" t="s">
        <v>7845</v>
      </c>
      <c r="I37" s="215"/>
      <c r="J37" s="215"/>
      <c r="K37" s="213"/>
      <c r="L37" s="213"/>
      <c r="M37" s="213"/>
      <c r="N37" s="213"/>
      <c r="O37" s="213"/>
      <c r="P37" s="213"/>
      <c r="Q37" s="213"/>
      <c r="R37" s="213"/>
      <c r="S37" s="213"/>
      <c r="T37" s="212"/>
      <c r="U37" s="212"/>
      <c r="V37" s="212"/>
      <c r="W37" s="212"/>
      <c r="X37" s="212"/>
      <c r="Y37" s="212"/>
      <c r="Z37" s="212"/>
      <c r="AA37" s="212"/>
      <c r="AB37" s="212"/>
      <c r="AC37" s="212"/>
      <c r="AD37" s="212"/>
    </row>
    <row r="38" ht="22.5" customHeight="1">
      <c r="A38" s="219">
        <v>1233.0</v>
      </c>
      <c r="B38" s="211" t="s">
        <v>20</v>
      </c>
      <c r="C38" s="211" t="s">
        <v>7846</v>
      </c>
      <c r="D38" s="211" t="s">
        <v>177</v>
      </c>
      <c r="E38" s="211" t="s">
        <v>177</v>
      </c>
      <c r="F38" s="213"/>
      <c r="G38" s="219">
        <v>1.0</v>
      </c>
      <c r="H38" s="214" t="s">
        <v>7847</v>
      </c>
      <c r="I38" s="215"/>
      <c r="J38" s="215"/>
      <c r="K38" s="213"/>
      <c r="L38" s="213"/>
      <c r="M38" s="213"/>
      <c r="N38" s="213"/>
      <c r="O38" s="213"/>
      <c r="P38" s="213"/>
      <c r="Q38" s="213"/>
      <c r="R38" s="213"/>
      <c r="S38" s="213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</row>
    <row r="39" ht="22.5" customHeight="1">
      <c r="A39" s="219">
        <v>1234.0</v>
      </c>
      <c r="B39" s="211" t="s">
        <v>20</v>
      </c>
      <c r="C39" s="211" t="s">
        <v>7848</v>
      </c>
      <c r="D39" s="211" t="s">
        <v>177</v>
      </c>
      <c r="E39" s="211" t="s">
        <v>177</v>
      </c>
      <c r="F39" s="213"/>
      <c r="G39" s="213"/>
      <c r="H39" s="214" t="s">
        <v>7849</v>
      </c>
      <c r="I39" s="215"/>
      <c r="J39" s="215"/>
      <c r="K39" s="213"/>
      <c r="L39" s="213"/>
      <c r="M39" s="213"/>
      <c r="N39" s="213"/>
      <c r="O39" s="213"/>
      <c r="P39" s="213"/>
      <c r="Q39" s="213"/>
      <c r="R39" s="213"/>
      <c r="S39" s="213"/>
      <c r="T39" s="212"/>
      <c r="U39" s="212"/>
      <c r="V39" s="212"/>
      <c r="W39" s="212"/>
      <c r="X39" s="212"/>
      <c r="Y39" s="212"/>
      <c r="Z39" s="212"/>
      <c r="AA39" s="212"/>
      <c r="AB39" s="212"/>
      <c r="AC39" s="212"/>
      <c r="AD39" s="212"/>
    </row>
    <row r="40" ht="22.5" customHeight="1">
      <c r="A40" s="219">
        <v>1236.0</v>
      </c>
      <c r="B40" s="211" t="s">
        <v>20</v>
      </c>
      <c r="C40" s="211" t="s">
        <v>3873</v>
      </c>
      <c r="D40" s="211" t="s">
        <v>177</v>
      </c>
      <c r="E40" s="211" t="s">
        <v>177</v>
      </c>
      <c r="F40" s="213"/>
      <c r="G40" s="219">
        <v>1.0</v>
      </c>
      <c r="H40" s="214" t="s">
        <v>7850</v>
      </c>
      <c r="I40" s="216" t="s">
        <v>7851</v>
      </c>
      <c r="J40" s="215"/>
      <c r="K40" s="213"/>
      <c r="L40" s="213"/>
      <c r="M40" s="213"/>
      <c r="N40" s="213"/>
      <c r="O40" s="213"/>
      <c r="P40" s="213"/>
      <c r="Q40" s="213"/>
      <c r="R40" s="213"/>
      <c r="S40" s="213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</row>
    <row r="41" ht="22.5" customHeight="1">
      <c r="A41" s="219">
        <v>1238.0</v>
      </c>
      <c r="B41" s="211" t="s">
        <v>20</v>
      </c>
      <c r="C41" s="211" t="s">
        <v>7852</v>
      </c>
      <c r="D41" s="211" t="s">
        <v>177</v>
      </c>
      <c r="E41" s="211" t="s">
        <v>177</v>
      </c>
      <c r="F41" s="213"/>
      <c r="G41" s="219">
        <v>1.0</v>
      </c>
      <c r="H41" s="214" t="s">
        <v>7853</v>
      </c>
      <c r="I41" s="215"/>
      <c r="J41" s="215"/>
      <c r="K41" s="213"/>
      <c r="L41" s="213"/>
      <c r="M41" s="213"/>
      <c r="N41" s="213"/>
      <c r="O41" s="213"/>
      <c r="P41" s="213"/>
      <c r="Q41" s="213"/>
      <c r="R41" s="213"/>
      <c r="S41" s="213"/>
      <c r="T41" s="212"/>
      <c r="U41" s="212"/>
      <c r="V41" s="212"/>
      <c r="W41" s="212"/>
      <c r="X41" s="212"/>
      <c r="Y41" s="212"/>
      <c r="Z41" s="212"/>
      <c r="AA41" s="212"/>
      <c r="AB41" s="212"/>
      <c r="AC41" s="212"/>
      <c r="AD41" s="212"/>
    </row>
    <row r="42" ht="22.5" customHeight="1">
      <c r="A42" s="219">
        <v>1246.0</v>
      </c>
      <c r="B42" s="211" t="s">
        <v>20</v>
      </c>
      <c r="C42" s="211" t="s">
        <v>7854</v>
      </c>
      <c r="D42" s="211" t="s">
        <v>177</v>
      </c>
      <c r="E42" s="211" t="s">
        <v>177</v>
      </c>
      <c r="F42" s="213"/>
      <c r="G42" s="213"/>
      <c r="H42" s="214" t="s">
        <v>7855</v>
      </c>
      <c r="I42" s="215"/>
      <c r="J42" s="216" t="s">
        <v>7856</v>
      </c>
      <c r="K42" s="213"/>
      <c r="L42" s="213"/>
      <c r="M42" s="213"/>
      <c r="N42" s="213"/>
      <c r="O42" s="213"/>
      <c r="P42" s="213"/>
      <c r="Q42" s="213"/>
      <c r="R42" s="213"/>
      <c r="S42" s="213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</row>
    <row r="43" ht="22.5" customHeight="1">
      <c r="A43" s="219">
        <v>1249.0</v>
      </c>
      <c r="B43" s="211" t="s">
        <v>20</v>
      </c>
      <c r="C43" s="211" t="s">
        <v>7857</v>
      </c>
      <c r="D43" s="211" t="s">
        <v>177</v>
      </c>
      <c r="E43" s="211" t="s">
        <v>7771</v>
      </c>
      <c r="F43" s="213"/>
      <c r="G43" s="213"/>
      <c r="H43" s="214" t="s">
        <v>7858</v>
      </c>
      <c r="I43" s="215"/>
      <c r="J43" s="215"/>
      <c r="K43" s="213"/>
      <c r="L43" s="213"/>
      <c r="M43" s="213"/>
      <c r="N43" s="213"/>
      <c r="O43" s="213"/>
      <c r="P43" s="213"/>
      <c r="Q43" s="213"/>
      <c r="R43" s="213"/>
      <c r="S43" s="213"/>
      <c r="T43" s="212"/>
      <c r="U43" s="212"/>
      <c r="V43" s="212"/>
      <c r="W43" s="212"/>
      <c r="X43" s="212"/>
      <c r="Y43" s="212"/>
      <c r="Z43" s="212"/>
      <c r="AA43" s="212"/>
      <c r="AB43" s="212"/>
      <c r="AC43" s="212"/>
      <c r="AD43" s="212"/>
    </row>
    <row r="44" ht="22.5" customHeight="1">
      <c r="A44" s="219">
        <v>1251.0</v>
      </c>
      <c r="B44" s="211" t="s">
        <v>20</v>
      </c>
      <c r="C44" s="211" t="s">
        <v>1420</v>
      </c>
      <c r="D44" s="211" t="s">
        <v>177</v>
      </c>
      <c r="E44" s="211" t="s">
        <v>177</v>
      </c>
      <c r="F44" s="213"/>
      <c r="G44" s="213"/>
      <c r="H44" s="214" t="s">
        <v>7859</v>
      </c>
      <c r="I44" s="215"/>
      <c r="J44" s="215"/>
      <c r="K44" s="213"/>
      <c r="L44" s="213"/>
      <c r="M44" s="213"/>
      <c r="N44" s="213"/>
      <c r="O44" s="213"/>
      <c r="P44" s="213"/>
      <c r="Q44" s="213"/>
      <c r="R44" s="213"/>
      <c r="S44" s="213"/>
      <c r="T44" s="212"/>
      <c r="U44" s="212"/>
      <c r="V44" s="212"/>
      <c r="W44" s="212"/>
      <c r="X44" s="212"/>
      <c r="Y44" s="212"/>
      <c r="Z44" s="212"/>
      <c r="AA44" s="212"/>
      <c r="AB44" s="212"/>
      <c r="AC44" s="212"/>
      <c r="AD44" s="212"/>
    </row>
    <row r="45" ht="22.5" customHeight="1">
      <c r="A45" s="74">
        <v>1259.0</v>
      </c>
      <c r="B45" s="211" t="s">
        <v>20</v>
      </c>
      <c r="C45" s="28" t="s">
        <v>5917</v>
      </c>
      <c r="D45" s="211" t="s">
        <v>177</v>
      </c>
      <c r="E45" s="211" t="s">
        <v>7860</v>
      </c>
      <c r="F45" s="213"/>
      <c r="G45" s="213"/>
      <c r="H45" s="214" t="s">
        <v>7861</v>
      </c>
      <c r="I45" s="216" t="s">
        <v>7862</v>
      </c>
      <c r="J45" s="215"/>
      <c r="K45" s="213"/>
      <c r="L45" s="213"/>
      <c r="M45" s="213"/>
      <c r="N45" s="213"/>
      <c r="O45" s="213"/>
      <c r="P45" s="213"/>
      <c r="Q45" s="213"/>
      <c r="R45" s="213"/>
      <c r="S45" s="213"/>
      <c r="T45" s="212"/>
      <c r="U45" s="212"/>
      <c r="V45" s="212"/>
      <c r="W45" s="212"/>
      <c r="X45" s="212"/>
      <c r="Y45" s="212"/>
      <c r="Z45" s="212"/>
      <c r="AA45" s="212"/>
      <c r="AB45" s="212"/>
      <c r="AC45" s="212"/>
      <c r="AD45" s="212"/>
    </row>
    <row r="46" ht="22.5" customHeight="1">
      <c r="A46" s="219">
        <v>1263.0</v>
      </c>
      <c r="B46" s="211" t="s">
        <v>20</v>
      </c>
      <c r="C46" s="28" t="s">
        <v>7863</v>
      </c>
      <c r="D46" s="211" t="s">
        <v>177</v>
      </c>
      <c r="E46" s="211" t="s">
        <v>7864</v>
      </c>
      <c r="F46" s="213"/>
      <c r="G46" s="213"/>
      <c r="H46" s="214" t="s">
        <v>7865</v>
      </c>
      <c r="I46" s="215"/>
      <c r="J46" s="215"/>
      <c r="K46" s="213"/>
      <c r="L46" s="213"/>
      <c r="M46" s="213"/>
      <c r="N46" s="213"/>
      <c r="O46" s="213"/>
      <c r="P46" s="213"/>
      <c r="Q46" s="213"/>
      <c r="R46" s="213"/>
      <c r="S46" s="213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</row>
    <row r="47" ht="22.5" customHeight="1">
      <c r="A47" s="219">
        <v>1266.0</v>
      </c>
      <c r="B47" s="211" t="s">
        <v>20</v>
      </c>
      <c r="C47" s="211" t="s">
        <v>7866</v>
      </c>
      <c r="D47" s="211" t="s">
        <v>177</v>
      </c>
      <c r="E47" s="211" t="s">
        <v>177</v>
      </c>
      <c r="F47" s="213"/>
      <c r="G47" s="213"/>
      <c r="H47" s="214" t="s">
        <v>7867</v>
      </c>
      <c r="I47" s="216" t="s">
        <v>7868</v>
      </c>
      <c r="J47" s="216" t="s">
        <v>7869</v>
      </c>
      <c r="K47" s="213"/>
      <c r="L47" s="213"/>
      <c r="M47" s="213"/>
      <c r="N47" s="213"/>
      <c r="O47" s="213"/>
      <c r="P47" s="213"/>
      <c r="Q47" s="213"/>
      <c r="R47" s="213"/>
      <c r="S47" s="213"/>
      <c r="T47" s="212"/>
      <c r="U47" s="212"/>
      <c r="V47" s="212"/>
      <c r="W47" s="212"/>
      <c r="X47" s="212"/>
      <c r="Y47" s="212"/>
      <c r="Z47" s="212"/>
      <c r="AA47" s="212"/>
      <c r="AB47" s="212"/>
      <c r="AC47" s="212"/>
      <c r="AD47" s="212"/>
    </row>
    <row r="48" ht="22.5" customHeight="1">
      <c r="A48" s="74">
        <v>1273.0</v>
      </c>
      <c r="B48" s="211" t="s">
        <v>20</v>
      </c>
      <c r="C48" s="28" t="s">
        <v>7870</v>
      </c>
      <c r="D48" s="211" t="s">
        <v>177</v>
      </c>
      <c r="E48" s="211" t="s">
        <v>177</v>
      </c>
      <c r="F48" s="213"/>
      <c r="G48" s="219">
        <v>1.0</v>
      </c>
      <c r="H48" s="214" t="s">
        <v>7871</v>
      </c>
      <c r="I48" s="215"/>
      <c r="J48" s="215"/>
      <c r="K48" s="213"/>
      <c r="L48" s="213"/>
      <c r="M48" s="213"/>
      <c r="N48" s="213"/>
      <c r="O48" s="213"/>
      <c r="P48" s="213"/>
      <c r="Q48" s="213"/>
      <c r="R48" s="213"/>
      <c r="S48" s="213"/>
      <c r="T48" s="212"/>
      <c r="U48" s="212"/>
      <c r="V48" s="212"/>
      <c r="W48" s="212"/>
      <c r="X48" s="212"/>
      <c r="Y48" s="212"/>
      <c r="Z48" s="212"/>
      <c r="AA48" s="212"/>
      <c r="AB48" s="212"/>
      <c r="AC48" s="212"/>
      <c r="AD48" s="212"/>
    </row>
    <row r="49" ht="22.5" customHeight="1">
      <c r="A49" s="219">
        <v>1274.0</v>
      </c>
      <c r="B49" s="211" t="s">
        <v>20</v>
      </c>
      <c r="C49" s="28" t="s">
        <v>7872</v>
      </c>
      <c r="D49" s="211" t="s">
        <v>177</v>
      </c>
      <c r="E49" s="211" t="s">
        <v>177</v>
      </c>
      <c r="F49" s="213"/>
      <c r="G49" s="213"/>
      <c r="H49" s="214" t="s">
        <v>7873</v>
      </c>
      <c r="I49" s="214" t="s">
        <v>7874</v>
      </c>
      <c r="J49" s="215"/>
      <c r="K49" s="213"/>
      <c r="L49" s="213"/>
      <c r="M49" s="213"/>
      <c r="N49" s="213"/>
      <c r="O49" s="213"/>
      <c r="P49" s="213"/>
      <c r="Q49" s="213"/>
      <c r="R49" s="213"/>
      <c r="S49" s="213"/>
      <c r="T49" s="212"/>
      <c r="U49" s="212"/>
      <c r="V49" s="212"/>
      <c r="W49" s="212"/>
      <c r="X49" s="212"/>
      <c r="Y49" s="212"/>
      <c r="Z49" s="212"/>
      <c r="AA49" s="212"/>
      <c r="AB49" s="212"/>
      <c r="AC49" s="212"/>
      <c r="AD49" s="212"/>
    </row>
    <row r="50" ht="22.5" customHeight="1">
      <c r="A50" s="74">
        <v>1283.0</v>
      </c>
      <c r="B50" s="211" t="s">
        <v>20</v>
      </c>
      <c r="C50" s="28" t="s">
        <v>7875</v>
      </c>
      <c r="D50" s="211" t="s">
        <v>177</v>
      </c>
      <c r="E50" s="211" t="s">
        <v>177</v>
      </c>
      <c r="F50" s="213"/>
      <c r="G50" s="213"/>
      <c r="H50" s="214" t="s">
        <v>7876</v>
      </c>
      <c r="I50" s="215"/>
      <c r="J50" s="215"/>
      <c r="K50" s="213"/>
      <c r="L50" s="213"/>
      <c r="M50" s="213"/>
      <c r="N50" s="213"/>
      <c r="O50" s="213"/>
      <c r="P50" s="213"/>
      <c r="Q50" s="213"/>
      <c r="R50" s="213"/>
      <c r="S50" s="213"/>
      <c r="T50" s="212"/>
      <c r="U50" s="212"/>
      <c r="V50" s="212"/>
      <c r="W50" s="212"/>
      <c r="X50" s="212"/>
      <c r="Y50" s="212"/>
      <c r="Z50" s="212"/>
      <c r="AA50" s="212"/>
      <c r="AB50" s="212"/>
      <c r="AC50" s="212"/>
      <c r="AD50" s="212"/>
    </row>
    <row r="51" ht="22.5" customHeight="1">
      <c r="A51" s="219">
        <v>1285.0</v>
      </c>
      <c r="B51" s="211" t="s">
        <v>20</v>
      </c>
      <c r="C51" s="211" t="s">
        <v>7877</v>
      </c>
      <c r="D51" s="211" t="s">
        <v>177</v>
      </c>
      <c r="E51" s="211" t="s">
        <v>177</v>
      </c>
      <c r="F51" s="213"/>
      <c r="G51" s="213"/>
      <c r="H51" s="214" t="s">
        <v>7878</v>
      </c>
      <c r="I51" s="215"/>
      <c r="J51" s="215"/>
      <c r="K51" s="213"/>
      <c r="L51" s="213"/>
      <c r="M51" s="213"/>
      <c r="N51" s="213"/>
      <c r="O51" s="213"/>
      <c r="P51" s="213"/>
      <c r="Q51" s="213"/>
      <c r="R51" s="213"/>
      <c r="S51" s="213"/>
      <c r="T51" s="212"/>
      <c r="U51" s="212"/>
      <c r="V51" s="212"/>
      <c r="W51" s="212"/>
      <c r="X51" s="212"/>
      <c r="Y51" s="212"/>
      <c r="Z51" s="212"/>
      <c r="AA51" s="212"/>
      <c r="AB51" s="212"/>
      <c r="AC51" s="212"/>
      <c r="AD51" s="212"/>
    </row>
    <row r="52" ht="22.5" customHeight="1">
      <c r="A52" s="219">
        <v>1287.0</v>
      </c>
      <c r="B52" s="211" t="s">
        <v>20</v>
      </c>
      <c r="C52" s="211" t="s">
        <v>7879</v>
      </c>
      <c r="D52" s="211" t="s">
        <v>177</v>
      </c>
      <c r="E52" s="211" t="s">
        <v>177</v>
      </c>
      <c r="F52" s="213"/>
      <c r="G52" s="213"/>
      <c r="H52" s="214" t="s">
        <v>7880</v>
      </c>
      <c r="I52" s="215"/>
      <c r="J52" s="216" t="s">
        <v>7881</v>
      </c>
      <c r="K52" s="213"/>
      <c r="L52" s="213"/>
      <c r="M52" s="213"/>
      <c r="N52" s="213"/>
      <c r="O52" s="213"/>
      <c r="P52" s="213"/>
      <c r="Q52" s="213"/>
      <c r="R52" s="213"/>
      <c r="S52" s="213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</row>
    <row r="53" ht="22.5" customHeight="1">
      <c r="A53" s="219">
        <v>1288.0</v>
      </c>
      <c r="B53" s="211" t="s">
        <v>20</v>
      </c>
      <c r="C53" s="28" t="s">
        <v>7882</v>
      </c>
      <c r="D53" s="211" t="s">
        <v>177</v>
      </c>
      <c r="E53" s="211" t="s">
        <v>177</v>
      </c>
      <c r="F53" s="213"/>
      <c r="G53" s="213"/>
      <c r="H53" s="214" t="s">
        <v>7883</v>
      </c>
      <c r="I53" s="215"/>
      <c r="J53" s="215"/>
      <c r="K53" s="213"/>
      <c r="L53" s="213"/>
      <c r="M53" s="213"/>
      <c r="N53" s="213"/>
      <c r="O53" s="213"/>
      <c r="P53" s="213"/>
      <c r="Q53" s="213"/>
      <c r="R53" s="213"/>
      <c r="S53" s="213"/>
      <c r="T53" s="212"/>
      <c r="U53" s="212"/>
      <c r="V53" s="212"/>
      <c r="W53" s="212"/>
      <c r="X53" s="212"/>
      <c r="Y53" s="212"/>
      <c r="Z53" s="212"/>
      <c r="AA53" s="212"/>
      <c r="AB53" s="212"/>
      <c r="AC53" s="212"/>
      <c r="AD53" s="212"/>
    </row>
    <row r="54" ht="22.5" customHeight="1">
      <c r="A54" s="219">
        <v>1289.0</v>
      </c>
      <c r="B54" s="211" t="s">
        <v>20</v>
      </c>
      <c r="C54" s="28" t="s">
        <v>7884</v>
      </c>
      <c r="D54" s="211" t="s">
        <v>177</v>
      </c>
      <c r="E54" s="211" t="s">
        <v>177</v>
      </c>
      <c r="F54" s="213"/>
      <c r="G54" s="219">
        <v>1.0</v>
      </c>
      <c r="H54" s="214" t="s">
        <v>7885</v>
      </c>
      <c r="I54" s="216" t="s">
        <v>7886</v>
      </c>
      <c r="J54" s="215"/>
      <c r="K54" s="213"/>
      <c r="L54" s="213"/>
      <c r="M54" s="213"/>
      <c r="N54" s="213"/>
      <c r="O54" s="213"/>
      <c r="P54" s="213"/>
      <c r="Q54" s="213"/>
      <c r="R54" s="213"/>
      <c r="S54" s="213"/>
      <c r="T54" s="212"/>
      <c r="U54" s="212"/>
      <c r="V54" s="212"/>
      <c r="W54" s="212"/>
      <c r="X54" s="212"/>
      <c r="Y54" s="212"/>
      <c r="Z54" s="212"/>
      <c r="AA54" s="212"/>
      <c r="AB54" s="212"/>
      <c r="AC54" s="212"/>
      <c r="AD54" s="212"/>
    </row>
    <row r="55" ht="22.5" customHeight="1">
      <c r="A55" s="219">
        <v>1292.0</v>
      </c>
      <c r="B55" s="211" t="s">
        <v>20</v>
      </c>
      <c r="C55" s="211" t="s">
        <v>7887</v>
      </c>
      <c r="D55" s="211" t="s">
        <v>177</v>
      </c>
      <c r="E55" s="211" t="s">
        <v>177</v>
      </c>
      <c r="F55" s="213"/>
      <c r="G55" s="213"/>
      <c r="H55" s="214" t="s">
        <v>7888</v>
      </c>
      <c r="I55" s="215"/>
      <c r="J55" s="215"/>
      <c r="K55" s="213"/>
      <c r="L55" s="213"/>
      <c r="M55" s="213"/>
      <c r="N55" s="213"/>
      <c r="O55" s="213"/>
      <c r="P55" s="213"/>
      <c r="Q55" s="213"/>
      <c r="R55" s="213"/>
      <c r="S55" s="213"/>
      <c r="T55" s="212"/>
      <c r="U55" s="212"/>
      <c r="V55" s="212"/>
      <c r="W55" s="212"/>
      <c r="X55" s="212"/>
      <c r="Y55" s="212"/>
      <c r="Z55" s="212"/>
      <c r="AA55" s="212"/>
      <c r="AB55" s="212"/>
      <c r="AC55" s="212"/>
      <c r="AD55" s="212"/>
    </row>
    <row r="56" ht="22.5" customHeight="1">
      <c r="A56" s="219">
        <v>1293.0</v>
      </c>
      <c r="B56" s="211" t="s">
        <v>20</v>
      </c>
      <c r="C56" s="211" t="s">
        <v>7889</v>
      </c>
      <c r="D56" s="211" t="s">
        <v>177</v>
      </c>
      <c r="E56" s="211" t="s">
        <v>177</v>
      </c>
      <c r="F56" s="213"/>
      <c r="G56" s="213"/>
      <c r="H56" s="214" t="s">
        <v>7890</v>
      </c>
      <c r="I56" s="215"/>
      <c r="J56" s="215"/>
      <c r="K56" s="213"/>
      <c r="L56" s="213"/>
      <c r="M56" s="213"/>
      <c r="N56" s="213"/>
      <c r="O56" s="213"/>
      <c r="P56" s="213"/>
      <c r="Q56" s="213"/>
      <c r="R56" s="213"/>
      <c r="S56" s="213"/>
      <c r="T56" s="212"/>
      <c r="U56" s="212"/>
      <c r="V56" s="212"/>
      <c r="W56" s="212"/>
      <c r="X56" s="212"/>
      <c r="Y56" s="212"/>
      <c r="Z56" s="212"/>
      <c r="AA56" s="212"/>
      <c r="AB56" s="212"/>
      <c r="AC56" s="212"/>
      <c r="AD56" s="212"/>
    </row>
    <row r="57" ht="22.5" customHeight="1">
      <c r="A57" s="219">
        <v>1295.0</v>
      </c>
      <c r="B57" s="211" t="s">
        <v>20</v>
      </c>
      <c r="C57" s="211" t="s">
        <v>3808</v>
      </c>
      <c r="D57" s="211" t="s">
        <v>177</v>
      </c>
      <c r="E57" s="211" t="s">
        <v>177</v>
      </c>
      <c r="F57" s="213"/>
      <c r="G57" s="213"/>
      <c r="H57" s="215"/>
      <c r="I57" s="215"/>
      <c r="J57" s="216" t="s">
        <v>7891</v>
      </c>
      <c r="K57" s="213"/>
      <c r="L57" s="213"/>
      <c r="M57" s="213"/>
      <c r="N57" s="213"/>
      <c r="O57" s="213"/>
      <c r="P57" s="213"/>
      <c r="Q57" s="213"/>
      <c r="R57" s="213"/>
      <c r="S57" s="213"/>
      <c r="T57" s="212"/>
      <c r="U57" s="212"/>
      <c r="V57" s="212"/>
      <c r="W57" s="212"/>
      <c r="X57" s="212"/>
      <c r="Y57" s="212"/>
      <c r="Z57" s="212"/>
      <c r="AA57" s="212"/>
      <c r="AB57" s="212"/>
      <c r="AC57" s="212"/>
      <c r="AD57" s="212"/>
    </row>
    <row r="58" ht="22.5" customHeight="1">
      <c r="A58" s="219">
        <v>1299.0</v>
      </c>
      <c r="B58" s="211" t="s">
        <v>20</v>
      </c>
      <c r="C58" s="28" t="s">
        <v>7892</v>
      </c>
      <c r="D58" s="211" t="s">
        <v>177</v>
      </c>
      <c r="E58" s="211" t="s">
        <v>177</v>
      </c>
      <c r="F58" s="213"/>
      <c r="G58" s="219">
        <v>1.0</v>
      </c>
      <c r="H58" s="214" t="s">
        <v>7893</v>
      </c>
      <c r="I58" s="215"/>
      <c r="J58" s="215"/>
      <c r="K58" s="213"/>
      <c r="L58" s="213"/>
      <c r="M58" s="213"/>
      <c r="N58" s="213"/>
      <c r="O58" s="213"/>
      <c r="P58" s="213"/>
      <c r="Q58" s="213"/>
      <c r="R58" s="213"/>
      <c r="S58" s="213"/>
      <c r="T58" s="212"/>
      <c r="U58" s="212"/>
      <c r="V58" s="212"/>
      <c r="W58" s="212"/>
      <c r="X58" s="212"/>
      <c r="Y58" s="212"/>
      <c r="Z58" s="212"/>
      <c r="AA58" s="212"/>
      <c r="AB58" s="212"/>
      <c r="AC58" s="212"/>
      <c r="AD58" s="212"/>
    </row>
    <row r="59" ht="22.5" customHeight="1">
      <c r="A59" s="219">
        <v>1306.0</v>
      </c>
      <c r="B59" s="211" t="s">
        <v>20</v>
      </c>
      <c r="C59" s="28" t="s">
        <v>804</v>
      </c>
      <c r="D59" s="211" t="s">
        <v>177</v>
      </c>
      <c r="E59" s="211" t="s">
        <v>177</v>
      </c>
      <c r="F59" s="213"/>
      <c r="G59" s="213"/>
      <c r="H59" s="214" t="s">
        <v>7894</v>
      </c>
      <c r="I59" s="216" t="s">
        <v>7895</v>
      </c>
      <c r="J59" s="215"/>
      <c r="K59" s="213"/>
      <c r="L59" s="213"/>
      <c r="M59" s="213"/>
      <c r="N59" s="213"/>
      <c r="O59" s="213"/>
      <c r="P59" s="213"/>
      <c r="Q59" s="213"/>
      <c r="R59" s="213"/>
      <c r="S59" s="213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</row>
    <row r="60" ht="22.5" customHeight="1">
      <c r="A60" s="219">
        <v>1317.0</v>
      </c>
      <c r="B60" s="211" t="s">
        <v>20</v>
      </c>
      <c r="C60" s="211" t="s">
        <v>7896</v>
      </c>
      <c r="D60" s="211" t="s">
        <v>177</v>
      </c>
      <c r="E60" s="211" t="s">
        <v>177</v>
      </c>
      <c r="F60" s="213"/>
      <c r="G60" s="219" t="s">
        <v>318</v>
      </c>
      <c r="H60" s="214" t="s">
        <v>7897</v>
      </c>
      <c r="I60" s="215"/>
      <c r="J60" s="216" t="s">
        <v>7898</v>
      </c>
      <c r="K60" s="213"/>
      <c r="L60" s="213"/>
      <c r="M60" s="213"/>
      <c r="N60" s="213"/>
      <c r="O60" s="213"/>
      <c r="P60" s="213"/>
      <c r="Q60" s="213"/>
      <c r="R60" s="213"/>
      <c r="S60" s="213"/>
      <c r="T60" s="212"/>
      <c r="U60" s="212"/>
      <c r="V60" s="212"/>
      <c r="W60" s="212"/>
      <c r="X60" s="212"/>
      <c r="Y60" s="212"/>
      <c r="Z60" s="212"/>
      <c r="AA60" s="212"/>
      <c r="AB60" s="212"/>
      <c r="AC60" s="212"/>
      <c r="AD60" s="212"/>
    </row>
    <row r="61" ht="22.5" customHeight="1">
      <c r="A61" s="219">
        <v>1318.0</v>
      </c>
      <c r="B61" s="211" t="s">
        <v>20</v>
      </c>
      <c r="C61" s="211" t="s">
        <v>7899</v>
      </c>
      <c r="D61" s="211" t="s">
        <v>177</v>
      </c>
      <c r="E61" s="211" t="s">
        <v>177</v>
      </c>
      <c r="F61" s="213"/>
      <c r="G61" s="213"/>
      <c r="H61" s="27"/>
      <c r="I61" s="215"/>
      <c r="J61" s="216" t="s">
        <v>7900</v>
      </c>
      <c r="K61" s="213"/>
      <c r="L61" s="213"/>
      <c r="M61" s="213"/>
      <c r="N61" s="213"/>
      <c r="O61" s="213"/>
      <c r="P61" s="213"/>
      <c r="Q61" s="213"/>
      <c r="R61" s="213"/>
      <c r="S61" s="213"/>
      <c r="T61" s="212"/>
      <c r="U61" s="212"/>
      <c r="V61" s="212"/>
      <c r="W61" s="212"/>
      <c r="X61" s="212"/>
      <c r="Y61" s="212"/>
      <c r="Z61" s="212"/>
      <c r="AA61" s="212"/>
      <c r="AB61" s="212"/>
      <c r="AC61" s="212"/>
      <c r="AD61" s="212"/>
    </row>
    <row r="62" ht="22.5" customHeight="1">
      <c r="A62" s="219">
        <v>1319.0</v>
      </c>
      <c r="B62" s="211" t="s">
        <v>20</v>
      </c>
      <c r="C62" s="211" t="s">
        <v>7901</v>
      </c>
      <c r="D62" s="211" t="s">
        <v>177</v>
      </c>
      <c r="E62" s="211" t="s">
        <v>177</v>
      </c>
      <c r="F62" s="213"/>
      <c r="G62" s="213"/>
      <c r="H62" s="214" t="s">
        <v>7902</v>
      </c>
      <c r="I62" s="215"/>
      <c r="J62" s="215"/>
      <c r="K62" s="213"/>
      <c r="L62" s="213"/>
      <c r="M62" s="213"/>
      <c r="N62" s="213"/>
      <c r="O62" s="213"/>
      <c r="P62" s="213"/>
      <c r="Q62" s="213"/>
      <c r="R62" s="213"/>
      <c r="S62" s="213"/>
      <c r="T62" s="212"/>
      <c r="U62" s="212"/>
      <c r="V62" s="212"/>
      <c r="W62" s="212"/>
      <c r="X62" s="212"/>
      <c r="Y62" s="212"/>
      <c r="Z62" s="212"/>
      <c r="AA62" s="212"/>
      <c r="AB62" s="212"/>
      <c r="AC62" s="212"/>
      <c r="AD62" s="212"/>
    </row>
    <row r="63" ht="22.5" customHeight="1">
      <c r="A63" s="219">
        <v>1322.0</v>
      </c>
      <c r="B63" s="211" t="s">
        <v>20</v>
      </c>
      <c r="C63" s="211" t="s">
        <v>7903</v>
      </c>
      <c r="D63" s="211" t="s">
        <v>177</v>
      </c>
      <c r="E63" s="211" t="s">
        <v>177</v>
      </c>
      <c r="F63" s="213"/>
      <c r="G63" s="213"/>
      <c r="H63" s="214" t="s">
        <v>7904</v>
      </c>
      <c r="I63" s="215"/>
      <c r="J63" s="215"/>
      <c r="K63" s="213"/>
      <c r="L63" s="213"/>
      <c r="M63" s="213"/>
      <c r="N63" s="213"/>
      <c r="O63" s="213"/>
      <c r="P63" s="213"/>
      <c r="Q63" s="213"/>
      <c r="R63" s="213"/>
      <c r="S63" s="213"/>
      <c r="T63" s="212"/>
      <c r="U63" s="212"/>
      <c r="V63" s="212"/>
      <c r="W63" s="212"/>
      <c r="X63" s="212"/>
      <c r="Y63" s="212"/>
      <c r="Z63" s="212"/>
      <c r="AA63" s="212"/>
      <c r="AB63" s="212"/>
      <c r="AC63" s="212"/>
      <c r="AD63" s="212"/>
    </row>
    <row r="64" ht="22.5" customHeight="1">
      <c r="A64" s="219">
        <v>1323.0</v>
      </c>
      <c r="B64" s="211" t="s">
        <v>20</v>
      </c>
      <c r="C64" s="211" t="s">
        <v>7905</v>
      </c>
      <c r="D64" s="211" t="s">
        <v>177</v>
      </c>
      <c r="E64" s="211" t="s">
        <v>177</v>
      </c>
      <c r="F64" s="213"/>
      <c r="G64" s="213"/>
      <c r="H64" s="27"/>
      <c r="I64" s="215"/>
      <c r="J64" s="216" t="s">
        <v>7906</v>
      </c>
      <c r="K64" s="213"/>
      <c r="L64" s="213"/>
      <c r="M64" s="213"/>
      <c r="N64" s="213"/>
      <c r="O64" s="213"/>
      <c r="P64" s="213"/>
      <c r="Q64" s="213"/>
      <c r="R64" s="213"/>
      <c r="S64" s="213"/>
      <c r="T64" s="212"/>
      <c r="U64" s="212"/>
      <c r="V64" s="212"/>
      <c r="W64" s="212"/>
      <c r="X64" s="212"/>
      <c r="Y64" s="212"/>
      <c r="Z64" s="212"/>
      <c r="AA64" s="212"/>
      <c r="AB64" s="212"/>
      <c r="AC64" s="212"/>
      <c r="AD64" s="212"/>
    </row>
    <row r="65" ht="22.5" customHeight="1">
      <c r="A65" s="219">
        <v>1325.0</v>
      </c>
      <c r="B65" s="211" t="s">
        <v>17</v>
      </c>
      <c r="C65" s="211" t="s">
        <v>5816</v>
      </c>
      <c r="D65" s="211" t="s">
        <v>177</v>
      </c>
      <c r="E65" s="211" t="s">
        <v>177</v>
      </c>
      <c r="F65" s="213"/>
      <c r="G65" s="213"/>
      <c r="H65" s="214" t="s">
        <v>7907</v>
      </c>
      <c r="I65" s="215"/>
      <c r="J65" s="215"/>
      <c r="K65" s="213"/>
      <c r="L65" s="213"/>
      <c r="M65" s="213"/>
      <c r="N65" s="213"/>
      <c r="O65" s="213"/>
      <c r="P65" s="213"/>
      <c r="Q65" s="213"/>
      <c r="R65" s="213"/>
      <c r="S65" s="213"/>
      <c r="T65" s="212"/>
      <c r="U65" s="212"/>
      <c r="V65" s="212"/>
      <c r="W65" s="212"/>
      <c r="X65" s="212"/>
      <c r="Y65" s="212"/>
      <c r="Z65" s="212"/>
      <c r="AA65" s="212"/>
      <c r="AB65" s="212"/>
      <c r="AC65" s="212"/>
      <c r="AD65" s="212"/>
    </row>
    <row r="66" ht="22.5" customHeight="1">
      <c r="A66" s="219">
        <v>1326.0</v>
      </c>
      <c r="B66" s="211" t="s">
        <v>20</v>
      </c>
      <c r="C66" s="211" t="s">
        <v>7908</v>
      </c>
      <c r="D66" s="211" t="s">
        <v>177</v>
      </c>
      <c r="E66" s="211" t="s">
        <v>177</v>
      </c>
      <c r="F66" s="213"/>
      <c r="G66" s="213"/>
      <c r="H66" s="215"/>
      <c r="I66" s="215"/>
      <c r="J66" s="216" t="s">
        <v>7909</v>
      </c>
      <c r="K66" s="213"/>
      <c r="L66" s="213"/>
      <c r="M66" s="213"/>
      <c r="N66" s="213"/>
      <c r="O66" s="213"/>
      <c r="P66" s="213"/>
      <c r="Q66" s="213"/>
      <c r="R66" s="213"/>
      <c r="S66" s="213"/>
      <c r="T66" s="212"/>
      <c r="U66" s="212"/>
      <c r="V66" s="212"/>
      <c r="W66" s="212"/>
      <c r="X66" s="212"/>
      <c r="Y66" s="212"/>
      <c r="Z66" s="212"/>
      <c r="AA66" s="212"/>
      <c r="AB66" s="212"/>
      <c r="AC66" s="212"/>
      <c r="AD66" s="212"/>
    </row>
    <row r="67" ht="22.5" customHeight="1">
      <c r="A67" s="219">
        <v>1335.0</v>
      </c>
      <c r="B67" s="211" t="s">
        <v>20</v>
      </c>
      <c r="C67" s="28" t="s">
        <v>7910</v>
      </c>
      <c r="D67" s="211" t="s">
        <v>177</v>
      </c>
      <c r="E67" s="211" t="s">
        <v>177</v>
      </c>
      <c r="F67" s="213"/>
      <c r="G67" s="219">
        <v>1.0</v>
      </c>
      <c r="H67" s="214" t="s">
        <v>7911</v>
      </c>
      <c r="I67" s="215"/>
      <c r="J67" s="215"/>
      <c r="K67" s="213"/>
      <c r="L67" s="213"/>
      <c r="M67" s="213"/>
      <c r="N67" s="213"/>
      <c r="O67" s="213"/>
      <c r="P67" s="213"/>
      <c r="Q67" s="213"/>
      <c r="R67" s="213"/>
      <c r="S67" s="213"/>
      <c r="T67" s="212"/>
      <c r="U67" s="212"/>
      <c r="V67" s="212"/>
      <c r="W67" s="212"/>
      <c r="X67" s="212"/>
      <c r="Y67" s="212"/>
      <c r="Z67" s="212"/>
      <c r="AA67" s="212"/>
      <c r="AB67" s="212"/>
      <c r="AC67" s="212"/>
      <c r="AD67" s="212"/>
    </row>
    <row r="68" ht="22.5" customHeight="1">
      <c r="A68" s="219">
        <v>1350.0</v>
      </c>
      <c r="B68" s="211" t="s">
        <v>20</v>
      </c>
      <c r="C68" s="211" t="s">
        <v>7912</v>
      </c>
      <c r="D68" s="211" t="s">
        <v>177</v>
      </c>
      <c r="E68" s="211" t="s">
        <v>177</v>
      </c>
      <c r="F68" s="213"/>
      <c r="G68" s="213"/>
      <c r="H68" s="214" t="s">
        <v>7913</v>
      </c>
      <c r="I68" s="216" t="s">
        <v>7914</v>
      </c>
      <c r="J68" s="216" t="s">
        <v>7915</v>
      </c>
      <c r="K68" s="213"/>
      <c r="L68" s="213"/>
      <c r="M68" s="213"/>
      <c r="N68" s="213"/>
      <c r="O68" s="213"/>
      <c r="P68" s="213"/>
      <c r="Q68" s="213"/>
      <c r="R68" s="213"/>
      <c r="S68" s="213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</row>
    <row r="69" ht="22.5" customHeight="1">
      <c r="A69" s="219">
        <v>1355.0</v>
      </c>
      <c r="B69" s="211" t="s">
        <v>20</v>
      </c>
      <c r="C69" s="211" t="s">
        <v>7916</v>
      </c>
      <c r="D69" s="211" t="s">
        <v>177</v>
      </c>
      <c r="E69" s="211" t="s">
        <v>177</v>
      </c>
      <c r="F69" s="213"/>
      <c r="G69" s="213"/>
      <c r="H69" s="215"/>
      <c r="I69" s="215"/>
      <c r="J69" s="216" t="s">
        <v>7917</v>
      </c>
      <c r="K69" s="213"/>
      <c r="L69" s="213"/>
      <c r="M69" s="213"/>
      <c r="N69" s="213"/>
      <c r="O69" s="213"/>
      <c r="P69" s="213"/>
      <c r="Q69" s="213"/>
      <c r="R69" s="213"/>
      <c r="S69" s="213"/>
      <c r="T69" s="212"/>
      <c r="U69" s="212"/>
      <c r="V69" s="212"/>
      <c r="W69" s="212"/>
      <c r="X69" s="212"/>
      <c r="Y69" s="212"/>
      <c r="Z69" s="212"/>
      <c r="AA69" s="212"/>
      <c r="AB69" s="212"/>
      <c r="AC69" s="212"/>
      <c r="AD69" s="212"/>
    </row>
    <row r="70" ht="22.5" customHeight="1">
      <c r="A70" s="219">
        <v>1357.0</v>
      </c>
      <c r="B70" s="211" t="s">
        <v>20</v>
      </c>
      <c r="C70" s="211" t="s">
        <v>922</v>
      </c>
      <c r="D70" s="211" t="s">
        <v>177</v>
      </c>
      <c r="E70" s="211" t="s">
        <v>177</v>
      </c>
      <c r="F70" s="213"/>
      <c r="G70" s="213"/>
      <c r="H70" s="214" t="s">
        <v>7918</v>
      </c>
      <c r="I70" s="215"/>
      <c r="J70" s="215"/>
      <c r="K70" s="213"/>
      <c r="L70" s="213"/>
      <c r="M70" s="213"/>
      <c r="N70" s="213"/>
      <c r="O70" s="213"/>
      <c r="P70" s="213"/>
      <c r="Q70" s="213"/>
      <c r="R70" s="213"/>
      <c r="S70" s="213"/>
      <c r="T70" s="212"/>
      <c r="U70" s="212"/>
      <c r="V70" s="212"/>
      <c r="W70" s="212"/>
      <c r="X70" s="212"/>
      <c r="Y70" s="212"/>
      <c r="Z70" s="212"/>
      <c r="AA70" s="212"/>
      <c r="AB70" s="212"/>
      <c r="AC70" s="212"/>
      <c r="AD70" s="212"/>
    </row>
    <row r="71" ht="22.5" customHeight="1">
      <c r="A71" s="219">
        <v>1360.0</v>
      </c>
      <c r="B71" s="211" t="s">
        <v>20</v>
      </c>
      <c r="C71" s="211" t="s">
        <v>7919</v>
      </c>
      <c r="D71" s="211" t="s">
        <v>177</v>
      </c>
      <c r="E71" s="211" t="s">
        <v>177</v>
      </c>
      <c r="F71" s="213"/>
      <c r="G71" s="213"/>
      <c r="H71" s="214" t="s">
        <v>7920</v>
      </c>
      <c r="I71" s="215"/>
      <c r="J71" s="216" t="s">
        <v>7921</v>
      </c>
      <c r="K71" s="213"/>
      <c r="L71" s="213"/>
      <c r="M71" s="213"/>
      <c r="N71" s="213"/>
      <c r="O71" s="213"/>
      <c r="P71" s="213"/>
      <c r="Q71" s="213"/>
      <c r="R71" s="213"/>
      <c r="S71" s="213"/>
      <c r="T71" s="212"/>
      <c r="U71" s="212"/>
      <c r="V71" s="212"/>
      <c r="W71" s="212"/>
      <c r="X71" s="212"/>
      <c r="Y71" s="212"/>
      <c r="Z71" s="212"/>
      <c r="AA71" s="212"/>
      <c r="AB71" s="212"/>
      <c r="AC71" s="212"/>
      <c r="AD71" s="212"/>
    </row>
    <row r="72" ht="22.5" customHeight="1">
      <c r="A72" s="219">
        <v>1370.0</v>
      </c>
      <c r="B72" s="211" t="s">
        <v>20</v>
      </c>
      <c r="C72" s="211" t="s">
        <v>874</v>
      </c>
      <c r="D72" s="211" t="s">
        <v>177</v>
      </c>
      <c r="E72" s="211" t="s">
        <v>177</v>
      </c>
      <c r="F72" s="213"/>
      <c r="G72" s="213"/>
      <c r="H72" s="214" t="s">
        <v>7922</v>
      </c>
      <c r="I72" s="216" t="s">
        <v>7923</v>
      </c>
      <c r="J72" s="215"/>
      <c r="K72" s="213"/>
      <c r="L72" s="213"/>
      <c r="M72" s="213"/>
      <c r="N72" s="213"/>
      <c r="O72" s="213"/>
      <c r="P72" s="213"/>
      <c r="Q72" s="213"/>
      <c r="R72" s="213"/>
      <c r="S72" s="213"/>
      <c r="T72" s="212"/>
      <c r="U72" s="212"/>
      <c r="V72" s="212"/>
      <c r="W72" s="212"/>
      <c r="X72" s="212"/>
      <c r="Y72" s="212"/>
      <c r="Z72" s="212"/>
      <c r="AA72" s="212"/>
      <c r="AB72" s="212"/>
      <c r="AC72" s="212"/>
      <c r="AD72" s="212"/>
    </row>
    <row r="73" ht="22.5" customHeight="1">
      <c r="A73" s="219">
        <v>1375.0</v>
      </c>
      <c r="B73" s="211" t="s">
        <v>20</v>
      </c>
      <c r="C73" s="211" t="s">
        <v>855</v>
      </c>
      <c r="D73" s="211" t="s">
        <v>177</v>
      </c>
      <c r="E73" s="211" t="s">
        <v>7924</v>
      </c>
      <c r="F73" s="213"/>
      <c r="G73" s="219">
        <v>1.0</v>
      </c>
      <c r="H73" s="214" t="s">
        <v>7925</v>
      </c>
      <c r="I73" s="215"/>
      <c r="J73" s="215"/>
      <c r="K73" s="213"/>
      <c r="L73" s="213"/>
      <c r="M73" s="213"/>
      <c r="N73" s="213"/>
      <c r="O73" s="213"/>
      <c r="P73" s="213"/>
      <c r="Q73" s="213"/>
      <c r="R73" s="213"/>
      <c r="S73" s="213"/>
      <c r="T73" s="212"/>
      <c r="U73" s="212"/>
      <c r="V73" s="212"/>
      <c r="W73" s="212"/>
      <c r="X73" s="212"/>
      <c r="Y73" s="212"/>
      <c r="Z73" s="212"/>
      <c r="AA73" s="212"/>
      <c r="AB73" s="212"/>
      <c r="AC73" s="212"/>
      <c r="AD73" s="212"/>
    </row>
    <row r="74" ht="22.5" customHeight="1">
      <c r="A74" s="219">
        <v>1376.0</v>
      </c>
      <c r="B74" s="211" t="s">
        <v>20</v>
      </c>
      <c r="C74" s="211" t="s">
        <v>6812</v>
      </c>
      <c r="D74" s="211" t="s">
        <v>177</v>
      </c>
      <c r="E74" s="211" t="s">
        <v>7924</v>
      </c>
      <c r="F74" s="213"/>
      <c r="G74" s="213"/>
      <c r="H74" s="214" t="s">
        <v>7926</v>
      </c>
      <c r="I74" s="215"/>
      <c r="J74" s="215"/>
      <c r="K74" s="213"/>
      <c r="L74" s="213"/>
      <c r="M74" s="213"/>
      <c r="N74" s="213"/>
      <c r="O74" s="213"/>
      <c r="P74" s="213"/>
      <c r="Q74" s="213"/>
      <c r="R74" s="213"/>
      <c r="S74" s="213"/>
      <c r="T74" s="212"/>
      <c r="U74" s="212"/>
      <c r="V74" s="212"/>
      <c r="W74" s="212"/>
      <c r="X74" s="212"/>
      <c r="Y74" s="212"/>
      <c r="Z74" s="212"/>
      <c r="AA74" s="212"/>
      <c r="AB74" s="212"/>
      <c r="AC74" s="212"/>
      <c r="AD74" s="212"/>
    </row>
    <row r="75" ht="22.5" customHeight="1">
      <c r="A75" s="219">
        <v>1380.0</v>
      </c>
      <c r="B75" s="211" t="s">
        <v>20</v>
      </c>
      <c r="C75" s="211" t="s">
        <v>1057</v>
      </c>
      <c r="D75" s="211" t="s">
        <v>177</v>
      </c>
      <c r="E75" s="211" t="s">
        <v>7924</v>
      </c>
      <c r="F75" s="213"/>
      <c r="G75" s="213"/>
      <c r="H75" s="214" t="s">
        <v>7927</v>
      </c>
      <c r="I75" s="215"/>
      <c r="J75" s="215"/>
      <c r="K75" s="213"/>
      <c r="L75" s="213"/>
      <c r="M75" s="213"/>
      <c r="N75" s="213"/>
      <c r="O75" s="213"/>
      <c r="P75" s="213"/>
      <c r="Q75" s="213"/>
      <c r="R75" s="213"/>
      <c r="S75" s="213"/>
      <c r="T75" s="212"/>
      <c r="U75" s="212"/>
      <c r="V75" s="212"/>
      <c r="W75" s="212"/>
      <c r="X75" s="212"/>
      <c r="Y75" s="212"/>
      <c r="Z75" s="212"/>
      <c r="AA75" s="212"/>
      <c r="AB75" s="212"/>
      <c r="AC75" s="212"/>
      <c r="AD75" s="212"/>
    </row>
    <row r="76" ht="22.5" customHeight="1">
      <c r="A76" s="219">
        <v>1381.0</v>
      </c>
      <c r="B76" s="211" t="s">
        <v>20</v>
      </c>
      <c r="C76" s="211" t="s">
        <v>1417</v>
      </c>
      <c r="D76" s="211" t="s">
        <v>177</v>
      </c>
      <c r="E76" s="211" t="s">
        <v>7924</v>
      </c>
      <c r="F76" s="213"/>
      <c r="G76" s="213"/>
      <c r="H76" s="27"/>
      <c r="I76" s="216" t="s">
        <v>7928</v>
      </c>
      <c r="J76" s="215"/>
      <c r="K76" s="213"/>
      <c r="L76" s="213"/>
      <c r="M76" s="213"/>
      <c r="N76" s="213"/>
      <c r="O76" s="213"/>
      <c r="P76" s="213"/>
      <c r="Q76" s="213"/>
      <c r="R76" s="213"/>
      <c r="S76" s="213"/>
      <c r="T76" s="212"/>
      <c r="U76" s="212"/>
      <c r="V76" s="212"/>
      <c r="W76" s="212"/>
      <c r="X76" s="212"/>
      <c r="Y76" s="212"/>
      <c r="Z76" s="212"/>
      <c r="AA76" s="212"/>
      <c r="AB76" s="212"/>
      <c r="AC76" s="212"/>
      <c r="AD76" s="212"/>
    </row>
    <row r="77" ht="22.5" customHeight="1">
      <c r="A77" s="219">
        <v>1384.0</v>
      </c>
      <c r="B77" s="211" t="s">
        <v>20</v>
      </c>
      <c r="C77" s="211" t="s">
        <v>7929</v>
      </c>
      <c r="D77" s="211" t="s">
        <v>177</v>
      </c>
      <c r="E77" s="211" t="s">
        <v>177</v>
      </c>
      <c r="F77" s="213"/>
      <c r="G77" s="213"/>
      <c r="H77" s="215"/>
      <c r="I77" s="27"/>
      <c r="J77" s="216" t="s">
        <v>7930</v>
      </c>
      <c r="K77" s="213"/>
      <c r="L77" s="213"/>
      <c r="M77" s="213"/>
      <c r="N77" s="213"/>
      <c r="O77" s="213"/>
      <c r="P77" s="213"/>
      <c r="Q77" s="213"/>
      <c r="R77" s="213"/>
      <c r="S77" s="213"/>
      <c r="T77" s="212"/>
      <c r="U77" s="212"/>
      <c r="V77" s="212"/>
      <c r="W77" s="212"/>
      <c r="X77" s="212"/>
      <c r="Y77" s="212"/>
      <c r="Z77" s="212"/>
      <c r="AA77" s="212"/>
      <c r="AB77" s="212"/>
      <c r="AC77" s="212"/>
      <c r="AD77" s="212"/>
    </row>
    <row r="78" ht="22.5" customHeight="1">
      <c r="A78" s="219">
        <v>1387.0</v>
      </c>
      <c r="B78" s="211" t="s">
        <v>20</v>
      </c>
      <c r="C78" s="211" t="s">
        <v>855</v>
      </c>
      <c r="D78" s="211" t="s">
        <v>177</v>
      </c>
      <c r="E78" s="211" t="s">
        <v>7931</v>
      </c>
      <c r="F78" s="213"/>
      <c r="G78" s="213"/>
      <c r="H78" s="214" t="s">
        <v>7932</v>
      </c>
      <c r="I78" s="216" t="s">
        <v>7933</v>
      </c>
      <c r="J78" s="215"/>
      <c r="K78" s="213"/>
      <c r="L78" s="213"/>
      <c r="M78" s="213"/>
      <c r="N78" s="213"/>
      <c r="O78" s="213"/>
      <c r="P78" s="213"/>
      <c r="Q78" s="213"/>
      <c r="R78" s="213"/>
      <c r="S78" s="213"/>
      <c r="T78" s="212"/>
      <c r="U78" s="212"/>
      <c r="V78" s="212"/>
      <c r="W78" s="212"/>
      <c r="X78" s="212"/>
      <c r="Y78" s="212"/>
      <c r="Z78" s="212"/>
      <c r="AA78" s="212"/>
      <c r="AB78" s="212"/>
      <c r="AC78" s="212"/>
      <c r="AD78" s="212"/>
    </row>
    <row r="79" ht="22.5" customHeight="1">
      <c r="A79" s="219">
        <v>1388.0</v>
      </c>
      <c r="B79" s="211" t="s">
        <v>20</v>
      </c>
      <c r="C79" s="211" t="s">
        <v>1257</v>
      </c>
      <c r="D79" s="211" t="s">
        <v>177</v>
      </c>
      <c r="E79" s="211" t="s">
        <v>7931</v>
      </c>
      <c r="F79" s="213"/>
      <c r="G79" s="213"/>
      <c r="H79" s="214" t="s">
        <v>7934</v>
      </c>
      <c r="I79" s="215"/>
      <c r="J79" s="215"/>
      <c r="K79" s="213"/>
      <c r="L79" s="213"/>
      <c r="M79" s="213"/>
      <c r="N79" s="213"/>
      <c r="O79" s="213"/>
      <c r="P79" s="213"/>
      <c r="Q79" s="213"/>
      <c r="R79" s="213"/>
      <c r="S79" s="213"/>
      <c r="T79" s="212"/>
      <c r="U79" s="212"/>
      <c r="V79" s="212"/>
      <c r="W79" s="212"/>
      <c r="X79" s="212"/>
      <c r="Y79" s="212"/>
      <c r="Z79" s="212"/>
      <c r="AA79" s="212"/>
      <c r="AB79" s="212"/>
      <c r="AC79" s="212"/>
      <c r="AD79" s="212"/>
    </row>
    <row r="80" ht="22.5" customHeight="1">
      <c r="A80" s="219">
        <v>1389.0</v>
      </c>
      <c r="B80" s="211" t="s">
        <v>20</v>
      </c>
      <c r="C80" s="211" t="s">
        <v>74</v>
      </c>
      <c r="D80" s="211" t="s">
        <v>177</v>
      </c>
      <c r="E80" s="211" t="s">
        <v>7931</v>
      </c>
      <c r="F80" s="213"/>
      <c r="G80" s="213"/>
      <c r="H80" s="215"/>
      <c r="I80" s="215"/>
      <c r="J80" s="216" t="s">
        <v>7935</v>
      </c>
      <c r="K80" s="213"/>
      <c r="L80" s="213"/>
      <c r="M80" s="213"/>
      <c r="N80" s="213"/>
      <c r="O80" s="213"/>
      <c r="P80" s="213"/>
      <c r="Q80" s="213"/>
      <c r="R80" s="213"/>
      <c r="S80" s="213"/>
      <c r="T80" s="212"/>
      <c r="U80" s="212"/>
      <c r="V80" s="212"/>
      <c r="W80" s="212"/>
      <c r="X80" s="212"/>
      <c r="Y80" s="212"/>
      <c r="Z80" s="212"/>
      <c r="AA80" s="212"/>
      <c r="AB80" s="212"/>
      <c r="AC80" s="212"/>
      <c r="AD80" s="212"/>
    </row>
    <row r="81" ht="22.5" customHeight="1">
      <c r="A81" s="219">
        <v>1390.0</v>
      </c>
      <c r="B81" s="211" t="s">
        <v>20</v>
      </c>
      <c r="C81" s="211" t="s">
        <v>7936</v>
      </c>
      <c r="D81" s="211" t="s">
        <v>177</v>
      </c>
      <c r="E81" s="211" t="s">
        <v>7937</v>
      </c>
      <c r="F81" s="213"/>
      <c r="G81" s="213"/>
      <c r="H81" s="214" t="s">
        <v>7938</v>
      </c>
      <c r="I81" s="216" t="s">
        <v>7939</v>
      </c>
      <c r="J81" s="215"/>
      <c r="K81" s="213"/>
      <c r="L81" s="213"/>
      <c r="M81" s="213"/>
      <c r="N81" s="213"/>
      <c r="O81" s="213"/>
      <c r="P81" s="213"/>
      <c r="Q81" s="213"/>
      <c r="R81" s="213"/>
      <c r="S81" s="213"/>
      <c r="T81" s="212"/>
      <c r="U81" s="212"/>
      <c r="V81" s="212"/>
      <c r="W81" s="212"/>
      <c r="X81" s="212"/>
      <c r="Y81" s="212"/>
      <c r="Z81" s="212"/>
      <c r="AA81" s="212"/>
      <c r="AB81" s="212"/>
      <c r="AC81" s="212"/>
      <c r="AD81" s="212"/>
    </row>
    <row r="82" ht="22.5" customHeight="1">
      <c r="A82" s="219">
        <v>1392.0</v>
      </c>
      <c r="B82" s="211" t="s">
        <v>20</v>
      </c>
      <c r="C82" s="211" t="s">
        <v>6670</v>
      </c>
      <c r="D82" s="211" t="s">
        <v>177</v>
      </c>
      <c r="E82" s="211" t="s">
        <v>177</v>
      </c>
      <c r="F82" s="213"/>
      <c r="G82" s="213"/>
      <c r="H82" s="214" t="s">
        <v>7940</v>
      </c>
      <c r="I82" s="215"/>
      <c r="J82" s="216" t="s">
        <v>7941</v>
      </c>
      <c r="K82" s="213"/>
      <c r="L82" s="213"/>
      <c r="M82" s="213"/>
      <c r="N82" s="213"/>
      <c r="O82" s="213"/>
      <c r="P82" s="213"/>
      <c r="Q82" s="213"/>
      <c r="R82" s="213"/>
      <c r="S82" s="213"/>
      <c r="T82" s="212"/>
      <c r="U82" s="212"/>
      <c r="V82" s="212"/>
      <c r="W82" s="212"/>
      <c r="X82" s="212"/>
      <c r="Y82" s="212"/>
      <c r="Z82" s="212"/>
      <c r="AA82" s="212"/>
      <c r="AB82" s="212"/>
      <c r="AC82" s="212"/>
      <c r="AD82" s="212"/>
    </row>
    <row r="83" ht="22.5" customHeight="1">
      <c r="A83" s="219">
        <v>1393.0</v>
      </c>
      <c r="B83" s="211" t="s">
        <v>20</v>
      </c>
      <c r="C83" s="211" t="s">
        <v>1057</v>
      </c>
      <c r="D83" s="211" t="s">
        <v>177</v>
      </c>
      <c r="E83" s="211" t="s">
        <v>7942</v>
      </c>
      <c r="F83" s="213"/>
      <c r="G83" s="213"/>
      <c r="H83" s="214" t="s">
        <v>7943</v>
      </c>
      <c r="I83" s="215"/>
      <c r="J83" s="215"/>
      <c r="K83" s="213"/>
      <c r="L83" s="213"/>
      <c r="M83" s="213"/>
      <c r="N83" s="213"/>
      <c r="O83" s="213"/>
      <c r="P83" s="213"/>
      <c r="Q83" s="213"/>
      <c r="R83" s="213"/>
      <c r="S83" s="213"/>
      <c r="T83" s="212"/>
      <c r="U83" s="212"/>
      <c r="V83" s="212"/>
      <c r="W83" s="212"/>
      <c r="X83" s="212"/>
      <c r="Y83" s="212"/>
      <c r="Z83" s="212"/>
      <c r="AA83" s="212"/>
      <c r="AB83" s="212"/>
      <c r="AC83" s="212"/>
      <c r="AD83" s="212"/>
    </row>
    <row r="84" ht="22.5" customHeight="1">
      <c r="A84" s="219">
        <v>1394.0</v>
      </c>
      <c r="B84" s="211" t="s">
        <v>20</v>
      </c>
      <c r="C84" s="211" t="s">
        <v>1417</v>
      </c>
      <c r="D84" s="211" t="s">
        <v>177</v>
      </c>
      <c r="E84" s="211" t="s">
        <v>7797</v>
      </c>
      <c r="F84" s="213"/>
      <c r="G84" s="219">
        <v>1.0</v>
      </c>
      <c r="H84" s="214" t="s">
        <v>7944</v>
      </c>
      <c r="I84" s="215"/>
      <c r="J84" s="215"/>
      <c r="K84" s="213"/>
      <c r="L84" s="213"/>
      <c r="M84" s="213"/>
      <c r="N84" s="213"/>
      <c r="O84" s="213"/>
      <c r="P84" s="213"/>
      <c r="Q84" s="213"/>
      <c r="R84" s="213"/>
      <c r="S84" s="213"/>
      <c r="T84" s="212"/>
      <c r="U84" s="212"/>
      <c r="V84" s="212"/>
      <c r="W84" s="212"/>
      <c r="X84" s="212"/>
      <c r="Y84" s="212"/>
      <c r="Z84" s="212"/>
      <c r="AA84" s="212"/>
      <c r="AB84" s="212"/>
      <c r="AC84" s="212"/>
      <c r="AD84" s="212"/>
    </row>
    <row r="85" ht="22.5" customHeight="1">
      <c r="A85" s="219">
        <v>1400.0</v>
      </c>
      <c r="B85" s="211" t="s">
        <v>20</v>
      </c>
      <c r="C85" s="211" t="s">
        <v>874</v>
      </c>
      <c r="D85" s="211" t="s">
        <v>177</v>
      </c>
      <c r="E85" s="211" t="s">
        <v>7763</v>
      </c>
      <c r="F85" s="213"/>
      <c r="G85" s="213"/>
      <c r="H85" s="214" t="s">
        <v>7945</v>
      </c>
      <c r="I85" s="215"/>
      <c r="J85" s="215"/>
      <c r="K85" s="213"/>
      <c r="L85" s="213"/>
      <c r="M85" s="213"/>
      <c r="N85" s="213"/>
      <c r="O85" s="213"/>
      <c r="P85" s="213"/>
      <c r="Q85" s="213"/>
      <c r="R85" s="213"/>
      <c r="S85" s="213"/>
      <c r="T85" s="212"/>
      <c r="U85" s="212"/>
      <c r="V85" s="212"/>
      <c r="W85" s="212"/>
      <c r="X85" s="212"/>
      <c r="Y85" s="212"/>
      <c r="Z85" s="212"/>
      <c r="AA85" s="212"/>
      <c r="AB85" s="212"/>
      <c r="AC85" s="212"/>
      <c r="AD85" s="212"/>
    </row>
    <row r="86" ht="22.5" customHeight="1">
      <c r="A86" s="219">
        <v>1401.0</v>
      </c>
      <c r="B86" s="211" t="s">
        <v>20</v>
      </c>
      <c r="C86" s="211" t="s">
        <v>7946</v>
      </c>
      <c r="D86" s="211" t="s">
        <v>177</v>
      </c>
      <c r="E86" s="211" t="s">
        <v>7763</v>
      </c>
      <c r="F86" s="213"/>
      <c r="G86" s="219">
        <v>1.0</v>
      </c>
      <c r="H86" s="214" t="s">
        <v>7947</v>
      </c>
      <c r="I86" s="215"/>
      <c r="J86" s="215"/>
      <c r="K86" s="213"/>
      <c r="L86" s="213"/>
      <c r="M86" s="213"/>
      <c r="N86" s="213"/>
      <c r="O86" s="213"/>
      <c r="P86" s="213"/>
      <c r="Q86" s="213"/>
      <c r="R86" s="213"/>
      <c r="S86" s="213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</row>
    <row r="87" ht="22.5" customHeight="1">
      <c r="A87" s="219">
        <v>1407.0</v>
      </c>
      <c r="B87" s="211" t="s">
        <v>20</v>
      </c>
      <c r="C87" s="211" t="s">
        <v>7948</v>
      </c>
      <c r="D87" s="211" t="s">
        <v>177</v>
      </c>
      <c r="E87" s="211" t="s">
        <v>7797</v>
      </c>
      <c r="F87" s="213"/>
      <c r="G87" s="213"/>
      <c r="H87" s="215"/>
      <c r="I87" s="215"/>
      <c r="J87" s="216" t="s">
        <v>7949</v>
      </c>
      <c r="K87" s="213"/>
      <c r="L87" s="213"/>
      <c r="M87" s="213"/>
      <c r="N87" s="213"/>
      <c r="O87" s="213"/>
      <c r="P87" s="213"/>
      <c r="Q87" s="213"/>
      <c r="R87" s="213"/>
      <c r="S87" s="213"/>
      <c r="T87" s="212"/>
      <c r="U87" s="212"/>
      <c r="V87" s="212"/>
      <c r="W87" s="212"/>
      <c r="X87" s="212"/>
      <c r="Y87" s="212"/>
      <c r="Z87" s="212"/>
      <c r="AA87" s="212"/>
      <c r="AB87" s="212"/>
      <c r="AC87" s="212"/>
      <c r="AD87" s="212"/>
    </row>
    <row r="88" ht="22.5" customHeight="1">
      <c r="A88" s="219">
        <v>1409.0</v>
      </c>
      <c r="B88" s="211" t="s">
        <v>20</v>
      </c>
      <c r="C88" s="211" t="s">
        <v>7950</v>
      </c>
      <c r="D88" s="211" t="s">
        <v>177</v>
      </c>
      <c r="E88" s="211" t="s">
        <v>7821</v>
      </c>
      <c r="F88" s="213"/>
      <c r="G88" s="219">
        <v>1.0</v>
      </c>
      <c r="H88" s="214" t="s">
        <v>7951</v>
      </c>
      <c r="I88" s="215"/>
      <c r="J88" s="215"/>
      <c r="K88" s="213"/>
      <c r="L88" s="213"/>
      <c r="M88" s="213"/>
      <c r="N88" s="213"/>
      <c r="O88" s="213"/>
      <c r="P88" s="213"/>
      <c r="Q88" s="213"/>
      <c r="R88" s="213"/>
      <c r="S88" s="213"/>
      <c r="T88" s="212"/>
      <c r="U88" s="212"/>
      <c r="V88" s="212"/>
      <c r="W88" s="212"/>
      <c r="X88" s="212"/>
      <c r="Y88" s="212"/>
      <c r="Z88" s="212"/>
      <c r="AA88" s="212"/>
      <c r="AB88" s="212"/>
      <c r="AC88" s="212"/>
      <c r="AD88" s="212"/>
    </row>
    <row r="89" ht="22.5" customHeight="1">
      <c r="A89" s="219">
        <v>1411.0</v>
      </c>
      <c r="B89" s="211" t="s">
        <v>20</v>
      </c>
      <c r="C89" s="211" t="s">
        <v>7952</v>
      </c>
      <c r="D89" s="211" t="s">
        <v>177</v>
      </c>
      <c r="E89" s="211" t="s">
        <v>177</v>
      </c>
      <c r="F89" s="213"/>
      <c r="G89" s="213"/>
      <c r="H89" s="214" t="s">
        <v>7953</v>
      </c>
      <c r="I89" s="215"/>
      <c r="J89" s="215"/>
      <c r="K89" s="213"/>
      <c r="L89" s="213"/>
      <c r="M89" s="213"/>
      <c r="N89" s="213"/>
      <c r="O89" s="213"/>
      <c r="P89" s="213"/>
      <c r="Q89" s="213"/>
      <c r="R89" s="213"/>
      <c r="S89" s="213"/>
      <c r="T89" s="212"/>
      <c r="U89" s="212"/>
      <c r="V89" s="212"/>
      <c r="W89" s="212"/>
      <c r="X89" s="212"/>
      <c r="Y89" s="212"/>
      <c r="Z89" s="212"/>
      <c r="AA89" s="212"/>
      <c r="AB89" s="212"/>
      <c r="AC89" s="212"/>
      <c r="AD89" s="212"/>
    </row>
    <row r="90" ht="22.5" customHeight="1">
      <c r="A90" s="219">
        <v>1418.0</v>
      </c>
      <c r="B90" s="211" t="s">
        <v>20</v>
      </c>
      <c r="C90" s="211" t="s">
        <v>7954</v>
      </c>
      <c r="D90" s="211" t="s">
        <v>177</v>
      </c>
      <c r="E90" s="211" t="s">
        <v>7955</v>
      </c>
      <c r="F90" s="213"/>
      <c r="G90" s="219">
        <v>1.0</v>
      </c>
      <c r="H90" s="214" t="s">
        <v>7956</v>
      </c>
      <c r="I90" s="215"/>
      <c r="J90" s="215"/>
      <c r="K90" s="213"/>
      <c r="L90" s="213"/>
      <c r="M90" s="213"/>
      <c r="N90" s="213"/>
      <c r="O90" s="213"/>
      <c r="P90" s="213"/>
      <c r="Q90" s="213"/>
      <c r="R90" s="213"/>
      <c r="S90" s="213"/>
      <c r="T90" s="212"/>
      <c r="U90" s="212"/>
      <c r="V90" s="212"/>
      <c r="W90" s="212"/>
      <c r="X90" s="212"/>
      <c r="Y90" s="212"/>
      <c r="Z90" s="212"/>
      <c r="AA90" s="212"/>
      <c r="AB90" s="212"/>
      <c r="AC90" s="212"/>
      <c r="AD90" s="212"/>
    </row>
    <row r="91" ht="22.5" customHeight="1">
      <c r="A91" s="219">
        <v>1419.0</v>
      </c>
      <c r="B91" s="211" t="s">
        <v>20</v>
      </c>
      <c r="C91" s="211" t="s">
        <v>7957</v>
      </c>
      <c r="D91" s="211" t="s">
        <v>177</v>
      </c>
      <c r="E91" s="211" t="s">
        <v>177</v>
      </c>
      <c r="F91" s="213"/>
      <c r="G91" s="213"/>
      <c r="H91" s="214" t="s">
        <v>7958</v>
      </c>
      <c r="I91" s="215"/>
      <c r="J91" s="215"/>
      <c r="K91" s="213"/>
      <c r="L91" s="213"/>
      <c r="M91" s="213"/>
      <c r="N91" s="213"/>
      <c r="O91" s="213"/>
      <c r="P91" s="213"/>
      <c r="Q91" s="213"/>
      <c r="R91" s="213"/>
      <c r="S91" s="213"/>
      <c r="T91" s="212"/>
      <c r="U91" s="212"/>
      <c r="V91" s="212"/>
      <c r="W91" s="212"/>
      <c r="X91" s="212"/>
      <c r="Y91" s="212"/>
      <c r="Z91" s="212"/>
      <c r="AA91" s="212"/>
      <c r="AB91" s="212"/>
      <c r="AC91" s="212"/>
      <c r="AD91" s="212"/>
    </row>
    <row r="92" ht="22.5" customHeight="1">
      <c r="A92" s="219">
        <v>1420.0</v>
      </c>
      <c r="B92" s="211" t="s">
        <v>20</v>
      </c>
      <c r="C92" s="211" t="s">
        <v>4331</v>
      </c>
      <c r="D92" s="211" t="s">
        <v>177</v>
      </c>
      <c r="E92" s="211" t="s">
        <v>7959</v>
      </c>
      <c r="F92" s="213"/>
      <c r="G92" s="219">
        <v>1.0</v>
      </c>
      <c r="H92" s="214" t="s">
        <v>7960</v>
      </c>
      <c r="I92" s="215"/>
      <c r="J92" s="215"/>
      <c r="K92" s="213"/>
      <c r="L92" s="213"/>
      <c r="M92" s="213"/>
      <c r="N92" s="213"/>
      <c r="O92" s="213"/>
      <c r="P92" s="213"/>
      <c r="Q92" s="213"/>
      <c r="R92" s="213"/>
      <c r="S92" s="213"/>
      <c r="T92" s="212"/>
      <c r="U92" s="212"/>
      <c r="V92" s="212"/>
      <c r="W92" s="212"/>
      <c r="X92" s="212"/>
      <c r="Y92" s="212"/>
      <c r="Z92" s="212"/>
      <c r="AA92" s="212"/>
      <c r="AB92" s="212"/>
      <c r="AC92" s="212"/>
      <c r="AD92" s="212"/>
    </row>
    <row r="93" ht="22.5" customHeight="1">
      <c r="A93" s="219">
        <v>1421.0</v>
      </c>
      <c r="B93" s="211" t="s">
        <v>20</v>
      </c>
      <c r="C93" s="211" t="s">
        <v>7961</v>
      </c>
      <c r="D93" s="211" t="s">
        <v>177</v>
      </c>
      <c r="E93" s="211" t="s">
        <v>7815</v>
      </c>
      <c r="F93" s="213"/>
      <c r="G93" s="213"/>
      <c r="H93" s="27"/>
      <c r="I93" s="215"/>
      <c r="J93" s="216" t="s">
        <v>7962</v>
      </c>
      <c r="K93" s="213"/>
      <c r="L93" s="213"/>
      <c r="M93" s="213"/>
      <c r="N93" s="213"/>
      <c r="O93" s="213"/>
      <c r="P93" s="213"/>
      <c r="Q93" s="213"/>
      <c r="R93" s="213"/>
      <c r="S93" s="213"/>
      <c r="T93" s="212"/>
      <c r="U93" s="212"/>
      <c r="V93" s="212"/>
      <c r="W93" s="212"/>
      <c r="X93" s="212"/>
      <c r="Y93" s="212"/>
      <c r="Z93" s="212"/>
      <c r="AA93" s="212"/>
      <c r="AB93" s="212"/>
      <c r="AC93" s="212"/>
      <c r="AD93" s="212"/>
    </row>
    <row r="94" ht="22.5" customHeight="1">
      <c r="A94" s="219">
        <v>1423.0</v>
      </c>
      <c r="B94" s="211" t="s">
        <v>20</v>
      </c>
      <c r="C94" s="211" t="s">
        <v>7963</v>
      </c>
      <c r="D94" s="211" t="s">
        <v>177</v>
      </c>
      <c r="E94" s="211" t="s">
        <v>7815</v>
      </c>
      <c r="F94" s="213"/>
      <c r="G94" s="213"/>
      <c r="H94" s="214" t="s">
        <v>7964</v>
      </c>
      <c r="I94" s="215"/>
      <c r="J94" s="215"/>
      <c r="K94" s="213"/>
      <c r="L94" s="213"/>
      <c r="M94" s="213"/>
      <c r="N94" s="213"/>
      <c r="O94" s="213"/>
      <c r="P94" s="213"/>
      <c r="Q94" s="213"/>
      <c r="R94" s="213"/>
      <c r="S94" s="213"/>
      <c r="T94" s="212"/>
      <c r="U94" s="212"/>
      <c r="V94" s="212"/>
      <c r="W94" s="212"/>
      <c r="X94" s="212"/>
      <c r="Y94" s="212"/>
      <c r="Z94" s="212"/>
      <c r="AA94" s="212"/>
      <c r="AB94" s="212"/>
      <c r="AC94" s="212"/>
      <c r="AD94" s="212"/>
    </row>
    <row r="95" ht="22.5" customHeight="1">
      <c r="A95" s="219">
        <v>1425.0</v>
      </c>
      <c r="B95" s="211" t="s">
        <v>20</v>
      </c>
      <c r="C95" s="211" t="s">
        <v>6402</v>
      </c>
      <c r="D95" s="211" t="s">
        <v>177</v>
      </c>
      <c r="E95" s="211" t="s">
        <v>7815</v>
      </c>
      <c r="F95" s="213"/>
      <c r="G95" s="213"/>
      <c r="H95" s="214" t="s">
        <v>7965</v>
      </c>
      <c r="I95" s="216" t="s">
        <v>7966</v>
      </c>
      <c r="J95" s="215"/>
      <c r="K95" s="213"/>
      <c r="L95" s="213"/>
      <c r="M95" s="213"/>
      <c r="N95" s="213"/>
      <c r="O95" s="213"/>
      <c r="P95" s="213"/>
      <c r="Q95" s="213"/>
      <c r="R95" s="213"/>
      <c r="S95" s="213"/>
      <c r="T95" s="212"/>
      <c r="U95" s="212"/>
      <c r="V95" s="212"/>
      <c r="W95" s="212"/>
      <c r="X95" s="212"/>
      <c r="Y95" s="212"/>
      <c r="Z95" s="212"/>
      <c r="AA95" s="212"/>
      <c r="AB95" s="212"/>
      <c r="AC95" s="212"/>
      <c r="AD95" s="212"/>
    </row>
    <row r="96" ht="22.5" customHeight="1">
      <c r="A96" s="219">
        <v>1429.0</v>
      </c>
      <c r="B96" s="211" t="s">
        <v>20</v>
      </c>
      <c r="C96" s="211" t="s">
        <v>7967</v>
      </c>
      <c r="D96" s="211" t="s">
        <v>177</v>
      </c>
      <c r="E96" s="211" t="s">
        <v>7815</v>
      </c>
      <c r="F96" s="213"/>
      <c r="G96" s="213"/>
      <c r="H96" s="214" t="s">
        <v>7968</v>
      </c>
      <c r="I96" s="215"/>
      <c r="J96" s="215"/>
      <c r="K96" s="213"/>
      <c r="L96" s="213"/>
      <c r="M96" s="213"/>
      <c r="N96" s="213"/>
      <c r="O96" s="213"/>
      <c r="P96" s="213"/>
      <c r="Q96" s="213"/>
      <c r="R96" s="213"/>
      <c r="S96" s="213"/>
      <c r="T96" s="212"/>
      <c r="U96" s="212"/>
      <c r="V96" s="212"/>
      <c r="W96" s="212"/>
      <c r="X96" s="212"/>
      <c r="Y96" s="212"/>
      <c r="Z96" s="212"/>
      <c r="AA96" s="212"/>
      <c r="AB96" s="212"/>
      <c r="AC96" s="212"/>
      <c r="AD96" s="212"/>
    </row>
    <row r="97" ht="22.5" customHeight="1">
      <c r="A97" s="219">
        <v>1432.0</v>
      </c>
      <c r="B97" s="211" t="s">
        <v>20</v>
      </c>
      <c r="C97" s="211" t="s">
        <v>7969</v>
      </c>
      <c r="D97" s="211" t="s">
        <v>177</v>
      </c>
      <c r="E97" s="211" t="s">
        <v>7815</v>
      </c>
      <c r="F97" s="213"/>
      <c r="G97" s="213"/>
      <c r="H97" s="215"/>
      <c r="I97" s="215"/>
      <c r="J97" s="216" t="s">
        <v>7970</v>
      </c>
      <c r="K97" s="213"/>
      <c r="L97" s="213"/>
      <c r="M97" s="213"/>
      <c r="N97" s="213"/>
      <c r="O97" s="213"/>
      <c r="P97" s="213"/>
      <c r="Q97" s="213"/>
      <c r="R97" s="213"/>
      <c r="S97" s="213"/>
      <c r="T97" s="212"/>
      <c r="U97" s="212"/>
      <c r="V97" s="212"/>
      <c r="W97" s="212"/>
      <c r="X97" s="212"/>
      <c r="Y97" s="212"/>
      <c r="Z97" s="212"/>
      <c r="AA97" s="212"/>
      <c r="AB97" s="212"/>
      <c r="AC97" s="212"/>
      <c r="AD97" s="212"/>
    </row>
    <row r="98" ht="22.5" customHeight="1">
      <c r="A98" s="219">
        <v>1433.0</v>
      </c>
      <c r="B98" s="211" t="s">
        <v>7971</v>
      </c>
      <c r="C98" s="211" t="s">
        <v>7972</v>
      </c>
      <c r="D98" s="211" t="s">
        <v>177</v>
      </c>
      <c r="E98" s="211" t="s">
        <v>177</v>
      </c>
      <c r="F98" s="213"/>
      <c r="G98" s="213"/>
      <c r="H98" s="214" t="s">
        <v>7973</v>
      </c>
      <c r="I98" s="215"/>
      <c r="J98" s="215"/>
      <c r="K98" s="213"/>
      <c r="L98" s="213"/>
      <c r="M98" s="213"/>
      <c r="N98" s="213"/>
      <c r="O98" s="213"/>
      <c r="P98" s="213"/>
      <c r="Q98" s="213"/>
      <c r="R98" s="213"/>
      <c r="S98" s="213"/>
      <c r="T98" s="212"/>
      <c r="U98" s="212"/>
      <c r="V98" s="212"/>
      <c r="W98" s="212"/>
      <c r="X98" s="212"/>
      <c r="Y98" s="212"/>
      <c r="Z98" s="212"/>
      <c r="AA98" s="212"/>
      <c r="AB98" s="212"/>
      <c r="AC98" s="212"/>
      <c r="AD98" s="212"/>
    </row>
    <row r="99" ht="22.5" customHeight="1">
      <c r="A99" s="219">
        <v>1435.0</v>
      </c>
      <c r="B99" s="211" t="s">
        <v>20</v>
      </c>
      <c r="C99" s="211" t="s">
        <v>7974</v>
      </c>
      <c r="D99" s="211" t="s">
        <v>177</v>
      </c>
      <c r="E99" s="211" t="s">
        <v>7975</v>
      </c>
      <c r="F99" s="213"/>
      <c r="G99" s="219">
        <v>1.0</v>
      </c>
      <c r="H99" s="214" t="s">
        <v>7976</v>
      </c>
      <c r="I99" s="215"/>
      <c r="J99" s="215"/>
      <c r="K99" s="213"/>
      <c r="L99" s="213"/>
      <c r="M99" s="213"/>
      <c r="N99" s="213"/>
      <c r="O99" s="213"/>
      <c r="P99" s="213"/>
      <c r="Q99" s="213"/>
      <c r="R99" s="213"/>
      <c r="S99" s="213"/>
      <c r="T99" s="212"/>
      <c r="U99" s="212"/>
      <c r="V99" s="212"/>
      <c r="W99" s="212"/>
      <c r="X99" s="212"/>
      <c r="Y99" s="212"/>
      <c r="Z99" s="212"/>
      <c r="AA99" s="212"/>
      <c r="AB99" s="212"/>
      <c r="AC99" s="212"/>
      <c r="AD99" s="212"/>
    </row>
    <row r="100" ht="22.5" customHeight="1">
      <c r="A100" s="219">
        <v>1446.0</v>
      </c>
      <c r="B100" s="211" t="s">
        <v>20</v>
      </c>
      <c r="C100" s="211" t="s">
        <v>3592</v>
      </c>
      <c r="D100" s="211" t="s">
        <v>177</v>
      </c>
      <c r="E100" s="211" t="s">
        <v>7977</v>
      </c>
      <c r="F100" s="213"/>
      <c r="G100" s="213"/>
      <c r="H100" s="214" t="s">
        <v>7978</v>
      </c>
      <c r="I100" s="215"/>
      <c r="J100" s="215"/>
      <c r="K100" s="213"/>
      <c r="L100" s="213"/>
      <c r="M100" s="213"/>
      <c r="N100" s="213"/>
      <c r="O100" s="213"/>
      <c r="P100" s="213"/>
      <c r="Q100" s="213"/>
      <c r="R100" s="213"/>
      <c r="S100" s="213"/>
      <c r="T100" s="212"/>
      <c r="U100" s="212"/>
      <c r="V100" s="212"/>
      <c r="W100" s="212"/>
      <c r="X100" s="212"/>
      <c r="Y100" s="212"/>
      <c r="Z100" s="212"/>
      <c r="AA100" s="212"/>
      <c r="AB100" s="212"/>
      <c r="AC100" s="212"/>
      <c r="AD100" s="212"/>
    </row>
    <row r="101" ht="22.5" customHeight="1">
      <c r="A101" s="219">
        <v>1447.0</v>
      </c>
      <c r="B101" s="211" t="s">
        <v>20</v>
      </c>
      <c r="C101" s="211" t="s">
        <v>7979</v>
      </c>
      <c r="D101" s="211" t="s">
        <v>177</v>
      </c>
      <c r="E101" s="211" t="s">
        <v>7977</v>
      </c>
      <c r="F101" s="213"/>
      <c r="G101" s="213"/>
      <c r="H101" s="215"/>
      <c r="I101" s="215"/>
      <c r="J101" s="216" t="s">
        <v>7980</v>
      </c>
      <c r="K101" s="213"/>
      <c r="L101" s="213"/>
      <c r="M101" s="213"/>
      <c r="N101" s="213"/>
      <c r="O101" s="213"/>
      <c r="P101" s="213"/>
      <c r="Q101" s="213"/>
      <c r="R101" s="213"/>
      <c r="S101" s="213"/>
      <c r="T101" s="212"/>
      <c r="U101" s="212"/>
      <c r="V101" s="212"/>
      <c r="W101" s="212"/>
      <c r="X101" s="212"/>
      <c r="Y101" s="212"/>
      <c r="Z101" s="212"/>
      <c r="AA101" s="212"/>
      <c r="AB101" s="212"/>
      <c r="AC101" s="212"/>
      <c r="AD101" s="212"/>
    </row>
    <row r="102" ht="22.5" customHeight="1">
      <c r="A102" s="219">
        <v>1450.0</v>
      </c>
      <c r="B102" s="211" t="s">
        <v>20</v>
      </c>
      <c r="C102" s="211" t="s">
        <v>7981</v>
      </c>
      <c r="D102" s="211" t="s">
        <v>177</v>
      </c>
      <c r="E102" s="211" t="s">
        <v>7959</v>
      </c>
      <c r="F102" s="213"/>
      <c r="G102" s="213"/>
      <c r="H102" s="214" t="s">
        <v>7982</v>
      </c>
      <c r="I102" s="215"/>
      <c r="J102" s="216" t="s">
        <v>7983</v>
      </c>
      <c r="K102" s="213"/>
      <c r="L102" s="213"/>
      <c r="M102" s="213"/>
      <c r="N102" s="213"/>
      <c r="O102" s="213"/>
      <c r="P102" s="213"/>
      <c r="Q102" s="213"/>
      <c r="R102" s="213"/>
      <c r="S102" s="213"/>
      <c r="T102" s="212"/>
      <c r="U102" s="212"/>
      <c r="V102" s="212"/>
      <c r="W102" s="212"/>
      <c r="X102" s="212"/>
      <c r="Y102" s="212"/>
      <c r="Z102" s="212"/>
      <c r="AA102" s="212"/>
      <c r="AB102" s="212"/>
      <c r="AC102" s="212"/>
      <c r="AD102" s="212"/>
    </row>
    <row r="103" ht="22.5" customHeight="1">
      <c r="A103" s="219">
        <v>1455.0</v>
      </c>
      <c r="B103" s="211" t="s">
        <v>20</v>
      </c>
      <c r="C103" s="211" t="s">
        <v>4459</v>
      </c>
      <c r="D103" s="211" t="s">
        <v>177</v>
      </c>
      <c r="E103" s="211" t="s">
        <v>7959</v>
      </c>
      <c r="F103" s="213"/>
      <c r="G103" s="213"/>
      <c r="H103" s="214" t="s">
        <v>7984</v>
      </c>
      <c r="I103" s="215"/>
      <c r="J103" s="215"/>
      <c r="K103" s="213"/>
      <c r="L103" s="213"/>
      <c r="M103" s="213"/>
      <c r="N103" s="213"/>
      <c r="O103" s="213"/>
      <c r="P103" s="213"/>
      <c r="Q103" s="213"/>
      <c r="R103" s="213"/>
      <c r="S103" s="213"/>
      <c r="T103" s="212"/>
      <c r="U103" s="212"/>
      <c r="V103" s="212"/>
      <c r="W103" s="212"/>
      <c r="X103" s="212"/>
      <c r="Y103" s="212"/>
      <c r="Z103" s="212"/>
      <c r="AA103" s="212"/>
      <c r="AB103" s="212"/>
      <c r="AC103" s="212"/>
      <c r="AD103" s="212"/>
    </row>
    <row r="104" ht="22.5" customHeight="1">
      <c r="A104" s="219">
        <v>1466.0</v>
      </c>
      <c r="B104" s="211" t="s">
        <v>20</v>
      </c>
      <c r="C104" s="211" t="s">
        <v>7985</v>
      </c>
      <c r="D104" s="211" t="s">
        <v>177</v>
      </c>
      <c r="E104" s="211" t="s">
        <v>177</v>
      </c>
      <c r="F104" s="213"/>
      <c r="G104" s="213"/>
      <c r="H104" s="215"/>
      <c r="I104" s="215"/>
      <c r="J104" s="216" t="s">
        <v>7986</v>
      </c>
      <c r="K104" s="213"/>
      <c r="L104" s="213"/>
      <c r="M104" s="213"/>
      <c r="N104" s="213"/>
      <c r="O104" s="213"/>
      <c r="P104" s="213"/>
      <c r="Q104" s="213"/>
      <c r="R104" s="213"/>
      <c r="S104" s="213"/>
      <c r="T104" s="212"/>
      <c r="U104" s="212"/>
      <c r="V104" s="212"/>
      <c r="W104" s="212"/>
      <c r="X104" s="212"/>
      <c r="Y104" s="212"/>
      <c r="Z104" s="212"/>
      <c r="AA104" s="212"/>
      <c r="AB104" s="212"/>
      <c r="AC104" s="212"/>
      <c r="AD104" s="212"/>
    </row>
    <row r="105" ht="22.5" customHeight="1">
      <c r="A105" s="219">
        <v>1470.0</v>
      </c>
      <c r="B105" s="211" t="s">
        <v>20</v>
      </c>
      <c r="C105" s="211" t="s">
        <v>7987</v>
      </c>
      <c r="D105" s="211" t="s">
        <v>177</v>
      </c>
      <c r="E105" s="211" t="s">
        <v>7942</v>
      </c>
      <c r="F105" s="213"/>
      <c r="G105" s="213"/>
      <c r="H105" s="214" t="s">
        <v>7988</v>
      </c>
      <c r="I105" s="215"/>
      <c r="J105" s="215"/>
      <c r="K105" s="213"/>
      <c r="L105" s="213"/>
      <c r="M105" s="213"/>
      <c r="N105" s="213"/>
      <c r="O105" s="213"/>
      <c r="P105" s="213"/>
      <c r="Q105" s="213"/>
      <c r="R105" s="213"/>
      <c r="S105" s="213"/>
      <c r="T105" s="212"/>
      <c r="U105" s="212"/>
      <c r="V105" s="212"/>
      <c r="W105" s="212"/>
      <c r="X105" s="212"/>
      <c r="Y105" s="212"/>
      <c r="Z105" s="212"/>
      <c r="AA105" s="212"/>
      <c r="AB105" s="212"/>
      <c r="AC105" s="212"/>
      <c r="AD105" s="212"/>
    </row>
    <row r="106" ht="22.5" customHeight="1">
      <c r="A106" s="219">
        <v>1474.0</v>
      </c>
      <c r="B106" s="211" t="s">
        <v>20</v>
      </c>
      <c r="C106" s="211" t="s">
        <v>6412</v>
      </c>
      <c r="D106" s="211" t="s">
        <v>177</v>
      </c>
      <c r="E106" s="211" t="s">
        <v>7942</v>
      </c>
      <c r="F106" s="213"/>
      <c r="G106" s="219">
        <v>1.0</v>
      </c>
      <c r="H106" s="214" t="s">
        <v>7989</v>
      </c>
      <c r="I106" s="215"/>
      <c r="J106" s="215"/>
      <c r="K106" s="213"/>
      <c r="L106" s="213"/>
      <c r="M106" s="213"/>
      <c r="N106" s="213"/>
      <c r="O106" s="213"/>
      <c r="P106" s="213"/>
      <c r="Q106" s="213"/>
      <c r="R106" s="213"/>
      <c r="S106" s="213"/>
      <c r="T106" s="212"/>
      <c r="U106" s="212"/>
      <c r="V106" s="212"/>
      <c r="W106" s="212"/>
      <c r="X106" s="212"/>
      <c r="Y106" s="212"/>
      <c r="Z106" s="212"/>
      <c r="AA106" s="212"/>
      <c r="AB106" s="212"/>
      <c r="AC106" s="212"/>
      <c r="AD106" s="212"/>
    </row>
    <row r="107" ht="22.5" customHeight="1">
      <c r="A107" s="219">
        <v>1477.0</v>
      </c>
      <c r="B107" s="211" t="s">
        <v>20</v>
      </c>
      <c r="C107" s="211" t="s">
        <v>7990</v>
      </c>
      <c r="D107" s="211" t="s">
        <v>177</v>
      </c>
      <c r="E107" s="211" t="s">
        <v>7942</v>
      </c>
      <c r="F107" s="213"/>
      <c r="G107" s="219">
        <v>1.0</v>
      </c>
      <c r="H107" s="214" t="s">
        <v>7991</v>
      </c>
      <c r="I107" s="216" t="s">
        <v>7992</v>
      </c>
      <c r="J107" s="215"/>
      <c r="K107" s="213"/>
      <c r="L107" s="213"/>
      <c r="M107" s="213"/>
      <c r="N107" s="213"/>
      <c r="O107" s="213"/>
      <c r="P107" s="213"/>
      <c r="Q107" s="213"/>
      <c r="R107" s="213"/>
      <c r="S107" s="213"/>
      <c r="T107" s="212"/>
      <c r="U107" s="212"/>
      <c r="V107" s="212"/>
      <c r="W107" s="212"/>
      <c r="X107" s="212"/>
      <c r="Y107" s="212"/>
      <c r="Z107" s="212"/>
      <c r="AA107" s="212"/>
      <c r="AB107" s="212"/>
      <c r="AC107" s="212"/>
      <c r="AD107" s="212"/>
    </row>
    <row r="108" ht="22.5" customHeight="1">
      <c r="A108" s="219">
        <v>1480.0</v>
      </c>
      <c r="B108" s="211" t="s">
        <v>20</v>
      </c>
      <c r="C108" s="211" t="s">
        <v>7993</v>
      </c>
      <c r="D108" s="211" t="s">
        <v>177</v>
      </c>
      <c r="E108" s="211" t="s">
        <v>7942</v>
      </c>
      <c r="F108" s="213"/>
      <c r="G108" s="213"/>
      <c r="H108" s="214" t="s">
        <v>7994</v>
      </c>
      <c r="I108" s="215"/>
      <c r="J108" s="215"/>
      <c r="K108" s="213"/>
      <c r="L108" s="213"/>
      <c r="M108" s="213"/>
      <c r="N108" s="213"/>
      <c r="O108" s="213"/>
      <c r="P108" s="213"/>
      <c r="Q108" s="213"/>
      <c r="R108" s="213"/>
      <c r="S108" s="213"/>
      <c r="T108" s="212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</row>
    <row r="109" ht="22.5" customHeight="1">
      <c r="A109" s="219">
        <v>1492.0</v>
      </c>
      <c r="B109" s="211" t="s">
        <v>20</v>
      </c>
      <c r="C109" s="211" t="s">
        <v>3810</v>
      </c>
      <c r="D109" s="211" t="s">
        <v>177</v>
      </c>
      <c r="E109" s="211" t="s">
        <v>177</v>
      </c>
      <c r="F109" s="213"/>
      <c r="G109" s="213"/>
      <c r="H109" s="214" t="s">
        <v>7995</v>
      </c>
      <c r="I109" s="215"/>
      <c r="J109" s="215"/>
      <c r="K109" s="213"/>
      <c r="L109" s="213"/>
      <c r="M109" s="213"/>
      <c r="N109" s="213"/>
      <c r="O109" s="213"/>
      <c r="P109" s="213"/>
      <c r="Q109" s="213"/>
      <c r="R109" s="213"/>
      <c r="S109" s="213"/>
      <c r="T109" s="212"/>
      <c r="U109" s="212"/>
      <c r="V109" s="212"/>
      <c r="W109" s="212"/>
      <c r="X109" s="212"/>
      <c r="Y109" s="212"/>
      <c r="Z109" s="212"/>
      <c r="AA109" s="212"/>
      <c r="AB109" s="212"/>
      <c r="AC109" s="212"/>
      <c r="AD109" s="212"/>
    </row>
    <row r="110" ht="22.5" customHeight="1">
      <c r="A110" s="219">
        <v>1493.0</v>
      </c>
      <c r="B110" s="211" t="s">
        <v>20</v>
      </c>
      <c r="C110" s="211" t="s">
        <v>7996</v>
      </c>
      <c r="D110" s="211" t="s">
        <v>177</v>
      </c>
      <c r="E110" s="211" t="s">
        <v>177</v>
      </c>
      <c r="F110" s="213"/>
      <c r="G110" s="213"/>
      <c r="H110" s="214" t="s">
        <v>7997</v>
      </c>
      <c r="I110" s="217"/>
      <c r="J110" s="215"/>
      <c r="K110" s="213"/>
      <c r="L110" s="213"/>
      <c r="M110" s="213"/>
      <c r="N110" s="213"/>
      <c r="O110" s="213"/>
      <c r="P110" s="213"/>
      <c r="Q110" s="213"/>
      <c r="R110" s="213"/>
      <c r="S110" s="213"/>
      <c r="T110" s="212"/>
      <c r="U110" s="212"/>
      <c r="V110" s="212"/>
      <c r="W110" s="212"/>
      <c r="X110" s="212"/>
      <c r="Y110" s="212"/>
      <c r="Z110" s="212"/>
      <c r="AA110" s="212"/>
      <c r="AB110" s="212"/>
      <c r="AC110" s="212"/>
      <c r="AD110" s="212"/>
    </row>
    <row r="111" ht="22.5" customHeight="1">
      <c r="A111" s="219">
        <v>1495.0</v>
      </c>
      <c r="B111" s="211" t="s">
        <v>20</v>
      </c>
      <c r="C111" s="211" t="s">
        <v>855</v>
      </c>
      <c r="D111" s="211" t="s">
        <v>177</v>
      </c>
      <c r="E111" s="211" t="s">
        <v>177</v>
      </c>
      <c r="F111" s="213"/>
      <c r="G111" s="213"/>
      <c r="H111" s="215"/>
      <c r="I111" s="215"/>
      <c r="J111" s="216" t="s">
        <v>7998</v>
      </c>
      <c r="K111" s="213"/>
      <c r="L111" s="213"/>
      <c r="M111" s="213"/>
      <c r="N111" s="213"/>
      <c r="O111" s="213"/>
      <c r="P111" s="213"/>
      <c r="Q111" s="213"/>
      <c r="R111" s="213"/>
      <c r="S111" s="213"/>
      <c r="T111" s="212"/>
      <c r="U111" s="212"/>
      <c r="V111" s="212"/>
      <c r="W111" s="212"/>
      <c r="X111" s="212"/>
      <c r="Y111" s="212"/>
      <c r="Z111" s="212"/>
      <c r="AA111" s="212"/>
      <c r="AB111" s="212"/>
      <c r="AC111" s="212"/>
      <c r="AD111" s="212"/>
    </row>
    <row r="112" ht="22.5" customHeight="1">
      <c r="A112" s="219">
        <v>1508.0</v>
      </c>
      <c r="B112" s="211" t="s">
        <v>20</v>
      </c>
      <c r="C112" s="211" t="s">
        <v>4033</v>
      </c>
      <c r="D112" s="211" t="s">
        <v>177</v>
      </c>
      <c r="E112" s="211" t="s">
        <v>7937</v>
      </c>
      <c r="F112" s="213"/>
      <c r="G112" s="219">
        <v>1.0</v>
      </c>
      <c r="H112" s="214" t="s">
        <v>7999</v>
      </c>
      <c r="I112" s="215"/>
      <c r="J112" s="215"/>
      <c r="K112" s="213"/>
      <c r="L112" s="213"/>
      <c r="M112" s="213"/>
      <c r="N112" s="213"/>
      <c r="O112" s="213"/>
      <c r="P112" s="213"/>
      <c r="Q112" s="213"/>
      <c r="R112" s="213"/>
      <c r="S112" s="213"/>
      <c r="T112" s="212"/>
      <c r="U112" s="212"/>
      <c r="V112" s="212"/>
      <c r="W112" s="212"/>
      <c r="X112" s="212"/>
      <c r="Y112" s="212"/>
      <c r="Z112" s="212"/>
      <c r="AA112" s="212"/>
      <c r="AB112" s="212"/>
      <c r="AC112" s="212"/>
      <c r="AD112" s="212"/>
    </row>
    <row r="113" ht="22.5" customHeight="1">
      <c r="A113" s="219">
        <v>1511.0</v>
      </c>
      <c r="B113" s="211" t="s">
        <v>20</v>
      </c>
      <c r="C113" s="211" t="s">
        <v>74</v>
      </c>
      <c r="D113" s="211" t="s">
        <v>177</v>
      </c>
      <c r="E113" s="211" t="s">
        <v>177</v>
      </c>
      <c r="F113" s="213"/>
      <c r="G113" s="213"/>
      <c r="H113" s="215"/>
      <c r="I113" s="216" t="s">
        <v>8000</v>
      </c>
      <c r="J113" s="215"/>
      <c r="K113" s="213"/>
      <c r="L113" s="213"/>
      <c r="M113" s="213"/>
      <c r="N113" s="213"/>
      <c r="O113" s="213"/>
      <c r="P113" s="213"/>
      <c r="Q113" s="213"/>
      <c r="R113" s="213"/>
      <c r="S113" s="213"/>
      <c r="T113" s="212"/>
      <c r="U113" s="212"/>
      <c r="V113" s="212"/>
      <c r="W113" s="212"/>
      <c r="X113" s="212"/>
      <c r="Y113" s="212"/>
      <c r="Z113" s="212"/>
      <c r="AA113" s="212"/>
      <c r="AB113" s="212"/>
      <c r="AC113" s="212"/>
      <c r="AD113" s="212"/>
    </row>
    <row r="114" ht="22.5" customHeight="1">
      <c r="A114" s="219">
        <v>1512.0</v>
      </c>
      <c r="B114" s="211" t="s">
        <v>20</v>
      </c>
      <c r="C114" s="211" t="s">
        <v>867</v>
      </c>
      <c r="D114" s="211" t="s">
        <v>177</v>
      </c>
      <c r="E114" s="211" t="s">
        <v>177</v>
      </c>
      <c r="F114" s="213"/>
      <c r="G114" s="213"/>
      <c r="H114" s="214" t="s">
        <v>8001</v>
      </c>
      <c r="I114" s="215"/>
      <c r="J114" s="215"/>
      <c r="K114" s="213"/>
      <c r="L114" s="213"/>
      <c r="M114" s="213"/>
      <c r="N114" s="213"/>
      <c r="O114" s="213"/>
      <c r="P114" s="213"/>
      <c r="Q114" s="213"/>
      <c r="R114" s="213"/>
      <c r="S114" s="213"/>
      <c r="T114" s="212"/>
      <c r="U114" s="212"/>
      <c r="V114" s="212"/>
      <c r="W114" s="212"/>
      <c r="X114" s="212"/>
      <c r="Y114" s="212"/>
      <c r="Z114" s="212"/>
      <c r="AA114" s="212"/>
      <c r="AB114" s="212"/>
      <c r="AC114" s="212"/>
      <c r="AD114" s="212"/>
    </row>
    <row r="115" ht="22.5" customHeight="1">
      <c r="A115" s="219">
        <v>1516.0</v>
      </c>
      <c r="B115" s="211" t="s">
        <v>20</v>
      </c>
      <c r="C115" s="211" t="s">
        <v>3192</v>
      </c>
      <c r="D115" s="211" t="s">
        <v>177</v>
      </c>
      <c r="E115" s="211" t="s">
        <v>8002</v>
      </c>
      <c r="F115" s="213"/>
      <c r="G115" s="219">
        <v>1.0</v>
      </c>
      <c r="H115" s="214" t="s">
        <v>8003</v>
      </c>
      <c r="I115" s="215"/>
      <c r="J115" s="215"/>
      <c r="K115" s="213"/>
      <c r="L115" s="213"/>
      <c r="M115" s="213"/>
      <c r="N115" s="213"/>
      <c r="O115" s="213"/>
      <c r="P115" s="213"/>
      <c r="Q115" s="213"/>
      <c r="R115" s="213"/>
      <c r="S115" s="213"/>
      <c r="T115" s="212"/>
      <c r="U115" s="212"/>
      <c r="V115" s="212"/>
      <c r="W115" s="212"/>
      <c r="X115" s="212"/>
      <c r="Y115" s="212"/>
      <c r="Z115" s="212"/>
      <c r="AA115" s="212"/>
      <c r="AB115" s="212"/>
      <c r="AC115" s="212"/>
      <c r="AD115" s="212"/>
    </row>
    <row r="116" ht="22.5" customHeight="1">
      <c r="A116" s="219">
        <v>1523.0</v>
      </c>
      <c r="B116" s="211" t="s">
        <v>20</v>
      </c>
      <c r="C116" s="211" t="s">
        <v>1052</v>
      </c>
      <c r="D116" s="211" t="s">
        <v>177</v>
      </c>
      <c r="E116" s="211" t="s">
        <v>8004</v>
      </c>
      <c r="F116" s="213"/>
      <c r="G116" s="213"/>
      <c r="H116" s="214" t="s">
        <v>8005</v>
      </c>
      <c r="I116" s="215"/>
      <c r="J116" s="215"/>
      <c r="K116" s="213"/>
      <c r="L116" s="213"/>
      <c r="M116" s="213"/>
      <c r="N116" s="213"/>
      <c r="O116" s="213"/>
      <c r="P116" s="213"/>
      <c r="Q116" s="213"/>
      <c r="R116" s="213"/>
      <c r="S116" s="213"/>
      <c r="T116" s="212"/>
      <c r="U116" s="212"/>
      <c r="V116" s="212"/>
      <c r="W116" s="212"/>
      <c r="X116" s="212"/>
      <c r="Y116" s="212"/>
      <c r="Z116" s="212"/>
      <c r="AA116" s="212"/>
      <c r="AB116" s="212"/>
      <c r="AC116" s="212"/>
      <c r="AD116" s="212"/>
    </row>
    <row r="117" ht="22.5" customHeight="1">
      <c r="A117" s="219">
        <v>1526.0</v>
      </c>
      <c r="B117" s="211" t="s">
        <v>8006</v>
      </c>
      <c r="C117" s="211" t="s">
        <v>8007</v>
      </c>
      <c r="D117" s="211" t="s">
        <v>177</v>
      </c>
      <c r="E117" s="211" t="s">
        <v>8004</v>
      </c>
      <c r="F117" s="213"/>
      <c r="G117" s="213"/>
      <c r="H117" s="214" t="s">
        <v>8008</v>
      </c>
      <c r="I117" s="215"/>
      <c r="J117" s="215"/>
      <c r="K117" s="213"/>
      <c r="L117" s="213"/>
      <c r="M117" s="213"/>
      <c r="N117" s="213"/>
      <c r="O117" s="213"/>
      <c r="P117" s="213"/>
      <c r="Q117" s="213"/>
      <c r="R117" s="213"/>
      <c r="S117" s="213"/>
      <c r="T117" s="212"/>
      <c r="U117" s="212"/>
      <c r="V117" s="212"/>
      <c r="W117" s="212"/>
      <c r="X117" s="212"/>
      <c r="Y117" s="212"/>
      <c r="Z117" s="212"/>
      <c r="AA117" s="212"/>
      <c r="AB117" s="212"/>
      <c r="AC117" s="212"/>
      <c r="AD117" s="212"/>
    </row>
    <row r="118" ht="22.5" customHeight="1">
      <c r="A118" s="219">
        <v>1529.0</v>
      </c>
      <c r="B118" s="211" t="s">
        <v>20</v>
      </c>
      <c r="C118" s="211" t="s">
        <v>8009</v>
      </c>
      <c r="D118" s="211" t="s">
        <v>177</v>
      </c>
      <c r="E118" s="211" t="s">
        <v>8004</v>
      </c>
      <c r="F118" s="213"/>
      <c r="G118" s="213"/>
      <c r="H118" s="215"/>
      <c r="I118" s="215"/>
      <c r="J118" s="216" t="s">
        <v>8010</v>
      </c>
      <c r="K118" s="213"/>
      <c r="L118" s="213"/>
      <c r="M118" s="213"/>
      <c r="N118" s="213"/>
      <c r="O118" s="213"/>
      <c r="P118" s="213"/>
      <c r="Q118" s="213"/>
      <c r="R118" s="213"/>
      <c r="S118" s="213"/>
      <c r="T118" s="212"/>
      <c r="U118" s="212"/>
      <c r="V118" s="212"/>
      <c r="W118" s="212"/>
      <c r="X118" s="212"/>
      <c r="Y118" s="212"/>
      <c r="Z118" s="212"/>
      <c r="AA118" s="212"/>
      <c r="AB118" s="212"/>
      <c r="AC118" s="212"/>
      <c r="AD118" s="212"/>
    </row>
    <row r="119" ht="22.5" customHeight="1">
      <c r="A119" s="219">
        <v>1535.0</v>
      </c>
      <c r="B119" s="211" t="s">
        <v>20</v>
      </c>
      <c r="C119" s="211" t="s">
        <v>8011</v>
      </c>
      <c r="D119" s="211" t="s">
        <v>177</v>
      </c>
      <c r="E119" s="211" t="s">
        <v>8012</v>
      </c>
      <c r="F119" s="213"/>
      <c r="G119" s="213"/>
      <c r="H119" s="215"/>
      <c r="I119" s="215"/>
      <c r="J119" s="216" t="s">
        <v>8013</v>
      </c>
      <c r="K119" s="213"/>
      <c r="L119" s="213"/>
      <c r="M119" s="213"/>
      <c r="N119" s="213"/>
      <c r="O119" s="213"/>
      <c r="P119" s="213"/>
      <c r="Q119" s="213"/>
      <c r="R119" s="213"/>
      <c r="S119" s="213"/>
      <c r="T119" s="212"/>
      <c r="U119" s="212"/>
      <c r="V119" s="212"/>
      <c r="W119" s="212"/>
      <c r="X119" s="212"/>
      <c r="Y119" s="212"/>
      <c r="Z119" s="212"/>
      <c r="AA119" s="212"/>
      <c r="AB119" s="212"/>
      <c r="AC119" s="212"/>
      <c r="AD119" s="212"/>
    </row>
    <row r="120" ht="22.5" customHeight="1">
      <c r="A120" s="219">
        <v>1538.0</v>
      </c>
      <c r="B120" s="211" t="s">
        <v>20</v>
      </c>
      <c r="C120" s="211" t="s">
        <v>8014</v>
      </c>
      <c r="D120" s="211" t="s">
        <v>177</v>
      </c>
      <c r="E120" s="211" t="s">
        <v>8012</v>
      </c>
      <c r="F120" s="213"/>
      <c r="G120" s="213"/>
      <c r="H120" s="214" t="s">
        <v>8015</v>
      </c>
      <c r="I120" s="216" t="s">
        <v>8016</v>
      </c>
      <c r="J120" s="215"/>
      <c r="K120" s="213"/>
      <c r="L120" s="213"/>
      <c r="M120" s="213"/>
      <c r="N120" s="213"/>
      <c r="O120" s="213"/>
      <c r="P120" s="213"/>
      <c r="Q120" s="213"/>
      <c r="R120" s="213"/>
      <c r="S120" s="213"/>
      <c r="T120" s="212"/>
      <c r="U120" s="212"/>
      <c r="V120" s="212"/>
      <c r="W120" s="212"/>
      <c r="X120" s="212"/>
      <c r="Y120" s="212"/>
      <c r="Z120" s="212"/>
      <c r="AA120" s="212"/>
      <c r="AB120" s="212"/>
      <c r="AC120" s="212"/>
      <c r="AD120" s="212"/>
    </row>
    <row r="121" ht="22.5" customHeight="1">
      <c r="A121" s="219">
        <v>1540.0</v>
      </c>
      <c r="B121" s="211" t="s">
        <v>20</v>
      </c>
      <c r="C121" s="211" t="s">
        <v>3808</v>
      </c>
      <c r="D121" s="211" t="s">
        <v>177</v>
      </c>
      <c r="E121" s="211" t="s">
        <v>7937</v>
      </c>
      <c r="F121" s="213"/>
      <c r="G121" s="213"/>
      <c r="H121" s="215"/>
      <c r="I121" s="215"/>
      <c r="J121" s="216" t="s">
        <v>8017</v>
      </c>
      <c r="K121" s="213"/>
      <c r="L121" s="213"/>
      <c r="M121" s="213"/>
      <c r="N121" s="213"/>
      <c r="O121" s="213"/>
      <c r="P121" s="213"/>
      <c r="Q121" s="213"/>
      <c r="R121" s="213"/>
      <c r="S121" s="213"/>
      <c r="T121" s="212"/>
      <c r="U121" s="212"/>
      <c r="V121" s="212"/>
      <c r="W121" s="212"/>
      <c r="X121" s="212"/>
      <c r="Y121" s="212"/>
      <c r="Z121" s="212"/>
      <c r="AA121" s="212"/>
      <c r="AB121" s="212"/>
      <c r="AC121" s="212"/>
      <c r="AD121" s="212"/>
    </row>
    <row r="122" ht="22.5" customHeight="1">
      <c r="A122" s="219">
        <v>1546.0</v>
      </c>
      <c r="B122" s="211" t="s">
        <v>20</v>
      </c>
      <c r="C122" s="211" t="s">
        <v>8018</v>
      </c>
      <c r="D122" s="211" t="s">
        <v>177</v>
      </c>
      <c r="E122" s="211" t="s">
        <v>177</v>
      </c>
      <c r="F122" s="213"/>
      <c r="G122" s="213"/>
      <c r="H122" s="27"/>
      <c r="I122" s="215"/>
      <c r="J122" s="216" t="s">
        <v>8019</v>
      </c>
      <c r="K122" s="213"/>
      <c r="L122" s="213"/>
      <c r="M122" s="213"/>
      <c r="N122" s="213"/>
      <c r="O122" s="213"/>
      <c r="P122" s="213"/>
      <c r="Q122" s="213"/>
      <c r="R122" s="213"/>
      <c r="S122" s="213"/>
      <c r="T122" s="212"/>
      <c r="U122" s="212"/>
      <c r="V122" s="212"/>
      <c r="W122" s="212"/>
      <c r="X122" s="212"/>
      <c r="Y122" s="212"/>
      <c r="Z122" s="212"/>
      <c r="AA122" s="212"/>
      <c r="AB122" s="212"/>
      <c r="AC122" s="212"/>
      <c r="AD122" s="212"/>
    </row>
    <row r="123" ht="22.5" customHeight="1">
      <c r="A123" s="219">
        <v>1557.0</v>
      </c>
      <c r="B123" s="211" t="s">
        <v>20</v>
      </c>
      <c r="C123" s="211" t="s">
        <v>8020</v>
      </c>
      <c r="D123" s="211" t="s">
        <v>177</v>
      </c>
      <c r="E123" s="211" t="s">
        <v>8021</v>
      </c>
      <c r="F123" s="213"/>
      <c r="G123" s="213"/>
      <c r="H123" s="215"/>
      <c r="I123" s="215"/>
      <c r="J123" s="216" t="s">
        <v>8022</v>
      </c>
      <c r="K123" s="213"/>
      <c r="L123" s="213"/>
      <c r="M123" s="213"/>
      <c r="N123" s="213"/>
      <c r="O123" s="213"/>
      <c r="P123" s="213"/>
      <c r="Q123" s="213"/>
      <c r="R123" s="213"/>
      <c r="S123" s="213"/>
      <c r="T123" s="212"/>
      <c r="U123" s="212"/>
      <c r="V123" s="212"/>
      <c r="W123" s="212"/>
      <c r="X123" s="212"/>
      <c r="Y123" s="212"/>
      <c r="Z123" s="212"/>
      <c r="AA123" s="212"/>
      <c r="AB123" s="212"/>
      <c r="AC123" s="212"/>
      <c r="AD123" s="212"/>
    </row>
    <row r="124" ht="22.5" customHeight="1">
      <c r="A124" s="219">
        <v>1562.0</v>
      </c>
      <c r="B124" s="211" t="s">
        <v>20</v>
      </c>
      <c r="C124" s="211" t="s">
        <v>6412</v>
      </c>
      <c r="D124" s="211" t="s">
        <v>177</v>
      </c>
      <c r="E124" s="211" t="s">
        <v>8021</v>
      </c>
      <c r="F124" s="213"/>
      <c r="G124" s="213"/>
      <c r="H124" s="214" t="s">
        <v>8023</v>
      </c>
      <c r="I124" s="215"/>
      <c r="J124" s="215"/>
      <c r="K124" s="213"/>
      <c r="L124" s="213"/>
      <c r="M124" s="213"/>
      <c r="N124" s="213"/>
      <c r="O124" s="213"/>
      <c r="P124" s="213"/>
      <c r="Q124" s="213"/>
      <c r="R124" s="213"/>
      <c r="S124" s="213"/>
      <c r="T124" s="212"/>
      <c r="U124" s="212"/>
      <c r="V124" s="212"/>
      <c r="W124" s="212"/>
      <c r="X124" s="212"/>
      <c r="Y124" s="212"/>
      <c r="Z124" s="212"/>
      <c r="AA124" s="212"/>
      <c r="AB124" s="212"/>
      <c r="AC124" s="212"/>
      <c r="AD124" s="212"/>
    </row>
    <row r="125" ht="22.5" customHeight="1">
      <c r="A125" s="219">
        <v>1583.0</v>
      </c>
      <c r="B125" s="211" t="s">
        <v>20</v>
      </c>
      <c r="C125" s="222" t="s">
        <v>8024</v>
      </c>
      <c r="D125" s="211" t="s">
        <v>177</v>
      </c>
      <c r="E125" s="211" t="s">
        <v>178</v>
      </c>
      <c r="F125" s="213"/>
      <c r="G125" s="213"/>
      <c r="H125" s="216" t="s">
        <v>8025</v>
      </c>
      <c r="I125" s="223" t="s">
        <v>8026</v>
      </c>
      <c r="J125" s="215"/>
      <c r="K125" s="213"/>
      <c r="L125" s="213"/>
      <c r="M125" s="213"/>
      <c r="N125" s="213"/>
      <c r="O125" s="213"/>
      <c r="P125" s="213"/>
      <c r="Q125" s="213"/>
      <c r="R125" s="213"/>
      <c r="S125" s="213"/>
      <c r="T125" s="212"/>
      <c r="U125" s="212"/>
      <c r="V125" s="212"/>
      <c r="W125" s="212"/>
      <c r="X125" s="212"/>
      <c r="Y125" s="212"/>
      <c r="Z125" s="212"/>
      <c r="AA125" s="212"/>
      <c r="AB125" s="212"/>
      <c r="AC125" s="212"/>
      <c r="AD125" s="212"/>
    </row>
    <row r="126" ht="22.5" customHeight="1">
      <c r="A126" s="219">
        <v>1594.0</v>
      </c>
      <c r="B126" s="211" t="s">
        <v>20</v>
      </c>
      <c r="C126" s="222" t="s">
        <v>8027</v>
      </c>
      <c r="D126" s="211" t="s">
        <v>177</v>
      </c>
      <c r="E126" s="211" t="s">
        <v>178</v>
      </c>
      <c r="F126" s="213"/>
      <c r="G126" s="213"/>
      <c r="H126" s="216" t="s">
        <v>8028</v>
      </c>
      <c r="I126" s="215"/>
      <c r="J126" s="215"/>
      <c r="K126" s="213"/>
      <c r="L126" s="213"/>
      <c r="M126" s="213"/>
      <c r="N126" s="213"/>
      <c r="O126" s="213"/>
      <c r="P126" s="213"/>
      <c r="Q126" s="213"/>
      <c r="R126" s="213"/>
      <c r="S126" s="213"/>
      <c r="T126" s="212"/>
      <c r="U126" s="212"/>
      <c r="V126" s="212"/>
      <c r="W126" s="212"/>
      <c r="X126" s="212"/>
      <c r="Y126" s="212"/>
      <c r="Z126" s="212"/>
      <c r="AA126" s="212"/>
      <c r="AB126" s="212"/>
      <c r="AC126" s="212"/>
      <c r="AD126" s="212"/>
    </row>
    <row r="127" ht="22.5" customHeight="1">
      <c r="A127" s="219">
        <v>1636.0</v>
      </c>
      <c r="B127" s="211" t="s">
        <v>20</v>
      </c>
      <c r="C127" s="222" t="s">
        <v>1212</v>
      </c>
      <c r="D127" s="211" t="s">
        <v>177</v>
      </c>
      <c r="E127" s="211" t="s">
        <v>178</v>
      </c>
      <c r="F127" s="213"/>
      <c r="G127" s="213"/>
      <c r="H127" s="216" t="s">
        <v>8029</v>
      </c>
      <c r="I127" s="223" t="s">
        <v>8030</v>
      </c>
      <c r="J127" s="215"/>
      <c r="K127" s="213"/>
      <c r="L127" s="213"/>
      <c r="M127" s="213"/>
      <c r="N127" s="213"/>
      <c r="O127" s="213"/>
      <c r="P127" s="213"/>
      <c r="Q127" s="213"/>
      <c r="R127" s="213"/>
      <c r="S127" s="213"/>
      <c r="T127" s="212"/>
      <c r="U127" s="212"/>
      <c r="V127" s="212"/>
      <c r="W127" s="212"/>
      <c r="X127" s="212"/>
      <c r="Y127" s="212"/>
      <c r="Z127" s="212"/>
      <c r="AA127" s="212"/>
      <c r="AB127" s="212"/>
      <c r="AC127" s="212"/>
      <c r="AD127" s="212"/>
    </row>
    <row r="128" ht="22.5" customHeight="1">
      <c r="A128" s="219">
        <v>1640.0</v>
      </c>
      <c r="B128" s="211" t="s">
        <v>20</v>
      </c>
      <c r="C128" s="222" t="s">
        <v>8031</v>
      </c>
      <c r="D128" s="211" t="s">
        <v>177</v>
      </c>
      <c r="E128" s="211" t="s">
        <v>178</v>
      </c>
      <c r="F128" s="213"/>
      <c r="G128" s="213"/>
      <c r="H128" s="216" t="s">
        <v>190</v>
      </c>
      <c r="I128" s="215"/>
      <c r="J128" s="215"/>
      <c r="K128" s="213"/>
      <c r="L128" s="213"/>
      <c r="M128" s="213"/>
      <c r="N128" s="213"/>
      <c r="O128" s="213"/>
      <c r="P128" s="213"/>
      <c r="Q128" s="213"/>
      <c r="R128" s="213"/>
      <c r="S128" s="213"/>
      <c r="T128" s="212"/>
      <c r="U128" s="212"/>
      <c r="V128" s="212"/>
      <c r="W128" s="212"/>
      <c r="X128" s="212"/>
      <c r="Y128" s="212"/>
      <c r="Z128" s="212"/>
      <c r="AA128" s="212"/>
      <c r="AB128" s="212"/>
      <c r="AC128" s="212"/>
      <c r="AD128" s="212"/>
    </row>
    <row r="129" ht="22.5" customHeight="1">
      <c r="A129" s="219">
        <v>1660.0</v>
      </c>
      <c r="B129" s="211" t="s">
        <v>720</v>
      </c>
      <c r="C129" s="211" t="s">
        <v>8032</v>
      </c>
      <c r="D129" s="211" t="s">
        <v>177</v>
      </c>
      <c r="E129" s="211" t="s">
        <v>7766</v>
      </c>
      <c r="F129" s="213"/>
      <c r="G129" s="213"/>
      <c r="H129" s="214" t="s">
        <v>8033</v>
      </c>
      <c r="I129" s="215"/>
      <c r="J129" s="215"/>
      <c r="K129" s="213"/>
      <c r="L129" s="213"/>
      <c r="M129" s="213"/>
      <c r="N129" s="213"/>
      <c r="O129" s="213"/>
      <c r="P129" s="213"/>
      <c r="Q129" s="213"/>
      <c r="R129" s="213"/>
      <c r="S129" s="213"/>
      <c r="T129" s="212"/>
      <c r="U129" s="212"/>
      <c r="V129" s="212"/>
      <c r="W129" s="212"/>
      <c r="X129" s="212"/>
      <c r="Y129" s="212"/>
      <c r="Z129" s="212"/>
      <c r="AA129" s="212"/>
      <c r="AB129" s="212"/>
      <c r="AC129" s="212"/>
      <c r="AD129" s="212"/>
    </row>
    <row r="130" ht="22.5" customHeight="1">
      <c r="A130" s="219">
        <v>1664.0</v>
      </c>
      <c r="B130" s="211" t="s">
        <v>102</v>
      </c>
      <c r="C130" s="211" t="s">
        <v>8034</v>
      </c>
      <c r="D130" s="211" t="s">
        <v>177</v>
      </c>
      <c r="E130" s="211" t="s">
        <v>177</v>
      </c>
      <c r="F130" s="213"/>
      <c r="G130" s="213"/>
      <c r="H130" s="214" t="s">
        <v>8035</v>
      </c>
      <c r="I130" s="216" t="s">
        <v>8036</v>
      </c>
      <c r="J130" s="216" t="s">
        <v>8037</v>
      </c>
      <c r="K130" s="213"/>
      <c r="L130" s="213"/>
      <c r="M130" s="213"/>
      <c r="N130" s="213"/>
      <c r="O130" s="213"/>
      <c r="P130" s="213"/>
      <c r="Q130" s="213"/>
      <c r="R130" s="213"/>
      <c r="S130" s="213"/>
      <c r="T130" s="212"/>
      <c r="U130" s="212"/>
      <c r="V130" s="212"/>
      <c r="W130" s="212"/>
      <c r="X130" s="212"/>
      <c r="Y130" s="212"/>
      <c r="Z130" s="212"/>
      <c r="AA130" s="212"/>
      <c r="AB130" s="212"/>
      <c r="AC130" s="212"/>
      <c r="AD130" s="212"/>
    </row>
    <row r="131" ht="22.5" customHeight="1">
      <c r="A131" s="219">
        <v>1665.0</v>
      </c>
      <c r="B131" s="211" t="s">
        <v>20</v>
      </c>
      <c r="C131" s="211" t="s">
        <v>1047</v>
      </c>
      <c r="D131" s="211" t="s">
        <v>177</v>
      </c>
      <c r="E131" s="211" t="s">
        <v>7766</v>
      </c>
      <c r="F131" s="213"/>
      <c r="G131" s="219">
        <v>1.0</v>
      </c>
      <c r="H131" s="214" t="s">
        <v>8038</v>
      </c>
      <c r="I131" s="215"/>
      <c r="J131" s="215"/>
      <c r="K131" s="213"/>
      <c r="L131" s="213"/>
      <c r="M131" s="213"/>
      <c r="N131" s="213"/>
      <c r="O131" s="213"/>
      <c r="P131" s="213"/>
      <c r="Q131" s="213"/>
      <c r="R131" s="213"/>
      <c r="S131" s="213"/>
      <c r="T131" s="212"/>
      <c r="U131" s="212"/>
      <c r="V131" s="212"/>
      <c r="W131" s="212"/>
      <c r="X131" s="212"/>
      <c r="Y131" s="212"/>
      <c r="Z131" s="212"/>
      <c r="AA131" s="212"/>
      <c r="AB131" s="212"/>
      <c r="AC131" s="212"/>
      <c r="AD131" s="212"/>
    </row>
    <row r="132" ht="22.5" customHeight="1">
      <c r="A132" s="219">
        <v>1669.0</v>
      </c>
      <c r="B132" s="211" t="s">
        <v>20</v>
      </c>
      <c r="C132" s="211" t="s">
        <v>74</v>
      </c>
      <c r="D132" s="211" t="s">
        <v>177</v>
      </c>
      <c r="E132" s="211" t="s">
        <v>7766</v>
      </c>
      <c r="F132" s="213"/>
      <c r="G132" s="213"/>
      <c r="H132" s="214" t="s">
        <v>8039</v>
      </c>
      <c r="I132" s="215"/>
      <c r="J132" s="215"/>
      <c r="K132" s="213"/>
      <c r="L132" s="213"/>
      <c r="M132" s="213"/>
      <c r="N132" s="213"/>
      <c r="O132" s="213"/>
      <c r="P132" s="213"/>
      <c r="Q132" s="213"/>
      <c r="R132" s="213"/>
      <c r="S132" s="213"/>
      <c r="T132" s="212"/>
      <c r="U132" s="212"/>
      <c r="V132" s="212"/>
      <c r="W132" s="212"/>
      <c r="X132" s="212"/>
      <c r="Y132" s="212"/>
      <c r="Z132" s="212"/>
      <c r="AA132" s="212"/>
      <c r="AB132" s="212"/>
      <c r="AC132" s="212"/>
      <c r="AD132" s="212"/>
    </row>
    <row r="133" ht="22.5" customHeight="1">
      <c r="A133" s="219">
        <v>1671.0</v>
      </c>
      <c r="B133" s="211" t="s">
        <v>20</v>
      </c>
      <c r="C133" s="211" t="s">
        <v>1248</v>
      </c>
      <c r="D133" s="211" t="s">
        <v>177</v>
      </c>
      <c r="E133" s="211" t="s">
        <v>7766</v>
      </c>
      <c r="F133" s="213"/>
      <c r="G133" s="213"/>
      <c r="H133" s="214" t="s">
        <v>8040</v>
      </c>
      <c r="I133" s="215"/>
      <c r="J133" s="215"/>
      <c r="K133" s="213"/>
      <c r="L133" s="213"/>
      <c r="M133" s="213"/>
      <c r="N133" s="213"/>
      <c r="O133" s="213"/>
      <c r="P133" s="213"/>
      <c r="Q133" s="213"/>
      <c r="R133" s="213"/>
      <c r="S133" s="213"/>
      <c r="T133" s="212"/>
      <c r="U133" s="212"/>
      <c r="V133" s="212"/>
      <c r="W133" s="212"/>
      <c r="X133" s="212"/>
      <c r="Y133" s="212"/>
      <c r="Z133" s="212"/>
      <c r="AA133" s="212"/>
      <c r="AB133" s="212"/>
      <c r="AC133" s="212"/>
      <c r="AD133" s="212"/>
    </row>
    <row r="134" ht="22.5" customHeight="1">
      <c r="A134" s="219">
        <v>1674.0</v>
      </c>
      <c r="B134" s="211" t="s">
        <v>20</v>
      </c>
      <c r="C134" s="211" t="s">
        <v>8041</v>
      </c>
      <c r="D134" s="211" t="s">
        <v>177</v>
      </c>
      <c r="E134" s="211" t="s">
        <v>7766</v>
      </c>
      <c r="F134" s="213"/>
      <c r="G134" s="213"/>
      <c r="H134" s="214" t="s">
        <v>8042</v>
      </c>
      <c r="I134" s="215"/>
      <c r="J134" s="215"/>
      <c r="K134" s="213"/>
      <c r="L134" s="213"/>
      <c r="M134" s="213"/>
      <c r="N134" s="213"/>
      <c r="O134" s="213"/>
      <c r="P134" s="213"/>
      <c r="Q134" s="213"/>
      <c r="R134" s="213"/>
      <c r="S134" s="213"/>
      <c r="T134" s="212"/>
      <c r="U134" s="212"/>
      <c r="V134" s="212"/>
      <c r="W134" s="212"/>
      <c r="X134" s="212"/>
      <c r="Y134" s="212"/>
      <c r="Z134" s="212"/>
      <c r="AA134" s="212"/>
      <c r="AB134" s="212"/>
      <c r="AC134" s="212"/>
      <c r="AD134" s="212"/>
    </row>
    <row r="135" ht="22.5" customHeight="1">
      <c r="A135" s="219">
        <v>1676.0</v>
      </c>
      <c r="B135" s="211" t="s">
        <v>20</v>
      </c>
      <c r="C135" s="211" t="s">
        <v>4348</v>
      </c>
      <c r="D135" s="211" t="s">
        <v>177</v>
      </c>
      <c r="E135" s="211" t="s">
        <v>7766</v>
      </c>
      <c r="F135" s="213"/>
      <c r="G135" s="213"/>
      <c r="H135" s="215"/>
      <c r="I135" s="215"/>
      <c r="J135" s="216" t="s">
        <v>8043</v>
      </c>
      <c r="K135" s="213"/>
      <c r="L135" s="213"/>
      <c r="M135" s="213"/>
      <c r="N135" s="213"/>
      <c r="O135" s="213"/>
      <c r="P135" s="213"/>
      <c r="Q135" s="213"/>
      <c r="R135" s="213"/>
      <c r="S135" s="213"/>
      <c r="T135" s="212"/>
      <c r="U135" s="212"/>
      <c r="V135" s="212"/>
      <c r="W135" s="212"/>
      <c r="X135" s="212"/>
      <c r="Y135" s="212"/>
      <c r="Z135" s="212"/>
      <c r="AA135" s="212"/>
      <c r="AB135" s="212"/>
      <c r="AC135" s="212"/>
      <c r="AD135" s="212"/>
    </row>
    <row r="136" ht="22.5" customHeight="1">
      <c r="A136" s="219">
        <v>1685.0</v>
      </c>
      <c r="B136" s="211" t="s">
        <v>20</v>
      </c>
      <c r="C136" s="211" t="s">
        <v>707</v>
      </c>
      <c r="D136" s="211" t="s">
        <v>177</v>
      </c>
      <c r="E136" s="211" t="s">
        <v>7766</v>
      </c>
      <c r="F136" s="213"/>
      <c r="G136" s="219">
        <v>1.0</v>
      </c>
      <c r="H136" s="214" t="s">
        <v>8044</v>
      </c>
      <c r="I136" s="216" t="s">
        <v>8045</v>
      </c>
      <c r="J136" s="215"/>
      <c r="K136" s="213"/>
      <c r="L136" s="213"/>
      <c r="M136" s="213"/>
      <c r="N136" s="213"/>
      <c r="O136" s="213"/>
      <c r="P136" s="213"/>
      <c r="Q136" s="213"/>
      <c r="R136" s="213"/>
      <c r="S136" s="213"/>
      <c r="T136" s="212"/>
      <c r="U136" s="212"/>
      <c r="V136" s="212"/>
      <c r="W136" s="212"/>
      <c r="X136" s="212"/>
      <c r="Y136" s="212"/>
      <c r="Z136" s="212"/>
      <c r="AA136" s="212"/>
      <c r="AB136" s="212"/>
      <c r="AC136" s="212"/>
      <c r="AD136" s="212"/>
    </row>
    <row r="137" ht="22.5" customHeight="1">
      <c r="A137" s="219">
        <v>1686.0</v>
      </c>
      <c r="B137" s="211" t="s">
        <v>20</v>
      </c>
      <c r="C137" s="211" t="s">
        <v>3808</v>
      </c>
      <c r="D137" s="211" t="s">
        <v>177</v>
      </c>
      <c r="E137" s="211" t="s">
        <v>8046</v>
      </c>
      <c r="F137" s="213"/>
      <c r="G137" s="219">
        <v>1.0</v>
      </c>
      <c r="H137" s="214" t="s">
        <v>8047</v>
      </c>
      <c r="I137" s="215"/>
      <c r="J137" s="215"/>
      <c r="K137" s="213"/>
      <c r="L137" s="213"/>
      <c r="M137" s="213"/>
      <c r="N137" s="213"/>
      <c r="O137" s="213"/>
      <c r="P137" s="213"/>
      <c r="Q137" s="213"/>
      <c r="R137" s="213"/>
      <c r="S137" s="213"/>
      <c r="T137" s="212"/>
      <c r="U137" s="212"/>
      <c r="V137" s="212"/>
      <c r="W137" s="212"/>
      <c r="X137" s="212"/>
      <c r="Y137" s="212"/>
      <c r="Z137" s="212"/>
      <c r="AA137" s="212"/>
      <c r="AB137" s="212"/>
      <c r="AC137" s="212"/>
      <c r="AD137" s="212"/>
    </row>
    <row r="138" ht="22.5" customHeight="1">
      <c r="A138" s="219">
        <v>1693.0</v>
      </c>
      <c r="B138" s="211" t="s">
        <v>20</v>
      </c>
      <c r="C138" s="211" t="s">
        <v>3612</v>
      </c>
      <c r="D138" s="211" t="s">
        <v>177</v>
      </c>
      <c r="E138" s="211" t="s">
        <v>7931</v>
      </c>
      <c r="F138" s="213"/>
      <c r="G138" s="213"/>
      <c r="H138" s="214" t="s">
        <v>8048</v>
      </c>
      <c r="I138" s="215"/>
      <c r="J138" s="215"/>
      <c r="K138" s="213"/>
      <c r="L138" s="213"/>
      <c r="M138" s="213"/>
      <c r="N138" s="213"/>
      <c r="O138" s="213"/>
      <c r="P138" s="213"/>
      <c r="Q138" s="213"/>
      <c r="R138" s="213"/>
      <c r="S138" s="213"/>
      <c r="T138" s="212"/>
      <c r="U138" s="212"/>
      <c r="V138" s="212"/>
      <c r="W138" s="212"/>
      <c r="X138" s="212"/>
      <c r="Y138" s="212"/>
      <c r="Z138" s="212"/>
      <c r="AA138" s="212"/>
      <c r="AB138" s="212"/>
      <c r="AC138" s="212"/>
      <c r="AD138" s="212"/>
    </row>
    <row r="139" ht="22.5" customHeight="1">
      <c r="A139" s="219">
        <v>1695.0</v>
      </c>
      <c r="B139" s="211" t="s">
        <v>20</v>
      </c>
      <c r="C139" s="211" t="s">
        <v>8049</v>
      </c>
      <c r="D139" s="211" t="s">
        <v>177</v>
      </c>
      <c r="E139" s="211" t="s">
        <v>7937</v>
      </c>
      <c r="F139" s="213"/>
      <c r="G139" s="213"/>
      <c r="H139" s="214" t="s">
        <v>8050</v>
      </c>
      <c r="I139" s="217"/>
      <c r="J139" s="215"/>
      <c r="K139" s="213"/>
      <c r="L139" s="213"/>
      <c r="M139" s="213"/>
      <c r="N139" s="213"/>
      <c r="O139" s="213"/>
      <c r="P139" s="213"/>
      <c r="Q139" s="213"/>
      <c r="R139" s="213"/>
      <c r="S139" s="213"/>
      <c r="T139" s="212"/>
      <c r="U139" s="212"/>
      <c r="V139" s="212"/>
      <c r="W139" s="212"/>
      <c r="X139" s="212"/>
      <c r="Y139" s="212"/>
      <c r="Z139" s="212"/>
      <c r="AA139" s="212"/>
      <c r="AB139" s="212"/>
      <c r="AC139" s="212"/>
      <c r="AD139" s="212"/>
    </row>
    <row r="140" ht="22.5" customHeight="1">
      <c r="A140" s="219">
        <v>1696.0</v>
      </c>
      <c r="B140" s="211" t="s">
        <v>20</v>
      </c>
      <c r="C140" s="211" t="s">
        <v>8051</v>
      </c>
      <c r="D140" s="211" t="s">
        <v>177</v>
      </c>
      <c r="E140" s="211" t="s">
        <v>7942</v>
      </c>
      <c r="F140" s="213"/>
      <c r="G140" s="213"/>
      <c r="H140" s="215"/>
      <c r="I140" s="215"/>
      <c r="J140" s="216" t="s">
        <v>8052</v>
      </c>
      <c r="K140" s="213"/>
      <c r="L140" s="213"/>
      <c r="M140" s="213"/>
      <c r="N140" s="213"/>
      <c r="O140" s="213"/>
      <c r="P140" s="213"/>
      <c r="Q140" s="213"/>
      <c r="R140" s="213"/>
      <c r="S140" s="213"/>
      <c r="T140" s="212"/>
      <c r="U140" s="212"/>
      <c r="V140" s="212"/>
      <c r="W140" s="212"/>
      <c r="X140" s="212"/>
      <c r="Y140" s="212"/>
      <c r="Z140" s="212"/>
      <c r="AA140" s="212"/>
      <c r="AB140" s="212"/>
      <c r="AC140" s="212"/>
      <c r="AD140" s="212"/>
    </row>
    <row r="141" ht="22.5" customHeight="1">
      <c r="A141" s="219">
        <v>1697.0</v>
      </c>
      <c r="B141" s="211" t="s">
        <v>20</v>
      </c>
      <c r="C141" s="211" t="s">
        <v>8053</v>
      </c>
      <c r="D141" s="211" t="s">
        <v>177</v>
      </c>
      <c r="E141" s="211" t="s">
        <v>7937</v>
      </c>
      <c r="F141" s="213"/>
      <c r="G141" s="219">
        <v>1.0</v>
      </c>
      <c r="H141" s="214" t="s">
        <v>8054</v>
      </c>
      <c r="I141" s="215"/>
      <c r="J141" s="215"/>
      <c r="K141" s="213"/>
      <c r="L141" s="213"/>
      <c r="M141" s="213"/>
      <c r="N141" s="213"/>
      <c r="O141" s="213"/>
      <c r="P141" s="213"/>
      <c r="Q141" s="213"/>
      <c r="R141" s="213"/>
      <c r="S141" s="213"/>
      <c r="T141" s="212"/>
      <c r="U141" s="212"/>
      <c r="V141" s="212"/>
      <c r="W141" s="212"/>
      <c r="X141" s="212"/>
      <c r="Y141" s="212"/>
      <c r="Z141" s="212"/>
      <c r="AA141" s="212"/>
      <c r="AB141" s="212"/>
      <c r="AC141" s="212"/>
      <c r="AD141" s="212"/>
    </row>
    <row r="142" ht="22.5" customHeight="1">
      <c r="A142" s="219">
        <v>1700.0</v>
      </c>
      <c r="B142" s="211" t="s">
        <v>20</v>
      </c>
      <c r="C142" s="211" t="s">
        <v>8055</v>
      </c>
      <c r="D142" s="211" t="s">
        <v>177</v>
      </c>
      <c r="E142" s="211" t="s">
        <v>7937</v>
      </c>
      <c r="F142" s="213"/>
      <c r="G142" s="219">
        <v>1.0</v>
      </c>
      <c r="H142" s="214" t="s">
        <v>8056</v>
      </c>
      <c r="I142" s="215"/>
      <c r="J142" s="215"/>
      <c r="K142" s="213"/>
      <c r="L142" s="213"/>
      <c r="M142" s="213"/>
      <c r="N142" s="213"/>
      <c r="O142" s="213"/>
      <c r="P142" s="213"/>
      <c r="Q142" s="213"/>
      <c r="R142" s="213"/>
      <c r="S142" s="213"/>
      <c r="T142" s="212"/>
      <c r="U142" s="212"/>
      <c r="V142" s="212"/>
      <c r="W142" s="212"/>
      <c r="X142" s="212"/>
      <c r="Y142" s="212"/>
      <c r="Z142" s="212"/>
      <c r="AA142" s="212"/>
      <c r="AB142" s="212"/>
      <c r="AC142" s="212"/>
      <c r="AD142" s="212"/>
    </row>
    <row r="143" ht="22.5" customHeight="1">
      <c r="A143" s="219">
        <v>1701.0</v>
      </c>
      <c r="B143" s="211" t="s">
        <v>20</v>
      </c>
      <c r="C143" s="211" t="s">
        <v>5664</v>
      </c>
      <c r="D143" s="211" t="s">
        <v>177</v>
      </c>
      <c r="E143" s="211" t="s">
        <v>7937</v>
      </c>
      <c r="F143" s="213"/>
      <c r="G143" s="213"/>
      <c r="H143" s="214" t="s">
        <v>8057</v>
      </c>
      <c r="I143" s="215"/>
      <c r="J143" s="215"/>
      <c r="K143" s="213"/>
      <c r="L143" s="213"/>
      <c r="M143" s="213"/>
      <c r="N143" s="213"/>
      <c r="O143" s="213"/>
      <c r="P143" s="213"/>
      <c r="Q143" s="213"/>
      <c r="R143" s="213"/>
      <c r="S143" s="213"/>
      <c r="T143" s="212"/>
      <c r="U143" s="212"/>
      <c r="V143" s="212"/>
      <c r="W143" s="212"/>
      <c r="X143" s="212"/>
      <c r="Y143" s="212"/>
      <c r="Z143" s="212"/>
      <c r="AA143" s="212"/>
      <c r="AB143" s="212"/>
      <c r="AC143" s="212"/>
      <c r="AD143" s="212"/>
    </row>
    <row r="144" ht="22.5" customHeight="1">
      <c r="A144" s="219">
        <v>1706.0</v>
      </c>
      <c r="B144" s="211" t="s">
        <v>20</v>
      </c>
      <c r="C144" s="211" t="s">
        <v>1417</v>
      </c>
      <c r="D144" s="211" t="s">
        <v>177</v>
      </c>
      <c r="E144" s="211" t="s">
        <v>7937</v>
      </c>
      <c r="F144" s="213"/>
      <c r="G144" s="213"/>
      <c r="H144" s="214" t="s">
        <v>8058</v>
      </c>
      <c r="I144" s="216" t="s">
        <v>8059</v>
      </c>
      <c r="J144" s="216" t="s">
        <v>8060</v>
      </c>
      <c r="K144" s="213"/>
      <c r="L144" s="213"/>
      <c r="M144" s="213"/>
      <c r="N144" s="213"/>
      <c r="O144" s="213"/>
      <c r="P144" s="213"/>
      <c r="Q144" s="213"/>
      <c r="R144" s="213"/>
      <c r="S144" s="213"/>
      <c r="T144" s="212"/>
      <c r="U144" s="212"/>
      <c r="V144" s="212"/>
      <c r="W144" s="212"/>
      <c r="X144" s="212"/>
      <c r="Y144" s="212"/>
      <c r="Z144" s="212"/>
      <c r="AA144" s="212"/>
      <c r="AB144" s="212"/>
      <c r="AC144" s="212"/>
      <c r="AD144" s="212"/>
    </row>
    <row r="145" ht="22.5" customHeight="1">
      <c r="A145" s="219">
        <v>1708.0</v>
      </c>
      <c r="B145" s="211" t="s">
        <v>20</v>
      </c>
      <c r="C145" s="211" t="s">
        <v>1417</v>
      </c>
      <c r="D145" s="211" t="s">
        <v>177</v>
      </c>
      <c r="E145" s="211" t="s">
        <v>7937</v>
      </c>
      <c r="F145" s="213"/>
      <c r="G145" s="213"/>
      <c r="H145" s="214" t="s">
        <v>8061</v>
      </c>
      <c r="I145" s="215"/>
      <c r="J145" s="215"/>
      <c r="K145" s="213"/>
      <c r="L145" s="213"/>
      <c r="M145" s="213"/>
      <c r="N145" s="213"/>
      <c r="O145" s="213"/>
      <c r="P145" s="213"/>
      <c r="Q145" s="213"/>
      <c r="R145" s="213"/>
      <c r="S145" s="213"/>
      <c r="T145" s="212"/>
      <c r="U145" s="212"/>
      <c r="V145" s="212"/>
      <c r="W145" s="212"/>
      <c r="X145" s="212"/>
      <c r="Y145" s="212"/>
      <c r="Z145" s="212"/>
      <c r="AA145" s="212"/>
      <c r="AB145" s="212"/>
      <c r="AC145" s="212"/>
      <c r="AD145" s="212"/>
    </row>
    <row r="146" ht="22.5" customHeight="1">
      <c r="A146" s="219">
        <v>1710.0</v>
      </c>
      <c r="B146" s="211" t="s">
        <v>20</v>
      </c>
      <c r="C146" s="211" t="s">
        <v>8062</v>
      </c>
      <c r="D146" s="211" t="s">
        <v>177</v>
      </c>
      <c r="E146" s="211" t="s">
        <v>177</v>
      </c>
      <c r="F146" s="213"/>
      <c r="G146" s="213"/>
      <c r="H146" s="214" t="s">
        <v>8063</v>
      </c>
      <c r="I146" s="215"/>
      <c r="J146" s="216" t="s">
        <v>8064</v>
      </c>
      <c r="K146" s="213"/>
      <c r="L146" s="213"/>
      <c r="M146" s="213"/>
      <c r="N146" s="213"/>
      <c r="O146" s="213"/>
      <c r="P146" s="213"/>
      <c r="Q146" s="213"/>
      <c r="R146" s="213"/>
      <c r="S146" s="213"/>
      <c r="T146" s="212"/>
      <c r="U146" s="212"/>
      <c r="V146" s="212"/>
      <c r="W146" s="212"/>
      <c r="X146" s="212"/>
      <c r="Y146" s="212"/>
      <c r="Z146" s="212"/>
      <c r="AA146" s="212"/>
      <c r="AB146" s="212"/>
      <c r="AC146" s="212"/>
      <c r="AD146" s="212"/>
    </row>
    <row r="147" ht="22.5" customHeight="1">
      <c r="A147" s="219">
        <v>1711.0</v>
      </c>
      <c r="B147" s="211" t="s">
        <v>20</v>
      </c>
      <c r="C147" s="211" t="s">
        <v>7317</v>
      </c>
      <c r="D147" s="211" t="s">
        <v>177</v>
      </c>
      <c r="E147" s="211" t="s">
        <v>177</v>
      </c>
      <c r="F147" s="213"/>
      <c r="G147" s="213"/>
      <c r="H147" s="215"/>
      <c r="I147" s="215"/>
      <c r="J147" s="216" t="s">
        <v>8065</v>
      </c>
      <c r="K147" s="213"/>
      <c r="L147" s="213"/>
      <c r="M147" s="213"/>
      <c r="N147" s="213"/>
      <c r="O147" s="213"/>
      <c r="P147" s="213"/>
      <c r="Q147" s="213"/>
      <c r="R147" s="213"/>
      <c r="S147" s="213"/>
      <c r="T147" s="212"/>
      <c r="U147" s="212"/>
      <c r="V147" s="212"/>
      <c r="W147" s="212"/>
      <c r="X147" s="212"/>
      <c r="Y147" s="212"/>
      <c r="Z147" s="212"/>
      <c r="AA147" s="212"/>
      <c r="AB147" s="212"/>
      <c r="AC147" s="212"/>
      <c r="AD147" s="212"/>
    </row>
    <row r="148" ht="22.5" customHeight="1">
      <c r="A148" s="219">
        <v>1713.0</v>
      </c>
      <c r="B148" s="211" t="s">
        <v>20</v>
      </c>
      <c r="C148" s="211" t="s">
        <v>8066</v>
      </c>
      <c r="D148" s="211" t="s">
        <v>177</v>
      </c>
      <c r="E148" s="211" t="s">
        <v>177</v>
      </c>
      <c r="F148" s="213"/>
      <c r="G148" s="213"/>
      <c r="H148" s="27"/>
      <c r="I148" s="215"/>
      <c r="J148" s="216" t="s">
        <v>8067</v>
      </c>
      <c r="K148" s="213"/>
      <c r="L148" s="213"/>
      <c r="M148" s="213"/>
      <c r="N148" s="213"/>
      <c r="O148" s="213"/>
      <c r="P148" s="213"/>
      <c r="Q148" s="213"/>
      <c r="R148" s="213"/>
      <c r="S148" s="213"/>
      <c r="T148" s="212"/>
      <c r="U148" s="212"/>
      <c r="V148" s="212"/>
      <c r="W148" s="212"/>
      <c r="X148" s="212"/>
      <c r="Y148" s="212"/>
      <c r="Z148" s="212"/>
      <c r="AA148" s="212"/>
      <c r="AB148" s="212"/>
      <c r="AC148" s="212"/>
      <c r="AD148" s="212"/>
    </row>
    <row r="149" ht="22.5" customHeight="1">
      <c r="A149" s="219">
        <v>1714.0</v>
      </c>
      <c r="B149" s="211" t="s">
        <v>20</v>
      </c>
      <c r="C149" s="211" t="s">
        <v>8068</v>
      </c>
      <c r="D149" s="211" t="s">
        <v>177</v>
      </c>
      <c r="E149" s="211" t="s">
        <v>177</v>
      </c>
      <c r="F149" s="213"/>
      <c r="G149" s="213"/>
      <c r="H149" s="215"/>
      <c r="I149" s="215"/>
      <c r="J149" s="216" t="s">
        <v>8069</v>
      </c>
      <c r="K149" s="213"/>
      <c r="L149" s="213"/>
      <c r="M149" s="213"/>
      <c r="N149" s="213"/>
      <c r="O149" s="213"/>
      <c r="P149" s="213"/>
      <c r="Q149" s="213"/>
      <c r="R149" s="213"/>
      <c r="S149" s="213"/>
      <c r="T149" s="212"/>
      <c r="U149" s="212"/>
      <c r="V149" s="212"/>
      <c r="W149" s="212"/>
      <c r="X149" s="212"/>
      <c r="Y149" s="212"/>
      <c r="Z149" s="212"/>
      <c r="AA149" s="212"/>
      <c r="AB149" s="212"/>
      <c r="AC149" s="212"/>
      <c r="AD149" s="212"/>
    </row>
    <row r="150" ht="22.5" customHeight="1">
      <c r="A150" s="219">
        <v>1715.0</v>
      </c>
      <c r="B150" s="211" t="s">
        <v>20</v>
      </c>
      <c r="C150" s="211" t="s">
        <v>1417</v>
      </c>
      <c r="D150" s="211" t="s">
        <v>177</v>
      </c>
      <c r="E150" s="211" t="s">
        <v>7860</v>
      </c>
      <c r="F150" s="213"/>
      <c r="G150" s="213"/>
      <c r="H150" s="214" t="s">
        <v>8070</v>
      </c>
      <c r="I150" s="215"/>
      <c r="J150" s="215"/>
      <c r="K150" s="213"/>
      <c r="L150" s="213"/>
      <c r="M150" s="213"/>
      <c r="N150" s="213"/>
      <c r="O150" s="213"/>
      <c r="P150" s="213"/>
      <c r="Q150" s="213"/>
      <c r="R150" s="213"/>
      <c r="S150" s="213"/>
      <c r="T150" s="212"/>
      <c r="U150" s="212"/>
      <c r="V150" s="212"/>
      <c r="W150" s="212"/>
      <c r="X150" s="212"/>
      <c r="Y150" s="212"/>
      <c r="Z150" s="212"/>
      <c r="AA150" s="212"/>
      <c r="AB150" s="212"/>
      <c r="AC150" s="212"/>
      <c r="AD150" s="212"/>
    </row>
    <row r="151" ht="22.5" customHeight="1">
      <c r="A151" s="219">
        <v>1717.0</v>
      </c>
      <c r="B151" s="211" t="s">
        <v>20</v>
      </c>
      <c r="C151" s="211" t="s">
        <v>7402</v>
      </c>
      <c r="D151" s="211" t="s">
        <v>177</v>
      </c>
      <c r="E151" s="211" t="s">
        <v>177</v>
      </c>
      <c r="F151" s="213"/>
      <c r="G151" s="213"/>
      <c r="H151" s="214" t="s">
        <v>8071</v>
      </c>
      <c r="I151" s="215"/>
      <c r="J151" s="215"/>
      <c r="K151" s="213"/>
      <c r="L151" s="213"/>
      <c r="M151" s="213"/>
      <c r="N151" s="213"/>
      <c r="O151" s="213"/>
      <c r="P151" s="213"/>
      <c r="Q151" s="213"/>
      <c r="R151" s="213"/>
      <c r="S151" s="213"/>
      <c r="T151" s="212"/>
      <c r="U151" s="212"/>
      <c r="V151" s="212"/>
      <c r="W151" s="212"/>
      <c r="X151" s="212"/>
      <c r="Y151" s="212"/>
      <c r="Z151" s="212"/>
      <c r="AA151" s="212"/>
      <c r="AB151" s="212"/>
      <c r="AC151" s="212"/>
      <c r="AD151" s="212"/>
    </row>
    <row r="152" ht="22.5" customHeight="1">
      <c r="A152" s="219">
        <v>1721.0</v>
      </c>
      <c r="B152" s="211" t="s">
        <v>20</v>
      </c>
      <c r="C152" s="211" t="s">
        <v>8072</v>
      </c>
      <c r="D152" s="211" t="s">
        <v>177</v>
      </c>
      <c r="E152" s="211" t="s">
        <v>177</v>
      </c>
      <c r="F152" s="213"/>
      <c r="G152" s="213"/>
      <c r="H152" s="214" t="s">
        <v>8073</v>
      </c>
      <c r="I152" s="215"/>
      <c r="J152" s="215"/>
      <c r="K152" s="213"/>
      <c r="L152" s="213"/>
      <c r="M152" s="213"/>
      <c r="N152" s="213"/>
      <c r="O152" s="213"/>
      <c r="P152" s="213"/>
      <c r="Q152" s="213"/>
      <c r="R152" s="213"/>
      <c r="S152" s="213"/>
      <c r="T152" s="212"/>
      <c r="U152" s="212"/>
      <c r="V152" s="212"/>
      <c r="W152" s="212"/>
      <c r="X152" s="212"/>
      <c r="Y152" s="212"/>
      <c r="Z152" s="212"/>
      <c r="AA152" s="212"/>
      <c r="AB152" s="212"/>
      <c r="AC152" s="212"/>
      <c r="AD152" s="212"/>
    </row>
    <row r="153" ht="22.5" customHeight="1">
      <c r="A153" s="219">
        <v>1723.0</v>
      </c>
      <c r="B153" s="211" t="s">
        <v>20</v>
      </c>
      <c r="C153" s="211" t="s">
        <v>8074</v>
      </c>
      <c r="D153" s="211" t="s">
        <v>177</v>
      </c>
      <c r="E153" s="211" t="s">
        <v>177</v>
      </c>
      <c r="F153" s="213"/>
      <c r="G153" s="213"/>
      <c r="H153" s="214" t="s">
        <v>8075</v>
      </c>
      <c r="I153" s="215"/>
      <c r="J153" s="215"/>
      <c r="K153" s="213"/>
      <c r="L153" s="213"/>
      <c r="M153" s="213"/>
      <c r="N153" s="213"/>
      <c r="O153" s="213"/>
      <c r="P153" s="213"/>
      <c r="Q153" s="213"/>
      <c r="R153" s="213"/>
      <c r="S153" s="213"/>
      <c r="T153" s="212"/>
      <c r="U153" s="212"/>
      <c r="V153" s="212"/>
      <c r="W153" s="212"/>
      <c r="X153" s="212"/>
      <c r="Y153" s="212"/>
      <c r="Z153" s="212"/>
      <c r="AA153" s="212"/>
      <c r="AB153" s="212"/>
      <c r="AC153" s="212"/>
      <c r="AD153" s="212"/>
    </row>
    <row r="154" ht="22.5" customHeight="1">
      <c r="A154" s="219">
        <v>1724.0</v>
      </c>
      <c r="B154" s="211" t="s">
        <v>20</v>
      </c>
      <c r="C154" s="211" t="s">
        <v>8076</v>
      </c>
      <c r="D154" s="211" t="s">
        <v>177</v>
      </c>
      <c r="E154" s="211" t="s">
        <v>177</v>
      </c>
      <c r="F154" s="213"/>
      <c r="G154" s="213"/>
      <c r="H154" s="214" t="s">
        <v>8077</v>
      </c>
      <c r="I154" s="215"/>
      <c r="J154" s="215"/>
      <c r="K154" s="213"/>
      <c r="L154" s="213"/>
      <c r="M154" s="213"/>
      <c r="N154" s="213"/>
      <c r="O154" s="213"/>
      <c r="P154" s="213"/>
      <c r="Q154" s="213"/>
      <c r="R154" s="213"/>
      <c r="S154" s="213"/>
      <c r="T154" s="212"/>
      <c r="U154" s="212"/>
      <c r="V154" s="212"/>
      <c r="W154" s="212"/>
      <c r="X154" s="212"/>
      <c r="Y154" s="212"/>
      <c r="Z154" s="212"/>
      <c r="AA154" s="212"/>
      <c r="AB154" s="212"/>
      <c r="AC154" s="212"/>
      <c r="AD154" s="212"/>
    </row>
    <row r="155" ht="22.5" customHeight="1">
      <c r="A155" s="219">
        <v>1727.0</v>
      </c>
      <c r="B155" s="211" t="s">
        <v>20</v>
      </c>
      <c r="C155" s="211" t="s">
        <v>8078</v>
      </c>
      <c r="D155" s="211" t="s">
        <v>177</v>
      </c>
      <c r="E155" s="211" t="s">
        <v>8079</v>
      </c>
      <c r="F155" s="213"/>
      <c r="G155" s="219">
        <v>1.0</v>
      </c>
      <c r="H155" s="214" t="s">
        <v>8080</v>
      </c>
      <c r="I155" s="215"/>
      <c r="J155" s="215"/>
      <c r="K155" s="213"/>
      <c r="L155" s="213"/>
      <c r="M155" s="213"/>
      <c r="N155" s="213"/>
      <c r="O155" s="213"/>
      <c r="P155" s="213"/>
      <c r="Q155" s="213"/>
      <c r="R155" s="213"/>
      <c r="S155" s="213"/>
      <c r="T155" s="212"/>
      <c r="U155" s="212"/>
      <c r="V155" s="212"/>
      <c r="W155" s="212"/>
      <c r="X155" s="212"/>
      <c r="Y155" s="212"/>
      <c r="Z155" s="212"/>
      <c r="AA155" s="212"/>
      <c r="AB155" s="212"/>
      <c r="AC155" s="212"/>
      <c r="AD155" s="212"/>
    </row>
    <row r="156" ht="22.5" customHeight="1">
      <c r="A156" s="219">
        <v>1728.0</v>
      </c>
      <c r="B156" s="211" t="s">
        <v>20</v>
      </c>
      <c r="C156" s="211" t="s">
        <v>8081</v>
      </c>
      <c r="D156" s="211" t="s">
        <v>177</v>
      </c>
      <c r="E156" s="211" t="s">
        <v>8079</v>
      </c>
      <c r="F156" s="213"/>
      <c r="G156" s="213"/>
      <c r="H156" s="215"/>
      <c r="I156" s="214" t="s">
        <v>8082</v>
      </c>
      <c r="J156" s="215"/>
      <c r="K156" s="213"/>
      <c r="L156" s="213"/>
      <c r="M156" s="213"/>
      <c r="N156" s="213"/>
      <c r="O156" s="213"/>
      <c r="P156" s="213"/>
      <c r="Q156" s="213"/>
      <c r="R156" s="213"/>
      <c r="S156" s="213"/>
      <c r="T156" s="212"/>
      <c r="U156" s="212"/>
      <c r="V156" s="212"/>
      <c r="W156" s="212"/>
      <c r="X156" s="212"/>
      <c r="Y156" s="212"/>
      <c r="Z156" s="212"/>
      <c r="AA156" s="212"/>
      <c r="AB156" s="212"/>
      <c r="AC156" s="212"/>
      <c r="AD156" s="212"/>
    </row>
    <row r="157" ht="22.5" customHeight="1">
      <c r="A157" s="219">
        <v>1730.0</v>
      </c>
      <c r="B157" s="211" t="s">
        <v>20</v>
      </c>
      <c r="C157" s="211" t="s">
        <v>5917</v>
      </c>
      <c r="D157" s="211" t="s">
        <v>177</v>
      </c>
      <c r="E157" s="211" t="s">
        <v>8083</v>
      </c>
      <c r="F157" s="213"/>
      <c r="G157" s="213"/>
      <c r="H157" s="214" t="s">
        <v>8084</v>
      </c>
      <c r="I157" s="215"/>
      <c r="J157" s="216" t="s">
        <v>8085</v>
      </c>
      <c r="K157" s="213"/>
      <c r="L157" s="213"/>
      <c r="M157" s="213"/>
      <c r="N157" s="213"/>
      <c r="O157" s="213"/>
      <c r="P157" s="213"/>
      <c r="Q157" s="213"/>
      <c r="R157" s="213"/>
      <c r="S157" s="213"/>
      <c r="T157" s="212"/>
      <c r="U157" s="212"/>
      <c r="V157" s="212"/>
      <c r="W157" s="212"/>
      <c r="X157" s="212"/>
      <c r="Y157" s="212"/>
      <c r="Z157" s="212"/>
      <c r="AA157" s="212"/>
      <c r="AB157" s="212"/>
      <c r="AC157" s="212"/>
      <c r="AD157" s="212"/>
    </row>
    <row r="158" ht="22.5" customHeight="1">
      <c r="A158" s="219">
        <v>1734.0</v>
      </c>
      <c r="B158" s="211" t="s">
        <v>20</v>
      </c>
      <c r="C158" s="211" t="s">
        <v>4125</v>
      </c>
      <c r="D158" s="211" t="s">
        <v>177</v>
      </c>
      <c r="E158" s="211" t="s">
        <v>8083</v>
      </c>
      <c r="F158" s="213"/>
      <c r="G158" s="219">
        <v>1.0</v>
      </c>
      <c r="H158" s="214" t="s">
        <v>8086</v>
      </c>
      <c r="I158" s="215"/>
      <c r="J158" s="215"/>
      <c r="K158" s="213"/>
      <c r="L158" s="213"/>
      <c r="M158" s="213"/>
      <c r="N158" s="213"/>
      <c r="O158" s="213"/>
      <c r="P158" s="213"/>
      <c r="Q158" s="213"/>
      <c r="R158" s="213"/>
      <c r="S158" s="213"/>
      <c r="T158" s="212"/>
      <c r="U158" s="212"/>
      <c r="V158" s="212"/>
      <c r="W158" s="212"/>
      <c r="X158" s="212"/>
      <c r="Y158" s="212"/>
      <c r="Z158" s="212"/>
      <c r="AA158" s="212"/>
      <c r="AB158" s="212"/>
      <c r="AC158" s="212"/>
      <c r="AD158" s="212"/>
    </row>
    <row r="159" ht="22.5" customHeight="1">
      <c r="A159" s="74">
        <v>1736.0</v>
      </c>
      <c r="B159" s="211" t="s">
        <v>20</v>
      </c>
      <c r="C159" s="28" t="s">
        <v>8087</v>
      </c>
      <c r="D159" s="211" t="s">
        <v>177</v>
      </c>
      <c r="E159" s="211" t="s">
        <v>8083</v>
      </c>
      <c r="F159" s="213"/>
      <c r="G159" s="213"/>
      <c r="H159" s="214" t="s">
        <v>8088</v>
      </c>
      <c r="I159" s="215"/>
      <c r="J159" s="215"/>
      <c r="K159" s="213"/>
      <c r="L159" s="213"/>
      <c r="M159" s="213"/>
      <c r="N159" s="213"/>
      <c r="O159" s="213"/>
      <c r="P159" s="213"/>
      <c r="Q159" s="213"/>
      <c r="R159" s="213"/>
      <c r="S159" s="213"/>
      <c r="T159" s="212"/>
      <c r="U159" s="212"/>
      <c r="V159" s="212"/>
      <c r="W159" s="212"/>
      <c r="X159" s="212"/>
      <c r="Y159" s="212"/>
      <c r="Z159" s="212"/>
      <c r="AA159" s="212"/>
      <c r="AB159" s="212"/>
      <c r="AC159" s="212"/>
      <c r="AD159" s="212"/>
    </row>
    <row r="160" ht="22.5" customHeight="1">
      <c r="A160" s="219">
        <v>1738.0</v>
      </c>
      <c r="B160" s="211" t="s">
        <v>20</v>
      </c>
      <c r="C160" s="28" t="s">
        <v>3209</v>
      </c>
      <c r="D160" s="211" t="s">
        <v>177</v>
      </c>
      <c r="E160" s="211" t="s">
        <v>8083</v>
      </c>
      <c r="F160" s="213"/>
      <c r="G160" s="213"/>
      <c r="H160" s="216" t="s">
        <v>8089</v>
      </c>
      <c r="I160" s="217"/>
      <c r="J160" s="217"/>
      <c r="K160" s="213"/>
      <c r="L160" s="213"/>
      <c r="M160" s="213"/>
      <c r="N160" s="213"/>
      <c r="O160" s="213"/>
      <c r="P160" s="213"/>
      <c r="Q160" s="213"/>
      <c r="R160" s="213"/>
      <c r="S160" s="213"/>
      <c r="T160" s="212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</row>
    <row r="161" ht="22.5" customHeight="1">
      <c r="A161" s="219">
        <v>1753.0</v>
      </c>
      <c r="B161" s="211" t="s">
        <v>20</v>
      </c>
      <c r="C161" s="28" t="s">
        <v>1257</v>
      </c>
      <c r="D161" s="211" t="s">
        <v>177</v>
      </c>
      <c r="E161" s="211" t="s">
        <v>8090</v>
      </c>
      <c r="F161" s="213"/>
      <c r="G161" s="213"/>
      <c r="H161" s="214" t="s">
        <v>8091</v>
      </c>
      <c r="I161" s="215"/>
      <c r="J161" s="215"/>
      <c r="K161" s="213"/>
      <c r="L161" s="213"/>
      <c r="M161" s="213"/>
      <c r="N161" s="213"/>
      <c r="O161" s="213"/>
      <c r="P161" s="213"/>
      <c r="Q161" s="213"/>
      <c r="R161" s="213"/>
      <c r="S161" s="213"/>
      <c r="T161" s="212"/>
      <c r="U161" s="212"/>
      <c r="V161" s="212"/>
      <c r="W161" s="212"/>
      <c r="X161" s="212"/>
      <c r="Y161" s="212"/>
      <c r="Z161" s="212"/>
      <c r="AA161" s="212"/>
      <c r="AB161" s="212"/>
      <c r="AC161" s="212"/>
      <c r="AD161" s="212"/>
    </row>
    <row r="162" ht="22.5" customHeight="1">
      <c r="A162" s="219">
        <v>1757.0</v>
      </c>
      <c r="B162" s="211" t="s">
        <v>20</v>
      </c>
      <c r="C162" s="28" t="s">
        <v>8092</v>
      </c>
      <c r="D162" s="211" t="s">
        <v>177</v>
      </c>
      <c r="E162" s="211" t="s">
        <v>177</v>
      </c>
      <c r="F162" s="210" t="s">
        <v>8093</v>
      </c>
      <c r="G162" s="213"/>
      <c r="H162" s="214" t="s">
        <v>8094</v>
      </c>
      <c r="I162" s="215"/>
      <c r="J162" s="217"/>
      <c r="K162" s="213"/>
      <c r="L162" s="213"/>
      <c r="M162" s="213"/>
      <c r="N162" s="213"/>
      <c r="O162" s="213"/>
      <c r="P162" s="213"/>
      <c r="Q162" s="213"/>
      <c r="R162" s="213"/>
      <c r="S162" s="213"/>
      <c r="T162" s="212"/>
      <c r="U162" s="212"/>
      <c r="V162" s="212"/>
      <c r="W162" s="212"/>
      <c r="X162" s="212"/>
      <c r="Y162" s="212"/>
      <c r="Z162" s="212"/>
      <c r="AA162" s="212"/>
      <c r="AB162" s="212"/>
      <c r="AC162" s="212"/>
      <c r="AD162" s="212"/>
    </row>
    <row r="163" ht="22.5" customHeight="1">
      <c r="A163" s="74">
        <v>1779.0</v>
      </c>
      <c r="B163" s="211" t="s">
        <v>20</v>
      </c>
      <c r="C163" s="28" t="s">
        <v>1417</v>
      </c>
      <c r="D163" s="211" t="s">
        <v>177</v>
      </c>
      <c r="E163" s="211" t="s">
        <v>8095</v>
      </c>
      <c r="F163" s="213"/>
      <c r="G163" s="213"/>
      <c r="H163" s="216" t="s">
        <v>8096</v>
      </c>
      <c r="I163" s="215"/>
      <c r="J163" s="215"/>
      <c r="K163" s="213"/>
      <c r="L163" s="213"/>
      <c r="M163" s="213"/>
      <c r="N163" s="213"/>
      <c r="O163" s="213"/>
      <c r="P163" s="213"/>
      <c r="Q163" s="213"/>
      <c r="R163" s="213"/>
      <c r="S163" s="213"/>
      <c r="T163" s="212"/>
      <c r="U163" s="212"/>
      <c r="V163" s="212"/>
      <c r="W163" s="212"/>
      <c r="X163" s="212"/>
      <c r="Y163" s="212"/>
      <c r="Z163" s="212"/>
      <c r="AA163" s="212"/>
      <c r="AB163" s="212"/>
      <c r="AC163" s="212"/>
      <c r="AD163" s="212"/>
    </row>
    <row r="164" ht="22.5" customHeight="1">
      <c r="A164" s="219">
        <v>1784.0</v>
      </c>
      <c r="B164" s="211" t="s">
        <v>20</v>
      </c>
      <c r="C164" s="28" t="s">
        <v>8097</v>
      </c>
      <c r="D164" s="211" t="s">
        <v>177</v>
      </c>
      <c r="E164" s="211" t="s">
        <v>177</v>
      </c>
      <c r="F164" s="213"/>
      <c r="G164" s="213"/>
      <c r="H164" s="216" t="s">
        <v>8098</v>
      </c>
      <c r="I164" s="215"/>
      <c r="J164" s="215"/>
      <c r="K164" s="213"/>
      <c r="L164" s="213"/>
      <c r="M164" s="213"/>
      <c r="N164" s="213"/>
      <c r="O164" s="213"/>
      <c r="P164" s="213"/>
      <c r="Q164" s="213"/>
      <c r="R164" s="213"/>
      <c r="S164" s="213"/>
      <c r="T164" s="212"/>
      <c r="U164" s="212"/>
      <c r="V164" s="212"/>
      <c r="W164" s="212"/>
      <c r="X164" s="212"/>
      <c r="Y164" s="212"/>
      <c r="Z164" s="212"/>
      <c r="AA164" s="212"/>
      <c r="AB164" s="212"/>
      <c r="AC164" s="212"/>
      <c r="AD164" s="212"/>
    </row>
    <row r="165" ht="22.5" customHeight="1">
      <c r="A165" s="219">
        <v>1789.0</v>
      </c>
      <c r="B165" s="211" t="s">
        <v>20</v>
      </c>
      <c r="C165" s="28" t="s">
        <v>5299</v>
      </c>
      <c r="D165" s="211" t="s">
        <v>177</v>
      </c>
      <c r="E165" s="211" t="s">
        <v>177</v>
      </c>
      <c r="F165" s="213"/>
      <c r="G165" s="213"/>
      <c r="H165" s="214" t="s">
        <v>8099</v>
      </c>
      <c r="I165" s="215"/>
      <c r="J165" s="215"/>
      <c r="K165" s="213"/>
      <c r="L165" s="213"/>
      <c r="M165" s="213"/>
      <c r="N165" s="213"/>
      <c r="O165" s="213"/>
      <c r="P165" s="213"/>
      <c r="Q165" s="213"/>
      <c r="R165" s="213"/>
      <c r="S165" s="213"/>
      <c r="T165" s="212"/>
      <c r="U165" s="212"/>
      <c r="V165" s="212"/>
      <c r="W165" s="212"/>
      <c r="X165" s="212"/>
      <c r="Y165" s="212"/>
      <c r="Z165" s="212"/>
      <c r="AA165" s="212"/>
      <c r="AB165" s="212"/>
      <c r="AC165" s="212"/>
      <c r="AD165" s="212"/>
    </row>
    <row r="166" ht="22.5" customHeight="1">
      <c r="A166" s="219">
        <v>1790.0</v>
      </c>
      <c r="B166" s="211" t="s">
        <v>20</v>
      </c>
      <c r="C166" s="28" t="s">
        <v>8100</v>
      </c>
      <c r="D166" s="211" t="s">
        <v>177</v>
      </c>
      <c r="E166" s="222" t="s">
        <v>8101</v>
      </c>
      <c r="F166" s="28" t="s">
        <v>8102</v>
      </c>
      <c r="G166" s="213"/>
      <c r="H166" s="214" t="s">
        <v>8103</v>
      </c>
      <c r="I166" s="216" t="s">
        <v>8104</v>
      </c>
      <c r="J166" s="213"/>
      <c r="K166" s="213"/>
      <c r="L166" s="213"/>
      <c r="M166" s="213"/>
      <c r="N166" s="213"/>
      <c r="O166" s="213"/>
      <c r="P166" s="213"/>
      <c r="Q166" s="213"/>
      <c r="R166" s="213"/>
      <c r="S166" s="213"/>
      <c r="T166" s="212"/>
      <c r="U166" s="212"/>
      <c r="V166" s="212"/>
      <c r="W166" s="212"/>
      <c r="X166" s="212"/>
      <c r="Y166" s="212"/>
      <c r="Z166" s="212"/>
      <c r="AA166" s="212"/>
      <c r="AB166" s="212"/>
      <c r="AC166" s="212"/>
      <c r="AD166" s="212"/>
    </row>
    <row r="167" ht="22.5" customHeight="1">
      <c r="A167" s="219">
        <v>1792.0</v>
      </c>
      <c r="B167" s="211" t="s">
        <v>20</v>
      </c>
      <c r="C167" s="222" t="s">
        <v>8105</v>
      </c>
      <c r="D167" s="211" t="s">
        <v>177</v>
      </c>
      <c r="E167" s="211" t="s">
        <v>178</v>
      </c>
      <c r="F167" s="213"/>
      <c r="G167" s="213"/>
      <c r="H167" s="216" t="s">
        <v>8106</v>
      </c>
      <c r="I167" s="215"/>
      <c r="J167" s="215"/>
      <c r="K167" s="213"/>
      <c r="L167" s="213"/>
      <c r="M167" s="213"/>
      <c r="N167" s="213"/>
      <c r="O167" s="213"/>
      <c r="P167" s="213"/>
      <c r="Q167" s="213"/>
      <c r="R167" s="213"/>
      <c r="S167" s="213"/>
      <c r="T167" s="212"/>
      <c r="U167" s="212"/>
      <c r="V167" s="212"/>
      <c r="W167" s="212"/>
      <c r="X167" s="212"/>
      <c r="Y167" s="212"/>
      <c r="Z167" s="212"/>
      <c r="AA167" s="212"/>
      <c r="AB167" s="212"/>
      <c r="AC167" s="212"/>
      <c r="AD167" s="212"/>
    </row>
    <row r="168" ht="22.5" customHeight="1">
      <c r="A168" s="219">
        <v>1793.0</v>
      </c>
      <c r="B168" s="211" t="s">
        <v>20</v>
      </c>
      <c r="C168" s="28" t="s">
        <v>4055</v>
      </c>
      <c r="D168" s="211" t="s">
        <v>177</v>
      </c>
      <c r="E168" s="211" t="s">
        <v>177</v>
      </c>
      <c r="F168" s="213"/>
      <c r="G168" s="213"/>
      <c r="H168" s="214" t="s">
        <v>8107</v>
      </c>
      <c r="I168" s="215"/>
      <c r="J168" s="215"/>
      <c r="K168" s="213"/>
      <c r="L168" s="213"/>
      <c r="M168" s="213"/>
      <c r="N168" s="213"/>
      <c r="O168" s="213"/>
      <c r="P168" s="213"/>
      <c r="Q168" s="213"/>
      <c r="R168" s="213"/>
      <c r="S168" s="213"/>
      <c r="T168" s="212"/>
      <c r="U168" s="212"/>
      <c r="V168" s="212"/>
      <c r="W168" s="212"/>
      <c r="X168" s="212"/>
      <c r="Y168" s="212"/>
      <c r="Z168" s="212"/>
      <c r="AA168" s="212"/>
      <c r="AB168" s="212"/>
      <c r="AC168" s="212"/>
      <c r="AD168" s="212"/>
    </row>
    <row r="169" ht="22.5" customHeight="1">
      <c r="A169" s="74">
        <v>1797.0</v>
      </c>
      <c r="B169" s="211" t="s">
        <v>20</v>
      </c>
      <c r="C169" s="28" t="s">
        <v>8108</v>
      </c>
      <c r="D169" s="211" t="s">
        <v>177</v>
      </c>
      <c r="E169" s="211" t="s">
        <v>177</v>
      </c>
      <c r="F169" s="213"/>
      <c r="G169" s="213"/>
      <c r="H169" s="216" t="s">
        <v>8109</v>
      </c>
      <c r="I169" s="216" t="s">
        <v>8110</v>
      </c>
      <c r="J169" s="213"/>
      <c r="K169" s="213"/>
      <c r="L169" s="213"/>
      <c r="M169" s="213"/>
      <c r="N169" s="213"/>
      <c r="O169" s="213"/>
      <c r="P169" s="213"/>
      <c r="Q169" s="213"/>
      <c r="R169" s="213"/>
      <c r="S169" s="213"/>
      <c r="T169" s="212"/>
      <c r="U169" s="212"/>
      <c r="V169" s="212"/>
      <c r="W169" s="212"/>
      <c r="X169" s="212"/>
      <c r="Y169" s="212"/>
      <c r="Z169" s="212"/>
      <c r="AA169" s="212"/>
      <c r="AB169" s="212"/>
      <c r="AC169" s="212"/>
      <c r="AD169" s="212"/>
    </row>
    <row r="170" ht="22.5" customHeight="1">
      <c r="A170" s="74">
        <v>1798.0</v>
      </c>
      <c r="B170" s="211" t="s">
        <v>20</v>
      </c>
      <c r="C170" s="28" t="s">
        <v>3479</v>
      </c>
      <c r="D170" s="211" t="s">
        <v>177</v>
      </c>
      <c r="E170" s="211" t="s">
        <v>8002</v>
      </c>
      <c r="F170" s="213"/>
      <c r="G170" s="213"/>
      <c r="H170" s="216" t="s">
        <v>8111</v>
      </c>
      <c r="I170" s="216" t="s">
        <v>8112</v>
      </c>
      <c r="J170" s="216" t="s">
        <v>8113</v>
      </c>
      <c r="K170" s="213"/>
      <c r="L170" s="213"/>
      <c r="M170" s="213"/>
      <c r="N170" s="213"/>
      <c r="O170" s="213"/>
      <c r="P170" s="213"/>
      <c r="Q170" s="213"/>
      <c r="R170" s="213"/>
      <c r="S170" s="213"/>
      <c r="T170" s="212"/>
      <c r="U170" s="212"/>
      <c r="V170" s="212"/>
      <c r="W170" s="212"/>
      <c r="X170" s="212"/>
      <c r="Y170" s="212"/>
      <c r="Z170" s="212"/>
      <c r="AA170" s="212"/>
      <c r="AB170" s="212"/>
      <c r="AC170" s="212"/>
      <c r="AD170" s="212"/>
    </row>
    <row r="171" ht="22.5" customHeight="1">
      <c r="A171" s="219">
        <v>1800.0</v>
      </c>
      <c r="B171" s="211" t="s">
        <v>20</v>
      </c>
      <c r="C171" s="211" t="s">
        <v>8114</v>
      </c>
      <c r="D171" s="211" t="s">
        <v>177</v>
      </c>
      <c r="E171" s="211" t="s">
        <v>177</v>
      </c>
      <c r="F171" s="213"/>
      <c r="G171" s="213"/>
      <c r="H171" s="27"/>
      <c r="I171" s="215"/>
      <c r="J171" s="216" t="s">
        <v>8115</v>
      </c>
      <c r="K171" s="213"/>
      <c r="L171" s="213"/>
      <c r="M171" s="213"/>
      <c r="N171" s="213"/>
      <c r="O171" s="213"/>
      <c r="P171" s="213"/>
      <c r="Q171" s="213"/>
      <c r="R171" s="213"/>
      <c r="S171" s="213"/>
      <c r="T171" s="212"/>
      <c r="U171" s="212"/>
      <c r="V171" s="212"/>
      <c r="W171" s="212"/>
      <c r="X171" s="212"/>
      <c r="Y171" s="212"/>
      <c r="Z171" s="212"/>
      <c r="AA171" s="212"/>
      <c r="AB171" s="212"/>
      <c r="AC171" s="212"/>
      <c r="AD171" s="212"/>
    </row>
    <row r="172" ht="22.5" customHeight="1">
      <c r="A172" s="219">
        <v>1804.0</v>
      </c>
      <c r="B172" s="211" t="s">
        <v>20</v>
      </c>
      <c r="C172" s="211" t="s">
        <v>8116</v>
      </c>
      <c r="D172" s="211" t="s">
        <v>177</v>
      </c>
      <c r="E172" s="211" t="s">
        <v>177</v>
      </c>
      <c r="F172" s="213"/>
      <c r="G172" s="213"/>
      <c r="H172" s="214" t="s">
        <v>8117</v>
      </c>
      <c r="I172" s="215"/>
      <c r="J172" s="215"/>
      <c r="K172" s="213"/>
      <c r="L172" s="213"/>
      <c r="M172" s="213"/>
      <c r="N172" s="213"/>
      <c r="O172" s="213"/>
      <c r="P172" s="213"/>
      <c r="Q172" s="213"/>
      <c r="R172" s="213"/>
      <c r="S172" s="213"/>
      <c r="T172" s="212"/>
      <c r="U172" s="212"/>
      <c r="V172" s="212"/>
      <c r="W172" s="212"/>
      <c r="X172" s="212"/>
      <c r="Y172" s="212"/>
      <c r="Z172" s="212"/>
      <c r="AA172" s="212"/>
      <c r="AB172" s="212"/>
      <c r="AC172" s="212"/>
      <c r="AD172" s="212"/>
    </row>
    <row r="173" ht="22.5" customHeight="1">
      <c r="A173" s="219">
        <v>1805.0</v>
      </c>
      <c r="B173" s="211" t="s">
        <v>20</v>
      </c>
      <c r="C173" s="211" t="s">
        <v>8118</v>
      </c>
      <c r="D173" s="211" t="s">
        <v>177</v>
      </c>
      <c r="E173" s="211" t="s">
        <v>7864</v>
      </c>
      <c r="F173" s="213"/>
      <c r="G173" s="213"/>
      <c r="H173" s="214" t="s">
        <v>8119</v>
      </c>
      <c r="I173" s="215"/>
      <c r="J173" s="215"/>
      <c r="K173" s="213"/>
      <c r="L173" s="213"/>
      <c r="M173" s="213"/>
      <c r="N173" s="213"/>
      <c r="O173" s="213"/>
      <c r="P173" s="213"/>
      <c r="Q173" s="213"/>
      <c r="R173" s="213"/>
      <c r="S173" s="213"/>
      <c r="T173" s="212"/>
      <c r="U173" s="212"/>
      <c r="V173" s="212"/>
      <c r="W173" s="212"/>
      <c r="X173" s="212"/>
      <c r="Y173" s="212"/>
      <c r="Z173" s="212"/>
      <c r="AA173" s="212"/>
      <c r="AB173" s="212"/>
      <c r="AC173" s="212"/>
      <c r="AD173" s="212"/>
    </row>
    <row r="174" ht="22.5" customHeight="1">
      <c r="A174" s="219">
        <v>1814.0</v>
      </c>
      <c r="B174" s="211" t="s">
        <v>20</v>
      </c>
      <c r="C174" s="211" t="s">
        <v>8120</v>
      </c>
      <c r="D174" s="211" t="s">
        <v>177</v>
      </c>
      <c r="E174" s="211" t="s">
        <v>8012</v>
      </c>
      <c r="F174" s="213"/>
      <c r="G174" s="213"/>
      <c r="H174" s="215"/>
      <c r="I174" s="215"/>
      <c r="J174" s="216" t="s">
        <v>8121</v>
      </c>
      <c r="K174" s="213"/>
      <c r="L174" s="213"/>
      <c r="M174" s="213"/>
      <c r="N174" s="213"/>
      <c r="O174" s="213"/>
      <c r="P174" s="213"/>
      <c r="Q174" s="213"/>
      <c r="R174" s="213"/>
      <c r="S174" s="213"/>
      <c r="T174" s="212"/>
      <c r="U174" s="212"/>
      <c r="V174" s="212"/>
      <c r="W174" s="212"/>
      <c r="X174" s="212"/>
      <c r="Y174" s="212"/>
      <c r="Z174" s="212"/>
      <c r="AA174" s="212"/>
      <c r="AB174" s="212"/>
      <c r="AC174" s="212"/>
      <c r="AD174" s="212"/>
    </row>
    <row r="175" ht="22.5" customHeight="1">
      <c r="A175" s="219">
        <v>1815.0</v>
      </c>
      <c r="B175" s="211" t="s">
        <v>20</v>
      </c>
      <c r="C175" s="211" t="s">
        <v>8122</v>
      </c>
      <c r="D175" s="211" t="s">
        <v>177</v>
      </c>
      <c r="E175" s="211" t="s">
        <v>8012</v>
      </c>
      <c r="F175" s="213"/>
      <c r="G175" s="213"/>
      <c r="H175" s="214" t="s">
        <v>8123</v>
      </c>
      <c r="I175" s="215"/>
      <c r="J175" s="216" t="s">
        <v>8124</v>
      </c>
      <c r="K175" s="213"/>
      <c r="L175" s="213"/>
      <c r="M175" s="213"/>
      <c r="N175" s="213"/>
      <c r="O175" s="213"/>
      <c r="P175" s="213"/>
      <c r="Q175" s="213"/>
      <c r="R175" s="213"/>
      <c r="S175" s="213"/>
      <c r="T175" s="212"/>
      <c r="U175" s="212"/>
      <c r="V175" s="212"/>
      <c r="W175" s="212"/>
      <c r="X175" s="212"/>
      <c r="Y175" s="212"/>
      <c r="Z175" s="212"/>
      <c r="AA175" s="212"/>
      <c r="AB175" s="212"/>
      <c r="AC175" s="212"/>
      <c r="AD175" s="212"/>
    </row>
    <row r="176" ht="22.5" customHeight="1">
      <c r="A176" s="219">
        <v>1822.0</v>
      </c>
      <c r="B176" s="211" t="s">
        <v>20</v>
      </c>
      <c r="C176" s="211" t="s">
        <v>8125</v>
      </c>
      <c r="D176" s="211" t="s">
        <v>177</v>
      </c>
      <c r="E176" s="211" t="s">
        <v>177</v>
      </c>
      <c r="F176" s="213"/>
      <c r="G176" s="213"/>
      <c r="H176" s="214" t="s">
        <v>8126</v>
      </c>
      <c r="I176" s="215"/>
      <c r="J176" s="215"/>
      <c r="K176" s="213"/>
      <c r="L176" s="213"/>
      <c r="M176" s="213"/>
      <c r="N176" s="213"/>
      <c r="O176" s="213"/>
      <c r="P176" s="213"/>
      <c r="Q176" s="213"/>
      <c r="R176" s="213"/>
      <c r="S176" s="213"/>
      <c r="T176" s="212"/>
      <c r="U176" s="212"/>
      <c r="V176" s="212"/>
      <c r="W176" s="212"/>
      <c r="X176" s="212"/>
      <c r="Y176" s="212"/>
      <c r="Z176" s="212"/>
      <c r="AA176" s="212"/>
      <c r="AB176" s="212"/>
      <c r="AC176" s="212"/>
      <c r="AD176" s="212"/>
    </row>
    <row r="177" ht="22.5" customHeight="1">
      <c r="A177" s="219">
        <v>1823.0</v>
      </c>
      <c r="B177" s="211" t="s">
        <v>20</v>
      </c>
      <c r="C177" s="211" t="s">
        <v>8127</v>
      </c>
      <c r="D177" s="211" t="s">
        <v>177</v>
      </c>
      <c r="E177" s="211" t="s">
        <v>8004</v>
      </c>
      <c r="F177" s="213"/>
      <c r="G177" s="213"/>
      <c r="H177" s="214" t="s">
        <v>8128</v>
      </c>
      <c r="I177" s="215"/>
      <c r="J177" s="215"/>
      <c r="K177" s="213"/>
      <c r="L177" s="213"/>
      <c r="M177" s="213"/>
      <c r="N177" s="213"/>
      <c r="O177" s="213"/>
      <c r="P177" s="213"/>
      <c r="Q177" s="213"/>
      <c r="R177" s="213"/>
      <c r="S177" s="213"/>
      <c r="T177" s="212"/>
      <c r="U177" s="212"/>
      <c r="V177" s="212"/>
      <c r="W177" s="212"/>
      <c r="X177" s="212"/>
      <c r="Y177" s="212"/>
      <c r="Z177" s="212"/>
      <c r="AA177" s="212"/>
      <c r="AB177" s="212"/>
      <c r="AC177" s="212"/>
      <c r="AD177" s="212"/>
    </row>
    <row r="178" ht="22.5" customHeight="1">
      <c r="A178" s="219">
        <v>1824.0</v>
      </c>
      <c r="B178" s="211" t="s">
        <v>20</v>
      </c>
      <c r="C178" s="211" t="s">
        <v>8129</v>
      </c>
      <c r="D178" s="211" t="s">
        <v>177</v>
      </c>
      <c r="E178" s="211" t="s">
        <v>8130</v>
      </c>
      <c r="F178" s="213"/>
      <c r="G178" s="213"/>
      <c r="H178" s="215"/>
      <c r="I178" s="215"/>
      <c r="J178" s="216" t="s">
        <v>8131</v>
      </c>
      <c r="K178" s="213"/>
      <c r="L178" s="213"/>
      <c r="M178" s="213"/>
      <c r="N178" s="213"/>
      <c r="O178" s="213"/>
      <c r="P178" s="213"/>
      <c r="Q178" s="213"/>
      <c r="R178" s="213"/>
      <c r="S178" s="213"/>
      <c r="T178" s="212"/>
      <c r="U178" s="212"/>
      <c r="V178" s="212"/>
      <c r="W178" s="212"/>
      <c r="X178" s="212"/>
      <c r="Y178" s="212"/>
      <c r="Z178" s="212"/>
      <c r="AA178" s="212"/>
      <c r="AB178" s="212"/>
      <c r="AC178" s="212"/>
      <c r="AD178" s="212"/>
    </row>
    <row r="179" ht="22.5" customHeight="1">
      <c r="A179" s="219">
        <v>1825.0</v>
      </c>
      <c r="B179" s="211" t="s">
        <v>20</v>
      </c>
      <c r="C179" s="211" t="s">
        <v>8132</v>
      </c>
      <c r="D179" s="211" t="s">
        <v>177</v>
      </c>
      <c r="E179" s="211" t="s">
        <v>8079</v>
      </c>
      <c r="F179" s="213"/>
      <c r="G179" s="219">
        <v>1.0</v>
      </c>
      <c r="H179" s="214" t="s">
        <v>8133</v>
      </c>
      <c r="I179" s="215"/>
      <c r="J179" s="215"/>
      <c r="K179" s="213"/>
      <c r="L179" s="213"/>
      <c r="M179" s="213"/>
      <c r="N179" s="213"/>
      <c r="O179" s="213"/>
      <c r="P179" s="213"/>
      <c r="Q179" s="213"/>
      <c r="R179" s="213"/>
      <c r="S179" s="213"/>
      <c r="T179" s="212"/>
      <c r="U179" s="212"/>
      <c r="V179" s="212"/>
      <c r="W179" s="212"/>
      <c r="X179" s="212"/>
      <c r="Y179" s="212"/>
      <c r="Z179" s="212"/>
      <c r="AA179" s="212"/>
      <c r="AB179" s="212"/>
      <c r="AC179" s="212"/>
      <c r="AD179" s="212"/>
    </row>
    <row r="180" ht="22.5" customHeight="1">
      <c r="A180" s="219">
        <v>1828.0</v>
      </c>
      <c r="B180" s="211" t="s">
        <v>20</v>
      </c>
      <c r="C180" s="211" t="s">
        <v>3861</v>
      </c>
      <c r="D180" s="211" t="s">
        <v>177</v>
      </c>
      <c r="E180" s="211" t="s">
        <v>8004</v>
      </c>
      <c r="F180" s="213"/>
      <c r="G180" s="213"/>
      <c r="H180" s="214" t="s">
        <v>8134</v>
      </c>
      <c r="I180" s="215"/>
      <c r="J180" s="215"/>
      <c r="K180" s="213"/>
      <c r="L180" s="213"/>
      <c r="M180" s="213"/>
      <c r="N180" s="213"/>
      <c r="O180" s="213"/>
      <c r="P180" s="213"/>
      <c r="Q180" s="213"/>
      <c r="R180" s="213"/>
      <c r="S180" s="213"/>
      <c r="T180" s="212"/>
      <c r="U180" s="212"/>
      <c r="V180" s="212"/>
      <c r="W180" s="212"/>
      <c r="X180" s="212"/>
      <c r="Y180" s="212"/>
      <c r="Z180" s="212"/>
      <c r="AA180" s="212"/>
      <c r="AB180" s="212"/>
      <c r="AC180" s="212"/>
      <c r="AD180" s="212"/>
    </row>
    <row r="181" ht="22.5" customHeight="1">
      <c r="A181" s="219">
        <v>1832.0</v>
      </c>
      <c r="B181" s="211" t="s">
        <v>20</v>
      </c>
      <c r="C181" s="211" t="s">
        <v>8135</v>
      </c>
      <c r="D181" s="211" t="s">
        <v>177</v>
      </c>
      <c r="E181" s="211" t="s">
        <v>7815</v>
      </c>
      <c r="F181" s="213"/>
      <c r="G181" s="213"/>
      <c r="H181" s="214" t="s">
        <v>8136</v>
      </c>
      <c r="I181" s="215"/>
      <c r="J181" s="215"/>
      <c r="K181" s="213"/>
      <c r="L181" s="213"/>
      <c r="M181" s="213"/>
      <c r="N181" s="213"/>
      <c r="O181" s="213"/>
      <c r="P181" s="213"/>
      <c r="Q181" s="213"/>
      <c r="R181" s="213"/>
      <c r="S181" s="213"/>
      <c r="T181" s="212"/>
      <c r="U181" s="212"/>
      <c r="V181" s="212"/>
      <c r="W181" s="212"/>
      <c r="X181" s="212"/>
      <c r="Y181" s="212"/>
      <c r="Z181" s="212"/>
      <c r="AA181" s="212"/>
      <c r="AB181" s="212"/>
      <c r="AC181" s="212"/>
      <c r="AD181" s="212"/>
    </row>
    <row r="182" ht="22.5" customHeight="1">
      <c r="A182" s="219">
        <v>1833.0</v>
      </c>
      <c r="B182" s="211" t="s">
        <v>20</v>
      </c>
      <c r="C182" s="211" t="s">
        <v>8137</v>
      </c>
      <c r="D182" s="211" t="s">
        <v>177</v>
      </c>
      <c r="E182" s="211" t="s">
        <v>177</v>
      </c>
      <c r="F182" s="213"/>
      <c r="G182" s="213"/>
      <c r="H182" s="214" t="s">
        <v>8138</v>
      </c>
      <c r="I182" s="215"/>
      <c r="J182" s="215"/>
      <c r="K182" s="213"/>
      <c r="L182" s="213"/>
      <c r="M182" s="213"/>
      <c r="N182" s="213"/>
      <c r="O182" s="213"/>
      <c r="P182" s="213"/>
      <c r="Q182" s="213"/>
      <c r="R182" s="213"/>
      <c r="S182" s="213"/>
      <c r="T182" s="212"/>
      <c r="U182" s="212"/>
      <c r="V182" s="212"/>
      <c r="W182" s="212"/>
      <c r="X182" s="212"/>
      <c r="Y182" s="212"/>
      <c r="Z182" s="212"/>
      <c r="AA182" s="212"/>
      <c r="AB182" s="212"/>
      <c r="AC182" s="212"/>
      <c r="AD182" s="212"/>
    </row>
    <row r="183" ht="22.5" customHeight="1">
      <c r="A183" s="219">
        <v>1834.0</v>
      </c>
      <c r="B183" s="211" t="s">
        <v>20</v>
      </c>
      <c r="C183" s="211" t="s">
        <v>8139</v>
      </c>
      <c r="D183" s="211" t="s">
        <v>177</v>
      </c>
      <c r="E183" s="211" t="s">
        <v>177</v>
      </c>
      <c r="F183" s="213"/>
      <c r="G183" s="219">
        <v>1.0</v>
      </c>
      <c r="H183" s="214" t="s">
        <v>8140</v>
      </c>
      <c r="I183" s="215"/>
      <c r="J183" s="215"/>
      <c r="K183" s="213"/>
      <c r="L183" s="213"/>
      <c r="M183" s="213"/>
      <c r="N183" s="213"/>
      <c r="O183" s="213"/>
      <c r="P183" s="213"/>
      <c r="Q183" s="213"/>
      <c r="R183" s="213"/>
      <c r="S183" s="213"/>
      <c r="T183" s="212"/>
      <c r="U183" s="212"/>
      <c r="V183" s="212"/>
      <c r="W183" s="212"/>
      <c r="X183" s="212"/>
      <c r="Y183" s="212"/>
      <c r="Z183" s="212"/>
      <c r="AA183" s="212"/>
      <c r="AB183" s="212"/>
      <c r="AC183" s="212"/>
      <c r="AD183" s="212"/>
    </row>
    <row r="184" ht="22.5" customHeight="1">
      <c r="A184" s="219">
        <v>1835.0</v>
      </c>
      <c r="B184" s="211" t="s">
        <v>20</v>
      </c>
      <c r="C184" s="211" t="s">
        <v>8141</v>
      </c>
      <c r="D184" s="211" t="s">
        <v>177</v>
      </c>
      <c r="E184" s="211" t="s">
        <v>177</v>
      </c>
      <c r="F184" s="213"/>
      <c r="G184" s="213"/>
      <c r="H184" s="215"/>
      <c r="I184" s="215"/>
      <c r="J184" s="216" t="s">
        <v>8142</v>
      </c>
      <c r="K184" s="213"/>
      <c r="L184" s="213"/>
      <c r="M184" s="213"/>
      <c r="N184" s="213"/>
      <c r="O184" s="213"/>
      <c r="P184" s="213"/>
      <c r="Q184" s="213"/>
      <c r="R184" s="213"/>
      <c r="S184" s="213"/>
      <c r="T184" s="212"/>
      <c r="U184" s="212"/>
      <c r="V184" s="212"/>
      <c r="W184" s="212"/>
      <c r="X184" s="212"/>
      <c r="Y184" s="212"/>
      <c r="Z184" s="212"/>
      <c r="AA184" s="212"/>
      <c r="AB184" s="212"/>
      <c r="AC184" s="212"/>
      <c r="AD184" s="212"/>
    </row>
    <row r="185" ht="22.5" customHeight="1">
      <c r="A185" s="219">
        <v>1836.0</v>
      </c>
      <c r="B185" s="211" t="s">
        <v>20</v>
      </c>
      <c r="C185" s="211" t="s">
        <v>8143</v>
      </c>
      <c r="D185" s="211" t="s">
        <v>177</v>
      </c>
      <c r="E185" s="211" t="s">
        <v>7815</v>
      </c>
      <c r="F185" s="213"/>
      <c r="G185" s="219">
        <v>1.0</v>
      </c>
      <c r="H185" s="214" t="s">
        <v>8144</v>
      </c>
      <c r="I185" s="215"/>
      <c r="J185" s="215"/>
      <c r="K185" s="213"/>
      <c r="L185" s="213"/>
      <c r="M185" s="213"/>
      <c r="N185" s="213"/>
      <c r="O185" s="213"/>
      <c r="P185" s="213"/>
      <c r="Q185" s="213"/>
      <c r="R185" s="213"/>
      <c r="S185" s="213"/>
      <c r="T185" s="212"/>
      <c r="U185" s="212"/>
      <c r="V185" s="212"/>
      <c r="W185" s="212"/>
      <c r="X185" s="212"/>
      <c r="Y185" s="212"/>
      <c r="Z185" s="212"/>
      <c r="AA185" s="212"/>
      <c r="AB185" s="212"/>
      <c r="AC185" s="212"/>
      <c r="AD185" s="212"/>
    </row>
    <row r="186" ht="22.5" customHeight="1">
      <c r="A186" s="219">
        <v>1841.0</v>
      </c>
      <c r="B186" s="211" t="s">
        <v>20</v>
      </c>
      <c r="C186" s="211" t="s">
        <v>8145</v>
      </c>
      <c r="D186" s="211" t="s">
        <v>177</v>
      </c>
      <c r="E186" s="211" t="s">
        <v>177</v>
      </c>
      <c r="F186" s="213"/>
      <c r="G186" s="213"/>
      <c r="H186" s="215"/>
      <c r="I186" s="215"/>
      <c r="J186" s="216" t="s">
        <v>8146</v>
      </c>
      <c r="K186" s="213"/>
      <c r="L186" s="213"/>
      <c r="M186" s="213"/>
      <c r="N186" s="213"/>
      <c r="O186" s="213"/>
      <c r="P186" s="213"/>
      <c r="Q186" s="213"/>
      <c r="R186" s="213"/>
      <c r="S186" s="213"/>
      <c r="T186" s="212"/>
      <c r="U186" s="212"/>
      <c r="V186" s="212"/>
      <c r="W186" s="212"/>
      <c r="X186" s="212"/>
      <c r="Y186" s="212"/>
      <c r="Z186" s="212"/>
      <c r="AA186" s="212"/>
      <c r="AB186" s="212"/>
      <c r="AC186" s="212"/>
      <c r="AD186" s="212"/>
    </row>
    <row r="187" ht="22.5" customHeight="1">
      <c r="A187" s="219">
        <v>1842.0</v>
      </c>
      <c r="B187" s="211" t="s">
        <v>20</v>
      </c>
      <c r="C187" s="222" t="s">
        <v>841</v>
      </c>
      <c r="D187" s="211" t="s">
        <v>177</v>
      </c>
      <c r="E187" s="211" t="s">
        <v>178</v>
      </c>
      <c r="F187" s="213"/>
      <c r="G187" s="213"/>
      <c r="H187" s="216" t="s">
        <v>8147</v>
      </c>
      <c r="I187" s="215"/>
      <c r="J187" s="215"/>
      <c r="K187" s="213"/>
      <c r="L187" s="213"/>
      <c r="M187" s="213"/>
      <c r="N187" s="213"/>
      <c r="O187" s="213"/>
      <c r="P187" s="213"/>
      <c r="Q187" s="213"/>
      <c r="R187" s="213"/>
      <c r="S187" s="213"/>
      <c r="T187" s="212"/>
      <c r="U187" s="212"/>
      <c r="V187" s="212"/>
      <c r="W187" s="212"/>
      <c r="X187" s="212"/>
      <c r="Y187" s="212"/>
      <c r="Z187" s="212"/>
      <c r="AA187" s="212"/>
      <c r="AB187" s="212"/>
      <c r="AC187" s="212"/>
      <c r="AD187" s="212"/>
    </row>
    <row r="188" ht="22.5" customHeight="1">
      <c r="A188" s="219">
        <v>1843.0</v>
      </c>
      <c r="B188" s="211" t="s">
        <v>20</v>
      </c>
      <c r="C188" s="211" t="s">
        <v>855</v>
      </c>
      <c r="D188" s="211" t="s">
        <v>177</v>
      </c>
      <c r="E188" s="211" t="s">
        <v>7766</v>
      </c>
      <c r="F188" s="213"/>
      <c r="G188" s="213"/>
      <c r="H188" s="214" t="s">
        <v>8148</v>
      </c>
      <c r="I188" s="215"/>
      <c r="J188" s="215"/>
      <c r="K188" s="213"/>
      <c r="L188" s="213"/>
      <c r="M188" s="213"/>
      <c r="N188" s="213"/>
      <c r="O188" s="213"/>
      <c r="P188" s="213"/>
      <c r="Q188" s="213"/>
      <c r="R188" s="213"/>
      <c r="S188" s="213"/>
      <c r="T188" s="212"/>
      <c r="U188" s="212"/>
      <c r="V188" s="212"/>
      <c r="W188" s="212"/>
      <c r="X188" s="212"/>
      <c r="Y188" s="212"/>
      <c r="Z188" s="212"/>
      <c r="AA188" s="212"/>
      <c r="AB188" s="212"/>
      <c r="AC188" s="212"/>
      <c r="AD188" s="212"/>
    </row>
    <row r="189" ht="22.5" customHeight="1">
      <c r="A189" s="219">
        <v>1844.0</v>
      </c>
      <c r="B189" s="211" t="s">
        <v>20</v>
      </c>
      <c r="C189" s="211" t="s">
        <v>8149</v>
      </c>
      <c r="D189" s="211" t="s">
        <v>177</v>
      </c>
      <c r="E189" s="211" t="s">
        <v>8021</v>
      </c>
      <c r="F189" s="213"/>
      <c r="G189" s="213"/>
      <c r="H189" s="214" t="s">
        <v>8150</v>
      </c>
      <c r="I189" s="215"/>
      <c r="J189" s="215"/>
      <c r="K189" s="213"/>
      <c r="L189" s="213"/>
      <c r="M189" s="213"/>
      <c r="N189" s="213"/>
      <c r="O189" s="213"/>
      <c r="P189" s="213"/>
      <c r="Q189" s="213"/>
      <c r="R189" s="213"/>
      <c r="S189" s="213"/>
      <c r="T189" s="212"/>
      <c r="U189" s="212"/>
      <c r="V189" s="212"/>
      <c r="W189" s="212"/>
      <c r="X189" s="212"/>
      <c r="Y189" s="212"/>
      <c r="Z189" s="212"/>
      <c r="AA189" s="212"/>
      <c r="AB189" s="212"/>
      <c r="AC189" s="212"/>
      <c r="AD189" s="212"/>
    </row>
    <row r="190" ht="22.5" customHeight="1">
      <c r="A190" s="219">
        <v>1845.0</v>
      </c>
      <c r="B190" s="211" t="s">
        <v>20</v>
      </c>
      <c r="C190" s="211" t="s">
        <v>8151</v>
      </c>
      <c r="D190" s="211" t="s">
        <v>177</v>
      </c>
      <c r="E190" s="211" t="s">
        <v>177</v>
      </c>
      <c r="F190" s="213"/>
      <c r="G190" s="213"/>
      <c r="H190" s="214" t="s">
        <v>8152</v>
      </c>
      <c r="I190" s="216" t="s">
        <v>8153</v>
      </c>
      <c r="J190" s="216" t="s">
        <v>8154</v>
      </c>
      <c r="K190" s="213"/>
      <c r="L190" s="213"/>
      <c r="M190" s="213"/>
      <c r="N190" s="213"/>
      <c r="O190" s="213"/>
      <c r="P190" s="213"/>
      <c r="Q190" s="213"/>
      <c r="R190" s="213"/>
      <c r="S190" s="213"/>
      <c r="T190" s="212"/>
      <c r="U190" s="212"/>
      <c r="V190" s="212"/>
      <c r="W190" s="212"/>
      <c r="X190" s="212"/>
      <c r="Y190" s="212"/>
      <c r="Z190" s="212"/>
      <c r="AA190" s="212"/>
      <c r="AB190" s="212"/>
      <c r="AC190" s="212"/>
      <c r="AD190" s="212"/>
    </row>
    <row r="191" ht="22.5" customHeight="1">
      <c r="A191" s="219">
        <v>1847.0</v>
      </c>
      <c r="B191" s="211" t="s">
        <v>20</v>
      </c>
      <c r="C191" s="211" t="s">
        <v>8122</v>
      </c>
      <c r="D191" s="211" t="s">
        <v>177</v>
      </c>
      <c r="E191" s="211" t="s">
        <v>177</v>
      </c>
      <c r="F191" s="213"/>
      <c r="G191" s="219">
        <v>1.0</v>
      </c>
      <c r="H191" s="214" t="s">
        <v>8155</v>
      </c>
      <c r="I191" s="215"/>
      <c r="J191" s="215"/>
      <c r="K191" s="213"/>
      <c r="L191" s="213"/>
      <c r="M191" s="213"/>
      <c r="N191" s="213"/>
      <c r="O191" s="213"/>
      <c r="P191" s="213"/>
      <c r="Q191" s="213"/>
      <c r="R191" s="213"/>
      <c r="S191" s="213"/>
      <c r="T191" s="212"/>
      <c r="U191" s="212"/>
      <c r="V191" s="212"/>
      <c r="W191" s="212"/>
      <c r="X191" s="212"/>
      <c r="Y191" s="212"/>
      <c r="Z191" s="212"/>
      <c r="AA191" s="212"/>
      <c r="AB191" s="212"/>
      <c r="AC191" s="212"/>
      <c r="AD191" s="212"/>
    </row>
    <row r="192" ht="22.5" customHeight="1">
      <c r="A192" s="219">
        <v>1852.0</v>
      </c>
      <c r="B192" s="211" t="s">
        <v>102</v>
      </c>
      <c r="C192" s="211" t="s">
        <v>8156</v>
      </c>
      <c r="D192" s="211" t="s">
        <v>177</v>
      </c>
      <c r="E192" s="211" t="s">
        <v>8004</v>
      </c>
      <c r="F192" s="213"/>
      <c r="G192" s="219">
        <v>1.0</v>
      </c>
      <c r="H192" s="214" t="s">
        <v>8157</v>
      </c>
      <c r="I192" s="216" t="s">
        <v>8158</v>
      </c>
      <c r="J192" s="215"/>
      <c r="K192" s="213"/>
      <c r="L192" s="213"/>
      <c r="M192" s="213"/>
      <c r="N192" s="213"/>
      <c r="O192" s="213"/>
      <c r="P192" s="213"/>
      <c r="Q192" s="213"/>
      <c r="R192" s="213"/>
      <c r="S192" s="213"/>
      <c r="T192" s="212"/>
      <c r="U192" s="212"/>
      <c r="V192" s="212"/>
      <c r="W192" s="212"/>
      <c r="X192" s="212"/>
      <c r="Y192" s="212"/>
      <c r="Z192" s="212"/>
      <c r="AA192" s="212"/>
      <c r="AB192" s="212"/>
      <c r="AC192" s="212"/>
      <c r="AD192" s="212"/>
    </row>
    <row r="193" ht="22.5" customHeight="1">
      <c r="A193" s="219">
        <v>1853.0</v>
      </c>
      <c r="B193" s="211" t="s">
        <v>20</v>
      </c>
      <c r="C193" s="211" t="s">
        <v>7346</v>
      </c>
      <c r="D193" s="211" t="s">
        <v>177</v>
      </c>
      <c r="E193" s="211" t="s">
        <v>177</v>
      </c>
      <c r="F193" s="213"/>
      <c r="G193" s="213"/>
      <c r="H193" s="215"/>
      <c r="I193" s="215"/>
      <c r="J193" s="216" t="s">
        <v>8043</v>
      </c>
      <c r="K193" s="213"/>
      <c r="L193" s="213"/>
      <c r="M193" s="213"/>
      <c r="N193" s="213"/>
      <c r="O193" s="213"/>
      <c r="P193" s="213"/>
      <c r="Q193" s="213"/>
      <c r="R193" s="213"/>
      <c r="S193" s="213"/>
      <c r="T193" s="212"/>
      <c r="U193" s="212"/>
      <c r="V193" s="212"/>
      <c r="W193" s="212"/>
      <c r="X193" s="212"/>
      <c r="Y193" s="212"/>
      <c r="Z193" s="212"/>
      <c r="AA193" s="212"/>
      <c r="AB193" s="212"/>
      <c r="AC193" s="212"/>
      <c r="AD193" s="212"/>
    </row>
    <row r="194" ht="22.5" customHeight="1">
      <c r="A194" s="219">
        <v>1855.0</v>
      </c>
      <c r="B194" s="211" t="s">
        <v>20</v>
      </c>
      <c r="C194" s="211" t="s">
        <v>8159</v>
      </c>
      <c r="D194" s="211" t="s">
        <v>177</v>
      </c>
      <c r="E194" s="211" t="s">
        <v>7771</v>
      </c>
      <c r="F194" s="213"/>
      <c r="G194" s="213"/>
      <c r="H194" s="214" t="s">
        <v>8160</v>
      </c>
      <c r="I194" s="216" t="s">
        <v>8161</v>
      </c>
      <c r="J194" s="215"/>
      <c r="K194" s="213"/>
      <c r="L194" s="213"/>
      <c r="M194" s="213"/>
      <c r="N194" s="213"/>
      <c r="O194" s="213"/>
      <c r="P194" s="213"/>
      <c r="Q194" s="213"/>
      <c r="R194" s="213"/>
      <c r="S194" s="213"/>
      <c r="T194" s="212"/>
      <c r="U194" s="212"/>
      <c r="V194" s="212"/>
      <c r="W194" s="212"/>
      <c r="X194" s="212"/>
      <c r="Y194" s="212"/>
      <c r="Z194" s="212"/>
      <c r="AA194" s="212"/>
      <c r="AB194" s="212"/>
      <c r="AC194" s="212"/>
      <c r="AD194" s="212"/>
    </row>
    <row r="195" ht="22.5" customHeight="1">
      <c r="A195" s="219">
        <v>1857.0</v>
      </c>
      <c r="B195" s="211" t="s">
        <v>20</v>
      </c>
      <c r="C195" s="211" t="s">
        <v>8162</v>
      </c>
      <c r="D195" s="211" t="s">
        <v>177</v>
      </c>
      <c r="E195" s="211" t="s">
        <v>177</v>
      </c>
      <c r="F195" s="213"/>
      <c r="G195" s="213"/>
      <c r="H195" s="215"/>
      <c r="I195" s="215"/>
      <c r="J195" s="216" t="s">
        <v>8163</v>
      </c>
      <c r="K195" s="213"/>
      <c r="L195" s="213"/>
      <c r="M195" s="213"/>
      <c r="N195" s="213"/>
      <c r="O195" s="213"/>
      <c r="P195" s="213"/>
      <c r="Q195" s="213"/>
      <c r="R195" s="213"/>
      <c r="S195" s="213"/>
      <c r="T195" s="212"/>
      <c r="U195" s="212"/>
      <c r="V195" s="212"/>
      <c r="W195" s="212"/>
      <c r="X195" s="212"/>
      <c r="Y195" s="212"/>
      <c r="Z195" s="212"/>
      <c r="AA195" s="212"/>
      <c r="AB195" s="212"/>
      <c r="AC195" s="212"/>
      <c r="AD195" s="212"/>
    </row>
    <row r="196" ht="22.5" customHeight="1">
      <c r="A196" s="219">
        <v>1859.0</v>
      </c>
      <c r="B196" s="211" t="s">
        <v>20</v>
      </c>
      <c r="C196" s="211" t="s">
        <v>1257</v>
      </c>
      <c r="D196" s="211" t="s">
        <v>177</v>
      </c>
      <c r="E196" s="211" t="s">
        <v>177</v>
      </c>
      <c r="F196" s="213"/>
      <c r="G196" s="219">
        <v>1.0</v>
      </c>
      <c r="H196" s="215"/>
      <c r="I196" s="215"/>
      <c r="J196" s="216" t="s">
        <v>8164</v>
      </c>
      <c r="K196" s="213"/>
      <c r="L196" s="213"/>
      <c r="M196" s="213"/>
      <c r="N196" s="213"/>
      <c r="O196" s="213"/>
      <c r="P196" s="213"/>
      <c r="Q196" s="213"/>
      <c r="R196" s="213"/>
      <c r="S196" s="213"/>
      <c r="T196" s="212"/>
      <c r="U196" s="212"/>
      <c r="V196" s="212"/>
      <c r="W196" s="212"/>
      <c r="X196" s="212"/>
      <c r="Y196" s="212"/>
      <c r="Z196" s="212"/>
      <c r="AA196" s="212"/>
      <c r="AB196" s="212"/>
      <c r="AC196" s="212"/>
      <c r="AD196" s="212"/>
    </row>
    <row r="197" ht="22.5" customHeight="1">
      <c r="A197" s="219">
        <v>1860.0</v>
      </c>
      <c r="B197" s="211" t="s">
        <v>20</v>
      </c>
      <c r="C197" s="211" t="s">
        <v>6913</v>
      </c>
      <c r="D197" s="211" t="s">
        <v>177</v>
      </c>
      <c r="E197" s="211" t="s">
        <v>7797</v>
      </c>
      <c r="F197" s="213"/>
      <c r="G197" s="219">
        <v>1.0</v>
      </c>
      <c r="H197" s="214" t="s">
        <v>8165</v>
      </c>
      <c r="I197" s="215"/>
      <c r="J197" s="215"/>
      <c r="K197" s="213"/>
      <c r="L197" s="213"/>
      <c r="M197" s="213"/>
      <c r="N197" s="213"/>
      <c r="O197" s="213"/>
      <c r="P197" s="213"/>
      <c r="Q197" s="213"/>
      <c r="R197" s="213"/>
      <c r="S197" s="213"/>
      <c r="T197" s="212"/>
      <c r="U197" s="212"/>
      <c r="V197" s="212"/>
      <c r="W197" s="212"/>
      <c r="X197" s="212"/>
      <c r="Y197" s="212"/>
      <c r="Z197" s="212"/>
      <c r="AA197" s="212"/>
      <c r="AB197" s="212"/>
      <c r="AC197" s="212"/>
      <c r="AD197" s="212"/>
    </row>
    <row r="198" ht="22.5" customHeight="1">
      <c r="A198" s="219">
        <v>1867.0</v>
      </c>
      <c r="B198" s="211" t="s">
        <v>20</v>
      </c>
      <c r="C198" s="211" t="s">
        <v>797</v>
      </c>
      <c r="D198" s="211" t="s">
        <v>177</v>
      </c>
      <c r="E198" s="211" t="s">
        <v>7860</v>
      </c>
      <c r="F198" s="213"/>
      <c r="G198" s="219">
        <v>1.0</v>
      </c>
      <c r="H198" s="214" t="s">
        <v>8166</v>
      </c>
      <c r="I198" s="215"/>
      <c r="J198" s="215"/>
      <c r="K198" s="213"/>
      <c r="L198" s="213"/>
      <c r="M198" s="213"/>
      <c r="N198" s="213"/>
      <c r="O198" s="213"/>
      <c r="P198" s="213"/>
      <c r="Q198" s="213"/>
      <c r="R198" s="213"/>
      <c r="S198" s="213"/>
      <c r="T198" s="212"/>
      <c r="U198" s="212"/>
      <c r="V198" s="212"/>
      <c r="W198" s="212"/>
      <c r="X198" s="212"/>
      <c r="Y198" s="212"/>
      <c r="Z198" s="212"/>
      <c r="AA198" s="212"/>
      <c r="AB198" s="212"/>
      <c r="AC198" s="212"/>
      <c r="AD198" s="212"/>
    </row>
    <row r="199" ht="22.5" customHeight="1">
      <c r="A199" s="219">
        <v>1873.0</v>
      </c>
      <c r="B199" s="211" t="s">
        <v>20</v>
      </c>
      <c r="C199" s="211" t="s">
        <v>855</v>
      </c>
      <c r="D199" s="211" t="s">
        <v>177</v>
      </c>
      <c r="E199" s="211" t="s">
        <v>7860</v>
      </c>
      <c r="F199" s="213"/>
      <c r="G199" s="213"/>
      <c r="H199" s="214" t="s">
        <v>8167</v>
      </c>
      <c r="I199" s="215"/>
      <c r="J199" s="215"/>
      <c r="K199" s="213"/>
      <c r="L199" s="213"/>
      <c r="M199" s="213"/>
      <c r="N199" s="213"/>
      <c r="O199" s="213"/>
      <c r="P199" s="213"/>
      <c r="Q199" s="213"/>
      <c r="R199" s="213"/>
      <c r="S199" s="213"/>
      <c r="T199" s="212"/>
      <c r="U199" s="212"/>
      <c r="V199" s="212"/>
      <c r="W199" s="212"/>
      <c r="X199" s="212"/>
      <c r="Y199" s="212"/>
      <c r="Z199" s="212"/>
      <c r="AA199" s="212"/>
      <c r="AB199" s="212"/>
      <c r="AC199" s="212"/>
      <c r="AD199" s="212"/>
    </row>
    <row r="200" ht="22.5" customHeight="1">
      <c r="A200" s="219">
        <v>1885.0</v>
      </c>
      <c r="B200" s="211" t="s">
        <v>20</v>
      </c>
      <c r="C200" s="211" t="s">
        <v>8168</v>
      </c>
      <c r="D200" s="211" t="s">
        <v>177</v>
      </c>
      <c r="E200" s="211" t="s">
        <v>7931</v>
      </c>
      <c r="F200" s="213"/>
      <c r="G200" s="213"/>
      <c r="H200" s="215"/>
      <c r="I200" s="215"/>
      <c r="J200" s="216" t="s">
        <v>8169</v>
      </c>
      <c r="K200" s="213"/>
      <c r="L200" s="213"/>
      <c r="M200" s="213"/>
      <c r="N200" s="213"/>
      <c r="O200" s="213"/>
      <c r="P200" s="213"/>
      <c r="Q200" s="213"/>
      <c r="R200" s="213"/>
      <c r="S200" s="213"/>
      <c r="T200" s="212"/>
      <c r="U200" s="212"/>
      <c r="V200" s="212"/>
      <c r="W200" s="212"/>
      <c r="X200" s="212"/>
      <c r="Y200" s="212"/>
      <c r="Z200" s="212"/>
      <c r="AA200" s="212"/>
      <c r="AB200" s="212"/>
      <c r="AC200" s="212"/>
      <c r="AD200" s="212"/>
    </row>
    <row r="201" ht="22.5" customHeight="1">
      <c r="A201" s="219">
        <v>1888.0</v>
      </c>
      <c r="B201" s="211" t="s">
        <v>20</v>
      </c>
      <c r="C201" s="211" t="s">
        <v>8170</v>
      </c>
      <c r="D201" s="211" t="s">
        <v>177</v>
      </c>
      <c r="E201" s="211" t="s">
        <v>8130</v>
      </c>
      <c r="F201" s="213"/>
      <c r="G201" s="213"/>
      <c r="H201" s="215"/>
      <c r="I201" s="215"/>
      <c r="J201" s="216" t="s">
        <v>8171</v>
      </c>
      <c r="K201" s="213"/>
      <c r="L201" s="213"/>
      <c r="M201" s="213"/>
      <c r="N201" s="213"/>
      <c r="O201" s="213"/>
      <c r="P201" s="213"/>
      <c r="Q201" s="213"/>
      <c r="R201" s="213"/>
      <c r="S201" s="213"/>
      <c r="T201" s="212"/>
      <c r="U201" s="212"/>
      <c r="V201" s="212"/>
      <c r="W201" s="212"/>
      <c r="X201" s="212"/>
      <c r="Y201" s="212"/>
      <c r="Z201" s="212"/>
      <c r="AA201" s="212"/>
      <c r="AB201" s="212"/>
      <c r="AC201" s="212"/>
      <c r="AD201" s="212"/>
    </row>
    <row r="202" ht="22.5" customHeight="1">
      <c r="A202" s="219">
        <v>1900.0</v>
      </c>
      <c r="B202" s="211" t="s">
        <v>20</v>
      </c>
      <c r="C202" s="211" t="s">
        <v>8172</v>
      </c>
      <c r="D202" s="211" t="s">
        <v>177</v>
      </c>
      <c r="E202" s="211" t="s">
        <v>177</v>
      </c>
      <c r="F202" s="213"/>
      <c r="G202" s="213"/>
      <c r="H202" s="214" t="s">
        <v>8173</v>
      </c>
      <c r="I202" s="215"/>
      <c r="J202" s="216" t="s">
        <v>8174</v>
      </c>
      <c r="K202" s="213"/>
      <c r="L202" s="213"/>
      <c r="M202" s="213"/>
      <c r="N202" s="213"/>
      <c r="O202" s="213"/>
      <c r="P202" s="213"/>
      <c r="Q202" s="213"/>
      <c r="R202" s="213"/>
      <c r="S202" s="213"/>
      <c r="T202" s="212"/>
      <c r="U202" s="212"/>
      <c r="V202" s="212"/>
      <c r="W202" s="212"/>
      <c r="X202" s="212"/>
      <c r="Y202" s="212"/>
      <c r="Z202" s="212"/>
      <c r="AA202" s="212"/>
      <c r="AB202" s="212"/>
      <c r="AC202" s="212"/>
      <c r="AD202" s="212"/>
    </row>
    <row r="203" ht="22.5" customHeight="1">
      <c r="A203" s="219">
        <v>1905.0</v>
      </c>
      <c r="B203" s="211" t="s">
        <v>20</v>
      </c>
      <c r="C203" s="211" t="s">
        <v>6808</v>
      </c>
      <c r="D203" s="211" t="s">
        <v>177</v>
      </c>
      <c r="E203" s="211" t="s">
        <v>177</v>
      </c>
      <c r="F203" s="213"/>
      <c r="G203" s="213"/>
      <c r="H203" s="214" t="s">
        <v>8175</v>
      </c>
      <c r="I203" s="215"/>
      <c r="J203" s="215"/>
      <c r="K203" s="213"/>
      <c r="L203" s="213"/>
      <c r="M203" s="213"/>
      <c r="N203" s="213"/>
      <c r="O203" s="213"/>
      <c r="P203" s="213"/>
      <c r="Q203" s="213"/>
      <c r="R203" s="213"/>
      <c r="S203" s="213"/>
      <c r="T203" s="212"/>
      <c r="U203" s="212"/>
      <c r="V203" s="212"/>
      <c r="W203" s="212"/>
      <c r="X203" s="212"/>
      <c r="Y203" s="212"/>
      <c r="Z203" s="212"/>
      <c r="AA203" s="212"/>
      <c r="AB203" s="212"/>
      <c r="AC203" s="212"/>
      <c r="AD203" s="212"/>
    </row>
    <row r="204" ht="22.5" customHeight="1">
      <c r="A204" s="219">
        <v>1906.0</v>
      </c>
      <c r="B204" s="211" t="s">
        <v>20</v>
      </c>
      <c r="C204" s="211" t="s">
        <v>8176</v>
      </c>
      <c r="D204" s="211" t="s">
        <v>177</v>
      </c>
      <c r="E204" s="211" t="s">
        <v>8130</v>
      </c>
      <c r="F204" s="213"/>
      <c r="G204" s="213"/>
      <c r="H204" s="214" t="s">
        <v>8177</v>
      </c>
      <c r="I204" s="215"/>
      <c r="J204" s="216" t="s">
        <v>8178</v>
      </c>
      <c r="K204" s="213"/>
      <c r="L204" s="213"/>
      <c r="M204" s="213"/>
      <c r="N204" s="213"/>
      <c r="O204" s="213"/>
      <c r="P204" s="213"/>
      <c r="Q204" s="213"/>
      <c r="R204" s="213"/>
      <c r="S204" s="213"/>
      <c r="T204" s="212"/>
      <c r="U204" s="212"/>
      <c r="V204" s="212"/>
      <c r="W204" s="212"/>
      <c r="X204" s="212"/>
      <c r="Y204" s="212"/>
      <c r="Z204" s="212"/>
      <c r="AA204" s="212"/>
      <c r="AB204" s="212"/>
      <c r="AC204" s="212"/>
      <c r="AD204" s="212"/>
    </row>
    <row r="205" ht="22.5" customHeight="1">
      <c r="A205" s="219">
        <v>1910.0</v>
      </c>
      <c r="B205" s="211" t="s">
        <v>20</v>
      </c>
      <c r="C205" s="211" t="s">
        <v>8179</v>
      </c>
      <c r="D205" s="211" t="s">
        <v>177</v>
      </c>
      <c r="E205" s="211" t="s">
        <v>177</v>
      </c>
      <c r="F205" s="213"/>
      <c r="G205" s="219">
        <v>1.0</v>
      </c>
      <c r="H205" s="214" t="s">
        <v>8180</v>
      </c>
      <c r="I205" s="215"/>
      <c r="J205" s="215"/>
      <c r="K205" s="213"/>
      <c r="L205" s="213"/>
      <c r="M205" s="213"/>
      <c r="N205" s="213"/>
      <c r="O205" s="213"/>
      <c r="P205" s="213"/>
      <c r="Q205" s="213"/>
      <c r="R205" s="213"/>
      <c r="S205" s="213"/>
      <c r="T205" s="212"/>
      <c r="U205" s="212"/>
      <c r="V205" s="212"/>
      <c r="W205" s="212"/>
      <c r="X205" s="212"/>
      <c r="Y205" s="212"/>
      <c r="Z205" s="212"/>
      <c r="AA205" s="212"/>
      <c r="AB205" s="212"/>
      <c r="AC205" s="212"/>
      <c r="AD205" s="212"/>
    </row>
    <row r="206" ht="22.5" customHeight="1">
      <c r="A206" s="219">
        <v>1920.0</v>
      </c>
      <c r="B206" s="211" t="s">
        <v>20</v>
      </c>
      <c r="C206" s="211" t="s">
        <v>1108</v>
      </c>
      <c r="D206" s="211" t="s">
        <v>177</v>
      </c>
      <c r="E206" s="211" t="s">
        <v>7771</v>
      </c>
      <c r="F206" s="213"/>
      <c r="G206" s="219">
        <v>1.0</v>
      </c>
      <c r="H206" s="214" t="s">
        <v>8181</v>
      </c>
      <c r="I206" s="215"/>
      <c r="J206" s="215"/>
      <c r="K206" s="213"/>
      <c r="L206" s="213"/>
      <c r="M206" s="213"/>
      <c r="N206" s="213"/>
      <c r="O206" s="213"/>
      <c r="P206" s="213"/>
      <c r="Q206" s="213"/>
      <c r="R206" s="213"/>
      <c r="S206" s="213"/>
      <c r="T206" s="212"/>
      <c r="U206" s="212"/>
      <c r="V206" s="212"/>
      <c r="W206" s="212"/>
      <c r="X206" s="212"/>
      <c r="Y206" s="212"/>
      <c r="Z206" s="212"/>
      <c r="AA206" s="212"/>
      <c r="AB206" s="212"/>
      <c r="AC206" s="212"/>
      <c r="AD206" s="212"/>
    </row>
    <row r="207" ht="22.5" customHeight="1">
      <c r="A207" s="219">
        <v>1923.0</v>
      </c>
      <c r="B207" s="211" t="s">
        <v>20</v>
      </c>
      <c r="C207" s="211" t="s">
        <v>8182</v>
      </c>
      <c r="D207" s="211" t="s">
        <v>177</v>
      </c>
      <c r="E207" s="211" t="s">
        <v>8183</v>
      </c>
      <c r="F207" s="213"/>
      <c r="G207" s="219">
        <v>1.0</v>
      </c>
      <c r="H207" s="214" t="s">
        <v>8184</v>
      </c>
      <c r="I207" s="215"/>
      <c r="J207" s="215"/>
      <c r="K207" s="213"/>
      <c r="L207" s="213"/>
      <c r="M207" s="213"/>
      <c r="N207" s="213"/>
      <c r="O207" s="213"/>
      <c r="P207" s="213"/>
      <c r="Q207" s="213"/>
      <c r="R207" s="213"/>
      <c r="S207" s="213"/>
      <c r="T207" s="212"/>
      <c r="U207" s="212"/>
      <c r="V207" s="212"/>
      <c r="W207" s="212"/>
      <c r="X207" s="212"/>
      <c r="Y207" s="212"/>
      <c r="Z207" s="212"/>
      <c r="AA207" s="212"/>
      <c r="AB207" s="212"/>
      <c r="AC207" s="212"/>
      <c r="AD207" s="212"/>
    </row>
    <row r="208" ht="22.5" customHeight="1">
      <c r="A208" s="219">
        <v>1929.0</v>
      </c>
      <c r="B208" s="211" t="s">
        <v>20</v>
      </c>
      <c r="C208" s="211" t="s">
        <v>8185</v>
      </c>
      <c r="D208" s="211" t="s">
        <v>177</v>
      </c>
      <c r="E208" s="211" t="s">
        <v>7815</v>
      </c>
      <c r="F208" s="213"/>
      <c r="G208" s="213"/>
      <c r="H208" s="214" t="s">
        <v>8186</v>
      </c>
      <c r="I208" s="215"/>
      <c r="J208" s="215"/>
      <c r="K208" s="213"/>
      <c r="L208" s="213"/>
      <c r="M208" s="213"/>
      <c r="N208" s="213"/>
      <c r="O208" s="213"/>
      <c r="P208" s="213"/>
      <c r="Q208" s="213"/>
      <c r="R208" s="213"/>
      <c r="S208" s="213"/>
      <c r="T208" s="212"/>
      <c r="U208" s="212"/>
      <c r="V208" s="212"/>
      <c r="W208" s="212"/>
      <c r="X208" s="212"/>
      <c r="Y208" s="212"/>
      <c r="Z208" s="212"/>
      <c r="AA208" s="212"/>
      <c r="AB208" s="212"/>
      <c r="AC208" s="212"/>
      <c r="AD208" s="212"/>
    </row>
    <row r="209" ht="22.5" customHeight="1">
      <c r="A209" s="219">
        <v>1930.0</v>
      </c>
      <c r="B209" s="211" t="s">
        <v>20</v>
      </c>
      <c r="C209" s="211" t="s">
        <v>6562</v>
      </c>
      <c r="D209" s="211" t="s">
        <v>177</v>
      </c>
      <c r="E209" s="211" t="s">
        <v>177</v>
      </c>
      <c r="F209" s="213"/>
      <c r="G209" s="213"/>
      <c r="H209" s="214" t="s">
        <v>8187</v>
      </c>
      <c r="I209" s="215"/>
      <c r="J209" s="215"/>
      <c r="K209" s="213"/>
      <c r="L209" s="213"/>
      <c r="M209" s="213"/>
      <c r="N209" s="213"/>
      <c r="O209" s="213"/>
      <c r="P209" s="213"/>
      <c r="Q209" s="213"/>
      <c r="R209" s="213"/>
      <c r="S209" s="213"/>
      <c r="T209" s="212"/>
      <c r="U209" s="212"/>
      <c r="V209" s="212"/>
      <c r="W209" s="212"/>
      <c r="X209" s="212"/>
      <c r="Y209" s="212"/>
      <c r="Z209" s="212"/>
      <c r="AA209" s="212"/>
      <c r="AB209" s="212"/>
      <c r="AC209" s="212"/>
      <c r="AD209" s="212"/>
    </row>
    <row r="210" ht="22.5" customHeight="1">
      <c r="A210" s="219">
        <v>1932.0</v>
      </c>
      <c r="B210" s="211" t="s">
        <v>20</v>
      </c>
      <c r="C210" s="211" t="s">
        <v>145</v>
      </c>
      <c r="D210" s="211" t="s">
        <v>177</v>
      </c>
      <c r="E210" s="211" t="s">
        <v>7815</v>
      </c>
      <c r="F210" s="213"/>
      <c r="G210" s="219">
        <v>1.0</v>
      </c>
      <c r="H210" s="214" t="s">
        <v>8188</v>
      </c>
      <c r="I210" s="215"/>
      <c r="J210" s="215"/>
      <c r="K210" s="213"/>
      <c r="L210" s="213"/>
      <c r="M210" s="213"/>
      <c r="N210" s="213"/>
      <c r="O210" s="213"/>
      <c r="P210" s="213"/>
      <c r="Q210" s="213"/>
      <c r="R210" s="213"/>
      <c r="S210" s="213"/>
      <c r="T210" s="212"/>
      <c r="U210" s="212"/>
      <c r="V210" s="212"/>
      <c r="W210" s="212"/>
      <c r="X210" s="212"/>
      <c r="Y210" s="212"/>
      <c r="Z210" s="212"/>
      <c r="AA210" s="212"/>
      <c r="AB210" s="212"/>
      <c r="AC210" s="212"/>
      <c r="AD210" s="212"/>
    </row>
    <row r="211" ht="22.5" customHeight="1">
      <c r="A211" s="219">
        <v>1937.0</v>
      </c>
      <c r="B211" s="211" t="s">
        <v>20</v>
      </c>
      <c r="C211" s="211" t="s">
        <v>4055</v>
      </c>
      <c r="D211" s="211" t="s">
        <v>177</v>
      </c>
      <c r="E211" s="211" t="s">
        <v>7924</v>
      </c>
      <c r="F211" s="213"/>
      <c r="G211" s="213"/>
      <c r="H211" s="215"/>
      <c r="I211" s="215"/>
      <c r="J211" s="216" t="s">
        <v>8189</v>
      </c>
      <c r="K211" s="213"/>
      <c r="L211" s="213"/>
      <c r="M211" s="213"/>
      <c r="N211" s="213"/>
      <c r="O211" s="213"/>
      <c r="P211" s="213"/>
      <c r="Q211" s="213"/>
      <c r="R211" s="213"/>
      <c r="S211" s="213"/>
      <c r="T211" s="212"/>
      <c r="U211" s="212"/>
      <c r="V211" s="212"/>
      <c r="W211" s="212"/>
      <c r="X211" s="212"/>
      <c r="Y211" s="212"/>
      <c r="Z211" s="212"/>
      <c r="AA211" s="212"/>
      <c r="AB211" s="212"/>
      <c r="AC211" s="212"/>
      <c r="AD211" s="212"/>
    </row>
    <row r="212" ht="22.5" customHeight="1">
      <c r="A212" s="219">
        <v>1946.0</v>
      </c>
      <c r="B212" s="211" t="s">
        <v>20</v>
      </c>
      <c r="C212" s="222" t="s">
        <v>8190</v>
      </c>
      <c r="D212" s="211" t="s">
        <v>177</v>
      </c>
      <c r="E212" s="211" t="s">
        <v>178</v>
      </c>
      <c r="F212" s="213"/>
      <c r="G212" s="213"/>
      <c r="H212" s="215"/>
      <c r="I212" s="224"/>
      <c r="J212" s="216" t="s">
        <v>8191</v>
      </c>
      <c r="K212" s="213"/>
      <c r="L212" s="213"/>
      <c r="M212" s="213"/>
      <c r="N212" s="213"/>
      <c r="O212" s="213"/>
      <c r="P212" s="213"/>
      <c r="Q212" s="213"/>
      <c r="R212" s="213"/>
      <c r="S212" s="213"/>
      <c r="T212" s="212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</row>
    <row r="213" ht="22.5" customHeight="1">
      <c r="A213" s="219">
        <v>1955.0</v>
      </c>
      <c r="B213" s="211" t="s">
        <v>20</v>
      </c>
      <c r="C213" s="211" t="s">
        <v>7424</v>
      </c>
      <c r="D213" s="211" t="s">
        <v>177</v>
      </c>
      <c r="E213" s="211" t="s">
        <v>177</v>
      </c>
      <c r="F213" s="213"/>
      <c r="G213" s="213"/>
      <c r="H213" s="214" t="s">
        <v>8192</v>
      </c>
      <c r="I213" s="216" t="s">
        <v>8193</v>
      </c>
      <c r="J213" s="216" t="s">
        <v>8194</v>
      </c>
      <c r="K213" s="213"/>
      <c r="L213" s="213"/>
      <c r="M213" s="213"/>
      <c r="N213" s="213"/>
      <c r="O213" s="213"/>
      <c r="P213" s="213"/>
      <c r="Q213" s="213"/>
      <c r="R213" s="213"/>
      <c r="S213" s="213"/>
      <c r="T213" s="212"/>
      <c r="U213" s="212"/>
      <c r="V213" s="212"/>
      <c r="W213" s="212"/>
      <c r="X213" s="212"/>
      <c r="Y213" s="212"/>
      <c r="Z213" s="212"/>
      <c r="AA213" s="212"/>
      <c r="AB213" s="212"/>
      <c r="AC213" s="212"/>
      <c r="AD213" s="212"/>
    </row>
    <row r="214" ht="22.5" customHeight="1">
      <c r="A214" s="219">
        <v>1965.0</v>
      </c>
      <c r="B214" s="211" t="s">
        <v>20</v>
      </c>
      <c r="C214" s="211" t="s">
        <v>3209</v>
      </c>
      <c r="D214" s="211" t="s">
        <v>177</v>
      </c>
      <c r="E214" s="211" t="s">
        <v>7763</v>
      </c>
      <c r="F214" s="213"/>
      <c r="G214" s="213"/>
      <c r="H214" s="214" t="s">
        <v>8195</v>
      </c>
      <c r="I214" s="216" t="s">
        <v>8196</v>
      </c>
      <c r="J214" s="216" t="s">
        <v>8197</v>
      </c>
      <c r="K214" s="213"/>
      <c r="L214" s="213"/>
      <c r="M214" s="213"/>
      <c r="N214" s="213"/>
      <c r="O214" s="213"/>
      <c r="P214" s="213"/>
      <c r="Q214" s="213"/>
      <c r="R214" s="213"/>
      <c r="S214" s="213"/>
      <c r="T214" s="212"/>
      <c r="U214" s="212"/>
      <c r="V214" s="212"/>
      <c r="W214" s="212"/>
      <c r="X214" s="212"/>
      <c r="Y214" s="212"/>
      <c r="Z214" s="212"/>
      <c r="AA214" s="212"/>
      <c r="AB214" s="212"/>
      <c r="AC214" s="212"/>
      <c r="AD214" s="212"/>
    </row>
    <row r="215" ht="22.5" customHeight="1">
      <c r="A215" s="219">
        <v>1973.0</v>
      </c>
      <c r="B215" s="211" t="s">
        <v>20</v>
      </c>
      <c r="C215" s="211" t="s">
        <v>74</v>
      </c>
      <c r="D215" s="211" t="s">
        <v>177</v>
      </c>
      <c r="E215" s="211" t="s">
        <v>177</v>
      </c>
      <c r="F215" s="213"/>
      <c r="G215" s="213"/>
      <c r="H215" s="215"/>
      <c r="I215" s="215"/>
      <c r="J215" s="214" t="s">
        <v>8198</v>
      </c>
      <c r="K215" s="213"/>
      <c r="L215" s="213"/>
      <c r="M215" s="213"/>
      <c r="N215" s="213"/>
      <c r="O215" s="213"/>
      <c r="P215" s="213"/>
      <c r="Q215" s="213"/>
      <c r="R215" s="213"/>
      <c r="S215" s="213"/>
      <c r="T215" s="212"/>
      <c r="U215" s="212"/>
      <c r="V215" s="212"/>
      <c r="W215" s="212"/>
      <c r="X215" s="212"/>
      <c r="Y215" s="212"/>
      <c r="Z215" s="212"/>
      <c r="AA215" s="212"/>
      <c r="AB215" s="212"/>
      <c r="AC215" s="212"/>
      <c r="AD215" s="212"/>
    </row>
    <row r="216" ht="22.5" customHeight="1">
      <c r="A216" s="219">
        <v>1978.0</v>
      </c>
      <c r="B216" s="211" t="s">
        <v>20</v>
      </c>
      <c r="C216" s="211" t="s">
        <v>8199</v>
      </c>
      <c r="D216" s="211" t="s">
        <v>177</v>
      </c>
      <c r="E216" s="211" t="s">
        <v>177</v>
      </c>
      <c r="F216" s="213"/>
      <c r="G216" s="219">
        <v>1.0</v>
      </c>
      <c r="H216" s="214" t="s">
        <v>7803</v>
      </c>
      <c r="I216" s="216" t="s">
        <v>7804</v>
      </c>
      <c r="J216" s="215"/>
      <c r="K216" s="213"/>
      <c r="L216" s="213"/>
      <c r="M216" s="213"/>
      <c r="N216" s="213"/>
      <c r="O216" s="213"/>
      <c r="P216" s="213"/>
      <c r="Q216" s="213"/>
      <c r="R216" s="213"/>
      <c r="S216" s="213"/>
      <c r="T216" s="212"/>
      <c r="U216" s="212"/>
      <c r="V216" s="212"/>
      <c r="W216" s="212"/>
      <c r="X216" s="212"/>
      <c r="Y216" s="212"/>
      <c r="Z216" s="212"/>
      <c r="AA216" s="212"/>
      <c r="AB216" s="212"/>
      <c r="AC216" s="212"/>
      <c r="AD216" s="212"/>
    </row>
    <row r="217" ht="22.5" customHeight="1">
      <c r="A217" s="225">
        <v>1989.0</v>
      </c>
      <c r="B217" s="211" t="s">
        <v>20</v>
      </c>
      <c r="C217" s="28" t="s">
        <v>6812</v>
      </c>
      <c r="D217" s="211" t="s">
        <v>177</v>
      </c>
      <c r="E217" s="211" t="s">
        <v>177</v>
      </c>
      <c r="F217" s="213"/>
      <c r="G217" s="213"/>
      <c r="H217" s="226"/>
      <c r="I217" s="215"/>
      <c r="J217" s="216" t="s">
        <v>8200</v>
      </c>
      <c r="K217" s="213"/>
      <c r="L217" s="213"/>
      <c r="M217" s="213"/>
      <c r="N217" s="213"/>
      <c r="O217" s="213"/>
      <c r="P217" s="213"/>
      <c r="Q217" s="213"/>
      <c r="R217" s="213"/>
      <c r="S217" s="213"/>
      <c r="T217" s="212"/>
      <c r="U217" s="212"/>
      <c r="V217" s="212"/>
      <c r="W217" s="212"/>
      <c r="X217" s="212"/>
      <c r="Y217" s="212"/>
      <c r="Z217" s="212"/>
      <c r="AA217" s="212"/>
      <c r="AB217" s="212"/>
      <c r="AC217" s="212"/>
      <c r="AD217" s="212"/>
    </row>
    <row r="218" ht="22.5" customHeight="1">
      <c r="A218" s="225">
        <v>1994.0</v>
      </c>
      <c r="B218" s="211" t="s">
        <v>20</v>
      </c>
      <c r="C218" s="28" t="s">
        <v>855</v>
      </c>
      <c r="D218" s="211" t="s">
        <v>177</v>
      </c>
      <c r="E218" s="211" t="s">
        <v>8095</v>
      </c>
      <c r="F218" s="213"/>
      <c r="G218" s="213"/>
      <c r="H218" s="214" t="s">
        <v>8201</v>
      </c>
      <c r="I218" s="217"/>
      <c r="J218" s="216" t="s">
        <v>8202</v>
      </c>
      <c r="K218" s="213"/>
      <c r="L218" s="213"/>
      <c r="M218" s="213"/>
      <c r="N218" s="213"/>
      <c r="O218" s="213"/>
      <c r="P218" s="213"/>
      <c r="Q218" s="213"/>
      <c r="R218" s="213"/>
      <c r="S218" s="213"/>
      <c r="T218" s="212"/>
      <c r="U218" s="212"/>
      <c r="V218" s="212"/>
      <c r="W218" s="212"/>
      <c r="X218" s="212"/>
      <c r="Y218" s="212"/>
      <c r="Z218" s="212"/>
      <c r="AA218" s="212"/>
      <c r="AB218" s="212"/>
      <c r="AC218" s="212"/>
      <c r="AD218" s="212"/>
    </row>
    <row r="219" ht="22.5" customHeight="1">
      <c r="A219" s="219">
        <v>2004.0</v>
      </c>
      <c r="B219" s="211" t="s">
        <v>20</v>
      </c>
      <c r="C219" s="211" t="s">
        <v>7987</v>
      </c>
      <c r="D219" s="211" t="s">
        <v>177</v>
      </c>
      <c r="E219" s="211" t="s">
        <v>8130</v>
      </c>
      <c r="F219" s="213"/>
      <c r="G219" s="219">
        <v>1.0</v>
      </c>
      <c r="H219" s="214" t="s">
        <v>8203</v>
      </c>
      <c r="I219" s="216" t="s">
        <v>8204</v>
      </c>
      <c r="J219" s="215"/>
      <c r="K219" s="213"/>
      <c r="L219" s="213"/>
      <c r="M219" s="213"/>
      <c r="N219" s="213"/>
      <c r="O219" s="213"/>
      <c r="P219" s="213"/>
      <c r="Q219" s="213"/>
      <c r="R219" s="213"/>
      <c r="S219" s="213"/>
      <c r="T219" s="212"/>
      <c r="U219" s="212"/>
      <c r="V219" s="212"/>
      <c r="W219" s="212"/>
      <c r="X219" s="212"/>
      <c r="Y219" s="212"/>
      <c r="Z219" s="212"/>
      <c r="AA219" s="212"/>
      <c r="AB219" s="212"/>
      <c r="AC219" s="212"/>
      <c r="AD219" s="212"/>
    </row>
    <row r="220" ht="22.5" customHeight="1">
      <c r="A220" s="219">
        <v>2010.0</v>
      </c>
      <c r="B220" s="211" t="s">
        <v>20</v>
      </c>
      <c r="C220" s="211" t="s">
        <v>1417</v>
      </c>
      <c r="D220" s="211" t="s">
        <v>177</v>
      </c>
      <c r="E220" s="211" t="s">
        <v>8205</v>
      </c>
      <c r="F220" s="213"/>
      <c r="G220" s="213"/>
      <c r="H220" s="214" t="s">
        <v>8206</v>
      </c>
      <c r="I220" s="216" t="s">
        <v>8207</v>
      </c>
      <c r="J220" s="215"/>
      <c r="K220" s="213"/>
      <c r="L220" s="213"/>
      <c r="M220" s="213"/>
      <c r="N220" s="213"/>
      <c r="O220" s="213"/>
      <c r="P220" s="213"/>
      <c r="Q220" s="213"/>
      <c r="R220" s="213"/>
      <c r="S220" s="213"/>
      <c r="T220" s="212"/>
      <c r="U220" s="212"/>
      <c r="V220" s="212"/>
      <c r="W220" s="212"/>
      <c r="X220" s="212"/>
      <c r="Y220" s="212"/>
      <c r="Z220" s="212"/>
      <c r="AA220" s="212"/>
      <c r="AB220" s="212"/>
      <c r="AC220" s="212"/>
      <c r="AD220" s="212"/>
    </row>
    <row r="221" ht="22.5" customHeight="1">
      <c r="A221" s="219">
        <v>2011.0</v>
      </c>
      <c r="B221" s="211" t="s">
        <v>20</v>
      </c>
      <c r="C221" s="222" t="s">
        <v>8208</v>
      </c>
      <c r="D221" s="211" t="s">
        <v>177</v>
      </c>
      <c r="E221" s="211" t="s">
        <v>177</v>
      </c>
      <c r="F221" s="213"/>
      <c r="G221" s="219">
        <v>1.0</v>
      </c>
      <c r="H221" s="214" t="s">
        <v>8209</v>
      </c>
      <c r="I221" s="215"/>
      <c r="J221" s="215"/>
      <c r="K221" s="213"/>
      <c r="L221" s="213"/>
      <c r="M221" s="213"/>
      <c r="N221" s="213"/>
      <c r="O221" s="213"/>
      <c r="P221" s="213"/>
      <c r="Q221" s="213"/>
      <c r="R221" s="213"/>
      <c r="S221" s="213"/>
      <c r="T221" s="212"/>
      <c r="U221" s="212"/>
      <c r="V221" s="212"/>
      <c r="W221" s="212"/>
      <c r="X221" s="212"/>
      <c r="Y221" s="212"/>
      <c r="Z221" s="212"/>
      <c r="AA221" s="212"/>
      <c r="AB221" s="212"/>
      <c r="AC221" s="212"/>
      <c r="AD221" s="212"/>
    </row>
    <row r="222" ht="22.5" customHeight="1">
      <c r="A222" s="219">
        <v>2014.0</v>
      </c>
      <c r="B222" s="211" t="s">
        <v>20</v>
      </c>
      <c r="C222" s="211" t="s">
        <v>8210</v>
      </c>
      <c r="D222" s="211" t="s">
        <v>177</v>
      </c>
      <c r="E222" s="211" t="s">
        <v>7815</v>
      </c>
      <c r="F222" s="213"/>
      <c r="G222" s="213"/>
      <c r="H222" s="214" t="s">
        <v>8211</v>
      </c>
      <c r="I222" s="215"/>
      <c r="J222" s="216" t="s">
        <v>8212</v>
      </c>
      <c r="K222" s="213"/>
      <c r="L222" s="213"/>
      <c r="M222" s="213"/>
      <c r="N222" s="213"/>
      <c r="O222" s="213"/>
      <c r="P222" s="213"/>
      <c r="Q222" s="213"/>
      <c r="R222" s="213"/>
      <c r="S222" s="213"/>
      <c r="T222" s="212"/>
      <c r="U222" s="212"/>
      <c r="V222" s="212"/>
      <c r="W222" s="212"/>
      <c r="X222" s="212"/>
      <c r="Y222" s="212"/>
      <c r="Z222" s="212"/>
      <c r="AA222" s="212"/>
      <c r="AB222" s="212"/>
      <c r="AC222" s="212"/>
      <c r="AD222" s="212"/>
    </row>
    <row r="223" ht="22.5" customHeight="1">
      <c r="A223" s="219">
        <v>2018.0</v>
      </c>
      <c r="B223" s="211" t="s">
        <v>20</v>
      </c>
      <c r="C223" s="211" t="s">
        <v>4055</v>
      </c>
      <c r="D223" s="211" t="s">
        <v>177</v>
      </c>
      <c r="E223" s="211" t="s">
        <v>177</v>
      </c>
      <c r="F223" s="213"/>
      <c r="G223" s="213"/>
      <c r="H223" s="215"/>
      <c r="I223" s="215"/>
      <c r="J223" s="216" t="s">
        <v>8213</v>
      </c>
      <c r="K223" s="213"/>
      <c r="L223" s="213"/>
      <c r="M223" s="213"/>
      <c r="N223" s="213"/>
      <c r="O223" s="213"/>
      <c r="P223" s="213"/>
      <c r="Q223" s="213"/>
      <c r="R223" s="213"/>
      <c r="S223" s="213"/>
      <c r="T223" s="212"/>
      <c r="U223" s="212"/>
      <c r="V223" s="212"/>
      <c r="W223" s="212"/>
      <c r="X223" s="212"/>
      <c r="Y223" s="212"/>
      <c r="Z223" s="212"/>
      <c r="AA223" s="212"/>
      <c r="AB223" s="212"/>
      <c r="AC223" s="212"/>
      <c r="AD223" s="212"/>
    </row>
    <row r="224" ht="22.5" customHeight="1">
      <c r="A224" s="219">
        <v>2020.0</v>
      </c>
      <c r="B224" s="211" t="s">
        <v>20</v>
      </c>
      <c r="C224" s="211" t="s">
        <v>8214</v>
      </c>
      <c r="D224" s="211" t="s">
        <v>177</v>
      </c>
      <c r="E224" s="211" t="s">
        <v>177</v>
      </c>
      <c r="F224" s="213"/>
      <c r="G224" s="213"/>
      <c r="H224" s="215"/>
      <c r="I224" s="215"/>
      <c r="J224" s="216" t="s">
        <v>8215</v>
      </c>
      <c r="K224" s="213"/>
      <c r="L224" s="213"/>
      <c r="M224" s="213"/>
      <c r="N224" s="213"/>
      <c r="O224" s="213"/>
      <c r="P224" s="213"/>
      <c r="Q224" s="213"/>
      <c r="R224" s="213"/>
      <c r="S224" s="213"/>
      <c r="T224" s="212"/>
      <c r="U224" s="212"/>
      <c r="V224" s="212"/>
      <c r="W224" s="212"/>
      <c r="X224" s="212"/>
      <c r="Y224" s="212"/>
      <c r="Z224" s="212"/>
      <c r="AA224" s="212"/>
      <c r="AB224" s="212"/>
      <c r="AC224" s="212"/>
      <c r="AD224" s="212"/>
    </row>
    <row r="225" ht="22.5" customHeight="1">
      <c r="A225" s="219">
        <v>2023.0</v>
      </c>
      <c r="B225" s="211" t="s">
        <v>20</v>
      </c>
      <c r="C225" s="211" t="s">
        <v>6708</v>
      </c>
      <c r="D225" s="211" t="s">
        <v>177</v>
      </c>
      <c r="E225" s="211" t="s">
        <v>7975</v>
      </c>
      <c r="F225" s="213"/>
      <c r="G225" s="213"/>
      <c r="H225" s="214" t="s">
        <v>8216</v>
      </c>
      <c r="I225" s="215"/>
      <c r="J225" s="215"/>
      <c r="K225" s="213"/>
      <c r="L225" s="213"/>
      <c r="M225" s="213"/>
      <c r="N225" s="213"/>
      <c r="O225" s="213"/>
      <c r="P225" s="213"/>
      <c r="Q225" s="213"/>
      <c r="R225" s="213"/>
      <c r="S225" s="213"/>
      <c r="T225" s="212"/>
      <c r="U225" s="212"/>
      <c r="V225" s="212"/>
      <c r="W225" s="212"/>
      <c r="X225" s="212"/>
      <c r="Y225" s="212"/>
      <c r="Z225" s="212"/>
      <c r="AA225" s="212"/>
      <c r="AB225" s="212"/>
      <c r="AC225" s="212"/>
      <c r="AD225" s="212"/>
    </row>
    <row r="226" ht="22.5" customHeight="1">
      <c r="A226" s="219">
        <v>2029.0</v>
      </c>
      <c r="B226" s="211" t="s">
        <v>20</v>
      </c>
      <c r="C226" s="211" t="s">
        <v>770</v>
      </c>
      <c r="D226" s="211" t="s">
        <v>177</v>
      </c>
      <c r="E226" s="211" t="s">
        <v>7815</v>
      </c>
      <c r="F226" s="213"/>
      <c r="G226" s="213"/>
      <c r="H226" s="214" t="s">
        <v>8217</v>
      </c>
      <c r="I226" s="215"/>
      <c r="J226" s="215"/>
      <c r="K226" s="213"/>
      <c r="L226" s="213"/>
      <c r="M226" s="213"/>
      <c r="N226" s="213"/>
      <c r="O226" s="213"/>
      <c r="P226" s="213"/>
      <c r="Q226" s="213"/>
      <c r="R226" s="213"/>
      <c r="S226" s="213"/>
      <c r="T226" s="212"/>
      <c r="U226" s="212"/>
      <c r="V226" s="212"/>
      <c r="W226" s="212"/>
      <c r="X226" s="212"/>
      <c r="Y226" s="212"/>
      <c r="Z226" s="212"/>
      <c r="AA226" s="212"/>
      <c r="AB226" s="212"/>
      <c r="AC226" s="212"/>
      <c r="AD226" s="212"/>
    </row>
    <row r="227" ht="22.5" customHeight="1">
      <c r="A227" s="219">
        <v>2030.0</v>
      </c>
      <c r="B227" s="211" t="s">
        <v>20</v>
      </c>
      <c r="C227" s="211" t="s">
        <v>3662</v>
      </c>
      <c r="D227" s="211" t="s">
        <v>177</v>
      </c>
      <c r="E227" s="211" t="s">
        <v>8002</v>
      </c>
      <c r="F227" s="213"/>
      <c r="G227" s="219">
        <v>1.0</v>
      </c>
      <c r="H227" s="214" t="s">
        <v>8218</v>
      </c>
      <c r="I227" s="215"/>
      <c r="J227" s="215"/>
      <c r="K227" s="213"/>
      <c r="L227" s="213"/>
      <c r="M227" s="213"/>
      <c r="N227" s="213"/>
      <c r="O227" s="213"/>
      <c r="P227" s="213"/>
      <c r="Q227" s="213"/>
      <c r="R227" s="213"/>
      <c r="S227" s="213"/>
      <c r="T227" s="212"/>
      <c r="U227" s="212"/>
      <c r="V227" s="212"/>
      <c r="W227" s="212"/>
      <c r="X227" s="212"/>
      <c r="Y227" s="212"/>
      <c r="Z227" s="212"/>
      <c r="AA227" s="212"/>
      <c r="AB227" s="212"/>
      <c r="AC227" s="212"/>
      <c r="AD227" s="212"/>
    </row>
    <row r="228" ht="22.5" customHeight="1">
      <c r="A228" s="219">
        <v>2032.0</v>
      </c>
      <c r="B228" s="211" t="s">
        <v>20</v>
      </c>
      <c r="C228" s="211" t="s">
        <v>8219</v>
      </c>
      <c r="D228" s="211" t="s">
        <v>177</v>
      </c>
      <c r="E228" s="211" t="s">
        <v>8002</v>
      </c>
      <c r="F228" s="213"/>
      <c r="G228" s="213"/>
      <c r="H228" s="214" t="s">
        <v>8220</v>
      </c>
      <c r="I228" s="215"/>
      <c r="J228" s="215"/>
      <c r="K228" s="213"/>
      <c r="L228" s="213"/>
      <c r="M228" s="213"/>
      <c r="N228" s="213"/>
      <c r="O228" s="213"/>
      <c r="P228" s="213"/>
      <c r="Q228" s="213"/>
      <c r="R228" s="213"/>
      <c r="S228" s="213"/>
      <c r="T228" s="212"/>
      <c r="U228" s="212"/>
      <c r="V228" s="212"/>
      <c r="W228" s="212"/>
      <c r="X228" s="212"/>
      <c r="Y228" s="212"/>
      <c r="Z228" s="212"/>
      <c r="AA228" s="212"/>
      <c r="AB228" s="212"/>
      <c r="AC228" s="212"/>
      <c r="AD228" s="212"/>
    </row>
    <row r="229" ht="22.5" customHeight="1">
      <c r="A229" s="219">
        <v>2034.0</v>
      </c>
      <c r="B229" s="211" t="s">
        <v>20</v>
      </c>
      <c r="C229" s="211" t="s">
        <v>8221</v>
      </c>
      <c r="D229" s="211" t="s">
        <v>177</v>
      </c>
      <c r="E229" s="211" t="s">
        <v>8021</v>
      </c>
      <c r="F229" s="213"/>
      <c r="G229" s="219">
        <v>1.0</v>
      </c>
      <c r="H229" s="214" t="s">
        <v>8222</v>
      </c>
      <c r="I229" s="215"/>
      <c r="J229" s="215"/>
      <c r="K229" s="213"/>
      <c r="L229" s="213"/>
      <c r="M229" s="213"/>
      <c r="N229" s="213"/>
      <c r="O229" s="213"/>
      <c r="P229" s="213"/>
      <c r="Q229" s="213"/>
      <c r="R229" s="213"/>
      <c r="S229" s="213"/>
      <c r="T229" s="212"/>
      <c r="U229" s="212"/>
      <c r="V229" s="212"/>
      <c r="W229" s="212"/>
      <c r="X229" s="212"/>
      <c r="Y229" s="212"/>
      <c r="Z229" s="212"/>
      <c r="AA229" s="212"/>
      <c r="AB229" s="212"/>
      <c r="AC229" s="212"/>
      <c r="AD229" s="212"/>
    </row>
    <row r="230" ht="22.5" customHeight="1">
      <c r="A230" s="219">
        <v>2035.0</v>
      </c>
      <c r="B230" s="211" t="s">
        <v>20</v>
      </c>
      <c r="C230" s="211" t="s">
        <v>8223</v>
      </c>
      <c r="D230" s="211" t="s">
        <v>177</v>
      </c>
      <c r="E230" s="211" t="s">
        <v>177</v>
      </c>
      <c r="F230" s="213"/>
      <c r="G230" s="213"/>
      <c r="H230" s="215"/>
      <c r="I230" s="215"/>
      <c r="J230" s="216" t="s">
        <v>8224</v>
      </c>
      <c r="K230" s="213"/>
      <c r="L230" s="213"/>
      <c r="M230" s="213"/>
      <c r="N230" s="213"/>
      <c r="O230" s="213"/>
      <c r="P230" s="213"/>
      <c r="Q230" s="213"/>
      <c r="R230" s="213"/>
      <c r="S230" s="213"/>
      <c r="T230" s="212"/>
      <c r="U230" s="212"/>
      <c r="V230" s="212"/>
      <c r="W230" s="212"/>
      <c r="X230" s="212"/>
      <c r="Y230" s="212"/>
      <c r="Z230" s="212"/>
      <c r="AA230" s="212"/>
      <c r="AB230" s="212"/>
      <c r="AC230" s="212"/>
      <c r="AD230" s="212"/>
    </row>
    <row r="231" ht="22.5" customHeight="1">
      <c r="A231" s="219">
        <v>2036.0</v>
      </c>
      <c r="B231" s="211" t="s">
        <v>20</v>
      </c>
      <c r="C231" s="211" t="s">
        <v>4478</v>
      </c>
      <c r="D231" s="211" t="s">
        <v>177</v>
      </c>
      <c r="E231" s="211" t="s">
        <v>8130</v>
      </c>
      <c r="F231" s="213"/>
      <c r="G231" s="213"/>
      <c r="H231" s="215"/>
      <c r="I231" s="215"/>
      <c r="J231" s="216" t="s">
        <v>8225</v>
      </c>
      <c r="K231" s="213"/>
      <c r="L231" s="213"/>
      <c r="M231" s="213"/>
      <c r="N231" s="213"/>
      <c r="O231" s="213"/>
      <c r="P231" s="213"/>
      <c r="Q231" s="213"/>
      <c r="R231" s="213"/>
      <c r="S231" s="213"/>
      <c r="T231" s="212"/>
      <c r="U231" s="212"/>
      <c r="V231" s="212"/>
      <c r="W231" s="212"/>
      <c r="X231" s="212"/>
      <c r="Y231" s="212"/>
      <c r="Z231" s="212"/>
      <c r="AA231" s="212"/>
      <c r="AB231" s="212"/>
      <c r="AC231" s="212"/>
      <c r="AD231" s="212"/>
    </row>
    <row r="232" ht="22.5" customHeight="1">
      <c r="A232" s="219">
        <v>2039.0</v>
      </c>
      <c r="B232" s="211" t="s">
        <v>20</v>
      </c>
      <c r="C232" s="211" t="s">
        <v>8226</v>
      </c>
      <c r="D232" s="211" t="s">
        <v>177</v>
      </c>
      <c r="E232" s="211" t="s">
        <v>8130</v>
      </c>
      <c r="F232" s="213"/>
      <c r="G232" s="213"/>
      <c r="H232" s="214" t="s">
        <v>8227</v>
      </c>
      <c r="I232" s="215"/>
      <c r="J232" s="215"/>
      <c r="K232" s="213"/>
      <c r="L232" s="213"/>
      <c r="M232" s="213"/>
      <c r="N232" s="213"/>
      <c r="O232" s="213"/>
      <c r="P232" s="213"/>
      <c r="Q232" s="213"/>
      <c r="R232" s="213"/>
      <c r="S232" s="213"/>
      <c r="T232" s="212"/>
      <c r="U232" s="212"/>
      <c r="V232" s="212"/>
      <c r="W232" s="212"/>
      <c r="X232" s="212"/>
      <c r="Y232" s="212"/>
      <c r="Z232" s="212"/>
      <c r="AA232" s="212"/>
      <c r="AB232" s="212"/>
      <c r="AC232" s="212"/>
      <c r="AD232" s="212"/>
    </row>
    <row r="233" ht="22.5" customHeight="1">
      <c r="A233" s="219">
        <v>2040.0</v>
      </c>
      <c r="B233" s="211" t="s">
        <v>20</v>
      </c>
      <c r="C233" s="211" t="s">
        <v>74</v>
      </c>
      <c r="D233" s="211" t="s">
        <v>177</v>
      </c>
      <c r="E233" s="211" t="s">
        <v>8002</v>
      </c>
      <c r="F233" s="213"/>
      <c r="G233" s="213"/>
      <c r="H233" s="214" t="s">
        <v>8228</v>
      </c>
      <c r="I233" s="215"/>
      <c r="J233" s="216" t="s">
        <v>8229</v>
      </c>
      <c r="K233" s="213"/>
      <c r="L233" s="213"/>
      <c r="M233" s="213"/>
      <c r="N233" s="213"/>
      <c r="O233" s="213"/>
      <c r="P233" s="213"/>
      <c r="Q233" s="213"/>
      <c r="R233" s="213"/>
      <c r="S233" s="213"/>
      <c r="T233" s="212"/>
      <c r="U233" s="212"/>
      <c r="V233" s="212"/>
      <c r="W233" s="212"/>
      <c r="X233" s="212"/>
      <c r="Y233" s="212"/>
      <c r="Z233" s="212"/>
      <c r="AA233" s="212"/>
      <c r="AB233" s="212"/>
      <c r="AC233" s="212"/>
      <c r="AD233" s="212"/>
    </row>
    <row r="234" ht="22.5" customHeight="1">
      <c r="A234" s="219">
        <v>2041.0</v>
      </c>
      <c r="B234" s="211" t="s">
        <v>20</v>
      </c>
      <c r="C234" s="211" t="s">
        <v>8230</v>
      </c>
      <c r="D234" s="211" t="s">
        <v>177</v>
      </c>
      <c r="E234" s="211" t="s">
        <v>177</v>
      </c>
      <c r="F234" s="213"/>
      <c r="G234" s="213"/>
      <c r="H234" s="214" t="s">
        <v>8231</v>
      </c>
      <c r="I234" s="215"/>
      <c r="J234" s="215"/>
      <c r="K234" s="213"/>
      <c r="L234" s="213"/>
      <c r="M234" s="213"/>
      <c r="N234" s="213"/>
      <c r="O234" s="213"/>
      <c r="P234" s="213"/>
      <c r="Q234" s="213"/>
      <c r="R234" s="213"/>
      <c r="S234" s="213"/>
      <c r="T234" s="212"/>
      <c r="U234" s="212"/>
      <c r="V234" s="212"/>
      <c r="W234" s="212"/>
      <c r="X234" s="212"/>
      <c r="Y234" s="212"/>
      <c r="Z234" s="212"/>
      <c r="AA234" s="212"/>
      <c r="AB234" s="212"/>
      <c r="AC234" s="212"/>
      <c r="AD234" s="212"/>
    </row>
    <row r="235" ht="22.5" customHeight="1">
      <c r="A235" s="219">
        <v>2042.0</v>
      </c>
      <c r="B235" s="211" t="s">
        <v>20</v>
      </c>
      <c r="C235" s="211" t="s">
        <v>7919</v>
      </c>
      <c r="D235" s="211" t="s">
        <v>177</v>
      </c>
      <c r="E235" s="211" t="s">
        <v>177</v>
      </c>
      <c r="F235" s="213"/>
      <c r="G235" s="213"/>
      <c r="H235" s="214" t="s">
        <v>8232</v>
      </c>
      <c r="I235" s="216" t="s">
        <v>8233</v>
      </c>
      <c r="J235" s="215"/>
      <c r="K235" s="213"/>
      <c r="L235" s="213"/>
      <c r="M235" s="213"/>
      <c r="N235" s="213"/>
      <c r="O235" s="213"/>
      <c r="P235" s="213"/>
      <c r="Q235" s="213"/>
      <c r="R235" s="213"/>
      <c r="S235" s="213"/>
      <c r="T235" s="212"/>
      <c r="U235" s="212"/>
      <c r="V235" s="212"/>
      <c r="W235" s="212"/>
      <c r="X235" s="212"/>
      <c r="Y235" s="212"/>
      <c r="Z235" s="212"/>
      <c r="AA235" s="212"/>
      <c r="AB235" s="212"/>
      <c r="AC235" s="212"/>
      <c r="AD235" s="212"/>
    </row>
    <row r="236" ht="22.5" customHeight="1">
      <c r="A236" s="219">
        <v>2043.0</v>
      </c>
      <c r="B236" s="211" t="s">
        <v>20</v>
      </c>
      <c r="C236" s="211" t="s">
        <v>698</v>
      </c>
      <c r="D236" s="211" t="s">
        <v>177</v>
      </c>
      <c r="E236" s="211" t="s">
        <v>8012</v>
      </c>
      <c r="F236" s="213"/>
      <c r="G236" s="213"/>
      <c r="H236" s="214" t="s">
        <v>8234</v>
      </c>
      <c r="I236" s="215"/>
      <c r="J236" s="216" t="s">
        <v>8235</v>
      </c>
      <c r="K236" s="213"/>
      <c r="L236" s="213"/>
      <c r="M236" s="213"/>
      <c r="N236" s="213"/>
      <c r="O236" s="213"/>
      <c r="P236" s="213"/>
      <c r="Q236" s="213"/>
      <c r="R236" s="213"/>
      <c r="S236" s="213"/>
      <c r="T236" s="212"/>
      <c r="U236" s="212"/>
      <c r="V236" s="212"/>
      <c r="W236" s="212"/>
      <c r="X236" s="212"/>
      <c r="Y236" s="212"/>
      <c r="Z236" s="212"/>
      <c r="AA236" s="212"/>
      <c r="AB236" s="212"/>
      <c r="AC236" s="212"/>
      <c r="AD236" s="212"/>
    </row>
    <row r="237" ht="22.5" customHeight="1">
      <c r="A237" s="219">
        <v>2044.0</v>
      </c>
      <c r="B237" s="211" t="s">
        <v>20</v>
      </c>
      <c r="C237" s="211" t="s">
        <v>8236</v>
      </c>
      <c r="D237" s="211" t="s">
        <v>177</v>
      </c>
      <c r="E237" s="211" t="s">
        <v>177</v>
      </c>
      <c r="F237" s="213"/>
      <c r="G237" s="213"/>
      <c r="H237" s="215"/>
      <c r="I237" s="215"/>
      <c r="J237" s="216" t="s">
        <v>8237</v>
      </c>
      <c r="K237" s="213"/>
      <c r="L237" s="213"/>
      <c r="M237" s="213"/>
      <c r="N237" s="213"/>
      <c r="O237" s="213"/>
      <c r="P237" s="213"/>
      <c r="Q237" s="213"/>
      <c r="R237" s="213"/>
      <c r="S237" s="213"/>
      <c r="T237" s="212"/>
      <c r="U237" s="212"/>
      <c r="V237" s="212"/>
      <c r="W237" s="212"/>
      <c r="X237" s="212"/>
      <c r="Y237" s="212"/>
      <c r="Z237" s="212"/>
      <c r="AA237" s="212"/>
      <c r="AB237" s="212"/>
      <c r="AC237" s="212"/>
      <c r="AD237" s="212"/>
    </row>
    <row r="238" ht="22.5" customHeight="1">
      <c r="A238" s="219">
        <v>2047.0</v>
      </c>
      <c r="B238" s="211" t="s">
        <v>20</v>
      </c>
      <c r="C238" s="211" t="s">
        <v>1077</v>
      </c>
      <c r="D238" s="211" t="s">
        <v>177</v>
      </c>
      <c r="E238" s="211" t="s">
        <v>7766</v>
      </c>
      <c r="F238" s="213"/>
      <c r="G238" s="219">
        <v>1.0</v>
      </c>
      <c r="H238" s="215"/>
      <c r="I238" s="216" t="s">
        <v>8238</v>
      </c>
      <c r="J238" s="215"/>
      <c r="K238" s="213"/>
      <c r="L238" s="213"/>
      <c r="M238" s="213"/>
      <c r="N238" s="213"/>
      <c r="O238" s="213"/>
      <c r="P238" s="213"/>
      <c r="Q238" s="213"/>
      <c r="R238" s="213"/>
      <c r="S238" s="213"/>
      <c r="T238" s="212"/>
      <c r="U238" s="212"/>
      <c r="V238" s="212"/>
      <c r="W238" s="212"/>
      <c r="X238" s="212"/>
      <c r="Y238" s="212"/>
      <c r="Z238" s="212"/>
      <c r="AA238" s="212"/>
      <c r="AB238" s="212"/>
      <c r="AC238" s="212"/>
      <c r="AD238" s="212"/>
    </row>
    <row r="239" ht="22.5" customHeight="1">
      <c r="A239" s="219">
        <v>2048.0</v>
      </c>
      <c r="B239" s="211" t="s">
        <v>20</v>
      </c>
      <c r="C239" s="211" t="s">
        <v>8239</v>
      </c>
      <c r="D239" s="211" t="s">
        <v>177</v>
      </c>
      <c r="E239" s="211" t="s">
        <v>177</v>
      </c>
      <c r="F239" s="213"/>
      <c r="G239" s="213"/>
      <c r="H239" s="214" t="s">
        <v>8240</v>
      </c>
      <c r="I239" s="215"/>
      <c r="J239" s="216" t="s">
        <v>8241</v>
      </c>
      <c r="K239" s="213"/>
      <c r="L239" s="213"/>
      <c r="M239" s="213"/>
      <c r="N239" s="213"/>
      <c r="O239" s="213"/>
      <c r="P239" s="213"/>
      <c r="Q239" s="213"/>
      <c r="R239" s="213"/>
      <c r="S239" s="213"/>
      <c r="T239" s="212"/>
      <c r="U239" s="212"/>
      <c r="V239" s="212"/>
      <c r="W239" s="212"/>
      <c r="X239" s="212"/>
      <c r="Y239" s="212"/>
      <c r="Z239" s="212"/>
      <c r="AA239" s="212"/>
      <c r="AB239" s="212"/>
      <c r="AC239" s="212"/>
      <c r="AD239" s="212"/>
    </row>
    <row r="240" ht="22.5" customHeight="1">
      <c r="A240" s="219">
        <v>2057.0</v>
      </c>
      <c r="B240" s="211" t="s">
        <v>8006</v>
      </c>
      <c r="C240" s="211" t="s">
        <v>8242</v>
      </c>
      <c r="D240" s="211" t="s">
        <v>177</v>
      </c>
      <c r="E240" s="211" t="s">
        <v>177</v>
      </c>
      <c r="F240" s="213"/>
      <c r="G240" s="213"/>
      <c r="H240" s="215"/>
      <c r="I240" s="215"/>
      <c r="J240" s="216" t="s">
        <v>8243</v>
      </c>
      <c r="K240" s="213"/>
      <c r="L240" s="213"/>
      <c r="M240" s="213"/>
      <c r="N240" s="213"/>
      <c r="O240" s="213"/>
      <c r="P240" s="213"/>
      <c r="Q240" s="213"/>
      <c r="R240" s="213"/>
      <c r="S240" s="213"/>
      <c r="T240" s="212"/>
      <c r="U240" s="212"/>
      <c r="V240" s="212"/>
      <c r="W240" s="212"/>
      <c r="X240" s="212"/>
      <c r="Y240" s="212"/>
      <c r="Z240" s="212"/>
      <c r="AA240" s="212"/>
      <c r="AB240" s="212"/>
      <c r="AC240" s="212"/>
      <c r="AD240" s="212"/>
    </row>
    <row r="241" ht="22.5" customHeight="1">
      <c r="A241" s="219">
        <v>2058.0</v>
      </c>
      <c r="B241" s="211" t="s">
        <v>20</v>
      </c>
      <c r="C241" s="222" t="s">
        <v>8244</v>
      </c>
      <c r="D241" s="211" t="s">
        <v>177</v>
      </c>
      <c r="E241" s="211" t="s">
        <v>178</v>
      </c>
      <c r="F241" s="213"/>
      <c r="G241" s="213"/>
      <c r="H241" s="216" t="s">
        <v>8245</v>
      </c>
      <c r="I241" s="227" t="s">
        <v>8246</v>
      </c>
      <c r="J241" s="216" t="s">
        <v>8247</v>
      </c>
      <c r="K241" s="213"/>
      <c r="L241" s="213"/>
      <c r="M241" s="213"/>
      <c r="N241" s="213"/>
      <c r="O241" s="213"/>
      <c r="P241" s="213"/>
      <c r="Q241" s="213"/>
      <c r="R241" s="213"/>
      <c r="S241" s="213"/>
      <c r="T241" s="212"/>
      <c r="U241" s="212"/>
      <c r="V241" s="212"/>
      <c r="W241" s="212"/>
      <c r="X241" s="212"/>
      <c r="Y241" s="212"/>
      <c r="Z241" s="212"/>
      <c r="AA241" s="212"/>
      <c r="AB241" s="212"/>
      <c r="AC241" s="212"/>
      <c r="AD241" s="212"/>
    </row>
    <row r="242" ht="22.5" customHeight="1">
      <c r="A242" s="219">
        <v>2060.0</v>
      </c>
      <c r="B242" s="211" t="s">
        <v>20</v>
      </c>
      <c r="C242" s="211" t="s">
        <v>8248</v>
      </c>
      <c r="D242" s="211" t="s">
        <v>177</v>
      </c>
      <c r="E242" s="211" t="s">
        <v>177</v>
      </c>
      <c r="F242" s="213"/>
      <c r="G242" s="213"/>
      <c r="H242" s="214" t="s">
        <v>8249</v>
      </c>
      <c r="I242" s="215"/>
      <c r="J242" s="215"/>
      <c r="K242" s="213"/>
      <c r="L242" s="213"/>
      <c r="M242" s="213"/>
      <c r="N242" s="213"/>
      <c r="O242" s="213"/>
      <c r="P242" s="213"/>
      <c r="Q242" s="213"/>
      <c r="R242" s="213"/>
      <c r="S242" s="213"/>
      <c r="T242" s="212"/>
      <c r="U242" s="212"/>
      <c r="V242" s="212"/>
      <c r="W242" s="212"/>
      <c r="X242" s="212"/>
      <c r="Y242" s="212"/>
      <c r="Z242" s="212"/>
      <c r="AA242" s="212"/>
      <c r="AB242" s="212"/>
      <c r="AC242" s="212"/>
      <c r="AD242" s="212"/>
    </row>
    <row r="243" ht="22.5" customHeight="1">
      <c r="A243" s="219">
        <v>2065.0</v>
      </c>
      <c r="B243" s="211" t="s">
        <v>20</v>
      </c>
      <c r="C243" s="211" t="s">
        <v>8250</v>
      </c>
      <c r="D243" s="211" t="s">
        <v>177</v>
      </c>
      <c r="E243" s="211" t="s">
        <v>177</v>
      </c>
      <c r="F243" s="213"/>
      <c r="G243" s="213"/>
      <c r="H243" s="214" t="s">
        <v>8251</v>
      </c>
      <c r="I243" s="215"/>
      <c r="J243" s="215"/>
      <c r="K243" s="213"/>
      <c r="L243" s="213"/>
      <c r="M243" s="213"/>
      <c r="N243" s="213"/>
      <c r="O243" s="213"/>
      <c r="P243" s="213"/>
      <c r="Q243" s="213"/>
      <c r="R243" s="213"/>
      <c r="S243" s="213"/>
      <c r="T243" s="212"/>
      <c r="U243" s="212"/>
      <c r="V243" s="212"/>
      <c r="W243" s="212"/>
      <c r="X243" s="212"/>
      <c r="Y243" s="212"/>
      <c r="Z243" s="212"/>
      <c r="AA243" s="212"/>
      <c r="AB243" s="212"/>
      <c r="AC243" s="212"/>
      <c r="AD243" s="212"/>
    </row>
    <row r="244" ht="22.5" customHeight="1">
      <c r="A244" s="219">
        <v>2068.0</v>
      </c>
      <c r="B244" s="211" t="s">
        <v>20</v>
      </c>
      <c r="C244" s="211" t="s">
        <v>1047</v>
      </c>
      <c r="D244" s="211" t="s">
        <v>177</v>
      </c>
      <c r="E244" s="211" t="s">
        <v>177</v>
      </c>
      <c r="F244" s="213"/>
      <c r="G244" s="213"/>
      <c r="H244" s="214" t="s">
        <v>8252</v>
      </c>
      <c r="I244" s="215"/>
      <c r="J244" s="215"/>
      <c r="K244" s="213"/>
      <c r="L244" s="213"/>
      <c r="M244" s="213"/>
      <c r="N244" s="213"/>
      <c r="O244" s="213"/>
      <c r="P244" s="213"/>
      <c r="Q244" s="213"/>
      <c r="R244" s="213"/>
      <c r="S244" s="213"/>
      <c r="T244" s="212"/>
      <c r="U244" s="212"/>
      <c r="V244" s="212"/>
      <c r="W244" s="212"/>
      <c r="X244" s="212"/>
      <c r="Y244" s="212"/>
      <c r="Z244" s="212"/>
      <c r="AA244" s="212"/>
      <c r="AB244" s="212"/>
      <c r="AC244" s="212"/>
      <c r="AD244" s="212"/>
    </row>
    <row r="245" ht="22.5" customHeight="1">
      <c r="A245" s="219">
        <v>2069.0</v>
      </c>
      <c r="B245" s="211" t="s">
        <v>20</v>
      </c>
      <c r="C245" s="211" t="s">
        <v>8253</v>
      </c>
      <c r="D245" s="211" t="s">
        <v>177</v>
      </c>
      <c r="E245" s="211" t="s">
        <v>177</v>
      </c>
      <c r="F245" s="213"/>
      <c r="G245" s="213"/>
      <c r="H245" s="214" t="s">
        <v>8254</v>
      </c>
      <c r="I245" s="215"/>
      <c r="J245" s="215"/>
      <c r="K245" s="213"/>
      <c r="L245" s="213"/>
      <c r="M245" s="213"/>
      <c r="N245" s="213"/>
      <c r="O245" s="213"/>
      <c r="P245" s="213"/>
      <c r="Q245" s="213"/>
      <c r="R245" s="213"/>
      <c r="S245" s="213"/>
      <c r="T245" s="212"/>
      <c r="U245" s="212"/>
      <c r="V245" s="212"/>
      <c r="W245" s="212"/>
      <c r="X245" s="212"/>
      <c r="Y245" s="212"/>
      <c r="Z245" s="212"/>
      <c r="AA245" s="212"/>
      <c r="AB245" s="212"/>
      <c r="AC245" s="212"/>
      <c r="AD245" s="212"/>
    </row>
    <row r="246" ht="22.5" customHeight="1">
      <c r="A246" s="219">
        <v>2070.0</v>
      </c>
      <c r="B246" s="211" t="s">
        <v>20</v>
      </c>
      <c r="C246" s="211" t="s">
        <v>8255</v>
      </c>
      <c r="D246" s="211" t="s">
        <v>177</v>
      </c>
      <c r="E246" s="211" t="s">
        <v>177</v>
      </c>
      <c r="F246" s="213"/>
      <c r="G246" s="213"/>
      <c r="H246" s="214" t="s">
        <v>8256</v>
      </c>
      <c r="I246" s="215"/>
      <c r="J246" s="216" t="s">
        <v>8257</v>
      </c>
      <c r="K246" s="213"/>
      <c r="L246" s="213"/>
      <c r="M246" s="213"/>
      <c r="N246" s="213"/>
      <c r="O246" s="213"/>
      <c r="P246" s="213"/>
      <c r="Q246" s="213"/>
      <c r="R246" s="213"/>
      <c r="S246" s="213"/>
      <c r="T246" s="212"/>
      <c r="U246" s="212"/>
      <c r="V246" s="212"/>
      <c r="W246" s="212"/>
      <c r="X246" s="212"/>
      <c r="Y246" s="212"/>
      <c r="Z246" s="212"/>
      <c r="AA246" s="212"/>
      <c r="AB246" s="212"/>
      <c r="AC246" s="212"/>
      <c r="AD246" s="212"/>
    </row>
    <row r="247" ht="22.5" customHeight="1">
      <c r="A247" s="219">
        <v>2075.0</v>
      </c>
      <c r="B247" s="211" t="s">
        <v>20</v>
      </c>
      <c r="C247" s="211" t="s">
        <v>1057</v>
      </c>
      <c r="D247" s="211" t="s">
        <v>177</v>
      </c>
      <c r="E247" s="211" t="s">
        <v>177</v>
      </c>
      <c r="F247" s="213"/>
      <c r="G247" s="213"/>
      <c r="H247" s="215"/>
      <c r="I247" s="215"/>
      <c r="J247" s="216" t="s">
        <v>8258</v>
      </c>
      <c r="K247" s="213"/>
      <c r="L247" s="213"/>
      <c r="M247" s="213"/>
      <c r="N247" s="213"/>
      <c r="O247" s="213"/>
      <c r="P247" s="213"/>
      <c r="Q247" s="213"/>
      <c r="R247" s="213"/>
      <c r="S247" s="213"/>
      <c r="T247" s="212"/>
      <c r="U247" s="212"/>
      <c r="V247" s="212"/>
      <c r="W247" s="212"/>
      <c r="X247" s="212"/>
      <c r="Y247" s="212"/>
      <c r="Z247" s="212"/>
      <c r="AA247" s="212"/>
      <c r="AB247" s="212"/>
      <c r="AC247" s="212"/>
      <c r="AD247" s="212"/>
    </row>
    <row r="248" ht="22.5" customHeight="1">
      <c r="A248" s="219">
        <v>2084.0</v>
      </c>
      <c r="B248" s="211" t="s">
        <v>20</v>
      </c>
      <c r="C248" s="211" t="s">
        <v>8259</v>
      </c>
      <c r="D248" s="211" t="s">
        <v>8260</v>
      </c>
      <c r="E248" s="211" t="s">
        <v>8261</v>
      </c>
      <c r="F248" s="213"/>
      <c r="G248" s="213"/>
      <c r="H248" s="215"/>
      <c r="I248" s="215"/>
      <c r="J248" s="216" t="s">
        <v>8262</v>
      </c>
      <c r="K248" s="213"/>
      <c r="L248" s="213"/>
      <c r="M248" s="213"/>
      <c r="N248" s="213"/>
      <c r="O248" s="213"/>
      <c r="P248" s="213"/>
      <c r="Q248" s="213"/>
      <c r="R248" s="213"/>
      <c r="S248" s="213"/>
      <c r="T248" s="212"/>
      <c r="U248" s="212"/>
      <c r="V248" s="212"/>
      <c r="W248" s="212"/>
      <c r="X248" s="212"/>
      <c r="Y248" s="212"/>
      <c r="Z248" s="212"/>
      <c r="AA248" s="212"/>
      <c r="AB248" s="212"/>
      <c r="AC248" s="212"/>
      <c r="AD248" s="212"/>
    </row>
    <row r="249" ht="22.5" customHeight="1">
      <c r="A249" s="219">
        <v>2086.0</v>
      </c>
      <c r="B249" s="211" t="s">
        <v>20</v>
      </c>
      <c r="C249" s="211" t="s">
        <v>8159</v>
      </c>
      <c r="D249" s="211" t="s">
        <v>177</v>
      </c>
      <c r="E249" s="211" t="s">
        <v>8021</v>
      </c>
      <c r="F249" s="213"/>
      <c r="G249" s="219">
        <v>1.0</v>
      </c>
      <c r="H249" s="214" t="s">
        <v>8263</v>
      </c>
      <c r="I249" s="215"/>
      <c r="J249" s="215"/>
      <c r="K249" s="213"/>
      <c r="L249" s="213"/>
      <c r="M249" s="213"/>
      <c r="N249" s="213"/>
      <c r="O249" s="213"/>
      <c r="P249" s="213"/>
      <c r="Q249" s="213"/>
      <c r="R249" s="213"/>
      <c r="S249" s="213"/>
      <c r="T249" s="212"/>
      <c r="U249" s="212"/>
      <c r="V249" s="212"/>
      <c r="W249" s="212"/>
      <c r="X249" s="212"/>
      <c r="Y249" s="212"/>
      <c r="Z249" s="212"/>
      <c r="AA249" s="212"/>
      <c r="AB249" s="212"/>
      <c r="AC249" s="212"/>
      <c r="AD249" s="212"/>
    </row>
    <row r="250" ht="22.5" customHeight="1">
      <c r="A250" s="219">
        <v>2090.0</v>
      </c>
      <c r="B250" s="211" t="s">
        <v>20</v>
      </c>
      <c r="C250" s="211" t="s">
        <v>8264</v>
      </c>
      <c r="D250" s="211" t="s">
        <v>177</v>
      </c>
      <c r="E250" s="211" t="s">
        <v>7763</v>
      </c>
      <c r="F250" s="213"/>
      <c r="G250" s="213"/>
      <c r="H250" s="215"/>
      <c r="I250" s="215"/>
      <c r="J250" s="216" t="s">
        <v>8265</v>
      </c>
      <c r="K250" s="213"/>
      <c r="L250" s="213"/>
      <c r="M250" s="213"/>
      <c r="N250" s="213"/>
      <c r="O250" s="213"/>
      <c r="P250" s="213"/>
      <c r="Q250" s="213"/>
      <c r="R250" s="213"/>
      <c r="S250" s="213"/>
      <c r="T250" s="212"/>
      <c r="U250" s="212"/>
      <c r="V250" s="212"/>
      <c r="W250" s="212"/>
      <c r="X250" s="212"/>
      <c r="Y250" s="212"/>
      <c r="Z250" s="212"/>
      <c r="AA250" s="212"/>
      <c r="AB250" s="212"/>
      <c r="AC250" s="212"/>
      <c r="AD250" s="212"/>
    </row>
    <row r="251" ht="22.5" customHeight="1">
      <c r="A251" s="219">
        <v>2091.0</v>
      </c>
      <c r="B251" s="211" t="s">
        <v>20</v>
      </c>
      <c r="C251" s="211" t="s">
        <v>8266</v>
      </c>
      <c r="D251" s="211" t="s">
        <v>177</v>
      </c>
      <c r="E251" s="211" t="s">
        <v>177</v>
      </c>
      <c r="F251" s="213"/>
      <c r="G251" s="213"/>
      <c r="H251" s="215"/>
      <c r="I251" s="215"/>
      <c r="J251" s="216" t="s">
        <v>8267</v>
      </c>
      <c r="K251" s="213"/>
      <c r="L251" s="213"/>
      <c r="M251" s="213"/>
      <c r="N251" s="213"/>
      <c r="O251" s="213"/>
      <c r="P251" s="213"/>
      <c r="Q251" s="213"/>
      <c r="R251" s="213"/>
      <c r="S251" s="213"/>
      <c r="T251" s="212"/>
      <c r="U251" s="212"/>
      <c r="V251" s="212"/>
      <c r="W251" s="212"/>
      <c r="X251" s="212"/>
      <c r="Y251" s="212"/>
      <c r="Z251" s="212"/>
      <c r="AA251" s="212"/>
      <c r="AB251" s="212"/>
      <c r="AC251" s="212"/>
      <c r="AD251" s="212"/>
    </row>
    <row r="252" ht="22.5" customHeight="1">
      <c r="A252" s="219">
        <v>2095.0</v>
      </c>
      <c r="B252" s="211" t="s">
        <v>20</v>
      </c>
      <c r="C252" s="211" t="s">
        <v>7424</v>
      </c>
      <c r="D252" s="211" t="s">
        <v>177</v>
      </c>
      <c r="E252" s="211" t="s">
        <v>8002</v>
      </c>
      <c r="F252" s="213"/>
      <c r="G252" s="213"/>
      <c r="H252" s="215"/>
      <c r="I252" s="215"/>
      <c r="J252" s="216" t="s">
        <v>5128</v>
      </c>
      <c r="K252" s="213"/>
      <c r="L252" s="213"/>
      <c r="M252" s="213"/>
      <c r="N252" s="213"/>
      <c r="O252" s="213"/>
      <c r="P252" s="213"/>
      <c r="Q252" s="213"/>
      <c r="R252" s="213"/>
      <c r="S252" s="213"/>
      <c r="T252" s="212"/>
      <c r="U252" s="212"/>
      <c r="V252" s="212"/>
      <c r="W252" s="212"/>
      <c r="X252" s="212"/>
      <c r="Y252" s="212"/>
      <c r="Z252" s="212"/>
      <c r="AA252" s="212"/>
      <c r="AB252" s="212"/>
      <c r="AC252" s="212"/>
      <c r="AD252" s="212"/>
    </row>
    <row r="253" ht="22.5" customHeight="1">
      <c r="A253" s="219">
        <v>2099.0</v>
      </c>
      <c r="B253" s="211" t="s">
        <v>20</v>
      </c>
      <c r="C253" s="211" t="s">
        <v>8268</v>
      </c>
      <c r="D253" s="211" t="s">
        <v>177</v>
      </c>
      <c r="E253" s="211" t="s">
        <v>7924</v>
      </c>
      <c r="F253" s="213"/>
      <c r="G253" s="213"/>
      <c r="H253" s="214" t="s">
        <v>8269</v>
      </c>
      <c r="I253" s="215"/>
      <c r="J253" s="215"/>
      <c r="K253" s="213"/>
      <c r="L253" s="213"/>
      <c r="M253" s="213"/>
      <c r="N253" s="213"/>
      <c r="O253" s="213"/>
      <c r="P253" s="213"/>
      <c r="Q253" s="213"/>
      <c r="R253" s="213"/>
      <c r="S253" s="213"/>
      <c r="T253" s="212"/>
      <c r="U253" s="212"/>
      <c r="V253" s="212"/>
      <c r="W253" s="212"/>
      <c r="X253" s="212"/>
      <c r="Y253" s="212"/>
      <c r="Z253" s="212"/>
      <c r="AA253" s="212"/>
      <c r="AB253" s="212"/>
      <c r="AC253" s="212"/>
      <c r="AD253" s="212"/>
    </row>
    <row r="254" ht="22.5" customHeight="1">
      <c r="A254" s="219">
        <v>2102.0</v>
      </c>
      <c r="B254" s="211" t="s">
        <v>20</v>
      </c>
      <c r="C254" s="211" t="s">
        <v>189</v>
      </c>
      <c r="D254" s="211" t="s">
        <v>177</v>
      </c>
      <c r="E254" s="211" t="s">
        <v>8205</v>
      </c>
      <c r="F254" s="213"/>
      <c r="G254" s="213"/>
      <c r="H254" s="214" t="s">
        <v>8270</v>
      </c>
      <c r="I254" s="216" t="s">
        <v>8271</v>
      </c>
      <c r="J254" s="215"/>
      <c r="K254" s="213"/>
      <c r="L254" s="213"/>
      <c r="M254" s="213"/>
      <c r="N254" s="213"/>
      <c r="O254" s="213"/>
      <c r="P254" s="213"/>
      <c r="Q254" s="213"/>
      <c r="R254" s="213"/>
      <c r="S254" s="213"/>
      <c r="T254" s="212"/>
      <c r="U254" s="212"/>
      <c r="V254" s="212"/>
      <c r="W254" s="212"/>
      <c r="X254" s="212"/>
      <c r="Y254" s="212"/>
      <c r="Z254" s="212"/>
      <c r="AA254" s="212"/>
      <c r="AB254" s="212"/>
      <c r="AC254" s="212"/>
      <c r="AD254" s="212"/>
    </row>
    <row r="255" ht="22.5" customHeight="1">
      <c r="A255" s="219">
        <v>2104.0</v>
      </c>
      <c r="B255" s="211" t="s">
        <v>20</v>
      </c>
      <c r="C255" s="211" t="s">
        <v>3172</v>
      </c>
      <c r="D255" s="211" t="s">
        <v>177</v>
      </c>
      <c r="E255" s="211" t="s">
        <v>8205</v>
      </c>
      <c r="F255" s="213"/>
      <c r="G255" s="213"/>
      <c r="H255" s="215"/>
      <c r="I255" s="215"/>
      <c r="J255" s="214" t="s">
        <v>8272</v>
      </c>
      <c r="K255" s="213"/>
      <c r="L255" s="213"/>
      <c r="M255" s="213"/>
      <c r="N255" s="213"/>
      <c r="O255" s="213"/>
      <c r="P255" s="213"/>
      <c r="Q255" s="213"/>
      <c r="R255" s="213"/>
      <c r="S255" s="213"/>
      <c r="T255" s="212"/>
      <c r="U255" s="212"/>
      <c r="V255" s="212"/>
      <c r="W255" s="212"/>
      <c r="X255" s="212"/>
      <c r="Y255" s="212"/>
      <c r="Z255" s="212"/>
      <c r="AA255" s="212"/>
      <c r="AB255" s="212"/>
      <c r="AC255" s="212"/>
      <c r="AD255" s="212"/>
    </row>
    <row r="256" ht="22.5" customHeight="1">
      <c r="A256" s="219">
        <v>2108.0</v>
      </c>
      <c r="B256" s="211" t="s">
        <v>20</v>
      </c>
      <c r="C256" s="211" t="s">
        <v>6812</v>
      </c>
      <c r="D256" s="211" t="s">
        <v>177</v>
      </c>
      <c r="E256" s="211" t="s">
        <v>177</v>
      </c>
      <c r="F256" s="213"/>
      <c r="G256" s="213"/>
      <c r="H256" s="214" t="s">
        <v>8273</v>
      </c>
      <c r="I256" s="215"/>
      <c r="J256" s="216" t="s">
        <v>8200</v>
      </c>
      <c r="K256" s="213"/>
      <c r="L256" s="213"/>
      <c r="M256" s="213"/>
      <c r="N256" s="213"/>
      <c r="O256" s="213"/>
      <c r="P256" s="213"/>
      <c r="Q256" s="213"/>
      <c r="R256" s="213"/>
      <c r="S256" s="213"/>
      <c r="T256" s="212"/>
      <c r="U256" s="212"/>
      <c r="V256" s="212"/>
      <c r="W256" s="212"/>
      <c r="X256" s="212"/>
      <c r="Y256" s="212"/>
      <c r="Z256" s="212"/>
      <c r="AA256" s="212"/>
      <c r="AB256" s="212"/>
      <c r="AC256" s="212"/>
      <c r="AD256" s="212"/>
    </row>
    <row r="257" ht="22.5" customHeight="1">
      <c r="A257" s="219">
        <v>2109.0</v>
      </c>
      <c r="B257" s="211" t="s">
        <v>20</v>
      </c>
      <c r="C257" s="211" t="s">
        <v>7780</v>
      </c>
      <c r="D257" s="211" t="s">
        <v>177</v>
      </c>
      <c r="E257" s="211" t="s">
        <v>177</v>
      </c>
      <c r="F257" s="213"/>
      <c r="G257" s="213"/>
      <c r="H257" s="214" t="s">
        <v>8274</v>
      </c>
      <c r="I257" s="215"/>
      <c r="J257" s="216" t="s">
        <v>8275</v>
      </c>
      <c r="K257" s="213"/>
      <c r="L257" s="213"/>
      <c r="M257" s="213"/>
      <c r="N257" s="213"/>
      <c r="O257" s="213"/>
      <c r="P257" s="213"/>
      <c r="Q257" s="213"/>
      <c r="R257" s="213"/>
      <c r="S257" s="213"/>
      <c r="T257" s="212"/>
      <c r="U257" s="212"/>
      <c r="V257" s="212"/>
      <c r="W257" s="212"/>
      <c r="X257" s="212"/>
      <c r="Y257" s="212"/>
      <c r="Z257" s="212"/>
      <c r="AA257" s="212"/>
      <c r="AB257" s="212"/>
      <c r="AC257" s="212"/>
      <c r="AD257" s="212"/>
    </row>
    <row r="258" ht="22.5" customHeight="1">
      <c r="A258" s="219">
        <v>2110.0</v>
      </c>
      <c r="B258" s="211" t="s">
        <v>20</v>
      </c>
      <c r="C258" s="211" t="s">
        <v>8276</v>
      </c>
      <c r="D258" s="211" t="s">
        <v>177</v>
      </c>
      <c r="E258" s="211" t="s">
        <v>177</v>
      </c>
      <c r="F258" s="213"/>
      <c r="G258" s="213"/>
      <c r="H258" s="215"/>
      <c r="I258" s="215"/>
      <c r="J258" s="216" t="s">
        <v>8277</v>
      </c>
      <c r="K258" s="213"/>
      <c r="L258" s="213"/>
      <c r="M258" s="213"/>
      <c r="N258" s="213"/>
      <c r="O258" s="213"/>
      <c r="P258" s="213"/>
      <c r="Q258" s="213"/>
      <c r="R258" s="213"/>
      <c r="S258" s="213"/>
      <c r="T258" s="212"/>
      <c r="U258" s="212"/>
      <c r="V258" s="212"/>
      <c r="W258" s="212"/>
      <c r="X258" s="212"/>
      <c r="Y258" s="212"/>
      <c r="Z258" s="212"/>
      <c r="AA258" s="212"/>
      <c r="AB258" s="212"/>
      <c r="AC258" s="212"/>
      <c r="AD258" s="212"/>
    </row>
    <row r="259" ht="22.5" customHeight="1">
      <c r="A259" s="219">
        <v>2116.0</v>
      </c>
      <c r="B259" s="211" t="s">
        <v>20</v>
      </c>
      <c r="C259" s="211" t="s">
        <v>8278</v>
      </c>
      <c r="D259" s="211" t="s">
        <v>177</v>
      </c>
      <c r="E259" s="211" t="s">
        <v>177</v>
      </c>
      <c r="F259" s="213"/>
      <c r="G259" s="213"/>
      <c r="H259" s="214" t="s">
        <v>8279</v>
      </c>
      <c r="I259" s="215"/>
      <c r="J259" s="216" t="s">
        <v>8280</v>
      </c>
      <c r="K259" s="213"/>
      <c r="L259" s="213"/>
      <c r="M259" s="213"/>
      <c r="N259" s="213"/>
      <c r="O259" s="213"/>
      <c r="P259" s="213"/>
      <c r="Q259" s="213"/>
      <c r="R259" s="213"/>
      <c r="S259" s="213"/>
      <c r="T259" s="212"/>
      <c r="U259" s="212"/>
      <c r="V259" s="212"/>
      <c r="W259" s="212"/>
      <c r="X259" s="212"/>
      <c r="Y259" s="212"/>
      <c r="Z259" s="212"/>
      <c r="AA259" s="212"/>
      <c r="AB259" s="212"/>
      <c r="AC259" s="212"/>
      <c r="AD259" s="212"/>
    </row>
    <row r="260" ht="22.5" customHeight="1">
      <c r="A260" s="219">
        <v>2117.0</v>
      </c>
      <c r="B260" s="211" t="s">
        <v>20</v>
      </c>
      <c r="C260" s="211" t="s">
        <v>4050</v>
      </c>
      <c r="D260" s="211" t="s">
        <v>177</v>
      </c>
      <c r="E260" s="211" t="s">
        <v>7815</v>
      </c>
      <c r="F260" s="213"/>
      <c r="G260" s="213"/>
      <c r="H260" s="214" t="s">
        <v>8281</v>
      </c>
      <c r="I260" s="215"/>
      <c r="J260" s="216" t="s">
        <v>8282</v>
      </c>
      <c r="K260" s="213"/>
      <c r="L260" s="213"/>
      <c r="M260" s="213"/>
      <c r="N260" s="213"/>
      <c r="O260" s="213"/>
      <c r="P260" s="213"/>
      <c r="Q260" s="213"/>
      <c r="R260" s="213"/>
      <c r="S260" s="213"/>
      <c r="T260" s="212"/>
      <c r="U260" s="212"/>
      <c r="V260" s="212"/>
      <c r="W260" s="212"/>
      <c r="X260" s="212"/>
      <c r="Y260" s="212"/>
      <c r="Z260" s="212"/>
      <c r="AA260" s="212"/>
      <c r="AB260" s="212"/>
      <c r="AC260" s="212"/>
      <c r="AD260" s="212"/>
    </row>
    <row r="261" ht="22.5" customHeight="1">
      <c r="A261" s="219">
        <v>2119.0</v>
      </c>
      <c r="B261" s="211" t="s">
        <v>20</v>
      </c>
      <c r="C261" s="211" t="s">
        <v>8283</v>
      </c>
      <c r="D261" s="211" t="s">
        <v>177</v>
      </c>
      <c r="E261" s="211" t="s">
        <v>177</v>
      </c>
      <c r="F261" s="213"/>
      <c r="G261" s="213"/>
      <c r="H261" s="215"/>
      <c r="I261" s="215"/>
      <c r="J261" s="216" t="s">
        <v>8284</v>
      </c>
      <c r="K261" s="213"/>
      <c r="L261" s="213"/>
      <c r="M261" s="213"/>
      <c r="N261" s="213"/>
      <c r="O261" s="213"/>
      <c r="P261" s="213"/>
      <c r="Q261" s="213"/>
      <c r="R261" s="213"/>
      <c r="S261" s="213"/>
      <c r="T261" s="212"/>
      <c r="U261" s="212"/>
      <c r="V261" s="212"/>
      <c r="W261" s="212"/>
      <c r="X261" s="212"/>
      <c r="Y261" s="212"/>
      <c r="Z261" s="212"/>
      <c r="AA261" s="212"/>
      <c r="AB261" s="212"/>
      <c r="AC261" s="212"/>
      <c r="AD261" s="212"/>
    </row>
    <row r="262" ht="22.5" customHeight="1">
      <c r="A262" s="219">
        <v>2122.0</v>
      </c>
      <c r="B262" s="211" t="s">
        <v>20</v>
      </c>
      <c r="C262" s="211" t="s">
        <v>8285</v>
      </c>
      <c r="D262" s="211" t="s">
        <v>177</v>
      </c>
      <c r="E262" s="211" t="s">
        <v>7860</v>
      </c>
      <c r="F262" s="213"/>
      <c r="G262" s="213"/>
      <c r="H262" s="214" t="s">
        <v>8286</v>
      </c>
      <c r="I262" s="215"/>
      <c r="J262" s="215"/>
      <c r="K262" s="213"/>
      <c r="L262" s="213"/>
      <c r="M262" s="213"/>
      <c r="N262" s="213"/>
      <c r="O262" s="213"/>
      <c r="P262" s="213"/>
      <c r="Q262" s="213"/>
      <c r="R262" s="213"/>
      <c r="S262" s="213"/>
      <c r="T262" s="212"/>
      <c r="U262" s="212"/>
      <c r="V262" s="212"/>
      <c r="W262" s="212"/>
      <c r="X262" s="212"/>
      <c r="Y262" s="212"/>
      <c r="Z262" s="212"/>
      <c r="AA262" s="212"/>
      <c r="AB262" s="212"/>
      <c r="AC262" s="212"/>
      <c r="AD262" s="212"/>
    </row>
    <row r="263" ht="22.5" customHeight="1">
      <c r="A263" s="219">
        <v>2129.0</v>
      </c>
      <c r="B263" s="211" t="s">
        <v>20</v>
      </c>
      <c r="C263" s="211" t="s">
        <v>724</v>
      </c>
      <c r="D263" s="211" t="s">
        <v>177</v>
      </c>
      <c r="E263" s="211" t="s">
        <v>8004</v>
      </c>
      <c r="F263" s="213"/>
      <c r="G263" s="213"/>
      <c r="H263" s="215"/>
      <c r="I263" s="215"/>
      <c r="J263" s="216" t="s">
        <v>8287</v>
      </c>
      <c r="K263" s="213"/>
      <c r="L263" s="213"/>
      <c r="M263" s="213"/>
      <c r="N263" s="213"/>
      <c r="O263" s="213"/>
      <c r="P263" s="213"/>
      <c r="Q263" s="213"/>
      <c r="R263" s="213"/>
      <c r="S263" s="213"/>
      <c r="T263" s="212"/>
      <c r="U263" s="212"/>
      <c r="V263" s="212"/>
      <c r="W263" s="212"/>
      <c r="X263" s="212"/>
      <c r="Y263" s="212"/>
      <c r="Z263" s="212"/>
      <c r="AA263" s="212"/>
      <c r="AB263" s="212"/>
      <c r="AC263" s="212"/>
      <c r="AD263" s="212"/>
    </row>
    <row r="264" ht="22.5" customHeight="1">
      <c r="A264" s="219">
        <v>2132.0</v>
      </c>
      <c r="B264" s="211" t="s">
        <v>20</v>
      </c>
      <c r="C264" s="211" t="s">
        <v>1369</v>
      </c>
      <c r="D264" s="211" t="s">
        <v>177</v>
      </c>
      <c r="E264" s="211" t="s">
        <v>177</v>
      </c>
      <c r="F264" s="213"/>
      <c r="G264" s="213"/>
      <c r="H264" s="215"/>
      <c r="I264" s="215"/>
      <c r="J264" s="216" t="s">
        <v>8288</v>
      </c>
      <c r="K264" s="213"/>
      <c r="L264" s="213"/>
      <c r="M264" s="213"/>
      <c r="N264" s="213"/>
      <c r="O264" s="213"/>
      <c r="P264" s="213"/>
      <c r="Q264" s="213"/>
      <c r="R264" s="213"/>
      <c r="S264" s="213"/>
      <c r="T264" s="212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</row>
    <row r="265" ht="22.5" customHeight="1">
      <c r="A265" s="219">
        <v>2134.0</v>
      </c>
      <c r="B265" s="211" t="s">
        <v>20</v>
      </c>
      <c r="C265" s="211" t="s">
        <v>8289</v>
      </c>
      <c r="D265" s="211" t="s">
        <v>177</v>
      </c>
      <c r="E265" s="211" t="s">
        <v>8004</v>
      </c>
      <c r="F265" s="213"/>
      <c r="G265" s="213"/>
      <c r="H265" s="215"/>
      <c r="I265" s="215"/>
      <c r="J265" s="216" t="s">
        <v>8290</v>
      </c>
      <c r="K265" s="213"/>
      <c r="L265" s="213"/>
      <c r="M265" s="213"/>
      <c r="N265" s="213"/>
      <c r="O265" s="213"/>
      <c r="P265" s="213"/>
      <c r="Q265" s="213"/>
      <c r="R265" s="213"/>
      <c r="S265" s="213"/>
      <c r="T265" s="212"/>
      <c r="U265" s="212"/>
      <c r="V265" s="212"/>
      <c r="W265" s="212"/>
      <c r="X265" s="212"/>
      <c r="Y265" s="212"/>
      <c r="Z265" s="212"/>
      <c r="AA265" s="212"/>
      <c r="AB265" s="212"/>
      <c r="AC265" s="212"/>
      <c r="AD265" s="212"/>
    </row>
    <row r="266" ht="22.5" customHeight="1">
      <c r="A266" s="219">
        <v>2136.0</v>
      </c>
      <c r="B266" s="211" t="s">
        <v>20</v>
      </c>
      <c r="C266" s="211" t="s">
        <v>4106</v>
      </c>
      <c r="D266" s="211" t="s">
        <v>177</v>
      </c>
      <c r="E266" s="211" t="s">
        <v>177</v>
      </c>
      <c r="F266" s="213"/>
      <c r="G266" s="219">
        <v>1.0</v>
      </c>
      <c r="H266" s="215"/>
      <c r="I266" s="216" t="s">
        <v>8291</v>
      </c>
      <c r="J266" s="215"/>
      <c r="K266" s="213"/>
      <c r="L266" s="213"/>
      <c r="M266" s="213"/>
      <c r="N266" s="213"/>
      <c r="O266" s="213"/>
      <c r="P266" s="213"/>
      <c r="Q266" s="213"/>
      <c r="R266" s="213"/>
      <c r="S266" s="213"/>
      <c r="T266" s="212"/>
      <c r="U266" s="212"/>
      <c r="V266" s="212"/>
      <c r="W266" s="212"/>
      <c r="X266" s="212"/>
      <c r="Y266" s="212"/>
      <c r="Z266" s="212"/>
      <c r="AA266" s="212"/>
      <c r="AB266" s="212"/>
      <c r="AC266" s="212"/>
      <c r="AD266" s="212"/>
    </row>
    <row r="267" ht="22.5" customHeight="1">
      <c r="A267" s="219">
        <v>2137.0</v>
      </c>
      <c r="B267" s="211" t="s">
        <v>20</v>
      </c>
      <c r="C267" s="211" t="s">
        <v>4139</v>
      </c>
      <c r="D267" s="211" t="s">
        <v>177</v>
      </c>
      <c r="E267" s="211" t="s">
        <v>177</v>
      </c>
      <c r="F267" s="213"/>
      <c r="G267" s="213"/>
      <c r="H267" s="215"/>
      <c r="I267" s="215"/>
      <c r="J267" s="216" t="s">
        <v>8292</v>
      </c>
      <c r="K267" s="213"/>
      <c r="L267" s="213"/>
      <c r="M267" s="213"/>
      <c r="N267" s="213"/>
      <c r="O267" s="213"/>
      <c r="P267" s="213"/>
      <c r="Q267" s="213"/>
      <c r="R267" s="213"/>
      <c r="S267" s="213"/>
      <c r="T267" s="212"/>
      <c r="U267" s="212"/>
      <c r="V267" s="212"/>
      <c r="W267" s="212"/>
      <c r="X267" s="212"/>
      <c r="Y267" s="212"/>
      <c r="Z267" s="212"/>
      <c r="AA267" s="212"/>
      <c r="AB267" s="212"/>
      <c r="AC267" s="212"/>
      <c r="AD267" s="212"/>
    </row>
    <row r="268" ht="22.5" customHeight="1">
      <c r="A268" s="219">
        <v>2139.0</v>
      </c>
      <c r="B268" s="211" t="s">
        <v>20</v>
      </c>
      <c r="C268" s="211" t="s">
        <v>8293</v>
      </c>
      <c r="D268" s="211" t="s">
        <v>177</v>
      </c>
      <c r="E268" s="211" t="s">
        <v>7959</v>
      </c>
      <c r="F268" s="213"/>
      <c r="G268" s="213"/>
      <c r="H268" s="215"/>
      <c r="I268" s="215"/>
      <c r="J268" s="216" t="s">
        <v>8294</v>
      </c>
      <c r="K268" s="213"/>
      <c r="L268" s="213"/>
      <c r="M268" s="213"/>
      <c r="N268" s="213"/>
      <c r="O268" s="213"/>
      <c r="P268" s="213"/>
      <c r="Q268" s="213"/>
      <c r="R268" s="213"/>
      <c r="S268" s="213"/>
      <c r="T268" s="212"/>
      <c r="U268" s="212"/>
      <c r="V268" s="212"/>
      <c r="W268" s="212"/>
      <c r="X268" s="212"/>
      <c r="Y268" s="212"/>
      <c r="Z268" s="212"/>
      <c r="AA268" s="212"/>
      <c r="AB268" s="212"/>
      <c r="AC268" s="212"/>
      <c r="AD268" s="212"/>
    </row>
    <row r="269" ht="22.5" customHeight="1">
      <c r="A269" s="219">
        <v>2141.0</v>
      </c>
      <c r="B269" s="211" t="s">
        <v>20</v>
      </c>
      <c r="C269" s="211" t="s">
        <v>8295</v>
      </c>
      <c r="D269" s="211" t="s">
        <v>177</v>
      </c>
      <c r="E269" s="211" t="s">
        <v>7924</v>
      </c>
      <c r="F269" s="213"/>
      <c r="G269" s="219">
        <v>1.0</v>
      </c>
      <c r="H269" s="214" t="s">
        <v>8296</v>
      </c>
      <c r="I269" s="215"/>
      <c r="J269" s="215"/>
      <c r="K269" s="213"/>
      <c r="L269" s="213"/>
      <c r="M269" s="213"/>
      <c r="N269" s="213"/>
      <c r="O269" s="213"/>
      <c r="P269" s="213"/>
      <c r="Q269" s="213"/>
      <c r="R269" s="213"/>
      <c r="S269" s="213"/>
      <c r="T269" s="212"/>
      <c r="U269" s="212"/>
      <c r="V269" s="212"/>
      <c r="W269" s="212"/>
      <c r="X269" s="212"/>
      <c r="Y269" s="212"/>
      <c r="Z269" s="212"/>
      <c r="AA269" s="212"/>
      <c r="AB269" s="212"/>
      <c r="AC269" s="212"/>
      <c r="AD269" s="212"/>
    </row>
    <row r="270" ht="22.5" customHeight="1">
      <c r="A270" s="219">
        <v>15473.0</v>
      </c>
      <c r="B270" s="211" t="s">
        <v>20</v>
      </c>
      <c r="C270" s="211" t="s">
        <v>1027</v>
      </c>
      <c r="D270" s="211" t="s">
        <v>177</v>
      </c>
      <c r="E270" s="211" t="s">
        <v>7815</v>
      </c>
      <c r="F270" s="213"/>
      <c r="G270" s="213"/>
      <c r="H270" s="214" t="s">
        <v>8297</v>
      </c>
      <c r="I270" s="215"/>
      <c r="J270" s="215"/>
      <c r="K270" s="213"/>
      <c r="L270" s="213"/>
      <c r="M270" s="213"/>
      <c r="N270" s="213"/>
      <c r="O270" s="213"/>
      <c r="P270" s="213"/>
      <c r="Q270" s="213"/>
      <c r="R270" s="213"/>
      <c r="S270" s="213"/>
      <c r="T270" s="212"/>
      <c r="U270" s="212"/>
      <c r="V270" s="212"/>
      <c r="W270" s="212"/>
      <c r="X270" s="212"/>
      <c r="Y270" s="212"/>
      <c r="Z270" s="212"/>
      <c r="AA270" s="212"/>
      <c r="AB270" s="212"/>
      <c r="AC270" s="212"/>
      <c r="AD270" s="212"/>
    </row>
    <row r="271" ht="22.5" customHeight="1">
      <c r="A271" s="219">
        <v>17665.0</v>
      </c>
      <c r="B271" s="211" t="s">
        <v>20</v>
      </c>
      <c r="C271" s="211" t="s">
        <v>8298</v>
      </c>
      <c r="D271" s="211" t="s">
        <v>177</v>
      </c>
      <c r="E271" s="211" t="s">
        <v>177</v>
      </c>
      <c r="F271" s="213"/>
      <c r="G271" s="213"/>
      <c r="H271" s="214" t="s">
        <v>8299</v>
      </c>
      <c r="I271" s="215"/>
      <c r="J271" s="215"/>
      <c r="K271" s="213"/>
      <c r="L271" s="213"/>
      <c r="M271" s="213"/>
      <c r="N271" s="213"/>
      <c r="O271" s="213"/>
      <c r="P271" s="213"/>
      <c r="Q271" s="213"/>
      <c r="R271" s="213"/>
      <c r="S271" s="213"/>
      <c r="T271" s="212"/>
      <c r="U271" s="212"/>
      <c r="V271" s="212"/>
      <c r="W271" s="212"/>
      <c r="X271" s="212"/>
      <c r="Y271" s="212"/>
      <c r="Z271" s="212"/>
      <c r="AA271" s="212"/>
      <c r="AB271" s="212"/>
      <c r="AC271" s="212"/>
      <c r="AD271" s="212"/>
    </row>
    <row r="272" ht="22.5" customHeight="1">
      <c r="A272" s="219">
        <v>17728.0</v>
      </c>
      <c r="B272" s="211" t="s">
        <v>20</v>
      </c>
      <c r="C272" s="211" t="s">
        <v>6933</v>
      </c>
      <c r="D272" s="211" t="s">
        <v>177</v>
      </c>
      <c r="E272" s="211" t="s">
        <v>8205</v>
      </c>
      <c r="F272" s="213"/>
      <c r="G272" s="213"/>
      <c r="H272" s="215"/>
      <c r="I272" s="215"/>
      <c r="J272" s="216" t="s">
        <v>8300</v>
      </c>
      <c r="K272" s="213"/>
      <c r="L272" s="213"/>
      <c r="M272" s="213"/>
      <c r="N272" s="213"/>
      <c r="O272" s="213"/>
      <c r="P272" s="213"/>
      <c r="Q272" s="213"/>
      <c r="R272" s="213"/>
      <c r="S272" s="213"/>
      <c r="T272" s="212"/>
      <c r="U272" s="212"/>
      <c r="V272" s="212"/>
      <c r="W272" s="212"/>
      <c r="X272" s="212"/>
      <c r="Y272" s="212"/>
      <c r="Z272" s="212"/>
      <c r="AA272" s="212"/>
      <c r="AB272" s="212"/>
      <c r="AC272" s="212"/>
      <c r="AD272" s="212"/>
    </row>
    <row r="273" ht="22.5" customHeight="1">
      <c r="A273" s="219">
        <v>17899.0</v>
      </c>
      <c r="B273" s="211" t="s">
        <v>20</v>
      </c>
      <c r="C273" s="211" t="s">
        <v>8301</v>
      </c>
      <c r="D273" s="211" t="s">
        <v>177</v>
      </c>
      <c r="E273" s="211" t="s">
        <v>177</v>
      </c>
      <c r="F273" s="213"/>
      <c r="G273" s="213"/>
      <c r="H273" s="214" t="s">
        <v>8302</v>
      </c>
      <c r="I273" s="215"/>
      <c r="J273" s="215"/>
      <c r="K273" s="213"/>
      <c r="L273" s="213"/>
      <c r="M273" s="213"/>
      <c r="N273" s="213"/>
      <c r="O273" s="213"/>
      <c r="P273" s="213"/>
      <c r="Q273" s="213"/>
      <c r="R273" s="213"/>
      <c r="S273" s="213"/>
      <c r="T273" s="212"/>
      <c r="U273" s="212"/>
      <c r="V273" s="212"/>
      <c r="W273" s="212"/>
      <c r="X273" s="212"/>
      <c r="Y273" s="212"/>
      <c r="Z273" s="212"/>
      <c r="AA273" s="212"/>
      <c r="AB273" s="212"/>
      <c r="AC273" s="212"/>
      <c r="AD273" s="212"/>
    </row>
    <row r="274" ht="22.5" customHeight="1">
      <c r="A274" s="219">
        <v>17934.0</v>
      </c>
      <c r="B274" s="211" t="s">
        <v>20</v>
      </c>
      <c r="C274" s="211" t="s">
        <v>8303</v>
      </c>
      <c r="D274" s="211" t="s">
        <v>177</v>
      </c>
      <c r="E274" s="211" t="s">
        <v>7924</v>
      </c>
      <c r="F274" s="210" t="s">
        <v>8304</v>
      </c>
      <c r="G274" s="213"/>
      <c r="H274" s="214" t="s">
        <v>8305</v>
      </c>
      <c r="I274" s="215"/>
      <c r="J274" s="215"/>
      <c r="K274" s="213"/>
      <c r="L274" s="213"/>
      <c r="M274" s="213"/>
      <c r="N274" s="213"/>
      <c r="O274" s="213"/>
      <c r="P274" s="213"/>
      <c r="Q274" s="213"/>
      <c r="R274" s="213"/>
      <c r="S274" s="213"/>
      <c r="T274" s="212"/>
      <c r="U274" s="212"/>
      <c r="V274" s="212"/>
      <c r="W274" s="212"/>
      <c r="X274" s="212"/>
      <c r="Y274" s="212"/>
      <c r="Z274" s="212"/>
      <c r="AA274" s="212"/>
      <c r="AB274" s="212"/>
      <c r="AC274" s="212"/>
      <c r="AD274" s="212"/>
    </row>
    <row r="275" ht="22.5" customHeight="1">
      <c r="A275" s="219">
        <v>17935.0</v>
      </c>
      <c r="B275" s="211" t="s">
        <v>20</v>
      </c>
      <c r="C275" s="211" t="s">
        <v>8306</v>
      </c>
      <c r="D275" s="211" t="s">
        <v>177</v>
      </c>
      <c r="E275" s="211" t="s">
        <v>7815</v>
      </c>
      <c r="F275" s="213"/>
      <c r="G275" s="213"/>
      <c r="H275" s="215"/>
      <c r="I275" s="215"/>
      <c r="J275" s="216" t="s">
        <v>8307</v>
      </c>
      <c r="K275" s="213"/>
      <c r="L275" s="213"/>
      <c r="M275" s="213"/>
      <c r="N275" s="213"/>
      <c r="O275" s="213"/>
      <c r="P275" s="213"/>
      <c r="Q275" s="213"/>
      <c r="R275" s="213"/>
      <c r="S275" s="213"/>
      <c r="T275" s="212"/>
      <c r="U275" s="212"/>
      <c r="V275" s="212"/>
      <c r="W275" s="212"/>
      <c r="X275" s="212"/>
      <c r="Y275" s="212"/>
      <c r="Z275" s="212"/>
      <c r="AA275" s="212"/>
      <c r="AB275" s="212"/>
      <c r="AC275" s="212"/>
      <c r="AD275" s="212"/>
    </row>
    <row r="276" ht="22.5" customHeight="1">
      <c r="A276" s="219">
        <v>17936.0</v>
      </c>
      <c r="B276" s="211" t="s">
        <v>20</v>
      </c>
      <c r="C276" s="211" t="s">
        <v>8308</v>
      </c>
      <c r="D276" s="211" t="s">
        <v>177</v>
      </c>
      <c r="E276" s="211" t="s">
        <v>7959</v>
      </c>
      <c r="F276" s="213"/>
      <c r="G276" s="219">
        <v>1.0</v>
      </c>
      <c r="H276" s="214" t="s">
        <v>8309</v>
      </c>
      <c r="I276" s="215"/>
      <c r="J276" s="215"/>
      <c r="K276" s="213"/>
      <c r="L276" s="213"/>
      <c r="M276" s="213"/>
      <c r="N276" s="213"/>
      <c r="O276" s="213"/>
      <c r="P276" s="213"/>
      <c r="Q276" s="213"/>
      <c r="R276" s="213"/>
      <c r="S276" s="213"/>
      <c r="T276" s="212"/>
      <c r="U276" s="212"/>
      <c r="V276" s="212"/>
      <c r="W276" s="212"/>
      <c r="X276" s="212"/>
      <c r="Y276" s="212"/>
      <c r="Z276" s="212"/>
      <c r="AA276" s="212"/>
      <c r="AB276" s="212"/>
      <c r="AC276" s="212"/>
      <c r="AD276" s="212"/>
    </row>
    <row r="277" ht="22.5" customHeight="1">
      <c r="A277" s="219">
        <v>17937.0</v>
      </c>
      <c r="B277" s="211" t="s">
        <v>20</v>
      </c>
      <c r="C277" s="211" t="s">
        <v>6913</v>
      </c>
      <c r="D277" s="211" t="s">
        <v>177</v>
      </c>
      <c r="E277" s="211" t="s">
        <v>8012</v>
      </c>
      <c r="F277" s="213"/>
      <c r="G277" s="213"/>
      <c r="H277" s="214" t="s">
        <v>8310</v>
      </c>
      <c r="I277" s="215"/>
      <c r="J277" s="215"/>
      <c r="K277" s="213"/>
      <c r="L277" s="213"/>
      <c r="M277" s="213"/>
      <c r="N277" s="213"/>
      <c r="O277" s="213"/>
      <c r="P277" s="213"/>
      <c r="Q277" s="213"/>
      <c r="R277" s="213"/>
      <c r="S277" s="213"/>
      <c r="T277" s="212"/>
      <c r="U277" s="212"/>
      <c r="V277" s="212"/>
      <c r="W277" s="212"/>
      <c r="X277" s="212"/>
      <c r="Y277" s="212"/>
      <c r="Z277" s="212"/>
      <c r="AA277" s="212"/>
      <c r="AB277" s="212"/>
      <c r="AC277" s="212"/>
      <c r="AD277" s="212"/>
    </row>
    <row r="278" ht="22.5" customHeight="1">
      <c r="A278" s="219">
        <v>18056.0</v>
      </c>
      <c r="B278" s="211" t="s">
        <v>20</v>
      </c>
      <c r="C278" s="211" t="s">
        <v>289</v>
      </c>
      <c r="D278" s="211" t="s">
        <v>177</v>
      </c>
      <c r="E278" s="211" t="s">
        <v>8130</v>
      </c>
      <c r="F278" s="213"/>
      <c r="G278" s="213"/>
      <c r="H278" s="214" t="s">
        <v>8094</v>
      </c>
      <c r="I278" s="216" t="s">
        <v>8311</v>
      </c>
      <c r="J278" s="215"/>
      <c r="K278" s="213"/>
      <c r="L278" s="213"/>
      <c r="M278" s="213"/>
      <c r="N278" s="213"/>
      <c r="O278" s="213"/>
      <c r="P278" s="213"/>
      <c r="Q278" s="213"/>
      <c r="R278" s="213"/>
      <c r="S278" s="213"/>
      <c r="T278" s="212"/>
      <c r="U278" s="212"/>
      <c r="V278" s="212"/>
      <c r="W278" s="212"/>
      <c r="X278" s="212"/>
      <c r="Y278" s="212"/>
      <c r="Z278" s="212"/>
      <c r="AA278" s="212"/>
      <c r="AB278" s="212"/>
      <c r="AC278" s="212"/>
      <c r="AD278" s="212"/>
    </row>
    <row r="279" ht="22.5" customHeight="1">
      <c r="A279" s="219">
        <v>18059.0</v>
      </c>
      <c r="B279" s="211" t="s">
        <v>20</v>
      </c>
      <c r="C279" s="211" t="s">
        <v>8312</v>
      </c>
      <c r="D279" s="211" t="s">
        <v>177</v>
      </c>
      <c r="E279" s="211" t="s">
        <v>8313</v>
      </c>
      <c r="F279" s="213"/>
      <c r="G279" s="213"/>
      <c r="H279" s="214" t="s">
        <v>8314</v>
      </c>
      <c r="I279" s="215"/>
      <c r="J279" s="215"/>
      <c r="K279" s="213"/>
      <c r="L279" s="213"/>
      <c r="M279" s="213"/>
      <c r="N279" s="213"/>
      <c r="O279" s="213"/>
      <c r="P279" s="213"/>
      <c r="Q279" s="213"/>
      <c r="R279" s="213"/>
      <c r="S279" s="213"/>
      <c r="T279" s="212"/>
      <c r="U279" s="212"/>
      <c r="V279" s="212"/>
      <c r="W279" s="212"/>
      <c r="X279" s="212"/>
      <c r="Y279" s="212"/>
      <c r="Z279" s="212"/>
      <c r="AA279" s="212"/>
      <c r="AB279" s="212"/>
      <c r="AC279" s="212"/>
      <c r="AD279" s="212"/>
    </row>
    <row r="280" ht="22.5" customHeight="1">
      <c r="A280" s="219">
        <v>18060.0</v>
      </c>
      <c r="B280" s="211" t="s">
        <v>8315</v>
      </c>
      <c r="C280" s="211" t="s">
        <v>855</v>
      </c>
      <c r="D280" s="211" t="s">
        <v>177</v>
      </c>
      <c r="E280" s="211" t="s">
        <v>8012</v>
      </c>
      <c r="F280" s="213"/>
      <c r="G280" s="219">
        <v>1.0</v>
      </c>
      <c r="H280" s="214" t="s">
        <v>8316</v>
      </c>
      <c r="I280" s="215"/>
      <c r="J280" s="215"/>
      <c r="K280" s="213"/>
      <c r="L280" s="213"/>
      <c r="M280" s="213"/>
      <c r="N280" s="213"/>
      <c r="O280" s="213"/>
      <c r="P280" s="213"/>
      <c r="Q280" s="213"/>
      <c r="R280" s="213"/>
      <c r="S280" s="213"/>
      <c r="T280" s="212"/>
      <c r="U280" s="212"/>
      <c r="V280" s="212"/>
      <c r="W280" s="212"/>
      <c r="X280" s="212"/>
      <c r="Y280" s="212"/>
      <c r="Z280" s="212"/>
      <c r="AA280" s="212"/>
      <c r="AB280" s="212"/>
      <c r="AC280" s="212"/>
      <c r="AD280" s="212"/>
    </row>
    <row r="281" ht="22.5" customHeight="1">
      <c r="A281" s="219">
        <v>18067.0</v>
      </c>
      <c r="B281" s="211" t="s">
        <v>20</v>
      </c>
      <c r="C281" s="211" t="s">
        <v>1052</v>
      </c>
      <c r="D281" s="211" t="s">
        <v>177</v>
      </c>
      <c r="E281" s="211" t="s">
        <v>7815</v>
      </c>
      <c r="F281" s="213"/>
      <c r="G281" s="213"/>
      <c r="H281" s="215"/>
      <c r="I281" s="215"/>
      <c r="J281" s="216" t="s">
        <v>8317</v>
      </c>
      <c r="K281" s="213"/>
      <c r="L281" s="213"/>
      <c r="M281" s="213"/>
      <c r="N281" s="213"/>
      <c r="O281" s="213"/>
      <c r="P281" s="213"/>
      <c r="Q281" s="213"/>
      <c r="R281" s="213"/>
      <c r="S281" s="213"/>
      <c r="T281" s="212"/>
      <c r="U281" s="212"/>
      <c r="V281" s="212"/>
      <c r="W281" s="212"/>
      <c r="X281" s="212"/>
      <c r="Y281" s="212"/>
      <c r="Z281" s="212"/>
      <c r="AA281" s="212"/>
      <c r="AB281" s="212"/>
      <c r="AC281" s="212"/>
      <c r="AD281" s="212"/>
    </row>
    <row r="282" ht="22.5" customHeight="1">
      <c r="A282" s="219">
        <v>18070.0</v>
      </c>
      <c r="B282" s="211" t="s">
        <v>8318</v>
      </c>
      <c r="C282" s="211" t="s">
        <v>8319</v>
      </c>
      <c r="D282" s="211" t="s">
        <v>177</v>
      </c>
      <c r="E282" s="211" t="s">
        <v>8079</v>
      </c>
      <c r="F282" s="213"/>
      <c r="G282" s="219">
        <v>1.0</v>
      </c>
      <c r="H282" s="214" t="s">
        <v>8320</v>
      </c>
      <c r="I282" s="216" t="s">
        <v>8321</v>
      </c>
      <c r="J282" s="215"/>
      <c r="K282" s="213"/>
      <c r="L282" s="213"/>
      <c r="M282" s="213"/>
      <c r="N282" s="213"/>
      <c r="O282" s="213"/>
      <c r="P282" s="213"/>
      <c r="Q282" s="213"/>
      <c r="R282" s="213"/>
      <c r="S282" s="213"/>
      <c r="T282" s="212"/>
      <c r="U282" s="212"/>
      <c r="V282" s="212"/>
      <c r="W282" s="212"/>
      <c r="X282" s="212"/>
      <c r="Y282" s="212"/>
      <c r="Z282" s="212"/>
      <c r="AA282" s="212"/>
      <c r="AB282" s="212"/>
      <c r="AC282" s="212"/>
      <c r="AD282" s="212"/>
    </row>
    <row r="283" ht="22.5" customHeight="1">
      <c r="A283" s="219">
        <v>18574.0</v>
      </c>
      <c r="B283" s="211" t="s">
        <v>20</v>
      </c>
      <c r="C283" s="211" t="s">
        <v>8322</v>
      </c>
      <c r="D283" s="211" t="s">
        <v>177</v>
      </c>
      <c r="E283" s="211" t="s">
        <v>177</v>
      </c>
      <c r="F283" s="213"/>
      <c r="G283" s="219">
        <v>1.0</v>
      </c>
      <c r="H283" s="215"/>
      <c r="I283" s="215"/>
      <c r="J283" s="216" t="s">
        <v>8323</v>
      </c>
      <c r="K283" s="213"/>
      <c r="L283" s="213"/>
      <c r="M283" s="213"/>
      <c r="N283" s="213"/>
      <c r="O283" s="213"/>
      <c r="P283" s="213"/>
      <c r="Q283" s="213"/>
      <c r="R283" s="213"/>
      <c r="S283" s="213"/>
      <c r="T283" s="212"/>
      <c r="U283" s="212"/>
      <c r="V283" s="212"/>
      <c r="W283" s="212"/>
      <c r="X283" s="212"/>
      <c r="Y283" s="212"/>
      <c r="Z283" s="212"/>
      <c r="AA283" s="212"/>
      <c r="AB283" s="212"/>
      <c r="AC283" s="212"/>
      <c r="AD283" s="212"/>
    </row>
    <row r="284" ht="22.5" customHeight="1">
      <c r="A284" s="219">
        <v>18576.0</v>
      </c>
      <c r="B284" s="211" t="s">
        <v>20</v>
      </c>
      <c r="C284" s="211" t="s">
        <v>8324</v>
      </c>
      <c r="D284" s="211" t="s">
        <v>177</v>
      </c>
      <c r="E284" s="211" t="s">
        <v>177</v>
      </c>
      <c r="F284" s="213"/>
      <c r="G284" s="219">
        <v>1.0</v>
      </c>
      <c r="H284" s="214" t="s">
        <v>8325</v>
      </c>
      <c r="I284" s="215"/>
      <c r="J284" s="215"/>
      <c r="K284" s="213"/>
      <c r="L284" s="213"/>
      <c r="M284" s="213"/>
      <c r="N284" s="213"/>
      <c r="O284" s="213"/>
      <c r="P284" s="213"/>
      <c r="Q284" s="213"/>
      <c r="R284" s="213"/>
      <c r="S284" s="213"/>
      <c r="T284" s="212"/>
      <c r="U284" s="212"/>
      <c r="V284" s="212"/>
      <c r="W284" s="212"/>
      <c r="X284" s="212"/>
      <c r="Y284" s="212"/>
      <c r="Z284" s="212"/>
      <c r="AA284" s="212"/>
      <c r="AB284" s="212"/>
      <c r="AC284" s="212"/>
      <c r="AD284" s="212"/>
    </row>
    <row r="285" ht="22.5" customHeight="1">
      <c r="A285" s="219">
        <v>18579.0</v>
      </c>
      <c r="B285" s="211" t="s">
        <v>20</v>
      </c>
      <c r="C285" s="211" t="s">
        <v>8326</v>
      </c>
      <c r="D285" s="211" t="s">
        <v>177</v>
      </c>
      <c r="E285" s="211" t="s">
        <v>177</v>
      </c>
      <c r="F285" s="213"/>
      <c r="G285" s="219">
        <v>1.0</v>
      </c>
      <c r="H285" s="215"/>
      <c r="I285" s="215"/>
      <c r="J285" s="216" t="s">
        <v>8327</v>
      </c>
      <c r="K285" s="213"/>
      <c r="L285" s="213"/>
      <c r="M285" s="213"/>
      <c r="N285" s="213"/>
      <c r="O285" s="213"/>
      <c r="P285" s="213"/>
      <c r="Q285" s="213"/>
      <c r="R285" s="213"/>
      <c r="S285" s="213"/>
      <c r="T285" s="212"/>
      <c r="U285" s="212"/>
      <c r="V285" s="212"/>
      <c r="W285" s="212"/>
      <c r="X285" s="212"/>
      <c r="Y285" s="212"/>
      <c r="Z285" s="212"/>
      <c r="AA285" s="212"/>
      <c r="AB285" s="212"/>
      <c r="AC285" s="212"/>
      <c r="AD285" s="212"/>
    </row>
    <row r="286" ht="22.5" customHeight="1">
      <c r="A286" s="219">
        <v>18608.0</v>
      </c>
      <c r="B286" s="211" t="s">
        <v>20</v>
      </c>
      <c r="C286" s="211" t="s">
        <v>8328</v>
      </c>
      <c r="D286" s="211" t="s">
        <v>177</v>
      </c>
      <c r="E286" s="211" t="s">
        <v>177</v>
      </c>
      <c r="F286" s="213"/>
      <c r="G286" s="213"/>
      <c r="H286" s="214" t="s">
        <v>8329</v>
      </c>
      <c r="I286" s="216" t="s">
        <v>8330</v>
      </c>
      <c r="J286" s="215"/>
      <c r="K286" s="213"/>
      <c r="L286" s="213"/>
      <c r="M286" s="213"/>
      <c r="N286" s="213"/>
      <c r="O286" s="213"/>
      <c r="P286" s="213"/>
      <c r="Q286" s="213"/>
      <c r="R286" s="213"/>
      <c r="S286" s="213"/>
      <c r="T286" s="212"/>
      <c r="U286" s="212"/>
      <c r="V286" s="212"/>
      <c r="W286" s="212"/>
      <c r="X286" s="212"/>
      <c r="Y286" s="212"/>
      <c r="Z286" s="212"/>
      <c r="AA286" s="212"/>
      <c r="AB286" s="212"/>
      <c r="AC286" s="212"/>
      <c r="AD286" s="212"/>
    </row>
    <row r="287" ht="22.5" customHeight="1">
      <c r="A287" s="219">
        <v>18609.0</v>
      </c>
      <c r="B287" s="211" t="s">
        <v>20</v>
      </c>
      <c r="C287" s="211" t="s">
        <v>8331</v>
      </c>
      <c r="D287" s="211" t="s">
        <v>177</v>
      </c>
      <c r="E287" s="211" t="s">
        <v>177</v>
      </c>
      <c r="F287" s="213"/>
      <c r="G287" s="219">
        <v>1.0</v>
      </c>
      <c r="H287" s="214" t="s">
        <v>8332</v>
      </c>
      <c r="I287" s="215"/>
      <c r="J287" s="215"/>
      <c r="K287" s="213"/>
      <c r="L287" s="213"/>
      <c r="M287" s="213"/>
      <c r="N287" s="213"/>
      <c r="O287" s="213"/>
      <c r="P287" s="213"/>
      <c r="Q287" s="213"/>
      <c r="R287" s="213"/>
      <c r="S287" s="213"/>
      <c r="T287" s="212"/>
      <c r="U287" s="212"/>
      <c r="V287" s="212"/>
      <c r="W287" s="212"/>
      <c r="X287" s="212"/>
      <c r="Y287" s="212"/>
      <c r="Z287" s="212"/>
      <c r="AA287" s="212"/>
      <c r="AB287" s="212"/>
      <c r="AC287" s="212"/>
      <c r="AD287" s="212"/>
    </row>
    <row r="288" ht="22.5" customHeight="1">
      <c r="A288" s="219">
        <v>18612.0</v>
      </c>
      <c r="B288" s="211" t="s">
        <v>20</v>
      </c>
      <c r="C288" s="211" t="s">
        <v>74</v>
      </c>
      <c r="D288" s="211" t="s">
        <v>177</v>
      </c>
      <c r="E288" s="211" t="s">
        <v>8012</v>
      </c>
      <c r="F288" s="213"/>
      <c r="G288" s="213"/>
      <c r="H288" s="215"/>
      <c r="I288" s="215"/>
      <c r="J288" s="216" t="s">
        <v>8333</v>
      </c>
      <c r="K288" s="213"/>
      <c r="L288" s="213"/>
      <c r="M288" s="213"/>
      <c r="N288" s="213"/>
      <c r="O288" s="213"/>
      <c r="P288" s="213"/>
      <c r="Q288" s="213"/>
      <c r="R288" s="213"/>
      <c r="S288" s="213"/>
      <c r="T288" s="212"/>
      <c r="U288" s="212"/>
      <c r="V288" s="212"/>
      <c r="W288" s="212"/>
      <c r="X288" s="212"/>
      <c r="Y288" s="212"/>
      <c r="Z288" s="212"/>
      <c r="AA288" s="212"/>
      <c r="AB288" s="212"/>
      <c r="AC288" s="212"/>
      <c r="AD288" s="212"/>
    </row>
    <row r="289" ht="22.5" customHeight="1">
      <c r="A289" s="219">
        <v>18613.0</v>
      </c>
      <c r="B289" s="211" t="s">
        <v>20</v>
      </c>
      <c r="C289" s="211" t="s">
        <v>8334</v>
      </c>
      <c r="D289" s="211" t="s">
        <v>177</v>
      </c>
      <c r="E289" s="211" t="s">
        <v>8021</v>
      </c>
      <c r="F289" s="213"/>
      <c r="G289" s="213"/>
      <c r="H289" s="214" t="s">
        <v>8335</v>
      </c>
      <c r="I289" s="215"/>
      <c r="J289" s="215"/>
      <c r="K289" s="213"/>
      <c r="L289" s="213"/>
      <c r="M289" s="213"/>
      <c r="N289" s="213"/>
      <c r="O289" s="213"/>
      <c r="P289" s="213"/>
      <c r="Q289" s="213"/>
      <c r="R289" s="213"/>
      <c r="S289" s="213"/>
      <c r="T289" s="212"/>
      <c r="U289" s="212"/>
      <c r="V289" s="212"/>
      <c r="W289" s="212"/>
      <c r="X289" s="212"/>
      <c r="Y289" s="212"/>
      <c r="Z289" s="212"/>
      <c r="AA289" s="212"/>
      <c r="AB289" s="212"/>
      <c r="AC289" s="212"/>
      <c r="AD289" s="212"/>
    </row>
    <row r="290" ht="22.5" customHeight="1">
      <c r="A290" s="219">
        <v>18614.0</v>
      </c>
      <c r="B290" s="211" t="s">
        <v>20</v>
      </c>
      <c r="C290" s="211" t="s">
        <v>1445</v>
      </c>
      <c r="D290" s="211" t="s">
        <v>177</v>
      </c>
      <c r="E290" s="211" t="s">
        <v>7766</v>
      </c>
      <c r="F290" s="213"/>
      <c r="G290" s="213"/>
      <c r="H290" s="215"/>
      <c r="I290" s="215"/>
      <c r="J290" s="216" t="s">
        <v>8336</v>
      </c>
      <c r="K290" s="213"/>
      <c r="L290" s="213"/>
      <c r="M290" s="213"/>
      <c r="N290" s="213"/>
      <c r="O290" s="213"/>
      <c r="P290" s="213"/>
      <c r="Q290" s="213"/>
      <c r="R290" s="213"/>
      <c r="S290" s="213"/>
      <c r="T290" s="212"/>
      <c r="U290" s="212"/>
      <c r="V290" s="212"/>
      <c r="W290" s="212"/>
      <c r="X290" s="212"/>
      <c r="Y290" s="212"/>
      <c r="Z290" s="212"/>
      <c r="AA290" s="212"/>
      <c r="AB290" s="212"/>
      <c r="AC290" s="212"/>
      <c r="AD290" s="212"/>
    </row>
    <row r="291" ht="22.5" customHeight="1">
      <c r="A291" s="219">
        <v>18616.0</v>
      </c>
      <c r="B291" s="211" t="s">
        <v>20</v>
      </c>
      <c r="C291" s="211" t="s">
        <v>717</v>
      </c>
      <c r="D291" s="211" t="s">
        <v>177</v>
      </c>
      <c r="E291" s="211" t="s">
        <v>8079</v>
      </c>
      <c r="F291" s="213"/>
      <c r="G291" s="213"/>
      <c r="H291" s="214" t="s">
        <v>8337</v>
      </c>
      <c r="I291" s="216" t="s">
        <v>8338</v>
      </c>
      <c r="J291" s="216" t="s">
        <v>8339</v>
      </c>
      <c r="K291" s="213"/>
      <c r="L291" s="213"/>
      <c r="M291" s="213"/>
      <c r="N291" s="213"/>
      <c r="O291" s="213"/>
      <c r="P291" s="213"/>
      <c r="Q291" s="213"/>
      <c r="R291" s="213"/>
      <c r="S291" s="213"/>
      <c r="T291" s="212"/>
      <c r="U291" s="212"/>
      <c r="V291" s="212"/>
      <c r="W291" s="212"/>
      <c r="X291" s="212"/>
      <c r="Y291" s="212"/>
      <c r="Z291" s="212"/>
      <c r="AA291" s="212"/>
      <c r="AB291" s="212"/>
      <c r="AC291" s="212"/>
      <c r="AD291" s="212"/>
    </row>
    <row r="292" ht="22.5" customHeight="1">
      <c r="A292" s="219">
        <v>18620.0</v>
      </c>
      <c r="B292" s="211" t="s">
        <v>20</v>
      </c>
      <c r="C292" s="211" t="s">
        <v>8055</v>
      </c>
      <c r="D292" s="211" t="s">
        <v>177</v>
      </c>
      <c r="E292" s="211" t="s">
        <v>8205</v>
      </c>
      <c r="F292" s="213"/>
      <c r="G292" s="219">
        <v>1.0</v>
      </c>
      <c r="H292" s="214" t="s">
        <v>8340</v>
      </c>
      <c r="I292" s="215"/>
      <c r="J292" s="215"/>
      <c r="K292" s="213"/>
      <c r="L292" s="213"/>
      <c r="M292" s="213"/>
      <c r="N292" s="213"/>
      <c r="O292" s="213"/>
      <c r="P292" s="213"/>
      <c r="Q292" s="213"/>
      <c r="R292" s="213"/>
      <c r="S292" s="213"/>
      <c r="T292" s="212"/>
      <c r="U292" s="212"/>
      <c r="V292" s="212"/>
      <c r="W292" s="212"/>
      <c r="X292" s="212"/>
      <c r="Y292" s="212"/>
      <c r="Z292" s="212"/>
      <c r="AA292" s="212"/>
      <c r="AB292" s="212"/>
      <c r="AC292" s="212"/>
      <c r="AD292" s="212"/>
    </row>
    <row r="293" ht="22.5" customHeight="1">
      <c r="A293" s="219">
        <v>18622.0</v>
      </c>
      <c r="B293" s="211" t="s">
        <v>20</v>
      </c>
      <c r="C293" s="211" t="s">
        <v>8341</v>
      </c>
      <c r="D293" s="211" t="s">
        <v>177</v>
      </c>
      <c r="E293" s="211" t="s">
        <v>8342</v>
      </c>
      <c r="F293" s="213"/>
      <c r="G293" s="219">
        <v>1.0</v>
      </c>
      <c r="H293" s="214" t="s">
        <v>8343</v>
      </c>
      <c r="I293" s="215"/>
      <c r="J293" s="215"/>
      <c r="K293" s="213"/>
      <c r="L293" s="213"/>
      <c r="M293" s="213"/>
      <c r="N293" s="213"/>
      <c r="O293" s="213"/>
      <c r="P293" s="213"/>
      <c r="Q293" s="213"/>
      <c r="R293" s="213"/>
      <c r="S293" s="213"/>
      <c r="T293" s="212"/>
      <c r="U293" s="212"/>
      <c r="V293" s="212"/>
      <c r="W293" s="212"/>
      <c r="X293" s="212"/>
      <c r="Y293" s="212"/>
      <c r="Z293" s="212"/>
      <c r="AA293" s="212"/>
      <c r="AB293" s="212"/>
      <c r="AC293" s="212"/>
      <c r="AD293" s="212"/>
    </row>
    <row r="294" ht="22.5" customHeight="1">
      <c r="A294" s="219">
        <v>18623.0</v>
      </c>
      <c r="B294" s="211" t="s">
        <v>20</v>
      </c>
      <c r="C294" s="211" t="s">
        <v>6949</v>
      </c>
      <c r="D294" s="211" t="s">
        <v>177</v>
      </c>
      <c r="E294" s="211" t="s">
        <v>8344</v>
      </c>
      <c r="F294" s="213"/>
      <c r="G294" s="213"/>
      <c r="H294" s="214" t="s">
        <v>8345</v>
      </c>
      <c r="I294" s="216" t="s">
        <v>8346</v>
      </c>
      <c r="J294" s="216" t="s">
        <v>8347</v>
      </c>
      <c r="K294" s="213"/>
      <c r="L294" s="213"/>
      <c r="M294" s="213"/>
      <c r="N294" s="213"/>
      <c r="O294" s="213"/>
      <c r="P294" s="213"/>
      <c r="Q294" s="213"/>
      <c r="R294" s="213"/>
      <c r="S294" s="213"/>
      <c r="T294" s="212"/>
      <c r="U294" s="212"/>
      <c r="V294" s="212"/>
      <c r="W294" s="212"/>
      <c r="X294" s="212"/>
      <c r="Y294" s="212"/>
      <c r="Z294" s="212"/>
      <c r="AA294" s="212"/>
      <c r="AB294" s="212"/>
      <c r="AC294" s="212"/>
      <c r="AD294" s="212"/>
    </row>
    <row r="295" ht="22.5" customHeight="1">
      <c r="A295" s="219">
        <v>18624.0</v>
      </c>
      <c r="B295" s="211" t="s">
        <v>20</v>
      </c>
      <c r="C295" s="211" t="s">
        <v>857</v>
      </c>
      <c r="D295" s="211" t="s">
        <v>177</v>
      </c>
      <c r="E295" s="211" t="s">
        <v>8344</v>
      </c>
      <c r="F295" s="213"/>
      <c r="G295" s="213"/>
      <c r="H295" s="214" t="s">
        <v>8348</v>
      </c>
      <c r="I295" s="216" t="s">
        <v>8349</v>
      </c>
      <c r="J295" s="215"/>
      <c r="K295" s="213"/>
      <c r="L295" s="213"/>
      <c r="M295" s="213"/>
      <c r="N295" s="213"/>
      <c r="O295" s="213"/>
      <c r="P295" s="213"/>
      <c r="Q295" s="213"/>
      <c r="R295" s="213"/>
      <c r="S295" s="213"/>
      <c r="T295" s="212"/>
      <c r="U295" s="212"/>
      <c r="V295" s="212"/>
      <c r="W295" s="212"/>
      <c r="X295" s="212"/>
      <c r="Y295" s="212"/>
      <c r="Z295" s="212"/>
      <c r="AA295" s="212"/>
      <c r="AB295" s="212"/>
      <c r="AC295" s="212"/>
      <c r="AD295" s="212"/>
    </row>
    <row r="296" ht="22.5" customHeight="1">
      <c r="A296" s="219">
        <v>18625.0</v>
      </c>
      <c r="B296" s="211" t="s">
        <v>20</v>
      </c>
      <c r="C296" s="211" t="s">
        <v>8350</v>
      </c>
      <c r="D296" s="211" t="s">
        <v>177</v>
      </c>
      <c r="E296" s="211" t="s">
        <v>7931</v>
      </c>
      <c r="F296" s="213"/>
      <c r="G296" s="213"/>
      <c r="H296" s="214" t="s">
        <v>8351</v>
      </c>
      <c r="I296" s="215"/>
      <c r="J296" s="215"/>
      <c r="K296" s="213"/>
      <c r="L296" s="213"/>
      <c r="M296" s="213"/>
      <c r="N296" s="213"/>
      <c r="O296" s="213"/>
      <c r="P296" s="213"/>
      <c r="Q296" s="213"/>
      <c r="R296" s="213"/>
      <c r="S296" s="213"/>
      <c r="T296" s="212"/>
      <c r="U296" s="212"/>
      <c r="V296" s="212"/>
      <c r="W296" s="212"/>
      <c r="X296" s="212"/>
      <c r="Y296" s="212"/>
      <c r="Z296" s="212"/>
      <c r="AA296" s="212"/>
      <c r="AB296" s="212"/>
      <c r="AC296" s="212"/>
      <c r="AD296" s="212"/>
    </row>
    <row r="297" ht="22.5" customHeight="1">
      <c r="A297" s="219">
        <v>18627.0</v>
      </c>
      <c r="B297" s="211" t="s">
        <v>20</v>
      </c>
      <c r="C297" s="211" t="s">
        <v>8352</v>
      </c>
      <c r="D297" s="211" t="s">
        <v>177</v>
      </c>
      <c r="E297" s="211" t="s">
        <v>8344</v>
      </c>
      <c r="F297" s="213"/>
      <c r="G297" s="213"/>
      <c r="H297" s="214" t="s">
        <v>8353</v>
      </c>
      <c r="I297" s="215"/>
      <c r="J297" s="215"/>
      <c r="K297" s="213"/>
      <c r="L297" s="213"/>
      <c r="M297" s="213"/>
      <c r="N297" s="213"/>
      <c r="O297" s="213"/>
      <c r="P297" s="213"/>
      <c r="Q297" s="213"/>
      <c r="R297" s="213"/>
      <c r="S297" s="213"/>
      <c r="T297" s="212"/>
      <c r="U297" s="212"/>
      <c r="V297" s="212"/>
      <c r="W297" s="212"/>
      <c r="X297" s="212"/>
      <c r="Y297" s="212"/>
      <c r="Z297" s="212"/>
      <c r="AA297" s="212"/>
      <c r="AB297" s="212"/>
      <c r="AC297" s="212"/>
      <c r="AD297" s="212"/>
    </row>
    <row r="298" ht="22.5" customHeight="1">
      <c r="A298" s="219">
        <v>18628.0</v>
      </c>
      <c r="B298" s="211" t="s">
        <v>20</v>
      </c>
      <c r="C298" s="211" t="s">
        <v>6792</v>
      </c>
      <c r="D298" s="211" t="s">
        <v>177</v>
      </c>
      <c r="E298" s="211" t="s">
        <v>8344</v>
      </c>
      <c r="F298" s="213"/>
      <c r="G298" s="213"/>
      <c r="H298" s="215"/>
      <c r="I298" s="215"/>
      <c r="J298" s="216" t="s">
        <v>8354</v>
      </c>
      <c r="K298" s="213"/>
      <c r="L298" s="213"/>
      <c r="M298" s="213"/>
      <c r="N298" s="213"/>
      <c r="O298" s="213"/>
      <c r="P298" s="213"/>
      <c r="Q298" s="213"/>
      <c r="R298" s="213"/>
      <c r="S298" s="213"/>
      <c r="T298" s="212"/>
      <c r="U298" s="212"/>
      <c r="V298" s="212"/>
      <c r="W298" s="212"/>
      <c r="X298" s="212"/>
      <c r="Y298" s="212"/>
      <c r="Z298" s="212"/>
      <c r="AA298" s="212"/>
      <c r="AB298" s="212"/>
      <c r="AC298" s="212"/>
      <c r="AD298" s="212"/>
    </row>
    <row r="299" ht="22.5" customHeight="1">
      <c r="A299" s="219">
        <v>18631.0</v>
      </c>
      <c r="B299" s="211" t="s">
        <v>20</v>
      </c>
      <c r="C299" s="211" t="s">
        <v>8355</v>
      </c>
      <c r="D299" s="211" t="s">
        <v>177</v>
      </c>
      <c r="E299" s="211" t="s">
        <v>8344</v>
      </c>
      <c r="F299" s="213"/>
      <c r="G299" s="213"/>
      <c r="H299" s="215"/>
      <c r="I299" s="215"/>
      <c r="J299" s="216" t="s">
        <v>8356</v>
      </c>
      <c r="K299" s="213"/>
      <c r="L299" s="213"/>
      <c r="M299" s="213"/>
      <c r="N299" s="213"/>
      <c r="O299" s="213"/>
      <c r="P299" s="213"/>
      <c r="Q299" s="213"/>
      <c r="R299" s="213"/>
      <c r="S299" s="213"/>
      <c r="T299" s="212"/>
      <c r="U299" s="212"/>
      <c r="V299" s="212"/>
      <c r="W299" s="212"/>
      <c r="X299" s="212"/>
      <c r="Y299" s="212"/>
      <c r="Z299" s="212"/>
      <c r="AA299" s="212"/>
      <c r="AB299" s="212"/>
      <c r="AC299" s="212"/>
      <c r="AD299" s="212"/>
    </row>
    <row r="300" ht="22.5" customHeight="1">
      <c r="A300" s="219">
        <v>18708.0</v>
      </c>
      <c r="B300" s="211" t="s">
        <v>20</v>
      </c>
      <c r="C300" s="211" t="s">
        <v>8357</v>
      </c>
      <c r="D300" s="211" t="s">
        <v>177</v>
      </c>
      <c r="E300" s="211" t="s">
        <v>8002</v>
      </c>
      <c r="F300" s="213"/>
      <c r="G300" s="213"/>
      <c r="H300" s="214" t="s">
        <v>8358</v>
      </c>
      <c r="I300" s="215"/>
      <c r="J300" s="216" t="s">
        <v>8359</v>
      </c>
      <c r="K300" s="213"/>
      <c r="L300" s="213"/>
      <c r="M300" s="213"/>
      <c r="N300" s="213"/>
      <c r="O300" s="213"/>
      <c r="P300" s="213"/>
      <c r="Q300" s="213"/>
      <c r="R300" s="213"/>
      <c r="S300" s="213"/>
      <c r="T300" s="212"/>
      <c r="U300" s="212"/>
      <c r="V300" s="212"/>
      <c r="W300" s="212"/>
      <c r="X300" s="212"/>
      <c r="Y300" s="212"/>
      <c r="Z300" s="212"/>
      <c r="AA300" s="212"/>
      <c r="AB300" s="212"/>
      <c r="AC300" s="212"/>
      <c r="AD300" s="212"/>
    </row>
    <row r="301" ht="22.5" customHeight="1">
      <c r="A301" s="219">
        <v>18728.0</v>
      </c>
      <c r="B301" s="211" t="s">
        <v>20</v>
      </c>
      <c r="C301" s="211" t="s">
        <v>763</v>
      </c>
      <c r="D301" s="211" t="s">
        <v>177</v>
      </c>
      <c r="E301" s="211" t="s">
        <v>8130</v>
      </c>
      <c r="F301" s="213"/>
      <c r="G301" s="219">
        <v>1.0</v>
      </c>
      <c r="H301" s="214" t="s">
        <v>8360</v>
      </c>
      <c r="I301" s="215"/>
      <c r="J301" s="215"/>
      <c r="K301" s="213"/>
      <c r="L301" s="213"/>
      <c r="M301" s="213"/>
      <c r="N301" s="213"/>
      <c r="O301" s="213"/>
      <c r="P301" s="213"/>
      <c r="Q301" s="213"/>
      <c r="R301" s="213"/>
      <c r="S301" s="213"/>
      <c r="T301" s="212"/>
      <c r="U301" s="212"/>
      <c r="V301" s="212"/>
      <c r="W301" s="212"/>
      <c r="X301" s="212"/>
      <c r="Y301" s="212"/>
      <c r="Z301" s="212"/>
      <c r="AA301" s="212"/>
      <c r="AB301" s="212"/>
      <c r="AC301" s="212"/>
      <c r="AD301" s="212"/>
    </row>
    <row r="302" ht="22.5" customHeight="1">
      <c r="A302" s="219">
        <v>18729.0</v>
      </c>
      <c r="B302" s="211" t="s">
        <v>20</v>
      </c>
      <c r="C302" s="211" t="s">
        <v>8361</v>
      </c>
      <c r="D302" s="211" t="s">
        <v>177</v>
      </c>
      <c r="E302" s="211" t="s">
        <v>8130</v>
      </c>
      <c r="F302" s="213"/>
      <c r="G302" s="213"/>
      <c r="H302" s="215"/>
      <c r="I302" s="215"/>
      <c r="J302" s="216" t="s">
        <v>8362</v>
      </c>
      <c r="K302" s="213"/>
      <c r="L302" s="213"/>
      <c r="M302" s="213"/>
      <c r="N302" s="213"/>
      <c r="O302" s="213"/>
      <c r="P302" s="213"/>
      <c r="Q302" s="213"/>
      <c r="R302" s="213"/>
      <c r="S302" s="213"/>
      <c r="T302" s="212"/>
      <c r="U302" s="212"/>
      <c r="V302" s="212"/>
      <c r="W302" s="212"/>
      <c r="X302" s="212"/>
      <c r="Y302" s="212"/>
      <c r="Z302" s="212"/>
      <c r="AA302" s="212"/>
      <c r="AB302" s="212"/>
      <c r="AC302" s="212"/>
      <c r="AD302" s="212"/>
    </row>
    <row r="303" ht="22.5" customHeight="1">
      <c r="A303" s="219">
        <v>18733.0</v>
      </c>
      <c r="B303" s="211" t="s">
        <v>20</v>
      </c>
      <c r="C303" s="222" t="s">
        <v>2889</v>
      </c>
      <c r="D303" s="211" t="s">
        <v>177</v>
      </c>
      <c r="E303" s="211" t="s">
        <v>178</v>
      </c>
      <c r="F303" s="213"/>
      <c r="G303" s="213"/>
      <c r="H303" s="216" t="s">
        <v>8363</v>
      </c>
      <c r="I303" s="215"/>
      <c r="J303" s="215"/>
      <c r="K303" s="228"/>
      <c r="L303" s="213"/>
      <c r="M303" s="213"/>
      <c r="N303" s="213"/>
      <c r="O303" s="213"/>
      <c r="P303" s="213"/>
      <c r="Q303" s="213"/>
      <c r="R303" s="213"/>
      <c r="S303" s="213"/>
      <c r="T303" s="212"/>
      <c r="U303" s="212"/>
      <c r="V303" s="212"/>
      <c r="W303" s="212"/>
      <c r="X303" s="212"/>
      <c r="Y303" s="212"/>
      <c r="Z303" s="212"/>
      <c r="AA303" s="212"/>
      <c r="AB303" s="212"/>
      <c r="AC303" s="212"/>
      <c r="AD303" s="212"/>
    </row>
    <row r="304" ht="22.5" customHeight="1">
      <c r="A304" s="219">
        <v>18734.0</v>
      </c>
      <c r="B304" s="211" t="s">
        <v>20</v>
      </c>
      <c r="C304" s="222" t="s">
        <v>8364</v>
      </c>
      <c r="D304" s="211" t="s">
        <v>177</v>
      </c>
      <c r="E304" s="211" t="s">
        <v>178</v>
      </c>
      <c r="F304" s="210"/>
      <c r="G304" s="210"/>
      <c r="H304" s="215"/>
      <c r="I304" s="215"/>
      <c r="J304" s="216" t="s">
        <v>8365</v>
      </c>
      <c r="K304" s="213"/>
      <c r="L304" s="213"/>
      <c r="M304" s="213"/>
      <c r="N304" s="213"/>
      <c r="O304" s="213"/>
      <c r="P304" s="213"/>
      <c r="Q304" s="213"/>
      <c r="R304" s="213"/>
      <c r="S304" s="213"/>
      <c r="T304" s="212"/>
      <c r="U304" s="212"/>
      <c r="V304" s="212"/>
      <c r="W304" s="212"/>
      <c r="X304" s="212"/>
      <c r="Y304" s="212"/>
      <c r="Z304" s="212"/>
      <c r="AA304" s="212"/>
      <c r="AB304" s="212"/>
      <c r="AC304" s="212"/>
      <c r="AD304" s="212"/>
    </row>
    <row r="305" ht="22.5" customHeight="1">
      <c r="A305" s="219">
        <v>18737.0</v>
      </c>
      <c r="B305" s="211" t="s">
        <v>20</v>
      </c>
      <c r="C305" s="222" t="s">
        <v>8366</v>
      </c>
      <c r="D305" s="211" t="s">
        <v>177</v>
      </c>
      <c r="E305" s="211" t="s">
        <v>178</v>
      </c>
      <c r="F305" s="213"/>
      <c r="G305" s="213"/>
      <c r="H305" s="216" t="s">
        <v>8367</v>
      </c>
      <c r="I305" s="215"/>
      <c r="J305" s="215"/>
      <c r="K305" s="213"/>
      <c r="L305" s="213"/>
      <c r="M305" s="213"/>
      <c r="N305" s="213"/>
      <c r="O305" s="213"/>
      <c r="P305" s="213"/>
      <c r="Q305" s="213"/>
      <c r="R305" s="213"/>
      <c r="S305" s="213"/>
      <c r="T305" s="212"/>
      <c r="U305" s="212"/>
      <c r="V305" s="212"/>
      <c r="W305" s="212"/>
      <c r="X305" s="212"/>
      <c r="Y305" s="212"/>
      <c r="Z305" s="212"/>
      <c r="AA305" s="212"/>
      <c r="AB305" s="212"/>
      <c r="AC305" s="212"/>
      <c r="AD305" s="212"/>
    </row>
    <row r="306" ht="22.5" customHeight="1">
      <c r="A306" s="219">
        <v>18887.0</v>
      </c>
      <c r="B306" s="211" t="s">
        <v>20</v>
      </c>
      <c r="C306" s="211" t="s">
        <v>8368</v>
      </c>
      <c r="D306" s="211" t="s">
        <v>177</v>
      </c>
      <c r="E306" s="211" t="s">
        <v>177</v>
      </c>
      <c r="F306" s="213"/>
      <c r="G306" s="213"/>
      <c r="H306" s="214" t="s">
        <v>8369</v>
      </c>
      <c r="I306" s="215"/>
      <c r="J306" s="216" t="s">
        <v>8370</v>
      </c>
      <c r="K306" s="213"/>
      <c r="L306" s="213"/>
      <c r="M306" s="213"/>
      <c r="N306" s="213"/>
      <c r="O306" s="213"/>
      <c r="P306" s="213"/>
      <c r="Q306" s="213"/>
      <c r="R306" s="213"/>
      <c r="S306" s="213"/>
      <c r="T306" s="212"/>
      <c r="U306" s="212"/>
      <c r="V306" s="212"/>
      <c r="W306" s="212"/>
      <c r="X306" s="212"/>
      <c r="Y306" s="212"/>
      <c r="Z306" s="212"/>
      <c r="AA306" s="212"/>
      <c r="AB306" s="212"/>
      <c r="AC306" s="212"/>
      <c r="AD306" s="212"/>
    </row>
    <row r="307" ht="22.5" customHeight="1">
      <c r="A307" s="219">
        <v>18888.0</v>
      </c>
      <c r="B307" s="211" t="s">
        <v>20</v>
      </c>
      <c r="C307" s="211" t="s">
        <v>8055</v>
      </c>
      <c r="D307" s="211" t="s">
        <v>177</v>
      </c>
      <c r="E307" s="211" t="s">
        <v>177</v>
      </c>
      <c r="F307" s="213"/>
      <c r="G307" s="213"/>
      <c r="H307" s="215"/>
      <c r="I307" s="215"/>
      <c r="J307" s="216" t="s">
        <v>8371</v>
      </c>
      <c r="K307" s="213"/>
      <c r="L307" s="213"/>
      <c r="M307" s="213"/>
      <c r="N307" s="213"/>
      <c r="O307" s="213"/>
      <c r="P307" s="213"/>
      <c r="Q307" s="213"/>
      <c r="R307" s="213"/>
      <c r="S307" s="213"/>
      <c r="T307" s="212"/>
      <c r="U307" s="212"/>
      <c r="V307" s="212"/>
      <c r="W307" s="212"/>
      <c r="X307" s="212"/>
      <c r="Y307" s="212"/>
      <c r="Z307" s="212"/>
      <c r="AA307" s="212"/>
      <c r="AB307" s="212"/>
      <c r="AC307" s="212"/>
      <c r="AD307" s="212"/>
    </row>
    <row r="308" ht="22.5" customHeight="1">
      <c r="A308" s="219">
        <v>18890.0</v>
      </c>
      <c r="B308" s="211" t="s">
        <v>20</v>
      </c>
      <c r="C308" s="211" t="s">
        <v>8372</v>
      </c>
      <c r="D308" s="211" t="s">
        <v>177</v>
      </c>
      <c r="E308" s="211" t="s">
        <v>177</v>
      </c>
      <c r="F308" s="213"/>
      <c r="G308" s="213"/>
      <c r="H308" s="215"/>
      <c r="I308" s="215"/>
      <c r="J308" s="216" t="s">
        <v>8373</v>
      </c>
      <c r="K308" s="213"/>
      <c r="L308" s="213"/>
      <c r="M308" s="213"/>
      <c r="N308" s="213"/>
      <c r="O308" s="213"/>
      <c r="P308" s="213"/>
      <c r="Q308" s="213"/>
      <c r="R308" s="213"/>
      <c r="S308" s="213"/>
      <c r="T308" s="212"/>
      <c r="U308" s="212"/>
      <c r="V308" s="212"/>
      <c r="W308" s="212"/>
      <c r="X308" s="212"/>
      <c r="Y308" s="212"/>
      <c r="Z308" s="212"/>
      <c r="AA308" s="212"/>
      <c r="AB308" s="212"/>
      <c r="AC308" s="212"/>
      <c r="AD308" s="212"/>
    </row>
    <row r="309" ht="22.5" customHeight="1">
      <c r="A309" s="219">
        <v>18891.0</v>
      </c>
      <c r="B309" s="211" t="s">
        <v>20</v>
      </c>
      <c r="C309" s="211" t="s">
        <v>8374</v>
      </c>
      <c r="D309" s="211" t="s">
        <v>177</v>
      </c>
      <c r="E309" s="211" t="s">
        <v>177</v>
      </c>
      <c r="F309" s="213"/>
      <c r="G309" s="213"/>
      <c r="H309" s="215"/>
      <c r="I309" s="215"/>
      <c r="J309" s="216" t="s">
        <v>8375</v>
      </c>
      <c r="K309" s="213"/>
      <c r="L309" s="213"/>
      <c r="M309" s="213"/>
      <c r="N309" s="213"/>
      <c r="O309" s="213"/>
      <c r="P309" s="213"/>
      <c r="Q309" s="213"/>
      <c r="R309" s="213"/>
      <c r="S309" s="213"/>
      <c r="T309" s="212"/>
      <c r="U309" s="212"/>
      <c r="V309" s="212"/>
      <c r="W309" s="212"/>
      <c r="X309" s="212"/>
      <c r="Y309" s="212"/>
      <c r="Z309" s="212"/>
      <c r="AA309" s="212"/>
      <c r="AB309" s="212"/>
      <c r="AC309" s="212"/>
      <c r="AD309" s="212"/>
    </row>
    <row r="310" ht="22.5" customHeight="1">
      <c r="A310" s="219">
        <v>18892.0</v>
      </c>
      <c r="B310" s="211" t="s">
        <v>20</v>
      </c>
      <c r="C310" s="211" t="s">
        <v>8376</v>
      </c>
      <c r="D310" s="211" t="s">
        <v>177</v>
      </c>
      <c r="E310" s="211" t="s">
        <v>7931</v>
      </c>
      <c r="F310" s="213"/>
      <c r="G310" s="213"/>
      <c r="H310" s="214" t="s">
        <v>8377</v>
      </c>
      <c r="I310" s="215"/>
      <c r="J310" s="215"/>
      <c r="K310" s="213"/>
      <c r="L310" s="213"/>
      <c r="M310" s="213"/>
      <c r="N310" s="213"/>
      <c r="O310" s="213"/>
      <c r="P310" s="213"/>
      <c r="Q310" s="213"/>
      <c r="R310" s="213"/>
      <c r="S310" s="213"/>
      <c r="T310" s="212"/>
      <c r="U310" s="212"/>
      <c r="V310" s="212"/>
      <c r="W310" s="212"/>
      <c r="X310" s="212"/>
      <c r="Y310" s="212"/>
      <c r="Z310" s="212"/>
      <c r="AA310" s="212"/>
      <c r="AB310" s="212"/>
      <c r="AC310" s="212"/>
      <c r="AD310" s="212"/>
    </row>
    <row r="311" ht="22.5" customHeight="1">
      <c r="A311" s="219">
        <v>18893.0</v>
      </c>
      <c r="B311" s="211" t="s">
        <v>20</v>
      </c>
      <c r="C311" s="211" t="s">
        <v>963</v>
      </c>
      <c r="D311" s="211" t="s">
        <v>177</v>
      </c>
      <c r="E311" s="211" t="s">
        <v>177</v>
      </c>
      <c r="F311" s="213"/>
      <c r="G311" s="219">
        <v>1.0</v>
      </c>
      <c r="H311" s="214" t="s">
        <v>8378</v>
      </c>
      <c r="I311" s="215"/>
      <c r="J311" s="215"/>
      <c r="K311" s="213"/>
      <c r="L311" s="213"/>
      <c r="M311" s="213"/>
      <c r="N311" s="213"/>
      <c r="O311" s="213"/>
      <c r="P311" s="213"/>
      <c r="Q311" s="213"/>
      <c r="R311" s="213"/>
      <c r="S311" s="213"/>
      <c r="T311" s="212"/>
      <c r="U311" s="212"/>
      <c r="V311" s="212"/>
      <c r="W311" s="212"/>
      <c r="X311" s="212"/>
      <c r="Y311" s="212"/>
      <c r="Z311" s="212"/>
      <c r="AA311" s="212"/>
      <c r="AB311" s="212"/>
      <c r="AC311" s="212"/>
      <c r="AD311" s="212"/>
    </row>
    <row r="312" ht="22.5" customHeight="1">
      <c r="A312" s="219">
        <v>18997.0</v>
      </c>
      <c r="B312" s="211" t="s">
        <v>20</v>
      </c>
      <c r="C312" s="211" t="s">
        <v>8379</v>
      </c>
      <c r="D312" s="211" t="s">
        <v>177</v>
      </c>
      <c r="E312" s="211" t="s">
        <v>7772</v>
      </c>
      <c r="F312" s="213"/>
      <c r="G312" s="213"/>
      <c r="H312" s="214" t="s">
        <v>8380</v>
      </c>
      <c r="I312" s="216" t="s">
        <v>8381</v>
      </c>
      <c r="J312" s="215"/>
      <c r="K312" s="213"/>
      <c r="L312" s="213"/>
      <c r="M312" s="213"/>
      <c r="N312" s="213"/>
      <c r="O312" s="213"/>
      <c r="P312" s="213"/>
      <c r="Q312" s="213"/>
      <c r="R312" s="213"/>
      <c r="S312" s="213"/>
      <c r="T312" s="212"/>
      <c r="U312" s="212"/>
      <c r="V312" s="212"/>
      <c r="W312" s="212"/>
      <c r="X312" s="212"/>
      <c r="Y312" s="212"/>
      <c r="Z312" s="212"/>
      <c r="AA312" s="212"/>
      <c r="AB312" s="212"/>
      <c r="AC312" s="212"/>
      <c r="AD312" s="212"/>
    </row>
    <row r="313" ht="22.5" customHeight="1">
      <c r="A313" s="219">
        <v>19073.0</v>
      </c>
      <c r="B313" s="211" t="s">
        <v>20</v>
      </c>
      <c r="C313" s="211" t="s">
        <v>8382</v>
      </c>
      <c r="D313" s="211" t="s">
        <v>177</v>
      </c>
      <c r="E313" s="211" t="s">
        <v>177</v>
      </c>
      <c r="F313" s="213"/>
      <c r="G313" s="213"/>
      <c r="H313" s="215"/>
      <c r="I313" s="215"/>
      <c r="J313" s="216" t="s">
        <v>8383</v>
      </c>
      <c r="K313" s="213"/>
      <c r="L313" s="213"/>
      <c r="M313" s="213"/>
      <c r="N313" s="213"/>
      <c r="O313" s="213"/>
      <c r="P313" s="213"/>
      <c r="Q313" s="213"/>
      <c r="R313" s="213"/>
      <c r="S313" s="213"/>
      <c r="T313" s="212"/>
      <c r="U313" s="212"/>
      <c r="V313" s="212"/>
      <c r="W313" s="212"/>
      <c r="X313" s="212"/>
      <c r="Y313" s="212"/>
      <c r="Z313" s="212"/>
      <c r="AA313" s="212"/>
      <c r="AB313" s="212"/>
      <c r="AC313" s="212"/>
      <c r="AD313" s="212"/>
    </row>
    <row r="314" ht="22.5" customHeight="1">
      <c r="A314" s="219">
        <v>19162.0</v>
      </c>
      <c r="B314" s="211" t="s">
        <v>20</v>
      </c>
      <c r="C314" s="211" t="s">
        <v>8384</v>
      </c>
      <c r="D314" s="211" t="s">
        <v>177</v>
      </c>
      <c r="E314" s="211" t="s">
        <v>177</v>
      </c>
      <c r="F314" s="213"/>
      <c r="G314" s="213"/>
      <c r="H314" s="214" t="s">
        <v>8385</v>
      </c>
      <c r="I314" s="215"/>
      <c r="J314" s="216" t="s">
        <v>8386</v>
      </c>
      <c r="K314" s="213"/>
      <c r="L314" s="213"/>
      <c r="M314" s="213"/>
      <c r="N314" s="213"/>
      <c r="O314" s="213"/>
      <c r="P314" s="213"/>
      <c r="Q314" s="213"/>
      <c r="R314" s="213"/>
      <c r="S314" s="213"/>
      <c r="T314" s="212"/>
      <c r="U314" s="212"/>
      <c r="V314" s="212"/>
      <c r="W314" s="212"/>
      <c r="X314" s="212"/>
      <c r="Y314" s="212"/>
      <c r="Z314" s="212"/>
      <c r="AA314" s="212"/>
      <c r="AB314" s="212"/>
      <c r="AC314" s="212"/>
      <c r="AD314" s="212"/>
    </row>
    <row r="315" ht="22.5" customHeight="1">
      <c r="A315" s="219">
        <v>19424.0</v>
      </c>
      <c r="B315" s="211" t="s">
        <v>20</v>
      </c>
      <c r="C315" s="211" t="s">
        <v>1108</v>
      </c>
      <c r="D315" s="211" t="s">
        <v>177</v>
      </c>
      <c r="E315" s="211" t="s">
        <v>177</v>
      </c>
      <c r="F315" s="213"/>
      <c r="G315" s="213"/>
      <c r="H315" s="214" t="s">
        <v>8387</v>
      </c>
      <c r="I315" s="215"/>
      <c r="J315" s="216" t="s">
        <v>8388</v>
      </c>
      <c r="K315" s="213"/>
      <c r="L315" s="213"/>
      <c r="M315" s="213"/>
      <c r="N315" s="213"/>
      <c r="O315" s="213"/>
      <c r="P315" s="213"/>
      <c r="Q315" s="213"/>
      <c r="R315" s="213"/>
      <c r="S315" s="213"/>
      <c r="T315" s="212"/>
      <c r="U315" s="212"/>
      <c r="V315" s="212"/>
      <c r="W315" s="212"/>
      <c r="X315" s="212"/>
      <c r="Y315" s="212"/>
      <c r="Z315" s="212"/>
      <c r="AA315" s="212"/>
      <c r="AB315" s="212"/>
      <c r="AC315" s="212"/>
      <c r="AD315" s="212"/>
    </row>
    <row r="316" ht="22.5" customHeight="1">
      <c r="A316" s="219">
        <v>19439.0</v>
      </c>
      <c r="B316" s="211" t="s">
        <v>20</v>
      </c>
      <c r="C316" s="211" t="s">
        <v>1420</v>
      </c>
      <c r="D316" s="211" t="s">
        <v>177</v>
      </c>
      <c r="E316" s="211" t="s">
        <v>177</v>
      </c>
      <c r="F316" s="213"/>
      <c r="G316" s="219">
        <v>1.0</v>
      </c>
      <c r="H316" s="215"/>
      <c r="I316" s="216" t="s">
        <v>8389</v>
      </c>
      <c r="J316" s="215"/>
      <c r="K316" s="213"/>
      <c r="L316" s="213"/>
      <c r="M316" s="213"/>
      <c r="N316" s="213"/>
      <c r="O316" s="213"/>
      <c r="P316" s="213"/>
      <c r="Q316" s="213"/>
      <c r="R316" s="213"/>
      <c r="S316" s="213"/>
      <c r="T316" s="212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</row>
    <row r="317" ht="22.5" customHeight="1">
      <c r="A317" s="219">
        <v>19469.0</v>
      </c>
      <c r="B317" s="211" t="s">
        <v>20</v>
      </c>
      <c r="C317" s="211" t="s">
        <v>8390</v>
      </c>
      <c r="D317" s="211" t="s">
        <v>177</v>
      </c>
      <c r="E317" s="211" t="s">
        <v>177</v>
      </c>
      <c r="F317" s="213"/>
      <c r="G317" s="213"/>
      <c r="H317" s="215"/>
      <c r="I317" s="215"/>
      <c r="J317" s="216" t="s">
        <v>8391</v>
      </c>
      <c r="K317" s="213"/>
      <c r="L317" s="213"/>
      <c r="M317" s="213"/>
      <c r="N317" s="213"/>
      <c r="O317" s="213"/>
      <c r="P317" s="213"/>
      <c r="Q317" s="213"/>
      <c r="R317" s="213"/>
      <c r="S317" s="213"/>
      <c r="T317" s="212"/>
      <c r="U317" s="212"/>
      <c r="V317" s="212"/>
      <c r="W317" s="212"/>
      <c r="X317" s="212"/>
      <c r="Y317" s="212"/>
      <c r="Z317" s="212"/>
      <c r="AA317" s="212"/>
      <c r="AB317" s="212"/>
      <c r="AC317" s="212"/>
      <c r="AD317" s="212"/>
    </row>
    <row r="318" ht="22.5" customHeight="1">
      <c r="A318" s="219">
        <v>19569.0</v>
      </c>
      <c r="B318" s="211" t="s">
        <v>20</v>
      </c>
      <c r="C318" s="211" t="s">
        <v>8392</v>
      </c>
      <c r="D318" s="211" t="s">
        <v>177</v>
      </c>
      <c r="E318" s="211" t="s">
        <v>177</v>
      </c>
      <c r="F318" s="213"/>
      <c r="G318" s="219">
        <v>1.0</v>
      </c>
      <c r="H318" s="215"/>
      <c r="I318" s="216" t="s">
        <v>8393</v>
      </c>
      <c r="J318" s="215"/>
      <c r="K318" s="213"/>
      <c r="L318" s="213"/>
      <c r="M318" s="213"/>
      <c r="N318" s="213"/>
      <c r="O318" s="213"/>
      <c r="P318" s="213"/>
      <c r="Q318" s="213"/>
      <c r="R318" s="213"/>
      <c r="S318" s="213"/>
      <c r="T318" s="212"/>
      <c r="U318" s="212"/>
      <c r="V318" s="212"/>
      <c r="W318" s="212"/>
      <c r="X318" s="212"/>
      <c r="Y318" s="212"/>
      <c r="Z318" s="212"/>
      <c r="AA318" s="212"/>
      <c r="AB318" s="212"/>
      <c r="AC318" s="212"/>
      <c r="AD318" s="212"/>
    </row>
    <row r="319" ht="22.5" customHeight="1">
      <c r="A319" s="219">
        <v>19579.0</v>
      </c>
      <c r="B319" s="211" t="s">
        <v>20</v>
      </c>
      <c r="C319" s="211" t="s">
        <v>8394</v>
      </c>
      <c r="D319" s="211" t="s">
        <v>177</v>
      </c>
      <c r="E319" s="211" t="s">
        <v>8130</v>
      </c>
      <c r="F319" s="213"/>
      <c r="G319" s="219">
        <v>1.0</v>
      </c>
      <c r="H319" s="214" t="s">
        <v>8395</v>
      </c>
      <c r="I319" s="215"/>
      <c r="J319" s="215"/>
      <c r="K319" s="213"/>
      <c r="L319" s="213"/>
      <c r="M319" s="213"/>
      <c r="N319" s="213"/>
      <c r="O319" s="213"/>
      <c r="P319" s="213"/>
      <c r="Q319" s="213"/>
      <c r="R319" s="213"/>
      <c r="S319" s="213"/>
      <c r="T319" s="212"/>
      <c r="U319" s="212"/>
      <c r="V319" s="212"/>
      <c r="W319" s="212"/>
      <c r="X319" s="212"/>
      <c r="Y319" s="212"/>
      <c r="Z319" s="212"/>
      <c r="AA319" s="212"/>
      <c r="AB319" s="212"/>
      <c r="AC319" s="212"/>
      <c r="AD319" s="212"/>
    </row>
    <row r="320" ht="22.5" customHeight="1">
      <c r="A320" s="219">
        <v>19591.0</v>
      </c>
      <c r="B320" s="211" t="s">
        <v>20</v>
      </c>
      <c r="C320" s="211" t="s">
        <v>8396</v>
      </c>
      <c r="D320" s="211" t="s">
        <v>177</v>
      </c>
      <c r="E320" s="211" t="s">
        <v>177</v>
      </c>
      <c r="F320" s="213"/>
      <c r="G320" s="213"/>
      <c r="H320" s="215"/>
      <c r="I320" s="215"/>
      <c r="J320" s="216" t="s">
        <v>8397</v>
      </c>
      <c r="K320" s="213"/>
      <c r="L320" s="213"/>
      <c r="M320" s="213"/>
      <c r="N320" s="213"/>
      <c r="O320" s="213"/>
      <c r="P320" s="213"/>
      <c r="Q320" s="213"/>
      <c r="R320" s="213"/>
      <c r="S320" s="213"/>
      <c r="T320" s="212"/>
      <c r="U320" s="212"/>
      <c r="V320" s="212"/>
      <c r="W320" s="212"/>
      <c r="X320" s="212"/>
      <c r="Y320" s="212"/>
      <c r="Z320" s="212"/>
      <c r="AA320" s="212"/>
      <c r="AB320" s="212"/>
      <c r="AC320" s="212"/>
      <c r="AD320" s="212"/>
    </row>
    <row r="321" ht="22.5" customHeight="1">
      <c r="A321" s="219">
        <v>19600.0</v>
      </c>
      <c r="B321" s="211" t="s">
        <v>20</v>
      </c>
      <c r="C321" s="211" t="s">
        <v>8398</v>
      </c>
      <c r="D321" s="211" t="s">
        <v>177</v>
      </c>
      <c r="E321" s="211" t="s">
        <v>177</v>
      </c>
      <c r="F321" s="213"/>
      <c r="G321" s="213"/>
      <c r="H321" s="215"/>
      <c r="I321" s="215"/>
      <c r="J321" s="216" t="s">
        <v>8399</v>
      </c>
      <c r="K321" s="213"/>
      <c r="L321" s="213"/>
      <c r="M321" s="213"/>
      <c r="N321" s="213"/>
      <c r="O321" s="213"/>
      <c r="P321" s="213"/>
      <c r="Q321" s="213"/>
      <c r="R321" s="213"/>
      <c r="S321" s="213"/>
      <c r="T321" s="212"/>
      <c r="U321" s="212"/>
      <c r="V321" s="212"/>
      <c r="W321" s="212"/>
      <c r="X321" s="212"/>
      <c r="Y321" s="212"/>
      <c r="Z321" s="212"/>
      <c r="AA321" s="212"/>
      <c r="AB321" s="212"/>
      <c r="AC321" s="212"/>
      <c r="AD321" s="212"/>
    </row>
    <row r="322" ht="22.5" customHeight="1">
      <c r="A322" s="219">
        <v>19614.0</v>
      </c>
      <c r="B322" s="211" t="s">
        <v>20</v>
      </c>
      <c r="C322" s="211" t="s">
        <v>4084</v>
      </c>
      <c r="D322" s="211" t="s">
        <v>177</v>
      </c>
      <c r="E322" s="211" t="s">
        <v>7937</v>
      </c>
      <c r="F322" s="213"/>
      <c r="G322" s="219">
        <v>1.0</v>
      </c>
      <c r="H322" s="214" t="s">
        <v>8400</v>
      </c>
      <c r="I322" s="215"/>
      <c r="J322" s="215"/>
      <c r="K322" s="213"/>
      <c r="L322" s="213"/>
      <c r="M322" s="213"/>
      <c r="N322" s="213"/>
      <c r="O322" s="213"/>
      <c r="P322" s="213"/>
      <c r="Q322" s="213"/>
      <c r="R322" s="213"/>
      <c r="S322" s="213"/>
      <c r="T322" s="212"/>
      <c r="U322" s="212"/>
      <c r="V322" s="212"/>
      <c r="W322" s="212"/>
      <c r="X322" s="212"/>
      <c r="Y322" s="212"/>
      <c r="Z322" s="212"/>
      <c r="AA322" s="212"/>
      <c r="AB322" s="212"/>
      <c r="AC322" s="212"/>
      <c r="AD322" s="212"/>
    </row>
    <row r="323" ht="22.5" customHeight="1">
      <c r="A323" s="219">
        <v>19617.0</v>
      </c>
      <c r="B323" s="211" t="s">
        <v>20</v>
      </c>
      <c r="C323" s="211" t="s">
        <v>6808</v>
      </c>
      <c r="D323" s="211" t="s">
        <v>177</v>
      </c>
      <c r="E323" s="211" t="s">
        <v>8079</v>
      </c>
      <c r="F323" s="213"/>
      <c r="G323" s="219">
        <v>1.0</v>
      </c>
      <c r="H323" s="214" t="s">
        <v>8401</v>
      </c>
      <c r="I323" s="215"/>
      <c r="J323" s="215"/>
      <c r="K323" s="213"/>
      <c r="L323" s="213"/>
      <c r="M323" s="213"/>
      <c r="N323" s="213"/>
      <c r="O323" s="213"/>
      <c r="P323" s="213"/>
      <c r="Q323" s="213"/>
      <c r="R323" s="213"/>
      <c r="S323" s="213"/>
      <c r="T323" s="212"/>
      <c r="U323" s="212"/>
      <c r="V323" s="212"/>
      <c r="W323" s="212"/>
      <c r="X323" s="212"/>
      <c r="Y323" s="212"/>
      <c r="Z323" s="212"/>
      <c r="AA323" s="212"/>
      <c r="AB323" s="212"/>
      <c r="AC323" s="212"/>
      <c r="AD323" s="212"/>
    </row>
    <row r="324" ht="22.5" customHeight="1">
      <c r="A324" s="219">
        <v>19646.0</v>
      </c>
      <c r="B324" s="211" t="s">
        <v>20</v>
      </c>
      <c r="C324" s="211" t="s">
        <v>922</v>
      </c>
      <c r="D324" s="211" t="s">
        <v>177</v>
      </c>
      <c r="E324" s="211" t="s">
        <v>8130</v>
      </c>
      <c r="F324" s="213"/>
      <c r="G324" s="213"/>
      <c r="H324" s="215"/>
      <c r="I324" s="215"/>
      <c r="J324" s="216" t="s">
        <v>8402</v>
      </c>
      <c r="K324" s="213"/>
      <c r="L324" s="213"/>
      <c r="M324" s="213"/>
      <c r="N324" s="213"/>
      <c r="O324" s="213"/>
      <c r="P324" s="213"/>
      <c r="Q324" s="213"/>
      <c r="R324" s="213"/>
      <c r="S324" s="213"/>
      <c r="T324" s="212"/>
      <c r="U324" s="212"/>
      <c r="V324" s="212"/>
      <c r="W324" s="212"/>
      <c r="X324" s="212"/>
      <c r="Y324" s="212"/>
      <c r="Z324" s="212"/>
      <c r="AA324" s="212"/>
      <c r="AB324" s="212"/>
      <c r="AC324" s="212"/>
      <c r="AD324" s="212"/>
    </row>
    <row r="325" ht="22.5" customHeight="1">
      <c r="A325" s="219">
        <v>19662.0</v>
      </c>
      <c r="B325" s="211" t="s">
        <v>20</v>
      </c>
      <c r="C325" s="211" t="s">
        <v>8403</v>
      </c>
      <c r="D325" s="211" t="s">
        <v>177</v>
      </c>
      <c r="E325" s="211" t="s">
        <v>7975</v>
      </c>
      <c r="F325" s="213"/>
      <c r="G325" s="213"/>
      <c r="H325" s="214" t="s">
        <v>8404</v>
      </c>
      <c r="I325" s="215"/>
      <c r="J325" s="215"/>
      <c r="K325" s="213"/>
      <c r="L325" s="213"/>
      <c r="M325" s="213"/>
      <c r="N325" s="213"/>
      <c r="O325" s="213"/>
      <c r="P325" s="213"/>
      <c r="Q325" s="213"/>
      <c r="R325" s="213"/>
      <c r="S325" s="213"/>
      <c r="T325" s="212"/>
      <c r="U325" s="212"/>
      <c r="V325" s="212"/>
      <c r="W325" s="212"/>
      <c r="X325" s="212"/>
      <c r="Y325" s="212"/>
      <c r="Z325" s="212"/>
      <c r="AA325" s="212"/>
      <c r="AB325" s="212"/>
      <c r="AC325" s="212"/>
      <c r="AD325" s="212"/>
    </row>
    <row r="326" ht="22.5" customHeight="1">
      <c r="A326" s="219">
        <v>19663.0</v>
      </c>
      <c r="B326" s="211" t="s">
        <v>20</v>
      </c>
      <c r="C326" s="211" t="s">
        <v>1434</v>
      </c>
      <c r="D326" s="211" t="s">
        <v>177</v>
      </c>
      <c r="E326" s="211" t="s">
        <v>7975</v>
      </c>
      <c r="F326" s="213"/>
      <c r="G326" s="219">
        <v>1.0</v>
      </c>
      <c r="H326" s="214" t="s">
        <v>8405</v>
      </c>
      <c r="I326" s="215"/>
      <c r="J326" s="215"/>
      <c r="K326" s="213"/>
      <c r="L326" s="213"/>
      <c r="M326" s="213"/>
      <c r="N326" s="213"/>
      <c r="O326" s="213"/>
      <c r="P326" s="213"/>
      <c r="Q326" s="213"/>
      <c r="R326" s="213"/>
      <c r="S326" s="213"/>
      <c r="T326" s="212"/>
      <c r="U326" s="212"/>
      <c r="V326" s="212"/>
      <c r="W326" s="212"/>
      <c r="X326" s="212"/>
      <c r="Y326" s="212"/>
      <c r="Z326" s="212"/>
      <c r="AA326" s="212"/>
      <c r="AB326" s="212"/>
      <c r="AC326" s="212"/>
      <c r="AD326" s="212"/>
    </row>
    <row r="327" ht="22.5" customHeight="1">
      <c r="A327" s="219">
        <v>19694.0</v>
      </c>
      <c r="B327" s="211" t="s">
        <v>20</v>
      </c>
      <c r="C327" s="211" t="s">
        <v>8076</v>
      </c>
      <c r="D327" s="211" t="s">
        <v>177</v>
      </c>
      <c r="E327" s="211" t="s">
        <v>8079</v>
      </c>
      <c r="F327" s="213"/>
      <c r="G327" s="213"/>
      <c r="H327" s="215"/>
      <c r="I327" s="215"/>
      <c r="J327" s="216" t="s">
        <v>8406</v>
      </c>
      <c r="K327" s="213"/>
      <c r="L327" s="213"/>
      <c r="M327" s="213"/>
      <c r="N327" s="213"/>
      <c r="O327" s="213"/>
      <c r="P327" s="213"/>
      <c r="Q327" s="213"/>
      <c r="R327" s="213"/>
      <c r="S327" s="213"/>
      <c r="T327" s="212"/>
      <c r="U327" s="212"/>
      <c r="V327" s="212"/>
      <c r="W327" s="212"/>
      <c r="X327" s="212"/>
      <c r="Y327" s="212"/>
      <c r="Z327" s="212"/>
      <c r="AA327" s="212"/>
      <c r="AB327" s="212"/>
      <c r="AC327" s="212"/>
      <c r="AD327" s="212"/>
    </row>
    <row r="328" ht="22.5" customHeight="1">
      <c r="A328" s="219">
        <v>19778.0</v>
      </c>
      <c r="B328" s="211" t="s">
        <v>20</v>
      </c>
      <c r="C328" s="211" t="s">
        <v>5448</v>
      </c>
      <c r="D328" s="211" t="s">
        <v>177</v>
      </c>
      <c r="E328" s="211" t="s">
        <v>8002</v>
      </c>
      <c r="F328" s="213"/>
      <c r="G328" s="213"/>
      <c r="H328" s="214" t="s">
        <v>8407</v>
      </c>
      <c r="I328" s="215"/>
      <c r="J328" s="215"/>
      <c r="K328" s="213"/>
      <c r="L328" s="213"/>
      <c r="M328" s="213"/>
      <c r="N328" s="213"/>
      <c r="O328" s="213"/>
      <c r="P328" s="213"/>
      <c r="Q328" s="213"/>
      <c r="R328" s="213"/>
      <c r="S328" s="213"/>
      <c r="T328" s="212"/>
      <c r="U328" s="212"/>
      <c r="V328" s="212"/>
      <c r="W328" s="212"/>
      <c r="X328" s="212"/>
      <c r="Y328" s="212"/>
      <c r="Z328" s="212"/>
      <c r="AA328" s="212"/>
      <c r="AB328" s="212"/>
      <c r="AC328" s="212"/>
      <c r="AD328" s="212"/>
    </row>
    <row r="329" ht="22.5" customHeight="1">
      <c r="A329" s="219">
        <v>19779.0</v>
      </c>
      <c r="B329" s="211" t="s">
        <v>20</v>
      </c>
      <c r="C329" s="211" t="s">
        <v>7346</v>
      </c>
      <c r="D329" s="211" t="s">
        <v>177</v>
      </c>
      <c r="E329" s="211" t="s">
        <v>8002</v>
      </c>
      <c r="F329" s="213"/>
      <c r="G329" s="219">
        <v>1.0</v>
      </c>
      <c r="H329" s="214" t="s">
        <v>8408</v>
      </c>
      <c r="I329" s="216" t="s">
        <v>8409</v>
      </c>
      <c r="J329" s="215"/>
      <c r="K329" s="213"/>
      <c r="L329" s="213"/>
      <c r="M329" s="213"/>
      <c r="N329" s="213"/>
      <c r="O329" s="213"/>
      <c r="P329" s="213"/>
      <c r="Q329" s="213"/>
      <c r="R329" s="213"/>
      <c r="S329" s="213"/>
      <c r="T329" s="212"/>
      <c r="U329" s="212"/>
      <c r="V329" s="212"/>
      <c r="W329" s="212"/>
      <c r="X329" s="212"/>
      <c r="Y329" s="212"/>
      <c r="Z329" s="212"/>
      <c r="AA329" s="212"/>
      <c r="AB329" s="212"/>
      <c r="AC329" s="212"/>
      <c r="AD329" s="212"/>
    </row>
    <row r="330" ht="22.5" customHeight="1">
      <c r="A330" s="219">
        <v>19785.0</v>
      </c>
      <c r="B330" s="211" t="s">
        <v>20</v>
      </c>
      <c r="C330" s="211" t="s">
        <v>874</v>
      </c>
      <c r="D330" s="211" t="s">
        <v>177</v>
      </c>
      <c r="E330" s="211" t="s">
        <v>7766</v>
      </c>
      <c r="F330" s="213"/>
      <c r="G330" s="219">
        <v>1.0</v>
      </c>
      <c r="H330" s="215"/>
      <c r="I330" s="215"/>
      <c r="J330" s="216" t="s">
        <v>8410</v>
      </c>
      <c r="K330" s="213"/>
      <c r="L330" s="213"/>
      <c r="M330" s="213"/>
      <c r="N330" s="213"/>
      <c r="O330" s="213"/>
      <c r="P330" s="213"/>
      <c r="Q330" s="213"/>
      <c r="R330" s="213"/>
      <c r="S330" s="213"/>
      <c r="T330" s="212"/>
      <c r="U330" s="212"/>
      <c r="V330" s="212"/>
      <c r="W330" s="212"/>
      <c r="X330" s="212"/>
      <c r="Y330" s="212"/>
      <c r="Z330" s="212"/>
      <c r="AA330" s="212"/>
      <c r="AB330" s="212"/>
      <c r="AC330" s="212"/>
      <c r="AD330" s="212"/>
    </row>
    <row r="331" ht="22.5" customHeight="1">
      <c r="A331" s="219">
        <v>19786.0</v>
      </c>
      <c r="B331" s="211" t="s">
        <v>20</v>
      </c>
      <c r="C331" s="211" t="s">
        <v>8411</v>
      </c>
      <c r="D331" s="211" t="s">
        <v>177</v>
      </c>
      <c r="E331" s="211" t="s">
        <v>8004</v>
      </c>
      <c r="F331" s="213"/>
      <c r="G331" s="213"/>
      <c r="H331" s="215"/>
      <c r="I331" s="215"/>
      <c r="J331" s="216" t="s">
        <v>8010</v>
      </c>
      <c r="K331" s="213"/>
      <c r="L331" s="213"/>
      <c r="M331" s="213"/>
      <c r="N331" s="213"/>
      <c r="O331" s="213"/>
      <c r="P331" s="213"/>
      <c r="Q331" s="213"/>
      <c r="R331" s="213"/>
      <c r="S331" s="213"/>
      <c r="T331" s="212"/>
      <c r="U331" s="212"/>
      <c r="V331" s="212"/>
      <c r="W331" s="212"/>
      <c r="X331" s="212"/>
      <c r="Y331" s="212"/>
      <c r="Z331" s="212"/>
      <c r="AA331" s="212"/>
      <c r="AB331" s="212"/>
      <c r="AC331" s="212"/>
      <c r="AD331" s="212"/>
    </row>
    <row r="332" ht="22.5" customHeight="1">
      <c r="A332" s="219">
        <v>19787.0</v>
      </c>
      <c r="B332" s="211" t="s">
        <v>20</v>
      </c>
      <c r="C332" s="211" t="s">
        <v>1340</v>
      </c>
      <c r="D332" s="211" t="s">
        <v>177</v>
      </c>
      <c r="E332" s="211" t="s">
        <v>7815</v>
      </c>
      <c r="F332" s="213"/>
      <c r="G332" s="213"/>
      <c r="H332" s="215"/>
      <c r="I332" s="215"/>
      <c r="J332" s="216" t="s">
        <v>8412</v>
      </c>
      <c r="K332" s="213"/>
      <c r="L332" s="213"/>
      <c r="M332" s="213"/>
      <c r="N332" s="213"/>
      <c r="O332" s="213"/>
      <c r="P332" s="213"/>
      <c r="Q332" s="213"/>
      <c r="R332" s="213"/>
      <c r="S332" s="213"/>
      <c r="T332" s="212"/>
      <c r="U332" s="212"/>
      <c r="V332" s="212"/>
      <c r="W332" s="212"/>
      <c r="X332" s="212"/>
      <c r="Y332" s="212"/>
      <c r="Z332" s="212"/>
      <c r="AA332" s="212"/>
      <c r="AB332" s="212"/>
      <c r="AC332" s="212"/>
      <c r="AD332" s="212"/>
    </row>
    <row r="333" ht="22.5" customHeight="1">
      <c r="A333" s="219">
        <v>19788.0</v>
      </c>
      <c r="B333" s="211" t="s">
        <v>20</v>
      </c>
      <c r="C333" s="211" t="s">
        <v>8413</v>
      </c>
      <c r="D333" s="211" t="s">
        <v>177</v>
      </c>
      <c r="E333" s="211" t="s">
        <v>7815</v>
      </c>
      <c r="F333" s="213"/>
      <c r="G333" s="213"/>
      <c r="H333" s="214" t="s">
        <v>8414</v>
      </c>
      <c r="I333" s="215"/>
      <c r="J333" s="215"/>
      <c r="K333" s="213"/>
      <c r="L333" s="213"/>
      <c r="M333" s="213"/>
      <c r="N333" s="213"/>
      <c r="O333" s="213"/>
      <c r="P333" s="213"/>
      <c r="Q333" s="213"/>
      <c r="R333" s="213"/>
      <c r="S333" s="213"/>
      <c r="T333" s="212"/>
      <c r="U333" s="212"/>
      <c r="V333" s="212"/>
      <c r="W333" s="212"/>
      <c r="X333" s="212"/>
      <c r="Y333" s="212"/>
      <c r="Z333" s="212"/>
      <c r="AA333" s="212"/>
      <c r="AB333" s="212"/>
      <c r="AC333" s="212"/>
      <c r="AD333" s="212"/>
    </row>
    <row r="334" ht="22.5" customHeight="1">
      <c r="A334" s="219">
        <v>19789.0</v>
      </c>
      <c r="B334" s="211" t="s">
        <v>20</v>
      </c>
      <c r="C334" s="211" t="s">
        <v>8415</v>
      </c>
      <c r="D334" s="211" t="s">
        <v>177</v>
      </c>
      <c r="E334" s="211" t="s">
        <v>8004</v>
      </c>
      <c r="F334" s="213"/>
      <c r="G334" s="213"/>
      <c r="H334" s="214" t="s">
        <v>8416</v>
      </c>
      <c r="I334" s="216" t="s">
        <v>8417</v>
      </c>
      <c r="J334" s="215"/>
      <c r="K334" s="213"/>
      <c r="L334" s="213"/>
      <c r="M334" s="213"/>
      <c r="N334" s="213"/>
      <c r="O334" s="213"/>
      <c r="P334" s="213"/>
      <c r="Q334" s="213"/>
      <c r="R334" s="213"/>
      <c r="S334" s="213"/>
      <c r="T334" s="212"/>
      <c r="U334" s="212"/>
      <c r="V334" s="212"/>
      <c r="W334" s="212"/>
      <c r="X334" s="212"/>
      <c r="Y334" s="212"/>
      <c r="Z334" s="212"/>
      <c r="AA334" s="212"/>
      <c r="AB334" s="212"/>
      <c r="AC334" s="212"/>
      <c r="AD334" s="212"/>
    </row>
    <row r="335" ht="22.5" customHeight="1">
      <c r="A335" s="219">
        <v>19790.0</v>
      </c>
      <c r="B335" s="211" t="s">
        <v>20</v>
      </c>
      <c r="C335" s="211" t="s">
        <v>8418</v>
      </c>
      <c r="D335" s="211" t="s">
        <v>177</v>
      </c>
      <c r="E335" s="211" t="s">
        <v>8004</v>
      </c>
      <c r="F335" s="213"/>
      <c r="G335" s="213"/>
      <c r="H335" s="214" t="s">
        <v>8419</v>
      </c>
      <c r="I335" s="215"/>
      <c r="J335" s="215"/>
      <c r="K335" s="213"/>
      <c r="L335" s="213"/>
      <c r="M335" s="213"/>
      <c r="N335" s="213"/>
      <c r="O335" s="213"/>
      <c r="P335" s="213"/>
      <c r="Q335" s="213"/>
      <c r="R335" s="213"/>
      <c r="S335" s="213"/>
      <c r="T335" s="212"/>
      <c r="U335" s="212"/>
      <c r="V335" s="212"/>
      <c r="W335" s="212"/>
      <c r="X335" s="212"/>
      <c r="Y335" s="212"/>
      <c r="Z335" s="212"/>
      <c r="AA335" s="212"/>
      <c r="AB335" s="212"/>
      <c r="AC335" s="212"/>
      <c r="AD335" s="212"/>
    </row>
    <row r="336" ht="22.5" customHeight="1">
      <c r="A336" s="219">
        <v>19857.0</v>
      </c>
      <c r="B336" s="211" t="s">
        <v>20</v>
      </c>
      <c r="C336" s="222" t="s">
        <v>8420</v>
      </c>
      <c r="D336" s="211" t="s">
        <v>177</v>
      </c>
      <c r="E336" s="211" t="s">
        <v>178</v>
      </c>
      <c r="F336" s="213"/>
      <c r="G336" s="213"/>
      <c r="H336" s="215"/>
      <c r="I336" s="215"/>
      <c r="J336" s="216" t="s">
        <v>8421</v>
      </c>
      <c r="K336" s="213"/>
      <c r="L336" s="213"/>
      <c r="M336" s="213"/>
      <c r="N336" s="213"/>
      <c r="O336" s="213"/>
      <c r="P336" s="213"/>
      <c r="Q336" s="213"/>
      <c r="R336" s="213"/>
      <c r="S336" s="213"/>
      <c r="T336" s="212"/>
      <c r="U336" s="212"/>
      <c r="V336" s="212"/>
      <c r="W336" s="212"/>
      <c r="X336" s="212"/>
      <c r="Y336" s="212"/>
      <c r="Z336" s="212"/>
      <c r="AA336" s="212"/>
      <c r="AB336" s="212"/>
      <c r="AC336" s="212"/>
      <c r="AD336" s="212"/>
    </row>
    <row r="337" ht="22.5" customHeight="1">
      <c r="A337" s="219">
        <v>19864.0</v>
      </c>
      <c r="B337" s="211" t="s">
        <v>20</v>
      </c>
      <c r="C337" s="222" t="s">
        <v>8422</v>
      </c>
      <c r="D337" s="211" t="s">
        <v>177</v>
      </c>
      <c r="E337" s="211" t="s">
        <v>178</v>
      </c>
      <c r="F337" s="229"/>
      <c r="G337" s="229"/>
      <c r="H337" s="216" t="s">
        <v>8423</v>
      </c>
      <c r="I337" s="216" t="s">
        <v>8424</v>
      </c>
      <c r="J337" s="216" t="s">
        <v>8425</v>
      </c>
      <c r="K337" s="213"/>
      <c r="L337" s="213"/>
      <c r="M337" s="213"/>
      <c r="N337" s="213"/>
      <c r="O337" s="213"/>
      <c r="P337" s="213"/>
      <c r="Q337" s="213"/>
      <c r="R337" s="213"/>
      <c r="S337" s="213"/>
      <c r="T337" s="212"/>
      <c r="U337" s="212"/>
      <c r="V337" s="212"/>
      <c r="W337" s="212"/>
      <c r="X337" s="212"/>
      <c r="Y337" s="212"/>
      <c r="Z337" s="212"/>
      <c r="AA337" s="212"/>
      <c r="AB337" s="212"/>
      <c r="AC337" s="212"/>
      <c r="AD337" s="212"/>
    </row>
    <row r="338" ht="22.5" customHeight="1">
      <c r="A338" s="219">
        <v>19867.0</v>
      </c>
      <c r="B338" s="211" t="s">
        <v>20</v>
      </c>
      <c r="C338" s="222" t="s">
        <v>8426</v>
      </c>
      <c r="D338" s="211" t="s">
        <v>177</v>
      </c>
      <c r="E338" s="211" t="s">
        <v>178</v>
      </c>
      <c r="F338" s="213"/>
      <c r="G338" s="213"/>
      <c r="H338" s="216" t="s">
        <v>8427</v>
      </c>
      <c r="I338" s="215"/>
      <c r="J338" s="215"/>
      <c r="K338" s="213"/>
      <c r="L338" s="213"/>
      <c r="M338" s="213"/>
      <c r="N338" s="210"/>
      <c r="O338" s="213"/>
      <c r="P338" s="213"/>
      <c r="Q338" s="213"/>
      <c r="R338" s="213"/>
      <c r="S338" s="213"/>
      <c r="T338" s="212"/>
      <c r="U338" s="212"/>
      <c r="V338" s="212"/>
      <c r="W338" s="212"/>
      <c r="X338" s="212"/>
      <c r="Y338" s="212"/>
      <c r="Z338" s="212"/>
      <c r="AA338" s="212"/>
      <c r="AB338" s="212"/>
      <c r="AC338" s="212"/>
      <c r="AD338" s="212"/>
    </row>
    <row r="339" ht="22.5" customHeight="1">
      <c r="A339" s="219">
        <v>19962.0</v>
      </c>
      <c r="B339" s="211" t="s">
        <v>20</v>
      </c>
      <c r="C339" s="211" t="s">
        <v>1355</v>
      </c>
      <c r="D339" s="211" t="s">
        <v>177</v>
      </c>
      <c r="E339" s="211" t="s">
        <v>8002</v>
      </c>
      <c r="F339" s="213"/>
      <c r="G339" s="213"/>
      <c r="H339" s="215"/>
      <c r="I339" s="215"/>
      <c r="J339" s="216" t="s">
        <v>8428</v>
      </c>
      <c r="K339" s="213"/>
      <c r="L339" s="213"/>
      <c r="M339" s="213"/>
      <c r="N339" s="213"/>
      <c r="O339" s="213"/>
      <c r="P339" s="213"/>
      <c r="Q339" s="213"/>
      <c r="R339" s="213"/>
      <c r="S339" s="213"/>
      <c r="T339" s="212"/>
      <c r="U339" s="212"/>
      <c r="V339" s="212"/>
      <c r="W339" s="212"/>
      <c r="X339" s="212"/>
      <c r="Y339" s="212"/>
      <c r="Z339" s="212"/>
      <c r="AA339" s="212"/>
      <c r="AB339" s="212"/>
      <c r="AC339" s="212"/>
      <c r="AD339" s="212"/>
    </row>
    <row r="340" ht="22.5" customHeight="1">
      <c r="A340" s="219">
        <v>20129.0</v>
      </c>
      <c r="B340" s="211" t="s">
        <v>20</v>
      </c>
      <c r="C340" s="211" t="s">
        <v>8429</v>
      </c>
      <c r="D340" s="211" t="s">
        <v>177</v>
      </c>
      <c r="E340" s="211" t="s">
        <v>177</v>
      </c>
      <c r="F340" s="213"/>
      <c r="G340" s="213"/>
      <c r="H340" s="215"/>
      <c r="I340" s="216" t="s">
        <v>8430</v>
      </c>
      <c r="J340" s="216" t="s">
        <v>7790</v>
      </c>
      <c r="K340" s="213"/>
      <c r="L340" s="213"/>
      <c r="M340" s="213"/>
      <c r="N340" s="213"/>
      <c r="O340" s="213"/>
      <c r="P340" s="213"/>
      <c r="Q340" s="213"/>
      <c r="R340" s="213"/>
      <c r="S340" s="213"/>
      <c r="T340" s="212"/>
      <c r="U340" s="212"/>
      <c r="V340" s="212"/>
      <c r="W340" s="212"/>
      <c r="X340" s="212"/>
      <c r="Y340" s="212"/>
      <c r="Z340" s="212"/>
      <c r="AA340" s="212"/>
      <c r="AB340" s="212"/>
      <c r="AC340" s="212"/>
      <c r="AD340" s="212"/>
    </row>
    <row r="341" ht="22.5" customHeight="1">
      <c r="A341" s="219">
        <v>20132.0</v>
      </c>
      <c r="B341" s="211" t="s">
        <v>20</v>
      </c>
      <c r="C341" s="211" t="s">
        <v>6430</v>
      </c>
      <c r="D341" s="211" t="s">
        <v>177</v>
      </c>
      <c r="E341" s="211" t="s">
        <v>7860</v>
      </c>
      <c r="F341" s="213"/>
      <c r="G341" s="213"/>
      <c r="H341" s="215"/>
      <c r="I341" s="215"/>
      <c r="J341" s="216" t="s">
        <v>6431</v>
      </c>
      <c r="K341" s="213"/>
      <c r="L341" s="213"/>
      <c r="M341" s="213"/>
      <c r="N341" s="213"/>
      <c r="O341" s="213"/>
      <c r="P341" s="213"/>
      <c r="Q341" s="213"/>
      <c r="R341" s="213"/>
      <c r="S341" s="213"/>
      <c r="T341" s="212"/>
      <c r="U341" s="212"/>
      <c r="V341" s="212"/>
      <c r="W341" s="212"/>
      <c r="X341" s="212"/>
      <c r="Y341" s="212"/>
      <c r="Z341" s="212"/>
      <c r="AA341" s="212"/>
      <c r="AB341" s="212"/>
      <c r="AC341" s="212"/>
      <c r="AD341" s="212"/>
    </row>
    <row r="342" ht="22.5" customHeight="1">
      <c r="A342" s="219">
        <v>20183.0</v>
      </c>
      <c r="B342" s="211" t="s">
        <v>20</v>
      </c>
      <c r="C342" s="211" t="s">
        <v>8431</v>
      </c>
      <c r="D342" s="211" t="s">
        <v>177</v>
      </c>
      <c r="E342" s="211" t="s">
        <v>8130</v>
      </c>
      <c r="F342" s="213"/>
      <c r="G342" s="213"/>
      <c r="H342" s="215"/>
      <c r="I342" s="215"/>
      <c r="J342" s="216" t="s">
        <v>8432</v>
      </c>
      <c r="K342" s="213"/>
      <c r="L342" s="213"/>
      <c r="M342" s="213"/>
      <c r="N342" s="213"/>
      <c r="O342" s="213"/>
      <c r="P342" s="213"/>
      <c r="Q342" s="213"/>
      <c r="R342" s="213"/>
      <c r="S342" s="213"/>
      <c r="T342" s="212"/>
      <c r="U342" s="212"/>
      <c r="V342" s="212"/>
      <c r="W342" s="212"/>
      <c r="X342" s="212"/>
      <c r="Y342" s="212"/>
      <c r="Z342" s="212"/>
      <c r="AA342" s="212"/>
      <c r="AB342" s="212"/>
      <c r="AC342" s="212"/>
      <c r="AD342" s="212"/>
    </row>
    <row r="343" ht="22.5" customHeight="1">
      <c r="A343" s="219">
        <v>20194.0</v>
      </c>
      <c r="B343" s="211" t="s">
        <v>20</v>
      </c>
      <c r="C343" s="211" t="s">
        <v>8433</v>
      </c>
      <c r="D343" s="211" t="s">
        <v>177</v>
      </c>
      <c r="E343" s="211" t="s">
        <v>8079</v>
      </c>
      <c r="F343" s="213"/>
      <c r="G343" s="219">
        <v>1.0</v>
      </c>
      <c r="H343" s="214" t="s">
        <v>8434</v>
      </c>
      <c r="I343" s="215"/>
      <c r="J343" s="215"/>
      <c r="K343" s="213"/>
      <c r="L343" s="213"/>
      <c r="M343" s="213"/>
      <c r="N343" s="213"/>
      <c r="O343" s="213"/>
      <c r="P343" s="213"/>
      <c r="Q343" s="213"/>
      <c r="R343" s="213"/>
      <c r="S343" s="213"/>
      <c r="T343" s="212"/>
      <c r="U343" s="212"/>
      <c r="V343" s="212"/>
      <c r="W343" s="212"/>
      <c r="X343" s="212"/>
      <c r="Y343" s="212"/>
      <c r="Z343" s="212"/>
      <c r="AA343" s="212"/>
      <c r="AB343" s="212"/>
      <c r="AC343" s="212"/>
      <c r="AD343" s="212"/>
    </row>
    <row r="344" ht="22.5" customHeight="1">
      <c r="A344" s="219">
        <v>20206.0</v>
      </c>
      <c r="B344" s="211" t="s">
        <v>20</v>
      </c>
      <c r="C344" s="211" t="s">
        <v>8435</v>
      </c>
      <c r="D344" s="211" t="s">
        <v>177</v>
      </c>
      <c r="E344" s="211" t="s">
        <v>177</v>
      </c>
      <c r="F344" s="213"/>
      <c r="G344" s="213"/>
      <c r="H344" s="214" t="s">
        <v>8436</v>
      </c>
      <c r="I344" s="215"/>
      <c r="J344" s="216" t="s">
        <v>8437</v>
      </c>
      <c r="K344" s="213"/>
      <c r="L344" s="213"/>
      <c r="M344" s="213"/>
      <c r="N344" s="213"/>
      <c r="O344" s="213"/>
      <c r="P344" s="213"/>
      <c r="Q344" s="213"/>
      <c r="R344" s="213"/>
      <c r="S344" s="213"/>
      <c r="T344" s="212"/>
      <c r="U344" s="212"/>
      <c r="V344" s="212"/>
      <c r="W344" s="212"/>
      <c r="X344" s="212"/>
      <c r="Y344" s="212"/>
      <c r="Z344" s="212"/>
      <c r="AA344" s="212"/>
      <c r="AB344" s="212"/>
      <c r="AC344" s="212"/>
      <c r="AD344" s="212"/>
    </row>
    <row r="345" ht="22.5" customHeight="1">
      <c r="A345" s="219">
        <v>20237.0</v>
      </c>
      <c r="B345" s="211" t="s">
        <v>20</v>
      </c>
      <c r="C345" s="211" t="s">
        <v>869</v>
      </c>
      <c r="D345" s="211" t="s">
        <v>177</v>
      </c>
      <c r="E345" s="211" t="s">
        <v>7815</v>
      </c>
      <c r="F345" s="213"/>
      <c r="G345" s="213"/>
      <c r="H345" s="215"/>
      <c r="I345" s="215"/>
      <c r="J345" s="216" t="s">
        <v>8438</v>
      </c>
      <c r="K345" s="213"/>
      <c r="L345" s="213"/>
      <c r="M345" s="213"/>
      <c r="N345" s="213"/>
      <c r="O345" s="213"/>
      <c r="P345" s="213"/>
      <c r="Q345" s="213"/>
      <c r="R345" s="213"/>
      <c r="S345" s="213"/>
      <c r="T345" s="212"/>
      <c r="U345" s="212"/>
      <c r="V345" s="212"/>
      <c r="W345" s="212"/>
      <c r="X345" s="212"/>
      <c r="Y345" s="212"/>
      <c r="Z345" s="212"/>
      <c r="AA345" s="212"/>
      <c r="AB345" s="212"/>
      <c r="AC345" s="212"/>
      <c r="AD345" s="212"/>
    </row>
    <row r="346" ht="22.5" customHeight="1">
      <c r="A346" s="219">
        <v>20245.0</v>
      </c>
      <c r="B346" s="211" t="s">
        <v>20</v>
      </c>
      <c r="C346" s="211" t="s">
        <v>3820</v>
      </c>
      <c r="D346" s="211" t="s">
        <v>177</v>
      </c>
      <c r="E346" s="211" t="s">
        <v>7815</v>
      </c>
      <c r="F346" s="213"/>
      <c r="G346" s="219">
        <v>1.0</v>
      </c>
      <c r="H346" s="214" t="s">
        <v>8439</v>
      </c>
      <c r="I346" s="215"/>
      <c r="J346" s="215"/>
      <c r="K346" s="213"/>
      <c r="L346" s="213"/>
      <c r="M346" s="213"/>
      <c r="N346" s="213"/>
      <c r="O346" s="213"/>
      <c r="P346" s="213"/>
      <c r="Q346" s="213"/>
      <c r="R346" s="213"/>
      <c r="S346" s="213"/>
      <c r="T346" s="212"/>
      <c r="U346" s="212"/>
      <c r="V346" s="212"/>
      <c r="W346" s="212"/>
      <c r="X346" s="212"/>
      <c r="Y346" s="212"/>
      <c r="Z346" s="212"/>
      <c r="AA346" s="212"/>
      <c r="AB346" s="212"/>
      <c r="AC346" s="212"/>
      <c r="AD346" s="212"/>
    </row>
    <row r="347" ht="22.5" customHeight="1">
      <c r="A347" s="219">
        <v>20247.0</v>
      </c>
      <c r="B347" s="211" t="s">
        <v>20</v>
      </c>
      <c r="C347" s="211" t="s">
        <v>8440</v>
      </c>
      <c r="D347" s="211" t="s">
        <v>177</v>
      </c>
      <c r="E347" s="211" t="s">
        <v>177</v>
      </c>
      <c r="F347" s="213"/>
      <c r="G347" s="213"/>
      <c r="H347" s="214" t="s">
        <v>8441</v>
      </c>
      <c r="I347" s="216" t="s">
        <v>8442</v>
      </c>
      <c r="J347" s="216" t="s">
        <v>8443</v>
      </c>
      <c r="K347" s="213"/>
      <c r="L347" s="213"/>
      <c r="M347" s="213"/>
      <c r="N347" s="213"/>
      <c r="O347" s="213"/>
      <c r="P347" s="213"/>
      <c r="Q347" s="213"/>
      <c r="R347" s="213"/>
      <c r="S347" s="213"/>
      <c r="T347" s="212"/>
      <c r="U347" s="212"/>
      <c r="V347" s="212"/>
      <c r="W347" s="212"/>
      <c r="X347" s="212"/>
      <c r="Y347" s="212"/>
      <c r="Z347" s="212"/>
      <c r="AA347" s="212"/>
      <c r="AB347" s="212"/>
      <c r="AC347" s="212"/>
      <c r="AD347" s="212"/>
    </row>
    <row r="348" ht="22.5" customHeight="1">
      <c r="A348" s="219">
        <v>20252.0</v>
      </c>
      <c r="B348" s="211" t="s">
        <v>20</v>
      </c>
      <c r="C348" s="211" t="s">
        <v>8444</v>
      </c>
      <c r="D348" s="211" t="s">
        <v>177</v>
      </c>
      <c r="E348" s="211" t="s">
        <v>177</v>
      </c>
      <c r="F348" s="213"/>
      <c r="G348" s="219">
        <v>1.0</v>
      </c>
      <c r="H348" s="215"/>
      <c r="I348" s="215"/>
      <c r="J348" s="216" t="s">
        <v>8445</v>
      </c>
      <c r="K348" s="213"/>
      <c r="L348" s="213"/>
      <c r="M348" s="213"/>
      <c r="N348" s="213"/>
      <c r="O348" s="213"/>
      <c r="P348" s="213"/>
      <c r="Q348" s="213"/>
      <c r="R348" s="213"/>
      <c r="S348" s="213"/>
      <c r="T348" s="212"/>
      <c r="U348" s="212"/>
      <c r="V348" s="212"/>
      <c r="W348" s="212"/>
      <c r="X348" s="212"/>
      <c r="Y348" s="212"/>
      <c r="Z348" s="212"/>
      <c r="AA348" s="212"/>
      <c r="AB348" s="212"/>
      <c r="AC348" s="212"/>
      <c r="AD348" s="212"/>
    </row>
    <row r="349" ht="22.5" customHeight="1">
      <c r="A349" s="219">
        <v>20328.0</v>
      </c>
      <c r="B349" s="211" t="s">
        <v>20</v>
      </c>
      <c r="C349" s="211" t="s">
        <v>8446</v>
      </c>
      <c r="D349" s="211" t="s">
        <v>177</v>
      </c>
      <c r="E349" s="211" t="s">
        <v>177</v>
      </c>
      <c r="F349" s="213"/>
      <c r="G349" s="213"/>
      <c r="H349" s="214" t="s">
        <v>8447</v>
      </c>
      <c r="I349" s="215"/>
      <c r="J349" s="215"/>
      <c r="K349" s="213"/>
      <c r="L349" s="213"/>
      <c r="M349" s="213"/>
      <c r="N349" s="213"/>
      <c r="O349" s="213"/>
      <c r="P349" s="213"/>
      <c r="Q349" s="213"/>
      <c r="R349" s="213"/>
      <c r="S349" s="213"/>
      <c r="T349" s="212"/>
      <c r="U349" s="212"/>
      <c r="V349" s="212"/>
      <c r="W349" s="212"/>
      <c r="X349" s="212"/>
      <c r="Y349" s="212"/>
      <c r="Z349" s="212"/>
      <c r="AA349" s="212"/>
      <c r="AB349" s="212"/>
      <c r="AC349" s="212"/>
      <c r="AD349" s="212"/>
    </row>
    <row r="350" ht="22.5" customHeight="1">
      <c r="A350" s="219">
        <v>20345.0</v>
      </c>
      <c r="B350" s="211" t="s">
        <v>20</v>
      </c>
      <c r="C350" s="211" t="s">
        <v>8448</v>
      </c>
      <c r="D350" s="211" t="s">
        <v>177</v>
      </c>
      <c r="E350" s="211" t="s">
        <v>177</v>
      </c>
      <c r="F350" s="213"/>
      <c r="G350" s="213"/>
      <c r="H350" s="214" t="s">
        <v>8449</v>
      </c>
      <c r="I350" s="215"/>
      <c r="J350" s="215"/>
      <c r="K350" s="213"/>
      <c r="L350" s="213"/>
      <c r="M350" s="213"/>
      <c r="N350" s="213"/>
      <c r="O350" s="213"/>
      <c r="P350" s="213"/>
      <c r="Q350" s="213"/>
      <c r="R350" s="213"/>
      <c r="S350" s="213"/>
      <c r="T350" s="212"/>
      <c r="U350" s="212"/>
      <c r="V350" s="212"/>
      <c r="W350" s="212"/>
      <c r="X350" s="212"/>
      <c r="Y350" s="212"/>
      <c r="Z350" s="212"/>
      <c r="AA350" s="212"/>
      <c r="AB350" s="212"/>
      <c r="AC350" s="212"/>
      <c r="AD350" s="212"/>
    </row>
    <row r="351" ht="22.5" customHeight="1">
      <c r="A351" s="219">
        <v>20348.0</v>
      </c>
      <c r="B351" s="211" t="s">
        <v>20</v>
      </c>
      <c r="C351" s="211" t="s">
        <v>8450</v>
      </c>
      <c r="D351" s="211" t="s">
        <v>177</v>
      </c>
      <c r="E351" s="211" t="s">
        <v>177</v>
      </c>
      <c r="F351" s="213"/>
      <c r="G351" s="219">
        <v>1.0</v>
      </c>
      <c r="H351" s="214" t="s">
        <v>8451</v>
      </c>
      <c r="I351" s="215"/>
      <c r="J351" s="215"/>
      <c r="K351" s="213"/>
      <c r="L351" s="213"/>
      <c r="M351" s="213"/>
      <c r="N351" s="213"/>
      <c r="O351" s="213"/>
      <c r="P351" s="213"/>
      <c r="Q351" s="213"/>
      <c r="R351" s="213"/>
      <c r="S351" s="213"/>
      <c r="T351" s="212"/>
      <c r="U351" s="212"/>
      <c r="V351" s="212"/>
      <c r="W351" s="212"/>
      <c r="X351" s="212"/>
      <c r="Y351" s="212"/>
      <c r="Z351" s="212"/>
      <c r="AA351" s="212"/>
      <c r="AB351" s="212"/>
      <c r="AC351" s="212"/>
      <c r="AD351" s="212"/>
    </row>
    <row r="352" ht="22.5" customHeight="1">
      <c r="A352" s="219">
        <v>20357.0</v>
      </c>
      <c r="B352" s="211" t="s">
        <v>20</v>
      </c>
      <c r="C352" s="211" t="s">
        <v>743</v>
      </c>
      <c r="D352" s="211" t="s">
        <v>177</v>
      </c>
      <c r="E352" s="211" t="s">
        <v>7815</v>
      </c>
      <c r="F352" s="213"/>
      <c r="G352" s="213"/>
      <c r="H352" s="215"/>
      <c r="I352" s="215"/>
      <c r="J352" s="216" t="s">
        <v>8452</v>
      </c>
      <c r="K352" s="213"/>
      <c r="L352" s="213"/>
      <c r="M352" s="213"/>
      <c r="N352" s="213"/>
      <c r="O352" s="213"/>
      <c r="P352" s="213"/>
      <c r="Q352" s="213"/>
      <c r="R352" s="213"/>
      <c r="S352" s="213"/>
      <c r="T352" s="212"/>
      <c r="U352" s="212"/>
      <c r="V352" s="212"/>
      <c r="W352" s="212"/>
      <c r="X352" s="212"/>
      <c r="Y352" s="212"/>
      <c r="Z352" s="212"/>
      <c r="AA352" s="212"/>
      <c r="AB352" s="212"/>
      <c r="AC352" s="212"/>
      <c r="AD352" s="212"/>
    </row>
    <row r="353" ht="22.5" customHeight="1">
      <c r="A353" s="219">
        <v>20361.0</v>
      </c>
      <c r="B353" s="211" t="s">
        <v>20</v>
      </c>
      <c r="C353" s="211" t="s">
        <v>786</v>
      </c>
      <c r="D353" s="211" t="s">
        <v>177</v>
      </c>
      <c r="E353" s="211" t="s">
        <v>8344</v>
      </c>
      <c r="F353" s="213"/>
      <c r="G353" s="213"/>
      <c r="H353" s="214" t="s">
        <v>8453</v>
      </c>
      <c r="I353" s="215"/>
      <c r="J353" s="215"/>
      <c r="K353" s="213"/>
      <c r="L353" s="213"/>
      <c r="M353" s="213"/>
      <c r="N353" s="213"/>
      <c r="O353" s="213"/>
      <c r="P353" s="213"/>
      <c r="Q353" s="213"/>
      <c r="R353" s="213"/>
      <c r="S353" s="213"/>
      <c r="T353" s="212"/>
      <c r="U353" s="212"/>
      <c r="V353" s="212"/>
      <c r="W353" s="212"/>
      <c r="X353" s="212"/>
      <c r="Y353" s="212"/>
      <c r="Z353" s="212"/>
      <c r="AA353" s="212"/>
      <c r="AB353" s="212"/>
      <c r="AC353" s="212"/>
      <c r="AD353" s="212"/>
    </row>
    <row r="354" ht="22.5" customHeight="1">
      <c r="A354" s="219">
        <v>20386.0</v>
      </c>
      <c r="B354" s="211" t="s">
        <v>20</v>
      </c>
      <c r="C354" s="211" t="s">
        <v>5101</v>
      </c>
      <c r="D354" s="211" t="s">
        <v>177</v>
      </c>
      <c r="E354" s="211" t="s">
        <v>177</v>
      </c>
      <c r="F354" s="213"/>
      <c r="G354" s="213"/>
      <c r="H354" s="215"/>
      <c r="I354" s="215"/>
      <c r="J354" s="216" t="s">
        <v>8383</v>
      </c>
      <c r="K354" s="213"/>
      <c r="L354" s="213"/>
      <c r="M354" s="213"/>
      <c r="N354" s="213"/>
      <c r="O354" s="213"/>
      <c r="P354" s="213"/>
      <c r="Q354" s="213"/>
      <c r="R354" s="213"/>
      <c r="S354" s="213"/>
      <c r="T354" s="212"/>
      <c r="U354" s="212"/>
      <c r="V354" s="212"/>
      <c r="W354" s="212"/>
      <c r="X354" s="212"/>
      <c r="Y354" s="212"/>
      <c r="Z354" s="212"/>
      <c r="AA354" s="212"/>
      <c r="AB354" s="212"/>
      <c r="AC354" s="212"/>
      <c r="AD354" s="212"/>
    </row>
    <row r="355" ht="22.5" customHeight="1">
      <c r="A355" s="219">
        <v>20392.0</v>
      </c>
      <c r="B355" s="211" t="s">
        <v>20</v>
      </c>
      <c r="C355" s="211" t="s">
        <v>8454</v>
      </c>
      <c r="D355" s="211" t="s">
        <v>177</v>
      </c>
      <c r="E355" s="211" t="s">
        <v>7931</v>
      </c>
      <c r="F355" s="213"/>
      <c r="G355" s="213"/>
      <c r="H355" s="214" t="s">
        <v>8455</v>
      </c>
      <c r="I355" s="215"/>
      <c r="J355" s="215"/>
      <c r="K355" s="213"/>
      <c r="L355" s="213"/>
      <c r="M355" s="213"/>
      <c r="N355" s="213"/>
      <c r="O355" s="213"/>
      <c r="P355" s="213"/>
      <c r="Q355" s="213"/>
      <c r="R355" s="213"/>
      <c r="S355" s="213"/>
      <c r="T355" s="212"/>
      <c r="U355" s="212"/>
      <c r="V355" s="212"/>
      <c r="W355" s="212"/>
      <c r="X355" s="212"/>
      <c r="Y355" s="212"/>
      <c r="Z355" s="212"/>
      <c r="AA355" s="212"/>
      <c r="AB355" s="212"/>
      <c r="AC355" s="212"/>
      <c r="AD355" s="212"/>
    </row>
    <row r="356" ht="22.5" customHeight="1">
      <c r="A356" s="219">
        <v>20411.0</v>
      </c>
      <c r="B356" s="211" t="s">
        <v>20</v>
      </c>
      <c r="C356" s="211" t="s">
        <v>1417</v>
      </c>
      <c r="D356" s="211" t="s">
        <v>177</v>
      </c>
      <c r="E356" s="211" t="s">
        <v>7821</v>
      </c>
      <c r="F356" s="213"/>
      <c r="G356" s="219">
        <v>1.0</v>
      </c>
      <c r="H356" s="214" t="s">
        <v>8456</v>
      </c>
      <c r="I356" s="215"/>
      <c r="J356" s="215"/>
      <c r="K356" s="213"/>
      <c r="L356" s="213"/>
      <c r="M356" s="213"/>
      <c r="N356" s="213"/>
      <c r="O356" s="213"/>
      <c r="P356" s="213"/>
      <c r="Q356" s="213"/>
      <c r="R356" s="213"/>
      <c r="S356" s="213"/>
      <c r="T356" s="212"/>
      <c r="U356" s="212"/>
      <c r="V356" s="212"/>
      <c r="W356" s="212"/>
      <c r="X356" s="212"/>
      <c r="Y356" s="212"/>
      <c r="Z356" s="212"/>
      <c r="AA356" s="212"/>
      <c r="AB356" s="212"/>
      <c r="AC356" s="212"/>
      <c r="AD356" s="212"/>
    </row>
    <row r="357" ht="22.5" customHeight="1">
      <c r="A357" s="219">
        <v>20485.0</v>
      </c>
      <c r="B357" s="211" t="s">
        <v>20</v>
      </c>
      <c r="C357" s="211" t="s">
        <v>8457</v>
      </c>
      <c r="D357" s="211" t="s">
        <v>177</v>
      </c>
      <c r="E357" s="211" t="s">
        <v>8313</v>
      </c>
      <c r="F357" s="213"/>
      <c r="G357" s="213"/>
      <c r="H357" s="214" t="s">
        <v>8458</v>
      </c>
      <c r="I357" s="215"/>
      <c r="J357" s="215"/>
      <c r="K357" s="213"/>
      <c r="L357" s="213"/>
      <c r="M357" s="213"/>
      <c r="N357" s="213"/>
      <c r="O357" s="213"/>
      <c r="P357" s="213"/>
      <c r="Q357" s="213"/>
      <c r="R357" s="213"/>
      <c r="S357" s="213"/>
      <c r="T357" s="212"/>
      <c r="U357" s="212"/>
      <c r="V357" s="212"/>
      <c r="W357" s="212"/>
      <c r="X357" s="212"/>
      <c r="Y357" s="212"/>
      <c r="Z357" s="212"/>
      <c r="AA357" s="212"/>
      <c r="AB357" s="212"/>
      <c r="AC357" s="212"/>
      <c r="AD357" s="212"/>
    </row>
    <row r="358" ht="22.5" customHeight="1">
      <c r="A358" s="219">
        <v>20485.0</v>
      </c>
      <c r="B358" s="211" t="s">
        <v>20</v>
      </c>
      <c r="C358" s="211" t="s">
        <v>1262</v>
      </c>
      <c r="D358" s="211" t="s">
        <v>177</v>
      </c>
      <c r="E358" s="211" t="s">
        <v>7931</v>
      </c>
      <c r="F358" s="213"/>
      <c r="G358" s="213"/>
      <c r="H358" s="214" t="s">
        <v>8459</v>
      </c>
      <c r="I358" s="215"/>
      <c r="J358" s="216" t="s">
        <v>8460</v>
      </c>
      <c r="K358" s="213"/>
      <c r="L358" s="213"/>
      <c r="M358" s="213"/>
      <c r="N358" s="213"/>
      <c r="O358" s="213"/>
      <c r="P358" s="213"/>
      <c r="Q358" s="213"/>
      <c r="R358" s="213"/>
      <c r="S358" s="213"/>
      <c r="T358" s="212"/>
      <c r="U358" s="212"/>
      <c r="V358" s="212"/>
      <c r="W358" s="212"/>
      <c r="X358" s="212"/>
      <c r="Y358" s="212"/>
      <c r="Z358" s="212"/>
      <c r="AA358" s="212"/>
      <c r="AB358" s="212"/>
      <c r="AC358" s="212"/>
      <c r="AD358" s="212"/>
    </row>
    <row r="359" ht="22.5" customHeight="1">
      <c r="A359" s="219">
        <v>20486.0</v>
      </c>
      <c r="B359" s="211" t="s">
        <v>20</v>
      </c>
      <c r="C359" s="211" t="s">
        <v>8461</v>
      </c>
      <c r="D359" s="211" t="s">
        <v>177</v>
      </c>
      <c r="E359" s="211" t="s">
        <v>177</v>
      </c>
      <c r="F359" s="213"/>
      <c r="G359" s="213"/>
      <c r="H359" s="214" t="s">
        <v>8462</v>
      </c>
      <c r="I359" s="216" t="s">
        <v>8463</v>
      </c>
      <c r="J359" s="215"/>
      <c r="K359" s="213"/>
      <c r="L359" s="213"/>
      <c r="M359" s="213"/>
      <c r="N359" s="213"/>
      <c r="O359" s="213"/>
      <c r="P359" s="213"/>
      <c r="Q359" s="213"/>
      <c r="R359" s="213"/>
      <c r="S359" s="213"/>
      <c r="T359" s="212"/>
      <c r="U359" s="212"/>
      <c r="V359" s="212"/>
      <c r="W359" s="212"/>
      <c r="X359" s="212"/>
      <c r="Y359" s="212"/>
      <c r="Z359" s="212"/>
      <c r="AA359" s="212"/>
      <c r="AB359" s="212"/>
      <c r="AC359" s="212"/>
      <c r="AD359" s="212"/>
    </row>
    <row r="360" ht="22.5" customHeight="1">
      <c r="A360" s="219">
        <v>20519.0</v>
      </c>
      <c r="B360" s="211" t="s">
        <v>20</v>
      </c>
      <c r="C360" s="211" t="s">
        <v>8464</v>
      </c>
      <c r="D360" s="211" t="s">
        <v>177</v>
      </c>
      <c r="E360" s="211" t="s">
        <v>177</v>
      </c>
      <c r="F360" s="213"/>
      <c r="G360" s="213"/>
      <c r="H360" s="215"/>
      <c r="I360" s="215"/>
      <c r="J360" s="216" t="s">
        <v>8465</v>
      </c>
      <c r="K360" s="213"/>
      <c r="L360" s="213"/>
      <c r="M360" s="213"/>
      <c r="N360" s="213"/>
      <c r="O360" s="213"/>
      <c r="P360" s="213"/>
      <c r="Q360" s="213"/>
      <c r="R360" s="213"/>
      <c r="S360" s="213"/>
      <c r="T360" s="212"/>
      <c r="U360" s="212"/>
      <c r="V360" s="212"/>
      <c r="W360" s="212"/>
      <c r="X360" s="212"/>
      <c r="Y360" s="212"/>
      <c r="Z360" s="212"/>
      <c r="AA360" s="212"/>
      <c r="AB360" s="212"/>
      <c r="AC360" s="212"/>
      <c r="AD360" s="212"/>
    </row>
    <row r="361" ht="22.5" customHeight="1">
      <c r="A361" s="219">
        <v>20537.0</v>
      </c>
      <c r="B361" s="211" t="s">
        <v>20</v>
      </c>
      <c r="C361" s="211" t="s">
        <v>8466</v>
      </c>
      <c r="D361" s="211" t="s">
        <v>177</v>
      </c>
      <c r="E361" s="211" t="s">
        <v>177</v>
      </c>
      <c r="F361" s="213"/>
      <c r="G361" s="213"/>
      <c r="H361" s="214" t="s">
        <v>8467</v>
      </c>
      <c r="I361" s="215"/>
      <c r="J361" s="215"/>
      <c r="K361" s="213"/>
      <c r="L361" s="213"/>
      <c r="M361" s="213"/>
      <c r="N361" s="213"/>
      <c r="O361" s="213"/>
      <c r="P361" s="213"/>
      <c r="Q361" s="213"/>
      <c r="R361" s="213"/>
      <c r="S361" s="213"/>
      <c r="T361" s="212"/>
      <c r="U361" s="212"/>
      <c r="V361" s="212"/>
      <c r="W361" s="212"/>
      <c r="X361" s="212"/>
      <c r="Y361" s="212"/>
      <c r="Z361" s="212"/>
      <c r="AA361" s="212"/>
      <c r="AB361" s="212"/>
      <c r="AC361" s="212"/>
      <c r="AD361" s="212"/>
    </row>
    <row r="362" ht="22.5" customHeight="1">
      <c r="A362" s="219">
        <v>20658.0</v>
      </c>
      <c r="B362" s="211" t="s">
        <v>20</v>
      </c>
      <c r="C362" s="211" t="s">
        <v>8468</v>
      </c>
      <c r="D362" s="211" t="s">
        <v>177</v>
      </c>
      <c r="E362" s="211" t="s">
        <v>8205</v>
      </c>
      <c r="F362" s="213"/>
      <c r="G362" s="213"/>
      <c r="H362" s="214" t="s">
        <v>8469</v>
      </c>
      <c r="I362" s="215"/>
      <c r="J362" s="216" t="s">
        <v>8470</v>
      </c>
      <c r="K362" s="213"/>
      <c r="L362" s="213"/>
      <c r="M362" s="213"/>
      <c r="N362" s="213"/>
      <c r="O362" s="213"/>
      <c r="P362" s="213"/>
      <c r="Q362" s="213"/>
      <c r="R362" s="213"/>
      <c r="S362" s="213"/>
      <c r="T362" s="212"/>
      <c r="U362" s="212"/>
      <c r="V362" s="212"/>
      <c r="W362" s="212"/>
      <c r="X362" s="212"/>
      <c r="Y362" s="212"/>
      <c r="Z362" s="212"/>
      <c r="AA362" s="212"/>
      <c r="AB362" s="212"/>
      <c r="AC362" s="212"/>
      <c r="AD362" s="212"/>
    </row>
    <row r="363" ht="22.5" customHeight="1">
      <c r="A363" s="219">
        <v>20692.0</v>
      </c>
      <c r="B363" s="211" t="s">
        <v>20</v>
      </c>
      <c r="C363" s="211" t="s">
        <v>3693</v>
      </c>
      <c r="D363" s="211" t="s">
        <v>177</v>
      </c>
      <c r="E363" s="211" t="s">
        <v>8471</v>
      </c>
      <c r="F363" s="213"/>
      <c r="G363" s="219">
        <v>1.0</v>
      </c>
      <c r="H363" s="214" t="s">
        <v>8472</v>
      </c>
      <c r="I363" s="215"/>
      <c r="J363" s="215"/>
      <c r="K363" s="213"/>
      <c r="L363" s="213"/>
      <c r="M363" s="213"/>
      <c r="N363" s="213"/>
      <c r="O363" s="213"/>
      <c r="P363" s="213"/>
      <c r="Q363" s="213"/>
      <c r="R363" s="213"/>
      <c r="S363" s="213"/>
      <c r="T363" s="212"/>
      <c r="U363" s="212"/>
      <c r="V363" s="212"/>
      <c r="W363" s="212"/>
      <c r="X363" s="212"/>
      <c r="Y363" s="212"/>
      <c r="Z363" s="212"/>
      <c r="AA363" s="212"/>
      <c r="AB363" s="212"/>
      <c r="AC363" s="212"/>
      <c r="AD363" s="212"/>
    </row>
    <row r="364" ht="22.5" customHeight="1">
      <c r="A364" s="219">
        <v>20758.0</v>
      </c>
      <c r="B364" s="211" t="s">
        <v>20</v>
      </c>
      <c r="C364" s="211" t="s">
        <v>8473</v>
      </c>
      <c r="D364" s="211" t="s">
        <v>177</v>
      </c>
      <c r="E364" s="211" t="s">
        <v>7815</v>
      </c>
      <c r="F364" s="213"/>
      <c r="G364" s="213"/>
      <c r="H364" s="214" t="s">
        <v>8474</v>
      </c>
      <c r="I364" s="215"/>
      <c r="J364" s="215"/>
      <c r="K364" s="213"/>
      <c r="L364" s="213"/>
      <c r="M364" s="213"/>
      <c r="N364" s="213"/>
      <c r="O364" s="213"/>
      <c r="P364" s="213"/>
      <c r="Q364" s="213"/>
      <c r="R364" s="213"/>
      <c r="S364" s="213"/>
      <c r="T364" s="212"/>
      <c r="U364" s="212"/>
      <c r="V364" s="212"/>
      <c r="W364" s="212"/>
      <c r="X364" s="212"/>
      <c r="Y364" s="212"/>
      <c r="Z364" s="212"/>
      <c r="AA364" s="212"/>
      <c r="AB364" s="212"/>
      <c r="AC364" s="212"/>
      <c r="AD364" s="212"/>
    </row>
    <row r="365" ht="22.5" customHeight="1">
      <c r="A365" s="219">
        <v>20762.0</v>
      </c>
      <c r="B365" s="211" t="s">
        <v>20</v>
      </c>
      <c r="C365" s="211" t="s">
        <v>3662</v>
      </c>
      <c r="D365" s="211" t="s">
        <v>177</v>
      </c>
      <c r="E365" s="211" t="s">
        <v>7931</v>
      </c>
      <c r="F365" s="213"/>
      <c r="G365" s="213"/>
      <c r="H365" s="214" t="s">
        <v>8475</v>
      </c>
      <c r="I365" s="215"/>
      <c r="J365" s="215"/>
      <c r="K365" s="213"/>
      <c r="L365" s="213"/>
      <c r="M365" s="213"/>
      <c r="N365" s="213"/>
      <c r="O365" s="213"/>
      <c r="P365" s="213"/>
      <c r="Q365" s="213"/>
      <c r="R365" s="213"/>
      <c r="S365" s="213"/>
      <c r="T365" s="212"/>
      <c r="U365" s="212"/>
      <c r="V365" s="212"/>
      <c r="W365" s="212"/>
      <c r="X365" s="212"/>
      <c r="Y365" s="212"/>
      <c r="Z365" s="212"/>
      <c r="AA365" s="212"/>
      <c r="AB365" s="212"/>
      <c r="AC365" s="212"/>
      <c r="AD365" s="212"/>
    </row>
    <row r="366" ht="22.5" customHeight="1">
      <c r="A366" s="219">
        <v>20767.0</v>
      </c>
      <c r="B366" s="211" t="s">
        <v>20</v>
      </c>
      <c r="C366" s="211" t="s">
        <v>3209</v>
      </c>
      <c r="D366" s="211" t="s">
        <v>177</v>
      </c>
      <c r="E366" s="211" t="s">
        <v>8130</v>
      </c>
      <c r="F366" s="213"/>
      <c r="G366" s="219">
        <v>1.0</v>
      </c>
      <c r="H366" s="214" t="s">
        <v>8476</v>
      </c>
      <c r="I366" s="215"/>
      <c r="J366" s="215"/>
      <c r="K366" s="213"/>
      <c r="L366" s="213"/>
      <c r="M366" s="213"/>
      <c r="N366" s="213"/>
      <c r="O366" s="213"/>
      <c r="P366" s="213"/>
      <c r="Q366" s="213"/>
      <c r="R366" s="213"/>
      <c r="S366" s="213"/>
      <c r="T366" s="212"/>
      <c r="U366" s="212"/>
      <c r="V366" s="212"/>
      <c r="W366" s="212"/>
      <c r="X366" s="212"/>
      <c r="Y366" s="212"/>
      <c r="Z366" s="212"/>
      <c r="AA366" s="212"/>
      <c r="AB366" s="212"/>
      <c r="AC366" s="212"/>
      <c r="AD366" s="212"/>
    </row>
    <row r="367" ht="22.5" customHeight="1">
      <c r="A367" s="219">
        <v>20771.0</v>
      </c>
      <c r="B367" s="211" t="s">
        <v>20</v>
      </c>
      <c r="C367" s="211" t="s">
        <v>855</v>
      </c>
      <c r="D367" s="211" t="s">
        <v>177</v>
      </c>
      <c r="E367" s="211" t="s">
        <v>8079</v>
      </c>
      <c r="F367" s="213"/>
      <c r="G367" s="213"/>
      <c r="H367" s="215"/>
      <c r="I367" s="215"/>
      <c r="J367" s="216" t="s">
        <v>8477</v>
      </c>
      <c r="K367" s="213"/>
      <c r="L367" s="213"/>
      <c r="M367" s="213"/>
      <c r="N367" s="213"/>
      <c r="O367" s="213"/>
      <c r="P367" s="213"/>
      <c r="Q367" s="213"/>
      <c r="R367" s="213"/>
      <c r="S367" s="213"/>
      <c r="T367" s="212"/>
      <c r="U367" s="212"/>
      <c r="V367" s="212"/>
      <c r="W367" s="212"/>
      <c r="X367" s="212"/>
      <c r="Y367" s="212"/>
      <c r="Z367" s="212"/>
      <c r="AA367" s="212"/>
      <c r="AB367" s="212"/>
      <c r="AC367" s="212"/>
      <c r="AD367" s="212"/>
    </row>
    <row r="368" ht="22.5" customHeight="1">
      <c r="A368" s="219">
        <v>20772.0</v>
      </c>
      <c r="B368" s="211" t="s">
        <v>20</v>
      </c>
      <c r="C368" s="211" t="s">
        <v>4742</v>
      </c>
      <c r="D368" s="211" t="s">
        <v>177</v>
      </c>
      <c r="E368" s="211" t="s">
        <v>8021</v>
      </c>
      <c r="F368" s="213"/>
      <c r="G368" s="213"/>
      <c r="H368" s="214" t="s">
        <v>8478</v>
      </c>
      <c r="I368" s="215"/>
      <c r="J368" s="215"/>
      <c r="K368" s="213"/>
      <c r="L368" s="213"/>
      <c r="M368" s="213"/>
      <c r="N368" s="213"/>
      <c r="O368" s="213"/>
      <c r="P368" s="213"/>
      <c r="Q368" s="213"/>
      <c r="R368" s="213"/>
      <c r="S368" s="213"/>
      <c r="T368" s="212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</row>
    <row r="369" ht="22.5" customHeight="1">
      <c r="A369" s="219">
        <v>20773.0</v>
      </c>
      <c r="B369" s="211" t="s">
        <v>20</v>
      </c>
      <c r="C369" s="211" t="s">
        <v>8479</v>
      </c>
      <c r="D369" s="211" t="s">
        <v>177</v>
      </c>
      <c r="E369" s="211" t="s">
        <v>8021</v>
      </c>
      <c r="F369" s="213"/>
      <c r="G369" s="213"/>
      <c r="H369" s="214" t="s">
        <v>8480</v>
      </c>
      <c r="I369" s="215"/>
      <c r="J369" s="215"/>
      <c r="K369" s="213"/>
      <c r="L369" s="213"/>
      <c r="M369" s="213"/>
      <c r="N369" s="213"/>
      <c r="O369" s="213"/>
      <c r="P369" s="213"/>
      <c r="Q369" s="213"/>
      <c r="R369" s="213"/>
      <c r="S369" s="213"/>
      <c r="T369" s="212"/>
      <c r="U369" s="212"/>
      <c r="V369" s="212"/>
      <c r="W369" s="212"/>
      <c r="X369" s="212"/>
      <c r="Y369" s="212"/>
      <c r="Z369" s="212"/>
      <c r="AA369" s="212"/>
      <c r="AB369" s="212"/>
      <c r="AC369" s="212"/>
      <c r="AD369" s="212"/>
    </row>
    <row r="370" ht="22.5" customHeight="1">
      <c r="A370" s="219">
        <v>20776.0</v>
      </c>
      <c r="B370" s="211" t="s">
        <v>20</v>
      </c>
      <c r="C370" s="211" t="s">
        <v>8481</v>
      </c>
      <c r="D370" s="211" t="s">
        <v>177</v>
      </c>
      <c r="E370" s="211" t="s">
        <v>7924</v>
      </c>
      <c r="F370" s="213"/>
      <c r="G370" s="213"/>
      <c r="H370" s="215"/>
      <c r="I370" s="215"/>
      <c r="J370" s="216" t="s">
        <v>8482</v>
      </c>
      <c r="K370" s="213"/>
      <c r="L370" s="213"/>
      <c r="M370" s="213"/>
      <c r="N370" s="213"/>
      <c r="O370" s="213"/>
      <c r="P370" s="213"/>
      <c r="Q370" s="213"/>
      <c r="R370" s="213"/>
      <c r="S370" s="213"/>
      <c r="T370" s="212"/>
      <c r="U370" s="212"/>
      <c r="V370" s="212"/>
      <c r="W370" s="212"/>
      <c r="X370" s="212"/>
      <c r="Y370" s="212"/>
      <c r="Z370" s="212"/>
      <c r="AA370" s="212"/>
      <c r="AB370" s="212"/>
      <c r="AC370" s="212"/>
      <c r="AD370" s="212"/>
    </row>
    <row r="371" ht="22.5" customHeight="1">
      <c r="A371" s="219">
        <v>20778.0</v>
      </c>
      <c r="B371" s="211" t="s">
        <v>20</v>
      </c>
      <c r="C371" s="211" t="s">
        <v>4823</v>
      </c>
      <c r="D371" s="211" t="s">
        <v>177</v>
      </c>
      <c r="E371" s="211" t="s">
        <v>8101</v>
      </c>
      <c r="F371" s="213"/>
      <c r="G371" s="213"/>
      <c r="H371" s="214" t="s">
        <v>8483</v>
      </c>
      <c r="I371" s="216" t="s">
        <v>8484</v>
      </c>
      <c r="J371" s="215"/>
      <c r="K371" s="213"/>
      <c r="L371" s="213"/>
      <c r="M371" s="213"/>
      <c r="N371" s="213"/>
      <c r="O371" s="213"/>
      <c r="P371" s="213"/>
      <c r="Q371" s="213"/>
      <c r="R371" s="213"/>
      <c r="S371" s="213"/>
      <c r="T371" s="212"/>
      <c r="U371" s="212"/>
      <c r="V371" s="212"/>
      <c r="W371" s="212"/>
      <c r="X371" s="212"/>
      <c r="Y371" s="212"/>
      <c r="Z371" s="212"/>
      <c r="AA371" s="212"/>
      <c r="AB371" s="212"/>
      <c r="AC371" s="212"/>
      <c r="AD371" s="212"/>
    </row>
    <row r="372" ht="22.5" customHeight="1">
      <c r="A372" s="219">
        <v>20779.0</v>
      </c>
      <c r="B372" s="211" t="s">
        <v>20</v>
      </c>
      <c r="C372" s="211" t="s">
        <v>2889</v>
      </c>
      <c r="D372" s="211" t="s">
        <v>177</v>
      </c>
      <c r="E372" s="211" t="s">
        <v>8101</v>
      </c>
      <c r="F372" s="213"/>
      <c r="G372" s="219">
        <v>1.0</v>
      </c>
      <c r="H372" s="214" t="s">
        <v>8485</v>
      </c>
      <c r="I372" s="216" t="s">
        <v>8486</v>
      </c>
      <c r="J372" s="215"/>
      <c r="K372" s="213"/>
      <c r="L372" s="213"/>
      <c r="M372" s="213"/>
      <c r="N372" s="213"/>
      <c r="O372" s="213"/>
      <c r="P372" s="213"/>
      <c r="Q372" s="213"/>
      <c r="R372" s="213"/>
      <c r="S372" s="213"/>
      <c r="T372" s="212"/>
      <c r="U372" s="212"/>
      <c r="V372" s="212"/>
      <c r="W372" s="212"/>
      <c r="X372" s="212"/>
      <c r="Y372" s="212"/>
      <c r="Z372" s="212"/>
      <c r="AA372" s="212"/>
      <c r="AB372" s="212"/>
      <c r="AC372" s="212"/>
      <c r="AD372" s="212"/>
    </row>
    <row r="373" ht="22.5" customHeight="1">
      <c r="A373" s="219">
        <v>20780.0</v>
      </c>
      <c r="B373" s="211" t="s">
        <v>20</v>
      </c>
      <c r="C373" s="211" t="s">
        <v>205</v>
      </c>
      <c r="D373" s="211" t="s">
        <v>177</v>
      </c>
      <c r="E373" s="211" t="s">
        <v>8101</v>
      </c>
      <c r="F373" s="213"/>
      <c r="G373" s="213"/>
      <c r="H373" s="214" t="s">
        <v>8487</v>
      </c>
      <c r="I373" s="215"/>
      <c r="J373" s="215"/>
      <c r="K373" s="213"/>
      <c r="L373" s="213"/>
      <c r="M373" s="213"/>
      <c r="N373" s="213"/>
      <c r="O373" s="213"/>
      <c r="P373" s="213"/>
      <c r="Q373" s="213"/>
      <c r="R373" s="213"/>
      <c r="S373" s="213"/>
      <c r="T373" s="212"/>
      <c r="U373" s="212"/>
      <c r="V373" s="212"/>
      <c r="W373" s="212"/>
      <c r="X373" s="212"/>
      <c r="Y373" s="212"/>
      <c r="Z373" s="212"/>
      <c r="AA373" s="212"/>
      <c r="AB373" s="212"/>
      <c r="AC373" s="212"/>
      <c r="AD373" s="212"/>
    </row>
    <row r="374" ht="22.5" customHeight="1">
      <c r="A374" s="219">
        <v>20781.0</v>
      </c>
      <c r="B374" s="211" t="s">
        <v>20</v>
      </c>
      <c r="C374" s="211" t="s">
        <v>1088</v>
      </c>
      <c r="D374" s="211" t="s">
        <v>177</v>
      </c>
      <c r="E374" s="211" t="s">
        <v>8079</v>
      </c>
      <c r="F374" s="213"/>
      <c r="G374" s="219">
        <v>1.0</v>
      </c>
      <c r="H374" s="214" t="s">
        <v>8488</v>
      </c>
      <c r="I374" s="215"/>
      <c r="J374" s="215"/>
      <c r="K374" s="213"/>
      <c r="L374" s="213"/>
      <c r="M374" s="213"/>
      <c r="N374" s="213"/>
      <c r="O374" s="213"/>
      <c r="P374" s="213"/>
      <c r="Q374" s="213"/>
      <c r="R374" s="213"/>
      <c r="S374" s="213"/>
      <c r="T374" s="212"/>
      <c r="U374" s="212"/>
      <c r="V374" s="212"/>
      <c r="W374" s="212"/>
      <c r="X374" s="212"/>
      <c r="Y374" s="212"/>
      <c r="Z374" s="212"/>
      <c r="AA374" s="212"/>
      <c r="AB374" s="212"/>
      <c r="AC374" s="212"/>
      <c r="AD374" s="212"/>
    </row>
    <row r="375" ht="22.5" customHeight="1">
      <c r="A375" s="219">
        <v>20784.0</v>
      </c>
      <c r="B375" s="211" t="s">
        <v>20</v>
      </c>
      <c r="C375" s="211" t="s">
        <v>1975</v>
      </c>
      <c r="D375" s="211" t="s">
        <v>177</v>
      </c>
      <c r="E375" s="211" t="s">
        <v>7924</v>
      </c>
      <c r="F375" s="213"/>
      <c r="G375" s="213"/>
      <c r="H375" s="214" t="s">
        <v>8489</v>
      </c>
      <c r="I375" s="215"/>
      <c r="J375" s="216" t="s">
        <v>8490</v>
      </c>
      <c r="K375" s="213"/>
      <c r="L375" s="213"/>
      <c r="M375" s="213"/>
      <c r="N375" s="213"/>
      <c r="O375" s="213"/>
      <c r="P375" s="213"/>
      <c r="Q375" s="213"/>
      <c r="R375" s="213"/>
      <c r="S375" s="213"/>
      <c r="T375" s="212"/>
      <c r="U375" s="212"/>
      <c r="V375" s="212"/>
      <c r="W375" s="212"/>
      <c r="X375" s="212"/>
      <c r="Y375" s="212"/>
      <c r="Z375" s="212"/>
      <c r="AA375" s="212"/>
      <c r="AB375" s="212"/>
      <c r="AC375" s="212"/>
      <c r="AD375" s="212"/>
    </row>
    <row r="376" ht="22.5" customHeight="1">
      <c r="A376" s="219">
        <v>20790.0</v>
      </c>
      <c r="B376" s="211" t="s">
        <v>20</v>
      </c>
      <c r="C376" s="211" t="s">
        <v>8491</v>
      </c>
      <c r="D376" s="211" t="s">
        <v>177</v>
      </c>
      <c r="E376" s="211" t="s">
        <v>177</v>
      </c>
      <c r="F376" s="213"/>
      <c r="G376" s="219">
        <v>1.0</v>
      </c>
      <c r="H376" s="214" t="s">
        <v>8492</v>
      </c>
      <c r="I376" s="215"/>
      <c r="J376" s="215"/>
      <c r="K376" s="213"/>
      <c r="L376" s="213"/>
      <c r="M376" s="213"/>
      <c r="N376" s="213"/>
      <c r="O376" s="213"/>
      <c r="P376" s="213"/>
      <c r="Q376" s="213"/>
      <c r="R376" s="213"/>
      <c r="S376" s="213"/>
      <c r="T376" s="212"/>
      <c r="U376" s="212"/>
      <c r="V376" s="212"/>
      <c r="W376" s="212"/>
      <c r="X376" s="212"/>
      <c r="Y376" s="212"/>
      <c r="Z376" s="212"/>
      <c r="AA376" s="212"/>
      <c r="AB376" s="212"/>
      <c r="AC376" s="212"/>
      <c r="AD376" s="212"/>
    </row>
    <row r="377" ht="22.5" customHeight="1">
      <c r="A377" s="219">
        <v>20791.0</v>
      </c>
      <c r="B377" s="211" t="s">
        <v>20</v>
      </c>
      <c r="C377" s="211" t="s">
        <v>8493</v>
      </c>
      <c r="D377" s="211" t="s">
        <v>177</v>
      </c>
      <c r="E377" s="211" t="s">
        <v>8090</v>
      </c>
      <c r="F377" s="213"/>
      <c r="G377" s="213"/>
      <c r="H377" s="214" t="s">
        <v>8494</v>
      </c>
      <c r="I377" s="215"/>
      <c r="J377" s="216" t="s">
        <v>8495</v>
      </c>
      <c r="K377" s="213"/>
      <c r="L377" s="213"/>
      <c r="M377" s="213"/>
      <c r="N377" s="213"/>
      <c r="O377" s="213"/>
      <c r="P377" s="213"/>
      <c r="Q377" s="213"/>
      <c r="R377" s="213"/>
      <c r="S377" s="213"/>
      <c r="T377" s="212"/>
      <c r="U377" s="212"/>
      <c r="V377" s="212"/>
      <c r="W377" s="212"/>
      <c r="X377" s="212"/>
      <c r="Y377" s="212"/>
      <c r="Z377" s="212"/>
      <c r="AA377" s="212"/>
      <c r="AB377" s="212"/>
      <c r="AC377" s="212"/>
      <c r="AD377" s="212"/>
    </row>
    <row r="378" ht="22.5" customHeight="1">
      <c r="A378" s="219">
        <v>20793.0</v>
      </c>
      <c r="B378" s="211" t="s">
        <v>20</v>
      </c>
      <c r="C378" s="211" t="s">
        <v>1088</v>
      </c>
      <c r="D378" s="211" t="s">
        <v>177</v>
      </c>
      <c r="E378" s="211" t="s">
        <v>8090</v>
      </c>
      <c r="F378" s="213"/>
      <c r="G378" s="213"/>
      <c r="H378" s="215"/>
      <c r="I378" s="215"/>
      <c r="J378" s="216" t="s">
        <v>8496</v>
      </c>
      <c r="K378" s="213"/>
      <c r="L378" s="213"/>
      <c r="M378" s="213"/>
      <c r="N378" s="213"/>
      <c r="O378" s="213"/>
      <c r="P378" s="213"/>
      <c r="Q378" s="213"/>
      <c r="R378" s="213"/>
      <c r="S378" s="213"/>
      <c r="T378" s="212"/>
      <c r="U378" s="212"/>
      <c r="V378" s="212"/>
      <c r="W378" s="212"/>
      <c r="X378" s="212"/>
      <c r="Y378" s="212"/>
      <c r="Z378" s="212"/>
      <c r="AA378" s="212"/>
      <c r="AB378" s="212"/>
      <c r="AC378" s="212"/>
      <c r="AD378" s="212"/>
    </row>
    <row r="379" ht="22.5" customHeight="1">
      <c r="A379" s="219">
        <v>20829.0</v>
      </c>
      <c r="B379" s="211" t="s">
        <v>20</v>
      </c>
      <c r="C379" s="211" t="s">
        <v>3658</v>
      </c>
      <c r="D379" s="211" t="s">
        <v>177</v>
      </c>
      <c r="E379" s="211" t="s">
        <v>7815</v>
      </c>
      <c r="F379" s="213"/>
      <c r="G379" s="213"/>
      <c r="H379" s="215"/>
      <c r="I379" s="215"/>
      <c r="J379" s="216" t="s">
        <v>8497</v>
      </c>
      <c r="K379" s="213"/>
      <c r="L379" s="213"/>
      <c r="M379" s="213"/>
      <c r="N379" s="213"/>
      <c r="O379" s="213"/>
      <c r="P379" s="213"/>
      <c r="Q379" s="213"/>
      <c r="R379" s="213"/>
      <c r="S379" s="213"/>
      <c r="T379" s="212"/>
      <c r="U379" s="212"/>
      <c r="V379" s="212"/>
      <c r="W379" s="212"/>
      <c r="X379" s="212"/>
      <c r="Y379" s="212"/>
      <c r="Z379" s="212"/>
      <c r="AA379" s="212"/>
      <c r="AB379" s="212"/>
      <c r="AC379" s="212"/>
      <c r="AD379" s="212"/>
    </row>
    <row r="380" ht="22.5" customHeight="1">
      <c r="A380" s="219">
        <v>20830.0</v>
      </c>
      <c r="B380" s="211" t="s">
        <v>20</v>
      </c>
      <c r="C380" s="211" t="s">
        <v>7919</v>
      </c>
      <c r="D380" s="211" t="s">
        <v>177</v>
      </c>
      <c r="E380" s="211" t="s">
        <v>7815</v>
      </c>
      <c r="F380" s="213"/>
      <c r="G380" s="213"/>
      <c r="H380" s="214" t="s">
        <v>8498</v>
      </c>
      <c r="I380" s="215"/>
      <c r="J380" s="216" t="s">
        <v>8499</v>
      </c>
      <c r="K380" s="213"/>
      <c r="L380" s="213"/>
      <c r="M380" s="213"/>
      <c r="N380" s="213"/>
      <c r="O380" s="213"/>
      <c r="P380" s="213"/>
      <c r="Q380" s="213"/>
      <c r="R380" s="213"/>
      <c r="S380" s="213"/>
      <c r="T380" s="212"/>
      <c r="U380" s="212"/>
      <c r="V380" s="212"/>
      <c r="W380" s="212"/>
      <c r="X380" s="212"/>
      <c r="Y380" s="212"/>
      <c r="Z380" s="212"/>
      <c r="AA380" s="212"/>
      <c r="AB380" s="212"/>
      <c r="AC380" s="212"/>
      <c r="AD380" s="212"/>
    </row>
    <row r="381" ht="22.5" customHeight="1">
      <c r="A381" s="219">
        <v>20831.0</v>
      </c>
      <c r="B381" s="211" t="s">
        <v>20</v>
      </c>
      <c r="C381" s="211" t="s">
        <v>8500</v>
      </c>
      <c r="D381" s="211" t="s">
        <v>177</v>
      </c>
      <c r="E381" s="211" t="s">
        <v>7815</v>
      </c>
      <c r="F381" s="213"/>
      <c r="G381" s="219">
        <v>1.0</v>
      </c>
      <c r="H381" s="214" t="s">
        <v>8501</v>
      </c>
      <c r="I381" s="216" t="s">
        <v>8502</v>
      </c>
      <c r="J381" s="215"/>
      <c r="K381" s="213"/>
      <c r="L381" s="213"/>
      <c r="M381" s="213"/>
      <c r="N381" s="213"/>
      <c r="O381" s="213"/>
      <c r="P381" s="213"/>
      <c r="Q381" s="213"/>
      <c r="R381" s="213"/>
      <c r="S381" s="213"/>
      <c r="T381" s="212"/>
      <c r="U381" s="212"/>
      <c r="V381" s="212"/>
      <c r="W381" s="212"/>
      <c r="X381" s="212"/>
      <c r="Y381" s="212"/>
      <c r="Z381" s="212"/>
      <c r="AA381" s="212"/>
      <c r="AB381" s="212"/>
      <c r="AC381" s="212"/>
      <c r="AD381" s="212"/>
    </row>
    <row r="382" ht="22.5" customHeight="1">
      <c r="A382" s="219">
        <v>20878.0</v>
      </c>
      <c r="B382" s="211" t="s">
        <v>20</v>
      </c>
      <c r="C382" s="211" t="s">
        <v>8503</v>
      </c>
      <c r="D382" s="211" t="s">
        <v>177</v>
      </c>
      <c r="E382" s="211" t="s">
        <v>177</v>
      </c>
      <c r="F382" s="213"/>
      <c r="G382" s="213"/>
      <c r="H382" s="214" t="s">
        <v>8504</v>
      </c>
      <c r="I382" s="216" t="s">
        <v>8505</v>
      </c>
      <c r="J382" s="215"/>
      <c r="K382" s="213"/>
      <c r="L382" s="213"/>
      <c r="M382" s="213"/>
      <c r="N382" s="213"/>
      <c r="O382" s="213"/>
      <c r="P382" s="213"/>
      <c r="Q382" s="213"/>
      <c r="R382" s="213"/>
      <c r="S382" s="213"/>
      <c r="T382" s="212"/>
      <c r="U382" s="212"/>
      <c r="V382" s="212"/>
      <c r="W382" s="212"/>
      <c r="X382" s="212"/>
      <c r="Y382" s="212"/>
      <c r="Z382" s="212"/>
      <c r="AA382" s="212"/>
      <c r="AB382" s="212"/>
      <c r="AC382" s="212"/>
      <c r="AD382" s="212"/>
    </row>
    <row r="383" ht="22.5" customHeight="1">
      <c r="A383" s="219">
        <v>20896.0</v>
      </c>
      <c r="B383" s="211" t="s">
        <v>20</v>
      </c>
      <c r="C383" s="211" t="s">
        <v>855</v>
      </c>
      <c r="D383" s="211" t="s">
        <v>177</v>
      </c>
      <c r="E383" s="211" t="s">
        <v>177</v>
      </c>
      <c r="F383" s="213"/>
      <c r="G383" s="219">
        <v>1.0</v>
      </c>
      <c r="H383" s="214" t="s">
        <v>8506</v>
      </c>
      <c r="I383" s="215"/>
      <c r="J383" s="215"/>
      <c r="K383" s="213"/>
      <c r="L383" s="213"/>
      <c r="M383" s="213"/>
      <c r="N383" s="213"/>
      <c r="O383" s="213"/>
      <c r="P383" s="213"/>
      <c r="Q383" s="213"/>
      <c r="R383" s="213"/>
      <c r="S383" s="213"/>
      <c r="T383" s="212"/>
      <c r="U383" s="212"/>
      <c r="V383" s="212"/>
      <c r="W383" s="212"/>
      <c r="X383" s="212"/>
      <c r="Y383" s="212"/>
      <c r="Z383" s="212"/>
      <c r="AA383" s="212"/>
      <c r="AB383" s="212"/>
      <c r="AC383" s="212"/>
      <c r="AD383" s="212"/>
    </row>
    <row r="384" ht="22.5" customHeight="1">
      <c r="A384" s="219">
        <v>21036.0</v>
      </c>
      <c r="B384" s="211" t="s">
        <v>20</v>
      </c>
      <c r="C384" s="211" t="s">
        <v>8507</v>
      </c>
      <c r="D384" s="211" t="s">
        <v>177</v>
      </c>
      <c r="E384" s="211" t="s">
        <v>7766</v>
      </c>
      <c r="F384" s="213"/>
      <c r="G384" s="213"/>
      <c r="H384" s="215"/>
      <c r="I384" s="215"/>
      <c r="J384" s="216" t="s">
        <v>8508</v>
      </c>
      <c r="K384" s="213"/>
      <c r="L384" s="213"/>
      <c r="M384" s="213"/>
      <c r="N384" s="213"/>
      <c r="O384" s="213"/>
      <c r="P384" s="213"/>
      <c r="Q384" s="213"/>
      <c r="R384" s="213"/>
      <c r="S384" s="213"/>
      <c r="T384" s="212"/>
      <c r="U384" s="212"/>
      <c r="V384" s="212"/>
      <c r="W384" s="212"/>
      <c r="X384" s="212"/>
      <c r="Y384" s="212"/>
      <c r="Z384" s="212"/>
      <c r="AA384" s="212"/>
      <c r="AB384" s="212"/>
      <c r="AC384" s="212"/>
      <c r="AD384" s="212"/>
    </row>
    <row r="385" ht="22.5" customHeight="1">
      <c r="A385" s="219">
        <v>21268.0</v>
      </c>
      <c r="B385" s="211" t="s">
        <v>20</v>
      </c>
      <c r="C385" s="211" t="s">
        <v>8509</v>
      </c>
      <c r="D385" s="211" t="s">
        <v>177</v>
      </c>
      <c r="E385" s="211" t="s">
        <v>7931</v>
      </c>
      <c r="F385" s="213"/>
      <c r="G385" s="213"/>
      <c r="H385" s="214" t="s">
        <v>8510</v>
      </c>
      <c r="I385" s="215"/>
      <c r="J385" s="215"/>
      <c r="K385" s="213"/>
      <c r="L385" s="213"/>
      <c r="M385" s="213"/>
      <c r="N385" s="213"/>
      <c r="O385" s="213"/>
      <c r="P385" s="213"/>
      <c r="Q385" s="213"/>
      <c r="R385" s="213"/>
      <c r="S385" s="213"/>
      <c r="T385" s="212"/>
      <c r="U385" s="212"/>
      <c r="V385" s="212"/>
      <c r="W385" s="212"/>
      <c r="X385" s="212"/>
      <c r="Y385" s="212"/>
      <c r="Z385" s="212"/>
      <c r="AA385" s="212"/>
      <c r="AB385" s="212"/>
      <c r="AC385" s="212"/>
      <c r="AD385" s="212"/>
    </row>
    <row r="386" ht="22.5" customHeight="1">
      <c r="A386" s="219">
        <v>21321.0</v>
      </c>
      <c r="B386" s="211" t="s">
        <v>20</v>
      </c>
      <c r="C386" s="211" t="s">
        <v>1360</v>
      </c>
      <c r="D386" s="211" t="s">
        <v>177</v>
      </c>
      <c r="E386" s="211" t="s">
        <v>7937</v>
      </c>
      <c r="F386" s="213"/>
      <c r="G386" s="213"/>
      <c r="H386" s="214" t="s">
        <v>8511</v>
      </c>
      <c r="I386" s="216" t="s">
        <v>8512</v>
      </c>
      <c r="J386" s="216" t="s">
        <v>8513</v>
      </c>
      <c r="K386" s="213"/>
      <c r="L386" s="213"/>
      <c r="M386" s="213"/>
      <c r="N386" s="213"/>
      <c r="O386" s="213"/>
      <c r="P386" s="213"/>
      <c r="Q386" s="213"/>
      <c r="R386" s="213"/>
      <c r="S386" s="213"/>
      <c r="T386" s="212"/>
      <c r="U386" s="212"/>
      <c r="V386" s="212"/>
      <c r="W386" s="212"/>
      <c r="X386" s="212"/>
      <c r="Y386" s="212"/>
      <c r="Z386" s="212"/>
      <c r="AA386" s="212"/>
      <c r="AB386" s="212"/>
      <c r="AC386" s="212"/>
      <c r="AD386" s="212"/>
    </row>
    <row r="387" ht="22.5" customHeight="1">
      <c r="A387" s="219">
        <v>21404.0</v>
      </c>
      <c r="B387" s="211" t="s">
        <v>20</v>
      </c>
      <c r="C387" s="211" t="s">
        <v>8514</v>
      </c>
      <c r="D387" s="211" t="s">
        <v>177</v>
      </c>
      <c r="E387" s="211" t="s">
        <v>7771</v>
      </c>
      <c r="F387" s="213"/>
      <c r="G387" s="213"/>
      <c r="H387" s="214" t="s">
        <v>8515</v>
      </c>
      <c r="I387" s="216" t="s">
        <v>8516</v>
      </c>
      <c r="J387" s="216" t="s">
        <v>8517</v>
      </c>
      <c r="K387" s="213"/>
      <c r="L387" s="213"/>
      <c r="M387" s="213"/>
      <c r="N387" s="213"/>
      <c r="O387" s="213"/>
      <c r="P387" s="213"/>
      <c r="Q387" s="213"/>
      <c r="R387" s="213"/>
      <c r="S387" s="213"/>
      <c r="T387" s="212"/>
      <c r="U387" s="212"/>
      <c r="V387" s="212"/>
      <c r="W387" s="212"/>
      <c r="X387" s="212"/>
      <c r="Y387" s="212"/>
      <c r="Z387" s="212"/>
      <c r="AA387" s="212"/>
      <c r="AB387" s="212"/>
      <c r="AC387" s="212"/>
      <c r="AD387" s="212"/>
    </row>
    <row r="388" ht="22.5" customHeight="1">
      <c r="A388" s="219">
        <v>21405.0</v>
      </c>
      <c r="B388" s="211" t="s">
        <v>20</v>
      </c>
      <c r="C388" s="211" t="s">
        <v>8518</v>
      </c>
      <c r="D388" s="211" t="s">
        <v>177</v>
      </c>
      <c r="E388" s="211" t="s">
        <v>7821</v>
      </c>
      <c r="F388" s="213"/>
      <c r="G388" s="213"/>
      <c r="H388" s="215"/>
      <c r="I388" s="216" t="s">
        <v>8519</v>
      </c>
      <c r="J388" s="216" t="s">
        <v>8520</v>
      </c>
      <c r="K388" s="213"/>
      <c r="L388" s="213"/>
      <c r="M388" s="213"/>
      <c r="N388" s="213"/>
      <c r="O388" s="213"/>
      <c r="P388" s="213"/>
      <c r="Q388" s="213"/>
      <c r="R388" s="213"/>
      <c r="S388" s="213"/>
      <c r="T388" s="212"/>
      <c r="U388" s="212"/>
      <c r="V388" s="212"/>
      <c r="W388" s="212"/>
      <c r="X388" s="212"/>
      <c r="Y388" s="212"/>
      <c r="Z388" s="212"/>
      <c r="AA388" s="212"/>
      <c r="AB388" s="212"/>
      <c r="AC388" s="212"/>
      <c r="AD388" s="212"/>
    </row>
    <row r="389" ht="22.5" customHeight="1">
      <c r="A389" s="219">
        <v>21406.0</v>
      </c>
      <c r="B389" s="211" t="s">
        <v>20</v>
      </c>
      <c r="C389" s="211" t="s">
        <v>8521</v>
      </c>
      <c r="D389" s="211" t="s">
        <v>177</v>
      </c>
      <c r="E389" s="211" t="s">
        <v>8101</v>
      </c>
      <c r="F389" s="213"/>
      <c r="G389" s="213"/>
      <c r="H389" s="214" t="s">
        <v>8522</v>
      </c>
      <c r="I389" s="215"/>
      <c r="J389" s="215"/>
      <c r="K389" s="213"/>
      <c r="L389" s="213"/>
      <c r="M389" s="213"/>
      <c r="N389" s="213"/>
      <c r="O389" s="213"/>
      <c r="P389" s="213"/>
      <c r="Q389" s="213"/>
      <c r="R389" s="213"/>
      <c r="S389" s="213"/>
      <c r="T389" s="212"/>
      <c r="U389" s="212"/>
      <c r="V389" s="212"/>
      <c r="W389" s="212"/>
      <c r="X389" s="212"/>
      <c r="Y389" s="212"/>
      <c r="Z389" s="212"/>
      <c r="AA389" s="212"/>
      <c r="AB389" s="212"/>
      <c r="AC389" s="212"/>
      <c r="AD389" s="212"/>
    </row>
    <row r="390" ht="22.5" customHeight="1">
      <c r="A390" s="219">
        <v>21472.0</v>
      </c>
      <c r="B390" s="211" t="s">
        <v>20</v>
      </c>
      <c r="C390" s="211" t="s">
        <v>8523</v>
      </c>
      <c r="D390" s="211" t="s">
        <v>177</v>
      </c>
      <c r="E390" s="211" t="s">
        <v>177</v>
      </c>
      <c r="F390" s="213"/>
      <c r="G390" s="213"/>
      <c r="H390" s="214" t="s">
        <v>8524</v>
      </c>
      <c r="I390" s="215"/>
      <c r="J390" s="216" t="s">
        <v>8525</v>
      </c>
      <c r="K390" s="213"/>
      <c r="L390" s="213"/>
      <c r="M390" s="213"/>
      <c r="N390" s="213"/>
      <c r="O390" s="213"/>
      <c r="P390" s="213"/>
      <c r="Q390" s="213"/>
      <c r="R390" s="213"/>
      <c r="S390" s="213"/>
      <c r="T390" s="212"/>
      <c r="U390" s="212"/>
      <c r="V390" s="212"/>
      <c r="W390" s="212"/>
      <c r="X390" s="212"/>
      <c r="Y390" s="212"/>
      <c r="Z390" s="212"/>
      <c r="AA390" s="212"/>
      <c r="AB390" s="212"/>
      <c r="AC390" s="212"/>
      <c r="AD390" s="212"/>
    </row>
    <row r="391" ht="22.5" customHeight="1">
      <c r="A391" s="219">
        <v>21474.0</v>
      </c>
      <c r="B391" s="211" t="s">
        <v>20</v>
      </c>
      <c r="C391" s="211" t="s">
        <v>1975</v>
      </c>
      <c r="D391" s="211" t="s">
        <v>177</v>
      </c>
      <c r="E391" s="211" t="s">
        <v>7942</v>
      </c>
      <c r="F391" s="213"/>
      <c r="G391" s="213"/>
      <c r="H391" s="214" t="s">
        <v>8526</v>
      </c>
      <c r="I391" s="215"/>
      <c r="J391" s="215"/>
      <c r="K391" s="213"/>
      <c r="L391" s="213"/>
      <c r="M391" s="213"/>
      <c r="N391" s="213"/>
      <c r="O391" s="213"/>
      <c r="P391" s="213"/>
      <c r="Q391" s="213"/>
      <c r="R391" s="213"/>
      <c r="S391" s="213"/>
      <c r="T391" s="212"/>
      <c r="U391" s="212"/>
      <c r="V391" s="212"/>
      <c r="W391" s="212"/>
      <c r="X391" s="212"/>
      <c r="Y391" s="212"/>
      <c r="Z391" s="212"/>
      <c r="AA391" s="212"/>
      <c r="AB391" s="212"/>
      <c r="AC391" s="212"/>
      <c r="AD391" s="212"/>
    </row>
    <row r="392" ht="22.5" customHeight="1">
      <c r="A392" s="219">
        <v>21475.0</v>
      </c>
      <c r="B392" s="211" t="s">
        <v>20</v>
      </c>
      <c r="C392" s="211" t="s">
        <v>855</v>
      </c>
      <c r="D392" s="211" t="s">
        <v>177</v>
      </c>
      <c r="E392" s="211" t="s">
        <v>7931</v>
      </c>
      <c r="F392" s="213"/>
      <c r="G392" s="213"/>
      <c r="H392" s="214" t="s">
        <v>8527</v>
      </c>
      <c r="I392" s="215"/>
      <c r="J392" s="215"/>
      <c r="K392" s="213"/>
      <c r="L392" s="213"/>
      <c r="M392" s="213"/>
      <c r="N392" s="213"/>
      <c r="O392" s="213"/>
      <c r="P392" s="213"/>
      <c r="Q392" s="213"/>
      <c r="R392" s="213"/>
      <c r="S392" s="213"/>
      <c r="T392" s="212"/>
      <c r="U392" s="212"/>
      <c r="V392" s="212"/>
      <c r="W392" s="212"/>
      <c r="X392" s="212"/>
      <c r="Y392" s="212"/>
      <c r="Z392" s="212"/>
      <c r="AA392" s="212"/>
      <c r="AB392" s="212"/>
      <c r="AC392" s="212"/>
      <c r="AD392" s="212"/>
    </row>
    <row r="393" ht="22.5" customHeight="1">
      <c r="A393" s="219">
        <v>21476.0</v>
      </c>
      <c r="B393" s="211" t="s">
        <v>20</v>
      </c>
      <c r="C393" s="211" t="s">
        <v>8528</v>
      </c>
      <c r="D393" s="211" t="s">
        <v>177</v>
      </c>
      <c r="E393" s="211" t="s">
        <v>8130</v>
      </c>
      <c r="F393" s="213"/>
      <c r="G393" s="213"/>
      <c r="H393" s="214" t="s">
        <v>8529</v>
      </c>
      <c r="I393" s="215"/>
      <c r="J393" s="215"/>
      <c r="K393" s="213"/>
      <c r="L393" s="213"/>
      <c r="M393" s="213"/>
      <c r="N393" s="213"/>
      <c r="O393" s="213"/>
      <c r="P393" s="213"/>
      <c r="Q393" s="213"/>
      <c r="R393" s="213"/>
      <c r="S393" s="213"/>
      <c r="T393" s="212"/>
      <c r="U393" s="212"/>
      <c r="V393" s="212"/>
      <c r="W393" s="212"/>
      <c r="X393" s="212"/>
      <c r="Y393" s="212"/>
      <c r="Z393" s="212"/>
      <c r="AA393" s="212"/>
      <c r="AB393" s="212"/>
      <c r="AC393" s="212"/>
      <c r="AD393" s="212"/>
    </row>
    <row r="394" ht="22.5" customHeight="1">
      <c r="A394" s="219">
        <v>21477.0</v>
      </c>
      <c r="B394" s="211" t="s">
        <v>20</v>
      </c>
      <c r="C394" s="211" t="s">
        <v>5685</v>
      </c>
      <c r="D394" s="211" t="s">
        <v>177</v>
      </c>
      <c r="E394" s="211" t="s">
        <v>7924</v>
      </c>
      <c r="F394" s="213"/>
      <c r="G394" s="219">
        <v>1.0</v>
      </c>
      <c r="H394" s="214" t="s">
        <v>8530</v>
      </c>
      <c r="I394" s="215"/>
      <c r="J394" s="215"/>
      <c r="K394" s="213"/>
      <c r="L394" s="213"/>
      <c r="M394" s="213"/>
      <c r="N394" s="213"/>
      <c r="O394" s="213"/>
      <c r="P394" s="213"/>
      <c r="Q394" s="213"/>
      <c r="R394" s="213"/>
      <c r="S394" s="213"/>
      <c r="T394" s="212"/>
      <c r="U394" s="212"/>
      <c r="V394" s="212"/>
      <c r="W394" s="212"/>
      <c r="X394" s="212"/>
      <c r="Y394" s="212"/>
      <c r="Z394" s="212"/>
      <c r="AA394" s="212"/>
      <c r="AB394" s="212"/>
      <c r="AC394" s="212"/>
      <c r="AD394" s="212"/>
    </row>
    <row r="395" ht="22.5" customHeight="1">
      <c r="A395" s="219">
        <v>21478.0</v>
      </c>
      <c r="B395" s="211" t="s">
        <v>20</v>
      </c>
      <c r="C395" s="211" t="s">
        <v>8531</v>
      </c>
      <c r="D395" s="211" t="s">
        <v>177</v>
      </c>
      <c r="E395" s="211" t="s">
        <v>7924</v>
      </c>
      <c r="F395" s="213"/>
      <c r="G395" s="213"/>
      <c r="H395" s="214" t="s">
        <v>8532</v>
      </c>
      <c r="I395" s="215"/>
      <c r="J395" s="215"/>
      <c r="K395" s="213"/>
      <c r="L395" s="213"/>
      <c r="M395" s="213"/>
      <c r="N395" s="213"/>
      <c r="O395" s="213"/>
      <c r="P395" s="213"/>
      <c r="Q395" s="213"/>
      <c r="R395" s="213"/>
      <c r="S395" s="213"/>
      <c r="T395" s="212"/>
      <c r="U395" s="212"/>
      <c r="V395" s="212"/>
      <c r="W395" s="212"/>
      <c r="X395" s="212"/>
      <c r="Y395" s="212"/>
      <c r="Z395" s="212"/>
      <c r="AA395" s="212"/>
      <c r="AB395" s="212"/>
      <c r="AC395" s="212"/>
      <c r="AD395" s="212"/>
    </row>
    <row r="396" ht="22.5" customHeight="1">
      <c r="A396" s="219">
        <v>21480.0</v>
      </c>
      <c r="B396" s="211" t="s">
        <v>20</v>
      </c>
      <c r="C396" s="211" t="s">
        <v>735</v>
      </c>
      <c r="D396" s="211" t="s">
        <v>177</v>
      </c>
      <c r="E396" s="211" t="s">
        <v>8533</v>
      </c>
      <c r="F396" s="213"/>
      <c r="G396" s="219">
        <v>1.0</v>
      </c>
      <c r="H396" s="214" t="s">
        <v>8534</v>
      </c>
      <c r="I396" s="215"/>
      <c r="J396" s="215"/>
      <c r="K396" s="213"/>
      <c r="L396" s="213"/>
      <c r="M396" s="213"/>
      <c r="N396" s="213"/>
      <c r="O396" s="213"/>
      <c r="P396" s="213"/>
      <c r="Q396" s="213"/>
      <c r="R396" s="213"/>
      <c r="S396" s="213"/>
      <c r="T396" s="212"/>
      <c r="U396" s="212"/>
      <c r="V396" s="212"/>
      <c r="W396" s="212"/>
      <c r="X396" s="212"/>
      <c r="Y396" s="212"/>
      <c r="Z396" s="212"/>
      <c r="AA396" s="212"/>
      <c r="AB396" s="212"/>
      <c r="AC396" s="212"/>
      <c r="AD396" s="212"/>
    </row>
    <row r="397" ht="22.5" customHeight="1">
      <c r="A397" s="219">
        <v>21481.0</v>
      </c>
      <c r="B397" s="211" t="s">
        <v>20</v>
      </c>
      <c r="C397" s="211" t="s">
        <v>8535</v>
      </c>
      <c r="D397" s="211" t="s">
        <v>177</v>
      </c>
      <c r="E397" s="211" t="s">
        <v>8183</v>
      </c>
      <c r="F397" s="213"/>
      <c r="G397" s="219">
        <v>1.0</v>
      </c>
      <c r="H397" s="214" t="s">
        <v>8536</v>
      </c>
      <c r="I397" s="215"/>
      <c r="J397" s="215"/>
      <c r="K397" s="213"/>
      <c r="L397" s="213"/>
      <c r="M397" s="213"/>
      <c r="N397" s="213"/>
      <c r="O397" s="213"/>
      <c r="P397" s="213"/>
      <c r="Q397" s="213"/>
      <c r="R397" s="213"/>
      <c r="S397" s="213"/>
      <c r="T397" s="212"/>
      <c r="U397" s="212"/>
      <c r="V397" s="212"/>
      <c r="W397" s="212"/>
      <c r="X397" s="212"/>
      <c r="Y397" s="212"/>
      <c r="Z397" s="212"/>
      <c r="AA397" s="212"/>
      <c r="AB397" s="212"/>
      <c r="AC397" s="212"/>
      <c r="AD397" s="212"/>
    </row>
    <row r="398" ht="22.5" customHeight="1">
      <c r="A398" s="219">
        <v>21482.0</v>
      </c>
      <c r="B398" s="211" t="s">
        <v>20</v>
      </c>
      <c r="C398" s="211" t="s">
        <v>8537</v>
      </c>
      <c r="D398" s="211" t="s">
        <v>177</v>
      </c>
      <c r="E398" s="211" t="s">
        <v>8183</v>
      </c>
      <c r="F398" s="213"/>
      <c r="G398" s="219">
        <v>1.0</v>
      </c>
      <c r="H398" s="214" t="s">
        <v>8538</v>
      </c>
      <c r="I398" s="216" t="s">
        <v>8539</v>
      </c>
      <c r="J398" s="215"/>
      <c r="K398" s="213"/>
      <c r="L398" s="213"/>
      <c r="M398" s="213"/>
      <c r="N398" s="213"/>
      <c r="O398" s="213"/>
      <c r="P398" s="213"/>
      <c r="Q398" s="213"/>
      <c r="R398" s="213"/>
      <c r="S398" s="213"/>
      <c r="T398" s="212"/>
      <c r="U398" s="212"/>
      <c r="V398" s="212"/>
      <c r="W398" s="212"/>
      <c r="X398" s="212"/>
      <c r="Y398" s="212"/>
      <c r="Z398" s="212"/>
      <c r="AA398" s="212"/>
      <c r="AB398" s="212"/>
      <c r="AC398" s="212"/>
      <c r="AD398" s="212"/>
    </row>
    <row r="399" ht="22.5" customHeight="1">
      <c r="A399" s="219">
        <v>21602.0</v>
      </c>
      <c r="B399" s="211" t="s">
        <v>20</v>
      </c>
      <c r="C399" s="211" t="s">
        <v>8540</v>
      </c>
      <c r="D399" s="211" t="s">
        <v>177</v>
      </c>
      <c r="E399" s="211" t="s">
        <v>177</v>
      </c>
      <c r="F399" s="213"/>
      <c r="G399" s="213"/>
      <c r="H399" s="214" t="s">
        <v>8541</v>
      </c>
      <c r="I399" s="215"/>
      <c r="J399" s="216" t="s">
        <v>8542</v>
      </c>
      <c r="K399" s="213"/>
      <c r="L399" s="213"/>
      <c r="M399" s="213"/>
      <c r="N399" s="213"/>
      <c r="O399" s="213"/>
      <c r="P399" s="213"/>
      <c r="Q399" s="213"/>
      <c r="R399" s="213"/>
      <c r="S399" s="213"/>
      <c r="T399" s="212"/>
      <c r="U399" s="212"/>
      <c r="V399" s="212"/>
      <c r="W399" s="212"/>
      <c r="X399" s="212"/>
      <c r="Y399" s="212"/>
      <c r="Z399" s="212"/>
      <c r="AA399" s="212"/>
      <c r="AB399" s="212"/>
      <c r="AC399" s="212"/>
      <c r="AD399" s="212"/>
    </row>
    <row r="400" ht="22.5" customHeight="1">
      <c r="A400" s="219">
        <v>21762.0</v>
      </c>
      <c r="B400" s="211" t="s">
        <v>20</v>
      </c>
      <c r="C400" s="211" t="s">
        <v>1257</v>
      </c>
      <c r="D400" s="211" t="s">
        <v>177</v>
      </c>
      <c r="E400" s="211" t="s">
        <v>8021</v>
      </c>
      <c r="F400" s="213"/>
      <c r="G400" s="219">
        <v>1.0</v>
      </c>
      <c r="H400" s="214" t="s">
        <v>8543</v>
      </c>
      <c r="I400" s="215"/>
      <c r="J400" s="215"/>
      <c r="K400" s="213"/>
      <c r="L400" s="213"/>
      <c r="M400" s="213"/>
      <c r="N400" s="213"/>
      <c r="O400" s="213"/>
      <c r="P400" s="213"/>
      <c r="Q400" s="213"/>
      <c r="R400" s="213"/>
      <c r="S400" s="213"/>
      <c r="T400" s="212"/>
      <c r="U400" s="212"/>
      <c r="V400" s="212"/>
      <c r="W400" s="212"/>
      <c r="X400" s="212"/>
      <c r="Y400" s="212"/>
      <c r="Z400" s="212"/>
      <c r="AA400" s="212"/>
      <c r="AB400" s="212"/>
      <c r="AC400" s="212"/>
      <c r="AD400" s="212"/>
    </row>
    <row r="401" ht="22.5" customHeight="1">
      <c r="A401" s="219">
        <v>21764.0</v>
      </c>
      <c r="B401" s="211" t="s">
        <v>20</v>
      </c>
      <c r="C401" s="211" t="s">
        <v>786</v>
      </c>
      <c r="D401" s="211" t="s">
        <v>177</v>
      </c>
      <c r="E401" s="211" t="s">
        <v>8021</v>
      </c>
      <c r="F401" s="213"/>
      <c r="G401" s="213"/>
      <c r="H401" s="214" t="s">
        <v>8544</v>
      </c>
      <c r="I401" s="215"/>
      <c r="J401" s="215"/>
      <c r="K401" s="213"/>
      <c r="L401" s="213"/>
      <c r="M401" s="213"/>
      <c r="N401" s="213"/>
      <c r="O401" s="213"/>
      <c r="P401" s="213"/>
      <c r="Q401" s="213"/>
      <c r="R401" s="213"/>
      <c r="S401" s="213"/>
      <c r="T401" s="212"/>
      <c r="U401" s="212"/>
      <c r="V401" s="212"/>
      <c r="W401" s="212"/>
      <c r="X401" s="212"/>
      <c r="Y401" s="212"/>
      <c r="Z401" s="212"/>
      <c r="AA401" s="212"/>
      <c r="AB401" s="212"/>
      <c r="AC401" s="212"/>
      <c r="AD401" s="212"/>
    </row>
    <row r="402" ht="22.5" customHeight="1">
      <c r="A402" s="219">
        <v>21765.0</v>
      </c>
      <c r="B402" s="211" t="s">
        <v>20</v>
      </c>
      <c r="C402" s="211" t="s">
        <v>8545</v>
      </c>
      <c r="D402" s="211" t="s">
        <v>177</v>
      </c>
      <c r="E402" s="211" t="s">
        <v>177</v>
      </c>
      <c r="F402" s="213"/>
      <c r="G402" s="213"/>
      <c r="H402" s="215"/>
      <c r="I402" s="216" t="s">
        <v>8546</v>
      </c>
      <c r="J402" s="215"/>
      <c r="K402" s="213"/>
      <c r="L402" s="213"/>
      <c r="M402" s="213"/>
      <c r="N402" s="213"/>
      <c r="O402" s="213"/>
      <c r="P402" s="213"/>
      <c r="Q402" s="213"/>
      <c r="R402" s="213"/>
      <c r="S402" s="213"/>
      <c r="T402" s="212"/>
      <c r="U402" s="212"/>
      <c r="V402" s="212"/>
      <c r="W402" s="212"/>
      <c r="X402" s="212"/>
      <c r="Y402" s="212"/>
      <c r="Z402" s="212"/>
      <c r="AA402" s="212"/>
      <c r="AB402" s="212"/>
      <c r="AC402" s="212"/>
      <c r="AD402" s="212"/>
    </row>
    <row r="403" ht="22.5" customHeight="1">
      <c r="A403" s="219">
        <v>21767.0</v>
      </c>
      <c r="B403" s="211" t="s">
        <v>20</v>
      </c>
      <c r="C403" s="211" t="s">
        <v>4214</v>
      </c>
      <c r="D403" s="211" t="s">
        <v>177</v>
      </c>
      <c r="E403" s="211" t="s">
        <v>8101</v>
      </c>
      <c r="F403" s="213"/>
      <c r="G403" s="213"/>
      <c r="H403" s="214" t="s">
        <v>8547</v>
      </c>
      <c r="I403" s="215"/>
      <c r="J403" s="215"/>
      <c r="K403" s="213"/>
      <c r="L403" s="213"/>
      <c r="M403" s="213"/>
      <c r="N403" s="213"/>
      <c r="O403" s="213"/>
      <c r="P403" s="213"/>
      <c r="Q403" s="213"/>
      <c r="R403" s="213"/>
      <c r="S403" s="213"/>
      <c r="T403" s="212"/>
      <c r="U403" s="212"/>
      <c r="V403" s="212"/>
      <c r="W403" s="212"/>
      <c r="X403" s="212"/>
      <c r="Y403" s="212"/>
      <c r="Z403" s="212"/>
      <c r="AA403" s="212"/>
      <c r="AB403" s="212"/>
      <c r="AC403" s="212"/>
      <c r="AD403" s="212"/>
    </row>
    <row r="404" ht="22.5" customHeight="1">
      <c r="A404" s="219">
        <v>21768.0</v>
      </c>
      <c r="B404" s="211" t="s">
        <v>20</v>
      </c>
      <c r="C404" s="211" t="s">
        <v>8548</v>
      </c>
      <c r="D404" s="211" t="s">
        <v>177</v>
      </c>
      <c r="E404" s="211" t="s">
        <v>8021</v>
      </c>
      <c r="F404" s="213"/>
      <c r="G404" s="213"/>
      <c r="H404" s="214" t="s">
        <v>8549</v>
      </c>
      <c r="I404" s="215"/>
      <c r="J404" s="215"/>
      <c r="K404" s="213"/>
      <c r="L404" s="213"/>
      <c r="M404" s="213"/>
      <c r="N404" s="213"/>
      <c r="O404" s="213"/>
      <c r="P404" s="213"/>
      <c r="Q404" s="213"/>
      <c r="R404" s="213"/>
      <c r="S404" s="213"/>
      <c r="T404" s="212"/>
      <c r="U404" s="212"/>
      <c r="V404" s="212"/>
      <c r="W404" s="212"/>
      <c r="X404" s="212"/>
      <c r="Y404" s="212"/>
      <c r="Z404" s="212"/>
      <c r="AA404" s="212"/>
      <c r="AB404" s="212"/>
      <c r="AC404" s="212"/>
      <c r="AD404" s="212"/>
    </row>
    <row r="405" ht="22.5" customHeight="1">
      <c r="A405" s="219">
        <v>21769.0</v>
      </c>
      <c r="B405" s="211" t="s">
        <v>20</v>
      </c>
      <c r="C405" s="211" t="s">
        <v>8550</v>
      </c>
      <c r="D405" s="211" t="s">
        <v>177</v>
      </c>
      <c r="E405" s="211" t="s">
        <v>177</v>
      </c>
      <c r="F405" s="213"/>
      <c r="G405" s="213"/>
      <c r="H405" s="214" t="s">
        <v>8551</v>
      </c>
      <c r="I405" s="215"/>
      <c r="J405" s="216" t="s">
        <v>8552</v>
      </c>
      <c r="K405" s="213"/>
      <c r="L405" s="213"/>
      <c r="M405" s="213"/>
      <c r="N405" s="213"/>
      <c r="O405" s="213"/>
      <c r="P405" s="213"/>
      <c r="Q405" s="213"/>
      <c r="R405" s="213"/>
      <c r="S405" s="213"/>
      <c r="T405" s="212"/>
      <c r="U405" s="212"/>
      <c r="V405" s="212"/>
      <c r="W405" s="212"/>
      <c r="X405" s="212"/>
      <c r="Y405" s="212"/>
      <c r="Z405" s="212"/>
      <c r="AA405" s="212"/>
      <c r="AB405" s="212"/>
      <c r="AC405" s="212"/>
      <c r="AD405" s="212"/>
    </row>
    <row r="406" ht="22.5" customHeight="1">
      <c r="A406" s="219">
        <v>21780.0</v>
      </c>
      <c r="B406" s="211" t="s">
        <v>20</v>
      </c>
      <c r="C406" s="211" t="s">
        <v>855</v>
      </c>
      <c r="D406" s="211" t="s">
        <v>177</v>
      </c>
      <c r="E406" s="211" t="s">
        <v>8012</v>
      </c>
      <c r="F406" s="213"/>
      <c r="G406" s="213"/>
      <c r="H406" s="215"/>
      <c r="I406" s="215"/>
      <c r="J406" s="216" t="s">
        <v>8553</v>
      </c>
      <c r="K406" s="213"/>
      <c r="L406" s="213"/>
      <c r="M406" s="213"/>
      <c r="N406" s="213"/>
      <c r="O406" s="213"/>
      <c r="P406" s="213"/>
      <c r="Q406" s="213"/>
      <c r="R406" s="213"/>
      <c r="S406" s="213"/>
      <c r="T406" s="212"/>
      <c r="U406" s="212"/>
      <c r="V406" s="212"/>
      <c r="W406" s="212"/>
      <c r="X406" s="212"/>
      <c r="Y406" s="212"/>
      <c r="Z406" s="212"/>
      <c r="AA406" s="212"/>
      <c r="AB406" s="212"/>
      <c r="AC406" s="212"/>
      <c r="AD406" s="212"/>
    </row>
    <row r="407" ht="22.5" customHeight="1">
      <c r="A407" s="219">
        <v>21781.0</v>
      </c>
      <c r="B407" s="211" t="s">
        <v>20</v>
      </c>
      <c r="C407" s="211" t="s">
        <v>763</v>
      </c>
      <c r="D407" s="211" t="s">
        <v>177</v>
      </c>
      <c r="E407" s="211" t="s">
        <v>7937</v>
      </c>
      <c r="F407" s="213"/>
      <c r="G407" s="213"/>
      <c r="H407" s="214" t="s">
        <v>8554</v>
      </c>
      <c r="I407" s="215"/>
      <c r="J407" s="215"/>
      <c r="K407" s="213"/>
      <c r="L407" s="213"/>
      <c r="M407" s="213"/>
      <c r="N407" s="213"/>
      <c r="O407" s="213"/>
      <c r="P407" s="213"/>
      <c r="Q407" s="213"/>
      <c r="R407" s="213"/>
      <c r="S407" s="213"/>
      <c r="T407" s="212"/>
      <c r="U407" s="212"/>
      <c r="V407" s="212"/>
      <c r="W407" s="212"/>
      <c r="X407" s="212"/>
      <c r="Y407" s="212"/>
      <c r="Z407" s="212"/>
      <c r="AA407" s="212"/>
      <c r="AB407" s="212"/>
      <c r="AC407" s="212"/>
      <c r="AD407" s="212"/>
    </row>
    <row r="408" ht="22.5" customHeight="1">
      <c r="A408" s="219">
        <v>21790.0</v>
      </c>
      <c r="B408" s="211" t="s">
        <v>20</v>
      </c>
      <c r="C408" s="211" t="s">
        <v>8555</v>
      </c>
      <c r="D408" s="211" t="s">
        <v>177</v>
      </c>
      <c r="E408" s="211" t="s">
        <v>177</v>
      </c>
      <c r="F408" s="213"/>
      <c r="G408" s="213"/>
      <c r="H408" s="214" t="s">
        <v>8556</v>
      </c>
      <c r="I408" s="216" t="s">
        <v>8557</v>
      </c>
      <c r="J408" s="215"/>
      <c r="K408" s="213"/>
      <c r="L408" s="213"/>
      <c r="M408" s="213"/>
      <c r="N408" s="213"/>
      <c r="O408" s="213"/>
      <c r="P408" s="213"/>
      <c r="Q408" s="213"/>
      <c r="R408" s="213"/>
      <c r="S408" s="213"/>
      <c r="T408" s="212"/>
      <c r="U408" s="212"/>
      <c r="V408" s="212"/>
      <c r="W408" s="212"/>
      <c r="X408" s="212"/>
      <c r="Y408" s="212"/>
      <c r="Z408" s="212"/>
      <c r="AA408" s="212"/>
      <c r="AB408" s="212"/>
      <c r="AC408" s="212"/>
      <c r="AD408" s="212"/>
    </row>
    <row r="409" ht="22.5" customHeight="1">
      <c r="A409" s="219">
        <v>21794.0</v>
      </c>
      <c r="B409" s="211" t="s">
        <v>20</v>
      </c>
      <c r="C409" s="211" t="s">
        <v>4182</v>
      </c>
      <c r="D409" s="211" t="s">
        <v>177</v>
      </c>
      <c r="E409" s="211" t="s">
        <v>177</v>
      </c>
      <c r="F409" s="213"/>
      <c r="G409" s="213"/>
      <c r="H409" s="215"/>
      <c r="I409" s="216" t="s">
        <v>2085</v>
      </c>
      <c r="J409" s="215"/>
      <c r="K409" s="213"/>
      <c r="L409" s="213"/>
      <c r="M409" s="213"/>
      <c r="N409" s="213"/>
      <c r="O409" s="213"/>
      <c r="P409" s="213"/>
      <c r="Q409" s="213"/>
      <c r="R409" s="213"/>
      <c r="S409" s="213"/>
      <c r="T409" s="212"/>
      <c r="U409" s="212"/>
      <c r="V409" s="212"/>
      <c r="W409" s="212"/>
      <c r="X409" s="212"/>
      <c r="Y409" s="212"/>
      <c r="Z409" s="212"/>
      <c r="AA409" s="212"/>
      <c r="AB409" s="212"/>
      <c r="AC409" s="212"/>
      <c r="AD409" s="212"/>
    </row>
    <row r="410" ht="22.5" customHeight="1">
      <c r="A410" s="219">
        <v>21795.0</v>
      </c>
      <c r="B410" s="211" t="s">
        <v>20</v>
      </c>
      <c r="C410" s="211" t="s">
        <v>8558</v>
      </c>
      <c r="D410" s="211" t="s">
        <v>177</v>
      </c>
      <c r="E410" s="211" t="s">
        <v>7763</v>
      </c>
      <c r="F410" s="213"/>
      <c r="G410" s="213"/>
      <c r="H410" s="215"/>
      <c r="I410" s="215"/>
      <c r="J410" s="216" t="s">
        <v>8559</v>
      </c>
      <c r="K410" s="213"/>
      <c r="L410" s="213"/>
      <c r="M410" s="213"/>
      <c r="N410" s="213"/>
      <c r="O410" s="213"/>
      <c r="P410" s="213"/>
      <c r="Q410" s="213"/>
      <c r="R410" s="213"/>
      <c r="S410" s="213"/>
      <c r="T410" s="212"/>
      <c r="U410" s="212"/>
      <c r="V410" s="212"/>
      <c r="W410" s="212"/>
      <c r="X410" s="212"/>
      <c r="Y410" s="212"/>
      <c r="Z410" s="212"/>
      <c r="AA410" s="212"/>
      <c r="AB410" s="212"/>
      <c r="AC410" s="212"/>
      <c r="AD410" s="212"/>
    </row>
    <row r="411" ht="22.5" customHeight="1">
      <c r="A411" s="219">
        <v>21796.0</v>
      </c>
      <c r="B411" s="211" t="s">
        <v>20</v>
      </c>
      <c r="C411" s="211" t="s">
        <v>8560</v>
      </c>
      <c r="D411" s="211" t="s">
        <v>177</v>
      </c>
      <c r="E411" s="211" t="s">
        <v>7924</v>
      </c>
      <c r="F411" s="213"/>
      <c r="G411" s="219">
        <v>1.0</v>
      </c>
      <c r="H411" s="214" t="s">
        <v>8561</v>
      </c>
      <c r="I411" s="215"/>
      <c r="J411" s="215"/>
      <c r="K411" s="213"/>
      <c r="L411" s="213"/>
      <c r="M411" s="213"/>
      <c r="N411" s="213"/>
      <c r="O411" s="213"/>
      <c r="P411" s="213"/>
      <c r="Q411" s="213"/>
      <c r="R411" s="213"/>
      <c r="S411" s="213"/>
      <c r="T411" s="212"/>
      <c r="U411" s="212"/>
      <c r="V411" s="212"/>
      <c r="W411" s="212"/>
      <c r="X411" s="212"/>
      <c r="Y411" s="212"/>
      <c r="Z411" s="212"/>
      <c r="AA411" s="212"/>
      <c r="AB411" s="212"/>
      <c r="AC411" s="212"/>
      <c r="AD411" s="212"/>
    </row>
    <row r="412" ht="22.5" customHeight="1">
      <c r="A412" s="219">
        <v>21832.0</v>
      </c>
      <c r="B412" s="211" t="s">
        <v>20</v>
      </c>
      <c r="C412" s="211" t="s">
        <v>4222</v>
      </c>
      <c r="D412" s="222" t="s">
        <v>177</v>
      </c>
      <c r="E412" s="222" t="s">
        <v>177</v>
      </c>
      <c r="F412" s="213"/>
      <c r="G412" s="213"/>
      <c r="H412" s="214" t="s">
        <v>8562</v>
      </c>
      <c r="I412" s="216" t="s">
        <v>8563</v>
      </c>
      <c r="J412" s="215"/>
      <c r="K412" s="213"/>
      <c r="L412" s="213"/>
      <c r="M412" s="213"/>
      <c r="N412" s="213"/>
      <c r="O412" s="213"/>
      <c r="P412" s="213"/>
      <c r="Q412" s="213"/>
      <c r="R412" s="213"/>
      <c r="S412" s="213"/>
      <c r="T412" s="212"/>
      <c r="U412" s="212"/>
      <c r="V412" s="212"/>
      <c r="W412" s="212"/>
      <c r="X412" s="212"/>
      <c r="Y412" s="212"/>
      <c r="Z412" s="212"/>
      <c r="AA412" s="212"/>
      <c r="AB412" s="212"/>
      <c r="AC412" s="212"/>
      <c r="AD412" s="212"/>
    </row>
    <row r="413" ht="22.5" customHeight="1">
      <c r="A413" s="219">
        <v>21834.0</v>
      </c>
      <c r="B413" s="211" t="s">
        <v>20</v>
      </c>
      <c r="C413" s="211" t="s">
        <v>8564</v>
      </c>
      <c r="D413" s="222" t="s">
        <v>177</v>
      </c>
      <c r="E413" s="211" t="s">
        <v>7931</v>
      </c>
      <c r="F413" s="213"/>
      <c r="G413" s="213"/>
      <c r="H413" s="215"/>
      <c r="I413" s="215"/>
      <c r="J413" s="216" t="s">
        <v>8565</v>
      </c>
      <c r="K413" s="213"/>
      <c r="L413" s="213"/>
      <c r="M413" s="213"/>
      <c r="N413" s="213"/>
      <c r="O413" s="213"/>
      <c r="P413" s="213"/>
      <c r="Q413" s="213"/>
      <c r="R413" s="213"/>
      <c r="S413" s="213"/>
      <c r="T413" s="212"/>
      <c r="U413" s="212"/>
      <c r="V413" s="212"/>
      <c r="W413" s="212"/>
      <c r="X413" s="212"/>
      <c r="Y413" s="212"/>
      <c r="Z413" s="212"/>
      <c r="AA413" s="212"/>
      <c r="AB413" s="212"/>
      <c r="AC413" s="212"/>
      <c r="AD413" s="212"/>
    </row>
    <row r="414" ht="22.5" customHeight="1">
      <c r="A414" s="219">
        <v>21835.0</v>
      </c>
      <c r="B414" s="211" t="s">
        <v>20</v>
      </c>
      <c r="C414" s="211" t="s">
        <v>1108</v>
      </c>
      <c r="D414" s="222" t="s">
        <v>177</v>
      </c>
      <c r="E414" s="211" t="s">
        <v>8533</v>
      </c>
      <c r="F414" s="213"/>
      <c r="G414" s="213"/>
      <c r="H414" s="215"/>
      <c r="I414" s="215"/>
      <c r="J414" s="216" t="s">
        <v>8388</v>
      </c>
      <c r="K414" s="213"/>
      <c r="L414" s="213"/>
      <c r="M414" s="213"/>
      <c r="N414" s="213"/>
      <c r="O414" s="213"/>
      <c r="P414" s="213"/>
      <c r="Q414" s="213"/>
      <c r="R414" s="213"/>
      <c r="S414" s="213"/>
      <c r="T414" s="212"/>
      <c r="U414" s="212"/>
      <c r="V414" s="212"/>
      <c r="W414" s="212"/>
      <c r="X414" s="212"/>
      <c r="Y414" s="212"/>
      <c r="Z414" s="212"/>
      <c r="AA414" s="212"/>
      <c r="AB414" s="212"/>
      <c r="AC414" s="212"/>
      <c r="AD414" s="212"/>
    </row>
    <row r="415" ht="22.5" customHeight="1">
      <c r="A415" s="219">
        <v>21836.0</v>
      </c>
      <c r="B415" s="211" t="s">
        <v>20</v>
      </c>
      <c r="C415" s="211" t="s">
        <v>8566</v>
      </c>
      <c r="D415" s="222" t="s">
        <v>177</v>
      </c>
      <c r="E415" s="222" t="s">
        <v>177</v>
      </c>
      <c r="F415" s="213"/>
      <c r="G415" s="213"/>
      <c r="H415" s="214" t="s">
        <v>8567</v>
      </c>
      <c r="I415" s="215"/>
      <c r="J415" s="215"/>
      <c r="K415" s="213"/>
      <c r="L415" s="213"/>
      <c r="M415" s="213"/>
      <c r="N415" s="213"/>
      <c r="O415" s="213"/>
      <c r="P415" s="213"/>
      <c r="Q415" s="213"/>
      <c r="R415" s="213"/>
      <c r="S415" s="213"/>
      <c r="T415" s="212"/>
      <c r="U415" s="212"/>
      <c r="V415" s="212"/>
      <c r="W415" s="212"/>
      <c r="X415" s="212"/>
      <c r="Y415" s="212"/>
      <c r="Z415" s="212"/>
      <c r="AA415" s="212"/>
      <c r="AB415" s="212"/>
      <c r="AC415" s="212"/>
      <c r="AD415" s="212"/>
    </row>
    <row r="416" ht="22.5" customHeight="1">
      <c r="A416" s="219">
        <v>21837.0</v>
      </c>
      <c r="B416" s="211" t="s">
        <v>20</v>
      </c>
      <c r="C416" s="211" t="s">
        <v>8372</v>
      </c>
      <c r="D416" s="222" t="s">
        <v>177</v>
      </c>
      <c r="E416" s="211" t="s">
        <v>7931</v>
      </c>
      <c r="F416" s="213"/>
      <c r="G416" s="213"/>
      <c r="H416" s="215"/>
      <c r="I416" s="215"/>
      <c r="J416" s="216" t="s">
        <v>8373</v>
      </c>
      <c r="K416" s="213"/>
      <c r="L416" s="213"/>
      <c r="M416" s="213"/>
      <c r="N416" s="213"/>
      <c r="O416" s="213"/>
      <c r="P416" s="213"/>
      <c r="Q416" s="213"/>
      <c r="R416" s="213"/>
      <c r="S416" s="213"/>
      <c r="T416" s="212"/>
      <c r="U416" s="212"/>
      <c r="V416" s="212"/>
      <c r="W416" s="212"/>
      <c r="X416" s="212"/>
      <c r="Y416" s="212"/>
      <c r="Z416" s="212"/>
      <c r="AA416" s="212"/>
      <c r="AB416" s="212"/>
      <c r="AC416" s="212"/>
      <c r="AD416" s="212"/>
    </row>
    <row r="417" ht="22.5" customHeight="1">
      <c r="A417" s="230">
        <v>22072.0</v>
      </c>
      <c r="B417" s="211" t="s">
        <v>20</v>
      </c>
      <c r="C417" s="211" t="s">
        <v>3009</v>
      </c>
      <c r="D417" s="222" t="s">
        <v>177</v>
      </c>
      <c r="E417" s="211" t="s">
        <v>7931</v>
      </c>
      <c r="F417" s="213"/>
      <c r="G417" s="213"/>
      <c r="H417" s="214" t="s">
        <v>8568</v>
      </c>
      <c r="I417" s="216" t="s">
        <v>8569</v>
      </c>
      <c r="J417" s="215"/>
      <c r="K417" s="213"/>
      <c r="L417" s="213"/>
      <c r="M417" s="213"/>
      <c r="N417" s="213"/>
      <c r="O417" s="213"/>
      <c r="P417" s="213"/>
      <c r="Q417" s="213"/>
      <c r="R417" s="213"/>
      <c r="S417" s="213"/>
      <c r="T417" s="212"/>
      <c r="U417" s="212"/>
      <c r="V417" s="212"/>
      <c r="W417" s="212"/>
      <c r="X417" s="212"/>
      <c r="Y417" s="212"/>
      <c r="Z417" s="212"/>
      <c r="AA417" s="212"/>
      <c r="AB417" s="212"/>
      <c r="AC417" s="212"/>
      <c r="AD417" s="212"/>
    </row>
    <row r="418" ht="22.5" customHeight="1">
      <c r="A418" s="219">
        <v>22243.0</v>
      </c>
      <c r="B418" s="211" t="s">
        <v>20</v>
      </c>
      <c r="C418" s="211" t="s">
        <v>8570</v>
      </c>
      <c r="D418" s="222" t="s">
        <v>177</v>
      </c>
      <c r="E418" s="222" t="s">
        <v>177</v>
      </c>
      <c r="F418" s="213"/>
      <c r="G418" s="213"/>
      <c r="H418" s="215"/>
      <c r="I418" s="215"/>
      <c r="J418" s="216" t="s">
        <v>8571</v>
      </c>
      <c r="K418" s="213"/>
      <c r="L418" s="213"/>
      <c r="M418" s="213"/>
      <c r="N418" s="213"/>
      <c r="O418" s="213"/>
      <c r="P418" s="213"/>
      <c r="Q418" s="213"/>
      <c r="R418" s="213"/>
      <c r="S418" s="213"/>
      <c r="T418" s="212"/>
      <c r="U418" s="212"/>
      <c r="V418" s="212"/>
      <c r="W418" s="212"/>
      <c r="X418" s="212"/>
      <c r="Y418" s="212"/>
      <c r="Z418" s="212"/>
      <c r="AA418" s="212"/>
      <c r="AB418" s="212"/>
      <c r="AC418" s="212"/>
      <c r="AD418" s="212"/>
    </row>
    <row r="419" ht="22.5" customHeight="1">
      <c r="A419" s="219">
        <v>22267.0</v>
      </c>
      <c r="B419" s="211" t="s">
        <v>20</v>
      </c>
      <c r="C419" s="211" t="s">
        <v>6733</v>
      </c>
      <c r="D419" s="222" t="s">
        <v>177</v>
      </c>
      <c r="E419" s="211" t="s">
        <v>8079</v>
      </c>
      <c r="F419" s="213"/>
      <c r="G419" s="219">
        <v>1.0</v>
      </c>
      <c r="H419" s="214" t="s">
        <v>8572</v>
      </c>
      <c r="I419" s="215"/>
      <c r="J419" s="215"/>
      <c r="K419" s="213"/>
      <c r="L419" s="213"/>
      <c r="M419" s="213"/>
      <c r="N419" s="213"/>
      <c r="O419" s="213"/>
      <c r="P419" s="213"/>
      <c r="Q419" s="213"/>
      <c r="R419" s="213"/>
      <c r="S419" s="213"/>
      <c r="T419" s="212"/>
      <c r="U419" s="212"/>
      <c r="V419" s="212"/>
      <c r="W419" s="212"/>
      <c r="X419" s="212"/>
      <c r="Y419" s="212"/>
      <c r="Z419" s="212"/>
      <c r="AA419" s="212"/>
      <c r="AB419" s="212"/>
      <c r="AC419" s="212"/>
      <c r="AD419" s="212"/>
    </row>
    <row r="420" ht="22.5" customHeight="1">
      <c r="A420" s="219">
        <v>22270.0</v>
      </c>
      <c r="B420" s="211" t="s">
        <v>20</v>
      </c>
      <c r="C420" s="211" t="s">
        <v>8573</v>
      </c>
      <c r="D420" s="222" t="s">
        <v>177</v>
      </c>
      <c r="E420" s="211" t="s">
        <v>8079</v>
      </c>
      <c r="F420" s="213"/>
      <c r="G420" s="219">
        <v>1.0</v>
      </c>
      <c r="H420" s="214" t="s">
        <v>8574</v>
      </c>
      <c r="I420" s="215"/>
      <c r="J420" s="215"/>
      <c r="K420" s="213"/>
      <c r="L420" s="213"/>
      <c r="M420" s="213"/>
      <c r="N420" s="213"/>
      <c r="O420" s="213"/>
      <c r="P420" s="213"/>
      <c r="Q420" s="213"/>
      <c r="R420" s="213"/>
      <c r="S420" s="213"/>
      <c r="T420" s="212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</row>
    <row r="421" ht="22.5" customHeight="1">
      <c r="A421" s="219">
        <v>22271.0</v>
      </c>
      <c r="B421" s="211" t="s">
        <v>20</v>
      </c>
      <c r="C421" s="211" t="s">
        <v>8575</v>
      </c>
      <c r="D421" s="222" t="s">
        <v>177</v>
      </c>
      <c r="E421" s="222" t="s">
        <v>177</v>
      </c>
      <c r="F421" s="213"/>
      <c r="G421" s="213"/>
      <c r="H421" s="214" t="s">
        <v>8576</v>
      </c>
      <c r="I421" s="215"/>
      <c r="J421" s="215"/>
      <c r="K421" s="213"/>
      <c r="L421" s="213"/>
      <c r="M421" s="213"/>
      <c r="N421" s="213"/>
      <c r="O421" s="213"/>
      <c r="P421" s="213"/>
      <c r="Q421" s="213"/>
      <c r="R421" s="213"/>
      <c r="S421" s="213"/>
      <c r="T421" s="212"/>
      <c r="U421" s="212"/>
      <c r="V421" s="212"/>
      <c r="W421" s="212"/>
      <c r="X421" s="212"/>
      <c r="Y421" s="212"/>
      <c r="Z421" s="212"/>
      <c r="AA421" s="212"/>
      <c r="AB421" s="212"/>
      <c r="AC421" s="212"/>
      <c r="AD421" s="212"/>
    </row>
    <row r="422" ht="22.5" customHeight="1">
      <c r="A422" s="219">
        <v>23056.0</v>
      </c>
      <c r="B422" s="211" t="s">
        <v>20</v>
      </c>
      <c r="C422" s="211" t="s">
        <v>8577</v>
      </c>
      <c r="D422" s="222" t="s">
        <v>177</v>
      </c>
      <c r="E422" s="211" t="s">
        <v>7924</v>
      </c>
      <c r="F422" s="213"/>
      <c r="G422" s="213"/>
      <c r="H422" s="214" t="s">
        <v>8578</v>
      </c>
      <c r="I422" s="215"/>
      <c r="J422" s="215"/>
      <c r="K422" s="213"/>
      <c r="L422" s="213"/>
      <c r="M422" s="213"/>
      <c r="N422" s="213"/>
      <c r="O422" s="213"/>
      <c r="P422" s="213"/>
      <c r="Q422" s="213"/>
      <c r="R422" s="213"/>
      <c r="S422" s="213"/>
      <c r="T422" s="212"/>
      <c r="U422" s="212"/>
      <c r="V422" s="212"/>
      <c r="W422" s="212"/>
      <c r="X422" s="212"/>
      <c r="Y422" s="212"/>
      <c r="Z422" s="212"/>
      <c r="AA422" s="212"/>
      <c r="AB422" s="212"/>
      <c r="AC422" s="212"/>
      <c r="AD422" s="212"/>
    </row>
    <row r="423" ht="22.5" customHeight="1">
      <c r="A423" s="219">
        <v>23058.0</v>
      </c>
      <c r="B423" s="211" t="s">
        <v>20</v>
      </c>
      <c r="C423" s="211" t="s">
        <v>8579</v>
      </c>
      <c r="D423" s="222" t="s">
        <v>177</v>
      </c>
      <c r="E423" s="222" t="s">
        <v>177</v>
      </c>
      <c r="F423" s="213"/>
      <c r="G423" s="219" t="s">
        <v>318</v>
      </c>
      <c r="H423" s="214" t="s">
        <v>8580</v>
      </c>
      <c r="I423" s="216" t="s">
        <v>8581</v>
      </c>
      <c r="J423" s="216" t="s">
        <v>8582</v>
      </c>
      <c r="K423" s="213"/>
      <c r="L423" s="213"/>
      <c r="M423" s="213"/>
      <c r="N423" s="213"/>
      <c r="O423" s="213"/>
      <c r="P423" s="213"/>
      <c r="Q423" s="213"/>
      <c r="R423" s="213"/>
      <c r="S423" s="213"/>
      <c r="T423" s="212"/>
      <c r="U423" s="212"/>
      <c r="V423" s="212"/>
      <c r="W423" s="212"/>
      <c r="X423" s="212"/>
      <c r="Y423" s="212"/>
      <c r="Z423" s="212"/>
      <c r="AA423" s="212"/>
      <c r="AB423" s="212"/>
      <c r="AC423" s="212"/>
      <c r="AD423" s="212"/>
    </row>
    <row r="424" ht="22.5" customHeight="1">
      <c r="A424" s="219">
        <v>23059.0</v>
      </c>
      <c r="B424" s="211" t="s">
        <v>20</v>
      </c>
      <c r="C424" s="211" t="s">
        <v>8583</v>
      </c>
      <c r="D424" s="222" t="s">
        <v>177</v>
      </c>
      <c r="E424" s="222" t="s">
        <v>177</v>
      </c>
      <c r="F424" s="213"/>
      <c r="G424" s="213"/>
      <c r="H424" s="214" t="s">
        <v>8584</v>
      </c>
      <c r="I424" s="216" t="s">
        <v>8585</v>
      </c>
      <c r="J424" s="215"/>
      <c r="K424" s="213"/>
      <c r="L424" s="213"/>
      <c r="M424" s="213"/>
      <c r="N424" s="213"/>
      <c r="O424" s="213"/>
      <c r="P424" s="213"/>
      <c r="Q424" s="213"/>
      <c r="R424" s="213"/>
      <c r="S424" s="213"/>
      <c r="T424" s="212"/>
      <c r="U424" s="212"/>
      <c r="V424" s="212"/>
      <c r="W424" s="212"/>
      <c r="X424" s="212"/>
      <c r="Y424" s="212"/>
      <c r="Z424" s="212"/>
      <c r="AA424" s="212"/>
      <c r="AB424" s="212"/>
      <c r="AC424" s="212"/>
      <c r="AD424" s="212"/>
    </row>
    <row r="425" ht="22.5" customHeight="1">
      <c r="A425" s="219">
        <v>23063.0</v>
      </c>
      <c r="B425" s="211" t="s">
        <v>20</v>
      </c>
      <c r="C425" s="211" t="s">
        <v>74</v>
      </c>
      <c r="D425" s="222" t="s">
        <v>177</v>
      </c>
      <c r="E425" s="211" t="s">
        <v>7924</v>
      </c>
      <c r="F425" s="213"/>
      <c r="G425" s="213"/>
      <c r="H425" s="215"/>
      <c r="I425" s="215"/>
      <c r="J425" s="216" t="s">
        <v>8586</v>
      </c>
      <c r="K425" s="213"/>
      <c r="L425" s="213"/>
      <c r="M425" s="213"/>
      <c r="N425" s="213"/>
      <c r="O425" s="213"/>
      <c r="P425" s="213"/>
      <c r="Q425" s="213"/>
      <c r="R425" s="213"/>
      <c r="S425" s="213"/>
      <c r="T425" s="212"/>
      <c r="U425" s="212"/>
      <c r="V425" s="212"/>
      <c r="W425" s="212"/>
      <c r="X425" s="212"/>
      <c r="Y425" s="212"/>
      <c r="Z425" s="212"/>
      <c r="AA425" s="212"/>
      <c r="AB425" s="212"/>
      <c r="AC425" s="212"/>
      <c r="AD425" s="212"/>
    </row>
    <row r="426" ht="22.5" customHeight="1">
      <c r="A426" s="219">
        <v>23066.0</v>
      </c>
      <c r="B426" s="211" t="s">
        <v>20</v>
      </c>
      <c r="C426" s="211" t="s">
        <v>8587</v>
      </c>
      <c r="D426" s="222" t="s">
        <v>177</v>
      </c>
      <c r="E426" s="211" t="s">
        <v>7924</v>
      </c>
      <c r="F426" s="213"/>
      <c r="G426" s="219">
        <v>1.0</v>
      </c>
      <c r="H426" s="214" t="s">
        <v>8588</v>
      </c>
      <c r="I426" s="215"/>
      <c r="J426" s="215"/>
      <c r="K426" s="213"/>
      <c r="L426" s="213"/>
      <c r="M426" s="213"/>
      <c r="N426" s="213"/>
      <c r="O426" s="213"/>
      <c r="P426" s="213"/>
      <c r="Q426" s="213"/>
      <c r="R426" s="213"/>
      <c r="S426" s="213"/>
      <c r="T426" s="212"/>
      <c r="U426" s="212"/>
      <c r="V426" s="212"/>
      <c r="W426" s="212"/>
      <c r="X426" s="212"/>
      <c r="Y426" s="212"/>
      <c r="Z426" s="212"/>
      <c r="AA426" s="212"/>
      <c r="AB426" s="212"/>
      <c r="AC426" s="212"/>
      <c r="AD426" s="212"/>
    </row>
    <row r="427" ht="22.5" customHeight="1">
      <c r="A427" s="219">
        <v>23067.0</v>
      </c>
      <c r="B427" s="211" t="s">
        <v>20</v>
      </c>
      <c r="C427" s="211" t="s">
        <v>8589</v>
      </c>
      <c r="D427" s="222" t="s">
        <v>177</v>
      </c>
      <c r="E427" s="211" t="s">
        <v>7924</v>
      </c>
      <c r="F427" s="213"/>
      <c r="G427" s="213"/>
      <c r="H427" s="215"/>
      <c r="I427" s="216" t="s">
        <v>8590</v>
      </c>
      <c r="J427" s="215"/>
      <c r="K427" s="213"/>
      <c r="L427" s="213"/>
      <c r="M427" s="213"/>
      <c r="N427" s="213"/>
      <c r="O427" s="213"/>
      <c r="P427" s="213"/>
      <c r="Q427" s="213"/>
      <c r="R427" s="213"/>
      <c r="S427" s="213"/>
      <c r="T427" s="212"/>
      <c r="U427" s="212"/>
      <c r="V427" s="212"/>
      <c r="W427" s="212"/>
      <c r="X427" s="212"/>
      <c r="Y427" s="212"/>
      <c r="Z427" s="212"/>
      <c r="AA427" s="212"/>
      <c r="AB427" s="212"/>
      <c r="AC427" s="212"/>
      <c r="AD427" s="212"/>
    </row>
    <row r="428" ht="22.5" customHeight="1">
      <c r="A428" s="219">
        <v>23069.0</v>
      </c>
      <c r="B428" s="211" t="s">
        <v>20</v>
      </c>
      <c r="C428" s="211" t="s">
        <v>922</v>
      </c>
      <c r="D428" s="222" t="s">
        <v>177</v>
      </c>
      <c r="E428" s="211" t="s">
        <v>7924</v>
      </c>
      <c r="F428" s="213"/>
      <c r="G428" s="213"/>
      <c r="H428" s="215"/>
      <c r="I428" s="216" t="s">
        <v>8591</v>
      </c>
      <c r="J428" s="215"/>
      <c r="K428" s="213"/>
      <c r="L428" s="213"/>
      <c r="M428" s="213"/>
      <c r="N428" s="213"/>
      <c r="O428" s="213"/>
      <c r="P428" s="213"/>
      <c r="Q428" s="213"/>
      <c r="R428" s="213"/>
      <c r="S428" s="213"/>
      <c r="T428" s="212"/>
      <c r="U428" s="212"/>
      <c r="V428" s="212"/>
      <c r="W428" s="212"/>
      <c r="X428" s="212"/>
      <c r="Y428" s="212"/>
      <c r="Z428" s="212"/>
      <c r="AA428" s="212"/>
      <c r="AB428" s="212"/>
      <c r="AC428" s="212"/>
      <c r="AD428" s="212"/>
    </row>
    <row r="429" ht="22.5" customHeight="1">
      <c r="A429" s="219">
        <v>23070.0</v>
      </c>
      <c r="B429" s="211" t="s">
        <v>20</v>
      </c>
      <c r="C429" s="211" t="s">
        <v>3808</v>
      </c>
      <c r="D429" s="222" t="s">
        <v>177</v>
      </c>
      <c r="E429" s="211" t="s">
        <v>7924</v>
      </c>
      <c r="F429" s="213"/>
      <c r="G429" s="213"/>
      <c r="H429" s="214" t="s">
        <v>8592</v>
      </c>
      <c r="I429" s="215"/>
      <c r="J429" s="215"/>
      <c r="K429" s="213"/>
      <c r="L429" s="213"/>
      <c r="M429" s="213"/>
      <c r="N429" s="213"/>
      <c r="O429" s="213"/>
      <c r="P429" s="213"/>
      <c r="Q429" s="213"/>
      <c r="R429" s="213"/>
      <c r="S429" s="213"/>
      <c r="T429" s="212"/>
      <c r="U429" s="212"/>
      <c r="V429" s="212"/>
      <c r="W429" s="212"/>
      <c r="X429" s="212"/>
      <c r="Y429" s="212"/>
      <c r="Z429" s="212"/>
      <c r="AA429" s="212"/>
      <c r="AB429" s="212"/>
      <c r="AC429" s="212"/>
      <c r="AD429" s="212"/>
    </row>
    <row r="430" ht="22.5" customHeight="1">
      <c r="A430" s="219">
        <v>23073.0</v>
      </c>
      <c r="B430" s="211" t="s">
        <v>20</v>
      </c>
      <c r="C430" s="211" t="s">
        <v>8593</v>
      </c>
      <c r="D430" s="211" t="s">
        <v>177</v>
      </c>
      <c r="E430" s="211" t="s">
        <v>7924</v>
      </c>
      <c r="F430" s="213"/>
      <c r="G430" s="213"/>
      <c r="H430" s="215"/>
      <c r="I430" s="215"/>
      <c r="J430" s="216" t="s">
        <v>8594</v>
      </c>
      <c r="K430" s="213"/>
      <c r="L430" s="213"/>
      <c r="M430" s="213"/>
      <c r="N430" s="213"/>
      <c r="O430" s="213"/>
      <c r="P430" s="213"/>
      <c r="Q430" s="213"/>
      <c r="R430" s="213"/>
      <c r="S430" s="213"/>
      <c r="T430" s="212"/>
      <c r="U430" s="212"/>
      <c r="V430" s="212"/>
      <c r="W430" s="212"/>
      <c r="X430" s="212"/>
      <c r="Y430" s="212"/>
      <c r="Z430" s="212"/>
      <c r="AA430" s="212"/>
      <c r="AB430" s="212"/>
      <c r="AC430" s="212"/>
      <c r="AD430" s="212"/>
    </row>
    <row r="431" ht="22.5" customHeight="1">
      <c r="A431" s="219">
        <v>23075.0</v>
      </c>
      <c r="B431" s="211" t="s">
        <v>20</v>
      </c>
      <c r="C431" s="211" t="s">
        <v>3612</v>
      </c>
      <c r="D431" s="222" t="s">
        <v>177</v>
      </c>
      <c r="E431" s="211" t="s">
        <v>7771</v>
      </c>
      <c r="F431" s="213"/>
      <c r="G431" s="213"/>
      <c r="H431" s="214" t="s">
        <v>8595</v>
      </c>
      <c r="I431" s="215"/>
      <c r="J431" s="215"/>
      <c r="K431" s="213"/>
      <c r="L431" s="213"/>
      <c r="M431" s="213"/>
      <c r="N431" s="213"/>
      <c r="O431" s="213"/>
      <c r="P431" s="213"/>
      <c r="Q431" s="213"/>
      <c r="R431" s="213"/>
      <c r="S431" s="213"/>
      <c r="T431" s="212"/>
      <c r="U431" s="212"/>
      <c r="V431" s="212"/>
      <c r="W431" s="212"/>
      <c r="X431" s="212"/>
      <c r="Y431" s="212"/>
      <c r="Z431" s="212"/>
      <c r="AA431" s="212"/>
      <c r="AB431" s="212"/>
      <c r="AC431" s="212"/>
      <c r="AD431" s="212"/>
    </row>
    <row r="432" ht="22.5" customHeight="1">
      <c r="A432" s="219">
        <v>23078.0</v>
      </c>
      <c r="B432" s="211" t="s">
        <v>20</v>
      </c>
      <c r="C432" s="211" t="s">
        <v>4293</v>
      </c>
      <c r="D432" s="222" t="s">
        <v>177</v>
      </c>
      <c r="E432" s="211" t="s">
        <v>7955</v>
      </c>
      <c r="F432" s="213"/>
      <c r="G432" s="213"/>
      <c r="H432" s="214" t="s">
        <v>8596</v>
      </c>
      <c r="I432" s="215"/>
      <c r="J432" s="215"/>
      <c r="K432" s="213"/>
      <c r="L432" s="213"/>
      <c r="M432" s="213"/>
      <c r="N432" s="213"/>
      <c r="O432" s="213"/>
      <c r="P432" s="213"/>
      <c r="Q432" s="213"/>
      <c r="R432" s="213"/>
      <c r="S432" s="213"/>
      <c r="T432" s="212"/>
      <c r="U432" s="212"/>
      <c r="V432" s="212"/>
      <c r="W432" s="212"/>
      <c r="X432" s="212"/>
      <c r="Y432" s="212"/>
      <c r="Z432" s="212"/>
      <c r="AA432" s="212"/>
      <c r="AB432" s="212"/>
      <c r="AC432" s="212"/>
      <c r="AD432" s="212"/>
    </row>
    <row r="433" ht="22.5" customHeight="1">
      <c r="A433" s="219">
        <v>23079.0</v>
      </c>
      <c r="B433" s="211" t="s">
        <v>20</v>
      </c>
      <c r="C433" s="211" t="s">
        <v>7317</v>
      </c>
      <c r="D433" s="222" t="s">
        <v>177</v>
      </c>
      <c r="E433" s="211" t="s">
        <v>7955</v>
      </c>
      <c r="F433" s="213"/>
      <c r="G433" s="213"/>
      <c r="H433" s="214" t="s">
        <v>8597</v>
      </c>
      <c r="I433" s="215"/>
      <c r="J433" s="215"/>
      <c r="K433" s="213"/>
      <c r="L433" s="213"/>
      <c r="M433" s="213"/>
      <c r="N433" s="213"/>
      <c r="O433" s="213"/>
      <c r="P433" s="213"/>
      <c r="Q433" s="213"/>
      <c r="R433" s="213"/>
      <c r="S433" s="213"/>
      <c r="T433" s="212"/>
      <c r="U433" s="212"/>
      <c r="V433" s="212"/>
      <c r="W433" s="212"/>
      <c r="X433" s="212"/>
      <c r="Y433" s="212"/>
      <c r="Z433" s="212"/>
      <c r="AA433" s="212"/>
      <c r="AB433" s="212"/>
      <c r="AC433" s="212"/>
      <c r="AD433" s="212"/>
    </row>
    <row r="434" ht="22.5" customHeight="1">
      <c r="A434" s="219">
        <v>23082.0</v>
      </c>
      <c r="B434" s="211" t="s">
        <v>20</v>
      </c>
      <c r="C434" s="211" t="s">
        <v>8598</v>
      </c>
      <c r="D434" s="222" t="s">
        <v>177</v>
      </c>
      <c r="E434" s="211" t="s">
        <v>7815</v>
      </c>
      <c r="F434" s="213"/>
      <c r="G434" s="213"/>
      <c r="H434" s="214" t="s">
        <v>8599</v>
      </c>
      <c r="I434" s="215"/>
      <c r="J434" s="215"/>
      <c r="K434" s="213"/>
      <c r="L434" s="213"/>
      <c r="M434" s="213"/>
      <c r="N434" s="213"/>
      <c r="O434" s="213"/>
      <c r="P434" s="213"/>
      <c r="Q434" s="213"/>
      <c r="R434" s="213"/>
      <c r="S434" s="213"/>
      <c r="T434" s="212"/>
      <c r="U434" s="212"/>
      <c r="V434" s="212"/>
      <c r="W434" s="212"/>
      <c r="X434" s="212"/>
      <c r="Y434" s="212"/>
      <c r="Z434" s="212"/>
      <c r="AA434" s="212"/>
      <c r="AB434" s="212"/>
      <c r="AC434" s="212"/>
      <c r="AD434" s="212"/>
    </row>
    <row r="435" ht="22.5" customHeight="1">
      <c r="A435" s="219">
        <v>23083.0</v>
      </c>
      <c r="B435" s="211" t="s">
        <v>20</v>
      </c>
      <c r="C435" s="211" t="s">
        <v>8600</v>
      </c>
      <c r="D435" s="222" t="s">
        <v>177</v>
      </c>
      <c r="E435" s="211" t="s">
        <v>7815</v>
      </c>
      <c r="F435" s="213"/>
      <c r="G435" s="213"/>
      <c r="H435" s="214" t="s">
        <v>8601</v>
      </c>
      <c r="I435" s="215"/>
      <c r="J435" s="215"/>
      <c r="K435" s="213"/>
      <c r="L435" s="213"/>
      <c r="M435" s="213"/>
      <c r="N435" s="213"/>
      <c r="O435" s="213"/>
      <c r="P435" s="213"/>
      <c r="Q435" s="213"/>
      <c r="R435" s="213"/>
      <c r="S435" s="213"/>
      <c r="T435" s="212"/>
      <c r="U435" s="212"/>
      <c r="V435" s="212"/>
      <c r="W435" s="212"/>
      <c r="X435" s="212"/>
      <c r="Y435" s="212"/>
      <c r="Z435" s="212"/>
      <c r="AA435" s="212"/>
      <c r="AB435" s="212"/>
      <c r="AC435" s="212"/>
      <c r="AD435" s="212"/>
    </row>
    <row r="436" ht="22.5" customHeight="1">
      <c r="A436" s="219">
        <v>23088.0</v>
      </c>
      <c r="B436" s="211" t="s">
        <v>20</v>
      </c>
      <c r="C436" s="211" t="s">
        <v>74</v>
      </c>
      <c r="D436" s="222" t="s">
        <v>177</v>
      </c>
      <c r="E436" s="211" t="s">
        <v>7942</v>
      </c>
      <c r="F436" s="213"/>
      <c r="G436" s="213"/>
      <c r="H436" s="214" t="s">
        <v>8602</v>
      </c>
      <c r="I436" s="215"/>
      <c r="J436" s="215"/>
      <c r="K436" s="213"/>
      <c r="L436" s="213"/>
      <c r="M436" s="213"/>
      <c r="N436" s="213"/>
      <c r="O436" s="213"/>
      <c r="P436" s="213"/>
      <c r="Q436" s="213"/>
      <c r="R436" s="213"/>
      <c r="S436" s="213"/>
      <c r="T436" s="212"/>
      <c r="U436" s="212"/>
      <c r="V436" s="212"/>
      <c r="W436" s="212"/>
      <c r="X436" s="212"/>
      <c r="Y436" s="212"/>
      <c r="Z436" s="212"/>
      <c r="AA436" s="212"/>
      <c r="AB436" s="212"/>
      <c r="AC436" s="212"/>
      <c r="AD436" s="212"/>
    </row>
    <row r="437" ht="22.5" customHeight="1">
      <c r="A437" s="219">
        <v>23094.0</v>
      </c>
      <c r="B437" s="211" t="s">
        <v>20</v>
      </c>
      <c r="C437" s="211" t="s">
        <v>850</v>
      </c>
      <c r="D437" s="222" t="s">
        <v>177</v>
      </c>
      <c r="E437" s="211" t="s">
        <v>8012</v>
      </c>
      <c r="F437" s="213"/>
      <c r="G437" s="213"/>
      <c r="H437" s="214" t="s">
        <v>8603</v>
      </c>
      <c r="I437" s="215"/>
      <c r="J437" s="215"/>
      <c r="K437" s="213"/>
      <c r="L437" s="213"/>
      <c r="M437" s="213"/>
      <c r="N437" s="213"/>
      <c r="O437" s="213"/>
      <c r="P437" s="213"/>
      <c r="Q437" s="213"/>
      <c r="R437" s="213"/>
      <c r="S437" s="213"/>
      <c r="T437" s="212"/>
      <c r="U437" s="212"/>
      <c r="V437" s="212"/>
      <c r="W437" s="212"/>
      <c r="X437" s="212"/>
      <c r="Y437" s="212"/>
      <c r="Z437" s="212"/>
      <c r="AA437" s="212"/>
      <c r="AB437" s="212"/>
      <c r="AC437" s="212"/>
      <c r="AD437" s="212"/>
    </row>
    <row r="438" ht="22.5" customHeight="1">
      <c r="A438" s="219">
        <v>23095.0</v>
      </c>
      <c r="B438" s="211" t="s">
        <v>20</v>
      </c>
      <c r="C438" s="211" t="s">
        <v>74</v>
      </c>
      <c r="D438" s="222" t="s">
        <v>177</v>
      </c>
      <c r="E438" s="211" t="s">
        <v>8021</v>
      </c>
      <c r="F438" s="213"/>
      <c r="G438" s="219">
        <v>1.0</v>
      </c>
      <c r="H438" s="215"/>
      <c r="I438" s="216" t="s">
        <v>8604</v>
      </c>
      <c r="J438" s="215"/>
      <c r="K438" s="213"/>
      <c r="L438" s="213"/>
      <c r="M438" s="213"/>
      <c r="N438" s="213"/>
      <c r="O438" s="213"/>
      <c r="P438" s="213"/>
      <c r="Q438" s="213"/>
      <c r="R438" s="213"/>
      <c r="S438" s="213"/>
      <c r="T438" s="212"/>
      <c r="U438" s="212"/>
      <c r="V438" s="212"/>
      <c r="W438" s="212"/>
      <c r="X438" s="212"/>
      <c r="Y438" s="212"/>
      <c r="Z438" s="212"/>
      <c r="AA438" s="212"/>
      <c r="AB438" s="212"/>
      <c r="AC438" s="212"/>
      <c r="AD438" s="212"/>
    </row>
    <row r="439" ht="22.5" customHeight="1">
      <c r="A439" s="219">
        <v>23096.0</v>
      </c>
      <c r="B439" s="211" t="s">
        <v>20</v>
      </c>
      <c r="C439" s="211" t="s">
        <v>8605</v>
      </c>
      <c r="D439" s="222" t="s">
        <v>177</v>
      </c>
      <c r="E439" s="211" t="s">
        <v>8021</v>
      </c>
      <c r="F439" s="213"/>
      <c r="G439" s="219">
        <v>1.0</v>
      </c>
      <c r="H439" s="214" t="s">
        <v>8606</v>
      </c>
      <c r="I439" s="215"/>
      <c r="J439" s="215"/>
      <c r="K439" s="213"/>
      <c r="L439" s="213"/>
      <c r="M439" s="213"/>
      <c r="N439" s="213"/>
      <c r="O439" s="213"/>
      <c r="P439" s="213"/>
      <c r="Q439" s="213"/>
      <c r="R439" s="213"/>
      <c r="S439" s="213"/>
      <c r="T439" s="212"/>
      <c r="U439" s="212"/>
      <c r="V439" s="212"/>
      <c r="W439" s="212"/>
      <c r="X439" s="212"/>
      <c r="Y439" s="212"/>
      <c r="Z439" s="212"/>
      <c r="AA439" s="212"/>
      <c r="AB439" s="212"/>
      <c r="AC439" s="212"/>
      <c r="AD439" s="212"/>
    </row>
    <row r="440" ht="22.5" customHeight="1">
      <c r="A440" s="219">
        <v>23097.0</v>
      </c>
      <c r="B440" s="211" t="s">
        <v>20</v>
      </c>
      <c r="C440" s="211" t="s">
        <v>8607</v>
      </c>
      <c r="D440" s="222" t="s">
        <v>177</v>
      </c>
      <c r="E440" s="211" t="s">
        <v>8021</v>
      </c>
      <c r="F440" s="213"/>
      <c r="G440" s="213"/>
      <c r="H440" s="214" t="s">
        <v>8608</v>
      </c>
      <c r="I440" s="216" t="s">
        <v>8609</v>
      </c>
      <c r="J440" s="216" t="s">
        <v>8610</v>
      </c>
      <c r="K440" s="213"/>
      <c r="L440" s="213"/>
      <c r="M440" s="213"/>
      <c r="N440" s="213"/>
      <c r="O440" s="213"/>
      <c r="P440" s="213"/>
      <c r="Q440" s="213"/>
      <c r="R440" s="213"/>
      <c r="S440" s="213"/>
      <c r="T440" s="212"/>
      <c r="U440" s="212"/>
      <c r="V440" s="212"/>
      <c r="W440" s="212"/>
      <c r="X440" s="212"/>
      <c r="Y440" s="212"/>
      <c r="Z440" s="212"/>
      <c r="AA440" s="212"/>
      <c r="AB440" s="212"/>
      <c r="AC440" s="212"/>
      <c r="AD440" s="212"/>
    </row>
    <row r="441" ht="22.5" customHeight="1">
      <c r="A441" s="219">
        <v>23099.0</v>
      </c>
      <c r="B441" s="211" t="s">
        <v>20</v>
      </c>
      <c r="C441" s="211" t="s">
        <v>8611</v>
      </c>
      <c r="D441" s="222" t="s">
        <v>177</v>
      </c>
      <c r="E441" s="211" t="s">
        <v>7937</v>
      </c>
      <c r="F441" s="213"/>
      <c r="G441" s="213"/>
      <c r="H441" s="214" t="s">
        <v>8612</v>
      </c>
      <c r="I441" s="215"/>
      <c r="J441" s="215"/>
      <c r="K441" s="213"/>
      <c r="L441" s="213"/>
      <c r="M441" s="213"/>
      <c r="N441" s="213"/>
      <c r="O441" s="213"/>
      <c r="P441" s="213"/>
      <c r="Q441" s="213"/>
      <c r="R441" s="213"/>
      <c r="S441" s="213"/>
      <c r="T441" s="212"/>
      <c r="U441" s="212"/>
      <c r="V441" s="212"/>
      <c r="W441" s="212"/>
      <c r="X441" s="212"/>
      <c r="Y441" s="212"/>
      <c r="Z441" s="212"/>
      <c r="AA441" s="212"/>
      <c r="AB441" s="212"/>
      <c r="AC441" s="212"/>
      <c r="AD441" s="212"/>
    </row>
    <row r="442" ht="22.5" customHeight="1">
      <c r="A442" s="219">
        <v>23100.0</v>
      </c>
      <c r="B442" s="211" t="s">
        <v>20</v>
      </c>
      <c r="C442" s="211" t="s">
        <v>281</v>
      </c>
      <c r="D442" s="222" t="s">
        <v>177</v>
      </c>
      <c r="E442" s="211" t="s">
        <v>178</v>
      </c>
      <c r="F442" s="213"/>
      <c r="G442" s="213"/>
      <c r="H442" s="214" t="s">
        <v>8613</v>
      </c>
      <c r="I442" s="215"/>
      <c r="J442" s="215"/>
      <c r="K442" s="213"/>
      <c r="L442" s="213"/>
      <c r="M442" s="213"/>
      <c r="N442" s="213"/>
      <c r="O442" s="213"/>
      <c r="P442" s="213"/>
      <c r="Q442" s="213"/>
      <c r="R442" s="213"/>
      <c r="S442" s="213"/>
      <c r="T442" s="212"/>
      <c r="U442" s="212"/>
      <c r="V442" s="212"/>
      <c r="W442" s="212"/>
      <c r="X442" s="212"/>
      <c r="Y442" s="212"/>
      <c r="Z442" s="212"/>
      <c r="AA442" s="212"/>
      <c r="AB442" s="212"/>
      <c r="AC442" s="212"/>
      <c r="AD442" s="212"/>
    </row>
    <row r="443" ht="22.5" customHeight="1">
      <c r="A443" s="219">
        <v>23102.0</v>
      </c>
      <c r="B443" s="211" t="s">
        <v>20</v>
      </c>
      <c r="C443" s="211" t="s">
        <v>963</v>
      </c>
      <c r="D443" s="222" t="s">
        <v>177</v>
      </c>
      <c r="E443" s="211" t="s">
        <v>7766</v>
      </c>
      <c r="F443" s="213"/>
      <c r="G443" s="219">
        <v>1.0</v>
      </c>
      <c r="H443" s="214" t="s">
        <v>8614</v>
      </c>
      <c r="I443" s="215"/>
      <c r="J443" s="215"/>
      <c r="K443" s="213"/>
      <c r="L443" s="213"/>
      <c r="M443" s="213"/>
      <c r="N443" s="213"/>
      <c r="O443" s="213"/>
      <c r="P443" s="213"/>
      <c r="Q443" s="213"/>
      <c r="R443" s="213"/>
      <c r="S443" s="213"/>
      <c r="T443" s="212"/>
      <c r="U443" s="212"/>
      <c r="V443" s="212"/>
      <c r="W443" s="212"/>
      <c r="X443" s="212"/>
      <c r="Y443" s="212"/>
      <c r="Z443" s="212"/>
      <c r="AA443" s="212"/>
      <c r="AB443" s="212"/>
      <c r="AC443" s="212"/>
      <c r="AD443" s="212"/>
    </row>
    <row r="444" ht="22.5" customHeight="1">
      <c r="A444" s="219">
        <v>23104.0</v>
      </c>
      <c r="B444" s="211" t="s">
        <v>20</v>
      </c>
      <c r="C444" s="211" t="s">
        <v>8615</v>
      </c>
      <c r="D444" s="222" t="s">
        <v>177</v>
      </c>
      <c r="E444" s="211" t="s">
        <v>7766</v>
      </c>
      <c r="F444" s="213"/>
      <c r="G444" s="219">
        <v>1.0</v>
      </c>
      <c r="H444" s="214" t="s">
        <v>8616</v>
      </c>
      <c r="I444" s="215"/>
      <c r="J444" s="215"/>
      <c r="K444" s="213"/>
      <c r="L444" s="213"/>
      <c r="M444" s="213"/>
      <c r="N444" s="213"/>
      <c r="O444" s="213"/>
      <c r="P444" s="213"/>
      <c r="Q444" s="213"/>
      <c r="R444" s="213"/>
      <c r="S444" s="213"/>
      <c r="T444" s="212"/>
      <c r="U444" s="212"/>
      <c r="V444" s="212"/>
      <c r="W444" s="212"/>
      <c r="X444" s="212"/>
      <c r="Y444" s="212"/>
      <c r="Z444" s="212"/>
      <c r="AA444" s="212"/>
      <c r="AB444" s="212"/>
      <c r="AC444" s="212"/>
      <c r="AD444" s="212"/>
    </row>
    <row r="445" ht="22.5" customHeight="1">
      <c r="A445" s="219">
        <v>23105.0</v>
      </c>
      <c r="B445" s="211" t="s">
        <v>20</v>
      </c>
      <c r="C445" s="211" t="s">
        <v>7346</v>
      </c>
      <c r="D445" s="222" t="s">
        <v>177</v>
      </c>
      <c r="E445" s="211" t="s">
        <v>7937</v>
      </c>
      <c r="F445" s="213"/>
      <c r="G445" s="219">
        <v>1.0</v>
      </c>
      <c r="H445" s="214" t="s">
        <v>8617</v>
      </c>
      <c r="I445" s="215"/>
      <c r="J445" s="215"/>
      <c r="K445" s="213"/>
      <c r="L445" s="213"/>
      <c r="M445" s="213"/>
      <c r="N445" s="213"/>
      <c r="O445" s="213"/>
      <c r="P445" s="213"/>
      <c r="Q445" s="213"/>
      <c r="R445" s="213"/>
      <c r="S445" s="213"/>
      <c r="T445" s="212"/>
      <c r="U445" s="212"/>
      <c r="V445" s="212"/>
      <c r="W445" s="212"/>
      <c r="X445" s="212"/>
      <c r="Y445" s="212"/>
      <c r="Z445" s="212"/>
      <c r="AA445" s="212"/>
      <c r="AB445" s="212"/>
      <c r="AC445" s="212"/>
      <c r="AD445" s="212"/>
    </row>
    <row r="446" ht="22.5" customHeight="1">
      <c r="A446" s="219">
        <v>23108.0</v>
      </c>
      <c r="B446" s="211" t="s">
        <v>20</v>
      </c>
      <c r="C446" s="211" t="s">
        <v>8618</v>
      </c>
      <c r="D446" s="222" t="s">
        <v>177</v>
      </c>
      <c r="E446" s="211" t="s">
        <v>8079</v>
      </c>
      <c r="F446" s="213"/>
      <c r="G446" s="213"/>
      <c r="H446" s="214" t="s">
        <v>8619</v>
      </c>
      <c r="I446" s="215"/>
      <c r="J446" s="215"/>
      <c r="K446" s="213"/>
      <c r="L446" s="213"/>
      <c r="M446" s="213"/>
      <c r="N446" s="213"/>
      <c r="O446" s="213"/>
      <c r="P446" s="213"/>
      <c r="Q446" s="213"/>
      <c r="R446" s="213"/>
      <c r="S446" s="213"/>
      <c r="T446" s="212"/>
      <c r="U446" s="212"/>
      <c r="V446" s="212"/>
      <c r="W446" s="212"/>
      <c r="X446" s="212"/>
      <c r="Y446" s="212"/>
      <c r="Z446" s="212"/>
      <c r="AA446" s="212"/>
      <c r="AB446" s="212"/>
      <c r="AC446" s="212"/>
      <c r="AD446" s="212"/>
    </row>
    <row r="447" ht="22.5" customHeight="1">
      <c r="A447" s="219">
        <v>23109.0</v>
      </c>
      <c r="B447" s="211" t="s">
        <v>20</v>
      </c>
      <c r="C447" s="211" t="s">
        <v>7173</v>
      </c>
      <c r="D447" s="222" t="s">
        <v>177</v>
      </c>
      <c r="E447" s="211" t="s">
        <v>8079</v>
      </c>
      <c r="F447" s="213"/>
      <c r="G447" s="219">
        <v>1.0</v>
      </c>
      <c r="H447" s="214" t="s">
        <v>8620</v>
      </c>
      <c r="I447" s="215"/>
      <c r="J447" s="215"/>
      <c r="K447" s="213"/>
      <c r="L447" s="213"/>
      <c r="M447" s="213"/>
      <c r="N447" s="213"/>
      <c r="O447" s="213"/>
      <c r="P447" s="213"/>
      <c r="Q447" s="213"/>
      <c r="R447" s="213"/>
      <c r="S447" s="213"/>
      <c r="T447" s="212"/>
      <c r="U447" s="212"/>
      <c r="V447" s="212"/>
      <c r="W447" s="212"/>
      <c r="X447" s="212"/>
      <c r="Y447" s="212"/>
      <c r="Z447" s="212"/>
      <c r="AA447" s="212"/>
      <c r="AB447" s="212"/>
      <c r="AC447" s="212"/>
      <c r="AD447" s="212"/>
    </row>
    <row r="448" ht="22.5" customHeight="1">
      <c r="A448" s="219">
        <v>23110.0</v>
      </c>
      <c r="B448" s="211" t="s">
        <v>20</v>
      </c>
      <c r="C448" s="211" t="s">
        <v>3097</v>
      </c>
      <c r="D448" s="222" t="s">
        <v>177</v>
      </c>
      <c r="E448" s="211" t="s">
        <v>8130</v>
      </c>
      <c r="F448" s="213"/>
      <c r="G448" s="213"/>
      <c r="H448" s="214" t="s">
        <v>8621</v>
      </c>
      <c r="I448" s="215"/>
      <c r="J448" s="215"/>
      <c r="K448" s="213"/>
      <c r="L448" s="213"/>
      <c r="M448" s="213"/>
      <c r="N448" s="213"/>
      <c r="O448" s="213"/>
      <c r="P448" s="213"/>
      <c r="Q448" s="213"/>
      <c r="R448" s="213"/>
      <c r="S448" s="213"/>
      <c r="T448" s="212"/>
      <c r="U448" s="212"/>
      <c r="V448" s="212"/>
      <c r="W448" s="212"/>
      <c r="X448" s="212"/>
      <c r="Y448" s="212"/>
      <c r="Z448" s="212"/>
      <c r="AA448" s="212"/>
      <c r="AB448" s="212"/>
      <c r="AC448" s="212"/>
      <c r="AD448" s="212"/>
    </row>
    <row r="449" ht="22.5" customHeight="1">
      <c r="A449" s="219">
        <v>23111.0</v>
      </c>
      <c r="B449" s="211" t="s">
        <v>20</v>
      </c>
      <c r="C449" s="211" t="s">
        <v>8622</v>
      </c>
      <c r="D449" s="222" t="s">
        <v>177</v>
      </c>
      <c r="E449" s="211" t="s">
        <v>8090</v>
      </c>
      <c r="F449" s="213"/>
      <c r="G449" s="219">
        <v>1.0</v>
      </c>
      <c r="H449" s="214" t="s">
        <v>8623</v>
      </c>
      <c r="I449" s="215"/>
      <c r="J449" s="215"/>
      <c r="K449" s="213"/>
      <c r="L449" s="213"/>
      <c r="M449" s="213"/>
      <c r="N449" s="213"/>
      <c r="O449" s="213"/>
      <c r="P449" s="213"/>
      <c r="Q449" s="213"/>
      <c r="R449" s="213"/>
      <c r="S449" s="213"/>
      <c r="T449" s="212"/>
      <c r="U449" s="212"/>
      <c r="V449" s="212"/>
      <c r="W449" s="212"/>
      <c r="X449" s="212"/>
      <c r="Y449" s="212"/>
      <c r="Z449" s="212"/>
      <c r="AA449" s="212"/>
      <c r="AB449" s="212"/>
      <c r="AC449" s="212"/>
      <c r="AD449" s="212"/>
    </row>
    <row r="450" ht="22.5" customHeight="1">
      <c r="A450" s="219">
        <v>23112.0</v>
      </c>
      <c r="B450" s="211" t="s">
        <v>20</v>
      </c>
      <c r="C450" s="211" t="s">
        <v>3612</v>
      </c>
      <c r="D450" s="222" t="s">
        <v>177</v>
      </c>
      <c r="E450" s="211" t="s">
        <v>8090</v>
      </c>
      <c r="F450" s="213"/>
      <c r="G450" s="219">
        <v>1.0</v>
      </c>
      <c r="H450" s="214" t="s">
        <v>8624</v>
      </c>
      <c r="I450" s="216" t="s">
        <v>8625</v>
      </c>
      <c r="J450" s="215"/>
      <c r="K450" s="213"/>
      <c r="L450" s="213"/>
      <c r="M450" s="213"/>
      <c r="N450" s="213"/>
      <c r="O450" s="213"/>
      <c r="P450" s="213"/>
      <c r="Q450" s="213"/>
      <c r="R450" s="213"/>
      <c r="S450" s="213"/>
      <c r="T450" s="212"/>
      <c r="U450" s="212"/>
      <c r="V450" s="212"/>
      <c r="W450" s="212"/>
      <c r="X450" s="212"/>
      <c r="Y450" s="212"/>
      <c r="Z450" s="212"/>
      <c r="AA450" s="212"/>
      <c r="AB450" s="212"/>
      <c r="AC450" s="212"/>
      <c r="AD450" s="212"/>
    </row>
    <row r="451" ht="22.5" customHeight="1">
      <c r="A451" s="219">
        <v>23188.0</v>
      </c>
      <c r="B451" s="211" t="s">
        <v>102</v>
      </c>
      <c r="C451" s="211" t="s">
        <v>8626</v>
      </c>
      <c r="D451" s="222" t="s">
        <v>177</v>
      </c>
      <c r="E451" s="211" t="s">
        <v>7931</v>
      </c>
      <c r="F451" s="213"/>
      <c r="G451" s="213"/>
      <c r="H451" s="215"/>
      <c r="I451" s="215"/>
      <c r="J451" s="216" t="s">
        <v>8627</v>
      </c>
      <c r="K451" s="213"/>
      <c r="L451" s="213"/>
      <c r="M451" s="213"/>
      <c r="N451" s="213"/>
      <c r="O451" s="213"/>
      <c r="P451" s="213"/>
      <c r="Q451" s="213"/>
      <c r="R451" s="213"/>
      <c r="S451" s="213"/>
      <c r="T451" s="212"/>
      <c r="U451" s="212"/>
      <c r="V451" s="212"/>
      <c r="W451" s="212"/>
      <c r="X451" s="212"/>
      <c r="Y451" s="212"/>
      <c r="Z451" s="212"/>
      <c r="AA451" s="212"/>
      <c r="AB451" s="212"/>
      <c r="AC451" s="212"/>
      <c r="AD451" s="212"/>
    </row>
    <row r="452" ht="22.5" customHeight="1">
      <c r="A452" s="219">
        <v>23259.0</v>
      </c>
      <c r="B452" s="211" t="s">
        <v>20</v>
      </c>
      <c r="C452" s="222" t="s">
        <v>8628</v>
      </c>
      <c r="D452" s="211" t="s">
        <v>177</v>
      </c>
      <c r="E452" s="211" t="s">
        <v>178</v>
      </c>
      <c r="F452" s="231"/>
      <c r="G452" s="231"/>
      <c r="H452" s="215"/>
      <c r="I452" s="215"/>
      <c r="J452" s="216" t="s">
        <v>8629</v>
      </c>
      <c r="K452" s="230"/>
      <c r="L452" s="213"/>
      <c r="M452" s="213"/>
      <c r="N452" s="210"/>
      <c r="O452" s="213"/>
      <c r="P452" s="213"/>
      <c r="Q452" s="213"/>
      <c r="R452" s="213"/>
      <c r="S452" s="213"/>
      <c r="T452" s="212"/>
      <c r="U452" s="212"/>
      <c r="V452" s="212"/>
      <c r="W452" s="212"/>
      <c r="X452" s="212"/>
      <c r="Y452" s="212"/>
      <c r="Z452" s="212"/>
      <c r="AA452" s="212"/>
      <c r="AB452" s="212"/>
      <c r="AC452" s="212"/>
      <c r="AD452" s="212"/>
    </row>
    <row r="453" ht="22.5" customHeight="1">
      <c r="A453" s="219">
        <v>23260.0</v>
      </c>
      <c r="B453" s="211" t="s">
        <v>20</v>
      </c>
      <c r="C453" s="222" t="s">
        <v>8630</v>
      </c>
      <c r="D453" s="211" t="s">
        <v>177</v>
      </c>
      <c r="E453" s="211" t="s">
        <v>178</v>
      </c>
      <c r="F453" s="213"/>
      <c r="G453" s="213"/>
      <c r="H453" s="216" t="s">
        <v>8631</v>
      </c>
      <c r="I453" s="215"/>
      <c r="J453" s="215"/>
      <c r="K453" s="213"/>
      <c r="L453" s="213"/>
      <c r="M453" s="213"/>
      <c r="N453" s="210"/>
      <c r="O453" s="213"/>
      <c r="P453" s="213"/>
      <c r="Q453" s="213"/>
      <c r="R453" s="213"/>
      <c r="S453" s="213"/>
      <c r="T453" s="212"/>
      <c r="U453" s="212"/>
      <c r="V453" s="212"/>
      <c r="W453" s="212"/>
      <c r="X453" s="212"/>
      <c r="Y453" s="212"/>
      <c r="Z453" s="212"/>
      <c r="AA453" s="212"/>
      <c r="AB453" s="212"/>
      <c r="AC453" s="212"/>
      <c r="AD453" s="212"/>
    </row>
    <row r="454" ht="22.5" customHeight="1">
      <c r="A454" s="219">
        <v>23467.0</v>
      </c>
      <c r="B454" s="211" t="s">
        <v>20</v>
      </c>
      <c r="C454" s="211" t="s">
        <v>7568</v>
      </c>
      <c r="D454" s="222" t="s">
        <v>177</v>
      </c>
      <c r="E454" s="211" t="s">
        <v>7931</v>
      </c>
      <c r="F454" s="213"/>
      <c r="G454" s="213"/>
      <c r="H454" s="215"/>
      <c r="I454" s="215"/>
      <c r="J454" s="216" t="s">
        <v>8200</v>
      </c>
      <c r="K454" s="213"/>
      <c r="L454" s="213"/>
      <c r="M454" s="213"/>
      <c r="N454" s="213"/>
      <c r="O454" s="213"/>
      <c r="P454" s="213"/>
      <c r="Q454" s="213"/>
      <c r="R454" s="213"/>
      <c r="S454" s="213"/>
      <c r="T454" s="212"/>
      <c r="U454" s="212"/>
      <c r="V454" s="212"/>
      <c r="W454" s="212"/>
      <c r="X454" s="212"/>
      <c r="Y454" s="212"/>
      <c r="Z454" s="212"/>
      <c r="AA454" s="212"/>
      <c r="AB454" s="212"/>
      <c r="AC454" s="212"/>
      <c r="AD454" s="212"/>
    </row>
    <row r="455" ht="22.5" customHeight="1">
      <c r="A455" s="219">
        <v>23468.0</v>
      </c>
      <c r="B455" s="211" t="s">
        <v>20</v>
      </c>
      <c r="C455" s="211" t="s">
        <v>786</v>
      </c>
      <c r="D455" s="222" t="s">
        <v>177</v>
      </c>
      <c r="E455" s="211" t="s">
        <v>7931</v>
      </c>
      <c r="F455" s="213"/>
      <c r="G455" s="213"/>
      <c r="H455" s="214" t="s">
        <v>8632</v>
      </c>
      <c r="I455" s="215"/>
      <c r="J455" s="216" t="s">
        <v>8633</v>
      </c>
      <c r="K455" s="213"/>
      <c r="L455" s="213"/>
      <c r="M455" s="213"/>
      <c r="N455" s="213"/>
      <c r="O455" s="213"/>
      <c r="P455" s="213"/>
      <c r="Q455" s="213"/>
      <c r="R455" s="213"/>
      <c r="S455" s="213"/>
      <c r="T455" s="212"/>
      <c r="U455" s="212"/>
      <c r="V455" s="212"/>
      <c r="W455" s="212"/>
      <c r="X455" s="212"/>
      <c r="Y455" s="212"/>
      <c r="Z455" s="212"/>
      <c r="AA455" s="212"/>
      <c r="AB455" s="212"/>
      <c r="AC455" s="212"/>
      <c r="AD455" s="212"/>
    </row>
    <row r="456" ht="22.5" customHeight="1">
      <c r="A456" s="219">
        <v>23470.0</v>
      </c>
      <c r="B456" s="211" t="s">
        <v>20</v>
      </c>
      <c r="C456" s="211" t="s">
        <v>8634</v>
      </c>
      <c r="D456" s="222" t="s">
        <v>177</v>
      </c>
      <c r="E456" s="211" t="s">
        <v>7931</v>
      </c>
      <c r="F456" s="213"/>
      <c r="G456" s="213"/>
      <c r="H456" s="214" t="s">
        <v>8635</v>
      </c>
      <c r="I456" s="215"/>
      <c r="J456" s="214" t="s">
        <v>8636</v>
      </c>
      <c r="K456" s="213"/>
      <c r="L456" s="213"/>
      <c r="M456" s="213"/>
      <c r="N456" s="213"/>
      <c r="O456" s="213"/>
      <c r="P456" s="213"/>
      <c r="Q456" s="213"/>
      <c r="R456" s="213"/>
      <c r="S456" s="213"/>
      <c r="T456" s="212"/>
      <c r="U456" s="212"/>
      <c r="V456" s="212"/>
      <c r="W456" s="212"/>
      <c r="X456" s="212"/>
      <c r="Y456" s="212"/>
      <c r="Z456" s="212"/>
      <c r="AA456" s="212"/>
      <c r="AB456" s="212"/>
      <c r="AC456" s="212"/>
      <c r="AD456" s="212"/>
    </row>
    <row r="457" ht="22.5" customHeight="1">
      <c r="A457" s="219">
        <v>23471.0</v>
      </c>
      <c r="B457" s="211" t="s">
        <v>20</v>
      </c>
      <c r="C457" s="211" t="s">
        <v>6404</v>
      </c>
      <c r="D457" s="222" t="s">
        <v>177</v>
      </c>
      <c r="E457" s="211" t="s">
        <v>7937</v>
      </c>
      <c r="F457" s="213"/>
      <c r="G457" s="213"/>
      <c r="H457" s="215"/>
      <c r="I457" s="215"/>
      <c r="J457" s="216" t="s">
        <v>6431</v>
      </c>
      <c r="K457" s="213"/>
      <c r="L457" s="213"/>
      <c r="M457" s="213"/>
      <c r="N457" s="213"/>
      <c r="O457" s="213"/>
      <c r="P457" s="213"/>
      <c r="Q457" s="213"/>
      <c r="R457" s="213"/>
      <c r="S457" s="213"/>
      <c r="T457" s="212"/>
      <c r="U457" s="212"/>
      <c r="V457" s="212"/>
      <c r="W457" s="212"/>
      <c r="X457" s="212"/>
      <c r="Y457" s="212"/>
      <c r="Z457" s="212"/>
      <c r="AA457" s="212"/>
      <c r="AB457" s="212"/>
      <c r="AC457" s="212"/>
      <c r="AD457" s="212"/>
    </row>
    <row r="458" ht="22.5" customHeight="1">
      <c r="A458" s="219">
        <v>23515.0</v>
      </c>
      <c r="B458" s="211" t="s">
        <v>7971</v>
      </c>
      <c r="C458" s="211" t="s">
        <v>313</v>
      </c>
      <c r="D458" s="222" t="s">
        <v>177</v>
      </c>
      <c r="E458" s="222" t="s">
        <v>177</v>
      </c>
      <c r="F458" s="213"/>
      <c r="G458" s="219">
        <v>1.0</v>
      </c>
      <c r="H458" s="214" t="s">
        <v>8637</v>
      </c>
      <c r="I458" s="215"/>
      <c r="J458" s="215"/>
      <c r="K458" s="213"/>
      <c r="L458" s="213"/>
      <c r="M458" s="213"/>
      <c r="N458" s="213"/>
      <c r="O458" s="213"/>
      <c r="P458" s="213"/>
      <c r="Q458" s="213"/>
      <c r="R458" s="213"/>
      <c r="S458" s="213"/>
      <c r="T458" s="212"/>
      <c r="U458" s="212"/>
      <c r="V458" s="212"/>
      <c r="W458" s="212"/>
      <c r="X458" s="212"/>
      <c r="Y458" s="212"/>
      <c r="Z458" s="212"/>
      <c r="AA458" s="212"/>
      <c r="AB458" s="212"/>
      <c r="AC458" s="212"/>
      <c r="AD458" s="212"/>
    </row>
    <row r="459" ht="22.5" customHeight="1">
      <c r="A459" s="219">
        <v>23594.0</v>
      </c>
      <c r="B459" s="211" t="s">
        <v>20</v>
      </c>
      <c r="C459" s="211" t="s">
        <v>8638</v>
      </c>
      <c r="D459" s="222" t="s">
        <v>177</v>
      </c>
      <c r="E459" s="211" t="s">
        <v>8012</v>
      </c>
      <c r="F459" s="213"/>
      <c r="G459" s="219">
        <v>1.0</v>
      </c>
      <c r="H459" s="214" t="s">
        <v>8639</v>
      </c>
      <c r="I459" s="215"/>
      <c r="J459" s="215"/>
      <c r="K459" s="213"/>
      <c r="L459" s="213"/>
      <c r="M459" s="213"/>
      <c r="N459" s="213"/>
      <c r="O459" s="213"/>
      <c r="P459" s="213"/>
      <c r="Q459" s="213"/>
      <c r="R459" s="213"/>
      <c r="S459" s="213"/>
      <c r="T459" s="212"/>
      <c r="U459" s="212"/>
      <c r="V459" s="212"/>
      <c r="W459" s="212"/>
      <c r="X459" s="212"/>
      <c r="Y459" s="212"/>
      <c r="Z459" s="212"/>
      <c r="AA459" s="212"/>
      <c r="AB459" s="212"/>
      <c r="AC459" s="212"/>
      <c r="AD459" s="212"/>
    </row>
    <row r="460" ht="22.5" customHeight="1">
      <c r="A460" s="219">
        <v>23615.0</v>
      </c>
      <c r="B460" s="211" t="s">
        <v>20</v>
      </c>
      <c r="C460" s="211" t="s">
        <v>8640</v>
      </c>
      <c r="D460" s="222" t="s">
        <v>177</v>
      </c>
      <c r="E460" s="222" t="s">
        <v>177</v>
      </c>
      <c r="F460" s="213"/>
      <c r="G460" s="219">
        <v>1.0</v>
      </c>
      <c r="H460" s="214" t="s">
        <v>8641</v>
      </c>
      <c r="I460" s="215"/>
      <c r="J460" s="215"/>
      <c r="K460" s="213"/>
      <c r="L460" s="213"/>
      <c r="M460" s="213"/>
      <c r="N460" s="213"/>
      <c r="O460" s="213"/>
      <c r="P460" s="213"/>
      <c r="Q460" s="213"/>
      <c r="R460" s="213"/>
      <c r="S460" s="213"/>
      <c r="T460" s="212"/>
      <c r="U460" s="212"/>
      <c r="V460" s="212"/>
      <c r="W460" s="212"/>
      <c r="X460" s="212"/>
      <c r="Y460" s="212"/>
      <c r="Z460" s="212"/>
      <c r="AA460" s="212"/>
      <c r="AB460" s="212"/>
      <c r="AC460" s="212"/>
      <c r="AD460" s="212"/>
    </row>
    <row r="461" ht="22.5" customHeight="1">
      <c r="A461" s="219">
        <v>23618.0</v>
      </c>
      <c r="B461" s="211" t="s">
        <v>20</v>
      </c>
      <c r="C461" s="211" t="s">
        <v>8642</v>
      </c>
      <c r="D461" s="222" t="s">
        <v>177</v>
      </c>
      <c r="E461" s="211" t="s">
        <v>8183</v>
      </c>
      <c r="F461" s="213"/>
      <c r="G461" s="219">
        <v>1.0</v>
      </c>
      <c r="H461" s="214" t="s">
        <v>8643</v>
      </c>
      <c r="I461" s="215"/>
      <c r="J461" s="215"/>
      <c r="K461" s="213"/>
      <c r="L461" s="213"/>
      <c r="M461" s="213"/>
      <c r="N461" s="213"/>
      <c r="O461" s="213"/>
      <c r="P461" s="213"/>
      <c r="Q461" s="213"/>
      <c r="R461" s="213"/>
      <c r="S461" s="213"/>
      <c r="T461" s="212"/>
      <c r="U461" s="212"/>
      <c r="V461" s="212"/>
      <c r="W461" s="212"/>
      <c r="X461" s="212"/>
      <c r="Y461" s="212"/>
      <c r="Z461" s="212"/>
      <c r="AA461" s="212"/>
      <c r="AB461" s="212"/>
      <c r="AC461" s="212"/>
      <c r="AD461" s="212"/>
    </row>
    <row r="462" ht="22.5" customHeight="1">
      <c r="A462" s="219">
        <v>23723.0</v>
      </c>
      <c r="B462" s="211" t="s">
        <v>20</v>
      </c>
      <c r="C462" s="211" t="s">
        <v>8644</v>
      </c>
      <c r="D462" s="222" t="s">
        <v>177</v>
      </c>
      <c r="E462" s="211" t="s">
        <v>7815</v>
      </c>
      <c r="F462" s="213"/>
      <c r="G462" s="219">
        <v>1.0</v>
      </c>
      <c r="H462" s="214" t="s">
        <v>8645</v>
      </c>
      <c r="I462" s="215"/>
      <c r="J462" s="215"/>
      <c r="K462" s="213"/>
      <c r="L462" s="213"/>
      <c r="M462" s="213"/>
      <c r="N462" s="213"/>
      <c r="O462" s="213"/>
      <c r="P462" s="213"/>
      <c r="Q462" s="213"/>
      <c r="R462" s="213"/>
      <c r="S462" s="213"/>
      <c r="T462" s="212"/>
      <c r="U462" s="212"/>
      <c r="V462" s="212"/>
      <c r="W462" s="212"/>
      <c r="X462" s="212"/>
      <c r="Y462" s="212"/>
      <c r="Z462" s="212"/>
      <c r="AA462" s="212"/>
      <c r="AB462" s="212"/>
      <c r="AC462" s="212"/>
      <c r="AD462" s="212"/>
    </row>
    <row r="463" ht="22.5" customHeight="1">
      <c r="A463" s="219">
        <v>23736.0</v>
      </c>
      <c r="B463" s="211" t="s">
        <v>20</v>
      </c>
      <c r="C463" s="211" t="s">
        <v>8646</v>
      </c>
      <c r="D463" s="222" t="s">
        <v>177</v>
      </c>
      <c r="E463" s="222" t="s">
        <v>177</v>
      </c>
      <c r="F463" s="213"/>
      <c r="G463" s="213"/>
      <c r="H463" s="214" t="s">
        <v>8647</v>
      </c>
      <c r="I463" s="215"/>
      <c r="J463" s="215"/>
      <c r="K463" s="213"/>
      <c r="L463" s="213"/>
      <c r="M463" s="213"/>
      <c r="N463" s="213"/>
      <c r="O463" s="213"/>
      <c r="P463" s="213"/>
      <c r="Q463" s="213"/>
      <c r="R463" s="213"/>
      <c r="S463" s="213"/>
      <c r="T463" s="212"/>
      <c r="U463" s="212"/>
      <c r="V463" s="212"/>
      <c r="W463" s="212"/>
      <c r="X463" s="212"/>
      <c r="Y463" s="212"/>
      <c r="Z463" s="212"/>
      <c r="AA463" s="212"/>
      <c r="AB463" s="212"/>
      <c r="AC463" s="212"/>
      <c r="AD463" s="212"/>
    </row>
    <row r="464" ht="22.5" customHeight="1">
      <c r="A464" s="219">
        <v>23741.0</v>
      </c>
      <c r="B464" s="211" t="s">
        <v>20</v>
      </c>
      <c r="C464" s="211" t="s">
        <v>855</v>
      </c>
      <c r="D464" s="222" t="s">
        <v>177</v>
      </c>
      <c r="E464" s="222" t="s">
        <v>177</v>
      </c>
      <c r="F464" s="213"/>
      <c r="G464" s="213"/>
      <c r="H464" s="215"/>
      <c r="I464" s="215"/>
      <c r="J464" s="216" t="s">
        <v>8202</v>
      </c>
      <c r="K464" s="213"/>
      <c r="L464" s="213"/>
      <c r="M464" s="213"/>
      <c r="N464" s="213"/>
      <c r="O464" s="213"/>
      <c r="P464" s="213"/>
      <c r="Q464" s="213"/>
      <c r="R464" s="213"/>
      <c r="S464" s="213"/>
      <c r="T464" s="212"/>
      <c r="U464" s="212"/>
      <c r="V464" s="212"/>
      <c r="W464" s="212"/>
      <c r="X464" s="212"/>
      <c r="Y464" s="212"/>
      <c r="Z464" s="212"/>
      <c r="AA464" s="212"/>
      <c r="AB464" s="212"/>
      <c r="AC464" s="212"/>
      <c r="AD464" s="212"/>
    </row>
    <row r="465" ht="22.5" customHeight="1">
      <c r="A465" s="219">
        <v>23747.0</v>
      </c>
      <c r="B465" s="211" t="s">
        <v>20</v>
      </c>
      <c r="C465" s="211" t="s">
        <v>6760</v>
      </c>
      <c r="D465" s="222" t="s">
        <v>177</v>
      </c>
      <c r="E465" s="211" t="s">
        <v>8090</v>
      </c>
      <c r="F465" s="213"/>
      <c r="G465" s="213"/>
      <c r="H465" s="214" t="s">
        <v>8648</v>
      </c>
      <c r="I465" s="215"/>
      <c r="J465" s="216" t="s">
        <v>8649</v>
      </c>
      <c r="K465" s="213"/>
      <c r="L465" s="213"/>
      <c r="M465" s="213"/>
      <c r="N465" s="213"/>
      <c r="O465" s="213"/>
      <c r="P465" s="213"/>
      <c r="Q465" s="213"/>
      <c r="R465" s="213"/>
      <c r="S465" s="213"/>
      <c r="T465" s="212"/>
      <c r="U465" s="212"/>
      <c r="V465" s="212"/>
      <c r="W465" s="212"/>
      <c r="X465" s="212"/>
      <c r="Y465" s="212"/>
      <c r="Z465" s="212"/>
      <c r="AA465" s="212"/>
      <c r="AB465" s="212"/>
      <c r="AC465" s="212"/>
      <c r="AD465" s="212"/>
    </row>
    <row r="466" ht="22.5" customHeight="1">
      <c r="A466" s="219">
        <v>23909.0</v>
      </c>
      <c r="B466" s="211" t="s">
        <v>20</v>
      </c>
      <c r="C466" s="211" t="s">
        <v>8650</v>
      </c>
      <c r="D466" s="222" t="s">
        <v>177</v>
      </c>
      <c r="E466" s="211" t="s">
        <v>7815</v>
      </c>
      <c r="F466" s="213"/>
      <c r="G466" s="213"/>
      <c r="H466" s="215"/>
      <c r="I466" s="215"/>
      <c r="J466" s="216" t="s">
        <v>8651</v>
      </c>
      <c r="K466" s="213"/>
      <c r="L466" s="213"/>
      <c r="M466" s="213"/>
      <c r="N466" s="213"/>
      <c r="O466" s="213"/>
      <c r="P466" s="213"/>
      <c r="Q466" s="213"/>
      <c r="R466" s="213"/>
      <c r="S466" s="213"/>
      <c r="T466" s="212"/>
      <c r="U466" s="212"/>
      <c r="V466" s="212"/>
      <c r="W466" s="212"/>
      <c r="X466" s="212"/>
      <c r="Y466" s="212"/>
      <c r="Z466" s="212"/>
      <c r="AA466" s="212"/>
      <c r="AB466" s="212"/>
      <c r="AC466" s="212"/>
      <c r="AD466" s="212"/>
    </row>
    <row r="467" ht="22.5" customHeight="1">
      <c r="A467" s="219">
        <v>23910.0</v>
      </c>
      <c r="B467" s="211" t="s">
        <v>20</v>
      </c>
      <c r="C467" s="211" t="s">
        <v>8652</v>
      </c>
      <c r="D467" s="222" t="s">
        <v>177</v>
      </c>
      <c r="E467" s="211" t="s">
        <v>8012</v>
      </c>
      <c r="F467" s="213"/>
      <c r="G467" s="219">
        <v>1.0</v>
      </c>
      <c r="H467" s="214" t="s">
        <v>8653</v>
      </c>
      <c r="I467" s="215"/>
      <c r="J467" s="215"/>
      <c r="K467" s="213"/>
      <c r="L467" s="213"/>
      <c r="M467" s="213"/>
      <c r="N467" s="213"/>
      <c r="O467" s="213"/>
      <c r="P467" s="213"/>
      <c r="Q467" s="213"/>
      <c r="R467" s="213"/>
      <c r="S467" s="213"/>
      <c r="T467" s="212"/>
      <c r="U467" s="212"/>
      <c r="V467" s="212"/>
      <c r="W467" s="212"/>
      <c r="X467" s="212"/>
      <c r="Y467" s="212"/>
      <c r="Z467" s="212"/>
      <c r="AA467" s="212"/>
      <c r="AB467" s="212"/>
      <c r="AC467" s="212"/>
      <c r="AD467" s="212"/>
    </row>
    <row r="468" ht="22.5" customHeight="1">
      <c r="A468" s="219">
        <v>23912.0</v>
      </c>
      <c r="B468" s="211" t="s">
        <v>20</v>
      </c>
      <c r="C468" s="211" t="s">
        <v>786</v>
      </c>
      <c r="D468" s="222" t="s">
        <v>177</v>
      </c>
      <c r="E468" s="211" t="s">
        <v>8130</v>
      </c>
      <c r="F468" s="213"/>
      <c r="G468" s="219">
        <v>1.0</v>
      </c>
      <c r="H468" s="214" t="s">
        <v>8654</v>
      </c>
      <c r="I468" s="215"/>
      <c r="J468" s="215"/>
      <c r="K468" s="213"/>
      <c r="L468" s="213"/>
      <c r="M468" s="213"/>
      <c r="N468" s="213"/>
      <c r="O468" s="213"/>
      <c r="P468" s="213"/>
      <c r="Q468" s="213"/>
      <c r="R468" s="213"/>
      <c r="S468" s="213"/>
      <c r="T468" s="212"/>
      <c r="U468" s="212"/>
      <c r="V468" s="212"/>
      <c r="W468" s="212"/>
      <c r="X468" s="212"/>
      <c r="Y468" s="212"/>
      <c r="Z468" s="212"/>
      <c r="AA468" s="212"/>
      <c r="AB468" s="212"/>
      <c r="AC468" s="212"/>
      <c r="AD468" s="212"/>
    </row>
    <row r="469" ht="22.5" customHeight="1">
      <c r="A469" s="219">
        <v>23913.0</v>
      </c>
      <c r="B469" s="211" t="s">
        <v>20</v>
      </c>
      <c r="C469" s="211" t="s">
        <v>3097</v>
      </c>
      <c r="D469" s="222" t="s">
        <v>177</v>
      </c>
      <c r="E469" s="211" t="s">
        <v>8130</v>
      </c>
      <c r="F469" s="213"/>
      <c r="G469" s="213"/>
      <c r="H469" s="214" t="s">
        <v>8655</v>
      </c>
      <c r="I469" s="215"/>
      <c r="J469" s="215"/>
      <c r="K469" s="213"/>
      <c r="L469" s="213"/>
      <c r="M469" s="213"/>
      <c r="N469" s="213"/>
      <c r="O469" s="213"/>
      <c r="P469" s="213"/>
      <c r="Q469" s="213"/>
      <c r="R469" s="213"/>
      <c r="S469" s="213"/>
      <c r="T469" s="212"/>
      <c r="U469" s="212"/>
      <c r="V469" s="212"/>
      <c r="W469" s="212"/>
      <c r="X469" s="212"/>
      <c r="Y469" s="212"/>
      <c r="Z469" s="212"/>
      <c r="AA469" s="212"/>
      <c r="AB469" s="212"/>
      <c r="AC469" s="212"/>
      <c r="AD469" s="212"/>
    </row>
    <row r="470" ht="22.5" customHeight="1">
      <c r="A470" s="219">
        <v>23978.0</v>
      </c>
      <c r="B470" s="211" t="s">
        <v>20</v>
      </c>
      <c r="C470" s="211" t="s">
        <v>8656</v>
      </c>
      <c r="D470" s="222" t="s">
        <v>177</v>
      </c>
      <c r="E470" s="211" t="s">
        <v>7924</v>
      </c>
      <c r="F470" s="213"/>
      <c r="G470" s="213"/>
      <c r="H470" s="214" t="s">
        <v>8657</v>
      </c>
      <c r="I470" s="215"/>
      <c r="J470" s="216" t="s">
        <v>8658</v>
      </c>
      <c r="K470" s="213"/>
      <c r="L470" s="213"/>
      <c r="M470" s="213"/>
      <c r="N470" s="213"/>
      <c r="O470" s="213"/>
      <c r="P470" s="213"/>
      <c r="Q470" s="213"/>
      <c r="R470" s="213"/>
      <c r="S470" s="213"/>
      <c r="T470" s="212"/>
      <c r="U470" s="212"/>
      <c r="V470" s="212"/>
      <c r="W470" s="212"/>
      <c r="X470" s="212"/>
      <c r="Y470" s="212"/>
      <c r="Z470" s="212"/>
      <c r="AA470" s="212"/>
      <c r="AB470" s="212"/>
      <c r="AC470" s="212"/>
      <c r="AD470" s="212"/>
    </row>
    <row r="471" ht="22.5" customHeight="1">
      <c r="A471" s="219">
        <v>23980.0</v>
      </c>
      <c r="B471" s="211" t="s">
        <v>20</v>
      </c>
      <c r="C471" s="211" t="s">
        <v>786</v>
      </c>
      <c r="D471" s="222" t="s">
        <v>177</v>
      </c>
      <c r="E471" s="211" t="s">
        <v>8533</v>
      </c>
      <c r="F471" s="213"/>
      <c r="G471" s="213"/>
      <c r="H471" s="214" t="s">
        <v>8659</v>
      </c>
      <c r="I471" s="215"/>
      <c r="J471" s="215"/>
      <c r="K471" s="213"/>
      <c r="L471" s="213"/>
      <c r="M471" s="213"/>
      <c r="N471" s="213"/>
      <c r="O471" s="213"/>
      <c r="P471" s="213"/>
      <c r="Q471" s="213"/>
      <c r="R471" s="213"/>
      <c r="S471" s="213"/>
      <c r="T471" s="212"/>
      <c r="U471" s="212"/>
      <c r="V471" s="212"/>
      <c r="W471" s="212"/>
      <c r="X471" s="212"/>
      <c r="Y471" s="212"/>
      <c r="Z471" s="212"/>
      <c r="AA471" s="212"/>
      <c r="AB471" s="212"/>
      <c r="AC471" s="212"/>
      <c r="AD471" s="212"/>
    </row>
    <row r="472" ht="22.5" customHeight="1">
      <c r="A472" s="219">
        <v>23982.0</v>
      </c>
      <c r="B472" s="211" t="s">
        <v>20</v>
      </c>
      <c r="C472" s="211" t="s">
        <v>8589</v>
      </c>
      <c r="D472" s="222" t="s">
        <v>177</v>
      </c>
      <c r="E472" s="211" t="s">
        <v>178</v>
      </c>
      <c r="F472" s="213"/>
      <c r="G472" s="213"/>
      <c r="H472" s="214" t="s">
        <v>8660</v>
      </c>
      <c r="I472" s="215"/>
      <c r="J472" s="215"/>
      <c r="K472" s="213"/>
      <c r="L472" s="213"/>
      <c r="M472" s="213"/>
      <c r="N472" s="213"/>
      <c r="O472" s="213"/>
      <c r="P472" s="213"/>
      <c r="Q472" s="213"/>
      <c r="R472" s="213"/>
      <c r="S472" s="213"/>
      <c r="T472" s="212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</row>
    <row r="473" ht="22.5" customHeight="1">
      <c r="A473" s="219">
        <v>24130.0</v>
      </c>
      <c r="B473" s="211" t="s">
        <v>20</v>
      </c>
      <c r="C473" s="211" t="s">
        <v>828</v>
      </c>
      <c r="D473" s="222" t="s">
        <v>177</v>
      </c>
      <c r="E473" s="222" t="s">
        <v>177</v>
      </c>
      <c r="F473" s="213"/>
      <c r="G473" s="213"/>
      <c r="H473" s="215"/>
      <c r="I473" s="215"/>
      <c r="J473" s="216" t="s">
        <v>5025</v>
      </c>
      <c r="K473" s="213"/>
      <c r="L473" s="213"/>
      <c r="M473" s="213"/>
      <c r="N473" s="213"/>
      <c r="O473" s="213"/>
      <c r="P473" s="213"/>
      <c r="Q473" s="213"/>
      <c r="R473" s="213"/>
      <c r="S473" s="213"/>
      <c r="T473" s="212"/>
      <c r="U473" s="212"/>
      <c r="V473" s="212"/>
      <c r="W473" s="212"/>
      <c r="X473" s="212"/>
      <c r="Y473" s="212"/>
      <c r="Z473" s="212"/>
      <c r="AA473" s="212"/>
      <c r="AB473" s="212"/>
      <c r="AC473" s="212"/>
      <c r="AD473" s="212"/>
    </row>
    <row r="474" ht="22.5" customHeight="1">
      <c r="A474" s="219">
        <v>24211.0</v>
      </c>
      <c r="B474" s="211" t="s">
        <v>20</v>
      </c>
      <c r="C474" s="211" t="s">
        <v>8661</v>
      </c>
      <c r="D474" s="222" t="s">
        <v>177</v>
      </c>
      <c r="E474" s="211" t="s">
        <v>8021</v>
      </c>
      <c r="F474" s="213"/>
      <c r="G474" s="213"/>
      <c r="H474" s="214" t="s">
        <v>8662</v>
      </c>
      <c r="I474" s="216" t="s">
        <v>8663</v>
      </c>
      <c r="J474" s="215"/>
      <c r="K474" s="213"/>
      <c r="L474" s="213"/>
      <c r="M474" s="213"/>
      <c r="N474" s="213"/>
      <c r="O474" s="213"/>
      <c r="P474" s="213"/>
      <c r="Q474" s="213"/>
      <c r="R474" s="213"/>
      <c r="S474" s="213"/>
      <c r="T474" s="212"/>
      <c r="U474" s="212"/>
      <c r="V474" s="212"/>
      <c r="W474" s="212"/>
      <c r="X474" s="212"/>
      <c r="Y474" s="212"/>
      <c r="Z474" s="212"/>
      <c r="AA474" s="212"/>
      <c r="AB474" s="212"/>
      <c r="AC474" s="212"/>
      <c r="AD474" s="212"/>
    </row>
    <row r="475" ht="22.5" customHeight="1">
      <c r="A475" s="219">
        <v>24212.0</v>
      </c>
      <c r="B475" s="211" t="s">
        <v>20</v>
      </c>
      <c r="C475" s="211" t="s">
        <v>8664</v>
      </c>
      <c r="D475" s="222" t="s">
        <v>177</v>
      </c>
      <c r="E475" s="211" t="s">
        <v>8130</v>
      </c>
      <c r="F475" s="213"/>
      <c r="G475" s="213"/>
      <c r="H475" s="214" t="s">
        <v>8665</v>
      </c>
      <c r="I475" s="215"/>
      <c r="J475" s="215"/>
      <c r="K475" s="213"/>
      <c r="L475" s="213"/>
      <c r="M475" s="213"/>
      <c r="N475" s="213"/>
      <c r="O475" s="213"/>
      <c r="P475" s="213"/>
      <c r="Q475" s="213"/>
      <c r="R475" s="213"/>
      <c r="S475" s="213"/>
      <c r="T475" s="212"/>
      <c r="U475" s="212"/>
      <c r="V475" s="212"/>
      <c r="W475" s="212"/>
      <c r="X475" s="212"/>
      <c r="Y475" s="212"/>
      <c r="Z475" s="212"/>
      <c r="AA475" s="212"/>
      <c r="AB475" s="212"/>
      <c r="AC475" s="212"/>
      <c r="AD475" s="212"/>
    </row>
    <row r="476" ht="22.5" customHeight="1">
      <c r="A476" s="219">
        <v>24248.0</v>
      </c>
      <c r="B476" s="211" t="s">
        <v>20</v>
      </c>
      <c r="C476" s="211" t="s">
        <v>955</v>
      </c>
      <c r="D476" s="222" t="s">
        <v>177</v>
      </c>
      <c r="E476" s="211" t="s">
        <v>7924</v>
      </c>
      <c r="F476" s="213"/>
      <c r="G476" s="213"/>
      <c r="H476" s="214" t="s">
        <v>8666</v>
      </c>
      <c r="I476" s="215"/>
      <c r="J476" s="215"/>
      <c r="K476" s="213"/>
      <c r="L476" s="213"/>
      <c r="M476" s="213"/>
      <c r="N476" s="213"/>
      <c r="O476" s="213"/>
      <c r="P476" s="213"/>
      <c r="Q476" s="213"/>
      <c r="R476" s="213"/>
      <c r="S476" s="213"/>
      <c r="T476" s="212"/>
      <c r="U476" s="212"/>
      <c r="V476" s="212"/>
      <c r="W476" s="212"/>
      <c r="X476" s="212"/>
      <c r="Y476" s="212"/>
      <c r="Z476" s="212"/>
      <c r="AA476" s="212"/>
      <c r="AB476" s="212"/>
      <c r="AC476" s="212"/>
      <c r="AD476" s="212"/>
    </row>
    <row r="477" ht="22.5" customHeight="1">
      <c r="A477" s="219">
        <v>24422.0</v>
      </c>
      <c r="B477" s="211" t="s">
        <v>20</v>
      </c>
      <c r="C477" s="211" t="s">
        <v>3658</v>
      </c>
      <c r="D477" s="222" t="s">
        <v>177</v>
      </c>
      <c r="E477" s="211" t="s">
        <v>7797</v>
      </c>
      <c r="F477" s="213"/>
      <c r="G477" s="213"/>
      <c r="H477" s="214" t="s">
        <v>8667</v>
      </c>
      <c r="I477" s="216" t="s">
        <v>8668</v>
      </c>
      <c r="J477" s="215"/>
      <c r="K477" s="213"/>
      <c r="L477" s="213"/>
      <c r="M477" s="213"/>
      <c r="N477" s="213"/>
      <c r="O477" s="213"/>
      <c r="P477" s="213"/>
      <c r="Q477" s="213"/>
      <c r="R477" s="213"/>
      <c r="S477" s="213"/>
      <c r="T477" s="212"/>
      <c r="U477" s="212"/>
      <c r="V477" s="212"/>
      <c r="W477" s="212"/>
      <c r="X477" s="212"/>
      <c r="Y477" s="212"/>
      <c r="Z477" s="212"/>
      <c r="AA477" s="212"/>
      <c r="AB477" s="212"/>
      <c r="AC477" s="212"/>
      <c r="AD477" s="212"/>
    </row>
    <row r="478" ht="22.5" customHeight="1">
      <c r="A478" s="219">
        <v>24533.0</v>
      </c>
      <c r="B478" s="211" t="s">
        <v>20</v>
      </c>
      <c r="C478" s="211" t="s">
        <v>8669</v>
      </c>
      <c r="D478" s="222" t="s">
        <v>177</v>
      </c>
      <c r="E478" s="211" t="s">
        <v>177</v>
      </c>
      <c r="F478" s="213"/>
      <c r="G478" s="213"/>
      <c r="H478" s="215"/>
      <c r="I478" s="215"/>
      <c r="J478" s="216" t="s">
        <v>8670</v>
      </c>
      <c r="K478" s="213"/>
      <c r="L478" s="213"/>
      <c r="M478" s="213"/>
      <c r="N478" s="213"/>
      <c r="O478" s="213"/>
      <c r="P478" s="213"/>
      <c r="Q478" s="213"/>
      <c r="R478" s="213"/>
      <c r="S478" s="213"/>
      <c r="T478" s="212"/>
      <c r="U478" s="212"/>
      <c r="V478" s="212"/>
      <c r="W478" s="212"/>
      <c r="X478" s="212"/>
      <c r="Y478" s="212"/>
      <c r="Z478" s="212"/>
      <c r="AA478" s="212"/>
      <c r="AB478" s="212"/>
      <c r="AC478" s="212"/>
      <c r="AD478" s="212"/>
    </row>
    <row r="479" ht="22.5" customHeight="1">
      <c r="A479" s="219">
        <v>24537.0</v>
      </c>
      <c r="B479" s="211" t="s">
        <v>20</v>
      </c>
      <c r="C479" s="211" t="s">
        <v>3209</v>
      </c>
      <c r="D479" s="222" t="s">
        <v>177</v>
      </c>
      <c r="E479" s="211" t="s">
        <v>8671</v>
      </c>
      <c r="F479" s="213"/>
      <c r="G479" s="213"/>
      <c r="H479" s="214" t="s">
        <v>8672</v>
      </c>
      <c r="I479" s="215"/>
      <c r="J479" s="215"/>
      <c r="K479" s="213"/>
      <c r="L479" s="213"/>
      <c r="M479" s="213"/>
      <c r="N479" s="213"/>
      <c r="O479" s="213"/>
      <c r="P479" s="213"/>
      <c r="Q479" s="213"/>
      <c r="R479" s="213"/>
      <c r="S479" s="213"/>
      <c r="T479" s="212"/>
      <c r="U479" s="212"/>
      <c r="V479" s="212"/>
      <c r="W479" s="212"/>
      <c r="X479" s="212"/>
      <c r="Y479" s="212"/>
      <c r="Z479" s="212"/>
      <c r="AA479" s="212"/>
      <c r="AB479" s="212"/>
      <c r="AC479" s="212"/>
      <c r="AD479" s="212"/>
    </row>
    <row r="480" ht="22.5" customHeight="1">
      <c r="A480" s="219">
        <v>24560.0</v>
      </c>
      <c r="B480" s="211" t="s">
        <v>20</v>
      </c>
      <c r="C480" s="211" t="s">
        <v>8673</v>
      </c>
      <c r="D480" s="222" t="s">
        <v>177</v>
      </c>
      <c r="E480" s="222" t="s">
        <v>177</v>
      </c>
      <c r="F480" s="213"/>
      <c r="G480" s="219">
        <v>1.0</v>
      </c>
      <c r="H480" s="214" t="s">
        <v>8674</v>
      </c>
      <c r="I480" s="215"/>
      <c r="J480" s="215"/>
      <c r="K480" s="213"/>
      <c r="L480" s="213"/>
      <c r="M480" s="213"/>
      <c r="N480" s="213"/>
      <c r="O480" s="213"/>
      <c r="P480" s="213"/>
      <c r="Q480" s="213"/>
      <c r="R480" s="213"/>
      <c r="S480" s="213"/>
      <c r="T480" s="212"/>
      <c r="U480" s="212"/>
      <c r="V480" s="212"/>
      <c r="W480" s="212"/>
      <c r="X480" s="212"/>
      <c r="Y480" s="212"/>
      <c r="Z480" s="212"/>
      <c r="AA480" s="212"/>
      <c r="AB480" s="212"/>
      <c r="AC480" s="212"/>
      <c r="AD480" s="212"/>
    </row>
    <row r="481" ht="22.5" customHeight="1">
      <c r="A481" s="219">
        <v>24568.0</v>
      </c>
      <c r="B481" s="211" t="s">
        <v>20</v>
      </c>
      <c r="C481" s="211" t="s">
        <v>8055</v>
      </c>
      <c r="D481" s="222" t="s">
        <v>177</v>
      </c>
      <c r="E481" s="211" t="s">
        <v>8533</v>
      </c>
      <c r="F481" s="213"/>
      <c r="G481" s="219">
        <v>1.0</v>
      </c>
      <c r="H481" s="214" t="s">
        <v>8675</v>
      </c>
      <c r="I481" s="215"/>
      <c r="J481" s="215"/>
      <c r="K481" s="213"/>
      <c r="L481" s="213"/>
      <c r="M481" s="213"/>
      <c r="N481" s="213"/>
      <c r="O481" s="213"/>
      <c r="P481" s="213"/>
      <c r="Q481" s="213"/>
      <c r="R481" s="213"/>
      <c r="S481" s="213"/>
      <c r="T481" s="212"/>
      <c r="U481" s="212"/>
      <c r="V481" s="212"/>
      <c r="W481" s="212"/>
      <c r="X481" s="212"/>
      <c r="Y481" s="212"/>
      <c r="Z481" s="212"/>
      <c r="AA481" s="212"/>
      <c r="AB481" s="212"/>
      <c r="AC481" s="212"/>
      <c r="AD481" s="212"/>
    </row>
    <row r="482" ht="22.5" customHeight="1">
      <c r="A482" s="219">
        <v>24615.0</v>
      </c>
      <c r="B482" s="211" t="s">
        <v>20</v>
      </c>
      <c r="C482" s="211" t="s">
        <v>8676</v>
      </c>
      <c r="D482" s="222" t="s">
        <v>177</v>
      </c>
      <c r="E482" s="211" t="s">
        <v>7797</v>
      </c>
      <c r="F482" s="213"/>
      <c r="G482" s="219">
        <v>1.0</v>
      </c>
      <c r="H482" s="214" t="s">
        <v>8677</v>
      </c>
      <c r="I482" s="215"/>
      <c r="J482" s="215"/>
      <c r="K482" s="213"/>
      <c r="L482" s="213"/>
      <c r="M482" s="213"/>
      <c r="N482" s="213"/>
      <c r="O482" s="213"/>
      <c r="P482" s="213"/>
      <c r="Q482" s="213"/>
      <c r="R482" s="213"/>
      <c r="S482" s="213"/>
      <c r="T482" s="212"/>
      <c r="U482" s="212"/>
      <c r="V482" s="212"/>
      <c r="W482" s="212"/>
      <c r="X482" s="212"/>
      <c r="Y482" s="212"/>
      <c r="Z482" s="212"/>
      <c r="AA482" s="212"/>
      <c r="AB482" s="212"/>
      <c r="AC482" s="212"/>
      <c r="AD482" s="212"/>
    </row>
    <row r="483" ht="22.5" customHeight="1">
      <c r="A483" s="219">
        <v>24620.0</v>
      </c>
      <c r="B483" s="211" t="s">
        <v>20</v>
      </c>
      <c r="C483" s="211" t="s">
        <v>8678</v>
      </c>
      <c r="D483" s="222" t="s">
        <v>177</v>
      </c>
      <c r="E483" s="222" t="s">
        <v>177</v>
      </c>
      <c r="F483" s="213"/>
      <c r="G483" s="213"/>
      <c r="H483" s="214" t="s">
        <v>8679</v>
      </c>
      <c r="I483" s="215"/>
      <c r="J483" s="215"/>
      <c r="K483" s="213"/>
      <c r="L483" s="213"/>
      <c r="M483" s="213"/>
      <c r="N483" s="213"/>
      <c r="O483" s="213"/>
      <c r="P483" s="213"/>
      <c r="Q483" s="213"/>
      <c r="R483" s="213"/>
      <c r="S483" s="213"/>
      <c r="T483" s="212"/>
      <c r="U483" s="212"/>
      <c r="V483" s="212"/>
      <c r="W483" s="212"/>
      <c r="X483" s="212"/>
      <c r="Y483" s="212"/>
      <c r="Z483" s="212"/>
      <c r="AA483" s="212"/>
      <c r="AB483" s="212"/>
      <c r="AC483" s="212"/>
      <c r="AD483" s="212"/>
    </row>
    <row r="484" ht="22.5" customHeight="1">
      <c r="A484" s="219">
        <v>24638.0</v>
      </c>
      <c r="B484" s="211" t="s">
        <v>20</v>
      </c>
      <c r="C484" s="211" t="s">
        <v>4055</v>
      </c>
      <c r="D484" s="222" t="s">
        <v>177</v>
      </c>
      <c r="E484" s="211" t="s">
        <v>7942</v>
      </c>
      <c r="F484" s="213"/>
      <c r="G484" s="219">
        <v>1.0</v>
      </c>
      <c r="H484" s="214" t="s">
        <v>8680</v>
      </c>
      <c r="I484" s="215"/>
      <c r="J484" s="215"/>
      <c r="K484" s="213"/>
      <c r="L484" s="213"/>
      <c r="M484" s="213"/>
      <c r="N484" s="213"/>
      <c r="O484" s="213"/>
      <c r="P484" s="213"/>
      <c r="Q484" s="213"/>
      <c r="R484" s="213"/>
      <c r="S484" s="213"/>
      <c r="T484" s="212"/>
      <c r="U484" s="212"/>
      <c r="V484" s="212"/>
      <c r="W484" s="212"/>
      <c r="X484" s="212"/>
      <c r="Y484" s="212"/>
      <c r="Z484" s="212"/>
      <c r="AA484" s="212"/>
      <c r="AB484" s="212"/>
      <c r="AC484" s="212"/>
      <c r="AD484" s="212"/>
    </row>
    <row r="485" ht="22.5" customHeight="1">
      <c r="A485" s="219">
        <v>24649.0</v>
      </c>
      <c r="B485" s="211" t="s">
        <v>20</v>
      </c>
      <c r="C485" s="211" t="s">
        <v>8681</v>
      </c>
      <c r="D485" s="222" t="s">
        <v>177</v>
      </c>
      <c r="E485" s="211" t="s">
        <v>8021</v>
      </c>
      <c r="F485" s="213"/>
      <c r="G485" s="213"/>
      <c r="H485" s="214" t="s">
        <v>8682</v>
      </c>
      <c r="I485" s="215"/>
      <c r="J485" s="216" t="s">
        <v>8683</v>
      </c>
      <c r="K485" s="213"/>
      <c r="L485" s="213"/>
      <c r="M485" s="213"/>
      <c r="N485" s="213"/>
      <c r="O485" s="213"/>
      <c r="P485" s="213"/>
      <c r="Q485" s="213"/>
      <c r="R485" s="213"/>
      <c r="S485" s="213"/>
      <c r="T485" s="212"/>
      <c r="U485" s="212"/>
      <c r="V485" s="212"/>
      <c r="W485" s="212"/>
      <c r="X485" s="212"/>
      <c r="Y485" s="212"/>
      <c r="Z485" s="212"/>
      <c r="AA485" s="212"/>
      <c r="AB485" s="212"/>
      <c r="AC485" s="212"/>
      <c r="AD485" s="212"/>
    </row>
    <row r="486" ht="22.5" customHeight="1">
      <c r="A486" s="219">
        <v>24651.0</v>
      </c>
      <c r="B486" s="211" t="s">
        <v>20</v>
      </c>
      <c r="C486" s="211" t="s">
        <v>1108</v>
      </c>
      <c r="D486" s="222" t="s">
        <v>177</v>
      </c>
      <c r="E486" s="211" t="s">
        <v>7771</v>
      </c>
      <c r="F486" s="213"/>
      <c r="G486" s="213"/>
      <c r="H486" s="215"/>
      <c r="I486" s="216" t="s">
        <v>8684</v>
      </c>
      <c r="J486" s="215"/>
      <c r="K486" s="213"/>
      <c r="L486" s="213"/>
      <c r="M486" s="213"/>
      <c r="N486" s="213"/>
      <c r="O486" s="213"/>
      <c r="P486" s="213"/>
      <c r="Q486" s="213"/>
      <c r="R486" s="213"/>
      <c r="S486" s="213"/>
      <c r="T486" s="212"/>
      <c r="U486" s="212"/>
      <c r="V486" s="212"/>
      <c r="W486" s="212"/>
      <c r="X486" s="212"/>
      <c r="Y486" s="212"/>
      <c r="Z486" s="212"/>
      <c r="AA486" s="212"/>
      <c r="AB486" s="212"/>
      <c r="AC486" s="212"/>
      <c r="AD486" s="212"/>
    </row>
    <row r="487" ht="22.5" customHeight="1">
      <c r="A487" s="219">
        <v>24687.0</v>
      </c>
      <c r="B487" s="211" t="s">
        <v>20</v>
      </c>
      <c r="C487" s="211" t="s">
        <v>804</v>
      </c>
      <c r="D487" s="222" t="s">
        <v>177</v>
      </c>
      <c r="E487" s="211" t="s">
        <v>8002</v>
      </c>
      <c r="F487" s="213"/>
      <c r="G487" s="213"/>
      <c r="H487" s="215"/>
      <c r="I487" s="215"/>
      <c r="J487" s="216" t="s">
        <v>8685</v>
      </c>
      <c r="K487" s="213"/>
      <c r="L487" s="213"/>
      <c r="M487" s="213"/>
      <c r="N487" s="213"/>
      <c r="O487" s="213"/>
      <c r="P487" s="213"/>
      <c r="Q487" s="213"/>
      <c r="R487" s="213"/>
      <c r="S487" s="213"/>
      <c r="T487" s="212"/>
      <c r="U487" s="212"/>
      <c r="V487" s="212"/>
      <c r="W487" s="212"/>
      <c r="X487" s="212"/>
      <c r="Y487" s="212"/>
      <c r="Z487" s="212"/>
      <c r="AA487" s="212"/>
      <c r="AB487" s="212"/>
      <c r="AC487" s="212"/>
      <c r="AD487" s="212"/>
    </row>
    <row r="488" ht="22.5" customHeight="1">
      <c r="A488" s="219">
        <v>24692.0</v>
      </c>
      <c r="B488" s="211" t="s">
        <v>20</v>
      </c>
      <c r="C488" s="211" t="s">
        <v>8418</v>
      </c>
      <c r="D488" s="222" t="s">
        <v>177</v>
      </c>
      <c r="E488" s="211" t="s">
        <v>8002</v>
      </c>
      <c r="F488" s="213"/>
      <c r="G488" s="213"/>
      <c r="H488" s="214" t="s">
        <v>8686</v>
      </c>
      <c r="I488" s="216" t="s">
        <v>8687</v>
      </c>
      <c r="J488" s="215"/>
      <c r="K488" s="213"/>
      <c r="L488" s="213"/>
      <c r="M488" s="213"/>
      <c r="N488" s="213"/>
      <c r="O488" s="213"/>
      <c r="P488" s="213"/>
      <c r="Q488" s="213"/>
      <c r="R488" s="213"/>
      <c r="S488" s="213"/>
      <c r="T488" s="212"/>
      <c r="U488" s="212"/>
      <c r="V488" s="212"/>
      <c r="W488" s="212"/>
      <c r="X488" s="212"/>
      <c r="Y488" s="212"/>
      <c r="Z488" s="212"/>
      <c r="AA488" s="212"/>
      <c r="AB488" s="212"/>
      <c r="AC488" s="212"/>
      <c r="AD488" s="212"/>
    </row>
    <row r="489" ht="22.5" customHeight="1">
      <c r="A489" s="219">
        <v>24726.0</v>
      </c>
      <c r="B489" s="211" t="s">
        <v>20</v>
      </c>
      <c r="C489" s="211" t="s">
        <v>1295</v>
      </c>
      <c r="D489" s="222" t="s">
        <v>177</v>
      </c>
      <c r="E489" s="211" t="s">
        <v>7771</v>
      </c>
      <c r="F489" s="213"/>
      <c r="G489" s="219">
        <v>1.0</v>
      </c>
      <c r="H489" s="214" t="s">
        <v>8688</v>
      </c>
      <c r="I489" s="215"/>
      <c r="J489" s="215"/>
      <c r="K489" s="213"/>
      <c r="L489" s="213"/>
      <c r="M489" s="213"/>
      <c r="N489" s="213"/>
      <c r="O489" s="213"/>
      <c r="P489" s="213"/>
      <c r="Q489" s="213"/>
      <c r="R489" s="213"/>
      <c r="S489" s="213"/>
      <c r="T489" s="212"/>
      <c r="U489" s="212"/>
      <c r="V489" s="212"/>
      <c r="W489" s="212"/>
      <c r="X489" s="212"/>
      <c r="Y489" s="212"/>
      <c r="Z489" s="212"/>
      <c r="AA489" s="212"/>
      <c r="AB489" s="212"/>
      <c r="AC489" s="212"/>
      <c r="AD489" s="212"/>
    </row>
    <row r="490" ht="22.5" customHeight="1">
      <c r="A490" s="219">
        <v>24766.0</v>
      </c>
      <c r="B490" s="211" t="s">
        <v>20</v>
      </c>
      <c r="C490" s="211" t="s">
        <v>828</v>
      </c>
      <c r="D490" s="222" t="s">
        <v>177</v>
      </c>
      <c r="E490" s="211" t="s">
        <v>7959</v>
      </c>
      <c r="F490" s="213"/>
      <c r="G490" s="213"/>
      <c r="H490" s="214" t="s">
        <v>8689</v>
      </c>
      <c r="I490" s="215"/>
      <c r="J490" s="216" t="s">
        <v>8690</v>
      </c>
      <c r="K490" s="213"/>
      <c r="L490" s="213"/>
      <c r="M490" s="213"/>
      <c r="N490" s="213"/>
      <c r="O490" s="213"/>
      <c r="P490" s="213"/>
      <c r="Q490" s="213"/>
      <c r="R490" s="213"/>
      <c r="S490" s="213"/>
      <c r="T490" s="212"/>
      <c r="U490" s="212"/>
      <c r="V490" s="212"/>
      <c r="W490" s="212"/>
      <c r="X490" s="212"/>
      <c r="Y490" s="212"/>
      <c r="Z490" s="212"/>
      <c r="AA490" s="212"/>
      <c r="AB490" s="212"/>
      <c r="AC490" s="212"/>
      <c r="AD490" s="212"/>
    </row>
    <row r="491" ht="22.5" customHeight="1">
      <c r="A491" s="219">
        <v>24779.0</v>
      </c>
      <c r="B491" s="211" t="s">
        <v>20</v>
      </c>
      <c r="C491" s="211" t="s">
        <v>5649</v>
      </c>
      <c r="D491" s="222" t="s">
        <v>177</v>
      </c>
      <c r="E491" s="222" t="s">
        <v>177</v>
      </c>
      <c r="F491" s="213"/>
      <c r="G491" s="213"/>
      <c r="H491" s="214" t="s">
        <v>8691</v>
      </c>
      <c r="I491" s="215"/>
      <c r="J491" s="216" t="s">
        <v>8692</v>
      </c>
      <c r="K491" s="213"/>
      <c r="L491" s="213"/>
      <c r="M491" s="213"/>
      <c r="N491" s="213"/>
      <c r="O491" s="213"/>
      <c r="P491" s="213"/>
      <c r="Q491" s="213"/>
      <c r="R491" s="213"/>
      <c r="S491" s="213"/>
      <c r="T491" s="212"/>
      <c r="U491" s="212"/>
      <c r="V491" s="212"/>
      <c r="W491" s="212"/>
      <c r="X491" s="212"/>
      <c r="Y491" s="212"/>
      <c r="Z491" s="212"/>
      <c r="AA491" s="212"/>
      <c r="AB491" s="212"/>
      <c r="AC491" s="212"/>
      <c r="AD491" s="212"/>
    </row>
    <row r="492" ht="22.5" customHeight="1">
      <c r="A492" s="219">
        <v>24787.0</v>
      </c>
      <c r="B492" s="211" t="s">
        <v>20</v>
      </c>
      <c r="C492" s="211" t="s">
        <v>74</v>
      </c>
      <c r="D492" s="222" t="s">
        <v>177</v>
      </c>
      <c r="E492" s="211" t="s">
        <v>8533</v>
      </c>
      <c r="F492" s="213"/>
      <c r="G492" s="219">
        <v>1.0</v>
      </c>
      <c r="H492" s="214" t="s">
        <v>8693</v>
      </c>
      <c r="I492" s="215"/>
      <c r="J492" s="215"/>
      <c r="K492" s="213"/>
      <c r="L492" s="213"/>
      <c r="M492" s="213"/>
      <c r="N492" s="213"/>
      <c r="O492" s="213"/>
      <c r="P492" s="213"/>
      <c r="Q492" s="213"/>
      <c r="R492" s="213"/>
      <c r="S492" s="213"/>
      <c r="T492" s="212"/>
      <c r="U492" s="212"/>
      <c r="V492" s="212"/>
      <c r="W492" s="212"/>
      <c r="X492" s="212"/>
      <c r="Y492" s="212"/>
      <c r="Z492" s="212"/>
      <c r="AA492" s="212"/>
      <c r="AB492" s="212"/>
      <c r="AC492" s="212"/>
      <c r="AD492" s="212"/>
    </row>
    <row r="493" ht="22.5" customHeight="1">
      <c r="A493" s="219">
        <v>24795.0</v>
      </c>
      <c r="B493" s="211" t="s">
        <v>20</v>
      </c>
      <c r="C493" s="211" t="s">
        <v>8694</v>
      </c>
      <c r="D493" s="222" t="s">
        <v>177</v>
      </c>
      <c r="E493" s="211" t="s">
        <v>7931</v>
      </c>
      <c r="F493" s="213"/>
      <c r="G493" s="213"/>
      <c r="H493" s="215"/>
      <c r="I493" s="215"/>
      <c r="J493" s="216" t="s">
        <v>5025</v>
      </c>
      <c r="K493" s="213"/>
      <c r="L493" s="213"/>
      <c r="M493" s="213"/>
      <c r="N493" s="213"/>
      <c r="O493" s="213"/>
      <c r="P493" s="213"/>
      <c r="Q493" s="213"/>
      <c r="R493" s="213"/>
      <c r="S493" s="213"/>
      <c r="T493" s="212"/>
      <c r="U493" s="212"/>
      <c r="V493" s="212"/>
      <c r="W493" s="212"/>
      <c r="X493" s="212"/>
      <c r="Y493" s="212"/>
      <c r="Z493" s="212"/>
      <c r="AA493" s="212"/>
      <c r="AB493" s="212"/>
      <c r="AC493" s="212"/>
      <c r="AD493" s="212"/>
    </row>
    <row r="494" ht="22.5" customHeight="1">
      <c r="A494" s="219">
        <v>24802.0</v>
      </c>
      <c r="B494" s="211" t="s">
        <v>20</v>
      </c>
      <c r="C494" s="211" t="s">
        <v>804</v>
      </c>
      <c r="D494" s="222" t="s">
        <v>177</v>
      </c>
      <c r="E494" s="211" t="s">
        <v>7771</v>
      </c>
      <c r="F494" s="213"/>
      <c r="G494" s="213"/>
      <c r="H494" s="214" t="s">
        <v>8695</v>
      </c>
      <c r="I494" s="215"/>
      <c r="J494" s="215"/>
      <c r="K494" s="213"/>
      <c r="L494" s="213"/>
      <c r="M494" s="213"/>
      <c r="N494" s="213"/>
      <c r="O494" s="213"/>
      <c r="P494" s="213"/>
      <c r="Q494" s="213"/>
      <c r="R494" s="213"/>
      <c r="S494" s="213"/>
      <c r="T494" s="212"/>
      <c r="U494" s="212"/>
      <c r="V494" s="212"/>
      <c r="W494" s="212"/>
      <c r="X494" s="212"/>
      <c r="Y494" s="212"/>
      <c r="Z494" s="212"/>
      <c r="AA494" s="212"/>
      <c r="AB494" s="212"/>
      <c r="AC494" s="212"/>
      <c r="AD494" s="212"/>
    </row>
    <row r="495" ht="22.5" customHeight="1">
      <c r="A495" s="219">
        <v>24807.0</v>
      </c>
      <c r="B495" s="211" t="s">
        <v>20</v>
      </c>
      <c r="C495" s="211" t="s">
        <v>8696</v>
      </c>
      <c r="D495" s="222" t="s">
        <v>177</v>
      </c>
      <c r="E495" s="211" t="s">
        <v>7924</v>
      </c>
      <c r="F495" s="213"/>
      <c r="G495" s="213"/>
      <c r="H495" s="214" t="s">
        <v>8697</v>
      </c>
      <c r="I495" s="215"/>
      <c r="J495" s="215"/>
      <c r="K495" s="213"/>
      <c r="L495" s="213"/>
      <c r="M495" s="213"/>
      <c r="N495" s="213"/>
      <c r="O495" s="213"/>
      <c r="P495" s="213"/>
      <c r="Q495" s="213"/>
      <c r="R495" s="213"/>
      <c r="S495" s="213"/>
      <c r="T495" s="212"/>
      <c r="U495" s="212"/>
      <c r="V495" s="212"/>
      <c r="W495" s="212"/>
      <c r="X495" s="212"/>
      <c r="Y495" s="212"/>
      <c r="Z495" s="212"/>
      <c r="AA495" s="212"/>
      <c r="AB495" s="212"/>
      <c r="AC495" s="212"/>
      <c r="AD495" s="212"/>
    </row>
    <row r="496" ht="22.5" customHeight="1">
      <c r="A496" s="219">
        <v>24876.0</v>
      </c>
      <c r="B496" s="211" t="s">
        <v>20</v>
      </c>
      <c r="C496" s="211" t="s">
        <v>5448</v>
      </c>
      <c r="D496" s="222" t="s">
        <v>177</v>
      </c>
      <c r="E496" s="222" t="s">
        <v>177</v>
      </c>
      <c r="F496" s="213"/>
      <c r="G496" s="219">
        <v>1.0</v>
      </c>
      <c r="H496" s="214" t="s">
        <v>8698</v>
      </c>
      <c r="I496" s="216" t="s">
        <v>8699</v>
      </c>
      <c r="J496" s="215"/>
      <c r="K496" s="213"/>
      <c r="L496" s="213"/>
      <c r="M496" s="213"/>
      <c r="N496" s="213"/>
      <c r="O496" s="213"/>
      <c r="P496" s="213"/>
      <c r="Q496" s="213"/>
      <c r="R496" s="213"/>
      <c r="S496" s="213"/>
      <c r="T496" s="212"/>
      <c r="U496" s="212"/>
      <c r="V496" s="212"/>
      <c r="W496" s="212"/>
      <c r="X496" s="212"/>
      <c r="Y496" s="212"/>
      <c r="Z496" s="212"/>
      <c r="AA496" s="212"/>
      <c r="AB496" s="212"/>
      <c r="AC496" s="212"/>
      <c r="AD496" s="212"/>
    </row>
    <row r="497" ht="22.5" customHeight="1">
      <c r="A497" s="219">
        <v>24900.0</v>
      </c>
      <c r="B497" s="211" t="s">
        <v>20</v>
      </c>
      <c r="C497" s="211" t="s">
        <v>3635</v>
      </c>
      <c r="D497" s="222" t="s">
        <v>177</v>
      </c>
      <c r="E497" s="222" t="s">
        <v>177</v>
      </c>
      <c r="F497" s="213"/>
      <c r="G497" s="213"/>
      <c r="H497" s="215"/>
      <c r="I497" s="215"/>
      <c r="J497" s="216" t="s">
        <v>8700</v>
      </c>
      <c r="K497" s="213"/>
      <c r="L497" s="213"/>
      <c r="M497" s="213"/>
      <c r="N497" s="213"/>
      <c r="O497" s="213"/>
      <c r="P497" s="213"/>
      <c r="Q497" s="213"/>
      <c r="R497" s="213"/>
      <c r="S497" s="213"/>
      <c r="T497" s="212"/>
      <c r="U497" s="212"/>
      <c r="V497" s="212"/>
      <c r="W497" s="212"/>
      <c r="X497" s="212"/>
      <c r="Y497" s="212"/>
      <c r="Z497" s="212"/>
      <c r="AA497" s="212"/>
      <c r="AB497" s="212"/>
      <c r="AC497" s="212"/>
      <c r="AD497" s="212"/>
    </row>
    <row r="498" ht="22.5" customHeight="1">
      <c r="A498" s="219">
        <v>24954.0</v>
      </c>
      <c r="B498" s="211" t="s">
        <v>20</v>
      </c>
      <c r="C498" s="211" t="s">
        <v>7919</v>
      </c>
      <c r="D498" s="222" t="s">
        <v>177</v>
      </c>
      <c r="E498" s="222" t="s">
        <v>177</v>
      </c>
      <c r="F498" s="213"/>
      <c r="G498" s="213"/>
      <c r="H498" s="214" t="s">
        <v>8701</v>
      </c>
      <c r="I498" s="215"/>
      <c r="J498" s="215"/>
      <c r="K498" s="213"/>
      <c r="L498" s="213"/>
      <c r="M498" s="213"/>
      <c r="N498" s="213"/>
      <c r="O498" s="213"/>
      <c r="P498" s="213"/>
      <c r="Q498" s="213"/>
      <c r="R498" s="213"/>
      <c r="S498" s="213"/>
      <c r="T498" s="212"/>
      <c r="U498" s="212"/>
      <c r="V498" s="212"/>
      <c r="W498" s="212"/>
      <c r="X498" s="212"/>
      <c r="Y498" s="212"/>
      <c r="Z498" s="212"/>
      <c r="AA498" s="212"/>
      <c r="AB498" s="212"/>
      <c r="AC498" s="212"/>
      <c r="AD498" s="212"/>
    </row>
    <row r="499" ht="22.5" customHeight="1">
      <c r="A499" s="219">
        <v>25024.0</v>
      </c>
      <c r="B499" s="211" t="s">
        <v>20</v>
      </c>
      <c r="C499" s="211" t="s">
        <v>8702</v>
      </c>
      <c r="D499" s="222" t="s">
        <v>177</v>
      </c>
      <c r="E499" s="222" t="s">
        <v>177</v>
      </c>
      <c r="F499" s="213"/>
      <c r="G499" s="213"/>
      <c r="H499" s="214" t="s">
        <v>8703</v>
      </c>
      <c r="I499" s="215"/>
      <c r="J499" s="216" t="s">
        <v>8704</v>
      </c>
      <c r="K499" s="213"/>
      <c r="L499" s="213"/>
      <c r="M499" s="213"/>
      <c r="N499" s="213"/>
      <c r="O499" s="213"/>
      <c r="P499" s="213"/>
      <c r="Q499" s="213"/>
      <c r="R499" s="213"/>
      <c r="S499" s="213"/>
      <c r="T499" s="212"/>
      <c r="U499" s="212"/>
      <c r="V499" s="212"/>
      <c r="W499" s="212"/>
      <c r="X499" s="212"/>
      <c r="Y499" s="212"/>
      <c r="Z499" s="212"/>
      <c r="AA499" s="212"/>
      <c r="AB499" s="212"/>
      <c r="AC499" s="212"/>
      <c r="AD499" s="212"/>
    </row>
    <row r="500" ht="22.5" customHeight="1">
      <c r="A500" s="219">
        <v>25061.0</v>
      </c>
      <c r="B500" s="211" t="s">
        <v>20</v>
      </c>
      <c r="C500" s="211" t="s">
        <v>8705</v>
      </c>
      <c r="D500" s="222" t="s">
        <v>177</v>
      </c>
      <c r="E500" s="211" t="s">
        <v>7815</v>
      </c>
      <c r="F500" s="213"/>
      <c r="G500" s="219">
        <v>1.0</v>
      </c>
      <c r="H500" s="215"/>
      <c r="I500" s="215"/>
      <c r="J500" s="216" t="s">
        <v>8706</v>
      </c>
      <c r="K500" s="213"/>
      <c r="L500" s="213"/>
      <c r="M500" s="213"/>
      <c r="N500" s="213"/>
      <c r="O500" s="213"/>
      <c r="P500" s="213"/>
      <c r="Q500" s="213"/>
      <c r="R500" s="213"/>
      <c r="S500" s="213"/>
      <c r="T500" s="212"/>
      <c r="U500" s="212"/>
      <c r="V500" s="212"/>
      <c r="W500" s="212"/>
      <c r="X500" s="212"/>
      <c r="Y500" s="212"/>
      <c r="Z500" s="212"/>
      <c r="AA500" s="212"/>
      <c r="AB500" s="212"/>
      <c r="AC500" s="212"/>
      <c r="AD500" s="212"/>
    </row>
    <row r="501" ht="22.5" customHeight="1">
      <c r="A501" s="219">
        <v>25081.0</v>
      </c>
      <c r="B501" s="211" t="s">
        <v>20</v>
      </c>
      <c r="C501" s="211" t="s">
        <v>1027</v>
      </c>
      <c r="D501" s="222" t="s">
        <v>177</v>
      </c>
      <c r="E501" s="211" t="s">
        <v>7937</v>
      </c>
      <c r="F501" s="213"/>
      <c r="G501" s="213"/>
      <c r="H501" s="214" t="s">
        <v>8707</v>
      </c>
      <c r="I501" s="216" t="s">
        <v>8708</v>
      </c>
      <c r="J501" s="215"/>
      <c r="K501" s="213"/>
      <c r="L501" s="213"/>
      <c r="M501" s="213"/>
      <c r="N501" s="213"/>
      <c r="O501" s="213"/>
      <c r="P501" s="213"/>
      <c r="Q501" s="213"/>
      <c r="R501" s="213"/>
      <c r="S501" s="213"/>
      <c r="T501" s="212"/>
      <c r="U501" s="212"/>
      <c r="V501" s="212"/>
      <c r="W501" s="212"/>
      <c r="X501" s="212"/>
      <c r="Y501" s="212"/>
      <c r="Z501" s="212"/>
      <c r="AA501" s="212"/>
      <c r="AB501" s="212"/>
      <c r="AC501" s="212"/>
      <c r="AD501" s="212"/>
    </row>
    <row r="502" ht="22.5" customHeight="1">
      <c r="A502" s="219">
        <v>25082.0</v>
      </c>
      <c r="B502" s="211" t="s">
        <v>20</v>
      </c>
      <c r="C502" s="211" t="s">
        <v>685</v>
      </c>
      <c r="D502" s="222" t="s">
        <v>177</v>
      </c>
      <c r="E502" s="211" t="s">
        <v>7937</v>
      </c>
      <c r="F502" s="213"/>
      <c r="G502" s="213"/>
      <c r="H502" s="214" t="s">
        <v>8709</v>
      </c>
      <c r="I502" s="215"/>
      <c r="J502" s="215"/>
      <c r="K502" s="213"/>
      <c r="L502" s="213"/>
      <c r="M502" s="213"/>
      <c r="N502" s="213"/>
      <c r="O502" s="213"/>
      <c r="P502" s="213"/>
      <c r="Q502" s="213"/>
      <c r="R502" s="213"/>
      <c r="S502" s="213"/>
      <c r="T502" s="212"/>
      <c r="U502" s="212"/>
      <c r="V502" s="212"/>
      <c r="W502" s="212"/>
      <c r="X502" s="212"/>
      <c r="Y502" s="212"/>
      <c r="Z502" s="212"/>
      <c r="AA502" s="212"/>
      <c r="AB502" s="212"/>
      <c r="AC502" s="212"/>
      <c r="AD502" s="212"/>
    </row>
    <row r="503" ht="22.5" customHeight="1">
      <c r="A503" s="219">
        <v>25085.0</v>
      </c>
      <c r="B503" s="211" t="s">
        <v>20</v>
      </c>
      <c r="C503" s="211" t="s">
        <v>8710</v>
      </c>
      <c r="D503" s="222" t="s">
        <v>177</v>
      </c>
      <c r="E503" s="222" t="s">
        <v>177</v>
      </c>
      <c r="F503" s="213"/>
      <c r="G503" s="213"/>
      <c r="H503" s="215"/>
      <c r="I503" s="215"/>
      <c r="J503" s="216" t="s">
        <v>8711</v>
      </c>
      <c r="K503" s="213"/>
      <c r="L503" s="213"/>
      <c r="M503" s="213"/>
      <c r="N503" s="213"/>
      <c r="O503" s="213"/>
      <c r="P503" s="213"/>
      <c r="Q503" s="213"/>
      <c r="R503" s="213"/>
      <c r="S503" s="213"/>
      <c r="T503" s="212"/>
      <c r="U503" s="212"/>
      <c r="V503" s="212"/>
      <c r="W503" s="212"/>
      <c r="X503" s="212"/>
      <c r="Y503" s="212"/>
      <c r="Z503" s="212"/>
      <c r="AA503" s="212"/>
      <c r="AB503" s="212"/>
      <c r="AC503" s="212"/>
      <c r="AD503" s="212"/>
    </row>
    <row r="504" ht="22.5" customHeight="1">
      <c r="A504" s="219">
        <v>25086.0</v>
      </c>
      <c r="B504" s="211" t="s">
        <v>20</v>
      </c>
      <c r="C504" s="211" t="s">
        <v>727</v>
      </c>
      <c r="D504" s="222" t="s">
        <v>177</v>
      </c>
      <c r="E504" s="222" t="s">
        <v>177</v>
      </c>
      <c r="F504" s="213"/>
      <c r="G504" s="213"/>
      <c r="H504" s="215"/>
      <c r="I504" s="215"/>
      <c r="J504" s="216" t="s">
        <v>8712</v>
      </c>
      <c r="K504" s="213"/>
      <c r="L504" s="213"/>
      <c r="M504" s="213"/>
      <c r="N504" s="213"/>
      <c r="O504" s="213"/>
      <c r="P504" s="213"/>
      <c r="Q504" s="213"/>
      <c r="R504" s="213"/>
      <c r="S504" s="213"/>
      <c r="T504" s="212"/>
      <c r="U504" s="212"/>
      <c r="V504" s="212"/>
      <c r="W504" s="212"/>
      <c r="X504" s="212"/>
      <c r="Y504" s="212"/>
      <c r="Z504" s="212"/>
      <c r="AA504" s="212"/>
      <c r="AB504" s="212"/>
      <c r="AC504" s="212"/>
      <c r="AD504" s="212"/>
    </row>
    <row r="505" ht="22.5" customHeight="1">
      <c r="A505" s="219">
        <v>25199.0</v>
      </c>
      <c r="B505" s="211" t="s">
        <v>20</v>
      </c>
      <c r="C505" s="211" t="s">
        <v>8713</v>
      </c>
      <c r="D505" s="222" t="s">
        <v>177</v>
      </c>
      <c r="E505" s="211" t="s">
        <v>8021</v>
      </c>
      <c r="F505" s="213"/>
      <c r="G505" s="213"/>
      <c r="H505" s="214" t="s">
        <v>8714</v>
      </c>
      <c r="I505" s="215"/>
      <c r="J505" s="215"/>
      <c r="K505" s="213"/>
      <c r="L505" s="213"/>
      <c r="M505" s="213"/>
      <c r="N505" s="213"/>
      <c r="O505" s="213"/>
      <c r="P505" s="213"/>
      <c r="Q505" s="213"/>
      <c r="R505" s="213"/>
      <c r="S505" s="213"/>
      <c r="T505" s="212"/>
      <c r="U505" s="212"/>
      <c r="V505" s="212"/>
      <c r="W505" s="212"/>
      <c r="X505" s="212"/>
      <c r="Y505" s="212"/>
      <c r="Z505" s="212"/>
      <c r="AA505" s="212"/>
      <c r="AB505" s="212"/>
      <c r="AC505" s="212"/>
      <c r="AD505" s="212"/>
    </row>
    <row r="506" ht="22.5" customHeight="1">
      <c r="A506" s="219">
        <v>25393.0</v>
      </c>
      <c r="B506" s="211" t="s">
        <v>20</v>
      </c>
      <c r="C506" s="211" t="s">
        <v>3036</v>
      </c>
      <c r="D506" s="222" t="s">
        <v>177</v>
      </c>
      <c r="E506" s="222" t="s">
        <v>177</v>
      </c>
      <c r="F506" s="213"/>
      <c r="G506" s="219">
        <v>1.0</v>
      </c>
      <c r="H506" s="214" t="s">
        <v>8715</v>
      </c>
      <c r="I506" s="215"/>
      <c r="J506" s="215"/>
      <c r="K506" s="213"/>
      <c r="L506" s="213"/>
      <c r="M506" s="213"/>
      <c r="N506" s="213"/>
      <c r="O506" s="213"/>
      <c r="P506" s="213"/>
      <c r="Q506" s="213"/>
      <c r="R506" s="213"/>
      <c r="S506" s="213"/>
      <c r="T506" s="212"/>
      <c r="U506" s="212"/>
      <c r="V506" s="212"/>
      <c r="W506" s="212"/>
      <c r="X506" s="212"/>
      <c r="Y506" s="212"/>
      <c r="Z506" s="212"/>
      <c r="AA506" s="212"/>
      <c r="AB506" s="212"/>
      <c r="AC506" s="212"/>
      <c r="AD506" s="212"/>
    </row>
    <row r="507" ht="22.5" customHeight="1">
      <c r="A507" s="219">
        <v>25395.0</v>
      </c>
      <c r="B507" s="211" t="s">
        <v>20</v>
      </c>
      <c r="C507" s="211" t="s">
        <v>3612</v>
      </c>
      <c r="D507" s="222" t="s">
        <v>177</v>
      </c>
      <c r="E507" s="222" t="s">
        <v>177</v>
      </c>
      <c r="F507" s="213"/>
      <c r="G507" s="213"/>
      <c r="H507" s="214" t="s">
        <v>8716</v>
      </c>
      <c r="I507" s="215"/>
      <c r="J507" s="215"/>
      <c r="K507" s="213"/>
      <c r="L507" s="213"/>
      <c r="M507" s="213"/>
      <c r="N507" s="213"/>
      <c r="O507" s="213"/>
      <c r="P507" s="213"/>
      <c r="Q507" s="213"/>
      <c r="R507" s="213"/>
      <c r="S507" s="213"/>
      <c r="T507" s="212"/>
      <c r="U507" s="212"/>
      <c r="V507" s="212"/>
      <c r="W507" s="212"/>
      <c r="X507" s="212"/>
      <c r="Y507" s="212"/>
      <c r="Z507" s="212"/>
      <c r="AA507" s="212"/>
      <c r="AB507" s="212"/>
      <c r="AC507" s="212"/>
      <c r="AD507" s="212"/>
    </row>
    <row r="508" ht="22.5" customHeight="1">
      <c r="A508" s="219">
        <v>25396.0</v>
      </c>
      <c r="B508" s="211" t="s">
        <v>20</v>
      </c>
      <c r="C508" s="211" t="s">
        <v>6102</v>
      </c>
      <c r="D508" s="222" t="s">
        <v>177</v>
      </c>
      <c r="E508" s="222" t="s">
        <v>177</v>
      </c>
      <c r="F508" s="213"/>
      <c r="G508" s="219">
        <v>1.0</v>
      </c>
      <c r="H508" s="214" t="s">
        <v>8717</v>
      </c>
      <c r="I508" s="215"/>
      <c r="J508" s="215"/>
      <c r="K508" s="213"/>
      <c r="L508" s="213"/>
      <c r="M508" s="213"/>
      <c r="N508" s="213"/>
      <c r="O508" s="213"/>
      <c r="P508" s="213"/>
      <c r="Q508" s="213"/>
      <c r="R508" s="213"/>
      <c r="S508" s="213"/>
      <c r="T508" s="212"/>
      <c r="U508" s="212"/>
      <c r="V508" s="212"/>
      <c r="W508" s="212"/>
      <c r="X508" s="212"/>
      <c r="Y508" s="212"/>
      <c r="Z508" s="212"/>
      <c r="AA508" s="212"/>
      <c r="AB508" s="212"/>
      <c r="AC508" s="212"/>
      <c r="AD508" s="212"/>
    </row>
    <row r="509" ht="22.5" customHeight="1">
      <c r="A509" s="219">
        <v>25397.0</v>
      </c>
      <c r="B509" s="211" t="s">
        <v>20</v>
      </c>
      <c r="C509" s="211" t="s">
        <v>3418</v>
      </c>
      <c r="D509" s="222" t="s">
        <v>177</v>
      </c>
      <c r="E509" s="211" t="s">
        <v>8021</v>
      </c>
      <c r="F509" s="213"/>
      <c r="G509" s="213"/>
      <c r="H509" s="214" t="s">
        <v>8718</v>
      </c>
      <c r="I509" s="215"/>
      <c r="J509" s="215"/>
      <c r="K509" s="213"/>
      <c r="L509" s="213"/>
      <c r="M509" s="213"/>
      <c r="N509" s="213"/>
      <c r="O509" s="213"/>
      <c r="P509" s="213"/>
      <c r="Q509" s="213"/>
      <c r="R509" s="213"/>
      <c r="S509" s="213"/>
      <c r="T509" s="212"/>
      <c r="U509" s="212"/>
      <c r="V509" s="212"/>
      <c r="W509" s="212"/>
      <c r="X509" s="212"/>
      <c r="Y509" s="212"/>
      <c r="Z509" s="212"/>
      <c r="AA509" s="212"/>
      <c r="AB509" s="212"/>
      <c r="AC509" s="212"/>
      <c r="AD509" s="212"/>
    </row>
    <row r="510" ht="22.5" customHeight="1">
      <c r="A510" s="219">
        <v>25398.0</v>
      </c>
      <c r="B510" s="211" t="s">
        <v>20</v>
      </c>
      <c r="C510" s="211" t="s">
        <v>8719</v>
      </c>
      <c r="D510" s="222" t="s">
        <v>177</v>
      </c>
      <c r="E510" s="222" t="s">
        <v>177</v>
      </c>
      <c r="F510" s="213"/>
      <c r="G510" s="213"/>
      <c r="H510" s="214" t="s">
        <v>8720</v>
      </c>
      <c r="I510" s="215"/>
      <c r="J510" s="215"/>
      <c r="K510" s="213"/>
      <c r="L510" s="213"/>
      <c r="M510" s="213"/>
      <c r="N510" s="213"/>
      <c r="O510" s="213"/>
      <c r="P510" s="213"/>
      <c r="Q510" s="213"/>
      <c r="R510" s="213"/>
      <c r="S510" s="213"/>
      <c r="T510" s="212"/>
      <c r="U510" s="212"/>
      <c r="V510" s="212"/>
      <c r="W510" s="212"/>
      <c r="X510" s="212"/>
      <c r="Y510" s="212"/>
      <c r="Z510" s="212"/>
      <c r="AA510" s="212"/>
      <c r="AB510" s="212"/>
      <c r="AC510" s="212"/>
      <c r="AD510" s="212"/>
    </row>
    <row r="511" ht="22.5" customHeight="1">
      <c r="A511" s="219">
        <v>25758.0</v>
      </c>
      <c r="B511" s="211" t="s">
        <v>102</v>
      </c>
      <c r="C511" s="211" t="s">
        <v>8721</v>
      </c>
      <c r="D511" s="222" t="s">
        <v>177</v>
      </c>
      <c r="E511" s="222" t="s">
        <v>177</v>
      </c>
      <c r="F511" s="213"/>
      <c r="G511" s="213"/>
      <c r="H511" s="214" t="s">
        <v>8722</v>
      </c>
      <c r="I511" s="216" t="s">
        <v>8723</v>
      </c>
      <c r="J511" s="216" t="s">
        <v>8724</v>
      </c>
      <c r="K511" s="213"/>
      <c r="L511" s="213"/>
      <c r="M511" s="213"/>
      <c r="N511" s="213"/>
      <c r="O511" s="213"/>
      <c r="P511" s="213"/>
      <c r="Q511" s="213"/>
      <c r="R511" s="213"/>
      <c r="S511" s="213"/>
      <c r="T511" s="212"/>
      <c r="U511" s="212"/>
      <c r="V511" s="212"/>
      <c r="W511" s="212"/>
      <c r="X511" s="212"/>
      <c r="Y511" s="212"/>
      <c r="Z511" s="212"/>
      <c r="AA511" s="212"/>
      <c r="AB511" s="212"/>
      <c r="AC511" s="212"/>
      <c r="AD511" s="212"/>
    </row>
    <row r="512" ht="22.5" customHeight="1">
      <c r="A512" s="219">
        <v>25765.0</v>
      </c>
      <c r="B512" s="211" t="s">
        <v>20</v>
      </c>
      <c r="C512" s="211" t="s">
        <v>1975</v>
      </c>
      <c r="D512" s="222" t="s">
        <v>177</v>
      </c>
      <c r="E512" s="222" t="s">
        <v>177</v>
      </c>
      <c r="F512" s="213"/>
      <c r="G512" s="213"/>
      <c r="H512" s="214" t="s">
        <v>8725</v>
      </c>
      <c r="I512" s="214" t="s">
        <v>8726</v>
      </c>
      <c r="J512" s="214" t="s">
        <v>8727</v>
      </c>
      <c r="K512" s="213"/>
      <c r="L512" s="213"/>
      <c r="M512" s="213"/>
      <c r="N512" s="213"/>
      <c r="O512" s="213"/>
      <c r="P512" s="213"/>
      <c r="Q512" s="213"/>
      <c r="R512" s="213"/>
      <c r="S512" s="213"/>
      <c r="T512" s="212"/>
      <c r="U512" s="212"/>
      <c r="V512" s="212"/>
      <c r="W512" s="212"/>
      <c r="X512" s="212"/>
      <c r="Y512" s="212"/>
      <c r="Z512" s="212"/>
      <c r="AA512" s="212"/>
      <c r="AB512" s="212"/>
      <c r="AC512" s="212"/>
      <c r="AD512" s="212"/>
    </row>
    <row r="513" ht="22.5" customHeight="1">
      <c r="A513" s="219">
        <v>25810.0</v>
      </c>
      <c r="B513" s="211" t="s">
        <v>20</v>
      </c>
      <c r="C513" s="211" t="s">
        <v>8728</v>
      </c>
      <c r="D513" s="222" t="s">
        <v>177</v>
      </c>
      <c r="E513" s="222" t="s">
        <v>177</v>
      </c>
      <c r="F513" s="213"/>
      <c r="G513" s="213"/>
      <c r="H513" s="215"/>
      <c r="I513" s="215"/>
      <c r="J513" s="216" t="s">
        <v>8729</v>
      </c>
      <c r="K513" s="213"/>
      <c r="L513" s="213"/>
      <c r="M513" s="213"/>
      <c r="N513" s="213"/>
      <c r="O513" s="213"/>
      <c r="P513" s="213"/>
      <c r="Q513" s="213"/>
      <c r="R513" s="213"/>
      <c r="S513" s="213"/>
      <c r="T513" s="212"/>
      <c r="U513" s="212"/>
      <c r="V513" s="212"/>
      <c r="W513" s="212"/>
      <c r="X513" s="212"/>
      <c r="Y513" s="212"/>
      <c r="Z513" s="212"/>
      <c r="AA513" s="212"/>
      <c r="AB513" s="212"/>
      <c r="AC513" s="212"/>
      <c r="AD513" s="212"/>
    </row>
    <row r="514" ht="22.5" customHeight="1">
      <c r="A514" s="219">
        <v>25811.0</v>
      </c>
      <c r="B514" s="211" t="s">
        <v>20</v>
      </c>
      <c r="C514" s="211" t="s">
        <v>8730</v>
      </c>
      <c r="D514" s="222" t="s">
        <v>177</v>
      </c>
      <c r="E514" s="211" t="s">
        <v>7959</v>
      </c>
      <c r="F514" s="213"/>
      <c r="G514" s="213"/>
      <c r="H514" s="215"/>
      <c r="I514" s="215"/>
      <c r="J514" s="216" t="s">
        <v>8731</v>
      </c>
      <c r="K514" s="213"/>
      <c r="L514" s="213"/>
      <c r="M514" s="213"/>
      <c r="N514" s="213"/>
      <c r="O514" s="213"/>
      <c r="P514" s="213"/>
      <c r="Q514" s="213"/>
      <c r="R514" s="213"/>
      <c r="S514" s="213"/>
      <c r="T514" s="212"/>
      <c r="U514" s="212"/>
      <c r="V514" s="212"/>
      <c r="W514" s="212"/>
      <c r="X514" s="212"/>
      <c r="Y514" s="212"/>
      <c r="Z514" s="212"/>
      <c r="AA514" s="212"/>
      <c r="AB514" s="212"/>
      <c r="AC514" s="212"/>
      <c r="AD514" s="212"/>
    </row>
    <row r="515" ht="22.5" customHeight="1">
      <c r="A515" s="219">
        <v>25821.0</v>
      </c>
      <c r="B515" s="211" t="s">
        <v>20</v>
      </c>
      <c r="C515" s="211" t="s">
        <v>4079</v>
      </c>
      <c r="D515" s="222" t="s">
        <v>177</v>
      </c>
      <c r="E515" s="211" t="s">
        <v>7797</v>
      </c>
      <c r="F515" s="213"/>
      <c r="G515" s="213"/>
      <c r="H515" s="214" t="s">
        <v>8732</v>
      </c>
      <c r="I515" s="215"/>
      <c r="J515" s="215"/>
      <c r="K515" s="213"/>
      <c r="L515" s="213"/>
      <c r="M515" s="213"/>
      <c r="N515" s="213"/>
      <c r="O515" s="213"/>
      <c r="P515" s="213"/>
      <c r="Q515" s="213"/>
      <c r="R515" s="213"/>
      <c r="S515" s="213"/>
      <c r="T515" s="212"/>
      <c r="U515" s="212"/>
      <c r="V515" s="212"/>
      <c r="W515" s="212"/>
      <c r="X515" s="212"/>
      <c r="Y515" s="212"/>
      <c r="Z515" s="212"/>
      <c r="AA515" s="212"/>
      <c r="AB515" s="212"/>
      <c r="AC515" s="212"/>
      <c r="AD515" s="212"/>
    </row>
    <row r="516" ht="22.5" customHeight="1">
      <c r="A516" s="219">
        <v>25907.0</v>
      </c>
      <c r="B516" s="211" t="s">
        <v>20</v>
      </c>
      <c r="C516" s="211" t="s">
        <v>1439</v>
      </c>
      <c r="D516" s="222" t="s">
        <v>177</v>
      </c>
      <c r="E516" s="211" t="s">
        <v>8101</v>
      </c>
      <c r="F516" s="213"/>
      <c r="G516" s="213"/>
      <c r="H516" s="214" t="s">
        <v>8733</v>
      </c>
      <c r="I516" s="215"/>
      <c r="J516" s="216" t="s">
        <v>8734</v>
      </c>
      <c r="K516" s="213"/>
      <c r="L516" s="213"/>
      <c r="M516" s="213"/>
      <c r="N516" s="213"/>
      <c r="O516" s="213"/>
      <c r="P516" s="213"/>
      <c r="Q516" s="213"/>
      <c r="R516" s="213"/>
      <c r="S516" s="213"/>
      <c r="T516" s="212"/>
      <c r="U516" s="212"/>
      <c r="V516" s="212"/>
      <c r="W516" s="212"/>
      <c r="X516" s="212"/>
      <c r="Y516" s="212"/>
      <c r="Z516" s="212"/>
      <c r="AA516" s="212"/>
      <c r="AB516" s="212"/>
      <c r="AC516" s="212"/>
      <c r="AD516" s="212"/>
    </row>
    <row r="517" ht="22.5" customHeight="1">
      <c r="A517" s="219">
        <v>25924.0</v>
      </c>
      <c r="B517" s="211" t="s">
        <v>20</v>
      </c>
      <c r="C517" s="211" t="s">
        <v>8735</v>
      </c>
      <c r="D517" s="222" t="s">
        <v>177</v>
      </c>
      <c r="E517" s="222" t="s">
        <v>177</v>
      </c>
      <c r="F517" s="213"/>
      <c r="G517" s="213"/>
      <c r="H517" s="214" t="s">
        <v>8736</v>
      </c>
      <c r="I517" s="215"/>
      <c r="J517" s="215"/>
      <c r="K517" s="213"/>
      <c r="L517" s="213"/>
      <c r="M517" s="213"/>
      <c r="N517" s="213"/>
      <c r="O517" s="213"/>
      <c r="P517" s="213"/>
      <c r="Q517" s="213"/>
      <c r="R517" s="213"/>
      <c r="S517" s="213"/>
      <c r="T517" s="212"/>
      <c r="U517" s="212"/>
      <c r="V517" s="212"/>
      <c r="W517" s="212"/>
      <c r="X517" s="212"/>
      <c r="Y517" s="212"/>
      <c r="Z517" s="212"/>
      <c r="AA517" s="212"/>
      <c r="AB517" s="212"/>
      <c r="AC517" s="212"/>
      <c r="AD517" s="212"/>
    </row>
    <row r="518" ht="22.5" customHeight="1">
      <c r="A518" s="232">
        <v>25924.0</v>
      </c>
      <c r="B518" s="211" t="s">
        <v>20</v>
      </c>
      <c r="C518" s="222" t="s">
        <v>8735</v>
      </c>
      <c r="D518" s="222" t="s">
        <v>177</v>
      </c>
      <c r="E518" s="222" t="s">
        <v>177</v>
      </c>
      <c r="F518" s="219" t="s">
        <v>0</v>
      </c>
      <c r="G518" s="213"/>
      <c r="H518" s="215"/>
      <c r="I518" s="215"/>
      <c r="J518" s="216" t="s">
        <v>8737</v>
      </c>
      <c r="K518" s="213"/>
      <c r="L518" s="213"/>
      <c r="M518" s="213"/>
      <c r="N518" s="213"/>
      <c r="O518" s="213"/>
      <c r="P518" s="213"/>
      <c r="Q518" s="213"/>
      <c r="R518" s="213"/>
      <c r="S518" s="213"/>
      <c r="T518" s="212"/>
      <c r="U518" s="212"/>
      <c r="V518" s="212"/>
      <c r="W518" s="212"/>
      <c r="X518" s="212"/>
      <c r="Y518" s="212"/>
      <c r="Z518" s="212"/>
      <c r="AA518" s="212"/>
      <c r="AB518" s="212"/>
      <c r="AC518" s="212"/>
      <c r="AD518" s="212"/>
    </row>
    <row r="519" ht="22.5" customHeight="1">
      <c r="A519" s="219">
        <v>25938.0</v>
      </c>
      <c r="B519" s="211" t="s">
        <v>20</v>
      </c>
      <c r="C519" s="211" t="s">
        <v>8738</v>
      </c>
      <c r="D519" s="222" t="s">
        <v>177</v>
      </c>
      <c r="E519" s="211" t="s">
        <v>7937</v>
      </c>
      <c r="F519" s="213"/>
      <c r="G519" s="213"/>
      <c r="H519" s="214" t="s">
        <v>8739</v>
      </c>
      <c r="I519" s="215"/>
      <c r="J519" s="215"/>
      <c r="K519" s="213"/>
      <c r="L519" s="213"/>
      <c r="M519" s="213"/>
      <c r="N519" s="213"/>
      <c r="O519" s="213"/>
      <c r="P519" s="213"/>
      <c r="Q519" s="213"/>
      <c r="R519" s="213"/>
      <c r="S519" s="213"/>
      <c r="T519" s="212"/>
      <c r="U519" s="212"/>
      <c r="V519" s="212"/>
      <c r="W519" s="212"/>
      <c r="X519" s="212"/>
      <c r="Y519" s="212"/>
      <c r="Z519" s="212"/>
      <c r="AA519" s="212"/>
      <c r="AB519" s="212"/>
      <c r="AC519" s="212"/>
      <c r="AD519" s="212"/>
    </row>
    <row r="520" ht="22.5" customHeight="1">
      <c r="A520" s="219">
        <v>25953.0</v>
      </c>
      <c r="B520" s="211" t="s">
        <v>20</v>
      </c>
      <c r="C520" s="222" t="s">
        <v>8740</v>
      </c>
      <c r="D520" s="222" t="s">
        <v>177</v>
      </c>
      <c r="E520" s="222" t="s">
        <v>177</v>
      </c>
      <c r="F520" s="213"/>
      <c r="G520" s="213"/>
      <c r="H520" s="217"/>
      <c r="I520" s="215"/>
      <c r="J520" s="216" t="s">
        <v>8741</v>
      </c>
      <c r="K520" s="213"/>
      <c r="L520" s="213"/>
      <c r="M520" s="213"/>
      <c r="N520" s="213"/>
      <c r="O520" s="213"/>
      <c r="P520" s="213"/>
      <c r="Q520" s="213"/>
      <c r="R520" s="213"/>
      <c r="S520" s="213"/>
      <c r="T520" s="212"/>
      <c r="U520" s="212"/>
      <c r="V520" s="212"/>
      <c r="W520" s="212"/>
      <c r="X520" s="212"/>
      <c r="Y520" s="212"/>
      <c r="Z520" s="212"/>
      <c r="AA520" s="212"/>
      <c r="AB520" s="212"/>
      <c r="AC520" s="212"/>
      <c r="AD520" s="212"/>
    </row>
    <row r="521" ht="22.5" customHeight="1">
      <c r="A521" s="219">
        <v>25953.0</v>
      </c>
      <c r="B521" s="211" t="s">
        <v>20</v>
      </c>
      <c r="C521" s="211" t="s">
        <v>8740</v>
      </c>
      <c r="D521" s="222" t="s">
        <v>177</v>
      </c>
      <c r="E521" s="222" t="s">
        <v>177</v>
      </c>
      <c r="F521" s="213"/>
      <c r="G521" s="213"/>
      <c r="H521" s="215"/>
      <c r="I521" s="215"/>
      <c r="J521" s="216" t="s">
        <v>8741</v>
      </c>
      <c r="K521" s="213"/>
      <c r="L521" s="213"/>
      <c r="M521" s="213"/>
      <c r="N521" s="213"/>
      <c r="O521" s="213"/>
      <c r="P521" s="213"/>
      <c r="Q521" s="213"/>
      <c r="R521" s="213"/>
      <c r="S521" s="213"/>
      <c r="T521" s="212"/>
      <c r="U521" s="212"/>
      <c r="V521" s="212"/>
      <c r="W521" s="212"/>
      <c r="X521" s="212"/>
      <c r="Y521" s="212"/>
      <c r="Z521" s="212"/>
      <c r="AA521" s="212"/>
      <c r="AB521" s="212"/>
      <c r="AC521" s="212"/>
      <c r="AD521" s="212"/>
    </row>
    <row r="522" ht="22.5" customHeight="1">
      <c r="A522" s="219">
        <v>26149.0</v>
      </c>
      <c r="B522" s="211" t="s">
        <v>20</v>
      </c>
      <c r="C522" s="211" t="s">
        <v>8719</v>
      </c>
      <c r="D522" s="222" t="s">
        <v>177</v>
      </c>
      <c r="E522" s="222" t="s">
        <v>177</v>
      </c>
      <c r="F522" s="213"/>
      <c r="G522" s="213"/>
      <c r="H522" s="214" t="s">
        <v>8742</v>
      </c>
      <c r="I522" s="216" t="s">
        <v>8743</v>
      </c>
      <c r="J522" s="215"/>
      <c r="K522" s="213"/>
      <c r="L522" s="213"/>
      <c r="M522" s="213"/>
      <c r="N522" s="213"/>
      <c r="O522" s="213"/>
      <c r="P522" s="213"/>
      <c r="Q522" s="213"/>
      <c r="R522" s="213"/>
      <c r="S522" s="213"/>
      <c r="T522" s="212"/>
      <c r="U522" s="212"/>
      <c r="V522" s="212"/>
      <c r="W522" s="212"/>
      <c r="X522" s="212"/>
      <c r="Y522" s="212"/>
      <c r="Z522" s="212"/>
      <c r="AA522" s="212"/>
      <c r="AB522" s="212"/>
      <c r="AC522" s="212"/>
      <c r="AD522" s="212"/>
    </row>
    <row r="523" ht="22.5" customHeight="1">
      <c r="A523" s="219">
        <v>26155.0</v>
      </c>
      <c r="B523" s="211" t="s">
        <v>20</v>
      </c>
      <c r="C523" s="211" t="s">
        <v>8744</v>
      </c>
      <c r="D523" s="222" t="s">
        <v>177</v>
      </c>
      <c r="E523" s="211" t="s">
        <v>7937</v>
      </c>
      <c r="F523" s="213"/>
      <c r="G523" s="219">
        <v>1.0</v>
      </c>
      <c r="H523" s="215"/>
      <c r="I523" s="233" t="s">
        <v>8745</v>
      </c>
      <c r="J523" s="215"/>
      <c r="K523" s="213"/>
      <c r="L523" s="213"/>
      <c r="M523" s="213"/>
      <c r="N523" s="213"/>
      <c r="O523" s="213"/>
      <c r="P523" s="213"/>
      <c r="Q523" s="213"/>
      <c r="R523" s="213"/>
      <c r="S523" s="213"/>
      <c r="T523" s="212"/>
      <c r="U523" s="212"/>
      <c r="V523" s="212"/>
      <c r="W523" s="212"/>
      <c r="X523" s="212"/>
      <c r="Y523" s="212"/>
      <c r="Z523" s="212"/>
      <c r="AA523" s="212"/>
      <c r="AB523" s="212"/>
      <c r="AC523" s="212"/>
      <c r="AD523" s="212"/>
    </row>
    <row r="524" ht="22.5" customHeight="1">
      <c r="A524" s="232">
        <v>26217.0</v>
      </c>
      <c r="B524" s="211" t="s">
        <v>20</v>
      </c>
      <c r="C524" s="222" t="s">
        <v>3209</v>
      </c>
      <c r="D524" s="222" t="s">
        <v>177</v>
      </c>
      <c r="E524" s="222" t="s">
        <v>177</v>
      </c>
      <c r="F524" s="213"/>
      <c r="G524" s="213"/>
      <c r="H524" s="214" t="s">
        <v>8746</v>
      </c>
      <c r="I524" s="215"/>
      <c r="J524" s="215"/>
      <c r="K524" s="213"/>
      <c r="L524" s="213"/>
      <c r="M524" s="213"/>
      <c r="N524" s="213"/>
      <c r="O524" s="213"/>
      <c r="P524" s="213"/>
      <c r="Q524" s="213"/>
      <c r="R524" s="213"/>
      <c r="S524" s="213"/>
      <c r="T524" s="212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</row>
    <row r="525" ht="22.5" customHeight="1">
      <c r="A525" s="219">
        <v>26217.0</v>
      </c>
      <c r="B525" s="211" t="s">
        <v>20</v>
      </c>
      <c r="C525" s="211" t="s">
        <v>3209</v>
      </c>
      <c r="D525" s="222" t="s">
        <v>177</v>
      </c>
      <c r="E525" s="222" t="s">
        <v>177</v>
      </c>
      <c r="F525" s="213"/>
      <c r="G525" s="213"/>
      <c r="H525" s="234"/>
      <c r="I525" s="215"/>
      <c r="J525" s="216" t="s">
        <v>8747</v>
      </c>
      <c r="K525" s="213"/>
      <c r="L525" s="213"/>
      <c r="M525" s="213"/>
      <c r="N525" s="213"/>
      <c r="O525" s="213"/>
      <c r="P525" s="213"/>
      <c r="Q525" s="213"/>
      <c r="R525" s="213"/>
      <c r="S525" s="213"/>
      <c r="T525" s="212"/>
      <c r="U525" s="212"/>
      <c r="V525" s="212"/>
      <c r="W525" s="212"/>
      <c r="X525" s="212"/>
      <c r="Y525" s="212"/>
      <c r="Z525" s="212"/>
      <c r="AA525" s="212"/>
      <c r="AB525" s="212"/>
      <c r="AC525" s="212"/>
      <c r="AD525" s="212"/>
    </row>
    <row r="526" ht="22.5" customHeight="1">
      <c r="A526" s="219">
        <v>26277.0</v>
      </c>
      <c r="B526" s="211" t="s">
        <v>20</v>
      </c>
      <c r="C526" s="211" t="s">
        <v>8748</v>
      </c>
      <c r="D526" s="222" t="s">
        <v>177</v>
      </c>
      <c r="E526" s="211" t="s">
        <v>8101</v>
      </c>
      <c r="F526" s="213"/>
      <c r="G526" s="213"/>
      <c r="H526" s="214" t="s">
        <v>8749</v>
      </c>
      <c r="I526" s="215"/>
      <c r="J526" s="215"/>
      <c r="K526" s="213"/>
      <c r="L526" s="213"/>
      <c r="M526" s="213"/>
      <c r="N526" s="213"/>
      <c r="O526" s="213"/>
      <c r="P526" s="213"/>
      <c r="Q526" s="213"/>
      <c r="R526" s="213"/>
      <c r="S526" s="213"/>
      <c r="T526" s="212"/>
      <c r="U526" s="212"/>
      <c r="V526" s="212"/>
      <c r="W526" s="212"/>
      <c r="X526" s="212"/>
      <c r="Y526" s="212"/>
      <c r="Z526" s="212"/>
      <c r="AA526" s="212"/>
      <c r="AB526" s="212"/>
      <c r="AC526" s="212"/>
      <c r="AD526" s="212"/>
    </row>
    <row r="527" ht="22.5" customHeight="1">
      <c r="A527" s="232">
        <v>26277.0</v>
      </c>
      <c r="B527" s="211" t="s">
        <v>20</v>
      </c>
      <c r="C527" s="222" t="s">
        <v>8748</v>
      </c>
      <c r="D527" s="222" t="s">
        <v>177</v>
      </c>
      <c r="E527" s="222" t="s">
        <v>8101</v>
      </c>
      <c r="F527" s="213"/>
      <c r="G527" s="213"/>
      <c r="H527" s="214" t="s">
        <v>8750</v>
      </c>
      <c r="I527" s="215"/>
      <c r="J527" s="215"/>
      <c r="K527" s="213"/>
      <c r="L527" s="213"/>
      <c r="M527" s="213"/>
      <c r="N527" s="213"/>
      <c r="O527" s="213"/>
      <c r="P527" s="213"/>
      <c r="Q527" s="213"/>
      <c r="R527" s="213"/>
      <c r="S527" s="213"/>
      <c r="T527" s="212"/>
      <c r="U527" s="212"/>
      <c r="V527" s="212"/>
      <c r="W527" s="212"/>
      <c r="X527" s="212"/>
      <c r="Y527" s="212"/>
      <c r="Z527" s="212"/>
      <c r="AA527" s="212"/>
      <c r="AB527" s="212"/>
      <c r="AC527" s="212"/>
      <c r="AD527" s="212"/>
    </row>
    <row r="528" ht="22.5" customHeight="1">
      <c r="A528" s="219">
        <v>26284.0</v>
      </c>
      <c r="B528" s="211" t="s">
        <v>20</v>
      </c>
      <c r="C528" s="211" t="s">
        <v>8751</v>
      </c>
      <c r="D528" s="222" t="s">
        <v>177</v>
      </c>
      <c r="E528" s="211" t="s">
        <v>8090</v>
      </c>
      <c r="F528" s="213"/>
      <c r="G528" s="213"/>
      <c r="H528" s="215"/>
      <c r="I528" s="215"/>
      <c r="J528" s="216" t="s">
        <v>8752</v>
      </c>
      <c r="K528" s="213"/>
      <c r="L528" s="213"/>
      <c r="M528" s="213"/>
      <c r="N528" s="213"/>
      <c r="O528" s="213"/>
      <c r="P528" s="213"/>
      <c r="Q528" s="213"/>
      <c r="R528" s="213"/>
      <c r="S528" s="213"/>
      <c r="T528" s="212"/>
      <c r="U528" s="212"/>
      <c r="V528" s="212"/>
      <c r="W528" s="212"/>
      <c r="X528" s="212"/>
      <c r="Y528" s="212"/>
      <c r="Z528" s="212"/>
      <c r="AA528" s="212"/>
      <c r="AB528" s="212"/>
      <c r="AC528" s="212"/>
      <c r="AD528" s="212"/>
    </row>
    <row r="529" ht="22.5" customHeight="1">
      <c r="A529" s="232">
        <v>26293.0</v>
      </c>
      <c r="B529" s="211" t="s">
        <v>8753</v>
      </c>
      <c r="C529" s="222" t="s">
        <v>8754</v>
      </c>
      <c r="D529" s="222" t="s">
        <v>177</v>
      </c>
      <c r="E529" s="222" t="s">
        <v>177</v>
      </c>
      <c r="F529" s="213"/>
      <c r="G529" s="213"/>
      <c r="H529" s="215"/>
      <c r="I529" s="215"/>
      <c r="J529" s="216" t="s">
        <v>8755</v>
      </c>
      <c r="K529" s="213"/>
      <c r="L529" s="213"/>
      <c r="M529" s="213"/>
      <c r="N529" s="213"/>
      <c r="O529" s="213"/>
      <c r="P529" s="213"/>
      <c r="Q529" s="213"/>
      <c r="R529" s="213"/>
      <c r="S529" s="213"/>
      <c r="T529" s="212"/>
      <c r="U529" s="212"/>
      <c r="V529" s="212"/>
      <c r="W529" s="212"/>
      <c r="X529" s="212"/>
      <c r="Y529" s="212"/>
      <c r="Z529" s="212"/>
      <c r="AA529" s="212"/>
      <c r="AB529" s="212"/>
      <c r="AC529" s="212"/>
      <c r="AD529" s="212"/>
    </row>
    <row r="530" ht="22.5" customHeight="1">
      <c r="A530" s="219">
        <v>26293.0</v>
      </c>
      <c r="B530" s="211" t="s">
        <v>20</v>
      </c>
      <c r="C530" s="211" t="s">
        <v>8756</v>
      </c>
      <c r="D530" s="222" t="s">
        <v>177</v>
      </c>
      <c r="E530" s="222" t="s">
        <v>177</v>
      </c>
      <c r="F530" s="213"/>
      <c r="G530" s="213"/>
      <c r="H530" s="215"/>
      <c r="I530" s="215"/>
      <c r="J530" s="216" t="s">
        <v>8755</v>
      </c>
      <c r="K530" s="213"/>
      <c r="L530" s="213"/>
      <c r="M530" s="213"/>
      <c r="N530" s="213"/>
      <c r="O530" s="213"/>
      <c r="P530" s="213"/>
      <c r="Q530" s="213"/>
      <c r="R530" s="213"/>
      <c r="S530" s="213"/>
      <c r="T530" s="212"/>
      <c r="U530" s="212"/>
      <c r="V530" s="212"/>
      <c r="W530" s="212"/>
      <c r="X530" s="212"/>
      <c r="Y530" s="212"/>
      <c r="Z530" s="212"/>
      <c r="AA530" s="212"/>
      <c r="AB530" s="212"/>
      <c r="AC530" s="212"/>
      <c r="AD530" s="212"/>
    </row>
    <row r="531" ht="22.5" customHeight="1">
      <c r="A531" s="219">
        <v>26301.0</v>
      </c>
      <c r="B531" s="211" t="s">
        <v>20</v>
      </c>
      <c r="C531" s="211" t="s">
        <v>4139</v>
      </c>
      <c r="D531" s="222" t="s">
        <v>177</v>
      </c>
      <c r="E531" s="211" t="s">
        <v>8101</v>
      </c>
      <c r="F531" s="213"/>
      <c r="G531" s="213"/>
      <c r="H531" s="214" t="s">
        <v>8757</v>
      </c>
      <c r="I531" s="215"/>
      <c r="J531" s="215"/>
      <c r="K531" s="213"/>
      <c r="L531" s="213"/>
      <c r="M531" s="213"/>
      <c r="N531" s="213"/>
      <c r="O531" s="213"/>
      <c r="P531" s="213"/>
      <c r="Q531" s="213"/>
      <c r="R531" s="213"/>
      <c r="S531" s="213"/>
      <c r="T531" s="212"/>
      <c r="U531" s="212"/>
      <c r="V531" s="212"/>
      <c r="W531" s="212"/>
      <c r="X531" s="212"/>
      <c r="Y531" s="212"/>
      <c r="Z531" s="212"/>
      <c r="AA531" s="212"/>
      <c r="AB531" s="212"/>
      <c r="AC531" s="212"/>
      <c r="AD531" s="212"/>
    </row>
    <row r="532" ht="22.5" customHeight="1">
      <c r="A532" s="232">
        <v>26301.0</v>
      </c>
      <c r="B532" s="211" t="s">
        <v>20</v>
      </c>
      <c r="C532" s="222" t="s">
        <v>4139</v>
      </c>
      <c r="D532" s="222" t="s">
        <v>177</v>
      </c>
      <c r="E532" s="211" t="s">
        <v>8101</v>
      </c>
      <c r="F532" s="210" t="s">
        <v>8758</v>
      </c>
      <c r="G532" s="213"/>
      <c r="H532" s="216" t="s">
        <v>8759</v>
      </c>
      <c r="I532" s="215"/>
      <c r="J532" s="215"/>
      <c r="K532" s="213"/>
      <c r="L532" s="213"/>
      <c r="M532" s="213"/>
      <c r="N532" s="213"/>
      <c r="O532" s="213"/>
      <c r="P532" s="213"/>
      <c r="Q532" s="213"/>
      <c r="R532" s="213"/>
      <c r="S532" s="213"/>
      <c r="T532" s="212"/>
      <c r="U532" s="212"/>
      <c r="V532" s="212"/>
      <c r="W532" s="212"/>
      <c r="X532" s="212"/>
      <c r="Y532" s="212"/>
      <c r="Z532" s="212"/>
      <c r="AA532" s="212"/>
      <c r="AB532" s="212"/>
      <c r="AC532" s="212"/>
      <c r="AD532" s="212"/>
    </row>
    <row r="533" ht="22.5" customHeight="1">
      <c r="A533" s="219">
        <v>26320.0</v>
      </c>
      <c r="B533" s="211" t="s">
        <v>20</v>
      </c>
      <c r="C533" s="211" t="s">
        <v>8760</v>
      </c>
      <c r="D533" s="222" t="s">
        <v>177</v>
      </c>
      <c r="E533" s="222" t="s">
        <v>177</v>
      </c>
      <c r="F533" s="213"/>
      <c r="G533" s="213"/>
      <c r="H533" s="214" t="s">
        <v>8761</v>
      </c>
      <c r="I533" s="215"/>
      <c r="J533" s="215"/>
      <c r="K533" s="213"/>
      <c r="L533" s="213"/>
      <c r="M533" s="213"/>
      <c r="N533" s="213"/>
      <c r="O533" s="213"/>
      <c r="P533" s="213"/>
      <c r="Q533" s="213"/>
      <c r="R533" s="213"/>
      <c r="S533" s="213"/>
      <c r="T533" s="212"/>
      <c r="U533" s="212"/>
      <c r="V533" s="212"/>
      <c r="W533" s="212"/>
      <c r="X533" s="212"/>
      <c r="Y533" s="212"/>
      <c r="Z533" s="212"/>
      <c r="AA533" s="212"/>
      <c r="AB533" s="212"/>
      <c r="AC533" s="212"/>
      <c r="AD533" s="212"/>
    </row>
    <row r="534" ht="22.5" customHeight="1">
      <c r="A534" s="232">
        <v>26320.0</v>
      </c>
      <c r="B534" s="211" t="s">
        <v>20</v>
      </c>
      <c r="C534" s="222" t="s">
        <v>8760</v>
      </c>
      <c r="D534" s="222" t="s">
        <v>177</v>
      </c>
      <c r="E534" s="222" t="s">
        <v>177</v>
      </c>
      <c r="F534" s="213"/>
      <c r="G534" s="213"/>
      <c r="H534" s="216" t="s">
        <v>8762</v>
      </c>
      <c r="I534" s="215"/>
      <c r="J534" s="215"/>
      <c r="K534" s="213"/>
      <c r="L534" s="213"/>
      <c r="M534" s="213"/>
      <c r="N534" s="213"/>
      <c r="O534" s="213"/>
      <c r="P534" s="213"/>
      <c r="Q534" s="213"/>
      <c r="R534" s="213"/>
      <c r="S534" s="213"/>
      <c r="T534" s="212"/>
      <c r="U534" s="212"/>
      <c r="V534" s="212"/>
      <c r="W534" s="212"/>
      <c r="X534" s="212"/>
      <c r="Y534" s="212"/>
      <c r="Z534" s="212"/>
      <c r="AA534" s="212"/>
      <c r="AB534" s="212"/>
      <c r="AC534" s="212"/>
      <c r="AD534" s="212"/>
    </row>
    <row r="535" ht="22.5" customHeight="1">
      <c r="A535" s="232">
        <v>26322.0</v>
      </c>
      <c r="B535" s="211" t="s">
        <v>20</v>
      </c>
      <c r="C535" s="222" t="s">
        <v>763</v>
      </c>
      <c r="D535" s="222" t="s">
        <v>177</v>
      </c>
      <c r="E535" s="222" t="s">
        <v>7797</v>
      </c>
      <c r="F535" s="213"/>
      <c r="G535" s="213"/>
      <c r="H535" s="216" t="s">
        <v>8763</v>
      </c>
      <c r="I535" s="215"/>
      <c r="J535" s="216" t="s">
        <v>8764</v>
      </c>
      <c r="K535" s="213"/>
      <c r="L535" s="213"/>
      <c r="M535" s="213"/>
      <c r="N535" s="213"/>
      <c r="O535" s="213"/>
      <c r="P535" s="213"/>
      <c r="Q535" s="213"/>
      <c r="R535" s="213"/>
      <c r="S535" s="213"/>
      <c r="T535" s="212"/>
      <c r="U535" s="212"/>
      <c r="V535" s="212"/>
      <c r="W535" s="212"/>
      <c r="X535" s="212"/>
      <c r="Y535" s="212"/>
      <c r="Z535" s="212"/>
      <c r="AA535" s="212"/>
      <c r="AB535" s="212"/>
      <c r="AC535" s="212"/>
      <c r="AD535" s="212"/>
    </row>
    <row r="536" ht="22.5" customHeight="1">
      <c r="A536" s="219">
        <v>26322.0</v>
      </c>
      <c r="B536" s="211" t="s">
        <v>20</v>
      </c>
      <c r="C536" s="211" t="s">
        <v>763</v>
      </c>
      <c r="D536" s="222" t="s">
        <v>177</v>
      </c>
      <c r="E536" s="211" t="s">
        <v>7797</v>
      </c>
      <c r="F536" s="213"/>
      <c r="G536" s="213"/>
      <c r="H536" s="215"/>
      <c r="I536" s="215"/>
      <c r="J536" s="216" t="s">
        <v>8765</v>
      </c>
      <c r="K536" s="213"/>
      <c r="L536" s="213"/>
      <c r="M536" s="213"/>
      <c r="N536" s="213"/>
      <c r="O536" s="213"/>
      <c r="P536" s="213"/>
      <c r="Q536" s="213"/>
      <c r="R536" s="213"/>
      <c r="S536" s="213"/>
      <c r="T536" s="212"/>
      <c r="U536" s="212"/>
      <c r="V536" s="212"/>
      <c r="W536" s="212"/>
      <c r="X536" s="212"/>
      <c r="Y536" s="212"/>
      <c r="Z536" s="212"/>
      <c r="AA536" s="212"/>
      <c r="AB536" s="212"/>
      <c r="AC536" s="212"/>
      <c r="AD536" s="212"/>
    </row>
    <row r="537" ht="22.5" customHeight="1">
      <c r="A537" s="219">
        <v>26395.0</v>
      </c>
      <c r="B537" s="211" t="s">
        <v>20</v>
      </c>
      <c r="C537" s="211" t="s">
        <v>8766</v>
      </c>
      <c r="D537" s="222" t="s">
        <v>177</v>
      </c>
      <c r="E537" s="222" t="s">
        <v>177</v>
      </c>
      <c r="F537" s="213"/>
      <c r="G537" s="213"/>
      <c r="H537" s="214" t="s">
        <v>8767</v>
      </c>
      <c r="I537" s="215"/>
      <c r="J537" s="216" t="s">
        <v>8237</v>
      </c>
      <c r="K537" s="213"/>
      <c r="L537" s="213"/>
      <c r="M537" s="213"/>
      <c r="N537" s="213"/>
      <c r="O537" s="213"/>
      <c r="P537" s="213"/>
      <c r="Q537" s="213"/>
      <c r="R537" s="213"/>
      <c r="S537" s="213"/>
      <c r="T537" s="212"/>
      <c r="U537" s="212"/>
      <c r="V537" s="212"/>
      <c r="W537" s="212"/>
      <c r="X537" s="212"/>
      <c r="Y537" s="212"/>
      <c r="Z537" s="212"/>
      <c r="AA537" s="212"/>
      <c r="AB537" s="212"/>
      <c r="AC537" s="212"/>
      <c r="AD537" s="212"/>
    </row>
    <row r="538" ht="22.5" customHeight="1">
      <c r="A538" s="232">
        <v>26395.0</v>
      </c>
      <c r="B538" s="211" t="s">
        <v>20</v>
      </c>
      <c r="C538" s="222" t="s">
        <v>8766</v>
      </c>
      <c r="D538" s="222" t="s">
        <v>177</v>
      </c>
      <c r="E538" s="222" t="s">
        <v>177</v>
      </c>
      <c r="F538" s="213"/>
      <c r="G538" s="213"/>
      <c r="H538" s="216" t="s">
        <v>8768</v>
      </c>
      <c r="I538" s="215"/>
      <c r="J538" s="216" t="s">
        <v>8237</v>
      </c>
      <c r="K538" s="213"/>
      <c r="L538" s="213"/>
      <c r="M538" s="213"/>
      <c r="N538" s="213"/>
      <c r="O538" s="213"/>
      <c r="P538" s="213"/>
      <c r="Q538" s="213"/>
      <c r="R538" s="213"/>
      <c r="S538" s="213"/>
      <c r="T538" s="212"/>
      <c r="U538" s="212"/>
      <c r="V538" s="212"/>
      <c r="W538" s="212"/>
      <c r="X538" s="212"/>
      <c r="Y538" s="212"/>
      <c r="Z538" s="212"/>
      <c r="AA538" s="212"/>
      <c r="AB538" s="212"/>
      <c r="AC538" s="212"/>
      <c r="AD538" s="212"/>
    </row>
    <row r="539" ht="22.5" customHeight="1">
      <c r="A539" s="232">
        <v>26645.0</v>
      </c>
      <c r="B539" s="211" t="s">
        <v>8769</v>
      </c>
      <c r="C539" s="222" t="s">
        <v>3705</v>
      </c>
      <c r="D539" s="222" t="s">
        <v>177</v>
      </c>
      <c r="E539" s="222" t="s">
        <v>177</v>
      </c>
      <c r="F539" s="213"/>
      <c r="G539" s="213"/>
      <c r="H539" s="214" t="s">
        <v>8770</v>
      </c>
      <c r="I539" s="214" t="s">
        <v>8771</v>
      </c>
      <c r="J539" s="216" t="s">
        <v>8772</v>
      </c>
      <c r="K539" s="213"/>
      <c r="L539" s="213"/>
      <c r="M539" s="213"/>
      <c r="N539" s="213"/>
      <c r="O539" s="213"/>
      <c r="P539" s="213"/>
      <c r="Q539" s="213"/>
      <c r="R539" s="213"/>
      <c r="S539" s="213"/>
      <c r="T539" s="212"/>
      <c r="U539" s="212"/>
      <c r="V539" s="212"/>
      <c r="W539" s="212"/>
      <c r="X539" s="212"/>
      <c r="Y539" s="212"/>
      <c r="Z539" s="212"/>
      <c r="AA539" s="212"/>
      <c r="AB539" s="212"/>
      <c r="AC539" s="212"/>
      <c r="AD539" s="212"/>
    </row>
    <row r="540" ht="22.5" customHeight="1">
      <c r="A540" s="219">
        <v>26645.0</v>
      </c>
      <c r="B540" s="211" t="s">
        <v>20</v>
      </c>
      <c r="C540" s="211" t="s">
        <v>8773</v>
      </c>
      <c r="D540" s="222" t="s">
        <v>177</v>
      </c>
      <c r="E540" s="222" t="s">
        <v>177</v>
      </c>
      <c r="F540" s="213"/>
      <c r="G540" s="213"/>
      <c r="H540" s="214" t="s">
        <v>8774</v>
      </c>
      <c r="I540" s="216" t="s">
        <v>8771</v>
      </c>
      <c r="J540" s="216" t="s">
        <v>8772</v>
      </c>
      <c r="K540" s="213"/>
      <c r="L540" s="213"/>
      <c r="M540" s="213"/>
      <c r="N540" s="213"/>
      <c r="O540" s="213"/>
      <c r="P540" s="213"/>
      <c r="Q540" s="213"/>
      <c r="R540" s="213"/>
      <c r="S540" s="213"/>
      <c r="T540" s="212"/>
      <c r="U540" s="212"/>
      <c r="V540" s="212"/>
      <c r="W540" s="212"/>
      <c r="X540" s="212"/>
      <c r="Y540" s="212"/>
      <c r="Z540" s="212"/>
      <c r="AA540" s="212"/>
      <c r="AB540" s="212"/>
      <c r="AC540" s="212"/>
      <c r="AD540" s="212"/>
    </row>
    <row r="541" ht="22.5" customHeight="1">
      <c r="A541" s="232">
        <v>26692.0</v>
      </c>
      <c r="B541" s="211" t="s">
        <v>20</v>
      </c>
      <c r="C541" s="222" t="s">
        <v>5157</v>
      </c>
      <c r="D541" s="222" t="s">
        <v>177</v>
      </c>
      <c r="E541" s="222" t="s">
        <v>177</v>
      </c>
      <c r="F541" s="213"/>
      <c r="G541" s="213"/>
      <c r="H541" s="214" t="s">
        <v>8775</v>
      </c>
      <c r="I541" s="215"/>
      <c r="J541" s="215"/>
      <c r="K541" s="213"/>
      <c r="L541" s="213"/>
      <c r="M541" s="213"/>
      <c r="N541" s="213"/>
      <c r="O541" s="213"/>
      <c r="P541" s="213"/>
      <c r="Q541" s="213"/>
      <c r="R541" s="213"/>
      <c r="S541" s="213"/>
      <c r="T541" s="212"/>
      <c r="U541" s="212"/>
      <c r="V541" s="212"/>
      <c r="W541" s="212"/>
      <c r="X541" s="212"/>
      <c r="Y541" s="212"/>
      <c r="Z541" s="212"/>
      <c r="AA541" s="212"/>
      <c r="AB541" s="212"/>
      <c r="AC541" s="212"/>
      <c r="AD541" s="212"/>
    </row>
    <row r="542" ht="22.5" customHeight="1">
      <c r="A542" s="232">
        <v>26698.0</v>
      </c>
      <c r="B542" s="211" t="s">
        <v>20</v>
      </c>
      <c r="C542" s="222" t="s">
        <v>8776</v>
      </c>
      <c r="D542" s="222" t="s">
        <v>177</v>
      </c>
      <c r="E542" s="222" t="s">
        <v>177</v>
      </c>
      <c r="F542" s="213"/>
      <c r="G542" s="213"/>
      <c r="H542" s="216" t="s">
        <v>8777</v>
      </c>
      <c r="I542" s="215"/>
      <c r="J542" s="216" t="s">
        <v>8778</v>
      </c>
      <c r="K542" s="213"/>
      <c r="L542" s="213"/>
      <c r="M542" s="213"/>
      <c r="N542" s="213"/>
      <c r="O542" s="213"/>
      <c r="P542" s="213"/>
      <c r="Q542" s="213"/>
      <c r="R542" s="213"/>
      <c r="S542" s="213"/>
      <c r="T542" s="212"/>
      <c r="U542" s="212"/>
      <c r="V542" s="212"/>
      <c r="W542" s="212"/>
      <c r="X542" s="212"/>
      <c r="Y542" s="212"/>
      <c r="Z542" s="212"/>
      <c r="AA542" s="212"/>
      <c r="AB542" s="212"/>
      <c r="AC542" s="212"/>
      <c r="AD542" s="212"/>
    </row>
    <row r="543" ht="22.5" customHeight="1">
      <c r="A543" s="232">
        <v>26699.0</v>
      </c>
      <c r="B543" s="211" t="s">
        <v>20</v>
      </c>
      <c r="C543" s="222" t="s">
        <v>8779</v>
      </c>
      <c r="D543" s="222" t="s">
        <v>177</v>
      </c>
      <c r="E543" s="222" t="s">
        <v>177</v>
      </c>
      <c r="F543" s="213"/>
      <c r="G543" s="213"/>
      <c r="H543" s="27"/>
      <c r="I543" s="215"/>
      <c r="J543" s="216" t="s">
        <v>8780</v>
      </c>
      <c r="K543" s="213"/>
      <c r="L543" s="213"/>
      <c r="M543" s="213"/>
      <c r="N543" s="213"/>
      <c r="O543" s="213"/>
      <c r="P543" s="213"/>
      <c r="Q543" s="213"/>
      <c r="R543" s="213"/>
      <c r="S543" s="213"/>
      <c r="T543" s="212"/>
      <c r="U543" s="212"/>
      <c r="V543" s="212"/>
      <c r="W543" s="212"/>
      <c r="X543" s="212"/>
      <c r="Y543" s="212"/>
      <c r="Z543" s="212"/>
      <c r="AA543" s="212"/>
      <c r="AB543" s="212"/>
      <c r="AC543" s="212"/>
      <c r="AD543" s="212"/>
    </row>
    <row r="544" ht="22.5" customHeight="1">
      <c r="A544" s="232">
        <v>26723.0</v>
      </c>
      <c r="B544" s="211" t="s">
        <v>20</v>
      </c>
      <c r="C544" s="222" t="s">
        <v>8781</v>
      </c>
      <c r="D544" s="222" t="s">
        <v>177</v>
      </c>
      <c r="E544" s="222" t="s">
        <v>177</v>
      </c>
      <c r="F544" s="213"/>
      <c r="G544" s="213"/>
      <c r="H544" s="215"/>
      <c r="I544" s="215"/>
      <c r="J544" s="216" t="s">
        <v>8782</v>
      </c>
      <c r="K544" s="213"/>
      <c r="L544" s="213"/>
      <c r="M544" s="213"/>
      <c r="N544" s="213"/>
      <c r="O544" s="213"/>
      <c r="P544" s="213"/>
      <c r="Q544" s="213"/>
      <c r="R544" s="213"/>
      <c r="S544" s="213"/>
      <c r="T544" s="212"/>
      <c r="U544" s="212"/>
      <c r="V544" s="212"/>
      <c r="W544" s="212"/>
      <c r="X544" s="212"/>
      <c r="Y544" s="212"/>
      <c r="Z544" s="212"/>
      <c r="AA544" s="212"/>
      <c r="AB544" s="212"/>
      <c r="AC544" s="212"/>
      <c r="AD544" s="212"/>
    </row>
    <row r="545" ht="22.5" customHeight="1">
      <c r="A545" s="232">
        <v>26759.0</v>
      </c>
      <c r="B545" s="211" t="s">
        <v>20</v>
      </c>
      <c r="C545" s="211" t="s">
        <v>874</v>
      </c>
      <c r="D545" s="222" t="s">
        <v>177</v>
      </c>
      <c r="E545" s="211" t="s">
        <v>8021</v>
      </c>
      <c r="F545" s="210" t="s">
        <v>8783</v>
      </c>
      <c r="G545" s="213"/>
      <c r="H545" s="214" t="s">
        <v>8784</v>
      </c>
      <c r="I545" s="215"/>
      <c r="J545" s="215"/>
      <c r="K545" s="213"/>
      <c r="L545" s="213"/>
      <c r="M545" s="213"/>
      <c r="N545" s="213"/>
      <c r="O545" s="213"/>
      <c r="P545" s="213"/>
      <c r="Q545" s="213"/>
      <c r="R545" s="213"/>
      <c r="S545" s="213"/>
      <c r="T545" s="212"/>
      <c r="U545" s="212"/>
      <c r="V545" s="212"/>
      <c r="W545" s="212"/>
      <c r="X545" s="212"/>
      <c r="Y545" s="212"/>
      <c r="Z545" s="212"/>
      <c r="AA545" s="212"/>
      <c r="AB545" s="212"/>
      <c r="AC545" s="212"/>
      <c r="AD545" s="212"/>
    </row>
    <row r="546" ht="22.5" customHeight="1">
      <c r="A546" s="219">
        <v>27128.0</v>
      </c>
      <c r="B546" s="211" t="s">
        <v>20</v>
      </c>
      <c r="C546" s="211" t="s">
        <v>8785</v>
      </c>
      <c r="D546" s="222" t="s">
        <v>177</v>
      </c>
      <c r="E546" s="222" t="s">
        <v>177</v>
      </c>
      <c r="F546" s="213"/>
      <c r="G546" s="213"/>
      <c r="H546" s="215"/>
      <c r="I546" s="215"/>
      <c r="J546" s="216" t="s">
        <v>8786</v>
      </c>
      <c r="K546" s="213"/>
      <c r="L546" s="213"/>
      <c r="M546" s="213"/>
      <c r="N546" s="213"/>
      <c r="O546" s="213"/>
      <c r="P546" s="213"/>
      <c r="Q546" s="213"/>
      <c r="R546" s="213"/>
      <c r="S546" s="213"/>
      <c r="T546" s="212"/>
      <c r="U546" s="212"/>
      <c r="V546" s="212"/>
      <c r="W546" s="212"/>
      <c r="X546" s="212"/>
      <c r="Y546" s="212"/>
      <c r="Z546" s="212"/>
      <c r="AA546" s="212"/>
      <c r="AB546" s="212"/>
      <c r="AC546" s="212"/>
      <c r="AD546" s="212"/>
    </row>
    <row r="547" ht="22.5" customHeight="1">
      <c r="A547" s="219">
        <v>27130.0</v>
      </c>
      <c r="B547" s="211" t="s">
        <v>20</v>
      </c>
      <c r="C547" s="211" t="s">
        <v>1052</v>
      </c>
      <c r="D547" s="222" t="s">
        <v>177</v>
      </c>
      <c r="E547" s="222" t="s">
        <v>177</v>
      </c>
      <c r="F547" s="213"/>
      <c r="G547" s="213"/>
      <c r="H547" s="214" t="s">
        <v>8787</v>
      </c>
      <c r="I547" s="215"/>
      <c r="J547" s="215"/>
      <c r="K547" s="213"/>
      <c r="L547" s="213"/>
      <c r="M547" s="213"/>
      <c r="N547" s="213"/>
      <c r="O547" s="213"/>
      <c r="P547" s="213"/>
      <c r="Q547" s="213"/>
      <c r="R547" s="213"/>
      <c r="S547" s="213"/>
      <c r="T547" s="212"/>
      <c r="U547" s="212"/>
      <c r="V547" s="212"/>
      <c r="W547" s="212"/>
      <c r="X547" s="212"/>
      <c r="Y547" s="212"/>
      <c r="Z547" s="212"/>
      <c r="AA547" s="212"/>
      <c r="AB547" s="212"/>
      <c r="AC547" s="212"/>
      <c r="AD547" s="212"/>
    </row>
    <row r="548" ht="22.5" customHeight="1">
      <c r="A548" s="219">
        <v>27131.0</v>
      </c>
      <c r="B548" s="211" t="s">
        <v>20</v>
      </c>
      <c r="C548" s="211" t="s">
        <v>8788</v>
      </c>
      <c r="D548" s="222" t="s">
        <v>177</v>
      </c>
      <c r="E548" s="222" t="s">
        <v>177</v>
      </c>
      <c r="F548" s="213"/>
      <c r="G548" s="213"/>
      <c r="H548" s="215"/>
      <c r="I548" s="215"/>
      <c r="J548" s="216" t="s">
        <v>7998</v>
      </c>
      <c r="K548" s="213"/>
      <c r="L548" s="213"/>
      <c r="M548" s="213"/>
      <c r="N548" s="213"/>
      <c r="O548" s="213"/>
      <c r="P548" s="213"/>
      <c r="Q548" s="213"/>
      <c r="R548" s="213"/>
      <c r="S548" s="213"/>
      <c r="T548" s="212"/>
      <c r="U548" s="212"/>
      <c r="V548" s="212"/>
      <c r="W548" s="212"/>
      <c r="X548" s="212"/>
      <c r="Y548" s="212"/>
      <c r="Z548" s="212"/>
      <c r="AA548" s="212"/>
      <c r="AB548" s="212"/>
      <c r="AC548" s="212"/>
      <c r="AD548" s="212"/>
    </row>
    <row r="549" ht="22.5" customHeight="1">
      <c r="A549" s="219">
        <v>27132.0</v>
      </c>
      <c r="B549" s="211" t="s">
        <v>20</v>
      </c>
      <c r="C549" s="211" t="s">
        <v>8789</v>
      </c>
      <c r="D549" s="222" t="s">
        <v>177</v>
      </c>
      <c r="E549" s="222" t="s">
        <v>177</v>
      </c>
      <c r="F549" s="213"/>
      <c r="G549" s="213"/>
      <c r="H549" s="215"/>
      <c r="I549" s="216" t="s">
        <v>8790</v>
      </c>
      <c r="J549" s="216" t="s">
        <v>8791</v>
      </c>
      <c r="K549" s="213"/>
      <c r="L549" s="213"/>
      <c r="M549" s="213"/>
      <c r="N549" s="213"/>
      <c r="O549" s="213"/>
      <c r="P549" s="213"/>
      <c r="Q549" s="213"/>
      <c r="R549" s="213"/>
      <c r="S549" s="213"/>
      <c r="T549" s="212"/>
      <c r="U549" s="212"/>
      <c r="V549" s="212"/>
      <c r="W549" s="212"/>
      <c r="X549" s="212"/>
      <c r="Y549" s="212"/>
      <c r="Z549" s="212"/>
      <c r="AA549" s="212"/>
      <c r="AB549" s="212"/>
      <c r="AC549" s="212"/>
      <c r="AD549" s="212"/>
    </row>
    <row r="550" ht="22.5" customHeight="1">
      <c r="A550" s="219">
        <v>27133.0</v>
      </c>
      <c r="B550" s="211" t="s">
        <v>20</v>
      </c>
      <c r="C550" s="211" t="s">
        <v>8792</v>
      </c>
      <c r="D550" s="222" t="s">
        <v>177</v>
      </c>
      <c r="E550" s="222" t="s">
        <v>177</v>
      </c>
      <c r="F550" s="213"/>
      <c r="G550" s="219">
        <v>1.0</v>
      </c>
      <c r="H550" s="214" t="s">
        <v>8793</v>
      </c>
      <c r="I550" s="215"/>
      <c r="J550" s="215"/>
      <c r="K550" s="213"/>
      <c r="L550" s="213"/>
      <c r="M550" s="213"/>
      <c r="N550" s="213"/>
      <c r="O550" s="213"/>
      <c r="P550" s="213"/>
      <c r="Q550" s="213"/>
      <c r="R550" s="213"/>
      <c r="S550" s="213"/>
      <c r="T550" s="212"/>
      <c r="U550" s="212"/>
      <c r="V550" s="212"/>
      <c r="W550" s="212"/>
      <c r="X550" s="212"/>
      <c r="Y550" s="212"/>
      <c r="Z550" s="212"/>
      <c r="AA550" s="212"/>
      <c r="AB550" s="212"/>
      <c r="AC550" s="212"/>
      <c r="AD550" s="212"/>
    </row>
    <row r="551" ht="22.5" customHeight="1">
      <c r="A551" s="219">
        <v>27134.0</v>
      </c>
      <c r="B551" s="211" t="s">
        <v>20</v>
      </c>
      <c r="C551" s="211" t="s">
        <v>1463</v>
      </c>
      <c r="D551" s="222" t="s">
        <v>177</v>
      </c>
      <c r="E551" s="222" t="s">
        <v>177</v>
      </c>
      <c r="F551" s="213"/>
      <c r="G551" s="213"/>
      <c r="H551" s="215"/>
      <c r="I551" s="216" t="s">
        <v>8546</v>
      </c>
      <c r="J551" s="216" t="s">
        <v>8794</v>
      </c>
      <c r="K551" s="213"/>
      <c r="L551" s="213"/>
      <c r="M551" s="213"/>
      <c r="N551" s="213"/>
      <c r="O551" s="213"/>
      <c r="P551" s="213"/>
      <c r="Q551" s="213"/>
      <c r="R551" s="213"/>
      <c r="S551" s="213"/>
      <c r="T551" s="212"/>
      <c r="U551" s="212"/>
      <c r="V551" s="212"/>
      <c r="W551" s="212"/>
      <c r="X551" s="212"/>
      <c r="Y551" s="212"/>
      <c r="Z551" s="212"/>
      <c r="AA551" s="212"/>
      <c r="AB551" s="212"/>
      <c r="AC551" s="212"/>
      <c r="AD551" s="212"/>
    </row>
    <row r="552" ht="22.5" customHeight="1">
      <c r="A552" s="219">
        <v>27135.0</v>
      </c>
      <c r="B552" s="211" t="s">
        <v>20</v>
      </c>
      <c r="C552" s="211" t="s">
        <v>5283</v>
      </c>
      <c r="D552" s="222" t="s">
        <v>177</v>
      </c>
      <c r="E552" s="211" t="s">
        <v>7959</v>
      </c>
      <c r="F552" s="213"/>
      <c r="G552" s="213"/>
      <c r="H552" s="214" t="s">
        <v>8795</v>
      </c>
      <c r="I552" s="215"/>
      <c r="J552" s="215"/>
      <c r="K552" s="213"/>
      <c r="L552" s="213"/>
      <c r="M552" s="213"/>
      <c r="N552" s="213"/>
      <c r="O552" s="213"/>
      <c r="P552" s="213"/>
      <c r="Q552" s="213"/>
      <c r="R552" s="213"/>
      <c r="S552" s="213"/>
      <c r="T552" s="212"/>
      <c r="U552" s="212"/>
      <c r="V552" s="212"/>
      <c r="W552" s="212"/>
      <c r="X552" s="212"/>
      <c r="Y552" s="212"/>
      <c r="Z552" s="212"/>
      <c r="AA552" s="212"/>
      <c r="AB552" s="212"/>
      <c r="AC552" s="212"/>
      <c r="AD552" s="212"/>
    </row>
    <row r="553" ht="22.5" customHeight="1">
      <c r="A553" s="219">
        <v>27138.0</v>
      </c>
      <c r="B553" s="211" t="s">
        <v>20</v>
      </c>
      <c r="C553" s="211" t="s">
        <v>8796</v>
      </c>
      <c r="D553" s="222" t="s">
        <v>177</v>
      </c>
      <c r="E553" s="211" t="s">
        <v>7959</v>
      </c>
      <c r="F553" s="213"/>
      <c r="G553" s="213"/>
      <c r="H553" s="215"/>
      <c r="I553" s="215"/>
      <c r="J553" s="216" t="s">
        <v>8797</v>
      </c>
      <c r="K553" s="213"/>
      <c r="L553" s="213"/>
      <c r="M553" s="213"/>
      <c r="N553" s="213"/>
      <c r="O553" s="213"/>
      <c r="P553" s="213"/>
      <c r="Q553" s="213"/>
      <c r="R553" s="213"/>
      <c r="S553" s="213"/>
      <c r="T553" s="212"/>
      <c r="U553" s="212"/>
      <c r="V553" s="212"/>
      <c r="W553" s="212"/>
      <c r="X553" s="212"/>
      <c r="Y553" s="212"/>
      <c r="Z553" s="212"/>
      <c r="AA553" s="212"/>
      <c r="AB553" s="212"/>
      <c r="AC553" s="212"/>
      <c r="AD553" s="212"/>
    </row>
    <row r="554" ht="22.5" customHeight="1">
      <c r="A554" s="219">
        <v>27139.0</v>
      </c>
      <c r="B554" s="211" t="s">
        <v>20</v>
      </c>
      <c r="C554" s="211" t="s">
        <v>4331</v>
      </c>
      <c r="D554" s="222" t="s">
        <v>177</v>
      </c>
      <c r="E554" s="222" t="s">
        <v>177</v>
      </c>
      <c r="F554" s="213"/>
      <c r="G554" s="213"/>
      <c r="H554" s="214" t="s">
        <v>8798</v>
      </c>
      <c r="I554" s="215"/>
      <c r="J554" s="215"/>
      <c r="K554" s="213"/>
      <c r="L554" s="213"/>
      <c r="M554" s="213"/>
      <c r="N554" s="213"/>
      <c r="O554" s="213"/>
      <c r="P554" s="213"/>
      <c r="Q554" s="213"/>
      <c r="R554" s="213"/>
      <c r="S554" s="213"/>
      <c r="T554" s="212"/>
      <c r="U554" s="212"/>
      <c r="V554" s="212"/>
      <c r="W554" s="212"/>
      <c r="X554" s="212"/>
      <c r="Y554" s="212"/>
      <c r="Z554" s="212"/>
      <c r="AA554" s="212"/>
      <c r="AB554" s="212"/>
      <c r="AC554" s="212"/>
      <c r="AD554" s="212"/>
    </row>
    <row r="555" ht="22.5" customHeight="1">
      <c r="A555" s="219">
        <v>27140.0</v>
      </c>
      <c r="B555" s="211" t="s">
        <v>20</v>
      </c>
      <c r="C555" s="211" t="s">
        <v>8799</v>
      </c>
      <c r="D555" s="222" t="s">
        <v>177</v>
      </c>
      <c r="E555" s="222" t="s">
        <v>177</v>
      </c>
      <c r="F555" s="213"/>
      <c r="G555" s="213"/>
      <c r="H555" s="214" t="s">
        <v>8800</v>
      </c>
      <c r="I555" s="215"/>
      <c r="J555" s="215"/>
      <c r="K555" s="213"/>
      <c r="L555" s="213"/>
      <c r="M555" s="213"/>
      <c r="N555" s="213"/>
      <c r="O555" s="213"/>
      <c r="P555" s="213"/>
      <c r="Q555" s="213"/>
      <c r="R555" s="213"/>
      <c r="S555" s="213"/>
      <c r="T555" s="212"/>
      <c r="U555" s="212"/>
      <c r="V555" s="212"/>
      <c r="W555" s="212"/>
      <c r="X555" s="212"/>
      <c r="Y555" s="212"/>
      <c r="Z555" s="212"/>
      <c r="AA555" s="212"/>
      <c r="AB555" s="212"/>
      <c r="AC555" s="212"/>
      <c r="AD555" s="212"/>
    </row>
    <row r="556" ht="22.5" customHeight="1">
      <c r="A556" s="219">
        <v>27142.0</v>
      </c>
      <c r="B556" s="211" t="s">
        <v>20</v>
      </c>
      <c r="C556" s="211" t="s">
        <v>8801</v>
      </c>
      <c r="D556" s="222" t="s">
        <v>177</v>
      </c>
      <c r="E556" s="222" t="s">
        <v>177</v>
      </c>
      <c r="F556" s="213"/>
      <c r="G556" s="213"/>
      <c r="H556" s="215"/>
      <c r="I556" s="215"/>
      <c r="J556" s="216" t="s">
        <v>8802</v>
      </c>
      <c r="K556" s="213"/>
      <c r="L556" s="213"/>
      <c r="M556" s="213"/>
      <c r="N556" s="213"/>
      <c r="O556" s="213"/>
      <c r="P556" s="213"/>
      <c r="Q556" s="213"/>
      <c r="R556" s="213"/>
      <c r="S556" s="213"/>
      <c r="T556" s="212"/>
      <c r="U556" s="212"/>
      <c r="V556" s="212"/>
      <c r="W556" s="212"/>
      <c r="X556" s="212"/>
      <c r="Y556" s="212"/>
      <c r="Z556" s="212"/>
      <c r="AA556" s="212"/>
      <c r="AB556" s="212"/>
      <c r="AC556" s="212"/>
      <c r="AD556" s="212"/>
    </row>
    <row r="557" ht="22.5" customHeight="1">
      <c r="A557" s="219">
        <v>27145.0</v>
      </c>
      <c r="B557" s="211" t="s">
        <v>20</v>
      </c>
      <c r="C557" s="211" t="s">
        <v>3612</v>
      </c>
      <c r="D557" s="222" t="s">
        <v>177</v>
      </c>
      <c r="E557" s="211" t="s">
        <v>8101</v>
      </c>
      <c r="F557" s="213"/>
      <c r="G557" s="213"/>
      <c r="H557" s="214" t="s">
        <v>8803</v>
      </c>
      <c r="I557" s="215"/>
      <c r="J557" s="215"/>
      <c r="K557" s="213"/>
      <c r="L557" s="213"/>
      <c r="M557" s="213"/>
      <c r="N557" s="213"/>
      <c r="O557" s="213"/>
      <c r="P557" s="213"/>
      <c r="Q557" s="213"/>
      <c r="R557" s="213"/>
      <c r="S557" s="213"/>
      <c r="T557" s="212"/>
      <c r="U557" s="212"/>
      <c r="V557" s="212"/>
      <c r="W557" s="212"/>
      <c r="X557" s="212"/>
      <c r="Y557" s="212"/>
      <c r="Z557" s="212"/>
      <c r="AA557" s="212"/>
      <c r="AB557" s="212"/>
      <c r="AC557" s="212"/>
      <c r="AD557" s="212"/>
    </row>
    <row r="558" ht="22.5" customHeight="1">
      <c r="A558" s="219">
        <v>27147.0</v>
      </c>
      <c r="B558" s="211" t="s">
        <v>20</v>
      </c>
      <c r="C558" s="211" t="s">
        <v>871</v>
      </c>
      <c r="D558" s="222" t="s">
        <v>177</v>
      </c>
      <c r="E558" s="211" t="s">
        <v>8101</v>
      </c>
      <c r="F558" s="213"/>
      <c r="G558" s="213"/>
      <c r="H558" s="215"/>
      <c r="I558" s="215"/>
      <c r="J558" s="216" t="s">
        <v>8804</v>
      </c>
      <c r="K558" s="213"/>
      <c r="L558" s="213"/>
      <c r="M558" s="213"/>
      <c r="N558" s="213"/>
      <c r="O558" s="213"/>
      <c r="P558" s="213"/>
      <c r="Q558" s="213"/>
      <c r="R558" s="213"/>
      <c r="S558" s="213"/>
      <c r="T558" s="212"/>
      <c r="U558" s="212"/>
      <c r="V558" s="212"/>
      <c r="W558" s="212"/>
      <c r="X558" s="212"/>
      <c r="Y558" s="212"/>
      <c r="Z558" s="212"/>
      <c r="AA558" s="212"/>
      <c r="AB558" s="212"/>
      <c r="AC558" s="212"/>
      <c r="AD558" s="212"/>
    </row>
    <row r="559" ht="22.5" customHeight="1">
      <c r="A559" s="219">
        <v>27149.0</v>
      </c>
      <c r="B559" s="211" t="s">
        <v>20</v>
      </c>
      <c r="C559" s="211" t="s">
        <v>8805</v>
      </c>
      <c r="D559" s="222" t="s">
        <v>177</v>
      </c>
      <c r="E559" s="211" t="s">
        <v>8021</v>
      </c>
      <c r="F559" s="213"/>
      <c r="G559" s="213"/>
      <c r="H559" s="215"/>
      <c r="I559" s="215"/>
      <c r="J559" s="216" t="s">
        <v>8806</v>
      </c>
      <c r="K559" s="213"/>
      <c r="L559" s="213"/>
      <c r="M559" s="213"/>
      <c r="N559" s="213"/>
      <c r="O559" s="213"/>
      <c r="P559" s="213"/>
      <c r="Q559" s="213"/>
      <c r="R559" s="213"/>
      <c r="S559" s="213"/>
      <c r="T559" s="212"/>
      <c r="U559" s="212"/>
      <c r="V559" s="212"/>
      <c r="W559" s="212"/>
      <c r="X559" s="212"/>
      <c r="Y559" s="212"/>
      <c r="Z559" s="212"/>
      <c r="AA559" s="212"/>
      <c r="AB559" s="212"/>
      <c r="AC559" s="212"/>
      <c r="AD559" s="212"/>
    </row>
    <row r="560" ht="22.5" customHeight="1">
      <c r="A560" s="219">
        <v>27153.0</v>
      </c>
      <c r="B560" s="211" t="s">
        <v>20</v>
      </c>
      <c r="C560" s="211" t="s">
        <v>8807</v>
      </c>
      <c r="D560" s="222" t="s">
        <v>177</v>
      </c>
      <c r="E560" s="211" t="s">
        <v>7942</v>
      </c>
      <c r="F560" s="213"/>
      <c r="G560" s="213"/>
      <c r="H560" s="215"/>
      <c r="I560" s="215"/>
      <c r="J560" s="216" t="s">
        <v>8808</v>
      </c>
      <c r="K560" s="213"/>
      <c r="L560" s="213"/>
      <c r="M560" s="213"/>
      <c r="N560" s="213"/>
      <c r="O560" s="213"/>
      <c r="P560" s="213"/>
      <c r="Q560" s="213"/>
      <c r="R560" s="213"/>
      <c r="S560" s="213"/>
      <c r="T560" s="212"/>
      <c r="U560" s="212"/>
      <c r="V560" s="212"/>
      <c r="W560" s="212"/>
      <c r="X560" s="212"/>
      <c r="Y560" s="212"/>
      <c r="Z560" s="212"/>
      <c r="AA560" s="212"/>
      <c r="AB560" s="212"/>
      <c r="AC560" s="212"/>
      <c r="AD560" s="212"/>
    </row>
    <row r="561" ht="22.5" customHeight="1">
      <c r="A561" s="219">
        <v>27154.0</v>
      </c>
      <c r="B561" s="211" t="s">
        <v>20</v>
      </c>
      <c r="C561" s="211" t="s">
        <v>8809</v>
      </c>
      <c r="D561" s="222" t="s">
        <v>177</v>
      </c>
      <c r="E561" s="211" t="s">
        <v>8090</v>
      </c>
      <c r="F561" s="213"/>
      <c r="G561" s="213"/>
      <c r="H561" s="214" t="s">
        <v>8810</v>
      </c>
      <c r="I561" s="215"/>
      <c r="J561" s="216" t="s">
        <v>8811</v>
      </c>
      <c r="K561" s="213"/>
      <c r="L561" s="213"/>
      <c r="M561" s="213"/>
      <c r="N561" s="213"/>
      <c r="O561" s="213"/>
      <c r="P561" s="213"/>
      <c r="Q561" s="213"/>
      <c r="R561" s="213"/>
      <c r="S561" s="213"/>
      <c r="T561" s="212"/>
      <c r="U561" s="212"/>
      <c r="V561" s="212"/>
      <c r="W561" s="212"/>
      <c r="X561" s="212"/>
      <c r="Y561" s="212"/>
      <c r="Z561" s="212"/>
      <c r="AA561" s="212"/>
      <c r="AB561" s="212"/>
      <c r="AC561" s="212"/>
      <c r="AD561" s="212"/>
    </row>
    <row r="562" ht="22.5" customHeight="1">
      <c r="A562" s="219">
        <v>27157.0</v>
      </c>
      <c r="B562" s="211" t="s">
        <v>20</v>
      </c>
      <c r="C562" s="211" t="s">
        <v>942</v>
      </c>
      <c r="D562" s="222" t="s">
        <v>177</v>
      </c>
      <c r="E562" s="211" t="s">
        <v>7797</v>
      </c>
      <c r="F562" s="213"/>
      <c r="G562" s="213"/>
      <c r="H562" s="214" t="s">
        <v>8812</v>
      </c>
      <c r="I562" s="215"/>
      <c r="J562" s="216" t="s">
        <v>8813</v>
      </c>
      <c r="K562" s="213"/>
      <c r="L562" s="213"/>
      <c r="M562" s="213"/>
      <c r="N562" s="213"/>
      <c r="O562" s="213"/>
      <c r="P562" s="213"/>
      <c r="Q562" s="213"/>
      <c r="R562" s="213"/>
      <c r="S562" s="213"/>
      <c r="T562" s="212"/>
      <c r="U562" s="212"/>
      <c r="V562" s="212"/>
      <c r="W562" s="212"/>
      <c r="X562" s="212"/>
      <c r="Y562" s="212"/>
      <c r="Z562" s="212"/>
      <c r="AA562" s="212"/>
      <c r="AB562" s="212"/>
      <c r="AC562" s="212"/>
      <c r="AD562" s="212"/>
    </row>
    <row r="563" ht="22.5" customHeight="1">
      <c r="A563" s="219">
        <v>27158.0</v>
      </c>
      <c r="B563" s="211" t="s">
        <v>20</v>
      </c>
      <c r="C563" s="211" t="s">
        <v>8814</v>
      </c>
      <c r="D563" s="222" t="s">
        <v>177</v>
      </c>
      <c r="E563" s="211" t="s">
        <v>7797</v>
      </c>
      <c r="F563" s="213"/>
      <c r="G563" s="213"/>
      <c r="H563" s="215"/>
      <c r="I563" s="215"/>
      <c r="J563" s="216" t="s">
        <v>8174</v>
      </c>
      <c r="K563" s="213"/>
      <c r="L563" s="213"/>
      <c r="M563" s="213"/>
      <c r="N563" s="213"/>
      <c r="O563" s="213"/>
      <c r="P563" s="213"/>
      <c r="Q563" s="213"/>
      <c r="R563" s="213"/>
      <c r="S563" s="213"/>
      <c r="T563" s="212"/>
      <c r="U563" s="212"/>
      <c r="V563" s="212"/>
      <c r="W563" s="212"/>
      <c r="X563" s="212"/>
      <c r="Y563" s="212"/>
      <c r="Z563" s="212"/>
      <c r="AA563" s="212"/>
      <c r="AB563" s="212"/>
      <c r="AC563" s="212"/>
      <c r="AD563" s="212"/>
    </row>
    <row r="564" ht="22.5" customHeight="1">
      <c r="A564" s="219">
        <v>27160.0</v>
      </c>
      <c r="B564" s="211" t="s">
        <v>20</v>
      </c>
      <c r="C564" s="211" t="s">
        <v>8815</v>
      </c>
      <c r="D564" s="222" t="s">
        <v>177</v>
      </c>
      <c r="E564" s="211" t="s">
        <v>178</v>
      </c>
      <c r="F564" s="213"/>
      <c r="G564" s="213"/>
      <c r="H564" s="214" t="s">
        <v>8816</v>
      </c>
      <c r="I564" s="216" t="s">
        <v>8424</v>
      </c>
      <c r="J564" s="216" t="s">
        <v>8425</v>
      </c>
      <c r="K564" s="213"/>
      <c r="L564" s="213"/>
      <c r="M564" s="213"/>
      <c r="N564" s="213"/>
      <c r="O564" s="213"/>
      <c r="P564" s="213"/>
      <c r="Q564" s="213"/>
      <c r="R564" s="213"/>
      <c r="S564" s="213"/>
      <c r="T564" s="212"/>
      <c r="U564" s="212"/>
      <c r="V564" s="212"/>
      <c r="W564" s="212"/>
      <c r="X564" s="212"/>
      <c r="Y564" s="212"/>
      <c r="Z564" s="212"/>
      <c r="AA564" s="212"/>
      <c r="AB564" s="212"/>
      <c r="AC564" s="212"/>
      <c r="AD564" s="212"/>
    </row>
    <row r="565" ht="22.5" customHeight="1">
      <c r="A565" s="219">
        <v>27161.0</v>
      </c>
      <c r="B565" s="211" t="s">
        <v>20</v>
      </c>
      <c r="C565" s="211" t="s">
        <v>8817</v>
      </c>
      <c r="D565" s="222" t="s">
        <v>177</v>
      </c>
      <c r="E565" s="211" t="s">
        <v>178</v>
      </c>
      <c r="F565" s="213"/>
      <c r="G565" s="213"/>
      <c r="H565" s="214" t="s">
        <v>8818</v>
      </c>
      <c r="I565" s="215"/>
      <c r="J565" s="215"/>
      <c r="K565" s="213"/>
      <c r="L565" s="213"/>
      <c r="M565" s="213"/>
      <c r="N565" s="213"/>
      <c r="O565" s="213"/>
      <c r="P565" s="213"/>
      <c r="Q565" s="213"/>
      <c r="R565" s="213"/>
      <c r="S565" s="213"/>
      <c r="T565" s="212"/>
      <c r="U565" s="212"/>
      <c r="V565" s="212"/>
      <c r="W565" s="212"/>
      <c r="X565" s="212"/>
      <c r="Y565" s="212"/>
      <c r="Z565" s="212"/>
      <c r="AA565" s="212"/>
      <c r="AB565" s="212"/>
      <c r="AC565" s="212"/>
      <c r="AD565" s="212"/>
    </row>
    <row r="566" ht="22.5" customHeight="1">
      <c r="A566" s="219">
        <v>27162.0</v>
      </c>
      <c r="B566" s="211" t="s">
        <v>20</v>
      </c>
      <c r="C566" s="211" t="s">
        <v>8819</v>
      </c>
      <c r="D566" s="222" t="s">
        <v>177</v>
      </c>
      <c r="E566" s="211" t="s">
        <v>178</v>
      </c>
      <c r="F566" s="213"/>
      <c r="G566" s="213"/>
      <c r="H566" s="214" t="s">
        <v>8820</v>
      </c>
      <c r="I566" s="215"/>
      <c r="J566" s="215"/>
      <c r="K566" s="213"/>
      <c r="L566" s="213"/>
      <c r="M566" s="213"/>
      <c r="N566" s="213"/>
      <c r="O566" s="213"/>
      <c r="P566" s="213"/>
      <c r="Q566" s="213"/>
      <c r="R566" s="213"/>
      <c r="S566" s="213"/>
      <c r="T566" s="212"/>
      <c r="U566" s="212"/>
      <c r="V566" s="212"/>
      <c r="W566" s="212"/>
      <c r="X566" s="212"/>
      <c r="Y566" s="212"/>
      <c r="Z566" s="212"/>
      <c r="AA566" s="212"/>
      <c r="AB566" s="212"/>
      <c r="AC566" s="212"/>
      <c r="AD566" s="212"/>
    </row>
    <row r="567" ht="22.5" customHeight="1">
      <c r="A567" s="219">
        <v>27163.0</v>
      </c>
      <c r="B567" s="211" t="s">
        <v>20</v>
      </c>
      <c r="C567" s="211" t="s">
        <v>8821</v>
      </c>
      <c r="D567" s="222" t="s">
        <v>177</v>
      </c>
      <c r="E567" s="211" t="s">
        <v>178</v>
      </c>
      <c r="F567" s="213"/>
      <c r="G567" s="213"/>
      <c r="H567" s="214" t="s">
        <v>8822</v>
      </c>
      <c r="I567" s="215"/>
      <c r="J567" s="215"/>
      <c r="K567" s="213"/>
      <c r="L567" s="213"/>
      <c r="M567" s="213"/>
      <c r="N567" s="213"/>
      <c r="O567" s="213"/>
      <c r="P567" s="213"/>
      <c r="Q567" s="213"/>
      <c r="R567" s="213"/>
      <c r="S567" s="213"/>
      <c r="T567" s="212"/>
      <c r="U567" s="212"/>
      <c r="V567" s="212"/>
      <c r="W567" s="212"/>
      <c r="X567" s="212"/>
      <c r="Y567" s="212"/>
      <c r="Z567" s="212"/>
      <c r="AA567" s="212"/>
      <c r="AB567" s="212"/>
      <c r="AC567" s="212"/>
      <c r="AD567" s="212"/>
    </row>
    <row r="568" ht="22.5" customHeight="1">
      <c r="A568" s="219">
        <v>27167.0</v>
      </c>
      <c r="B568" s="211" t="s">
        <v>20</v>
      </c>
      <c r="C568" s="211" t="s">
        <v>2079</v>
      </c>
      <c r="D568" s="222" t="s">
        <v>177</v>
      </c>
      <c r="E568" s="211" t="s">
        <v>7937</v>
      </c>
      <c r="F568" s="213"/>
      <c r="G568" s="213"/>
      <c r="H568" s="215"/>
      <c r="I568" s="215"/>
      <c r="J568" s="216" t="s">
        <v>8823</v>
      </c>
      <c r="K568" s="213"/>
      <c r="L568" s="213"/>
      <c r="M568" s="213"/>
      <c r="N568" s="213"/>
      <c r="O568" s="213"/>
      <c r="P568" s="213"/>
      <c r="Q568" s="213"/>
      <c r="R568" s="213"/>
      <c r="S568" s="213"/>
      <c r="T568" s="212"/>
      <c r="U568" s="212"/>
      <c r="V568" s="212"/>
      <c r="W568" s="212"/>
      <c r="X568" s="212"/>
      <c r="Y568" s="212"/>
      <c r="Z568" s="212"/>
      <c r="AA568" s="212"/>
      <c r="AB568" s="212"/>
      <c r="AC568" s="212"/>
      <c r="AD568" s="212"/>
    </row>
    <row r="569" ht="22.5" customHeight="1">
      <c r="A569" s="219">
        <v>27168.0</v>
      </c>
      <c r="B569" s="211" t="s">
        <v>20</v>
      </c>
      <c r="C569" s="211" t="s">
        <v>8824</v>
      </c>
      <c r="D569" s="222" t="s">
        <v>177</v>
      </c>
      <c r="E569" s="211" t="s">
        <v>8012</v>
      </c>
      <c r="F569" s="213"/>
      <c r="G569" s="213"/>
      <c r="H569" s="214" t="s">
        <v>8825</v>
      </c>
      <c r="I569" s="215"/>
      <c r="J569" s="215"/>
      <c r="K569" s="213"/>
      <c r="L569" s="213"/>
      <c r="M569" s="213"/>
      <c r="N569" s="213"/>
      <c r="O569" s="213"/>
      <c r="P569" s="213"/>
      <c r="Q569" s="213"/>
      <c r="R569" s="213"/>
      <c r="S569" s="213"/>
      <c r="T569" s="212"/>
      <c r="U569" s="212"/>
      <c r="V569" s="212"/>
      <c r="W569" s="212"/>
      <c r="X569" s="212"/>
      <c r="Y569" s="212"/>
      <c r="Z569" s="212"/>
      <c r="AA569" s="212"/>
      <c r="AB569" s="212"/>
      <c r="AC569" s="212"/>
      <c r="AD569" s="212"/>
    </row>
    <row r="570" ht="22.5" customHeight="1">
      <c r="A570" s="219">
        <v>27170.0</v>
      </c>
      <c r="B570" s="211" t="s">
        <v>20</v>
      </c>
      <c r="C570" s="211" t="s">
        <v>8826</v>
      </c>
      <c r="D570" s="222" t="s">
        <v>177</v>
      </c>
      <c r="E570" s="211" t="s">
        <v>8012</v>
      </c>
      <c r="F570" s="213"/>
      <c r="G570" s="213"/>
      <c r="H570" s="215"/>
      <c r="I570" s="215"/>
      <c r="J570" s="216" t="s">
        <v>8827</v>
      </c>
      <c r="K570" s="213"/>
      <c r="L570" s="213"/>
      <c r="M570" s="213"/>
      <c r="N570" s="213"/>
      <c r="O570" s="213"/>
      <c r="P570" s="213"/>
      <c r="Q570" s="213"/>
      <c r="R570" s="213"/>
      <c r="S570" s="213"/>
      <c r="T570" s="212"/>
      <c r="U570" s="212"/>
      <c r="V570" s="212"/>
      <c r="W570" s="212"/>
      <c r="X570" s="212"/>
      <c r="Y570" s="212"/>
      <c r="Z570" s="212"/>
      <c r="AA570" s="212"/>
      <c r="AB570" s="212"/>
      <c r="AC570" s="212"/>
      <c r="AD570" s="212"/>
    </row>
    <row r="571" ht="22.5" customHeight="1">
      <c r="A571" s="219">
        <v>27172.0</v>
      </c>
      <c r="B571" s="211" t="s">
        <v>20</v>
      </c>
      <c r="C571" s="211" t="s">
        <v>4478</v>
      </c>
      <c r="D571" s="222" t="s">
        <v>177</v>
      </c>
      <c r="E571" s="211" t="s">
        <v>8012</v>
      </c>
      <c r="F571" s="213"/>
      <c r="G571" s="213"/>
      <c r="H571" s="214" t="s">
        <v>8828</v>
      </c>
      <c r="I571" s="215"/>
      <c r="J571" s="215"/>
      <c r="K571" s="213"/>
      <c r="L571" s="213"/>
      <c r="M571" s="213"/>
      <c r="N571" s="213"/>
      <c r="O571" s="213"/>
      <c r="P571" s="213"/>
      <c r="Q571" s="213"/>
      <c r="R571" s="213"/>
      <c r="S571" s="213"/>
      <c r="T571" s="212"/>
      <c r="U571" s="212"/>
      <c r="V571" s="212"/>
      <c r="W571" s="212"/>
      <c r="X571" s="212"/>
      <c r="Y571" s="212"/>
      <c r="Z571" s="212"/>
      <c r="AA571" s="212"/>
      <c r="AB571" s="212"/>
      <c r="AC571" s="212"/>
      <c r="AD571" s="212"/>
    </row>
    <row r="572" ht="22.5" customHeight="1">
      <c r="A572" s="219">
        <v>27177.0</v>
      </c>
      <c r="B572" s="211" t="s">
        <v>20</v>
      </c>
      <c r="C572" s="211" t="s">
        <v>641</v>
      </c>
      <c r="D572" s="222" t="s">
        <v>177</v>
      </c>
      <c r="E572" s="211" t="s">
        <v>7815</v>
      </c>
      <c r="F572" s="213"/>
      <c r="G572" s="213"/>
      <c r="H572" s="214" t="s">
        <v>8829</v>
      </c>
      <c r="I572" s="215"/>
      <c r="J572" s="215"/>
      <c r="K572" s="213"/>
      <c r="L572" s="213"/>
      <c r="M572" s="213"/>
      <c r="N572" s="213"/>
      <c r="O572" s="213"/>
      <c r="P572" s="213"/>
      <c r="Q572" s="213"/>
      <c r="R572" s="213"/>
      <c r="S572" s="213"/>
      <c r="T572" s="212"/>
      <c r="U572" s="212"/>
      <c r="V572" s="212"/>
      <c r="W572" s="212"/>
      <c r="X572" s="212"/>
      <c r="Y572" s="212"/>
      <c r="Z572" s="212"/>
      <c r="AA572" s="212"/>
      <c r="AB572" s="212"/>
      <c r="AC572" s="212"/>
      <c r="AD572" s="212"/>
    </row>
    <row r="573" ht="22.5" customHeight="1">
      <c r="A573" s="232">
        <v>27178.0</v>
      </c>
      <c r="B573" s="211" t="s">
        <v>20</v>
      </c>
      <c r="C573" s="211" t="s">
        <v>8830</v>
      </c>
      <c r="D573" s="222" t="s">
        <v>177</v>
      </c>
      <c r="E573" s="211" t="s">
        <v>7815</v>
      </c>
      <c r="F573" s="213"/>
      <c r="G573" s="213"/>
      <c r="H573" s="214" t="s">
        <v>8831</v>
      </c>
      <c r="I573" s="215"/>
      <c r="J573" s="215"/>
      <c r="K573" s="213"/>
      <c r="L573" s="213"/>
      <c r="M573" s="213"/>
      <c r="N573" s="213"/>
      <c r="O573" s="213"/>
      <c r="P573" s="213"/>
      <c r="Q573" s="213"/>
      <c r="R573" s="213"/>
      <c r="S573" s="213"/>
      <c r="T573" s="212"/>
      <c r="U573" s="212"/>
      <c r="V573" s="212"/>
      <c r="W573" s="212"/>
      <c r="X573" s="212"/>
      <c r="Y573" s="212"/>
      <c r="Z573" s="212"/>
      <c r="AA573" s="212"/>
      <c r="AB573" s="212"/>
      <c r="AC573" s="212"/>
      <c r="AD573" s="212"/>
    </row>
    <row r="574" ht="22.5" customHeight="1">
      <c r="A574" s="219">
        <v>27179.0</v>
      </c>
      <c r="B574" s="211" t="s">
        <v>20</v>
      </c>
      <c r="C574" s="211" t="s">
        <v>7903</v>
      </c>
      <c r="D574" s="222" t="s">
        <v>177</v>
      </c>
      <c r="E574" s="211" t="s">
        <v>7815</v>
      </c>
      <c r="F574" s="213"/>
      <c r="G574" s="213"/>
      <c r="H574" s="214" t="s">
        <v>8832</v>
      </c>
      <c r="I574" s="216" t="s">
        <v>8833</v>
      </c>
      <c r="J574" s="215"/>
      <c r="K574" s="213"/>
      <c r="L574" s="213"/>
      <c r="M574" s="213"/>
      <c r="N574" s="213"/>
      <c r="O574" s="213"/>
      <c r="P574" s="213"/>
      <c r="Q574" s="213"/>
      <c r="R574" s="213"/>
      <c r="S574" s="213"/>
      <c r="T574" s="212"/>
      <c r="U574" s="212"/>
      <c r="V574" s="212"/>
      <c r="W574" s="212"/>
      <c r="X574" s="212"/>
      <c r="Y574" s="212"/>
      <c r="Z574" s="212"/>
      <c r="AA574" s="212"/>
      <c r="AB574" s="212"/>
      <c r="AC574" s="212"/>
      <c r="AD574" s="212"/>
    </row>
    <row r="575" ht="22.5" customHeight="1">
      <c r="A575" s="219">
        <v>27180.0</v>
      </c>
      <c r="B575" s="211" t="s">
        <v>20</v>
      </c>
      <c r="C575" s="211" t="s">
        <v>8834</v>
      </c>
      <c r="D575" s="222" t="s">
        <v>177</v>
      </c>
      <c r="E575" s="211" t="s">
        <v>8004</v>
      </c>
      <c r="F575" s="213"/>
      <c r="G575" s="219">
        <v>1.0</v>
      </c>
      <c r="H575" s="214" t="s">
        <v>8835</v>
      </c>
      <c r="I575" s="215"/>
      <c r="J575" s="215"/>
      <c r="K575" s="213"/>
      <c r="L575" s="213"/>
      <c r="M575" s="213"/>
      <c r="N575" s="213"/>
      <c r="O575" s="213"/>
      <c r="P575" s="213"/>
      <c r="Q575" s="213"/>
      <c r="R575" s="213"/>
      <c r="S575" s="213"/>
      <c r="T575" s="212"/>
      <c r="U575" s="212"/>
      <c r="V575" s="212"/>
      <c r="W575" s="212"/>
      <c r="X575" s="212"/>
      <c r="Y575" s="212"/>
      <c r="Z575" s="212"/>
      <c r="AA575" s="212"/>
      <c r="AB575" s="212"/>
      <c r="AC575" s="212"/>
      <c r="AD575" s="212"/>
    </row>
    <row r="576" ht="22.5" customHeight="1">
      <c r="A576" s="219">
        <v>27182.0</v>
      </c>
      <c r="B576" s="211" t="s">
        <v>20</v>
      </c>
      <c r="C576" s="211" t="s">
        <v>8836</v>
      </c>
      <c r="D576" s="222" t="s">
        <v>177</v>
      </c>
      <c r="E576" s="211" t="s">
        <v>8130</v>
      </c>
      <c r="F576" s="213"/>
      <c r="G576" s="213"/>
      <c r="H576" s="214" t="s">
        <v>8837</v>
      </c>
      <c r="I576" s="215"/>
      <c r="J576" s="216" t="s">
        <v>8838</v>
      </c>
      <c r="K576" s="213"/>
      <c r="L576" s="213"/>
      <c r="M576" s="213"/>
      <c r="N576" s="213"/>
      <c r="O576" s="213"/>
      <c r="P576" s="213"/>
      <c r="Q576" s="213"/>
      <c r="R576" s="213"/>
      <c r="S576" s="213"/>
      <c r="T576" s="212"/>
      <c r="U576" s="212"/>
      <c r="V576" s="212"/>
      <c r="W576" s="212"/>
      <c r="X576" s="212"/>
      <c r="Y576" s="212"/>
      <c r="Z576" s="212"/>
      <c r="AA576" s="212"/>
      <c r="AB576" s="212"/>
      <c r="AC576" s="212"/>
      <c r="AD576" s="212"/>
    </row>
    <row r="577" ht="22.5" customHeight="1">
      <c r="A577" s="219">
        <v>27186.0</v>
      </c>
      <c r="B577" s="211" t="s">
        <v>20</v>
      </c>
      <c r="C577" s="211" t="s">
        <v>8839</v>
      </c>
      <c r="D577" s="222" t="s">
        <v>177</v>
      </c>
      <c r="E577" s="211" t="s">
        <v>7924</v>
      </c>
      <c r="F577" s="213"/>
      <c r="G577" s="213"/>
      <c r="H577" s="214" t="s">
        <v>8840</v>
      </c>
      <c r="I577" s="216" t="s">
        <v>8841</v>
      </c>
      <c r="J577" s="215"/>
      <c r="K577" s="213"/>
      <c r="L577" s="213"/>
      <c r="M577" s="213"/>
      <c r="N577" s="213"/>
      <c r="O577" s="213"/>
      <c r="P577" s="213"/>
      <c r="Q577" s="213"/>
      <c r="R577" s="213"/>
      <c r="S577" s="213"/>
      <c r="T577" s="212"/>
      <c r="U577" s="212"/>
      <c r="V577" s="212"/>
      <c r="W577" s="212"/>
      <c r="X577" s="212"/>
      <c r="Y577" s="212"/>
      <c r="Z577" s="212"/>
      <c r="AA577" s="212"/>
      <c r="AB577" s="212"/>
      <c r="AC577" s="212"/>
      <c r="AD577" s="212"/>
    </row>
    <row r="578" ht="22.5" customHeight="1">
      <c r="A578" s="219">
        <v>27187.0</v>
      </c>
      <c r="B578" s="211" t="s">
        <v>20</v>
      </c>
      <c r="C578" s="211" t="s">
        <v>8842</v>
      </c>
      <c r="D578" s="222" t="s">
        <v>177</v>
      </c>
      <c r="E578" s="211" t="s">
        <v>7924</v>
      </c>
      <c r="F578" s="213"/>
      <c r="G578" s="213"/>
      <c r="H578" s="215"/>
      <c r="I578" s="215"/>
      <c r="J578" s="216" t="s">
        <v>8843</v>
      </c>
      <c r="K578" s="213"/>
      <c r="L578" s="213"/>
      <c r="M578" s="213"/>
      <c r="N578" s="213"/>
      <c r="O578" s="213"/>
      <c r="P578" s="213"/>
      <c r="Q578" s="213"/>
      <c r="R578" s="213"/>
      <c r="S578" s="213"/>
      <c r="T578" s="212"/>
      <c r="U578" s="212"/>
      <c r="V578" s="212"/>
      <c r="W578" s="212"/>
      <c r="X578" s="212"/>
      <c r="Y578" s="212"/>
      <c r="Z578" s="212"/>
      <c r="AA578" s="212"/>
      <c r="AB578" s="212"/>
      <c r="AC578" s="212"/>
      <c r="AD578" s="212"/>
    </row>
    <row r="579" ht="22.5" customHeight="1">
      <c r="A579" s="219">
        <v>27188.0</v>
      </c>
      <c r="B579" s="211" t="s">
        <v>20</v>
      </c>
      <c r="C579" s="211" t="s">
        <v>8844</v>
      </c>
      <c r="D579" s="222" t="s">
        <v>177</v>
      </c>
      <c r="E579" s="211" t="s">
        <v>7924</v>
      </c>
      <c r="F579" s="213"/>
      <c r="G579" s="213"/>
      <c r="H579" s="215"/>
      <c r="I579" s="215"/>
      <c r="J579" s="216" t="s">
        <v>8845</v>
      </c>
      <c r="K579" s="213"/>
      <c r="L579" s="213"/>
      <c r="M579" s="213"/>
      <c r="N579" s="213"/>
      <c r="O579" s="213"/>
      <c r="P579" s="213"/>
      <c r="Q579" s="213"/>
      <c r="R579" s="213"/>
      <c r="S579" s="213"/>
      <c r="T579" s="212"/>
      <c r="U579" s="212"/>
      <c r="V579" s="212"/>
      <c r="W579" s="212"/>
      <c r="X579" s="212"/>
      <c r="Y579" s="212"/>
      <c r="Z579" s="212"/>
      <c r="AA579" s="212"/>
      <c r="AB579" s="212"/>
      <c r="AC579" s="212"/>
      <c r="AD579" s="212"/>
    </row>
    <row r="580" ht="22.5" customHeight="1">
      <c r="A580" s="219">
        <v>27189.0</v>
      </c>
      <c r="B580" s="211" t="s">
        <v>20</v>
      </c>
      <c r="C580" s="211" t="s">
        <v>8846</v>
      </c>
      <c r="D580" s="222" t="s">
        <v>177</v>
      </c>
      <c r="E580" s="211" t="s">
        <v>7924</v>
      </c>
      <c r="F580" s="213"/>
      <c r="G580" s="213"/>
      <c r="H580" s="214" t="s">
        <v>8847</v>
      </c>
      <c r="I580" s="215"/>
      <c r="J580" s="215"/>
      <c r="K580" s="213"/>
      <c r="L580" s="213"/>
      <c r="M580" s="213"/>
      <c r="N580" s="213"/>
      <c r="O580" s="213"/>
      <c r="P580" s="213"/>
      <c r="Q580" s="213"/>
      <c r="R580" s="213"/>
      <c r="S580" s="213"/>
      <c r="T580" s="212"/>
      <c r="U580" s="212"/>
      <c r="V580" s="212"/>
      <c r="W580" s="212"/>
      <c r="X580" s="212"/>
      <c r="Y580" s="212"/>
      <c r="Z580" s="212"/>
      <c r="AA580" s="212"/>
      <c r="AB580" s="212"/>
      <c r="AC580" s="212"/>
      <c r="AD580" s="212"/>
    </row>
    <row r="581" ht="22.5" customHeight="1">
      <c r="A581" s="219">
        <v>27191.0</v>
      </c>
      <c r="B581" s="211" t="s">
        <v>20</v>
      </c>
      <c r="C581" s="211" t="s">
        <v>8848</v>
      </c>
      <c r="D581" s="222" t="s">
        <v>177</v>
      </c>
      <c r="E581" s="211" t="s">
        <v>7924</v>
      </c>
      <c r="F581" s="213"/>
      <c r="G581" s="213"/>
      <c r="H581" s="214" t="s">
        <v>8849</v>
      </c>
      <c r="I581" s="215"/>
      <c r="J581" s="215"/>
      <c r="K581" s="213"/>
      <c r="L581" s="213"/>
      <c r="M581" s="213"/>
      <c r="N581" s="213"/>
      <c r="O581" s="213"/>
      <c r="P581" s="213"/>
      <c r="Q581" s="213"/>
      <c r="R581" s="213"/>
      <c r="S581" s="213"/>
      <c r="T581" s="212"/>
      <c r="U581" s="212"/>
      <c r="V581" s="212"/>
      <c r="W581" s="212"/>
      <c r="X581" s="212"/>
      <c r="Y581" s="212"/>
      <c r="Z581" s="212"/>
      <c r="AA581" s="212"/>
      <c r="AB581" s="212"/>
      <c r="AC581" s="212"/>
      <c r="AD581" s="212"/>
    </row>
    <row r="582" ht="22.5" customHeight="1">
      <c r="A582" s="219">
        <v>27193.0</v>
      </c>
      <c r="B582" s="211" t="s">
        <v>20</v>
      </c>
      <c r="C582" s="211" t="s">
        <v>8850</v>
      </c>
      <c r="D582" s="211" t="s">
        <v>8260</v>
      </c>
      <c r="E582" s="211" t="s">
        <v>7771</v>
      </c>
      <c r="F582" s="213"/>
      <c r="G582" s="219">
        <v>1.0</v>
      </c>
      <c r="H582" s="214" t="s">
        <v>8851</v>
      </c>
      <c r="I582" s="215"/>
      <c r="J582" s="215"/>
      <c r="K582" s="213"/>
      <c r="L582" s="213"/>
      <c r="M582" s="213"/>
      <c r="N582" s="213"/>
      <c r="O582" s="213"/>
      <c r="P582" s="213"/>
      <c r="Q582" s="213"/>
      <c r="R582" s="213"/>
      <c r="S582" s="213"/>
      <c r="T582" s="212"/>
      <c r="U582" s="212"/>
      <c r="V582" s="212"/>
      <c r="W582" s="212"/>
      <c r="X582" s="212"/>
      <c r="Y582" s="212"/>
      <c r="Z582" s="212"/>
      <c r="AA582" s="212"/>
      <c r="AB582" s="212"/>
      <c r="AC582" s="212"/>
      <c r="AD582" s="212"/>
    </row>
    <row r="583" ht="22.5" customHeight="1">
      <c r="A583" s="219">
        <v>27194.0</v>
      </c>
      <c r="B583" s="211" t="s">
        <v>20</v>
      </c>
      <c r="C583" s="211" t="s">
        <v>735</v>
      </c>
      <c r="D583" s="211" t="s">
        <v>8260</v>
      </c>
      <c r="E583" s="211" t="s">
        <v>7771</v>
      </c>
      <c r="F583" s="213"/>
      <c r="G583" s="213"/>
      <c r="H583" s="214" t="s">
        <v>8852</v>
      </c>
      <c r="I583" s="215"/>
      <c r="J583" s="215"/>
      <c r="K583" s="213"/>
      <c r="L583" s="213"/>
      <c r="M583" s="213"/>
      <c r="N583" s="213"/>
      <c r="O583" s="213"/>
      <c r="P583" s="213"/>
      <c r="Q583" s="213"/>
      <c r="R583" s="213"/>
      <c r="S583" s="213"/>
      <c r="T583" s="212"/>
      <c r="U583" s="212"/>
      <c r="V583" s="212"/>
      <c r="W583" s="212"/>
      <c r="X583" s="212"/>
      <c r="Y583" s="212"/>
      <c r="Z583" s="212"/>
      <c r="AA583" s="212"/>
      <c r="AB583" s="212"/>
      <c r="AC583" s="212"/>
      <c r="AD583" s="212"/>
    </row>
    <row r="584" ht="22.5" customHeight="1">
      <c r="A584" s="219">
        <v>27196.0</v>
      </c>
      <c r="B584" s="211" t="s">
        <v>20</v>
      </c>
      <c r="C584" s="211" t="s">
        <v>8853</v>
      </c>
      <c r="D584" s="211" t="s">
        <v>8260</v>
      </c>
      <c r="E584" s="211" t="s">
        <v>7771</v>
      </c>
      <c r="F584" s="213"/>
      <c r="G584" s="213"/>
      <c r="H584" s="214" t="s">
        <v>8854</v>
      </c>
      <c r="I584" s="215"/>
      <c r="J584" s="214" t="s">
        <v>8855</v>
      </c>
      <c r="K584" s="213"/>
      <c r="L584" s="213"/>
      <c r="M584" s="213"/>
      <c r="N584" s="213"/>
      <c r="O584" s="213"/>
      <c r="P584" s="213"/>
      <c r="Q584" s="213"/>
      <c r="R584" s="213"/>
      <c r="S584" s="213"/>
      <c r="T584" s="212"/>
      <c r="U584" s="212"/>
      <c r="V584" s="212"/>
      <c r="W584" s="212"/>
      <c r="X584" s="212"/>
      <c r="Y584" s="212"/>
      <c r="Z584" s="212"/>
      <c r="AA584" s="212"/>
      <c r="AB584" s="212"/>
      <c r="AC584" s="212"/>
      <c r="AD584" s="212"/>
    </row>
    <row r="585" ht="22.5" customHeight="1">
      <c r="A585" s="219">
        <v>27197.0</v>
      </c>
      <c r="B585" s="211" t="s">
        <v>20</v>
      </c>
      <c r="C585" s="211" t="s">
        <v>8856</v>
      </c>
      <c r="D585" s="211" t="s">
        <v>8260</v>
      </c>
      <c r="E585" s="211" t="s">
        <v>7771</v>
      </c>
      <c r="F585" s="213"/>
      <c r="G585" s="213"/>
      <c r="H585" s="214" t="s">
        <v>8857</v>
      </c>
      <c r="I585" s="215"/>
      <c r="J585" s="215"/>
      <c r="K585" s="213"/>
      <c r="L585" s="213"/>
      <c r="M585" s="213"/>
      <c r="N585" s="213"/>
      <c r="O585" s="213"/>
      <c r="P585" s="213"/>
      <c r="Q585" s="213"/>
      <c r="R585" s="213"/>
      <c r="S585" s="213"/>
      <c r="T585" s="212"/>
      <c r="U585" s="212"/>
      <c r="V585" s="212"/>
      <c r="W585" s="212"/>
      <c r="X585" s="212"/>
      <c r="Y585" s="212"/>
      <c r="Z585" s="212"/>
      <c r="AA585" s="212"/>
      <c r="AB585" s="212"/>
      <c r="AC585" s="212"/>
      <c r="AD585" s="212"/>
    </row>
    <row r="586" ht="22.5" customHeight="1">
      <c r="A586" s="219">
        <v>27198.0</v>
      </c>
      <c r="B586" s="211" t="s">
        <v>20</v>
      </c>
      <c r="C586" s="211" t="s">
        <v>8858</v>
      </c>
      <c r="D586" s="211" t="s">
        <v>8260</v>
      </c>
      <c r="E586" s="211" t="s">
        <v>7771</v>
      </c>
      <c r="F586" s="213"/>
      <c r="G586" s="213"/>
      <c r="H586" s="215"/>
      <c r="I586" s="215"/>
      <c r="J586" s="216" t="s">
        <v>8859</v>
      </c>
      <c r="K586" s="213"/>
      <c r="L586" s="213"/>
      <c r="M586" s="213"/>
      <c r="N586" s="213"/>
      <c r="O586" s="213"/>
      <c r="P586" s="213"/>
      <c r="Q586" s="213"/>
      <c r="R586" s="213"/>
      <c r="S586" s="213"/>
      <c r="T586" s="212"/>
      <c r="U586" s="212"/>
      <c r="V586" s="212"/>
      <c r="W586" s="212"/>
      <c r="X586" s="212"/>
      <c r="Y586" s="212"/>
      <c r="Z586" s="212"/>
      <c r="AA586" s="212"/>
      <c r="AB586" s="212"/>
      <c r="AC586" s="212"/>
      <c r="AD586" s="212"/>
    </row>
    <row r="587" ht="22.5" customHeight="1">
      <c r="A587" s="219">
        <v>27199.0</v>
      </c>
      <c r="B587" s="211" t="s">
        <v>20</v>
      </c>
      <c r="C587" s="211" t="s">
        <v>698</v>
      </c>
      <c r="D587" s="211" t="s">
        <v>8260</v>
      </c>
      <c r="E587" s="211" t="s">
        <v>7771</v>
      </c>
      <c r="F587" s="213"/>
      <c r="G587" s="213"/>
      <c r="H587" s="214" t="s">
        <v>8860</v>
      </c>
      <c r="I587" s="215"/>
      <c r="J587" s="215"/>
      <c r="K587" s="213"/>
      <c r="L587" s="213"/>
      <c r="M587" s="213"/>
      <c r="N587" s="213"/>
      <c r="O587" s="213"/>
      <c r="P587" s="213"/>
      <c r="Q587" s="213"/>
      <c r="R587" s="213"/>
      <c r="S587" s="213"/>
      <c r="T587" s="212"/>
      <c r="U587" s="212"/>
      <c r="V587" s="212"/>
      <c r="W587" s="212"/>
      <c r="X587" s="212"/>
      <c r="Y587" s="212"/>
      <c r="Z587" s="212"/>
      <c r="AA587" s="212"/>
      <c r="AB587" s="212"/>
      <c r="AC587" s="212"/>
      <c r="AD587" s="212"/>
    </row>
    <row r="588" ht="22.5" customHeight="1">
      <c r="A588" s="219">
        <v>27203.0</v>
      </c>
      <c r="B588" s="211" t="s">
        <v>20</v>
      </c>
      <c r="C588" s="211" t="s">
        <v>8861</v>
      </c>
      <c r="D588" s="211" t="s">
        <v>8260</v>
      </c>
      <c r="E588" s="211" t="s">
        <v>8183</v>
      </c>
      <c r="F588" s="213"/>
      <c r="G588" s="213"/>
      <c r="H588" s="214" t="s">
        <v>8862</v>
      </c>
      <c r="I588" s="215"/>
      <c r="J588" s="216" t="s">
        <v>8863</v>
      </c>
      <c r="K588" s="213"/>
      <c r="L588" s="213"/>
      <c r="M588" s="213"/>
      <c r="N588" s="213"/>
      <c r="O588" s="213"/>
      <c r="P588" s="213"/>
      <c r="Q588" s="213"/>
      <c r="R588" s="213"/>
      <c r="S588" s="213"/>
      <c r="T588" s="212"/>
      <c r="U588" s="212"/>
      <c r="V588" s="212"/>
      <c r="W588" s="212"/>
      <c r="X588" s="212"/>
      <c r="Y588" s="212"/>
      <c r="Z588" s="212"/>
      <c r="AA588" s="212"/>
      <c r="AB588" s="212"/>
      <c r="AC588" s="212"/>
      <c r="AD588" s="212"/>
    </row>
    <row r="589" ht="22.5" customHeight="1">
      <c r="A589" s="219">
        <v>27975.0</v>
      </c>
      <c r="B589" s="211" t="s">
        <v>20</v>
      </c>
      <c r="C589" s="211" t="s">
        <v>8864</v>
      </c>
      <c r="D589" s="211" t="s">
        <v>8260</v>
      </c>
      <c r="E589" s="211" t="s">
        <v>7924</v>
      </c>
      <c r="F589" s="213"/>
      <c r="G589" s="219" t="s">
        <v>0</v>
      </c>
      <c r="H589" s="214" t="s">
        <v>8865</v>
      </c>
      <c r="I589" s="215"/>
      <c r="J589" s="216" t="s">
        <v>8866</v>
      </c>
      <c r="K589" s="213"/>
      <c r="L589" s="213"/>
      <c r="M589" s="213"/>
      <c r="N589" s="213"/>
      <c r="O589" s="213"/>
      <c r="P589" s="213"/>
      <c r="Q589" s="213"/>
      <c r="R589" s="213"/>
      <c r="S589" s="213"/>
      <c r="T589" s="212"/>
      <c r="U589" s="212"/>
      <c r="V589" s="212"/>
      <c r="W589" s="212"/>
      <c r="X589" s="212"/>
      <c r="Y589" s="212"/>
      <c r="Z589" s="212"/>
      <c r="AA589" s="212"/>
      <c r="AB589" s="212"/>
      <c r="AC589" s="212"/>
      <c r="AD589" s="212"/>
    </row>
    <row r="590" ht="22.5" customHeight="1">
      <c r="A590" s="219">
        <v>27978.0</v>
      </c>
      <c r="B590" s="211" t="s">
        <v>20</v>
      </c>
      <c r="C590" s="211" t="s">
        <v>8867</v>
      </c>
      <c r="D590" s="211" t="s">
        <v>8260</v>
      </c>
      <c r="E590" s="211" t="s">
        <v>8260</v>
      </c>
      <c r="F590" s="213"/>
      <c r="G590" s="213"/>
      <c r="H590" s="215"/>
      <c r="I590" s="216" t="s">
        <v>8868</v>
      </c>
      <c r="J590" s="215"/>
      <c r="K590" s="213"/>
      <c r="L590" s="213"/>
      <c r="M590" s="213"/>
      <c r="N590" s="213"/>
      <c r="O590" s="213"/>
      <c r="P590" s="213"/>
      <c r="Q590" s="213"/>
      <c r="R590" s="213"/>
      <c r="S590" s="213"/>
      <c r="T590" s="212"/>
      <c r="U590" s="212"/>
      <c r="V590" s="212"/>
      <c r="W590" s="212"/>
      <c r="X590" s="212"/>
      <c r="Y590" s="212"/>
      <c r="Z590" s="212"/>
      <c r="AA590" s="212"/>
      <c r="AB590" s="212"/>
      <c r="AC590" s="212"/>
      <c r="AD590" s="212"/>
    </row>
    <row r="591" ht="22.5" customHeight="1">
      <c r="A591" s="219">
        <v>27981.0</v>
      </c>
      <c r="B591" s="211" t="s">
        <v>20</v>
      </c>
      <c r="C591" s="211" t="s">
        <v>8869</v>
      </c>
      <c r="D591" s="211" t="s">
        <v>8260</v>
      </c>
      <c r="E591" s="211" t="s">
        <v>7942</v>
      </c>
      <c r="F591" s="213"/>
      <c r="G591" s="213"/>
      <c r="H591" s="215"/>
      <c r="I591" s="215"/>
      <c r="J591" s="216" t="s">
        <v>8778</v>
      </c>
      <c r="K591" s="213"/>
      <c r="L591" s="213"/>
      <c r="M591" s="213"/>
      <c r="N591" s="213"/>
      <c r="O591" s="213"/>
      <c r="P591" s="213"/>
      <c r="Q591" s="213"/>
      <c r="R591" s="213"/>
      <c r="S591" s="213"/>
      <c r="T591" s="212"/>
      <c r="U591" s="212"/>
      <c r="V591" s="212"/>
      <c r="W591" s="212"/>
      <c r="X591" s="212"/>
      <c r="Y591" s="212"/>
      <c r="Z591" s="212"/>
      <c r="AA591" s="212"/>
      <c r="AB591" s="212"/>
      <c r="AC591" s="212"/>
      <c r="AD591" s="212"/>
    </row>
    <row r="592" ht="22.5" customHeight="1">
      <c r="A592" s="219">
        <v>27982.0</v>
      </c>
      <c r="B592" s="211" t="s">
        <v>20</v>
      </c>
      <c r="C592" s="211" t="s">
        <v>3020</v>
      </c>
      <c r="D592" s="211" t="s">
        <v>8260</v>
      </c>
      <c r="E592" s="211" t="s">
        <v>8260</v>
      </c>
      <c r="F592" s="213"/>
      <c r="G592" s="213"/>
      <c r="H592" s="215"/>
      <c r="I592" s="215"/>
      <c r="J592" s="216" t="s">
        <v>8870</v>
      </c>
      <c r="K592" s="213"/>
      <c r="L592" s="213"/>
      <c r="M592" s="213"/>
      <c r="N592" s="213"/>
      <c r="O592" s="213"/>
      <c r="P592" s="213"/>
      <c r="Q592" s="213"/>
      <c r="R592" s="213"/>
      <c r="S592" s="213"/>
      <c r="T592" s="212"/>
      <c r="U592" s="212"/>
      <c r="V592" s="212"/>
      <c r="W592" s="212"/>
      <c r="X592" s="212"/>
      <c r="Y592" s="212"/>
      <c r="Z592" s="212"/>
      <c r="AA592" s="212"/>
      <c r="AB592" s="212"/>
      <c r="AC592" s="212"/>
      <c r="AD592" s="212"/>
    </row>
    <row r="593" ht="22.5" customHeight="1">
      <c r="A593" s="219">
        <v>27990.0</v>
      </c>
      <c r="B593" s="211" t="s">
        <v>8871</v>
      </c>
      <c r="C593" s="211" t="s">
        <v>5407</v>
      </c>
      <c r="D593" s="211" t="s">
        <v>8260</v>
      </c>
      <c r="E593" s="211" t="s">
        <v>8260</v>
      </c>
      <c r="F593" s="213"/>
      <c r="G593" s="219">
        <v>1.0</v>
      </c>
      <c r="H593" s="214" t="s">
        <v>8872</v>
      </c>
      <c r="I593" s="215"/>
      <c r="J593" s="215"/>
      <c r="K593" s="213"/>
      <c r="L593" s="213"/>
      <c r="M593" s="213"/>
      <c r="N593" s="213"/>
      <c r="O593" s="213"/>
      <c r="P593" s="213"/>
      <c r="Q593" s="213"/>
      <c r="R593" s="213"/>
      <c r="S593" s="213"/>
      <c r="T593" s="212"/>
      <c r="U593" s="212"/>
      <c r="V593" s="212"/>
      <c r="W593" s="212"/>
      <c r="X593" s="212"/>
      <c r="Y593" s="212"/>
      <c r="Z593" s="212"/>
      <c r="AA593" s="212"/>
      <c r="AB593" s="212"/>
      <c r="AC593" s="212"/>
      <c r="AD593" s="212"/>
    </row>
    <row r="594" ht="22.5" customHeight="1">
      <c r="A594" s="219">
        <v>28011.0</v>
      </c>
      <c r="B594" s="211" t="s">
        <v>20</v>
      </c>
      <c r="C594" s="211" t="s">
        <v>8289</v>
      </c>
      <c r="D594" s="211" t="s">
        <v>8260</v>
      </c>
      <c r="E594" s="211" t="s">
        <v>7797</v>
      </c>
      <c r="F594" s="213"/>
      <c r="G594" s="213"/>
      <c r="H594" s="214" t="s">
        <v>8873</v>
      </c>
      <c r="I594" s="215"/>
      <c r="J594" s="215"/>
      <c r="K594" s="213"/>
      <c r="L594" s="213"/>
      <c r="M594" s="213"/>
      <c r="N594" s="213"/>
      <c r="O594" s="213"/>
      <c r="P594" s="213"/>
      <c r="Q594" s="213"/>
      <c r="R594" s="213"/>
      <c r="S594" s="213"/>
      <c r="T594" s="212"/>
      <c r="U594" s="212"/>
      <c r="V594" s="212"/>
      <c r="W594" s="212"/>
      <c r="X594" s="212"/>
      <c r="Y594" s="212"/>
      <c r="Z594" s="212"/>
      <c r="AA594" s="212"/>
      <c r="AB594" s="212"/>
      <c r="AC594" s="212"/>
      <c r="AD594" s="212"/>
    </row>
    <row r="595" ht="22.5" customHeight="1">
      <c r="A595" s="219">
        <v>28033.0</v>
      </c>
      <c r="B595" s="211" t="s">
        <v>20</v>
      </c>
      <c r="C595" s="211" t="s">
        <v>8874</v>
      </c>
      <c r="D595" s="211" t="s">
        <v>8260</v>
      </c>
      <c r="E595" s="211" t="s">
        <v>8012</v>
      </c>
      <c r="F595" s="213"/>
      <c r="G595" s="213"/>
      <c r="H595" s="214" t="s">
        <v>8875</v>
      </c>
      <c r="I595" s="215"/>
      <c r="J595" s="215"/>
      <c r="K595" s="213"/>
      <c r="L595" s="213"/>
      <c r="M595" s="213"/>
      <c r="N595" s="213"/>
      <c r="O595" s="213"/>
      <c r="P595" s="213"/>
      <c r="Q595" s="213"/>
      <c r="R595" s="213"/>
      <c r="S595" s="213"/>
      <c r="T595" s="212"/>
      <c r="U595" s="212"/>
      <c r="V595" s="212"/>
      <c r="W595" s="212"/>
      <c r="X595" s="212"/>
      <c r="Y595" s="212"/>
      <c r="Z595" s="212"/>
      <c r="AA595" s="212"/>
      <c r="AB595" s="212"/>
      <c r="AC595" s="212"/>
      <c r="AD595" s="212"/>
    </row>
    <row r="596" ht="22.5" customHeight="1">
      <c r="A596" s="219">
        <v>28057.0</v>
      </c>
      <c r="B596" s="211" t="s">
        <v>20</v>
      </c>
      <c r="C596" s="211" t="s">
        <v>8876</v>
      </c>
      <c r="D596" s="211" t="s">
        <v>8260</v>
      </c>
      <c r="E596" s="211" t="s">
        <v>177</v>
      </c>
      <c r="F596" s="213"/>
      <c r="G596" s="213"/>
      <c r="H596" s="215"/>
      <c r="I596" s="215"/>
      <c r="J596" s="216" t="s">
        <v>8877</v>
      </c>
      <c r="K596" s="213"/>
      <c r="L596" s="213"/>
      <c r="M596" s="213"/>
      <c r="N596" s="213"/>
      <c r="O596" s="213"/>
      <c r="P596" s="213"/>
      <c r="Q596" s="213"/>
      <c r="R596" s="213"/>
      <c r="S596" s="213"/>
      <c r="T596" s="212"/>
      <c r="U596" s="212"/>
      <c r="V596" s="212"/>
      <c r="W596" s="212"/>
      <c r="X596" s="212"/>
      <c r="Y596" s="212"/>
      <c r="Z596" s="212"/>
      <c r="AA596" s="212"/>
      <c r="AB596" s="212"/>
      <c r="AC596" s="212"/>
      <c r="AD596" s="212"/>
    </row>
    <row r="597" ht="22.5" customHeight="1">
      <c r="A597" s="219">
        <v>28092.0</v>
      </c>
      <c r="B597" s="211" t="s">
        <v>20</v>
      </c>
      <c r="C597" s="211" t="s">
        <v>3861</v>
      </c>
      <c r="D597" s="211" t="s">
        <v>8260</v>
      </c>
      <c r="E597" s="211" t="s">
        <v>8090</v>
      </c>
      <c r="F597" s="213"/>
      <c r="G597" s="213"/>
      <c r="H597" s="214" t="s">
        <v>8878</v>
      </c>
      <c r="I597" s="215"/>
      <c r="J597" s="215"/>
      <c r="K597" s="213"/>
      <c r="L597" s="213"/>
      <c r="M597" s="213"/>
      <c r="N597" s="213"/>
      <c r="O597" s="213"/>
      <c r="P597" s="213"/>
      <c r="Q597" s="213"/>
      <c r="R597" s="213"/>
      <c r="S597" s="213"/>
      <c r="T597" s="212"/>
      <c r="U597" s="212"/>
      <c r="V597" s="212"/>
      <c r="W597" s="212"/>
      <c r="X597" s="212"/>
      <c r="Y597" s="212"/>
      <c r="Z597" s="212"/>
      <c r="AA597" s="212"/>
      <c r="AB597" s="212"/>
      <c r="AC597" s="212"/>
      <c r="AD597" s="212"/>
    </row>
    <row r="598" ht="22.5" customHeight="1">
      <c r="A598" s="219">
        <v>28096.0</v>
      </c>
      <c r="B598" s="211" t="s">
        <v>20</v>
      </c>
      <c r="C598" s="211" t="s">
        <v>8879</v>
      </c>
      <c r="D598" s="211" t="s">
        <v>8260</v>
      </c>
      <c r="E598" s="211" t="s">
        <v>7959</v>
      </c>
      <c r="F598" s="213"/>
      <c r="G598" s="213"/>
      <c r="H598" s="214" t="s">
        <v>8880</v>
      </c>
      <c r="I598" s="215"/>
      <c r="J598" s="215"/>
      <c r="K598" s="213"/>
      <c r="L598" s="213"/>
      <c r="M598" s="213"/>
      <c r="N598" s="213"/>
      <c r="O598" s="213"/>
      <c r="P598" s="213"/>
      <c r="Q598" s="213"/>
      <c r="R598" s="213"/>
      <c r="S598" s="213"/>
      <c r="T598" s="212"/>
      <c r="U598" s="212"/>
      <c r="V598" s="212"/>
      <c r="W598" s="212"/>
      <c r="X598" s="212"/>
      <c r="Y598" s="212"/>
      <c r="Z598" s="212"/>
      <c r="AA598" s="212"/>
      <c r="AB598" s="212"/>
      <c r="AC598" s="212"/>
      <c r="AD598" s="212"/>
    </row>
    <row r="599" ht="22.5" customHeight="1">
      <c r="A599" s="232">
        <v>28098.0</v>
      </c>
      <c r="B599" s="211" t="s">
        <v>20</v>
      </c>
      <c r="C599" s="222" t="s">
        <v>1168</v>
      </c>
      <c r="D599" s="222" t="s">
        <v>177</v>
      </c>
      <c r="E599" s="222" t="s">
        <v>8079</v>
      </c>
      <c r="F599" s="213"/>
      <c r="G599" s="213"/>
      <c r="H599" s="214" t="s">
        <v>8881</v>
      </c>
      <c r="I599" s="215"/>
      <c r="J599" s="215"/>
      <c r="K599" s="213"/>
      <c r="L599" s="213"/>
      <c r="M599" s="213"/>
      <c r="N599" s="213"/>
      <c r="O599" s="213"/>
      <c r="P599" s="213"/>
      <c r="Q599" s="213"/>
      <c r="R599" s="213"/>
      <c r="S599" s="213"/>
      <c r="T599" s="212"/>
      <c r="U599" s="212"/>
      <c r="V599" s="212"/>
      <c r="W599" s="212"/>
      <c r="X599" s="212"/>
      <c r="Y599" s="212"/>
      <c r="Z599" s="212"/>
      <c r="AA599" s="212"/>
      <c r="AB599" s="212"/>
      <c r="AC599" s="212"/>
      <c r="AD599" s="212"/>
    </row>
    <row r="600" ht="22.5" customHeight="1">
      <c r="A600" s="232">
        <v>28263.0</v>
      </c>
      <c r="B600" s="211" t="s">
        <v>8882</v>
      </c>
      <c r="C600" s="222" t="s">
        <v>4055</v>
      </c>
      <c r="D600" s="222" t="s">
        <v>177</v>
      </c>
      <c r="E600" s="222" t="s">
        <v>8004</v>
      </c>
      <c r="F600" s="213"/>
      <c r="G600" s="213"/>
      <c r="H600" s="216" t="s">
        <v>8883</v>
      </c>
      <c r="I600" s="215"/>
      <c r="J600" s="215"/>
      <c r="K600" s="213"/>
      <c r="L600" s="213"/>
      <c r="M600" s="213"/>
      <c r="N600" s="213"/>
      <c r="O600" s="213"/>
      <c r="P600" s="213"/>
      <c r="Q600" s="213"/>
      <c r="R600" s="213"/>
      <c r="S600" s="213"/>
      <c r="T600" s="212"/>
      <c r="U600" s="212"/>
      <c r="V600" s="212"/>
      <c r="W600" s="212"/>
      <c r="X600" s="212"/>
      <c r="Y600" s="212"/>
      <c r="Z600" s="212"/>
      <c r="AA600" s="212"/>
      <c r="AB600" s="212"/>
      <c r="AC600" s="212"/>
      <c r="AD600" s="212"/>
    </row>
    <row r="601" ht="22.5" customHeight="1">
      <c r="A601" s="232">
        <v>28355.0</v>
      </c>
      <c r="B601" s="211" t="s">
        <v>20</v>
      </c>
      <c r="C601" s="222" t="s">
        <v>3186</v>
      </c>
      <c r="D601" s="222" t="s">
        <v>177</v>
      </c>
      <c r="E601" s="222" t="s">
        <v>8090</v>
      </c>
      <c r="F601" s="213"/>
      <c r="G601" s="213"/>
      <c r="H601" s="216" t="s">
        <v>8884</v>
      </c>
      <c r="I601" s="215"/>
      <c r="J601" s="215"/>
      <c r="K601" s="213"/>
      <c r="L601" s="213"/>
      <c r="M601" s="213"/>
      <c r="N601" s="213"/>
      <c r="O601" s="213"/>
      <c r="P601" s="213"/>
      <c r="Q601" s="213"/>
      <c r="R601" s="213"/>
      <c r="S601" s="213"/>
      <c r="T601" s="212"/>
      <c r="U601" s="212"/>
      <c r="V601" s="212"/>
      <c r="W601" s="212"/>
      <c r="X601" s="212"/>
      <c r="Y601" s="212"/>
      <c r="Z601" s="212"/>
      <c r="AA601" s="212"/>
      <c r="AB601" s="212"/>
      <c r="AC601" s="212"/>
      <c r="AD601" s="212"/>
    </row>
    <row r="602" ht="22.5" customHeight="1">
      <c r="A602" s="232">
        <v>28382.0</v>
      </c>
      <c r="B602" s="211" t="s">
        <v>20</v>
      </c>
      <c r="C602" s="222" t="s">
        <v>8885</v>
      </c>
      <c r="D602" s="222" t="s">
        <v>177</v>
      </c>
      <c r="E602" s="211" t="s">
        <v>8886</v>
      </c>
      <c r="F602" s="213"/>
      <c r="G602" s="213"/>
      <c r="H602" s="216" t="s">
        <v>8887</v>
      </c>
      <c r="I602" s="215"/>
      <c r="J602" s="215"/>
      <c r="K602" s="213"/>
      <c r="L602" s="213"/>
      <c r="M602" s="213"/>
      <c r="N602" s="213"/>
      <c r="O602" s="213"/>
      <c r="P602" s="213"/>
      <c r="Q602" s="213"/>
      <c r="R602" s="213"/>
      <c r="S602" s="213"/>
      <c r="T602" s="212"/>
      <c r="U602" s="212"/>
      <c r="V602" s="212"/>
      <c r="W602" s="212"/>
      <c r="X602" s="212"/>
      <c r="Y602" s="212"/>
      <c r="Z602" s="212"/>
      <c r="AA602" s="212"/>
      <c r="AB602" s="212"/>
      <c r="AC602" s="212"/>
      <c r="AD602" s="212"/>
    </row>
    <row r="603" ht="22.5" customHeight="1">
      <c r="A603" s="232">
        <v>28411.0</v>
      </c>
      <c r="B603" s="211" t="s">
        <v>4322</v>
      </c>
      <c r="C603" s="211" t="s">
        <v>3612</v>
      </c>
      <c r="D603" s="222" t="s">
        <v>177</v>
      </c>
      <c r="E603" s="222" t="s">
        <v>8079</v>
      </c>
      <c r="F603" s="213"/>
      <c r="G603" s="213"/>
      <c r="H603" s="216" t="s">
        <v>8888</v>
      </c>
      <c r="I603" s="215"/>
      <c r="J603" s="216" t="s">
        <v>8889</v>
      </c>
      <c r="K603" s="213"/>
      <c r="L603" s="213"/>
      <c r="M603" s="213"/>
      <c r="N603" s="213"/>
      <c r="O603" s="213"/>
      <c r="P603" s="213"/>
      <c r="Q603" s="213"/>
      <c r="R603" s="213"/>
      <c r="S603" s="213"/>
      <c r="T603" s="212"/>
      <c r="U603" s="212"/>
      <c r="V603" s="212"/>
      <c r="W603" s="212"/>
      <c r="X603" s="212"/>
      <c r="Y603" s="212"/>
      <c r="Z603" s="212"/>
      <c r="AA603" s="212"/>
      <c r="AB603" s="212"/>
      <c r="AC603" s="212"/>
      <c r="AD603" s="212"/>
    </row>
    <row r="604" ht="22.5" customHeight="1">
      <c r="A604" s="232">
        <v>28417.0</v>
      </c>
      <c r="B604" s="211" t="s">
        <v>20</v>
      </c>
      <c r="C604" s="222" t="s">
        <v>8890</v>
      </c>
      <c r="D604" s="222" t="s">
        <v>177</v>
      </c>
      <c r="E604" s="222" t="s">
        <v>7771</v>
      </c>
      <c r="F604" s="213"/>
      <c r="G604" s="213"/>
      <c r="H604" s="215"/>
      <c r="I604" s="215"/>
      <c r="J604" s="216" t="s">
        <v>8262</v>
      </c>
      <c r="K604" s="213"/>
      <c r="L604" s="213"/>
      <c r="M604" s="213"/>
      <c r="N604" s="213"/>
      <c r="O604" s="213"/>
      <c r="P604" s="213"/>
      <c r="Q604" s="213"/>
      <c r="R604" s="213"/>
      <c r="S604" s="213"/>
      <c r="T604" s="212"/>
      <c r="U604" s="212"/>
      <c r="V604" s="212"/>
      <c r="W604" s="212"/>
      <c r="X604" s="212"/>
      <c r="Y604" s="212"/>
      <c r="Z604" s="212"/>
      <c r="AA604" s="212"/>
      <c r="AB604" s="212"/>
      <c r="AC604" s="212"/>
      <c r="AD604" s="212"/>
    </row>
    <row r="605" ht="22.5" customHeight="1">
      <c r="A605" s="232">
        <v>28484.0</v>
      </c>
      <c r="B605" s="211" t="s">
        <v>20</v>
      </c>
      <c r="C605" s="222" t="s">
        <v>1057</v>
      </c>
      <c r="D605" s="222" t="s">
        <v>177</v>
      </c>
      <c r="E605" s="222" t="s">
        <v>7959</v>
      </c>
      <c r="F605" s="213"/>
      <c r="G605" s="213"/>
      <c r="H605" s="216" t="s">
        <v>8891</v>
      </c>
      <c r="I605" s="214" t="s">
        <v>8204</v>
      </c>
      <c r="J605" s="215"/>
      <c r="K605" s="213"/>
      <c r="L605" s="213"/>
      <c r="M605" s="213"/>
      <c r="N605" s="213"/>
      <c r="O605" s="213"/>
      <c r="P605" s="213"/>
      <c r="Q605" s="213"/>
      <c r="R605" s="213"/>
      <c r="S605" s="213"/>
      <c r="T605" s="212"/>
      <c r="U605" s="212"/>
      <c r="V605" s="212"/>
      <c r="W605" s="212"/>
      <c r="X605" s="212"/>
      <c r="Y605" s="212"/>
      <c r="Z605" s="212"/>
      <c r="AA605" s="212"/>
      <c r="AB605" s="212"/>
      <c r="AC605" s="212"/>
      <c r="AD605" s="212"/>
    </row>
    <row r="606" ht="22.5" customHeight="1">
      <c r="A606" s="232">
        <v>28601.0</v>
      </c>
      <c r="B606" s="211" t="s">
        <v>20</v>
      </c>
      <c r="C606" s="222" t="s">
        <v>8892</v>
      </c>
      <c r="D606" s="222" t="s">
        <v>177</v>
      </c>
      <c r="E606" s="211" t="s">
        <v>8002</v>
      </c>
      <c r="F606" s="210" t="s">
        <v>8893</v>
      </c>
      <c r="G606" s="213"/>
      <c r="H606" s="216" t="s">
        <v>8894</v>
      </c>
      <c r="I606" s="215"/>
      <c r="J606" s="215"/>
      <c r="K606" s="213"/>
      <c r="L606" s="213"/>
      <c r="M606" s="213"/>
      <c r="N606" s="213"/>
      <c r="O606" s="213"/>
      <c r="P606" s="213"/>
      <c r="Q606" s="213"/>
      <c r="R606" s="213"/>
      <c r="S606" s="213"/>
      <c r="T606" s="212"/>
      <c r="U606" s="212"/>
      <c r="V606" s="212"/>
      <c r="W606" s="212"/>
      <c r="X606" s="212"/>
      <c r="Y606" s="212"/>
      <c r="Z606" s="212"/>
      <c r="AA606" s="212"/>
      <c r="AB606" s="212"/>
      <c r="AC606" s="212"/>
      <c r="AD606" s="212"/>
    </row>
    <row r="607" ht="22.5" customHeight="1">
      <c r="A607" s="232">
        <v>28647.0</v>
      </c>
      <c r="B607" s="211" t="s">
        <v>20</v>
      </c>
      <c r="C607" s="222" t="s">
        <v>8895</v>
      </c>
      <c r="D607" s="222" t="s">
        <v>177</v>
      </c>
      <c r="E607" s="222" t="s">
        <v>7959</v>
      </c>
      <c r="F607" s="213"/>
      <c r="G607" s="213"/>
      <c r="H607" s="216" t="s">
        <v>8896</v>
      </c>
      <c r="I607" s="215"/>
      <c r="J607" s="215"/>
      <c r="K607" s="213"/>
      <c r="L607" s="213"/>
      <c r="M607" s="213"/>
      <c r="N607" s="213"/>
      <c r="O607" s="213"/>
      <c r="P607" s="213"/>
      <c r="Q607" s="213"/>
      <c r="R607" s="213"/>
      <c r="S607" s="213"/>
      <c r="T607" s="212"/>
      <c r="U607" s="212"/>
      <c r="V607" s="212"/>
      <c r="W607" s="212"/>
      <c r="X607" s="212"/>
      <c r="Y607" s="212"/>
      <c r="Z607" s="212"/>
      <c r="AA607" s="212"/>
      <c r="AB607" s="212"/>
      <c r="AC607" s="212"/>
      <c r="AD607" s="212"/>
    </row>
    <row r="608" ht="22.5" customHeight="1">
      <c r="A608" s="232">
        <v>28649.0</v>
      </c>
      <c r="B608" s="211" t="s">
        <v>20</v>
      </c>
      <c r="C608" s="222" t="s">
        <v>8897</v>
      </c>
      <c r="D608" s="222" t="s">
        <v>177</v>
      </c>
      <c r="E608" s="222" t="s">
        <v>7959</v>
      </c>
      <c r="F608" s="213"/>
      <c r="G608" s="213"/>
      <c r="H608" s="216" t="s">
        <v>8898</v>
      </c>
      <c r="I608" s="215"/>
      <c r="J608" s="215"/>
      <c r="K608" s="213"/>
      <c r="L608" s="213"/>
      <c r="M608" s="213"/>
      <c r="N608" s="213"/>
      <c r="O608" s="213"/>
      <c r="P608" s="213"/>
      <c r="Q608" s="213"/>
      <c r="R608" s="213"/>
      <c r="S608" s="213"/>
      <c r="T608" s="212"/>
      <c r="U608" s="212"/>
      <c r="V608" s="212"/>
      <c r="W608" s="212"/>
      <c r="X608" s="212"/>
      <c r="Y608" s="212"/>
      <c r="Z608" s="212"/>
      <c r="AA608" s="212"/>
      <c r="AB608" s="212"/>
      <c r="AC608" s="212"/>
      <c r="AD608" s="212"/>
    </row>
    <row r="609" ht="22.5" customHeight="1">
      <c r="A609" s="232">
        <v>28661.0</v>
      </c>
      <c r="B609" s="211" t="s">
        <v>20</v>
      </c>
      <c r="C609" s="222" t="s">
        <v>8899</v>
      </c>
      <c r="D609" s="211" t="s">
        <v>8260</v>
      </c>
      <c r="E609" s="211" t="s">
        <v>8004</v>
      </c>
      <c r="F609" s="235" t="s">
        <v>8900</v>
      </c>
      <c r="G609" s="213"/>
      <c r="H609" s="216" t="s">
        <v>8901</v>
      </c>
      <c r="I609" s="215"/>
      <c r="J609" s="215"/>
      <c r="K609" s="213"/>
      <c r="L609" s="213"/>
      <c r="M609" s="213"/>
      <c r="N609" s="213"/>
      <c r="O609" s="213"/>
      <c r="P609" s="213"/>
      <c r="Q609" s="213"/>
      <c r="R609" s="213"/>
      <c r="S609" s="213"/>
      <c r="T609" s="212"/>
      <c r="U609" s="212"/>
      <c r="V609" s="212"/>
      <c r="W609" s="212"/>
      <c r="X609" s="212"/>
      <c r="Y609" s="212"/>
      <c r="Z609" s="212"/>
      <c r="AA609" s="212"/>
      <c r="AB609" s="212"/>
      <c r="AC609" s="212"/>
      <c r="AD609" s="212"/>
    </row>
    <row r="610" ht="22.5" customHeight="1">
      <c r="A610" s="232">
        <v>28744.0</v>
      </c>
      <c r="B610" s="211" t="s">
        <v>20</v>
      </c>
      <c r="C610" s="236" t="s">
        <v>8902</v>
      </c>
      <c r="D610" s="211" t="s">
        <v>8260</v>
      </c>
      <c r="E610" s="211" t="s">
        <v>8004</v>
      </c>
      <c r="F610" s="213"/>
      <c r="G610" s="219">
        <v>1.0</v>
      </c>
      <c r="H610" s="216" t="s">
        <v>8903</v>
      </c>
      <c r="I610" s="215"/>
      <c r="J610" s="215"/>
      <c r="K610" s="213"/>
      <c r="L610" s="213"/>
      <c r="M610" s="213"/>
      <c r="N610" s="213"/>
      <c r="O610" s="213"/>
      <c r="P610" s="213"/>
      <c r="Q610" s="213"/>
      <c r="R610" s="213"/>
      <c r="S610" s="213"/>
      <c r="T610" s="212"/>
      <c r="U610" s="212"/>
      <c r="V610" s="212"/>
      <c r="W610" s="212"/>
      <c r="X610" s="212"/>
      <c r="Y610" s="212"/>
      <c r="Z610" s="212"/>
      <c r="AA610" s="212"/>
      <c r="AB610" s="212"/>
      <c r="AC610" s="212"/>
      <c r="AD610" s="212"/>
    </row>
    <row r="611" ht="22.5" customHeight="1">
      <c r="A611" s="219">
        <v>28799.0</v>
      </c>
      <c r="B611" s="211" t="s">
        <v>20</v>
      </c>
      <c r="C611" s="211" t="s">
        <v>176</v>
      </c>
      <c r="D611" s="211" t="s">
        <v>8260</v>
      </c>
      <c r="E611" s="211" t="s">
        <v>7959</v>
      </c>
      <c r="F611" s="213"/>
      <c r="G611" s="213"/>
      <c r="H611" s="215"/>
      <c r="I611" s="215"/>
      <c r="J611" s="216" t="s">
        <v>8904</v>
      </c>
      <c r="K611" s="213"/>
      <c r="L611" s="213"/>
      <c r="M611" s="213"/>
      <c r="N611" s="213"/>
      <c r="O611" s="213"/>
      <c r="P611" s="213"/>
      <c r="Q611" s="213"/>
      <c r="R611" s="213"/>
      <c r="S611" s="213"/>
      <c r="T611" s="212"/>
      <c r="U611" s="212"/>
      <c r="V611" s="212"/>
      <c r="W611" s="212"/>
      <c r="X611" s="212"/>
      <c r="Y611" s="212"/>
      <c r="Z611" s="212"/>
      <c r="AA611" s="212"/>
      <c r="AB611" s="212"/>
      <c r="AC611" s="212"/>
      <c r="AD611" s="212"/>
    </row>
    <row r="612" ht="22.5" customHeight="1">
      <c r="A612" s="219">
        <v>28843.0</v>
      </c>
      <c r="B612" s="211" t="s">
        <v>20</v>
      </c>
      <c r="C612" s="211" t="s">
        <v>4214</v>
      </c>
      <c r="D612" s="211" t="s">
        <v>8260</v>
      </c>
      <c r="E612" s="211" t="s">
        <v>7771</v>
      </c>
      <c r="F612" s="213"/>
      <c r="G612" s="213"/>
      <c r="H612" s="215"/>
      <c r="I612" s="215"/>
      <c r="J612" s="216" t="s">
        <v>8905</v>
      </c>
      <c r="K612" s="213"/>
      <c r="L612" s="213"/>
      <c r="M612" s="213"/>
      <c r="N612" s="213"/>
      <c r="O612" s="213"/>
      <c r="P612" s="213"/>
      <c r="Q612" s="213"/>
      <c r="R612" s="213"/>
      <c r="S612" s="213"/>
      <c r="T612" s="212"/>
      <c r="U612" s="212"/>
      <c r="V612" s="212"/>
      <c r="W612" s="212"/>
      <c r="X612" s="212"/>
      <c r="Y612" s="212"/>
      <c r="Z612" s="212"/>
      <c r="AA612" s="212"/>
      <c r="AB612" s="212"/>
      <c r="AC612" s="212"/>
      <c r="AD612" s="212"/>
    </row>
    <row r="613" ht="22.5" customHeight="1">
      <c r="A613" s="219">
        <v>28895.0</v>
      </c>
      <c r="B613" s="211" t="s">
        <v>20</v>
      </c>
      <c r="C613" s="211" t="s">
        <v>1417</v>
      </c>
      <c r="D613" s="211" t="s">
        <v>8260</v>
      </c>
      <c r="E613" s="211" t="s">
        <v>8012</v>
      </c>
      <c r="F613" s="213"/>
      <c r="G613" s="213"/>
      <c r="H613" s="214" t="s">
        <v>8906</v>
      </c>
      <c r="I613" s="216" t="s">
        <v>8907</v>
      </c>
      <c r="J613" s="215"/>
      <c r="K613" s="213"/>
      <c r="L613" s="213"/>
      <c r="M613" s="213"/>
      <c r="N613" s="213"/>
      <c r="O613" s="213"/>
      <c r="P613" s="213"/>
      <c r="Q613" s="213"/>
      <c r="R613" s="213"/>
      <c r="S613" s="213"/>
      <c r="T613" s="212"/>
      <c r="U613" s="212"/>
      <c r="V613" s="212"/>
      <c r="W613" s="212"/>
      <c r="X613" s="212"/>
      <c r="Y613" s="212"/>
      <c r="Z613" s="212"/>
      <c r="AA613" s="212"/>
      <c r="AB613" s="212"/>
      <c r="AC613" s="212"/>
      <c r="AD613" s="212"/>
    </row>
    <row r="614" ht="22.5" customHeight="1">
      <c r="A614" s="219">
        <v>28923.0</v>
      </c>
      <c r="B614" s="211" t="s">
        <v>20</v>
      </c>
      <c r="C614" s="211" t="s">
        <v>6416</v>
      </c>
      <c r="D614" s="211" t="s">
        <v>8260</v>
      </c>
      <c r="E614" s="211" t="s">
        <v>8260</v>
      </c>
      <c r="F614" s="213"/>
      <c r="G614" s="213"/>
      <c r="H614" s="214" t="s">
        <v>8908</v>
      </c>
      <c r="I614" s="215"/>
      <c r="J614" s="215"/>
      <c r="K614" s="213"/>
      <c r="L614" s="213"/>
      <c r="M614" s="213"/>
      <c r="N614" s="213"/>
      <c r="O614" s="213"/>
      <c r="P614" s="213"/>
      <c r="Q614" s="213"/>
      <c r="R614" s="213"/>
      <c r="S614" s="213"/>
      <c r="T614" s="212"/>
      <c r="U614" s="212"/>
      <c r="V614" s="212"/>
      <c r="W614" s="212"/>
      <c r="X614" s="212"/>
      <c r="Y614" s="212"/>
      <c r="Z614" s="212"/>
      <c r="AA614" s="212"/>
      <c r="AB614" s="212"/>
      <c r="AC614" s="212"/>
      <c r="AD614" s="212"/>
    </row>
    <row r="615" ht="22.5" customHeight="1">
      <c r="A615" s="219">
        <v>28982.0</v>
      </c>
      <c r="B615" s="211" t="s">
        <v>20</v>
      </c>
      <c r="C615" s="211" t="s">
        <v>8909</v>
      </c>
      <c r="D615" s="211" t="s">
        <v>8260</v>
      </c>
      <c r="E615" s="211" t="s">
        <v>8012</v>
      </c>
      <c r="F615" s="213"/>
      <c r="G615" s="213"/>
      <c r="H615" s="214" t="s">
        <v>8910</v>
      </c>
      <c r="I615" s="215"/>
      <c r="J615" s="215"/>
      <c r="K615" s="213"/>
      <c r="L615" s="213"/>
      <c r="M615" s="213"/>
      <c r="N615" s="213"/>
      <c r="O615" s="213"/>
      <c r="P615" s="213"/>
      <c r="Q615" s="213"/>
      <c r="R615" s="213"/>
      <c r="S615" s="213"/>
      <c r="T615" s="212"/>
      <c r="U615" s="212"/>
      <c r="V615" s="212"/>
      <c r="W615" s="212"/>
      <c r="X615" s="212"/>
      <c r="Y615" s="212"/>
      <c r="Z615" s="212"/>
      <c r="AA615" s="212"/>
      <c r="AB615" s="212"/>
      <c r="AC615" s="212"/>
      <c r="AD615" s="212"/>
    </row>
    <row r="616" ht="22.5" customHeight="1">
      <c r="A616" s="219">
        <v>29033.0</v>
      </c>
      <c r="B616" s="211" t="s">
        <v>20</v>
      </c>
      <c r="C616" s="211" t="s">
        <v>8911</v>
      </c>
      <c r="D616" s="211" t="s">
        <v>8260</v>
      </c>
      <c r="E616" s="211" t="s">
        <v>7771</v>
      </c>
      <c r="F616" s="213"/>
      <c r="G616" s="213"/>
      <c r="H616" s="214" t="s">
        <v>8912</v>
      </c>
      <c r="I616" s="215"/>
      <c r="J616" s="215"/>
      <c r="K616" s="213"/>
      <c r="L616" s="213"/>
      <c r="M616" s="213"/>
      <c r="N616" s="213"/>
      <c r="O616" s="213"/>
      <c r="P616" s="213"/>
      <c r="Q616" s="213"/>
      <c r="R616" s="213"/>
      <c r="S616" s="213"/>
      <c r="T616" s="212"/>
      <c r="U616" s="212"/>
      <c r="V616" s="212"/>
      <c r="W616" s="212"/>
      <c r="X616" s="212"/>
      <c r="Y616" s="212"/>
      <c r="Z616" s="212"/>
      <c r="AA616" s="212"/>
      <c r="AB616" s="212"/>
      <c r="AC616" s="212"/>
      <c r="AD616" s="212"/>
    </row>
    <row r="617" ht="22.5" customHeight="1">
      <c r="A617" s="219">
        <v>29081.0</v>
      </c>
      <c r="B617" s="211" t="s">
        <v>20</v>
      </c>
      <c r="C617" s="211" t="s">
        <v>8913</v>
      </c>
      <c r="D617" s="211" t="s">
        <v>8260</v>
      </c>
      <c r="E617" s="211" t="s">
        <v>7815</v>
      </c>
      <c r="F617" s="213"/>
      <c r="G617" s="213"/>
      <c r="H617" s="214" t="s">
        <v>8914</v>
      </c>
      <c r="I617" s="215"/>
      <c r="J617" s="216" t="s">
        <v>8915</v>
      </c>
      <c r="K617" s="213"/>
      <c r="L617" s="213"/>
      <c r="M617" s="213"/>
      <c r="N617" s="213"/>
      <c r="O617" s="213"/>
      <c r="P617" s="213"/>
      <c r="Q617" s="213"/>
      <c r="R617" s="213"/>
      <c r="S617" s="213"/>
      <c r="T617" s="212"/>
      <c r="U617" s="212"/>
      <c r="V617" s="212"/>
      <c r="W617" s="212"/>
      <c r="X617" s="212"/>
      <c r="Y617" s="212"/>
      <c r="Z617" s="212"/>
      <c r="AA617" s="212"/>
      <c r="AB617" s="212"/>
      <c r="AC617" s="212"/>
      <c r="AD617" s="212"/>
    </row>
    <row r="618" ht="22.5" customHeight="1">
      <c r="A618" s="219">
        <v>29093.0</v>
      </c>
      <c r="B618" s="211" t="s">
        <v>20</v>
      </c>
      <c r="C618" s="211" t="s">
        <v>2916</v>
      </c>
      <c r="D618" s="211" t="s">
        <v>8260</v>
      </c>
      <c r="E618" s="211" t="s">
        <v>8021</v>
      </c>
      <c r="F618" s="213"/>
      <c r="G618" s="213"/>
      <c r="H618" s="214" t="s">
        <v>8916</v>
      </c>
      <c r="I618" s="215"/>
      <c r="J618" s="215"/>
      <c r="K618" s="213"/>
      <c r="L618" s="213"/>
      <c r="M618" s="213"/>
      <c r="N618" s="213"/>
      <c r="O618" s="213"/>
      <c r="P618" s="213"/>
      <c r="Q618" s="213"/>
      <c r="R618" s="213"/>
      <c r="S618" s="213"/>
      <c r="T618" s="212"/>
      <c r="U618" s="212"/>
      <c r="V618" s="212"/>
      <c r="W618" s="212"/>
      <c r="X618" s="212"/>
      <c r="Y618" s="212"/>
      <c r="Z618" s="212"/>
      <c r="AA618" s="212"/>
      <c r="AB618" s="212"/>
      <c r="AC618" s="212"/>
      <c r="AD618" s="212"/>
    </row>
    <row r="619" ht="22.5" customHeight="1">
      <c r="A619" s="219">
        <v>29159.0</v>
      </c>
      <c r="B619" s="211" t="s">
        <v>20</v>
      </c>
      <c r="C619" s="211" t="s">
        <v>8917</v>
      </c>
      <c r="D619" s="211" t="s">
        <v>8260</v>
      </c>
      <c r="E619" s="211" t="s">
        <v>8090</v>
      </c>
      <c r="F619" s="213"/>
      <c r="G619" s="213"/>
      <c r="H619" s="214" t="s">
        <v>8918</v>
      </c>
      <c r="I619" s="215"/>
      <c r="J619" s="215"/>
      <c r="K619" s="213"/>
      <c r="L619" s="213"/>
      <c r="M619" s="213"/>
      <c r="N619" s="213"/>
      <c r="O619" s="213"/>
      <c r="P619" s="213"/>
      <c r="Q619" s="213"/>
      <c r="R619" s="213"/>
      <c r="S619" s="213"/>
      <c r="T619" s="212"/>
      <c r="U619" s="212"/>
      <c r="V619" s="212"/>
      <c r="W619" s="212"/>
      <c r="X619" s="212"/>
      <c r="Y619" s="212"/>
      <c r="Z619" s="212"/>
      <c r="AA619" s="212"/>
      <c r="AB619" s="212"/>
      <c r="AC619" s="212"/>
      <c r="AD619" s="212"/>
    </row>
    <row r="620" ht="22.5" customHeight="1">
      <c r="A620" s="219">
        <v>29166.0</v>
      </c>
      <c r="B620" s="211" t="s">
        <v>20</v>
      </c>
      <c r="C620" s="211" t="s">
        <v>3658</v>
      </c>
      <c r="D620" s="211" t="s">
        <v>8260</v>
      </c>
      <c r="E620" s="211" t="s">
        <v>7797</v>
      </c>
      <c r="F620" s="213"/>
      <c r="G620" s="213"/>
      <c r="H620" s="214" t="s">
        <v>8919</v>
      </c>
      <c r="I620" s="215"/>
      <c r="J620" s="216" t="s">
        <v>8920</v>
      </c>
      <c r="K620" s="213"/>
      <c r="L620" s="213"/>
      <c r="M620" s="213"/>
      <c r="N620" s="213"/>
      <c r="O620" s="213"/>
      <c r="P620" s="213"/>
      <c r="Q620" s="213"/>
      <c r="R620" s="213"/>
      <c r="S620" s="213"/>
      <c r="T620" s="212"/>
      <c r="U620" s="212"/>
      <c r="V620" s="212"/>
      <c r="W620" s="212"/>
      <c r="X620" s="212"/>
      <c r="Y620" s="212"/>
      <c r="Z620" s="212"/>
      <c r="AA620" s="212"/>
      <c r="AB620" s="212"/>
      <c r="AC620" s="212"/>
      <c r="AD620" s="212"/>
    </row>
    <row r="621" ht="22.5" customHeight="1">
      <c r="A621" s="219">
        <v>29262.0</v>
      </c>
      <c r="B621" s="211" t="s">
        <v>15</v>
      </c>
      <c r="C621" s="211" t="s">
        <v>8921</v>
      </c>
      <c r="D621" s="211" t="s">
        <v>8260</v>
      </c>
      <c r="E621" s="211" t="s">
        <v>8260</v>
      </c>
      <c r="F621" s="213"/>
      <c r="G621" s="213"/>
      <c r="H621" s="214" t="s">
        <v>8922</v>
      </c>
      <c r="I621" s="215"/>
      <c r="J621" s="215"/>
      <c r="K621" s="213"/>
      <c r="L621" s="213"/>
      <c r="M621" s="213"/>
      <c r="N621" s="213"/>
      <c r="O621" s="213"/>
      <c r="P621" s="213"/>
      <c r="Q621" s="213"/>
      <c r="R621" s="213"/>
      <c r="S621" s="213"/>
      <c r="T621" s="212"/>
      <c r="U621" s="212"/>
      <c r="V621" s="212"/>
      <c r="W621" s="212"/>
      <c r="X621" s="212"/>
      <c r="Y621" s="212"/>
      <c r="Z621" s="212"/>
      <c r="AA621" s="212"/>
      <c r="AB621" s="212"/>
      <c r="AC621" s="212"/>
      <c r="AD621" s="212"/>
    </row>
    <row r="622" ht="22.5" customHeight="1">
      <c r="A622" s="219">
        <v>29265.0</v>
      </c>
      <c r="B622" s="211" t="s">
        <v>20</v>
      </c>
      <c r="C622" s="211" t="s">
        <v>327</v>
      </c>
      <c r="D622" s="211" t="s">
        <v>8260</v>
      </c>
      <c r="E622" s="211" t="s">
        <v>8260</v>
      </c>
      <c r="F622" s="213"/>
      <c r="G622" s="213"/>
      <c r="H622" s="214" t="s">
        <v>8923</v>
      </c>
      <c r="I622" s="215"/>
      <c r="J622" s="215"/>
      <c r="K622" s="213"/>
      <c r="L622" s="213"/>
      <c r="M622" s="213"/>
      <c r="N622" s="213"/>
      <c r="O622" s="213"/>
      <c r="P622" s="213"/>
      <c r="Q622" s="213"/>
      <c r="R622" s="213"/>
      <c r="S622" s="213"/>
      <c r="T622" s="212"/>
      <c r="U622" s="212"/>
      <c r="V622" s="212"/>
      <c r="W622" s="212"/>
      <c r="X622" s="212"/>
      <c r="Y622" s="212"/>
      <c r="Z622" s="212"/>
      <c r="AA622" s="212"/>
      <c r="AB622" s="212"/>
      <c r="AC622" s="212"/>
      <c r="AD622" s="212"/>
    </row>
    <row r="623" ht="22.5" customHeight="1">
      <c r="A623" s="219">
        <v>29267.0</v>
      </c>
      <c r="B623" s="211" t="s">
        <v>20</v>
      </c>
      <c r="C623" s="211" t="s">
        <v>1137</v>
      </c>
      <c r="D623" s="211" t="s">
        <v>8260</v>
      </c>
      <c r="E623" s="211" t="s">
        <v>8260</v>
      </c>
      <c r="F623" s="213"/>
      <c r="G623" s="213"/>
      <c r="H623" s="214" t="s">
        <v>8924</v>
      </c>
      <c r="I623" s="216" t="s">
        <v>8925</v>
      </c>
      <c r="J623" s="215"/>
      <c r="K623" s="213"/>
      <c r="L623" s="213"/>
      <c r="M623" s="213"/>
      <c r="N623" s="213"/>
      <c r="O623" s="213"/>
      <c r="P623" s="213"/>
      <c r="Q623" s="213"/>
      <c r="R623" s="213"/>
      <c r="S623" s="213"/>
      <c r="T623" s="212"/>
      <c r="U623" s="212"/>
      <c r="V623" s="212"/>
      <c r="W623" s="212"/>
      <c r="X623" s="212"/>
      <c r="Y623" s="212"/>
      <c r="Z623" s="212"/>
      <c r="AA623" s="212"/>
      <c r="AB623" s="212"/>
      <c r="AC623" s="212"/>
      <c r="AD623" s="212"/>
    </row>
    <row r="624" ht="22.5" customHeight="1">
      <c r="A624" s="219">
        <v>29272.0</v>
      </c>
      <c r="B624" s="211" t="s">
        <v>20</v>
      </c>
      <c r="C624" s="211" t="s">
        <v>8926</v>
      </c>
      <c r="D624" s="211" t="s">
        <v>8260</v>
      </c>
      <c r="E624" s="211" t="s">
        <v>7860</v>
      </c>
      <c r="F624" s="213"/>
      <c r="G624" s="219">
        <v>1.0</v>
      </c>
      <c r="H624" s="214" t="s">
        <v>8927</v>
      </c>
      <c r="I624" s="216" t="s">
        <v>8928</v>
      </c>
      <c r="J624" s="215"/>
      <c r="K624" s="213"/>
      <c r="L624" s="213"/>
      <c r="M624" s="213"/>
      <c r="N624" s="213"/>
      <c r="O624" s="213"/>
      <c r="P624" s="213"/>
      <c r="Q624" s="213"/>
      <c r="R624" s="213"/>
      <c r="S624" s="213"/>
      <c r="T624" s="212"/>
      <c r="U624" s="212"/>
      <c r="V624" s="212"/>
      <c r="W624" s="212"/>
      <c r="X624" s="212"/>
      <c r="Y624" s="212"/>
      <c r="Z624" s="212"/>
      <c r="AA624" s="212"/>
      <c r="AB624" s="212"/>
      <c r="AC624" s="212"/>
      <c r="AD624" s="212"/>
    </row>
    <row r="625" ht="22.5" customHeight="1">
      <c r="A625" s="219">
        <v>29276.0</v>
      </c>
      <c r="B625" s="211" t="s">
        <v>20</v>
      </c>
      <c r="C625" s="211" t="s">
        <v>8929</v>
      </c>
      <c r="D625" s="211" t="s">
        <v>8260</v>
      </c>
      <c r="E625" s="211" t="s">
        <v>8004</v>
      </c>
      <c r="F625" s="213"/>
      <c r="G625" s="219">
        <v>1.0</v>
      </c>
      <c r="H625" s="214" t="s">
        <v>8930</v>
      </c>
      <c r="I625" s="216" t="s">
        <v>8931</v>
      </c>
      <c r="J625" s="215"/>
      <c r="K625" s="213"/>
      <c r="L625" s="213"/>
      <c r="M625" s="213"/>
      <c r="N625" s="213"/>
      <c r="O625" s="213"/>
      <c r="P625" s="213"/>
      <c r="Q625" s="213"/>
      <c r="R625" s="213"/>
      <c r="S625" s="213"/>
      <c r="T625" s="212"/>
      <c r="U625" s="212"/>
      <c r="V625" s="212"/>
      <c r="W625" s="212"/>
      <c r="X625" s="212"/>
      <c r="Y625" s="212"/>
      <c r="Z625" s="212"/>
      <c r="AA625" s="212"/>
      <c r="AB625" s="212"/>
      <c r="AC625" s="212"/>
      <c r="AD625" s="212"/>
    </row>
    <row r="626" ht="22.5" customHeight="1">
      <c r="A626" s="219">
        <v>29278.0</v>
      </c>
      <c r="B626" s="211" t="s">
        <v>20</v>
      </c>
      <c r="C626" s="211" t="s">
        <v>8932</v>
      </c>
      <c r="D626" s="211" t="s">
        <v>8260</v>
      </c>
      <c r="E626" s="211" t="s">
        <v>7924</v>
      </c>
      <c r="F626" s="213"/>
      <c r="G626" s="213"/>
      <c r="H626" s="214" t="s">
        <v>8933</v>
      </c>
      <c r="I626" s="215"/>
      <c r="J626" s="216" t="s">
        <v>8934</v>
      </c>
      <c r="K626" s="213"/>
      <c r="L626" s="213"/>
      <c r="M626" s="213"/>
      <c r="N626" s="213"/>
      <c r="O626" s="213"/>
      <c r="P626" s="213"/>
      <c r="Q626" s="213"/>
      <c r="R626" s="213"/>
      <c r="S626" s="213"/>
      <c r="T626" s="212"/>
      <c r="U626" s="212"/>
      <c r="V626" s="212"/>
      <c r="W626" s="212"/>
      <c r="X626" s="212"/>
      <c r="Y626" s="212"/>
      <c r="Z626" s="212"/>
      <c r="AA626" s="212"/>
      <c r="AB626" s="212"/>
      <c r="AC626" s="212"/>
      <c r="AD626" s="212"/>
    </row>
    <row r="627" ht="22.5" customHeight="1">
      <c r="A627" s="219">
        <v>29279.0</v>
      </c>
      <c r="B627" s="211" t="s">
        <v>20</v>
      </c>
      <c r="C627" s="211" t="s">
        <v>8450</v>
      </c>
      <c r="D627" s="211" t="s">
        <v>8260</v>
      </c>
      <c r="E627" s="211" t="s">
        <v>7931</v>
      </c>
      <c r="F627" s="213"/>
      <c r="G627" s="213"/>
      <c r="H627" s="214" t="s">
        <v>8935</v>
      </c>
      <c r="I627" s="216" t="s">
        <v>8936</v>
      </c>
      <c r="J627" s="215"/>
      <c r="K627" s="213"/>
      <c r="L627" s="213"/>
      <c r="M627" s="213"/>
      <c r="N627" s="213"/>
      <c r="O627" s="213"/>
      <c r="P627" s="213"/>
      <c r="Q627" s="213"/>
      <c r="R627" s="213"/>
      <c r="S627" s="213"/>
      <c r="T627" s="212"/>
      <c r="U627" s="212"/>
      <c r="V627" s="212"/>
      <c r="W627" s="212"/>
      <c r="X627" s="212"/>
      <c r="Y627" s="212"/>
      <c r="Z627" s="212"/>
      <c r="AA627" s="212"/>
      <c r="AB627" s="212"/>
      <c r="AC627" s="212"/>
      <c r="AD627" s="212"/>
    </row>
    <row r="628" ht="22.5" customHeight="1">
      <c r="A628" s="219">
        <v>29281.0</v>
      </c>
      <c r="B628" s="211" t="s">
        <v>20</v>
      </c>
      <c r="C628" s="211" t="s">
        <v>8937</v>
      </c>
      <c r="D628" s="211" t="s">
        <v>8260</v>
      </c>
      <c r="E628" s="211" t="s">
        <v>8938</v>
      </c>
      <c r="F628" s="213"/>
      <c r="G628" s="213"/>
      <c r="H628" s="214" t="s">
        <v>8939</v>
      </c>
      <c r="I628" s="216" t="s">
        <v>8940</v>
      </c>
      <c r="J628" s="215"/>
      <c r="K628" s="213"/>
      <c r="L628" s="213"/>
      <c r="M628" s="213"/>
      <c r="N628" s="213"/>
      <c r="O628" s="213"/>
      <c r="P628" s="213"/>
      <c r="Q628" s="213"/>
      <c r="R628" s="213"/>
      <c r="S628" s="213"/>
      <c r="T628" s="212"/>
      <c r="U628" s="212"/>
      <c r="V628" s="212"/>
      <c r="W628" s="212"/>
      <c r="X628" s="212"/>
      <c r="Y628" s="212"/>
      <c r="Z628" s="212"/>
      <c r="AA628" s="212"/>
      <c r="AB628" s="212"/>
      <c r="AC628" s="212"/>
      <c r="AD628" s="212"/>
    </row>
    <row r="629" ht="22.5" customHeight="1">
      <c r="A629" s="219">
        <v>29438.0</v>
      </c>
      <c r="B629" s="211" t="s">
        <v>20</v>
      </c>
      <c r="C629" s="211" t="s">
        <v>8941</v>
      </c>
      <c r="D629" s="211" t="s">
        <v>8260</v>
      </c>
      <c r="E629" s="211" t="s">
        <v>7931</v>
      </c>
      <c r="F629" s="213"/>
      <c r="G629" s="213"/>
      <c r="H629" s="215"/>
      <c r="I629" s="215"/>
      <c r="J629" s="216" t="s">
        <v>8942</v>
      </c>
      <c r="K629" s="213"/>
      <c r="L629" s="213"/>
      <c r="M629" s="213"/>
      <c r="N629" s="213"/>
      <c r="O629" s="213"/>
      <c r="P629" s="213"/>
      <c r="Q629" s="213"/>
      <c r="R629" s="213"/>
      <c r="S629" s="213"/>
      <c r="T629" s="212"/>
      <c r="U629" s="212"/>
      <c r="V629" s="212"/>
      <c r="W629" s="212"/>
      <c r="X629" s="212"/>
      <c r="Y629" s="212"/>
      <c r="Z629" s="212"/>
      <c r="AA629" s="212"/>
      <c r="AB629" s="212"/>
      <c r="AC629" s="212"/>
      <c r="AD629" s="212"/>
    </row>
    <row r="630" ht="22.5" customHeight="1">
      <c r="A630" s="219">
        <v>29472.0</v>
      </c>
      <c r="B630" s="211" t="s">
        <v>20</v>
      </c>
      <c r="C630" s="211" t="s">
        <v>8943</v>
      </c>
      <c r="D630" s="211" t="s">
        <v>8260</v>
      </c>
      <c r="E630" s="211" t="s">
        <v>8260</v>
      </c>
      <c r="F630" s="213"/>
      <c r="G630" s="213"/>
      <c r="H630" s="215"/>
      <c r="I630" s="215"/>
      <c r="J630" s="216" t="s">
        <v>8944</v>
      </c>
      <c r="K630" s="213"/>
      <c r="L630" s="213"/>
      <c r="M630" s="213"/>
      <c r="N630" s="213"/>
      <c r="O630" s="213"/>
      <c r="P630" s="213"/>
      <c r="Q630" s="213"/>
      <c r="R630" s="213"/>
      <c r="S630" s="213"/>
      <c r="T630" s="212"/>
      <c r="U630" s="212"/>
      <c r="V630" s="212"/>
      <c r="W630" s="212"/>
      <c r="X630" s="212"/>
      <c r="Y630" s="212"/>
      <c r="Z630" s="212"/>
      <c r="AA630" s="212"/>
      <c r="AB630" s="212"/>
      <c r="AC630" s="212"/>
      <c r="AD630" s="212"/>
    </row>
    <row r="631" ht="22.5" customHeight="1">
      <c r="A631" s="219">
        <v>29526.0</v>
      </c>
      <c r="B631" s="211" t="s">
        <v>20</v>
      </c>
      <c r="C631" s="211" t="s">
        <v>8945</v>
      </c>
      <c r="D631" s="211" t="s">
        <v>8260</v>
      </c>
      <c r="E631" s="211" t="s">
        <v>8260</v>
      </c>
      <c r="F631" s="213"/>
      <c r="G631" s="213"/>
      <c r="H631" s="214" t="s">
        <v>7787</v>
      </c>
      <c r="I631" s="216" t="s">
        <v>7788</v>
      </c>
      <c r="J631" s="215"/>
      <c r="K631" s="213"/>
      <c r="L631" s="213"/>
      <c r="M631" s="213"/>
      <c r="N631" s="213"/>
      <c r="O631" s="213"/>
      <c r="P631" s="213"/>
      <c r="Q631" s="213"/>
      <c r="R631" s="213"/>
      <c r="S631" s="213"/>
      <c r="T631" s="212"/>
      <c r="U631" s="212"/>
      <c r="V631" s="212"/>
      <c r="W631" s="212"/>
      <c r="X631" s="212"/>
      <c r="Y631" s="212"/>
      <c r="Z631" s="212"/>
      <c r="AA631" s="212"/>
      <c r="AB631" s="212"/>
      <c r="AC631" s="212"/>
      <c r="AD631" s="212"/>
    </row>
    <row r="632" ht="22.5" customHeight="1">
      <c r="A632" s="219">
        <v>29542.0</v>
      </c>
      <c r="B632" s="211" t="s">
        <v>20</v>
      </c>
      <c r="C632" s="211" t="s">
        <v>1439</v>
      </c>
      <c r="D632" s="211" t="s">
        <v>8260</v>
      </c>
      <c r="E632" s="211" t="s">
        <v>7959</v>
      </c>
      <c r="F632" s="213"/>
      <c r="G632" s="213"/>
      <c r="H632" s="215"/>
      <c r="I632" s="215"/>
      <c r="J632" s="216" t="s">
        <v>8946</v>
      </c>
      <c r="K632" s="213"/>
      <c r="L632" s="213"/>
      <c r="M632" s="213"/>
      <c r="N632" s="213"/>
      <c r="O632" s="213"/>
      <c r="P632" s="213"/>
      <c r="Q632" s="213"/>
      <c r="R632" s="213"/>
      <c r="S632" s="213"/>
      <c r="T632" s="212"/>
      <c r="U632" s="212"/>
      <c r="V632" s="212"/>
      <c r="W632" s="212"/>
      <c r="X632" s="212"/>
      <c r="Y632" s="212"/>
      <c r="Z632" s="212"/>
      <c r="AA632" s="212"/>
      <c r="AB632" s="212"/>
      <c r="AC632" s="212"/>
      <c r="AD632" s="212"/>
    </row>
    <row r="633" ht="22.5" customHeight="1">
      <c r="A633" s="219">
        <v>29586.0</v>
      </c>
      <c r="B633" s="211" t="s">
        <v>20</v>
      </c>
      <c r="C633" s="211" t="s">
        <v>8947</v>
      </c>
      <c r="D633" s="211" t="s">
        <v>8260</v>
      </c>
      <c r="E633" s="211" t="s">
        <v>8021</v>
      </c>
      <c r="F633" s="213"/>
      <c r="G633" s="213"/>
      <c r="H633" s="215"/>
      <c r="I633" s="215"/>
      <c r="J633" s="216" t="s">
        <v>8948</v>
      </c>
      <c r="K633" s="213"/>
      <c r="L633" s="213"/>
      <c r="M633" s="213"/>
      <c r="N633" s="213"/>
      <c r="O633" s="213"/>
      <c r="P633" s="213"/>
      <c r="Q633" s="213"/>
      <c r="R633" s="213"/>
      <c r="S633" s="213"/>
      <c r="T633" s="212"/>
      <c r="U633" s="212"/>
      <c r="V633" s="212"/>
      <c r="W633" s="212"/>
      <c r="X633" s="212"/>
      <c r="Y633" s="212"/>
      <c r="Z633" s="212"/>
      <c r="AA633" s="212"/>
      <c r="AB633" s="212"/>
      <c r="AC633" s="212"/>
      <c r="AD633" s="212"/>
    </row>
    <row r="634" ht="22.5" customHeight="1">
      <c r="A634" s="219">
        <v>29643.0</v>
      </c>
      <c r="B634" s="211" t="s">
        <v>20</v>
      </c>
      <c r="C634" s="211" t="s">
        <v>8949</v>
      </c>
      <c r="D634" s="211" t="s">
        <v>8260</v>
      </c>
      <c r="E634" s="211" t="s">
        <v>8260</v>
      </c>
      <c r="F634" s="213"/>
      <c r="G634" s="213"/>
      <c r="H634" s="215"/>
      <c r="I634" s="215"/>
      <c r="J634" s="216" t="s">
        <v>8950</v>
      </c>
      <c r="K634" s="213"/>
      <c r="L634" s="213"/>
      <c r="M634" s="213"/>
      <c r="N634" s="213"/>
      <c r="O634" s="213"/>
      <c r="P634" s="213"/>
      <c r="Q634" s="213"/>
      <c r="R634" s="213"/>
      <c r="S634" s="213"/>
      <c r="T634" s="212"/>
      <c r="U634" s="212"/>
      <c r="V634" s="212"/>
      <c r="W634" s="212"/>
      <c r="X634" s="212"/>
      <c r="Y634" s="212"/>
      <c r="Z634" s="212"/>
      <c r="AA634" s="212"/>
      <c r="AB634" s="212"/>
      <c r="AC634" s="212"/>
      <c r="AD634" s="212"/>
    </row>
    <row r="635" ht="22.5" customHeight="1">
      <c r="A635" s="219">
        <v>29745.0</v>
      </c>
      <c r="B635" s="211" t="s">
        <v>20</v>
      </c>
      <c r="C635" s="211" t="s">
        <v>8951</v>
      </c>
      <c r="D635" s="211" t="s">
        <v>8260</v>
      </c>
      <c r="E635" s="211" t="s">
        <v>7937</v>
      </c>
      <c r="F635" s="213"/>
      <c r="G635" s="213"/>
      <c r="H635" s="215"/>
      <c r="I635" s="215"/>
      <c r="J635" s="216" t="s">
        <v>8952</v>
      </c>
      <c r="K635" s="213"/>
      <c r="L635" s="213"/>
      <c r="M635" s="213"/>
      <c r="N635" s="213"/>
      <c r="O635" s="213"/>
      <c r="P635" s="213"/>
      <c r="Q635" s="213"/>
      <c r="R635" s="213"/>
      <c r="S635" s="213"/>
      <c r="T635" s="212"/>
      <c r="U635" s="212"/>
      <c r="V635" s="212"/>
      <c r="W635" s="212"/>
      <c r="X635" s="212"/>
      <c r="Y635" s="212"/>
      <c r="Z635" s="212"/>
      <c r="AA635" s="212"/>
      <c r="AB635" s="212"/>
      <c r="AC635" s="212"/>
      <c r="AD635" s="212"/>
    </row>
    <row r="636" ht="22.5" customHeight="1">
      <c r="A636" s="219">
        <v>29746.0</v>
      </c>
      <c r="B636" s="211" t="s">
        <v>20</v>
      </c>
      <c r="C636" s="211" t="s">
        <v>8953</v>
      </c>
      <c r="D636" s="211" t="s">
        <v>8260</v>
      </c>
      <c r="E636" s="211" t="s">
        <v>7937</v>
      </c>
      <c r="F636" s="213"/>
      <c r="G636" s="213"/>
      <c r="H636" s="214" t="s">
        <v>8954</v>
      </c>
      <c r="I636" s="216" t="s">
        <v>8955</v>
      </c>
      <c r="J636" s="216" t="s">
        <v>8956</v>
      </c>
      <c r="K636" s="213"/>
      <c r="L636" s="213"/>
      <c r="M636" s="213"/>
      <c r="N636" s="213"/>
      <c r="O636" s="213"/>
      <c r="P636" s="213"/>
      <c r="Q636" s="213"/>
      <c r="R636" s="213"/>
      <c r="S636" s="213"/>
      <c r="T636" s="212"/>
      <c r="U636" s="212"/>
      <c r="V636" s="212"/>
      <c r="W636" s="212"/>
      <c r="X636" s="212"/>
      <c r="Y636" s="212"/>
      <c r="Z636" s="212"/>
      <c r="AA636" s="212"/>
      <c r="AB636" s="212"/>
      <c r="AC636" s="212"/>
      <c r="AD636" s="212"/>
    </row>
    <row r="637" ht="22.5" customHeight="1">
      <c r="A637" s="219">
        <v>29766.0</v>
      </c>
      <c r="B637" s="211" t="s">
        <v>20</v>
      </c>
      <c r="C637" s="211" t="s">
        <v>8957</v>
      </c>
      <c r="D637" s="211" t="s">
        <v>8260</v>
      </c>
      <c r="E637" s="211" t="s">
        <v>8260</v>
      </c>
      <c r="F637" s="213"/>
      <c r="G637" s="213"/>
      <c r="H637" s="214" t="s">
        <v>8958</v>
      </c>
      <c r="I637" s="215"/>
      <c r="J637" s="215"/>
      <c r="K637" s="213"/>
      <c r="L637" s="213"/>
      <c r="M637" s="213"/>
      <c r="N637" s="213"/>
      <c r="O637" s="213"/>
      <c r="P637" s="213"/>
      <c r="Q637" s="213"/>
      <c r="R637" s="213"/>
      <c r="S637" s="213"/>
      <c r="T637" s="212"/>
      <c r="U637" s="212"/>
      <c r="V637" s="212"/>
      <c r="W637" s="212"/>
      <c r="X637" s="212"/>
      <c r="Y637" s="212"/>
      <c r="Z637" s="212"/>
      <c r="AA637" s="212"/>
      <c r="AB637" s="212"/>
      <c r="AC637" s="212"/>
      <c r="AD637" s="212"/>
    </row>
    <row r="638" ht="22.5" customHeight="1">
      <c r="A638" s="219">
        <v>29767.0</v>
      </c>
      <c r="B638" s="211" t="s">
        <v>20</v>
      </c>
      <c r="C638" s="211" t="s">
        <v>855</v>
      </c>
      <c r="D638" s="211" t="s">
        <v>8260</v>
      </c>
      <c r="E638" s="211" t="s">
        <v>7815</v>
      </c>
      <c r="F638" s="213"/>
      <c r="G638" s="219">
        <v>1.0</v>
      </c>
      <c r="H638" s="214" t="s">
        <v>8959</v>
      </c>
      <c r="I638" s="215"/>
      <c r="J638" s="215"/>
      <c r="K638" s="213"/>
      <c r="L638" s="213"/>
      <c r="M638" s="213"/>
      <c r="N638" s="213"/>
      <c r="O638" s="213"/>
      <c r="P638" s="213"/>
      <c r="Q638" s="213"/>
      <c r="R638" s="213"/>
      <c r="S638" s="213"/>
      <c r="T638" s="212"/>
      <c r="U638" s="212"/>
      <c r="V638" s="212"/>
      <c r="W638" s="212"/>
      <c r="X638" s="212"/>
      <c r="Y638" s="212"/>
      <c r="Z638" s="212"/>
      <c r="AA638" s="212"/>
      <c r="AB638" s="212"/>
      <c r="AC638" s="212"/>
      <c r="AD638" s="212"/>
    </row>
    <row r="639" ht="22.5" customHeight="1">
      <c r="A639" s="219">
        <v>29971.0</v>
      </c>
      <c r="B639" s="211" t="s">
        <v>20</v>
      </c>
      <c r="C639" s="211" t="s">
        <v>8600</v>
      </c>
      <c r="D639" s="211" t="s">
        <v>8260</v>
      </c>
      <c r="E639" s="211" t="s">
        <v>7931</v>
      </c>
      <c r="F639" s="213"/>
      <c r="G639" s="213"/>
      <c r="H639" s="215"/>
      <c r="I639" s="215"/>
      <c r="J639" s="216" t="s">
        <v>8200</v>
      </c>
      <c r="K639" s="213"/>
      <c r="L639" s="213"/>
      <c r="M639" s="213"/>
      <c r="N639" s="213"/>
      <c r="O639" s="213"/>
      <c r="P639" s="213"/>
      <c r="Q639" s="213"/>
      <c r="R639" s="213"/>
      <c r="S639" s="213"/>
      <c r="T639" s="212"/>
      <c r="U639" s="212"/>
      <c r="V639" s="212"/>
      <c r="W639" s="212"/>
      <c r="X639" s="212"/>
      <c r="Y639" s="212"/>
      <c r="Z639" s="212"/>
      <c r="AA639" s="212"/>
      <c r="AB639" s="212"/>
      <c r="AC639" s="212"/>
      <c r="AD639" s="212"/>
    </row>
    <row r="640" ht="22.5" customHeight="1">
      <c r="A640" s="219">
        <v>30078.0</v>
      </c>
      <c r="B640" s="211" t="s">
        <v>20</v>
      </c>
      <c r="C640" s="211" t="s">
        <v>792</v>
      </c>
      <c r="D640" s="211" t="s">
        <v>8260</v>
      </c>
      <c r="E640" s="211" t="s">
        <v>7931</v>
      </c>
      <c r="F640" s="213"/>
      <c r="G640" s="213"/>
      <c r="H640" s="214" t="s">
        <v>8960</v>
      </c>
      <c r="I640" s="215"/>
      <c r="J640" s="216" t="s">
        <v>8961</v>
      </c>
      <c r="K640" s="213"/>
      <c r="L640" s="213"/>
      <c r="M640" s="213"/>
      <c r="N640" s="213"/>
      <c r="O640" s="213"/>
      <c r="P640" s="213"/>
      <c r="Q640" s="213"/>
      <c r="R640" s="213"/>
      <c r="S640" s="213"/>
      <c r="T640" s="212"/>
      <c r="U640" s="212"/>
      <c r="V640" s="212"/>
      <c r="W640" s="212"/>
      <c r="X640" s="212"/>
      <c r="Y640" s="212"/>
      <c r="Z640" s="212"/>
      <c r="AA640" s="212"/>
      <c r="AB640" s="212"/>
      <c r="AC640" s="212"/>
      <c r="AD640" s="212"/>
    </row>
    <row r="641" ht="22.5" customHeight="1">
      <c r="A641" s="219">
        <v>30080.0</v>
      </c>
      <c r="B641" s="211" t="s">
        <v>20</v>
      </c>
      <c r="C641" s="211" t="s">
        <v>8962</v>
      </c>
      <c r="D641" s="211" t="s">
        <v>8260</v>
      </c>
      <c r="E641" s="211" t="s">
        <v>8963</v>
      </c>
      <c r="F641" s="213"/>
      <c r="G641" s="219">
        <v>1.0</v>
      </c>
      <c r="H641" s="214" t="s">
        <v>8964</v>
      </c>
      <c r="I641" s="215"/>
      <c r="J641" s="215"/>
      <c r="K641" s="213"/>
      <c r="L641" s="213"/>
      <c r="M641" s="213"/>
      <c r="N641" s="213"/>
      <c r="O641" s="213"/>
      <c r="P641" s="213"/>
      <c r="Q641" s="213"/>
      <c r="R641" s="213"/>
      <c r="S641" s="213"/>
      <c r="T641" s="212"/>
      <c r="U641" s="212"/>
      <c r="V641" s="212"/>
      <c r="W641" s="212"/>
      <c r="X641" s="212"/>
      <c r="Y641" s="212"/>
      <c r="Z641" s="212"/>
      <c r="AA641" s="212"/>
      <c r="AB641" s="212"/>
      <c r="AC641" s="212"/>
      <c r="AD641" s="212"/>
    </row>
    <row r="642" ht="22.5" customHeight="1">
      <c r="A642" s="219">
        <v>30081.0</v>
      </c>
      <c r="B642" s="211" t="s">
        <v>20</v>
      </c>
      <c r="C642" s="211" t="s">
        <v>4079</v>
      </c>
      <c r="D642" s="211" t="s">
        <v>8260</v>
      </c>
      <c r="E642" s="211" t="s">
        <v>7924</v>
      </c>
      <c r="F642" s="213"/>
      <c r="G642" s="219">
        <v>1.0</v>
      </c>
      <c r="H642" s="214" t="s">
        <v>8965</v>
      </c>
      <c r="I642" s="215"/>
      <c r="J642" s="215"/>
      <c r="K642" s="213"/>
      <c r="L642" s="213"/>
      <c r="M642" s="213"/>
      <c r="N642" s="213"/>
      <c r="O642" s="213"/>
      <c r="P642" s="213"/>
      <c r="Q642" s="213"/>
      <c r="R642" s="213"/>
      <c r="S642" s="213"/>
      <c r="T642" s="212"/>
      <c r="U642" s="212"/>
      <c r="V642" s="212"/>
      <c r="W642" s="212"/>
      <c r="X642" s="212"/>
      <c r="Y642" s="212"/>
      <c r="Z642" s="212"/>
      <c r="AA642" s="212"/>
      <c r="AB642" s="212"/>
      <c r="AC642" s="212"/>
      <c r="AD642" s="212"/>
    </row>
    <row r="643" ht="22.5" customHeight="1">
      <c r="A643" s="219">
        <v>30105.0</v>
      </c>
      <c r="B643" s="211" t="s">
        <v>20</v>
      </c>
      <c r="C643" s="211" t="s">
        <v>1137</v>
      </c>
      <c r="D643" s="211" t="s">
        <v>8260</v>
      </c>
      <c r="E643" s="211" t="s">
        <v>8260</v>
      </c>
      <c r="F643" s="213"/>
      <c r="G643" s="213"/>
      <c r="H643" s="215"/>
      <c r="I643" s="215"/>
      <c r="J643" s="216" t="s">
        <v>8966</v>
      </c>
      <c r="K643" s="213"/>
      <c r="L643" s="213"/>
      <c r="M643" s="213"/>
      <c r="N643" s="213"/>
      <c r="O643" s="213"/>
      <c r="P643" s="213"/>
      <c r="Q643" s="213"/>
      <c r="R643" s="213"/>
      <c r="S643" s="213"/>
      <c r="T643" s="212"/>
      <c r="U643" s="212"/>
      <c r="V643" s="212"/>
      <c r="W643" s="212"/>
      <c r="X643" s="212"/>
      <c r="Y643" s="212"/>
      <c r="Z643" s="212"/>
      <c r="AA643" s="212"/>
      <c r="AB643" s="212"/>
      <c r="AC643" s="212"/>
      <c r="AD643" s="212"/>
    </row>
    <row r="644" ht="22.5" customHeight="1">
      <c r="A644" s="219">
        <v>30106.0</v>
      </c>
      <c r="B644" s="211" t="s">
        <v>20</v>
      </c>
      <c r="C644" s="211" t="s">
        <v>4478</v>
      </c>
      <c r="D644" s="211" t="s">
        <v>8260</v>
      </c>
      <c r="E644" s="211" t="s">
        <v>8260</v>
      </c>
      <c r="F644" s="213"/>
      <c r="G644" s="213"/>
      <c r="H644" s="214" t="s">
        <v>8967</v>
      </c>
      <c r="I644" s="215"/>
      <c r="J644" s="215"/>
      <c r="K644" s="213"/>
      <c r="L644" s="213"/>
      <c r="M644" s="213"/>
      <c r="N644" s="213"/>
      <c r="O644" s="213"/>
      <c r="P644" s="213"/>
      <c r="Q644" s="213"/>
      <c r="R644" s="213"/>
      <c r="S644" s="213"/>
      <c r="T644" s="212"/>
      <c r="U644" s="212"/>
      <c r="V644" s="212"/>
      <c r="W644" s="212"/>
      <c r="X644" s="212"/>
      <c r="Y644" s="212"/>
      <c r="Z644" s="212"/>
      <c r="AA644" s="212"/>
      <c r="AB644" s="212"/>
      <c r="AC644" s="212"/>
      <c r="AD644" s="212"/>
    </row>
    <row r="645" ht="22.5" customHeight="1">
      <c r="A645" s="219">
        <v>30125.0</v>
      </c>
      <c r="B645" s="211" t="s">
        <v>20</v>
      </c>
      <c r="C645" s="211" t="s">
        <v>8968</v>
      </c>
      <c r="D645" s="211" t="s">
        <v>8260</v>
      </c>
      <c r="E645" s="211" t="s">
        <v>8130</v>
      </c>
      <c r="F645" s="213"/>
      <c r="G645" s="219">
        <v>1.0</v>
      </c>
      <c r="H645" s="214" t="s">
        <v>8969</v>
      </c>
      <c r="I645" s="215"/>
      <c r="J645" s="215"/>
      <c r="K645" s="213"/>
      <c r="L645" s="213"/>
      <c r="M645" s="213"/>
      <c r="N645" s="213"/>
      <c r="O645" s="213"/>
      <c r="P645" s="213"/>
      <c r="Q645" s="213"/>
      <c r="R645" s="213"/>
      <c r="S645" s="213"/>
      <c r="T645" s="212"/>
      <c r="U645" s="212"/>
      <c r="V645" s="212"/>
      <c r="W645" s="212"/>
      <c r="X645" s="212"/>
      <c r="Y645" s="212"/>
      <c r="Z645" s="212"/>
      <c r="AA645" s="212"/>
      <c r="AB645" s="212"/>
      <c r="AC645" s="212"/>
      <c r="AD645" s="212"/>
    </row>
    <row r="646" ht="22.5" customHeight="1">
      <c r="A646" s="219">
        <v>30128.0</v>
      </c>
      <c r="B646" s="211" t="s">
        <v>20</v>
      </c>
      <c r="C646" s="211" t="s">
        <v>8970</v>
      </c>
      <c r="D646" s="211" t="s">
        <v>8260</v>
      </c>
      <c r="E646" s="211" t="s">
        <v>8260</v>
      </c>
      <c r="F646" s="213"/>
      <c r="G646" s="213"/>
      <c r="H646" s="214" t="s">
        <v>8971</v>
      </c>
      <c r="I646" s="216" t="s">
        <v>8972</v>
      </c>
      <c r="J646" s="215"/>
      <c r="K646" s="213"/>
      <c r="L646" s="213"/>
      <c r="M646" s="213"/>
      <c r="N646" s="213"/>
      <c r="O646" s="213"/>
      <c r="P646" s="213"/>
      <c r="Q646" s="213"/>
      <c r="R646" s="213"/>
      <c r="S646" s="213"/>
      <c r="T646" s="212"/>
      <c r="U646" s="212"/>
      <c r="V646" s="212"/>
      <c r="W646" s="212"/>
      <c r="X646" s="212"/>
      <c r="Y646" s="212"/>
      <c r="Z646" s="212"/>
      <c r="AA646" s="212"/>
      <c r="AB646" s="212"/>
      <c r="AC646" s="212"/>
      <c r="AD646" s="212"/>
    </row>
    <row r="647" ht="22.5" customHeight="1">
      <c r="A647" s="219">
        <v>30131.0</v>
      </c>
      <c r="B647" s="211" t="s">
        <v>20</v>
      </c>
      <c r="C647" s="211" t="s">
        <v>8973</v>
      </c>
      <c r="D647" s="211" t="s">
        <v>8260</v>
      </c>
      <c r="E647" s="211" t="s">
        <v>8079</v>
      </c>
      <c r="F647" s="213"/>
      <c r="G647" s="219">
        <v>1.0</v>
      </c>
      <c r="H647" s="214" t="s">
        <v>8974</v>
      </c>
      <c r="I647" s="215"/>
      <c r="J647" s="215"/>
      <c r="K647" s="213"/>
      <c r="L647" s="213"/>
      <c r="M647" s="213"/>
      <c r="N647" s="213"/>
      <c r="O647" s="213"/>
      <c r="P647" s="213"/>
      <c r="Q647" s="213"/>
      <c r="R647" s="213"/>
      <c r="S647" s="213"/>
      <c r="T647" s="212"/>
      <c r="U647" s="212"/>
      <c r="V647" s="212"/>
      <c r="W647" s="212"/>
      <c r="X647" s="212"/>
      <c r="Y647" s="212"/>
      <c r="Z647" s="212"/>
      <c r="AA647" s="212"/>
      <c r="AB647" s="212"/>
      <c r="AC647" s="212"/>
      <c r="AD647" s="212"/>
    </row>
    <row r="648" ht="22.5" customHeight="1">
      <c r="A648" s="219">
        <v>30135.0</v>
      </c>
      <c r="B648" s="211" t="s">
        <v>20</v>
      </c>
      <c r="C648" s="211" t="s">
        <v>8975</v>
      </c>
      <c r="D648" s="211" t="s">
        <v>8260</v>
      </c>
      <c r="E648" s="211" t="s">
        <v>7924</v>
      </c>
      <c r="F648" s="213"/>
      <c r="G648" s="213"/>
      <c r="H648" s="214" t="s">
        <v>8976</v>
      </c>
      <c r="I648" s="215"/>
      <c r="J648" s="216" t="s">
        <v>8977</v>
      </c>
      <c r="K648" s="213"/>
      <c r="L648" s="213"/>
      <c r="M648" s="213"/>
      <c r="N648" s="213"/>
      <c r="O648" s="213"/>
      <c r="P648" s="213"/>
      <c r="Q648" s="213"/>
      <c r="R648" s="213"/>
      <c r="S648" s="213"/>
      <c r="T648" s="212"/>
      <c r="U648" s="212"/>
      <c r="V648" s="212"/>
      <c r="W648" s="212"/>
      <c r="X648" s="212"/>
      <c r="Y648" s="212"/>
      <c r="Z648" s="212"/>
      <c r="AA648" s="212"/>
      <c r="AB648" s="212"/>
      <c r="AC648" s="212"/>
      <c r="AD648" s="212"/>
    </row>
    <row r="649" ht="22.5" customHeight="1">
      <c r="A649" s="219">
        <v>30136.0</v>
      </c>
      <c r="B649" s="211" t="s">
        <v>20</v>
      </c>
      <c r="C649" s="211" t="s">
        <v>8978</v>
      </c>
      <c r="D649" s="211" t="s">
        <v>8260</v>
      </c>
      <c r="E649" s="211" t="s">
        <v>8002</v>
      </c>
      <c r="F649" s="213"/>
      <c r="G649" s="213"/>
      <c r="H649" s="215"/>
      <c r="I649" s="215"/>
      <c r="J649" s="216" t="s">
        <v>8979</v>
      </c>
      <c r="K649" s="213"/>
      <c r="L649" s="213"/>
      <c r="M649" s="213"/>
      <c r="N649" s="213"/>
      <c r="O649" s="213"/>
      <c r="P649" s="213"/>
      <c r="Q649" s="213"/>
      <c r="R649" s="213"/>
      <c r="S649" s="213"/>
      <c r="T649" s="212"/>
      <c r="U649" s="212"/>
      <c r="V649" s="212"/>
      <c r="W649" s="212"/>
      <c r="X649" s="212"/>
      <c r="Y649" s="212"/>
      <c r="Z649" s="212"/>
      <c r="AA649" s="212"/>
      <c r="AB649" s="212"/>
      <c r="AC649" s="212"/>
      <c r="AD649" s="212"/>
    </row>
    <row r="650" ht="22.5" customHeight="1">
      <c r="A650" s="219">
        <v>30149.0</v>
      </c>
      <c r="B650" s="211" t="s">
        <v>20</v>
      </c>
      <c r="C650" s="211" t="s">
        <v>4478</v>
      </c>
      <c r="D650" s="211" t="s">
        <v>8260</v>
      </c>
      <c r="E650" s="211" t="s">
        <v>8012</v>
      </c>
      <c r="F650" s="213"/>
      <c r="G650" s="219">
        <v>1.0</v>
      </c>
      <c r="H650" s="214" t="s">
        <v>8980</v>
      </c>
      <c r="I650" s="215"/>
      <c r="J650" s="215"/>
      <c r="K650" s="213"/>
      <c r="L650" s="213"/>
      <c r="M650" s="213"/>
      <c r="N650" s="213"/>
      <c r="O650" s="213"/>
      <c r="P650" s="213"/>
      <c r="Q650" s="213"/>
      <c r="R650" s="213"/>
      <c r="S650" s="213"/>
      <c r="T650" s="212"/>
      <c r="U650" s="212"/>
      <c r="V650" s="212"/>
      <c r="W650" s="212"/>
      <c r="X650" s="212"/>
      <c r="Y650" s="212"/>
      <c r="Z650" s="212"/>
      <c r="AA650" s="212"/>
      <c r="AB650" s="212"/>
      <c r="AC650" s="212"/>
      <c r="AD650" s="212"/>
    </row>
    <row r="651" ht="22.5" customHeight="1">
      <c r="A651" s="219">
        <v>30152.0</v>
      </c>
      <c r="B651" s="211" t="s">
        <v>20</v>
      </c>
      <c r="C651" s="211" t="s">
        <v>8981</v>
      </c>
      <c r="D651" s="211" t="s">
        <v>8260</v>
      </c>
      <c r="E651" s="211" t="s">
        <v>8260</v>
      </c>
      <c r="F651" s="213"/>
      <c r="G651" s="213"/>
      <c r="H651" s="215"/>
      <c r="I651" s="215"/>
      <c r="J651" s="216" t="s">
        <v>8982</v>
      </c>
      <c r="K651" s="213"/>
      <c r="L651" s="213"/>
      <c r="M651" s="213"/>
      <c r="N651" s="213"/>
      <c r="O651" s="213"/>
      <c r="P651" s="213"/>
      <c r="Q651" s="213"/>
      <c r="R651" s="213"/>
      <c r="S651" s="213"/>
      <c r="T651" s="212"/>
      <c r="U651" s="212"/>
      <c r="V651" s="212"/>
      <c r="W651" s="212"/>
      <c r="X651" s="212"/>
      <c r="Y651" s="212"/>
      <c r="Z651" s="212"/>
      <c r="AA651" s="212"/>
      <c r="AB651" s="212"/>
      <c r="AC651" s="212"/>
      <c r="AD651" s="212"/>
    </row>
    <row r="652" ht="22.5" customHeight="1">
      <c r="A652" s="219">
        <v>30154.0</v>
      </c>
      <c r="B652" s="211" t="s">
        <v>20</v>
      </c>
      <c r="C652" s="211" t="s">
        <v>8983</v>
      </c>
      <c r="D652" s="211" t="s">
        <v>8260</v>
      </c>
      <c r="E652" s="211" t="s">
        <v>8260</v>
      </c>
      <c r="F652" s="213"/>
      <c r="G652" s="213"/>
      <c r="H652" s="214" t="s">
        <v>8984</v>
      </c>
      <c r="I652" s="215"/>
      <c r="J652" s="215"/>
      <c r="K652" s="213"/>
      <c r="L652" s="213"/>
      <c r="M652" s="213"/>
      <c r="N652" s="213"/>
      <c r="O652" s="213"/>
      <c r="P652" s="213"/>
      <c r="Q652" s="213"/>
      <c r="R652" s="213"/>
      <c r="S652" s="213"/>
      <c r="T652" s="212"/>
      <c r="U652" s="212"/>
      <c r="V652" s="212"/>
      <c r="W652" s="212"/>
      <c r="X652" s="212"/>
      <c r="Y652" s="212"/>
      <c r="Z652" s="212"/>
      <c r="AA652" s="212"/>
      <c r="AB652" s="212"/>
      <c r="AC652" s="212"/>
      <c r="AD652" s="212"/>
    </row>
    <row r="653" ht="22.5" customHeight="1">
      <c r="A653" s="219">
        <v>30155.0</v>
      </c>
      <c r="B653" s="211" t="s">
        <v>20</v>
      </c>
      <c r="C653" s="211" t="s">
        <v>8985</v>
      </c>
      <c r="D653" s="211" t="s">
        <v>8260</v>
      </c>
      <c r="E653" s="211" t="s">
        <v>8130</v>
      </c>
      <c r="F653" s="213"/>
      <c r="G653" s="213"/>
      <c r="H653" s="214" t="s">
        <v>8986</v>
      </c>
      <c r="I653" s="215"/>
      <c r="J653" s="215"/>
      <c r="K653" s="213"/>
      <c r="L653" s="213"/>
      <c r="M653" s="213"/>
      <c r="N653" s="213"/>
      <c r="O653" s="213"/>
      <c r="P653" s="213"/>
      <c r="Q653" s="213"/>
      <c r="R653" s="213"/>
      <c r="S653" s="213"/>
      <c r="T653" s="212"/>
      <c r="U653" s="212"/>
      <c r="V653" s="212"/>
      <c r="W653" s="212"/>
      <c r="X653" s="212"/>
      <c r="Y653" s="212"/>
      <c r="Z653" s="212"/>
      <c r="AA653" s="212"/>
      <c r="AB653" s="212"/>
      <c r="AC653" s="212"/>
      <c r="AD653" s="212"/>
    </row>
    <row r="654" ht="22.5" customHeight="1">
      <c r="A654" s="219">
        <v>30157.0</v>
      </c>
      <c r="B654" s="211" t="s">
        <v>20</v>
      </c>
      <c r="C654" s="211" t="s">
        <v>137</v>
      </c>
      <c r="D654" s="211" t="s">
        <v>8260</v>
      </c>
      <c r="E654" s="211" t="s">
        <v>7771</v>
      </c>
      <c r="F654" s="213"/>
      <c r="G654" s="219">
        <v>1.0</v>
      </c>
      <c r="H654" s="214" t="s">
        <v>8987</v>
      </c>
      <c r="I654" s="215"/>
      <c r="J654" s="215"/>
      <c r="K654" s="213"/>
      <c r="L654" s="213"/>
      <c r="M654" s="213"/>
      <c r="N654" s="213"/>
      <c r="O654" s="213"/>
      <c r="P654" s="213"/>
      <c r="Q654" s="213"/>
      <c r="R654" s="213"/>
      <c r="S654" s="213"/>
      <c r="T654" s="212"/>
      <c r="U654" s="212"/>
      <c r="V654" s="212"/>
      <c r="W654" s="212"/>
      <c r="X654" s="212"/>
      <c r="Y654" s="212"/>
      <c r="Z654" s="212"/>
      <c r="AA654" s="212"/>
      <c r="AB654" s="212"/>
      <c r="AC654" s="212"/>
      <c r="AD654" s="212"/>
    </row>
    <row r="655" ht="22.5" customHeight="1">
      <c r="A655" s="219">
        <v>30159.0</v>
      </c>
      <c r="B655" s="211" t="s">
        <v>20</v>
      </c>
      <c r="C655" s="211" t="s">
        <v>8988</v>
      </c>
      <c r="D655" s="211" t="s">
        <v>8260</v>
      </c>
      <c r="E655" s="211" t="s">
        <v>7942</v>
      </c>
      <c r="F655" s="213"/>
      <c r="G655" s="213"/>
      <c r="H655" s="215"/>
      <c r="I655" s="215"/>
      <c r="J655" s="216" t="s">
        <v>8989</v>
      </c>
      <c r="K655" s="213"/>
      <c r="L655" s="213"/>
      <c r="M655" s="213"/>
      <c r="N655" s="213"/>
      <c r="O655" s="213"/>
      <c r="P655" s="213"/>
      <c r="Q655" s="213"/>
      <c r="R655" s="213"/>
      <c r="S655" s="213"/>
      <c r="T655" s="212"/>
      <c r="U655" s="212"/>
      <c r="V655" s="212"/>
      <c r="W655" s="212"/>
      <c r="X655" s="212"/>
      <c r="Y655" s="212"/>
      <c r="Z655" s="212"/>
      <c r="AA655" s="212"/>
      <c r="AB655" s="212"/>
      <c r="AC655" s="212"/>
      <c r="AD655" s="212"/>
    </row>
    <row r="656" ht="22.5" customHeight="1">
      <c r="A656" s="219">
        <v>30161.0</v>
      </c>
      <c r="B656" s="211" t="s">
        <v>20</v>
      </c>
      <c r="C656" s="211" t="s">
        <v>8990</v>
      </c>
      <c r="D656" s="211" t="s">
        <v>8260</v>
      </c>
      <c r="E656" s="211" t="s">
        <v>8260</v>
      </c>
      <c r="F656" s="213"/>
      <c r="G656" s="213"/>
      <c r="H656" s="215"/>
      <c r="I656" s="215"/>
      <c r="J656" s="216" t="s">
        <v>8991</v>
      </c>
      <c r="K656" s="213"/>
      <c r="L656" s="213"/>
      <c r="M656" s="213"/>
      <c r="N656" s="213"/>
      <c r="O656" s="213"/>
      <c r="P656" s="213"/>
      <c r="Q656" s="213"/>
      <c r="R656" s="213"/>
      <c r="S656" s="213"/>
      <c r="T656" s="212"/>
      <c r="U656" s="212"/>
      <c r="V656" s="212"/>
      <c r="W656" s="212"/>
      <c r="X656" s="212"/>
      <c r="Y656" s="212"/>
      <c r="Z656" s="212"/>
      <c r="AA656" s="212"/>
      <c r="AB656" s="212"/>
      <c r="AC656" s="212"/>
      <c r="AD656" s="212"/>
    </row>
    <row r="657" ht="22.5" customHeight="1">
      <c r="A657" s="219">
        <v>30219.0</v>
      </c>
      <c r="B657" s="211" t="s">
        <v>20</v>
      </c>
      <c r="C657" s="211" t="s">
        <v>4260</v>
      </c>
      <c r="D657" s="211" t="s">
        <v>8260</v>
      </c>
      <c r="E657" s="211" t="s">
        <v>8205</v>
      </c>
      <c r="F657" s="213"/>
      <c r="G657" s="213"/>
      <c r="H657" s="215"/>
      <c r="I657" s="215"/>
      <c r="J657" s="216" t="s">
        <v>8229</v>
      </c>
      <c r="K657" s="213"/>
      <c r="L657" s="213"/>
      <c r="M657" s="213"/>
      <c r="N657" s="213"/>
      <c r="O657" s="213"/>
      <c r="P657" s="213"/>
      <c r="Q657" s="213"/>
      <c r="R657" s="213"/>
      <c r="S657" s="213"/>
      <c r="T657" s="212"/>
      <c r="U657" s="212"/>
      <c r="V657" s="212"/>
      <c r="W657" s="212"/>
      <c r="X657" s="212"/>
      <c r="Y657" s="212"/>
      <c r="Z657" s="212"/>
      <c r="AA657" s="212"/>
      <c r="AB657" s="212"/>
      <c r="AC657" s="212"/>
      <c r="AD657" s="212"/>
    </row>
    <row r="658" ht="22.5" customHeight="1">
      <c r="A658" s="219">
        <v>30222.0</v>
      </c>
      <c r="B658" s="211" t="s">
        <v>20</v>
      </c>
      <c r="C658" s="211" t="s">
        <v>5584</v>
      </c>
      <c r="D658" s="211" t="s">
        <v>8260</v>
      </c>
      <c r="E658" s="211" t="s">
        <v>8260</v>
      </c>
      <c r="F658" s="213"/>
      <c r="G658" s="219">
        <v>1.0</v>
      </c>
      <c r="H658" s="214" t="s">
        <v>8992</v>
      </c>
      <c r="I658" s="215"/>
      <c r="J658" s="215"/>
      <c r="K658" s="213"/>
      <c r="L658" s="213"/>
      <c r="M658" s="213"/>
      <c r="N658" s="213"/>
      <c r="O658" s="213"/>
      <c r="P658" s="213"/>
      <c r="Q658" s="213"/>
      <c r="R658" s="213"/>
      <c r="S658" s="213"/>
      <c r="T658" s="212"/>
      <c r="U658" s="212"/>
      <c r="V658" s="212"/>
      <c r="W658" s="212"/>
      <c r="X658" s="212"/>
      <c r="Y658" s="212"/>
      <c r="Z658" s="212"/>
      <c r="AA658" s="212"/>
      <c r="AB658" s="212"/>
      <c r="AC658" s="212"/>
      <c r="AD658" s="212"/>
    </row>
    <row r="659" ht="22.5" customHeight="1">
      <c r="A659" s="219">
        <v>30229.0</v>
      </c>
      <c r="B659" s="211" t="s">
        <v>20</v>
      </c>
      <c r="C659" s="211" t="s">
        <v>8993</v>
      </c>
      <c r="D659" s="211" t="s">
        <v>8260</v>
      </c>
      <c r="E659" s="211" t="s">
        <v>8260</v>
      </c>
      <c r="F659" s="213"/>
      <c r="G659" s="213"/>
      <c r="H659" s="214" t="s">
        <v>8994</v>
      </c>
      <c r="I659" s="216" t="s">
        <v>8995</v>
      </c>
      <c r="J659" s="216" t="s">
        <v>8996</v>
      </c>
      <c r="K659" s="213"/>
      <c r="L659" s="213"/>
      <c r="M659" s="213"/>
      <c r="N659" s="213"/>
      <c r="O659" s="213"/>
      <c r="P659" s="213"/>
      <c r="Q659" s="213"/>
      <c r="R659" s="213"/>
      <c r="S659" s="213"/>
      <c r="T659" s="212"/>
      <c r="U659" s="212"/>
      <c r="V659" s="212"/>
      <c r="W659" s="212"/>
      <c r="X659" s="212"/>
      <c r="Y659" s="212"/>
      <c r="Z659" s="212"/>
      <c r="AA659" s="212"/>
      <c r="AB659" s="212"/>
      <c r="AC659" s="212"/>
      <c r="AD659" s="212"/>
    </row>
    <row r="660" ht="22.5" customHeight="1">
      <c r="A660" s="232">
        <v>30230.0</v>
      </c>
      <c r="B660" s="211" t="s">
        <v>20</v>
      </c>
      <c r="C660" s="211" t="s">
        <v>1417</v>
      </c>
      <c r="D660" s="211" t="s">
        <v>8260</v>
      </c>
      <c r="E660" s="211" t="s">
        <v>7942</v>
      </c>
      <c r="F660" s="213"/>
      <c r="G660" s="213"/>
      <c r="H660" s="215"/>
      <c r="I660" s="215"/>
      <c r="J660" s="216" t="s">
        <v>8997</v>
      </c>
      <c r="K660" s="213"/>
      <c r="L660" s="213"/>
      <c r="M660" s="213"/>
      <c r="N660" s="213"/>
      <c r="O660" s="213"/>
      <c r="P660" s="213"/>
      <c r="Q660" s="213"/>
      <c r="R660" s="213"/>
      <c r="S660" s="213"/>
      <c r="T660" s="212"/>
      <c r="U660" s="212"/>
      <c r="V660" s="212"/>
      <c r="W660" s="212"/>
      <c r="X660" s="212"/>
      <c r="Y660" s="212"/>
      <c r="Z660" s="212"/>
      <c r="AA660" s="212"/>
      <c r="AB660" s="212"/>
      <c r="AC660" s="212"/>
      <c r="AD660" s="212"/>
    </row>
    <row r="661" ht="22.5" customHeight="1">
      <c r="A661" s="219">
        <v>30231.0</v>
      </c>
      <c r="B661" s="211" t="s">
        <v>20</v>
      </c>
      <c r="C661" s="211" t="s">
        <v>8998</v>
      </c>
      <c r="D661" s="211" t="s">
        <v>8260</v>
      </c>
      <c r="E661" s="211" t="s">
        <v>8090</v>
      </c>
      <c r="F661" s="213"/>
      <c r="G661" s="213"/>
      <c r="H661" s="214" t="s">
        <v>8999</v>
      </c>
      <c r="I661" s="215"/>
      <c r="J661" s="215"/>
      <c r="K661" s="213"/>
      <c r="L661" s="213"/>
      <c r="M661" s="213"/>
      <c r="N661" s="213"/>
      <c r="O661" s="213"/>
      <c r="P661" s="213"/>
      <c r="Q661" s="213"/>
      <c r="R661" s="213"/>
      <c r="S661" s="213"/>
      <c r="T661" s="212"/>
      <c r="U661" s="212"/>
      <c r="V661" s="212"/>
      <c r="W661" s="212"/>
      <c r="X661" s="212"/>
      <c r="Y661" s="212"/>
      <c r="Z661" s="212"/>
      <c r="AA661" s="212"/>
      <c r="AB661" s="212"/>
      <c r="AC661" s="212"/>
      <c r="AD661" s="212"/>
    </row>
    <row r="662" ht="22.5" customHeight="1">
      <c r="A662" s="219">
        <v>30232.0</v>
      </c>
      <c r="B662" s="211" t="s">
        <v>20</v>
      </c>
      <c r="C662" s="211" t="s">
        <v>9000</v>
      </c>
      <c r="D662" s="211" t="s">
        <v>8260</v>
      </c>
      <c r="E662" s="211" t="s">
        <v>8183</v>
      </c>
      <c r="F662" s="213"/>
      <c r="G662" s="213"/>
      <c r="H662" s="214" t="s">
        <v>9001</v>
      </c>
      <c r="I662" s="215"/>
      <c r="J662" s="215"/>
      <c r="K662" s="213"/>
      <c r="L662" s="213"/>
      <c r="M662" s="213"/>
      <c r="N662" s="213"/>
      <c r="O662" s="213"/>
      <c r="P662" s="213"/>
      <c r="Q662" s="213"/>
      <c r="R662" s="213"/>
      <c r="S662" s="213"/>
      <c r="T662" s="212"/>
      <c r="U662" s="212"/>
      <c r="V662" s="212"/>
      <c r="W662" s="212"/>
      <c r="X662" s="212"/>
      <c r="Y662" s="212"/>
      <c r="Z662" s="212"/>
      <c r="AA662" s="212"/>
      <c r="AB662" s="212"/>
      <c r="AC662" s="212"/>
      <c r="AD662" s="212"/>
    </row>
    <row r="663" ht="22.5" customHeight="1">
      <c r="A663" s="219">
        <v>30233.0</v>
      </c>
      <c r="B663" s="211" t="s">
        <v>20</v>
      </c>
      <c r="C663" s="211" t="s">
        <v>9002</v>
      </c>
      <c r="D663" s="211" t="s">
        <v>8260</v>
      </c>
      <c r="E663" s="211" t="s">
        <v>7815</v>
      </c>
      <c r="F663" s="213"/>
      <c r="G663" s="213"/>
      <c r="H663" s="215"/>
      <c r="I663" s="215"/>
      <c r="J663" s="216" t="s">
        <v>9003</v>
      </c>
      <c r="K663" s="213"/>
      <c r="L663" s="213"/>
      <c r="M663" s="213"/>
      <c r="N663" s="213"/>
      <c r="O663" s="213"/>
      <c r="P663" s="213"/>
      <c r="Q663" s="213"/>
      <c r="R663" s="213"/>
      <c r="S663" s="213"/>
      <c r="T663" s="212"/>
      <c r="U663" s="212"/>
      <c r="V663" s="212"/>
      <c r="W663" s="212"/>
      <c r="X663" s="212"/>
      <c r="Y663" s="212"/>
      <c r="Z663" s="212"/>
      <c r="AA663" s="212"/>
      <c r="AB663" s="212"/>
      <c r="AC663" s="212"/>
      <c r="AD663" s="212"/>
    </row>
    <row r="664" ht="22.5" customHeight="1">
      <c r="A664" s="219">
        <v>30236.0</v>
      </c>
      <c r="B664" s="211" t="s">
        <v>20</v>
      </c>
      <c r="C664" s="211" t="s">
        <v>9004</v>
      </c>
      <c r="D664" s="211" t="s">
        <v>8260</v>
      </c>
      <c r="E664" s="211" t="s">
        <v>8130</v>
      </c>
      <c r="F664" s="213"/>
      <c r="G664" s="213"/>
      <c r="H664" s="214" t="s">
        <v>9005</v>
      </c>
      <c r="I664" s="215"/>
      <c r="J664" s="215"/>
      <c r="K664" s="213"/>
      <c r="L664" s="213"/>
      <c r="M664" s="213"/>
      <c r="N664" s="213"/>
      <c r="O664" s="213"/>
      <c r="P664" s="213"/>
      <c r="Q664" s="213"/>
      <c r="R664" s="213"/>
      <c r="S664" s="213"/>
      <c r="T664" s="212"/>
      <c r="U664" s="212"/>
      <c r="V664" s="212"/>
      <c r="W664" s="212"/>
      <c r="X664" s="212"/>
      <c r="Y664" s="212"/>
      <c r="Z664" s="212"/>
      <c r="AA664" s="212"/>
      <c r="AB664" s="212"/>
      <c r="AC664" s="212"/>
      <c r="AD664" s="212"/>
    </row>
    <row r="665" ht="22.5" customHeight="1">
      <c r="A665" s="219">
        <v>30237.0</v>
      </c>
      <c r="B665" s="211" t="s">
        <v>20</v>
      </c>
      <c r="C665" s="211" t="s">
        <v>786</v>
      </c>
      <c r="D665" s="211" t="s">
        <v>8260</v>
      </c>
      <c r="E665" s="211" t="s">
        <v>8260</v>
      </c>
      <c r="F665" s="213"/>
      <c r="G665" s="219">
        <v>1.0</v>
      </c>
      <c r="H665" s="214" t="s">
        <v>9006</v>
      </c>
      <c r="I665" s="215"/>
      <c r="J665" s="215"/>
      <c r="K665" s="213"/>
      <c r="L665" s="213"/>
      <c r="M665" s="213"/>
      <c r="N665" s="213"/>
      <c r="O665" s="213"/>
      <c r="P665" s="213"/>
      <c r="Q665" s="213"/>
      <c r="R665" s="213"/>
      <c r="S665" s="213"/>
      <c r="T665" s="212"/>
      <c r="U665" s="212"/>
      <c r="V665" s="212"/>
      <c r="W665" s="212"/>
      <c r="X665" s="212"/>
      <c r="Y665" s="212"/>
      <c r="Z665" s="212"/>
      <c r="AA665" s="212"/>
      <c r="AB665" s="212"/>
      <c r="AC665" s="212"/>
      <c r="AD665" s="212"/>
    </row>
    <row r="666" ht="22.5" customHeight="1">
      <c r="A666" s="219">
        <v>30238.0</v>
      </c>
      <c r="B666" s="211" t="s">
        <v>20</v>
      </c>
      <c r="C666" s="211" t="s">
        <v>9007</v>
      </c>
      <c r="D666" s="211" t="s">
        <v>8260</v>
      </c>
      <c r="E666" s="211" t="s">
        <v>9008</v>
      </c>
      <c r="F666" s="213"/>
      <c r="G666" s="219">
        <v>1.0</v>
      </c>
      <c r="H666" s="214" t="s">
        <v>9009</v>
      </c>
      <c r="I666" s="215"/>
      <c r="J666" s="215"/>
      <c r="K666" s="213"/>
      <c r="L666" s="213"/>
      <c r="M666" s="213"/>
      <c r="N666" s="213"/>
      <c r="O666" s="213"/>
      <c r="P666" s="213"/>
      <c r="Q666" s="213"/>
      <c r="R666" s="213"/>
      <c r="S666" s="213"/>
      <c r="T666" s="212"/>
      <c r="U666" s="212"/>
      <c r="V666" s="212"/>
      <c r="W666" s="212"/>
      <c r="X666" s="212"/>
      <c r="Y666" s="212"/>
      <c r="Z666" s="212"/>
      <c r="AA666" s="212"/>
      <c r="AB666" s="212"/>
      <c r="AC666" s="212"/>
      <c r="AD666" s="212"/>
    </row>
    <row r="667" ht="22.5" customHeight="1">
      <c r="A667" s="219">
        <v>30239.0</v>
      </c>
      <c r="B667" s="211" t="s">
        <v>20</v>
      </c>
      <c r="C667" s="211" t="s">
        <v>9010</v>
      </c>
      <c r="D667" s="211" t="s">
        <v>8260</v>
      </c>
      <c r="E667" s="211" t="s">
        <v>8963</v>
      </c>
      <c r="F667" s="213"/>
      <c r="G667" s="213"/>
      <c r="H667" s="215"/>
      <c r="I667" s="215"/>
      <c r="J667" s="216" t="s">
        <v>9011</v>
      </c>
      <c r="K667" s="213"/>
      <c r="L667" s="213"/>
      <c r="M667" s="213"/>
      <c r="N667" s="213"/>
      <c r="O667" s="213"/>
      <c r="P667" s="213"/>
      <c r="Q667" s="213"/>
      <c r="R667" s="213"/>
      <c r="S667" s="213"/>
      <c r="T667" s="212"/>
      <c r="U667" s="212"/>
      <c r="V667" s="212"/>
      <c r="W667" s="212"/>
      <c r="X667" s="212"/>
      <c r="Y667" s="212"/>
      <c r="Z667" s="212"/>
      <c r="AA667" s="212"/>
      <c r="AB667" s="212"/>
      <c r="AC667" s="212"/>
      <c r="AD667" s="212"/>
    </row>
    <row r="668" ht="22.5" customHeight="1">
      <c r="A668" s="219">
        <v>30243.0</v>
      </c>
      <c r="B668" s="211" t="s">
        <v>20</v>
      </c>
      <c r="C668" s="211" t="s">
        <v>9012</v>
      </c>
      <c r="D668" s="211" t="s">
        <v>8260</v>
      </c>
      <c r="E668" s="211" t="s">
        <v>8101</v>
      </c>
      <c r="F668" s="213"/>
      <c r="G668" s="213"/>
      <c r="H668" s="214" t="s">
        <v>9013</v>
      </c>
      <c r="I668" s="215"/>
      <c r="J668" s="215"/>
      <c r="K668" s="213"/>
      <c r="L668" s="213"/>
      <c r="M668" s="213"/>
      <c r="N668" s="213"/>
      <c r="O668" s="213"/>
      <c r="P668" s="213"/>
      <c r="Q668" s="213"/>
      <c r="R668" s="213"/>
      <c r="S668" s="213"/>
      <c r="T668" s="212"/>
      <c r="U668" s="212"/>
      <c r="V668" s="212"/>
      <c r="W668" s="212"/>
      <c r="X668" s="212"/>
      <c r="Y668" s="212"/>
      <c r="Z668" s="212"/>
      <c r="AA668" s="212"/>
      <c r="AB668" s="212"/>
      <c r="AC668" s="212"/>
      <c r="AD668" s="212"/>
    </row>
    <row r="669" ht="22.5" customHeight="1">
      <c r="A669" s="219">
        <v>30244.0</v>
      </c>
      <c r="B669" s="211" t="s">
        <v>20</v>
      </c>
      <c r="C669" s="211" t="s">
        <v>4355</v>
      </c>
      <c r="D669" s="211" t="s">
        <v>8260</v>
      </c>
      <c r="E669" s="211" t="s">
        <v>8205</v>
      </c>
      <c r="F669" s="213"/>
      <c r="G669" s="213"/>
      <c r="H669" s="215"/>
      <c r="I669" s="215"/>
      <c r="J669" s="216" t="s">
        <v>9014</v>
      </c>
      <c r="K669" s="213"/>
      <c r="L669" s="213"/>
      <c r="M669" s="213"/>
      <c r="N669" s="213"/>
      <c r="O669" s="213"/>
      <c r="P669" s="213"/>
      <c r="Q669" s="213"/>
      <c r="R669" s="213"/>
      <c r="S669" s="213"/>
      <c r="T669" s="212"/>
      <c r="U669" s="212"/>
      <c r="V669" s="212"/>
      <c r="W669" s="212"/>
      <c r="X669" s="212"/>
      <c r="Y669" s="212"/>
      <c r="Z669" s="212"/>
      <c r="AA669" s="212"/>
      <c r="AB669" s="212"/>
      <c r="AC669" s="212"/>
      <c r="AD669" s="212"/>
    </row>
    <row r="670" ht="22.5" customHeight="1">
      <c r="A670" s="219">
        <v>30245.0</v>
      </c>
      <c r="B670" s="211" t="s">
        <v>20</v>
      </c>
      <c r="C670" s="211" t="s">
        <v>3122</v>
      </c>
      <c r="D670" s="211" t="s">
        <v>8260</v>
      </c>
      <c r="E670" s="211" t="s">
        <v>7937</v>
      </c>
      <c r="F670" s="213"/>
      <c r="G670" s="213"/>
      <c r="H670" s="215"/>
      <c r="I670" s="215"/>
      <c r="J670" s="216" t="s">
        <v>9015</v>
      </c>
      <c r="K670" s="213"/>
      <c r="L670" s="213"/>
      <c r="M670" s="213"/>
      <c r="N670" s="213"/>
      <c r="O670" s="213"/>
      <c r="P670" s="213"/>
      <c r="Q670" s="213"/>
      <c r="R670" s="213"/>
      <c r="S670" s="213"/>
      <c r="T670" s="212"/>
      <c r="U670" s="212"/>
      <c r="V670" s="212"/>
      <c r="W670" s="212"/>
      <c r="X670" s="212"/>
      <c r="Y670" s="212"/>
      <c r="Z670" s="212"/>
      <c r="AA670" s="212"/>
      <c r="AB670" s="212"/>
      <c r="AC670" s="212"/>
      <c r="AD670" s="212"/>
    </row>
    <row r="671" ht="22.5" customHeight="1">
      <c r="A671" s="219">
        <v>30322.0</v>
      </c>
      <c r="B671" s="211" t="s">
        <v>20</v>
      </c>
      <c r="C671" s="211" t="s">
        <v>3808</v>
      </c>
      <c r="D671" s="211" t="s">
        <v>8260</v>
      </c>
      <c r="E671" s="211" t="s">
        <v>7937</v>
      </c>
      <c r="F671" s="213"/>
      <c r="G671" s="213"/>
      <c r="H671" s="215"/>
      <c r="I671" s="215"/>
      <c r="J671" s="216" t="s">
        <v>9016</v>
      </c>
      <c r="K671" s="213"/>
      <c r="L671" s="213"/>
      <c r="M671" s="213"/>
      <c r="N671" s="213"/>
      <c r="O671" s="213"/>
      <c r="P671" s="213"/>
      <c r="Q671" s="213"/>
      <c r="R671" s="213"/>
      <c r="S671" s="213"/>
      <c r="T671" s="212"/>
      <c r="U671" s="212"/>
      <c r="V671" s="212"/>
      <c r="W671" s="212"/>
      <c r="X671" s="212"/>
      <c r="Y671" s="212"/>
      <c r="Z671" s="212"/>
      <c r="AA671" s="212"/>
      <c r="AB671" s="212"/>
      <c r="AC671" s="212"/>
      <c r="AD671" s="212"/>
    </row>
    <row r="672" ht="22.5" customHeight="1">
      <c r="A672" s="219">
        <v>30384.0</v>
      </c>
      <c r="B672" s="211" t="s">
        <v>4322</v>
      </c>
      <c r="C672" s="211" t="s">
        <v>9017</v>
      </c>
      <c r="D672" s="211" t="s">
        <v>8260</v>
      </c>
      <c r="E672" s="211" t="s">
        <v>8260</v>
      </c>
      <c r="F672" s="213"/>
      <c r="G672" s="213"/>
      <c r="H672" s="215"/>
      <c r="I672" s="215"/>
      <c r="J672" s="216" t="s">
        <v>9018</v>
      </c>
      <c r="K672" s="213"/>
      <c r="L672" s="213"/>
      <c r="M672" s="213"/>
      <c r="N672" s="213"/>
      <c r="O672" s="213"/>
      <c r="P672" s="213"/>
      <c r="Q672" s="213"/>
      <c r="R672" s="213"/>
      <c r="S672" s="213"/>
      <c r="T672" s="212"/>
      <c r="U672" s="212"/>
      <c r="V672" s="212"/>
      <c r="W672" s="212"/>
      <c r="X672" s="212"/>
      <c r="Y672" s="212"/>
      <c r="Z672" s="212"/>
      <c r="AA672" s="212"/>
      <c r="AB672" s="212"/>
      <c r="AC672" s="212"/>
      <c r="AD672" s="212"/>
    </row>
    <row r="673" ht="22.5" customHeight="1">
      <c r="A673" s="219">
        <v>30629.0</v>
      </c>
      <c r="B673" s="211" t="s">
        <v>20</v>
      </c>
      <c r="C673" s="211" t="s">
        <v>9019</v>
      </c>
      <c r="D673" s="211" t="s">
        <v>8260</v>
      </c>
      <c r="E673" s="211" t="s">
        <v>7942</v>
      </c>
      <c r="F673" s="213"/>
      <c r="G673" s="213"/>
      <c r="H673" s="214" t="s">
        <v>9020</v>
      </c>
      <c r="I673" s="215"/>
      <c r="J673" s="216" t="s">
        <v>9021</v>
      </c>
      <c r="K673" s="213"/>
      <c r="L673" s="213"/>
      <c r="M673" s="213"/>
      <c r="N673" s="213"/>
      <c r="O673" s="213"/>
      <c r="P673" s="213"/>
      <c r="Q673" s="213"/>
      <c r="R673" s="213"/>
      <c r="S673" s="213"/>
      <c r="T673" s="212"/>
      <c r="U673" s="212"/>
      <c r="V673" s="212"/>
      <c r="W673" s="212"/>
      <c r="X673" s="212"/>
      <c r="Y673" s="212"/>
      <c r="Z673" s="212"/>
      <c r="AA673" s="212"/>
      <c r="AB673" s="212"/>
      <c r="AC673" s="212"/>
      <c r="AD673" s="212"/>
    </row>
    <row r="674" ht="22.5" customHeight="1">
      <c r="A674" s="219">
        <v>30631.0</v>
      </c>
      <c r="B674" s="211" t="s">
        <v>20</v>
      </c>
      <c r="C674" s="211" t="s">
        <v>3658</v>
      </c>
      <c r="D674" s="211" t="s">
        <v>8260</v>
      </c>
      <c r="E674" s="211" t="s">
        <v>9022</v>
      </c>
      <c r="F674" s="213"/>
      <c r="G674" s="219">
        <v>1.0</v>
      </c>
      <c r="H674" s="214" t="s">
        <v>9023</v>
      </c>
      <c r="I674" s="216" t="s">
        <v>9024</v>
      </c>
      <c r="J674" s="216" t="s">
        <v>9025</v>
      </c>
      <c r="K674" s="213"/>
      <c r="L674" s="213"/>
      <c r="M674" s="213"/>
      <c r="N674" s="213"/>
      <c r="O674" s="213"/>
      <c r="P674" s="213"/>
      <c r="Q674" s="213"/>
      <c r="R674" s="213"/>
      <c r="S674" s="213"/>
      <c r="T674" s="212"/>
      <c r="U674" s="212"/>
      <c r="V674" s="212"/>
      <c r="W674" s="212"/>
      <c r="X674" s="212"/>
      <c r="Y674" s="212"/>
      <c r="Z674" s="212"/>
      <c r="AA674" s="212"/>
      <c r="AB674" s="212"/>
      <c r="AC674" s="212"/>
      <c r="AD674" s="212"/>
    </row>
    <row r="675" ht="22.5" customHeight="1">
      <c r="A675" s="219">
        <v>30660.0</v>
      </c>
      <c r="B675" s="211" t="s">
        <v>20</v>
      </c>
      <c r="C675" s="211" t="s">
        <v>9026</v>
      </c>
      <c r="D675" s="211" t="s">
        <v>8260</v>
      </c>
      <c r="E675" s="211" t="s">
        <v>7975</v>
      </c>
      <c r="F675" s="213"/>
      <c r="G675" s="219">
        <v>1.0</v>
      </c>
      <c r="H675" s="216" t="s">
        <v>9027</v>
      </c>
      <c r="I675" s="216" t="s">
        <v>9024</v>
      </c>
      <c r="J675" s="216" t="s">
        <v>9025</v>
      </c>
      <c r="K675" s="213"/>
      <c r="L675" s="213"/>
      <c r="M675" s="213"/>
      <c r="N675" s="213"/>
      <c r="O675" s="213"/>
      <c r="P675" s="213"/>
      <c r="Q675" s="213"/>
      <c r="R675" s="213"/>
      <c r="S675" s="213"/>
      <c r="T675" s="212"/>
      <c r="U675" s="212"/>
      <c r="V675" s="212"/>
      <c r="W675" s="212"/>
      <c r="X675" s="212"/>
      <c r="Y675" s="212"/>
      <c r="Z675" s="212"/>
      <c r="AA675" s="212"/>
      <c r="AB675" s="212"/>
      <c r="AC675" s="212"/>
      <c r="AD675" s="212"/>
    </row>
    <row r="676" ht="22.5" customHeight="1">
      <c r="A676" s="219">
        <v>30719.0</v>
      </c>
      <c r="B676" s="211" t="s">
        <v>9028</v>
      </c>
      <c r="C676" s="211" t="s">
        <v>9029</v>
      </c>
      <c r="D676" s="211" t="s">
        <v>8260</v>
      </c>
      <c r="E676" s="211" t="s">
        <v>7924</v>
      </c>
      <c r="F676" s="213"/>
      <c r="G676" s="213"/>
      <c r="H676" s="214" t="s">
        <v>9030</v>
      </c>
      <c r="I676" s="215"/>
      <c r="J676" s="215"/>
      <c r="K676" s="213"/>
      <c r="L676" s="213"/>
      <c r="M676" s="213"/>
      <c r="N676" s="213"/>
      <c r="O676" s="213"/>
      <c r="P676" s="213"/>
      <c r="Q676" s="213"/>
      <c r="R676" s="213"/>
      <c r="S676" s="213"/>
      <c r="T676" s="212"/>
      <c r="U676" s="212"/>
      <c r="V676" s="212"/>
      <c r="W676" s="212"/>
      <c r="X676" s="212"/>
      <c r="Y676" s="212"/>
      <c r="Z676" s="212"/>
      <c r="AA676" s="212"/>
      <c r="AB676" s="212"/>
      <c r="AC676" s="212"/>
      <c r="AD676" s="212"/>
    </row>
    <row r="677" ht="22.5" customHeight="1">
      <c r="A677" s="219">
        <v>30720.0</v>
      </c>
      <c r="B677" s="211" t="s">
        <v>9028</v>
      </c>
      <c r="C677" s="211" t="s">
        <v>7662</v>
      </c>
      <c r="D677" s="211" t="s">
        <v>8260</v>
      </c>
      <c r="E677" s="211" t="s">
        <v>8260</v>
      </c>
      <c r="F677" s="213"/>
      <c r="G677" s="213"/>
      <c r="H677" s="214" t="s">
        <v>9031</v>
      </c>
      <c r="I677" s="215"/>
      <c r="J677" s="215"/>
      <c r="K677" s="213"/>
      <c r="L677" s="213"/>
      <c r="M677" s="213"/>
      <c r="N677" s="213"/>
      <c r="O677" s="213"/>
      <c r="P677" s="213"/>
      <c r="Q677" s="213"/>
      <c r="R677" s="213"/>
      <c r="S677" s="213"/>
      <c r="T677" s="212"/>
      <c r="U677" s="212"/>
      <c r="V677" s="212"/>
      <c r="W677" s="212"/>
      <c r="X677" s="212"/>
      <c r="Y677" s="212"/>
      <c r="Z677" s="212"/>
      <c r="AA677" s="212"/>
      <c r="AB677" s="212"/>
      <c r="AC677" s="212"/>
      <c r="AD677" s="212"/>
    </row>
    <row r="678" ht="22.5" customHeight="1">
      <c r="A678" s="219">
        <v>30722.0</v>
      </c>
      <c r="B678" s="211" t="s">
        <v>102</v>
      </c>
      <c r="C678" s="211" t="s">
        <v>9032</v>
      </c>
      <c r="D678" s="211" t="s">
        <v>8260</v>
      </c>
      <c r="E678" s="211" t="s">
        <v>8260</v>
      </c>
      <c r="F678" s="213"/>
      <c r="G678" s="213"/>
      <c r="H678" s="214" t="s">
        <v>9033</v>
      </c>
      <c r="I678" s="216" t="s">
        <v>9034</v>
      </c>
      <c r="J678" s="216" t="s">
        <v>9035</v>
      </c>
      <c r="K678" s="213"/>
      <c r="L678" s="213"/>
      <c r="M678" s="213"/>
      <c r="N678" s="213"/>
      <c r="O678" s="213"/>
      <c r="P678" s="213"/>
      <c r="Q678" s="213"/>
      <c r="R678" s="213"/>
      <c r="S678" s="213"/>
      <c r="T678" s="212"/>
      <c r="U678" s="212"/>
      <c r="V678" s="212"/>
      <c r="W678" s="212"/>
      <c r="X678" s="212"/>
      <c r="Y678" s="212"/>
      <c r="Z678" s="212"/>
      <c r="AA678" s="212"/>
      <c r="AB678" s="212"/>
      <c r="AC678" s="212"/>
      <c r="AD678" s="212"/>
    </row>
    <row r="679" ht="22.5" customHeight="1">
      <c r="A679" s="219">
        <v>30729.0</v>
      </c>
      <c r="B679" s="211" t="s">
        <v>20</v>
      </c>
      <c r="C679" s="211" t="s">
        <v>9036</v>
      </c>
      <c r="D679" s="211" t="s">
        <v>8260</v>
      </c>
      <c r="E679" s="211" t="s">
        <v>8260</v>
      </c>
      <c r="F679" s="213"/>
      <c r="G679" s="213"/>
      <c r="H679" s="215"/>
      <c r="I679" s="215"/>
      <c r="J679" s="216" t="s">
        <v>9037</v>
      </c>
      <c r="K679" s="213"/>
      <c r="L679" s="213"/>
      <c r="M679" s="213"/>
      <c r="N679" s="213"/>
      <c r="O679" s="213"/>
      <c r="P679" s="213"/>
      <c r="Q679" s="213"/>
      <c r="R679" s="213"/>
      <c r="S679" s="213"/>
      <c r="T679" s="212"/>
      <c r="U679" s="212"/>
      <c r="V679" s="212"/>
      <c r="W679" s="212"/>
      <c r="X679" s="212"/>
      <c r="Y679" s="212"/>
      <c r="Z679" s="212"/>
      <c r="AA679" s="212"/>
      <c r="AB679" s="212"/>
      <c r="AC679" s="212"/>
      <c r="AD679" s="212"/>
    </row>
    <row r="680" ht="22.5" customHeight="1">
      <c r="A680" s="219">
        <v>30731.0</v>
      </c>
      <c r="B680" s="211" t="s">
        <v>20</v>
      </c>
      <c r="C680" s="211" t="s">
        <v>8350</v>
      </c>
      <c r="D680" s="211" t="s">
        <v>8260</v>
      </c>
      <c r="E680" s="211" t="s">
        <v>7931</v>
      </c>
      <c r="F680" s="213"/>
      <c r="G680" s="213"/>
      <c r="H680" s="214" t="s">
        <v>9038</v>
      </c>
      <c r="I680" s="215"/>
      <c r="J680" s="216" t="s">
        <v>9039</v>
      </c>
      <c r="K680" s="213"/>
      <c r="L680" s="213"/>
      <c r="M680" s="213"/>
      <c r="N680" s="213"/>
      <c r="O680" s="213"/>
      <c r="P680" s="213"/>
      <c r="Q680" s="213"/>
      <c r="R680" s="213"/>
      <c r="S680" s="213"/>
      <c r="T680" s="212"/>
      <c r="U680" s="212"/>
      <c r="V680" s="212"/>
      <c r="W680" s="212"/>
      <c r="X680" s="212"/>
      <c r="Y680" s="212"/>
      <c r="Z680" s="212"/>
      <c r="AA680" s="212"/>
      <c r="AB680" s="212"/>
      <c r="AC680" s="212"/>
      <c r="AD680" s="212"/>
    </row>
    <row r="681" ht="22.5" customHeight="1">
      <c r="A681" s="219">
        <v>30893.0</v>
      </c>
      <c r="B681" s="211" t="s">
        <v>20</v>
      </c>
      <c r="C681" s="211" t="s">
        <v>9040</v>
      </c>
      <c r="D681" s="211" t="s">
        <v>8260</v>
      </c>
      <c r="E681" s="211" t="s">
        <v>8004</v>
      </c>
      <c r="F681" s="213"/>
      <c r="G681" s="213"/>
      <c r="H681" s="214" t="s">
        <v>9041</v>
      </c>
      <c r="I681" s="215"/>
      <c r="J681" s="215"/>
      <c r="K681" s="213"/>
      <c r="L681" s="213"/>
      <c r="M681" s="213"/>
      <c r="N681" s="213"/>
      <c r="O681" s="213"/>
      <c r="P681" s="213"/>
      <c r="Q681" s="213"/>
      <c r="R681" s="213"/>
      <c r="S681" s="213"/>
      <c r="T681" s="212"/>
      <c r="U681" s="212"/>
      <c r="V681" s="212"/>
      <c r="W681" s="212"/>
      <c r="X681" s="212"/>
      <c r="Y681" s="212"/>
      <c r="Z681" s="212"/>
      <c r="AA681" s="212"/>
      <c r="AB681" s="212"/>
      <c r="AC681" s="212"/>
      <c r="AD681" s="212"/>
    </row>
    <row r="682" ht="22.5" customHeight="1">
      <c r="A682" s="219">
        <v>30909.0</v>
      </c>
      <c r="B682" s="211" t="s">
        <v>20</v>
      </c>
      <c r="C682" s="211" t="s">
        <v>3009</v>
      </c>
      <c r="D682" s="211" t="s">
        <v>8260</v>
      </c>
      <c r="E682" s="211" t="s">
        <v>8002</v>
      </c>
      <c r="F682" s="213"/>
      <c r="G682" s="219">
        <v>1.0</v>
      </c>
      <c r="H682" s="214" t="s">
        <v>9042</v>
      </c>
      <c r="I682" s="215"/>
      <c r="J682" s="215"/>
      <c r="K682" s="213"/>
      <c r="L682" s="213"/>
      <c r="M682" s="213"/>
      <c r="N682" s="213"/>
      <c r="O682" s="213"/>
      <c r="P682" s="213"/>
      <c r="Q682" s="213"/>
      <c r="R682" s="213"/>
      <c r="S682" s="213"/>
      <c r="T682" s="212"/>
      <c r="U682" s="212"/>
      <c r="V682" s="212"/>
      <c r="W682" s="212"/>
      <c r="X682" s="212"/>
      <c r="Y682" s="212"/>
      <c r="Z682" s="212"/>
      <c r="AA682" s="212"/>
      <c r="AB682" s="212"/>
      <c r="AC682" s="212"/>
      <c r="AD682" s="212"/>
    </row>
    <row r="683" ht="22.5" customHeight="1">
      <c r="A683" s="219">
        <v>30910.0</v>
      </c>
      <c r="B683" s="211" t="s">
        <v>20</v>
      </c>
      <c r="C683" s="211" t="s">
        <v>9043</v>
      </c>
      <c r="D683" s="211" t="s">
        <v>8260</v>
      </c>
      <c r="E683" s="211" t="s">
        <v>7959</v>
      </c>
      <c r="F683" s="213"/>
      <c r="G683" s="213"/>
      <c r="H683" s="214" t="s">
        <v>9044</v>
      </c>
      <c r="I683" s="215"/>
      <c r="J683" s="215"/>
      <c r="K683" s="213"/>
      <c r="L683" s="213"/>
      <c r="M683" s="213"/>
      <c r="N683" s="213"/>
      <c r="O683" s="213"/>
      <c r="P683" s="213"/>
      <c r="Q683" s="213"/>
      <c r="R683" s="213"/>
      <c r="S683" s="213"/>
      <c r="T683" s="212"/>
      <c r="U683" s="212"/>
      <c r="V683" s="212"/>
      <c r="W683" s="212"/>
      <c r="X683" s="212"/>
      <c r="Y683" s="212"/>
      <c r="Z683" s="212"/>
      <c r="AA683" s="212"/>
      <c r="AB683" s="212"/>
      <c r="AC683" s="212"/>
      <c r="AD683" s="212"/>
    </row>
    <row r="684" ht="22.5" customHeight="1">
      <c r="A684" s="219">
        <v>30911.0</v>
      </c>
      <c r="B684" s="211" t="s">
        <v>20</v>
      </c>
      <c r="C684" s="211" t="s">
        <v>9045</v>
      </c>
      <c r="D684" s="211" t="s">
        <v>8260</v>
      </c>
      <c r="E684" s="211" t="s">
        <v>7959</v>
      </c>
      <c r="F684" s="213"/>
      <c r="G684" s="213"/>
      <c r="H684" s="214" t="s">
        <v>9046</v>
      </c>
      <c r="I684" s="216" t="s">
        <v>9047</v>
      </c>
      <c r="J684" s="215"/>
      <c r="K684" s="213"/>
      <c r="L684" s="213"/>
      <c r="M684" s="213"/>
      <c r="N684" s="213"/>
      <c r="O684" s="213"/>
      <c r="P684" s="213"/>
      <c r="Q684" s="213"/>
      <c r="R684" s="213"/>
      <c r="S684" s="213"/>
      <c r="T684" s="212"/>
      <c r="U684" s="212"/>
      <c r="V684" s="212"/>
      <c r="W684" s="212"/>
      <c r="X684" s="212"/>
      <c r="Y684" s="212"/>
      <c r="Z684" s="212"/>
      <c r="AA684" s="212"/>
      <c r="AB684" s="212"/>
      <c r="AC684" s="212"/>
      <c r="AD684" s="212"/>
    </row>
    <row r="685" ht="22.5" customHeight="1">
      <c r="A685" s="219">
        <v>30918.0</v>
      </c>
      <c r="B685" s="211" t="s">
        <v>20</v>
      </c>
      <c r="C685" s="211" t="s">
        <v>1439</v>
      </c>
      <c r="D685" s="211" t="s">
        <v>8260</v>
      </c>
      <c r="E685" s="211" t="s">
        <v>7937</v>
      </c>
      <c r="F685" s="213"/>
      <c r="G685" s="213"/>
      <c r="H685" s="214" t="s">
        <v>9048</v>
      </c>
      <c r="I685" s="216" t="s">
        <v>9049</v>
      </c>
      <c r="J685" s="215"/>
      <c r="K685" s="213"/>
      <c r="L685" s="213"/>
      <c r="M685" s="213"/>
      <c r="N685" s="213"/>
      <c r="O685" s="213"/>
      <c r="P685" s="213"/>
      <c r="Q685" s="213"/>
      <c r="R685" s="213"/>
      <c r="S685" s="213"/>
      <c r="T685" s="212"/>
      <c r="U685" s="212"/>
      <c r="V685" s="212"/>
      <c r="W685" s="212"/>
      <c r="X685" s="212"/>
      <c r="Y685" s="212"/>
      <c r="Z685" s="212"/>
      <c r="AA685" s="212"/>
      <c r="AB685" s="212"/>
      <c r="AC685" s="212"/>
      <c r="AD685" s="212"/>
    </row>
    <row r="686" ht="22.5" customHeight="1">
      <c r="A686" s="219">
        <v>30919.0</v>
      </c>
      <c r="B686" s="211" t="s">
        <v>20</v>
      </c>
      <c r="C686" s="211" t="s">
        <v>9050</v>
      </c>
      <c r="D686" s="211" t="s">
        <v>8260</v>
      </c>
      <c r="E686" s="211" t="s">
        <v>8533</v>
      </c>
      <c r="F686" s="213"/>
      <c r="G686" s="213"/>
      <c r="H686" s="215"/>
      <c r="I686" s="215"/>
      <c r="J686" s="216" t="s">
        <v>8737</v>
      </c>
      <c r="K686" s="213"/>
      <c r="L686" s="213"/>
      <c r="M686" s="213"/>
      <c r="N686" s="213"/>
      <c r="O686" s="213"/>
      <c r="P686" s="213"/>
      <c r="Q686" s="213"/>
      <c r="R686" s="213"/>
      <c r="S686" s="213"/>
      <c r="T686" s="212"/>
      <c r="U686" s="212"/>
      <c r="V686" s="212"/>
      <c r="W686" s="212"/>
      <c r="X686" s="212"/>
      <c r="Y686" s="212"/>
      <c r="Z686" s="212"/>
      <c r="AA686" s="212"/>
      <c r="AB686" s="212"/>
      <c r="AC686" s="212"/>
      <c r="AD686" s="212"/>
    </row>
    <row r="687" ht="22.5" customHeight="1">
      <c r="A687" s="219">
        <v>30920.0</v>
      </c>
      <c r="B687" s="211" t="s">
        <v>20</v>
      </c>
      <c r="C687" s="211" t="s">
        <v>9051</v>
      </c>
      <c r="D687" s="211" t="s">
        <v>8260</v>
      </c>
      <c r="E687" s="211" t="s">
        <v>8130</v>
      </c>
      <c r="F687" s="213"/>
      <c r="G687" s="213"/>
      <c r="H687" s="214" t="s">
        <v>9052</v>
      </c>
      <c r="I687" s="215"/>
      <c r="J687" s="215"/>
      <c r="K687" s="213"/>
      <c r="L687" s="213"/>
      <c r="M687" s="213"/>
      <c r="N687" s="213"/>
      <c r="O687" s="213"/>
      <c r="P687" s="213"/>
      <c r="Q687" s="213"/>
      <c r="R687" s="213"/>
      <c r="S687" s="213"/>
      <c r="T687" s="212"/>
      <c r="U687" s="212"/>
      <c r="V687" s="212"/>
      <c r="W687" s="212"/>
      <c r="X687" s="212"/>
      <c r="Y687" s="212"/>
      <c r="Z687" s="212"/>
      <c r="AA687" s="212"/>
      <c r="AB687" s="212"/>
      <c r="AC687" s="212"/>
      <c r="AD687" s="212"/>
    </row>
    <row r="688" ht="22.5" customHeight="1">
      <c r="A688" s="219">
        <v>30925.0</v>
      </c>
      <c r="B688" s="211" t="s">
        <v>20</v>
      </c>
      <c r="C688" s="211" t="s">
        <v>8611</v>
      </c>
      <c r="D688" s="211" t="s">
        <v>8260</v>
      </c>
      <c r="E688" s="211" t="s">
        <v>7924</v>
      </c>
      <c r="F688" s="213"/>
      <c r="G688" s="213"/>
      <c r="H688" s="215"/>
      <c r="I688" s="216" t="s">
        <v>9053</v>
      </c>
      <c r="J688" s="215"/>
      <c r="K688" s="213"/>
      <c r="L688" s="213"/>
      <c r="M688" s="213"/>
      <c r="N688" s="213"/>
      <c r="O688" s="213"/>
      <c r="P688" s="213"/>
      <c r="Q688" s="213"/>
      <c r="R688" s="213"/>
      <c r="S688" s="213"/>
      <c r="T688" s="212"/>
      <c r="U688" s="212"/>
      <c r="V688" s="212"/>
      <c r="W688" s="212"/>
      <c r="X688" s="212"/>
      <c r="Y688" s="212"/>
      <c r="Z688" s="212"/>
      <c r="AA688" s="212"/>
      <c r="AB688" s="212"/>
      <c r="AC688" s="212"/>
      <c r="AD688" s="212"/>
    </row>
    <row r="689" ht="22.5" customHeight="1">
      <c r="A689" s="219">
        <v>30926.0</v>
      </c>
      <c r="B689" s="211" t="s">
        <v>20</v>
      </c>
      <c r="C689" s="211" t="s">
        <v>9054</v>
      </c>
      <c r="D689" s="211" t="s">
        <v>8260</v>
      </c>
      <c r="E689" s="211" t="s">
        <v>8090</v>
      </c>
      <c r="F689" s="213"/>
      <c r="G689" s="213"/>
      <c r="H689" s="214" t="s">
        <v>9055</v>
      </c>
      <c r="I689" s="215"/>
      <c r="J689" s="215"/>
      <c r="K689" s="213"/>
      <c r="L689" s="213"/>
      <c r="M689" s="213"/>
      <c r="N689" s="213"/>
      <c r="O689" s="213"/>
      <c r="P689" s="213"/>
      <c r="Q689" s="213"/>
      <c r="R689" s="213"/>
      <c r="S689" s="213"/>
      <c r="T689" s="212"/>
      <c r="U689" s="212"/>
      <c r="V689" s="212"/>
      <c r="W689" s="212"/>
      <c r="X689" s="212"/>
      <c r="Y689" s="212"/>
      <c r="Z689" s="212"/>
      <c r="AA689" s="212"/>
      <c r="AB689" s="212"/>
      <c r="AC689" s="212"/>
      <c r="AD689" s="212"/>
    </row>
    <row r="690" ht="22.5" customHeight="1">
      <c r="A690" s="219">
        <v>30927.0</v>
      </c>
      <c r="B690" s="211" t="s">
        <v>20</v>
      </c>
      <c r="C690" s="211" t="s">
        <v>9056</v>
      </c>
      <c r="D690" s="211" t="s">
        <v>8260</v>
      </c>
      <c r="E690" s="211" t="s">
        <v>7815</v>
      </c>
      <c r="F690" s="213"/>
      <c r="G690" s="213"/>
      <c r="H690" s="214" t="s">
        <v>9057</v>
      </c>
      <c r="I690" s="215"/>
      <c r="J690" s="215"/>
      <c r="K690" s="213"/>
      <c r="L690" s="213"/>
      <c r="M690" s="213"/>
      <c r="N690" s="213"/>
      <c r="O690" s="213"/>
      <c r="P690" s="213"/>
      <c r="Q690" s="213"/>
      <c r="R690" s="213"/>
      <c r="S690" s="213"/>
      <c r="T690" s="212"/>
      <c r="U690" s="212"/>
      <c r="V690" s="212"/>
      <c r="W690" s="212"/>
      <c r="X690" s="212"/>
      <c r="Y690" s="212"/>
      <c r="Z690" s="212"/>
      <c r="AA690" s="212"/>
      <c r="AB690" s="212"/>
      <c r="AC690" s="212"/>
      <c r="AD690" s="212"/>
    </row>
    <row r="691" ht="22.5" customHeight="1">
      <c r="A691" s="219">
        <v>30928.0</v>
      </c>
      <c r="B691" s="211" t="s">
        <v>20</v>
      </c>
      <c r="C691" s="211" t="s">
        <v>9058</v>
      </c>
      <c r="D691" s="211" t="s">
        <v>8260</v>
      </c>
      <c r="E691" s="211" t="s">
        <v>8130</v>
      </c>
      <c r="F691" s="213"/>
      <c r="G691" s="219">
        <v>1.0</v>
      </c>
      <c r="H691" s="214" t="s">
        <v>9059</v>
      </c>
      <c r="I691" s="215"/>
      <c r="J691" s="215"/>
      <c r="K691" s="213"/>
      <c r="L691" s="213"/>
      <c r="M691" s="213"/>
      <c r="N691" s="213"/>
      <c r="O691" s="213"/>
      <c r="P691" s="213"/>
      <c r="Q691" s="213"/>
      <c r="R691" s="213"/>
      <c r="S691" s="213"/>
      <c r="T691" s="212"/>
      <c r="U691" s="212"/>
      <c r="V691" s="212"/>
      <c r="W691" s="212"/>
      <c r="X691" s="212"/>
      <c r="Y691" s="212"/>
      <c r="Z691" s="212"/>
      <c r="AA691" s="212"/>
      <c r="AB691" s="212"/>
      <c r="AC691" s="212"/>
      <c r="AD691" s="212"/>
    </row>
    <row r="692" ht="22.5" customHeight="1">
      <c r="A692" s="219">
        <v>30987.0</v>
      </c>
      <c r="B692" s="211" t="s">
        <v>20</v>
      </c>
      <c r="C692" s="211" t="s">
        <v>9060</v>
      </c>
      <c r="D692" s="211" t="s">
        <v>8260</v>
      </c>
      <c r="E692" s="211" t="s">
        <v>8130</v>
      </c>
      <c r="F692" s="213"/>
      <c r="G692" s="213"/>
      <c r="H692" s="214" t="s">
        <v>9061</v>
      </c>
      <c r="I692" s="215"/>
      <c r="J692" s="215"/>
      <c r="K692" s="213"/>
      <c r="L692" s="213"/>
      <c r="M692" s="213"/>
      <c r="N692" s="213"/>
      <c r="O692" s="213"/>
      <c r="P692" s="213"/>
      <c r="Q692" s="213"/>
      <c r="R692" s="213"/>
      <c r="S692" s="213"/>
      <c r="T692" s="212"/>
      <c r="U692" s="212"/>
      <c r="V692" s="212"/>
      <c r="W692" s="212"/>
      <c r="X692" s="212"/>
      <c r="Y692" s="212"/>
      <c r="Z692" s="212"/>
      <c r="AA692" s="212"/>
      <c r="AB692" s="212"/>
      <c r="AC692" s="212"/>
      <c r="AD692" s="212"/>
    </row>
    <row r="693" ht="22.5" customHeight="1">
      <c r="A693" s="219">
        <v>31004.0</v>
      </c>
      <c r="B693" s="211" t="s">
        <v>102</v>
      </c>
      <c r="C693" s="211" t="s">
        <v>9062</v>
      </c>
      <c r="D693" s="211" t="s">
        <v>8260</v>
      </c>
      <c r="E693" s="211" t="s">
        <v>7815</v>
      </c>
      <c r="F693" s="213"/>
      <c r="G693" s="213"/>
      <c r="H693" s="215"/>
      <c r="I693" s="215"/>
      <c r="J693" s="216" t="s">
        <v>9063</v>
      </c>
      <c r="K693" s="213"/>
      <c r="L693" s="213"/>
      <c r="M693" s="213"/>
      <c r="N693" s="213"/>
      <c r="O693" s="213"/>
      <c r="P693" s="213"/>
      <c r="Q693" s="213"/>
      <c r="R693" s="213"/>
      <c r="S693" s="213"/>
      <c r="T693" s="212"/>
      <c r="U693" s="212"/>
      <c r="V693" s="212"/>
      <c r="W693" s="212"/>
      <c r="X693" s="212"/>
      <c r="Y693" s="212"/>
      <c r="Z693" s="212"/>
      <c r="AA693" s="212"/>
      <c r="AB693" s="212"/>
      <c r="AC693" s="212"/>
      <c r="AD693" s="212"/>
    </row>
    <row r="694" ht="22.5" customHeight="1">
      <c r="A694" s="219">
        <v>31025.0</v>
      </c>
      <c r="B694" s="211" t="s">
        <v>20</v>
      </c>
      <c r="C694" s="211" t="s">
        <v>4182</v>
      </c>
      <c r="D694" s="211" t="s">
        <v>8260</v>
      </c>
      <c r="E694" s="211" t="s">
        <v>8260</v>
      </c>
      <c r="F694" s="213"/>
      <c r="G694" s="213"/>
      <c r="H694" s="215"/>
      <c r="I694" s="215"/>
      <c r="J694" s="216" t="s">
        <v>9064</v>
      </c>
      <c r="K694" s="213"/>
      <c r="L694" s="213"/>
      <c r="M694" s="213"/>
      <c r="N694" s="213"/>
      <c r="O694" s="213"/>
      <c r="P694" s="213"/>
      <c r="Q694" s="213"/>
      <c r="R694" s="213"/>
      <c r="S694" s="213"/>
      <c r="T694" s="212"/>
      <c r="U694" s="212"/>
      <c r="V694" s="212"/>
      <c r="W694" s="212"/>
      <c r="X694" s="212"/>
      <c r="Y694" s="212"/>
      <c r="Z694" s="212"/>
      <c r="AA694" s="212"/>
      <c r="AB694" s="212"/>
      <c r="AC694" s="212"/>
      <c r="AD694" s="212"/>
    </row>
    <row r="695" ht="22.5" customHeight="1">
      <c r="A695" s="219">
        <v>31049.0</v>
      </c>
      <c r="B695" s="211" t="s">
        <v>20</v>
      </c>
      <c r="C695" s="211" t="s">
        <v>9065</v>
      </c>
      <c r="D695" s="211" t="s">
        <v>8260</v>
      </c>
      <c r="E695" s="211" t="s">
        <v>7959</v>
      </c>
      <c r="F695" s="213"/>
      <c r="G695" s="213"/>
      <c r="H695" s="215"/>
      <c r="I695" s="215"/>
      <c r="J695" s="216" t="s">
        <v>9066</v>
      </c>
      <c r="K695" s="213"/>
      <c r="L695" s="213"/>
      <c r="M695" s="213"/>
      <c r="N695" s="213"/>
      <c r="O695" s="213"/>
      <c r="P695" s="213"/>
      <c r="Q695" s="213"/>
      <c r="R695" s="213"/>
      <c r="S695" s="213"/>
      <c r="T695" s="212"/>
      <c r="U695" s="212"/>
      <c r="V695" s="212"/>
      <c r="W695" s="212"/>
      <c r="X695" s="212"/>
      <c r="Y695" s="212"/>
      <c r="Z695" s="212"/>
      <c r="AA695" s="212"/>
      <c r="AB695" s="212"/>
      <c r="AC695" s="212"/>
      <c r="AD695" s="212"/>
    </row>
    <row r="696" ht="22.5" customHeight="1">
      <c r="A696" s="219">
        <v>31070.0</v>
      </c>
      <c r="B696" s="211" t="s">
        <v>20</v>
      </c>
      <c r="C696" s="211" t="s">
        <v>9067</v>
      </c>
      <c r="D696" s="211" t="s">
        <v>8260</v>
      </c>
      <c r="E696" s="211" t="s">
        <v>8004</v>
      </c>
      <c r="F696" s="213"/>
      <c r="G696" s="213"/>
      <c r="H696" s="214" t="s">
        <v>9068</v>
      </c>
      <c r="I696" s="214" t="s">
        <v>8204</v>
      </c>
      <c r="J696" s="215"/>
      <c r="K696" s="213"/>
      <c r="L696" s="213"/>
      <c r="M696" s="213"/>
      <c r="N696" s="213"/>
      <c r="O696" s="213"/>
      <c r="P696" s="213"/>
      <c r="Q696" s="213"/>
      <c r="R696" s="213"/>
      <c r="S696" s="213"/>
      <c r="T696" s="212"/>
      <c r="U696" s="212"/>
      <c r="V696" s="212"/>
      <c r="W696" s="212"/>
      <c r="X696" s="212"/>
      <c r="Y696" s="212"/>
      <c r="Z696" s="212"/>
      <c r="AA696" s="212"/>
      <c r="AB696" s="212"/>
      <c r="AC696" s="212"/>
      <c r="AD696" s="212"/>
    </row>
    <row r="697" ht="22.5" customHeight="1">
      <c r="A697" s="219">
        <v>31588.0</v>
      </c>
      <c r="B697" s="211" t="s">
        <v>20</v>
      </c>
      <c r="C697" s="211" t="s">
        <v>9069</v>
      </c>
      <c r="D697" s="211" t="s">
        <v>8260</v>
      </c>
      <c r="E697" s="211" t="s">
        <v>8002</v>
      </c>
      <c r="F697" s="213"/>
      <c r="G697" s="213"/>
      <c r="H697" s="215"/>
      <c r="I697" s="215"/>
      <c r="J697" s="216" t="s">
        <v>8470</v>
      </c>
      <c r="K697" s="213"/>
      <c r="L697" s="213"/>
      <c r="M697" s="213"/>
      <c r="N697" s="213"/>
      <c r="O697" s="213"/>
      <c r="P697" s="213"/>
      <c r="Q697" s="213"/>
      <c r="R697" s="213"/>
      <c r="S697" s="213"/>
      <c r="T697" s="212"/>
      <c r="U697" s="212"/>
      <c r="V697" s="212"/>
      <c r="W697" s="212"/>
      <c r="X697" s="212"/>
      <c r="Y697" s="212"/>
      <c r="Z697" s="212"/>
      <c r="AA697" s="212"/>
      <c r="AB697" s="212"/>
      <c r="AC697" s="212"/>
      <c r="AD697" s="212"/>
    </row>
    <row r="698" ht="22.5" customHeight="1">
      <c r="A698" s="219">
        <v>31589.0</v>
      </c>
      <c r="B698" s="211" t="s">
        <v>20</v>
      </c>
      <c r="C698" s="211" t="s">
        <v>1068</v>
      </c>
      <c r="D698" s="211" t="s">
        <v>8260</v>
      </c>
      <c r="E698" s="211" t="s">
        <v>7771</v>
      </c>
      <c r="F698" s="213"/>
      <c r="G698" s="219">
        <v>1.0</v>
      </c>
      <c r="H698" s="214" t="s">
        <v>9070</v>
      </c>
      <c r="I698" s="215"/>
      <c r="J698" s="215"/>
      <c r="K698" s="213"/>
      <c r="L698" s="213"/>
      <c r="M698" s="213"/>
      <c r="N698" s="213"/>
      <c r="O698" s="213"/>
      <c r="P698" s="213"/>
      <c r="Q698" s="213"/>
      <c r="R698" s="213"/>
      <c r="S698" s="213"/>
      <c r="T698" s="212"/>
      <c r="U698" s="212"/>
      <c r="V698" s="212"/>
      <c r="W698" s="212"/>
      <c r="X698" s="212"/>
      <c r="Y698" s="212"/>
      <c r="Z698" s="212"/>
      <c r="AA698" s="212"/>
      <c r="AB698" s="212"/>
      <c r="AC698" s="212"/>
      <c r="AD698" s="212"/>
    </row>
    <row r="699" ht="22.5" customHeight="1">
      <c r="A699" s="219">
        <v>31591.0</v>
      </c>
      <c r="B699" s="211" t="s">
        <v>20</v>
      </c>
      <c r="C699" s="211" t="s">
        <v>9071</v>
      </c>
      <c r="D699" s="211" t="s">
        <v>8260</v>
      </c>
      <c r="E699" s="211" t="s">
        <v>7942</v>
      </c>
      <c r="F699" s="213"/>
      <c r="G699" s="213"/>
      <c r="H699" s="214" t="s">
        <v>9072</v>
      </c>
      <c r="I699" s="215"/>
      <c r="J699" s="215"/>
      <c r="K699" s="213"/>
      <c r="L699" s="213"/>
      <c r="M699" s="213"/>
      <c r="N699" s="213"/>
      <c r="O699" s="213"/>
      <c r="P699" s="213"/>
      <c r="Q699" s="213"/>
      <c r="R699" s="213"/>
      <c r="S699" s="213"/>
      <c r="T699" s="212"/>
      <c r="U699" s="212"/>
      <c r="V699" s="212"/>
      <c r="W699" s="212"/>
      <c r="X699" s="212"/>
      <c r="Y699" s="212"/>
      <c r="Z699" s="212"/>
      <c r="AA699" s="212"/>
      <c r="AB699" s="212"/>
      <c r="AC699" s="212"/>
      <c r="AD699" s="212"/>
    </row>
    <row r="700" ht="22.5" customHeight="1">
      <c r="A700" s="219">
        <v>31593.0</v>
      </c>
      <c r="B700" s="211" t="s">
        <v>20</v>
      </c>
      <c r="C700" s="211" t="s">
        <v>9073</v>
      </c>
      <c r="D700" s="211" t="s">
        <v>8260</v>
      </c>
      <c r="E700" s="211" t="s">
        <v>8002</v>
      </c>
      <c r="F700" s="213"/>
      <c r="G700" s="213"/>
      <c r="H700" s="214" t="s">
        <v>9074</v>
      </c>
      <c r="I700" s="215"/>
      <c r="J700" s="215"/>
      <c r="K700" s="213"/>
      <c r="L700" s="213"/>
      <c r="M700" s="213"/>
      <c r="N700" s="213"/>
      <c r="O700" s="213"/>
      <c r="P700" s="213"/>
      <c r="Q700" s="213"/>
      <c r="R700" s="213"/>
      <c r="S700" s="213"/>
      <c r="T700" s="212"/>
      <c r="U700" s="212"/>
      <c r="V700" s="212"/>
      <c r="W700" s="212"/>
      <c r="X700" s="212"/>
      <c r="Y700" s="212"/>
      <c r="Z700" s="212"/>
      <c r="AA700" s="212"/>
      <c r="AB700" s="212"/>
      <c r="AC700" s="212"/>
      <c r="AD700" s="212"/>
    </row>
    <row r="701" ht="22.5" customHeight="1">
      <c r="A701" s="219">
        <v>31595.0</v>
      </c>
      <c r="B701" s="211" t="s">
        <v>20</v>
      </c>
      <c r="C701" s="211" t="s">
        <v>9075</v>
      </c>
      <c r="D701" s="211" t="s">
        <v>8260</v>
      </c>
      <c r="E701" s="211" t="s">
        <v>7771</v>
      </c>
      <c r="F701" s="213"/>
      <c r="G701" s="213"/>
      <c r="H701" s="214" t="s">
        <v>9076</v>
      </c>
      <c r="I701" s="215"/>
      <c r="J701" s="216" t="s">
        <v>9077</v>
      </c>
      <c r="K701" s="213"/>
      <c r="L701" s="213"/>
      <c r="M701" s="213"/>
      <c r="N701" s="213"/>
      <c r="O701" s="213"/>
      <c r="P701" s="213"/>
      <c r="Q701" s="213"/>
      <c r="R701" s="213"/>
      <c r="S701" s="213"/>
      <c r="T701" s="212"/>
      <c r="U701" s="212"/>
      <c r="V701" s="212"/>
      <c r="W701" s="212"/>
      <c r="X701" s="212"/>
      <c r="Y701" s="212"/>
      <c r="Z701" s="212"/>
      <c r="AA701" s="212"/>
      <c r="AB701" s="212"/>
      <c r="AC701" s="212"/>
      <c r="AD701" s="212"/>
    </row>
    <row r="702" ht="22.5" customHeight="1">
      <c r="A702" s="219">
        <v>31665.0</v>
      </c>
      <c r="B702" s="211" t="s">
        <v>20</v>
      </c>
      <c r="C702" s="211" t="s">
        <v>6949</v>
      </c>
      <c r="D702" s="211" t="s">
        <v>8260</v>
      </c>
      <c r="E702" s="211" t="s">
        <v>9078</v>
      </c>
      <c r="F702" s="213"/>
      <c r="G702" s="213"/>
      <c r="H702" s="215"/>
      <c r="I702" s="215"/>
      <c r="J702" s="216" t="s">
        <v>8347</v>
      </c>
      <c r="K702" s="213"/>
      <c r="L702" s="213"/>
      <c r="M702" s="213"/>
      <c r="N702" s="213"/>
      <c r="O702" s="213"/>
      <c r="P702" s="213"/>
      <c r="Q702" s="213"/>
      <c r="R702" s="213"/>
      <c r="S702" s="213"/>
      <c r="T702" s="212"/>
      <c r="U702" s="212"/>
      <c r="V702" s="212"/>
      <c r="W702" s="212"/>
      <c r="X702" s="212"/>
      <c r="Y702" s="212"/>
      <c r="Z702" s="212"/>
      <c r="AA702" s="212"/>
      <c r="AB702" s="212"/>
      <c r="AC702" s="212"/>
      <c r="AD702" s="212"/>
    </row>
    <row r="703" ht="22.5" customHeight="1">
      <c r="A703" s="219">
        <v>31666.0</v>
      </c>
      <c r="B703" s="211" t="s">
        <v>220</v>
      </c>
      <c r="C703" s="211" t="s">
        <v>9079</v>
      </c>
      <c r="D703" s="211" t="s">
        <v>8260</v>
      </c>
      <c r="E703" s="211" t="s">
        <v>8021</v>
      </c>
      <c r="F703" s="213"/>
      <c r="G703" s="219">
        <v>1.0</v>
      </c>
      <c r="H703" s="214" t="s">
        <v>9080</v>
      </c>
      <c r="I703" s="215"/>
      <c r="J703" s="215"/>
      <c r="K703" s="213"/>
      <c r="L703" s="213"/>
      <c r="M703" s="213"/>
      <c r="N703" s="213"/>
      <c r="O703" s="213"/>
      <c r="P703" s="213"/>
      <c r="Q703" s="213"/>
      <c r="R703" s="213"/>
      <c r="S703" s="213"/>
      <c r="T703" s="212"/>
      <c r="U703" s="212"/>
      <c r="V703" s="212"/>
      <c r="W703" s="212"/>
      <c r="X703" s="212"/>
      <c r="Y703" s="212"/>
      <c r="Z703" s="212"/>
      <c r="AA703" s="212"/>
      <c r="AB703" s="212"/>
      <c r="AC703" s="212"/>
      <c r="AD703" s="212"/>
    </row>
    <row r="704" ht="22.5" customHeight="1">
      <c r="A704" s="219">
        <v>31723.0</v>
      </c>
      <c r="B704" s="211" t="s">
        <v>20</v>
      </c>
      <c r="C704" s="211" t="s">
        <v>9081</v>
      </c>
      <c r="D704" s="211" t="s">
        <v>8260</v>
      </c>
      <c r="E704" s="211" t="s">
        <v>8260</v>
      </c>
      <c r="F704" s="213"/>
      <c r="G704" s="213"/>
      <c r="H704" s="214" t="s">
        <v>9082</v>
      </c>
      <c r="I704" s="215"/>
      <c r="J704" s="215"/>
      <c r="K704" s="213"/>
      <c r="L704" s="213"/>
      <c r="M704" s="213"/>
      <c r="N704" s="213"/>
      <c r="O704" s="213"/>
      <c r="P704" s="213"/>
      <c r="Q704" s="213"/>
      <c r="R704" s="213"/>
      <c r="S704" s="213"/>
      <c r="T704" s="212"/>
      <c r="U704" s="212"/>
      <c r="V704" s="212"/>
      <c r="W704" s="212"/>
      <c r="X704" s="212"/>
      <c r="Y704" s="212"/>
      <c r="Z704" s="212"/>
      <c r="AA704" s="212"/>
      <c r="AB704" s="212"/>
      <c r="AC704" s="212"/>
      <c r="AD704" s="212"/>
    </row>
    <row r="705" ht="22.5" customHeight="1">
      <c r="A705" s="219">
        <v>31724.0</v>
      </c>
      <c r="B705" s="211" t="s">
        <v>20</v>
      </c>
      <c r="C705" s="211" t="s">
        <v>9083</v>
      </c>
      <c r="D705" s="211" t="s">
        <v>8260</v>
      </c>
      <c r="E705" s="211" t="s">
        <v>9078</v>
      </c>
      <c r="F705" s="213"/>
      <c r="G705" s="213"/>
      <c r="H705" s="214" t="s">
        <v>9084</v>
      </c>
      <c r="I705" s="215"/>
      <c r="J705" s="216" t="s">
        <v>9085</v>
      </c>
      <c r="K705" s="213"/>
      <c r="L705" s="213"/>
      <c r="M705" s="213"/>
      <c r="N705" s="213"/>
      <c r="O705" s="213"/>
      <c r="P705" s="213"/>
      <c r="Q705" s="213"/>
      <c r="R705" s="213"/>
      <c r="S705" s="213"/>
      <c r="T705" s="212"/>
      <c r="U705" s="212"/>
      <c r="V705" s="212"/>
      <c r="W705" s="212"/>
      <c r="X705" s="212"/>
      <c r="Y705" s="212"/>
      <c r="Z705" s="212"/>
      <c r="AA705" s="212"/>
      <c r="AB705" s="212"/>
      <c r="AC705" s="212"/>
      <c r="AD705" s="212"/>
    </row>
    <row r="706" ht="22.5" customHeight="1">
      <c r="A706" s="219">
        <v>31733.0</v>
      </c>
      <c r="B706" s="211" t="s">
        <v>7971</v>
      </c>
      <c r="C706" s="211" t="s">
        <v>9086</v>
      </c>
      <c r="D706" s="211" t="s">
        <v>8260</v>
      </c>
      <c r="E706" s="211" t="s">
        <v>8260</v>
      </c>
      <c r="F706" s="213"/>
      <c r="G706" s="213"/>
      <c r="H706" s="214" t="s">
        <v>9087</v>
      </c>
      <c r="I706" s="215"/>
      <c r="J706" s="215"/>
      <c r="K706" s="213"/>
      <c r="L706" s="213"/>
      <c r="M706" s="213"/>
      <c r="N706" s="213"/>
      <c r="O706" s="213"/>
      <c r="P706" s="213"/>
      <c r="Q706" s="213"/>
      <c r="R706" s="213"/>
      <c r="S706" s="213"/>
      <c r="T706" s="212"/>
      <c r="U706" s="212"/>
      <c r="V706" s="212"/>
      <c r="W706" s="212"/>
      <c r="X706" s="212"/>
      <c r="Y706" s="212"/>
      <c r="Z706" s="212"/>
      <c r="AA706" s="212"/>
      <c r="AB706" s="212"/>
      <c r="AC706" s="212"/>
      <c r="AD706" s="212"/>
    </row>
    <row r="707" ht="22.5" customHeight="1">
      <c r="A707" s="219">
        <v>31747.0</v>
      </c>
      <c r="B707" s="211" t="s">
        <v>20</v>
      </c>
      <c r="C707" s="211" t="s">
        <v>2233</v>
      </c>
      <c r="D707" s="211" t="s">
        <v>8260</v>
      </c>
      <c r="E707" s="211" t="s">
        <v>8260</v>
      </c>
      <c r="F707" s="213"/>
      <c r="G707" s="213"/>
      <c r="H707" s="214" t="s">
        <v>9088</v>
      </c>
      <c r="I707" s="216" t="s">
        <v>9089</v>
      </c>
      <c r="J707" s="215"/>
      <c r="K707" s="213"/>
      <c r="L707" s="213"/>
      <c r="M707" s="213"/>
      <c r="N707" s="213"/>
      <c r="O707" s="213"/>
      <c r="P707" s="213"/>
      <c r="Q707" s="213"/>
      <c r="R707" s="213"/>
      <c r="S707" s="213"/>
      <c r="T707" s="212"/>
      <c r="U707" s="212"/>
      <c r="V707" s="212"/>
      <c r="W707" s="212"/>
      <c r="X707" s="212"/>
      <c r="Y707" s="212"/>
      <c r="Z707" s="212"/>
      <c r="AA707" s="212"/>
      <c r="AB707" s="212"/>
      <c r="AC707" s="212"/>
      <c r="AD707" s="212"/>
    </row>
    <row r="708" ht="22.5" customHeight="1">
      <c r="A708" s="219">
        <v>31792.0</v>
      </c>
      <c r="B708" s="211" t="s">
        <v>20</v>
      </c>
      <c r="C708" s="211" t="s">
        <v>4348</v>
      </c>
      <c r="D708" s="211" t="s">
        <v>8260</v>
      </c>
      <c r="E708" s="211" t="s">
        <v>8260</v>
      </c>
      <c r="F708" s="213"/>
      <c r="G708" s="213"/>
      <c r="H708" s="215"/>
      <c r="I708" s="215"/>
      <c r="J708" s="216" t="s">
        <v>8043</v>
      </c>
      <c r="K708" s="213"/>
      <c r="L708" s="213"/>
      <c r="M708" s="213"/>
      <c r="N708" s="213"/>
      <c r="O708" s="213"/>
      <c r="P708" s="213"/>
      <c r="Q708" s="213"/>
      <c r="R708" s="213"/>
      <c r="S708" s="213"/>
      <c r="T708" s="212"/>
      <c r="U708" s="212"/>
      <c r="V708" s="212"/>
      <c r="W708" s="212"/>
      <c r="X708" s="212"/>
      <c r="Y708" s="212"/>
      <c r="Z708" s="212"/>
      <c r="AA708" s="212"/>
      <c r="AB708" s="212"/>
      <c r="AC708" s="212"/>
      <c r="AD708" s="212"/>
    </row>
    <row r="709" ht="22.5" customHeight="1">
      <c r="A709" s="219">
        <v>31801.0</v>
      </c>
      <c r="B709" s="211" t="s">
        <v>20</v>
      </c>
      <c r="C709" s="211" t="s">
        <v>773</v>
      </c>
      <c r="D709" s="211" t="s">
        <v>8260</v>
      </c>
      <c r="E709" s="222" t="s">
        <v>7815</v>
      </c>
      <c r="F709" s="213"/>
      <c r="G709" s="213"/>
      <c r="H709" s="214" t="s">
        <v>9090</v>
      </c>
      <c r="I709" s="216" t="s">
        <v>9091</v>
      </c>
      <c r="J709" s="215"/>
      <c r="K709" s="213"/>
      <c r="L709" s="213"/>
      <c r="M709" s="213"/>
      <c r="N709" s="213"/>
      <c r="O709" s="213"/>
      <c r="P709" s="213"/>
      <c r="Q709" s="213"/>
      <c r="R709" s="213"/>
      <c r="S709" s="213"/>
      <c r="T709" s="212"/>
      <c r="U709" s="212"/>
      <c r="V709" s="212"/>
      <c r="W709" s="212"/>
      <c r="X709" s="212"/>
      <c r="Y709" s="212"/>
      <c r="Z709" s="212"/>
      <c r="AA709" s="212"/>
      <c r="AB709" s="212"/>
      <c r="AC709" s="212"/>
      <c r="AD709" s="212"/>
    </row>
    <row r="710" ht="22.5" customHeight="1">
      <c r="A710" s="219">
        <v>31854.0</v>
      </c>
      <c r="B710" s="211" t="s">
        <v>20</v>
      </c>
      <c r="C710" s="211" t="s">
        <v>9092</v>
      </c>
      <c r="D710" s="211" t="s">
        <v>8260</v>
      </c>
      <c r="E710" s="211" t="s">
        <v>7772</v>
      </c>
      <c r="F710" s="213"/>
      <c r="G710" s="213"/>
      <c r="H710" s="214" t="s">
        <v>9093</v>
      </c>
      <c r="I710" s="215"/>
      <c r="J710" s="215"/>
      <c r="K710" s="213"/>
      <c r="L710" s="213"/>
      <c r="M710" s="213"/>
      <c r="N710" s="213"/>
      <c r="O710" s="213"/>
      <c r="P710" s="213"/>
      <c r="Q710" s="213"/>
      <c r="R710" s="213"/>
      <c r="S710" s="213"/>
      <c r="T710" s="212"/>
      <c r="U710" s="212"/>
      <c r="V710" s="212"/>
      <c r="W710" s="212"/>
      <c r="X710" s="212"/>
      <c r="Y710" s="212"/>
      <c r="Z710" s="212"/>
      <c r="AA710" s="212"/>
      <c r="AB710" s="212"/>
      <c r="AC710" s="212"/>
      <c r="AD710" s="212"/>
    </row>
    <row r="711" ht="22.5" customHeight="1">
      <c r="A711" s="219">
        <v>31889.0</v>
      </c>
      <c r="B711" s="211" t="s">
        <v>20</v>
      </c>
      <c r="C711" s="211" t="s">
        <v>4724</v>
      </c>
      <c r="D711" s="211" t="s">
        <v>8260</v>
      </c>
      <c r="E711" s="211" t="s">
        <v>8260</v>
      </c>
      <c r="F711" s="213"/>
      <c r="G711" s="213"/>
      <c r="H711" s="215"/>
      <c r="I711" s="215"/>
      <c r="J711" s="216" t="s">
        <v>9094</v>
      </c>
      <c r="K711" s="213"/>
      <c r="L711" s="213"/>
      <c r="M711" s="213"/>
      <c r="N711" s="213"/>
      <c r="O711" s="213"/>
      <c r="P711" s="213"/>
      <c r="Q711" s="213"/>
      <c r="R711" s="213"/>
      <c r="S711" s="213"/>
      <c r="T711" s="212"/>
      <c r="U711" s="212"/>
      <c r="V711" s="212"/>
      <c r="W711" s="212"/>
      <c r="X711" s="212"/>
      <c r="Y711" s="212"/>
      <c r="Z711" s="212"/>
      <c r="AA711" s="212"/>
      <c r="AB711" s="212"/>
      <c r="AC711" s="212"/>
      <c r="AD711" s="212"/>
    </row>
    <row r="712" ht="22.5" customHeight="1">
      <c r="A712" s="219">
        <v>31905.0</v>
      </c>
      <c r="B712" s="211" t="s">
        <v>20</v>
      </c>
      <c r="C712" s="211" t="s">
        <v>4530</v>
      </c>
      <c r="D712" s="211" t="s">
        <v>8260</v>
      </c>
      <c r="E712" s="222" t="s">
        <v>7815</v>
      </c>
      <c r="F712" s="213"/>
      <c r="G712" s="213"/>
      <c r="H712" s="214" t="s">
        <v>9095</v>
      </c>
      <c r="I712" s="216" t="s">
        <v>9096</v>
      </c>
      <c r="J712" s="213"/>
      <c r="K712" s="213"/>
      <c r="L712" s="213"/>
      <c r="M712" s="213"/>
      <c r="N712" s="213"/>
      <c r="O712" s="213"/>
      <c r="P712" s="213"/>
      <c r="Q712" s="213"/>
      <c r="R712" s="213"/>
      <c r="S712" s="213"/>
      <c r="T712" s="212"/>
      <c r="U712" s="212"/>
      <c r="V712" s="212"/>
      <c r="W712" s="212"/>
      <c r="X712" s="212"/>
      <c r="Y712" s="212"/>
      <c r="Z712" s="212"/>
      <c r="AA712" s="212"/>
      <c r="AB712" s="212"/>
      <c r="AC712" s="212"/>
      <c r="AD712" s="212"/>
    </row>
    <row r="713" ht="22.5" customHeight="1">
      <c r="A713" s="219">
        <v>31928.0</v>
      </c>
      <c r="B713" s="211" t="s">
        <v>20</v>
      </c>
      <c r="C713" s="211" t="s">
        <v>9097</v>
      </c>
      <c r="D713" s="211" t="s">
        <v>8260</v>
      </c>
      <c r="E713" s="211" t="s">
        <v>8260</v>
      </c>
      <c r="F713" s="213"/>
      <c r="G713" s="213"/>
      <c r="H713" s="215"/>
      <c r="I713" s="215"/>
      <c r="J713" s="216" t="s">
        <v>9098</v>
      </c>
      <c r="K713" s="213"/>
      <c r="L713" s="213"/>
      <c r="M713" s="213"/>
      <c r="N713" s="213"/>
      <c r="O713" s="213"/>
      <c r="P713" s="213"/>
      <c r="Q713" s="213"/>
      <c r="R713" s="213"/>
      <c r="S713" s="213"/>
      <c r="T713" s="212"/>
      <c r="U713" s="212"/>
      <c r="V713" s="212"/>
      <c r="W713" s="212"/>
      <c r="X713" s="212"/>
      <c r="Y713" s="212"/>
      <c r="Z713" s="212"/>
      <c r="AA713" s="212"/>
      <c r="AB713" s="212"/>
      <c r="AC713" s="212"/>
      <c r="AD713" s="212"/>
    </row>
    <row r="714" ht="22.5" customHeight="1">
      <c r="A714" s="219">
        <v>32024.0</v>
      </c>
      <c r="B714" s="211" t="s">
        <v>20</v>
      </c>
      <c r="C714" s="211" t="s">
        <v>9099</v>
      </c>
      <c r="D714" s="211" t="s">
        <v>8260</v>
      </c>
      <c r="E714" s="211" t="s">
        <v>8260</v>
      </c>
      <c r="F714" s="213"/>
      <c r="G714" s="213"/>
      <c r="H714" s="214" t="s">
        <v>9100</v>
      </c>
      <c r="I714" s="215"/>
      <c r="J714" s="216" t="s">
        <v>9101</v>
      </c>
      <c r="K714" s="213"/>
      <c r="L714" s="213"/>
      <c r="M714" s="213"/>
      <c r="N714" s="213"/>
      <c r="O714" s="213"/>
      <c r="P714" s="213"/>
      <c r="Q714" s="213"/>
      <c r="R714" s="213"/>
      <c r="S714" s="213"/>
      <c r="T714" s="212"/>
      <c r="U714" s="212"/>
      <c r="V714" s="212"/>
      <c r="W714" s="212"/>
      <c r="X714" s="212"/>
      <c r="Y714" s="212"/>
      <c r="Z714" s="212"/>
      <c r="AA714" s="212"/>
      <c r="AB714" s="212"/>
      <c r="AC714" s="212"/>
      <c r="AD714" s="212"/>
    </row>
    <row r="715" ht="22.5" customHeight="1">
      <c r="A715" s="219">
        <v>32101.0</v>
      </c>
      <c r="B715" s="211" t="s">
        <v>20</v>
      </c>
      <c r="C715" s="211" t="s">
        <v>922</v>
      </c>
      <c r="D715" s="211" t="s">
        <v>8260</v>
      </c>
      <c r="E715" s="211" t="s">
        <v>8002</v>
      </c>
      <c r="F715" s="213"/>
      <c r="G715" s="213"/>
      <c r="H715" s="214" t="s">
        <v>9102</v>
      </c>
      <c r="I715" s="216" t="s">
        <v>9103</v>
      </c>
      <c r="J715" s="216" t="s">
        <v>9104</v>
      </c>
      <c r="K715" s="213"/>
      <c r="L715" s="213"/>
      <c r="M715" s="213"/>
      <c r="N715" s="213"/>
      <c r="O715" s="213"/>
      <c r="P715" s="213"/>
      <c r="Q715" s="213"/>
      <c r="R715" s="213"/>
      <c r="S715" s="213"/>
      <c r="T715" s="212"/>
      <c r="U715" s="212"/>
      <c r="V715" s="212"/>
      <c r="W715" s="212"/>
      <c r="X715" s="212"/>
      <c r="Y715" s="212"/>
      <c r="Z715" s="212"/>
      <c r="AA715" s="212"/>
      <c r="AB715" s="212"/>
      <c r="AC715" s="212"/>
      <c r="AD715" s="212"/>
    </row>
    <row r="716" ht="22.5" customHeight="1">
      <c r="A716" s="219">
        <v>32126.0</v>
      </c>
      <c r="B716" s="211" t="s">
        <v>20</v>
      </c>
      <c r="C716" s="211" t="s">
        <v>3097</v>
      </c>
      <c r="D716" s="211" t="s">
        <v>8260</v>
      </c>
      <c r="E716" s="211" t="s">
        <v>8130</v>
      </c>
      <c r="F716" s="213"/>
      <c r="G716" s="213"/>
      <c r="H716" s="214" t="s">
        <v>9105</v>
      </c>
      <c r="I716" s="215"/>
      <c r="J716" s="216" t="s">
        <v>9106</v>
      </c>
      <c r="K716" s="213"/>
      <c r="L716" s="213"/>
      <c r="M716" s="213"/>
      <c r="N716" s="213"/>
      <c r="O716" s="213"/>
      <c r="P716" s="213"/>
      <c r="Q716" s="213"/>
      <c r="R716" s="213"/>
      <c r="S716" s="213"/>
      <c r="T716" s="212"/>
      <c r="U716" s="212"/>
      <c r="V716" s="212"/>
      <c r="W716" s="212"/>
      <c r="X716" s="212"/>
      <c r="Y716" s="212"/>
      <c r="Z716" s="212"/>
      <c r="AA716" s="212"/>
      <c r="AB716" s="212"/>
      <c r="AC716" s="212"/>
      <c r="AD716" s="212"/>
    </row>
    <row r="717" ht="22.5" customHeight="1">
      <c r="A717" s="219">
        <v>32147.0</v>
      </c>
      <c r="B717" s="211" t="s">
        <v>20</v>
      </c>
      <c r="C717" s="211" t="s">
        <v>8507</v>
      </c>
      <c r="D717" s="211" t="s">
        <v>8260</v>
      </c>
      <c r="E717" s="211" t="s">
        <v>8260</v>
      </c>
      <c r="F717" s="213"/>
      <c r="G717" s="213"/>
      <c r="H717" s="214" t="s">
        <v>9107</v>
      </c>
      <c r="I717" s="216" t="s">
        <v>9108</v>
      </c>
      <c r="J717" s="216" t="s">
        <v>8700</v>
      </c>
      <c r="K717" s="213"/>
      <c r="L717" s="213"/>
      <c r="M717" s="213"/>
      <c r="N717" s="213"/>
      <c r="O717" s="213"/>
      <c r="P717" s="213"/>
      <c r="Q717" s="213"/>
      <c r="R717" s="213"/>
      <c r="S717" s="213"/>
      <c r="T717" s="212"/>
      <c r="U717" s="212"/>
      <c r="V717" s="212"/>
      <c r="W717" s="212"/>
      <c r="X717" s="212"/>
      <c r="Y717" s="212"/>
      <c r="Z717" s="212"/>
      <c r="AA717" s="212"/>
      <c r="AB717" s="212"/>
      <c r="AC717" s="212"/>
      <c r="AD717" s="212"/>
    </row>
    <row r="718" ht="22.5" customHeight="1">
      <c r="A718" s="219">
        <v>32150.0</v>
      </c>
      <c r="B718" s="211" t="s">
        <v>20</v>
      </c>
      <c r="C718" s="211" t="s">
        <v>634</v>
      </c>
      <c r="D718" s="211" t="s">
        <v>8260</v>
      </c>
      <c r="E718" s="211" t="s">
        <v>8260</v>
      </c>
      <c r="F718" s="213"/>
      <c r="G718" s="213"/>
      <c r="H718" s="214" t="s">
        <v>9109</v>
      </c>
      <c r="I718" s="216" t="s">
        <v>9110</v>
      </c>
      <c r="J718" s="215"/>
      <c r="K718" s="213"/>
      <c r="L718" s="213"/>
      <c r="M718" s="213"/>
      <c r="N718" s="213"/>
      <c r="O718" s="213"/>
      <c r="P718" s="213"/>
      <c r="Q718" s="213"/>
      <c r="R718" s="213"/>
      <c r="S718" s="213"/>
      <c r="T718" s="212"/>
      <c r="U718" s="212"/>
      <c r="V718" s="212"/>
      <c r="W718" s="212"/>
      <c r="X718" s="212"/>
      <c r="Y718" s="212"/>
      <c r="Z718" s="212"/>
      <c r="AA718" s="212"/>
      <c r="AB718" s="212"/>
      <c r="AC718" s="212"/>
      <c r="AD718" s="212"/>
    </row>
    <row r="719" ht="22.5" customHeight="1">
      <c r="A719" s="219">
        <v>32156.0</v>
      </c>
      <c r="B719" s="211" t="s">
        <v>20</v>
      </c>
      <c r="C719" s="211" t="s">
        <v>724</v>
      </c>
      <c r="D719" s="211" t="s">
        <v>8260</v>
      </c>
      <c r="E719" s="211" t="s">
        <v>8260</v>
      </c>
      <c r="F719" s="213"/>
      <c r="G719" s="213"/>
      <c r="H719" s="214" t="s">
        <v>9111</v>
      </c>
      <c r="I719" s="215"/>
      <c r="J719" s="215"/>
      <c r="K719" s="213"/>
      <c r="L719" s="213"/>
      <c r="M719" s="213"/>
      <c r="N719" s="213"/>
      <c r="O719" s="213"/>
      <c r="P719" s="213"/>
      <c r="Q719" s="213"/>
      <c r="R719" s="213"/>
      <c r="S719" s="213"/>
      <c r="T719" s="212"/>
      <c r="U719" s="212"/>
      <c r="V719" s="212"/>
      <c r="W719" s="212"/>
      <c r="X719" s="212"/>
      <c r="Y719" s="212"/>
      <c r="Z719" s="212"/>
      <c r="AA719" s="212"/>
      <c r="AB719" s="212"/>
      <c r="AC719" s="212"/>
      <c r="AD719" s="212"/>
    </row>
    <row r="720" ht="22.5" customHeight="1">
      <c r="A720" s="219">
        <v>32165.0</v>
      </c>
      <c r="B720" s="211" t="s">
        <v>20</v>
      </c>
      <c r="C720" s="211" t="s">
        <v>9112</v>
      </c>
      <c r="D720" s="211" t="s">
        <v>8260</v>
      </c>
      <c r="E720" s="211" t="s">
        <v>8260</v>
      </c>
      <c r="F720" s="213"/>
      <c r="G720" s="213"/>
      <c r="H720" s="214" t="s">
        <v>9113</v>
      </c>
      <c r="I720" s="216" t="s">
        <v>9114</v>
      </c>
      <c r="J720" s="216" t="s">
        <v>9115</v>
      </c>
      <c r="K720" s="213"/>
      <c r="L720" s="213"/>
      <c r="M720" s="213"/>
      <c r="N720" s="213"/>
      <c r="O720" s="213"/>
      <c r="P720" s="213"/>
      <c r="Q720" s="213"/>
      <c r="R720" s="213"/>
      <c r="S720" s="213"/>
      <c r="T720" s="212"/>
      <c r="U720" s="212"/>
      <c r="V720" s="212"/>
      <c r="W720" s="212"/>
      <c r="X720" s="212"/>
      <c r="Y720" s="212"/>
      <c r="Z720" s="212"/>
      <c r="AA720" s="212"/>
      <c r="AB720" s="212"/>
      <c r="AC720" s="212"/>
      <c r="AD720" s="212"/>
    </row>
    <row r="721" ht="22.5" customHeight="1">
      <c r="A721" s="219">
        <v>32191.0</v>
      </c>
      <c r="B721" s="211" t="s">
        <v>20</v>
      </c>
      <c r="C721" s="211" t="s">
        <v>4225</v>
      </c>
      <c r="D721" s="211" t="s">
        <v>8260</v>
      </c>
      <c r="E721" s="211" t="s">
        <v>8260</v>
      </c>
      <c r="F721" s="213"/>
      <c r="G721" s="213"/>
      <c r="H721" s="214" t="s">
        <v>9116</v>
      </c>
      <c r="I721" s="216" t="s">
        <v>9117</v>
      </c>
      <c r="J721" s="216" t="s">
        <v>9118</v>
      </c>
      <c r="K721" s="213"/>
      <c r="L721" s="213"/>
      <c r="M721" s="213"/>
      <c r="N721" s="213"/>
      <c r="O721" s="213"/>
      <c r="P721" s="213"/>
      <c r="Q721" s="213"/>
      <c r="R721" s="213"/>
      <c r="S721" s="213"/>
      <c r="T721" s="212"/>
      <c r="U721" s="212"/>
      <c r="V721" s="212"/>
      <c r="W721" s="212"/>
      <c r="X721" s="212"/>
      <c r="Y721" s="212"/>
      <c r="Z721" s="212"/>
      <c r="AA721" s="212"/>
      <c r="AB721" s="212"/>
      <c r="AC721" s="212"/>
      <c r="AD721" s="212"/>
    </row>
    <row r="722" ht="22.5" customHeight="1">
      <c r="A722" s="219">
        <v>32201.0</v>
      </c>
      <c r="B722" s="211" t="s">
        <v>20</v>
      </c>
      <c r="C722" s="211" t="s">
        <v>9119</v>
      </c>
      <c r="D722" s="211" t="s">
        <v>8260</v>
      </c>
      <c r="E722" s="211" t="s">
        <v>8260</v>
      </c>
      <c r="F722" s="213"/>
      <c r="G722" s="213"/>
      <c r="H722" s="214" t="s">
        <v>9120</v>
      </c>
      <c r="I722" s="215"/>
      <c r="J722" s="216" t="s">
        <v>9121</v>
      </c>
      <c r="K722" s="213"/>
      <c r="L722" s="213"/>
      <c r="M722" s="213"/>
      <c r="N722" s="213"/>
      <c r="O722" s="213"/>
      <c r="P722" s="213"/>
      <c r="Q722" s="213"/>
      <c r="R722" s="213"/>
      <c r="S722" s="213"/>
      <c r="T722" s="212"/>
      <c r="U722" s="212"/>
      <c r="V722" s="212"/>
      <c r="W722" s="212"/>
      <c r="X722" s="212"/>
      <c r="Y722" s="212"/>
      <c r="Z722" s="212"/>
      <c r="AA722" s="212"/>
      <c r="AB722" s="212"/>
      <c r="AC722" s="212"/>
      <c r="AD722" s="212"/>
    </row>
    <row r="723" ht="22.5" customHeight="1">
      <c r="A723" s="219">
        <v>32204.0</v>
      </c>
      <c r="B723" s="211" t="s">
        <v>20</v>
      </c>
      <c r="C723" s="211" t="s">
        <v>9122</v>
      </c>
      <c r="D723" s="211" t="s">
        <v>8260</v>
      </c>
      <c r="E723" s="211" t="s">
        <v>8260</v>
      </c>
      <c r="F723" s="213"/>
      <c r="G723" s="213"/>
      <c r="H723" s="215"/>
      <c r="I723" s="216" t="s">
        <v>9123</v>
      </c>
      <c r="J723" s="216" t="s">
        <v>9124</v>
      </c>
      <c r="K723" s="213"/>
      <c r="L723" s="213"/>
      <c r="M723" s="213"/>
      <c r="N723" s="213"/>
      <c r="O723" s="213"/>
      <c r="P723" s="213"/>
      <c r="Q723" s="213"/>
      <c r="R723" s="213"/>
      <c r="S723" s="213"/>
      <c r="T723" s="212"/>
      <c r="U723" s="212"/>
      <c r="V723" s="212"/>
      <c r="W723" s="212"/>
      <c r="X723" s="212"/>
      <c r="Y723" s="212"/>
      <c r="Z723" s="212"/>
      <c r="AA723" s="212"/>
      <c r="AB723" s="212"/>
      <c r="AC723" s="212"/>
      <c r="AD723" s="212"/>
    </row>
    <row r="724" ht="22.5" customHeight="1">
      <c r="A724" s="219">
        <v>32207.0</v>
      </c>
      <c r="B724" s="211" t="s">
        <v>20</v>
      </c>
      <c r="C724" s="211" t="s">
        <v>9125</v>
      </c>
      <c r="D724" s="211" t="s">
        <v>8260</v>
      </c>
      <c r="E724" s="211" t="s">
        <v>8260</v>
      </c>
      <c r="F724" s="213"/>
      <c r="G724" s="213"/>
      <c r="H724" s="214" t="s">
        <v>9126</v>
      </c>
      <c r="I724" s="216" t="s">
        <v>9127</v>
      </c>
      <c r="J724" s="215"/>
      <c r="K724" s="213"/>
      <c r="L724" s="213"/>
      <c r="M724" s="213"/>
      <c r="N724" s="213"/>
      <c r="O724" s="213"/>
      <c r="P724" s="213"/>
      <c r="Q724" s="213"/>
      <c r="R724" s="213"/>
      <c r="S724" s="213"/>
      <c r="T724" s="212"/>
      <c r="U724" s="212"/>
      <c r="V724" s="212"/>
      <c r="W724" s="212"/>
      <c r="X724" s="212"/>
      <c r="Y724" s="212"/>
      <c r="Z724" s="212"/>
      <c r="AA724" s="212"/>
      <c r="AB724" s="212"/>
      <c r="AC724" s="212"/>
      <c r="AD724" s="212"/>
    </row>
    <row r="725" ht="22.5" customHeight="1">
      <c r="A725" s="219">
        <v>32213.0</v>
      </c>
      <c r="B725" s="211" t="s">
        <v>20</v>
      </c>
      <c r="C725" s="211" t="s">
        <v>9128</v>
      </c>
      <c r="D725" s="211" t="s">
        <v>8260</v>
      </c>
      <c r="E725" s="211" t="s">
        <v>8260</v>
      </c>
      <c r="F725" s="213"/>
      <c r="G725" s="213"/>
      <c r="H725" s="215"/>
      <c r="I725" s="215"/>
      <c r="J725" s="216" t="s">
        <v>9129</v>
      </c>
      <c r="K725" s="213"/>
      <c r="L725" s="213"/>
      <c r="M725" s="213"/>
      <c r="N725" s="213"/>
      <c r="O725" s="213"/>
      <c r="P725" s="213"/>
      <c r="Q725" s="213"/>
      <c r="R725" s="213"/>
      <c r="S725" s="213"/>
      <c r="T725" s="212"/>
      <c r="U725" s="212"/>
      <c r="V725" s="212"/>
      <c r="W725" s="212"/>
      <c r="X725" s="212"/>
      <c r="Y725" s="212"/>
      <c r="Z725" s="212"/>
      <c r="AA725" s="212"/>
      <c r="AB725" s="212"/>
      <c r="AC725" s="212"/>
      <c r="AD725" s="212"/>
    </row>
    <row r="726" ht="22.5" customHeight="1">
      <c r="A726" s="219">
        <v>32214.0</v>
      </c>
      <c r="B726" s="211" t="s">
        <v>20</v>
      </c>
      <c r="C726" s="211" t="s">
        <v>9130</v>
      </c>
      <c r="D726" s="211" t="s">
        <v>8260</v>
      </c>
      <c r="E726" s="211" t="s">
        <v>8260</v>
      </c>
      <c r="F726" s="213"/>
      <c r="G726" s="213"/>
      <c r="H726" s="214" t="s">
        <v>9131</v>
      </c>
      <c r="I726" s="215"/>
      <c r="J726" s="215"/>
      <c r="K726" s="213"/>
      <c r="L726" s="213"/>
      <c r="M726" s="213"/>
      <c r="N726" s="213"/>
      <c r="O726" s="213"/>
      <c r="P726" s="213"/>
      <c r="Q726" s="213"/>
      <c r="R726" s="213"/>
      <c r="S726" s="213"/>
      <c r="T726" s="212"/>
      <c r="U726" s="212"/>
      <c r="V726" s="212"/>
      <c r="W726" s="212"/>
      <c r="X726" s="212"/>
      <c r="Y726" s="212"/>
      <c r="Z726" s="212"/>
      <c r="AA726" s="212"/>
      <c r="AB726" s="212"/>
      <c r="AC726" s="212"/>
      <c r="AD726" s="212"/>
    </row>
    <row r="727" ht="22.5" customHeight="1">
      <c r="A727" s="219">
        <v>32222.0</v>
      </c>
      <c r="B727" s="211" t="s">
        <v>20</v>
      </c>
      <c r="C727" s="211" t="s">
        <v>9132</v>
      </c>
      <c r="D727" s="211" t="s">
        <v>8260</v>
      </c>
      <c r="E727" s="211" t="s">
        <v>8260</v>
      </c>
      <c r="F727" s="213"/>
      <c r="G727" s="213"/>
      <c r="H727" s="215"/>
      <c r="I727" s="215"/>
      <c r="J727" s="216" t="s">
        <v>9133</v>
      </c>
      <c r="K727" s="213"/>
      <c r="L727" s="213"/>
      <c r="M727" s="213"/>
      <c r="N727" s="213"/>
      <c r="O727" s="213"/>
      <c r="P727" s="213"/>
      <c r="Q727" s="213"/>
      <c r="R727" s="213"/>
      <c r="S727" s="213"/>
      <c r="T727" s="212"/>
      <c r="U727" s="212"/>
      <c r="V727" s="212"/>
      <c r="W727" s="212"/>
      <c r="X727" s="212"/>
      <c r="Y727" s="212"/>
      <c r="Z727" s="212"/>
      <c r="AA727" s="212"/>
      <c r="AB727" s="212"/>
      <c r="AC727" s="212"/>
      <c r="AD727" s="212"/>
    </row>
    <row r="728" ht="22.5" customHeight="1">
      <c r="A728" s="219">
        <v>32251.0</v>
      </c>
      <c r="B728" s="211" t="s">
        <v>20</v>
      </c>
      <c r="C728" s="211" t="s">
        <v>1360</v>
      </c>
      <c r="D728" s="211" t="s">
        <v>8260</v>
      </c>
      <c r="E728" s="211" t="s">
        <v>7937</v>
      </c>
      <c r="F728" s="213"/>
      <c r="G728" s="213"/>
      <c r="H728" s="215"/>
      <c r="I728" s="215"/>
      <c r="J728" s="216" t="s">
        <v>8241</v>
      </c>
      <c r="K728" s="213"/>
      <c r="L728" s="213"/>
      <c r="M728" s="213"/>
      <c r="N728" s="213"/>
      <c r="O728" s="213"/>
      <c r="P728" s="213"/>
      <c r="Q728" s="213"/>
      <c r="R728" s="213"/>
      <c r="S728" s="213"/>
      <c r="T728" s="212"/>
      <c r="U728" s="212"/>
      <c r="V728" s="212"/>
      <c r="W728" s="212"/>
      <c r="X728" s="212"/>
      <c r="Y728" s="212"/>
      <c r="Z728" s="212"/>
      <c r="AA728" s="212"/>
      <c r="AB728" s="212"/>
      <c r="AC728" s="212"/>
      <c r="AD728" s="212"/>
    </row>
    <row r="729" ht="22.5" customHeight="1">
      <c r="A729" s="232">
        <v>32264.0</v>
      </c>
      <c r="B729" s="211" t="s">
        <v>20</v>
      </c>
      <c r="C729" s="222" t="s">
        <v>9134</v>
      </c>
      <c r="D729" s="222" t="s">
        <v>8260</v>
      </c>
      <c r="E729" s="222" t="s">
        <v>8260</v>
      </c>
      <c r="F729" s="213"/>
      <c r="G729" s="213"/>
      <c r="H729" s="214" t="s">
        <v>9135</v>
      </c>
      <c r="I729" s="215"/>
      <c r="J729" s="215"/>
      <c r="K729" s="213"/>
      <c r="L729" s="213"/>
      <c r="M729" s="213"/>
      <c r="N729" s="213"/>
      <c r="O729" s="213"/>
      <c r="P729" s="213"/>
      <c r="Q729" s="213"/>
      <c r="R729" s="213"/>
      <c r="S729" s="213"/>
      <c r="T729" s="212"/>
      <c r="U729" s="212"/>
      <c r="V729" s="212"/>
      <c r="W729" s="212"/>
      <c r="X729" s="212"/>
      <c r="Y729" s="212"/>
      <c r="Z729" s="212"/>
      <c r="AA729" s="212"/>
      <c r="AB729" s="212"/>
      <c r="AC729" s="212"/>
      <c r="AD729" s="212"/>
    </row>
    <row r="730" ht="22.5" customHeight="1">
      <c r="A730" s="232">
        <v>32279.0</v>
      </c>
      <c r="B730" s="211" t="s">
        <v>20</v>
      </c>
      <c r="C730" s="222" t="s">
        <v>882</v>
      </c>
      <c r="D730" s="222" t="s">
        <v>8260</v>
      </c>
      <c r="E730" s="222" t="s">
        <v>8260</v>
      </c>
      <c r="F730" s="213"/>
      <c r="G730" s="219">
        <v>1.0</v>
      </c>
      <c r="H730" s="216" t="s">
        <v>9136</v>
      </c>
      <c r="I730" s="215"/>
      <c r="J730" s="215"/>
      <c r="K730" s="213"/>
      <c r="L730" s="213"/>
      <c r="M730" s="213"/>
      <c r="N730" s="213"/>
      <c r="O730" s="213"/>
      <c r="P730" s="213"/>
      <c r="Q730" s="213"/>
      <c r="R730" s="213"/>
      <c r="S730" s="213"/>
      <c r="T730" s="212"/>
      <c r="U730" s="212"/>
      <c r="V730" s="212"/>
      <c r="W730" s="212"/>
      <c r="X730" s="212"/>
      <c r="Y730" s="212"/>
      <c r="Z730" s="212"/>
      <c r="AA730" s="212"/>
      <c r="AB730" s="212"/>
      <c r="AC730" s="212"/>
      <c r="AD730" s="212"/>
    </row>
    <row r="731" ht="22.5" customHeight="1">
      <c r="A731" s="219">
        <v>32282.0</v>
      </c>
      <c r="B731" s="211" t="s">
        <v>20</v>
      </c>
      <c r="C731" s="222" t="s">
        <v>724</v>
      </c>
      <c r="D731" s="222" t="s">
        <v>8260</v>
      </c>
      <c r="E731" s="222" t="s">
        <v>8260</v>
      </c>
      <c r="F731" s="213"/>
      <c r="G731" s="213"/>
      <c r="H731" s="214" t="s">
        <v>9137</v>
      </c>
      <c r="I731" s="215"/>
      <c r="J731" s="216" t="s">
        <v>9138</v>
      </c>
      <c r="K731" s="213"/>
      <c r="L731" s="213"/>
      <c r="M731" s="213"/>
      <c r="N731" s="213"/>
      <c r="O731" s="213"/>
      <c r="P731" s="213"/>
      <c r="Q731" s="213"/>
      <c r="R731" s="213"/>
      <c r="S731" s="213"/>
      <c r="T731" s="212"/>
      <c r="U731" s="212"/>
      <c r="V731" s="212"/>
      <c r="W731" s="212"/>
      <c r="X731" s="212"/>
      <c r="Y731" s="212"/>
      <c r="Z731" s="212"/>
      <c r="AA731" s="212"/>
      <c r="AB731" s="212"/>
      <c r="AC731" s="212"/>
      <c r="AD731" s="212"/>
    </row>
    <row r="732" ht="22.5" customHeight="1">
      <c r="A732" s="232">
        <v>32283.0</v>
      </c>
      <c r="B732" s="211" t="s">
        <v>20</v>
      </c>
      <c r="C732" s="222" t="s">
        <v>6266</v>
      </c>
      <c r="D732" s="222" t="s">
        <v>8260</v>
      </c>
      <c r="E732" s="222" t="s">
        <v>8260</v>
      </c>
      <c r="F732" s="213"/>
      <c r="G732" s="213"/>
      <c r="H732" s="216" t="s">
        <v>9139</v>
      </c>
      <c r="I732" s="215"/>
      <c r="J732" s="216" t="s">
        <v>9140</v>
      </c>
      <c r="K732" s="213"/>
      <c r="L732" s="213"/>
      <c r="M732" s="213"/>
      <c r="N732" s="213"/>
      <c r="O732" s="213"/>
      <c r="P732" s="213"/>
      <c r="Q732" s="213"/>
      <c r="R732" s="213"/>
      <c r="S732" s="213"/>
      <c r="T732" s="212"/>
      <c r="U732" s="212"/>
      <c r="V732" s="212"/>
      <c r="W732" s="212"/>
      <c r="X732" s="212"/>
      <c r="Y732" s="212"/>
      <c r="Z732" s="212"/>
      <c r="AA732" s="212"/>
      <c r="AB732" s="212"/>
      <c r="AC732" s="212"/>
      <c r="AD732" s="212"/>
    </row>
    <row r="733" ht="22.5" customHeight="1">
      <c r="A733" s="232">
        <v>32286.0</v>
      </c>
      <c r="B733" s="211" t="s">
        <v>20</v>
      </c>
      <c r="C733" s="222" t="s">
        <v>6281</v>
      </c>
      <c r="D733" s="222" t="s">
        <v>8260</v>
      </c>
      <c r="E733" s="222" t="s">
        <v>8260</v>
      </c>
      <c r="F733" s="213"/>
      <c r="G733" s="213"/>
      <c r="H733" s="214" t="s">
        <v>9141</v>
      </c>
      <c r="I733" s="215"/>
      <c r="J733" s="215"/>
      <c r="K733" s="213"/>
      <c r="L733" s="213"/>
      <c r="M733" s="213"/>
      <c r="N733" s="213"/>
      <c r="O733" s="213"/>
      <c r="P733" s="213"/>
      <c r="Q733" s="213"/>
      <c r="R733" s="213"/>
      <c r="S733" s="213"/>
      <c r="T733" s="212"/>
      <c r="U733" s="212"/>
      <c r="V733" s="212"/>
      <c r="W733" s="212"/>
      <c r="X733" s="212"/>
      <c r="Y733" s="212"/>
      <c r="Z733" s="212"/>
      <c r="AA733" s="212"/>
      <c r="AB733" s="212"/>
      <c r="AC733" s="212"/>
      <c r="AD733" s="212"/>
    </row>
    <row r="734" ht="22.5" customHeight="1">
      <c r="A734" s="232">
        <v>32287.0</v>
      </c>
      <c r="B734" s="211" t="s">
        <v>20</v>
      </c>
      <c r="C734" s="222" t="s">
        <v>922</v>
      </c>
      <c r="D734" s="222" t="s">
        <v>8260</v>
      </c>
      <c r="E734" s="222" t="s">
        <v>8260</v>
      </c>
      <c r="F734" s="213"/>
      <c r="G734" s="213"/>
      <c r="H734" s="214" t="s">
        <v>9102</v>
      </c>
      <c r="I734" s="216" t="s">
        <v>9103</v>
      </c>
      <c r="J734" s="216" t="s">
        <v>9104</v>
      </c>
      <c r="K734" s="213"/>
      <c r="L734" s="213"/>
      <c r="M734" s="213"/>
      <c r="N734" s="213"/>
      <c r="O734" s="213"/>
      <c r="P734" s="213"/>
      <c r="Q734" s="213"/>
      <c r="R734" s="213"/>
      <c r="S734" s="213"/>
      <c r="T734" s="212"/>
      <c r="U734" s="212"/>
      <c r="V734" s="212"/>
      <c r="W734" s="212"/>
      <c r="X734" s="212"/>
      <c r="Y734" s="212"/>
      <c r="Z734" s="212"/>
      <c r="AA734" s="212"/>
      <c r="AB734" s="212"/>
      <c r="AC734" s="212"/>
      <c r="AD734" s="212"/>
    </row>
    <row r="735" ht="22.5" customHeight="1">
      <c r="A735" s="232">
        <v>32288.0</v>
      </c>
      <c r="B735" s="211" t="s">
        <v>20</v>
      </c>
      <c r="C735" s="222" t="s">
        <v>7017</v>
      </c>
      <c r="D735" s="222" t="s">
        <v>8260</v>
      </c>
      <c r="E735" s="222" t="s">
        <v>8260</v>
      </c>
      <c r="F735" s="213"/>
      <c r="G735" s="213"/>
      <c r="H735" s="216" t="s">
        <v>9142</v>
      </c>
      <c r="I735" s="216" t="s">
        <v>9143</v>
      </c>
      <c r="J735" s="215"/>
      <c r="K735" s="213"/>
      <c r="L735" s="213"/>
      <c r="M735" s="213"/>
      <c r="N735" s="213"/>
      <c r="O735" s="213"/>
      <c r="P735" s="213"/>
      <c r="Q735" s="213"/>
      <c r="R735" s="213"/>
      <c r="S735" s="213"/>
      <c r="T735" s="212"/>
      <c r="U735" s="212"/>
      <c r="V735" s="212"/>
      <c r="W735" s="212"/>
      <c r="X735" s="212"/>
      <c r="Y735" s="212"/>
      <c r="Z735" s="212"/>
      <c r="AA735" s="212"/>
      <c r="AB735" s="212"/>
      <c r="AC735" s="212"/>
      <c r="AD735" s="212"/>
    </row>
    <row r="736" ht="22.5" customHeight="1">
      <c r="A736" s="232">
        <v>32292.0</v>
      </c>
      <c r="B736" s="211" t="s">
        <v>20</v>
      </c>
      <c r="C736" s="222" t="s">
        <v>9144</v>
      </c>
      <c r="D736" s="222" t="s">
        <v>8260</v>
      </c>
      <c r="E736" s="211" t="s">
        <v>7771</v>
      </c>
      <c r="F736" s="210" t="s">
        <v>9145</v>
      </c>
      <c r="G736" s="213"/>
      <c r="H736" s="215"/>
      <c r="I736" s="215"/>
      <c r="J736" s="216" t="s">
        <v>8979</v>
      </c>
      <c r="K736" s="213"/>
      <c r="L736" s="213"/>
      <c r="M736" s="213"/>
      <c r="N736" s="213"/>
      <c r="O736" s="213"/>
      <c r="P736" s="213"/>
      <c r="Q736" s="213"/>
      <c r="R736" s="213"/>
      <c r="S736" s="213"/>
      <c r="T736" s="212"/>
      <c r="U736" s="212"/>
      <c r="V736" s="212"/>
      <c r="W736" s="212"/>
      <c r="X736" s="212"/>
      <c r="Y736" s="212"/>
      <c r="Z736" s="212"/>
      <c r="AA736" s="212"/>
      <c r="AB736" s="212"/>
      <c r="AC736" s="212"/>
      <c r="AD736" s="212"/>
    </row>
    <row r="737" ht="22.5" customHeight="1">
      <c r="A737" s="232">
        <v>32295.0</v>
      </c>
      <c r="B737" s="211" t="s">
        <v>20</v>
      </c>
      <c r="C737" s="222" t="s">
        <v>1194</v>
      </c>
      <c r="D737" s="222" t="s">
        <v>8260</v>
      </c>
      <c r="E737" s="222" t="s">
        <v>8260</v>
      </c>
      <c r="F737" s="213"/>
      <c r="G737" s="213"/>
      <c r="H737" s="214" t="s">
        <v>9146</v>
      </c>
      <c r="I737" s="215"/>
      <c r="J737" s="215"/>
      <c r="K737" s="213"/>
      <c r="L737" s="213"/>
      <c r="M737" s="213"/>
      <c r="N737" s="213"/>
      <c r="O737" s="213"/>
      <c r="P737" s="213"/>
      <c r="Q737" s="213"/>
      <c r="R737" s="213"/>
      <c r="S737" s="213"/>
      <c r="T737" s="212"/>
      <c r="U737" s="212"/>
      <c r="V737" s="212"/>
      <c r="W737" s="212"/>
      <c r="X737" s="212"/>
      <c r="Y737" s="212"/>
      <c r="Z737" s="212"/>
      <c r="AA737" s="212"/>
      <c r="AB737" s="212"/>
      <c r="AC737" s="212"/>
      <c r="AD737" s="212"/>
    </row>
    <row r="738" ht="22.5" customHeight="1">
      <c r="A738" s="232">
        <v>32297.0</v>
      </c>
      <c r="B738" s="211" t="s">
        <v>20</v>
      </c>
      <c r="C738" s="222" t="s">
        <v>3418</v>
      </c>
      <c r="D738" s="222" t="s">
        <v>8260</v>
      </c>
      <c r="E738" s="211" t="s">
        <v>9147</v>
      </c>
      <c r="F738" s="210" t="s">
        <v>8313</v>
      </c>
      <c r="G738" s="213"/>
      <c r="H738" s="216" t="s">
        <v>9148</v>
      </c>
      <c r="I738" s="215"/>
      <c r="J738" s="216" t="s">
        <v>9149</v>
      </c>
      <c r="K738" s="213"/>
      <c r="L738" s="213"/>
      <c r="M738" s="213"/>
      <c r="N738" s="213"/>
      <c r="O738" s="213"/>
      <c r="P738" s="213"/>
      <c r="Q738" s="213"/>
      <c r="R738" s="213"/>
      <c r="S738" s="213"/>
      <c r="T738" s="212"/>
      <c r="U738" s="212"/>
      <c r="V738" s="212"/>
      <c r="W738" s="212"/>
      <c r="X738" s="212"/>
      <c r="Y738" s="212"/>
      <c r="Z738" s="212"/>
      <c r="AA738" s="212"/>
      <c r="AB738" s="212"/>
      <c r="AC738" s="212"/>
      <c r="AD738" s="212"/>
    </row>
    <row r="739" ht="22.5" customHeight="1">
      <c r="A739" s="232">
        <v>32348.0</v>
      </c>
      <c r="B739" s="211" t="s">
        <v>102</v>
      </c>
      <c r="C739" s="222" t="s">
        <v>9150</v>
      </c>
      <c r="D739" s="222" t="s">
        <v>8260</v>
      </c>
      <c r="E739" s="211" t="s">
        <v>177</v>
      </c>
      <c r="F739" s="213"/>
      <c r="G739" s="219" t="s">
        <v>318</v>
      </c>
      <c r="H739" s="216" t="s">
        <v>9151</v>
      </c>
      <c r="I739" s="216" t="s">
        <v>9152</v>
      </c>
      <c r="J739" s="215"/>
      <c r="K739" s="213"/>
      <c r="L739" s="213"/>
      <c r="M739" s="213"/>
      <c r="N739" s="213"/>
      <c r="O739" s="213"/>
      <c r="P739" s="213"/>
      <c r="Q739" s="213"/>
      <c r="R739" s="213"/>
      <c r="S739" s="213"/>
      <c r="T739" s="212"/>
      <c r="U739" s="212"/>
      <c r="V739" s="212"/>
      <c r="W739" s="212"/>
      <c r="X739" s="212"/>
      <c r="Y739" s="212"/>
      <c r="Z739" s="212"/>
      <c r="AA739" s="212"/>
      <c r="AB739" s="212"/>
      <c r="AC739" s="212"/>
      <c r="AD739" s="212"/>
    </row>
    <row r="740" ht="22.5" customHeight="1">
      <c r="A740" s="219">
        <v>32380.0</v>
      </c>
      <c r="B740" s="211" t="s">
        <v>20</v>
      </c>
      <c r="C740" s="222" t="s">
        <v>9153</v>
      </c>
      <c r="D740" s="222" t="s">
        <v>8260</v>
      </c>
      <c r="E740" s="211" t="s">
        <v>8012</v>
      </c>
      <c r="F740" s="213"/>
      <c r="G740" s="213"/>
      <c r="H740" s="214" t="s">
        <v>9154</v>
      </c>
      <c r="I740" s="215"/>
      <c r="J740" s="215"/>
      <c r="K740" s="213"/>
      <c r="L740" s="213"/>
      <c r="M740" s="213"/>
      <c r="N740" s="213"/>
      <c r="O740" s="213"/>
      <c r="P740" s="213"/>
      <c r="Q740" s="213"/>
      <c r="R740" s="213"/>
      <c r="S740" s="213"/>
      <c r="T740" s="212"/>
      <c r="U740" s="212"/>
      <c r="V740" s="212"/>
      <c r="W740" s="212"/>
      <c r="X740" s="212"/>
      <c r="Y740" s="212"/>
      <c r="Z740" s="212"/>
      <c r="AA740" s="212"/>
      <c r="AB740" s="212"/>
      <c r="AC740" s="212"/>
      <c r="AD740" s="212"/>
    </row>
    <row r="741" ht="22.5" customHeight="1">
      <c r="A741" s="219">
        <v>32387.0</v>
      </c>
      <c r="B741" s="211" t="s">
        <v>20</v>
      </c>
      <c r="C741" s="211" t="s">
        <v>9155</v>
      </c>
      <c r="D741" s="211" t="s">
        <v>8260</v>
      </c>
      <c r="E741" s="211" t="s">
        <v>7821</v>
      </c>
      <c r="F741" s="213"/>
      <c r="G741" s="213"/>
      <c r="H741" s="214" t="s">
        <v>9156</v>
      </c>
      <c r="I741" s="216" t="s">
        <v>9157</v>
      </c>
      <c r="J741" s="215"/>
      <c r="K741" s="213"/>
      <c r="L741" s="213"/>
      <c r="M741" s="213"/>
      <c r="N741" s="213"/>
      <c r="O741" s="213"/>
      <c r="P741" s="213"/>
      <c r="Q741" s="213"/>
      <c r="R741" s="213"/>
      <c r="S741" s="213"/>
      <c r="T741" s="212"/>
      <c r="U741" s="212"/>
      <c r="V741" s="212"/>
      <c r="W741" s="212"/>
      <c r="X741" s="212"/>
      <c r="Y741" s="212"/>
      <c r="Z741" s="212"/>
      <c r="AA741" s="212"/>
      <c r="AB741" s="212"/>
      <c r="AC741" s="212"/>
      <c r="AD741" s="212"/>
    </row>
    <row r="742" ht="22.5" customHeight="1">
      <c r="A742" s="232">
        <v>32428.0</v>
      </c>
      <c r="B742" s="211" t="s">
        <v>20</v>
      </c>
      <c r="C742" s="222" t="s">
        <v>9158</v>
      </c>
      <c r="D742" s="222" t="s">
        <v>8260</v>
      </c>
      <c r="E742" s="222" t="s">
        <v>8101</v>
      </c>
      <c r="F742" s="210" t="s">
        <v>9159</v>
      </c>
      <c r="G742" s="213"/>
      <c r="H742" s="216" t="s">
        <v>9160</v>
      </c>
      <c r="I742" s="215"/>
      <c r="J742" s="215"/>
      <c r="K742" s="213"/>
      <c r="L742" s="213"/>
      <c r="M742" s="213"/>
      <c r="N742" s="213"/>
      <c r="O742" s="213"/>
      <c r="P742" s="213"/>
      <c r="Q742" s="213"/>
      <c r="R742" s="213"/>
      <c r="S742" s="213"/>
      <c r="T742" s="212"/>
      <c r="U742" s="212"/>
      <c r="V742" s="212"/>
      <c r="W742" s="212"/>
      <c r="X742" s="212"/>
      <c r="Y742" s="212"/>
      <c r="Z742" s="212"/>
      <c r="AA742" s="212"/>
      <c r="AB742" s="212"/>
      <c r="AC742" s="212"/>
      <c r="AD742" s="212"/>
    </row>
    <row r="743" ht="22.5" customHeight="1">
      <c r="A743" s="219">
        <v>32439.0</v>
      </c>
      <c r="B743" s="211" t="s">
        <v>20</v>
      </c>
      <c r="C743" s="211" t="s">
        <v>9161</v>
      </c>
      <c r="D743" s="211" t="s">
        <v>8260</v>
      </c>
      <c r="E743" s="211" t="s">
        <v>8012</v>
      </c>
      <c r="F743" s="213"/>
      <c r="G743" s="213"/>
      <c r="H743" s="214" t="s">
        <v>9162</v>
      </c>
      <c r="I743" s="215"/>
      <c r="J743" s="215"/>
      <c r="K743" s="213"/>
      <c r="L743" s="213"/>
      <c r="M743" s="213"/>
      <c r="N743" s="213"/>
      <c r="O743" s="213"/>
      <c r="P743" s="213"/>
      <c r="Q743" s="213"/>
      <c r="R743" s="213"/>
      <c r="S743" s="213"/>
      <c r="T743" s="212"/>
      <c r="U743" s="212"/>
      <c r="V743" s="212"/>
      <c r="W743" s="212"/>
      <c r="X743" s="212"/>
      <c r="Y743" s="212"/>
      <c r="Z743" s="212"/>
      <c r="AA743" s="212"/>
      <c r="AB743" s="212"/>
      <c r="AC743" s="212"/>
      <c r="AD743" s="212"/>
    </row>
    <row r="744" ht="22.5" customHeight="1">
      <c r="A744" s="232">
        <v>32441.0</v>
      </c>
      <c r="B744" s="211" t="s">
        <v>20</v>
      </c>
      <c r="C744" s="222" t="s">
        <v>9163</v>
      </c>
      <c r="D744" s="222" t="s">
        <v>8260</v>
      </c>
      <c r="E744" s="222" t="s">
        <v>8260</v>
      </c>
      <c r="F744" s="213"/>
      <c r="G744" s="213"/>
      <c r="H744" s="216" t="s">
        <v>9164</v>
      </c>
      <c r="I744" s="215"/>
      <c r="J744" s="216" t="s">
        <v>9165</v>
      </c>
      <c r="K744" s="213"/>
      <c r="L744" s="213"/>
      <c r="M744" s="213"/>
      <c r="N744" s="213"/>
      <c r="O744" s="213"/>
      <c r="P744" s="213"/>
      <c r="Q744" s="213"/>
      <c r="R744" s="213"/>
      <c r="S744" s="213"/>
      <c r="T744" s="212"/>
      <c r="U744" s="212"/>
      <c r="V744" s="212"/>
      <c r="W744" s="212"/>
      <c r="X744" s="212"/>
      <c r="Y744" s="212"/>
      <c r="Z744" s="212"/>
      <c r="AA744" s="212"/>
      <c r="AB744" s="212"/>
      <c r="AC744" s="212"/>
      <c r="AD744" s="212"/>
    </row>
    <row r="745" ht="22.5" customHeight="1">
      <c r="A745" s="232">
        <v>32453.0</v>
      </c>
      <c r="B745" s="211" t="s">
        <v>20</v>
      </c>
      <c r="C745" s="222" t="s">
        <v>9166</v>
      </c>
      <c r="D745" s="222" t="s">
        <v>8260</v>
      </c>
      <c r="E745" s="222" t="s">
        <v>8260</v>
      </c>
      <c r="F745" s="213"/>
      <c r="G745" s="213"/>
      <c r="H745" s="214" t="s">
        <v>9167</v>
      </c>
      <c r="I745" s="215"/>
      <c r="J745" s="216" t="s">
        <v>9168</v>
      </c>
      <c r="K745" s="213"/>
      <c r="L745" s="213"/>
      <c r="M745" s="213"/>
      <c r="N745" s="213"/>
      <c r="O745" s="213"/>
      <c r="P745" s="213"/>
      <c r="Q745" s="213"/>
      <c r="R745" s="213"/>
      <c r="S745" s="213"/>
      <c r="T745" s="212"/>
      <c r="U745" s="212"/>
      <c r="V745" s="212"/>
      <c r="W745" s="212"/>
      <c r="X745" s="212"/>
      <c r="Y745" s="212"/>
      <c r="Z745" s="212"/>
      <c r="AA745" s="212"/>
      <c r="AB745" s="212"/>
      <c r="AC745" s="212"/>
      <c r="AD745" s="212"/>
    </row>
    <row r="746" ht="22.5" customHeight="1">
      <c r="A746" s="232">
        <v>32469.0</v>
      </c>
      <c r="B746" s="211" t="s">
        <v>20</v>
      </c>
      <c r="C746" s="222" t="s">
        <v>9169</v>
      </c>
      <c r="D746" s="222" t="s">
        <v>8260</v>
      </c>
      <c r="E746" s="222" t="s">
        <v>8260</v>
      </c>
      <c r="F746" s="213"/>
      <c r="G746" s="219">
        <v>1.0</v>
      </c>
      <c r="H746" s="216" t="s">
        <v>9170</v>
      </c>
      <c r="I746" s="216" t="s">
        <v>9171</v>
      </c>
      <c r="J746" s="215"/>
      <c r="K746" s="213"/>
      <c r="L746" s="213"/>
      <c r="M746" s="213"/>
      <c r="N746" s="213"/>
      <c r="O746" s="213"/>
      <c r="P746" s="213"/>
      <c r="Q746" s="213"/>
      <c r="R746" s="213"/>
      <c r="S746" s="213"/>
      <c r="T746" s="212"/>
      <c r="U746" s="212"/>
      <c r="V746" s="212"/>
      <c r="W746" s="212"/>
      <c r="X746" s="212"/>
      <c r="Y746" s="212"/>
      <c r="Z746" s="212"/>
      <c r="AA746" s="212"/>
      <c r="AB746" s="212"/>
      <c r="AC746" s="212"/>
      <c r="AD746" s="212"/>
    </row>
    <row r="747" ht="22.5" customHeight="1">
      <c r="A747" s="232">
        <v>32611.0</v>
      </c>
      <c r="B747" s="211" t="s">
        <v>20</v>
      </c>
      <c r="C747" s="211" t="s">
        <v>9172</v>
      </c>
      <c r="D747" s="222" t="s">
        <v>8260</v>
      </c>
      <c r="E747" s="211" t="s">
        <v>8095</v>
      </c>
      <c r="F747" s="213"/>
      <c r="G747" s="213"/>
      <c r="H747" s="214" t="s">
        <v>9173</v>
      </c>
      <c r="I747" s="215"/>
      <c r="J747" s="216" t="s">
        <v>9174</v>
      </c>
      <c r="K747" s="213"/>
      <c r="L747" s="213"/>
      <c r="M747" s="213"/>
      <c r="N747" s="213"/>
      <c r="O747" s="213"/>
      <c r="P747" s="213"/>
      <c r="Q747" s="213"/>
      <c r="R747" s="213"/>
      <c r="S747" s="213"/>
      <c r="T747" s="212"/>
      <c r="U747" s="212"/>
      <c r="V747" s="212"/>
      <c r="W747" s="212"/>
      <c r="X747" s="212"/>
      <c r="Y747" s="212"/>
      <c r="Z747" s="212"/>
      <c r="AA747" s="212"/>
      <c r="AB747" s="212"/>
      <c r="AC747" s="212"/>
      <c r="AD747" s="212"/>
    </row>
    <row r="748" ht="22.5" customHeight="1">
      <c r="A748" s="232">
        <v>32612.0</v>
      </c>
      <c r="B748" s="211" t="s">
        <v>20</v>
      </c>
      <c r="C748" s="222" t="s">
        <v>963</v>
      </c>
      <c r="D748" s="222" t="s">
        <v>8260</v>
      </c>
      <c r="E748" s="211" t="s">
        <v>7766</v>
      </c>
      <c r="F748" s="213"/>
      <c r="G748" s="213"/>
      <c r="H748" s="214" t="s">
        <v>9175</v>
      </c>
      <c r="I748" s="215"/>
      <c r="J748" s="215"/>
      <c r="K748" s="213"/>
      <c r="L748" s="213"/>
      <c r="M748" s="213"/>
      <c r="N748" s="213"/>
      <c r="O748" s="213"/>
      <c r="P748" s="213"/>
      <c r="Q748" s="213"/>
      <c r="R748" s="213"/>
      <c r="S748" s="213"/>
      <c r="T748" s="212"/>
      <c r="U748" s="212"/>
      <c r="V748" s="212"/>
      <c r="W748" s="212"/>
      <c r="X748" s="212"/>
      <c r="Y748" s="212"/>
      <c r="Z748" s="212"/>
      <c r="AA748" s="212"/>
      <c r="AB748" s="212"/>
      <c r="AC748" s="212"/>
      <c r="AD748" s="212"/>
    </row>
    <row r="749" ht="22.5" customHeight="1">
      <c r="A749" s="232">
        <v>32615.0</v>
      </c>
      <c r="B749" s="211" t="s">
        <v>20</v>
      </c>
      <c r="C749" s="222" t="s">
        <v>4214</v>
      </c>
      <c r="D749" s="222" t="s">
        <v>8260</v>
      </c>
      <c r="E749" s="222" t="s">
        <v>8260</v>
      </c>
      <c r="F749" s="213"/>
      <c r="G749" s="213"/>
      <c r="H749" s="215"/>
      <c r="I749" s="215"/>
      <c r="J749" s="216" t="s">
        <v>9176</v>
      </c>
      <c r="K749" s="213"/>
      <c r="L749" s="213"/>
      <c r="M749" s="213"/>
      <c r="N749" s="213"/>
      <c r="O749" s="213"/>
      <c r="P749" s="213"/>
      <c r="Q749" s="213"/>
      <c r="R749" s="213"/>
      <c r="S749" s="213"/>
      <c r="T749" s="212"/>
      <c r="U749" s="212"/>
      <c r="V749" s="212"/>
      <c r="W749" s="212"/>
      <c r="X749" s="212"/>
      <c r="Y749" s="212"/>
      <c r="Z749" s="212"/>
      <c r="AA749" s="212"/>
      <c r="AB749" s="212"/>
      <c r="AC749" s="212"/>
      <c r="AD749" s="212"/>
    </row>
    <row r="750" ht="22.5" customHeight="1">
      <c r="A750" s="232">
        <v>32616.0</v>
      </c>
      <c r="B750" s="211" t="s">
        <v>20</v>
      </c>
      <c r="C750" s="222" t="s">
        <v>8289</v>
      </c>
      <c r="D750" s="222" t="s">
        <v>8260</v>
      </c>
      <c r="E750" s="211" t="s">
        <v>9177</v>
      </c>
      <c r="F750" s="210" t="s">
        <v>9178</v>
      </c>
      <c r="G750" s="213"/>
      <c r="H750" s="214" t="s">
        <v>9179</v>
      </c>
      <c r="I750" s="215"/>
      <c r="J750" s="216" t="s">
        <v>9180</v>
      </c>
      <c r="K750" s="213"/>
      <c r="L750" s="213"/>
      <c r="M750" s="213"/>
      <c r="N750" s="213"/>
      <c r="O750" s="213"/>
      <c r="P750" s="213"/>
      <c r="Q750" s="213"/>
      <c r="R750" s="213"/>
      <c r="S750" s="213"/>
      <c r="T750" s="212"/>
      <c r="U750" s="212"/>
      <c r="V750" s="212"/>
      <c r="W750" s="212"/>
      <c r="X750" s="212"/>
      <c r="Y750" s="212"/>
      <c r="Z750" s="212"/>
      <c r="AA750" s="212"/>
      <c r="AB750" s="212"/>
      <c r="AC750" s="212"/>
      <c r="AD750" s="212"/>
    </row>
    <row r="751" ht="22.5" customHeight="1">
      <c r="A751" s="232">
        <v>32678.0</v>
      </c>
      <c r="B751" s="211" t="s">
        <v>20</v>
      </c>
      <c r="C751" s="222" t="s">
        <v>9181</v>
      </c>
      <c r="D751" s="222" t="s">
        <v>8260</v>
      </c>
      <c r="E751" s="211" t="s">
        <v>8012</v>
      </c>
      <c r="F751" s="213"/>
      <c r="G751" s="213"/>
      <c r="H751" s="214" t="s">
        <v>9182</v>
      </c>
      <c r="I751" s="215"/>
      <c r="J751" s="216" t="s">
        <v>9183</v>
      </c>
      <c r="K751" s="213"/>
      <c r="L751" s="213"/>
      <c r="M751" s="213"/>
      <c r="N751" s="213"/>
      <c r="O751" s="213"/>
      <c r="P751" s="213"/>
      <c r="Q751" s="213"/>
      <c r="R751" s="213"/>
      <c r="S751" s="213"/>
      <c r="T751" s="212"/>
      <c r="U751" s="212"/>
      <c r="V751" s="212"/>
      <c r="W751" s="212"/>
      <c r="X751" s="212"/>
      <c r="Y751" s="212"/>
      <c r="Z751" s="212"/>
      <c r="AA751" s="212"/>
      <c r="AB751" s="212"/>
      <c r="AC751" s="212"/>
      <c r="AD751" s="212"/>
    </row>
    <row r="752" ht="22.5" customHeight="1">
      <c r="A752" s="232">
        <v>32760.0</v>
      </c>
      <c r="B752" s="211" t="s">
        <v>20</v>
      </c>
      <c r="C752" s="222" t="s">
        <v>760</v>
      </c>
      <c r="D752" s="222" t="s">
        <v>8260</v>
      </c>
      <c r="E752" s="211" t="s">
        <v>9184</v>
      </c>
      <c r="F752" s="210" t="s">
        <v>9185</v>
      </c>
      <c r="G752" s="213"/>
      <c r="H752" s="216" t="s">
        <v>9186</v>
      </c>
      <c r="I752" s="215"/>
      <c r="J752" s="215"/>
      <c r="K752" s="213"/>
      <c r="L752" s="213"/>
      <c r="M752" s="213"/>
      <c r="N752" s="213"/>
      <c r="O752" s="213"/>
      <c r="P752" s="213"/>
      <c r="Q752" s="213"/>
      <c r="R752" s="213"/>
      <c r="S752" s="213"/>
      <c r="T752" s="212"/>
      <c r="U752" s="212"/>
      <c r="V752" s="212"/>
      <c r="W752" s="212"/>
      <c r="X752" s="212"/>
      <c r="Y752" s="212"/>
      <c r="Z752" s="212"/>
      <c r="AA752" s="212"/>
      <c r="AB752" s="212"/>
      <c r="AC752" s="212"/>
      <c r="AD752" s="212"/>
    </row>
    <row r="753" ht="22.5" customHeight="1">
      <c r="A753" s="219">
        <v>32791.0</v>
      </c>
      <c r="B753" s="211" t="s">
        <v>20</v>
      </c>
      <c r="C753" s="211" t="s">
        <v>743</v>
      </c>
      <c r="D753" s="211" t="s">
        <v>8260</v>
      </c>
      <c r="E753" s="211" t="s">
        <v>9187</v>
      </c>
      <c r="F753" s="213"/>
      <c r="G753" s="213"/>
      <c r="H753" s="215"/>
      <c r="I753" s="215"/>
      <c r="J753" s="216" t="s">
        <v>9188</v>
      </c>
      <c r="K753" s="213"/>
      <c r="L753" s="213"/>
      <c r="M753" s="213"/>
      <c r="N753" s="213"/>
      <c r="O753" s="213"/>
      <c r="P753" s="213"/>
      <c r="Q753" s="213"/>
      <c r="R753" s="213"/>
      <c r="S753" s="213"/>
      <c r="T753" s="212"/>
      <c r="U753" s="212"/>
      <c r="V753" s="212"/>
      <c r="W753" s="212"/>
      <c r="X753" s="212"/>
      <c r="Y753" s="212"/>
      <c r="Z753" s="212"/>
      <c r="AA753" s="212"/>
      <c r="AB753" s="212"/>
      <c r="AC753" s="212"/>
      <c r="AD753" s="212"/>
    </row>
    <row r="754" ht="22.5" customHeight="1">
      <c r="A754" s="232">
        <v>32826.0</v>
      </c>
      <c r="B754" s="211" t="s">
        <v>20</v>
      </c>
      <c r="C754" s="222" t="s">
        <v>5407</v>
      </c>
      <c r="D754" s="222" t="s">
        <v>8260</v>
      </c>
      <c r="E754" s="211" t="s">
        <v>9189</v>
      </c>
      <c r="F754" s="213"/>
      <c r="G754" s="213"/>
      <c r="H754" s="214" t="s">
        <v>9190</v>
      </c>
      <c r="I754" s="215"/>
      <c r="J754" s="216" t="s">
        <v>9191</v>
      </c>
      <c r="K754" s="213"/>
      <c r="L754" s="213"/>
      <c r="M754" s="213"/>
      <c r="N754" s="213"/>
      <c r="O754" s="213"/>
      <c r="P754" s="213"/>
      <c r="Q754" s="213"/>
      <c r="R754" s="213"/>
      <c r="S754" s="213"/>
      <c r="T754" s="212"/>
      <c r="U754" s="212"/>
      <c r="V754" s="212"/>
      <c r="W754" s="212"/>
      <c r="X754" s="212"/>
      <c r="Y754" s="212"/>
      <c r="Z754" s="212"/>
      <c r="AA754" s="212"/>
      <c r="AB754" s="212"/>
      <c r="AC754" s="212"/>
      <c r="AD754" s="212"/>
    </row>
    <row r="755" ht="22.5" customHeight="1">
      <c r="A755" s="219">
        <v>32827.0</v>
      </c>
      <c r="B755" s="211" t="s">
        <v>4322</v>
      </c>
      <c r="C755" s="211" t="s">
        <v>4370</v>
      </c>
      <c r="D755" s="211" t="s">
        <v>8260</v>
      </c>
      <c r="E755" s="211" t="s">
        <v>9147</v>
      </c>
      <c r="F755" s="213"/>
      <c r="G755" s="213"/>
      <c r="H755" s="215"/>
      <c r="I755" s="215"/>
      <c r="J755" s="216" t="s">
        <v>9192</v>
      </c>
      <c r="K755" s="213"/>
      <c r="L755" s="213"/>
      <c r="M755" s="213"/>
      <c r="N755" s="213"/>
      <c r="O755" s="213"/>
      <c r="P755" s="213"/>
      <c r="Q755" s="213"/>
      <c r="R755" s="213"/>
      <c r="S755" s="213"/>
      <c r="T755" s="212"/>
      <c r="U755" s="212"/>
      <c r="V755" s="212"/>
      <c r="W755" s="212"/>
      <c r="X755" s="212"/>
      <c r="Y755" s="212"/>
      <c r="Z755" s="212"/>
      <c r="AA755" s="212"/>
      <c r="AB755" s="212"/>
      <c r="AC755" s="212"/>
      <c r="AD755" s="212"/>
    </row>
    <row r="756" ht="22.5" customHeight="1">
      <c r="A756" s="219">
        <v>32828.0</v>
      </c>
      <c r="B756" s="211" t="s">
        <v>20</v>
      </c>
      <c r="C756" s="222" t="s">
        <v>9193</v>
      </c>
      <c r="D756" s="222" t="s">
        <v>8260</v>
      </c>
      <c r="E756" s="211" t="s">
        <v>9189</v>
      </c>
      <c r="F756" s="213"/>
      <c r="G756" s="213"/>
      <c r="H756" s="216" t="s">
        <v>9194</v>
      </c>
      <c r="I756" s="215"/>
      <c r="J756" s="216" t="s">
        <v>9195</v>
      </c>
      <c r="K756" s="213"/>
      <c r="L756" s="213"/>
      <c r="M756" s="213"/>
      <c r="N756" s="213"/>
      <c r="O756" s="213"/>
      <c r="P756" s="213"/>
      <c r="Q756" s="213"/>
      <c r="R756" s="213"/>
      <c r="S756" s="213"/>
      <c r="T756" s="212"/>
      <c r="U756" s="212"/>
      <c r="V756" s="212"/>
      <c r="W756" s="212"/>
      <c r="X756" s="212"/>
      <c r="Y756" s="212"/>
      <c r="Z756" s="212"/>
      <c r="AA756" s="212"/>
      <c r="AB756" s="212"/>
      <c r="AC756" s="212"/>
      <c r="AD756" s="212"/>
    </row>
    <row r="757" ht="22.5" customHeight="1">
      <c r="A757" s="219">
        <v>32829.0</v>
      </c>
      <c r="B757" s="211" t="s">
        <v>20</v>
      </c>
      <c r="C757" s="222" t="s">
        <v>7963</v>
      </c>
      <c r="D757" s="211" t="s">
        <v>8260</v>
      </c>
      <c r="E757" s="211" t="s">
        <v>9189</v>
      </c>
      <c r="F757" s="213"/>
      <c r="G757" s="213"/>
      <c r="H757" s="215"/>
      <c r="I757" s="215"/>
      <c r="J757" s="216" t="s">
        <v>9196</v>
      </c>
      <c r="K757" s="213"/>
      <c r="L757" s="213"/>
      <c r="M757" s="213"/>
      <c r="N757" s="213"/>
      <c r="O757" s="213"/>
      <c r="P757" s="213"/>
      <c r="Q757" s="213"/>
      <c r="R757" s="213"/>
      <c r="S757" s="213"/>
      <c r="T757" s="212"/>
      <c r="U757" s="212"/>
      <c r="V757" s="212"/>
      <c r="W757" s="212"/>
      <c r="X757" s="212"/>
      <c r="Y757" s="212"/>
      <c r="Z757" s="212"/>
      <c r="AA757" s="212"/>
      <c r="AB757" s="212"/>
      <c r="AC757" s="212"/>
      <c r="AD757" s="212"/>
    </row>
    <row r="758" ht="22.5" customHeight="1">
      <c r="A758" s="219">
        <v>32830.0</v>
      </c>
      <c r="B758" s="211" t="s">
        <v>20</v>
      </c>
      <c r="C758" s="211" t="s">
        <v>9197</v>
      </c>
      <c r="D758" s="211" t="s">
        <v>8260</v>
      </c>
      <c r="E758" s="211" t="s">
        <v>9189</v>
      </c>
      <c r="F758" s="213"/>
      <c r="G758" s="213"/>
      <c r="H758" s="216" t="s">
        <v>9198</v>
      </c>
      <c r="I758" s="216" t="s">
        <v>9199</v>
      </c>
      <c r="J758" s="216" t="s">
        <v>9200</v>
      </c>
      <c r="K758" s="213"/>
      <c r="L758" s="213"/>
      <c r="M758" s="213"/>
      <c r="N758" s="213"/>
      <c r="O758" s="213"/>
      <c r="P758" s="213"/>
      <c r="Q758" s="213"/>
      <c r="R758" s="213"/>
      <c r="S758" s="213"/>
      <c r="T758" s="212"/>
      <c r="U758" s="212"/>
      <c r="V758" s="212"/>
      <c r="W758" s="212"/>
      <c r="X758" s="212"/>
      <c r="Y758" s="212"/>
      <c r="Z758" s="212"/>
      <c r="AA758" s="212"/>
      <c r="AB758" s="212"/>
      <c r="AC758" s="212"/>
      <c r="AD758" s="212"/>
    </row>
    <row r="759">
      <c r="A759" s="219">
        <v>32831.0</v>
      </c>
      <c r="B759" s="211" t="s">
        <v>20</v>
      </c>
      <c r="C759" s="222" t="s">
        <v>9201</v>
      </c>
      <c r="D759" s="211" t="s">
        <v>8260</v>
      </c>
      <c r="E759" s="211" t="s">
        <v>9189</v>
      </c>
      <c r="F759" s="213"/>
      <c r="G759" s="213"/>
      <c r="H759" s="215"/>
      <c r="I759" s="215"/>
      <c r="J759" s="216" t="s">
        <v>9202</v>
      </c>
      <c r="K759" s="213"/>
      <c r="L759" s="213"/>
      <c r="M759" s="213"/>
      <c r="N759" s="213"/>
      <c r="O759" s="213"/>
      <c r="P759" s="213"/>
      <c r="Q759" s="213"/>
      <c r="R759" s="213"/>
      <c r="S759" s="213"/>
      <c r="T759" s="212"/>
      <c r="U759" s="212"/>
      <c r="V759" s="212"/>
      <c r="W759" s="212"/>
      <c r="X759" s="212"/>
      <c r="Y759" s="212"/>
      <c r="Z759" s="212"/>
      <c r="AA759" s="212"/>
      <c r="AB759" s="212"/>
      <c r="AC759" s="212"/>
      <c r="AD759" s="212"/>
    </row>
    <row r="760" ht="22.5" customHeight="1">
      <c r="A760" s="219">
        <v>32832.0</v>
      </c>
      <c r="B760" s="211" t="s">
        <v>20</v>
      </c>
      <c r="C760" s="211" t="s">
        <v>9203</v>
      </c>
      <c r="D760" s="211" t="s">
        <v>8260</v>
      </c>
      <c r="E760" s="211" t="s">
        <v>9189</v>
      </c>
      <c r="F760" s="210" t="s">
        <v>9204</v>
      </c>
      <c r="G760" s="213"/>
      <c r="H760" s="216" t="s">
        <v>9205</v>
      </c>
      <c r="I760" s="214" t="s">
        <v>9206</v>
      </c>
      <c r="J760" s="216" t="s">
        <v>9207</v>
      </c>
      <c r="K760" s="213"/>
      <c r="L760" s="213"/>
      <c r="M760" s="213"/>
      <c r="N760" s="213"/>
      <c r="O760" s="213"/>
      <c r="P760" s="213"/>
      <c r="Q760" s="213"/>
      <c r="R760" s="213"/>
      <c r="S760" s="213"/>
      <c r="T760" s="212"/>
      <c r="U760" s="212"/>
      <c r="V760" s="212"/>
      <c r="W760" s="212"/>
      <c r="X760" s="212"/>
      <c r="Y760" s="212"/>
      <c r="Z760" s="212"/>
      <c r="AA760" s="212"/>
      <c r="AB760" s="212"/>
      <c r="AC760" s="212"/>
      <c r="AD760" s="212"/>
    </row>
    <row r="761" ht="22.5" customHeight="1">
      <c r="A761" s="219">
        <v>32833.0</v>
      </c>
      <c r="B761" s="211" t="s">
        <v>20</v>
      </c>
      <c r="C761" s="222" t="s">
        <v>9208</v>
      </c>
      <c r="D761" s="211" t="s">
        <v>8260</v>
      </c>
      <c r="E761" s="211" t="s">
        <v>9189</v>
      </c>
      <c r="F761" s="213"/>
      <c r="G761" s="213"/>
      <c r="H761" s="214" t="s">
        <v>9209</v>
      </c>
      <c r="I761" s="215"/>
      <c r="J761" s="216" t="s">
        <v>9210</v>
      </c>
      <c r="K761" s="213"/>
      <c r="L761" s="213"/>
      <c r="M761" s="213"/>
      <c r="N761" s="213"/>
      <c r="O761" s="213"/>
      <c r="P761" s="213"/>
      <c r="Q761" s="213"/>
      <c r="R761" s="213"/>
      <c r="S761" s="213"/>
      <c r="T761" s="212"/>
      <c r="U761" s="212"/>
      <c r="V761" s="212"/>
      <c r="W761" s="212"/>
      <c r="X761" s="212"/>
      <c r="Y761" s="212"/>
      <c r="Z761" s="212"/>
      <c r="AA761" s="212"/>
      <c r="AB761" s="212"/>
      <c r="AC761" s="212"/>
      <c r="AD761" s="212"/>
    </row>
    <row r="762" ht="22.5" customHeight="1">
      <c r="A762" s="219">
        <v>32834.0</v>
      </c>
      <c r="B762" s="211" t="s">
        <v>20</v>
      </c>
      <c r="C762" s="222" t="s">
        <v>1152</v>
      </c>
      <c r="D762" s="211" t="s">
        <v>8260</v>
      </c>
      <c r="E762" s="211" t="s">
        <v>9189</v>
      </c>
      <c r="F762" s="213"/>
      <c r="G762" s="213"/>
      <c r="H762" s="216" t="s">
        <v>9211</v>
      </c>
      <c r="I762" s="216" t="s">
        <v>9212</v>
      </c>
      <c r="J762" s="215"/>
      <c r="K762" s="213"/>
      <c r="L762" s="213"/>
      <c r="M762" s="213"/>
      <c r="N762" s="213"/>
      <c r="O762" s="213"/>
      <c r="P762" s="213"/>
      <c r="Q762" s="213"/>
      <c r="R762" s="213"/>
      <c r="S762" s="213"/>
      <c r="T762" s="212"/>
      <c r="U762" s="212"/>
      <c r="V762" s="212"/>
      <c r="W762" s="212"/>
      <c r="X762" s="212"/>
      <c r="Y762" s="212"/>
      <c r="Z762" s="212"/>
      <c r="AA762" s="212"/>
      <c r="AB762" s="212"/>
      <c r="AC762" s="212"/>
      <c r="AD762" s="212"/>
    </row>
    <row r="763" ht="22.5" customHeight="1">
      <c r="A763" s="219">
        <v>32836.0</v>
      </c>
      <c r="B763" s="211" t="s">
        <v>20</v>
      </c>
      <c r="C763" s="222" t="s">
        <v>5685</v>
      </c>
      <c r="D763" s="211" t="s">
        <v>8260</v>
      </c>
      <c r="E763" s="211" t="s">
        <v>9189</v>
      </c>
      <c r="F763" s="213"/>
      <c r="G763" s="213"/>
      <c r="H763" s="216" t="s">
        <v>9213</v>
      </c>
      <c r="I763" s="215"/>
      <c r="J763" s="216" t="s">
        <v>9214</v>
      </c>
      <c r="K763" s="213"/>
      <c r="L763" s="213"/>
      <c r="M763" s="213"/>
      <c r="N763" s="213"/>
      <c r="O763" s="213"/>
      <c r="P763" s="213"/>
      <c r="Q763" s="213"/>
      <c r="R763" s="213"/>
      <c r="S763" s="213"/>
      <c r="T763" s="212"/>
      <c r="U763" s="212"/>
      <c r="V763" s="212"/>
      <c r="W763" s="212"/>
      <c r="X763" s="212"/>
      <c r="Y763" s="212"/>
      <c r="Z763" s="212"/>
      <c r="AA763" s="212"/>
      <c r="AB763" s="212"/>
      <c r="AC763" s="212"/>
      <c r="AD763" s="212"/>
    </row>
    <row r="764" ht="22.5" customHeight="1">
      <c r="A764" s="219">
        <v>32916.0</v>
      </c>
      <c r="B764" s="211" t="s">
        <v>20</v>
      </c>
      <c r="C764" s="222" t="s">
        <v>9215</v>
      </c>
      <c r="D764" s="211" t="s">
        <v>8260</v>
      </c>
      <c r="E764" s="211" t="s">
        <v>8260</v>
      </c>
      <c r="F764" s="213"/>
      <c r="G764" s="219" t="s">
        <v>318</v>
      </c>
      <c r="H764" s="214" t="s">
        <v>9216</v>
      </c>
      <c r="I764" s="215"/>
      <c r="J764" s="214" t="s">
        <v>9217</v>
      </c>
      <c r="K764" s="213"/>
      <c r="L764" s="213"/>
      <c r="M764" s="213"/>
      <c r="N764" s="213"/>
      <c r="O764" s="213"/>
      <c r="P764" s="213"/>
      <c r="Q764" s="213"/>
      <c r="R764" s="213"/>
      <c r="S764" s="213"/>
      <c r="T764" s="212"/>
      <c r="U764" s="212"/>
      <c r="V764" s="212"/>
      <c r="W764" s="212"/>
      <c r="X764" s="212"/>
      <c r="Y764" s="212"/>
      <c r="Z764" s="212"/>
      <c r="AA764" s="212"/>
      <c r="AB764" s="212"/>
      <c r="AC764" s="212"/>
      <c r="AD764" s="212"/>
    </row>
    <row r="765" ht="22.5" customHeight="1">
      <c r="A765" s="219">
        <v>33009.0</v>
      </c>
      <c r="B765" s="211" t="s">
        <v>102</v>
      </c>
      <c r="C765" s="211" t="s">
        <v>9218</v>
      </c>
      <c r="D765" s="222" t="s">
        <v>8260</v>
      </c>
      <c r="E765" s="211" t="s">
        <v>8260</v>
      </c>
      <c r="F765" s="213"/>
      <c r="G765" s="213"/>
      <c r="H765" s="214" t="s">
        <v>9219</v>
      </c>
      <c r="I765" s="216" t="s">
        <v>9220</v>
      </c>
      <c r="J765" s="216" t="s">
        <v>8727</v>
      </c>
      <c r="K765" s="213"/>
      <c r="L765" s="213"/>
      <c r="M765" s="213"/>
      <c r="N765" s="213"/>
      <c r="O765" s="213"/>
      <c r="P765" s="213"/>
      <c r="Q765" s="213"/>
      <c r="R765" s="213"/>
      <c r="S765" s="213"/>
      <c r="T765" s="212"/>
      <c r="U765" s="212"/>
      <c r="V765" s="212"/>
      <c r="W765" s="212"/>
      <c r="X765" s="212"/>
      <c r="Y765" s="212"/>
      <c r="Z765" s="212"/>
      <c r="AA765" s="212"/>
      <c r="AB765" s="212"/>
      <c r="AC765" s="212"/>
      <c r="AD765" s="212"/>
    </row>
    <row r="766" ht="22.5" customHeight="1">
      <c r="A766" s="219">
        <v>33009.0</v>
      </c>
      <c r="B766" s="211" t="s">
        <v>102</v>
      </c>
      <c r="C766" s="222" t="s">
        <v>9221</v>
      </c>
      <c r="D766" s="211" t="s">
        <v>8260</v>
      </c>
      <c r="E766" s="211" t="s">
        <v>8260</v>
      </c>
      <c r="F766" s="213"/>
      <c r="G766" s="213"/>
      <c r="H766" s="214" t="s">
        <v>9222</v>
      </c>
      <c r="I766" s="214" t="s">
        <v>8726</v>
      </c>
      <c r="J766" s="216" t="s">
        <v>8727</v>
      </c>
      <c r="K766" s="213"/>
      <c r="L766" s="213"/>
      <c r="M766" s="213"/>
      <c r="N766" s="213"/>
      <c r="O766" s="213"/>
      <c r="P766" s="213"/>
      <c r="Q766" s="213"/>
      <c r="R766" s="213"/>
      <c r="S766" s="213"/>
      <c r="T766" s="212"/>
      <c r="U766" s="212"/>
      <c r="V766" s="212"/>
      <c r="W766" s="212"/>
      <c r="X766" s="212"/>
      <c r="Y766" s="212"/>
      <c r="Z766" s="212"/>
      <c r="AA766" s="212"/>
      <c r="AB766" s="212"/>
      <c r="AC766" s="212"/>
      <c r="AD766" s="212"/>
    </row>
    <row r="767" ht="22.5" customHeight="1">
      <c r="A767" s="219">
        <v>33010.0</v>
      </c>
      <c r="B767" s="211" t="s">
        <v>102</v>
      </c>
      <c r="C767" s="211" t="s">
        <v>9223</v>
      </c>
      <c r="D767" s="222" t="s">
        <v>8260</v>
      </c>
      <c r="E767" s="211" t="s">
        <v>8260</v>
      </c>
      <c r="F767" s="213"/>
      <c r="G767" s="213"/>
      <c r="H767" s="214" t="s">
        <v>9224</v>
      </c>
      <c r="I767" s="216" t="s">
        <v>9225</v>
      </c>
      <c r="J767" s="216" t="s">
        <v>9226</v>
      </c>
      <c r="K767" s="213"/>
      <c r="L767" s="213"/>
      <c r="M767" s="213"/>
      <c r="N767" s="213"/>
      <c r="O767" s="213"/>
      <c r="P767" s="213"/>
      <c r="Q767" s="213"/>
      <c r="R767" s="213"/>
      <c r="S767" s="213"/>
      <c r="T767" s="212"/>
      <c r="U767" s="212"/>
      <c r="V767" s="212"/>
      <c r="W767" s="212"/>
      <c r="X767" s="212"/>
      <c r="Y767" s="212"/>
      <c r="Z767" s="212"/>
      <c r="AA767" s="212"/>
      <c r="AB767" s="212"/>
      <c r="AC767" s="212"/>
      <c r="AD767" s="212"/>
    </row>
    <row r="768" ht="22.5" customHeight="1">
      <c r="A768" s="219">
        <v>33011.0</v>
      </c>
      <c r="B768" s="211" t="s">
        <v>20</v>
      </c>
      <c r="C768" s="211" t="s">
        <v>6680</v>
      </c>
      <c r="D768" s="222" t="s">
        <v>8260</v>
      </c>
      <c r="E768" s="211" t="s">
        <v>7860</v>
      </c>
      <c r="F768" s="213"/>
      <c r="G768" s="213"/>
      <c r="H768" s="214" t="s">
        <v>9227</v>
      </c>
      <c r="I768" s="215"/>
      <c r="J768" s="237" t="s">
        <v>9228</v>
      </c>
      <c r="K768" s="213"/>
      <c r="L768" s="213"/>
      <c r="M768" s="213"/>
      <c r="N768" s="213"/>
      <c r="O768" s="213"/>
      <c r="P768" s="213"/>
      <c r="Q768" s="213"/>
      <c r="R768" s="213"/>
      <c r="S768" s="213"/>
      <c r="T768" s="212"/>
      <c r="U768" s="212"/>
      <c r="V768" s="212"/>
      <c r="W768" s="212"/>
      <c r="X768" s="212"/>
      <c r="Y768" s="212"/>
      <c r="Z768" s="212"/>
      <c r="AA768" s="212"/>
      <c r="AB768" s="212"/>
      <c r="AC768" s="212"/>
      <c r="AD768" s="212"/>
    </row>
    <row r="769" ht="22.5" customHeight="1">
      <c r="A769" s="219">
        <v>33013.0</v>
      </c>
      <c r="B769" s="211" t="s">
        <v>1206</v>
      </c>
      <c r="C769" s="211" t="s">
        <v>9229</v>
      </c>
      <c r="D769" s="211" t="s">
        <v>8260</v>
      </c>
      <c r="E769" s="222" t="s">
        <v>7766</v>
      </c>
      <c r="F769" s="210" t="s">
        <v>9230</v>
      </c>
      <c r="G769" s="213"/>
      <c r="H769" s="216" t="s">
        <v>9231</v>
      </c>
      <c r="I769" s="214" t="s">
        <v>9232</v>
      </c>
      <c r="J769" s="215"/>
      <c r="K769" s="213"/>
      <c r="L769" s="213"/>
      <c r="M769" s="213"/>
      <c r="N769" s="213"/>
      <c r="O769" s="213"/>
      <c r="P769" s="213"/>
      <c r="Q769" s="213"/>
      <c r="R769" s="213"/>
      <c r="S769" s="213"/>
      <c r="T769" s="212"/>
      <c r="U769" s="212"/>
      <c r="V769" s="212"/>
      <c r="W769" s="212"/>
      <c r="X769" s="212"/>
      <c r="Y769" s="212"/>
      <c r="Z769" s="212"/>
      <c r="AA769" s="212"/>
      <c r="AB769" s="212"/>
      <c r="AC769" s="212"/>
      <c r="AD769" s="212"/>
    </row>
    <row r="770" ht="22.5" customHeight="1">
      <c r="A770" s="219">
        <v>33016.0</v>
      </c>
      <c r="B770" s="211" t="s">
        <v>20</v>
      </c>
      <c r="C770" s="211" t="s">
        <v>9233</v>
      </c>
      <c r="D770" s="211" t="s">
        <v>8260</v>
      </c>
      <c r="E770" s="211" t="s">
        <v>9234</v>
      </c>
      <c r="F770" s="213"/>
      <c r="G770" s="219">
        <v>1.0</v>
      </c>
      <c r="H770" s="214" t="s">
        <v>9235</v>
      </c>
      <c r="I770" s="214" t="s">
        <v>9236</v>
      </c>
      <c r="J770" s="215"/>
      <c r="K770" s="213"/>
      <c r="L770" s="213"/>
      <c r="M770" s="213"/>
      <c r="N770" s="213"/>
      <c r="O770" s="213"/>
      <c r="P770" s="213"/>
      <c r="Q770" s="213"/>
      <c r="R770" s="213"/>
      <c r="S770" s="213"/>
      <c r="T770" s="212"/>
      <c r="U770" s="212"/>
      <c r="V770" s="212"/>
      <c r="W770" s="212"/>
      <c r="X770" s="212"/>
      <c r="Y770" s="212"/>
      <c r="Z770" s="212"/>
      <c r="AA770" s="212"/>
      <c r="AB770" s="212"/>
      <c r="AC770" s="212"/>
      <c r="AD770" s="212"/>
    </row>
    <row r="771" ht="22.5" customHeight="1">
      <c r="A771" s="219">
        <v>33017.0</v>
      </c>
      <c r="B771" s="211" t="s">
        <v>20</v>
      </c>
      <c r="C771" s="211" t="s">
        <v>9237</v>
      </c>
      <c r="D771" s="211" t="s">
        <v>8260</v>
      </c>
      <c r="E771" s="211" t="s">
        <v>9234</v>
      </c>
      <c r="F771" s="213"/>
      <c r="G771" s="219" t="s">
        <v>318</v>
      </c>
      <c r="H771" s="214" t="s">
        <v>9238</v>
      </c>
      <c r="I771" s="214" t="s">
        <v>9239</v>
      </c>
      <c r="J771" s="215"/>
      <c r="K771" s="213"/>
      <c r="L771" s="213"/>
      <c r="M771" s="213"/>
      <c r="N771" s="213"/>
      <c r="O771" s="213"/>
      <c r="P771" s="213"/>
      <c r="Q771" s="213"/>
      <c r="R771" s="213"/>
      <c r="S771" s="213"/>
      <c r="T771" s="212"/>
      <c r="U771" s="212"/>
      <c r="V771" s="212"/>
      <c r="W771" s="212"/>
      <c r="X771" s="212"/>
      <c r="Y771" s="212"/>
      <c r="Z771" s="212"/>
      <c r="AA771" s="212"/>
      <c r="AB771" s="212"/>
      <c r="AC771" s="212"/>
      <c r="AD771" s="212"/>
    </row>
    <row r="772" ht="22.5" customHeight="1">
      <c r="A772" s="219">
        <v>33018.0</v>
      </c>
      <c r="B772" s="211" t="s">
        <v>20</v>
      </c>
      <c r="C772" s="211" t="s">
        <v>9240</v>
      </c>
      <c r="D772" s="211" t="s">
        <v>8260</v>
      </c>
      <c r="E772" s="211" t="s">
        <v>9234</v>
      </c>
      <c r="F772" s="213"/>
      <c r="G772" s="219" t="s">
        <v>318</v>
      </c>
      <c r="H772" s="214" t="s">
        <v>9241</v>
      </c>
      <c r="I772" s="214" t="s">
        <v>9242</v>
      </c>
      <c r="J772" s="215"/>
      <c r="K772" s="213"/>
      <c r="L772" s="213"/>
      <c r="M772" s="213"/>
      <c r="N772" s="213"/>
      <c r="O772" s="213"/>
      <c r="P772" s="213"/>
      <c r="Q772" s="213"/>
      <c r="R772" s="213"/>
      <c r="S772" s="213"/>
      <c r="T772" s="212"/>
      <c r="U772" s="212"/>
      <c r="V772" s="212"/>
      <c r="W772" s="212"/>
      <c r="X772" s="212"/>
      <c r="Y772" s="212"/>
      <c r="Z772" s="212"/>
      <c r="AA772" s="212"/>
      <c r="AB772" s="212"/>
      <c r="AC772" s="212"/>
      <c r="AD772" s="212"/>
    </row>
    <row r="773" ht="22.5" customHeight="1">
      <c r="A773" s="219">
        <v>33105.0</v>
      </c>
      <c r="B773" s="211" t="s">
        <v>20</v>
      </c>
      <c r="C773" s="222" t="s">
        <v>9132</v>
      </c>
      <c r="D773" s="211" t="s">
        <v>8260</v>
      </c>
      <c r="E773" s="211" t="s">
        <v>8260</v>
      </c>
      <c r="F773" s="213"/>
      <c r="G773" s="213"/>
      <c r="H773" s="216" t="s">
        <v>9243</v>
      </c>
      <c r="I773" s="214" t="s">
        <v>9244</v>
      </c>
      <c r="J773" s="216" t="s">
        <v>9133</v>
      </c>
      <c r="K773" s="213"/>
      <c r="L773" s="213"/>
      <c r="M773" s="213"/>
      <c r="N773" s="213"/>
      <c r="O773" s="213"/>
      <c r="P773" s="213"/>
      <c r="Q773" s="213"/>
      <c r="R773" s="213"/>
      <c r="S773" s="213"/>
      <c r="T773" s="212"/>
      <c r="U773" s="212"/>
      <c r="V773" s="212"/>
      <c r="W773" s="212"/>
      <c r="X773" s="212"/>
      <c r="Y773" s="212"/>
      <c r="Z773" s="212"/>
      <c r="AA773" s="212"/>
      <c r="AB773" s="212"/>
      <c r="AC773" s="212"/>
      <c r="AD773" s="212"/>
    </row>
    <row r="774" ht="22.5" customHeight="1">
      <c r="A774" s="219">
        <v>33152.0</v>
      </c>
      <c r="B774" s="211" t="s">
        <v>20</v>
      </c>
      <c r="C774" s="211" t="s">
        <v>9245</v>
      </c>
      <c r="D774" s="222" t="s">
        <v>8260</v>
      </c>
      <c r="E774" s="211" t="s">
        <v>177</v>
      </c>
      <c r="F774" s="213"/>
      <c r="G774" s="219">
        <v>1.0</v>
      </c>
      <c r="H774" s="214" t="s">
        <v>9246</v>
      </c>
      <c r="I774" s="215"/>
      <c r="J774" s="215"/>
      <c r="K774" s="213"/>
      <c r="L774" s="213"/>
      <c r="M774" s="213"/>
      <c r="N774" s="213"/>
      <c r="O774" s="213"/>
      <c r="P774" s="213"/>
      <c r="Q774" s="213"/>
      <c r="R774" s="213"/>
      <c r="S774" s="213"/>
      <c r="T774" s="212"/>
      <c r="U774" s="212"/>
      <c r="V774" s="212"/>
      <c r="W774" s="212"/>
      <c r="X774" s="212"/>
      <c r="Y774" s="212"/>
      <c r="Z774" s="212"/>
      <c r="AA774" s="212"/>
      <c r="AB774" s="212"/>
      <c r="AC774" s="212"/>
      <c r="AD774" s="212"/>
    </row>
    <row r="775" ht="22.5" customHeight="1">
      <c r="A775" s="219">
        <v>33224.0</v>
      </c>
      <c r="B775" s="211" t="s">
        <v>20</v>
      </c>
      <c r="C775" s="211" t="s">
        <v>9247</v>
      </c>
      <c r="D775" s="211" t="s">
        <v>8260</v>
      </c>
      <c r="E775" s="211" t="s">
        <v>8886</v>
      </c>
      <c r="F775" s="213"/>
      <c r="G775" s="213"/>
      <c r="H775" s="215"/>
      <c r="I775" s="215"/>
      <c r="J775" s="214" t="s">
        <v>9248</v>
      </c>
      <c r="K775" s="213"/>
      <c r="L775" s="213"/>
      <c r="M775" s="213"/>
      <c r="N775" s="213"/>
      <c r="O775" s="213"/>
      <c r="P775" s="213"/>
      <c r="Q775" s="213"/>
      <c r="R775" s="213"/>
      <c r="S775" s="213"/>
      <c r="T775" s="212"/>
      <c r="U775" s="212"/>
      <c r="V775" s="212"/>
      <c r="W775" s="212"/>
      <c r="X775" s="212"/>
      <c r="Y775" s="212"/>
      <c r="Z775" s="212"/>
      <c r="AA775" s="212"/>
      <c r="AB775" s="212"/>
      <c r="AC775" s="212"/>
      <c r="AD775" s="212"/>
    </row>
    <row r="776" ht="22.5" customHeight="1">
      <c r="A776" s="219">
        <v>33225.0</v>
      </c>
      <c r="B776" s="211" t="s">
        <v>20</v>
      </c>
      <c r="C776" s="211" t="s">
        <v>9249</v>
      </c>
      <c r="D776" s="211" t="s">
        <v>8260</v>
      </c>
      <c r="E776" s="211" t="s">
        <v>8260</v>
      </c>
      <c r="F776" s="213"/>
      <c r="G776" s="213"/>
      <c r="H776" s="214" t="s">
        <v>9250</v>
      </c>
      <c r="I776" s="238"/>
      <c r="J776" s="214" t="s">
        <v>9251</v>
      </c>
      <c r="K776" s="213"/>
      <c r="L776" s="213"/>
      <c r="M776" s="213"/>
      <c r="N776" s="213"/>
      <c r="O776" s="213"/>
      <c r="P776" s="213"/>
      <c r="Q776" s="213"/>
      <c r="R776" s="213"/>
      <c r="S776" s="213"/>
      <c r="T776" s="212"/>
      <c r="U776" s="212"/>
      <c r="V776" s="212"/>
      <c r="W776" s="212"/>
      <c r="X776" s="212"/>
      <c r="Y776" s="212"/>
      <c r="Z776" s="212"/>
      <c r="AA776" s="212"/>
      <c r="AB776" s="212"/>
      <c r="AC776" s="212"/>
      <c r="AD776" s="212"/>
    </row>
    <row r="777" ht="22.5" customHeight="1">
      <c r="A777" s="219">
        <v>33227.0</v>
      </c>
      <c r="B777" s="211" t="s">
        <v>20</v>
      </c>
      <c r="C777" s="211" t="s">
        <v>9252</v>
      </c>
      <c r="D777" s="211" t="s">
        <v>8260</v>
      </c>
      <c r="E777" s="211" t="s">
        <v>7766</v>
      </c>
      <c r="F777" s="213"/>
      <c r="G777" s="213"/>
      <c r="H777" s="215"/>
      <c r="I777" s="215"/>
      <c r="J777" s="214" t="s">
        <v>9253</v>
      </c>
      <c r="K777" s="213"/>
      <c r="L777" s="213"/>
      <c r="M777" s="213"/>
      <c r="N777" s="213"/>
      <c r="O777" s="213"/>
      <c r="P777" s="213"/>
      <c r="Q777" s="213"/>
      <c r="R777" s="213"/>
      <c r="S777" s="213"/>
      <c r="T777" s="212"/>
      <c r="U777" s="212"/>
      <c r="V777" s="212"/>
      <c r="W777" s="212"/>
      <c r="X777" s="212"/>
      <c r="Y777" s="212"/>
      <c r="Z777" s="212"/>
      <c r="AA777" s="212"/>
      <c r="AB777" s="212"/>
      <c r="AC777" s="212"/>
      <c r="AD777" s="212"/>
    </row>
    <row r="778" ht="22.5" customHeight="1">
      <c r="A778" s="219">
        <v>33228.0</v>
      </c>
      <c r="B778" s="211" t="s">
        <v>2364</v>
      </c>
      <c r="C778" s="211" t="s">
        <v>9254</v>
      </c>
      <c r="D778" s="211" t="s">
        <v>177</v>
      </c>
      <c r="E778" s="239" t="s">
        <v>7766</v>
      </c>
      <c r="F778" s="210" t="s">
        <v>9255</v>
      </c>
      <c r="G778" s="213"/>
      <c r="H778" s="214" t="s">
        <v>9256</v>
      </c>
      <c r="I778" s="215"/>
      <c r="J778" s="216" t="s">
        <v>9257</v>
      </c>
      <c r="K778" s="213"/>
      <c r="L778" s="213"/>
      <c r="M778" s="213"/>
      <c r="N778" s="213"/>
      <c r="O778" s="213"/>
      <c r="P778" s="213"/>
      <c r="Q778" s="213"/>
      <c r="R778" s="213"/>
      <c r="S778" s="213"/>
      <c r="T778" s="212"/>
      <c r="U778" s="212"/>
      <c r="V778" s="212"/>
      <c r="W778" s="212"/>
      <c r="X778" s="212"/>
      <c r="Y778" s="212"/>
      <c r="Z778" s="212"/>
      <c r="AA778" s="212"/>
      <c r="AB778" s="212"/>
      <c r="AC778" s="212"/>
      <c r="AD778" s="212"/>
    </row>
    <row r="779" ht="22.5" customHeight="1">
      <c r="A779" s="213"/>
      <c r="B779" s="211" t="s">
        <v>20</v>
      </c>
      <c r="C779" s="211" t="s">
        <v>9258</v>
      </c>
      <c r="D779" s="211" t="s">
        <v>8260</v>
      </c>
      <c r="E779" s="211" t="s">
        <v>7766</v>
      </c>
      <c r="F779" s="213"/>
      <c r="G779" s="213"/>
      <c r="H779" s="216" t="s">
        <v>9259</v>
      </c>
      <c r="I779" s="216" t="s">
        <v>9260</v>
      </c>
      <c r="J779" s="216" t="s">
        <v>9261</v>
      </c>
      <c r="K779" s="213"/>
      <c r="L779" s="213"/>
      <c r="M779" s="213"/>
      <c r="N779" s="213"/>
      <c r="O779" s="213"/>
      <c r="P779" s="213"/>
      <c r="Q779" s="213"/>
      <c r="R779" s="213"/>
      <c r="S779" s="213"/>
      <c r="T779" s="212"/>
      <c r="U779" s="212"/>
      <c r="V779" s="212"/>
      <c r="W779" s="212"/>
      <c r="X779" s="212"/>
      <c r="Y779" s="212"/>
      <c r="Z779" s="212"/>
      <c r="AA779" s="212"/>
      <c r="AB779" s="212"/>
      <c r="AC779" s="212"/>
      <c r="AD779" s="212"/>
    </row>
    <row r="780" ht="22.5" customHeight="1">
      <c r="A780" s="219"/>
      <c r="B780" s="211" t="s">
        <v>20</v>
      </c>
      <c r="C780" s="211" t="s">
        <v>8850</v>
      </c>
      <c r="D780" s="211" t="s">
        <v>8260</v>
      </c>
      <c r="E780" s="211"/>
      <c r="F780" s="213"/>
      <c r="G780" s="213"/>
      <c r="H780" s="214" t="s">
        <v>9262</v>
      </c>
      <c r="I780" s="215"/>
      <c r="J780" s="216" t="s">
        <v>9263</v>
      </c>
      <c r="K780" s="213"/>
      <c r="L780" s="213"/>
      <c r="M780" s="213"/>
      <c r="N780" s="213"/>
      <c r="O780" s="213"/>
      <c r="P780" s="213"/>
      <c r="Q780" s="213"/>
      <c r="R780" s="213"/>
      <c r="S780" s="213"/>
      <c r="T780" s="212"/>
      <c r="U780" s="212"/>
      <c r="V780" s="212"/>
      <c r="W780" s="212"/>
      <c r="X780" s="212"/>
      <c r="Y780" s="212"/>
      <c r="Z780" s="212"/>
      <c r="AA780" s="212"/>
      <c r="AB780" s="212"/>
      <c r="AC780" s="212"/>
      <c r="AD780" s="212"/>
    </row>
    <row r="781" ht="22.5" customHeight="1">
      <c r="A781" s="219"/>
      <c r="B781" s="211" t="s">
        <v>20</v>
      </c>
      <c r="C781" s="211" t="s">
        <v>4084</v>
      </c>
      <c r="D781" s="211" t="s">
        <v>8260</v>
      </c>
      <c r="E781" s="211" t="s">
        <v>8260</v>
      </c>
      <c r="F781" s="213"/>
      <c r="G781" s="213"/>
      <c r="H781" s="214" t="s">
        <v>9264</v>
      </c>
      <c r="I781" s="215"/>
      <c r="J781" s="216" t="s">
        <v>9265</v>
      </c>
      <c r="K781" s="213"/>
      <c r="L781" s="213"/>
      <c r="M781" s="213"/>
      <c r="N781" s="213"/>
      <c r="O781" s="213"/>
      <c r="P781" s="213"/>
      <c r="Q781" s="213"/>
      <c r="R781" s="213"/>
      <c r="S781" s="213"/>
      <c r="T781" s="212"/>
      <c r="U781" s="212"/>
      <c r="V781" s="212"/>
      <c r="W781" s="212"/>
      <c r="X781" s="212"/>
      <c r="Y781" s="212"/>
      <c r="Z781" s="212"/>
      <c r="AA781" s="212"/>
      <c r="AB781" s="212"/>
      <c r="AC781" s="212"/>
      <c r="AD781" s="212"/>
    </row>
    <row r="782" ht="22.5" customHeight="1">
      <c r="A782" s="213"/>
      <c r="B782" s="211" t="s">
        <v>20</v>
      </c>
      <c r="C782" s="211" t="s">
        <v>2267</v>
      </c>
      <c r="D782" s="211" t="s">
        <v>177</v>
      </c>
      <c r="E782" s="211" t="s">
        <v>177</v>
      </c>
      <c r="F782" s="213"/>
      <c r="G782" s="213"/>
      <c r="H782" s="214" t="s">
        <v>9266</v>
      </c>
      <c r="I782" s="215"/>
      <c r="J782" s="215"/>
      <c r="K782" s="213"/>
      <c r="L782" s="213"/>
      <c r="M782" s="213"/>
      <c r="N782" s="213"/>
      <c r="O782" s="213"/>
      <c r="P782" s="213"/>
      <c r="Q782" s="213"/>
      <c r="R782" s="213"/>
      <c r="S782" s="213"/>
      <c r="T782" s="212"/>
      <c r="U782" s="212"/>
      <c r="V782" s="212"/>
      <c r="W782" s="212"/>
      <c r="X782" s="212"/>
      <c r="Y782" s="212"/>
      <c r="Z782" s="212"/>
      <c r="AA782" s="212"/>
      <c r="AB782" s="212"/>
      <c r="AC782" s="212"/>
      <c r="AD782" s="212"/>
    </row>
    <row r="783" ht="22.5" customHeight="1">
      <c r="A783" s="213"/>
      <c r="B783" s="211" t="s">
        <v>20</v>
      </c>
      <c r="C783" s="28" t="s">
        <v>5407</v>
      </c>
      <c r="D783" s="211" t="s">
        <v>177</v>
      </c>
      <c r="E783" s="28" t="s">
        <v>7815</v>
      </c>
      <c r="F783" s="213"/>
      <c r="G783" s="213"/>
      <c r="H783" s="27"/>
      <c r="I783" s="215"/>
      <c r="J783" s="216" t="s">
        <v>9191</v>
      </c>
      <c r="K783" s="213"/>
      <c r="L783" s="213"/>
      <c r="M783" s="213"/>
      <c r="N783" s="213"/>
      <c r="O783" s="213"/>
      <c r="P783" s="213"/>
      <c r="Q783" s="213"/>
      <c r="R783" s="213"/>
      <c r="S783" s="213"/>
      <c r="T783" s="212"/>
      <c r="U783" s="212"/>
      <c r="V783" s="212"/>
      <c r="W783" s="212"/>
      <c r="X783" s="212"/>
      <c r="Y783" s="212"/>
      <c r="Z783" s="212"/>
      <c r="AA783" s="212"/>
      <c r="AB783" s="212"/>
      <c r="AC783" s="212"/>
      <c r="AD783" s="212"/>
    </row>
    <row r="784" ht="22.5" customHeight="1">
      <c r="A784" s="213"/>
      <c r="B784" s="211" t="s">
        <v>9267</v>
      </c>
      <c r="C784" s="211" t="s">
        <v>9268</v>
      </c>
      <c r="D784" s="211" t="s">
        <v>8260</v>
      </c>
      <c r="E784" s="211" t="s">
        <v>8260</v>
      </c>
      <c r="F784" s="213"/>
      <c r="G784" s="213"/>
      <c r="H784" s="216" t="s">
        <v>9269</v>
      </c>
      <c r="I784" s="215"/>
      <c r="J784" s="216" t="s">
        <v>9270</v>
      </c>
      <c r="K784" s="213"/>
      <c r="L784" s="213"/>
      <c r="M784" s="213"/>
      <c r="N784" s="213"/>
      <c r="O784" s="213"/>
      <c r="P784" s="213"/>
      <c r="Q784" s="213"/>
      <c r="R784" s="213"/>
      <c r="S784" s="213"/>
      <c r="T784" s="212"/>
      <c r="U784" s="212"/>
      <c r="V784" s="212"/>
      <c r="W784" s="212"/>
      <c r="X784" s="212"/>
      <c r="Y784" s="212"/>
      <c r="Z784" s="212"/>
      <c r="AA784" s="212"/>
      <c r="AB784" s="212"/>
      <c r="AC784" s="212"/>
      <c r="AD784" s="212"/>
    </row>
    <row r="785" ht="22.5" customHeight="1">
      <c r="A785" s="210"/>
      <c r="B785" s="211" t="s">
        <v>20</v>
      </c>
      <c r="C785" s="211" t="s">
        <v>9271</v>
      </c>
      <c r="D785" s="211" t="s">
        <v>177</v>
      </c>
      <c r="E785" s="211" t="s">
        <v>177</v>
      </c>
      <c r="F785" s="213"/>
      <c r="G785" s="213"/>
      <c r="H785" s="216" t="s">
        <v>9272</v>
      </c>
      <c r="I785" s="215"/>
      <c r="J785" s="215"/>
      <c r="K785" s="213"/>
      <c r="L785" s="213"/>
      <c r="M785" s="213"/>
      <c r="N785" s="213"/>
      <c r="O785" s="213"/>
      <c r="P785" s="213"/>
      <c r="Q785" s="213"/>
      <c r="R785" s="213"/>
      <c r="S785" s="213"/>
      <c r="T785" s="212"/>
      <c r="U785" s="212"/>
      <c r="V785" s="212"/>
      <c r="W785" s="212"/>
      <c r="X785" s="212"/>
      <c r="Y785" s="212"/>
      <c r="Z785" s="212"/>
      <c r="AA785" s="212"/>
      <c r="AB785" s="212"/>
      <c r="AC785" s="212"/>
      <c r="AD785" s="212"/>
    </row>
    <row r="786" ht="22.5" customHeight="1">
      <c r="A786" s="213"/>
      <c r="B786" s="211" t="s">
        <v>20</v>
      </c>
      <c r="C786" s="28" t="s">
        <v>9273</v>
      </c>
      <c r="D786" s="211" t="s">
        <v>177</v>
      </c>
      <c r="E786" s="211" t="s">
        <v>177</v>
      </c>
      <c r="F786" s="213"/>
      <c r="G786" s="213"/>
      <c r="H786" s="216" t="s">
        <v>9274</v>
      </c>
      <c r="I786" s="215"/>
      <c r="J786" s="215"/>
      <c r="K786" s="213"/>
      <c r="L786" s="213"/>
      <c r="M786" s="213"/>
      <c r="N786" s="213"/>
      <c r="O786" s="213"/>
      <c r="P786" s="213"/>
      <c r="Q786" s="213"/>
      <c r="R786" s="213"/>
      <c r="S786" s="213"/>
      <c r="T786" s="212"/>
      <c r="U786" s="212"/>
      <c r="V786" s="212"/>
      <c r="W786" s="212"/>
      <c r="X786" s="212"/>
      <c r="Y786" s="212"/>
      <c r="Z786" s="212"/>
      <c r="AA786" s="212"/>
      <c r="AB786" s="212"/>
      <c r="AC786" s="212"/>
      <c r="AD786" s="212"/>
    </row>
    <row r="787" ht="22.5" customHeight="1">
      <c r="A787" s="219"/>
      <c r="B787" s="211" t="s">
        <v>20</v>
      </c>
      <c r="C787" s="222" t="s">
        <v>9275</v>
      </c>
      <c r="D787" s="211" t="s">
        <v>177</v>
      </c>
      <c r="E787" s="211" t="s">
        <v>177</v>
      </c>
      <c r="F787" s="213"/>
      <c r="G787" s="213"/>
      <c r="H787" s="214" t="s">
        <v>9276</v>
      </c>
      <c r="I787" s="216" t="s">
        <v>9277</v>
      </c>
      <c r="J787" s="216" t="s">
        <v>9037</v>
      </c>
      <c r="K787" s="213"/>
      <c r="L787" s="213"/>
      <c r="M787" s="213"/>
      <c r="N787" s="213"/>
      <c r="O787" s="213"/>
      <c r="P787" s="213"/>
      <c r="Q787" s="213"/>
      <c r="R787" s="213"/>
      <c r="S787" s="213"/>
      <c r="T787" s="212"/>
      <c r="U787" s="212"/>
      <c r="V787" s="212"/>
      <c r="W787" s="212"/>
      <c r="X787" s="212"/>
      <c r="Y787" s="212"/>
      <c r="Z787" s="212"/>
      <c r="AA787" s="212"/>
      <c r="AB787" s="212"/>
      <c r="AC787" s="212"/>
      <c r="AD787" s="212"/>
    </row>
    <row r="788" ht="22.5" customHeight="1">
      <c r="A788" s="213"/>
      <c r="B788" s="211" t="s">
        <v>20</v>
      </c>
      <c r="C788" s="211" t="s">
        <v>1941</v>
      </c>
      <c r="D788" s="211" t="s">
        <v>177</v>
      </c>
      <c r="E788" s="211" t="s">
        <v>178</v>
      </c>
      <c r="F788" s="210" t="s">
        <v>9278</v>
      </c>
      <c r="G788" s="213"/>
      <c r="H788" s="214" t="s">
        <v>9279</v>
      </c>
      <c r="I788" s="216" t="s">
        <v>9280</v>
      </c>
      <c r="J788" s="215"/>
      <c r="K788" s="213"/>
      <c r="L788" s="213"/>
      <c r="M788" s="213"/>
      <c r="N788" s="213"/>
      <c r="O788" s="213"/>
      <c r="P788" s="213"/>
      <c r="Q788" s="213"/>
      <c r="R788" s="213"/>
      <c r="S788" s="213"/>
      <c r="T788" s="212"/>
      <c r="U788" s="212"/>
      <c r="V788" s="212"/>
      <c r="W788" s="212"/>
      <c r="X788" s="212"/>
      <c r="Y788" s="212"/>
      <c r="Z788" s="212"/>
      <c r="AA788" s="212"/>
      <c r="AB788" s="212"/>
      <c r="AC788" s="212"/>
      <c r="AD788" s="212"/>
    </row>
    <row r="789" ht="22.5" customHeight="1">
      <c r="A789" s="213"/>
      <c r="B789" s="211" t="s">
        <v>20</v>
      </c>
      <c r="C789" s="240" t="s">
        <v>804</v>
      </c>
      <c r="D789" s="211" t="s">
        <v>177</v>
      </c>
      <c r="E789" s="211" t="s">
        <v>178</v>
      </c>
      <c r="F789" s="213"/>
      <c r="G789" s="213"/>
      <c r="H789" s="216" t="s">
        <v>9281</v>
      </c>
      <c r="I789" s="223" t="s">
        <v>9282</v>
      </c>
      <c r="J789" s="215"/>
      <c r="K789" s="213"/>
      <c r="L789" s="213"/>
      <c r="M789" s="213"/>
      <c r="N789" s="213"/>
      <c r="O789" s="213"/>
      <c r="P789" s="213"/>
      <c r="Q789" s="213"/>
      <c r="R789" s="213"/>
      <c r="S789" s="213"/>
      <c r="T789" s="212"/>
      <c r="U789" s="212"/>
      <c r="V789" s="212"/>
      <c r="W789" s="212"/>
      <c r="X789" s="212"/>
      <c r="Y789" s="212"/>
      <c r="Z789" s="212"/>
      <c r="AA789" s="212"/>
      <c r="AB789" s="212"/>
      <c r="AC789" s="212"/>
      <c r="AD789" s="212"/>
    </row>
    <row r="790" ht="22.5" customHeight="1">
      <c r="A790" s="213"/>
      <c r="B790" s="211" t="s">
        <v>20</v>
      </c>
      <c r="C790" s="211" t="s">
        <v>74</v>
      </c>
      <c r="D790" s="211" t="s">
        <v>177</v>
      </c>
      <c r="E790" s="211" t="s">
        <v>3428</v>
      </c>
      <c r="F790" s="213"/>
      <c r="G790" s="213"/>
      <c r="H790" s="216" t="s">
        <v>9283</v>
      </c>
      <c r="I790" s="215"/>
      <c r="J790" s="215"/>
      <c r="K790" s="213"/>
      <c r="L790" s="213"/>
      <c r="M790" s="213"/>
      <c r="N790" s="213"/>
      <c r="O790" s="213"/>
      <c r="P790" s="213"/>
      <c r="Q790" s="213"/>
      <c r="R790" s="213"/>
      <c r="S790" s="213"/>
      <c r="T790" s="212"/>
      <c r="U790" s="212"/>
      <c r="V790" s="212"/>
      <c r="W790" s="212"/>
      <c r="X790" s="212"/>
      <c r="Y790" s="212"/>
      <c r="Z790" s="212"/>
      <c r="AA790" s="212"/>
      <c r="AB790" s="212"/>
      <c r="AC790" s="212"/>
      <c r="AD790" s="212"/>
    </row>
    <row r="791" ht="22.5" customHeight="1">
      <c r="A791" s="213"/>
      <c r="B791" s="211" t="s">
        <v>20</v>
      </c>
      <c r="C791" s="211" t="s">
        <v>4981</v>
      </c>
      <c r="D791" s="211" t="s">
        <v>177</v>
      </c>
      <c r="E791" s="211" t="s">
        <v>177</v>
      </c>
      <c r="F791" s="213"/>
      <c r="G791" s="213"/>
      <c r="H791" s="216" t="s">
        <v>9284</v>
      </c>
      <c r="I791" s="215"/>
      <c r="J791" s="215"/>
      <c r="K791" s="213"/>
      <c r="L791" s="213"/>
      <c r="M791" s="213"/>
      <c r="N791" s="213"/>
      <c r="O791" s="213"/>
      <c r="P791" s="213"/>
      <c r="Q791" s="213"/>
      <c r="R791" s="213"/>
      <c r="S791" s="213"/>
      <c r="T791" s="212"/>
      <c r="U791" s="212"/>
      <c r="V791" s="212"/>
      <c r="W791" s="212"/>
      <c r="X791" s="212"/>
      <c r="Y791" s="212"/>
      <c r="Z791" s="212"/>
      <c r="AA791" s="212"/>
      <c r="AB791" s="212"/>
      <c r="AC791" s="212"/>
      <c r="AD791" s="212"/>
    </row>
    <row r="792" ht="22.5" customHeight="1">
      <c r="A792" s="225"/>
      <c r="B792" s="211" t="s">
        <v>20</v>
      </c>
      <c r="C792" s="28" t="s">
        <v>7919</v>
      </c>
      <c r="D792" s="211" t="s">
        <v>177</v>
      </c>
      <c r="E792" s="211" t="s">
        <v>7977</v>
      </c>
      <c r="F792" s="213"/>
      <c r="G792" s="219">
        <v>1.0</v>
      </c>
      <c r="H792" s="216" t="s">
        <v>9285</v>
      </c>
      <c r="I792" s="215"/>
      <c r="J792" s="215"/>
      <c r="K792" s="213"/>
      <c r="L792" s="213"/>
      <c r="M792" s="213"/>
      <c r="N792" s="213"/>
      <c r="O792" s="213"/>
      <c r="P792" s="213"/>
      <c r="Q792" s="213"/>
      <c r="R792" s="213"/>
      <c r="S792" s="213"/>
      <c r="T792" s="212"/>
      <c r="U792" s="212"/>
      <c r="V792" s="212"/>
      <c r="W792" s="212"/>
      <c r="X792" s="212"/>
      <c r="Y792" s="212"/>
      <c r="Z792" s="212"/>
      <c r="AA792" s="212"/>
      <c r="AB792" s="212"/>
      <c r="AC792" s="212"/>
      <c r="AD792" s="212"/>
    </row>
    <row r="793" ht="22.5" customHeight="1">
      <c r="A793" s="225"/>
      <c r="B793" s="211" t="s">
        <v>20</v>
      </c>
      <c r="C793" s="28" t="s">
        <v>7424</v>
      </c>
      <c r="D793" s="211" t="s">
        <v>177</v>
      </c>
      <c r="E793" s="28" t="s">
        <v>7815</v>
      </c>
      <c r="F793" s="213"/>
      <c r="G793" s="213"/>
      <c r="H793" s="214" t="s">
        <v>9286</v>
      </c>
      <c r="I793" s="215"/>
      <c r="J793" s="215"/>
      <c r="K793" s="213"/>
      <c r="L793" s="213"/>
      <c r="M793" s="213"/>
      <c r="N793" s="213"/>
      <c r="O793" s="213"/>
      <c r="P793" s="213"/>
      <c r="Q793" s="213"/>
      <c r="R793" s="213"/>
      <c r="S793" s="213"/>
      <c r="T793" s="212"/>
      <c r="U793" s="212"/>
      <c r="V793" s="212"/>
      <c r="W793" s="212"/>
      <c r="X793" s="212"/>
      <c r="Y793" s="212"/>
      <c r="Z793" s="212"/>
      <c r="AA793" s="212"/>
      <c r="AB793" s="212"/>
      <c r="AC793" s="212"/>
      <c r="AD793" s="212"/>
    </row>
    <row r="794" ht="22.5" customHeight="1">
      <c r="A794" s="210"/>
      <c r="B794" s="211" t="s">
        <v>220</v>
      </c>
      <c r="C794" s="211" t="s">
        <v>1740</v>
      </c>
      <c r="D794" s="211" t="s">
        <v>177</v>
      </c>
      <c r="E794" s="211" t="s">
        <v>177</v>
      </c>
      <c r="F794" s="213"/>
      <c r="G794" s="213"/>
      <c r="H794" s="216" t="s">
        <v>1741</v>
      </c>
      <c r="I794" s="216" t="s">
        <v>1742</v>
      </c>
      <c r="J794" s="215"/>
      <c r="K794" s="213"/>
      <c r="L794" s="213"/>
      <c r="M794" s="213"/>
      <c r="N794" s="213"/>
      <c r="O794" s="213"/>
      <c r="P794" s="213"/>
      <c r="Q794" s="213"/>
      <c r="R794" s="213"/>
      <c r="S794" s="213"/>
      <c r="T794" s="212"/>
      <c r="U794" s="212"/>
      <c r="V794" s="212"/>
      <c r="W794" s="212"/>
      <c r="X794" s="212"/>
      <c r="Y794" s="212"/>
      <c r="Z794" s="212"/>
      <c r="AA794" s="212"/>
      <c r="AB794" s="212"/>
      <c r="AC794" s="212"/>
      <c r="AD794" s="212"/>
    </row>
    <row r="795" ht="22.5" customHeight="1">
      <c r="A795" s="213"/>
      <c r="B795" s="211" t="s">
        <v>20</v>
      </c>
      <c r="C795" s="211" t="s">
        <v>9287</v>
      </c>
      <c r="D795" s="211" t="s">
        <v>177</v>
      </c>
      <c r="E795" s="211"/>
      <c r="F795" s="213"/>
      <c r="G795" s="213"/>
      <c r="H795" s="216" t="s">
        <v>9288</v>
      </c>
      <c r="I795" s="215"/>
      <c r="J795" s="216" t="s">
        <v>9289</v>
      </c>
      <c r="K795" s="213"/>
      <c r="L795" s="213"/>
      <c r="M795" s="213"/>
      <c r="N795" s="213"/>
      <c r="O795" s="213"/>
      <c r="P795" s="213"/>
      <c r="Q795" s="213"/>
      <c r="R795" s="213"/>
      <c r="S795" s="213"/>
      <c r="T795" s="212"/>
      <c r="U795" s="212"/>
      <c r="V795" s="212"/>
      <c r="W795" s="212"/>
      <c r="X795" s="212"/>
      <c r="Y795" s="212"/>
      <c r="Z795" s="212"/>
      <c r="AA795" s="212"/>
      <c r="AB795" s="212"/>
      <c r="AC795" s="212"/>
      <c r="AD795" s="212"/>
    </row>
    <row r="796" ht="22.5" customHeight="1">
      <c r="A796" s="212"/>
      <c r="B796" s="211" t="s">
        <v>20</v>
      </c>
      <c r="C796" s="241" t="s">
        <v>963</v>
      </c>
      <c r="D796" s="211" t="s">
        <v>177</v>
      </c>
      <c r="E796" s="211" t="s">
        <v>177</v>
      </c>
      <c r="F796" s="212"/>
      <c r="G796" s="212"/>
      <c r="H796" s="242" t="s">
        <v>9290</v>
      </c>
      <c r="I796" s="242" t="s">
        <v>9291</v>
      </c>
      <c r="J796" s="242" t="s">
        <v>9292</v>
      </c>
      <c r="K796" s="212"/>
      <c r="L796" s="212"/>
      <c r="M796" s="212"/>
      <c r="N796" s="212"/>
      <c r="O796" s="212"/>
      <c r="P796" s="212"/>
      <c r="Q796" s="212"/>
      <c r="R796" s="212"/>
      <c r="S796" s="212"/>
      <c r="T796" s="212"/>
      <c r="U796" s="212"/>
      <c r="V796" s="212"/>
      <c r="W796" s="212"/>
      <c r="X796" s="212"/>
      <c r="Y796" s="212"/>
      <c r="Z796" s="212"/>
      <c r="AA796" s="212"/>
      <c r="AB796" s="212"/>
      <c r="AC796" s="212"/>
      <c r="AD796" s="212"/>
    </row>
    <row r="797" ht="22.5" customHeight="1">
      <c r="A797" s="10"/>
      <c r="B797" s="8" t="s">
        <v>20</v>
      </c>
      <c r="C797" s="11" t="s">
        <v>1925</v>
      </c>
      <c r="D797" s="8" t="s">
        <v>177</v>
      </c>
      <c r="E797" s="8" t="s">
        <v>8079</v>
      </c>
      <c r="F797" s="8" t="s">
        <v>9293</v>
      </c>
      <c r="H797" s="9" t="s">
        <v>9294</v>
      </c>
      <c r="AD797" s="212"/>
    </row>
    <row r="798" ht="22.5" customHeight="1">
      <c r="A798" s="10"/>
      <c r="B798" s="8" t="s">
        <v>20</v>
      </c>
      <c r="C798" s="11" t="s">
        <v>9295</v>
      </c>
      <c r="D798" s="8" t="s">
        <v>177</v>
      </c>
      <c r="E798" s="8" t="s">
        <v>178</v>
      </c>
      <c r="H798" s="12" t="s">
        <v>9296</v>
      </c>
      <c r="J798" s="9" t="s">
        <v>9297</v>
      </c>
      <c r="AD798" s="212"/>
    </row>
    <row r="799" ht="22.5" customHeight="1">
      <c r="A799" s="10"/>
      <c r="B799" s="8" t="s">
        <v>20</v>
      </c>
      <c r="C799" s="11" t="s">
        <v>9298</v>
      </c>
      <c r="D799" s="8" t="s">
        <v>177</v>
      </c>
      <c r="E799" s="8" t="s">
        <v>178</v>
      </c>
      <c r="H799" s="9" t="s">
        <v>9299</v>
      </c>
      <c r="I799" s="12" t="s">
        <v>9300</v>
      </c>
      <c r="AD799" s="212"/>
    </row>
    <row r="800" ht="22.5" customHeight="1">
      <c r="A800" s="10"/>
      <c r="B800" s="8" t="s">
        <v>20</v>
      </c>
      <c r="C800" s="11" t="s">
        <v>347</v>
      </c>
      <c r="D800" s="8" t="s">
        <v>177</v>
      </c>
      <c r="E800" s="8" t="s">
        <v>178</v>
      </c>
      <c r="F800" s="8" t="s">
        <v>9301</v>
      </c>
      <c r="H800" s="9" t="s">
        <v>9302</v>
      </c>
      <c r="J800" s="12" t="s">
        <v>9303</v>
      </c>
      <c r="AD800" s="212"/>
    </row>
    <row r="801" ht="22.5" customHeight="1">
      <c r="A801" s="10"/>
      <c r="B801" s="8" t="s">
        <v>20</v>
      </c>
      <c r="C801" s="11" t="s">
        <v>2725</v>
      </c>
      <c r="D801" s="8" t="s">
        <v>177</v>
      </c>
      <c r="E801" s="8" t="s">
        <v>178</v>
      </c>
      <c r="H801" s="9" t="s">
        <v>9304</v>
      </c>
      <c r="I801" s="12" t="s">
        <v>9305</v>
      </c>
      <c r="AD801" s="212"/>
    </row>
    <row r="802" ht="22.5" customHeight="1">
      <c r="A802" s="10"/>
      <c r="B802" s="8" t="s">
        <v>20</v>
      </c>
      <c r="C802" s="11" t="s">
        <v>9306</v>
      </c>
      <c r="D802" s="8" t="s">
        <v>177</v>
      </c>
      <c r="E802" s="8" t="s">
        <v>178</v>
      </c>
      <c r="H802" s="12" t="s">
        <v>9307</v>
      </c>
      <c r="AD802" s="212"/>
    </row>
    <row r="803" ht="22.5" customHeight="1">
      <c r="A803" s="10"/>
      <c r="B803" s="8" t="s">
        <v>17</v>
      </c>
      <c r="C803" s="11" t="s">
        <v>9308</v>
      </c>
      <c r="D803" s="8" t="s">
        <v>177</v>
      </c>
      <c r="E803" s="8" t="s">
        <v>178</v>
      </c>
      <c r="F803" s="8" t="s">
        <v>9309</v>
      </c>
      <c r="H803" s="9" t="s">
        <v>9310</v>
      </c>
      <c r="AD803" s="212"/>
    </row>
    <row r="804" ht="22.5" customHeight="1">
      <c r="A804" s="10"/>
      <c r="B804" s="8" t="s">
        <v>20</v>
      </c>
      <c r="C804" s="11" t="s">
        <v>3039</v>
      </c>
      <c r="D804" s="8" t="s">
        <v>177</v>
      </c>
      <c r="E804" s="8" t="s">
        <v>178</v>
      </c>
      <c r="H804" s="9" t="s">
        <v>9311</v>
      </c>
      <c r="I804" s="9" t="s">
        <v>9312</v>
      </c>
      <c r="J804" s="9" t="s">
        <v>8421</v>
      </c>
      <c r="AD804" s="212"/>
    </row>
    <row r="805" ht="22.5" customHeight="1">
      <c r="A805" s="10"/>
      <c r="B805" s="8" t="s">
        <v>20</v>
      </c>
      <c r="C805" s="11" t="s">
        <v>8628</v>
      </c>
      <c r="D805" s="8" t="s">
        <v>177</v>
      </c>
      <c r="E805" s="8" t="s">
        <v>178</v>
      </c>
      <c r="H805" s="9" t="s">
        <v>9313</v>
      </c>
      <c r="I805" s="12" t="s">
        <v>9314</v>
      </c>
      <c r="AD805" s="212"/>
    </row>
    <row r="806" ht="22.5" customHeight="1">
      <c r="A806" s="10"/>
      <c r="B806" s="8" t="s">
        <v>20</v>
      </c>
      <c r="C806" s="11" t="s">
        <v>9315</v>
      </c>
      <c r="D806" s="8" t="s">
        <v>177</v>
      </c>
      <c r="E806" s="8" t="s">
        <v>9316</v>
      </c>
      <c r="H806" s="12" t="s">
        <v>9317</v>
      </c>
      <c r="I806" s="12" t="s">
        <v>9318</v>
      </c>
      <c r="AD806" s="212"/>
    </row>
    <row r="807" ht="22.5" customHeight="1">
      <c r="A807" s="22"/>
      <c r="B807" s="8" t="s">
        <v>20</v>
      </c>
      <c r="C807" s="8" t="s">
        <v>9319</v>
      </c>
      <c r="D807" s="8" t="s">
        <v>177</v>
      </c>
      <c r="E807" s="8" t="s">
        <v>178</v>
      </c>
      <c r="F807" s="8" t="s">
        <v>9320</v>
      </c>
      <c r="H807" s="12" t="s">
        <v>9321</v>
      </c>
      <c r="I807" s="12" t="s">
        <v>9322</v>
      </c>
      <c r="J807" s="12" t="s">
        <v>9323</v>
      </c>
      <c r="AD807" s="212"/>
    </row>
    <row r="808" ht="22.5" customHeight="1">
      <c r="A808" s="10"/>
      <c r="B808" s="8" t="s">
        <v>20</v>
      </c>
      <c r="C808" s="11" t="s">
        <v>2233</v>
      </c>
      <c r="D808" s="8" t="s">
        <v>177</v>
      </c>
      <c r="E808" s="8" t="s">
        <v>178</v>
      </c>
      <c r="H808" s="12" t="s">
        <v>9324</v>
      </c>
      <c r="I808" s="12" t="s">
        <v>9325</v>
      </c>
      <c r="AD808" s="212"/>
    </row>
    <row r="809" ht="22.5" customHeight="1">
      <c r="A809" s="10"/>
      <c r="B809" s="8" t="s">
        <v>20</v>
      </c>
      <c r="C809" s="11" t="s">
        <v>9326</v>
      </c>
      <c r="D809" s="8" t="s">
        <v>177</v>
      </c>
      <c r="E809" s="8" t="s">
        <v>178</v>
      </c>
      <c r="H809" s="12" t="s">
        <v>9327</v>
      </c>
      <c r="AD809" s="212"/>
    </row>
    <row r="810" ht="22.5" customHeight="1">
      <c r="A810" s="10"/>
      <c r="B810" s="8" t="s">
        <v>20</v>
      </c>
      <c r="C810" s="11" t="s">
        <v>176</v>
      </c>
      <c r="D810" s="8" t="s">
        <v>177</v>
      </c>
      <c r="E810" s="8" t="s">
        <v>178</v>
      </c>
      <c r="H810" s="9" t="s">
        <v>9328</v>
      </c>
      <c r="I810" s="9" t="s">
        <v>9329</v>
      </c>
      <c r="J810" s="12" t="s">
        <v>9330</v>
      </c>
      <c r="AD810" s="212"/>
    </row>
    <row r="811" ht="22.5" customHeight="1">
      <c r="A811" s="10"/>
      <c r="B811" s="8" t="s">
        <v>20</v>
      </c>
      <c r="C811" s="8" t="s">
        <v>6708</v>
      </c>
      <c r="D811" s="8" t="s">
        <v>177</v>
      </c>
      <c r="E811" s="8" t="s">
        <v>178</v>
      </c>
      <c r="F811" s="8" t="s">
        <v>9320</v>
      </c>
      <c r="H811" s="12" t="s">
        <v>9331</v>
      </c>
      <c r="AD811" s="212"/>
    </row>
    <row r="812" ht="22.5" customHeight="1">
      <c r="A812" s="10"/>
      <c r="B812" s="8" t="s">
        <v>20</v>
      </c>
      <c r="C812" s="11" t="s">
        <v>9332</v>
      </c>
      <c r="D812" s="8" t="s">
        <v>177</v>
      </c>
      <c r="E812" s="8" t="s">
        <v>9316</v>
      </c>
      <c r="H812" s="9" t="s">
        <v>9333</v>
      </c>
      <c r="I812" s="12" t="s">
        <v>9334</v>
      </c>
      <c r="AD812" s="212"/>
    </row>
    <row r="813" ht="18.75" customHeight="1">
      <c r="A813" s="10"/>
      <c r="B813" s="8" t="s">
        <v>20</v>
      </c>
      <c r="C813" s="11" t="s">
        <v>9335</v>
      </c>
      <c r="D813" s="8" t="s">
        <v>177</v>
      </c>
      <c r="E813" s="8" t="s">
        <v>178</v>
      </c>
      <c r="H813" s="9" t="s">
        <v>9336</v>
      </c>
      <c r="I813" s="9" t="s">
        <v>9337</v>
      </c>
      <c r="J813" s="243"/>
      <c r="AD813" s="212"/>
    </row>
    <row r="814" ht="22.5" customHeight="1">
      <c r="A814" s="10"/>
      <c r="B814" s="8" t="s">
        <v>20</v>
      </c>
      <c r="C814" s="11" t="s">
        <v>9338</v>
      </c>
      <c r="D814" s="8" t="s">
        <v>177</v>
      </c>
      <c r="E814" s="8" t="s">
        <v>178</v>
      </c>
      <c r="F814" s="8" t="s">
        <v>9320</v>
      </c>
      <c r="H814" s="9" t="s">
        <v>9339</v>
      </c>
      <c r="I814" s="12" t="s">
        <v>9340</v>
      </c>
      <c r="J814" s="244"/>
      <c r="AD814" s="212"/>
    </row>
    <row r="815" ht="22.5" customHeight="1">
      <c r="A815" s="245"/>
      <c r="B815" s="241" t="s">
        <v>220</v>
      </c>
      <c r="C815" s="241" t="s">
        <v>9341</v>
      </c>
      <c r="D815" s="241" t="s">
        <v>177</v>
      </c>
      <c r="E815" s="241" t="s">
        <v>177</v>
      </c>
      <c r="F815" s="212"/>
      <c r="G815" s="212"/>
      <c r="H815" s="246" t="s">
        <v>9342</v>
      </c>
      <c r="I815" s="242" t="s">
        <v>8430</v>
      </c>
      <c r="J815" s="242" t="s">
        <v>9343</v>
      </c>
      <c r="K815" s="212"/>
      <c r="L815" s="212"/>
      <c r="M815" s="212"/>
      <c r="N815" s="212"/>
      <c r="O815" s="212"/>
      <c r="P815" s="212"/>
      <c r="Q815" s="212"/>
      <c r="R815" s="212"/>
      <c r="S815" s="212"/>
      <c r="T815" s="212"/>
      <c r="U815" s="212"/>
      <c r="V815" s="212"/>
      <c r="W815" s="212"/>
      <c r="X815" s="212"/>
      <c r="Y815" s="212"/>
      <c r="Z815" s="212"/>
      <c r="AA815" s="212"/>
      <c r="AB815" s="212"/>
      <c r="AC815" s="212"/>
      <c r="AD815" s="212"/>
    </row>
    <row r="816" ht="22.5" customHeight="1">
      <c r="A816" s="114"/>
      <c r="B816" s="247"/>
      <c r="C816" s="241" t="s">
        <v>9344</v>
      </c>
      <c r="D816" s="241" t="s">
        <v>177</v>
      </c>
      <c r="E816" s="241" t="s">
        <v>9316</v>
      </c>
      <c r="F816" s="212"/>
      <c r="G816" s="212"/>
      <c r="H816" s="248"/>
      <c r="I816" s="248"/>
      <c r="J816" s="242" t="s">
        <v>9345</v>
      </c>
      <c r="K816" s="212"/>
      <c r="L816" s="212"/>
      <c r="M816" s="212"/>
      <c r="N816" s="212"/>
      <c r="O816" s="212"/>
      <c r="P816" s="212"/>
      <c r="Q816" s="212"/>
      <c r="R816" s="212"/>
      <c r="S816" s="212"/>
      <c r="T816" s="212"/>
      <c r="U816" s="212"/>
      <c r="V816" s="212"/>
      <c r="W816" s="212"/>
      <c r="X816" s="212"/>
      <c r="Y816" s="212"/>
      <c r="Z816" s="212"/>
      <c r="AA816" s="212"/>
      <c r="AB816" s="212"/>
      <c r="AC816" s="212"/>
      <c r="AD816" s="212"/>
    </row>
    <row r="817" ht="22.5" customHeight="1">
      <c r="A817" s="212"/>
      <c r="B817" s="241" t="s">
        <v>20</v>
      </c>
      <c r="C817" s="241" t="s">
        <v>9346</v>
      </c>
      <c r="D817" s="241" t="s">
        <v>177</v>
      </c>
      <c r="E817" s="241" t="s">
        <v>177</v>
      </c>
      <c r="F817" s="212"/>
      <c r="G817" s="212"/>
      <c r="H817" s="248"/>
      <c r="I817" s="248"/>
      <c r="J817" s="242" t="s">
        <v>9347</v>
      </c>
      <c r="K817" s="212"/>
      <c r="L817" s="212"/>
      <c r="M817" s="212"/>
      <c r="N817" s="212"/>
      <c r="O817" s="212"/>
      <c r="P817" s="212"/>
      <c r="Q817" s="212"/>
      <c r="R817" s="212"/>
      <c r="S817" s="212"/>
      <c r="T817" s="212"/>
      <c r="U817" s="212"/>
      <c r="V817" s="212"/>
      <c r="W817" s="212"/>
      <c r="X817" s="212"/>
      <c r="Y817" s="212"/>
      <c r="Z817" s="212"/>
      <c r="AA817" s="212"/>
      <c r="AB817" s="212"/>
      <c r="AC817" s="212"/>
      <c r="AD817" s="212"/>
    </row>
    <row r="818" ht="22.5" customHeight="1">
      <c r="A818" s="212"/>
      <c r="B818" s="241" t="s">
        <v>276</v>
      </c>
      <c r="C818" s="21" t="s">
        <v>9348</v>
      </c>
      <c r="D818" s="241" t="s">
        <v>177</v>
      </c>
      <c r="E818" s="241" t="s">
        <v>8130</v>
      </c>
      <c r="F818" s="212"/>
      <c r="G818" s="212"/>
      <c r="H818" s="248"/>
      <c r="I818" s="248"/>
      <c r="J818" s="242" t="s">
        <v>9349</v>
      </c>
      <c r="K818" s="212"/>
      <c r="L818" s="212"/>
      <c r="M818" s="212"/>
      <c r="N818" s="212"/>
      <c r="O818" s="212"/>
      <c r="P818" s="212"/>
      <c r="Q818" s="212"/>
      <c r="R818" s="212"/>
      <c r="S818" s="212"/>
      <c r="T818" s="212"/>
      <c r="U818" s="212"/>
      <c r="V818" s="212"/>
      <c r="W818" s="212"/>
      <c r="X818" s="212"/>
      <c r="Y818" s="212"/>
      <c r="Z818" s="212"/>
      <c r="AA818" s="212"/>
      <c r="AB818" s="212"/>
      <c r="AC818" s="212"/>
      <c r="AD818" s="212"/>
    </row>
    <row r="819" ht="22.5" customHeight="1">
      <c r="A819" s="212"/>
      <c r="B819" s="241" t="s">
        <v>20</v>
      </c>
      <c r="C819" s="241" t="s">
        <v>1274</v>
      </c>
      <c r="D819" s="241" t="s">
        <v>177</v>
      </c>
      <c r="E819" s="241" t="s">
        <v>177</v>
      </c>
      <c r="F819" s="212"/>
      <c r="G819" s="212"/>
      <c r="H819" s="248"/>
      <c r="I819" s="248"/>
      <c r="J819" s="242" t="s">
        <v>9350</v>
      </c>
      <c r="K819" s="212"/>
      <c r="L819" s="212"/>
      <c r="M819" s="212"/>
      <c r="N819" s="212"/>
      <c r="O819" s="212"/>
      <c r="P819" s="212"/>
      <c r="Q819" s="212"/>
      <c r="R819" s="212"/>
      <c r="S819" s="212"/>
      <c r="T819" s="212"/>
      <c r="U819" s="212"/>
      <c r="V819" s="212"/>
      <c r="W819" s="212"/>
      <c r="X819" s="212"/>
      <c r="Y819" s="212"/>
      <c r="Z819" s="212"/>
      <c r="AA819" s="212"/>
      <c r="AB819" s="212"/>
      <c r="AC819" s="212"/>
      <c r="AD819" s="212"/>
    </row>
    <row r="820" ht="22.5" customHeight="1">
      <c r="A820" s="212"/>
      <c r="B820" s="241" t="s">
        <v>17</v>
      </c>
      <c r="C820" s="118" t="s">
        <v>9351</v>
      </c>
      <c r="D820" s="241" t="s">
        <v>177</v>
      </c>
      <c r="E820" s="241" t="s">
        <v>9352</v>
      </c>
      <c r="F820" s="212"/>
      <c r="G820" s="212"/>
      <c r="H820" s="248"/>
      <c r="I820" s="248"/>
      <c r="J820" s="242" t="s">
        <v>9353</v>
      </c>
      <c r="K820" s="212"/>
      <c r="L820" s="212"/>
      <c r="M820" s="212"/>
      <c r="N820" s="212"/>
      <c r="O820" s="212"/>
      <c r="P820" s="212"/>
      <c r="Q820" s="212"/>
      <c r="R820" s="212"/>
      <c r="S820" s="212"/>
      <c r="T820" s="212"/>
      <c r="U820" s="212"/>
      <c r="V820" s="212"/>
      <c r="W820" s="212"/>
      <c r="X820" s="212"/>
      <c r="Y820" s="212"/>
      <c r="Z820" s="212"/>
      <c r="AA820" s="212"/>
      <c r="AB820" s="212"/>
      <c r="AC820" s="212"/>
      <c r="AD820" s="212"/>
    </row>
    <row r="821" ht="22.5" customHeight="1">
      <c r="A821" s="212"/>
      <c r="B821" s="241" t="s">
        <v>20</v>
      </c>
      <c r="C821" s="118" t="s">
        <v>9354</v>
      </c>
      <c r="D821" s="241" t="s">
        <v>177</v>
      </c>
      <c r="E821" s="241" t="s">
        <v>8963</v>
      </c>
      <c r="F821" s="212"/>
      <c r="G821" s="212"/>
      <c r="H821" s="248"/>
      <c r="I821" s="248"/>
      <c r="J821" s="242" t="s">
        <v>9355</v>
      </c>
      <c r="K821" s="212"/>
      <c r="L821" s="212"/>
      <c r="M821" s="212"/>
      <c r="N821" s="212"/>
      <c r="O821" s="212"/>
      <c r="P821" s="212"/>
      <c r="Q821" s="212"/>
      <c r="R821" s="212"/>
      <c r="S821" s="212"/>
      <c r="T821" s="212"/>
      <c r="U821" s="212"/>
      <c r="V821" s="212"/>
      <c r="W821" s="212"/>
      <c r="X821" s="212"/>
      <c r="Y821" s="212"/>
      <c r="Z821" s="212"/>
      <c r="AA821" s="212"/>
      <c r="AB821" s="212"/>
      <c r="AC821" s="212"/>
      <c r="AD821" s="212"/>
    </row>
    <row r="822" ht="22.5" customHeight="1">
      <c r="A822" s="212"/>
      <c r="B822" s="241" t="s">
        <v>20</v>
      </c>
      <c r="C822" s="241" t="s">
        <v>9356</v>
      </c>
      <c r="D822" s="241" t="s">
        <v>177</v>
      </c>
      <c r="E822" s="241" t="s">
        <v>8130</v>
      </c>
      <c r="F822" s="212"/>
      <c r="G822" s="212"/>
      <c r="H822" s="248"/>
      <c r="I822" s="248"/>
      <c r="J822" s="242" t="s">
        <v>9357</v>
      </c>
      <c r="K822" s="212"/>
      <c r="L822" s="212"/>
      <c r="M822" s="212"/>
      <c r="N822" s="212"/>
      <c r="O822" s="212"/>
      <c r="P822" s="212"/>
      <c r="Q822" s="212"/>
      <c r="R822" s="212"/>
      <c r="S822" s="212"/>
      <c r="T822" s="212"/>
      <c r="U822" s="212"/>
      <c r="V822" s="212"/>
      <c r="W822" s="212"/>
      <c r="X822" s="212"/>
      <c r="Y822" s="212"/>
      <c r="Z822" s="212"/>
      <c r="AA822" s="212"/>
      <c r="AB822" s="212"/>
      <c r="AC822" s="212"/>
      <c r="AD822" s="212"/>
    </row>
    <row r="823" ht="22.5" customHeight="1">
      <c r="A823" s="212"/>
      <c r="B823" s="241" t="s">
        <v>17</v>
      </c>
      <c r="C823" s="241" t="s">
        <v>9358</v>
      </c>
      <c r="D823" s="241" t="s">
        <v>177</v>
      </c>
      <c r="E823" s="241" t="s">
        <v>178</v>
      </c>
      <c r="F823" s="212"/>
      <c r="G823" s="212"/>
      <c r="H823" s="246" t="s">
        <v>9359</v>
      </c>
      <c r="I823" s="248"/>
      <c r="J823" s="242" t="s">
        <v>9360</v>
      </c>
      <c r="K823" s="212"/>
      <c r="L823" s="212"/>
      <c r="M823" s="212"/>
      <c r="N823" s="212"/>
      <c r="O823" s="212"/>
      <c r="P823" s="212"/>
      <c r="Q823" s="212"/>
      <c r="R823" s="212"/>
      <c r="S823" s="212"/>
      <c r="T823" s="212"/>
      <c r="U823" s="212"/>
      <c r="V823" s="212"/>
      <c r="W823" s="212"/>
      <c r="X823" s="212"/>
      <c r="Y823" s="212"/>
      <c r="Z823" s="212"/>
      <c r="AA823" s="212"/>
      <c r="AB823" s="212"/>
      <c r="AC823" s="212"/>
      <c r="AD823" s="212"/>
    </row>
    <row r="824" ht="22.5" customHeight="1">
      <c r="A824" s="212"/>
      <c r="B824" s="241" t="s">
        <v>20</v>
      </c>
      <c r="C824" s="241" t="s">
        <v>9361</v>
      </c>
      <c r="D824" s="241" t="s">
        <v>177</v>
      </c>
      <c r="E824" s="241" t="s">
        <v>178</v>
      </c>
      <c r="F824" s="249" t="s">
        <v>9320</v>
      </c>
      <c r="G824" s="212"/>
      <c r="H824" s="248"/>
      <c r="I824" s="248"/>
      <c r="J824" s="242" t="s">
        <v>9362</v>
      </c>
      <c r="K824" s="212"/>
      <c r="L824" s="212"/>
      <c r="M824" s="212"/>
      <c r="N824" s="212"/>
      <c r="O824" s="212"/>
      <c r="P824" s="212"/>
      <c r="Q824" s="212"/>
      <c r="R824" s="212"/>
      <c r="S824" s="212"/>
      <c r="T824" s="212"/>
      <c r="U824" s="212"/>
      <c r="V824" s="212"/>
      <c r="W824" s="212"/>
      <c r="X824" s="212"/>
      <c r="Y824" s="212"/>
      <c r="Z824" s="212"/>
      <c r="AA824" s="212"/>
      <c r="AB824" s="212"/>
      <c r="AC824" s="212"/>
      <c r="AD824" s="212"/>
    </row>
    <row r="825" ht="22.5" customHeight="1">
      <c r="A825" s="212"/>
      <c r="B825" s="241" t="s">
        <v>20</v>
      </c>
      <c r="C825" s="241" t="s">
        <v>9363</v>
      </c>
      <c r="D825" s="241" t="s">
        <v>177</v>
      </c>
      <c r="E825" s="241" t="s">
        <v>177</v>
      </c>
      <c r="F825" s="212"/>
      <c r="G825" s="212"/>
      <c r="H825" s="248"/>
      <c r="I825" s="248"/>
      <c r="J825" s="242" t="s">
        <v>9364</v>
      </c>
      <c r="K825" s="212"/>
      <c r="L825" s="212"/>
      <c r="M825" s="212"/>
      <c r="N825" s="212"/>
      <c r="O825" s="212"/>
      <c r="P825" s="212"/>
      <c r="Q825" s="212"/>
      <c r="R825" s="212"/>
      <c r="S825" s="212"/>
      <c r="T825" s="212"/>
      <c r="U825" s="212"/>
      <c r="V825" s="212"/>
      <c r="W825" s="212"/>
      <c r="X825" s="212"/>
      <c r="Y825" s="212"/>
      <c r="Z825" s="212"/>
      <c r="AA825" s="212"/>
      <c r="AB825" s="212"/>
      <c r="AC825" s="212"/>
      <c r="AD825" s="212"/>
    </row>
    <row r="826" ht="22.5" customHeight="1">
      <c r="A826" s="212"/>
      <c r="B826" s="241" t="s">
        <v>20</v>
      </c>
      <c r="C826" s="241" t="s">
        <v>8331</v>
      </c>
      <c r="D826" s="241" t="s">
        <v>177</v>
      </c>
      <c r="E826" s="241" t="s">
        <v>177</v>
      </c>
      <c r="F826" s="212"/>
      <c r="G826" s="212"/>
      <c r="H826" s="248"/>
      <c r="I826" s="248"/>
      <c r="J826" s="242" t="s">
        <v>9365</v>
      </c>
      <c r="K826" s="212"/>
      <c r="L826" s="212"/>
      <c r="M826" s="212"/>
      <c r="N826" s="212"/>
      <c r="O826" s="212"/>
      <c r="P826" s="212"/>
      <c r="Q826" s="212"/>
      <c r="R826" s="212"/>
      <c r="S826" s="212"/>
      <c r="T826" s="212"/>
      <c r="U826" s="212"/>
      <c r="V826" s="212"/>
      <c r="W826" s="212"/>
      <c r="X826" s="212"/>
      <c r="Y826" s="212"/>
      <c r="Z826" s="212"/>
      <c r="AA826" s="212"/>
      <c r="AB826" s="212"/>
      <c r="AC826" s="212"/>
      <c r="AD826" s="212"/>
    </row>
    <row r="827" ht="22.5" customHeight="1">
      <c r="A827" s="212"/>
      <c r="B827" s="241" t="s">
        <v>20</v>
      </c>
      <c r="C827" s="241" t="s">
        <v>9366</v>
      </c>
      <c r="D827" s="241" t="s">
        <v>177</v>
      </c>
      <c r="E827" s="241" t="s">
        <v>177</v>
      </c>
      <c r="F827" s="212"/>
      <c r="G827" s="212"/>
      <c r="H827" s="248"/>
      <c r="I827" s="248"/>
      <c r="J827" s="242" t="s">
        <v>9367</v>
      </c>
      <c r="K827" s="212"/>
      <c r="L827" s="212"/>
      <c r="M827" s="212"/>
      <c r="N827" s="212"/>
      <c r="O827" s="212"/>
      <c r="P827" s="212"/>
      <c r="Q827" s="212"/>
      <c r="R827" s="212"/>
      <c r="S827" s="212"/>
      <c r="T827" s="212"/>
      <c r="U827" s="212"/>
      <c r="V827" s="212"/>
      <c r="W827" s="212"/>
      <c r="X827" s="212"/>
      <c r="Y827" s="212"/>
      <c r="Z827" s="212"/>
      <c r="AA827" s="212"/>
      <c r="AB827" s="212"/>
      <c r="AC827" s="212"/>
      <c r="AD827" s="212"/>
    </row>
    <row r="828" ht="22.5" customHeight="1">
      <c r="A828" s="212"/>
      <c r="B828" s="241" t="s">
        <v>20</v>
      </c>
      <c r="C828" s="241" t="s">
        <v>9368</v>
      </c>
      <c r="D828" s="241" t="s">
        <v>177</v>
      </c>
      <c r="E828" s="241" t="s">
        <v>8021</v>
      </c>
      <c r="F828" s="212"/>
      <c r="G828" s="212"/>
      <c r="H828" s="248"/>
      <c r="I828" s="248"/>
      <c r="J828" s="242" t="s">
        <v>9369</v>
      </c>
      <c r="K828" s="212"/>
      <c r="L828" s="212"/>
      <c r="M828" s="212"/>
      <c r="N828" s="212"/>
      <c r="O828" s="212"/>
      <c r="P828" s="212"/>
      <c r="Q828" s="212"/>
      <c r="R828" s="212"/>
      <c r="S828" s="212"/>
      <c r="T828" s="212"/>
      <c r="U828" s="212"/>
      <c r="V828" s="212"/>
      <c r="W828" s="212"/>
      <c r="X828" s="212"/>
      <c r="Y828" s="212"/>
      <c r="Z828" s="212"/>
      <c r="AA828" s="212"/>
      <c r="AB828" s="212"/>
      <c r="AC828" s="212"/>
      <c r="AD828" s="212"/>
    </row>
    <row r="829" ht="22.5" customHeight="1">
      <c r="A829" s="212"/>
      <c r="B829" s="241" t="s">
        <v>20</v>
      </c>
      <c r="C829" s="241" t="s">
        <v>9370</v>
      </c>
      <c r="D829" s="241" t="s">
        <v>177</v>
      </c>
      <c r="E829" s="241" t="s">
        <v>9316</v>
      </c>
      <c r="F829" s="212"/>
      <c r="G829" s="212"/>
      <c r="H829" s="248"/>
      <c r="I829" s="248"/>
      <c r="J829" s="242" t="s">
        <v>9371</v>
      </c>
      <c r="K829" s="212"/>
      <c r="L829" s="212"/>
      <c r="M829" s="212"/>
      <c r="N829" s="212"/>
      <c r="O829" s="212"/>
      <c r="P829" s="212"/>
      <c r="Q829" s="212"/>
      <c r="R829" s="212"/>
      <c r="S829" s="212"/>
      <c r="T829" s="212"/>
      <c r="U829" s="212"/>
      <c r="V829" s="212"/>
      <c r="W829" s="212"/>
      <c r="X829" s="212"/>
      <c r="Y829" s="212"/>
      <c r="Z829" s="212"/>
      <c r="AA829" s="212"/>
      <c r="AB829" s="212"/>
      <c r="AC829" s="212"/>
      <c r="AD829" s="212"/>
    </row>
    <row r="830" ht="22.5" customHeight="1">
      <c r="A830" s="212"/>
      <c r="B830" s="241" t="s">
        <v>276</v>
      </c>
      <c r="C830" s="241" t="s">
        <v>9372</v>
      </c>
      <c r="D830" s="241" t="s">
        <v>177</v>
      </c>
      <c r="E830" s="241" t="s">
        <v>178</v>
      </c>
      <c r="F830" s="212"/>
      <c r="G830" s="212"/>
      <c r="H830" s="248"/>
      <c r="I830" s="248"/>
      <c r="J830" s="242" t="s">
        <v>9373</v>
      </c>
      <c r="K830" s="212"/>
      <c r="L830" s="212"/>
      <c r="M830" s="212"/>
      <c r="N830" s="212"/>
      <c r="O830" s="212"/>
      <c r="P830" s="212"/>
      <c r="Q830" s="212"/>
      <c r="R830" s="212"/>
      <c r="S830" s="212"/>
      <c r="T830" s="212"/>
      <c r="U830" s="212"/>
      <c r="V830" s="212"/>
      <c r="W830" s="212"/>
      <c r="X830" s="212"/>
      <c r="Y830" s="212"/>
      <c r="Z830" s="212"/>
      <c r="AA830" s="212"/>
      <c r="AB830" s="212"/>
      <c r="AC830" s="212"/>
      <c r="AD830" s="212"/>
    </row>
    <row r="831" ht="22.5" customHeight="1">
      <c r="A831" s="212"/>
      <c r="B831" s="241" t="s">
        <v>20</v>
      </c>
      <c r="C831" s="241" t="s">
        <v>9374</v>
      </c>
      <c r="D831" s="241" t="s">
        <v>177</v>
      </c>
      <c r="E831" s="241" t="s">
        <v>177</v>
      </c>
      <c r="F831" s="212"/>
      <c r="G831" s="212"/>
      <c r="H831" s="248"/>
      <c r="I831" s="248"/>
      <c r="J831" s="242" t="s">
        <v>9375</v>
      </c>
      <c r="K831" s="212"/>
      <c r="L831" s="212"/>
      <c r="M831" s="212"/>
      <c r="N831" s="212"/>
      <c r="O831" s="212"/>
      <c r="P831" s="212"/>
      <c r="Q831" s="212"/>
      <c r="R831" s="212"/>
      <c r="S831" s="212"/>
      <c r="T831" s="212"/>
      <c r="U831" s="212"/>
      <c r="V831" s="212"/>
      <c r="W831" s="212"/>
      <c r="X831" s="212"/>
      <c r="Y831" s="212"/>
      <c r="Z831" s="212"/>
      <c r="AA831" s="212"/>
      <c r="AB831" s="212"/>
      <c r="AC831" s="212"/>
      <c r="AD831" s="212"/>
    </row>
    <row r="832" ht="22.5" customHeight="1">
      <c r="A832" s="212"/>
      <c r="B832" s="241" t="s">
        <v>20</v>
      </c>
      <c r="C832" s="241" t="s">
        <v>8514</v>
      </c>
      <c r="D832" s="241" t="s">
        <v>177</v>
      </c>
      <c r="E832" s="241" t="s">
        <v>177</v>
      </c>
      <c r="F832" s="212"/>
      <c r="G832" s="212"/>
      <c r="H832" s="248"/>
      <c r="I832" s="248"/>
      <c r="J832" s="242" t="s">
        <v>8517</v>
      </c>
      <c r="K832" s="212"/>
      <c r="L832" s="212"/>
      <c r="M832" s="212"/>
      <c r="N832" s="212"/>
      <c r="O832" s="212"/>
      <c r="P832" s="212"/>
      <c r="Q832" s="212"/>
      <c r="R832" s="212"/>
      <c r="S832" s="212"/>
      <c r="T832" s="212"/>
      <c r="U832" s="212"/>
      <c r="V832" s="212"/>
      <c r="W832" s="212"/>
      <c r="X832" s="212"/>
      <c r="Y832" s="212"/>
      <c r="Z832" s="212"/>
      <c r="AA832" s="212"/>
      <c r="AB832" s="212"/>
      <c r="AC832" s="212"/>
      <c r="AD832" s="212"/>
    </row>
    <row r="833" ht="22.5" customHeight="1">
      <c r="A833" s="212"/>
      <c r="B833" s="241" t="s">
        <v>17</v>
      </c>
      <c r="C833" s="241" t="s">
        <v>9376</v>
      </c>
      <c r="D833" s="241" t="s">
        <v>177</v>
      </c>
      <c r="E833" s="241" t="s">
        <v>177</v>
      </c>
      <c r="F833" s="212"/>
      <c r="G833" s="212"/>
      <c r="H833" s="248"/>
      <c r="I833" s="248"/>
      <c r="J833" s="242" t="s">
        <v>9377</v>
      </c>
      <c r="K833" s="212"/>
      <c r="L833" s="212"/>
      <c r="M833" s="212"/>
      <c r="N833" s="212"/>
      <c r="O833" s="212"/>
      <c r="P833" s="212"/>
      <c r="Q833" s="212"/>
      <c r="R833" s="212"/>
      <c r="S833" s="212"/>
      <c r="T833" s="212"/>
      <c r="U833" s="212"/>
      <c r="V833" s="212"/>
      <c r="W833" s="212"/>
      <c r="X833" s="212"/>
      <c r="Y833" s="212"/>
      <c r="Z833" s="212"/>
      <c r="AA833" s="212"/>
      <c r="AB833" s="212"/>
      <c r="AC833" s="212"/>
      <c r="AD833" s="212"/>
    </row>
    <row r="834" ht="22.5" customHeight="1">
      <c r="A834" s="212"/>
      <c r="B834" s="241" t="s">
        <v>20</v>
      </c>
      <c r="C834" s="241" t="s">
        <v>9378</v>
      </c>
      <c r="D834" s="241" t="s">
        <v>177</v>
      </c>
      <c r="E834" s="241" t="s">
        <v>9352</v>
      </c>
      <c r="F834" s="212"/>
      <c r="G834" s="212"/>
      <c r="H834" s="248"/>
      <c r="I834" s="248"/>
      <c r="J834" s="242" t="s">
        <v>9379</v>
      </c>
      <c r="K834" s="212"/>
      <c r="L834" s="212"/>
      <c r="M834" s="212"/>
      <c r="N834" s="212"/>
      <c r="O834" s="212"/>
      <c r="P834" s="212"/>
      <c r="Q834" s="212"/>
      <c r="R834" s="212"/>
      <c r="S834" s="212"/>
      <c r="T834" s="212"/>
      <c r="U834" s="212"/>
      <c r="V834" s="212"/>
      <c r="W834" s="212"/>
      <c r="X834" s="212"/>
      <c r="Y834" s="212"/>
      <c r="Z834" s="212"/>
      <c r="AA834" s="212"/>
      <c r="AB834" s="212"/>
      <c r="AC834" s="212"/>
      <c r="AD834" s="212"/>
    </row>
    <row r="835" ht="22.5" customHeight="1">
      <c r="A835" s="212"/>
      <c r="B835" s="241" t="s">
        <v>276</v>
      </c>
      <c r="C835" s="241" t="s">
        <v>9380</v>
      </c>
      <c r="D835" s="241" t="s">
        <v>177</v>
      </c>
      <c r="E835" s="241" t="s">
        <v>177</v>
      </c>
      <c r="F835" s="212"/>
      <c r="G835" s="212"/>
      <c r="H835" s="248"/>
      <c r="I835" s="248"/>
      <c r="J835" s="242" t="s">
        <v>9381</v>
      </c>
      <c r="K835" s="212"/>
      <c r="L835" s="212"/>
      <c r="M835" s="212"/>
      <c r="N835" s="212"/>
      <c r="O835" s="212"/>
      <c r="P835" s="212"/>
      <c r="Q835" s="212"/>
      <c r="R835" s="212"/>
      <c r="S835" s="212"/>
      <c r="T835" s="212"/>
      <c r="U835" s="212"/>
      <c r="V835" s="212"/>
      <c r="W835" s="212"/>
      <c r="X835" s="212"/>
      <c r="Y835" s="212"/>
      <c r="Z835" s="212"/>
      <c r="AA835" s="212"/>
      <c r="AB835" s="212"/>
      <c r="AC835" s="212"/>
      <c r="AD835" s="212"/>
    </row>
    <row r="836" ht="22.5" customHeight="1">
      <c r="A836" s="212"/>
      <c r="B836" s="241" t="s">
        <v>17</v>
      </c>
      <c r="C836" s="241" t="s">
        <v>9382</v>
      </c>
      <c r="D836" s="241" t="s">
        <v>177</v>
      </c>
      <c r="E836" s="241" t="s">
        <v>7975</v>
      </c>
      <c r="F836" s="212"/>
      <c r="G836" s="212"/>
      <c r="H836" s="248"/>
      <c r="I836" s="248"/>
      <c r="J836" s="242" t="s">
        <v>9383</v>
      </c>
      <c r="K836" s="212"/>
      <c r="L836" s="212"/>
      <c r="M836" s="212"/>
      <c r="N836" s="212"/>
      <c r="O836" s="212"/>
      <c r="P836" s="212"/>
      <c r="Q836" s="212"/>
      <c r="R836" s="212"/>
      <c r="S836" s="212"/>
      <c r="T836" s="212"/>
      <c r="U836" s="212"/>
      <c r="V836" s="212"/>
      <c r="W836" s="212"/>
      <c r="X836" s="212"/>
      <c r="Y836" s="212"/>
      <c r="Z836" s="212"/>
      <c r="AA836" s="212"/>
      <c r="AB836" s="212"/>
      <c r="AC836" s="212"/>
      <c r="AD836" s="212"/>
    </row>
    <row r="837" ht="22.5" customHeight="1">
      <c r="A837" s="212"/>
      <c r="B837" s="241" t="s">
        <v>20</v>
      </c>
      <c r="C837" s="241" t="s">
        <v>9287</v>
      </c>
      <c r="D837" s="241" t="s">
        <v>177</v>
      </c>
      <c r="E837" s="241" t="s">
        <v>177</v>
      </c>
      <c r="F837" s="212"/>
      <c r="G837" s="212"/>
      <c r="H837" s="248"/>
      <c r="I837" s="248"/>
      <c r="J837" s="242" t="s">
        <v>9384</v>
      </c>
      <c r="K837" s="212"/>
      <c r="L837" s="212"/>
      <c r="M837" s="212"/>
      <c r="N837" s="212"/>
      <c r="O837" s="212"/>
      <c r="P837" s="212"/>
      <c r="Q837" s="212"/>
      <c r="R837" s="212"/>
      <c r="S837" s="212"/>
      <c r="T837" s="212"/>
      <c r="U837" s="212"/>
      <c r="V837" s="212"/>
      <c r="W837" s="212"/>
      <c r="X837" s="212"/>
      <c r="Y837" s="212"/>
      <c r="Z837" s="212"/>
      <c r="AA837" s="212"/>
      <c r="AB837" s="212"/>
      <c r="AC837" s="212"/>
      <c r="AD837" s="212"/>
    </row>
    <row r="838" ht="22.5" customHeight="1">
      <c r="A838" s="212"/>
      <c r="B838" s="241" t="s">
        <v>20</v>
      </c>
      <c r="C838" s="241" t="s">
        <v>9385</v>
      </c>
      <c r="D838" s="241" t="s">
        <v>177</v>
      </c>
      <c r="E838" s="241" t="s">
        <v>178</v>
      </c>
      <c r="F838" s="212"/>
      <c r="G838" s="212"/>
      <c r="H838" s="248"/>
      <c r="I838" s="248"/>
      <c r="J838" s="242" t="s">
        <v>9386</v>
      </c>
      <c r="K838" s="212"/>
      <c r="L838" s="212"/>
      <c r="M838" s="212"/>
      <c r="N838" s="212"/>
      <c r="O838" s="212"/>
      <c r="P838" s="212"/>
      <c r="Q838" s="212"/>
      <c r="R838" s="212"/>
      <c r="S838" s="212"/>
      <c r="T838" s="212"/>
      <c r="U838" s="212"/>
      <c r="V838" s="212"/>
      <c r="W838" s="212"/>
      <c r="X838" s="212"/>
      <c r="Y838" s="212"/>
      <c r="Z838" s="212"/>
      <c r="AA838" s="212"/>
      <c r="AB838" s="212"/>
      <c r="AC838" s="212"/>
      <c r="AD838" s="212"/>
    </row>
    <row r="839" ht="22.5" customHeight="1">
      <c r="A839" s="212"/>
      <c r="B839" s="241" t="s">
        <v>17</v>
      </c>
      <c r="C839" s="241" t="s">
        <v>9387</v>
      </c>
      <c r="D839" s="241" t="s">
        <v>177</v>
      </c>
      <c r="E839" s="241" t="s">
        <v>8471</v>
      </c>
      <c r="F839" s="212"/>
      <c r="G839" s="212"/>
      <c r="H839" s="248"/>
      <c r="I839" s="248"/>
      <c r="J839" s="242" t="s">
        <v>9388</v>
      </c>
      <c r="K839" s="212"/>
      <c r="L839" s="212"/>
      <c r="M839" s="212"/>
      <c r="N839" s="212"/>
      <c r="O839" s="212"/>
      <c r="P839" s="212"/>
      <c r="Q839" s="212"/>
      <c r="R839" s="212"/>
      <c r="S839" s="212"/>
      <c r="T839" s="212"/>
      <c r="U839" s="212"/>
      <c r="V839" s="212"/>
      <c r="W839" s="212"/>
      <c r="X839" s="212"/>
      <c r="Y839" s="212"/>
      <c r="Z839" s="212"/>
      <c r="AA839" s="212"/>
      <c r="AB839" s="212"/>
      <c r="AC839" s="212"/>
      <c r="AD839" s="212"/>
    </row>
    <row r="840" ht="22.5" customHeight="1">
      <c r="A840" s="212"/>
      <c r="B840" s="241" t="s">
        <v>20</v>
      </c>
      <c r="C840" s="241" t="s">
        <v>9389</v>
      </c>
      <c r="D840" s="241" t="s">
        <v>177</v>
      </c>
      <c r="E840" s="241" t="s">
        <v>7860</v>
      </c>
      <c r="F840" s="212"/>
      <c r="G840" s="212"/>
      <c r="H840" s="248"/>
      <c r="I840" s="248"/>
      <c r="J840" s="242" t="s">
        <v>9390</v>
      </c>
      <c r="K840" s="212"/>
      <c r="L840" s="212"/>
      <c r="M840" s="212"/>
      <c r="N840" s="212"/>
      <c r="O840" s="212"/>
      <c r="P840" s="212"/>
      <c r="Q840" s="212"/>
      <c r="R840" s="212"/>
      <c r="S840" s="212"/>
      <c r="T840" s="212"/>
      <c r="U840" s="212"/>
      <c r="V840" s="212"/>
      <c r="W840" s="212"/>
      <c r="X840" s="212"/>
      <c r="Y840" s="212"/>
      <c r="Z840" s="212"/>
      <c r="AA840" s="212"/>
      <c r="AB840" s="212"/>
      <c r="AC840" s="212"/>
      <c r="AD840" s="212"/>
    </row>
    <row r="841" ht="22.5" customHeight="1">
      <c r="A841" s="212"/>
      <c r="B841" s="241" t="s">
        <v>20</v>
      </c>
      <c r="C841" s="241" t="s">
        <v>9391</v>
      </c>
      <c r="D841" s="241" t="s">
        <v>177</v>
      </c>
      <c r="E841" s="241" t="s">
        <v>9352</v>
      </c>
      <c r="F841" s="212"/>
      <c r="G841" s="212"/>
      <c r="H841" s="248"/>
      <c r="I841" s="248"/>
      <c r="J841" s="242" t="s">
        <v>9392</v>
      </c>
      <c r="K841" s="212"/>
      <c r="L841" s="212"/>
      <c r="M841" s="212"/>
      <c r="N841" s="212"/>
      <c r="O841" s="212"/>
      <c r="P841" s="212"/>
      <c r="Q841" s="212"/>
      <c r="R841" s="212"/>
      <c r="S841" s="212"/>
      <c r="T841" s="212"/>
      <c r="U841" s="212"/>
      <c r="V841" s="212"/>
      <c r="W841" s="212"/>
      <c r="X841" s="212"/>
      <c r="Y841" s="212"/>
      <c r="Z841" s="212"/>
      <c r="AA841" s="212"/>
      <c r="AB841" s="212"/>
      <c r="AC841" s="212"/>
      <c r="AD841" s="212"/>
    </row>
    <row r="842" ht="22.5" customHeight="1">
      <c r="A842" s="212"/>
      <c r="B842" s="241" t="s">
        <v>17</v>
      </c>
      <c r="C842" s="241" t="s">
        <v>3418</v>
      </c>
      <c r="D842" s="241" t="s">
        <v>177</v>
      </c>
      <c r="E842" s="241" t="s">
        <v>177</v>
      </c>
      <c r="F842" s="212"/>
      <c r="G842" s="212"/>
      <c r="H842" s="248"/>
      <c r="I842" s="248"/>
      <c r="J842" s="242" t="s">
        <v>9393</v>
      </c>
      <c r="K842" s="212"/>
      <c r="L842" s="212"/>
      <c r="M842" s="212"/>
      <c r="N842" s="212"/>
      <c r="O842" s="212"/>
      <c r="P842" s="212"/>
      <c r="Q842" s="212"/>
      <c r="R842" s="212"/>
      <c r="S842" s="212"/>
      <c r="T842" s="212"/>
      <c r="U842" s="212"/>
      <c r="V842" s="212"/>
      <c r="W842" s="212"/>
      <c r="X842" s="212"/>
      <c r="Y842" s="212"/>
      <c r="Z842" s="212"/>
      <c r="AA842" s="212"/>
      <c r="AB842" s="212"/>
      <c r="AC842" s="212"/>
      <c r="AD842" s="212"/>
    </row>
    <row r="843" ht="22.5" customHeight="1">
      <c r="A843" s="212"/>
      <c r="B843" s="241" t="s">
        <v>20</v>
      </c>
      <c r="C843" s="241" t="s">
        <v>9394</v>
      </c>
      <c r="D843" s="241" t="s">
        <v>177</v>
      </c>
      <c r="E843" s="241" t="s">
        <v>178</v>
      </c>
      <c r="F843" s="212"/>
      <c r="G843" s="212"/>
      <c r="H843" s="248"/>
      <c r="I843" s="248"/>
      <c r="J843" s="242" t="s">
        <v>9395</v>
      </c>
      <c r="K843" s="212"/>
      <c r="L843" s="212"/>
      <c r="M843" s="212"/>
      <c r="N843" s="212"/>
      <c r="O843" s="212"/>
      <c r="P843" s="212"/>
      <c r="Q843" s="212"/>
      <c r="R843" s="212"/>
      <c r="S843" s="212"/>
      <c r="T843" s="212"/>
      <c r="U843" s="212"/>
      <c r="V843" s="212"/>
      <c r="W843" s="212"/>
      <c r="X843" s="212"/>
      <c r="Y843" s="212"/>
      <c r="Z843" s="212"/>
      <c r="AA843" s="212"/>
      <c r="AB843" s="212"/>
      <c r="AC843" s="212"/>
      <c r="AD843" s="212"/>
    </row>
    <row r="844" ht="22.5" customHeight="1">
      <c r="A844" s="212"/>
      <c r="B844" s="241" t="s">
        <v>20</v>
      </c>
      <c r="C844" s="241" t="s">
        <v>4295</v>
      </c>
      <c r="D844" s="241" t="s">
        <v>177</v>
      </c>
      <c r="E844" s="241" t="s">
        <v>9396</v>
      </c>
      <c r="F844" s="212"/>
      <c r="G844" s="212"/>
      <c r="H844" s="248"/>
      <c r="I844" s="248"/>
      <c r="J844" s="242" t="s">
        <v>9397</v>
      </c>
      <c r="K844" s="212"/>
      <c r="L844" s="212"/>
      <c r="M844" s="212"/>
      <c r="N844" s="212"/>
      <c r="O844" s="212"/>
      <c r="P844" s="212"/>
      <c r="Q844" s="212"/>
      <c r="R844" s="212"/>
      <c r="S844" s="212"/>
      <c r="T844" s="212"/>
      <c r="U844" s="212"/>
      <c r="V844" s="212"/>
      <c r="W844" s="212"/>
      <c r="X844" s="212"/>
      <c r="Y844" s="212"/>
      <c r="Z844" s="212"/>
      <c r="AA844" s="212"/>
      <c r="AB844" s="212"/>
      <c r="AC844" s="212"/>
      <c r="AD844" s="212"/>
    </row>
    <row r="845" ht="22.5" customHeight="1">
      <c r="A845" s="212"/>
      <c r="B845" s="241" t="s">
        <v>20</v>
      </c>
      <c r="C845" s="241" t="s">
        <v>1982</v>
      </c>
      <c r="D845" s="241" t="s">
        <v>177</v>
      </c>
      <c r="E845" s="241" t="s">
        <v>8004</v>
      </c>
      <c r="F845" s="212"/>
      <c r="G845" s="212"/>
      <c r="H845" s="248"/>
      <c r="I845" s="248"/>
      <c r="J845" s="242" t="s">
        <v>9398</v>
      </c>
      <c r="K845" s="212"/>
      <c r="L845" s="212"/>
      <c r="M845" s="212"/>
      <c r="N845" s="212"/>
      <c r="O845" s="212"/>
      <c r="P845" s="212"/>
      <c r="Q845" s="212"/>
      <c r="R845" s="212"/>
      <c r="S845" s="212"/>
      <c r="T845" s="212"/>
      <c r="U845" s="212"/>
      <c r="V845" s="212"/>
      <c r="W845" s="212"/>
      <c r="X845" s="212"/>
      <c r="Y845" s="212"/>
      <c r="Z845" s="212"/>
      <c r="AA845" s="212"/>
      <c r="AB845" s="212"/>
      <c r="AC845" s="212"/>
      <c r="AD845" s="212"/>
    </row>
    <row r="846" ht="22.5" customHeight="1">
      <c r="A846" s="212"/>
      <c r="B846" s="241" t="s">
        <v>20</v>
      </c>
      <c r="C846" s="241" t="s">
        <v>9399</v>
      </c>
      <c r="D846" s="241" t="s">
        <v>177</v>
      </c>
      <c r="E846" s="241" t="s">
        <v>7766</v>
      </c>
      <c r="F846" s="212"/>
      <c r="G846" s="212"/>
      <c r="H846" s="248"/>
      <c r="I846" s="248"/>
      <c r="J846" s="242" t="s">
        <v>9400</v>
      </c>
      <c r="K846" s="212"/>
      <c r="L846" s="212"/>
      <c r="M846" s="212"/>
      <c r="N846" s="212"/>
      <c r="O846" s="212"/>
      <c r="P846" s="212"/>
      <c r="Q846" s="212"/>
      <c r="R846" s="212"/>
      <c r="S846" s="212"/>
      <c r="T846" s="212"/>
      <c r="U846" s="212"/>
      <c r="V846" s="212"/>
      <c r="W846" s="212"/>
      <c r="X846" s="212"/>
      <c r="Y846" s="212"/>
      <c r="Z846" s="212"/>
      <c r="AA846" s="212"/>
      <c r="AB846" s="212"/>
      <c r="AC846" s="212"/>
      <c r="AD846" s="212"/>
    </row>
    <row r="847" ht="22.5" customHeight="1">
      <c r="A847" s="212"/>
      <c r="B847" s="241" t="s">
        <v>2364</v>
      </c>
      <c r="C847" s="241" t="s">
        <v>9401</v>
      </c>
      <c r="D847" s="241" t="s">
        <v>177</v>
      </c>
      <c r="E847" s="241" t="s">
        <v>177</v>
      </c>
      <c r="F847" s="212"/>
      <c r="G847" s="212"/>
      <c r="H847" s="248"/>
      <c r="I847" s="248"/>
      <c r="J847" s="242" t="s">
        <v>9402</v>
      </c>
      <c r="K847" s="212"/>
      <c r="L847" s="212"/>
      <c r="M847" s="212"/>
      <c r="N847" s="212"/>
      <c r="O847" s="212"/>
      <c r="P847" s="212"/>
      <c r="Q847" s="212"/>
      <c r="R847" s="212"/>
      <c r="S847" s="212"/>
      <c r="T847" s="212"/>
      <c r="U847" s="212"/>
      <c r="V847" s="212"/>
      <c r="W847" s="212"/>
      <c r="X847" s="212"/>
      <c r="Y847" s="212"/>
      <c r="Z847" s="212"/>
      <c r="AA847" s="212"/>
      <c r="AB847" s="212"/>
      <c r="AC847" s="212"/>
      <c r="AD847" s="212"/>
    </row>
    <row r="848" ht="22.5" customHeight="1">
      <c r="A848" s="212"/>
      <c r="B848" s="241" t="s">
        <v>766</v>
      </c>
      <c r="C848" s="241" t="s">
        <v>922</v>
      </c>
      <c r="D848" s="241" t="s">
        <v>177</v>
      </c>
      <c r="E848" s="241" t="s">
        <v>178</v>
      </c>
      <c r="F848" s="212"/>
      <c r="G848" s="212"/>
      <c r="H848" s="248"/>
      <c r="I848" s="248"/>
      <c r="J848" s="242" t="s">
        <v>9403</v>
      </c>
      <c r="K848" s="212"/>
      <c r="L848" s="212"/>
      <c r="M848" s="212"/>
      <c r="N848" s="212"/>
      <c r="O848" s="212"/>
      <c r="P848" s="212"/>
      <c r="Q848" s="212"/>
      <c r="R848" s="212"/>
      <c r="S848" s="212"/>
      <c r="T848" s="212"/>
      <c r="U848" s="212"/>
      <c r="V848" s="212"/>
      <c r="W848" s="212"/>
      <c r="X848" s="212"/>
      <c r="Y848" s="212"/>
      <c r="Z848" s="212"/>
      <c r="AA848" s="212"/>
      <c r="AB848" s="212"/>
      <c r="AC848" s="212"/>
      <c r="AD848" s="212"/>
    </row>
    <row r="849" ht="22.5" customHeight="1">
      <c r="A849" s="212"/>
      <c r="B849" s="241" t="s">
        <v>9404</v>
      </c>
      <c r="C849" s="241" t="s">
        <v>9405</v>
      </c>
      <c r="D849" s="241" t="s">
        <v>177</v>
      </c>
      <c r="E849" s="241" t="s">
        <v>7864</v>
      </c>
      <c r="F849" s="212"/>
      <c r="G849" s="212"/>
      <c r="H849" s="248"/>
      <c r="I849" s="248"/>
      <c r="J849" s="242" t="s">
        <v>9406</v>
      </c>
      <c r="K849" s="212"/>
      <c r="L849" s="212"/>
      <c r="M849" s="212"/>
      <c r="N849" s="212"/>
      <c r="O849" s="212"/>
      <c r="P849" s="212"/>
      <c r="Q849" s="212"/>
      <c r="R849" s="212"/>
      <c r="S849" s="212"/>
      <c r="T849" s="212"/>
      <c r="U849" s="212"/>
      <c r="V849" s="212"/>
      <c r="W849" s="212"/>
      <c r="X849" s="212"/>
      <c r="Y849" s="212"/>
      <c r="Z849" s="212"/>
      <c r="AA849" s="212"/>
      <c r="AB849" s="212"/>
      <c r="AC849" s="212"/>
      <c r="AD849" s="212"/>
    </row>
    <row r="850" ht="22.5" customHeight="1">
      <c r="A850" s="212"/>
      <c r="B850" s="241" t="s">
        <v>4322</v>
      </c>
      <c r="C850" s="241" t="s">
        <v>9407</v>
      </c>
      <c r="D850" s="241" t="s">
        <v>177</v>
      </c>
      <c r="E850" s="241" t="s">
        <v>177</v>
      </c>
      <c r="F850" s="212"/>
      <c r="G850" s="212"/>
      <c r="H850" s="248"/>
      <c r="I850" s="248"/>
      <c r="J850" s="242" t="s">
        <v>9408</v>
      </c>
      <c r="K850" s="212"/>
      <c r="L850" s="212"/>
      <c r="M850" s="212"/>
      <c r="N850" s="212"/>
      <c r="O850" s="212"/>
      <c r="P850" s="212"/>
      <c r="Q850" s="212"/>
      <c r="R850" s="212"/>
      <c r="S850" s="212"/>
      <c r="T850" s="212"/>
      <c r="U850" s="212"/>
      <c r="V850" s="212"/>
      <c r="W850" s="212"/>
      <c r="X850" s="212"/>
      <c r="Y850" s="212"/>
      <c r="Z850" s="212"/>
      <c r="AA850" s="212"/>
      <c r="AB850" s="212"/>
      <c r="AC850" s="212"/>
      <c r="AD850" s="212"/>
    </row>
    <row r="851" ht="22.5" customHeight="1">
      <c r="A851" s="212"/>
      <c r="B851" s="241" t="s">
        <v>20</v>
      </c>
      <c r="C851" s="241" t="s">
        <v>9409</v>
      </c>
      <c r="D851" s="241" t="s">
        <v>177</v>
      </c>
      <c r="E851" s="241" t="s">
        <v>177</v>
      </c>
      <c r="F851" s="212"/>
      <c r="G851" s="212"/>
      <c r="H851" s="248"/>
      <c r="I851" s="248"/>
      <c r="J851" s="242" t="s">
        <v>9410</v>
      </c>
      <c r="K851" s="212"/>
      <c r="L851" s="212"/>
      <c r="M851" s="212"/>
      <c r="N851" s="212"/>
      <c r="O851" s="212"/>
      <c r="P851" s="212"/>
      <c r="Q851" s="212"/>
      <c r="R851" s="212"/>
      <c r="S851" s="212"/>
      <c r="T851" s="212"/>
      <c r="U851" s="212"/>
      <c r="V851" s="212"/>
      <c r="W851" s="212"/>
      <c r="X851" s="212"/>
      <c r="Y851" s="212"/>
      <c r="Z851" s="212"/>
      <c r="AA851" s="212"/>
      <c r="AB851" s="212"/>
      <c r="AC851" s="212"/>
      <c r="AD851" s="212"/>
    </row>
    <row r="852" ht="22.5" customHeight="1">
      <c r="B852" s="8" t="s">
        <v>276</v>
      </c>
      <c r="C852" s="8" t="s">
        <v>9411</v>
      </c>
      <c r="D852" s="8" t="s">
        <v>177</v>
      </c>
      <c r="E852" s="8" t="s">
        <v>8079</v>
      </c>
      <c r="J852" s="12" t="s">
        <v>9412</v>
      </c>
    </row>
    <row r="853" ht="17.25" customHeight="1">
      <c r="A853" s="48"/>
      <c r="B853" s="49" t="s">
        <v>20</v>
      </c>
      <c r="C853" s="49" t="s">
        <v>9413</v>
      </c>
      <c r="D853" s="49" t="s">
        <v>177</v>
      </c>
      <c r="E853" s="49" t="s">
        <v>9414</v>
      </c>
      <c r="F853" s="48"/>
      <c r="G853" s="48"/>
      <c r="H853" s="48"/>
      <c r="I853" s="48"/>
      <c r="J853" s="50" t="s">
        <v>9415</v>
      </c>
      <c r="K853" s="48"/>
      <c r="AA853" s="212"/>
      <c r="AB853" s="212"/>
      <c r="AC853" s="212"/>
      <c r="AD853" s="212"/>
    </row>
    <row r="854" ht="22.5" customHeight="1">
      <c r="A854" s="212"/>
      <c r="B854" s="241" t="s">
        <v>276</v>
      </c>
      <c r="C854" s="241" t="s">
        <v>4182</v>
      </c>
      <c r="D854" s="241" t="s">
        <v>177</v>
      </c>
      <c r="E854" s="241" t="s">
        <v>177</v>
      </c>
      <c r="F854" s="212"/>
      <c r="G854" s="212"/>
      <c r="H854" s="248"/>
      <c r="I854" s="248"/>
      <c r="J854" s="242" t="s">
        <v>2086</v>
      </c>
      <c r="K854" s="212"/>
      <c r="L854" s="212"/>
      <c r="M854" s="212"/>
      <c r="N854" s="212"/>
      <c r="O854" s="212"/>
      <c r="P854" s="212"/>
      <c r="Q854" s="212"/>
      <c r="R854" s="212"/>
      <c r="S854" s="212"/>
      <c r="T854" s="212"/>
      <c r="U854" s="212"/>
      <c r="V854" s="212"/>
      <c r="W854" s="212"/>
      <c r="X854" s="212"/>
      <c r="Y854" s="212"/>
      <c r="Z854" s="212"/>
      <c r="AA854" s="212"/>
      <c r="AB854" s="212"/>
      <c r="AC854" s="212"/>
      <c r="AD854" s="212"/>
    </row>
    <row r="855" ht="22.5" customHeight="1">
      <c r="A855" s="212"/>
      <c r="B855" s="241" t="s">
        <v>301</v>
      </c>
      <c r="C855" s="241" t="s">
        <v>9416</v>
      </c>
      <c r="D855" s="241" t="s">
        <v>177</v>
      </c>
      <c r="E855" s="241" t="s">
        <v>178</v>
      </c>
      <c r="F855" s="212"/>
      <c r="G855" s="212"/>
      <c r="H855" s="248"/>
      <c r="I855" s="248"/>
      <c r="J855" s="250" t="s">
        <v>9417</v>
      </c>
      <c r="K855" s="212"/>
      <c r="L855" s="212"/>
      <c r="M855" s="212"/>
      <c r="N855" s="212"/>
      <c r="O855" s="212"/>
      <c r="P855" s="212"/>
      <c r="Q855" s="212"/>
      <c r="R855" s="212"/>
      <c r="S855" s="212"/>
      <c r="T855" s="212"/>
      <c r="U855" s="212"/>
      <c r="V855" s="212"/>
      <c r="W855" s="212"/>
      <c r="X855" s="212"/>
      <c r="Y855" s="212"/>
      <c r="Z855" s="212"/>
      <c r="AA855" s="212"/>
      <c r="AB855" s="212"/>
      <c r="AC855" s="212"/>
      <c r="AD855" s="212"/>
    </row>
    <row r="856" ht="22.5" customHeight="1">
      <c r="A856" s="212"/>
      <c r="B856" s="241" t="s">
        <v>276</v>
      </c>
      <c r="C856" s="241" t="s">
        <v>9418</v>
      </c>
      <c r="D856" s="241" t="s">
        <v>177</v>
      </c>
      <c r="E856" s="241" t="s">
        <v>177</v>
      </c>
      <c r="F856" s="212"/>
      <c r="G856" s="212"/>
      <c r="H856" s="248"/>
      <c r="I856" s="248"/>
      <c r="J856" s="246" t="s">
        <v>9419</v>
      </c>
      <c r="K856" s="212"/>
      <c r="L856" s="212"/>
      <c r="M856" s="212"/>
      <c r="N856" s="212"/>
      <c r="O856" s="212"/>
      <c r="P856" s="212"/>
      <c r="Q856" s="212"/>
      <c r="R856" s="212"/>
      <c r="S856" s="212"/>
      <c r="T856" s="212"/>
      <c r="U856" s="212"/>
      <c r="V856" s="212"/>
      <c r="W856" s="212"/>
      <c r="X856" s="212"/>
      <c r="Y856" s="212"/>
      <c r="Z856" s="212"/>
      <c r="AA856" s="212"/>
      <c r="AB856" s="212"/>
      <c r="AC856" s="212"/>
      <c r="AD856" s="212"/>
    </row>
    <row r="857" ht="22.5" customHeight="1">
      <c r="A857" s="212"/>
      <c r="B857" s="241" t="s">
        <v>17</v>
      </c>
      <c r="C857" s="241" t="s">
        <v>8846</v>
      </c>
      <c r="D857" s="241" t="s">
        <v>177</v>
      </c>
      <c r="E857" s="241" t="s">
        <v>9352</v>
      </c>
      <c r="F857" s="212"/>
      <c r="G857" s="212"/>
      <c r="H857" s="248"/>
      <c r="I857" s="248"/>
      <c r="J857" s="242" t="s">
        <v>9420</v>
      </c>
      <c r="K857" s="212"/>
      <c r="L857" s="212"/>
      <c r="M857" s="212"/>
      <c r="N857" s="212"/>
      <c r="O857" s="212"/>
      <c r="P857" s="212"/>
      <c r="Q857" s="212"/>
      <c r="R857" s="212"/>
      <c r="S857" s="212"/>
      <c r="T857" s="212"/>
      <c r="U857" s="212"/>
      <c r="V857" s="212"/>
      <c r="W857" s="212"/>
      <c r="X857" s="212"/>
      <c r="Y857" s="212"/>
      <c r="Z857" s="212"/>
      <c r="AA857" s="212"/>
      <c r="AB857" s="212"/>
      <c r="AC857" s="212"/>
      <c r="AD857" s="212"/>
    </row>
    <row r="858" ht="22.5" customHeight="1">
      <c r="A858" s="212"/>
      <c r="B858" s="241" t="s">
        <v>20</v>
      </c>
      <c r="C858" s="241" t="s">
        <v>3418</v>
      </c>
      <c r="D858" s="241" t="s">
        <v>177</v>
      </c>
      <c r="E858" s="241" t="s">
        <v>9421</v>
      </c>
      <c r="F858" s="212"/>
      <c r="G858" s="212"/>
      <c r="H858" s="248"/>
      <c r="I858" s="248"/>
      <c r="J858" s="242" t="s">
        <v>9422</v>
      </c>
      <c r="K858" s="212"/>
      <c r="L858" s="212"/>
      <c r="M858" s="212"/>
      <c r="N858" s="212"/>
      <c r="O858" s="212"/>
      <c r="P858" s="212"/>
      <c r="Q858" s="212"/>
      <c r="R858" s="212"/>
      <c r="S858" s="212"/>
      <c r="T858" s="212"/>
      <c r="U858" s="212"/>
      <c r="V858" s="212"/>
      <c r="W858" s="212"/>
      <c r="X858" s="212"/>
      <c r="Y858" s="212"/>
      <c r="Z858" s="212"/>
      <c r="AA858" s="212"/>
      <c r="AB858" s="212"/>
      <c r="AC858" s="212"/>
      <c r="AD858" s="212"/>
    </row>
    <row r="859" ht="22.5" customHeight="1">
      <c r="A859" s="212"/>
      <c r="B859" s="247"/>
      <c r="C859" s="247"/>
      <c r="D859" s="247"/>
      <c r="E859" s="247"/>
      <c r="F859" s="212"/>
      <c r="G859" s="212"/>
      <c r="H859" s="248"/>
      <c r="I859" s="248"/>
      <c r="J859" s="248"/>
      <c r="K859" s="212"/>
      <c r="L859" s="212"/>
      <c r="M859" s="212"/>
      <c r="N859" s="212"/>
      <c r="O859" s="212"/>
      <c r="P859" s="212"/>
      <c r="Q859" s="212"/>
      <c r="R859" s="212"/>
      <c r="S859" s="212"/>
      <c r="T859" s="212"/>
      <c r="U859" s="212"/>
      <c r="V859" s="212"/>
      <c r="W859" s="212"/>
      <c r="X859" s="212"/>
      <c r="Y859" s="212"/>
      <c r="Z859" s="212"/>
      <c r="AA859" s="212"/>
      <c r="AB859" s="212"/>
      <c r="AC859" s="212"/>
      <c r="AD859" s="212"/>
    </row>
    <row r="860" ht="22.5" customHeight="1">
      <c r="A860" s="212"/>
      <c r="B860" s="247"/>
      <c r="C860" s="247"/>
      <c r="D860" s="247"/>
      <c r="E860" s="247"/>
      <c r="F860" s="212"/>
      <c r="G860" s="212"/>
      <c r="H860" s="248"/>
      <c r="I860" s="248"/>
      <c r="J860" s="248"/>
      <c r="K860" s="212"/>
      <c r="L860" s="212"/>
      <c r="M860" s="212"/>
      <c r="N860" s="212"/>
      <c r="O860" s="212"/>
      <c r="P860" s="212"/>
      <c r="Q860" s="212"/>
      <c r="R860" s="212"/>
      <c r="S860" s="212"/>
      <c r="T860" s="212"/>
      <c r="U860" s="212"/>
      <c r="V860" s="212"/>
      <c r="W860" s="212"/>
      <c r="X860" s="212"/>
      <c r="Y860" s="212"/>
      <c r="Z860" s="212"/>
      <c r="AA860" s="212"/>
      <c r="AB860" s="212"/>
      <c r="AC860" s="212"/>
      <c r="AD860" s="212"/>
    </row>
    <row r="861" ht="22.5" customHeight="1">
      <c r="A861" s="212"/>
      <c r="B861" s="247"/>
      <c r="C861" s="247"/>
      <c r="D861" s="247"/>
      <c r="E861" s="247"/>
      <c r="F861" s="212"/>
      <c r="G861" s="212"/>
      <c r="H861" s="248"/>
      <c r="I861" s="248"/>
      <c r="J861" s="248"/>
      <c r="K861" s="212"/>
      <c r="L861" s="212"/>
      <c r="M861" s="212"/>
      <c r="N861" s="212"/>
      <c r="O861" s="212"/>
      <c r="P861" s="212"/>
      <c r="Q861" s="212"/>
      <c r="R861" s="212"/>
      <c r="S861" s="212"/>
      <c r="T861" s="212"/>
      <c r="U861" s="212"/>
      <c r="V861" s="212"/>
      <c r="W861" s="212"/>
      <c r="X861" s="212"/>
      <c r="Y861" s="212"/>
      <c r="Z861" s="212"/>
      <c r="AA861" s="212"/>
      <c r="AB861" s="212"/>
      <c r="AC861" s="212"/>
      <c r="AD861" s="212"/>
    </row>
    <row r="862" ht="22.5" customHeight="1">
      <c r="A862" s="212"/>
      <c r="B862" s="247"/>
      <c r="C862" s="247"/>
      <c r="D862" s="247"/>
      <c r="E862" s="247"/>
      <c r="F862" s="212"/>
      <c r="G862" s="212"/>
      <c r="H862" s="248"/>
      <c r="I862" s="248"/>
      <c r="J862" s="248"/>
      <c r="K862" s="212"/>
      <c r="L862" s="212"/>
      <c r="M862" s="212"/>
      <c r="N862" s="212"/>
      <c r="O862" s="212"/>
      <c r="P862" s="212"/>
      <c r="Q862" s="212"/>
      <c r="R862" s="212"/>
      <c r="S862" s="212"/>
      <c r="T862" s="212"/>
      <c r="U862" s="212"/>
      <c r="V862" s="212"/>
      <c r="W862" s="212"/>
      <c r="X862" s="212"/>
      <c r="Y862" s="212"/>
      <c r="Z862" s="212"/>
      <c r="AA862" s="212"/>
      <c r="AB862" s="212"/>
      <c r="AC862" s="212"/>
      <c r="AD862" s="212"/>
    </row>
    <row r="863" ht="22.5" customHeight="1">
      <c r="A863" s="212"/>
      <c r="B863" s="247"/>
      <c r="C863" s="247"/>
      <c r="D863" s="247"/>
      <c r="E863" s="247"/>
      <c r="F863" s="212"/>
      <c r="G863" s="212"/>
      <c r="H863" s="248"/>
      <c r="I863" s="248"/>
      <c r="J863" s="248"/>
      <c r="K863" s="212"/>
      <c r="L863" s="212"/>
      <c r="M863" s="212"/>
      <c r="N863" s="212"/>
      <c r="O863" s="212"/>
      <c r="P863" s="212"/>
      <c r="Q863" s="212"/>
      <c r="R863" s="212"/>
      <c r="S863" s="212"/>
      <c r="T863" s="212"/>
      <c r="U863" s="212"/>
      <c r="V863" s="212"/>
      <c r="W863" s="212"/>
      <c r="X863" s="212"/>
      <c r="Y863" s="212"/>
      <c r="Z863" s="212"/>
      <c r="AA863" s="212"/>
      <c r="AB863" s="212"/>
      <c r="AC863" s="212"/>
      <c r="AD863" s="212"/>
    </row>
    <row r="864" ht="22.5" customHeight="1">
      <c r="A864" s="212"/>
      <c r="B864" s="247"/>
      <c r="C864" s="247"/>
      <c r="D864" s="247"/>
      <c r="E864" s="247"/>
      <c r="F864" s="212"/>
      <c r="G864" s="212"/>
      <c r="H864" s="248"/>
      <c r="I864" s="248"/>
      <c r="J864" s="248"/>
      <c r="K864" s="212"/>
      <c r="L864" s="212"/>
      <c r="M864" s="212"/>
      <c r="N864" s="212"/>
      <c r="O864" s="212"/>
      <c r="P864" s="212"/>
      <c r="Q864" s="212"/>
      <c r="R864" s="212"/>
      <c r="S864" s="212"/>
      <c r="T864" s="212"/>
      <c r="U864" s="212"/>
      <c r="V864" s="212"/>
      <c r="W864" s="212"/>
      <c r="X864" s="212"/>
      <c r="Y864" s="212"/>
      <c r="Z864" s="212"/>
      <c r="AA864" s="212"/>
      <c r="AB864" s="212"/>
      <c r="AC864" s="212"/>
      <c r="AD864" s="212"/>
    </row>
    <row r="865" ht="22.5" customHeight="1">
      <c r="A865" s="212"/>
      <c r="B865" s="247"/>
      <c r="C865" s="247"/>
      <c r="D865" s="247"/>
      <c r="E865" s="247"/>
      <c r="F865" s="212"/>
      <c r="G865" s="212"/>
      <c r="H865" s="248"/>
      <c r="I865" s="248"/>
      <c r="J865" s="248"/>
      <c r="K865" s="212"/>
      <c r="L865" s="212"/>
      <c r="M865" s="212"/>
      <c r="N865" s="212"/>
      <c r="O865" s="212"/>
      <c r="P865" s="212"/>
      <c r="Q865" s="212"/>
      <c r="R865" s="212"/>
      <c r="S865" s="212"/>
      <c r="T865" s="212"/>
      <c r="U865" s="212"/>
      <c r="V865" s="212"/>
      <c r="W865" s="212"/>
      <c r="X865" s="212"/>
      <c r="Y865" s="212"/>
      <c r="Z865" s="212"/>
      <c r="AA865" s="212"/>
      <c r="AB865" s="212"/>
      <c r="AC865" s="212"/>
      <c r="AD865" s="212"/>
    </row>
    <row r="866" ht="22.5" customHeight="1">
      <c r="A866" s="212"/>
      <c r="B866" s="247"/>
      <c r="C866" s="247"/>
      <c r="D866" s="247"/>
      <c r="E866" s="247"/>
      <c r="F866" s="212"/>
      <c r="G866" s="212"/>
      <c r="H866" s="248"/>
      <c r="I866" s="248"/>
      <c r="J866" s="248"/>
      <c r="K866" s="212"/>
      <c r="L866" s="212"/>
      <c r="M866" s="212"/>
      <c r="N866" s="212"/>
      <c r="O866" s="212"/>
      <c r="P866" s="212"/>
      <c r="Q866" s="212"/>
      <c r="R866" s="212"/>
      <c r="S866" s="212"/>
      <c r="T866" s="212"/>
      <c r="U866" s="212"/>
      <c r="V866" s="212"/>
      <c r="W866" s="212"/>
      <c r="X866" s="212"/>
      <c r="Y866" s="212"/>
      <c r="Z866" s="212"/>
      <c r="AA866" s="212"/>
      <c r="AB866" s="212"/>
      <c r="AC866" s="212"/>
      <c r="AD866" s="212"/>
    </row>
    <row r="867" ht="22.5" customHeight="1">
      <c r="A867" s="212"/>
      <c r="B867" s="247"/>
      <c r="C867" s="247"/>
      <c r="D867" s="247"/>
      <c r="E867" s="247"/>
      <c r="F867" s="212"/>
      <c r="G867" s="212"/>
      <c r="H867" s="248"/>
      <c r="I867" s="248"/>
      <c r="J867" s="248"/>
      <c r="K867" s="212"/>
      <c r="L867" s="212"/>
      <c r="M867" s="212"/>
      <c r="N867" s="212"/>
      <c r="O867" s="212"/>
      <c r="P867" s="212"/>
      <c r="Q867" s="212"/>
      <c r="R867" s="212"/>
      <c r="S867" s="212"/>
      <c r="T867" s="212"/>
      <c r="U867" s="212"/>
      <c r="V867" s="212"/>
      <c r="W867" s="212"/>
      <c r="X867" s="212"/>
      <c r="Y867" s="212"/>
      <c r="Z867" s="212"/>
      <c r="AA867" s="212"/>
      <c r="AB867" s="212"/>
      <c r="AC867" s="212"/>
      <c r="AD867" s="212"/>
    </row>
    <row r="868" ht="22.5" customHeight="1">
      <c r="A868" s="212"/>
      <c r="B868" s="247"/>
      <c r="C868" s="247"/>
      <c r="D868" s="247"/>
      <c r="E868" s="247"/>
      <c r="F868" s="212"/>
      <c r="G868" s="212"/>
      <c r="H868" s="248"/>
      <c r="I868" s="248"/>
      <c r="J868" s="248"/>
      <c r="K868" s="212"/>
      <c r="L868" s="212"/>
      <c r="M868" s="212"/>
      <c r="N868" s="212"/>
      <c r="O868" s="212"/>
      <c r="P868" s="212"/>
      <c r="Q868" s="212"/>
      <c r="R868" s="212"/>
      <c r="S868" s="212"/>
      <c r="T868" s="212"/>
      <c r="U868" s="212"/>
      <c r="V868" s="212"/>
      <c r="W868" s="212"/>
      <c r="X868" s="212"/>
      <c r="Y868" s="212"/>
      <c r="Z868" s="212"/>
      <c r="AA868" s="212"/>
      <c r="AB868" s="212"/>
      <c r="AC868" s="212"/>
      <c r="AD868" s="212"/>
    </row>
    <row r="869" ht="22.5" customHeight="1">
      <c r="A869" s="212"/>
      <c r="B869" s="247"/>
      <c r="C869" s="247"/>
      <c r="D869" s="247"/>
      <c r="E869" s="247"/>
      <c r="F869" s="212"/>
      <c r="G869" s="212"/>
      <c r="H869" s="248"/>
      <c r="I869" s="248"/>
      <c r="J869" s="248"/>
      <c r="K869" s="212"/>
      <c r="L869" s="212"/>
      <c r="M869" s="212"/>
      <c r="N869" s="212"/>
      <c r="O869" s="212"/>
      <c r="P869" s="212"/>
      <c r="Q869" s="212"/>
      <c r="R869" s="212"/>
      <c r="S869" s="212"/>
      <c r="T869" s="212"/>
      <c r="U869" s="212"/>
      <c r="V869" s="212"/>
      <c r="W869" s="212"/>
      <c r="X869" s="212"/>
      <c r="Y869" s="212"/>
      <c r="Z869" s="212"/>
      <c r="AA869" s="212"/>
      <c r="AB869" s="212"/>
      <c r="AC869" s="212"/>
      <c r="AD869" s="212"/>
    </row>
    <row r="870" ht="22.5" customHeight="1">
      <c r="A870" s="212"/>
      <c r="B870" s="247"/>
      <c r="C870" s="247"/>
      <c r="D870" s="247"/>
      <c r="E870" s="247"/>
      <c r="F870" s="212"/>
      <c r="G870" s="212"/>
      <c r="H870" s="248"/>
      <c r="I870" s="248"/>
      <c r="J870" s="248"/>
      <c r="K870" s="212"/>
      <c r="L870" s="212"/>
      <c r="M870" s="212"/>
      <c r="N870" s="212"/>
      <c r="O870" s="212"/>
      <c r="P870" s="212"/>
      <c r="Q870" s="212"/>
      <c r="R870" s="212"/>
      <c r="S870" s="212"/>
      <c r="T870" s="212"/>
      <c r="U870" s="212"/>
      <c r="V870" s="212"/>
      <c r="W870" s="212"/>
      <c r="X870" s="212"/>
      <c r="Y870" s="212"/>
      <c r="Z870" s="212"/>
      <c r="AA870" s="212"/>
      <c r="AB870" s="212"/>
      <c r="AC870" s="212"/>
      <c r="AD870" s="212"/>
    </row>
    <row r="871" ht="22.5" customHeight="1">
      <c r="A871" s="212"/>
      <c r="B871" s="247"/>
      <c r="C871" s="247"/>
      <c r="D871" s="247"/>
      <c r="E871" s="247"/>
      <c r="F871" s="212"/>
      <c r="G871" s="212"/>
      <c r="H871" s="248"/>
      <c r="I871" s="248"/>
      <c r="J871" s="248"/>
      <c r="K871" s="212"/>
      <c r="L871" s="212"/>
      <c r="M871" s="212"/>
      <c r="N871" s="212"/>
      <c r="O871" s="212"/>
      <c r="P871" s="212"/>
      <c r="Q871" s="212"/>
      <c r="R871" s="212"/>
      <c r="S871" s="212"/>
      <c r="T871" s="212"/>
      <c r="U871" s="212"/>
      <c r="V871" s="212"/>
      <c r="W871" s="212"/>
      <c r="X871" s="212"/>
      <c r="Y871" s="212"/>
      <c r="Z871" s="212"/>
      <c r="AA871" s="212"/>
      <c r="AB871" s="212"/>
      <c r="AC871" s="212"/>
      <c r="AD871" s="212"/>
    </row>
    <row r="872" ht="22.5" customHeight="1">
      <c r="A872" s="212"/>
      <c r="B872" s="247"/>
      <c r="C872" s="247"/>
      <c r="D872" s="247"/>
      <c r="E872" s="247"/>
      <c r="F872" s="212"/>
      <c r="G872" s="212"/>
      <c r="H872" s="248"/>
      <c r="I872" s="248"/>
      <c r="J872" s="248"/>
      <c r="K872" s="212"/>
      <c r="L872" s="212"/>
      <c r="M872" s="212"/>
      <c r="N872" s="212"/>
      <c r="O872" s="212"/>
      <c r="P872" s="212"/>
      <c r="Q872" s="212"/>
      <c r="R872" s="212"/>
      <c r="S872" s="212"/>
      <c r="T872" s="212"/>
      <c r="U872" s="212"/>
      <c r="V872" s="212"/>
      <c r="W872" s="212"/>
      <c r="X872" s="212"/>
      <c r="Y872" s="212"/>
      <c r="Z872" s="212"/>
      <c r="AA872" s="212"/>
      <c r="AB872" s="212"/>
      <c r="AC872" s="212"/>
      <c r="AD872" s="212"/>
    </row>
    <row r="873" ht="22.5" customHeight="1">
      <c r="A873" s="212"/>
      <c r="B873" s="247"/>
      <c r="C873" s="247"/>
      <c r="D873" s="247"/>
      <c r="E873" s="247"/>
      <c r="F873" s="212"/>
      <c r="G873" s="212"/>
      <c r="H873" s="248"/>
      <c r="I873" s="248"/>
      <c r="J873" s="248"/>
      <c r="K873" s="212"/>
      <c r="L873" s="212"/>
      <c r="M873" s="212"/>
      <c r="N873" s="212"/>
      <c r="O873" s="212"/>
      <c r="P873" s="212"/>
      <c r="Q873" s="212"/>
      <c r="R873" s="212"/>
      <c r="S873" s="212"/>
      <c r="T873" s="212"/>
      <c r="U873" s="212"/>
      <c r="V873" s="212"/>
      <c r="W873" s="212"/>
      <c r="X873" s="212"/>
      <c r="Y873" s="212"/>
      <c r="Z873" s="212"/>
      <c r="AA873" s="212"/>
      <c r="AB873" s="212"/>
      <c r="AC873" s="212"/>
      <c r="AD873" s="212"/>
    </row>
    <row r="874" ht="22.5" customHeight="1">
      <c r="A874" s="212"/>
      <c r="B874" s="247"/>
      <c r="C874" s="247"/>
      <c r="D874" s="247"/>
      <c r="E874" s="247"/>
      <c r="F874" s="212"/>
      <c r="G874" s="212"/>
      <c r="H874" s="248"/>
      <c r="I874" s="248"/>
      <c r="J874" s="248"/>
      <c r="K874" s="212"/>
      <c r="L874" s="212"/>
      <c r="M874" s="212"/>
      <c r="N874" s="212"/>
      <c r="O874" s="212"/>
      <c r="P874" s="212"/>
      <c r="Q874" s="212"/>
      <c r="R874" s="212"/>
      <c r="S874" s="212"/>
      <c r="T874" s="212"/>
      <c r="U874" s="212"/>
      <c r="V874" s="212"/>
      <c r="W874" s="212"/>
      <c r="X874" s="212"/>
      <c r="Y874" s="212"/>
      <c r="Z874" s="212"/>
      <c r="AA874" s="212"/>
      <c r="AB874" s="212"/>
      <c r="AC874" s="212"/>
      <c r="AD874" s="212"/>
    </row>
    <row r="875" ht="22.5" customHeight="1">
      <c r="A875" s="212"/>
      <c r="B875" s="247"/>
      <c r="C875" s="247"/>
      <c r="D875" s="247"/>
      <c r="E875" s="247"/>
      <c r="F875" s="212"/>
      <c r="G875" s="212"/>
      <c r="H875" s="248"/>
      <c r="I875" s="248"/>
      <c r="J875" s="248"/>
      <c r="K875" s="212"/>
      <c r="L875" s="212"/>
      <c r="M875" s="212"/>
      <c r="N875" s="212"/>
      <c r="O875" s="212"/>
      <c r="P875" s="212"/>
      <c r="Q875" s="212"/>
      <c r="R875" s="212"/>
      <c r="S875" s="212"/>
      <c r="T875" s="212"/>
      <c r="U875" s="212"/>
      <c r="V875" s="212"/>
      <c r="W875" s="212"/>
      <c r="X875" s="212"/>
      <c r="Y875" s="212"/>
      <c r="Z875" s="212"/>
      <c r="AA875" s="212"/>
      <c r="AB875" s="212"/>
      <c r="AC875" s="212"/>
      <c r="AD875" s="212"/>
    </row>
    <row r="876" ht="22.5" customHeight="1">
      <c r="A876" s="212"/>
      <c r="B876" s="247"/>
      <c r="C876" s="247"/>
      <c r="D876" s="247"/>
      <c r="E876" s="247"/>
      <c r="F876" s="212"/>
      <c r="G876" s="212"/>
      <c r="H876" s="248"/>
      <c r="I876" s="248"/>
      <c r="J876" s="248"/>
      <c r="K876" s="212"/>
      <c r="L876" s="212"/>
      <c r="M876" s="212"/>
      <c r="N876" s="212"/>
      <c r="O876" s="212"/>
      <c r="P876" s="212"/>
      <c r="Q876" s="212"/>
      <c r="R876" s="212"/>
      <c r="S876" s="212"/>
      <c r="T876" s="212"/>
      <c r="U876" s="212"/>
      <c r="V876" s="212"/>
      <c r="W876" s="212"/>
      <c r="X876" s="212"/>
      <c r="Y876" s="212"/>
      <c r="Z876" s="212"/>
      <c r="AA876" s="212"/>
      <c r="AB876" s="212"/>
      <c r="AC876" s="212"/>
      <c r="AD876" s="212"/>
    </row>
    <row r="877" ht="22.5" customHeight="1">
      <c r="A877" s="212"/>
      <c r="B877" s="247"/>
      <c r="C877" s="247"/>
      <c r="D877" s="247"/>
      <c r="E877" s="247"/>
      <c r="F877" s="212"/>
      <c r="G877" s="212"/>
      <c r="H877" s="248"/>
      <c r="I877" s="248"/>
      <c r="J877" s="248"/>
      <c r="K877" s="212"/>
      <c r="L877" s="212"/>
      <c r="M877" s="212"/>
      <c r="N877" s="212"/>
      <c r="O877" s="212"/>
      <c r="P877" s="212"/>
      <c r="Q877" s="212"/>
      <c r="R877" s="212"/>
      <c r="S877" s="212"/>
      <c r="T877" s="212"/>
      <c r="U877" s="212"/>
      <c r="V877" s="212"/>
      <c r="W877" s="212"/>
      <c r="X877" s="212"/>
      <c r="Y877" s="212"/>
      <c r="Z877" s="212"/>
      <c r="AA877" s="212"/>
      <c r="AB877" s="212"/>
      <c r="AC877" s="212"/>
      <c r="AD877" s="212"/>
    </row>
    <row r="878" ht="22.5" customHeight="1">
      <c r="A878" s="212"/>
      <c r="B878" s="247"/>
      <c r="C878" s="247"/>
      <c r="D878" s="247"/>
      <c r="E878" s="247"/>
      <c r="F878" s="212"/>
      <c r="G878" s="212"/>
      <c r="H878" s="248"/>
      <c r="I878" s="248"/>
      <c r="J878" s="248"/>
      <c r="K878" s="212"/>
      <c r="L878" s="212"/>
      <c r="M878" s="212"/>
      <c r="N878" s="212"/>
      <c r="O878" s="212"/>
      <c r="P878" s="212"/>
      <c r="Q878" s="212"/>
      <c r="R878" s="212"/>
      <c r="S878" s="212"/>
      <c r="T878" s="212"/>
      <c r="U878" s="212"/>
      <c r="V878" s="212"/>
      <c r="W878" s="212"/>
      <c r="X878" s="212"/>
      <c r="Y878" s="212"/>
      <c r="Z878" s="212"/>
      <c r="AA878" s="212"/>
      <c r="AB878" s="212"/>
      <c r="AC878" s="212"/>
      <c r="AD878" s="212"/>
    </row>
    <row r="879" ht="22.5" customHeight="1">
      <c r="A879" s="212"/>
      <c r="B879" s="247"/>
      <c r="C879" s="247"/>
      <c r="D879" s="247"/>
      <c r="E879" s="247"/>
      <c r="F879" s="212"/>
      <c r="G879" s="212"/>
      <c r="H879" s="248"/>
      <c r="I879" s="248"/>
      <c r="J879" s="248"/>
      <c r="K879" s="212"/>
      <c r="L879" s="212"/>
      <c r="M879" s="212"/>
      <c r="N879" s="212"/>
      <c r="O879" s="212"/>
      <c r="P879" s="212"/>
      <c r="Q879" s="212"/>
      <c r="R879" s="212"/>
      <c r="S879" s="212"/>
      <c r="T879" s="212"/>
      <c r="U879" s="212"/>
      <c r="V879" s="212"/>
      <c r="W879" s="212"/>
      <c r="X879" s="212"/>
      <c r="Y879" s="212"/>
      <c r="Z879" s="212"/>
      <c r="AA879" s="212"/>
      <c r="AB879" s="212"/>
      <c r="AC879" s="212"/>
      <c r="AD879" s="212"/>
    </row>
    <row r="880" ht="22.5" customHeight="1">
      <c r="A880" s="212"/>
      <c r="B880" s="247"/>
      <c r="C880" s="247"/>
      <c r="D880" s="247"/>
      <c r="E880" s="247"/>
      <c r="F880" s="212"/>
      <c r="G880" s="212"/>
      <c r="H880" s="248"/>
      <c r="I880" s="248"/>
      <c r="J880" s="248"/>
      <c r="K880" s="212"/>
      <c r="L880" s="212"/>
      <c r="M880" s="212"/>
      <c r="N880" s="212"/>
      <c r="O880" s="212"/>
      <c r="P880" s="212"/>
      <c r="Q880" s="212"/>
      <c r="R880" s="212"/>
      <c r="S880" s="212"/>
      <c r="T880" s="212"/>
      <c r="U880" s="212"/>
      <c r="V880" s="212"/>
      <c r="W880" s="212"/>
      <c r="X880" s="212"/>
      <c r="Y880" s="212"/>
      <c r="Z880" s="212"/>
      <c r="AA880" s="212"/>
      <c r="AB880" s="212"/>
      <c r="AC880" s="212"/>
      <c r="AD880" s="212"/>
    </row>
    <row r="881" ht="22.5" customHeight="1">
      <c r="A881" s="212"/>
      <c r="B881" s="247"/>
      <c r="C881" s="247"/>
      <c r="D881" s="247"/>
      <c r="E881" s="247"/>
      <c r="F881" s="212"/>
      <c r="G881" s="212"/>
      <c r="H881" s="248"/>
      <c r="I881" s="248"/>
      <c r="J881" s="248"/>
      <c r="K881" s="212"/>
      <c r="L881" s="212"/>
      <c r="M881" s="212"/>
      <c r="N881" s="212"/>
      <c r="O881" s="212"/>
      <c r="P881" s="212"/>
      <c r="Q881" s="212"/>
      <c r="R881" s="212"/>
      <c r="S881" s="212"/>
      <c r="T881" s="212"/>
      <c r="U881" s="212"/>
      <c r="V881" s="212"/>
      <c r="W881" s="212"/>
      <c r="X881" s="212"/>
      <c r="Y881" s="212"/>
      <c r="Z881" s="212"/>
      <c r="AA881" s="212"/>
      <c r="AB881" s="212"/>
      <c r="AC881" s="212"/>
      <c r="AD881" s="212"/>
    </row>
    <row r="882" ht="22.5" customHeight="1">
      <c r="A882" s="212"/>
      <c r="B882" s="247"/>
      <c r="C882" s="247"/>
      <c r="D882" s="247"/>
      <c r="E882" s="247"/>
      <c r="F882" s="212"/>
      <c r="G882" s="212"/>
      <c r="H882" s="248"/>
      <c r="I882" s="248"/>
      <c r="J882" s="248"/>
      <c r="K882" s="212"/>
      <c r="L882" s="212"/>
      <c r="M882" s="212"/>
      <c r="N882" s="212"/>
      <c r="O882" s="212"/>
      <c r="P882" s="212"/>
      <c r="Q882" s="212"/>
      <c r="R882" s="212"/>
      <c r="S882" s="212"/>
      <c r="T882" s="212"/>
      <c r="U882" s="212"/>
      <c r="V882" s="212"/>
      <c r="W882" s="212"/>
      <c r="X882" s="212"/>
      <c r="Y882" s="212"/>
      <c r="Z882" s="212"/>
      <c r="AA882" s="212"/>
      <c r="AB882" s="212"/>
      <c r="AC882" s="212"/>
      <c r="AD882" s="212"/>
    </row>
    <row r="883" ht="22.5" customHeight="1">
      <c r="A883" s="212"/>
      <c r="B883" s="247"/>
      <c r="C883" s="247"/>
      <c r="D883" s="247"/>
      <c r="E883" s="247"/>
      <c r="F883" s="212"/>
      <c r="G883" s="212"/>
      <c r="H883" s="248"/>
      <c r="I883" s="248"/>
      <c r="J883" s="248"/>
      <c r="K883" s="212"/>
      <c r="L883" s="212"/>
      <c r="M883" s="212"/>
      <c r="N883" s="212"/>
      <c r="O883" s="212"/>
      <c r="P883" s="212"/>
      <c r="Q883" s="212"/>
      <c r="R883" s="212"/>
      <c r="S883" s="212"/>
      <c r="T883" s="212"/>
      <c r="U883" s="212"/>
      <c r="V883" s="212"/>
      <c r="W883" s="212"/>
      <c r="X883" s="212"/>
      <c r="Y883" s="212"/>
      <c r="Z883" s="212"/>
      <c r="AA883" s="212"/>
      <c r="AB883" s="212"/>
      <c r="AC883" s="212"/>
      <c r="AD883" s="212"/>
    </row>
    <row r="884" ht="22.5" customHeight="1">
      <c r="A884" s="212"/>
      <c r="B884" s="247"/>
      <c r="C884" s="247"/>
      <c r="D884" s="247"/>
      <c r="E884" s="247"/>
      <c r="F884" s="212"/>
      <c r="G884" s="212"/>
      <c r="H884" s="248"/>
      <c r="I884" s="248"/>
      <c r="J884" s="248"/>
      <c r="K884" s="212"/>
      <c r="L884" s="212"/>
      <c r="M884" s="212"/>
      <c r="N884" s="212"/>
      <c r="O884" s="212"/>
      <c r="P884" s="212"/>
      <c r="Q884" s="212"/>
      <c r="R884" s="212"/>
      <c r="S884" s="212"/>
      <c r="T884" s="212"/>
      <c r="U884" s="212"/>
      <c r="V884" s="212"/>
      <c r="W884" s="212"/>
      <c r="X884" s="212"/>
      <c r="Y884" s="212"/>
      <c r="Z884" s="212"/>
      <c r="AA884" s="212"/>
      <c r="AB884" s="212"/>
      <c r="AC884" s="212"/>
      <c r="AD884" s="212"/>
    </row>
    <row r="885" ht="22.5" customHeight="1">
      <c r="A885" s="212"/>
      <c r="B885" s="247"/>
      <c r="C885" s="247"/>
      <c r="D885" s="247"/>
      <c r="E885" s="247"/>
      <c r="F885" s="212"/>
      <c r="G885" s="212"/>
      <c r="H885" s="248"/>
      <c r="I885" s="248"/>
      <c r="J885" s="248"/>
      <c r="K885" s="212"/>
      <c r="L885" s="212"/>
      <c r="M885" s="212"/>
      <c r="N885" s="212"/>
      <c r="O885" s="212"/>
      <c r="P885" s="212"/>
      <c r="Q885" s="212"/>
      <c r="R885" s="212"/>
      <c r="S885" s="212"/>
      <c r="T885" s="212"/>
      <c r="U885" s="212"/>
      <c r="V885" s="212"/>
      <c r="W885" s="212"/>
      <c r="X885" s="212"/>
      <c r="Y885" s="212"/>
      <c r="Z885" s="212"/>
      <c r="AA885" s="212"/>
      <c r="AB885" s="212"/>
      <c r="AC885" s="212"/>
      <c r="AD885" s="212"/>
    </row>
    <row r="886" ht="22.5" customHeight="1">
      <c r="A886" s="212"/>
      <c r="B886" s="247"/>
      <c r="C886" s="247"/>
      <c r="D886" s="247"/>
      <c r="E886" s="247"/>
      <c r="F886" s="212"/>
      <c r="G886" s="212"/>
      <c r="H886" s="248"/>
      <c r="I886" s="248"/>
      <c r="J886" s="248"/>
      <c r="K886" s="212"/>
      <c r="L886" s="212"/>
      <c r="M886" s="212"/>
      <c r="N886" s="212"/>
      <c r="O886" s="212"/>
      <c r="P886" s="212"/>
      <c r="Q886" s="212"/>
      <c r="R886" s="212"/>
      <c r="S886" s="212"/>
      <c r="T886" s="212"/>
      <c r="U886" s="212"/>
      <c r="V886" s="212"/>
      <c r="W886" s="212"/>
      <c r="X886" s="212"/>
      <c r="Y886" s="212"/>
      <c r="Z886" s="212"/>
      <c r="AA886" s="212"/>
      <c r="AB886" s="212"/>
      <c r="AC886" s="212"/>
      <c r="AD886" s="212"/>
    </row>
    <row r="887" ht="22.5" customHeight="1">
      <c r="A887" s="212"/>
      <c r="B887" s="247"/>
      <c r="C887" s="247"/>
      <c r="D887" s="247"/>
      <c r="E887" s="247"/>
      <c r="F887" s="212"/>
      <c r="G887" s="212"/>
      <c r="H887" s="248"/>
      <c r="I887" s="248"/>
      <c r="J887" s="248"/>
      <c r="K887" s="212"/>
      <c r="L887" s="212"/>
      <c r="M887" s="212"/>
      <c r="N887" s="212"/>
      <c r="O887" s="212"/>
      <c r="P887" s="212"/>
      <c r="Q887" s="212"/>
      <c r="R887" s="212"/>
      <c r="S887" s="212"/>
      <c r="T887" s="212"/>
      <c r="U887" s="212"/>
      <c r="V887" s="212"/>
      <c r="W887" s="212"/>
      <c r="X887" s="212"/>
      <c r="Y887" s="212"/>
      <c r="Z887" s="212"/>
      <c r="AA887" s="212"/>
      <c r="AB887" s="212"/>
      <c r="AC887" s="212"/>
      <c r="AD887" s="212"/>
    </row>
    <row r="888" ht="22.5" customHeight="1">
      <c r="A888" s="212"/>
      <c r="B888" s="247"/>
      <c r="C888" s="247"/>
      <c r="D888" s="247"/>
      <c r="E888" s="247"/>
      <c r="F888" s="212"/>
      <c r="G888" s="212"/>
      <c r="H888" s="248"/>
      <c r="I888" s="248"/>
      <c r="J888" s="248"/>
      <c r="K888" s="212"/>
      <c r="L888" s="212"/>
      <c r="M888" s="212"/>
      <c r="N888" s="212"/>
      <c r="O888" s="212"/>
      <c r="P888" s="212"/>
      <c r="Q888" s="212"/>
      <c r="R888" s="212"/>
      <c r="S888" s="212"/>
      <c r="T888" s="212"/>
      <c r="U888" s="212"/>
      <c r="V888" s="212"/>
      <c r="W888" s="212"/>
      <c r="X888" s="212"/>
      <c r="Y888" s="212"/>
      <c r="Z888" s="212"/>
      <c r="AA888" s="212"/>
      <c r="AB888" s="212"/>
      <c r="AC888" s="212"/>
      <c r="AD888" s="212"/>
    </row>
    <row r="889" ht="22.5" customHeight="1">
      <c r="A889" s="212"/>
      <c r="B889" s="247"/>
      <c r="C889" s="247"/>
      <c r="D889" s="247"/>
      <c r="E889" s="247"/>
      <c r="F889" s="212"/>
      <c r="G889" s="212"/>
      <c r="H889" s="248"/>
      <c r="I889" s="248"/>
      <c r="J889" s="248"/>
      <c r="K889" s="212"/>
      <c r="L889" s="212"/>
      <c r="M889" s="212"/>
      <c r="N889" s="212"/>
      <c r="O889" s="212"/>
      <c r="P889" s="212"/>
      <c r="Q889" s="212"/>
      <c r="R889" s="212"/>
      <c r="S889" s="212"/>
      <c r="T889" s="212"/>
      <c r="U889" s="212"/>
      <c r="V889" s="212"/>
      <c r="W889" s="212"/>
      <c r="X889" s="212"/>
      <c r="Y889" s="212"/>
      <c r="Z889" s="212"/>
      <c r="AA889" s="212"/>
      <c r="AB889" s="212"/>
      <c r="AC889" s="212"/>
      <c r="AD889" s="212"/>
    </row>
    <row r="890" ht="22.5" customHeight="1">
      <c r="A890" s="212"/>
      <c r="B890" s="247"/>
      <c r="C890" s="247"/>
      <c r="D890" s="247"/>
      <c r="E890" s="247"/>
      <c r="F890" s="212"/>
      <c r="G890" s="212"/>
      <c r="H890" s="248"/>
      <c r="I890" s="248"/>
      <c r="J890" s="248"/>
      <c r="K890" s="212"/>
      <c r="L890" s="212"/>
      <c r="M890" s="212"/>
      <c r="N890" s="212"/>
      <c r="O890" s="212"/>
      <c r="P890" s="212"/>
      <c r="Q890" s="212"/>
      <c r="R890" s="212"/>
      <c r="S890" s="212"/>
      <c r="T890" s="212"/>
      <c r="U890" s="212"/>
      <c r="V890" s="212"/>
      <c r="W890" s="212"/>
      <c r="X890" s="212"/>
      <c r="Y890" s="212"/>
      <c r="Z890" s="212"/>
      <c r="AA890" s="212"/>
      <c r="AB890" s="212"/>
      <c r="AC890" s="212"/>
      <c r="AD890" s="212"/>
    </row>
    <row r="891" ht="22.5" customHeight="1">
      <c r="A891" s="212"/>
      <c r="B891" s="247"/>
      <c r="C891" s="247"/>
      <c r="D891" s="247"/>
      <c r="E891" s="247"/>
      <c r="F891" s="212"/>
      <c r="G891" s="212"/>
      <c r="H891" s="248"/>
      <c r="I891" s="248"/>
      <c r="J891" s="248"/>
      <c r="K891" s="212"/>
      <c r="L891" s="212"/>
      <c r="M891" s="212"/>
      <c r="N891" s="212"/>
      <c r="O891" s="212"/>
      <c r="P891" s="212"/>
      <c r="Q891" s="212"/>
      <c r="R891" s="212"/>
      <c r="S891" s="212"/>
      <c r="T891" s="212"/>
      <c r="U891" s="212"/>
      <c r="V891" s="212"/>
      <c r="W891" s="212"/>
      <c r="X891" s="212"/>
      <c r="Y891" s="212"/>
      <c r="Z891" s="212"/>
      <c r="AA891" s="212"/>
      <c r="AB891" s="212"/>
      <c r="AC891" s="212"/>
      <c r="AD891" s="212"/>
    </row>
    <row r="892" ht="22.5" customHeight="1">
      <c r="A892" s="212"/>
      <c r="B892" s="247"/>
      <c r="C892" s="247"/>
      <c r="D892" s="247"/>
      <c r="E892" s="247"/>
      <c r="F892" s="212"/>
      <c r="G892" s="212"/>
      <c r="H892" s="248"/>
      <c r="I892" s="248"/>
      <c r="J892" s="248"/>
      <c r="K892" s="212"/>
      <c r="L892" s="212"/>
      <c r="M892" s="212"/>
      <c r="N892" s="212"/>
      <c r="O892" s="212"/>
      <c r="P892" s="212"/>
      <c r="Q892" s="212"/>
      <c r="R892" s="212"/>
      <c r="S892" s="212"/>
      <c r="T892" s="212"/>
      <c r="U892" s="212"/>
      <c r="V892" s="212"/>
      <c r="W892" s="212"/>
      <c r="X892" s="212"/>
      <c r="Y892" s="212"/>
      <c r="Z892" s="212"/>
      <c r="AA892" s="212"/>
      <c r="AB892" s="212"/>
      <c r="AC892" s="212"/>
      <c r="AD892" s="212"/>
    </row>
    <row r="893" ht="22.5" customHeight="1">
      <c r="A893" s="212"/>
      <c r="B893" s="247"/>
      <c r="C893" s="247"/>
      <c r="D893" s="247"/>
      <c r="E893" s="247"/>
      <c r="F893" s="212"/>
      <c r="G893" s="212"/>
      <c r="H893" s="248"/>
      <c r="I893" s="248"/>
      <c r="J893" s="248"/>
      <c r="K893" s="212"/>
      <c r="L893" s="212"/>
      <c r="M893" s="212"/>
      <c r="N893" s="212"/>
      <c r="O893" s="212"/>
      <c r="P893" s="212"/>
      <c r="Q893" s="212"/>
      <c r="R893" s="212"/>
      <c r="S893" s="212"/>
      <c r="T893" s="212"/>
      <c r="U893" s="212"/>
      <c r="V893" s="212"/>
      <c r="W893" s="212"/>
      <c r="X893" s="212"/>
      <c r="Y893" s="212"/>
      <c r="Z893" s="212"/>
      <c r="AA893" s="212"/>
      <c r="AB893" s="212"/>
      <c r="AC893" s="212"/>
      <c r="AD893" s="212"/>
    </row>
    <row r="894" ht="22.5" customHeight="1">
      <c r="A894" s="212"/>
      <c r="B894" s="247"/>
      <c r="C894" s="247"/>
      <c r="D894" s="247"/>
      <c r="E894" s="247"/>
      <c r="F894" s="212"/>
      <c r="G894" s="212"/>
      <c r="H894" s="248"/>
      <c r="I894" s="248"/>
      <c r="J894" s="248"/>
      <c r="K894" s="212"/>
      <c r="L894" s="212"/>
      <c r="M894" s="212"/>
      <c r="N894" s="212"/>
      <c r="O894" s="212"/>
      <c r="P894" s="212"/>
      <c r="Q894" s="212"/>
      <c r="R894" s="212"/>
      <c r="S894" s="212"/>
      <c r="T894" s="212"/>
      <c r="U894" s="212"/>
      <c r="V894" s="212"/>
      <c r="W894" s="212"/>
      <c r="X894" s="212"/>
      <c r="Y894" s="212"/>
      <c r="Z894" s="212"/>
      <c r="AA894" s="212"/>
      <c r="AB894" s="212"/>
      <c r="AC894" s="212"/>
      <c r="AD894" s="212"/>
    </row>
    <row r="895" ht="22.5" customHeight="1">
      <c r="A895" s="212"/>
      <c r="B895" s="247"/>
      <c r="C895" s="247"/>
      <c r="D895" s="247"/>
      <c r="E895" s="247"/>
      <c r="F895" s="212"/>
      <c r="G895" s="212"/>
      <c r="H895" s="248"/>
      <c r="I895" s="248"/>
      <c r="J895" s="248"/>
      <c r="K895" s="212"/>
      <c r="L895" s="212"/>
      <c r="M895" s="212"/>
      <c r="N895" s="212"/>
      <c r="O895" s="212"/>
      <c r="P895" s="212"/>
      <c r="Q895" s="212"/>
      <c r="R895" s="212"/>
      <c r="S895" s="212"/>
      <c r="T895" s="212"/>
      <c r="U895" s="212"/>
      <c r="V895" s="212"/>
      <c r="W895" s="212"/>
      <c r="X895" s="212"/>
      <c r="Y895" s="212"/>
      <c r="Z895" s="212"/>
      <c r="AA895" s="212"/>
      <c r="AB895" s="212"/>
      <c r="AC895" s="212"/>
      <c r="AD895" s="212"/>
    </row>
    <row r="896" ht="22.5" customHeight="1">
      <c r="A896" s="212"/>
      <c r="B896" s="247"/>
      <c r="C896" s="247"/>
      <c r="D896" s="247"/>
      <c r="E896" s="247"/>
      <c r="F896" s="212"/>
      <c r="G896" s="212"/>
      <c r="H896" s="248"/>
      <c r="I896" s="248"/>
      <c r="J896" s="248"/>
      <c r="K896" s="212"/>
      <c r="L896" s="212"/>
      <c r="M896" s="212"/>
      <c r="N896" s="212"/>
      <c r="O896" s="212"/>
      <c r="P896" s="212"/>
      <c r="Q896" s="212"/>
      <c r="R896" s="212"/>
      <c r="S896" s="212"/>
      <c r="T896" s="212"/>
      <c r="U896" s="212"/>
      <c r="V896" s="212"/>
      <c r="W896" s="212"/>
      <c r="X896" s="212"/>
      <c r="Y896" s="212"/>
      <c r="Z896" s="212"/>
      <c r="AA896" s="212"/>
      <c r="AB896" s="212"/>
      <c r="AC896" s="212"/>
      <c r="AD896" s="212"/>
    </row>
    <row r="897" ht="22.5" customHeight="1">
      <c r="A897" s="212"/>
      <c r="B897" s="247"/>
      <c r="C897" s="247"/>
      <c r="D897" s="247"/>
      <c r="E897" s="247"/>
      <c r="F897" s="212"/>
      <c r="G897" s="212"/>
      <c r="H897" s="248"/>
      <c r="I897" s="248"/>
      <c r="J897" s="248"/>
      <c r="K897" s="212"/>
      <c r="L897" s="212"/>
      <c r="M897" s="212"/>
      <c r="N897" s="212"/>
      <c r="O897" s="212"/>
      <c r="P897" s="212"/>
      <c r="Q897" s="212"/>
      <c r="R897" s="212"/>
      <c r="S897" s="212"/>
      <c r="T897" s="212"/>
      <c r="U897" s="212"/>
      <c r="V897" s="212"/>
      <c r="W897" s="212"/>
      <c r="X897" s="212"/>
      <c r="Y897" s="212"/>
      <c r="Z897" s="212"/>
      <c r="AA897" s="212"/>
      <c r="AB897" s="212"/>
      <c r="AC897" s="212"/>
      <c r="AD897" s="212"/>
    </row>
    <row r="898" ht="22.5" customHeight="1">
      <c r="A898" s="212"/>
      <c r="B898" s="247"/>
      <c r="C898" s="247"/>
      <c r="D898" s="247"/>
      <c r="E898" s="247"/>
      <c r="F898" s="212"/>
      <c r="G898" s="212"/>
      <c r="H898" s="248"/>
      <c r="I898" s="248"/>
      <c r="J898" s="248"/>
      <c r="K898" s="212"/>
      <c r="L898" s="212"/>
      <c r="M898" s="212"/>
      <c r="N898" s="212"/>
      <c r="O898" s="212"/>
      <c r="P898" s="212"/>
      <c r="Q898" s="212"/>
      <c r="R898" s="212"/>
      <c r="S898" s="212"/>
      <c r="T898" s="212"/>
      <c r="U898" s="212"/>
      <c r="V898" s="212"/>
      <c r="W898" s="212"/>
      <c r="X898" s="212"/>
      <c r="Y898" s="212"/>
      <c r="Z898" s="212"/>
      <c r="AA898" s="212"/>
      <c r="AB898" s="212"/>
      <c r="AC898" s="212"/>
      <c r="AD898" s="212"/>
    </row>
    <row r="899" ht="22.5" customHeight="1">
      <c r="A899" s="212"/>
      <c r="B899" s="247"/>
      <c r="C899" s="247"/>
      <c r="D899" s="247"/>
      <c r="E899" s="247"/>
      <c r="F899" s="212"/>
      <c r="G899" s="212"/>
      <c r="H899" s="248"/>
      <c r="I899" s="248"/>
      <c r="J899" s="248"/>
      <c r="K899" s="212"/>
      <c r="L899" s="212"/>
      <c r="M899" s="212"/>
      <c r="N899" s="212"/>
      <c r="O899" s="212"/>
      <c r="P899" s="212"/>
      <c r="Q899" s="212"/>
      <c r="R899" s="212"/>
      <c r="S899" s="212"/>
      <c r="T899" s="212"/>
      <c r="U899" s="212"/>
      <c r="V899" s="212"/>
      <c r="W899" s="212"/>
      <c r="X899" s="212"/>
      <c r="Y899" s="212"/>
      <c r="Z899" s="212"/>
      <c r="AA899" s="212"/>
      <c r="AB899" s="212"/>
      <c r="AC899" s="212"/>
      <c r="AD899" s="212"/>
    </row>
    <row r="900" ht="22.5" customHeight="1">
      <c r="A900" s="212"/>
      <c r="B900" s="247"/>
      <c r="C900" s="247"/>
      <c r="D900" s="247"/>
      <c r="E900" s="247"/>
      <c r="F900" s="212"/>
      <c r="G900" s="212"/>
      <c r="H900" s="248"/>
      <c r="I900" s="248"/>
      <c r="J900" s="248"/>
      <c r="K900" s="212"/>
      <c r="L900" s="212"/>
      <c r="M900" s="212"/>
      <c r="N900" s="212"/>
      <c r="O900" s="212"/>
      <c r="P900" s="212"/>
      <c r="Q900" s="212"/>
      <c r="R900" s="212"/>
      <c r="S900" s="212"/>
      <c r="T900" s="212"/>
      <c r="U900" s="212"/>
      <c r="V900" s="212"/>
      <c r="W900" s="212"/>
      <c r="X900" s="212"/>
      <c r="Y900" s="212"/>
      <c r="Z900" s="212"/>
      <c r="AA900" s="212"/>
      <c r="AB900" s="212"/>
      <c r="AC900" s="212"/>
      <c r="AD900" s="212"/>
    </row>
    <row r="901" ht="22.5" customHeight="1">
      <c r="A901" s="212"/>
      <c r="B901" s="247"/>
      <c r="C901" s="247"/>
      <c r="D901" s="247"/>
      <c r="E901" s="247"/>
      <c r="F901" s="212"/>
      <c r="G901" s="212"/>
      <c r="H901" s="248"/>
      <c r="I901" s="248"/>
      <c r="J901" s="248"/>
      <c r="K901" s="212"/>
      <c r="L901" s="212"/>
      <c r="M901" s="212"/>
      <c r="N901" s="212"/>
      <c r="O901" s="212"/>
      <c r="P901" s="212"/>
      <c r="Q901" s="212"/>
      <c r="R901" s="212"/>
      <c r="S901" s="212"/>
      <c r="T901" s="212"/>
      <c r="U901" s="212"/>
      <c r="V901" s="212"/>
      <c r="W901" s="212"/>
      <c r="X901" s="212"/>
      <c r="Y901" s="212"/>
      <c r="Z901" s="212"/>
      <c r="AA901" s="212"/>
      <c r="AB901" s="212"/>
      <c r="AC901" s="212"/>
      <c r="AD901" s="212"/>
    </row>
    <row r="902" ht="22.5" customHeight="1">
      <c r="A902" s="212"/>
      <c r="B902" s="247"/>
      <c r="C902" s="247"/>
      <c r="D902" s="247"/>
      <c r="E902" s="247"/>
      <c r="F902" s="212"/>
      <c r="G902" s="212"/>
      <c r="H902" s="248"/>
      <c r="I902" s="248"/>
      <c r="J902" s="248"/>
      <c r="K902" s="212"/>
      <c r="L902" s="212"/>
      <c r="M902" s="212"/>
      <c r="N902" s="212"/>
      <c r="O902" s="212"/>
      <c r="P902" s="212"/>
      <c r="Q902" s="212"/>
      <c r="R902" s="212"/>
      <c r="S902" s="212"/>
      <c r="T902" s="212"/>
      <c r="U902" s="212"/>
      <c r="V902" s="212"/>
      <c r="W902" s="212"/>
      <c r="X902" s="212"/>
      <c r="Y902" s="212"/>
      <c r="Z902" s="212"/>
      <c r="AA902" s="212"/>
      <c r="AB902" s="212"/>
      <c r="AC902" s="212"/>
      <c r="AD902" s="212"/>
    </row>
    <row r="903" ht="22.5" customHeight="1">
      <c r="A903" s="212"/>
      <c r="B903" s="247"/>
      <c r="C903" s="247"/>
      <c r="D903" s="247"/>
      <c r="E903" s="247"/>
      <c r="F903" s="212"/>
      <c r="G903" s="212"/>
      <c r="H903" s="248"/>
      <c r="I903" s="248"/>
      <c r="J903" s="248"/>
      <c r="K903" s="212"/>
      <c r="L903" s="212"/>
      <c r="M903" s="212"/>
      <c r="N903" s="212"/>
      <c r="O903" s="212"/>
      <c r="P903" s="212"/>
      <c r="Q903" s="212"/>
      <c r="R903" s="212"/>
      <c r="S903" s="212"/>
      <c r="T903" s="212"/>
      <c r="U903" s="212"/>
      <c r="V903" s="212"/>
      <c r="W903" s="212"/>
      <c r="X903" s="212"/>
      <c r="Y903" s="212"/>
      <c r="Z903" s="212"/>
      <c r="AA903" s="212"/>
      <c r="AB903" s="212"/>
      <c r="AC903" s="212"/>
      <c r="AD903" s="212"/>
    </row>
    <row r="904" ht="22.5" customHeight="1">
      <c r="A904" s="212"/>
      <c r="B904" s="247"/>
      <c r="C904" s="247"/>
      <c r="D904" s="247"/>
      <c r="E904" s="247"/>
      <c r="F904" s="212"/>
      <c r="G904" s="212"/>
      <c r="H904" s="248"/>
      <c r="I904" s="248"/>
      <c r="J904" s="248"/>
      <c r="K904" s="212"/>
      <c r="L904" s="212"/>
      <c r="M904" s="212"/>
      <c r="N904" s="212"/>
      <c r="O904" s="212"/>
      <c r="P904" s="212"/>
      <c r="Q904" s="212"/>
      <c r="R904" s="212"/>
      <c r="S904" s="212"/>
      <c r="T904" s="212"/>
      <c r="U904" s="212"/>
      <c r="V904" s="212"/>
      <c r="W904" s="212"/>
      <c r="X904" s="212"/>
      <c r="Y904" s="212"/>
      <c r="Z904" s="212"/>
      <c r="AA904" s="212"/>
      <c r="AB904" s="212"/>
      <c r="AC904" s="212"/>
      <c r="AD904" s="212"/>
    </row>
    <row r="905" ht="22.5" customHeight="1">
      <c r="A905" s="212"/>
      <c r="B905" s="247"/>
      <c r="C905" s="247"/>
      <c r="D905" s="247"/>
      <c r="E905" s="247"/>
      <c r="F905" s="212"/>
      <c r="G905" s="212"/>
      <c r="H905" s="248"/>
      <c r="I905" s="248"/>
      <c r="J905" s="248"/>
      <c r="K905" s="212"/>
      <c r="L905" s="212"/>
      <c r="M905" s="212"/>
      <c r="N905" s="212"/>
      <c r="O905" s="212"/>
      <c r="P905" s="212"/>
      <c r="Q905" s="212"/>
      <c r="R905" s="212"/>
      <c r="S905" s="212"/>
      <c r="T905" s="212"/>
      <c r="U905" s="212"/>
      <c r="V905" s="212"/>
      <c r="W905" s="212"/>
      <c r="X905" s="212"/>
      <c r="Y905" s="212"/>
      <c r="Z905" s="212"/>
      <c r="AA905" s="212"/>
      <c r="AB905" s="212"/>
      <c r="AC905" s="212"/>
      <c r="AD905" s="212"/>
    </row>
    <row r="906" ht="22.5" customHeight="1">
      <c r="A906" s="212"/>
      <c r="B906" s="247"/>
      <c r="C906" s="247"/>
      <c r="D906" s="247"/>
      <c r="E906" s="247"/>
      <c r="F906" s="212"/>
      <c r="G906" s="212"/>
      <c r="H906" s="248"/>
      <c r="I906" s="248"/>
      <c r="J906" s="248"/>
      <c r="K906" s="212"/>
      <c r="L906" s="212"/>
      <c r="M906" s="212"/>
      <c r="N906" s="212"/>
      <c r="O906" s="212"/>
      <c r="P906" s="212"/>
      <c r="Q906" s="212"/>
      <c r="R906" s="212"/>
      <c r="S906" s="212"/>
      <c r="T906" s="212"/>
      <c r="U906" s="212"/>
      <c r="V906" s="212"/>
      <c r="W906" s="212"/>
      <c r="X906" s="212"/>
      <c r="Y906" s="212"/>
      <c r="Z906" s="212"/>
      <c r="AA906" s="212"/>
      <c r="AB906" s="212"/>
      <c r="AC906" s="212"/>
      <c r="AD906" s="212"/>
    </row>
    <row r="907" ht="22.5" customHeight="1">
      <c r="A907" s="212"/>
      <c r="B907" s="247"/>
      <c r="C907" s="247"/>
      <c r="D907" s="247"/>
      <c r="E907" s="247"/>
      <c r="F907" s="212"/>
      <c r="G907" s="212"/>
      <c r="H907" s="248"/>
      <c r="I907" s="248"/>
      <c r="J907" s="248"/>
      <c r="K907" s="212"/>
      <c r="L907" s="212"/>
      <c r="M907" s="212"/>
      <c r="N907" s="212"/>
      <c r="O907" s="212"/>
      <c r="P907" s="212"/>
      <c r="Q907" s="212"/>
      <c r="R907" s="212"/>
      <c r="S907" s="212"/>
      <c r="T907" s="212"/>
      <c r="U907" s="212"/>
      <c r="V907" s="212"/>
      <c r="W907" s="212"/>
      <c r="X907" s="212"/>
      <c r="Y907" s="212"/>
      <c r="Z907" s="212"/>
      <c r="AA907" s="212"/>
      <c r="AB907" s="212"/>
      <c r="AC907" s="212"/>
      <c r="AD907" s="212"/>
    </row>
    <row r="908" ht="22.5" customHeight="1">
      <c r="A908" s="212"/>
      <c r="B908" s="247"/>
      <c r="C908" s="247"/>
      <c r="D908" s="247"/>
      <c r="E908" s="247"/>
      <c r="F908" s="212"/>
      <c r="G908" s="212"/>
      <c r="H908" s="248"/>
      <c r="I908" s="248"/>
      <c r="J908" s="248"/>
      <c r="K908" s="212"/>
      <c r="L908" s="212"/>
      <c r="M908" s="212"/>
      <c r="N908" s="212"/>
      <c r="O908" s="212"/>
      <c r="P908" s="212"/>
      <c r="Q908" s="212"/>
      <c r="R908" s="212"/>
      <c r="S908" s="212"/>
      <c r="T908" s="212"/>
      <c r="U908" s="212"/>
      <c r="V908" s="212"/>
      <c r="W908" s="212"/>
      <c r="X908" s="212"/>
      <c r="Y908" s="212"/>
      <c r="Z908" s="212"/>
      <c r="AA908" s="212"/>
      <c r="AB908" s="212"/>
      <c r="AC908" s="212"/>
      <c r="AD908" s="212"/>
    </row>
    <row r="909" ht="22.5" customHeight="1">
      <c r="A909" s="212"/>
      <c r="B909" s="247"/>
      <c r="C909" s="247"/>
      <c r="D909" s="247"/>
      <c r="E909" s="247"/>
      <c r="F909" s="212"/>
      <c r="G909" s="212"/>
      <c r="H909" s="248"/>
      <c r="I909" s="248"/>
      <c r="J909" s="248"/>
      <c r="K909" s="212"/>
      <c r="L909" s="212"/>
      <c r="M909" s="212"/>
      <c r="N909" s="212"/>
      <c r="O909" s="212"/>
      <c r="P909" s="212"/>
      <c r="Q909" s="212"/>
      <c r="R909" s="212"/>
      <c r="S909" s="212"/>
      <c r="T909" s="212"/>
      <c r="U909" s="212"/>
      <c r="V909" s="212"/>
      <c r="W909" s="212"/>
      <c r="X909" s="212"/>
      <c r="Y909" s="212"/>
      <c r="Z909" s="212"/>
      <c r="AA909" s="212"/>
      <c r="AB909" s="212"/>
      <c r="AC909" s="212"/>
      <c r="AD909" s="212"/>
    </row>
    <row r="910" ht="22.5" customHeight="1">
      <c r="A910" s="212"/>
      <c r="B910" s="247"/>
      <c r="C910" s="247"/>
      <c r="D910" s="247"/>
      <c r="E910" s="247"/>
      <c r="F910" s="212"/>
      <c r="G910" s="212"/>
      <c r="H910" s="248"/>
      <c r="I910" s="248"/>
      <c r="J910" s="248"/>
      <c r="K910" s="212"/>
      <c r="L910" s="212"/>
      <c r="M910" s="212"/>
      <c r="N910" s="212"/>
      <c r="O910" s="212"/>
      <c r="P910" s="212"/>
      <c r="Q910" s="212"/>
      <c r="R910" s="212"/>
      <c r="S910" s="212"/>
      <c r="T910" s="212"/>
      <c r="U910" s="212"/>
      <c r="V910" s="212"/>
      <c r="W910" s="212"/>
      <c r="X910" s="212"/>
      <c r="Y910" s="212"/>
      <c r="Z910" s="212"/>
      <c r="AA910" s="212"/>
      <c r="AB910" s="212"/>
      <c r="AC910" s="212"/>
      <c r="AD910" s="212"/>
    </row>
    <row r="911" ht="22.5" customHeight="1">
      <c r="A911" s="212"/>
      <c r="B911" s="247"/>
      <c r="C911" s="247"/>
      <c r="D911" s="247"/>
      <c r="E911" s="247"/>
      <c r="F911" s="212"/>
      <c r="G911" s="212"/>
      <c r="H911" s="248"/>
      <c r="I911" s="248"/>
      <c r="J911" s="248"/>
      <c r="K911" s="212"/>
      <c r="L911" s="212"/>
      <c r="M911" s="212"/>
      <c r="N911" s="212"/>
      <c r="O911" s="212"/>
      <c r="P911" s="212"/>
      <c r="Q911" s="212"/>
      <c r="R911" s="212"/>
      <c r="S911" s="212"/>
      <c r="T911" s="212"/>
      <c r="U911" s="212"/>
      <c r="V911" s="212"/>
      <c r="W911" s="212"/>
      <c r="X911" s="212"/>
      <c r="Y911" s="212"/>
      <c r="Z911" s="212"/>
      <c r="AA911" s="212"/>
      <c r="AB911" s="212"/>
      <c r="AC911" s="212"/>
      <c r="AD911" s="212"/>
    </row>
    <row r="912" ht="22.5" customHeight="1">
      <c r="A912" s="212"/>
      <c r="B912" s="247"/>
      <c r="C912" s="247"/>
      <c r="D912" s="247"/>
      <c r="E912" s="247"/>
      <c r="F912" s="212"/>
      <c r="G912" s="212"/>
      <c r="H912" s="248"/>
      <c r="I912" s="248"/>
      <c r="J912" s="248"/>
      <c r="K912" s="212"/>
      <c r="L912" s="212"/>
      <c r="M912" s="212"/>
      <c r="N912" s="212"/>
      <c r="O912" s="212"/>
      <c r="P912" s="212"/>
      <c r="Q912" s="212"/>
      <c r="R912" s="212"/>
      <c r="S912" s="212"/>
      <c r="T912" s="212"/>
      <c r="U912" s="212"/>
      <c r="V912" s="212"/>
      <c r="W912" s="212"/>
      <c r="X912" s="212"/>
      <c r="Y912" s="212"/>
      <c r="Z912" s="212"/>
      <c r="AA912" s="212"/>
      <c r="AB912" s="212"/>
      <c r="AC912" s="212"/>
      <c r="AD912" s="212"/>
    </row>
    <row r="913" ht="22.5" customHeight="1">
      <c r="A913" s="212"/>
      <c r="B913" s="247"/>
      <c r="C913" s="247"/>
      <c r="D913" s="247"/>
      <c r="E913" s="247"/>
      <c r="F913" s="212"/>
      <c r="G913" s="212"/>
      <c r="H913" s="248"/>
      <c r="I913" s="248"/>
      <c r="J913" s="248"/>
      <c r="K913" s="212"/>
      <c r="L913" s="212"/>
      <c r="M913" s="212"/>
      <c r="N913" s="212"/>
      <c r="O913" s="212"/>
      <c r="P913" s="212"/>
      <c r="Q913" s="212"/>
      <c r="R913" s="212"/>
      <c r="S913" s="212"/>
      <c r="T913" s="212"/>
      <c r="U913" s="212"/>
      <c r="V913" s="212"/>
      <c r="W913" s="212"/>
      <c r="X913" s="212"/>
      <c r="Y913" s="212"/>
      <c r="Z913" s="212"/>
      <c r="AA913" s="212"/>
      <c r="AB913" s="212"/>
      <c r="AC913" s="212"/>
      <c r="AD913" s="212"/>
    </row>
    <row r="914" ht="22.5" customHeight="1">
      <c r="A914" s="212"/>
      <c r="B914" s="247"/>
      <c r="C914" s="247"/>
      <c r="D914" s="247"/>
      <c r="E914" s="247"/>
      <c r="F914" s="212"/>
      <c r="G914" s="212"/>
      <c r="H914" s="248"/>
      <c r="I914" s="248"/>
      <c r="J914" s="248"/>
      <c r="K914" s="212"/>
      <c r="L914" s="212"/>
      <c r="M914" s="212"/>
      <c r="N914" s="212"/>
      <c r="O914" s="212"/>
      <c r="P914" s="212"/>
      <c r="Q914" s="212"/>
      <c r="R914" s="212"/>
      <c r="S914" s="212"/>
      <c r="T914" s="212"/>
      <c r="U914" s="212"/>
      <c r="V914" s="212"/>
      <c r="W914" s="212"/>
      <c r="X914" s="212"/>
      <c r="Y914" s="212"/>
      <c r="Z914" s="212"/>
      <c r="AA914" s="212"/>
      <c r="AB914" s="212"/>
      <c r="AC914" s="212"/>
      <c r="AD914" s="212"/>
    </row>
    <row r="915" ht="22.5" customHeight="1">
      <c r="A915" s="212"/>
      <c r="B915" s="247"/>
      <c r="C915" s="247"/>
      <c r="D915" s="247"/>
      <c r="E915" s="247"/>
      <c r="F915" s="212"/>
      <c r="G915" s="212"/>
      <c r="H915" s="248"/>
      <c r="I915" s="248"/>
      <c r="J915" s="248"/>
      <c r="K915" s="212"/>
      <c r="L915" s="212"/>
      <c r="M915" s="212"/>
      <c r="N915" s="212"/>
      <c r="O915" s="212"/>
      <c r="P915" s="212"/>
      <c r="Q915" s="212"/>
      <c r="R915" s="212"/>
      <c r="S915" s="212"/>
      <c r="T915" s="212"/>
      <c r="U915" s="212"/>
      <c r="V915" s="212"/>
      <c r="W915" s="212"/>
      <c r="X915" s="212"/>
      <c r="Y915" s="212"/>
      <c r="Z915" s="212"/>
      <c r="AA915" s="212"/>
      <c r="AB915" s="212"/>
      <c r="AC915" s="212"/>
      <c r="AD915" s="212"/>
    </row>
    <row r="916" ht="22.5" customHeight="1">
      <c r="A916" s="212"/>
      <c r="B916" s="247"/>
      <c r="C916" s="247"/>
      <c r="D916" s="247"/>
      <c r="E916" s="247"/>
      <c r="F916" s="212"/>
      <c r="G916" s="212"/>
      <c r="H916" s="248"/>
      <c r="I916" s="248"/>
      <c r="J916" s="248"/>
      <c r="K916" s="212"/>
      <c r="L916" s="212"/>
      <c r="M916" s="212"/>
      <c r="N916" s="212"/>
      <c r="O916" s="212"/>
      <c r="P916" s="212"/>
      <c r="Q916" s="212"/>
      <c r="R916" s="212"/>
      <c r="S916" s="212"/>
      <c r="T916" s="212"/>
      <c r="U916" s="212"/>
      <c r="V916" s="212"/>
      <c r="W916" s="212"/>
      <c r="X916" s="212"/>
      <c r="Y916" s="212"/>
      <c r="Z916" s="212"/>
      <c r="AA916" s="212"/>
      <c r="AB916" s="212"/>
      <c r="AC916" s="212"/>
      <c r="AD916" s="212"/>
    </row>
    <row r="917" ht="22.5" customHeight="1">
      <c r="A917" s="212"/>
      <c r="B917" s="247"/>
      <c r="C917" s="247"/>
      <c r="D917" s="247"/>
      <c r="E917" s="247"/>
      <c r="F917" s="212"/>
      <c r="G917" s="212"/>
      <c r="H917" s="248"/>
      <c r="I917" s="248"/>
      <c r="J917" s="248"/>
      <c r="K917" s="212"/>
      <c r="L917" s="212"/>
      <c r="M917" s="212"/>
      <c r="N917" s="212"/>
      <c r="O917" s="212"/>
      <c r="P917" s="212"/>
      <c r="Q917" s="212"/>
      <c r="R917" s="212"/>
      <c r="S917" s="212"/>
      <c r="T917" s="212"/>
      <c r="U917" s="212"/>
      <c r="V917" s="212"/>
      <c r="W917" s="212"/>
      <c r="X917" s="212"/>
      <c r="Y917" s="212"/>
      <c r="Z917" s="212"/>
      <c r="AA917" s="212"/>
      <c r="AB917" s="212"/>
      <c r="AC917" s="212"/>
      <c r="AD917" s="212"/>
    </row>
    <row r="918" ht="22.5" customHeight="1">
      <c r="A918" s="212"/>
      <c r="B918" s="247"/>
      <c r="C918" s="247"/>
      <c r="D918" s="247"/>
      <c r="E918" s="247"/>
      <c r="F918" s="212"/>
      <c r="G918" s="212"/>
      <c r="H918" s="248"/>
      <c r="I918" s="248"/>
      <c r="J918" s="248"/>
      <c r="K918" s="212"/>
      <c r="L918" s="212"/>
      <c r="M918" s="212"/>
      <c r="N918" s="212"/>
      <c r="O918" s="212"/>
      <c r="P918" s="212"/>
      <c r="Q918" s="212"/>
      <c r="R918" s="212"/>
      <c r="S918" s="212"/>
      <c r="T918" s="212"/>
      <c r="U918" s="212"/>
      <c r="V918" s="212"/>
      <c r="W918" s="212"/>
      <c r="X918" s="212"/>
      <c r="Y918" s="212"/>
      <c r="Z918" s="212"/>
      <c r="AA918" s="212"/>
      <c r="AB918" s="212"/>
      <c r="AC918" s="212"/>
      <c r="AD918" s="212"/>
    </row>
    <row r="919" ht="22.5" customHeight="1">
      <c r="A919" s="212"/>
      <c r="B919" s="247"/>
      <c r="C919" s="247"/>
      <c r="D919" s="247"/>
      <c r="E919" s="247"/>
      <c r="F919" s="212"/>
      <c r="G919" s="212"/>
      <c r="H919" s="248"/>
      <c r="I919" s="248"/>
      <c r="J919" s="248"/>
      <c r="K919" s="212"/>
      <c r="L919" s="212"/>
      <c r="M919" s="212"/>
      <c r="N919" s="212"/>
      <c r="O919" s="212"/>
      <c r="P919" s="212"/>
      <c r="Q919" s="212"/>
      <c r="R919" s="212"/>
      <c r="S919" s="212"/>
      <c r="T919" s="212"/>
      <c r="U919" s="212"/>
      <c r="V919" s="212"/>
      <c r="W919" s="212"/>
      <c r="X919" s="212"/>
      <c r="Y919" s="212"/>
      <c r="Z919" s="212"/>
      <c r="AA919" s="212"/>
      <c r="AB919" s="212"/>
      <c r="AC919" s="212"/>
      <c r="AD919" s="212"/>
    </row>
    <row r="920" ht="22.5" customHeight="1">
      <c r="A920" s="212"/>
      <c r="B920" s="247"/>
      <c r="C920" s="247"/>
      <c r="D920" s="247"/>
      <c r="E920" s="247"/>
      <c r="F920" s="212"/>
      <c r="G920" s="212"/>
      <c r="H920" s="248"/>
      <c r="I920" s="248"/>
      <c r="J920" s="248"/>
      <c r="K920" s="212"/>
      <c r="L920" s="212"/>
      <c r="M920" s="212"/>
      <c r="N920" s="212"/>
      <c r="O920" s="212"/>
      <c r="P920" s="212"/>
      <c r="Q920" s="212"/>
      <c r="R920" s="212"/>
      <c r="S920" s="212"/>
      <c r="T920" s="212"/>
      <c r="U920" s="212"/>
      <c r="V920" s="212"/>
      <c r="W920" s="212"/>
      <c r="X920" s="212"/>
      <c r="Y920" s="212"/>
      <c r="Z920" s="212"/>
      <c r="AA920" s="212"/>
      <c r="AB920" s="212"/>
      <c r="AC920" s="212"/>
      <c r="AD920" s="212"/>
    </row>
    <row r="921" ht="22.5" customHeight="1">
      <c r="A921" s="212"/>
      <c r="B921" s="247"/>
      <c r="C921" s="247"/>
      <c r="D921" s="247"/>
      <c r="E921" s="247"/>
      <c r="F921" s="212"/>
      <c r="G921" s="212"/>
      <c r="H921" s="248"/>
      <c r="I921" s="248"/>
      <c r="J921" s="248"/>
      <c r="K921" s="212"/>
      <c r="L921" s="212"/>
      <c r="M921" s="212"/>
      <c r="N921" s="212"/>
      <c r="O921" s="212"/>
      <c r="P921" s="212"/>
      <c r="Q921" s="212"/>
      <c r="R921" s="212"/>
      <c r="S921" s="212"/>
      <c r="T921" s="212"/>
      <c r="U921" s="212"/>
      <c r="V921" s="212"/>
      <c r="W921" s="212"/>
      <c r="X921" s="212"/>
      <c r="Y921" s="212"/>
      <c r="Z921" s="212"/>
      <c r="AA921" s="212"/>
      <c r="AB921" s="212"/>
      <c r="AC921" s="212"/>
      <c r="AD921" s="212"/>
    </row>
    <row r="922" ht="22.5" customHeight="1">
      <c r="A922" s="212"/>
      <c r="B922" s="247"/>
      <c r="C922" s="247"/>
      <c r="D922" s="247"/>
      <c r="E922" s="247"/>
      <c r="F922" s="212"/>
      <c r="G922" s="212"/>
      <c r="H922" s="248"/>
      <c r="I922" s="248"/>
      <c r="J922" s="248"/>
      <c r="K922" s="212"/>
      <c r="L922" s="212"/>
      <c r="M922" s="212"/>
      <c r="N922" s="212"/>
      <c r="O922" s="212"/>
      <c r="P922" s="212"/>
      <c r="Q922" s="212"/>
      <c r="R922" s="212"/>
      <c r="S922" s="212"/>
      <c r="T922" s="212"/>
      <c r="U922" s="212"/>
      <c r="V922" s="212"/>
      <c r="W922" s="212"/>
      <c r="X922" s="212"/>
      <c r="Y922" s="212"/>
      <c r="Z922" s="212"/>
      <c r="AA922" s="212"/>
      <c r="AB922" s="212"/>
      <c r="AC922" s="212"/>
      <c r="AD922" s="212"/>
    </row>
    <row r="923" ht="22.5" customHeight="1">
      <c r="A923" s="212"/>
      <c r="B923" s="247"/>
      <c r="C923" s="247"/>
      <c r="D923" s="247"/>
      <c r="E923" s="247"/>
      <c r="F923" s="212"/>
      <c r="G923" s="212"/>
      <c r="H923" s="248"/>
      <c r="I923" s="248"/>
      <c r="J923" s="248"/>
      <c r="K923" s="212"/>
      <c r="L923" s="212"/>
      <c r="M923" s="212"/>
      <c r="N923" s="212"/>
      <c r="O923" s="212"/>
      <c r="P923" s="212"/>
      <c r="Q923" s="212"/>
      <c r="R923" s="212"/>
      <c r="S923" s="212"/>
      <c r="T923" s="212"/>
      <c r="U923" s="212"/>
      <c r="V923" s="212"/>
      <c r="W923" s="212"/>
      <c r="X923" s="212"/>
      <c r="Y923" s="212"/>
      <c r="Z923" s="212"/>
      <c r="AA923" s="212"/>
      <c r="AB923" s="212"/>
      <c r="AC923" s="212"/>
      <c r="AD923" s="212"/>
    </row>
    <row r="924" ht="22.5" customHeight="1">
      <c r="A924" s="212"/>
      <c r="B924" s="247"/>
      <c r="C924" s="247"/>
      <c r="D924" s="247"/>
      <c r="E924" s="247"/>
      <c r="F924" s="212"/>
      <c r="G924" s="212"/>
      <c r="H924" s="248"/>
      <c r="I924" s="248"/>
      <c r="J924" s="248"/>
      <c r="K924" s="212"/>
      <c r="L924" s="212"/>
      <c r="M924" s="212"/>
      <c r="N924" s="212"/>
      <c r="O924" s="212"/>
      <c r="P924" s="212"/>
      <c r="Q924" s="212"/>
      <c r="R924" s="212"/>
      <c r="S924" s="212"/>
      <c r="T924" s="212"/>
      <c r="U924" s="212"/>
      <c r="V924" s="212"/>
      <c r="W924" s="212"/>
      <c r="X924" s="212"/>
      <c r="Y924" s="212"/>
      <c r="Z924" s="212"/>
      <c r="AA924" s="212"/>
      <c r="AB924" s="212"/>
      <c r="AC924" s="212"/>
      <c r="AD924" s="212"/>
    </row>
    <row r="925" ht="22.5" customHeight="1">
      <c r="A925" s="212"/>
      <c r="B925" s="247"/>
      <c r="C925" s="247"/>
      <c r="D925" s="247"/>
      <c r="E925" s="247"/>
      <c r="F925" s="212"/>
      <c r="G925" s="212"/>
      <c r="H925" s="248"/>
      <c r="I925" s="248"/>
      <c r="J925" s="248"/>
      <c r="K925" s="212"/>
      <c r="L925" s="212"/>
      <c r="M925" s="212"/>
      <c r="N925" s="212"/>
      <c r="O925" s="212"/>
      <c r="P925" s="212"/>
      <c r="Q925" s="212"/>
      <c r="R925" s="212"/>
      <c r="S925" s="212"/>
      <c r="T925" s="212"/>
      <c r="U925" s="212"/>
      <c r="V925" s="212"/>
      <c r="W925" s="212"/>
      <c r="X925" s="212"/>
      <c r="Y925" s="212"/>
      <c r="Z925" s="212"/>
      <c r="AA925" s="212"/>
      <c r="AB925" s="212"/>
      <c r="AC925" s="212"/>
      <c r="AD925" s="212"/>
    </row>
    <row r="926" ht="22.5" customHeight="1">
      <c r="A926" s="212"/>
      <c r="B926" s="247"/>
      <c r="C926" s="247"/>
      <c r="D926" s="247"/>
      <c r="E926" s="247"/>
      <c r="F926" s="212"/>
      <c r="G926" s="212"/>
      <c r="H926" s="248"/>
      <c r="I926" s="248"/>
      <c r="J926" s="248"/>
      <c r="K926" s="212"/>
      <c r="L926" s="212"/>
      <c r="M926" s="212"/>
      <c r="N926" s="212"/>
      <c r="O926" s="212"/>
      <c r="P926" s="212"/>
      <c r="Q926" s="212"/>
      <c r="R926" s="212"/>
      <c r="S926" s="212"/>
      <c r="T926" s="212"/>
      <c r="U926" s="212"/>
      <c r="V926" s="212"/>
      <c r="W926" s="212"/>
      <c r="X926" s="212"/>
      <c r="Y926" s="212"/>
      <c r="Z926" s="212"/>
      <c r="AA926" s="212"/>
      <c r="AB926" s="212"/>
      <c r="AC926" s="212"/>
      <c r="AD926" s="212"/>
    </row>
    <row r="927" ht="22.5" customHeight="1">
      <c r="A927" s="212"/>
      <c r="B927" s="247"/>
      <c r="C927" s="247"/>
      <c r="D927" s="247"/>
      <c r="E927" s="247"/>
      <c r="F927" s="212"/>
      <c r="G927" s="212"/>
      <c r="H927" s="248"/>
      <c r="I927" s="248"/>
      <c r="J927" s="248"/>
      <c r="K927" s="212"/>
      <c r="L927" s="212"/>
      <c r="M927" s="212"/>
      <c r="N927" s="212"/>
      <c r="O927" s="212"/>
      <c r="P927" s="212"/>
      <c r="Q927" s="212"/>
      <c r="R927" s="212"/>
      <c r="S927" s="212"/>
      <c r="T927" s="212"/>
      <c r="U927" s="212"/>
      <c r="V927" s="212"/>
      <c r="W927" s="212"/>
      <c r="X927" s="212"/>
      <c r="Y927" s="212"/>
      <c r="Z927" s="212"/>
      <c r="AA927" s="212"/>
      <c r="AB927" s="212"/>
      <c r="AC927" s="212"/>
      <c r="AD927" s="212"/>
    </row>
    <row r="928" ht="22.5" customHeight="1">
      <c r="A928" s="212"/>
      <c r="B928" s="247"/>
      <c r="C928" s="247"/>
      <c r="D928" s="247"/>
      <c r="E928" s="247"/>
      <c r="F928" s="212"/>
      <c r="G928" s="212"/>
      <c r="H928" s="248"/>
      <c r="I928" s="248"/>
      <c r="J928" s="248"/>
      <c r="K928" s="212"/>
      <c r="L928" s="212"/>
      <c r="M928" s="212"/>
      <c r="N928" s="212"/>
      <c r="O928" s="212"/>
      <c r="P928" s="212"/>
      <c r="Q928" s="212"/>
      <c r="R928" s="212"/>
      <c r="S928" s="212"/>
      <c r="T928" s="212"/>
      <c r="U928" s="212"/>
      <c r="V928" s="212"/>
      <c r="W928" s="212"/>
      <c r="X928" s="212"/>
      <c r="Y928" s="212"/>
      <c r="Z928" s="212"/>
      <c r="AA928" s="212"/>
      <c r="AB928" s="212"/>
      <c r="AC928" s="212"/>
      <c r="AD928" s="212"/>
    </row>
    <row r="929" ht="22.5" customHeight="1">
      <c r="A929" s="212"/>
      <c r="B929" s="247"/>
      <c r="C929" s="247"/>
      <c r="D929" s="247"/>
      <c r="E929" s="247"/>
      <c r="F929" s="212"/>
      <c r="G929" s="212"/>
      <c r="H929" s="248"/>
      <c r="I929" s="248"/>
      <c r="J929" s="248"/>
      <c r="K929" s="212"/>
      <c r="L929" s="212"/>
      <c r="M929" s="212"/>
      <c r="N929" s="212"/>
      <c r="O929" s="212"/>
      <c r="P929" s="212"/>
      <c r="Q929" s="212"/>
      <c r="R929" s="212"/>
      <c r="S929" s="212"/>
      <c r="T929" s="212"/>
      <c r="U929" s="212"/>
      <c r="V929" s="212"/>
      <c r="W929" s="212"/>
      <c r="X929" s="212"/>
      <c r="Y929" s="212"/>
      <c r="Z929" s="212"/>
      <c r="AA929" s="212"/>
      <c r="AB929" s="212"/>
      <c r="AC929" s="212"/>
      <c r="AD929" s="212"/>
    </row>
    <row r="930" ht="22.5" customHeight="1">
      <c r="A930" s="212"/>
      <c r="B930" s="247"/>
      <c r="C930" s="247"/>
      <c r="D930" s="247"/>
      <c r="E930" s="247"/>
      <c r="F930" s="212"/>
      <c r="G930" s="212"/>
      <c r="H930" s="248"/>
      <c r="I930" s="248"/>
      <c r="J930" s="248"/>
      <c r="K930" s="212"/>
      <c r="L930" s="212"/>
      <c r="M930" s="212"/>
      <c r="N930" s="212"/>
      <c r="O930" s="212"/>
      <c r="P930" s="212"/>
      <c r="Q930" s="212"/>
      <c r="R930" s="212"/>
      <c r="S930" s="212"/>
      <c r="T930" s="212"/>
      <c r="U930" s="212"/>
      <c r="V930" s="212"/>
      <c r="W930" s="212"/>
      <c r="X930" s="212"/>
      <c r="Y930" s="212"/>
      <c r="Z930" s="212"/>
      <c r="AA930" s="212"/>
      <c r="AB930" s="212"/>
      <c r="AC930" s="212"/>
      <c r="AD930" s="212"/>
    </row>
    <row r="931" ht="22.5" customHeight="1">
      <c r="A931" s="212"/>
      <c r="B931" s="247"/>
      <c r="C931" s="247"/>
      <c r="D931" s="247"/>
      <c r="E931" s="247"/>
      <c r="F931" s="212"/>
      <c r="G931" s="212"/>
      <c r="H931" s="248"/>
      <c r="I931" s="248"/>
      <c r="J931" s="248"/>
      <c r="K931" s="212"/>
      <c r="L931" s="212"/>
      <c r="M931" s="212"/>
      <c r="N931" s="212"/>
      <c r="O931" s="212"/>
      <c r="P931" s="212"/>
      <c r="Q931" s="212"/>
      <c r="R931" s="212"/>
      <c r="S931" s="212"/>
      <c r="T931" s="212"/>
      <c r="U931" s="212"/>
      <c r="V931" s="212"/>
      <c r="W931" s="212"/>
      <c r="X931" s="212"/>
      <c r="Y931" s="212"/>
      <c r="Z931" s="212"/>
      <c r="AA931" s="212"/>
      <c r="AB931" s="212"/>
      <c r="AC931" s="212"/>
      <c r="AD931" s="212"/>
    </row>
    <row r="932" ht="22.5" customHeight="1">
      <c r="A932" s="212"/>
      <c r="B932" s="247"/>
      <c r="C932" s="247"/>
      <c r="D932" s="247"/>
      <c r="E932" s="247"/>
      <c r="F932" s="212"/>
      <c r="G932" s="212"/>
      <c r="H932" s="248"/>
      <c r="I932" s="248"/>
      <c r="J932" s="248"/>
      <c r="K932" s="212"/>
      <c r="L932" s="212"/>
      <c r="M932" s="212"/>
      <c r="N932" s="212"/>
      <c r="O932" s="212"/>
      <c r="P932" s="212"/>
      <c r="Q932" s="212"/>
      <c r="R932" s="212"/>
      <c r="S932" s="212"/>
      <c r="T932" s="212"/>
      <c r="U932" s="212"/>
      <c r="V932" s="212"/>
      <c r="W932" s="212"/>
      <c r="X932" s="212"/>
      <c r="Y932" s="212"/>
      <c r="Z932" s="212"/>
      <c r="AA932" s="212"/>
      <c r="AB932" s="212"/>
      <c r="AC932" s="212"/>
      <c r="AD932" s="212"/>
    </row>
    <row r="933" ht="22.5" customHeight="1">
      <c r="A933" s="212"/>
      <c r="B933" s="247"/>
      <c r="C933" s="247"/>
      <c r="D933" s="247"/>
      <c r="E933" s="247"/>
      <c r="F933" s="212"/>
      <c r="G933" s="212"/>
      <c r="H933" s="248"/>
      <c r="I933" s="248"/>
      <c r="J933" s="248"/>
      <c r="K933" s="212"/>
      <c r="L933" s="212"/>
      <c r="M933" s="212"/>
      <c r="N933" s="212"/>
      <c r="O933" s="212"/>
      <c r="P933" s="212"/>
      <c r="Q933" s="212"/>
      <c r="R933" s="212"/>
      <c r="S933" s="212"/>
      <c r="T933" s="212"/>
      <c r="U933" s="212"/>
      <c r="V933" s="212"/>
      <c r="W933" s="212"/>
      <c r="X933" s="212"/>
      <c r="Y933" s="212"/>
      <c r="Z933" s="212"/>
      <c r="AA933" s="212"/>
      <c r="AB933" s="212"/>
      <c r="AC933" s="212"/>
      <c r="AD933" s="212"/>
    </row>
    <row r="934" ht="22.5" customHeight="1">
      <c r="A934" s="212"/>
      <c r="B934" s="247"/>
      <c r="C934" s="247"/>
      <c r="D934" s="247"/>
      <c r="E934" s="247"/>
      <c r="F934" s="212"/>
      <c r="G934" s="212"/>
      <c r="H934" s="248"/>
      <c r="I934" s="248"/>
      <c r="J934" s="248"/>
      <c r="K934" s="212"/>
      <c r="L934" s="212"/>
      <c r="M934" s="212"/>
      <c r="N934" s="212"/>
      <c r="O934" s="212"/>
      <c r="P934" s="212"/>
      <c r="Q934" s="212"/>
      <c r="R934" s="212"/>
      <c r="S934" s="212"/>
      <c r="T934" s="212"/>
      <c r="U934" s="212"/>
      <c r="V934" s="212"/>
      <c r="W934" s="212"/>
      <c r="X934" s="212"/>
      <c r="Y934" s="212"/>
      <c r="Z934" s="212"/>
      <c r="AA934" s="212"/>
      <c r="AB934" s="212"/>
      <c r="AC934" s="212"/>
      <c r="AD934" s="212"/>
    </row>
    <row r="935" ht="22.5" customHeight="1">
      <c r="A935" s="212"/>
      <c r="B935" s="247"/>
      <c r="C935" s="247"/>
      <c r="D935" s="247"/>
      <c r="E935" s="247"/>
      <c r="F935" s="212"/>
      <c r="G935" s="212"/>
      <c r="H935" s="248"/>
      <c r="I935" s="248"/>
      <c r="J935" s="248"/>
      <c r="K935" s="212"/>
      <c r="L935" s="212"/>
      <c r="M935" s="212"/>
      <c r="N935" s="212"/>
      <c r="O935" s="212"/>
      <c r="P935" s="212"/>
      <c r="Q935" s="212"/>
      <c r="R935" s="212"/>
      <c r="S935" s="212"/>
      <c r="T935" s="212"/>
      <c r="U935" s="212"/>
      <c r="V935" s="212"/>
      <c r="W935" s="212"/>
      <c r="X935" s="212"/>
      <c r="Y935" s="212"/>
      <c r="Z935" s="212"/>
      <c r="AA935" s="212"/>
      <c r="AB935" s="212"/>
      <c r="AC935" s="212"/>
      <c r="AD935" s="212"/>
    </row>
    <row r="936" ht="22.5" customHeight="1">
      <c r="A936" s="212"/>
      <c r="B936" s="247"/>
      <c r="C936" s="247"/>
      <c r="D936" s="247"/>
      <c r="E936" s="247"/>
      <c r="F936" s="212"/>
      <c r="G936" s="212"/>
      <c r="H936" s="248"/>
      <c r="I936" s="248"/>
      <c r="J936" s="248"/>
      <c r="K936" s="212"/>
      <c r="L936" s="212"/>
      <c r="M936" s="212"/>
      <c r="N936" s="212"/>
      <c r="O936" s="212"/>
      <c r="P936" s="212"/>
      <c r="Q936" s="212"/>
      <c r="R936" s="212"/>
      <c r="S936" s="212"/>
      <c r="T936" s="212"/>
      <c r="U936" s="212"/>
      <c r="V936" s="212"/>
      <c r="W936" s="212"/>
      <c r="X936" s="212"/>
      <c r="Y936" s="212"/>
      <c r="Z936" s="212"/>
      <c r="AA936" s="212"/>
      <c r="AB936" s="212"/>
      <c r="AC936" s="212"/>
      <c r="AD936" s="212"/>
    </row>
    <row r="937" ht="22.5" customHeight="1">
      <c r="A937" s="212"/>
      <c r="B937" s="247"/>
      <c r="C937" s="247"/>
      <c r="D937" s="247"/>
      <c r="E937" s="247"/>
      <c r="F937" s="212"/>
      <c r="G937" s="212"/>
      <c r="H937" s="248"/>
      <c r="I937" s="248"/>
      <c r="J937" s="248"/>
      <c r="K937" s="212"/>
      <c r="L937" s="212"/>
      <c r="M937" s="212"/>
      <c r="N937" s="212"/>
      <c r="O937" s="212"/>
      <c r="P937" s="212"/>
      <c r="Q937" s="212"/>
      <c r="R937" s="212"/>
      <c r="S937" s="212"/>
      <c r="T937" s="212"/>
      <c r="U937" s="212"/>
      <c r="V937" s="212"/>
      <c r="W937" s="212"/>
      <c r="X937" s="212"/>
      <c r="Y937" s="212"/>
      <c r="Z937" s="212"/>
      <c r="AA937" s="212"/>
      <c r="AB937" s="212"/>
      <c r="AC937" s="212"/>
      <c r="AD937" s="212"/>
    </row>
    <row r="938" ht="22.5" customHeight="1">
      <c r="A938" s="212"/>
      <c r="B938" s="247"/>
      <c r="C938" s="247"/>
      <c r="D938" s="247"/>
      <c r="E938" s="247"/>
      <c r="F938" s="212"/>
      <c r="G938" s="212"/>
      <c r="H938" s="248"/>
      <c r="I938" s="248"/>
      <c r="J938" s="248"/>
      <c r="K938" s="212"/>
      <c r="L938" s="212"/>
      <c r="M938" s="212"/>
      <c r="N938" s="212"/>
      <c r="O938" s="212"/>
      <c r="P938" s="212"/>
      <c r="Q938" s="212"/>
      <c r="R938" s="212"/>
      <c r="S938" s="212"/>
      <c r="T938" s="212"/>
      <c r="U938" s="212"/>
      <c r="V938" s="212"/>
      <c r="W938" s="212"/>
      <c r="X938" s="212"/>
      <c r="Y938" s="212"/>
      <c r="Z938" s="212"/>
      <c r="AA938" s="212"/>
      <c r="AB938" s="212"/>
      <c r="AC938" s="212"/>
      <c r="AD938" s="212"/>
    </row>
    <row r="939" ht="22.5" customHeight="1">
      <c r="A939" s="212"/>
      <c r="B939" s="247"/>
      <c r="C939" s="247"/>
      <c r="D939" s="247"/>
      <c r="E939" s="247"/>
      <c r="F939" s="212"/>
      <c r="G939" s="212"/>
      <c r="H939" s="248"/>
      <c r="I939" s="248"/>
      <c r="J939" s="248"/>
      <c r="K939" s="212"/>
      <c r="L939" s="212"/>
      <c r="M939" s="212"/>
      <c r="N939" s="212"/>
      <c r="O939" s="212"/>
      <c r="P939" s="212"/>
      <c r="Q939" s="212"/>
      <c r="R939" s="212"/>
      <c r="S939" s="212"/>
      <c r="T939" s="212"/>
      <c r="U939" s="212"/>
      <c r="V939" s="212"/>
      <c r="W939" s="212"/>
      <c r="X939" s="212"/>
      <c r="Y939" s="212"/>
      <c r="Z939" s="212"/>
      <c r="AA939" s="212"/>
      <c r="AB939" s="212"/>
      <c r="AC939" s="212"/>
      <c r="AD939" s="212"/>
    </row>
    <row r="940" ht="22.5" customHeight="1">
      <c r="A940" s="212"/>
      <c r="B940" s="247"/>
      <c r="C940" s="247"/>
      <c r="D940" s="247"/>
      <c r="E940" s="247"/>
      <c r="F940" s="212"/>
      <c r="G940" s="212"/>
      <c r="H940" s="248"/>
      <c r="I940" s="248"/>
      <c r="J940" s="248"/>
      <c r="K940" s="212"/>
      <c r="L940" s="212"/>
      <c r="M940" s="212"/>
      <c r="N940" s="212"/>
      <c r="O940" s="212"/>
      <c r="P940" s="212"/>
      <c r="Q940" s="212"/>
      <c r="R940" s="212"/>
      <c r="S940" s="212"/>
      <c r="T940" s="212"/>
      <c r="U940" s="212"/>
      <c r="V940" s="212"/>
      <c r="W940" s="212"/>
      <c r="X940" s="212"/>
      <c r="Y940" s="212"/>
      <c r="Z940" s="212"/>
      <c r="AA940" s="212"/>
      <c r="AB940" s="212"/>
      <c r="AC940" s="212"/>
      <c r="AD940" s="212"/>
    </row>
    <row r="941" ht="22.5" customHeight="1">
      <c r="A941" s="212"/>
      <c r="B941" s="247"/>
      <c r="C941" s="247"/>
      <c r="D941" s="247"/>
      <c r="E941" s="247"/>
      <c r="F941" s="212"/>
      <c r="G941" s="212"/>
      <c r="H941" s="248"/>
      <c r="I941" s="248"/>
      <c r="J941" s="248"/>
      <c r="K941" s="212"/>
      <c r="L941" s="212"/>
      <c r="M941" s="212"/>
      <c r="N941" s="212"/>
      <c r="O941" s="212"/>
      <c r="P941" s="212"/>
      <c r="Q941" s="212"/>
      <c r="R941" s="212"/>
      <c r="S941" s="212"/>
      <c r="T941" s="212"/>
      <c r="U941" s="212"/>
      <c r="V941" s="212"/>
      <c r="W941" s="212"/>
      <c r="X941" s="212"/>
      <c r="Y941" s="212"/>
      <c r="Z941" s="212"/>
      <c r="AA941" s="212"/>
      <c r="AB941" s="212"/>
      <c r="AC941" s="212"/>
      <c r="AD941" s="212"/>
    </row>
    <row r="942" ht="22.5" customHeight="1">
      <c r="A942" s="212"/>
      <c r="B942" s="247"/>
      <c r="C942" s="247"/>
      <c r="D942" s="247"/>
      <c r="E942" s="247"/>
      <c r="F942" s="212"/>
      <c r="G942" s="212"/>
      <c r="H942" s="248"/>
      <c r="I942" s="248"/>
      <c r="J942" s="248"/>
      <c r="K942" s="212"/>
      <c r="L942" s="212"/>
      <c r="M942" s="212"/>
      <c r="N942" s="212"/>
      <c r="O942" s="212"/>
      <c r="P942" s="212"/>
      <c r="Q942" s="212"/>
      <c r="R942" s="212"/>
      <c r="S942" s="212"/>
      <c r="T942" s="212"/>
      <c r="U942" s="212"/>
      <c r="V942" s="212"/>
      <c r="W942" s="212"/>
      <c r="X942" s="212"/>
      <c r="Y942" s="212"/>
      <c r="Z942" s="212"/>
      <c r="AA942" s="212"/>
      <c r="AB942" s="212"/>
      <c r="AC942" s="212"/>
      <c r="AD942" s="212"/>
    </row>
    <row r="943" ht="22.5" customHeight="1">
      <c r="A943" s="212"/>
      <c r="B943" s="247"/>
      <c r="C943" s="247"/>
      <c r="D943" s="247"/>
      <c r="E943" s="247"/>
      <c r="F943" s="212"/>
      <c r="G943" s="212"/>
      <c r="H943" s="248"/>
      <c r="I943" s="248"/>
      <c r="J943" s="248"/>
      <c r="K943" s="212"/>
      <c r="L943" s="212"/>
      <c r="M943" s="212"/>
      <c r="N943" s="212"/>
      <c r="O943" s="212"/>
      <c r="P943" s="212"/>
      <c r="Q943" s="212"/>
      <c r="R943" s="212"/>
      <c r="S943" s="212"/>
      <c r="T943" s="212"/>
      <c r="U943" s="212"/>
      <c r="V943" s="212"/>
      <c r="W943" s="212"/>
      <c r="X943" s="212"/>
      <c r="Y943" s="212"/>
      <c r="Z943" s="212"/>
      <c r="AA943" s="212"/>
      <c r="AB943" s="212"/>
      <c r="AC943" s="212"/>
      <c r="AD943" s="212"/>
    </row>
    <row r="944" ht="22.5" customHeight="1">
      <c r="A944" s="212"/>
      <c r="B944" s="247"/>
      <c r="C944" s="247"/>
      <c r="D944" s="247"/>
      <c r="E944" s="247"/>
      <c r="F944" s="212"/>
      <c r="G944" s="212"/>
      <c r="H944" s="248"/>
      <c r="I944" s="248"/>
      <c r="J944" s="248"/>
      <c r="K944" s="212"/>
      <c r="L944" s="212"/>
      <c r="M944" s="212"/>
      <c r="N944" s="212"/>
      <c r="O944" s="212"/>
      <c r="P944" s="212"/>
      <c r="Q944" s="212"/>
      <c r="R944" s="212"/>
      <c r="S944" s="212"/>
      <c r="T944" s="212"/>
      <c r="U944" s="212"/>
      <c r="V944" s="212"/>
      <c r="W944" s="212"/>
      <c r="X944" s="212"/>
      <c r="Y944" s="212"/>
      <c r="Z944" s="212"/>
      <c r="AA944" s="212"/>
      <c r="AB944" s="212"/>
      <c r="AC944" s="212"/>
      <c r="AD944" s="212"/>
    </row>
    <row r="945" ht="22.5" customHeight="1">
      <c r="A945" s="212"/>
      <c r="B945" s="247"/>
      <c r="C945" s="247"/>
      <c r="D945" s="247"/>
      <c r="E945" s="247"/>
      <c r="F945" s="212"/>
      <c r="G945" s="212"/>
      <c r="H945" s="248"/>
      <c r="I945" s="248"/>
      <c r="J945" s="248"/>
      <c r="K945" s="212"/>
      <c r="L945" s="212"/>
      <c r="M945" s="212"/>
      <c r="N945" s="212"/>
      <c r="O945" s="212"/>
      <c r="P945" s="212"/>
      <c r="Q945" s="212"/>
      <c r="R945" s="212"/>
      <c r="S945" s="212"/>
      <c r="T945" s="212"/>
      <c r="U945" s="212"/>
      <c r="V945" s="212"/>
      <c r="W945" s="212"/>
      <c r="X945" s="212"/>
      <c r="Y945" s="212"/>
      <c r="Z945" s="212"/>
      <c r="AA945" s="212"/>
      <c r="AB945" s="212"/>
      <c r="AC945" s="212"/>
      <c r="AD945" s="212"/>
    </row>
    <row r="946" ht="22.5" customHeight="1">
      <c r="A946" s="212"/>
      <c r="B946" s="247"/>
      <c r="C946" s="247"/>
      <c r="D946" s="247"/>
      <c r="E946" s="247"/>
      <c r="F946" s="212"/>
      <c r="G946" s="212"/>
      <c r="H946" s="248"/>
      <c r="I946" s="248"/>
      <c r="J946" s="248"/>
      <c r="K946" s="212"/>
      <c r="L946" s="212"/>
      <c r="M946" s="212"/>
      <c r="N946" s="212"/>
      <c r="O946" s="212"/>
      <c r="P946" s="212"/>
      <c r="Q946" s="212"/>
      <c r="R946" s="212"/>
      <c r="S946" s="212"/>
      <c r="T946" s="212"/>
      <c r="U946" s="212"/>
      <c r="V946" s="212"/>
      <c r="W946" s="212"/>
      <c r="X946" s="212"/>
      <c r="Y946" s="212"/>
      <c r="Z946" s="212"/>
      <c r="AA946" s="212"/>
      <c r="AB946" s="212"/>
      <c r="AC946" s="212"/>
      <c r="AD946" s="212"/>
    </row>
    <row r="947" ht="22.5" customHeight="1">
      <c r="A947" s="212"/>
      <c r="B947" s="247"/>
      <c r="C947" s="247"/>
      <c r="D947" s="247"/>
      <c r="E947" s="247"/>
      <c r="F947" s="212"/>
      <c r="G947" s="212"/>
      <c r="H947" s="248"/>
      <c r="I947" s="248"/>
      <c r="J947" s="248"/>
      <c r="K947" s="212"/>
      <c r="L947" s="212"/>
      <c r="M947" s="212"/>
      <c r="N947" s="212"/>
      <c r="O947" s="212"/>
      <c r="P947" s="212"/>
      <c r="Q947" s="212"/>
      <c r="R947" s="212"/>
      <c r="S947" s="212"/>
      <c r="T947" s="212"/>
      <c r="U947" s="212"/>
      <c r="V947" s="212"/>
      <c r="W947" s="212"/>
      <c r="X947" s="212"/>
      <c r="Y947" s="212"/>
      <c r="Z947" s="212"/>
      <c r="AA947" s="212"/>
      <c r="AB947" s="212"/>
      <c r="AC947" s="212"/>
      <c r="AD947" s="212"/>
    </row>
    <row r="948" ht="22.5" customHeight="1">
      <c r="A948" s="212"/>
      <c r="B948" s="247"/>
      <c r="C948" s="247"/>
      <c r="D948" s="247"/>
      <c r="E948" s="247"/>
      <c r="F948" s="212"/>
      <c r="G948" s="212"/>
      <c r="H948" s="248"/>
      <c r="I948" s="248"/>
      <c r="J948" s="248"/>
      <c r="K948" s="212"/>
      <c r="L948" s="212"/>
      <c r="M948" s="212"/>
      <c r="N948" s="212"/>
      <c r="O948" s="212"/>
      <c r="P948" s="212"/>
      <c r="Q948" s="212"/>
      <c r="R948" s="212"/>
      <c r="S948" s="212"/>
      <c r="T948" s="212"/>
      <c r="U948" s="212"/>
      <c r="V948" s="212"/>
      <c r="W948" s="212"/>
      <c r="X948" s="212"/>
      <c r="Y948" s="212"/>
      <c r="Z948" s="212"/>
      <c r="AA948" s="212"/>
      <c r="AB948" s="212"/>
      <c r="AC948" s="212"/>
      <c r="AD948" s="212"/>
    </row>
    <row r="949" ht="22.5" customHeight="1">
      <c r="A949" s="212"/>
      <c r="B949" s="247"/>
      <c r="C949" s="247"/>
      <c r="D949" s="247"/>
      <c r="E949" s="247"/>
      <c r="F949" s="212"/>
      <c r="G949" s="212"/>
      <c r="H949" s="248"/>
      <c r="I949" s="248"/>
      <c r="J949" s="248"/>
      <c r="K949" s="212"/>
      <c r="L949" s="212"/>
      <c r="M949" s="212"/>
      <c r="N949" s="212"/>
      <c r="O949" s="212"/>
      <c r="P949" s="212"/>
      <c r="Q949" s="212"/>
      <c r="R949" s="212"/>
      <c r="S949" s="212"/>
      <c r="T949" s="212"/>
      <c r="U949" s="212"/>
      <c r="V949" s="212"/>
      <c r="W949" s="212"/>
      <c r="X949" s="212"/>
      <c r="Y949" s="212"/>
      <c r="Z949" s="212"/>
      <c r="AA949" s="212"/>
      <c r="AB949" s="212"/>
      <c r="AC949" s="212"/>
      <c r="AD949" s="212"/>
    </row>
    <row r="950" ht="22.5" customHeight="1">
      <c r="A950" s="212"/>
      <c r="B950" s="247"/>
      <c r="C950" s="247"/>
      <c r="D950" s="247"/>
      <c r="E950" s="247"/>
      <c r="F950" s="212"/>
      <c r="G950" s="212"/>
      <c r="H950" s="248"/>
      <c r="I950" s="248"/>
      <c r="J950" s="248"/>
      <c r="K950" s="212"/>
      <c r="L950" s="212"/>
      <c r="M950" s="212"/>
      <c r="N950" s="212"/>
      <c r="O950" s="212"/>
      <c r="P950" s="212"/>
      <c r="Q950" s="212"/>
      <c r="R950" s="212"/>
      <c r="S950" s="212"/>
      <c r="T950" s="212"/>
      <c r="U950" s="212"/>
      <c r="V950" s="212"/>
      <c r="W950" s="212"/>
      <c r="X950" s="212"/>
      <c r="Y950" s="212"/>
      <c r="Z950" s="212"/>
      <c r="AA950" s="212"/>
      <c r="AB950" s="212"/>
      <c r="AC950" s="212"/>
      <c r="AD950" s="212"/>
    </row>
    <row r="951" ht="22.5" customHeight="1">
      <c r="A951" s="212"/>
      <c r="B951" s="247"/>
      <c r="C951" s="247"/>
      <c r="D951" s="247"/>
      <c r="E951" s="247"/>
      <c r="F951" s="212"/>
      <c r="G951" s="212"/>
      <c r="H951" s="248"/>
      <c r="I951" s="248"/>
      <c r="J951" s="248"/>
      <c r="K951" s="212"/>
      <c r="L951" s="212"/>
      <c r="M951" s="212"/>
      <c r="N951" s="212"/>
      <c r="O951" s="212"/>
      <c r="P951" s="212"/>
      <c r="Q951" s="212"/>
      <c r="R951" s="212"/>
      <c r="S951" s="212"/>
      <c r="T951" s="212"/>
      <c r="U951" s="212"/>
      <c r="V951" s="212"/>
      <c r="W951" s="212"/>
      <c r="X951" s="212"/>
      <c r="Y951" s="212"/>
      <c r="Z951" s="212"/>
      <c r="AA951" s="212"/>
      <c r="AB951" s="212"/>
      <c r="AC951" s="212"/>
      <c r="AD951" s="212"/>
    </row>
    <row r="952" ht="22.5" customHeight="1">
      <c r="A952" s="212"/>
      <c r="B952" s="247"/>
      <c r="C952" s="247"/>
      <c r="D952" s="247"/>
      <c r="E952" s="247"/>
      <c r="F952" s="212"/>
      <c r="G952" s="212"/>
      <c r="H952" s="248"/>
      <c r="I952" s="248"/>
      <c r="J952" s="248"/>
      <c r="K952" s="212"/>
      <c r="L952" s="212"/>
      <c r="M952" s="212"/>
      <c r="N952" s="212"/>
      <c r="O952" s="212"/>
      <c r="P952" s="212"/>
      <c r="Q952" s="212"/>
      <c r="R952" s="212"/>
      <c r="S952" s="212"/>
      <c r="T952" s="212"/>
      <c r="U952" s="212"/>
      <c r="V952" s="212"/>
      <c r="W952" s="212"/>
      <c r="X952" s="212"/>
      <c r="Y952" s="212"/>
      <c r="Z952" s="212"/>
      <c r="AA952" s="212"/>
      <c r="AB952" s="212"/>
      <c r="AC952" s="212"/>
      <c r="AD952" s="212"/>
    </row>
    <row r="953" ht="22.5" customHeight="1">
      <c r="A953" s="212"/>
      <c r="B953" s="247"/>
      <c r="C953" s="247"/>
      <c r="D953" s="247"/>
      <c r="E953" s="247"/>
      <c r="F953" s="212"/>
      <c r="G953" s="212"/>
      <c r="H953" s="248"/>
      <c r="I953" s="248"/>
      <c r="J953" s="248"/>
      <c r="K953" s="212"/>
      <c r="L953" s="212"/>
      <c r="M953" s="212"/>
      <c r="N953" s="212"/>
      <c r="O953" s="212"/>
      <c r="P953" s="212"/>
      <c r="Q953" s="212"/>
      <c r="R953" s="212"/>
      <c r="S953" s="212"/>
      <c r="T953" s="212"/>
      <c r="U953" s="212"/>
      <c r="V953" s="212"/>
      <c r="W953" s="212"/>
      <c r="X953" s="212"/>
      <c r="Y953" s="212"/>
      <c r="Z953" s="212"/>
      <c r="AA953" s="212"/>
      <c r="AB953" s="212"/>
      <c r="AC953" s="212"/>
      <c r="AD953" s="212"/>
    </row>
    <row r="954" ht="22.5" customHeight="1">
      <c r="A954" s="212"/>
      <c r="B954" s="247"/>
      <c r="C954" s="247"/>
      <c r="D954" s="247"/>
      <c r="E954" s="247"/>
      <c r="F954" s="212"/>
      <c r="G954" s="212"/>
      <c r="H954" s="248"/>
      <c r="I954" s="248"/>
      <c r="J954" s="248"/>
      <c r="K954" s="212"/>
      <c r="L954" s="212"/>
      <c r="M954" s="212"/>
      <c r="N954" s="212"/>
      <c r="O954" s="212"/>
      <c r="P954" s="212"/>
      <c r="Q954" s="212"/>
      <c r="R954" s="212"/>
      <c r="S954" s="212"/>
      <c r="T954" s="212"/>
      <c r="U954" s="212"/>
      <c r="V954" s="212"/>
      <c r="W954" s="212"/>
      <c r="X954" s="212"/>
      <c r="Y954" s="212"/>
      <c r="Z954" s="212"/>
      <c r="AA954" s="212"/>
      <c r="AB954" s="212"/>
      <c r="AC954" s="212"/>
      <c r="AD954" s="212"/>
    </row>
    <row r="955" ht="22.5" customHeight="1">
      <c r="A955" s="212"/>
      <c r="B955" s="247"/>
      <c r="C955" s="247"/>
      <c r="D955" s="247"/>
      <c r="E955" s="247"/>
      <c r="F955" s="212"/>
      <c r="G955" s="212"/>
      <c r="H955" s="248"/>
      <c r="I955" s="248"/>
      <c r="J955" s="248"/>
      <c r="K955" s="212"/>
      <c r="L955" s="212"/>
      <c r="M955" s="212"/>
      <c r="N955" s="212"/>
      <c r="O955" s="212"/>
      <c r="P955" s="212"/>
      <c r="Q955" s="212"/>
      <c r="R955" s="212"/>
      <c r="S955" s="212"/>
      <c r="T955" s="212"/>
      <c r="U955" s="212"/>
      <c r="V955" s="212"/>
      <c r="W955" s="212"/>
      <c r="X955" s="212"/>
      <c r="Y955" s="212"/>
      <c r="Z955" s="212"/>
      <c r="AA955" s="212"/>
      <c r="AB955" s="212"/>
      <c r="AC955" s="212"/>
      <c r="AD955" s="212"/>
    </row>
    <row r="956" ht="22.5" customHeight="1">
      <c r="A956" s="212"/>
      <c r="B956" s="247"/>
      <c r="C956" s="247"/>
      <c r="D956" s="247"/>
      <c r="E956" s="247"/>
      <c r="F956" s="212"/>
      <c r="G956" s="212"/>
      <c r="H956" s="248"/>
      <c r="I956" s="248"/>
      <c r="J956" s="248"/>
      <c r="K956" s="212"/>
      <c r="L956" s="212"/>
      <c r="M956" s="212"/>
      <c r="N956" s="212"/>
      <c r="O956" s="212"/>
      <c r="P956" s="212"/>
      <c r="Q956" s="212"/>
      <c r="R956" s="212"/>
      <c r="S956" s="212"/>
      <c r="T956" s="212"/>
      <c r="U956" s="212"/>
      <c r="V956" s="212"/>
      <c r="W956" s="212"/>
      <c r="X956" s="212"/>
      <c r="Y956" s="212"/>
      <c r="Z956" s="212"/>
      <c r="AA956" s="212"/>
      <c r="AB956" s="212"/>
      <c r="AC956" s="212"/>
      <c r="AD956" s="212"/>
    </row>
    <row r="957" ht="22.5" customHeight="1">
      <c r="A957" s="212"/>
      <c r="B957" s="247"/>
      <c r="C957" s="247"/>
      <c r="D957" s="247"/>
      <c r="E957" s="247"/>
      <c r="F957" s="212"/>
      <c r="G957" s="212"/>
      <c r="H957" s="248"/>
      <c r="I957" s="248"/>
      <c r="J957" s="248"/>
      <c r="K957" s="212"/>
      <c r="L957" s="212"/>
      <c r="M957" s="212"/>
      <c r="N957" s="212"/>
      <c r="O957" s="212"/>
      <c r="P957" s="212"/>
      <c r="Q957" s="212"/>
      <c r="R957" s="212"/>
      <c r="S957" s="212"/>
      <c r="T957" s="212"/>
      <c r="U957" s="212"/>
      <c r="V957" s="212"/>
      <c r="W957" s="212"/>
      <c r="X957" s="212"/>
      <c r="Y957" s="212"/>
      <c r="Z957" s="212"/>
      <c r="AA957" s="212"/>
      <c r="AB957" s="212"/>
      <c r="AC957" s="212"/>
      <c r="AD957" s="212"/>
    </row>
    <row r="958" ht="22.5" customHeight="1">
      <c r="A958" s="212"/>
      <c r="B958" s="247"/>
      <c r="C958" s="247"/>
      <c r="D958" s="247"/>
      <c r="E958" s="247"/>
      <c r="F958" s="212"/>
      <c r="G958" s="212"/>
      <c r="H958" s="248"/>
      <c r="I958" s="248"/>
      <c r="J958" s="248"/>
      <c r="K958" s="212"/>
      <c r="L958" s="212"/>
      <c r="M958" s="212"/>
      <c r="N958" s="212"/>
      <c r="O958" s="212"/>
      <c r="P958" s="212"/>
      <c r="Q958" s="212"/>
      <c r="R958" s="212"/>
      <c r="S958" s="212"/>
      <c r="T958" s="212"/>
      <c r="U958" s="212"/>
      <c r="V958" s="212"/>
      <c r="W958" s="212"/>
      <c r="X958" s="212"/>
      <c r="Y958" s="212"/>
      <c r="Z958" s="212"/>
      <c r="AA958" s="212"/>
      <c r="AB958" s="212"/>
      <c r="AC958" s="212"/>
      <c r="AD958" s="212"/>
    </row>
    <row r="959" ht="22.5" customHeight="1">
      <c r="A959" s="212"/>
      <c r="B959" s="247"/>
      <c r="C959" s="247"/>
      <c r="D959" s="247"/>
      <c r="E959" s="247"/>
      <c r="F959" s="212"/>
      <c r="G959" s="212"/>
      <c r="H959" s="248"/>
      <c r="I959" s="248"/>
      <c r="J959" s="248"/>
      <c r="K959" s="212"/>
      <c r="L959" s="212"/>
      <c r="M959" s="212"/>
      <c r="N959" s="212"/>
      <c r="O959" s="212"/>
      <c r="P959" s="212"/>
      <c r="Q959" s="212"/>
      <c r="R959" s="212"/>
      <c r="S959" s="212"/>
      <c r="T959" s="212"/>
      <c r="U959" s="212"/>
      <c r="V959" s="212"/>
      <c r="W959" s="212"/>
      <c r="X959" s="212"/>
      <c r="Y959" s="212"/>
      <c r="Z959" s="212"/>
      <c r="AA959" s="212"/>
      <c r="AB959" s="212"/>
      <c r="AC959" s="212"/>
      <c r="AD959" s="212"/>
    </row>
    <row r="960" ht="22.5" customHeight="1">
      <c r="A960" s="212"/>
      <c r="B960" s="247"/>
      <c r="C960" s="247"/>
      <c r="D960" s="247"/>
      <c r="E960" s="247"/>
      <c r="F960" s="212"/>
      <c r="G960" s="212"/>
      <c r="H960" s="248"/>
      <c r="I960" s="248"/>
      <c r="J960" s="248"/>
      <c r="K960" s="212"/>
      <c r="L960" s="212"/>
      <c r="M960" s="212"/>
      <c r="N960" s="212"/>
      <c r="O960" s="212"/>
      <c r="P960" s="212"/>
      <c r="Q960" s="212"/>
      <c r="R960" s="212"/>
      <c r="S960" s="212"/>
      <c r="T960" s="212"/>
      <c r="U960" s="212"/>
      <c r="V960" s="212"/>
      <c r="W960" s="212"/>
      <c r="X960" s="212"/>
      <c r="Y960" s="212"/>
      <c r="Z960" s="212"/>
      <c r="AA960" s="212"/>
      <c r="AB960" s="212"/>
      <c r="AC960" s="212"/>
      <c r="AD960" s="212"/>
    </row>
    <row r="961" ht="22.5" customHeight="1">
      <c r="A961" s="212"/>
      <c r="B961" s="247"/>
      <c r="C961" s="247"/>
      <c r="D961" s="247"/>
      <c r="E961" s="247"/>
      <c r="F961" s="212"/>
      <c r="G961" s="212"/>
      <c r="H961" s="248"/>
      <c r="I961" s="248"/>
      <c r="J961" s="248"/>
      <c r="K961" s="212"/>
      <c r="L961" s="212"/>
      <c r="M961" s="212"/>
      <c r="N961" s="212"/>
      <c r="O961" s="212"/>
      <c r="P961" s="212"/>
      <c r="Q961" s="212"/>
      <c r="R961" s="212"/>
      <c r="S961" s="212"/>
      <c r="T961" s="212"/>
      <c r="U961" s="212"/>
      <c r="V961" s="212"/>
      <c r="W961" s="212"/>
      <c r="X961" s="212"/>
      <c r="Y961" s="212"/>
      <c r="Z961" s="212"/>
      <c r="AA961" s="212"/>
      <c r="AB961" s="212"/>
      <c r="AC961" s="212"/>
      <c r="AD961" s="212"/>
    </row>
    <row r="962" ht="22.5" customHeight="1">
      <c r="A962" s="212"/>
      <c r="B962" s="247"/>
      <c r="C962" s="247"/>
      <c r="D962" s="247"/>
      <c r="E962" s="247"/>
      <c r="F962" s="212"/>
      <c r="G962" s="212"/>
      <c r="H962" s="248"/>
      <c r="I962" s="248"/>
      <c r="J962" s="248"/>
      <c r="K962" s="212"/>
      <c r="L962" s="212"/>
      <c r="M962" s="212"/>
      <c r="N962" s="212"/>
      <c r="O962" s="212"/>
      <c r="P962" s="212"/>
      <c r="Q962" s="212"/>
      <c r="R962" s="212"/>
      <c r="S962" s="212"/>
      <c r="T962" s="212"/>
      <c r="U962" s="212"/>
      <c r="V962" s="212"/>
      <c r="W962" s="212"/>
      <c r="X962" s="212"/>
      <c r="Y962" s="212"/>
      <c r="Z962" s="212"/>
      <c r="AA962" s="212"/>
      <c r="AB962" s="212"/>
      <c r="AC962" s="212"/>
      <c r="AD962" s="212"/>
    </row>
    <row r="963" ht="22.5" customHeight="1">
      <c r="A963" s="212"/>
      <c r="B963" s="247"/>
      <c r="C963" s="247"/>
      <c r="D963" s="247"/>
      <c r="E963" s="247"/>
      <c r="F963" s="212"/>
      <c r="G963" s="212"/>
      <c r="H963" s="248"/>
      <c r="I963" s="248"/>
      <c r="J963" s="248"/>
      <c r="K963" s="212"/>
      <c r="L963" s="212"/>
      <c r="M963" s="212"/>
      <c r="N963" s="212"/>
      <c r="O963" s="212"/>
      <c r="P963" s="212"/>
      <c r="Q963" s="212"/>
      <c r="R963" s="212"/>
      <c r="S963" s="212"/>
      <c r="T963" s="212"/>
      <c r="U963" s="212"/>
      <c r="V963" s="212"/>
      <c r="W963" s="212"/>
      <c r="X963" s="212"/>
      <c r="Y963" s="212"/>
      <c r="Z963" s="212"/>
      <c r="AA963" s="212"/>
      <c r="AB963" s="212"/>
      <c r="AC963" s="212"/>
      <c r="AD963" s="212"/>
    </row>
    <row r="964" ht="22.5" customHeight="1">
      <c r="A964" s="212"/>
      <c r="B964" s="247"/>
      <c r="C964" s="247"/>
      <c r="D964" s="247"/>
      <c r="E964" s="247"/>
      <c r="F964" s="212"/>
      <c r="G964" s="212"/>
      <c r="H964" s="248"/>
      <c r="I964" s="248"/>
      <c r="J964" s="248"/>
      <c r="K964" s="212"/>
      <c r="L964" s="212"/>
      <c r="M964" s="212"/>
      <c r="N964" s="212"/>
      <c r="O964" s="212"/>
      <c r="P964" s="212"/>
      <c r="Q964" s="212"/>
      <c r="R964" s="212"/>
      <c r="S964" s="212"/>
      <c r="T964" s="212"/>
      <c r="U964" s="212"/>
      <c r="V964" s="212"/>
      <c r="W964" s="212"/>
      <c r="X964" s="212"/>
      <c r="Y964" s="212"/>
      <c r="Z964" s="212"/>
      <c r="AA964" s="212"/>
      <c r="AB964" s="212"/>
      <c r="AC964" s="212"/>
      <c r="AD964" s="212"/>
    </row>
    <row r="965" ht="22.5" customHeight="1">
      <c r="A965" s="212"/>
      <c r="B965" s="247"/>
      <c r="C965" s="247"/>
      <c r="D965" s="247"/>
      <c r="E965" s="247"/>
      <c r="F965" s="212"/>
      <c r="G965" s="212"/>
      <c r="H965" s="248"/>
      <c r="I965" s="248"/>
      <c r="J965" s="248"/>
      <c r="K965" s="212"/>
      <c r="L965" s="212"/>
      <c r="M965" s="212"/>
      <c r="N965" s="212"/>
      <c r="O965" s="212"/>
      <c r="P965" s="212"/>
      <c r="Q965" s="212"/>
      <c r="R965" s="212"/>
      <c r="S965" s="212"/>
      <c r="T965" s="212"/>
      <c r="U965" s="212"/>
      <c r="V965" s="212"/>
      <c r="W965" s="212"/>
      <c r="X965" s="212"/>
      <c r="Y965" s="212"/>
      <c r="Z965" s="212"/>
      <c r="AA965" s="212"/>
      <c r="AB965" s="212"/>
      <c r="AC965" s="212"/>
      <c r="AD965" s="212"/>
    </row>
    <row r="966" ht="22.5" customHeight="1">
      <c r="A966" s="212"/>
      <c r="B966" s="247"/>
      <c r="C966" s="247"/>
      <c r="D966" s="247"/>
      <c r="E966" s="247"/>
      <c r="F966" s="212"/>
      <c r="G966" s="212"/>
      <c r="H966" s="248"/>
      <c r="I966" s="248"/>
      <c r="J966" s="248"/>
      <c r="K966" s="212"/>
      <c r="L966" s="212"/>
      <c r="M966" s="212"/>
      <c r="N966" s="212"/>
      <c r="O966" s="212"/>
      <c r="P966" s="212"/>
      <c r="Q966" s="212"/>
      <c r="R966" s="212"/>
      <c r="S966" s="212"/>
      <c r="T966" s="212"/>
      <c r="U966" s="212"/>
      <c r="V966" s="212"/>
      <c r="W966" s="212"/>
      <c r="X966" s="212"/>
      <c r="Y966" s="212"/>
      <c r="Z966" s="212"/>
      <c r="AA966" s="212"/>
      <c r="AB966" s="212"/>
      <c r="AC966" s="212"/>
      <c r="AD966" s="212"/>
    </row>
    <row r="967" ht="22.5" customHeight="1">
      <c r="A967" s="212"/>
      <c r="B967" s="247"/>
      <c r="C967" s="247"/>
      <c r="D967" s="247"/>
      <c r="E967" s="247"/>
      <c r="F967" s="212"/>
      <c r="G967" s="212"/>
      <c r="H967" s="248"/>
      <c r="I967" s="248"/>
      <c r="J967" s="248"/>
      <c r="K967" s="212"/>
      <c r="L967" s="212"/>
      <c r="M967" s="212"/>
      <c r="N967" s="212"/>
      <c r="O967" s="212"/>
      <c r="P967" s="212"/>
      <c r="Q967" s="212"/>
      <c r="R967" s="212"/>
      <c r="S967" s="212"/>
      <c r="T967" s="212"/>
      <c r="U967" s="212"/>
      <c r="V967" s="212"/>
      <c r="W967" s="212"/>
      <c r="X967" s="212"/>
      <c r="Y967" s="212"/>
      <c r="Z967" s="212"/>
      <c r="AA967" s="212"/>
      <c r="AB967" s="212"/>
      <c r="AC967" s="212"/>
      <c r="AD967" s="212"/>
    </row>
    <row r="968" ht="22.5" customHeight="1">
      <c r="A968" s="212"/>
      <c r="B968" s="247"/>
      <c r="C968" s="247"/>
      <c r="D968" s="247"/>
      <c r="E968" s="247"/>
      <c r="F968" s="212"/>
      <c r="G968" s="212"/>
      <c r="H968" s="248"/>
      <c r="I968" s="248"/>
      <c r="J968" s="248"/>
      <c r="K968" s="212"/>
      <c r="L968" s="212"/>
      <c r="M968" s="212"/>
      <c r="N968" s="212"/>
      <c r="O968" s="212"/>
      <c r="P968" s="212"/>
      <c r="Q968" s="212"/>
      <c r="R968" s="212"/>
      <c r="S968" s="212"/>
      <c r="T968" s="212"/>
      <c r="U968" s="212"/>
      <c r="V968" s="212"/>
      <c r="W968" s="212"/>
      <c r="X968" s="212"/>
      <c r="Y968" s="212"/>
      <c r="Z968" s="212"/>
      <c r="AA968" s="212"/>
      <c r="AB968" s="212"/>
      <c r="AC968" s="212"/>
      <c r="AD968" s="212"/>
    </row>
    <row r="969" ht="22.5" customHeight="1">
      <c r="A969" s="212"/>
      <c r="B969" s="247"/>
      <c r="C969" s="247"/>
      <c r="D969" s="247"/>
      <c r="E969" s="247"/>
      <c r="F969" s="212"/>
      <c r="G969" s="212"/>
      <c r="H969" s="248"/>
      <c r="I969" s="248"/>
      <c r="J969" s="248"/>
      <c r="K969" s="212"/>
      <c r="L969" s="212"/>
      <c r="M969" s="212"/>
      <c r="N969" s="212"/>
      <c r="O969" s="212"/>
      <c r="P969" s="212"/>
      <c r="Q969" s="212"/>
      <c r="R969" s="212"/>
      <c r="S969" s="212"/>
      <c r="T969" s="212"/>
      <c r="U969" s="212"/>
      <c r="V969" s="212"/>
      <c r="W969" s="212"/>
      <c r="X969" s="212"/>
      <c r="Y969" s="212"/>
      <c r="Z969" s="212"/>
      <c r="AA969" s="212"/>
      <c r="AB969" s="212"/>
      <c r="AC969" s="212"/>
      <c r="AD969" s="212"/>
    </row>
    <row r="970" ht="22.5" customHeight="1">
      <c r="A970" s="212"/>
      <c r="B970" s="247"/>
      <c r="C970" s="247"/>
      <c r="D970" s="247"/>
      <c r="E970" s="247"/>
      <c r="F970" s="212"/>
      <c r="G970" s="212"/>
      <c r="H970" s="248"/>
      <c r="I970" s="248"/>
      <c r="J970" s="248"/>
      <c r="K970" s="212"/>
      <c r="L970" s="212"/>
      <c r="M970" s="212"/>
      <c r="N970" s="212"/>
      <c r="O970" s="212"/>
      <c r="P970" s="212"/>
      <c r="Q970" s="212"/>
      <c r="R970" s="212"/>
      <c r="S970" s="212"/>
      <c r="T970" s="212"/>
      <c r="U970" s="212"/>
      <c r="V970" s="212"/>
      <c r="W970" s="212"/>
      <c r="X970" s="212"/>
      <c r="Y970" s="212"/>
      <c r="Z970" s="212"/>
      <c r="AA970" s="212"/>
      <c r="AB970" s="212"/>
      <c r="AC970" s="212"/>
      <c r="AD970" s="212"/>
    </row>
    <row r="971" ht="22.5" customHeight="1">
      <c r="A971" s="212"/>
      <c r="B971" s="247"/>
      <c r="C971" s="247"/>
      <c r="D971" s="247"/>
      <c r="E971" s="247"/>
      <c r="F971" s="212"/>
      <c r="G971" s="212"/>
      <c r="H971" s="248"/>
      <c r="I971" s="248"/>
      <c r="J971" s="248"/>
      <c r="K971" s="212"/>
      <c r="L971" s="212"/>
      <c r="M971" s="212"/>
      <c r="N971" s="212"/>
      <c r="O971" s="212"/>
      <c r="P971" s="212"/>
      <c r="Q971" s="212"/>
      <c r="R971" s="212"/>
      <c r="S971" s="212"/>
      <c r="T971" s="212"/>
      <c r="U971" s="212"/>
      <c r="V971" s="212"/>
      <c r="W971" s="212"/>
      <c r="X971" s="212"/>
      <c r="Y971" s="212"/>
      <c r="Z971" s="212"/>
      <c r="AA971" s="212"/>
      <c r="AB971" s="212"/>
      <c r="AC971" s="212"/>
      <c r="AD971" s="212"/>
    </row>
    <row r="972" ht="22.5" customHeight="1">
      <c r="A972" s="212"/>
      <c r="B972" s="247"/>
      <c r="C972" s="247"/>
      <c r="D972" s="247"/>
      <c r="E972" s="247"/>
      <c r="F972" s="212"/>
      <c r="G972" s="212"/>
      <c r="H972" s="248"/>
      <c r="I972" s="248"/>
      <c r="J972" s="248"/>
      <c r="K972" s="212"/>
      <c r="L972" s="212"/>
      <c r="M972" s="212"/>
      <c r="N972" s="212"/>
      <c r="O972" s="212"/>
      <c r="P972" s="212"/>
      <c r="Q972" s="212"/>
      <c r="R972" s="212"/>
      <c r="S972" s="212"/>
      <c r="T972" s="212"/>
      <c r="U972" s="212"/>
      <c r="V972" s="212"/>
      <c r="W972" s="212"/>
      <c r="X972" s="212"/>
      <c r="Y972" s="212"/>
      <c r="Z972" s="212"/>
      <c r="AA972" s="212"/>
      <c r="AB972" s="212"/>
      <c r="AC972" s="212"/>
      <c r="AD972" s="212"/>
    </row>
    <row r="973" ht="22.5" customHeight="1">
      <c r="A973" s="212"/>
      <c r="B973" s="247"/>
      <c r="C973" s="247"/>
      <c r="D973" s="247"/>
      <c r="E973" s="247"/>
      <c r="F973" s="212"/>
      <c r="G973" s="212"/>
      <c r="H973" s="248"/>
      <c r="I973" s="248"/>
      <c r="J973" s="248"/>
      <c r="K973" s="212"/>
      <c r="L973" s="212"/>
      <c r="M973" s="212"/>
      <c r="N973" s="212"/>
      <c r="O973" s="212"/>
      <c r="P973" s="212"/>
      <c r="Q973" s="212"/>
      <c r="R973" s="212"/>
      <c r="S973" s="212"/>
      <c r="T973" s="212"/>
      <c r="U973" s="212"/>
      <c r="V973" s="212"/>
      <c r="W973" s="212"/>
      <c r="X973" s="212"/>
      <c r="Y973" s="212"/>
      <c r="Z973" s="212"/>
      <c r="AA973" s="212"/>
      <c r="AB973" s="212"/>
      <c r="AC973" s="212"/>
      <c r="AD973" s="212"/>
    </row>
    <row r="974" ht="22.5" customHeight="1">
      <c r="A974" s="212"/>
      <c r="B974" s="247"/>
      <c r="C974" s="247"/>
      <c r="D974" s="247"/>
      <c r="E974" s="247"/>
      <c r="F974" s="212"/>
      <c r="G974" s="212"/>
      <c r="H974" s="248"/>
      <c r="I974" s="248"/>
      <c r="J974" s="248"/>
      <c r="K974" s="212"/>
      <c r="L974" s="212"/>
      <c r="M974" s="212"/>
      <c r="N974" s="212"/>
      <c r="O974" s="212"/>
      <c r="P974" s="212"/>
      <c r="Q974" s="212"/>
      <c r="R974" s="212"/>
      <c r="S974" s="212"/>
      <c r="T974" s="212"/>
      <c r="U974" s="212"/>
      <c r="V974" s="212"/>
      <c r="W974" s="212"/>
      <c r="X974" s="212"/>
      <c r="Y974" s="212"/>
      <c r="Z974" s="212"/>
      <c r="AA974" s="212"/>
      <c r="AB974" s="212"/>
      <c r="AC974" s="212"/>
      <c r="AD974" s="212"/>
    </row>
    <row r="975" ht="22.5" customHeight="1">
      <c r="A975" s="212"/>
      <c r="B975" s="247"/>
      <c r="C975" s="247"/>
      <c r="D975" s="247"/>
      <c r="E975" s="247"/>
      <c r="F975" s="212"/>
      <c r="G975" s="212"/>
      <c r="H975" s="248"/>
      <c r="I975" s="248"/>
      <c r="J975" s="248"/>
      <c r="K975" s="212"/>
      <c r="L975" s="212"/>
      <c r="M975" s="212"/>
      <c r="N975" s="212"/>
      <c r="O975" s="212"/>
      <c r="P975" s="212"/>
      <c r="Q975" s="212"/>
      <c r="R975" s="212"/>
      <c r="S975" s="212"/>
      <c r="T975" s="212"/>
      <c r="U975" s="212"/>
      <c r="V975" s="212"/>
      <c r="W975" s="212"/>
      <c r="X975" s="212"/>
      <c r="Y975" s="212"/>
      <c r="Z975" s="212"/>
      <c r="AA975" s="212"/>
      <c r="AB975" s="212"/>
      <c r="AC975" s="212"/>
      <c r="AD975" s="212"/>
    </row>
    <row r="976" ht="22.5" customHeight="1">
      <c r="A976" s="212"/>
      <c r="B976" s="247"/>
      <c r="C976" s="247"/>
      <c r="D976" s="247"/>
      <c r="E976" s="247"/>
      <c r="F976" s="212"/>
      <c r="G976" s="212"/>
      <c r="H976" s="248"/>
      <c r="I976" s="248"/>
      <c r="J976" s="248"/>
      <c r="K976" s="212"/>
      <c r="L976" s="212"/>
      <c r="M976" s="212"/>
      <c r="N976" s="212"/>
      <c r="O976" s="212"/>
      <c r="P976" s="212"/>
      <c r="Q976" s="212"/>
      <c r="R976" s="212"/>
      <c r="S976" s="212"/>
      <c r="T976" s="212"/>
      <c r="U976" s="212"/>
      <c r="V976" s="212"/>
      <c r="W976" s="212"/>
      <c r="X976" s="212"/>
      <c r="Y976" s="212"/>
      <c r="Z976" s="212"/>
      <c r="AA976" s="212"/>
      <c r="AB976" s="212"/>
      <c r="AC976" s="212"/>
      <c r="AD976" s="212"/>
    </row>
    <row r="977" ht="22.5" customHeight="1">
      <c r="A977" s="212"/>
      <c r="B977" s="247"/>
      <c r="C977" s="247"/>
      <c r="D977" s="247"/>
      <c r="E977" s="247"/>
      <c r="F977" s="212"/>
      <c r="G977" s="212"/>
      <c r="H977" s="248"/>
      <c r="I977" s="248"/>
      <c r="J977" s="248"/>
      <c r="K977" s="212"/>
      <c r="L977" s="212"/>
      <c r="M977" s="212"/>
      <c r="N977" s="212"/>
      <c r="O977" s="212"/>
      <c r="P977" s="212"/>
      <c r="Q977" s="212"/>
      <c r="R977" s="212"/>
      <c r="S977" s="212"/>
      <c r="T977" s="212"/>
      <c r="U977" s="212"/>
      <c r="V977" s="212"/>
      <c r="W977" s="212"/>
      <c r="X977" s="212"/>
      <c r="Y977" s="212"/>
      <c r="Z977" s="212"/>
      <c r="AA977" s="212"/>
      <c r="AB977" s="212"/>
      <c r="AC977" s="212"/>
      <c r="AD977" s="212"/>
    </row>
    <row r="978" ht="22.5" customHeight="1">
      <c r="A978" s="212"/>
      <c r="B978" s="247"/>
      <c r="C978" s="247"/>
      <c r="D978" s="247"/>
      <c r="E978" s="247"/>
      <c r="F978" s="212"/>
      <c r="G978" s="212"/>
      <c r="H978" s="248"/>
      <c r="I978" s="248"/>
      <c r="J978" s="248"/>
      <c r="K978" s="212"/>
      <c r="L978" s="212"/>
      <c r="M978" s="212"/>
      <c r="N978" s="212"/>
      <c r="O978" s="212"/>
      <c r="P978" s="212"/>
      <c r="Q978" s="212"/>
      <c r="R978" s="212"/>
      <c r="S978" s="212"/>
      <c r="T978" s="212"/>
      <c r="U978" s="212"/>
      <c r="V978" s="212"/>
      <c r="W978" s="212"/>
      <c r="X978" s="212"/>
      <c r="Y978" s="212"/>
      <c r="Z978" s="212"/>
      <c r="AA978" s="212"/>
      <c r="AB978" s="212"/>
      <c r="AC978" s="212"/>
      <c r="AD978" s="212"/>
    </row>
    <row r="979" ht="22.5" customHeight="1">
      <c r="A979" s="212"/>
      <c r="B979" s="247"/>
      <c r="C979" s="247"/>
      <c r="D979" s="247"/>
      <c r="E979" s="247"/>
      <c r="F979" s="212"/>
      <c r="G979" s="212"/>
      <c r="H979" s="248"/>
      <c r="I979" s="248"/>
      <c r="J979" s="248"/>
      <c r="K979" s="212"/>
      <c r="L979" s="212"/>
      <c r="M979" s="212"/>
      <c r="N979" s="212"/>
      <c r="O979" s="212"/>
      <c r="P979" s="212"/>
      <c r="Q979" s="212"/>
      <c r="R979" s="212"/>
      <c r="S979" s="212"/>
      <c r="T979" s="212"/>
      <c r="U979" s="212"/>
      <c r="V979" s="212"/>
      <c r="W979" s="212"/>
      <c r="X979" s="212"/>
      <c r="Y979" s="212"/>
      <c r="Z979" s="212"/>
      <c r="AA979" s="212"/>
      <c r="AB979" s="212"/>
      <c r="AC979" s="212"/>
      <c r="AD979" s="212"/>
    </row>
    <row r="980" ht="22.5" customHeight="1">
      <c r="A980" s="212"/>
      <c r="B980" s="247"/>
      <c r="C980" s="247"/>
      <c r="D980" s="247"/>
      <c r="E980" s="247"/>
      <c r="F980" s="212"/>
      <c r="G980" s="212"/>
      <c r="H980" s="248"/>
      <c r="I980" s="248"/>
      <c r="J980" s="248"/>
      <c r="K980" s="212"/>
      <c r="L980" s="212"/>
      <c r="M980" s="212"/>
      <c r="N980" s="212"/>
      <c r="O980" s="212"/>
      <c r="P980" s="212"/>
      <c r="Q980" s="212"/>
      <c r="R980" s="212"/>
      <c r="S980" s="212"/>
      <c r="T980" s="212"/>
      <c r="U980" s="212"/>
      <c r="V980" s="212"/>
      <c r="W980" s="212"/>
      <c r="X980" s="212"/>
      <c r="Y980" s="212"/>
      <c r="Z980" s="212"/>
      <c r="AA980" s="212"/>
      <c r="AB980" s="212"/>
      <c r="AC980" s="212"/>
      <c r="AD980" s="212"/>
    </row>
    <row r="981" ht="22.5" customHeight="1">
      <c r="A981" s="212"/>
      <c r="B981" s="247"/>
      <c r="C981" s="247"/>
      <c r="D981" s="247"/>
      <c r="E981" s="247"/>
      <c r="F981" s="212"/>
      <c r="G981" s="212"/>
      <c r="H981" s="248"/>
      <c r="I981" s="248"/>
      <c r="J981" s="248"/>
      <c r="K981" s="212"/>
      <c r="L981" s="212"/>
      <c r="M981" s="212"/>
      <c r="N981" s="212"/>
      <c r="O981" s="212"/>
      <c r="P981" s="212"/>
      <c r="Q981" s="212"/>
      <c r="R981" s="212"/>
      <c r="S981" s="212"/>
      <c r="T981" s="212"/>
      <c r="U981" s="212"/>
      <c r="V981" s="212"/>
      <c r="W981" s="212"/>
      <c r="X981" s="212"/>
      <c r="Y981" s="212"/>
      <c r="Z981" s="212"/>
      <c r="AA981" s="212"/>
      <c r="AB981" s="212"/>
      <c r="AC981" s="212"/>
      <c r="AD981" s="212"/>
    </row>
    <row r="982" ht="22.5" customHeight="1">
      <c r="A982" s="212"/>
      <c r="B982" s="247"/>
      <c r="C982" s="247"/>
      <c r="D982" s="247"/>
      <c r="E982" s="247"/>
      <c r="F982" s="212"/>
      <c r="G982" s="212"/>
      <c r="H982" s="248"/>
      <c r="I982" s="248"/>
      <c r="J982" s="248"/>
      <c r="K982" s="212"/>
      <c r="L982" s="212"/>
      <c r="M982" s="212"/>
      <c r="N982" s="212"/>
      <c r="O982" s="212"/>
      <c r="P982" s="212"/>
      <c r="Q982" s="212"/>
      <c r="R982" s="212"/>
      <c r="S982" s="212"/>
      <c r="T982" s="212"/>
      <c r="U982" s="212"/>
      <c r="V982" s="212"/>
      <c r="W982" s="212"/>
      <c r="X982" s="212"/>
      <c r="Y982" s="212"/>
      <c r="Z982" s="212"/>
      <c r="AA982" s="212"/>
      <c r="AB982" s="212"/>
      <c r="AC982" s="212"/>
      <c r="AD982" s="212"/>
    </row>
    <row r="983" ht="22.5" customHeight="1">
      <c r="A983" s="212"/>
      <c r="B983" s="247"/>
      <c r="C983" s="247"/>
      <c r="D983" s="247"/>
      <c r="E983" s="247"/>
      <c r="F983" s="212"/>
      <c r="G983" s="212"/>
      <c r="H983" s="248"/>
      <c r="I983" s="248"/>
      <c r="J983" s="248"/>
      <c r="K983" s="212"/>
      <c r="L983" s="212"/>
      <c r="M983" s="212"/>
      <c r="N983" s="212"/>
      <c r="O983" s="212"/>
      <c r="P983" s="212"/>
      <c r="Q983" s="212"/>
      <c r="R983" s="212"/>
      <c r="S983" s="212"/>
      <c r="T983" s="212"/>
      <c r="U983" s="212"/>
      <c r="V983" s="212"/>
      <c r="W983" s="212"/>
      <c r="X983" s="212"/>
      <c r="Y983" s="212"/>
      <c r="Z983" s="212"/>
      <c r="AA983" s="212"/>
      <c r="AB983" s="212"/>
      <c r="AC983" s="212"/>
      <c r="AD983" s="212"/>
    </row>
    <row r="984" ht="22.5" customHeight="1">
      <c r="A984" s="212"/>
      <c r="B984" s="247"/>
      <c r="C984" s="247"/>
      <c r="D984" s="247"/>
      <c r="E984" s="247"/>
      <c r="F984" s="212"/>
      <c r="G984" s="212"/>
      <c r="H984" s="248"/>
      <c r="I984" s="248"/>
      <c r="J984" s="248"/>
      <c r="K984" s="212"/>
      <c r="L984" s="212"/>
      <c r="M984" s="212"/>
      <c r="N984" s="212"/>
      <c r="O984" s="212"/>
      <c r="P984" s="212"/>
      <c r="Q984" s="212"/>
      <c r="R984" s="212"/>
      <c r="S984" s="212"/>
      <c r="T984" s="212"/>
      <c r="U984" s="212"/>
      <c r="V984" s="212"/>
      <c r="W984" s="212"/>
      <c r="X984" s="212"/>
      <c r="Y984" s="212"/>
      <c r="Z984" s="212"/>
      <c r="AA984" s="212"/>
      <c r="AB984" s="212"/>
      <c r="AC984" s="212"/>
      <c r="AD984" s="212"/>
    </row>
    <row r="985" ht="22.5" customHeight="1">
      <c r="A985" s="212"/>
      <c r="B985" s="247"/>
      <c r="C985" s="247"/>
      <c r="D985" s="247"/>
      <c r="E985" s="247"/>
      <c r="F985" s="212"/>
      <c r="G985" s="212"/>
      <c r="H985" s="248"/>
      <c r="I985" s="248"/>
      <c r="J985" s="248"/>
      <c r="K985" s="212"/>
      <c r="L985" s="212"/>
      <c r="M985" s="212"/>
      <c r="N985" s="212"/>
      <c r="O985" s="212"/>
      <c r="P985" s="212"/>
      <c r="Q985" s="212"/>
      <c r="R985" s="212"/>
      <c r="S985" s="212"/>
      <c r="T985" s="212"/>
      <c r="U985" s="212"/>
      <c r="V985" s="212"/>
      <c r="W985" s="212"/>
      <c r="X985" s="212"/>
      <c r="Y985" s="212"/>
      <c r="Z985" s="212"/>
      <c r="AA985" s="212"/>
      <c r="AB985" s="212"/>
      <c r="AC985" s="212"/>
      <c r="AD985" s="212"/>
    </row>
  </sheetData>
  <conditionalFormatting sqref="A852">
    <cfRule type="expression" dxfId="0" priority="1">
      <formula>COUNTIF($A:$A,A852)&gt;1</formula>
    </cfRule>
  </conditionalFormatting>
  <conditionalFormatting sqref="A1:S1">
    <cfRule type="notContainsBlanks" dxfId="0" priority="2">
      <formula>LEN(TRIM(A1))&gt;0</formula>
    </cfRule>
  </conditionalFormatting>
  <conditionalFormatting sqref="H1:H796 H815:H852 H854:H985">
    <cfRule type="expression" dxfId="0" priority="3">
      <formula>COUNTIF($H:$H,H1)&gt;1</formula>
    </cfRule>
  </conditionalFormatting>
  <dataValidations>
    <dataValidation type="list" allowBlank="1" showErrorMessage="1" sqref="B852">
      <formula1>"هیأت,هیأت بانوان,مسجد,مداح,هیأت دانشجویی,حسینیه,هیأت جوانان,تکـیه,هیأت دانش آموزی,هیأت دخترانه,موکب,مهدیه,نوع"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J10"/>
    <hyperlink r:id="rId11" ref="H11"/>
    <hyperlink r:id="rId12" ref="I11"/>
    <hyperlink r:id="rId13" ref="H12"/>
    <hyperlink r:id="rId14" ref="J12"/>
    <hyperlink r:id="rId15" ref="H13"/>
    <hyperlink r:id="rId16" ref="H14"/>
    <hyperlink r:id="rId17" ref="J15"/>
    <hyperlink r:id="rId18" ref="H16"/>
    <hyperlink r:id="rId19" ref="I16"/>
    <hyperlink r:id="rId20" ref="H17"/>
    <hyperlink r:id="rId21" ref="I17"/>
    <hyperlink r:id="rId22" ref="H18"/>
    <hyperlink r:id="rId23" ref="H19"/>
    <hyperlink r:id="rId24" ref="I19"/>
    <hyperlink r:id="rId25" ref="J19"/>
    <hyperlink r:id="rId26" ref="H20"/>
    <hyperlink r:id="rId27" ref="H21"/>
    <hyperlink r:id="rId28" ref="J21"/>
    <hyperlink r:id="rId29" ref="H22"/>
    <hyperlink r:id="rId30" ref="H23"/>
    <hyperlink r:id="rId31" ref="H24"/>
    <hyperlink r:id="rId32" ref="H25"/>
    <hyperlink r:id="rId33" ref="J25"/>
    <hyperlink r:id="rId34" ref="J26"/>
    <hyperlink r:id="rId35" ref="H27"/>
    <hyperlink r:id="rId36" ref="H28"/>
    <hyperlink r:id="rId37" ref="H29"/>
    <hyperlink r:id="rId38" ref="H30"/>
    <hyperlink r:id="rId39" ref="J31"/>
    <hyperlink r:id="rId40" ref="H32"/>
    <hyperlink r:id="rId41" ref="H33"/>
    <hyperlink r:id="rId42" ref="H34"/>
    <hyperlink r:id="rId43" ref="I34"/>
    <hyperlink r:id="rId44" ref="J34"/>
    <hyperlink r:id="rId45" ref="H35"/>
    <hyperlink r:id="rId46" ref="J36"/>
    <hyperlink r:id="rId47" ref="H37"/>
    <hyperlink r:id="rId48" ref="H38"/>
    <hyperlink r:id="rId49" ref="H39"/>
    <hyperlink r:id="rId50" ref="H40"/>
    <hyperlink r:id="rId51" ref="I40"/>
    <hyperlink r:id="rId52" ref="H41"/>
    <hyperlink r:id="rId53" ref="H42"/>
    <hyperlink r:id="rId54" ref="J42"/>
    <hyperlink r:id="rId55" ref="H43"/>
    <hyperlink r:id="rId56" ref="H44"/>
    <hyperlink r:id="rId57" ref="H45"/>
    <hyperlink r:id="rId58" ref="I45"/>
    <hyperlink r:id="rId59" ref="H46"/>
    <hyperlink r:id="rId60" ref="H47"/>
    <hyperlink r:id="rId61" ref="I47"/>
    <hyperlink r:id="rId62" ref="J47"/>
    <hyperlink r:id="rId63" ref="H48"/>
    <hyperlink r:id="rId64" ref="H49"/>
    <hyperlink r:id="rId65" ref="I49"/>
    <hyperlink r:id="rId66" ref="H50"/>
    <hyperlink r:id="rId67" ref="H51"/>
    <hyperlink r:id="rId68" ref="H52"/>
    <hyperlink r:id="rId69" ref="J52"/>
    <hyperlink r:id="rId70" ref="H53"/>
    <hyperlink r:id="rId71" ref="H54"/>
    <hyperlink r:id="rId72" ref="I54"/>
    <hyperlink r:id="rId73" ref="H55"/>
    <hyperlink r:id="rId74" ref="H56"/>
    <hyperlink r:id="rId75" ref="J57"/>
    <hyperlink r:id="rId76" ref="H58"/>
    <hyperlink r:id="rId77" ref="H59"/>
    <hyperlink r:id="rId78" ref="I59"/>
    <hyperlink r:id="rId79" ref="H60"/>
    <hyperlink r:id="rId80" ref="J60"/>
    <hyperlink r:id="rId81" ref="J61"/>
    <hyperlink r:id="rId82" ref="H62"/>
    <hyperlink r:id="rId83" ref="H63"/>
    <hyperlink r:id="rId84" ref="J64"/>
    <hyperlink r:id="rId85" ref="H65"/>
    <hyperlink r:id="rId86" ref="J66"/>
    <hyperlink r:id="rId87" ref="H67"/>
    <hyperlink r:id="rId88" ref="H68"/>
    <hyperlink r:id="rId89" ref="I68"/>
    <hyperlink r:id="rId90" ref="J68"/>
    <hyperlink r:id="rId91" ref="J69"/>
    <hyperlink r:id="rId92" ref="H70"/>
    <hyperlink r:id="rId93" ref="H71"/>
    <hyperlink r:id="rId94" ref="J71"/>
    <hyperlink r:id="rId95" ref="H72"/>
    <hyperlink r:id="rId96" ref="I72"/>
    <hyperlink r:id="rId97" ref="H73"/>
    <hyperlink r:id="rId98" ref="H74"/>
    <hyperlink r:id="rId99" ref="H75"/>
    <hyperlink r:id="rId100" ref="I76"/>
    <hyperlink r:id="rId101" ref="J77"/>
    <hyperlink r:id="rId102" ref="H78"/>
    <hyperlink r:id="rId103" ref="I78"/>
    <hyperlink r:id="rId104" ref="H79"/>
    <hyperlink r:id="rId105" ref="J80"/>
    <hyperlink r:id="rId106" ref="H81"/>
    <hyperlink r:id="rId107" ref="I81"/>
    <hyperlink r:id="rId108" ref="H82"/>
    <hyperlink r:id="rId109" ref="J82"/>
    <hyperlink r:id="rId110" ref="H83"/>
    <hyperlink r:id="rId111" ref="H84"/>
    <hyperlink r:id="rId112" ref="H85"/>
    <hyperlink r:id="rId113" ref="H86"/>
    <hyperlink r:id="rId114" ref="J87"/>
    <hyperlink r:id="rId115" ref="H88"/>
    <hyperlink r:id="rId116" ref="H89"/>
    <hyperlink r:id="rId117" ref="H90"/>
    <hyperlink r:id="rId118" ref="H91"/>
    <hyperlink r:id="rId119" ref="H92"/>
    <hyperlink r:id="rId120" ref="J93"/>
    <hyperlink r:id="rId121" ref="H94"/>
    <hyperlink r:id="rId122" ref="H95"/>
    <hyperlink r:id="rId123" ref="I95"/>
    <hyperlink r:id="rId124" ref="H96"/>
    <hyperlink r:id="rId125" ref="J97"/>
    <hyperlink r:id="rId126" ref="H98"/>
    <hyperlink r:id="rId127" ref="H99"/>
    <hyperlink r:id="rId128" ref="H100"/>
    <hyperlink r:id="rId129" ref="J101"/>
    <hyperlink r:id="rId130" ref="H102"/>
    <hyperlink r:id="rId131" ref="J102"/>
    <hyperlink r:id="rId132" ref="H103"/>
    <hyperlink r:id="rId133" ref="J104"/>
    <hyperlink r:id="rId134" ref="H105"/>
    <hyperlink r:id="rId135" ref="H106"/>
    <hyperlink r:id="rId136" ref="H107"/>
    <hyperlink r:id="rId137" ref="I107"/>
    <hyperlink r:id="rId138" ref="H108"/>
    <hyperlink r:id="rId139" ref="H109"/>
    <hyperlink r:id="rId140" ref="H110"/>
    <hyperlink r:id="rId141" ref="J111"/>
    <hyperlink r:id="rId142" ref="H112"/>
    <hyperlink r:id="rId143" ref="I113"/>
    <hyperlink r:id="rId144" ref="H114"/>
    <hyperlink r:id="rId145" ref="H115"/>
    <hyperlink r:id="rId146" ref="H116"/>
    <hyperlink r:id="rId147" ref="H117"/>
    <hyperlink r:id="rId148" ref="J118"/>
    <hyperlink r:id="rId149" ref="J119"/>
    <hyperlink r:id="rId150" ref="H120"/>
    <hyperlink r:id="rId151" ref="I120"/>
    <hyperlink r:id="rId152" ref="J121"/>
    <hyperlink r:id="rId153" ref="J122"/>
    <hyperlink r:id="rId154" ref="J123"/>
    <hyperlink r:id="rId155" ref="H124"/>
    <hyperlink r:id="rId156" ref="H125"/>
    <hyperlink r:id="rId157" ref="I125"/>
    <hyperlink r:id="rId158" ref="H126"/>
    <hyperlink r:id="rId159" ref="H127"/>
    <hyperlink r:id="rId160" ref="I127"/>
    <hyperlink r:id="rId161" ref="H128"/>
    <hyperlink r:id="rId162" ref="H129"/>
    <hyperlink r:id="rId163" ref="H130"/>
    <hyperlink r:id="rId164" ref="I130"/>
    <hyperlink r:id="rId165" ref="J130"/>
    <hyperlink r:id="rId166" ref="H131"/>
    <hyperlink r:id="rId167" ref="H132"/>
    <hyperlink r:id="rId168" ref="H133"/>
    <hyperlink r:id="rId169" ref="H134"/>
    <hyperlink r:id="rId170" ref="J135"/>
    <hyperlink r:id="rId171" ref="H136"/>
    <hyperlink r:id="rId172" ref="I136"/>
    <hyperlink r:id="rId173" ref="H137"/>
    <hyperlink r:id="rId174" ref="H138"/>
    <hyperlink r:id="rId175" ref="H139"/>
    <hyperlink r:id="rId176" ref="J140"/>
    <hyperlink r:id="rId177" ref="H141"/>
    <hyperlink r:id="rId178" ref="H142"/>
    <hyperlink r:id="rId179" ref="H143"/>
    <hyperlink r:id="rId180" ref="H144"/>
    <hyperlink r:id="rId181" ref="I144"/>
    <hyperlink r:id="rId182" ref="J144"/>
    <hyperlink r:id="rId183" ref="H145"/>
    <hyperlink r:id="rId184" ref="H146"/>
    <hyperlink r:id="rId185" ref="J146"/>
    <hyperlink r:id="rId186" ref="J147"/>
    <hyperlink r:id="rId187" ref="J148"/>
    <hyperlink r:id="rId188" ref="J149"/>
    <hyperlink r:id="rId189" ref="H150"/>
    <hyperlink r:id="rId190" ref="H151"/>
    <hyperlink r:id="rId191" ref="H152"/>
    <hyperlink r:id="rId192" ref="H153"/>
    <hyperlink r:id="rId193" ref="H154"/>
    <hyperlink r:id="rId194" ref="H155"/>
    <hyperlink r:id="rId195" ref="I156"/>
    <hyperlink r:id="rId196" ref="H157"/>
    <hyperlink r:id="rId197" ref="J157"/>
    <hyperlink r:id="rId198" ref="H158"/>
    <hyperlink r:id="rId199" ref="H159"/>
    <hyperlink r:id="rId200" ref="H160"/>
    <hyperlink r:id="rId201" ref="H161"/>
    <hyperlink r:id="rId202" ref="H162"/>
    <hyperlink r:id="rId203" ref="H163"/>
    <hyperlink r:id="rId204" ref="H164"/>
    <hyperlink r:id="rId205" ref="H165"/>
    <hyperlink r:id="rId206" ref="H166"/>
    <hyperlink r:id="rId207" ref="I166"/>
    <hyperlink r:id="rId208" ref="H167"/>
    <hyperlink r:id="rId209" ref="H168"/>
    <hyperlink r:id="rId210" ref="H169"/>
    <hyperlink r:id="rId211" ref="I169"/>
    <hyperlink r:id="rId212" ref="H170"/>
    <hyperlink r:id="rId213" ref="I170"/>
    <hyperlink r:id="rId214" ref="J170"/>
    <hyperlink r:id="rId215" ref="J171"/>
    <hyperlink r:id="rId216" ref="H172"/>
    <hyperlink r:id="rId217" ref="H173"/>
    <hyperlink r:id="rId218" ref="J174"/>
    <hyperlink r:id="rId219" ref="H175"/>
    <hyperlink r:id="rId220" ref="J175"/>
    <hyperlink r:id="rId221" ref="H176"/>
    <hyperlink r:id="rId222" ref="H177"/>
    <hyperlink r:id="rId223" ref="J178"/>
    <hyperlink r:id="rId224" ref="H179"/>
    <hyperlink r:id="rId225" ref="H180"/>
    <hyperlink r:id="rId226" ref="H181"/>
    <hyperlink r:id="rId227" ref="H182"/>
    <hyperlink r:id="rId228" ref="H183"/>
    <hyperlink r:id="rId229" ref="J184"/>
    <hyperlink r:id="rId230" ref="H185"/>
    <hyperlink r:id="rId231" ref="J186"/>
    <hyperlink r:id="rId232" ref="H187"/>
    <hyperlink r:id="rId233" ref="H188"/>
    <hyperlink r:id="rId234" ref="H189"/>
    <hyperlink r:id="rId235" ref="H190"/>
    <hyperlink r:id="rId236" ref="I190"/>
    <hyperlink r:id="rId237" ref="J190"/>
    <hyperlink r:id="rId238" ref="H191"/>
    <hyperlink r:id="rId239" ref="H192"/>
    <hyperlink r:id="rId240" ref="I192"/>
    <hyperlink r:id="rId241" ref="J193"/>
    <hyperlink r:id="rId242" ref="H194"/>
    <hyperlink r:id="rId243" ref="I194"/>
    <hyperlink r:id="rId244" ref="J195"/>
    <hyperlink r:id="rId245" ref="J196"/>
    <hyperlink r:id="rId246" ref="H197"/>
    <hyperlink r:id="rId247" ref="H198"/>
    <hyperlink r:id="rId248" ref="H199"/>
    <hyperlink r:id="rId249" ref="J200"/>
    <hyperlink r:id="rId250" ref="J201"/>
    <hyperlink r:id="rId251" ref="H202"/>
    <hyperlink r:id="rId252" ref="J202"/>
    <hyperlink r:id="rId253" ref="H203"/>
    <hyperlink r:id="rId254" ref="H204"/>
    <hyperlink r:id="rId255" ref="J204"/>
    <hyperlink r:id="rId256" ref="H205"/>
    <hyperlink r:id="rId257" ref="H206"/>
    <hyperlink r:id="rId258" ref="H207"/>
    <hyperlink r:id="rId259" ref="H208"/>
    <hyperlink r:id="rId260" ref="H209"/>
    <hyperlink r:id="rId261" ref="H210"/>
    <hyperlink r:id="rId262" ref="J211"/>
    <hyperlink r:id="rId263" ref="J212"/>
    <hyperlink r:id="rId264" ref="H213"/>
    <hyperlink r:id="rId265" ref="I213"/>
    <hyperlink r:id="rId266" ref="J213"/>
    <hyperlink r:id="rId267" ref="H214"/>
    <hyperlink r:id="rId268" ref="I214"/>
    <hyperlink r:id="rId269" ref="J214"/>
    <hyperlink r:id="rId270" ref="J215"/>
    <hyperlink r:id="rId271" ref="H216"/>
    <hyperlink r:id="rId272" ref="I216"/>
    <hyperlink r:id="rId273" ref="J217"/>
    <hyperlink r:id="rId274" ref="H218"/>
    <hyperlink r:id="rId275" ref="J218"/>
    <hyperlink r:id="rId276" ref="H219"/>
    <hyperlink r:id="rId277" ref="I219"/>
    <hyperlink r:id="rId278" ref="H220"/>
    <hyperlink r:id="rId279" ref="I220"/>
    <hyperlink r:id="rId280" ref="H221"/>
    <hyperlink r:id="rId281" ref="H222"/>
    <hyperlink r:id="rId282" ref="J222"/>
    <hyperlink r:id="rId283" ref="J223"/>
    <hyperlink r:id="rId284" ref="J224"/>
    <hyperlink r:id="rId285" ref="H225"/>
    <hyperlink r:id="rId286" ref="H226"/>
    <hyperlink r:id="rId287" ref="H227"/>
    <hyperlink r:id="rId288" ref="H228"/>
    <hyperlink r:id="rId289" ref="H229"/>
    <hyperlink r:id="rId290" ref="J230"/>
    <hyperlink r:id="rId291" ref="J231"/>
    <hyperlink r:id="rId292" ref="H232"/>
    <hyperlink r:id="rId293" ref="H233"/>
    <hyperlink r:id="rId294" ref="J233"/>
    <hyperlink r:id="rId295" ref="H234"/>
    <hyperlink r:id="rId296" ref="H235"/>
    <hyperlink r:id="rId297" ref="I235"/>
    <hyperlink r:id="rId298" ref="H236"/>
    <hyperlink r:id="rId299" ref="J236"/>
    <hyperlink r:id="rId300" ref="J237"/>
    <hyperlink r:id="rId301" ref="I238"/>
    <hyperlink r:id="rId302" ref="H239"/>
    <hyperlink r:id="rId303" ref="J239"/>
    <hyperlink r:id="rId304" ref="J240"/>
    <hyperlink r:id="rId305" ref="H241"/>
    <hyperlink r:id="rId306" ref="I241"/>
    <hyperlink r:id="rId307" ref="J241"/>
    <hyperlink r:id="rId308" ref="H242"/>
    <hyperlink r:id="rId309" ref="H243"/>
    <hyperlink r:id="rId310" ref="H244"/>
    <hyperlink r:id="rId311" ref="H245"/>
    <hyperlink r:id="rId312" ref="H246"/>
    <hyperlink r:id="rId313" ref="J246"/>
    <hyperlink r:id="rId314" ref="J247"/>
    <hyperlink r:id="rId315" ref="J248"/>
    <hyperlink r:id="rId316" ref="H249"/>
    <hyperlink r:id="rId317" ref="J250"/>
    <hyperlink r:id="rId318" ref="J251"/>
    <hyperlink r:id="rId319" ref="J252"/>
    <hyperlink r:id="rId320" ref="H253"/>
    <hyperlink r:id="rId321" ref="H254"/>
    <hyperlink r:id="rId322" ref="I254"/>
    <hyperlink r:id="rId323" ref="J255"/>
    <hyperlink r:id="rId324" ref="H256"/>
    <hyperlink r:id="rId325" ref="J256"/>
    <hyperlink r:id="rId326" ref="H257"/>
    <hyperlink r:id="rId327" ref="J257"/>
    <hyperlink r:id="rId328" ref="J258"/>
    <hyperlink r:id="rId329" ref="H259"/>
    <hyperlink r:id="rId330" ref="J259"/>
    <hyperlink r:id="rId331" ref="H260"/>
    <hyperlink r:id="rId332" ref="J260"/>
    <hyperlink r:id="rId333" ref="J261"/>
    <hyperlink r:id="rId334" ref="H262"/>
    <hyperlink r:id="rId335" ref="J263"/>
    <hyperlink r:id="rId336" ref="J264"/>
    <hyperlink r:id="rId337" ref="J265"/>
    <hyperlink r:id="rId338" ref="I266"/>
    <hyperlink r:id="rId339" ref="J267"/>
    <hyperlink r:id="rId340" ref="J268"/>
    <hyperlink r:id="rId341" ref="H269"/>
    <hyperlink r:id="rId342" ref="H270"/>
    <hyperlink r:id="rId343" ref="H271"/>
    <hyperlink r:id="rId344" ref="J272"/>
    <hyperlink r:id="rId345" ref="H273"/>
    <hyperlink r:id="rId346" ref="H274"/>
    <hyperlink r:id="rId347" ref="J275"/>
    <hyperlink r:id="rId348" ref="H276"/>
    <hyperlink r:id="rId349" ref="H277"/>
    <hyperlink r:id="rId350" ref="H278"/>
    <hyperlink r:id="rId351" ref="I278"/>
    <hyperlink r:id="rId352" ref="H279"/>
    <hyperlink r:id="rId353" ref="H280"/>
    <hyperlink r:id="rId354" ref="J281"/>
    <hyperlink r:id="rId355" ref="H282"/>
    <hyperlink r:id="rId356" ref="I282"/>
    <hyperlink r:id="rId357" ref="J283"/>
    <hyperlink r:id="rId358" ref="H284"/>
    <hyperlink r:id="rId359" ref="J285"/>
    <hyperlink r:id="rId360" ref="H286"/>
    <hyperlink r:id="rId361" ref="I286"/>
    <hyperlink r:id="rId362" ref="H287"/>
    <hyperlink r:id="rId363" ref="J288"/>
    <hyperlink r:id="rId364" ref="H289"/>
    <hyperlink r:id="rId365" ref="J290"/>
    <hyperlink r:id="rId366" ref="H291"/>
    <hyperlink r:id="rId367" ref="I291"/>
    <hyperlink r:id="rId368" ref="J291"/>
    <hyperlink r:id="rId369" ref="H292"/>
    <hyperlink r:id="rId370" ref="H293"/>
    <hyperlink r:id="rId371" ref="H294"/>
    <hyperlink r:id="rId372" ref="I294"/>
    <hyperlink r:id="rId373" ref="J294"/>
    <hyperlink r:id="rId374" ref="H295"/>
    <hyperlink r:id="rId375" ref="I295"/>
    <hyperlink r:id="rId376" ref="H296"/>
    <hyperlink r:id="rId377" ref="H297"/>
    <hyperlink r:id="rId378" ref="J298"/>
    <hyperlink r:id="rId379" ref="J299"/>
    <hyperlink r:id="rId380" ref="H300"/>
    <hyperlink r:id="rId381" ref="J300"/>
    <hyperlink r:id="rId382" ref="H301"/>
    <hyperlink r:id="rId383" ref="J302"/>
    <hyperlink r:id="rId384" ref="H303"/>
    <hyperlink r:id="rId385" ref="J304"/>
    <hyperlink r:id="rId386" ref="H305"/>
    <hyperlink r:id="rId387" ref="H306"/>
    <hyperlink r:id="rId388" ref="J306"/>
    <hyperlink r:id="rId389" ref="J307"/>
    <hyperlink r:id="rId390" ref="J308"/>
    <hyperlink r:id="rId391" ref="J309"/>
    <hyperlink r:id="rId392" ref="H310"/>
    <hyperlink r:id="rId393" ref="H311"/>
    <hyperlink r:id="rId394" ref="H312"/>
    <hyperlink r:id="rId395" ref="I312"/>
    <hyperlink r:id="rId396" ref="J313"/>
    <hyperlink r:id="rId397" ref="H314"/>
    <hyperlink r:id="rId398" ref="J314"/>
    <hyperlink r:id="rId399" ref="H315"/>
    <hyperlink r:id="rId400" ref="J315"/>
    <hyperlink r:id="rId401" ref="I316"/>
    <hyperlink r:id="rId402" ref="J317"/>
    <hyperlink r:id="rId403" ref="I318"/>
    <hyperlink r:id="rId404" ref="H319"/>
    <hyperlink r:id="rId405" ref="J320"/>
    <hyperlink r:id="rId406" ref="J321"/>
    <hyperlink r:id="rId407" ref="H322"/>
    <hyperlink r:id="rId408" ref="H323"/>
    <hyperlink r:id="rId409" ref="J324"/>
    <hyperlink r:id="rId410" ref="H325"/>
    <hyperlink r:id="rId411" ref="H326"/>
    <hyperlink r:id="rId412" ref="J327"/>
    <hyperlink r:id="rId413" ref="H328"/>
    <hyperlink r:id="rId414" ref="H329"/>
    <hyperlink r:id="rId415" ref="I329"/>
    <hyperlink r:id="rId416" ref="J330"/>
    <hyperlink r:id="rId417" ref="J331"/>
    <hyperlink r:id="rId418" ref="J332"/>
    <hyperlink r:id="rId419" ref="H333"/>
    <hyperlink r:id="rId420" ref="H334"/>
    <hyperlink r:id="rId421" ref="I334"/>
    <hyperlink r:id="rId422" ref="H335"/>
    <hyperlink r:id="rId423" ref="J336"/>
    <hyperlink r:id="rId424" ref="H337"/>
    <hyperlink r:id="rId425" ref="I337"/>
    <hyperlink r:id="rId426" ref="J337"/>
    <hyperlink r:id="rId427" ref="H338"/>
    <hyperlink r:id="rId428" ref="J339"/>
    <hyperlink r:id="rId429" ref="I340"/>
    <hyperlink r:id="rId430" ref="J340"/>
    <hyperlink r:id="rId431" ref="J341"/>
    <hyperlink r:id="rId432" ref="J342"/>
    <hyperlink r:id="rId433" ref="H343"/>
    <hyperlink r:id="rId434" ref="H344"/>
    <hyperlink r:id="rId435" ref="J344"/>
    <hyperlink r:id="rId436" ref="J345"/>
    <hyperlink r:id="rId437" ref="H346"/>
    <hyperlink r:id="rId438" ref="H347"/>
    <hyperlink r:id="rId439" ref="I347"/>
    <hyperlink r:id="rId440" ref="J347"/>
    <hyperlink r:id="rId441" ref="J348"/>
    <hyperlink r:id="rId442" ref="H349"/>
    <hyperlink r:id="rId443" ref="H350"/>
    <hyperlink r:id="rId444" ref="H351"/>
    <hyperlink r:id="rId445" ref="J352"/>
    <hyperlink r:id="rId446" ref="H353"/>
    <hyperlink r:id="rId447" ref="J354"/>
    <hyperlink r:id="rId448" ref="H355"/>
    <hyperlink r:id="rId449" ref="H356"/>
    <hyperlink r:id="rId450" ref="H357"/>
    <hyperlink r:id="rId451" ref="H358"/>
    <hyperlink r:id="rId452" ref="J358"/>
    <hyperlink r:id="rId453" ref="H359"/>
    <hyperlink r:id="rId454" ref="I359"/>
    <hyperlink r:id="rId455" ref="J360"/>
    <hyperlink r:id="rId456" ref="H361"/>
    <hyperlink r:id="rId457" ref="H362"/>
    <hyperlink r:id="rId458" ref="J362"/>
    <hyperlink r:id="rId459" ref="H363"/>
    <hyperlink r:id="rId460" ref="H364"/>
    <hyperlink r:id="rId461" ref="H365"/>
    <hyperlink r:id="rId462" ref="H366"/>
    <hyperlink r:id="rId463" ref="J367"/>
    <hyperlink r:id="rId464" ref="H368"/>
    <hyperlink r:id="rId465" ref="H369"/>
    <hyperlink r:id="rId466" ref="J370"/>
    <hyperlink r:id="rId467" ref="H371"/>
    <hyperlink r:id="rId468" ref="I371"/>
    <hyperlink r:id="rId469" ref="H372"/>
    <hyperlink r:id="rId470" ref="I372"/>
    <hyperlink r:id="rId471" ref="H373"/>
    <hyperlink r:id="rId472" ref="H374"/>
    <hyperlink r:id="rId473" ref="H375"/>
    <hyperlink r:id="rId474" ref="J375"/>
    <hyperlink r:id="rId475" ref="H376"/>
    <hyperlink r:id="rId476" ref="H377"/>
    <hyperlink r:id="rId477" ref="J377"/>
    <hyperlink r:id="rId478" ref="J378"/>
    <hyperlink r:id="rId479" ref="J379"/>
    <hyperlink r:id="rId480" ref="H380"/>
    <hyperlink r:id="rId481" ref="J380"/>
    <hyperlink r:id="rId482" ref="H381"/>
    <hyperlink r:id="rId483" ref="I381"/>
    <hyperlink r:id="rId484" ref="H382"/>
    <hyperlink r:id="rId485" ref="I382"/>
    <hyperlink r:id="rId486" ref="H383"/>
    <hyperlink r:id="rId487" ref="J384"/>
    <hyperlink r:id="rId488" ref="H385"/>
    <hyperlink r:id="rId489" ref="H386"/>
    <hyperlink r:id="rId490" ref="I386"/>
    <hyperlink r:id="rId491" ref="J386"/>
    <hyperlink r:id="rId492" ref="H387"/>
    <hyperlink r:id="rId493" ref="I387"/>
    <hyperlink r:id="rId494" ref="J387"/>
    <hyperlink r:id="rId495" ref="I388"/>
    <hyperlink r:id="rId496" ref="J388"/>
    <hyperlink r:id="rId497" ref="H389"/>
    <hyperlink r:id="rId498" ref="H390"/>
    <hyperlink r:id="rId499" ref="J390"/>
    <hyperlink r:id="rId500" ref="H391"/>
    <hyperlink r:id="rId501" ref="H392"/>
    <hyperlink r:id="rId502" ref="H393"/>
    <hyperlink r:id="rId503" ref="H394"/>
    <hyperlink r:id="rId504" ref="H395"/>
    <hyperlink r:id="rId505" ref="H396"/>
    <hyperlink r:id="rId506" ref="H397"/>
    <hyperlink r:id="rId507" ref="H398"/>
    <hyperlink r:id="rId508" ref="I398"/>
    <hyperlink r:id="rId509" ref="H399"/>
    <hyperlink r:id="rId510" ref="J399"/>
    <hyperlink r:id="rId511" ref="H400"/>
    <hyperlink r:id="rId512" ref="H401"/>
    <hyperlink r:id="rId513" ref="I402"/>
    <hyperlink r:id="rId514" ref="H403"/>
    <hyperlink r:id="rId515" ref="H404"/>
    <hyperlink r:id="rId516" ref="H405"/>
    <hyperlink r:id="rId517" ref="J405"/>
    <hyperlink r:id="rId518" ref="J406"/>
    <hyperlink r:id="rId519" ref="H407"/>
    <hyperlink r:id="rId520" ref="H408"/>
    <hyperlink r:id="rId521" ref="I408"/>
    <hyperlink r:id="rId522" ref="I409"/>
    <hyperlink r:id="rId523" ref="J410"/>
    <hyperlink r:id="rId524" ref="H411"/>
    <hyperlink r:id="rId525" ref="H412"/>
    <hyperlink r:id="rId526" ref="I412"/>
    <hyperlink r:id="rId527" ref="J413"/>
    <hyperlink r:id="rId528" ref="J414"/>
    <hyperlink r:id="rId529" ref="H415"/>
    <hyperlink r:id="rId530" ref="J416"/>
    <hyperlink r:id="rId531" ref="H417"/>
    <hyperlink r:id="rId532" ref="I417"/>
    <hyperlink r:id="rId533" ref="J418"/>
    <hyperlink r:id="rId534" ref="H419"/>
    <hyperlink r:id="rId535" ref="H420"/>
    <hyperlink r:id="rId536" ref="H421"/>
    <hyperlink r:id="rId537" ref="H422"/>
    <hyperlink r:id="rId538" ref="H423"/>
    <hyperlink r:id="rId539" ref="I423"/>
    <hyperlink r:id="rId540" ref="J423"/>
    <hyperlink r:id="rId541" ref="H424"/>
    <hyperlink r:id="rId542" ref="I424"/>
    <hyperlink r:id="rId543" ref="J425"/>
    <hyperlink r:id="rId544" ref="H426"/>
    <hyperlink r:id="rId545" ref="I427"/>
    <hyperlink r:id="rId546" ref="I428"/>
    <hyperlink r:id="rId547" ref="H429"/>
    <hyperlink r:id="rId548" ref="J430"/>
    <hyperlink r:id="rId549" ref="H431"/>
    <hyperlink r:id="rId550" ref="H432"/>
    <hyperlink r:id="rId551" ref="H433"/>
    <hyperlink r:id="rId552" ref="H434"/>
    <hyperlink r:id="rId553" ref="H435"/>
    <hyperlink r:id="rId554" ref="H436"/>
    <hyperlink r:id="rId555" ref="H437"/>
    <hyperlink r:id="rId556" ref="I438"/>
    <hyperlink r:id="rId557" ref="H439"/>
    <hyperlink r:id="rId558" ref="H440"/>
    <hyperlink r:id="rId559" ref="I440"/>
    <hyperlink r:id="rId560" ref="J440"/>
    <hyperlink r:id="rId561" ref="H441"/>
    <hyperlink r:id="rId562" ref="H442"/>
    <hyperlink r:id="rId563" ref="H443"/>
    <hyperlink r:id="rId564" ref="H444"/>
    <hyperlink r:id="rId565" ref="H445"/>
    <hyperlink r:id="rId566" ref="H446"/>
    <hyperlink r:id="rId567" ref="H447"/>
    <hyperlink r:id="rId568" ref="H448"/>
    <hyperlink r:id="rId569" ref="H449"/>
    <hyperlink r:id="rId570" ref="H450"/>
    <hyperlink r:id="rId571" ref="I450"/>
    <hyperlink r:id="rId572" ref="J451"/>
    <hyperlink r:id="rId573" ref="J452"/>
    <hyperlink r:id="rId574" ref="H453"/>
    <hyperlink r:id="rId575" ref="J454"/>
    <hyperlink r:id="rId576" ref="H455"/>
    <hyperlink r:id="rId577" ref="J455"/>
    <hyperlink r:id="rId578" ref="H456"/>
    <hyperlink r:id="rId579" ref="J456"/>
    <hyperlink r:id="rId580" ref="J457"/>
    <hyperlink r:id="rId581" ref="H458"/>
    <hyperlink r:id="rId582" ref="H459"/>
    <hyperlink r:id="rId583" ref="H460"/>
    <hyperlink r:id="rId584" ref="H461"/>
    <hyperlink r:id="rId585" ref="H462"/>
    <hyperlink r:id="rId586" ref="H463"/>
    <hyperlink r:id="rId587" ref="J464"/>
    <hyperlink r:id="rId588" ref="H465"/>
    <hyperlink r:id="rId589" ref="J465"/>
    <hyperlink r:id="rId590" ref="J466"/>
    <hyperlink r:id="rId591" ref="H467"/>
    <hyperlink r:id="rId592" ref="H468"/>
    <hyperlink r:id="rId593" ref="H469"/>
    <hyperlink r:id="rId594" ref="H470"/>
    <hyperlink r:id="rId595" ref="J470"/>
    <hyperlink r:id="rId596" ref="H471"/>
    <hyperlink r:id="rId597" ref="H472"/>
    <hyperlink r:id="rId598" ref="J473"/>
    <hyperlink r:id="rId599" ref="H474"/>
    <hyperlink r:id="rId600" ref="I474"/>
    <hyperlink r:id="rId601" ref="H475"/>
    <hyperlink r:id="rId602" ref="H476"/>
    <hyperlink r:id="rId603" ref="H477"/>
    <hyperlink r:id="rId604" ref="I477"/>
    <hyperlink r:id="rId605" ref="J478"/>
    <hyperlink r:id="rId606" ref="H479"/>
    <hyperlink r:id="rId607" ref="H480"/>
    <hyperlink r:id="rId608" ref="H481"/>
    <hyperlink r:id="rId609" ref="H482"/>
    <hyperlink r:id="rId610" ref="H483"/>
    <hyperlink r:id="rId611" ref="H484"/>
    <hyperlink r:id="rId612" ref="H485"/>
    <hyperlink r:id="rId613" ref="J485"/>
    <hyperlink r:id="rId614" ref="I486"/>
    <hyperlink r:id="rId615" ref="J487"/>
    <hyperlink r:id="rId616" ref="H488"/>
    <hyperlink r:id="rId617" ref="I488"/>
    <hyperlink r:id="rId618" ref="H489"/>
    <hyperlink r:id="rId619" ref="H490"/>
    <hyperlink r:id="rId620" ref="J490"/>
    <hyperlink r:id="rId621" ref="H491"/>
    <hyperlink r:id="rId622" ref="J491"/>
    <hyperlink r:id="rId623" ref="H492"/>
    <hyperlink r:id="rId624" ref="J493"/>
    <hyperlink r:id="rId625" ref="H494"/>
    <hyperlink r:id="rId626" ref="H495"/>
    <hyperlink r:id="rId627" ref="H496"/>
    <hyperlink r:id="rId628" ref="I496"/>
    <hyperlink r:id="rId629" ref="J497"/>
    <hyperlink r:id="rId630" ref="H498"/>
    <hyperlink r:id="rId631" ref="H499"/>
    <hyperlink r:id="rId632" ref="J499"/>
    <hyperlink r:id="rId633" ref="J500"/>
    <hyperlink r:id="rId634" ref="H501"/>
    <hyperlink r:id="rId635" ref="I501"/>
    <hyperlink r:id="rId636" ref="H502"/>
    <hyperlink r:id="rId637" ref="J503"/>
    <hyperlink r:id="rId638" ref="J504"/>
    <hyperlink r:id="rId639" ref="H505"/>
    <hyperlink r:id="rId640" ref="H506"/>
    <hyperlink r:id="rId641" ref="H507"/>
    <hyperlink r:id="rId642" ref="H508"/>
    <hyperlink r:id="rId643" ref="H509"/>
    <hyperlink r:id="rId644" ref="H510"/>
    <hyperlink r:id="rId645" ref="H511"/>
    <hyperlink r:id="rId646" ref="I511"/>
    <hyperlink r:id="rId647" ref="J511"/>
    <hyperlink r:id="rId648" ref="H512"/>
    <hyperlink r:id="rId649" ref="I512"/>
    <hyperlink r:id="rId650" ref="J512"/>
    <hyperlink r:id="rId651" ref="J513"/>
    <hyperlink r:id="rId652" ref="J514"/>
    <hyperlink r:id="rId653" ref="H515"/>
    <hyperlink r:id="rId654" ref="H516"/>
    <hyperlink r:id="rId655" ref="J516"/>
    <hyperlink r:id="rId656" ref="H517"/>
    <hyperlink r:id="rId657" ref="J518"/>
    <hyperlink r:id="rId658" ref="H519"/>
    <hyperlink r:id="rId659" ref="J520"/>
    <hyperlink r:id="rId660" ref="J521"/>
    <hyperlink r:id="rId661" ref="H522"/>
    <hyperlink r:id="rId662" ref="I522"/>
    <hyperlink r:id="rId663" ref="I523"/>
    <hyperlink r:id="rId664" ref="H524"/>
    <hyperlink r:id="rId665" ref="J525"/>
    <hyperlink r:id="rId666" ref="H526"/>
    <hyperlink r:id="rId667" ref="H527"/>
    <hyperlink r:id="rId668" ref="J528"/>
    <hyperlink r:id="rId669" ref="J529"/>
    <hyperlink r:id="rId670" ref="J530"/>
    <hyperlink r:id="rId671" ref="H531"/>
    <hyperlink r:id="rId672" ref="H532"/>
    <hyperlink r:id="rId673" ref="H533"/>
    <hyperlink r:id="rId674" ref="H534"/>
    <hyperlink r:id="rId675" ref="H535"/>
    <hyperlink r:id="rId676" ref="J535"/>
    <hyperlink r:id="rId677" ref="J536"/>
    <hyperlink r:id="rId678" ref="H537"/>
    <hyperlink r:id="rId679" ref="J537"/>
    <hyperlink r:id="rId680" ref="H538"/>
    <hyperlink r:id="rId681" ref="J538"/>
    <hyperlink r:id="rId682" ref="H539"/>
    <hyperlink r:id="rId683" ref="I539"/>
    <hyperlink r:id="rId684" ref="J539"/>
    <hyperlink r:id="rId685" ref="H540"/>
    <hyperlink r:id="rId686" ref="I540"/>
    <hyperlink r:id="rId687" ref="J540"/>
    <hyperlink r:id="rId688" ref="H541"/>
    <hyperlink r:id="rId689" ref="H542"/>
    <hyperlink r:id="rId690" ref="J542"/>
    <hyperlink r:id="rId691" ref="J543"/>
    <hyperlink r:id="rId692" ref="J544"/>
    <hyperlink r:id="rId693" ref="H545"/>
    <hyperlink r:id="rId694" ref="J546"/>
    <hyperlink r:id="rId695" ref="H547"/>
    <hyperlink r:id="rId696" ref="J548"/>
    <hyperlink r:id="rId697" ref="I549"/>
    <hyperlink r:id="rId698" ref="J549"/>
    <hyperlink r:id="rId699" ref="H550"/>
    <hyperlink r:id="rId700" ref="I551"/>
    <hyperlink r:id="rId701" ref="J551"/>
    <hyperlink r:id="rId702" ref="H552"/>
    <hyperlink r:id="rId703" ref="J553"/>
    <hyperlink r:id="rId704" ref="H554"/>
    <hyperlink r:id="rId705" ref="H555"/>
    <hyperlink r:id="rId706" ref="J556"/>
    <hyperlink r:id="rId707" ref="H557"/>
    <hyperlink r:id="rId708" ref="J558"/>
    <hyperlink r:id="rId709" ref="J559"/>
    <hyperlink r:id="rId710" ref="J560"/>
    <hyperlink r:id="rId711" ref="H561"/>
    <hyperlink r:id="rId712" ref="J561"/>
    <hyperlink r:id="rId713" ref="H562"/>
    <hyperlink r:id="rId714" ref="J562"/>
    <hyperlink r:id="rId715" ref="J563"/>
    <hyperlink r:id="rId716" ref="H564"/>
    <hyperlink r:id="rId717" ref="I564"/>
    <hyperlink r:id="rId718" ref="J564"/>
    <hyperlink r:id="rId719" ref="H565"/>
    <hyperlink r:id="rId720" ref="H566"/>
    <hyperlink r:id="rId721" ref="H567"/>
    <hyperlink r:id="rId722" ref="J568"/>
    <hyperlink r:id="rId723" ref="H569"/>
    <hyperlink r:id="rId724" ref="J570"/>
    <hyperlink r:id="rId725" ref="H571"/>
    <hyperlink r:id="rId726" ref="H572"/>
    <hyperlink r:id="rId727" ref="H573"/>
    <hyperlink r:id="rId728" ref="H574"/>
    <hyperlink r:id="rId729" ref="I574"/>
    <hyperlink r:id="rId730" ref="H575"/>
    <hyperlink r:id="rId731" ref="H576"/>
    <hyperlink r:id="rId732" ref="J576"/>
    <hyperlink r:id="rId733" ref="H577"/>
    <hyperlink r:id="rId734" ref="I577"/>
    <hyperlink r:id="rId735" ref="J578"/>
    <hyperlink r:id="rId736" ref="J579"/>
    <hyperlink r:id="rId737" ref="H580"/>
    <hyperlink r:id="rId738" ref="H581"/>
    <hyperlink r:id="rId739" ref="H582"/>
    <hyperlink r:id="rId740" ref="H583"/>
    <hyperlink r:id="rId741" ref="H584"/>
    <hyperlink r:id="rId742" ref="J584"/>
    <hyperlink r:id="rId743" ref="H585"/>
    <hyperlink r:id="rId744" ref="J586"/>
    <hyperlink r:id="rId745" ref="H587"/>
    <hyperlink r:id="rId746" ref="H588"/>
    <hyperlink r:id="rId747" ref="J588"/>
    <hyperlink r:id="rId748" ref="H589"/>
    <hyperlink r:id="rId749" ref="J589"/>
    <hyperlink r:id="rId750" ref="I590"/>
    <hyperlink r:id="rId751" ref="J591"/>
    <hyperlink r:id="rId752" ref="J592"/>
    <hyperlink r:id="rId753" ref="H593"/>
    <hyperlink r:id="rId754" ref="H594"/>
    <hyperlink r:id="rId755" ref="H595"/>
    <hyperlink r:id="rId756" ref="J596"/>
    <hyperlink r:id="rId757" ref="H597"/>
    <hyperlink r:id="rId758" ref="H598"/>
    <hyperlink r:id="rId759" ref="H599"/>
    <hyperlink r:id="rId760" ref="H600"/>
    <hyperlink r:id="rId761" ref="H601"/>
    <hyperlink r:id="rId762" ref="H602"/>
    <hyperlink r:id="rId763" ref="H603"/>
    <hyperlink r:id="rId764" ref="J603"/>
    <hyperlink r:id="rId765" ref="J604"/>
    <hyperlink r:id="rId766" ref="H605"/>
    <hyperlink r:id="rId767" ref="I605"/>
    <hyperlink r:id="rId768" ref="H606"/>
    <hyperlink r:id="rId769" ref="H607"/>
    <hyperlink r:id="rId770" ref="H608"/>
    <hyperlink r:id="rId771" ref="H609"/>
    <hyperlink r:id="rId772" ref="H610"/>
    <hyperlink r:id="rId773" ref="J611"/>
    <hyperlink r:id="rId774" ref="J612"/>
    <hyperlink r:id="rId775" ref="H613"/>
    <hyperlink r:id="rId776" ref="I613"/>
    <hyperlink r:id="rId777" ref="H614"/>
    <hyperlink r:id="rId778" ref="H615"/>
    <hyperlink r:id="rId779" ref="H616"/>
    <hyperlink r:id="rId780" ref="H617"/>
    <hyperlink r:id="rId781" ref="J617"/>
    <hyperlink r:id="rId782" ref="H618"/>
    <hyperlink r:id="rId783" ref="H619"/>
    <hyperlink r:id="rId784" ref="H620"/>
    <hyperlink r:id="rId785" ref="J620"/>
    <hyperlink r:id="rId786" ref="H621"/>
    <hyperlink r:id="rId787" ref="H622"/>
    <hyperlink r:id="rId788" ref="H623"/>
    <hyperlink r:id="rId789" ref="I623"/>
    <hyperlink r:id="rId790" ref="H624"/>
    <hyperlink r:id="rId791" ref="I624"/>
    <hyperlink r:id="rId792" ref="H625"/>
    <hyperlink r:id="rId793" ref="I625"/>
    <hyperlink r:id="rId794" ref="H626"/>
    <hyperlink r:id="rId795" ref="J626"/>
    <hyperlink r:id="rId796" ref="H627"/>
    <hyperlink r:id="rId797" ref="I627"/>
    <hyperlink r:id="rId798" ref="H628"/>
    <hyperlink r:id="rId799" ref="I628"/>
    <hyperlink r:id="rId800" ref="J629"/>
    <hyperlink r:id="rId801" ref="J630"/>
    <hyperlink r:id="rId802" ref="H631"/>
    <hyperlink r:id="rId803" ref="I631"/>
    <hyperlink r:id="rId804" ref="J632"/>
    <hyperlink r:id="rId805" ref="J633"/>
    <hyperlink r:id="rId806" ref="J634"/>
    <hyperlink r:id="rId807" ref="J635"/>
    <hyperlink r:id="rId808" ref="H636"/>
    <hyperlink r:id="rId809" ref="I636"/>
    <hyperlink r:id="rId810" ref="J636"/>
    <hyperlink r:id="rId811" ref="H637"/>
    <hyperlink r:id="rId812" ref="H638"/>
    <hyperlink r:id="rId813" ref="J639"/>
    <hyperlink r:id="rId814" ref="H640"/>
    <hyperlink r:id="rId815" ref="J640"/>
    <hyperlink r:id="rId816" ref="H641"/>
    <hyperlink r:id="rId817" ref="H642"/>
    <hyperlink r:id="rId818" ref="J643"/>
    <hyperlink r:id="rId819" ref="H644"/>
    <hyperlink r:id="rId820" ref="H645"/>
    <hyperlink r:id="rId821" ref="H646"/>
    <hyperlink r:id="rId822" ref="I646"/>
    <hyperlink r:id="rId823" ref="H647"/>
    <hyperlink r:id="rId824" ref="H648"/>
    <hyperlink r:id="rId825" ref="J648"/>
    <hyperlink r:id="rId826" ref="J649"/>
    <hyperlink r:id="rId827" ref="H650"/>
    <hyperlink r:id="rId828" ref="J651"/>
    <hyperlink r:id="rId829" ref="H652"/>
    <hyperlink r:id="rId830" ref="H653"/>
    <hyperlink r:id="rId831" ref="H654"/>
    <hyperlink r:id="rId832" ref="J655"/>
    <hyperlink r:id="rId833" ref="J656"/>
    <hyperlink r:id="rId834" ref="J657"/>
    <hyperlink r:id="rId835" ref="H658"/>
    <hyperlink r:id="rId836" ref="H659"/>
    <hyperlink r:id="rId837" ref="I659"/>
    <hyperlink r:id="rId838" ref="J659"/>
    <hyperlink r:id="rId839" ref="J660"/>
    <hyperlink r:id="rId840" ref="H661"/>
    <hyperlink r:id="rId841" ref="H662"/>
    <hyperlink r:id="rId842" ref="J663"/>
    <hyperlink r:id="rId843" ref="H664"/>
    <hyperlink r:id="rId844" ref="H665"/>
    <hyperlink r:id="rId845" ref="H666"/>
    <hyperlink r:id="rId846" ref="J667"/>
    <hyperlink r:id="rId847" ref="H668"/>
    <hyperlink r:id="rId848" ref="J669"/>
    <hyperlink r:id="rId849" ref="J670"/>
    <hyperlink r:id="rId850" ref="J671"/>
    <hyperlink r:id="rId851" ref="J672"/>
    <hyperlink r:id="rId852" ref="H673"/>
    <hyperlink r:id="rId853" ref="J673"/>
    <hyperlink r:id="rId854" ref="H674"/>
    <hyperlink r:id="rId855" ref="I674"/>
    <hyperlink r:id="rId856" ref="J674"/>
    <hyperlink r:id="rId857" ref="H675"/>
    <hyperlink r:id="rId858" ref="I675"/>
    <hyperlink r:id="rId859" ref="J675"/>
    <hyperlink r:id="rId860" ref="H676"/>
    <hyperlink r:id="rId861" ref="H677"/>
    <hyperlink r:id="rId862" ref="H678"/>
    <hyperlink r:id="rId863" ref="I678"/>
    <hyperlink r:id="rId864" ref="J678"/>
    <hyperlink r:id="rId865" ref="J679"/>
    <hyperlink r:id="rId866" ref="H680"/>
    <hyperlink r:id="rId867" ref="J680"/>
    <hyperlink r:id="rId868" ref="H681"/>
    <hyperlink r:id="rId869" ref="H682"/>
    <hyperlink r:id="rId870" ref="H683"/>
    <hyperlink r:id="rId871" ref="H684"/>
    <hyperlink r:id="rId872" ref="I684"/>
    <hyperlink r:id="rId873" ref="H685"/>
    <hyperlink r:id="rId874" ref="I685"/>
    <hyperlink r:id="rId875" ref="J686"/>
    <hyperlink r:id="rId876" ref="H687"/>
    <hyperlink r:id="rId877" ref="I688"/>
    <hyperlink r:id="rId878" ref="H689"/>
    <hyperlink r:id="rId879" ref="H690"/>
    <hyperlink r:id="rId880" ref="H691"/>
    <hyperlink r:id="rId881" ref="H692"/>
    <hyperlink r:id="rId882" ref="J693"/>
    <hyperlink r:id="rId883" ref="J694"/>
    <hyperlink r:id="rId884" ref="J695"/>
    <hyperlink r:id="rId885" ref="H696"/>
    <hyperlink r:id="rId886" ref="I696"/>
    <hyperlink r:id="rId887" ref="J697"/>
    <hyperlink r:id="rId888" ref="H698"/>
    <hyperlink r:id="rId889" ref="H699"/>
    <hyperlink r:id="rId890" ref="H700"/>
    <hyperlink r:id="rId891" ref="H701"/>
    <hyperlink r:id="rId892" ref="J701"/>
    <hyperlink r:id="rId893" ref="J702"/>
    <hyperlink r:id="rId894" ref="H703"/>
    <hyperlink r:id="rId895" ref="H704"/>
    <hyperlink r:id="rId896" ref="H705"/>
    <hyperlink r:id="rId897" ref="J705"/>
    <hyperlink r:id="rId898" ref="H706"/>
    <hyperlink r:id="rId899" ref="H707"/>
    <hyperlink r:id="rId900" ref="I707"/>
    <hyperlink r:id="rId901" ref="J708"/>
    <hyperlink r:id="rId902" ref="H709"/>
    <hyperlink r:id="rId903" ref="I709"/>
    <hyperlink r:id="rId904" ref="H710"/>
    <hyperlink r:id="rId905" ref="J711"/>
    <hyperlink r:id="rId906" ref="H712"/>
    <hyperlink r:id="rId907" ref="I712"/>
    <hyperlink r:id="rId908" ref="J713"/>
    <hyperlink r:id="rId909" ref="H714"/>
    <hyperlink r:id="rId910" ref="J714"/>
    <hyperlink r:id="rId911" ref="H715"/>
    <hyperlink r:id="rId912" ref="I715"/>
    <hyperlink r:id="rId913" ref="J715"/>
    <hyperlink r:id="rId914" ref="H716"/>
    <hyperlink r:id="rId915" ref="J716"/>
    <hyperlink r:id="rId916" ref="H717"/>
    <hyperlink r:id="rId917" ref="I717"/>
    <hyperlink r:id="rId918" ref="J717"/>
    <hyperlink r:id="rId919" ref="H718"/>
    <hyperlink r:id="rId920" ref="I718"/>
    <hyperlink r:id="rId921" ref="H719"/>
    <hyperlink r:id="rId922" ref="H720"/>
    <hyperlink r:id="rId923" ref="I720"/>
    <hyperlink r:id="rId924" ref="J720"/>
    <hyperlink r:id="rId925" ref="H721"/>
    <hyperlink r:id="rId926" ref="I721"/>
    <hyperlink r:id="rId927" ref="J721"/>
    <hyperlink r:id="rId928" ref="H722"/>
    <hyperlink r:id="rId929" ref="J722"/>
    <hyperlink r:id="rId930" ref="I723"/>
    <hyperlink r:id="rId931" ref="J723"/>
    <hyperlink r:id="rId932" ref="H724"/>
    <hyperlink r:id="rId933" ref="I724"/>
    <hyperlink r:id="rId934" ref="J725"/>
    <hyperlink r:id="rId935" ref="H726"/>
    <hyperlink r:id="rId936" ref="J727"/>
    <hyperlink r:id="rId937" ref="J728"/>
    <hyperlink r:id="rId938" ref="H729"/>
    <hyperlink r:id="rId939" ref="H730"/>
    <hyperlink r:id="rId940" ref="H731"/>
    <hyperlink r:id="rId941" ref="J731"/>
    <hyperlink r:id="rId942" ref="H732"/>
    <hyperlink r:id="rId943" ref="J732"/>
    <hyperlink r:id="rId944" ref="H733"/>
    <hyperlink r:id="rId945" ref="H734"/>
    <hyperlink r:id="rId946" ref="I734"/>
    <hyperlink r:id="rId947" ref="J734"/>
    <hyperlink r:id="rId948" ref="H735"/>
    <hyperlink r:id="rId949" ref="I735"/>
    <hyperlink r:id="rId950" ref="J736"/>
    <hyperlink r:id="rId951" ref="H737"/>
    <hyperlink r:id="rId952" ref="H738"/>
    <hyperlink r:id="rId953" ref="J738"/>
    <hyperlink r:id="rId954" ref="H739"/>
    <hyperlink r:id="rId955" ref="I739"/>
    <hyperlink r:id="rId956" ref="H740"/>
    <hyperlink r:id="rId957" ref="H741"/>
    <hyperlink r:id="rId958" ref="I741"/>
    <hyperlink r:id="rId959" ref="H742"/>
    <hyperlink r:id="rId960" ref="H743"/>
    <hyperlink r:id="rId961" ref="H744"/>
    <hyperlink r:id="rId962" ref="J744"/>
    <hyperlink r:id="rId963" ref="H745"/>
    <hyperlink r:id="rId964" ref="J745"/>
    <hyperlink r:id="rId965" ref="H746"/>
    <hyperlink r:id="rId966" ref="I746"/>
    <hyperlink r:id="rId967" ref="H747"/>
    <hyperlink r:id="rId968" ref="J747"/>
    <hyperlink r:id="rId969" ref="H748"/>
    <hyperlink r:id="rId970" ref="J749"/>
    <hyperlink r:id="rId971" ref="H750"/>
    <hyperlink r:id="rId972" ref="J750"/>
    <hyperlink r:id="rId973" ref="H751"/>
    <hyperlink r:id="rId974" ref="J751"/>
    <hyperlink r:id="rId975" ref="H752"/>
    <hyperlink r:id="rId976" ref="J753"/>
    <hyperlink r:id="rId977" ref="H754"/>
    <hyperlink r:id="rId978" ref="J754"/>
    <hyperlink r:id="rId979" ref="J755"/>
    <hyperlink r:id="rId980" ref="H756"/>
    <hyperlink r:id="rId981" ref="J756"/>
    <hyperlink r:id="rId982" ref="J757"/>
    <hyperlink r:id="rId983" ref="H758"/>
    <hyperlink r:id="rId984" ref="I758"/>
    <hyperlink r:id="rId985" ref="J758"/>
    <hyperlink r:id="rId986" ref="J759"/>
    <hyperlink r:id="rId987" ref="H760"/>
    <hyperlink r:id="rId988" ref="I760"/>
    <hyperlink r:id="rId989" ref="J760"/>
    <hyperlink r:id="rId990" ref="H761"/>
    <hyperlink r:id="rId991" ref="J761"/>
    <hyperlink r:id="rId992" ref="H762"/>
    <hyperlink r:id="rId993" ref="I762"/>
    <hyperlink r:id="rId994" ref="H763"/>
    <hyperlink r:id="rId995" ref="J763"/>
    <hyperlink r:id="rId996" ref="H764"/>
    <hyperlink r:id="rId997" ref="J764"/>
    <hyperlink r:id="rId998" ref="H765"/>
    <hyperlink r:id="rId999" ref="I765"/>
    <hyperlink r:id="rId1000" ref="J765"/>
    <hyperlink r:id="rId1001" ref="H766"/>
    <hyperlink r:id="rId1002" ref="I766"/>
    <hyperlink r:id="rId1003" ref="J766"/>
    <hyperlink r:id="rId1004" ref="H767"/>
    <hyperlink r:id="rId1005" ref="I767"/>
    <hyperlink r:id="rId1006" ref="J767"/>
    <hyperlink r:id="rId1007" ref="H768"/>
    <hyperlink r:id="rId1008" ref="J768"/>
    <hyperlink r:id="rId1009" ref="H769"/>
    <hyperlink r:id="rId1010" ref="I769"/>
    <hyperlink r:id="rId1011" ref="H770"/>
    <hyperlink r:id="rId1012" ref="I770"/>
    <hyperlink r:id="rId1013" ref="H771"/>
    <hyperlink r:id="rId1014" ref="I771"/>
    <hyperlink r:id="rId1015" ref="H772"/>
    <hyperlink r:id="rId1016" ref="I772"/>
    <hyperlink r:id="rId1017" ref="H773"/>
    <hyperlink r:id="rId1018" ref="I773"/>
    <hyperlink r:id="rId1019" ref="J773"/>
    <hyperlink r:id="rId1020" ref="H774"/>
    <hyperlink r:id="rId1021" ref="J775"/>
    <hyperlink r:id="rId1022" ref="H776"/>
    <hyperlink r:id="rId1023" ref="J776"/>
    <hyperlink r:id="rId1024" ref="J777"/>
    <hyperlink r:id="rId1025" ref="H778"/>
    <hyperlink r:id="rId1026" ref="J778"/>
    <hyperlink r:id="rId1027" ref="H779"/>
    <hyperlink r:id="rId1028" ref="I779"/>
    <hyperlink r:id="rId1029" ref="J779"/>
    <hyperlink r:id="rId1030" ref="H780"/>
    <hyperlink r:id="rId1031" ref="J780"/>
    <hyperlink r:id="rId1032" ref="H781"/>
    <hyperlink r:id="rId1033" ref="J781"/>
    <hyperlink r:id="rId1034" ref="H782"/>
    <hyperlink r:id="rId1035" ref="J783"/>
    <hyperlink r:id="rId1036" ref="H784"/>
    <hyperlink r:id="rId1037" ref="J784"/>
    <hyperlink r:id="rId1038" ref="H785"/>
    <hyperlink r:id="rId1039" ref="H786"/>
    <hyperlink r:id="rId1040" ref="H787"/>
    <hyperlink r:id="rId1041" ref="I787"/>
    <hyperlink r:id="rId1042" ref="J787"/>
    <hyperlink r:id="rId1043" ref="H788"/>
    <hyperlink r:id="rId1044" ref="I788"/>
    <hyperlink r:id="rId1045" ref="H789"/>
    <hyperlink r:id="rId1046" ref="I789"/>
    <hyperlink r:id="rId1047" ref="H790"/>
    <hyperlink r:id="rId1048" ref="H791"/>
    <hyperlink r:id="rId1049" ref="H792"/>
    <hyperlink r:id="rId1050" ref="H793"/>
    <hyperlink r:id="rId1051" ref="H794"/>
    <hyperlink r:id="rId1052" ref="I794"/>
    <hyperlink r:id="rId1053" ref="H795"/>
    <hyperlink r:id="rId1054" ref="J795"/>
    <hyperlink r:id="rId1055" ref="H796"/>
    <hyperlink r:id="rId1056" ref="I796"/>
    <hyperlink r:id="rId1057" ref="J796"/>
    <hyperlink r:id="rId1058" ref="H797"/>
    <hyperlink r:id="rId1059" ref="H798"/>
    <hyperlink r:id="rId1060" ref="J798"/>
    <hyperlink r:id="rId1061" ref="H799"/>
    <hyperlink r:id="rId1062" ref="I799"/>
    <hyperlink r:id="rId1063" ref="H800"/>
    <hyperlink r:id="rId1064" ref="J800"/>
    <hyperlink r:id="rId1065" ref="H801"/>
    <hyperlink r:id="rId1066" ref="I801"/>
    <hyperlink r:id="rId1067" ref="H802"/>
    <hyperlink r:id="rId1068" ref="H803"/>
    <hyperlink r:id="rId1069" ref="H804"/>
    <hyperlink r:id="rId1070" ref="I804"/>
    <hyperlink r:id="rId1071" ref="J804"/>
    <hyperlink r:id="rId1072" ref="H805"/>
    <hyperlink r:id="rId1073" ref="I805"/>
    <hyperlink r:id="rId1074" ref="H806"/>
    <hyperlink r:id="rId1075" ref="I806"/>
    <hyperlink r:id="rId1076" ref="H807"/>
    <hyperlink r:id="rId1077" ref="I807"/>
    <hyperlink r:id="rId1078" ref="J807"/>
    <hyperlink r:id="rId1079" ref="H808"/>
    <hyperlink r:id="rId1080" ref="I808"/>
    <hyperlink r:id="rId1081" ref="H809"/>
    <hyperlink r:id="rId1082" ref="H810"/>
    <hyperlink r:id="rId1083" ref="I810"/>
    <hyperlink r:id="rId1084" ref="J810"/>
    <hyperlink r:id="rId1085" ref="H811"/>
    <hyperlink r:id="rId1086" ref="H812"/>
    <hyperlink r:id="rId1087" ref="I812"/>
    <hyperlink r:id="rId1088" ref="H813"/>
    <hyperlink r:id="rId1089" ref="I813"/>
    <hyperlink r:id="rId1090" ref="H814"/>
    <hyperlink r:id="rId1091" ref="I814"/>
    <hyperlink r:id="rId1092" ref="H815"/>
    <hyperlink r:id="rId1093" ref="I815"/>
    <hyperlink r:id="rId1094" ref="J815"/>
    <hyperlink r:id="rId1095" ref="J816"/>
    <hyperlink r:id="rId1096" ref="J817"/>
    <hyperlink r:id="rId1097" ref="J818"/>
    <hyperlink r:id="rId1098" ref="J819"/>
    <hyperlink r:id="rId1099" ref="J820"/>
    <hyperlink r:id="rId1100" ref="J821"/>
    <hyperlink r:id="rId1101" ref="J822"/>
    <hyperlink r:id="rId1102" ref="H823"/>
    <hyperlink r:id="rId1103" ref="J823"/>
    <hyperlink r:id="rId1104" ref="J824"/>
    <hyperlink r:id="rId1105" ref="J825"/>
    <hyperlink r:id="rId1106" ref="J826"/>
    <hyperlink r:id="rId1107" ref="J827"/>
    <hyperlink r:id="rId1108" ref="J828"/>
    <hyperlink r:id="rId1109" ref="J829"/>
    <hyperlink r:id="rId1110" ref="J830"/>
    <hyperlink r:id="rId1111" ref="J831"/>
    <hyperlink r:id="rId1112" ref="J832"/>
    <hyperlink r:id="rId1113" ref="J833"/>
    <hyperlink r:id="rId1114" ref="J834"/>
    <hyperlink r:id="rId1115" ref="J835"/>
    <hyperlink r:id="rId1116" ref="J836"/>
    <hyperlink r:id="rId1117" ref="J837"/>
    <hyperlink r:id="rId1118" ref="J838"/>
    <hyperlink r:id="rId1119" ref="J839"/>
    <hyperlink r:id="rId1120" ref="J840"/>
    <hyperlink r:id="rId1121" ref="J841"/>
    <hyperlink r:id="rId1122" ref="J842"/>
    <hyperlink r:id="rId1123" ref="J843"/>
    <hyperlink r:id="rId1124" ref="J844"/>
    <hyperlink r:id="rId1125" ref="J845"/>
    <hyperlink r:id="rId1126" ref="J846"/>
    <hyperlink r:id="rId1127" ref="J847"/>
    <hyperlink r:id="rId1128" ref="J848"/>
    <hyperlink r:id="rId1129" ref="J849"/>
    <hyperlink r:id="rId1130" ref="J850"/>
    <hyperlink r:id="rId1131" ref="J851"/>
    <hyperlink r:id="rId1132" ref="J852"/>
    <hyperlink r:id="rId1133" ref="J853"/>
    <hyperlink r:id="rId1134" ref="J854"/>
    <hyperlink r:id="rId1135" ref="J855"/>
    <hyperlink r:id="rId1136" ref="J856"/>
    <hyperlink r:id="rId1137" ref="J857"/>
    <hyperlink r:id="rId1138" ref="J858"/>
  </hyperlinks>
  <drawing r:id="rId1139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7.13"/>
    <col customWidth="1" min="3" max="3" width="23.88"/>
    <col customWidth="1" min="4" max="4" width="3.88"/>
    <col customWidth="1" min="5" max="5" width="12.88"/>
    <col customWidth="1" min="6" max="6" width="9.88"/>
    <col customWidth="1" min="7" max="7" width="3.0"/>
    <col customWidth="1" min="8" max="8" width="47.88"/>
    <col customWidth="1" min="9" max="9" width="36.75"/>
    <col customWidth="1" min="10" max="10" width="14.25"/>
    <col customWidth="1" min="11" max="11" width="4.88"/>
    <col customWidth="1" min="12" max="12" width="3.88"/>
    <col customWidth="1" min="13" max="13" width="8.25"/>
    <col customWidth="1" min="14" max="14" width="7.63"/>
  </cols>
  <sheetData>
    <row r="1" ht="17.25" customHeight="1">
      <c r="A1" s="2" t="s">
        <v>19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>
      <c r="A2" s="1">
        <v>13555.0</v>
      </c>
      <c r="B2" s="2" t="s">
        <v>20</v>
      </c>
      <c r="C2" s="2" t="s">
        <v>1088</v>
      </c>
      <c r="D2" s="2" t="s">
        <v>114</v>
      </c>
      <c r="E2" s="2" t="s">
        <v>9423</v>
      </c>
      <c r="F2" s="2"/>
      <c r="G2" s="105"/>
      <c r="H2" s="101" t="s">
        <v>9424</v>
      </c>
      <c r="I2" s="3"/>
      <c r="J2" s="3"/>
      <c r="K2" s="3"/>
      <c r="L2" s="3"/>
      <c r="M2" s="251"/>
      <c r="N2" s="251"/>
      <c r="O2" s="251"/>
      <c r="P2" s="251"/>
      <c r="Q2" s="252"/>
      <c r="R2" s="252"/>
      <c r="S2" s="252"/>
      <c r="T2" s="253"/>
      <c r="U2" s="253"/>
      <c r="V2" s="253"/>
      <c r="W2" s="253"/>
      <c r="X2" s="253"/>
      <c r="Y2" s="253"/>
      <c r="Z2" s="253"/>
      <c r="AA2" s="253"/>
      <c r="AB2" s="253"/>
      <c r="AC2" s="253"/>
    </row>
    <row r="3">
      <c r="A3" s="78"/>
      <c r="B3" s="2" t="s">
        <v>20</v>
      </c>
      <c r="C3" s="2" t="s">
        <v>2969</v>
      </c>
      <c r="D3" s="2" t="s">
        <v>114</v>
      </c>
      <c r="E3" s="2" t="s">
        <v>9423</v>
      </c>
      <c r="F3" s="78"/>
      <c r="G3" s="105"/>
      <c r="H3" s="101" t="s">
        <v>9425</v>
      </c>
      <c r="I3" s="103"/>
      <c r="J3" s="103"/>
      <c r="K3" s="103"/>
      <c r="L3" s="103"/>
      <c r="M3" s="252"/>
      <c r="N3" s="252"/>
      <c r="O3" s="252"/>
      <c r="P3" s="252"/>
      <c r="Q3" s="252"/>
      <c r="R3" s="252"/>
      <c r="S3" s="252"/>
      <c r="T3" s="253"/>
      <c r="U3" s="253"/>
      <c r="V3" s="253"/>
      <c r="W3" s="253"/>
      <c r="X3" s="253"/>
      <c r="Y3" s="253"/>
      <c r="Z3" s="253"/>
      <c r="AA3" s="253"/>
      <c r="AB3" s="253"/>
      <c r="AC3" s="253"/>
    </row>
    <row r="4">
      <c r="A4" s="78"/>
      <c r="B4" s="2" t="s">
        <v>9426</v>
      </c>
      <c r="C4" s="2" t="s">
        <v>55</v>
      </c>
      <c r="D4" s="2" t="s">
        <v>114</v>
      </c>
      <c r="E4" s="2" t="s">
        <v>9423</v>
      </c>
      <c r="F4" s="78"/>
      <c r="G4" s="105"/>
      <c r="H4" s="101" t="s">
        <v>9427</v>
      </c>
      <c r="I4" s="103"/>
      <c r="J4" s="103"/>
      <c r="K4" s="103"/>
      <c r="L4" s="103"/>
      <c r="M4" s="252"/>
      <c r="N4" s="252"/>
      <c r="O4" s="252"/>
      <c r="P4" s="252"/>
      <c r="Q4" s="252"/>
      <c r="R4" s="252"/>
      <c r="S4" s="252"/>
      <c r="T4" s="253"/>
      <c r="U4" s="253"/>
      <c r="V4" s="253"/>
      <c r="W4" s="253"/>
      <c r="X4" s="253"/>
      <c r="Y4" s="253"/>
      <c r="Z4" s="253"/>
      <c r="AA4" s="253"/>
      <c r="AB4" s="253"/>
      <c r="AC4" s="253"/>
    </row>
    <row r="5">
      <c r="A5" s="78"/>
      <c r="B5" s="2" t="s">
        <v>20</v>
      </c>
      <c r="C5" s="2" t="s">
        <v>9428</v>
      </c>
      <c r="D5" s="2" t="s">
        <v>114</v>
      </c>
      <c r="E5" s="2" t="s">
        <v>9423</v>
      </c>
      <c r="F5" s="78"/>
      <c r="G5" s="105">
        <v>2.0</v>
      </c>
      <c r="H5" s="101" t="s">
        <v>9429</v>
      </c>
      <c r="I5" s="103"/>
      <c r="J5" s="103"/>
      <c r="K5" s="103"/>
      <c r="L5" s="103"/>
      <c r="M5" s="252"/>
      <c r="N5" s="252"/>
      <c r="O5" s="252"/>
      <c r="P5" s="252"/>
      <c r="Q5" s="252"/>
      <c r="R5" s="252"/>
      <c r="S5" s="252"/>
      <c r="T5" s="253"/>
      <c r="U5" s="253"/>
      <c r="V5" s="253"/>
      <c r="W5" s="253"/>
      <c r="X5" s="253"/>
      <c r="Y5" s="253"/>
      <c r="Z5" s="253"/>
      <c r="AA5" s="253"/>
      <c r="AB5" s="253"/>
      <c r="AC5" s="253"/>
    </row>
    <row r="6">
      <c r="A6" s="78"/>
      <c r="B6" s="2" t="s">
        <v>20</v>
      </c>
      <c r="C6" s="2" t="s">
        <v>510</v>
      </c>
      <c r="D6" s="2" t="s">
        <v>114</v>
      </c>
      <c r="E6" s="2" t="s">
        <v>126</v>
      </c>
      <c r="F6" s="78"/>
      <c r="G6" s="105"/>
      <c r="H6" s="101" t="s">
        <v>9430</v>
      </c>
      <c r="I6" s="103"/>
      <c r="J6" s="103"/>
      <c r="K6" s="103"/>
      <c r="L6" s="103"/>
      <c r="M6" s="252"/>
      <c r="N6" s="252"/>
      <c r="O6" s="252"/>
      <c r="P6" s="252"/>
      <c r="Q6" s="252"/>
      <c r="R6" s="252"/>
      <c r="S6" s="252"/>
      <c r="T6" s="253"/>
      <c r="U6" s="253"/>
      <c r="V6" s="253"/>
      <c r="W6" s="253"/>
      <c r="X6" s="253"/>
      <c r="Y6" s="253"/>
      <c r="Z6" s="253"/>
      <c r="AA6" s="253"/>
      <c r="AB6" s="253"/>
      <c r="AC6" s="253"/>
    </row>
    <row r="7">
      <c r="A7" s="78"/>
      <c r="B7" s="2" t="s">
        <v>20</v>
      </c>
      <c r="C7" s="2" t="s">
        <v>510</v>
      </c>
      <c r="D7" s="2" t="s">
        <v>114</v>
      </c>
      <c r="E7" s="2" t="s">
        <v>126</v>
      </c>
      <c r="F7" s="78"/>
      <c r="G7" s="105"/>
      <c r="H7" s="101" t="s">
        <v>9431</v>
      </c>
      <c r="I7" s="102" t="s">
        <v>9432</v>
      </c>
      <c r="J7" s="101" t="s">
        <v>9433</v>
      </c>
      <c r="K7" s="103"/>
      <c r="L7" s="103"/>
      <c r="M7" s="252"/>
      <c r="N7" s="252"/>
      <c r="O7" s="252"/>
      <c r="P7" s="252"/>
      <c r="Q7" s="252"/>
      <c r="R7" s="252"/>
      <c r="S7" s="252"/>
      <c r="T7" s="253"/>
      <c r="U7" s="253"/>
      <c r="V7" s="253"/>
      <c r="W7" s="253"/>
      <c r="X7" s="253"/>
      <c r="Y7" s="253"/>
      <c r="Z7" s="253"/>
      <c r="AA7" s="253"/>
      <c r="AB7" s="253"/>
      <c r="AC7" s="253"/>
    </row>
    <row r="8">
      <c r="A8" s="78"/>
      <c r="B8" s="2" t="s">
        <v>20</v>
      </c>
      <c r="C8" s="2" t="s">
        <v>9434</v>
      </c>
      <c r="D8" s="2" t="s">
        <v>114</v>
      </c>
      <c r="E8" s="2" t="s">
        <v>126</v>
      </c>
      <c r="F8" s="78"/>
      <c r="G8" s="105"/>
      <c r="H8" s="101" t="s">
        <v>9435</v>
      </c>
      <c r="I8" s="103"/>
      <c r="J8" s="103"/>
      <c r="K8" s="103"/>
      <c r="L8" s="103"/>
      <c r="M8" s="252"/>
      <c r="N8" s="252"/>
      <c r="O8" s="252"/>
      <c r="P8" s="252"/>
      <c r="Q8" s="252"/>
      <c r="R8" s="252"/>
      <c r="S8" s="252"/>
      <c r="T8" s="253"/>
      <c r="U8" s="253"/>
      <c r="V8" s="253"/>
      <c r="W8" s="253"/>
      <c r="X8" s="253"/>
      <c r="Y8" s="253"/>
      <c r="Z8" s="253"/>
      <c r="AA8" s="253"/>
      <c r="AB8" s="253"/>
      <c r="AC8" s="253"/>
    </row>
    <row r="9">
      <c r="A9" s="78"/>
      <c r="B9" s="2" t="s">
        <v>276</v>
      </c>
      <c r="C9" s="2" t="s">
        <v>9436</v>
      </c>
      <c r="D9" s="2" t="s">
        <v>114</v>
      </c>
      <c r="E9" s="2" t="s">
        <v>126</v>
      </c>
      <c r="F9" s="78"/>
      <c r="G9" s="105"/>
      <c r="H9" s="101" t="s">
        <v>9437</v>
      </c>
      <c r="I9" s="103"/>
      <c r="J9" s="103"/>
      <c r="K9" s="103"/>
      <c r="L9" s="103"/>
      <c r="M9" s="252"/>
      <c r="N9" s="252"/>
      <c r="O9" s="252"/>
      <c r="P9" s="252"/>
      <c r="Q9" s="252"/>
      <c r="R9" s="252"/>
      <c r="S9" s="252"/>
      <c r="T9" s="253"/>
      <c r="U9" s="253"/>
      <c r="V9" s="253"/>
      <c r="W9" s="253"/>
      <c r="X9" s="253"/>
      <c r="Y9" s="253"/>
      <c r="Z9" s="253"/>
      <c r="AA9" s="253"/>
      <c r="AB9" s="253"/>
      <c r="AC9" s="253"/>
    </row>
    <row r="10">
      <c r="A10" s="78"/>
      <c r="B10" s="2" t="s">
        <v>20</v>
      </c>
      <c r="C10" s="2" t="s">
        <v>3030</v>
      </c>
      <c r="D10" s="2" t="s">
        <v>114</v>
      </c>
      <c r="E10" s="2" t="s">
        <v>126</v>
      </c>
      <c r="F10" s="78"/>
      <c r="G10" s="105"/>
      <c r="H10" s="101" t="s">
        <v>9438</v>
      </c>
      <c r="I10" s="101" t="s">
        <v>9439</v>
      </c>
      <c r="J10" s="103"/>
      <c r="K10" s="103"/>
      <c r="L10" s="103"/>
      <c r="M10" s="252"/>
      <c r="N10" s="252"/>
      <c r="O10" s="252"/>
      <c r="P10" s="252"/>
      <c r="Q10" s="252"/>
      <c r="R10" s="252"/>
      <c r="S10" s="252"/>
      <c r="T10" s="253"/>
      <c r="U10" s="253"/>
      <c r="V10" s="253"/>
      <c r="W10" s="253"/>
      <c r="X10" s="253"/>
      <c r="Y10" s="253"/>
      <c r="Z10" s="253"/>
      <c r="AA10" s="253"/>
      <c r="AB10" s="253"/>
      <c r="AC10" s="253"/>
    </row>
    <row r="11">
      <c r="A11" s="78"/>
      <c r="B11" s="2" t="s">
        <v>20</v>
      </c>
      <c r="C11" s="2" t="s">
        <v>3209</v>
      </c>
      <c r="D11" s="2" t="s">
        <v>114</v>
      </c>
      <c r="E11" s="2" t="s">
        <v>126</v>
      </c>
      <c r="F11" s="78"/>
      <c r="G11" s="105"/>
      <c r="H11" s="101" t="s">
        <v>9440</v>
      </c>
      <c r="I11" s="103"/>
      <c r="J11" s="101" t="s">
        <v>9441</v>
      </c>
      <c r="K11" s="103"/>
      <c r="L11" s="103"/>
      <c r="M11" s="252"/>
      <c r="N11" s="252"/>
      <c r="O11" s="252"/>
      <c r="P11" s="252"/>
      <c r="Q11" s="252"/>
      <c r="R11" s="252"/>
      <c r="S11" s="252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</row>
    <row r="12">
      <c r="A12" s="78"/>
      <c r="B12" s="2" t="s">
        <v>20</v>
      </c>
      <c r="C12" s="2" t="s">
        <v>9442</v>
      </c>
      <c r="D12" s="2" t="s">
        <v>114</v>
      </c>
      <c r="E12" s="2" t="s">
        <v>126</v>
      </c>
      <c r="F12" s="78"/>
      <c r="G12" s="105"/>
      <c r="H12" s="101" t="s">
        <v>9443</v>
      </c>
      <c r="I12" s="101" t="s">
        <v>9444</v>
      </c>
      <c r="J12" s="103"/>
      <c r="K12" s="103"/>
      <c r="L12" s="103"/>
      <c r="M12" s="252"/>
      <c r="N12" s="252"/>
      <c r="O12" s="252"/>
      <c r="P12" s="252"/>
      <c r="Q12" s="252"/>
      <c r="R12" s="252"/>
      <c r="S12" s="252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</row>
    <row r="13">
      <c r="A13" s="78"/>
      <c r="B13" s="2" t="s">
        <v>20</v>
      </c>
      <c r="C13" s="2" t="s">
        <v>9445</v>
      </c>
      <c r="D13" s="2" t="s">
        <v>114</v>
      </c>
      <c r="E13" s="2" t="s">
        <v>126</v>
      </c>
      <c r="F13" s="78"/>
      <c r="G13" s="105"/>
      <c r="H13" s="101" t="s">
        <v>9446</v>
      </c>
      <c r="I13" s="103"/>
      <c r="J13" s="103"/>
      <c r="K13" s="103"/>
      <c r="L13" s="103"/>
      <c r="M13" s="252"/>
      <c r="N13" s="252"/>
      <c r="O13" s="252"/>
      <c r="P13" s="252"/>
      <c r="Q13" s="252"/>
      <c r="R13" s="252"/>
      <c r="S13" s="252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</row>
    <row r="14">
      <c r="A14" s="78"/>
      <c r="B14" s="2" t="s">
        <v>20</v>
      </c>
      <c r="C14" s="2" t="s">
        <v>446</v>
      </c>
      <c r="D14" s="2" t="s">
        <v>114</v>
      </c>
      <c r="E14" s="2" t="s">
        <v>126</v>
      </c>
      <c r="F14" s="78"/>
      <c r="G14" s="105"/>
      <c r="H14" s="101" t="s">
        <v>9447</v>
      </c>
      <c r="I14" s="103"/>
      <c r="J14" s="103"/>
      <c r="K14" s="103"/>
      <c r="L14" s="103"/>
      <c r="M14" s="252"/>
      <c r="N14" s="252"/>
      <c r="O14" s="252"/>
      <c r="P14" s="252"/>
      <c r="Q14" s="252"/>
      <c r="R14" s="252"/>
      <c r="S14" s="252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</row>
    <row r="15">
      <c r="A15" s="78"/>
      <c r="B15" s="2" t="s">
        <v>276</v>
      </c>
      <c r="C15" s="2" t="s">
        <v>9448</v>
      </c>
      <c r="D15" s="2" t="s">
        <v>114</v>
      </c>
      <c r="E15" s="2" t="s">
        <v>126</v>
      </c>
      <c r="F15" s="78"/>
      <c r="G15" s="105"/>
      <c r="H15" s="101" t="s">
        <v>9449</v>
      </c>
      <c r="I15" s="103"/>
      <c r="J15" s="103"/>
      <c r="K15" s="103"/>
      <c r="L15" s="103"/>
      <c r="M15" s="252"/>
      <c r="N15" s="252"/>
      <c r="O15" s="252"/>
      <c r="P15" s="252"/>
      <c r="Q15" s="252"/>
      <c r="R15" s="252"/>
      <c r="S15" s="252"/>
      <c r="T15" s="253"/>
      <c r="U15" s="253"/>
      <c r="V15" s="253"/>
      <c r="W15" s="253"/>
      <c r="X15" s="253"/>
      <c r="Y15" s="253"/>
      <c r="Z15" s="253"/>
      <c r="AA15" s="253"/>
      <c r="AB15" s="253"/>
      <c r="AC15" s="253"/>
    </row>
    <row r="16">
      <c r="A16" s="78"/>
      <c r="B16" s="2" t="s">
        <v>20</v>
      </c>
      <c r="C16" s="2" t="s">
        <v>4892</v>
      </c>
      <c r="D16" s="2" t="s">
        <v>114</v>
      </c>
      <c r="E16" s="2" t="s">
        <v>126</v>
      </c>
      <c r="F16" s="78"/>
      <c r="G16" s="105"/>
      <c r="H16" s="101" t="s">
        <v>9450</v>
      </c>
      <c r="I16" s="103"/>
      <c r="J16" s="103"/>
      <c r="K16" s="103"/>
      <c r="L16" s="103"/>
      <c r="M16" s="252"/>
      <c r="N16" s="252"/>
      <c r="O16" s="252"/>
      <c r="P16" s="252"/>
      <c r="Q16" s="252"/>
      <c r="R16" s="252"/>
      <c r="S16" s="252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</row>
    <row r="17">
      <c r="A17" s="78"/>
      <c r="B17" s="2" t="s">
        <v>20</v>
      </c>
      <c r="C17" s="2" t="s">
        <v>5649</v>
      </c>
      <c r="D17" s="2" t="s">
        <v>114</v>
      </c>
      <c r="E17" s="2" t="s">
        <v>126</v>
      </c>
      <c r="F17" s="78"/>
      <c r="G17" s="105"/>
      <c r="H17" s="101" t="s">
        <v>9451</v>
      </c>
      <c r="I17" s="101" t="s">
        <v>9452</v>
      </c>
      <c r="J17" s="103"/>
      <c r="K17" s="103"/>
      <c r="L17" s="103"/>
      <c r="M17" s="252"/>
      <c r="N17" s="252"/>
      <c r="O17" s="252"/>
      <c r="P17" s="252"/>
      <c r="Q17" s="252"/>
      <c r="R17" s="252"/>
      <c r="S17" s="252"/>
      <c r="T17" s="253"/>
      <c r="U17" s="253"/>
      <c r="V17" s="253"/>
      <c r="W17" s="253"/>
      <c r="X17" s="253"/>
      <c r="Y17" s="253"/>
      <c r="Z17" s="253"/>
      <c r="AA17" s="253"/>
      <c r="AB17" s="253"/>
      <c r="AC17" s="253"/>
    </row>
    <row r="18">
      <c r="A18" s="78"/>
      <c r="B18" s="2" t="s">
        <v>20</v>
      </c>
      <c r="C18" s="2" t="s">
        <v>9453</v>
      </c>
      <c r="D18" s="2" t="s">
        <v>114</v>
      </c>
      <c r="E18" s="2" t="s">
        <v>126</v>
      </c>
      <c r="F18" s="78"/>
      <c r="G18" s="105"/>
      <c r="H18" s="101" t="s">
        <v>9454</v>
      </c>
      <c r="I18" s="103"/>
      <c r="J18" s="103"/>
      <c r="K18" s="103"/>
      <c r="L18" s="103"/>
      <c r="M18" s="252"/>
      <c r="N18" s="252"/>
      <c r="O18" s="252"/>
      <c r="P18" s="252"/>
      <c r="Q18" s="252"/>
      <c r="R18" s="252"/>
      <c r="S18" s="252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</row>
    <row r="19">
      <c r="A19" s="78"/>
      <c r="B19" s="2" t="s">
        <v>20</v>
      </c>
      <c r="C19" s="2" t="s">
        <v>9455</v>
      </c>
      <c r="D19" s="2" t="s">
        <v>114</v>
      </c>
      <c r="E19" s="2" t="s">
        <v>126</v>
      </c>
      <c r="F19" s="78"/>
      <c r="G19" s="105">
        <v>5.0</v>
      </c>
      <c r="H19" s="101" t="s">
        <v>9456</v>
      </c>
      <c r="I19" s="101" t="s">
        <v>9457</v>
      </c>
      <c r="J19" s="103"/>
      <c r="K19" s="103"/>
      <c r="L19" s="103"/>
      <c r="M19" s="252"/>
      <c r="N19" s="252"/>
      <c r="O19" s="252"/>
      <c r="P19" s="252"/>
      <c r="Q19" s="252"/>
      <c r="R19" s="252"/>
      <c r="S19" s="252"/>
      <c r="T19" s="253"/>
      <c r="U19" s="253"/>
      <c r="V19" s="253"/>
      <c r="W19" s="253"/>
      <c r="X19" s="253"/>
      <c r="Y19" s="253"/>
      <c r="Z19" s="253"/>
      <c r="AA19" s="253"/>
      <c r="AB19" s="253"/>
      <c r="AC19" s="253"/>
    </row>
    <row r="20">
      <c r="A20" s="1">
        <v>13546.0</v>
      </c>
      <c r="B20" s="2" t="s">
        <v>20</v>
      </c>
      <c r="C20" s="2" t="s">
        <v>3415</v>
      </c>
      <c r="D20" s="2" t="s">
        <v>114</v>
      </c>
      <c r="E20" s="2" t="s">
        <v>9458</v>
      </c>
      <c r="F20" s="78"/>
      <c r="G20" s="105"/>
      <c r="H20" s="101" t="s">
        <v>9459</v>
      </c>
      <c r="I20" s="101" t="s">
        <v>9460</v>
      </c>
      <c r="J20" s="103"/>
      <c r="K20" s="103"/>
      <c r="L20" s="103"/>
      <c r="M20" s="252"/>
      <c r="N20" s="252"/>
      <c r="O20" s="252"/>
      <c r="P20" s="252"/>
      <c r="Q20" s="252"/>
      <c r="R20" s="252"/>
      <c r="S20" s="252"/>
      <c r="T20" s="253"/>
      <c r="U20" s="253"/>
      <c r="V20" s="253"/>
      <c r="W20" s="253"/>
      <c r="X20" s="253"/>
      <c r="Y20" s="253"/>
      <c r="Z20" s="253"/>
      <c r="AA20" s="253"/>
      <c r="AB20" s="253"/>
      <c r="AC20" s="253"/>
    </row>
    <row r="21">
      <c r="A21" s="78"/>
      <c r="B21" s="2" t="s">
        <v>20</v>
      </c>
      <c r="C21" s="2" t="s">
        <v>9461</v>
      </c>
      <c r="D21" s="2" t="s">
        <v>114</v>
      </c>
      <c r="E21" s="2" t="s">
        <v>9458</v>
      </c>
      <c r="F21" s="78"/>
      <c r="G21" s="105"/>
      <c r="H21" s="101" t="s">
        <v>9462</v>
      </c>
      <c r="I21" s="103"/>
      <c r="J21" s="103"/>
      <c r="K21" s="103"/>
      <c r="L21" s="103"/>
      <c r="M21" s="252"/>
      <c r="N21" s="252"/>
      <c r="O21" s="252"/>
      <c r="P21" s="252"/>
      <c r="Q21" s="252"/>
      <c r="R21" s="252"/>
      <c r="S21" s="252"/>
      <c r="T21" s="253"/>
      <c r="U21" s="253"/>
      <c r="V21" s="253"/>
      <c r="W21" s="253"/>
      <c r="X21" s="253"/>
      <c r="Y21" s="253"/>
      <c r="Z21" s="253"/>
      <c r="AA21" s="253"/>
      <c r="AB21" s="253"/>
      <c r="AC21" s="253"/>
    </row>
    <row r="22">
      <c r="A22" s="78"/>
      <c r="B22" s="2" t="s">
        <v>20</v>
      </c>
      <c r="C22" s="2" t="s">
        <v>4396</v>
      </c>
      <c r="D22" s="2" t="s">
        <v>114</v>
      </c>
      <c r="E22" s="2" t="s">
        <v>9458</v>
      </c>
      <c r="F22" s="78"/>
      <c r="G22" s="105"/>
      <c r="H22" s="101" t="s">
        <v>9463</v>
      </c>
      <c r="I22" s="103"/>
      <c r="J22" s="103"/>
      <c r="K22" s="103"/>
      <c r="L22" s="103"/>
      <c r="M22" s="252"/>
      <c r="N22" s="252"/>
      <c r="O22" s="252"/>
      <c r="P22" s="252"/>
      <c r="Q22" s="252"/>
      <c r="R22" s="252"/>
      <c r="S22" s="252"/>
      <c r="T22" s="253"/>
      <c r="U22" s="253"/>
      <c r="V22" s="253"/>
      <c r="W22" s="253"/>
      <c r="X22" s="253"/>
      <c r="Y22" s="253"/>
      <c r="Z22" s="253"/>
      <c r="AA22" s="253"/>
      <c r="AB22" s="253"/>
      <c r="AC22" s="253"/>
    </row>
    <row r="23">
      <c r="A23" s="1">
        <v>13540.0</v>
      </c>
      <c r="B23" s="2" t="s">
        <v>20</v>
      </c>
      <c r="C23" s="2" t="s">
        <v>74</v>
      </c>
      <c r="D23" s="2" t="s">
        <v>114</v>
      </c>
      <c r="E23" s="2" t="s">
        <v>9458</v>
      </c>
      <c r="F23" s="78"/>
      <c r="G23" s="105"/>
      <c r="H23" s="101" t="s">
        <v>9464</v>
      </c>
      <c r="I23" s="101" t="s">
        <v>9465</v>
      </c>
      <c r="J23" s="103"/>
      <c r="K23" s="103"/>
      <c r="L23" s="103"/>
      <c r="M23" s="252"/>
      <c r="N23" s="252"/>
      <c r="O23" s="252"/>
      <c r="P23" s="252"/>
      <c r="Q23" s="252"/>
      <c r="R23" s="252"/>
      <c r="S23" s="252"/>
      <c r="T23" s="253"/>
      <c r="U23" s="253"/>
      <c r="V23" s="253"/>
      <c r="W23" s="253"/>
      <c r="X23" s="253"/>
      <c r="Y23" s="253"/>
      <c r="Z23" s="253"/>
      <c r="AA23" s="253"/>
      <c r="AB23" s="253"/>
      <c r="AC23" s="253"/>
    </row>
    <row r="24">
      <c r="A24" s="1">
        <v>31292.0</v>
      </c>
      <c r="B24" s="2" t="s">
        <v>20</v>
      </c>
      <c r="C24" s="2" t="s">
        <v>770</v>
      </c>
      <c r="D24" s="2" t="s">
        <v>114</v>
      </c>
      <c r="E24" s="2" t="s">
        <v>9458</v>
      </c>
      <c r="F24" s="2" t="s">
        <v>9466</v>
      </c>
      <c r="G24" s="105"/>
      <c r="H24" s="101" t="s">
        <v>9467</v>
      </c>
      <c r="I24" s="101" t="s">
        <v>9468</v>
      </c>
      <c r="J24" s="103"/>
      <c r="K24" s="103"/>
      <c r="L24" s="103"/>
      <c r="M24" s="252"/>
      <c r="N24" s="252"/>
      <c r="O24" s="252"/>
      <c r="P24" s="252"/>
      <c r="Q24" s="252"/>
      <c r="R24" s="252"/>
      <c r="S24" s="252"/>
      <c r="T24" s="253"/>
      <c r="U24" s="253"/>
      <c r="V24" s="253"/>
      <c r="W24" s="253"/>
      <c r="X24" s="253"/>
      <c r="Y24" s="253"/>
      <c r="Z24" s="253"/>
      <c r="AA24" s="253"/>
      <c r="AB24" s="253"/>
      <c r="AC24" s="253"/>
    </row>
    <row r="25">
      <c r="A25" s="1">
        <v>13550.0</v>
      </c>
      <c r="B25" s="2" t="s">
        <v>20</v>
      </c>
      <c r="C25" s="2" t="s">
        <v>3104</v>
      </c>
      <c r="D25" s="2" t="s">
        <v>114</v>
      </c>
      <c r="E25" s="2" t="s">
        <v>9458</v>
      </c>
      <c r="F25" s="2" t="s">
        <v>9469</v>
      </c>
      <c r="G25" s="105"/>
      <c r="H25" s="101" t="s">
        <v>9470</v>
      </c>
      <c r="I25" s="101" t="s">
        <v>9471</v>
      </c>
      <c r="J25" s="103"/>
      <c r="K25" s="103"/>
      <c r="L25" s="103"/>
      <c r="M25" s="252"/>
      <c r="N25" s="252"/>
      <c r="O25" s="252"/>
      <c r="P25" s="252"/>
      <c r="Q25" s="252"/>
      <c r="R25" s="252"/>
      <c r="S25" s="252"/>
      <c r="T25" s="253"/>
      <c r="U25" s="253"/>
      <c r="V25" s="253"/>
      <c r="W25" s="253"/>
      <c r="X25" s="253"/>
      <c r="Y25" s="253"/>
      <c r="Z25" s="253"/>
      <c r="AA25" s="253"/>
      <c r="AB25" s="253"/>
      <c r="AC25" s="253"/>
    </row>
    <row r="26">
      <c r="A26" s="78"/>
      <c r="B26" s="2" t="s">
        <v>20</v>
      </c>
      <c r="C26" s="2" t="s">
        <v>1015</v>
      </c>
      <c r="D26" s="2" t="s">
        <v>114</v>
      </c>
      <c r="E26" s="2" t="s">
        <v>9472</v>
      </c>
      <c r="F26" s="2" t="s">
        <v>9473</v>
      </c>
      <c r="G26" s="105"/>
      <c r="H26" s="101" t="s">
        <v>9474</v>
      </c>
      <c r="I26" s="101" t="s">
        <v>9475</v>
      </c>
      <c r="J26" s="103"/>
      <c r="K26" s="103"/>
      <c r="L26" s="103"/>
      <c r="M26" s="252"/>
      <c r="N26" s="252"/>
      <c r="O26" s="252"/>
      <c r="P26" s="252"/>
      <c r="Q26" s="252"/>
      <c r="R26" s="252"/>
      <c r="S26" s="252"/>
      <c r="T26" s="253"/>
      <c r="U26" s="253"/>
      <c r="V26" s="253"/>
      <c r="W26" s="253"/>
      <c r="X26" s="253"/>
      <c r="Y26" s="253"/>
      <c r="Z26" s="253"/>
      <c r="AA26" s="253"/>
      <c r="AB26" s="253"/>
      <c r="AC26" s="253"/>
    </row>
    <row r="27">
      <c r="A27" s="78"/>
      <c r="B27" s="2" t="s">
        <v>20</v>
      </c>
      <c r="C27" s="2" t="s">
        <v>9476</v>
      </c>
      <c r="D27" s="2" t="s">
        <v>114</v>
      </c>
      <c r="E27" s="4" t="s">
        <v>9477</v>
      </c>
      <c r="F27" s="2" t="s">
        <v>9478</v>
      </c>
      <c r="G27" s="105"/>
      <c r="H27" s="101" t="s">
        <v>9479</v>
      </c>
      <c r="I27" s="103"/>
      <c r="J27" s="103"/>
      <c r="K27" s="103"/>
      <c r="L27" s="103"/>
      <c r="M27" s="252"/>
      <c r="N27" s="252"/>
      <c r="O27" s="252"/>
      <c r="P27" s="252"/>
      <c r="Q27" s="252"/>
      <c r="R27" s="252"/>
      <c r="S27" s="252"/>
      <c r="T27" s="253"/>
      <c r="U27" s="253"/>
      <c r="V27" s="253"/>
      <c r="W27" s="253"/>
      <c r="X27" s="253"/>
      <c r="Y27" s="253"/>
      <c r="Z27" s="253"/>
      <c r="AA27" s="253"/>
      <c r="AB27" s="253"/>
      <c r="AC27" s="253"/>
    </row>
    <row r="28">
      <c r="A28" s="78"/>
      <c r="B28" s="2" t="s">
        <v>20</v>
      </c>
      <c r="C28" s="2" t="s">
        <v>7703</v>
      </c>
      <c r="D28" s="2" t="s">
        <v>114</v>
      </c>
      <c r="E28" s="2" t="s">
        <v>9477</v>
      </c>
      <c r="F28" s="78"/>
      <c r="G28" s="105"/>
      <c r="H28" s="101" t="s">
        <v>9480</v>
      </c>
      <c r="I28" s="103"/>
      <c r="J28" s="103"/>
      <c r="K28" s="103"/>
      <c r="L28" s="103"/>
      <c r="M28" s="252"/>
      <c r="N28" s="252"/>
      <c r="O28" s="252"/>
      <c r="P28" s="252"/>
      <c r="Q28" s="252"/>
      <c r="R28" s="252"/>
      <c r="S28" s="252"/>
      <c r="T28" s="253"/>
      <c r="U28" s="253"/>
      <c r="V28" s="253"/>
      <c r="W28" s="253"/>
      <c r="X28" s="253"/>
      <c r="Y28" s="253"/>
      <c r="Z28" s="253"/>
      <c r="AA28" s="253"/>
      <c r="AB28" s="253"/>
      <c r="AC28" s="253"/>
    </row>
    <row r="29">
      <c r="A29" s="2"/>
      <c r="B29" s="2" t="s">
        <v>20</v>
      </c>
      <c r="C29" s="2" t="s">
        <v>9481</v>
      </c>
      <c r="D29" s="2" t="s">
        <v>114</v>
      </c>
      <c r="E29" s="2" t="s">
        <v>9482</v>
      </c>
      <c r="F29" s="2" t="s">
        <v>9483</v>
      </c>
      <c r="G29" s="3"/>
      <c r="H29" s="254" t="s">
        <v>9484</v>
      </c>
      <c r="I29" s="3"/>
      <c r="J29" s="3"/>
      <c r="K29" s="3"/>
      <c r="L29" s="3"/>
      <c r="M29" s="251"/>
      <c r="N29" s="251" t="s">
        <v>2840</v>
      </c>
      <c r="O29" s="251"/>
      <c r="P29" s="251"/>
      <c r="Q29" s="252"/>
      <c r="R29" s="252"/>
      <c r="S29" s="252"/>
      <c r="T29" s="253"/>
      <c r="U29" s="253"/>
      <c r="V29" s="253"/>
      <c r="W29" s="253"/>
      <c r="X29" s="253"/>
      <c r="Y29" s="253"/>
      <c r="Z29" s="253"/>
      <c r="AA29" s="253"/>
      <c r="AB29" s="253"/>
      <c r="AC29" s="253"/>
    </row>
    <row r="30">
      <c r="A30" s="2"/>
      <c r="B30" s="2" t="s">
        <v>20</v>
      </c>
      <c r="C30" s="2" t="s">
        <v>9485</v>
      </c>
      <c r="D30" s="2" t="s">
        <v>114</v>
      </c>
      <c r="E30" s="2" t="s">
        <v>9482</v>
      </c>
      <c r="F30" s="2"/>
      <c r="G30" s="3"/>
      <c r="H30" s="254" t="s">
        <v>9486</v>
      </c>
      <c r="I30" s="3"/>
      <c r="J30" s="3"/>
      <c r="K30" s="3"/>
      <c r="L30" s="3"/>
      <c r="M30" s="251"/>
      <c r="N30" s="251" t="s">
        <v>2840</v>
      </c>
      <c r="O30" s="251"/>
      <c r="P30" s="251"/>
      <c r="Q30" s="252"/>
      <c r="R30" s="252"/>
      <c r="S30" s="252"/>
      <c r="T30" s="253"/>
      <c r="U30" s="253"/>
      <c r="V30" s="253"/>
      <c r="W30" s="253"/>
      <c r="X30" s="253"/>
      <c r="Y30" s="253"/>
      <c r="Z30" s="253"/>
      <c r="AA30" s="253"/>
      <c r="AB30" s="253"/>
      <c r="AC30" s="253"/>
    </row>
    <row r="31">
      <c r="A31" s="78"/>
      <c r="B31" s="2" t="s">
        <v>20</v>
      </c>
      <c r="C31" s="2" t="s">
        <v>9487</v>
      </c>
      <c r="D31" s="2" t="s">
        <v>114</v>
      </c>
      <c r="E31" s="2" t="s">
        <v>9482</v>
      </c>
      <c r="F31" s="2"/>
      <c r="G31" s="3"/>
      <c r="H31" s="254" t="s">
        <v>9488</v>
      </c>
      <c r="I31" s="3"/>
      <c r="J31" s="3"/>
      <c r="K31" s="3"/>
      <c r="L31" s="3"/>
      <c r="M31" s="251"/>
      <c r="N31" s="251"/>
      <c r="O31" s="251"/>
      <c r="P31" s="251"/>
      <c r="Q31" s="252"/>
      <c r="R31" s="252"/>
      <c r="S31" s="252"/>
      <c r="T31" s="253"/>
      <c r="U31" s="253"/>
      <c r="V31" s="253"/>
      <c r="W31" s="253"/>
      <c r="X31" s="253"/>
      <c r="Y31" s="253"/>
      <c r="Z31" s="253"/>
      <c r="AA31" s="253"/>
      <c r="AB31" s="253"/>
      <c r="AC31" s="253"/>
    </row>
    <row r="32">
      <c r="A32" s="2" t="s">
        <v>9489</v>
      </c>
      <c r="B32" s="2" t="s">
        <v>20</v>
      </c>
      <c r="C32" s="2" t="s">
        <v>2251</v>
      </c>
      <c r="D32" s="2" t="s">
        <v>114</v>
      </c>
      <c r="E32" s="2" t="s">
        <v>9482</v>
      </c>
      <c r="F32" s="78"/>
      <c r="G32" s="105"/>
      <c r="H32" s="101" t="s">
        <v>9490</v>
      </c>
      <c r="I32" s="103"/>
      <c r="J32" s="103"/>
      <c r="K32" s="103"/>
      <c r="L32" s="103"/>
      <c r="M32" s="252"/>
      <c r="N32" s="252"/>
      <c r="O32" s="252"/>
      <c r="P32" s="252"/>
      <c r="Q32" s="252"/>
      <c r="R32" s="252"/>
      <c r="S32" s="252"/>
      <c r="T32" s="253"/>
      <c r="U32" s="253"/>
      <c r="V32" s="253"/>
      <c r="W32" s="253"/>
      <c r="X32" s="253"/>
      <c r="Y32" s="253"/>
      <c r="Z32" s="253"/>
      <c r="AA32" s="253"/>
      <c r="AB32" s="253"/>
      <c r="AC32" s="253"/>
    </row>
    <row r="33">
      <c r="A33" s="78"/>
      <c r="B33" s="2" t="s">
        <v>20</v>
      </c>
      <c r="C33" s="2" t="s">
        <v>2251</v>
      </c>
      <c r="D33" s="2" t="s">
        <v>114</v>
      </c>
      <c r="E33" s="2" t="s">
        <v>9482</v>
      </c>
      <c r="F33" s="78"/>
      <c r="G33" s="105"/>
      <c r="H33" s="101" t="s">
        <v>9491</v>
      </c>
      <c r="I33" s="101" t="s">
        <v>9492</v>
      </c>
      <c r="J33" s="101" t="s">
        <v>9493</v>
      </c>
      <c r="K33" s="103"/>
      <c r="L33" s="103"/>
      <c r="M33" s="252"/>
      <c r="N33" s="252"/>
      <c r="O33" s="252"/>
      <c r="P33" s="252"/>
      <c r="Q33" s="252"/>
      <c r="R33" s="252"/>
      <c r="S33" s="252"/>
      <c r="T33" s="253"/>
      <c r="U33" s="253"/>
      <c r="V33" s="253"/>
      <c r="W33" s="253"/>
      <c r="X33" s="253"/>
      <c r="Y33" s="253"/>
      <c r="Z33" s="253"/>
      <c r="AA33" s="253"/>
      <c r="AB33" s="253"/>
      <c r="AC33" s="253"/>
    </row>
    <row r="34">
      <c r="A34" s="78"/>
      <c r="B34" s="2" t="s">
        <v>20</v>
      </c>
      <c r="C34" s="2" t="s">
        <v>4892</v>
      </c>
      <c r="D34" s="2" t="s">
        <v>114</v>
      </c>
      <c r="E34" s="2" t="s">
        <v>9482</v>
      </c>
      <c r="F34" s="78"/>
      <c r="G34" s="105"/>
      <c r="H34" s="101" t="s">
        <v>9494</v>
      </c>
      <c r="I34" s="101" t="s">
        <v>9495</v>
      </c>
      <c r="J34" s="102" t="s">
        <v>9496</v>
      </c>
      <c r="K34" s="103"/>
      <c r="L34" s="103"/>
      <c r="M34" s="252"/>
      <c r="N34" s="252"/>
      <c r="O34" s="252"/>
      <c r="P34" s="252"/>
      <c r="Q34" s="252"/>
      <c r="R34" s="252"/>
      <c r="S34" s="252"/>
      <c r="T34" s="253"/>
      <c r="U34" s="253"/>
      <c r="V34" s="253"/>
      <c r="W34" s="253"/>
      <c r="X34" s="253"/>
      <c r="Y34" s="253"/>
      <c r="Z34" s="253"/>
      <c r="AA34" s="253"/>
      <c r="AB34" s="253"/>
      <c r="AC34" s="253"/>
    </row>
    <row r="35">
      <c r="A35" s="2"/>
      <c r="B35" s="2" t="s">
        <v>20</v>
      </c>
      <c r="C35" s="2" t="s">
        <v>9497</v>
      </c>
      <c r="D35" s="2" t="s">
        <v>114</v>
      </c>
      <c r="E35" s="2" t="s">
        <v>115</v>
      </c>
      <c r="F35" s="2" t="s">
        <v>9498</v>
      </c>
      <c r="G35" s="3"/>
      <c r="H35" s="254" t="s">
        <v>9499</v>
      </c>
      <c r="I35" s="254" t="s">
        <v>9500</v>
      </c>
      <c r="J35" s="254" t="s">
        <v>9501</v>
      </c>
      <c r="K35" s="3"/>
      <c r="L35" s="3"/>
      <c r="M35" s="251"/>
      <c r="N35" s="251" t="s">
        <v>9502</v>
      </c>
      <c r="O35" s="251"/>
      <c r="P35" s="251"/>
      <c r="Q35" s="252"/>
      <c r="R35" s="252"/>
      <c r="S35" s="252"/>
      <c r="T35" s="253"/>
      <c r="U35" s="253"/>
      <c r="V35" s="253"/>
      <c r="W35" s="253"/>
      <c r="X35" s="253"/>
      <c r="Y35" s="253"/>
      <c r="Z35" s="253"/>
      <c r="AA35" s="253"/>
      <c r="AB35" s="253"/>
      <c r="AC35" s="253"/>
    </row>
    <row r="36">
      <c r="A36" s="2"/>
      <c r="B36" s="2" t="s">
        <v>20</v>
      </c>
      <c r="C36" s="2" t="s">
        <v>9503</v>
      </c>
      <c r="D36" s="2" t="s">
        <v>114</v>
      </c>
      <c r="E36" s="2" t="s">
        <v>115</v>
      </c>
      <c r="F36" s="2" t="s">
        <v>9504</v>
      </c>
      <c r="G36" s="3"/>
      <c r="H36" s="254" t="s">
        <v>9505</v>
      </c>
      <c r="I36" s="254" t="s">
        <v>9506</v>
      </c>
      <c r="J36" s="254" t="s">
        <v>9507</v>
      </c>
      <c r="K36" s="3"/>
      <c r="L36" s="3"/>
      <c r="M36" s="251" t="s">
        <v>9508</v>
      </c>
      <c r="N36" s="251" t="s">
        <v>4926</v>
      </c>
      <c r="O36" s="251"/>
      <c r="P36" s="251"/>
      <c r="Q36" s="252"/>
      <c r="R36" s="252"/>
      <c r="S36" s="252"/>
      <c r="T36" s="253"/>
      <c r="U36" s="253"/>
      <c r="V36" s="253"/>
      <c r="W36" s="253"/>
      <c r="X36" s="253"/>
      <c r="Y36" s="253"/>
      <c r="Z36" s="253"/>
      <c r="AA36" s="253"/>
      <c r="AB36" s="253"/>
      <c r="AC36" s="253"/>
    </row>
    <row r="37">
      <c r="A37" s="2"/>
      <c r="B37" s="2" t="s">
        <v>20</v>
      </c>
      <c r="C37" s="2" t="s">
        <v>9509</v>
      </c>
      <c r="D37" s="2" t="s">
        <v>114</v>
      </c>
      <c r="E37" s="2" t="s">
        <v>115</v>
      </c>
      <c r="F37" s="2" t="s">
        <v>9510</v>
      </c>
      <c r="G37" s="3"/>
      <c r="H37" s="254" t="s">
        <v>9511</v>
      </c>
      <c r="I37" s="254" t="s">
        <v>9512</v>
      </c>
      <c r="J37" s="3"/>
      <c r="K37" s="3"/>
      <c r="L37" s="3"/>
      <c r="M37" s="251"/>
      <c r="N37" s="251" t="s">
        <v>9513</v>
      </c>
      <c r="O37" s="251"/>
      <c r="P37" s="251"/>
      <c r="Q37" s="252"/>
      <c r="R37" s="252"/>
      <c r="S37" s="252"/>
      <c r="T37" s="253"/>
      <c r="U37" s="253"/>
      <c r="V37" s="253"/>
      <c r="W37" s="253"/>
      <c r="X37" s="253"/>
      <c r="Y37" s="253"/>
      <c r="Z37" s="253"/>
      <c r="AA37" s="253"/>
      <c r="AB37" s="253"/>
      <c r="AC37" s="253"/>
    </row>
    <row r="38">
      <c r="A38" s="2"/>
      <c r="B38" s="2" t="s">
        <v>20</v>
      </c>
      <c r="C38" s="2" t="s">
        <v>9514</v>
      </c>
      <c r="D38" s="2" t="s">
        <v>114</v>
      </c>
      <c r="E38" s="2" t="s">
        <v>115</v>
      </c>
      <c r="F38" s="2" t="s">
        <v>9515</v>
      </c>
      <c r="G38" s="3"/>
      <c r="H38" s="254" t="s">
        <v>9516</v>
      </c>
      <c r="I38" s="3"/>
      <c r="J38" s="3"/>
      <c r="K38" s="3"/>
      <c r="L38" s="3"/>
      <c r="M38" s="251"/>
      <c r="N38" s="251" t="s">
        <v>9513</v>
      </c>
      <c r="O38" s="251"/>
      <c r="P38" s="251"/>
      <c r="Q38" s="252"/>
      <c r="R38" s="252"/>
      <c r="S38" s="252"/>
      <c r="T38" s="253"/>
      <c r="U38" s="253"/>
      <c r="V38" s="253"/>
      <c r="W38" s="253"/>
      <c r="X38" s="253"/>
      <c r="Y38" s="253"/>
      <c r="Z38" s="253"/>
      <c r="AA38" s="253"/>
      <c r="AB38" s="253"/>
      <c r="AC38" s="253"/>
    </row>
    <row r="39">
      <c r="A39" s="2"/>
      <c r="B39" s="2" t="s">
        <v>20</v>
      </c>
      <c r="C39" s="2" t="s">
        <v>9517</v>
      </c>
      <c r="D39" s="2" t="s">
        <v>114</v>
      </c>
      <c r="E39" s="2" t="s">
        <v>115</v>
      </c>
      <c r="F39" s="2"/>
      <c r="G39" s="3"/>
      <c r="H39" s="254" t="s">
        <v>9518</v>
      </c>
      <c r="I39" s="3"/>
      <c r="J39" s="3"/>
      <c r="K39" s="3"/>
      <c r="L39" s="3"/>
      <c r="M39" s="251"/>
      <c r="N39" s="251" t="s">
        <v>4926</v>
      </c>
      <c r="O39" s="251"/>
      <c r="P39" s="251"/>
      <c r="Q39" s="252"/>
      <c r="R39" s="252"/>
      <c r="S39" s="252"/>
      <c r="T39" s="253"/>
      <c r="U39" s="253"/>
      <c r="V39" s="253"/>
      <c r="W39" s="253"/>
      <c r="X39" s="253"/>
      <c r="Y39" s="253"/>
      <c r="Z39" s="253"/>
      <c r="AA39" s="253"/>
      <c r="AB39" s="253"/>
      <c r="AC39" s="253"/>
    </row>
    <row r="40">
      <c r="A40" s="78"/>
      <c r="B40" s="2" t="s">
        <v>102</v>
      </c>
      <c r="C40" s="2" t="s">
        <v>9519</v>
      </c>
      <c r="D40" s="2" t="s">
        <v>114</v>
      </c>
      <c r="E40" s="4" t="s">
        <v>115</v>
      </c>
      <c r="F40" s="2" t="s">
        <v>9520</v>
      </c>
      <c r="G40" s="3"/>
      <c r="H40" s="254" t="s">
        <v>9521</v>
      </c>
      <c r="I40" s="3"/>
      <c r="J40" s="3"/>
      <c r="K40" s="3"/>
      <c r="L40" s="3"/>
      <c r="M40" s="251"/>
      <c r="N40" s="251"/>
      <c r="O40" s="251"/>
      <c r="P40" s="251"/>
      <c r="Q40" s="252"/>
      <c r="R40" s="252"/>
      <c r="S40" s="252"/>
      <c r="T40" s="253"/>
      <c r="U40" s="253"/>
      <c r="V40" s="253"/>
      <c r="W40" s="253"/>
      <c r="X40" s="253"/>
      <c r="Y40" s="253"/>
      <c r="Z40" s="253"/>
      <c r="AA40" s="253"/>
      <c r="AB40" s="253"/>
      <c r="AC40" s="253"/>
    </row>
    <row r="41">
      <c r="A41" s="78"/>
      <c r="B41" s="2" t="s">
        <v>20</v>
      </c>
      <c r="C41" s="2" t="s">
        <v>841</v>
      </c>
      <c r="D41" s="2" t="s">
        <v>114</v>
      </c>
      <c r="E41" s="2" t="s">
        <v>115</v>
      </c>
      <c r="F41" s="78"/>
      <c r="G41" s="105"/>
      <c r="H41" s="101" t="s">
        <v>9522</v>
      </c>
      <c r="I41" s="103"/>
      <c r="J41" s="103"/>
      <c r="K41" s="103"/>
      <c r="L41" s="103"/>
      <c r="M41" s="252"/>
      <c r="N41" s="252"/>
      <c r="O41" s="252"/>
      <c r="P41" s="252"/>
      <c r="Q41" s="252"/>
      <c r="R41" s="252"/>
      <c r="S41" s="252"/>
      <c r="T41" s="253"/>
      <c r="U41" s="253"/>
      <c r="V41" s="253"/>
      <c r="W41" s="253"/>
      <c r="X41" s="253"/>
      <c r="Y41" s="253"/>
      <c r="Z41" s="253"/>
      <c r="AA41" s="253"/>
      <c r="AB41" s="253"/>
      <c r="AC41" s="253"/>
    </row>
    <row r="42">
      <c r="A42" s="78"/>
      <c r="B42" s="2" t="s">
        <v>20</v>
      </c>
      <c r="C42" s="2" t="s">
        <v>458</v>
      </c>
      <c r="D42" s="2" t="s">
        <v>114</v>
      </c>
      <c r="E42" s="2" t="s">
        <v>115</v>
      </c>
      <c r="F42" s="2" t="s">
        <v>9523</v>
      </c>
      <c r="G42" s="105"/>
      <c r="H42" s="101" t="s">
        <v>9524</v>
      </c>
      <c r="I42" s="101" t="s">
        <v>9525</v>
      </c>
      <c r="J42" s="255" t="s">
        <v>9526</v>
      </c>
      <c r="K42" s="103"/>
      <c r="L42" s="103"/>
      <c r="M42" s="252"/>
      <c r="N42" s="252"/>
      <c r="O42" s="252"/>
      <c r="P42" s="252"/>
      <c r="Q42" s="252"/>
      <c r="R42" s="252"/>
      <c r="S42" s="252"/>
      <c r="T42" s="253"/>
      <c r="U42" s="253"/>
      <c r="V42" s="253"/>
      <c r="W42" s="253"/>
      <c r="X42" s="253"/>
      <c r="Y42" s="253"/>
      <c r="Z42" s="253"/>
      <c r="AA42" s="253"/>
      <c r="AB42" s="253"/>
      <c r="AC42" s="253"/>
    </row>
    <row r="43">
      <c r="A43" s="78"/>
      <c r="B43" s="2" t="s">
        <v>9527</v>
      </c>
      <c r="C43" s="2" t="s">
        <v>9528</v>
      </c>
      <c r="D43" s="2" t="s">
        <v>114</v>
      </c>
      <c r="E43" s="2" t="s">
        <v>115</v>
      </c>
      <c r="F43" s="78"/>
      <c r="G43" s="105"/>
      <c r="H43" s="101" t="s">
        <v>9529</v>
      </c>
      <c r="I43" s="101" t="s">
        <v>9530</v>
      </c>
      <c r="J43" s="101" t="s">
        <v>9531</v>
      </c>
      <c r="K43" s="103"/>
      <c r="L43" s="103"/>
      <c r="M43" s="252"/>
      <c r="N43" s="252"/>
      <c r="O43" s="252"/>
      <c r="P43" s="252"/>
      <c r="Q43" s="252"/>
      <c r="R43" s="252"/>
      <c r="S43" s="252"/>
      <c r="T43" s="253"/>
      <c r="U43" s="253"/>
      <c r="V43" s="253"/>
      <c r="W43" s="253"/>
      <c r="X43" s="253"/>
      <c r="Y43" s="253"/>
      <c r="Z43" s="253"/>
      <c r="AA43" s="253"/>
      <c r="AB43" s="253"/>
      <c r="AC43" s="253"/>
    </row>
    <row r="44">
      <c r="A44" s="78"/>
      <c r="B44" s="2" t="s">
        <v>20</v>
      </c>
      <c r="C44" s="2" t="s">
        <v>458</v>
      </c>
      <c r="D44" s="2" t="s">
        <v>114</v>
      </c>
      <c r="E44" s="2" t="s">
        <v>115</v>
      </c>
      <c r="F44" s="78"/>
      <c r="G44" s="105"/>
      <c r="H44" s="101" t="s">
        <v>9532</v>
      </c>
      <c r="I44" s="103"/>
      <c r="J44" s="103"/>
      <c r="K44" s="103"/>
      <c r="L44" s="103"/>
      <c r="M44" s="252"/>
      <c r="N44" s="252"/>
      <c r="O44" s="252"/>
      <c r="P44" s="252"/>
      <c r="Q44" s="252"/>
      <c r="R44" s="252"/>
      <c r="S44" s="252"/>
      <c r="T44" s="253"/>
      <c r="U44" s="253"/>
      <c r="V44" s="253"/>
      <c r="W44" s="253"/>
      <c r="X44" s="253"/>
      <c r="Y44" s="253"/>
      <c r="Z44" s="253"/>
      <c r="AA44" s="253"/>
      <c r="AB44" s="253"/>
      <c r="AC44" s="253"/>
    </row>
    <row r="45">
      <c r="A45" s="78"/>
      <c r="B45" s="2" t="s">
        <v>20</v>
      </c>
      <c r="C45" s="2" t="s">
        <v>458</v>
      </c>
      <c r="D45" s="2" t="s">
        <v>114</v>
      </c>
      <c r="E45" s="2" t="s">
        <v>115</v>
      </c>
      <c r="F45" s="78"/>
      <c r="G45" s="105"/>
      <c r="H45" s="101" t="s">
        <v>9533</v>
      </c>
      <c r="I45" s="103"/>
      <c r="J45" s="103"/>
      <c r="K45" s="103"/>
      <c r="L45" s="103"/>
      <c r="M45" s="252"/>
      <c r="N45" s="252"/>
      <c r="O45" s="252"/>
      <c r="P45" s="252"/>
      <c r="Q45" s="252"/>
      <c r="R45" s="252"/>
      <c r="S45" s="252"/>
      <c r="T45" s="253"/>
      <c r="U45" s="253"/>
      <c r="V45" s="253"/>
      <c r="W45" s="253"/>
      <c r="X45" s="253"/>
      <c r="Y45" s="253"/>
      <c r="Z45" s="253"/>
      <c r="AA45" s="253"/>
      <c r="AB45" s="253"/>
      <c r="AC45" s="253"/>
    </row>
    <row r="46">
      <c r="A46" s="78"/>
      <c r="B46" s="256" t="s">
        <v>20</v>
      </c>
      <c r="C46" s="256" t="s">
        <v>9534</v>
      </c>
      <c r="D46" s="2" t="s">
        <v>114</v>
      </c>
      <c r="E46" s="2" t="s">
        <v>115</v>
      </c>
      <c r="F46" s="78"/>
      <c r="G46" s="105"/>
      <c r="H46" s="101" t="s">
        <v>9535</v>
      </c>
      <c r="I46" s="101" t="s">
        <v>9536</v>
      </c>
      <c r="J46" s="101" t="s">
        <v>9537</v>
      </c>
      <c r="K46" s="103"/>
      <c r="L46" s="103"/>
      <c r="M46" s="252"/>
      <c r="N46" s="252"/>
      <c r="O46" s="252"/>
      <c r="P46" s="252"/>
      <c r="Q46" s="252"/>
      <c r="R46" s="252"/>
      <c r="S46" s="252"/>
      <c r="T46" s="253"/>
      <c r="U46" s="253"/>
      <c r="V46" s="253"/>
      <c r="W46" s="253"/>
      <c r="X46" s="253"/>
      <c r="Y46" s="253"/>
      <c r="Z46" s="253"/>
      <c r="AA46" s="253"/>
      <c r="AB46" s="253"/>
      <c r="AC46" s="253"/>
    </row>
    <row r="47">
      <c r="A47" s="78"/>
      <c r="B47" s="256" t="s">
        <v>20</v>
      </c>
      <c r="C47" s="256" t="s">
        <v>9538</v>
      </c>
      <c r="D47" s="2" t="s">
        <v>114</v>
      </c>
      <c r="E47" s="2" t="s">
        <v>115</v>
      </c>
      <c r="F47" s="2" t="s">
        <v>9482</v>
      </c>
      <c r="G47" s="105"/>
      <c r="H47" s="101" t="s">
        <v>9539</v>
      </c>
      <c r="I47" s="101" t="s">
        <v>9540</v>
      </c>
      <c r="J47" s="101" t="s">
        <v>9541</v>
      </c>
      <c r="K47" s="103"/>
      <c r="L47" s="103"/>
      <c r="M47" s="252"/>
      <c r="N47" s="252"/>
      <c r="O47" s="252"/>
      <c r="P47" s="252"/>
      <c r="Q47" s="252"/>
      <c r="R47" s="252"/>
      <c r="S47" s="252"/>
      <c r="T47" s="253"/>
      <c r="U47" s="253"/>
      <c r="V47" s="253"/>
      <c r="W47" s="253"/>
      <c r="X47" s="253"/>
      <c r="Y47" s="253"/>
      <c r="Z47" s="253"/>
      <c r="AA47" s="253"/>
      <c r="AB47" s="253"/>
      <c r="AC47" s="253"/>
    </row>
    <row r="48">
      <c r="A48" s="78"/>
      <c r="B48" s="2" t="s">
        <v>20</v>
      </c>
      <c r="C48" s="2" t="s">
        <v>1207</v>
      </c>
      <c r="D48" s="2" t="s">
        <v>114</v>
      </c>
      <c r="E48" s="2" t="s">
        <v>115</v>
      </c>
      <c r="F48" s="78"/>
      <c r="G48" s="105"/>
      <c r="H48" s="101" t="s">
        <v>9542</v>
      </c>
      <c r="I48" s="101" t="s">
        <v>9543</v>
      </c>
      <c r="J48" s="101" t="s">
        <v>9544</v>
      </c>
      <c r="K48" s="103"/>
      <c r="L48" s="103"/>
      <c r="M48" s="252"/>
      <c r="N48" s="252"/>
      <c r="O48" s="252"/>
      <c r="P48" s="252"/>
      <c r="Q48" s="252"/>
      <c r="R48" s="252"/>
      <c r="S48" s="252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</row>
    <row r="49">
      <c r="A49" s="78"/>
      <c r="B49" s="2" t="s">
        <v>20</v>
      </c>
      <c r="C49" s="2" t="s">
        <v>9545</v>
      </c>
      <c r="D49" s="2" t="s">
        <v>114</v>
      </c>
      <c r="E49" s="2" t="s">
        <v>115</v>
      </c>
      <c r="F49" s="78"/>
      <c r="G49" s="105"/>
      <c r="H49" s="101" t="s">
        <v>9546</v>
      </c>
      <c r="I49" s="103"/>
      <c r="J49" s="103"/>
      <c r="K49" s="103"/>
      <c r="L49" s="103"/>
      <c r="M49" s="252"/>
      <c r="N49" s="252"/>
      <c r="O49" s="252"/>
      <c r="P49" s="252"/>
      <c r="Q49" s="252"/>
      <c r="R49" s="252"/>
      <c r="S49" s="252"/>
      <c r="T49" s="253"/>
      <c r="U49" s="253"/>
      <c r="V49" s="253"/>
      <c r="W49" s="253"/>
      <c r="X49" s="253"/>
      <c r="Y49" s="253"/>
      <c r="Z49" s="253"/>
      <c r="AA49" s="253"/>
      <c r="AB49" s="253"/>
      <c r="AC49" s="253"/>
    </row>
    <row r="50">
      <c r="A50" s="78"/>
      <c r="B50" s="256" t="s">
        <v>20</v>
      </c>
      <c r="C50" s="256" t="s">
        <v>9155</v>
      </c>
      <c r="D50" s="2" t="s">
        <v>114</v>
      </c>
      <c r="E50" s="2" t="s">
        <v>115</v>
      </c>
      <c r="F50" s="2" t="s">
        <v>9547</v>
      </c>
      <c r="G50" s="105"/>
      <c r="H50" s="101" t="s">
        <v>9548</v>
      </c>
      <c r="I50" s="101" t="s">
        <v>9549</v>
      </c>
      <c r="J50" s="101" t="s">
        <v>9550</v>
      </c>
      <c r="K50" s="103"/>
      <c r="L50" s="103"/>
      <c r="M50" s="252"/>
      <c r="N50" s="252"/>
      <c r="O50" s="252"/>
      <c r="P50" s="252"/>
      <c r="Q50" s="252"/>
      <c r="R50" s="252"/>
      <c r="S50" s="252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</row>
    <row r="51">
      <c r="A51" s="78"/>
      <c r="B51" s="2" t="s">
        <v>20</v>
      </c>
      <c r="C51" s="2" t="s">
        <v>577</v>
      </c>
      <c r="D51" s="2" t="s">
        <v>114</v>
      </c>
      <c r="E51" s="2" t="s">
        <v>115</v>
      </c>
      <c r="F51" s="78"/>
      <c r="G51" s="105"/>
      <c r="H51" s="101" t="s">
        <v>9551</v>
      </c>
      <c r="I51" s="103"/>
      <c r="J51" s="101" t="s">
        <v>9552</v>
      </c>
      <c r="K51" s="103"/>
      <c r="L51" s="103"/>
      <c r="M51" s="252"/>
      <c r="N51" s="252"/>
      <c r="O51" s="252"/>
      <c r="P51" s="252"/>
      <c r="Q51" s="252"/>
      <c r="R51" s="252"/>
      <c r="S51" s="252"/>
      <c r="T51" s="253"/>
      <c r="U51" s="253"/>
      <c r="V51" s="253"/>
      <c r="W51" s="253"/>
      <c r="X51" s="253"/>
      <c r="Y51" s="253"/>
      <c r="Z51" s="253"/>
      <c r="AA51" s="253"/>
      <c r="AB51" s="253"/>
      <c r="AC51" s="253"/>
    </row>
    <row r="52">
      <c r="A52" s="78"/>
      <c r="B52" s="2" t="s">
        <v>20</v>
      </c>
      <c r="C52" s="2" t="s">
        <v>9553</v>
      </c>
      <c r="D52" s="2" t="s">
        <v>114</v>
      </c>
      <c r="E52" s="2" t="s">
        <v>115</v>
      </c>
      <c r="F52" s="2" t="s">
        <v>9554</v>
      </c>
      <c r="G52" s="105"/>
      <c r="H52" s="101" t="s">
        <v>9555</v>
      </c>
      <c r="I52" s="103"/>
      <c r="J52" s="103"/>
      <c r="K52" s="103"/>
      <c r="L52" s="103"/>
      <c r="M52" s="252"/>
      <c r="N52" s="252"/>
      <c r="O52" s="252"/>
      <c r="P52" s="252"/>
      <c r="Q52" s="252"/>
      <c r="R52" s="252"/>
      <c r="S52" s="252"/>
      <c r="T52" s="253"/>
      <c r="U52" s="253"/>
      <c r="V52" s="253"/>
      <c r="W52" s="253"/>
      <c r="X52" s="253"/>
      <c r="Y52" s="253"/>
      <c r="Z52" s="253"/>
      <c r="AA52" s="253"/>
      <c r="AB52" s="253"/>
      <c r="AC52" s="253"/>
    </row>
    <row r="53">
      <c r="A53" s="78"/>
      <c r="B53" s="2" t="s">
        <v>20</v>
      </c>
      <c r="C53" s="2" t="s">
        <v>1298</v>
      </c>
      <c r="D53" s="2" t="s">
        <v>114</v>
      </c>
      <c r="E53" s="2" t="s">
        <v>115</v>
      </c>
      <c r="F53" s="78"/>
      <c r="G53" s="105"/>
      <c r="H53" s="101" t="s">
        <v>9556</v>
      </c>
      <c r="I53" s="101" t="s">
        <v>9557</v>
      </c>
      <c r="J53" s="101" t="s">
        <v>9558</v>
      </c>
      <c r="K53" s="103"/>
      <c r="L53" s="103"/>
      <c r="M53" s="252"/>
      <c r="N53" s="252"/>
      <c r="O53" s="252"/>
      <c r="P53" s="252"/>
      <c r="Q53" s="252"/>
      <c r="R53" s="252"/>
      <c r="S53" s="252"/>
      <c r="T53" s="253"/>
      <c r="U53" s="253"/>
      <c r="V53" s="253"/>
      <c r="W53" s="253"/>
      <c r="X53" s="253"/>
      <c r="Y53" s="253"/>
      <c r="Z53" s="253"/>
      <c r="AA53" s="253"/>
      <c r="AB53" s="253"/>
      <c r="AC53" s="253"/>
    </row>
    <row r="54">
      <c r="A54" s="78"/>
      <c r="B54" s="2" t="s">
        <v>20</v>
      </c>
      <c r="C54" s="2" t="s">
        <v>9461</v>
      </c>
      <c r="D54" s="2" t="s">
        <v>114</v>
      </c>
      <c r="E54" s="2" t="s">
        <v>115</v>
      </c>
      <c r="F54" s="78"/>
      <c r="G54" s="105"/>
      <c r="H54" s="101" t="s">
        <v>9559</v>
      </c>
      <c r="I54" s="103"/>
      <c r="J54" s="103"/>
      <c r="K54" s="103"/>
      <c r="L54" s="103"/>
      <c r="M54" s="252"/>
      <c r="N54" s="252"/>
      <c r="O54" s="252"/>
      <c r="P54" s="252"/>
      <c r="Q54" s="252"/>
      <c r="R54" s="252"/>
      <c r="S54" s="252"/>
      <c r="T54" s="253"/>
      <c r="U54" s="253"/>
      <c r="V54" s="253"/>
      <c r="W54" s="253"/>
      <c r="X54" s="253"/>
      <c r="Y54" s="253"/>
      <c r="Z54" s="253"/>
      <c r="AA54" s="253"/>
      <c r="AB54" s="253"/>
      <c r="AC54" s="253"/>
    </row>
    <row r="55">
      <c r="A55" s="78"/>
      <c r="B55" s="2" t="s">
        <v>20</v>
      </c>
      <c r="C55" s="2" t="s">
        <v>9560</v>
      </c>
      <c r="D55" s="2" t="s">
        <v>114</v>
      </c>
      <c r="E55" s="2" t="s">
        <v>115</v>
      </c>
      <c r="F55" s="78"/>
      <c r="G55" s="105"/>
      <c r="H55" s="101" t="s">
        <v>9561</v>
      </c>
      <c r="I55" s="101" t="s">
        <v>9562</v>
      </c>
      <c r="J55" s="103"/>
      <c r="K55" s="103"/>
      <c r="L55" s="103"/>
      <c r="M55" s="252"/>
      <c r="N55" s="252"/>
      <c r="O55" s="252"/>
      <c r="P55" s="252"/>
      <c r="Q55" s="252"/>
      <c r="R55" s="252"/>
      <c r="S55" s="252"/>
      <c r="T55" s="253"/>
      <c r="U55" s="253"/>
      <c r="V55" s="253"/>
      <c r="W55" s="253"/>
      <c r="X55" s="253"/>
      <c r="Y55" s="253"/>
      <c r="Z55" s="253"/>
      <c r="AA55" s="253"/>
      <c r="AB55" s="253"/>
      <c r="AC55" s="253"/>
    </row>
    <row r="56">
      <c r="A56" s="78"/>
      <c r="B56" s="2" t="s">
        <v>20</v>
      </c>
      <c r="C56" s="2" t="s">
        <v>5880</v>
      </c>
      <c r="D56" s="2" t="s">
        <v>114</v>
      </c>
      <c r="E56" s="2" t="s">
        <v>115</v>
      </c>
      <c r="F56" s="78"/>
      <c r="G56" s="105"/>
      <c r="H56" s="101" t="s">
        <v>9563</v>
      </c>
      <c r="I56" s="101" t="s">
        <v>9564</v>
      </c>
      <c r="J56" s="103"/>
      <c r="K56" s="103"/>
      <c r="L56" s="103"/>
      <c r="M56" s="252"/>
      <c r="N56" s="252"/>
      <c r="O56" s="252"/>
      <c r="P56" s="252"/>
      <c r="Q56" s="252"/>
      <c r="R56" s="252"/>
      <c r="S56" s="252"/>
      <c r="T56" s="253"/>
      <c r="U56" s="253"/>
      <c r="V56" s="253"/>
      <c r="W56" s="253"/>
      <c r="X56" s="253"/>
      <c r="Y56" s="253"/>
      <c r="Z56" s="253"/>
      <c r="AA56" s="253"/>
      <c r="AB56" s="253"/>
      <c r="AC56" s="253"/>
    </row>
    <row r="57">
      <c r="A57" s="78"/>
      <c r="B57" s="2" t="s">
        <v>20</v>
      </c>
      <c r="C57" s="2" t="s">
        <v>9565</v>
      </c>
      <c r="D57" s="2" t="s">
        <v>114</v>
      </c>
      <c r="E57" s="2" t="s">
        <v>115</v>
      </c>
      <c r="F57" s="78"/>
      <c r="G57" s="105"/>
      <c r="H57" s="101" t="s">
        <v>9566</v>
      </c>
      <c r="I57" s="101" t="s">
        <v>9567</v>
      </c>
      <c r="J57" s="103"/>
      <c r="K57" s="103"/>
      <c r="L57" s="103"/>
      <c r="M57" s="252"/>
      <c r="N57" s="252"/>
      <c r="O57" s="252"/>
      <c r="P57" s="252"/>
      <c r="Q57" s="252"/>
      <c r="R57" s="252"/>
      <c r="S57" s="252"/>
      <c r="T57" s="253"/>
      <c r="U57" s="253"/>
      <c r="V57" s="253"/>
      <c r="W57" s="253"/>
      <c r="X57" s="253"/>
      <c r="Y57" s="253"/>
      <c r="Z57" s="253"/>
      <c r="AA57" s="253"/>
      <c r="AB57" s="253"/>
      <c r="AC57" s="253"/>
    </row>
    <row r="58">
      <c r="A58" s="78"/>
      <c r="B58" s="2" t="s">
        <v>20</v>
      </c>
      <c r="C58" s="2" t="s">
        <v>9553</v>
      </c>
      <c r="D58" s="2" t="s">
        <v>114</v>
      </c>
      <c r="E58" s="2" t="s">
        <v>115</v>
      </c>
      <c r="F58" s="78"/>
      <c r="G58" s="105"/>
      <c r="H58" s="101" t="s">
        <v>9568</v>
      </c>
      <c r="I58" s="101" t="s">
        <v>9569</v>
      </c>
      <c r="J58" s="103"/>
      <c r="K58" s="103"/>
      <c r="L58" s="103"/>
      <c r="M58" s="252"/>
      <c r="N58" s="252"/>
      <c r="O58" s="252"/>
      <c r="P58" s="252"/>
      <c r="Q58" s="252"/>
      <c r="R58" s="252"/>
      <c r="S58" s="252"/>
      <c r="T58" s="253"/>
      <c r="U58" s="253"/>
      <c r="V58" s="253"/>
      <c r="W58" s="253"/>
      <c r="X58" s="253"/>
      <c r="Y58" s="253"/>
      <c r="Z58" s="253"/>
      <c r="AA58" s="253"/>
      <c r="AB58" s="253"/>
      <c r="AC58" s="253"/>
    </row>
    <row r="59">
      <c r="A59" s="78"/>
      <c r="B59" s="2" t="s">
        <v>20</v>
      </c>
      <c r="C59" s="2" t="s">
        <v>9570</v>
      </c>
      <c r="D59" s="2" t="s">
        <v>114</v>
      </c>
      <c r="E59" s="2" t="s">
        <v>115</v>
      </c>
      <c r="F59" s="78"/>
      <c r="G59" s="105"/>
      <c r="H59" s="101" t="s">
        <v>9571</v>
      </c>
      <c r="I59" s="101" t="s">
        <v>9572</v>
      </c>
      <c r="J59" s="103"/>
      <c r="K59" s="103"/>
      <c r="L59" s="103"/>
      <c r="M59" s="252"/>
      <c r="N59" s="252"/>
      <c r="O59" s="252"/>
      <c r="P59" s="252"/>
      <c r="Q59" s="252"/>
      <c r="R59" s="252"/>
      <c r="S59" s="252"/>
      <c r="T59" s="253"/>
      <c r="U59" s="253"/>
      <c r="V59" s="253"/>
      <c r="W59" s="253"/>
      <c r="X59" s="253"/>
      <c r="Y59" s="253"/>
      <c r="Z59" s="253"/>
      <c r="AA59" s="253"/>
      <c r="AB59" s="253"/>
      <c r="AC59" s="253"/>
    </row>
    <row r="60">
      <c r="A60" s="78"/>
      <c r="B60" s="2" t="s">
        <v>20</v>
      </c>
      <c r="C60" s="2" t="s">
        <v>9573</v>
      </c>
      <c r="D60" s="2" t="s">
        <v>114</v>
      </c>
      <c r="E60" s="2" t="s">
        <v>115</v>
      </c>
      <c r="F60" s="78"/>
      <c r="G60" s="105"/>
      <c r="H60" s="101" t="s">
        <v>9511</v>
      </c>
      <c r="I60" s="101" t="s">
        <v>9512</v>
      </c>
      <c r="J60" s="103"/>
      <c r="K60" s="103"/>
      <c r="L60" s="103"/>
      <c r="M60" s="252"/>
      <c r="N60" s="252"/>
      <c r="O60" s="252"/>
      <c r="P60" s="252"/>
      <c r="Q60" s="252"/>
      <c r="R60" s="252"/>
      <c r="S60" s="252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</row>
    <row r="61">
      <c r="A61" s="78"/>
      <c r="B61" s="2" t="s">
        <v>20</v>
      </c>
      <c r="C61" s="2" t="s">
        <v>5226</v>
      </c>
      <c r="D61" s="2" t="s">
        <v>114</v>
      </c>
      <c r="E61" s="2" t="s">
        <v>115</v>
      </c>
      <c r="F61" s="78"/>
      <c r="G61" s="105"/>
      <c r="H61" s="101" t="s">
        <v>9574</v>
      </c>
      <c r="I61" s="101" t="s">
        <v>9575</v>
      </c>
      <c r="J61" s="101" t="s">
        <v>9576</v>
      </c>
      <c r="K61" s="103"/>
      <c r="L61" s="103"/>
      <c r="M61" s="252"/>
      <c r="N61" s="252"/>
      <c r="O61" s="252"/>
      <c r="P61" s="252"/>
      <c r="Q61" s="252"/>
      <c r="R61" s="252"/>
      <c r="S61" s="252"/>
      <c r="T61" s="253"/>
      <c r="U61" s="253"/>
      <c r="V61" s="253"/>
      <c r="W61" s="253"/>
      <c r="X61" s="253"/>
      <c r="Y61" s="253"/>
      <c r="Z61" s="253"/>
      <c r="AA61" s="253"/>
      <c r="AB61" s="253"/>
      <c r="AC61" s="253"/>
    </row>
    <row r="62">
      <c r="A62" s="78"/>
      <c r="B62" s="2" t="s">
        <v>20</v>
      </c>
      <c r="C62" s="2" t="s">
        <v>1108</v>
      </c>
      <c r="D62" s="2" t="s">
        <v>114</v>
      </c>
      <c r="E62" s="2" t="s">
        <v>115</v>
      </c>
      <c r="F62" s="78"/>
      <c r="G62" s="105"/>
      <c r="H62" s="101" t="s">
        <v>9577</v>
      </c>
      <c r="I62" s="101" t="s">
        <v>9578</v>
      </c>
      <c r="J62" s="103"/>
      <c r="K62" s="103"/>
      <c r="L62" s="103"/>
      <c r="M62" s="252"/>
      <c r="N62" s="252"/>
      <c r="O62" s="252"/>
      <c r="P62" s="252"/>
      <c r="Q62" s="252"/>
      <c r="R62" s="252"/>
      <c r="S62" s="252"/>
      <c r="T62" s="253"/>
      <c r="U62" s="253"/>
      <c r="V62" s="253"/>
      <c r="W62" s="253"/>
      <c r="X62" s="253"/>
      <c r="Y62" s="253"/>
      <c r="Z62" s="253"/>
      <c r="AA62" s="253"/>
      <c r="AB62" s="253"/>
      <c r="AC62" s="253"/>
    </row>
    <row r="63">
      <c r="A63" s="78"/>
      <c r="B63" s="2" t="s">
        <v>20</v>
      </c>
      <c r="C63" s="2" t="s">
        <v>9579</v>
      </c>
      <c r="D63" s="2" t="s">
        <v>114</v>
      </c>
      <c r="E63" s="2" t="s">
        <v>115</v>
      </c>
      <c r="F63" s="78"/>
      <c r="G63" s="105"/>
      <c r="H63" s="101" t="s">
        <v>9580</v>
      </c>
      <c r="I63" s="101" t="s">
        <v>9581</v>
      </c>
      <c r="J63" s="103"/>
      <c r="K63" s="103"/>
      <c r="L63" s="103"/>
      <c r="M63" s="252"/>
      <c r="N63" s="252"/>
      <c r="O63" s="252"/>
      <c r="P63" s="252"/>
      <c r="Q63" s="252"/>
      <c r="R63" s="252"/>
      <c r="S63" s="252"/>
      <c r="T63" s="253"/>
      <c r="U63" s="253"/>
      <c r="V63" s="253"/>
      <c r="W63" s="253"/>
      <c r="X63" s="253"/>
      <c r="Y63" s="253"/>
      <c r="Z63" s="253"/>
      <c r="AA63" s="253"/>
      <c r="AB63" s="253"/>
      <c r="AC63" s="253"/>
    </row>
    <row r="64">
      <c r="A64" s="78"/>
      <c r="B64" s="2" t="s">
        <v>20</v>
      </c>
      <c r="C64" s="2" t="s">
        <v>9553</v>
      </c>
      <c r="D64" s="2" t="s">
        <v>114</v>
      </c>
      <c r="E64" s="2" t="s">
        <v>115</v>
      </c>
      <c r="F64" s="78"/>
      <c r="G64" s="105"/>
      <c r="H64" s="101" t="s">
        <v>9582</v>
      </c>
      <c r="I64" s="103"/>
      <c r="J64" s="103"/>
      <c r="K64" s="103"/>
      <c r="L64" s="103"/>
      <c r="M64" s="252"/>
      <c r="N64" s="252"/>
      <c r="O64" s="252"/>
      <c r="P64" s="252"/>
      <c r="Q64" s="252"/>
      <c r="R64" s="252"/>
      <c r="S64" s="252"/>
      <c r="T64" s="253"/>
      <c r="U64" s="253"/>
      <c r="V64" s="253"/>
      <c r="W64" s="253"/>
      <c r="X64" s="253"/>
      <c r="Y64" s="253"/>
      <c r="Z64" s="253"/>
      <c r="AA64" s="253"/>
      <c r="AB64" s="253"/>
      <c r="AC64" s="253"/>
    </row>
    <row r="65">
      <c r="A65" s="78"/>
      <c r="B65" s="2" t="s">
        <v>20</v>
      </c>
      <c r="C65" s="2" t="s">
        <v>9583</v>
      </c>
      <c r="D65" s="2" t="s">
        <v>114</v>
      </c>
      <c r="E65" s="2" t="s">
        <v>115</v>
      </c>
      <c r="F65" s="78"/>
      <c r="G65" s="105"/>
      <c r="H65" s="101" t="s">
        <v>9584</v>
      </c>
      <c r="I65" s="101" t="s">
        <v>9585</v>
      </c>
      <c r="J65" s="103"/>
      <c r="K65" s="103"/>
      <c r="L65" s="103"/>
      <c r="M65" s="252"/>
      <c r="N65" s="252"/>
      <c r="O65" s="252"/>
      <c r="P65" s="252"/>
      <c r="Q65" s="252"/>
      <c r="R65" s="252"/>
      <c r="S65" s="252"/>
      <c r="T65" s="253"/>
      <c r="U65" s="253"/>
      <c r="V65" s="253"/>
      <c r="W65" s="253"/>
      <c r="X65" s="253"/>
      <c r="Y65" s="253"/>
      <c r="Z65" s="253"/>
      <c r="AA65" s="253"/>
      <c r="AB65" s="253"/>
      <c r="AC65" s="253"/>
    </row>
    <row r="66">
      <c r="A66" s="78"/>
      <c r="B66" s="2" t="s">
        <v>20</v>
      </c>
      <c r="C66" s="2" t="s">
        <v>9586</v>
      </c>
      <c r="D66" s="2" t="s">
        <v>114</v>
      </c>
      <c r="E66" s="2" t="s">
        <v>115</v>
      </c>
      <c r="F66" s="78"/>
      <c r="G66" s="105"/>
      <c r="H66" s="101" t="s">
        <v>9587</v>
      </c>
      <c r="I66" s="103"/>
      <c r="J66" s="103"/>
      <c r="K66" s="103"/>
      <c r="L66" s="103"/>
      <c r="M66" s="252"/>
      <c r="N66" s="252"/>
      <c r="O66" s="252"/>
      <c r="P66" s="252"/>
      <c r="Q66" s="252"/>
      <c r="R66" s="252"/>
      <c r="S66" s="252"/>
      <c r="T66" s="253"/>
      <c r="U66" s="253"/>
      <c r="V66" s="253"/>
      <c r="W66" s="253"/>
      <c r="X66" s="253"/>
      <c r="Y66" s="253"/>
      <c r="Z66" s="253"/>
      <c r="AA66" s="253"/>
      <c r="AB66" s="253"/>
      <c r="AC66" s="253"/>
    </row>
    <row r="67">
      <c r="A67" s="78"/>
      <c r="B67" s="256" t="s">
        <v>20</v>
      </c>
      <c r="C67" s="256" t="s">
        <v>327</v>
      </c>
      <c r="D67" s="2" t="s">
        <v>114</v>
      </c>
      <c r="E67" s="2" t="s">
        <v>115</v>
      </c>
      <c r="F67" s="78"/>
      <c r="G67" s="105"/>
      <c r="H67" s="101" t="s">
        <v>9588</v>
      </c>
      <c r="I67" s="101" t="s">
        <v>9589</v>
      </c>
      <c r="J67" s="101" t="s">
        <v>9590</v>
      </c>
      <c r="K67" s="103"/>
      <c r="L67" s="103"/>
      <c r="M67" s="252"/>
      <c r="N67" s="252"/>
      <c r="O67" s="252"/>
      <c r="P67" s="252"/>
      <c r="Q67" s="252"/>
      <c r="R67" s="252"/>
      <c r="S67" s="252"/>
      <c r="T67" s="253"/>
      <c r="U67" s="253"/>
      <c r="V67" s="253"/>
      <c r="W67" s="253"/>
      <c r="X67" s="253"/>
      <c r="Y67" s="253"/>
      <c r="Z67" s="253"/>
      <c r="AA67" s="253"/>
      <c r="AB67" s="253"/>
      <c r="AC67" s="253"/>
    </row>
    <row r="68">
      <c r="A68" s="78"/>
      <c r="B68" s="2" t="s">
        <v>20</v>
      </c>
      <c r="C68" s="2" t="s">
        <v>763</v>
      </c>
      <c r="D68" s="2" t="s">
        <v>114</v>
      </c>
      <c r="E68" s="2" t="s">
        <v>115</v>
      </c>
      <c r="F68" s="78"/>
      <c r="G68" s="105"/>
      <c r="H68" s="101" t="s">
        <v>9591</v>
      </c>
      <c r="I68" s="103"/>
      <c r="J68" s="103"/>
      <c r="K68" s="103"/>
      <c r="L68" s="103"/>
      <c r="M68" s="252"/>
      <c r="N68" s="252"/>
      <c r="O68" s="252"/>
      <c r="P68" s="252"/>
      <c r="Q68" s="252"/>
      <c r="R68" s="252"/>
      <c r="S68" s="252"/>
      <c r="T68" s="253"/>
      <c r="U68" s="253"/>
      <c r="V68" s="253"/>
      <c r="W68" s="253"/>
      <c r="X68" s="253"/>
      <c r="Y68" s="253"/>
      <c r="Z68" s="253"/>
      <c r="AA68" s="253"/>
      <c r="AB68" s="253"/>
      <c r="AC68" s="253"/>
    </row>
    <row r="69">
      <c r="A69" s="78"/>
      <c r="B69" s="2" t="s">
        <v>20</v>
      </c>
      <c r="C69" s="2" t="s">
        <v>3081</v>
      </c>
      <c r="D69" s="2" t="s">
        <v>114</v>
      </c>
      <c r="E69" s="2" t="s">
        <v>115</v>
      </c>
      <c r="F69" s="78"/>
      <c r="G69" s="105"/>
      <c r="H69" s="101" t="s">
        <v>9592</v>
      </c>
      <c r="I69" s="101" t="s">
        <v>9593</v>
      </c>
      <c r="J69" s="103"/>
      <c r="K69" s="103"/>
      <c r="L69" s="103"/>
      <c r="M69" s="252"/>
      <c r="N69" s="252"/>
      <c r="O69" s="252"/>
      <c r="P69" s="252"/>
      <c r="Q69" s="252"/>
      <c r="R69" s="252"/>
      <c r="S69" s="252"/>
      <c r="T69" s="253"/>
      <c r="U69" s="253"/>
      <c r="V69" s="253"/>
      <c r="W69" s="253"/>
      <c r="X69" s="253"/>
      <c r="Y69" s="253"/>
      <c r="Z69" s="253"/>
      <c r="AA69" s="253"/>
      <c r="AB69" s="253"/>
      <c r="AC69" s="253"/>
    </row>
    <row r="70">
      <c r="A70" s="78"/>
      <c r="B70" s="2" t="s">
        <v>20</v>
      </c>
      <c r="C70" s="2" t="s">
        <v>9594</v>
      </c>
      <c r="D70" s="2" t="s">
        <v>114</v>
      </c>
      <c r="E70" s="2" t="s">
        <v>115</v>
      </c>
      <c r="F70" s="78"/>
      <c r="G70" s="105"/>
      <c r="H70" s="101" t="s">
        <v>9595</v>
      </c>
      <c r="I70" s="103"/>
      <c r="J70" s="103"/>
      <c r="K70" s="103"/>
      <c r="L70" s="103"/>
      <c r="M70" s="252"/>
      <c r="N70" s="252"/>
      <c r="O70" s="252"/>
      <c r="P70" s="252"/>
      <c r="Q70" s="252"/>
      <c r="R70" s="252"/>
      <c r="S70" s="252"/>
      <c r="T70" s="253"/>
      <c r="U70" s="253"/>
      <c r="V70" s="253"/>
      <c r="W70" s="253"/>
      <c r="X70" s="253"/>
      <c r="Y70" s="253"/>
      <c r="Z70" s="253"/>
      <c r="AA70" s="253"/>
      <c r="AB70" s="253"/>
      <c r="AC70" s="253"/>
    </row>
    <row r="71">
      <c r="A71" s="78"/>
      <c r="B71" s="2" t="s">
        <v>20</v>
      </c>
      <c r="C71" s="2" t="s">
        <v>9596</v>
      </c>
      <c r="D71" s="2" t="s">
        <v>114</v>
      </c>
      <c r="E71" s="2" t="s">
        <v>115</v>
      </c>
      <c r="F71" s="78"/>
      <c r="G71" s="105"/>
      <c r="H71" s="101" t="s">
        <v>9597</v>
      </c>
      <c r="I71" s="103"/>
      <c r="J71" s="103"/>
      <c r="K71" s="103"/>
      <c r="L71" s="103"/>
      <c r="M71" s="252"/>
      <c r="N71" s="252"/>
      <c r="O71" s="252"/>
      <c r="P71" s="252"/>
      <c r="Q71" s="252"/>
      <c r="R71" s="252"/>
      <c r="S71" s="252"/>
      <c r="T71" s="253"/>
      <c r="U71" s="253"/>
      <c r="V71" s="253"/>
      <c r="W71" s="253"/>
      <c r="X71" s="253"/>
      <c r="Y71" s="253"/>
      <c r="Z71" s="253"/>
      <c r="AA71" s="253"/>
      <c r="AB71" s="253"/>
      <c r="AC71" s="253"/>
    </row>
    <row r="72">
      <c r="A72" s="78"/>
      <c r="B72" s="2" t="s">
        <v>20</v>
      </c>
      <c r="C72" s="2" t="s">
        <v>356</v>
      </c>
      <c r="D72" s="2" t="s">
        <v>114</v>
      </c>
      <c r="E72" s="2" t="s">
        <v>115</v>
      </c>
      <c r="F72" s="78"/>
      <c r="G72" s="105"/>
      <c r="H72" s="101" t="s">
        <v>9598</v>
      </c>
      <c r="I72" s="101" t="s">
        <v>9599</v>
      </c>
      <c r="J72" s="103"/>
      <c r="K72" s="103"/>
      <c r="L72" s="103"/>
      <c r="M72" s="252"/>
      <c r="N72" s="252"/>
      <c r="O72" s="252"/>
      <c r="P72" s="252"/>
      <c r="Q72" s="252"/>
      <c r="R72" s="252"/>
      <c r="S72" s="252"/>
      <c r="T72" s="253"/>
      <c r="U72" s="253"/>
      <c r="V72" s="253"/>
      <c r="W72" s="253"/>
      <c r="X72" s="253"/>
      <c r="Y72" s="253"/>
      <c r="Z72" s="253"/>
      <c r="AA72" s="253"/>
      <c r="AB72" s="253"/>
      <c r="AC72" s="253"/>
    </row>
    <row r="73">
      <c r="A73" s="78"/>
      <c r="B73" s="2" t="s">
        <v>20</v>
      </c>
      <c r="C73" s="2" t="s">
        <v>7561</v>
      </c>
      <c r="D73" s="2" t="s">
        <v>114</v>
      </c>
      <c r="E73" s="2" t="s">
        <v>115</v>
      </c>
      <c r="F73" s="78"/>
      <c r="G73" s="105"/>
      <c r="H73" s="101" t="s">
        <v>9600</v>
      </c>
      <c r="I73" s="103"/>
      <c r="J73" s="103"/>
      <c r="K73" s="103"/>
      <c r="L73" s="103"/>
      <c r="M73" s="252"/>
      <c r="N73" s="252"/>
      <c r="O73" s="252"/>
      <c r="P73" s="252"/>
      <c r="Q73" s="252"/>
      <c r="R73" s="252"/>
      <c r="S73" s="252"/>
      <c r="T73" s="253"/>
      <c r="U73" s="253"/>
      <c r="V73" s="253"/>
      <c r="W73" s="253"/>
      <c r="X73" s="253"/>
      <c r="Y73" s="253"/>
      <c r="Z73" s="253"/>
      <c r="AA73" s="253"/>
      <c r="AB73" s="253"/>
      <c r="AC73" s="253"/>
    </row>
    <row r="74">
      <c r="A74" s="78"/>
      <c r="B74" s="2" t="s">
        <v>20</v>
      </c>
      <c r="C74" s="2" t="s">
        <v>3209</v>
      </c>
      <c r="D74" s="2" t="s">
        <v>114</v>
      </c>
      <c r="E74" s="2" t="s">
        <v>115</v>
      </c>
      <c r="F74" s="78"/>
      <c r="G74" s="105"/>
      <c r="H74" s="101" t="s">
        <v>9601</v>
      </c>
      <c r="I74" s="101" t="s">
        <v>9602</v>
      </c>
      <c r="J74" s="103"/>
      <c r="K74" s="103"/>
      <c r="L74" s="103"/>
      <c r="M74" s="252"/>
      <c r="N74" s="252"/>
      <c r="O74" s="252"/>
      <c r="P74" s="252"/>
      <c r="Q74" s="252"/>
      <c r="R74" s="252"/>
      <c r="S74" s="252"/>
      <c r="T74" s="253"/>
      <c r="U74" s="253"/>
      <c r="V74" s="253"/>
      <c r="W74" s="253"/>
      <c r="X74" s="253"/>
      <c r="Y74" s="253"/>
      <c r="Z74" s="253"/>
      <c r="AA74" s="253"/>
      <c r="AB74" s="253"/>
      <c r="AC74" s="253"/>
    </row>
    <row r="75">
      <c r="A75" s="78"/>
      <c r="B75" s="2" t="s">
        <v>20</v>
      </c>
      <c r="C75" s="2" t="s">
        <v>9603</v>
      </c>
      <c r="D75" s="2" t="s">
        <v>114</v>
      </c>
      <c r="E75" s="2" t="s">
        <v>115</v>
      </c>
      <c r="F75" s="78"/>
      <c r="G75" s="105"/>
      <c r="H75" s="101" t="s">
        <v>9604</v>
      </c>
      <c r="I75" s="101" t="s">
        <v>9605</v>
      </c>
      <c r="J75" s="101" t="s">
        <v>9606</v>
      </c>
      <c r="K75" s="103"/>
      <c r="L75" s="103"/>
      <c r="M75" s="252"/>
      <c r="N75" s="252"/>
      <c r="O75" s="252"/>
      <c r="P75" s="252"/>
      <c r="Q75" s="252"/>
      <c r="R75" s="252"/>
      <c r="S75" s="252"/>
      <c r="T75" s="253"/>
      <c r="U75" s="253"/>
      <c r="V75" s="253"/>
      <c r="W75" s="253"/>
      <c r="X75" s="253"/>
      <c r="Y75" s="253"/>
      <c r="Z75" s="253"/>
      <c r="AA75" s="253"/>
      <c r="AB75" s="253"/>
      <c r="AC75" s="253"/>
    </row>
    <row r="76">
      <c r="A76" s="78"/>
      <c r="B76" s="2" t="s">
        <v>20</v>
      </c>
      <c r="C76" s="2" t="s">
        <v>2542</v>
      </c>
      <c r="D76" s="2" t="s">
        <v>114</v>
      </c>
      <c r="E76" s="2" t="s">
        <v>115</v>
      </c>
      <c r="F76" s="2" t="s">
        <v>9547</v>
      </c>
      <c r="G76" s="105"/>
      <c r="H76" s="101" t="s">
        <v>9607</v>
      </c>
      <c r="I76" s="103"/>
      <c r="J76" s="103"/>
      <c r="K76" s="103"/>
      <c r="L76" s="103"/>
      <c r="M76" s="252"/>
      <c r="N76" s="252"/>
      <c r="O76" s="252"/>
      <c r="P76" s="252"/>
      <c r="Q76" s="252"/>
      <c r="R76" s="252"/>
      <c r="S76" s="252"/>
      <c r="T76" s="253"/>
      <c r="U76" s="253"/>
      <c r="V76" s="253"/>
      <c r="W76" s="253"/>
      <c r="X76" s="253"/>
      <c r="Y76" s="253"/>
      <c r="Z76" s="253"/>
      <c r="AA76" s="253"/>
      <c r="AB76" s="253"/>
      <c r="AC76" s="253"/>
    </row>
    <row r="77">
      <c r="A77" s="78"/>
      <c r="B77" s="2" t="s">
        <v>20</v>
      </c>
      <c r="C77" s="2" t="s">
        <v>5073</v>
      </c>
      <c r="D77" s="2" t="s">
        <v>114</v>
      </c>
      <c r="E77" s="2" t="s">
        <v>115</v>
      </c>
      <c r="F77" s="78"/>
      <c r="G77" s="105"/>
      <c r="H77" s="101" t="s">
        <v>9608</v>
      </c>
      <c r="I77" s="103"/>
      <c r="J77" s="103"/>
      <c r="K77" s="103"/>
      <c r="L77" s="103"/>
      <c r="M77" s="252"/>
      <c r="N77" s="252"/>
      <c r="O77" s="252"/>
      <c r="P77" s="252"/>
      <c r="Q77" s="252"/>
      <c r="R77" s="252"/>
      <c r="S77" s="252"/>
      <c r="T77" s="253"/>
      <c r="U77" s="253"/>
      <c r="V77" s="253"/>
      <c r="W77" s="253"/>
      <c r="X77" s="253"/>
      <c r="Y77" s="253"/>
      <c r="Z77" s="253"/>
      <c r="AA77" s="253"/>
      <c r="AB77" s="253"/>
      <c r="AC77" s="253"/>
    </row>
    <row r="78">
      <c r="A78" s="78"/>
      <c r="B78" s="2" t="s">
        <v>20</v>
      </c>
      <c r="C78" s="2" t="s">
        <v>9609</v>
      </c>
      <c r="D78" s="2" t="s">
        <v>114</v>
      </c>
      <c r="E78" s="2" t="s">
        <v>115</v>
      </c>
      <c r="F78" s="78"/>
      <c r="G78" s="105"/>
      <c r="H78" s="101" t="s">
        <v>9610</v>
      </c>
      <c r="I78" s="101" t="s">
        <v>9611</v>
      </c>
      <c r="J78" s="103"/>
      <c r="K78" s="103"/>
      <c r="L78" s="103"/>
      <c r="M78" s="252"/>
      <c r="N78" s="252"/>
      <c r="O78" s="252"/>
      <c r="P78" s="252"/>
      <c r="Q78" s="252"/>
      <c r="R78" s="252"/>
      <c r="S78" s="252"/>
      <c r="T78" s="253"/>
      <c r="U78" s="253"/>
      <c r="V78" s="253"/>
      <c r="W78" s="253"/>
      <c r="X78" s="253"/>
      <c r="Y78" s="253"/>
      <c r="Z78" s="253"/>
      <c r="AA78" s="253"/>
      <c r="AB78" s="253"/>
      <c r="AC78" s="253"/>
    </row>
    <row r="79">
      <c r="A79" s="78"/>
      <c r="B79" s="2" t="s">
        <v>20</v>
      </c>
      <c r="C79" s="2" t="s">
        <v>3381</v>
      </c>
      <c r="D79" s="2" t="s">
        <v>114</v>
      </c>
      <c r="E79" s="2" t="s">
        <v>115</v>
      </c>
      <c r="F79" s="78"/>
      <c r="G79" s="105"/>
      <c r="H79" s="101" t="s">
        <v>9612</v>
      </c>
      <c r="I79" s="101" t="s">
        <v>9613</v>
      </c>
      <c r="J79" s="103"/>
      <c r="K79" s="103"/>
      <c r="L79" s="103"/>
      <c r="M79" s="252"/>
      <c r="N79" s="252"/>
      <c r="O79" s="252"/>
      <c r="P79" s="252"/>
      <c r="Q79" s="252"/>
      <c r="R79" s="252"/>
      <c r="S79" s="252"/>
      <c r="T79" s="253"/>
      <c r="U79" s="253"/>
      <c r="V79" s="253"/>
      <c r="W79" s="253"/>
      <c r="X79" s="253"/>
      <c r="Y79" s="253"/>
      <c r="Z79" s="253"/>
      <c r="AA79" s="253"/>
      <c r="AB79" s="253"/>
      <c r="AC79" s="253"/>
    </row>
    <row r="80">
      <c r="A80" s="78"/>
      <c r="B80" s="2" t="s">
        <v>20</v>
      </c>
      <c r="C80" s="2" t="s">
        <v>2981</v>
      </c>
      <c r="D80" s="2" t="s">
        <v>114</v>
      </c>
      <c r="E80" s="2" t="s">
        <v>115</v>
      </c>
      <c r="F80" s="78"/>
      <c r="G80" s="105"/>
      <c r="H80" s="101" t="s">
        <v>9614</v>
      </c>
      <c r="I80" s="103"/>
      <c r="J80" s="103"/>
      <c r="K80" s="103"/>
      <c r="L80" s="103"/>
      <c r="M80" s="252"/>
      <c r="N80" s="252"/>
      <c r="O80" s="252"/>
      <c r="P80" s="252"/>
      <c r="Q80" s="252"/>
      <c r="R80" s="252"/>
      <c r="S80" s="252"/>
      <c r="T80" s="253"/>
      <c r="U80" s="253"/>
      <c r="V80" s="253"/>
      <c r="W80" s="253"/>
      <c r="X80" s="253"/>
      <c r="Y80" s="253"/>
      <c r="Z80" s="253"/>
      <c r="AA80" s="253"/>
      <c r="AB80" s="253"/>
      <c r="AC80" s="253"/>
    </row>
    <row r="81">
      <c r="A81" s="78"/>
      <c r="B81" s="2" t="s">
        <v>20</v>
      </c>
      <c r="C81" s="2" t="s">
        <v>2284</v>
      </c>
      <c r="D81" s="2" t="s">
        <v>114</v>
      </c>
      <c r="E81" s="2" t="s">
        <v>115</v>
      </c>
      <c r="F81" s="2" t="s">
        <v>9615</v>
      </c>
      <c r="G81" s="105"/>
      <c r="H81" s="101" t="s">
        <v>9616</v>
      </c>
      <c r="I81" s="103"/>
      <c r="J81" s="103"/>
      <c r="K81" s="103"/>
      <c r="L81" s="103"/>
      <c r="M81" s="252"/>
      <c r="N81" s="252"/>
      <c r="O81" s="252"/>
      <c r="P81" s="252"/>
      <c r="Q81" s="252"/>
      <c r="R81" s="252"/>
      <c r="S81" s="252"/>
      <c r="T81" s="253"/>
      <c r="U81" s="253"/>
      <c r="V81" s="253"/>
      <c r="W81" s="253"/>
      <c r="X81" s="253"/>
      <c r="Y81" s="253"/>
      <c r="Z81" s="253"/>
      <c r="AA81" s="253"/>
      <c r="AB81" s="253"/>
      <c r="AC81" s="253"/>
    </row>
    <row r="82">
      <c r="A82" s="78"/>
      <c r="B82" s="2" t="s">
        <v>20</v>
      </c>
      <c r="C82" s="2" t="s">
        <v>176</v>
      </c>
      <c r="D82" s="2" t="s">
        <v>114</v>
      </c>
      <c r="E82" s="2" t="s">
        <v>115</v>
      </c>
      <c r="F82" s="2" t="s">
        <v>9617</v>
      </c>
      <c r="G82" s="105"/>
      <c r="H82" s="101" t="s">
        <v>9618</v>
      </c>
      <c r="I82" s="101" t="s">
        <v>9619</v>
      </c>
      <c r="J82" s="103"/>
      <c r="K82" s="103"/>
      <c r="L82" s="103"/>
      <c r="M82" s="252"/>
      <c r="N82" s="252"/>
      <c r="O82" s="252"/>
      <c r="P82" s="252"/>
      <c r="Q82" s="252"/>
      <c r="R82" s="252"/>
      <c r="S82" s="252"/>
      <c r="T82" s="253"/>
      <c r="U82" s="253"/>
      <c r="V82" s="253"/>
      <c r="W82" s="253"/>
      <c r="X82" s="253"/>
      <c r="Y82" s="253"/>
      <c r="Z82" s="253"/>
      <c r="AA82" s="253"/>
      <c r="AB82" s="253"/>
      <c r="AC82" s="253"/>
    </row>
    <row r="83">
      <c r="A83" s="78"/>
      <c r="B83" s="2" t="s">
        <v>20</v>
      </c>
      <c r="C83" s="2" t="s">
        <v>9620</v>
      </c>
      <c r="D83" s="2" t="s">
        <v>114</v>
      </c>
      <c r="E83" s="2" t="s">
        <v>115</v>
      </c>
      <c r="F83" s="78"/>
      <c r="G83" s="105"/>
      <c r="H83" s="101" t="s">
        <v>9621</v>
      </c>
      <c r="I83" s="103"/>
      <c r="J83" s="103"/>
      <c r="K83" s="103"/>
      <c r="L83" s="103"/>
      <c r="M83" s="252"/>
      <c r="N83" s="252"/>
      <c r="O83" s="252"/>
      <c r="P83" s="252"/>
      <c r="Q83" s="252"/>
      <c r="R83" s="252"/>
      <c r="S83" s="252"/>
      <c r="T83" s="253"/>
      <c r="U83" s="253"/>
      <c r="V83" s="253"/>
      <c r="W83" s="253"/>
      <c r="X83" s="253"/>
      <c r="Y83" s="253"/>
      <c r="Z83" s="253"/>
      <c r="AA83" s="253"/>
      <c r="AB83" s="253"/>
      <c r="AC83" s="253"/>
    </row>
    <row r="84">
      <c r="A84" s="78"/>
      <c r="B84" s="2" t="s">
        <v>20</v>
      </c>
      <c r="C84" s="2" t="s">
        <v>2460</v>
      </c>
      <c r="D84" s="2" t="s">
        <v>114</v>
      </c>
      <c r="E84" s="2" t="s">
        <v>115</v>
      </c>
      <c r="F84" s="78"/>
      <c r="G84" s="105"/>
      <c r="H84" s="101" t="s">
        <v>9622</v>
      </c>
      <c r="I84" s="101" t="s">
        <v>9623</v>
      </c>
      <c r="J84" s="101" t="s">
        <v>9624</v>
      </c>
      <c r="K84" s="103"/>
      <c r="L84" s="103"/>
      <c r="M84" s="252"/>
      <c r="N84" s="252"/>
      <c r="O84" s="252"/>
      <c r="P84" s="252"/>
      <c r="Q84" s="252"/>
      <c r="R84" s="252"/>
      <c r="S84" s="252"/>
      <c r="T84" s="253"/>
      <c r="U84" s="253"/>
      <c r="V84" s="253"/>
      <c r="W84" s="253"/>
      <c r="X84" s="253"/>
      <c r="Y84" s="253"/>
      <c r="Z84" s="253"/>
      <c r="AA84" s="253"/>
      <c r="AB84" s="253"/>
      <c r="AC84" s="253"/>
    </row>
    <row r="85">
      <c r="A85" s="78"/>
      <c r="B85" s="2" t="s">
        <v>20</v>
      </c>
      <c r="C85" s="2" t="s">
        <v>3030</v>
      </c>
      <c r="D85" s="2" t="s">
        <v>114</v>
      </c>
      <c r="E85" s="2" t="s">
        <v>115</v>
      </c>
      <c r="F85" s="78"/>
      <c r="G85" s="105"/>
      <c r="H85" s="101" t="s">
        <v>9625</v>
      </c>
      <c r="I85" s="103"/>
      <c r="J85" s="103"/>
      <c r="K85" s="103"/>
      <c r="L85" s="103"/>
      <c r="M85" s="252"/>
      <c r="N85" s="252"/>
      <c r="O85" s="252"/>
      <c r="P85" s="252"/>
      <c r="Q85" s="252"/>
      <c r="R85" s="252"/>
      <c r="S85" s="252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</row>
    <row r="86">
      <c r="A86" s="78"/>
      <c r="B86" s="2" t="s">
        <v>20</v>
      </c>
      <c r="C86" s="2" t="s">
        <v>4636</v>
      </c>
      <c r="D86" s="2" t="s">
        <v>114</v>
      </c>
      <c r="E86" s="2" t="s">
        <v>115</v>
      </c>
      <c r="F86" s="2" t="s">
        <v>9626</v>
      </c>
      <c r="G86" s="105"/>
      <c r="H86" s="101" t="s">
        <v>9627</v>
      </c>
      <c r="I86" s="103"/>
      <c r="J86" s="103"/>
      <c r="K86" s="103"/>
      <c r="L86" s="103"/>
      <c r="M86" s="252"/>
      <c r="N86" s="252"/>
      <c r="O86" s="252"/>
      <c r="P86" s="252"/>
      <c r="Q86" s="252"/>
      <c r="R86" s="252"/>
      <c r="S86" s="252"/>
      <c r="T86" s="253"/>
      <c r="U86" s="253"/>
      <c r="V86" s="253"/>
      <c r="W86" s="253"/>
      <c r="X86" s="253"/>
      <c r="Y86" s="253"/>
      <c r="Z86" s="253"/>
      <c r="AA86" s="253"/>
      <c r="AB86" s="253"/>
      <c r="AC86" s="253"/>
    </row>
    <row r="87">
      <c r="A87" s="78"/>
      <c r="B87" s="2" t="s">
        <v>20</v>
      </c>
      <c r="C87" s="2" t="s">
        <v>1262</v>
      </c>
      <c r="D87" s="2" t="s">
        <v>114</v>
      </c>
      <c r="E87" s="2" t="s">
        <v>115</v>
      </c>
      <c r="F87" s="78"/>
      <c r="G87" s="105"/>
      <c r="H87" s="101" t="s">
        <v>9628</v>
      </c>
      <c r="I87" s="103"/>
      <c r="J87" s="103"/>
      <c r="K87" s="103"/>
      <c r="L87" s="103"/>
      <c r="M87" s="252"/>
      <c r="N87" s="252"/>
      <c r="O87" s="252"/>
      <c r="P87" s="252"/>
      <c r="Q87" s="252"/>
      <c r="R87" s="252"/>
      <c r="S87" s="252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</row>
    <row r="88">
      <c r="A88" s="78"/>
      <c r="B88" s="2" t="s">
        <v>20</v>
      </c>
      <c r="C88" s="2" t="s">
        <v>9629</v>
      </c>
      <c r="D88" s="2" t="s">
        <v>114</v>
      </c>
      <c r="E88" s="2" t="s">
        <v>115</v>
      </c>
      <c r="F88" s="2" t="s">
        <v>9630</v>
      </c>
      <c r="G88" s="105"/>
      <c r="H88" s="101" t="s">
        <v>9631</v>
      </c>
      <c r="I88" s="101" t="s">
        <v>9632</v>
      </c>
      <c r="J88" s="103"/>
      <c r="K88" s="103"/>
      <c r="L88" s="103"/>
      <c r="M88" s="252"/>
      <c r="N88" s="252"/>
      <c r="O88" s="252"/>
      <c r="P88" s="252"/>
      <c r="Q88" s="252"/>
      <c r="R88" s="252"/>
      <c r="S88" s="252"/>
      <c r="T88" s="253"/>
      <c r="U88" s="253"/>
      <c r="V88" s="253"/>
      <c r="W88" s="253"/>
      <c r="X88" s="253"/>
      <c r="Y88" s="253"/>
      <c r="Z88" s="253"/>
      <c r="AA88" s="253"/>
      <c r="AB88" s="253"/>
      <c r="AC88" s="253"/>
    </row>
    <row r="89">
      <c r="A89" s="78"/>
      <c r="B89" s="2" t="s">
        <v>20</v>
      </c>
      <c r="C89" s="2" t="s">
        <v>9633</v>
      </c>
      <c r="D89" s="2" t="s">
        <v>114</v>
      </c>
      <c r="E89" s="2" t="s">
        <v>115</v>
      </c>
      <c r="F89" s="78"/>
      <c r="G89" s="105"/>
      <c r="H89" s="101" t="s">
        <v>9634</v>
      </c>
      <c r="I89" s="103"/>
      <c r="J89" s="103"/>
      <c r="K89" s="103"/>
      <c r="L89" s="103"/>
      <c r="M89" s="252"/>
      <c r="N89" s="252"/>
      <c r="O89" s="252"/>
      <c r="P89" s="252"/>
      <c r="Q89" s="252"/>
      <c r="R89" s="252"/>
      <c r="S89" s="252"/>
      <c r="T89" s="253"/>
      <c r="U89" s="253"/>
      <c r="V89" s="253"/>
      <c r="W89" s="253"/>
      <c r="X89" s="253"/>
      <c r="Y89" s="253"/>
      <c r="Z89" s="253"/>
      <c r="AA89" s="253"/>
      <c r="AB89" s="253"/>
      <c r="AC89" s="253"/>
    </row>
    <row r="90">
      <c r="A90" s="78"/>
      <c r="B90" s="2" t="s">
        <v>20</v>
      </c>
      <c r="C90" s="2" t="s">
        <v>9635</v>
      </c>
      <c r="D90" s="2" t="s">
        <v>114</v>
      </c>
      <c r="E90" s="2" t="s">
        <v>115</v>
      </c>
      <c r="F90" s="78"/>
      <c r="G90" s="105"/>
      <c r="H90" s="101" t="s">
        <v>9636</v>
      </c>
      <c r="I90" s="103"/>
      <c r="J90" s="103"/>
      <c r="K90" s="103"/>
      <c r="L90" s="103"/>
      <c r="M90" s="252"/>
      <c r="N90" s="252"/>
      <c r="O90" s="252"/>
      <c r="P90" s="252"/>
      <c r="Q90" s="252"/>
      <c r="R90" s="252"/>
      <c r="S90" s="252"/>
      <c r="T90" s="253"/>
      <c r="U90" s="253"/>
      <c r="V90" s="253"/>
      <c r="W90" s="253"/>
      <c r="X90" s="253"/>
      <c r="Y90" s="253"/>
      <c r="Z90" s="253"/>
      <c r="AA90" s="253"/>
      <c r="AB90" s="253"/>
      <c r="AC90" s="253"/>
    </row>
    <row r="91">
      <c r="A91" s="78"/>
      <c r="B91" s="2" t="s">
        <v>20</v>
      </c>
      <c r="C91" s="2" t="s">
        <v>678</v>
      </c>
      <c r="D91" s="2" t="s">
        <v>114</v>
      </c>
      <c r="E91" s="2" t="s">
        <v>115</v>
      </c>
      <c r="F91" s="78"/>
      <c r="G91" s="105"/>
      <c r="H91" s="101" t="s">
        <v>9637</v>
      </c>
      <c r="I91" s="101" t="s">
        <v>9638</v>
      </c>
      <c r="J91" s="103"/>
      <c r="K91" s="103"/>
      <c r="L91" s="103"/>
      <c r="M91" s="252"/>
      <c r="N91" s="252"/>
      <c r="O91" s="252"/>
      <c r="P91" s="252"/>
      <c r="Q91" s="252"/>
      <c r="R91" s="252"/>
      <c r="S91" s="252"/>
      <c r="T91" s="253"/>
      <c r="U91" s="253"/>
      <c r="V91" s="253"/>
      <c r="W91" s="253"/>
      <c r="X91" s="253"/>
      <c r="Y91" s="253"/>
      <c r="Z91" s="253"/>
      <c r="AA91" s="253"/>
      <c r="AB91" s="253"/>
      <c r="AC91" s="253"/>
    </row>
    <row r="92">
      <c r="A92" s="78"/>
      <c r="B92" s="2" t="s">
        <v>20</v>
      </c>
      <c r="C92" s="2" t="s">
        <v>5073</v>
      </c>
      <c r="D92" s="2" t="s">
        <v>114</v>
      </c>
      <c r="E92" s="2" t="s">
        <v>115</v>
      </c>
      <c r="F92" s="78"/>
      <c r="G92" s="105"/>
      <c r="H92" s="101" t="s">
        <v>9639</v>
      </c>
      <c r="I92" s="101" t="s">
        <v>9640</v>
      </c>
      <c r="J92" s="103"/>
      <c r="K92" s="103"/>
      <c r="L92" s="103"/>
      <c r="M92" s="252"/>
      <c r="N92" s="252"/>
      <c r="O92" s="252"/>
      <c r="P92" s="252"/>
      <c r="Q92" s="252"/>
      <c r="R92" s="252"/>
      <c r="S92" s="252"/>
      <c r="T92" s="253"/>
      <c r="U92" s="253"/>
      <c r="V92" s="253"/>
      <c r="W92" s="253"/>
      <c r="X92" s="253"/>
      <c r="Y92" s="253"/>
      <c r="Z92" s="253"/>
      <c r="AA92" s="253"/>
      <c r="AB92" s="253"/>
      <c r="AC92" s="253"/>
    </row>
    <row r="93">
      <c r="A93" s="78"/>
      <c r="B93" s="2" t="s">
        <v>20</v>
      </c>
      <c r="C93" s="2" t="s">
        <v>3000</v>
      </c>
      <c r="D93" s="2" t="s">
        <v>114</v>
      </c>
      <c r="E93" s="2" t="s">
        <v>115</v>
      </c>
      <c r="F93" s="78"/>
      <c r="G93" s="105"/>
      <c r="H93" s="101" t="s">
        <v>9641</v>
      </c>
      <c r="I93" s="103"/>
      <c r="J93" s="103"/>
      <c r="K93" s="103"/>
      <c r="L93" s="103"/>
      <c r="M93" s="252"/>
      <c r="N93" s="252"/>
      <c r="O93" s="252"/>
      <c r="P93" s="252"/>
      <c r="Q93" s="252"/>
      <c r="R93" s="252"/>
      <c r="S93" s="252"/>
      <c r="T93" s="253"/>
      <c r="U93" s="253"/>
      <c r="V93" s="253"/>
      <c r="W93" s="253"/>
      <c r="X93" s="253"/>
      <c r="Y93" s="253"/>
      <c r="Z93" s="253"/>
      <c r="AA93" s="253"/>
      <c r="AB93" s="253"/>
      <c r="AC93" s="253"/>
    </row>
    <row r="94">
      <c r="A94" s="78"/>
      <c r="B94" s="2" t="s">
        <v>20</v>
      </c>
      <c r="C94" s="2" t="s">
        <v>176</v>
      </c>
      <c r="D94" s="2" t="s">
        <v>114</v>
      </c>
      <c r="E94" s="2" t="s">
        <v>115</v>
      </c>
      <c r="F94" s="2" t="s">
        <v>9642</v>
      </c>
      <c r="G94" s="105"/>
      <c r="H94" s="101" t="s">
        <v>9643</v>
      </c>
      <c r="I94" s="102" t="s">
        <v>9644</v>
      </c>
      <c r="J94" s="103"/>
      <c r="K94" s="103"/>
      <c r="L94" s="103"/>
      <c r="M94" s="252"/>
      <c r="N94" s="252"/>
      <c r="O94" s="252"/>
      <c r="P94" s="252"/>
      <c r="Q94" s="252"/>
      <c r="R94" s="252"/>
      <c r="S94" s="252"/>
      <c r="T94" s="253"/>
      <c r="U94" s="253"/>
      <c r="V94" s="253"/>
      <c r="W94" s="253"/>
      <c r="X94" s="253"/>
      <c r="Y94" s="253"/>
      <c r="Z94" s="253"/>
      <c r="AA94" s="253"/>
      <c r="AB94" s="253"/>
      <c r="AC94" s="253"/>
    </row>
    <row r="95">
      <c r="A95" s="78"/>
      <c r="B95" s="2" t="s">
        <v>20</v>
      </c>
      <c r="C95" s="2" t="s">
        <v>9645</v>
      </c>
      <c r="D95" s="2" t="s">
        <v>114</v>
      </c>
      <c r="E95" s="2" t="s">
        <v>115</v>
      </c>
      <c r="F95" s="78"/>
      <c r="G95" s="105"/>
      <c r="H95" s="101" t="s">
        <v>9646</v>
      </c>
      <c r="I95" s="103"/>
      <c r="J95" s="101" t="s">
        <v>9647</v>
      </c>
      <c r="K95" s="103"/>
      <c r="L95" s="103"/>
      <c r="M95" s="252"/>
      <c r="N95" s="252"/>
      <c r="O95" s="252"/>
      <c r="P95" s="252"/>
      <c r="Q95" s="252"/>
      <c r="R95" s="252"/>
      <c r="S95" s="252"/>
      <c r="T95" s="253"/>
      <c r="U95" s="253"/>
      <c r="V95" s="253"/>
      <c r="W95" s="253"/>
      <c r="X95" s="253"/>
      <c r="Y95" s="253"/>
      <c r="Z95" s="253"/>
      <c r="AA95" s="253"/>
      <c r="AB95" s="253"/>
      <c r="AC95" s="253"/>
    </row>
    <row r="96">
      <c r="A96" s="78"/>
      <c r="B96" s="2" t="s">
        <v>20</v>
      </c>
      <c r="C96" s="2" t="s">
        <v>9648</v>
      </c>
      <c r="D96" s="2" t="s">
        <v>114</v>
      </c>
      <c r="E96" s="2" t="s">
        <v>115</v>
      </c>
      <c r="F96" s="101" t="s">
        <v>9649</v>
      </c>
      <c r="G96" s="105"/>
      <c r="H96" s="101" t="s">
        <v>9650</v>
      </c>
      <c r="I96" s="101" t="s">
        <v>9651</v>
      </c>
      <c r="J96" s="103"/>
      <c r="K96" s="103"/>
      <c r="L96" s="103"/>
      <c r="M96" s="252"/>
      <c r="N96" s="252"/>
      <c r="O96" s="252"/>
      <c r="P96" s="252"/>
      <c r="Q96" s="252"/>
      <c r="R96" s="252"/>
      <c r="S96" s="252"/>
      <c r="T96" s="253"/>
      <c r="U96" s="253"/>
      <c r="V96" s="253"/>
      <c r="W96" s="253"/>
      <c r="X96" s="253"/>
      <c r="Y96" s="253"/>
      <c r="Z96" s="253"/>
      <c r="AA96" s="253"/>
      <c r="AB96" s="253"/>
      <c r="AC96" s="253"/>
    </row>
    <row r="97">
      <c r="A97" s="78"/>
      <c r="B97" s="2" t="s">
        <v>20</v>
      </c>
      <c r="C97" s="2" t="s">
        <v>9652</v>
      </c>
      <c r="D97" s="2" t="s">
        <v>114</v>
      </c>
      <c r="E97" s="2" t="s">
        <v>115</v>
      </c>
      <c r="F97" s="78"/>
      <c r="G97" s="105"/>
      <c r="H97" s="101" t="s">
        <v>9653</v>
      </c>
      <c r="I97" s="103"/>
      <c r="J97" s="103"/>
      <c r="K97" s="103"/>
      <c r="L97" s="103"/>
      <c r="M97" s="252"/>
      <c r="N97" s="252"/>
      <c r="O97" s="252"/>
      <c r="P97" s="252"/>
      <c r="Q97" s="252"/>
      <c r="R97" s="252"/>
      <c r="S97" s="252"/>
      <c r="T97" s="253"/>
      <c r="U97" s="253"/>
      <c r="V97" s="253"/>
      <c r="W97" s="253"/>
      <c r="X97" s="253"/>
      <c r="Y97" s="253"/>
      <c r="Z97" s="253"/>
      <c r="AA97" s="253"/>
      <c r="AB97" s="253"/>
      <c r="AC97" s="253"/>
    </row>
    <row r="98">
      <c r="A98" s="78"/>
      <c r="B98" s="2" t="s">
        <v>20</v>
      </c>
      <c r="C98" s="2" t="s">
        <v>341</v>
      </c>
      <c r="D98" s="2" t="s">
        <v>114</v>
      </c>
      <c r="E98" s="2" t="s">
        <v>115</v>
      </c>
      <c r="F98" s="78"/>
      <c r="G98" s="105"/>
      <c r="H98" s="101" t="s">
        <v>9654</v>
      </c>
      <c r="I98" s="103"/>
      <c r="J98" s="103"/>
      <c r="K98" s="103"/>
      <c r="L98" s="103"/>
      <c r="M98" s="252"/>
      <c r="N98" s="252"/>
      <c r="O98" s="252"/>
      <c r="P98" s="252"/>
      <c r="Q98" s="252"/>
      <c r="R98" s="252"/>
      <c r="S98" s="252"/>
      <c r="T98" s="253"/>
      <c r="U98" s="253"/>
      <c r="V98" s="253"/>
      <c r="W98" s="253"/>
      <c r="X98" s="253"/>
      <c r="Y98" s="253"/>
      <c r="Z98" s="253"/>
      <c r="AA98" s="253"/>
      <c r="AB98" s="253"/>
      <c r="AC98" s="253"/>
    </row>
    <row r="99">
      <c r="A99" s="78"/>
      <c r="B99" s="2" t="s">
        <v>20</v>
      </c>
      <c r="C99" s="2" t="s">
        <v>9655</v>
      </c>
      <c r="D99" s="2" t="s">
        <v>114</v>
      </c>
      <c r="E99" s="2" t="s">
        <v>115</v>
      </c>
      <c r="F99" s="78"/>
      <c r="G99" s="105"/>
      <c r="H99" s="101" t="s">
        <v>9656</v>
      </c>
      <c r="I99" s="101" t="s">
        <v>9657</v>
      </c>
      <c r="J99" s="101" t="s">
        <v>9658</v>
      </c>
      <c r="K99" s="103"/>
      <c r="L99" s="103"/>
      <c r="M99" s="252"/>
      <c r="N99" s="252"/>
      <c r="O99" s="252"/>
      <c r="P99" s="252"/>
      <c r="Q99" s="252"/>
      <c r="R99" s="252"/>
      <c r="S99" s="252"/>
      <c r="T99" s="253"/>
      <c r="U99" s="253"/>
      <c r="V99" s="253"/>
      <c r="W99" s="253"/>
      <c r="X99" s="253"/>
      <c r="Y99" s="253"/>
      <c r="Z99" s="253"/>
      <c r="AA99" s="253"/>
      <c r="AB99" s="253"/>
      <c r="AC99" s="253"/>
    </row>
    <row r="100">
      <c r="A100" s="78"/>
      <c r="B100" s="2" t="s">
        <v>20</v>
      </c>
      <c r="C100" s="2" t="s">
        <v>9659</v>
      </c>
      <c r="D100" s="2" t="s">
        <v>114</v>
      </c>
      <c r="E100" s="2" t="s">
        <v>115</v>
      </c>
      <c r="F100" s="78"/>
      <c r="G100" s="105"/>
      <c r="H100" s="101" t="s">
        <v>9660</v>
      </c>
      <c r="I100" s="103"/>
      <c r="J100" s="103"/>
      <c r="K100" s="103"/>
      <c r="L100" s="103"/>
      <c r="M100" s="252"/>
      <c r="N100" s="252"/>
      <c r="O100" s="252"/>
      <c r="P100" s="252"/>
      <c r="Q100" s="252"/>
      <c r="R100" s="252"/>
      <c r="S100" s="252"/>
      <c r="T100" s="253"/>
      <c r="U100" s="253"/>
      <c r="V100" s="253"/>
      <c r="W100" s="253"/>
      <c r="X100" s="253"/>
      <c r="Y100" s="253"/>
      <c r="Z100" s="253"/>
      <c r="AA100" s="253"/>
      <c r="AB100" s="253"/>
      <c r="AC100" s="253"/>
    </row>
    <row r="101">
      <c r="A101" s="78"/>
      <c r="B101" s="2" t="s">
        <v>20</v>
      </c>
      <c r="C101" s="2" t="s">
        <v>9661</v>
      </c>
      <c r="D101" s="2" t="s">
        <v>114</v>
      </c>
      <c r="E101" s="2" t="s">
        <v>115</v>
      </c>
      <c r="F101" s="78"/>
      <c r="G101" s="105"/>
      <c r="H101" s="101" t="s">
        <v>9662</v>
      </c>
      <c r="I101" s="101" t="s">
        <v>9663</v>
      </c>
      <c r="J101" s="103"/>
      <c r="K101" s="103"/>
      <c r="L101" s="103"/>
      <c r="M101" s="252"/>
      <c r="N101" s="252"/>
      <c r="O101" s="252"/>
      <c r="P101" s="252"/>
      <c r="Q101" s="252"/>
      <c r="R101" s="252"/>
      <c r="S101" s="252"/>
      <c r="T101" s="253"/>
      <c r="U101" s="253"/>
      <c r="V101" s="253"/>
      <c r="W101" s="253"/>
      <c r="X101" s="253"/>
      <c r="Y101" s="253"/>
      <c r="Z101" s="253"/>
      <c r="AA101" s="253"/>
      <c r="AB101" s="253"/>
      <c r="AC101" s="253"/>
    </row>
    <row r="102">
      <c r="A102" s="78"/>
      <c r="B102" s="2" t="s">
        <v>20</v>
      </c>
      <c r="C102" s="2" t="s">
        <v>9664</v>
      </c>
      <c r="D102" s="2" t="s">
        <v>114</v>
      </c>
      <c r="E102" s="2" t="s">
        <v>115</v>
      </c>
      <c r="F102" s="2"/>
      <c r="G102" s="105"/>
      <c r="H102" s="101" t="s">
        <v>9665</v>
      </c>
      <c r="I102" s="103"/>
      <c r="J102" s="103"/>
      <c r="K102" s="103"/>
      <c r="L102" s="103"/>
      <c r="M102" s="252"/>
      <c r="N102" s="252"/>
      <c r="O102" s="252"/>
      <c r="P102" s="252"/>
      <c r="Q102" s="252"/>
      <c r="R102" s="252"/>
      <c r="S102" s="252"/>
      <c r="T102" s="253"/>
      <c r="U102" s="253"/>
      <c r="V102" s="253"/>
      <c r="W102" s="253"/>
      <c r="X102" s="253"/>
      <c r="Y102" s="253"/>
      <c r="Z102" s="253"/>
      <c r="AA102" s="253"/>
      <c r="AB102" s="253"/>
      <c r="AC102" s="253"/>
    </row>
    <row r="103">
      <c r="A103" s="78"/>
      <c r="B103" s="2" t="s">
        <v>20</v>
      </c>
      <c r="C103" s="2" t="s">
        <v>9666</v>
      </c>
      <c r="D103" s="2" t="s">
        <v>114</v>
      </c>
      <c r="E103" s="2" t="s">
        <v>115</v>
      </c>
      <c r="F103" s="78"/>
      <c r="G103" s="105"/>
      <c r="H103" s="101" t="s">
        <v>9667</v>
      </c>
      <c r="I103" s="102" t="s">
        <v>9668</v>
      </c>
      <c r="J103" s="103"/>
      <c r="K103" s="103"/>
      <c r="L103" s="103"/>
      <c r="M103" s="252"/>
      <c r="N103" s="252"/>
      <c r="O103" s="252"/>
      <c r="P103" s="252"/>
      <c r="Q103" s="252"/>
      <c r="R103" s="252"/>
      <c r="S103" s="252"/>
      <c r="T103" s="253"/>
      <c r="U103" s="253"/>
      <c r="V103" s="253"/>
      <c r="W103" s="253"/>
      <c r="X103" s="253"/>
      <c r="Y103" s="253"/>
      <c r="Z103" s="253"/>
      <c r="AA103" s="253"/>
      <c r="AB103" s="253"/>
      <c r="AC103" s="253"/>
    </row>
    <row r="104">
      <c r="A104" s="78"/>
      <c r="B104" s="2" t="s">
        <v>20</v>
      </c>
      <c r="C104" s="2" t="s">
        <v>2999</v>
      </c>
      <c r="D104" s="2" t="s">
        <v>114</v>
      </c>
      <c r="E104" s="2" t="s">
        <v>115</v>
      </c>
      <c r="F104" s="78"/>
      <c r="G104" s="110"/>
      <c r="H104" s="102" t="s">
        <v>9669</v>
      </c>
      <c r="I104" s="102" t="s">
        <v>9670</v>
      </c>
      <c r="J104" s="103"/>
      <c r="K104" s="103"/>
      <c r="L104" s="103"/>
      <c r="M104" s="252"/>
      <c r="N104" s="252"/>
      <c r="O104" s="252"/>
      <c r="P104" s="252"/>
      <c r="Q104" s="252"/>
      <c r="R104" s="252"/>
      <c r="S104" s="252"/>
      <c r="T104" s="253"/>
      <c r="U104" s="253"/>
      <c r="V104" s="253"/>
      <c r="W104" s="253"/>
      <c r="X104" s="253"/>
      <c r="Y104" s="253"/>
      <c r="Z104" s="253"/>
      <c r="AA104" s="253"/>
      <c r="AB104" s="253"/>
      <c r="AC104" s="253"/>
    </row>
    <row r="105">
      <c r="A105" s="78"/>
      <c r="B105" s="2" t="s">
        <v>20</v>
      </c>
      <c r="C105" s="2" t="s">
        <v>2052</v>
      </c>
      <c r="D105" s="2" t="s">
        <v>114</v>
      </c>
      <c r="E105" s="2" t="s">
        <v>115</v>
      </c>
      <c r="F105" s="78"/>
      <c r="G105" s="110"/>
      <c r="H105" s="102" t="s">
        <v>9671</v>
      </c>
      <c r="I105" s="101" t="s">
        <v>9672</v>
      </c>
      <c r="J105" s="103"/>
      <c r="K105" s="103"/>
      <c r="L105" s="103"/>
      <c r="M105" s="252"/>
      <c r="N105" s="252"/>
      <c r="O105" s="252"/>
      <c r="P105" s="252"/>
      <c r="Q105" s="252"/>
      <c r="R105" s="252"/>
      <c r="S105" s="252"/>
      <c r="T105" s="253"/>
      <c r="U105" s="253"/>
      <c r="V105" s="253"/>
      <c r="W105" s="253"/>
      <c r="X105" s="253"/>
      <c r="Y105" s="253"/>
      <c r="Z105" s="253"/>
      <c r="AA105" s="253"/>
      <c r="AB105" s="253"/>
      <c r="AC105" s="253"/>
    </row>
    <row r="106">
      <c r="A106" s="78"/>
      <c r="B106" s="2" t="s">
        <v>20</v>
      </c>
      <c r="C106" s="2" t="s">
        <v>2932</v>
      </c>
      <c r="D106" s="2" t="s">
        <v>114</v>
      </c>
      <c r="E106" s="2" t="s">
        <v>115</v>
      </c>
      <c r="F106" s="78"/>
      <c r="G106" s="105"/>
      <c r="H106" s="101" t="s">
        <v>9673</v>
      </c>
      <c r="I106" s="101" t="s">
        <v>9674</v>
      </c>
      <c r="J106" s="103"/>
      <c r="K106" s="103"/>
      <c r="L106" s="103"/>
      <c r="M106" s="252"/>
      <c r="N106" s="252"/>
      <c r="O106" s="252"/>
      <c r="P106" s="252"/>
      <c r="Q106" s="252"/>
      <c r="R106" s="252"/>
      <c r="S106" s="252"/>
      <c r="T106" s="253"/>
      <c r="U106" s="253"/>
      <c r="V106" s="253"/>
      <c r="W106" s="253"/>
      <c r="X106" s="253"/>
      <c r="Y106" s="253"/>
      <c r="Z106" s="253"/>
      <c r="AA106" s="253"/>
      <c r="AB106" s="253"/>
      <c r="AC106" s="253"/>
    </row>
    <row r="107">
      <c r="A107" s="78"/>
      <c r="B107" s="2" t="s">
        <v>20</v>
      </c>
      <c r="C107" s="2" t="s">
        <v>4667</v>
      </c>
      <c r="D107" s="2" t="s">
        <v>114</v>
      </c>
      <c r="E107" s="2" t="s">
        <v>115</v>
      </c>
      <c r="F107" s="78"/>
      <c r="G107" s="105"/>
      <c r="H107" s="101" t="s">
        <v>9675</v>
      </c>
      <c r="I107" s="103"/>
      <c r="J107" s="103"/>
      <c r="K107" s="103"/>
      <c r="L107" s="103"/>
      <c r="M107" s="252"/>
      <c r="N107" s="252"/>
      <c r="O107" s="252"/>
      <c r="P107" s="252"/>
      <c r="Q107" s="252"/>
      <c r="R107" s="252"/>
      <c r="S107" s="252"/>
      <c r="T107" s="253"/>
      <c r="U107" s="253"/>
      <c r="V107" s="253"/>
      <c r="W107" s="253"/>
      <c r="X107" s="253"/>
      <c r="Y107" s="253"/>
      <c r="Z107" s="253"/>
      <c r="AA107" s="253"/>
      <c r="AB107" s="253"/>
      <c r="AC107" s="253"/>
    </row>
    <row r="108">
      <c r="A108" s="78"/>
      <c r="B108" s="2" t="s">
        <v>20</v>
      </c>
      <c r="C108" s="2" t="s">
        <v>1262</v>
      </c>
      <c r="D108" s="2" t="s">
        <v>114</v>
      </c>
      <c r="E108" s="2" t="s">
        <v>115</v>
      </c>
      <c r="F108" s="78"/>
      <c r="G108" s="105"/>
      <c r="H108" s="101" t="s">
        <v>9676</v>
      </c>
      <c r="I108" s="103"/>
      <c r="J108" s="103"/>
      <c r="K108" s="103"/>
      <c r="L108" s="103"/>
      <c r="M108" s="252"/>
      <c r="N108" s="252"/>
      <c r="O108" s="252"/>
      <c r="P108" s="252"/>
      <c r="Q108" s="252"/>
      <c r="R108" s="252"/>
      <c r="S108" s="252"/>
      <c r="T108" s="253"/>
      <c r="U108" s="253"/>
      <c r="V108" s="253"/>
      <c r="W108" s="253"/>
      <c r="X108" s="253"/>
      <c r="Y108" s="253"/>
      <c r="Z108" s="253"/>
      <c r="AA108" s="253"/>
      <c r="AB108" s="253"/>
      <c r="AC108" s="253"/>
    </row>
    <row r="109">
      <c r="A109" s="78"/>
      <c r="B109" s="2" t="s">
        <v>20</v>
      </c>
      <c r="C109" s="2" t="s">
        <v>503</v>
      </c>
      <c r="D109" s="2" t="s">
        <v>114</v>
      </c>
      <c r="E109" s="2" t="s">
        <v>115</v>
      </c>
      <c r="F109" s="78"/>
      <c r="G109" s="105"/>
      <c r="H109" s="101" t="s">
        <v>9677</v>
      </c>
      <c r="I109" s="103"/>
      <c r="J109" s="103"/>
      <c r="K109" s="103"/>
      <c r="L109" s="103"/>
      <c r="M109" s="252"/>
      <c r="N109" s="252"/>
      <c r="O109" s="252"/>
      <c r="P109" s="252"/>
      <c r="Q109" s="252"/>
      <c r="R109" s="252"/>
      <c r="S109" s="252"/>
      <c r="T109" s="253"/>
      <c r="U109" s="253"/>
      <c r="V109" s="253"/>
      <c r="W109" s="253"/>
      <c r="X109" s="253"/>
      <c r="Y109" s="253"/>
      <c r="Z109" s="253"/>
      <c r="AA109" s="253"/>
      <c r="AB109" s="253"/>
      <c r="AC109" s="253"/>
    </row>
    <row r="110">
      <c r="A110" s="78"/>
      <c r="B110" s="2" t="s">
        <v>20</v>
      </c>
      <c r="C110" s="2" t="s">
        <v>9678</v>
      </c>
      <c r="D110" s="2" t="s">
        <v>114</v>
      </c>
      <c r="E110" s="2" t="s">
        <v>115</v>
      </c>
      <c r="F110" s="78"/>
      <c r="G110" s="105"/>
      <c r="H110" s="101" t="s">
        <v>9679</v>
      </c>
      <c r="I110" s="103"/>
      <c r="J110" s="103"/>
      <c r="K110" s="103"/>
      <c r="L110" s="103"/>
      <c r="M110" s="252"/>
      <c r="N110" s="252"/>
      <c r="O110" s="252"/>
      <c r="P110" s="252"/>
      <c r="Q110" s="252"/>
      <c r="R110" s="252"/>
      <c r="S110" s="252"/>
      <c r="T110" s="253"/>
      <c r="U110" s="253"/>
      <c r="V110" s="253"/>
      <c r="W110" s="253"/>
      <c r="X110" s="253"/>
      <c r="Y110" s="253"/>
      <c r="Z110" s="253"/>
      <c r="AA110" s="253"/>
      <c r="AB110" s="253"/>
      <c r="AC110" s="253"/>
    </row>
    <row r="111">
      <c r="A111" s="78"/>
      <c r="B111" s="2" t="s">
        <v>20</v>
      </c>
      <c r="C111" s="2" t="s">
        <v>9680</v>
      </c>
      <c r="D111" s="2" t="s">
        <v>114</v>
      </c>
      <c r="E111" s="2" t="s">
        <v>115</v>
      </c>
      <c r="F111" s="78"/>
      <c r="G111" s="105"/>
      <c r="H111" s="101" t="s">
        <v>9681</v>
      </c>
      <c r="I111" s="103"/>
      <c r="J111" s="103"/>
      <c r="K111" s="103"/>
      <c r="L111" s="103"/>
      <c r="M111" s="252"/>
      <c r="N111" s="252"/>
      <c r="O111" s="252"/>
      <c r="P111" s="252"/>
      <c r="Q111" s="252"/>
      <c r="R111" s="252"/>
      <c r="S111" s="252"/>
      <c r="T111" s="253"/>
      <c r="U111" s="253"/>
      <c r="V111" s="253"/>
      <c r="W111" s="253"/>
      <c r="X111" s="253"/>
      <c r="Y111" s="253"/>
      <c r="Z111" s="253"/>
      <c r="AA111" s="253"/>
      <c r="AB111" s="253"/>
      <c r="AC111" s="253"/>
    </row>
    <row r="112">
      <c r="A112" s="78"/>
      <c r="B112" s="2" t="s">
        <v>17</v>
      </c>
      <c r="C112" s="2" t="s">
        <v>9682</v>
      </c>
      <c r="D112" s="2" t="s">
        <v>114</v>
      </c>
      <c r="E112" s="2" t="s">
        <v>115</v>
      </c>
      <c r="F112" s="78"/>
      <c r="G112" s="105"/>
      <c r="H112" s="101" t="s">
        <v>9683</v>
      </c>
      <c r="I112" s="103"/>
      <c r="J112" s="103"/>
      <c r="K112" s="103"/>
      <c r="L112" s="103"/>
      <c r="M112" s="252"/>
      <c r="N112" s="252"/>
      <c r="O112" s="252"/>
      <c r="P112" s="252"/>
      <c r="Q112" s="252"/>
      <c r="R112" s="252"/>
      <c r="S112" s="252"/>
      <c r="T112" s="253"/>
      <c r="U112" s="253"/>
      <c r="V112" s="253"/>
      <c r="W112" s="253"/>
      <c r="X112" s="253"/>
      <c r="Y112" s="253"/>
      <c r="Z112" s="253"/>
      <c r="AA112" s="253"/>
      <c r="AB112" s="253"/>
      <c r="AC112" s="253"/>
    </row>
    <row r="113">
      <c r="A113" s="78"/>
      <c r="B113" s="2" t="s">
        <v>20</v>
      </c>
      <c r="C113" s="2" t="s">
        <v>3209</v>
      </c>
      <c r="D113" s="2" t="s">
        <v>114</v>
      </c>
      <c r="E113" s="2" t="s">
        <v>115</v>
      </c>
      <c r="F113" s="78"/>
      <c r="G113" s="105"/>
      <c r="H113" s="101" t="s">
        <v>9684</v>
      </c>
      <c r="I113" s="103"/>
      <c r="J113" s="103"/>
      <c r="K113" s="103"/>
      <c r="L113" s="103"/>
      <c r="M113" s="252"/>
      <c r="N113" s="252"/>
      <c r="O113" s="252"/>
      <c r="P113" s="252"/>
      <c r="Q113" s="252"/>
      <c r="R113" s="252"/>
      <c r="S113" s="252"/>
      <c r="T113" s="253"/>
      <c r="U113" s="253"/>
      <c r="V113" s="253"/>
      <c r="W113" s="253"/>
      <c r="X113" s="253"/>
      <c r="Y113" s="253"/>
      <c r="Z113" s="253"/>
      <c r="AA113" s="253"/>
      <c r="AB113" s="253"/>
      <c r="AC113" s="253"/>
    </row>
    <row r="114">
      <c r="A114" s="78"/>
      <c r="B114" s="2" t="s">
        <v>20</v>
      </c>
      <c r="C114" s="2" t="s">
        <v>9685</v>
      </c>
      <c r="D114" s="2" t="s">
        <v>114</v>
      </c>
      <c r="E114" s="2" t="s">
        <v>115</v>
      </c>
      <c r="F114" s="78"/>
      <c r="G114" s="105"/>
      <c r="H114" s="101" t="s">
        <v>9686</v>
      </c>
      <c r="I114" s="101" t="s">
        <v>9687</v>
      </c>
      <c r="J114" s="103"/>
      <c r="K114" s="103"/>
      <c r="L114" s="103"/>
      <c r="M114" s="252"/>
      <c r="N114" s="252"/>
      <c r="O114" s="252"/>
      <c r="P114" s="252"/>
      <c r="Q114" s="252"/>
      <c r="R114" s="252"/>
      <c r="S114" s="252"/>
      <c r="T114" s="253"/>
      <c r="U114" s="253"/>
      <c r="V114" s="253"/>
      <c r="W114" s="253"/>
      <c r="X114" s="253"/>
      <c r="Y114" s="253"/>
      <c r="Z114" s="253"/>
      <c r="AA114" s="253"/>
      <c r="AB114" s="253"/>
      <c r="AC114" s="253"/>
    </row>
    <row r="115">
      <c r="A115" s="78"/>
      <c r="B115" s="2" t="s">
        <v>20</v>
      </c>
      <c r="C115" s="2" t="s">
        <v>2981</v>
      </c>
      <c r="D115" s="2" t="s">
        <v>114</v>
      </c>
      <c r="E115" s="2" t="s">
        <v>115</v>
      </c>
      <c r="F115" s="78"/>
      <c r="G115" s="105"/>
      <c r="H115" s="101" t="s">
        <v>9688</v>
      </c>
      <c r="I115" s="103"/>
      <c r="J115" s="103"/>
      <c r="K115" s="103"/>
      <c r="L115" s="103"/>
      <c r="M115" s="252"/>
      <c r="N115" s="252"/>
      <c r="O115" s="252"/>
      <c r="P115" s="252"/>
      <c r="Q115" s="252"/>
      <c r="R115" s="252"/>
      <c r="S115" s="252"/>
      <c r="T115" s="253"/>
      <c r="U115" s="253"/>
      <c r="V115" s="253"/>
      <c r="W115" s="253"/>
      <c r="X115" s="253"/>
      <c r="Y115" s="253"/>
      <c r="Z115" s="253"/>
      <c r="AA115" s="253"/>
      <c r="AB115" s="253"/>
      <c r="AC115" s="253"/>
    </row>
    <row r="116">
      <c r="A116" s="78"/>
      <c r="B116" s="2" t="s">
        <v>20</v>
      </c>
      <c r="C116" s="2" t="s">
        <v>9689</v>
      </c>
      <c r="D116" s="2" t="s">
        <v>114</v>
      </c>
      <c r="E116" s="2" t="s">
        <v>115</v>
      </c>
      <c r="F116" s="78"/>
      <c r="G116" s="105"/>
      <c r="H116" s="101" t="s">
        <v>9690</v>
      </c>
      <c r="I116" s="101" t="s">
        <v>9691</v>
      </c>
      <c r="J116" s="103"/>
      <c r="K116" s="103"/>
      <c r="L116" s="103"/>
      <c r="M116" s="252"/>
      <c r="N116" s="252"/>
      <c r="O116" s="252"/>
      <c r="P116" s="252"/>
      <c r="Q116" s="252"/>
      <c r="R116" s="252"/>
      <c r="S116" s="252"/>
      <c r="T116" s="253"/>
      <c r="U116" s="253"/>
      <c r="V116" s="253"/>
      <c r="W116" s="253"/>
      <c r="X116" s="253"/>
      <c r="Y116" s="253"/>
      <c r="Z116" s="253"/>
      <c r="AA116" s="253"/>
      <c r="AB116" s="253"/>
      <c r="AC116" s="253"/>
    </row>
    <row r="117">
      <c r="A117" s="78"/>
      <c r="B117" s="2" t="s">
        <v>20</v>
      </c>
      <c r="C117" s="2" t="s">
        <v>2773</v>
      </c>
      <c r="D117" s="2" t="s">
        <v>114</v>
      </c>
      <c r="E117" s="2" t="s">
        <v>115</v>
      </c>
      <c r="F117" s="2" t="s">
        <v>9547</v>
      </c>
      <c r="G117" s="105"/>
      <c r="H117" s="101" t="s">
        <v>9692</v>
      </c>
      <c r="I117" s="101" t="s">
        <v>9693</v>
      </c>
      <c r="J117" s="101" t="s">
        <v>9694</v>
      </c>
      <c r="K117" s="103"/>
      <c r="L117" s="103"/>
      <c r="M117" s="252"/>
      <c r="N117" s="252"/>
      <c r="O117" s="252"/>
      <c r="P117" s="252"/>
      <c r="Q117" s="252"/>
      <c r="R117" s="252"/>
      <c r="S117" s="252"/>
      <c r="T117" s="253"/>
      <c r="U117" s="253"/>
      <c r="V117" s="253"/>
      <c r="W117" s="253"/>
      <c r="X117" s="253"/>
      <c r="Y117" s="253"/>
      <c r="Z117" s="253"/>
      <c r="AA117" s="253"/>
      <c r="AB117" s="253"/>
      <c r="AC117" s="253"/>
    </row>
    <row r="118">
      <c r="A118" s="78"/>
      <c r="B118" s="2" t="s">
        <v>145</v>
      </c>
      <c r="C118" s="2" t="s">
        <v>9695</v>
      </c>
      <c r="D118" s="2" t="s">
        <v>114</v>
      </c>
      <c r="E118" s="2" t="s">
        <v>115</v>
      </c>
      <c r="F118" s="78"/>
      <c r="G118" s="105"/>
      <c r="H118" s="101" t="s">
        <v>9696</v>
      </c>
      <c r="I118" s="103"/>
      <c r="J118" s="103"/>
      <c r="K118" s="103"/>
      <c r="L118" s="103"/>
      <c r="M118" s="252"/>
      <c r="N118" s="252"/>
      <c r="O118" s="252"/>
      <c r="P118" s="252"/>
      <c r="Q118" s="252"/>
      <c r="R118" s="252"/>
      <c r="S118" s="252"/>
      <c r="T118" s="253"/>
      <c r="U118" s="253"/>
      <c r="V118" s="253"/>
      <c r="W118" s="253"/>
      <c r="X118" s="253"/>
      <c r="Y118" s="253"/>
      <c r="Z118" s="253"/>
      <c r="AA118" s="253"/>
      <c r="AB118" s="253"/>
      <c r="AC118" s="253"/>
    </row>
    <row r="119">
      <c r="A119" s="78"/>
      <c r="B119" s="2" t="s">
        <v>20</v>
      </c>
      <c r="C119" s="2" t="s">
        <v>9697</v>
      </c>
      <c r="D119" s="2" t="s">
        <v>114</v>
      </c>
      <c r="E119" s="2" t="s">
        <v>115</v>
      </c>
      <c r="F119" s="78"/>
      <c r="G119" s="105"/>
      <c r="H119" s="101" t="s">
        <v>9698</v>
      </c>
      <c r="I119" s="101" t="s">
        <v>9699</v>
      </c>
      <c r="J119" s="101" t="s">
        <v>9700</v>
      </c>
      <c r="K119" s="103"/>
      <c r="L119" s="103"/>
      <c r="M119" s="252"/>
      <c r="N119" s="252"/>
      <c r="O119" s="252"/>
      <c r="P119" s="252"/>
      <c r="Q119" s="252"/>
      <c r="R119" s="252"/>
      <c r="S119" s="252"/>
      <c r="T119" s="253"/>
      <c r="U119" s="253"/>
      <c r="V119" s="253"/>
      <c r="W119" s="253"/>
      <c r="X119" s="253"/>
      <c r="Y119" s="253"/>
      <c r="Z119" s="253"/>
      <c r="AA119" s="253"/>
      <c r="AB119" s="253"/>
      <c r="AC119" s="253"/>
    </row>
    <row r="120">
      <c r="A120" s="78"/>
      <c r="B120" s="2" t="s">
        <v>20</v>
      </c>
      <c r="C120" s="2" t="s">
        <v>1221</v>
      </c>
      <c r="D120" s="2" t="s">
        <v>114</v>
      </c>
      <c r="E120" s="2" t="s">
        <v>115</v>
      </c>
      <c r="F120" s="78"/>
      <c r="G120" s="105"/>
      <c r="H120" s="101" t="s">
        <v>9701</v>
      </c>
      <c r="I120" s="101" t="s">
        <v>9702</v>
      </c>
      <c r="J120" s="103"/>
      <c r="K120" s="103"/>
      <c r="L120" s="103"/>
      <c r="M120" s="252"/>
      <c r="N120" s="252"/>
      <c r="O120" s="252"/>
      <c r="P120" s="252"/>
      <c r="Q120" s="252"/>
      <c r="R120" s="252"/>
      <c r="S120" s="252"/>
      <c r="T120" s="253"/>
      <c r="U120" s="253"/>
      <c r="V120" s="253"/>
      <c r="W120" s="253"/>
      <c r="X120" s="253"/>
      <c r="Y120" s="253"/>
      <c r="Z120" s="253"/>
      <c r="AA120" s="253"/>
      <c r="AB120" s="253"/>
      <c r="AC120" s="253"/>
    </row>
    <row r="121">
      <c r="A121" s="78"/>
      <c r="B121" s="2" t="s">
        <v>20</v>
      </c>
      <c r="C121" s="2" t="s">
        <v>21</v>
      </c>
      <c r="D121" s="2" t="s">
        <v>114</v>
      </c>
      <c r="E121" s="2" t="s">
        <v>115</v>
      </c>
      <c r="F121" s="78"/>
      <c r="G121" s="105"/>
      <c r="H121" s="101" t="s">
        <v>9703</v>
      </c>
      <c r="I121" s="103"/>
      <c r="J121" s="103"/>
      <c r="K121" s="103"/>
      <c r="L121" s="103"/>
      <c r="M121" s="252"/>
      <c r="N121" s="252"/>
      <c r="O121" s="252"/>
      <c r="P121" s="252"/>
      <c r="Q121" s="252"/>
      <c r="R121" s="252"/>
      <c r="S121" s="252"/>
      <c r="T121" s="253"/>
      <c r="U121" s="253"/>
      <c r="V121" s="253"/>
      <c r="W121" s="253"/>
      <c r="X121" s="253"/>
      <c r="Y121" s="253"/>
      <c r="Z121" s="253"/>
      <c r="AA121" s="253"/>
      <c r="AB121" s="253"/>
      <c r="AC121" s="253"/>
    </row>
    <row r="122">
      <c r="A122" s="78"/>
      <c r="B122" s="2" t="s">
        <v>20</v>
      </c>
      <c r="C122" s="2" t="s">
        <v>74</v>
      </c>
      <c r="D122" s="2" t="s">
        <v>114</v>
      </c>
      <c r="E122" s="2" t="s">
        <v>115</v>
      </c>
      <c r="F122" s="78"/>
      <c r="G122" s="105"/>
      <c r="H122" s="101" t="s">
        <v>9704</v>
      </c>
      <c r="I122" s="103"/>
      <c r="J122" s="103"/>
      <c r="K122" s="103"/>
      <c r="L122" s="103"/>
      <c r="M122" s="252"/>
      <c r="N122" s="252"/>
      <c r="O122" s="252"/>
      <c r="P122" s="252"/>
      <c r="Q122" s="252"/>
      <c r="R122" s="252"/>
      <c r="S122" s="252"/>
      <c r="T122" s="253"/>
      <c r="U122" s="253"/>
      <c r="V122" s="253"/>
      <c r="W122" s="253"/>
      <c r="X122" s="253"/>
      <c r="Y122" s="253"/>
      <c r="Z122" s="253"/>
      <c r="AA122" s="253"/>
      <c r="AB122" s="253"/>
      <c r="AC122" s="253"/>
    </row>
    <row r="123">
      <c r="A123" s="78"/>
      <c r="B123" s="2" t="s">
        <v>20</v>
      </c>
      <c r="C123" s="2" t="s">
        <v>510</v>
      </c>
      <c r="D123" s="2" t="s">
        <v>114</v>
      </c>
      <c r="E123" s="2" t="s">
        <v>115</v>
      </c>
      <c r="F123" s="78"/>
      <c r="G123" s="105"/>
      <c r="H123" s="101" t="s">
        <v>9705</v>
      </c>
      <c r="I123" s="101" t="s">
        <v>9706</v>
      </c>
      <c r="J123" s="103"/>
      <c r="K123" s="103"/>
      <c r="L123" s="103"/>
      <c r="M123" s="252"/>
      <c r="N123" s="252"/>
      <c r="O123" s="252"/>
      <c r="P123" s="252"/>
      <c r="Q123" s="252"/>
      <c r="R123" s="252"/>
      <c r="S123" s="252"/>
      <c r="T123" s="253"/>
      <c r="U123" s="253"/>
      <c r="V123" s="253"/>
      <c r="W123" s="253"/>
      <c r="X123" s="253"/>
      <c r="Y123" s="253"/>
      <c r="Z123" s="253"/>
      <c r="AA123" s="253"/>
      <c r="AB123" s="253"/>
      <c r="AC123" s="253"/>
    </row>
    <row r="124">
      <c r="A124" s="78"/>
      <c r="B124" s="2" t="s">
        <v>20</v>
      </c>
      <c r="C124" s="2" t="s">
        <v>2066</v>
      </c>
      <c r="D124" s="2" t="s">
        <v>114</v>
      </c>
      <c r="E124" s="4" t="s">
        <v>9707</v>
      </c>
      <c r="F124" s="2" t="s">
        <v>9708</v>
      </c>
      <c r="G124" s="105"/>
      <c r="H124" s="101" t="s">
        <v>9709</v>
      </c>
      <c r="I124" s="103"/>
      <c r="J124" s="103"/>
      <c r="K124" s="103"/>
      <c r="L124" s="103"/>
      <c r="M124" s="252"/>
      <c r="N124" s="252"/>
      <c r="O124" s="252"/>
      <c r="P124" s="252"/>
      <c r="Q124" s="252"/>
      <c r="R124" s="252"/>
      <c r="S124" s="252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</row>
    <row r="125">
      <c r="A125" s="78"/>
      <c r="B125" s="2" t="s">
        <v>20</v>
      </c>
      <c r="C125" s="2" t="s">
        <v>6181</v>
      </c>
      <c r="D125" s="2" t="s">
        <v>114</v>
      </c>
      <c r="E125" s="2" t="s">
        <v>9710</v>
      </c>
      <c r="F125" s="2" t="s">
        <v>9711</v>
      </c>
      <c r="G125" s="105"/>
      <c r="H125" s="101" t="s">
        <v>9712</v>
      </c>
      <c r="I125" s="101" t="s">
        <v>9713</v>
      </c>
      <c r="J125" s="101" t="s">
        <v>9714</v>
      </c>
      <c r="K125" s="103"/>
      <c r="L125" s="103"/>
      <c r="M125" s="252"/>
      <c r="N125" s="252"/>
      <c r="O125" s="252"/>
      <c r="P125" s="252"/>
      <c r="Q125" s="252"/>
      <c r="R125" s="252"/>
      <c r="S125" s="252"/>
      <c r="T125" s="253"/>
      <c r="U125" s="253"/>
      <c r="V125" s="253"/>
      <c r="W125" s="253"/>
      <c r="X125" s="253"/>
      <c r="Y125" s="253"/>
      <c r="Z125" s="253"/>
      <c r="AA125" s="253"/>
      <c r="AB125" s="253"/>
      <c r="AC125" s="253"/>
    </row>
    <row r="126">
      <c r="A126" s="78"/>
      <c r="B126" s="2" t="s">
        <v>20</v>
      </c>
      <c r="C126" s="2" t="s">
        <v>55</v>
      </c>
      <c r="D126" s="2" t="s">
        <v>114</v>
      </c>
      <c r="E126" s="2" t="s">
        <v>9710</v>
      </c>
      <c r="F126" s="2" t="s">
        <v>9711</v>
      </c>
      <c r="G126" s="105"/>
      <c r="H126" s="101" t="s">
        <v>9715</v>
      </c>
      <c r="I126" s="101" t="s">
        <v>9716</v>
      </c>
      <c r="J126" s="103"/>
      <c r="K126" s="103"/>
      <c r="L126" s="103"/>
      <c r="M126" s="252"/>
      <c r="N126" s="252"/>
      <c r="O126" s="252"/>
      <c r="P126" s="252"/>
      <c r="Q126" s="252"/>
      <c r="R126" s="252"/>
      <c r="S126" s="252"/>
      <c r="T126" s="253"/>
      <c r="U126" s="253"/>
      <c r="V126" s="253"/>
      <c r="W126" s="253"/>
      <c r="X126" s="253"/>
      <c r="Y126" s="253"/>
      <c r="Z126" s="253"/>
      <c r="AA126" s="253"/>
      <c r="AB126" s="253"/>
      <c r="AC126" s="253"/>
    </row>
    <row r="127">
      <c r="A127" s="78"/>
      <c r="B127" s="2" t="s">
        <v>20</v>
      </c>
      <c r="C127" s="2" t="s">
        <v>55</v>
      </c>
      <c r="D127" s="2" t="s">
        <v>114</v>
      </c>
      <c r="E127" s="2" t="s">
        <v>9710</v>
      </c>
      <c r="F127" s="78"/>
      <c r="G127" s="105"/>
      <c r="H127" s="101" t="s">
        <v>9717</v>
      </c>
      <c r="I127" s="101" t="s">
        <v>9718</v>
      </c>
      <c r="J127" s="101" t="s">
        <v>9719</v>
      </c>
      <c r="K127" s="103"/>
      <c r="L127" s="103"/>
      <c r="M127" s="252"/>
      <c r="N127" s="252"/>
      <c r="O127" s="252"/>
      <c r="P127" s="252"/>
      <c r="Q127" s="252"/>
      <c r="R127" s="252"/>
      <c r="S127" s="252"/>
      <c r="T127" s="253"/>
      <c r="U127" s="253"/>
      <c r="V127" s="253"/>
      <c r="W127" s="253"/>
      <c r="X127" s="253"/>
      <c r="Y127" s="253"/>
      <c r="Z127" s="253"/>
      <c r="AA127" s="253"/>
      <c r="AB127" s="253"/>
      <c r="AC127" s="253"/>
    </row>
    <row r="128">
      <c r="A128" s="78"/>
      <c r="B128" s="2" t="s">
        <v>20</v>
      </c>
      <c r="C128" s="2" t="s">
        <v>3186</v>
      </c>
      <c r="D128" s="2" t="s">
        <v>114</v>
      </c>
      <c r="E128" s="2" t="s">
        <v>9710</v>
      </c>
      <c r="F128" s="78"/>
      <c r="G128" s="105"/>
      <c r="H128" s="101" t="s">
        <v>9720</v>
      </c>
      <c r="I128" s="101" t="s">
        <v>9721</v>
      </c>
      <c r="J128" s="103"/>
      <c r="K128" s="103"/>
      <c r="L128" s="103"/>
      <c r="M128" s="252"/>
      <c r="N128" s="252"/>
      <c r="O128" s="252"/>
      <c r="P128" s="252"/>
      <c r="Q128" s="252"/>
      <c r="R128" s="252"/>
      <c r="S128" s="252"/>
      <c r="T128" s="253"/>
      <c r="U128" s="253"/>
      <c r="V128" s="253"/>
      <c r="W128" s="253"/>
      <c r="X128" s="253"/>
      <c r="Y128" s="253"/>
      <c r="Z128" s="253"/>
      <c r="AA128" s="253"/>
      <c r="AB128" s="253"/>
      <c r="AC128" s="253"/>
    </row>
    <row r="129">
      <c r="A129" s="78"/>
      <c r="B129" s="2" t="s">
        <v>20</v>
      </c>
      <c r="C129" s="2" t="s">
        <v>74</v>
      </c>
      <c r="D129" s="2" t="s">
        <v>114</v>
      </c>
      <c r="E129" s="2" t="s">
        <v>9710</v>
      </c>
      <c r="F129" s="78"/>
      <c r="G129" s="105"/>
      <c r="H129" s="101" t="s">
        <v>9722</v>
      </c>
      <c r="I129" s="102" t="s">
        <v>9723</v>
      </c>
      <c r="J129" s="102" t="s">
        <v>9724</v>
      </c>
      <c r="K129" s="103"/>
      <c r="L129" s="103"/>
      <c r="M129" s="252"/>
      <c r="N129" s="252"/>
      <c r="O129" s="252"/>
      <c r="P129" s="252"/>
      <c r="Q129" s="252"/>
      <c r="R129" s="252"/>
      <c r="S129" s="252"/>
      <c r="T129" s="253"/>
      <c r="U129" s="253"/>
      <c r="V129" s="253"/>
      <c r="W129" s="253"/>
      <c r="X129" s="253"/>
      <c r="Y129" s="253"/>
      <c r="Z129" s="253"/>
      <c r="AA129" s="253"/>
      <c r="AB129" s="253"/>
      <c r="AC129" s="253"/>
    </row>
    <row r="130">
      <c r="A130" s="78"/>
      <c r="B130" s="2" t="s">
        <v>20</v>
      </c>
      <c r="C130" s="2" t="s">
        <v>9725</v>
      </c>
      <c r="D130" s="2" t="s">
        <v>114</v>
      </c>
      <c r="E130" s="2" t="s">
        <v>9710</v>
      </c>
      <c r="F130" s="2" t="s">
        <v>9726</v>
      </c>
      <c r="G130" s="105"/>
      <c r="H130" s="101" t="s">
        <v>9727</v>
      </c>
      <c r="I130" s="101" t="s">
        <v>9728</v>
      </c>
      <c r="J130" s="101" t="s">
        <v>9729</v>
      </c>
      <c r="K130" s="103"/>
      <c r="L130" s="103"/>
      <c r="M130" s="252"/>
      <c r="N130" s="252"/>
      <c r="O130" s="252"/>
      <c r="P130" s="252"/>
      <c r="Q130" s="252"/>
      <c r="R130" s="252"/>
      <c r="S130" s="252"/>
      <c r="T130" s="253"/>
      <c r="U130" s="253"/>
      <c r="V130" s="253"/>
      <c r="W130" s="253"/>
      <c r="X130" s="253"/>
      <c r="Y130" s="253"/>
      <c r="Z130" s="253"/>
      <c r="AA130" s="253"/>
      <c r="AB130" s="253"/>
      <c r="AC130" s="253"/>
    </row>
    <row r="131">
      <c r="A131" s="78"/>
      <c r="B131" s="2" t="s">
        <v>20</v>
      </c>
      <c r="C131" s="2" t="s">
        <v>3195</v>
      </c>
      <c r="D131" s="2" t="s">
        <v>114</v>
      </c>
      <c r="E131" s="2" t="s">
        <v>9730</v>
      </c>
      <c r="F131" s="2" t="s">
        <v>9731</v>
      </c>
      <c r="G131" s="105"/>
      <c r="H131" s="101" t="s">
        <v>9732</v>
      </c>
      <c r="I131" s="103"/>
      <c r="J131" s="103"/>
      <c r="K131" s="103"/>
      <c r="L131" s="103"/>
      <c r="M131" s="252"/>
      <c r="N131" s="252"/>
      <c r="O131" s="252"/>
      <c r="P131" s="252"/>
      <c r="Q131" s="252"/>
      <c r="R131" s="252"/>
      <c r="S131" s="252"/>
      <c r="T131" s="253"/>
      <c r="U131" s="253"/>
      <c r="V131" s="253"/>
      <c r="W131" s="253"/>
      <c r="X131" s="253"/>
      <c r="Y131" s="253"/>
      <c r="Z131" s="253"/>
      <c r="AA131" s="253"/>
      <c r="AB131" s="253"/>
      <c r="AC131" s="253"/>
    </row>
    <row r="132">
      <c r="A132" s="78"/>
      <c r="B132" s="2" t="s">
        <v>20</v>
      </c>
      <c r="C132" s="2" t="s">
        <v>3415</v>
      </c>
      <c r="D132" s="2" t="s">
        <v>114</v>
      </c>
      <c r="E132" s="2" t="s">
        <v>9730</v>
      </c>
      <c r="F132" s="78"/>
      <c r="G132" s="105"/>
      <c r="H132" s="101" t="s">
        <v>9733</v>
      </c>
      <c r="I132" s="101" t="s">
        <v>9734</v>
      </c>
      <c r="J132" s="103"/>
      <c r="K132" s="103"/>
      <c r="L132" s="103"/>
      <c r="M132" s="252"/>
      <c r="N132" s="252"/>
      <c r="O132" s="252"/>
      <c r="P132" s="252"/>
      <c r="Q132" s="252"/>
      <c r="R132" s="252"/>
      <c r="S132" s="252"/>
      <c r="T132" s="253"/>
      <c r="U132" s="253"/>
      <c r="V132" s="253"/>
      <c r="W132" s="253"/>
      <c r="X132" s="253"/>
      <c r="Y132" s="253"/>
      <c r="Z132" s="253"/>
      <c r="AA132" s="253"/>
      <c r="AB132" s="253"/>
      <c r="AC132" s="253"/>
    </row>
    <row r="133">
      <c r="A133" s="78"/>
      <c r="B133" s="2" t="s">
        <v>20</v>
      </c>
      <c r="C133" s="2" t="s">
        <v>698</v>
      </c>
      <c r="D133" s="2" t="s">
        <v>114</v>
      </c>
      <c r="E133" s="2" t="s">
        <v>9730</v>
      </c>
      <c r="F133" s="78"/>
      <c r="G133" s="105"/>
      <c r="H133" s="101" t="s">
        <v>9735</v>
      </c>
      <c r="I133" s="101" t="s">
        <v>9736</v>
      </c>
      <c r="J133" s="101" t="s">
        <v>9737</v>
      </c>
      <c r="K133" s="103"/>
      <c r="L133" s="103"/>
      <c r="M133" s="252"/>
      <c r="N133" s="252"/>
      <c r="O133" s="252"/>
      <c r="P133" s="252"/>
      <c r="Q133" s="252"/>
      <c r="R133" s="252"/>
      <c r="S133" s="252"/>
      <c r="T133" s="253"/>
      <c r="U133" s="253"/>
      <c r="V133" s="253"/>
      <c r="W133" s="253"/>
      <c r="X133" s="253"/>
      <c r="Y133" s="253"/>
      <c r="Z133" s="253"/>
      <c r="AA133" s="253"/>
      <c r="AB133" s="253"/>
      <c r="AC133" s="253"/>
    </row>
    <row r="134">
      <c r="A134" s="78"/>
      <c r="B134" s="2" t="s">
        <v>20</v>
      </c>
      <c r="C134" s="2" t="s">
        <v>7703</v>
      </c>
      <c r="D134" s="2" t="s">
        <v>114</v>
      </c>
      <c r="E134" s="2" t="s">
        <v>9730</v>
      </c>
      <c r="F134" s="78"/>
      <c r="G134" s="105"/>
      <c r="H134" s="101" t="s">
        <v>9738</v>
      </c>
      <c r="I134" s="101" t="s">
        <v>9739</v>
      </c>
      <c r="J134" s="103"/>
      <c r="K134" s="103"/>
      <c r="L134" s="103"/>
      <c r="M134" s="252"/>
      <c r="N134" s="252"/>
      <c r="O134" s="252"/>
      <c r="P134" s="252"/>
      <c r="Q134" s="252"/>
      <c r="R134" s="252"/>
      <c r="S134" s="252"/>
      <c r="T134" s="253"/>
      <c r="U134" s="253"/>
      <c r="V134" s="253"/>
      <c r="W134" s="253"/>
      <c r="X134" s="253"/>
      <c r="Y134" s="253"/>
      <c r="Z134" s="253"/>
      <c r="AA134" s="253"/>
      <c r="AB134" s="253"/>
      <c r="AC134" s="253"/>
    </row>
    <row r="135">
      <c r="A135" s="78"/>
      <c r="B135" s="2" t="s">
        <v>20</v>
      </c>
      <c r="C135" s="2" t="s">
        <v>9553</v>
      </c>
      <c r="D135" s="2" t="s">
        <v>114</v>
      </c>
      <c r="E135" s="2" t="s">
        <v>9740</v>
      </c>
      <c r="F135" s="78"/>
      <c r="G135" s="105"/>
      <c r="H135" s="101" t="s">
        <v>9741</v>
      </c>
      <c r="I135" s="101" t="s">
        <v>9742</v>
      </c>
      <c r="J135" s="103"/>
      <c r="K135" s="103"/>
      <c r="L135" s="103"/>
      <c r="M135" s="252"/>
      <c r="N135" s="252"/>
      <c r="O135" s="252"/>
      <c r="P135" s="252"/>
      <c r="Q135" s="252"/>
      <c r="R135" s="252"/>
      <c r="S135" s="252"/>
      <c r="T135" s="253"/>
      <c r="U135" s="253"/>
      <c r="V135" s="253"/>
      <c r="W135" s="253"/>
      <c r="X135" s="253"/>
      <c r="Y135" s="253"/>
      <c r="Z135" s="253"/>
      <c r="AA135" s="253"/>
      <c r="AB135" s="253"/>
      <c r="AC135" s="253"/>
    </row>
    <row r="136">
      <c r="A136" s="78"/>
      <c r="B136" s="2" t="s">
        <v>20</v>
      </c>
      <c r="C136" s="2" t="s">
        <v>3209</v>
      </c>
      <c r="D136" s="2" t="s">
        <v>114</v>
      </c>
      <c r="E136" s="2" t="s">
        <v>9740</v>
      </c>
      <c r="F136" s="78"/>
      <c r="G136" s="105"/>
      <c r="H136" s="101" t="s">
        <v>9743</v>
      </c>
      <c r="I136" s="103"/>
      <c r="J136" s="103"/>
      <c r="K136" s="103"/>
      <c r="L136" s="103"/>
      <c r="M136" s="252"/>
      <c r="N136" s="252"/>
      <c r="O136" s="252"/>
      <c r="P136" s="252"/>
      <c r="Q136" s="252"/>
      <c r="R136" s="252"/>
      <c r="S136" s="252"/>
      <c r="T136" s="253"/>
      <c r="U136" s="253"/>
      <c r="V136" s="253"/>
      <c r="W136" s="253"/>
      <c r="X136" s="253"/>
      <c r="Y136" s="253"/>
      <c r="Z136" s="253"/>
      <c r="AA136" s="253"/>
      <c r="AB136" s="253"/>
      <c r="AC136" s="253"/>
    </row>
    <row r="137">
      <c r="A137" s="78"/>
      <c r="B137" s="2" t="s">
        <v>20</v>
      </c>
      <c r="C137" s="2" t="s">
        <v>113</v>
      </c>
      <c r="D137" s="2" t="s">
        <v>114</v>
      </c>
      <c r="E137" s="2" t="s">
        <v>9740</v>
      </c>
      <c r="F137" s="2" t="s">
        <v>9744</v>
      </c>
      <c r="G137" s="105"/>
      <c r="H137" s="101" t="s">
        <v>9745</v>
      </c>
      <c r="I137" s="101" t="s">
        <v>9746</v>
      </c>
      <c r="J137" s="103"/>
      <c r="K137" s="103"/>
      <c r="L137" s="103"/>
      <c r="M137" s="252"/>
      <c r="N137" s="252"/>
      <c r="O137" s="252"/>
      <c r="P137" s="252"/>
      <c r="Q137" s="252"/>
      <c r="R137" s="252"/>
      <c r="S137" s="252"/>
      <c r="T137" s="253"/>
      <c r="U137" s="253"/>
      <c r="V137" s="253"/>
      <c r="W137" s="253"/>
      <c r="X137" s="253"/>
      <c r="Y137" s="253"/>
      <c r="Z137" s="253"/>
      <c r="AA137" s="253"/>
      <c r="AB137" s="253"/>
      <c r="AC137" s="253"/>
    </row>
    <row r="138">
      <c r="A138" s="78"/>
      <c r="B138" s="2" t="s">
        <v>20</v>
      </c>
      <c r="C138" s="2" t="s">
        <v>74</v>
      </c>
      <c r="D138" s="2" t="s">
        <v>114</v>
      </c>
      <c r="E138" s="2" t="s">
        <v>9740</v>
      </c>
      <c r="F138" s="78"/>
      <c r="G138" s="105"/>
      <c r="H138" s="101" t="s">
        <v>9747</v>
      </c>
      <c r="I138" s="101" t="s">
        <v>9748</v>
      </c>
      <c r="J138" s="103"/>
      <c r="K138" s="103"/>
      <c r="L138" s="103"/>
      <c r="M138" s="252"/>
      <c r="N138" s="252"/>
      <c r="O138" s="252"/>
      <c r="P138" s="252"/>
      <c r="Q138" s="252"/>
      <c r="R138" s="252"/>
      <c r="S138" s="252"/>
      <c r="T138" s="253"/>
      <c r="U138" s="253"/>
      <c r="V138" s="253"/>
      <c r="W138" s="253"/>
      <c r="X138" s="253"/>
      <c r="Y138" s="253"/>
      <c r="Z138" s="253"/>
      <c r="AA138" s="253"/>
      <c r="AB138" s="253"/>
      <c r="AC138" s="253"/>
    </row>
    <row r="139">
      <c r="A139" s="78"/>
      <c r="B139" s="2" t="s">
        <v>20</v>
      </c>
      <c r="C139" s="2" t="s">
        <v>1342</v>
      </c>
      <c r="D139" s="2" t="s">
        <v>114</v>
      </c>
      <c r="E139" s="2" t="s">
        <v>9740</v>
      </c>
      <c r="F139" s="78"/>
      <c r="G139" s="105"/>
      <c r="H139" s="101" t="s">
        <v>9749</v>
      </c>
      <c r="I139" s="103"/>
      <c r="J139" s="103"/>
      <c r="K139" s="103"/>
      <c r="L139" s="103"/>
      <c r="M139" s="252"/>
      <c r="N139" s="252"/>
      <c r="O139" s="252"/>
      <c r="P139" s="252"/>
      <c r="Q139" s="252"/>
      <c r="R139" s="252"/>
      <c r="S139" s="252"/>
      <c r="T139" s="253"/>
      <c r="U139" s="253"/>
      <c r="V139" s="253"/>
      <c r="W139" s="253"/>
      <c r="X139" s="253"/>
      <c r="Y139" s="253"/>
      <c r="Z139" s="253"/>
      <c r="AA139" s="253"/>
      <c r="AB139" s="253"/>
      <c r="AC139" s="253"/>
    </row>
    <row r="140">
      <c r="A140" s="78"/>
      <c r="B140" s="2" t="s">
        <v>20</v>
      </c>
      <c r="C140" s="2" t="s">
        <v>118</v>
      </c>
      <c r="D140" s="2" t="s">
        <v>114</v>
      </c>
      <c r="E140" s="2" t="s">
        <v>9750</v>
      </c>
      <c r="F140" s="78"/>
      <c r="G140" s="105"/>
      <c r="H140" s="101" t="s">
        <v>9751</v>
      </c>
      <c r="I140" s="101" t="s">
        <v>9752</v>
      </c>
      <c r="J140" s="103"/>
      <c r="K140" s="103"/>
      <c r="L140" s="103"/>
      <c r="M140" s="252"/>
      <c r="N140" s="252"/>
      <c r="O140" s="252"/>
      <c r="P140" s="252"/>
      <c r="Q140" s="252"/>
      <c r="R140" s="252"/>
      <c r="S140" s="252"/>
      <c r="T140" s="253"/>
      <c r="U140" s="253"/>
      <c r="V140" s="253"/>
      <c r="W140" s="253"/>
      <c r="X140" s="253"/>
      <c r="Y140" s="253"/>
      <c r="Z140" s="253"/>
      <c r="AA140" s="253"/>
      <c r="AB140" s="253"/>
      <c r="AC140" s="253"/>
    </row>
    <row r="141">
      <c r="A141" s="78"/>
      <c r="B141" s="2" t="s">
        <v>20</v>
      </c>
      <c r="C141" s="2" t="s">
        <v>9753</v>
      </c>
      <c r="D141" s="2" t="s">
        <v>114</v>
      </c>
      <c r="E141" s="2" t="s">
        <v>9750</v>
      </c>
      <c r="F141" s="78"/>
      <c r="G141" s="105"/>
      <c r="H141" s="101" t="s">
        <v>9754</v>
      </c>
      <c r="I141" s="103"/>
      <c r="J141" s="103"/>
      <c r="K141" s="103"/>
      <c r="L141" s="103"/>
      <c r="M141" s="252"/>
      <c r="N141" s="252"/>
      <c r="O141" s="252"/>
      <c r="P141" s="252"/>
      <c r="Q141" s="252"/>
      <c r="R141" s="252"/>
      <c r="S141" s="252"/>
      <c r="T141" s="253"/>
      <c r="U141" s="253"/>
      <c r="V141" s="253"/>
      <c r="W141" s="253"/>
      <c r="X141" s="253"/>
      <c r="Y141" s="253"/>
      <c r="Z141" s="253"/>
      <c r="AA141" s="253"/>
      <c r="AB141" s="253"/>
      <c r="AC141" s="253"/>
    </row>
    <row r="142">
      <c r="A142" s="78"/>
      <c r="B142" s="2" t="s">
        <v>20</v>
      </c>
      <c r="C142" s="2" t="s">
        <v>55</v>
      </c>
      <c r="D142" s="2" t="s">
        <v>114</v>
      </c>
      <c r="E142" s="2" t="s">
        <v>9750</v>
      </c>
      <c r="F142" s="78"/>
      <c r="G142" s="105"/>
      <c r="H142" s="101" t="s">
        <v>9755</v>
      </c>
      <c r="I142" s="103"/>
      <c r="J142" s="103"/>
      <c r="K142" s="103"/>
      <c r="L142" s="103"/>
      <c r="M142" s="252"/>
      <c r="N142" s="252"/>
      <c r="O142" s="252"/>
      <c r="P142" s="252"/>
      <c r="Q142" s="252"/>
      <c r="R142" s="252"/>
      <c r="S142" s="252"/>
      <c r="T142" s="253"/>
      <c r="U142" s="253"/>
      <c r="V142" s="253"/>
      <c r="W142" s="253"/>
      <c r="X142" s="253"/>
      <c r="Y142" s="253"/>
      <c r="Z142" s="253"/>
      <c r="AA142" s="253"/>
      <c r="AB142" s="253"/>
      <c r="AC142" s="253"/>
    </row>
    <row r="143">
      <c r="A143" s="78"/>
      <c r="B143" s="2" t="s">
        <v>20</v>
      </c>
      <c r="C143" s="2" t="s">
        <v>341</v>
      </c>
      <c r="D143" s="2" t="s">
        <v>114</v>
      </c>
      <c r="E143" s="2" t="s">
        <v>9750</v>
      </c>
      <c r="F143" s="78"/>
      <c r="G143" s="105"/>
      <c r="H143" s="101" t="s">
        <v>9756</v>
      </c>
      <c r="I143" s="103"/>
      <c r="J143" s="103"/>
      <c r="K143" s="103"/>
      <c r="L143" s="103"/>
      <c r="M143" s="252"/>
      <c r="N143" s="252"/>
      <c r="O143" s="252"/>
      <c r="P143" s="252"/>
      <c r="Q143" s="252"/>
      <c r="R143" s="252"/>
      <c r="S143" s="252"/>
      <c r="T143" s="253"/>
      <c r="U143" s="253"/>
      <c r="V143" s="253"/>
      <c r="W143" s="253"/>
      <c r="X143" s="253"/>
      <c r="Y143" s="253"/>
      <c r="Z143" s="253"/>
      <c r="AA143" s="253"/>
      <c r="AB143" s="253"/>
      <c r="AC143" s="253"/>
    </row>
    <row r="144">
      <c r="A144" s="78"/>
      <c r="B144" s="2" t="s">
        <v>20</v>
      </c>
      <c r="C144" s="2" t="s">
        <v>458</v>
      </c>
      <c r="D144" s="2" t="s">
        <v>114</v>
      </c>
      <c r="E144" s="2" t="s">
        <v>9750</v>
      </c>
      <c r="F144" s="78"/>
      <c r="G144" s="105"/>
      <c r="H144" s="101" t="s">
        <v>9757</v>
      </c>
      <c r="I144" s="101" t="s">
        <v>9758</v>
      </c>
      <c r="J144" s="102" t="s">
        <v>9759</v>
      </c>
      <c r="K144" s="103"/>
      <c r="L144" s="103"/>
      <c r="M144" s="252"/>
      <c r="N144" s="252"/>
      <c r="O144" s="252"/>
      <c r="P144" s="252"/>
      <c r="Q144" s="252"/>
      <c r="R144" s="252"/>
      <c r="S144" s="252"/>
      <c r="T144" s="253"/>
      <c r="U144" s="253"/>
      <c r="V144" s="253"/>
      <c r="W144" s="253"/>
      <c r="X144" s="253"/>
      <c r="Y144" s="253"/>
      <c r="Z144" s="253"/>
      <c r="AA144" s="253"/>
      <c r="AB144" s="253"/>
      <c r="AC144" s="253"/>
    </row>
    <row r="145">
      <c r="A145" s="78"/>
      <c r="B145" s="2" t="s">
        <v>20</v>
      </c>
      <c r="C145" s="2" t="s">
        <v>9760</v>
      </c>
      <c r="D145" s="2" t="s">
        <v>114</v>
      </c>
      <c r="E145" s="2" t="s">
        <v>9761</v>
      </c>
      <c r="F145" s="2"/>
      <c r="G145" s="3"/>
      <c r="H145" s="254" t="s">
        <v>9762</v>
      </c>
      <c r="I145" s="3"/>
      <c r="J145" s="3"/>
      <c r="K145" s="3"/>
      <c r="L145" s="3"/>
      <c r="M145" s="251"/>
      <c r="N145" s="251"/>
      <c r="O145" s="251"/>
      <c r="P145" s="251"/>
      <c r="Q145" s="252"/>
      <c r="R145" s="252"/>
      <c r="S145" s="252"/>
      <c r="T145" s="253"/>
      <c r="U145" s="253"/>
      <c r="V145" s="253"/>
      <c r="W145" s="253"/>
      <c r="X145" s="253"/>
      <c r="Y145" s="253"/>
      <c r="Z145" s="253"/>
      <c r="AA145" s="253"/>
      <c r="AB145" s="253"/>
      <c r="AC145" s="253"/>
    </row>
    <row r="146">
      <c r="A146" s="78"/>
      <c r="B146" s="2" t="s">
        <v>20</v>
      </c>
      <c r="C146" s="2" t="s">
        <v>9763</v>
      </c>
      <c r="D146" s="2" t="s">
        <v>114</v>
      </c>
      <c r="E146" s="2" t="s">
        <v>9761</v>
      </c>
      <c r="F146" s="78"/>
      <c r="G146" s="105"/>
      <c r="H146" s="101" t="s">
        <v>9764</v>
      </c>
      <c r="I146" s="101" t="s">
        <v>9765</v>
      </c>
      <c r="J146" s="101" t="s">
        <v>9766</v>
      </c>
      <c r="K146" s="103"/>
      <c r="L146" s="103"/>
      <c r="M146" s="252"/>
      <c r="N146" s="252"/>
      <c r="O146" s="252"/>
      <c r="P146" s="252"/>
      <c r="Q146" s="252"/>
      <c r="R146" s="252"/>
      <c r="S146" s="252"/>
      <c r="T146" s="253"/>
      <c r="U146" s="253"/>
      <c r="V146" s="253"/>
      <c r="W146" s="253"/>
      <c r="X146" s="253"/>
      <c r="Y146" s="253"/>
      <c r="Z146" s="253"/>
      <c r="AA146" s="253"/>
      <c r="AB146" s="253"/>
      <c r="AC146" s="253"/>
    </row>
    <row r="147">
      <c r="A147" s="78"/>
      <c r="B147" s="2" t="s">
        <v>20</v>
      </c>
      <c r="C147" s="2" t="s">
        <v>9767</v>
      </c>
      <c r="D147" s="2" t="s">
        <v>114</v>
      </c>
      <c r="E147" s="2" t="s">
        <v>9761</v>
      </c>
      <c r="F147" s="78"/>
      <c r="G147" s="105"/>
      <c r="H147" s="101" t="s">
        <v>9768</v>
      </c>
      <c r="I147" s="101" t="s">
        <v>9769</v>
      </c>
      <c r="J147" s="103"/>
      <c r="K147" s="103"/>
      <c r="L147" s="103"/>
      <c r="M147" s="252"/>
      <c r="N147" s="252"/>
      <c r="O147" s="252"/>
      <c r="P147" s="252"/>
      <c r="Q147" s="252"/>
      <c r="R147" s="252"/>
      <c r="S147" s="252"/>
      <c r="T147" s="253"/>
      <c r="U147" s="253"/>
      <c r="V147" s="253"/>
      <c r="W147" s="253"/>
      <c r="X147" s="253"/>
      <c r="Y147" s="253"/>
      <c r="Z147" s="253"/>
      <c r="AA147" s="253"/>
      <c r="AB147" s="253"/>
      <c r="AC147" s="253"/>
    </row>
    <row r="148">
      <c r="A148" s="78"/>
      <c r="B148" s="2" t="s">
        <v>20</v>
      </c>
      <c r="C148" s="2" t="s">
        <v>4797</v>
      </c>
      <c r="D148" s="2" t="s">
        <v>114</v>
      </c>
      <c r="E148" s="2" t="s">
        <v>9761</v>
      </c>
      <c r="F148" s="78"/>
      <c r="G148" s="105"/>
      <c r="H148" s="101" t="s">
        <v>9770</v>
      </c>
      <c r="I148" s="103"/>
      <c r="J148" s="103"/>
      <c r="K148" s="103"/>
      <c r="L148" s="103"/>
      <c r="M148" s="252"/>
      <c r="N148" s="252"/>
      <c r="O148" s="252"/>
      <c r="P148" s="252"/>
      <c r="Q148" s="252"/>
      <c r="R148" s="252"/>
      <c r="S148" s="252"/>
      <c r="T148" s="253"/>
      <c r="U148" s="253"/>
      <c r="V148" s="253"/>
      <c r="W148" s="253"/>
      <c r="X148" s="253"/>
      <c r="Y148" s="253"/>
      <c r="Z148" s="253"/>
      <c r="AA148" s="253"/>
      <c r="AB148" s="253"/>
      <c r="AC148" s="253"/>
    </row>
    <row r="149">
      <c r="A149" s="78"/>
      <c r="B149" s="2" t="s">
        <v>20</v>
      </c>
      <c r="C149" s="2" t="s">
        <v>2284</v>
      </c>
      <c r="D149" s="2" t="s">
        <v>114</v>
      </c>
      <c r="E149" s="2" t="s">
        <v>9761</v>
      </c>
      <c r="F149" s="78"/>
      <c r="G149" s="105"/>
      <c r="H149" s="101" t="s">
        <v>9771</v>
      </c>
      <c r="I149" s="103"/>
      <c r="J149" s="103"/>
      <c r="K149" s="103"/>
      <c r="L149" s="103"/>
      <c r="M149" s="252"/>
      <c r="N149" s="252"/>
      <c r="O149" s="252"/>
      <c r="P149" s="252"/>
      <c r="Q149" s="252"/>
      <c r="R149" s="252"/>
      <c r="S149" s="252"/>
      <c r="T149" s="253"/>
      <c r="U149" s="253"/>
      <c r="V149" s="253"/>
      <c r="W149" s="253"/>
      <c r="X149" s="253"/>
      <c r="Y149" s="253"/>
      <c r="Z149" s="253"/>
      <c r="AA149" s="253"/>
      <c r="AB149" s="253"/>
      <c r="AC149" s="253"/>
    </row>
    <row r="150">
      <c r="A150" s="78"/>
      <c r="B150" s="2" t="s">
        <v>20</v>
      </c>
      <c r="C150" s="2" t="s">
        <v>3881</v>
      </c>
      <c r="D150" s="2" t="s">
        <v>114</v>
      </c>
      <c r="E150" s="2" t="s">
        <v>9761</v>
      </c>
      <c r="F150" s="78"/>
      <c r="G150" s="105"/>
      <c r="H150" s="101" t="s">
        <v>9772</v>
      </c>
      <c r="I150" s="101" t="s">
        <v>9773</v>
      </c>
      <c r="J150" s="103"/>
      <c r="K150" s="103"/>
      <c r="L150" s="103"/>
      <c r="M150" s="252"/>
      <c r="N150" s="252"/>
      <c r="O150" s="252"/>
      <c r="P150" s="252"/>
      <c r="Q150" s="252"/>
      <c r="R150" s="252"/>
      <c r="S150" s="252"/>
      <c r="T150" s="253"/>
      <c r="U150" s="253"/>
      <c r="V150" s="253"/>
      <c r="W150" s="253"/>
      <c r="X150" s="253"/>
      <c r="Y150" s="253"/>
      <c r="Z150" s="253"/>
      <c r="AA150" s="253"/>
      <c r="AB150" s="253"/>
      <c r="AC150" s="253"/>
    </row>
    <row r="151">
      <c r="A151" s="78"/>
      <c r="B151" s="2" t="s">
        <v>20</v>
      </c>
      <c r="C151" s="2" t="s">
        <v>9774</v>
      </c>
      <c r="D151" s="2" t="s">
        <v>114</v>
      </c>
      <c r="E151" s="2" t="s">
        <v>9761</v>
      </c>
      <c r="F151" s="78"/>
      <c r="G151" s="105"/>
      <c r="H151" s="101" t="s">
        <v>9775</v>
      </c>
      <c r="I151" s="101" t="s">
        <v>9776</v>
      </c>
      <c r="J151" s="103"/>
      <c r="K151" s="103"/>
      <c r="L151" s="103"/>
      <c r="M151" s="252"/>
      <c r="N151" s="252"/>
      <c r="O151" s="252"/>
      <c r="P151" s="252"/>
      <c r="Q151" s="252"/>
      <c r="R151" s="252"/>
      <c r="S151" s="252"/>
      <c r="T151" s="253"/>
      <c r="U151" s="253"/>
      <c r="V151" s="253"/>
      <c r="W151" s="253"/>
      <c r="X151" s="253"/>
      <c r="Y151" s="253"/>
      <c r="Z151" s="253"/>
      <c r="AA151" s="253"/>
      <c r="AB151" s="253"/>
      <c r="AC151" s="253"/>
    </row>
    <row r="152">
      <c r="A152" s="78"/>
      <c r="B152" s="2" t="s">
        <v>20</v>
      </c>
      <c r="C152" s="2" t="s">
        <v>3209</v>
      </c>
      <c r="D152" s="2" t="s">
        <v>114</v>
      </c>
      <c r="E152" s="2" t="s">
        <v>9761</v>
      </c>
      <c r="F152" s="78"/>
      <c r="G152" s="105"/>
      <c r="H152" s="101" t="s">
        <v>9777</v>
      </c>
      <c r="I152" s="103"/>
      <c r="J152" s="103"/>
      <c r="K152" s="103"/>
      <c r="L152" s="103"/>
      <c r="M152" s="252"/>
      <c r="N152" s="252"/>
      <c r="O152" s="252"/>
      <c r="P152" s="252"/>
      <c r="Q152" s="252"/>
      <c r="R152" s="252"/>
      <c r="S152" s="252"/>
      <c r="T152" s="253"/>
      <c r="U152" s="253"/>
      <c r="V152" s="253"/>
      <c r="W152" s="253"/>
      <c r="X152" s="253"/>
      <c r="Y152" s="253"/>
      <c r="Z152" s="253"/>
      <c r="AA152" s="253"/>
      <c r="AB152" s="253"/>
      <c r="AC152" s="253"/>
    </row>
    <row r="153">
      <c r="A153" s="78"/>
      <c r="B153" s="2" t="s">
        <v>20</v>
      </c>
      <c r="C153" s="2" t="s">
        <v>1011</v>
      </c>
      <c r="D153" s="2" t="s">
        <v>114</v>
      </c>
      <c r="E153" s="2" t="s">
        <v>9761</v>
      </c>
      <c r="F153" s="78"/>
      <c r="G153" s="105"/>
      <c r="H153" s="101" t="s">
        <v>9778</v>
      </c>
      <c r="I153" s="103"/>
      <c r="J153" s="103"/>
      <c r="K153" s="103"/>
      <c r="L153" s="103"/>
      <c r="M153" s="252"/>
      <c r="N153" s="252"/>
      <c r="O153" s="252"/>
      <c r="P153" s="252"/>
      <c r="Q153" s="252"/>
      <c r="R153" s="252"/>
      <c r="S153" s="252"/>
      <c r="T153" s="253"/>
      <c r="U153" s="253"/>
      <c r="V153" s="253"/>
      <c r="W153" s="253"/>
      <c r="X153" s="253"/>
      <c r="Y153" s="253"/>
      <c r="Z153" s="253"/>
      <c r="AA153" s="253"/>
      <c r="AB153" s="253"/>
      <c r="AC153" s="253"/>
    </row>
    <row r="154">
      <c r="A154" s="78"/>
      <c r="B154" s="2" t="s">
        <v>20</v>
      </c>
      <c r="C154" s="2" t="s">
        <v>2284</v>
      </c>
      <c r="D154" s="2" t="s">
        <v>114</v>
      </c>
      <c r="E154" s="2" t="s">
        <v>9761</v>
      </c>
      <c r="F154" s="78"/>
      <c r="G154" s="105"/>
      <c r="H154" s="101" t="s">
        <v>9779</v>
      </c>
      <c r="I154" s="103"/>
      <c r="J154" s="103"/>
      <c r="K154" s="103"/>
      <c r="L154" s="103"/>
      <c r="M154" s="252"/>
      <c r="N154" s="252"/>
      <c r="O154" s="252"/>
      <c r="P154" s="252"/>
      <c r="Q154" s="252"/>
      <c r="R154" s="252"/>
      <c r="S154" s="252"/>
      <c r="T154" s="253"/>
      <c r="U154" s="253"/>
      <c r="V154" s="253"/>
      <c r="W154" s="253"/>
      <c r="X154" s="253"/>
      <c r="Y154" s="253"/>
      <c r="Z154" s="253"/>
      <c r="AA154" s="253"/>
      <c r="AB154" s="253"/>
      <c r="AC154" s="253"/>
    </row>
    <row r="155">
      <c r="A155" s="78"/>
      <c r="B155" s="2" t="s">
        <v>20</v>
      </c>
      <c r="C155" s="2" t="s">
        <v>1088</v>
      </c>
      <c r="D155" s="2" t="s">
        <v>114</v>
      </c>
      <c r="E155" s="2" t="s">
        <v>9780</v>
      </c>
      <c r="F155" s="2"/>
      <c r="G155" s="105"/>
      <c r="H155" s="105"/>
      <c r="I155" s="3"/>
      <c r="J155" s="101" t="s">
        <v>9781</v>
      </c>
      <c r="K155" s="3"/>
      <c r="L155" s="3"/>
      <c r="M155" s="251"/>
      <c r="N155" s="251"/>
      <c r="O155" s="251"/>
      <c r="P155" s="251"/>
      <c r="Q155" s="252"/>
      <c r="R155" s="252"/>
      <c r="S155" s="252"/>
      <c r="T155" s="253"/>
      <c r="U155" s="253"/>
      <c r="V155" s="253"/>
      <c r="W155" s="253"/>
      <c r="X155" s="253"/>
      <c r="Y155" s="253"/>
      <c r="Z155" s="253"/>
      <c r="AA155" s="253"/>
      <c r="AB155" s="253"/>
      <c r="AC155" s="253"/>
    </row>
    <row r="156">
      <c r="A156" s="78"/>
      <c r="B156" s="2" t="s">
        <v>20</v>
      </c>
      <c r="C156" s="2" t="s">
        <v>1399</v>
      </c>
      <c r="D156" s="2" t="s">
        <v>114</v>
      </c>
      <c r="E156" s="2" t="s">
        <v>9780</v>
      </c>
      <c r="F156" s="78"/>
      <c r="G156" s="105"/>
      <c r="H156" s="101" t="s">
        <v>9782</v>
      </c>
      <c r="I156" s="101" t="s">
        <v>9783</v>
      </c>
      <c r="J156" s="103"/>
      <c r="K156" s="103"/>
      <c r="L156" s="103"/>
      <c r="M156" s="252"/>
      <c r="N156" s="252"/>
      <c r="O156" s="252"/>
      <c r="P156" s="252"/>
      <c r="Q156" s="252"/>
      <c r="R156" s="252"/>
      <c r="S156" s="252"/>
      <c r="T156" s="253"/>
      <c r="U156" s="253"/>
      <c r="V156" s="253"/>
      <c r="W156" s="253"/>
      <c r="X156" s="253"/>
      <c r="Y156" s="253"/>
      <c r="Z156" s="253"/>
      <c r="AA156" s="253"/>
      <c r="AB156" s="253"/>
      <c r="AC156" s="253"/>
    </row>
    <row r="157">
      <c r="A157" s="78"/>
      <c r="B157" s="2" t="s">
        <v>20</v>
      </c>
      <c r="C157" s="2" t="s">
        <v>2999</v>
      </c>
      <c r="D157" s="2" t="s">
        <v>114</v>
      </c>
      <c r="E157" s="2" t="s">
        <v>9780</v>
      </c>
      <c r="F157" s="78"/>
      <c r="G157" s="105"/>
      <c r="H157" s="101" t="s">
        <v>9784</v>
      </c>
      <c r="I157" s="103"/>
      <c r="J157" s="103"/>
      <c r="K157" s="103"/>
      <c r="L157" s="103"/>
      <c r="M157" s="252"/>
      <c r="N157" s="252"/>
      <c r="O157" s="252"/>
      <c r="P157" s="252"/>
      <c r="Q157" s="252"/>
      <c r="R157" s="252"/>
      <c r="S157" s="252"/>
      <c r="T157" s="253"/>
      <c r="U157" s="253"/>
      <c r="V157" s="253"/>
      <c r="W157" s="253"/>
      <c r="X157" s="253"/>
      <c r="Y157" s="253"/>
      <c r="Z157" s="253"/>
      <c r="AA157" s="253"/>
      <c r="AB157" s="253"/>
      <c r="AC157" s="253"/>
    </row>
    <row r="158">
      <c r="A158" s="78"/>
      <c r="B158" s="2" t="s">
        <v>20</v>
      </c>
      <c r="C158" s="2" t="s">
        <v>327</v>
      </c>
      <c r="D158" s="2" t="s">
        <v>114</v>
      </c>
      <c r="E158" s="2" t="s">
        <v>9780</v>
      </c>
      <c r="F158" s="78"/>
      <c r="G158" s="105"/>
      <c r="H158" s="101" t="s">
        <v>9785</v>
      </c>
      <c r="I158" s="101" t="s">
        <v>9786</v>
      </c>
      <c r="J158" s="103"/>
      <c r="K158" s="103"/>
      <c r="L158" s="103"/>
      <c r="M158" s="252"/>
      <c r="N158" s="252"/>
      <c r="O158" s="252"/>
      <c r="P158" s="252"/>
      <c r="Q158" s="252"/>
      <c r="R158" s="252"/>
      <c r="S158" s="252"/>
      <c r="T158" s="253"/>
      <c r="U158" s="253"/>
      <c r="V158" s="253"/>
      <c r="W158" s="253"/>
      <c r="X158" s="253"/>
      <c r="Y158" s="253"/>
      <c r="Z158" s="253"/>
      <c r="AA158" s="253"/>
      <c r="AB158" s="253"/>
      <c r="AC158" s="253"/>
    </row>
    <row r="159">
      <c r="A159" s="78"/>
      <c r="B159" s="2" t="s">
        <v>20</v>
      </c>
      <c r="C159" s="2" t="s">
        <v>1088</v>
      </c>
      <c r="D159" s="2" t="s">
        <v>114</v>
      </c>
      <c r="E159" s="2" t="s">
        <v>9780</v>
      </c>
      <c r="F159" s="78"/>
      <c r="G159" s="105"/>
      <c r="H159" s="101" t="s">
        <v>9787</v>
      </c>
      <c r="I159" s="103"/>
      <c r="J159" s="101" t="s">
        <v>9788</v>
      </c>
      <c r="K159" s="103"/>
      <c r="L159" s="103"/>
      <c r="M159" s="252"/>
      <c r="N159" s="252"/>
      <c r="O159" s="252"/>
      <c r="P159" s="252"/>
      <c r="Q159" s="252"/>
      <c r="R159" s="252"/>
      <c r="S159" s="252"/>
      <c r="T159" s="253"/>
      <c r="U159" s="253"/>
      <c r="V159" s="253"/>
      <c r="W159" s="253"/>
      <c r="X159" s="253"/>
      <c r="Y159" s="253"/>
      <c r="Z159" s="253"/>
      <c r="AA159" s="253"/>
      <c r="AB159" s="253"/>
      <c r="AC159" s="253"/>
    </row>
    <row r="160">
      <c r="A160" s="78"/>
      <c r="B160" s="2" t="s">
        <v>20</v>
      </c>
      <c r="C160" s="2" t="s">
        <v>3898</v>
      </c>
      <c r="D160" s="2" t="s">
        <v>114</v>
      </c>
      <c r="E160" s="2" t="s">
        <v>9780</v>
      </c>
      <c r="F160" s="2" t="s">
        <v>9789</v>
      </c>
      <c r="G160" s="105"/>
      <c r="H160" s="101" t="s">
        <v>9790</v>
      </c>
      <c r="I160" s="101" t="s">
        <v>9791</v>
      </c>
      <c r="J160" s="103"/>
      <c r="K160" s="103"/>
      <c r="L160" s="103"/>
      <c r="M160" s="252"/>
      <c r="N160" s="252"/>
      <c r="O160" s="252"/>
      <c r="P160" s="252"/>
      <c r="Q160" s="252"/>
      <c r="R160" s="252"/>
      <c r="S160" s="252"/>
      <c r="T160" s="253"/>
      <c r="U160" s="253"/>
      <c r="V160" s="253"/>
      <c r="W160" s="253"/>
      <c r="X160" s="253"/>
      <c r="Y160" s="253"/>
      <c r="Z160" s="253"/>
      <c r="AA160" s="253"/>
      <c r="AB160" s="253"/>
      <c r="AC160" s="253"/>
    </row>
    <row r="161">
      <c r="A161" s="78"/>
      <c r="B161" s="2" t="s">
        <v>20</v>
      </c>
      <c r="C161" s="2" t="s">
        <v>9792</v>
      </c>
      <c r="D161" s="2" t="s">
        <v>114</v>
      </c>
      <c r="E161" s="2" t="s">
        <v>9780</v>
      </c>
      <c r="F161" s="2" t="s">
        <v>9793</v>
      </c>
      <c r="G161" s="105"/>
      <c r="H161" s="101" t="s">
        <v>9794</v>
      </c>
      <c r="I161" s="103"/>
      <c r="J161" s="103"/>
      <c r="K161" s="103"/>
      <c r="L161" s="103"/>
      <c r="M161" s="252"/>
      <c r="N161" s="252"/>
      <c r="O161" s="252"/>
      <c r="P161" s="252"/>
      <c r="Q161" s="252"/>
      <c r="R161" s="252"/>
      <c r="S161" s="252"/>
      <c r="T161" s="253"/>
      <c r="U161" s="253"/>
      <c r="V161" s="253"/>
      <c r="W161" s="253"/>
      <c r="X161" s="253"/>
      <c r="Y161" s="253"/>
      <c r="Z161" s="253"/>
      <c r="AA161" s="253"/>
      <c r="AB161" s="253"/>
      <c r="AC161" s="253"/>
    </row>
    <row r="162">
      <c r="A162" s="78"/>
      <c r="B162" s="2" t="s">
        <v>20</v>
      </c>
      <c r="C162" s="2" t="s">
        <v>678</v>
      </c>
      <c r="D162" s="2" t="s">
        <v>114</v>
      </c>
      <c r="E162" s="2" t="s">
        <v>9780</v>
      </c>
      <c r="F162" s="78"/>
      <c r="G162" s="105"/>
      <c r="H162" s="101" t="s">
        <v>9795</v>
      </c>
      <c r="I162" s="103"/>
      <c r="J162" s="103"/>
      <c r="K162" s="103"/>
      <c r="L162" s="103"/>
      <c r="M162" s="252"/>
      <c r="N162" s="252"/>
      <c r="O162" s="252"/>
      <c r="P162" s="252"/>
      <c r="Q162" s="252"/>
      <c r="R162" s="252"/>
      <c r="S162" s="252"/>
      <c r="T162" s="253"/>
      <c r="U162" s="253"/>
      <c r="V162" s="253"/>
      <c r="W162" s="253"/>
      <c r="X162" s="253"/>
      <c r="Y162" s="253"/>
      <c r="Z162" s="253"/>
      <c r="AA162" s="253"/>
      <c r="AB162" s="253"/>
      <c r="AC162" s="253"/>
    </row>
    <row r="163">
      <c r="A163" s="78"/>
      <c r="B163" s="2" t="s">
        <v>20</v>
      </c>
      <c r="C163" s="2" t="s">
        <v>3999</v>
      </c>
      <c r="D163" s="2" t="s">
        <v>114</v>
      </c>
      <c r="E163" s="2" t="s">
        <v>9780</v>
      </c>
      <c r="F163" s="78"/>
      <c r="G163" s="105"/>
      <c r="H163" s="101" t="s">
        <v>9796</v>
      </c>
      <c r="I163" s="101" t="s">
        <v>9797</v>
      </c>
      <c r="J163" s="102" t="s">
        <v>9798</v>
      </c>
      <c r="K163" s="103"/>
      <c r="L163" s="103"/>
      <c r="M163" s="252"/>
      <c r="N163" s="252"/>
      <c r="O163" s="252"/>
      <c r="P163" s="252"/>
      <c r="Q163" s="252"/>
      <c r="R163" s="252"/>
      <c r="S163" s="252"/>
      <c r="T163" s="253"/>
      <c r="U163" s="253"/>
      <c r="V163" s="253"/>
      <c r="W163" s="253"/>
      <c r="X163" s="253"/>
      <c r="Y163" s="253"/>
      <c r="Z163" s="253"/>
      <c r="AA163" s="253"/>
      <c r="AB163" s="253"/>
      <c r="AC163" s="253"/>
    </row>
    <row r="164">
      <c r="A164" s="78"/>
      <c r="B164" s="2" t="s">
        <v>17</v>
      </c>
      <c r="C164" s="2" t="s">
        <v>9799</v>
      </c>
      <c r="D164" s="2" t="s">
        <v>114</v>
      </c>
      <c r="E164" s="2" t="s">
        <v>9780</v>
      </c>
      <c r="F164" s="78"/>
      <c r="G164" s="105"/>
      <c r="H164" s="101" t="s">
        <v>9800</v>
      </c>
      <c r="I164" s="103"/>
      <c r="J164" s="103"/>
      <c r="K164" s="103"/>
      <c r="L164" s="103"/>
      <c r="M164" s="252"/>
      <c r="N164" s="252"/>
      <c r="O164" s="252"/>
      <c r="P164" s="252"/>
      <c r="Q164" s="252"/>
      <c r="R164" s="252"/>
      <c r="S164" s="252"/>
      <c r="T164" s="253"/>
      <c r="U164" s="253"/>
      <c r="V164" s="253"/>
      <c r="W164" s="253"/>
      <c r="X164" s="253"/>
      <c r="Y164" s="253"/>
      <c r="Z164" s="253"/>
      <c r="AA164" s="253"/>
      <c r="AB164" s="253"/>
      <c r="AC164" s="253"/>
    </row>
    <row r="165">
      <c r="A165" s="78"/>
      <c r="B165" s="2" t="s">
        <v>20</v>
      </c>
      <c r="C165" s="2" t="s">
        <v>2229</v>
      </c>
      <c r="D165" s="2" t="s">
        <v>114</v>
      </c>
      <c r="E165" s="2" t="s">
        <v>9780</v>
      </c>
      <c r="F165" s="78"/>
      <c r="G165" s="105"/>
      <c r="H165" s="101" t="s">
        <v>9785</v>
      </c>
      <c r="I165" s="101" t="s">
        <v>9786</v>
      </c>
      <c r="J165" s="103"/>
      <c r="K165" s="103"/>
      <c r="L165" s="103"/>
      <c r="M165" s="252"/>
      <c r="N165" s="252"/>
      <c r="O165" s="252"/>
      <c r="P165" s="252"/>
      <c r="Q165" s="252"/>
      <c r="R165" s="252"/>
      <c r="S165" s="252"/>
      <c r="T165" s="253"/>
      <c r="U165" s="253"/>
      <c r="V165" s="253"/>
      <c r="W165" s="253"/>
      <c r="X165" s="253"/>
      <c r="Y165" s="253"/>
      <c r="Z165" s="253"/>
      <c r="AA165" s="253"/>
      <c r="AB165" s="253"/>
      <c r="AC165" s="253"/>
    </row>
    <row r="166">
      <c r="A166" s="78"/>
      <c r="B166" s="2" t="s">
        <v>20</v>
      </c>
      <c r="C166" s="2" t="s">
        <v>2916</v>
      </c>
      <c r="D166" s="2" t="s">
        <v>114</v>
      </c>
      <c r="E166" s="2" t="s">
        <v>9780</v>
      </c>
      <c r="F166" s="2" t="s">
        <v>9801</v>
      </c>
      <c r="G166" s="105"/>
      <c r="H166" s="101" t="s">
        <v>9802</v>
      </c>
      <c r="I166" s="105"/>
      <c r="J166" s="103"/>
      <c r="K166" s="103"/>
      <c r="L166" s="103"/>
      <c r="M166" s="252"/>
      <c r="N166" s="252"/>
      <c r="O166" s="252"/>
      <c r="P166" s="252"/>
      <c r="Q166" s="252"/>
      <c r="R166" s="252"/>
      <c r="S166" s="252"/>
      <c r="T166" s="253"/>
      <c r="U166" s="253"/>
      <c r="V166" s="253"/>
      <c r="W166" s="253"/>
      <c r="X166" s="253"/>
      <c r="Y166" s="253"/>
      <c r="Z166" s="253"/>
      <c r="AA166" s="253"/>
      <c r="AB166" s="253"/>
      <c r="AC166" s="253"/>
    </row>
    <row r="167">
      <c r="A167" s="1">
        <v>19897.0</v>
      </c>
      <c r="B167" s="2" t="s">
        <v>20</v>
      </c>
      <c r="C167" s="2" t="s">
        <v>9774</v>
      </c>
      <c r="D167" s="2" t="s">
        <v>114</v>
      </c>
      <c r="E167" s="2" t="s">
        <v>9803</v>
      </c>
      <c r="F167" s="78"/>
      <c r="G167" s="105"/>
      <c r="H167" s="101" t="s">
        <v>9804</v>
      </c>
      <c r="I167" s="101" t="s">
        <v>9805</v>
      </c>
      <c r="J167" s="103"/>
      <c r="K167" s="103"/>
      <c r="L167" s="103"/>
      <c r="M167" s="252"/>
      <c r="N167" s="252"/>
      <c r="O167" s="252"/>
      <c r="P167" s="252"/>
      <c r="Q167" s="252"/>
      <c r="R167" s="252"/>
      <c r="S167" s="252"/>
      <c r="T167" s="253"/>
      <c r="U167" s="253"/>
      <c r="V167" s="253"/>
      <c r="W167" s="253"/>
      <c r="X167" s="253"/>
      <c r="Y167" s="253"/>
      <c r="Z167" s="253"/>
      <c r="AA167" s="253"/>
      <c r="AB167" s="253"/>
      <c r="AC167" s="253"/>
    </row>
    <row r="168">
      <c r="A168" s="1">
        <v>13906.0</v>
      </c>
      <c r="B168" s="2" t="s">
        <v>20</v>
      </c>
      <c r="C168" s="2" t="s">
        <v>2478</v>
      </c>
      <c r="D168" s="2" t="s">
        <v>114</v>
      </c>
      <c r="E168" s="2" t="s">
        <v>9803</v>
      </c>
      <c r="F168" s="78"/>
      <c r="G168" s="105">
        <v>5.0</v>
      </c>
      <c r="H168" s="101" t="s">
        <v>9806</v>
      </c>
      <c r="I168" s="101" t="s">
        <v>9807</v>
      </c>
      <c r="J168" s="103"/>
      <c r="K168" s="103"/>
      <c r="L168" s="103"/>
      <c r="M168" s="252"/>
      <c r="N168" s="252"/>
      <c r="O168" s="252"/>
      <c r="P168" s="252"/>
      <c r="Q168" s="252"/>
      <c r="R168" s="252"/>
      <c r="S168" s="252"/>
      <c r="T168" s="253"/>
      <c r="U168" s="253"/>
      <c r="V168" s="253"/>
      <c r="W168" s="253"/>
      <c r="X168" s="253"/>
      <c r="Y168" s="253"/>
      <c r="Z168" s="253"/>
      <c r="AA168" s="253"/>
      <c r="AB168" s="253"/>
      <c r="AC168" s="253"/>
    </row>
    <row r="169">
      <c r="A169" s="78"/>
      <c r="B169" s="2" t="s">
        <v>20</v>
      </c>
      <c r="C169" s="2" t="s">
        <v>3209</v>
      </c>
      <c r="D169" s="2" t="s">
        <v>114</v>
      </c>
      <c r="E169" s="2" t="s">
        <v>9803</v>
      </c>
      <c r="F169" s="78"/>
      <c r="G169" s="103"/>
      <c r="H169" s="103"/>
      <c r="I169" s="103"/>
      <c r="J169" s="101" t="s">
        <v>9808</v>
      </c>
      <c r="K169" s="103"/>
      <c r="L169" s="103"/>
      <c r="M169" s="252"/>
      <c r="N169" s="252"/>
      <c r="O169" s="252"/>
      <c r="P169" s="252"/>
      <c r="Q169" s="252"/>
      <c r="R169" s="252"/>
      <c r="S169" s="252"/>
      <c r="T169" s="253"/>
      <c r="U169" s="253"/>
      <c r="V169" s="253"/>
      <c r="W169" s="253"/>
      <c r="X169" s="253"/>
      <c r="Y169" s="253"/>
      <c r="Z169" s="253"/>
      <c r="AA169" s="253"/>
      <c r="AB169" s="253"/>
      <c r="AC169" s="253"/>
    </row>
    <row r="170">
      <c r="A170" s="1">
        <v>13775.0</v>
      </c>
      <c r="B170" s="2" t="s">
        <v>20</v>
      </c>
      <c r="C170" s="2" t="s">
        <v>9809</v>
      </c>
      <c r="D170" s="2" t="s">
        <v>114</v>
      </c>
      <c r="E170" s="2" t="s">
        <v>9803</v>
      </c>
      <c r="F170" s="78"/>
      <c r="G170" s="105"/>
      <c r="H170" s="101" t="s">
        <v>9810</v>
      </c>
      <c r="I170" s="103"/>
      <c r="J170" s="103"/>
      <c r="K170" s="103"/>
      <c r="L170" s="103"/>
      <c r="M170" s="252"/>
      <c r="N170" s="252"/>
      <c r="O170" s="252"/>
      <c r="P170" s="252"/>
      <c r="Q170" s="252"/>
      <c r="R170" s="252"/>
      <c r="S170" s="252"/>
      <c r="T170" s="253"/>
      <c r="U170" s="253"/>
      <c r="V170" s="253"/>
      <c r="W170" s="253"/>
      <c r="X170" s="253"/>
      <c r="Y170" s="253"/>
      <c r="Z170" s="253"/>
      <c r="AA170" s="253"/>
      <c r="AB170" s="253"/>
      <c r="AC170" s="253"/>
    </row>
    <row r="171">
      <c r="A171" s="10">
        <v>13688.0</v>
      </c>
      <c r="B171" s="2" t="s">
        <v>20</v>
      </c>
      <c r="C171" s="7" t="s">
        <v>9811</v>
      </c>
      <c r="D171" s="2" t="s">
        <v>114</v>
      </c>
      <c r="E171" s="7" t="s">
        <v>9803</v>
      </c>
      <c r="F171" s="22"/>
      <c r="G171" s="193"/>
      <c r="H171" s="106" t="s">
        <v>9812</v>
      </c>
      <c r="I171" s="112"/>
      <c r="J171" s="106" t="s">
        <v>9813</v>
      </c>
      <c r="K171" s="112"/>
      <c r="L171" s="112"/>
      <c r="M171" s="253"/>
      <c r="N171" s="253"/>
      <c r="O171" s="253"/>
      <c r="P171" s="253"/>
      <c r="Q171" s="253"/>
      <c r="R171" s="253"/>
      <c r="S171" s="253"/>
      <c r="T171" s="253"/>
      <c r="U171" s="253"/>
      <c r="V171" s="253"/>
      <c r="W171" s="253"/>
      <c r="X171" s="253"/>
      <c r="Y171" s="253"/>
      <c r="Z171" s="253"/>
      <c r="AA171" s="253"/>
      <c r="AB171" s="253"/>
      <c r="AC171" s="253"/>
    </row>
    <row r="172">
      <c r="A172" s="22"/>
      <c r="B172" s="7" t="s">
        <v>20</v>
      </c>
      <c r="C172" s="7" t="s">
        <v>3209</v>
      </c>
      <c r="D172" s="7" t="s">
        <v>114</v>
      </c>
      <c r="E172" s="7" t="s">
        <v>9761</v>
      </c>
      <c r="F172" s="22"/>
      <c r="G172" s="112"/>
      <c r="H172" s="112"/>
      <c r="I172" s="112"/>
      <c r="J172" s="106" t="s">
        <v>9814</v>
      </c>
      <c r="K172" s="112"/>
      <c r="L172" s="112"/>
      <c r="M172" s="253"/>
      <c r="N172" s="253"/>
      <c r="O172" s="253"/>
      <c r="P172" s="253"/>
      <c r="Q172" s="253"/>
      <c r="R172" s="253"/>
      <c r="S172" s="253"/>
      <c r="T172" s="253"/>
      <c r="U172" s="253"/>
      <c r="V172" s="253"/>
      <c r="W172" s="253"/>
      <c r="X172" s="253"/>
      <c r="Y172" s="253"/>
      <c r="Z172" s="253"/>
      <c r="AA172" s="253"/>
      <c r="AB172" s="253"/>
      <c r="AC172" s="253"/>
    </row>
    <row r="173">
      <c r="A173" s="22"/>
      <c r="B173" s="22"/>
      <c r="C173" s="22"/>
      <c r="D173" s="22"/>
      <c r="E173" s="22"/>
      <c r="F173" s="22"/>
      <c r="G173" s="112"/>
      <c r="H173" s="112"/>
      <c r="I173" s="112"/>
      <c r="J173" s="112"/>
      <c r="K173" s="112"/>
      <c r="L173" s="112"/>
      <c r="M173" s="253"/>
      <c r="N173" s="253"/>
      <c r="O173" s="253"/>
      <c r="P173" s="253"/>
      <c r="Q173" s="253"/>
      <c r="R173" s="253"/>
      <c r="S173" s="253"/>
      <c r="T173" s="253"/>
      <c r="U173" s="253"/>
      <c r="V173" s="253"/>
      <c r="W173" s="253"/>
      <c r="X173" s="253"/>
      <c r="Y173" s="253"/>
      <c r="Z173" s="253"/>
      <c r="AA173" s="253"/>
      <c r="AB173" s="253"/>
      <c r="AC173" s="253"/>
    </row>
    <row r="174">
      <c r="A174" s="22"/>
      <c r="B174" s="22"/>
      <c r="C174" s="22"/>
      <c r="D174" s="22"/>
      <c r="E174" s="22"/>
      <c r="F174" s="22"/>
      <c r="G174" s="112"/>
      <c r="H174" s="112"/>
      <c r="I174" s="112"/>
      <c r="J174" s="112"/>
      <c r="K174" s="112"/>
      <c r="L174" s="112"/>
      <c r="M174" s="253"/>
      <c r="N174" s="253"/>
      <c r="O174" s="253"/>
      <c r="P174" s="253"/>
      <c r="Q174" s="253"/>
      <c r="R174" s="253"/>
      <c r="S174" s="253"/>
      <c r="T174" s="253"/>
      <c r="U174" s="253"/>
      <c r="V174" s="253"/>
      <c r="W174" s="253"/>
      <c r="X174" s="253"/>
      <c r="Y174" s="253"/>
      <c r="Z174" s="253"/>
      <c r="AA174" s="253"/>
      <c r="AB174" s="253"/>
      <c r="AC174" s="253"/>
    </row>
    <row r="175">
      <c r="A175" s="22"/>
      <c r="B175" s="22"/>
      <c r="C175" s="22"/>
      <c r="D175" s="22"/>
      <c r="E175" s="22"/>
      <c r="F175" s="22"/>
      <c r="G175" s="112"/>
      <c r="H175" s="112"/>
      <c r="I175" s="112"/>
      <c r="J175" s="112"/>
      <c r="K175" s="112"/>
      <c r="L175" s="112"/>
      <c r="M175" s="253"/>
      <c r="N175" s="253"/>
      <c r="O175" s="253"/>
      <c r="P175" s="253"/>
      <c r="Q175" s="253"/>
      <c r="R175" s="253"/>
      <c r="S175" s="253"/>
      <c r="T175" s="253"/>
      <c r="U175" s="253"/>
      <c r="V175" s="253"/>
      <c r="W175" s="253"/>
      <c r="X175" s="253"/>
      <c r="Y175" s="253"/>
      <c r="Z175" s="253"/>
      <c r="AA175" s="253"/>
      <c r="AB175" s="253"/>
      <c r="AC175" s="253"/>
    </row>
    <row r="176">
      <c r="A176" s="22"/>
      <c r="B176" s="22"/>
      <c r="C176" s="22"/>
      <c r="D176" s="22"/>
      <c r="E176" s="22"/>
      <c r="F176" s="22"/>
      <c r="G176" s="112"/>
      <c r="H176" s="112"/>
      <c r="I176" s="112"/>
      <c r="J176" s="112"/>
      <c r="K176" s="112"/>
      <c r="L176" s="112"/>
      <c r="M176" s="253"/>
      <c r="N176" s="253"/>
      <c r="O176" s="253"/>
      <c r="P176" s="253"/>
      <c r="Q176" s="253"/>
      <c r="R176" s="253"/>
      <c r="S176" s="253"/>
      <c r="T176" s="253"/>
      <c r="U176" s="253"/>
      <c r="V176" s="253"/>
      <c r="W176" s="253"/>
      <c r="X176" s="253"/>
      <c r="Y176" s="253"/>
      <c r="Z176" s="253"/>
      <c r="AA176" s="253"/>
      <c r="AB176" s="253"/>
      <c r="AC176" s="253"/>
    </row>
    <row r="177">
      <c r="A177" s="22"/>
      <c r="B177" s="22"/>
      <c r="C177" s="22"/>
      <c r="D177" s="22"/>
      <c r="E177" s="22"/>
      <c r="F177" s="22"/>
      <c r="G177" s="112"/>
      <c r="H177" s="112"/>
      <c r="I177" s="112"/>
      <c r="J177" s="112"/>
      <c r="K177" s="112"/>
      <c r="L177" s="112"/>
      <c r="M177" s="253"/>
      <c r="N177" s="253"/>
      <c r="O177" s="253"/>
      <c r="P177" s="253"/>
      <c r="Q177" s="253"/>
      <c r="R177" s="253"/>
      <c r="S177" s="253"/>
      <c r="T177" s="253"/>
      <c r="U177" s="253"/>
      <c r="V177" s="253"/>
      <c r="W177" s="253"/>
      <c r="X177" s="253"/>
      <c r="Y177" s="253"/>
      <c r="Z177" s="253"/>
      <c r="AA177" s="253"/>
      <c r="AB177" s="253"/>
      <c r="AC177" s="253"/>
    </row>
    <row r="178">
      <c r="A178" s="22"/>
      <c r="B178" s="22"/>
      <c r="C178" s="22"/>
      <c r="D178" s="22"/>
      <c r="E178" s="22"/>
      <c r="F178" s="22"/>
      <c r="G178" s="112"/>
      <c r="H178" s="112"/>
      <c r="I178" s="112"/>
      <c r="J178" s="112"/>
      <c r="K178" s="112"/>
      <c r="L178" s="112"/>
      <c r="M178" s="253"/>
      <c r="N178" s="253"/>
      <c r="O178" s="253"/>
      <c r="P178" s="253"/>
      <c r="Q178" s="253"/>
      <c r="R178" s="253"/>
      <c r="S178" s="253"/>
      <c r="T178" s="253"/>
      <c r="U178" s="253"/>
      <c r="V178" s="253"/>
      <c r="W178" s="253"/>
      <c r="X178" s="253"/>
      <c r="Y178" s="253"/>
      <c r="Z178" s="253"/>
      <c r="AA178" s="253"/>
      <c r="AB178" s="253"/>
      <c r="AC178" s="253"/>
    </row>
    <row r="179">
      <c r="A179" s="22"/>
      <c r="B179" s="22"/>
      <c r="C179" s="22"/>
      <c r="D179" s="22"/>
      <c r="E179" s="22"/>
      <c r="F179" s="22"/>
      <c r="G179" s="112"/>
      <c r="H179" s="112"/>
      <c r="I179" s="112"/>
      <c r="J179" s="112"/>
      <c r="K179" s="112"/>
      <c r="L179" s="112"/>
      <c r="M179" s="253"/>
      <c r="N179" s="253"/>
      <c r="O179" s="253"/>
      <c r="P179" s="253"/>
      <c r="Q179" s="253"/>
      <c r="R179" s="253"/>
      <c r="S179" s="253"/>
      <c r="T179" s="253"/>
      <c r="U179" s="253"/>
      <c r="V179" s="253"/>
      <c r="W179" s="253"/>
      <c r="X179" s="253"/>
      <c r="Y179" s="253"/>
      <c r="Z179" s="253"/>
      <c r="AA179" s="253"/>
      <c r="AB179" s="253"/>
      <c r="AC179" s="253"/>
    </row>
    <row r="180">
      <c r="A180" s="22"/>
      <c r="B180" s="22"/>
      <c r="C180" s="22"/>
      <c r="D180" s="22"/>
      <c r="E180" s="22"/>
      <c r="F180" s="22"/>
      <c r="G180" s="112"/>
      <c r="H180" s="112"/>
      <c r="I180" s="112"/>
      <c r="J180" s="112"/>
      <c r="K180" s="112"/>
      <c r="L180" s="112"/>
      <c r="M180" s="253"/>
      <c r="N180" s="253"/>
      <c r="O180" s="253"/>
      <c r="P180" s="253"/>
      <c r="Q180" s="253"/>
      <c r="R180" s="253"/>
      <c r="S180" s="253"/>
      <c r="T180" s="253"/>
      <c r="U180" s="253"/>
      <c r="V180" s="253"/>
      <c r="W180" s="253"/>
      <c r="X180" s="253"/>
      <c r="Y180" s="253"/>
      <c r="Z180" s="253"/>
      <c r="AA180" s="253"/>
      <c r="AB180" s="253"/>
      <c r="AC180" s="253"/>
    </row>
    <row r="181">
      <c r="A181" s="22"/>
      <c r="B181" s="22"/>
      <c r="C181" s="22"/>
      <c r="D181" s="22"/>
      <c r="E181" s="22"/>
      <c r="F181" s="22"/>
      <c r="G181" s="112"/>
      <c r="H181" s="112"/>
      <c r="I181" s="112"/>
      <c r="J181" s="112"/>
      <c r="K181" s="112"/>
      <c r="L181" s="112"/>
      <c r="M181" s="253"/>
      <c r="N181" s="253"/>
      <c r="O181" s="253"/>
      <c r="P181" s="253"/>
      <c r="Q181" s="253"/>
      <c r="R181" s="253"/>
      <c r="S181" s="253"/>
      <c r="T181" s="253"/>
      <c r="U181" s="253"/>
      <c r="V181" s="253"/>
      <c r="W181" s="253"/>
      <c r="X181" s="253"/>
      <c r="Y181" s="253"/>
      <c r="Z181" s="253"/>
      <c r="AA181" s="253"/>
      <c r="AB181" s="253"/>
      <c r="AC181" s="253"/>
    </row>
    <row r="182">
      <c r="A182" s="22"/>
      <c r="B182" s="22"/>
      <c r="C182" s="22"/>
      <c r="D182" s="22"/>
      <c r="E182" s="22"/>
      <c r="F182" s="22"/>
      <c r="G182" s="112"/>
      <c r="H182" s="112"/>
      <c r="I182" s="112"/>
      <c r="J182" s="112"/>
      <c r="K182" s="112"/>
      <c r="L182" s="112"/>
      <c r="M182" s="253"/>
      <c r="N182" s="253"/>
      <c r="O182" s="253"/>
      <c r="P182" s="253"/>
      <c r="Q182" s="253"/>
      <c r="R182" s="253"/>
      <c r="S182" s="253"/>
      <c r="T182" s="253"/>
      <c r="U182" s="253"/>
      <c r="V182" s="253"/>
      <c r="W182" s="253"/>
      <c r="X182" s="253"/>
      <c r="Y182" s="253"/>
      <c r="Z182" s="253"/>
      <c r="AA182" s="253"/>
      <c r="AB182" s="253"/>
      <c r="AC182" s="253"/>
    </row>
    <row r="183">
      <c r="A183" s="22"/>
      <c r="B183" s="22"/>
      <c r="C183" s="22"/>
      <c r="D183" s="22"/>
      <c r="E183" s="22"/>
      <c r="F183" s="22"/>
      <c r="G183" s="112"/>
      <c r="H183" s="112"/>
      <c r="I183" s="112"/>
      <c r="J183" s="112"/>
      <c r="K183" s="112"/>
      <c r="L183" s="112"/>
      <c r="M183" s="253"/>
      <c r="N183" s="253"/>
      <c r="O183" s="253"/>
      <c r="P183" s="253"/>
      <c r="Q183" s="253"/>
      <c r="R183" s="253"/>
      <c r="S183" s="253"/>
      <c r="T183" s="253"/>
      <c r="U183" s="253"/>
      <c r="V183" s="253"/>
      <c r="W183" s="253"/>
      <c r="X183" s="253"/>
      <c r="Y183" s="253"/>
      <c r="Z183" s="253"/>
      <c r="AA183" s="253"/>
      <c r="AB183" s="253"/>
      <c r="AC183" s="253"/>
    </row>
    <row r="184">
      <c r="A184" s="22"/>
      <c r="B184" s="22"/>
      <c r="C184" s="22"/>
      <c r="D184" s="22"/>
      <c r="E184" s="22"/>
      <c r="F184" s="22"/>
      <c r="G184" s="112"/>
      <c r="H184" s="112"/>
      <c r="I184" s="112"/>
      <c r="J184" s="112"/>
      <c r="K184" s="112"/>
      <c r="L184" s="112"/>
      <c r="M184" s="253"/>
      <c r="N184" s="253"/>
      <c r="O184" s="253"/>
      <c r="P184" s="253"/>
      <c r="Q184" s="253"/>
      <c r="R184" s="253"/>
      <c r="S184" s="253"/>
      <c r="T184" s="253"/>
      <c r="U184" s="253"/>
      <c r="V184" s="253"/>
      <c r="W184" s="253"/>
      <c r="X184" s="253"/>
      <c r="Y184" s="253"/>
      <c r="Z184" s="253"/>
      <c r="AA184" s="253"/>
      <c r="AB184" s="253"/>
      <c r="AC184" s="253"/>
    </row>
    <row r="185">
      <c r="A185" s="22"/>
      <c r="B185" s="22"/>
      <c r="C185" s="22"/>
      <c r="D185" s="22"/>
      <c r="E185" s="22"/>
      <c r="F185" s="22"/>
      <c r="G185" s="112"/>
      <c r="H185" s="112"/>
      <c r="I185" s="112"/>
      <c r="J185" s="112"/>
      <c r="K185" s="112"/>
      <c r="L185" s="112"/>
      <c r="M185" s="253"/>
      <c r="N185" s="253"/>
      <c r="O185" s="253"/>
      <c r="P185" s="253"/>
      <c r="Q185" s="253"/>
      <c r="R185" s="253"/>
      <c r="S185" s="253"/>
      <c r="T185" s="253"/>
      <c r="U185" s="253"/>
      <c r="V185" s="253"/>
      <c r="W185" s="253"/>
      <c r="X185" s="253"/>
      <c r="Y185" s="253"/>
      <c r="Z185" s="253"/>
      <c r="AA185" s="253"/>
      <c r="AB185" s="253"/>
      <c r="AC185" s="253"/>
    </row>
    <row r="186">
      <c r="A186" s="22"/>
      <c r="B186" s="22"/>
      <c r="C186" s="22"/>
      <c r="D186" s="22"/>
      <c r="E186" s="22"/>
      <c r="F186" s="22"/>
      <c r="G186" s="112"/>
      <c r="H186" s="112"/>
      <c r="I186" s="112"/>
      <c r="J186" s="112"/>
      <c r="K186" s="112"/>
      <c r="L186" s="112"/>
      <c r="M186" s="253"/>
      <c r="N186" s="253"/>
      <c r="O186" s="253"/>
      <c r="P186" s="253"/>
      <c r="Q186" s="253"/>
      <c r="R186" s="253"/>
      <c r="S186" s="253"/>
      <c r="T186" s="253"/>
      <c r="U186" s="253"/>
      <c r="V186" s="253"/>
      <c r="W186" s="253"/>
      <c r="X186" s="253"/>
      <c r="Y186" s="253"/>
      <c r="Z186" s="253"/>
      <c r="AA186" s="253"/>
      <c r="AB186" s="253"/>
      <c r="AC186" s="253"/>
    </row>
    <row r="187">
      <c r="A187" s="22"/>
      <c r="B187" s="22"/>
      <c r="C187" s="22"/>
      <c r="D187" s="22"/>
      <c r="E187" s="22"/>
      <c r="F187" s="22"/>
      <c r="G187" s="112"/>
      <c r="H187" s="112"/>
      <c r="I187" s="112"/>
      <c r="J187" s="112"/>
      <c r="K187" s="112"/>
      <c r="L187" s="112"/>
      <c r="M187" s="253"/>
      <c r="N187" s="253"/>
      <c r="O187" s="253"/>
      <c r="P187" s="253"/>
      <c r="Q187" s="253"/>
      <c r="R187" s="253"/>
      <c r="S187" s="253"/>
      <c r="T187" s="253"/>
      <c r="U187" s="253"/>
      <c r="V187" s="253"/>
      <c r="W187" s="253"/>
      <c r="X187" s="253"/>
      <c r="Y187" s="253"/>
      <c r="Z187" s="253"/>
      <c r="AA187" s="253"/>
      <c r="AB187" s="253"/>
      <c r="AC187" s="253"/>
    </row>
    <row r="188">
      <c r="A188" s="22"/>
      <c r="B188" s="22"/>
      <c r="C188" s="22"/>
      <c r="D188" s="22"/>
      <c r="E188" s="22"/>
      <c r="F188" s="22"/>
      <c r="G188" s="112"/>
      <c r="H188" s="112"/>
      <c r="I188" s="112"/>
      <c r="J188" s="112"/>
      <c r="K188" s="112"/>
      <c r="L188" s="112"/>
      <c r="M188" s="253"/>
      <c r="N188" s="253"/>
      <c r="O188" s="253"/>
      <c r="P188" s="253"/>
      <c r="Q188" s="253"/>
      <c r="R188" s="253"/>
      <c r="S188" s="253"/>
      <c r="T188" s="253"/>
      <c r="U188" s="253"/>
      <c r="V188" s="253"/>
      <c r="W188" s="253"/>
      <c r="X188" s="253"/>
      <c r="Y188" s="253"/>
      <c r="Z188" s="253"/>
      <c r="AA188" s="253"/>
      <c r="AB188" s="253"/>
      <c r="AC188" s="253"/>
    </row>
    <row r="189">
      <c r="A189" s="22"/>
      <c r="B189" s="22"/>
      <c r="C189" s="22"/>
      <c r="D189" s="22"/>
      <c r="E189" s="22"/>
      <c r="F189" s="22"/>
      <c r="G189" s="112"/>
      <c r="H189" s="112"/>
      <c r="I189" s="112"/>
      <c r="J189" s="112"/>
      <c r="K189" s="112"/>
      <c r="L189" s="112"/>
      <c r="M189" s="253"/>
      <c r="N189" s="253"/>
      <c r="O189" s="253"/>
      <c r="P189" s="253"/>
      <c r="Q189" s="253"/>
      <c r="R189" s="253"/>
      <c r="S189" s="253"/>
      <c r="T189" s="253"/>
      <c r="U189" s="253"/>
      <c r="V189" s="253"/>
      <c r="W189" s="253"/>
      <c r="X189" s="253"/>
      <c r="Y189" s="253"/>
      <c r="Z189" s="253"/>
      <c r="AA189" s="253"/>
      <c r="AB189" s="253"/>
      <c r="AC189" s="253"/>
    </row>
    <row r="190">
      <c r="A190" s="22"/>
      <c r="B190" s="22"/>
      <c r="C190" s="22"/>
      <c r="D190" s="22"/>
      <c r="E190" s="22"/>
      <c r="F190" s="22"/>
      <c r="G190" s="112"/>
      <c r="H190" s="112"/>
      <c r="I190" s="112"/>
      <c r="J190" s="112"/>
      <c r="K190" s="112"/>
      <c r="L190" s="112"/>
      <c r="M190" s="253"/>
      <c r="N190" s="253"/>
      <c r="O190" s="253"/>
      <c r="P190" s="253"/>
      <c r="Q190" s="253"/>
      <c r="R190" s="253"/>
      <c r="S190" s="253"/>
      <c r="T190" s="253"/>
      <c r="U190" s="253"/>
      <c r="V190" s="253"/>
      <c r="W190" s="253"/>
      <c r="X190" s="253"/>
      <c r="Y190" s="253"/>
      <c r="Z190" s="253"/>
      <c r="AA190" s="253"/>
      <c r="AB190" s="253"/>
      <c r="AC190" s="253"/>
    </row>
    <row r="191">
      <c r="A191" s="22"/>
      <c r="B191" s="22"/>
      <c r="C191" s="22"/>
      <c r="D191" s="22"/>
      <c r="E191" s="22"/>
      <c r="F191" s="22"/>
      <c r="G191" s="112"/>
      <c r="H191" s="112"/>
      <c r="I191" s="112"/>
      <c r="J191" s="112"/>
      <c r="K191" s="112"/>
      <c r="L191" s="112"/>
      <c r="M191" s="253"/>
      <c r="N191" s="253"/>
      <c r="O191" s="253"/>
      <c r="P191" s="253"/>
      <c r="Q191" s="253"/>
      <c r="R191" s="253"/>
      <c r="S191" s="253"/>
      <c r="T191" s="253"/>
      <c r="U191" s="253"/>
      <c r="V191" s="253"/>
      <c r="W191" s="253"/>
      <c r="X191" s="253"/>
      <c r="Y191" s="253"/>
      <c r="Z191" s="253"/>
      <c r="AA191" s="253"/>
      <c r="AB191" s="253"/>
      <c r="AC191" s="253"/>
    </row>
    <row r="192">
      <c r="A192" s="22"/>
      <c r="B192" s="22"/>
      <c r="C192" s="22"/>
      <c r="D192" s="22"/>
      <c r="E192" s="22"/>
      <c r="F192" s="22"/>
      <c r="G192" s="112"/>
      <c r="H192" s="112"/>
      <c r="I192" s="112"/>
      <c r="J192" s="112"/>
      <c r="K192" s="112"/>
      <c r="L192" s="112"/>
      <c r="M192" s="253"/>
      <c r="N192" s="253"/>
      <c r="O192" s="253"/>
      <c r="P192" s="253"/>
      <c r="Q192" s="253"/>
      <c r="R192" s="253"/>
      <c r="S192" s="253"/>
      <c r="T192" s="253"/>
      <c r="U192" s="253"/>
      <c r="V192" s="253"/>
      <c r="W192" s="253"/>
      <c r="X192" s="253"/>
      <c r="Y192" s="253"/>
      <c r="Z192" s="253"/>
      <c r="AA192" s="253"/>
      <c r="AB192" s="253"/>
      <c r="AC192" s="253"/>
    </row>
    <row r="193">
      <c r="A193" s="22"/>
      <c r="B193" s="22"/>
      <c r="C193" s="22"/>
      <c r="D193" s="22"/>
      <c r="E193" s="22"/>
      <c r="F193" s="22"/>
      <c r="G193" s="112"/>
      <c r="H193" s="112"/>
      <c r="I193" s="112"/>
      <c r="J193" s="112"/>
      <c r="K193" s="112"/>
      <c r="L193" s="112"/>
      <c r="M193" s="253"/>
      <c r="N193" s="253"/>
      <c r="O193" s="253"/>
      <c r="P193" s="253"/>
      <c r="Q193" s="253"/>
      <c r="R193" s="253"/>
      <c r="S193" s="253"/>
      <c r="T193" s="253"/>
      <c r="U193" s="253"/>
      <c r="V193" s="253"/>
      <c r="W193" s="253"/>
      <c r="X193" s="253"/>
      <c r="Y193" s="253"/>
      <c r="Z193" s="253"/>
      <c r="AA193" s="253"/>
      <c r="AB193" s="253"/>
      <c r="AC193" s="253"/>
    </row>
    <row r="194">
      <c r="A194" s="22"/>
      <c r="B194" s="22"/>
      <c r="C194" s="22"/>
      <c r="D194" s="22"/>
      <c r="E194" s="22"/>
      <c r="F194" s="22"/>
      <c r="G194" s="112"/>
      <c r="H194" s="112"/>
      <c r="I194" s="112"/>
      <c r="J194" s="112"/>
      <c r="K194" s="112"/>
      <c r="L194" s="112"/>
      <c r="M194" s="253"/>
      <c r="N194" s="253"/>
      <c r="O194" s="253"/>
      <c r="P194" s="253"/>
      <c r="Q194" s="253"/>
      <c r="R194" s="253"/>
      <c r="S194" s="253"/>
      <c r="T194" s="253"/>
      <c r="U194" s="253"/>
      <c r="V194" s="253"/>
      <c r="W194" s="253"/>
      <c r="X194" s="253"/>
      <c r="Y194" s="253"/>
      <c r="Z194" s="253"/>
      <c r="AA194" s="253"/>
      <c r="AB194" s="253"/>
      <c r="AC194" s="253"/>
    </row>
    <row r="195">
      <c r="A195" s="22"/>
      <c r="B195" s="22"/>
      <c r="C195" s="22"/>
      <c r="D195" s="22"/>
      <c r="E195" s="22"/>
      <c r="F195" s="22"/>
      <c r="G195" s="112"/>
      <c r="H195" s="112"/>
      <c r="I195" s="112"/>
      <c r="J195" s="112"/>
      <c r="K195" s="112"/>
      <c r="L195" s="112"/>
      <c r="M195" s="253"/>
      <c r="N195" s="253"/>
      <c r="O195" s="253"/>
      <c r="P195" s="253"/>
      <c r="Q195" s="253"/>
      <c r="R195" s="253"/>
      <c r="S195" s="253"/>
      <c r="T195" s="253"/>
      <c r="U195" s="253"/>
      <c r="V195" s="253"/>
      <c r="W195" s="253"/>
      <c r="X195" s="253"/>
      <c r="Y195" s="253"/>
      <c r="Z195" s="253"/>
      <c r="AA195" s="253"/>
      <c r="AB195" s="253"/>
      <c r="AC195" s="253"/>
    </row>
    <row r="196">
      <c r="A196" s="22"/>
      <c r="B196" s="22"/>
      <c r="C196" s="22"/>
      <c r="D196" s="22"/>
      <c r="E196" s="22"/>
      <c r="F196" s="22"/>
      <c r="G196" s="112"/>
      <c r="H196" s="112"/>
      <c r="I196" s="112"/>
      <c r="J196" s="112"/>
      <c r="K196" s="112"/>
      <c r="L196" s="112"/>
      <c r="M196" s="253"/>
      <c r="N196" s="253"/>
      <c r="O196" s="253"/>
      <c r="P196" s="253"/>
      <c r="Q196" s="253"/>
      <c r="R196" s="253"/>
      <c r="S196" s="253"/>
      <c r="T196" s="253"/>
      <c r="U196" s="253"/>
      <c r="V196" s="253"/>
      <c r="W196" s="253"/>
      <c r="X196" s="253"/>
      <c r="Y196" s="253"/>
      <c r="Z196" s="253"/>
      <c r="AA196" s="253"/>
      <c r="AB196" s="253"/>
      <c r="AC196" s="253"/>
    </row>
    <row r="197">
      <c r="A197" s="22"/>
      <c r="B197" s="22"/>
      <c r="C197" s="22"/>
      <c r="D197" s="22"/>
      <c r="E197" s="22"/>
      <c r="F197" s="22"/>
      <c r="G197" s="112"/>
      <c r="H197" s="112"/>
      <c r="I197" s="112"/>
      <c r="J197" s="112"/>
      <c r="K197" s="112"/>
      <c r="L197" s="112"/>
      <c r="M197" s="253"/>
      <c r="N197" s="253"/>
      <c r="O197" s="253"/>
      <c r="P197" s="253"/>
      <c r="Q197" s="253"/>
      <c r="R197" s="253"/>
      <c r="S197" s="253"/>
      <c r="T197" s="253"/>
      <c r="U197" s="253"/>
      <c r="V197" s="253"/>
      <c r="W197" s="253"/>
      <c r="X197" s="253"/>
      <c r="Y197" s="253"/>
      <c r="Z197" s="253"/>
      <c r="AA197" s="253"/>
      <c r="AB197" s="253"/>
      <c r="AC197" s="253"/>
    </row>
    <row r="198">
      <c r="A198" s="22"/>
      <c r="B198" s="22"/>
      <c r="C198" s="22"/>
      <c r="D198" s="22"/>
      <c r="E198" s="22"/>
      <c r="F198" s="22"/>
      <c r="G198" s="112"/>
      <c r="H198" s="112"/>
      <c r="I198" s="112"/>
      <c r="J198" s="112"/>
      <c r="K198" s="112"/>
      <c r="L198" s="112"/>
      <c r="M198" s="253"/>
      <c r="N198" s="253"/>
      <c r="O198" s="253"/>
      <c r="P198" s="253"/>
      <c r="Q198" s="253"/>
      <c r="R198" s="253"/>
      <c r="S198" s="253"/>
      <c r="T198" s="253"/>
      <c r="U198" s="253"/>
      <c r="V198" s="253"/>
      <c r="W198" s="253"/>
      <c r="X198" s="253"/>
      <c r="Y198" s="253"/>
      <c r="Z198" s="253"/>
      <c r="AA198" s="253"/>
      <c r="AB198" s="253"/>
      <c r="AC198" s="253"/>
    </row>
    <row r="199">
      <c r="A199" s="22"/>
      <c r="B199" s="22"/>
      <c r="C199" s="22"/>
      <c r="D199" s="22"/>
      <c r="E199" s="22"/>
      <c r="F199" s="22"/>
      <c r="G199" s="112"/>
      <c r="H199" s="112"/>
      <c r="I199" s="112"/>
      <c r="J199" s="112"/>
      <c r="K199" s="112"/>
      <c r="L199" s="112"/>
      <c r="M199" s="253"/>
      <c r="N199" s="253"/>
      <c r="O199" s="253"/>
      <c r="P199" s="253"/>
      <c r="Q199" s="253"/>
      <c r="R199" s="253"/>
      <c r="S199" s="253"/>
      <c r="T199" s="253"/>
      <c r="U199" s="253"/>
      <c r="V199" s="253"/>
      <c r="W199" s="253"/>
      <c r="X199" s="253"/>
      <c r="Y199" s="253"/>
      <c r="Z199" s="253"/>
      <c r="AA199" s="253"/>
      <c r="AB199" s="253"/>
      <c r="AC199" s="253"/>
    </row>
    <row r="200">
      <c r="A200" s="22"/>
      <c r="B200" s="22"/>
      <c r="C200" s="22"/>
      <c r="D200" s="22"/>
      <c r="E200" s="22"/>
      <c r="F200" s="22"/>
      <c r="G200" s="112"/>
      <c r="H200" s="112"/>
      <c r="I200" s="112"/>
      <c r="J200" s="112"/>
      <c r="K200" s="112"/>
      <c r="L200" s="112"/>
      <c r="M200" s="253"/>
      <c r="N200" s="253"/>
      <c r="O200" s="253"/>
      <c r="P200" s="253"/>
      <c r="Q200" s="253"/>
      <c r="R200" s="253"/>
      <c r="S200" s="253"/>
      <c r="T200" s="253"/>
      <c r="U200" s="253"/>
      <c r="V200" s="253"/>
      <c r="W200" s="253"/>
      <c r="X200" s="253"/>
      <c r="Y200" s="253"/>
      <c r="Z200" s="253"/>
      <c r="AA200" s="253"/>
      <c r="AB200" s="253"/>
      <c r="AC200" s="253"/>
    </row>
    <row r="201">
      <c r="A201" s="22"/>
      <c r="B201" s="22"/>
      <c r="C201" s="22"/>
      <c r="D201" s="22"/>
      <c r="E201" s="22"/>
      <c r="F201" s="22"/>
      <c r="G201" s="112"/>
      <c r="H201" s="112"/>
      <c r="I201" s="112"/>
      <c r="J201" s="112"/>
      <c r="K201" s="112"/>
      <c r="L201" s="112"/>
      <c r="M201" s="253"/>
      <c r="N201" s="253"/>
      <c r="O201" s="253"/>
      <c r="P201" s="253"/>
      <c r="Q201" s="253"/>
      <c r="R201" s="253"/>
      <c r="S201" s="253"/>
      <c r="T201" s="253"/>
      <c r="U201" s="253"/>
      <c r="V201" s="253"/>
      <c r="W201" s="253"/>
      <c r="X201" s="253"/>
      <c r="Y201" s="253"/>
      <c r="Z201" s="253"/>
      <c r="AA201" s="253"/>
      <c r="AB201" s="253"/>
      <c r="AC201" s="253"/>
    </row>
    <row r="202">
      <c r="A202" s="22"/>
      <c r="B202" s="22"/>
      <c r="C202" s="22"/>
      <c r="D202" s="22"/>
      <c r="E202" s="22"/>
      <c r="F202" s="22"/>
      <c r="G202" s="112"/>
      <c r="H202" s="112"/>
      <c r="I202" s="112"/>
      <c r="J202" s="112"/>
      <c r="K202" s="112"/>
      <c r="L202" s="112"/>
      <c r="M202" s="253"/>
      <c r="N202" s="253"/>
      <c r="O202" s="253"/>
      <c r="P202" s="253"/>
      <c r="Q202" s="253"/>
      <c r="R202" s="253"/>
      <c r="S202" s="253"/>
      <c r="T202" s="253"/>
      <c r="U202" s="253"/>
      <c r="V202" s="253"/>
      <c r="W202" s="253"/>
      <c r="X202" s="253"/>
      <c r="Y202" s="253"/>
      <c r="Z202" s="253"/>
      <c r="AA202" s="253"/>
      <c r="AB202" s="253"/>
      <c r="AC202" s="253"/>
    </row>
    <row r="203">
      <c r="A203" s="22"/>
      <c r="B203" s="22"/>
      <c r="C203" s="22"/>
      <c r="D203" s="22"/>
      <c r="E203" s="22"/>
      <c r="F203" s="22"/>
      <c r="G203" s="112"/>
      <c r="H203" s="112"/>
      <c r="I203" s="112"/>
      <c r="J203" s="112"/>
      <c r="K203" s="112"/>
      <c r="L203" s="112"/>
      <c r="M203" s="253"/>
      <c r="N203" s="253"/>
      <c r="O203" s="253"/>
      <c r="P203" s="253"/>
      <c r="Q203" s="253"/>
      <c r="R203" s="253"/>
      <c r="S203" s="253"/>
      <c r="T203" s="253"/>
      <c r="U203" s="253"/>
      <c r="V203" s="253"/>
      <c r="W203" s="253"/>
      <c r="X203" s="253"/>
      <c r="Y203" s="253"/>
      <c r="Z203" s="253"/>
      <c r="AA203" s="253"/>
      <c r="AB203" s="253"/>
      <c r="AC203" s="253"/>
    </row>
    <row r="204">
      <c r="A204" s="22"/>
      <c r="B204" s="22"/>
      <c r="C204" s="22"/>
      <c r="D204" s="22"/>
      <c r="E204" s="22"/>
      <c r="F204" s="22"/>
      <c r="G204" s="112"/>
      <c r="H204" s="112"/>
      <c r="I204" s="112"/>
      <c r="J204" s="112"/>
      <c r="K204" s="112"/>
      <c r="L204" s="112"/>
      <c r="M204" s="253"/>
      <c r="N204" s="253"/>
      <c r="O204" s="253"/>
      <c r="P204" s="253"/>
      <c r="Q204" s="253"/>
      <c r="R204" s="253"/>
      <c r="S204" s="253"/>
      <c r="T204" s="253"/>
      <c r="U204" s="253"/>
      <c r="V204" s="253"/>
      <c r="W204" s="253"/>
      <c r="X204" s="253"/>
      <c r="Y204" s="253"/>
      <c r="Z204" s="253"/>
      <c r="AA204" s="253"/>
      <c r="AB204" s="253"/>
      <c r="AC204" s="253"/>
    </row>
    <row r="205">
      <c r="A205" s="22"/>
      <c r="B205" s="22"/>
      <c r="C205" s="22"/>
      <c r="D205" s="22"/>
      <c r="E205" s="22"/>
      <c r="F205" s="22"/>
      <c r="G205" s="112"/>
      <c r="H205" s="112"/>
      <c r="I205" s="112"/>
      <c r="J205" s="112"/>
      <c r="K205" s="112"/>
      <c r="L205" s="112"/>
      <c r="M205" s="253"/>
      <c r="N205" s="253"/>
      <c r="O205" s="253"/>
      <c r="P205" s="253"/>
      <c r="Q205" s="253"/>
      <c r="R205" s="253"/>
      <c r="S205" s="253"/>
      <c r="T205" s="253"/>
      <c r="U205" s="253"/>
      <c r="V205" s="253"/>
      <c r="W205" s="253"/>
      <c r="X205" s="253"/>
      <c r="Y205" s="253"/>
      <c r="Z205" s="253"/>
      <c r="AA205" s="253"/>
      <c r="AB205" s="253"/>
      <c r="AC205" s="253"/>
    </row>
    <row r="206">
      <c r="A206" s="22"/>
      <c r="B206" s="22"/>
      <c r="C206" s="22"/>
      <c r="D206" s="22"/>
      <c r="E206" s="22"/>
      <c r="F206" s="22"/>
      <c r="G206" s="112"/>
      <c r="H206" s="112"/>
      <c r="I206" s="112"/>
      <c r="J206" s="112"/>
      <c r="K206" s="112"/>
      <c r="L206" s="112"/>
      <c r="M206" s="253"/>
      <c r="N206" s="253"/>
      <c r="O206" s="253"/>
      <c r="P206" s="253"/>
      <c r="Q206" s="253"/>
      <c r="R206" s="253"/>
      <c r="S206" s="253"/>
      <c r="T206" s="253"/>
      <c r="U206" s="253"/>
      <c r="V206" s="253"/>
      <c r="W206" s="253"/>
      <c r="X206" s="253"/>
      <c r="Y206" s="253"/>
      <c r="Z206" s="253"/>
      <c r="AA206" s="253"/>
      <c r="AB206" s="253"/>
      <c r="AC206" s="253"/>
    </row>
    <row r="207">
      <c r="A207" s="22"/>
      <c r="B207" s="22"/>
      <c r="C207" s="22"/>
      <c r="D207" s="22"/>
      <c r="E207" s="22"/>
      <c r="F207" s="22"/>
      <c r="G207" s="112"/>
      <c r="H207" s="112"/>
      <c r="I207" s="112"/>
      <c r="J207" s="112"/>
      <c r="K207" s="112"/>
      <c r="L207" s="112"/>
      <c r="M207" s="253"/>
      <c r="N207" s="253"/>
      <c r="O207" s="253"/>
      <c r="P207" s="253"/>
      <c r="Q207" s="253"/>
      <c r="R207" s="253"/>
      <c r="S207" s="253"/>
      <c r="T207" s="253"/>
      <c r="U207" s="253"/>
      <c r="V207" s="253"/>
      <c r="W207" s="253"/>
      <c r="X207" s="253"/>
      <c r="Y207" s="253"/>
      <c r="Z207" s="253"/>
      <c r="AA207" s="253"/>
      <c r="AB207" s="253"/>
      <c r="AC207" s="253"/>
    </row>
    <row r="208">
      <c r="A208" s="22"/>
      <c r="B208" s="22"/>
      <c r="C208" s="22"/>
      <c r="D208" s="22"/>
      <c r="E208" s="22"/>
      <c r="F208" s="22"/>
      <c r="G208" s="112"/>
      <c r="H208" s="112"/>
      <c r="I208" s="112"/>
      <c r="J208" s="112"/>
      <c r="K208" s="112"/>
      <c r="L208" s="112"/>
      <c r="M208" s="253"/>
      <c r="N208" s="253"/>
      <c r="O208" s="253"/>
      <c r="P208" s="253"/>
      <c r="Q208" s="253"/>
      <c r="R208" s="253"/>
      <c r="S208" s="253"/>
      <c r="T208" s="253"/>
      <c r="U208" s="253"/>
      <c r="V208" s="253"/>
      <c r="W208" s="253"/>
      <c r="X208" s="253"/>
      <c r="Y208" s="253"/>
      <c r="Z208" s="253"/>
      <c r="AA208" s="253"/>
      <c r="AB208" s="253"/>
      <c r="AC208" s="253"/>
    </row>
    <row r="209">
      <c r="A209" s="22"/>
      <c r="B209" s="22"/>
      <c r="C209" s="22"/>
      <c r="D209" s="22"/>
      <c r="E209" s="22"/>
      <c r="F209" s="22"/>
      <c r="G209" s="112"/>
      <c r="H209" s="112"/>
      <c r="I209" s="112"/>
      <c r="J209" s="112"/>
      <c r="K209" s="112"/>
      <c r="L209" s="112"/>
      <c r="M209" s="253"/>
      <c r="N209" s="253"/>
      <c r="O209" s="253"/>
      <c r="P209" s="253"/>
      <c r="Q209" s="253"/>
      <c r="R209" s="253"/>
      <c r="S209" s="253"/>
      <c r="T209" s="253"/>
      <c r="U209" s="253"/>
      <c r="V209" s="253"/>
      <c r="W209" s="253"/>
      <c r="X209" s="253"/>
      <c r="Y209" s="253"/>
      <c r="Z209" s="253"/>
      <c r="AA209" s="253"/>
      <c r="AB209" s="253"/>
      <c r="AC209" s="253"/>
    </row>
    <row r="210">
      <c r="A210" s="22"/>
      <c r="B210" s="22"/>
      <c r="C210" s="22"/>
      <c r="D210" s="22"/>
      <c r="E210" s="22"/>
      <c r="F210" s="22"/>
      <c r="G210" s="112"/>
      <c r="H210" s="112"/>
      <c r="I210" s="112"/>
      <c r="J210" s="112"/>
      <c r="K210" s="112"/>
      <c r="L210" s="112"/>
      <c r="M210" s="253"/>
      <c r="N210" s="253"/>
      <c r="O210" s="253"/>
      <c r="P210" s="253"/>
      <c r="Q210" s="253"/>
      <c r="R210" s="253"/>
      <c r="S210" s="253"/>
      <c r="T210" s="253"/>
      <c r="U210" s="253"/>
      <c r="V210" s="253"/>
      <c r="W210" s="253"/>
      <c r="X210" s="253"/>
      <c r="Y210" s="253"/>
      <c r="Z210" s="253"/>
      <c r="AA210" s="253"/>
      <c r="AB210" s="253"/>
      <c r="AC210" s="253"/>
    </row>
    <row r="211">
      <c r="A211" s="22"/>
      <c r="B211" s="22"/>
      <c r="C211" s="22"/>
      <c r="D211" s="22"/>
      <c r="E211" s="22"/>
      <c r="F211" s="22"/>
      <c r="G211" s="112"/>
      <c r="H211" s="112"/>
      <c r="I211" s="112"/>
      <c r="J211" s="112"/>
      <c r="K211" s="112"/>
      <c r="L211" s="112"/>
      <c r="M211" s="253"/>
      <c r="N211" s="253"/>
      <c r="O211" s="253"/>
      <c r="P211" s="253"/>
      <c r="Q211" s="253"/>
      <c r="R211" s="253"/>
      <c r="S211" s="253"/>
      <c r="T211" s="253"/>
      <c r="U211" s="253"/>
      <c r="V211" s="253"/>
      <c r="W211" s="253"/>
      <c r="X211" s="253"/>
      <c r="Y211" s="253"/>
      <c r="Z211" s="253"/>
      <c r="AA211" s="253"/>
      <c r="AB211" s="253"/>
      <c r="AC211" s="253"/>
    </row>
    <row r="212">
      <c r="A212" s="22"/>
      <c r="B212" s="22"/>
      <c r="C212" s="22"/>
      <c r="D212" s="22"/>
      <c r="E212" s="22"/>
      <c r="F212" s="22"/>
      <c r="G212" s="112"/>
      <c r="H212" s="112"/>
      <c r="I212" s="112"/>
      <c r="J212" s="112"/>
      <c r="K212" s="112"/>
      <c r="L212" s="112"/>
      <c r="M212" s="253"/>
      <c r="N212" s="253"/>
      <c r="O212" s="253"/>
      <c r="P212" s="253"/>
      <c r="Q212" s="253"/>
      <c r="R212" s="253"/>
      <c r="S212" s="253"/>
      <c r="T212" s="253"/>
      <c r="U212" s="253"/>
      <c r="V212" s="253"/>
      <c r="W212" s="253"/>
      <c r="X212" s="253"/>
      <c r="Y212" s="253"/>
      <c r="Z212" s="253"/>
      <c r="AA212" s="253"/>
      <c r="AB212" s="253"/>
      <c r="AC212" s="253"/>
    </row>
    <row r="213">
      <c r="A213" s="22"/>
      <c r="B213" s="22"/>
      <c r="C213" s="22"/>
      <c r="D213" s="22"/>
      <c r="E213" s="22"/>
      <c r="F213" s="22"/>
      <c r="G213" s="112"/>
      <c r="H213" s="112"/>
      <c r="I213" s="112"/>
      <c r="J213" s="112"/>
      <c r="K213" s="112"/>
      <c r="L213" s="112"/>
      <c r="M213" s="253"/>
      <c r="N213" s="253"/>
      <c r="O213" s="253"/>
      <c r="P213" s="253"/>
      <c r="Q213" s="253"/>
      <c r="R213" s="253"/>
      <c r="S213" s="253"/>
      <c r="T213" s="253"/>
      <c r="U213" s="253"/>
      <c r="V213" s="253"/>
      <c r="W213" s="253"/>
      <c r="X213" s="253"/>
      <c r="Y213" s="253"/>
      <c r="Z213" s="253"/>
      <c r="AA213" s="253"/>
      <c r="AB213" s="253"/>
      <c r="AC213" s="253"/>
    </row>
    <row r="214">
      <c r="A214" s="22"/>
      <c r="B214" s="22"/>
      <c r="C214" s="22"/>
      <c r="D214" s="22"/>
      <c r="E214" s="22"/>
      <c r="F214" s="22"/>
      <c r="G214" s="112"/>
      <c r="H214" s="112"/>
      <c r="I214" s="112"/>
      <c r="J214" s="112"/>
      <c r="K214" s="112"/>
      <c r="L214" s="112"/>
      <c r="M214" s="253"/>
      <c r="N214" s="253"/>
      <c r="O214" s="253"/>
      <c r="P214" s="253"/>
      <c r="Q214" s="253"/>
      <c r="R214" s="253"/>
      <c r="S214" s="253"/>
      <c r="T214" s="253"/>
      <c r="U214" s="253"/>
      <c r="V214" s="253"/>
      <c r="W214" s="253"/>
      <c r="X214" s="253"/>
      <c r="Y214" s="253"/>
      <c r="Z214" s="253"/>
      <c r="AA214" s="253"/>
      <c r="AB214" s="253"/>
      <c r="AC214" s="253"/>
    </row>
    <row r="215">
      <c r="A215" s="22"/>
      <c r="B215" s="22"/>
      <c r="C215" s="22"/>
      <c r="D215" s="22"/>
      <c r="E215" s="22"/>
      <c r="F215" s="22"/>
      <c r="G215" s="112"/>
      <c r="H215" s="112"/>
      <c r="I215" s="112"/>
      <c r="J215" s="112"/>
      <c r="K215" s="112"/>
      <c r="L215" s="112"/>
      <c r="M215" s="253"/>
      <c r="N215" s="253"/>
      <c r="O215" s="253"/>
      <c r="P215" s="253"/>
      <c r="Q215" s="253"/>
      <c r="R215" s="253"/>
      <c r="S215" s="253"/>
      <c r="T215" s="253"/>
      <c r="U215" s="253"/>
      <c r="V215" s="253"/>
      <c r="W215" s="253"/>
      <c r="X215" s="253"/>
      <c r="Y215" s="253"/>
      <c r="Z215" s="253"/>
      <c r="AA215" s="253"/>
      <c r="AB215" s="253"/>
      <c r="AC215" s="253"/>
    </row>
    <row r="216">
      <c r="A216" s="22"/>
      <c r="B216" s="22"/>
      <c r="C216" s="22"/>
      <c r="D216" s="22"/>
      <c r="E216" s="22"/>
      <c r="F216" s="22"/>
      <c r="G216" s="112"/>
      <c r="H216" s="112"/>
      <c r="I216" s="112"/>
      <c r="J216" s="112"/>
      <c r="K216" s="112"/>
      <c r="L216" s="112"/>
      <c r="M216" s="253"/>
      <c r="N216" s="253"/>
      <c r="O216" s="253"/>
      <c r="P216" s="253"/>
      <c r="Q216" s="253"/>
      <c r="R216" s="253"/>
      <c r="S216" s="253"/>
      <c r="T216" s="253"/>
      <c r="U216" s="253"/>
      <c r="V216" s="253"/>
      <c r="W216" s="253"/>
      <c r="X216" s="253"/>
      <c r="Y216" s="253"/>
      <c r="Z216" s="253"/>
      <c r="AA216" s="253"/>
      <c r="AB216" s="253"/>
      <c r="AC216" s="253"/>
    </row>
    <row r="217">
      <c r="A217" s="22"/>
      <c r="B217" s="22"/>
      <c r="C217" s="22"/>
      <c r="D217" s="22"/>
      <c r="E217" s="22"/>
      <c r="F217" s="22"/>
      <c r="G217" s="112"/>
      <c r="H217" s="112"/>
      <c r="I217" s="112"/>
      <c r="J217" s="112"/>
      <c r="K217" s="112"/>
      <c r="L217" s="112"/>
      <c r="M217" s="253"/>
      <c r="N217" s="253"/>
      <c r="O217" s="253"/>
      <c r="P217" s="253"/>
      <c r="Q217" s="253"/>
      <c r="R217" s="253"/>
      <c r="S217" s="253"/>
      <c r="T217" s="253"/>
      <c r="U217" s="253"/>
      <c r="V217" s="253"/>
      <c r="W217" s="253"/>
      <c r="X217" s="253"/>
      <c r="Y217" s="253"/>
      <c r="Z217" s="253"/>
      <c r="AA217" s="253"/>
      <c r="AB217" s="253"/>
      <c r="AC217" s="253"/>
    </row>
    <row r="218">
      <c r="A218" s="22"/>
      <c r="B218" s="22"/>
      <c r="C218" s="22"/>
      <c r="D218" s="22"/>
      <c r="E218" s="22"/>
      <c r="F218" s="22"/>
      <c r="G218" s="112"/>
      <c r="H218" s="112"/>
      <c r="I218" s="112"/>
      <c r="J218" s="112"/>
      <c r="K218" s="112"/>
      <c r="L218" s="112"/>
      <c r="M218" s="253"/>
      <c r="N218" s="253"/>
      <c r="O218" s="253"/>
      <c r="P218" s="253"/>
      <c r="Q218" s="253"/>
      <c r="R218" s="253"/>
      <c r="S218" s="253"/>
      <c r="T218" s="253"/>
      <c r="U218" s="253"/>
      <c r="V218" s="253"/>
      <c r="W218" s="253"/>
      <c r="X218" s="253"/>
      <c r="Y218" s="253"/>
      <c r="Z218" s="253"/>
      <c r="AA218" s="253"/>
      <c r="AB218" s="253"/>
      <c r="AC218" s="253"/>
    </row>
    <row r="219">
      <c r="A219" s="22"/>
      <c r="B219" s="22"/>
      <c r="C219" s="22"/>
      <c r="D219" s="22"/>
      <c r="E219" s="22"/>
      <c r="F219" s="22"/>
      <c r="G219" s="112"/>
      <c r="H219" s="112"/>
      <c r="I219" s="112"/>
      <c r="J219" s="112"/>
      <c r="K219" s="112"/>
      <c r="L219" s="112"/>
      <c r="M219" s="253"/>
      <c r="N219" s="253"/>
      <c r="O219" s="253"/>
      <c r="P219" s="253"/>
      <c r="Q219" s="253"/>
      <c r="R219" s="253"/>
      <c r="S219" s="253"/>
      <c r="T219" s="253"/>
      <c r="U219" s="253"/>
      <c r="V219" s="253"/>
      <c r="W219" s="253"/>
      <c r="X219" s="253"/>
      <c r="Y219" s="253"/>
      <c r="Z219" s="253"/>
      <c r="AA219" s="253"/>
      <c r="AB219" s="253"/>
      <c r="AC219" s="253"/>
    </row>
    <row r="220">
      <c r="A220" s="22"/>
      <c r="B220" s="22"/>
      <c r="C220" s="22"/>
      <c r="D220" s="22"/>
      <c r="E220" s="22"/>
      <c r="F220" s="22"/>
      <c r="G220" s="112"/>
      <c r="H220" s="112"/>
      <c r="I220" s="112"/>
      <c r="J220" s="112"/>
      <c r="K220" s="112"/>
      <c r="L220" s="112"/>
      <c r="M220" s="253"/>
      <c r="N220" s="253"/>
      <c r="O220" s="253"/>
      <c r="P220" s="253"/>
      <c r="Q220" s="253"/>
      <c r="R220" s="253"/>
      <c r="S220" s="253"/>
      <c r="T220" s="253"/>
      <c r="U220" s="253"/>
      <c r="V220" s="253"/>
      <c r="W220" s="253"/>
      <c r="X220" s="253"/>
      <c r="Y220" s="253"/>
      <c r="Z220" s="253"/>
      <c r="AA220" s="253"/>
      <c r="AB220" s="253"/>
      <c r="AC220" s="253"/>
    </row>
    <row r="221">
      <c r="A221" s="22"/>
      <c r="B221" s="22"/>
      <c r="C221" s="22"/>
      <c r="D221" s="22"/>
      <c r="E221" s="22"/>
      <c r="F221" s="22"/>
      <c r="G221" s="112"/>
      <c r="H221" s="112"/>
      <c r="I221" s="112"/>
      <c r="J221" s="112"/>
      <c r="K221" s="112"/>
      <c r="L221" s="112"/>
      <c r="M221" s="253"/>
      <c r="N221" s="253"/>
      <c r="O221" s="253"/>
      <c r="P221" s="253"/>
      <c r="Q221" s="253"/>
      <c r="R221" s="253"/>
      <c r="S221" s="253"/>
      <c r="T221" s="253"/>
      <c r="U221" s="253"/>
      <c r="V221" s="253"/>
      <c r="W221" s="253"/>
      <c r="X221" s="253"/>
      <c r="Y221" s="253"/>
      <c r="Z221" s="253"/>
      <c r="AA221" s="253"/>
      <c r="AB221" s="253"/>
      <c r="AC221" s="253"/>
    </row>
    <row r="222">
      <c r="A222" s="22"/>
      <c r="B222" s="22"/>
      <c r="C222" s="22"/>
      <c r="D222" s="22"/>
      <c r="E222" s="22"/>
      <c r="F222" s="22"/>
      <c r="G222" s="112"/>
      <c r="H222" s="112"/>
      <c r="I222" s="112"/>
      <c r="J222" s="112"/>
      <c r="K222" s="112"/>
      <c r="L222" s="112"/>
      <c r="M222" s="253"/>
      <c r="N222" s="253"/>
      <c r="O222" s="253"/>
      <c r="P222" s="253"/>
      <c r="Q222" s="253"/>
      <c r="R222" s="253"/>
      <c r="S222" s="253"/>
      <c r="T222" s="253"/>
      <c r="U222" s="253"/>
      <c r="V222" s="253"/>
      <c r="W222" s="253"/>
      <c r="X222" s="253"/>
      <c r="Y222" s="253"/>
      <c r="Z222" s="253"/>
      <c r="AA222" s="253"/>
      <c r="AB222" s="253"/>
      <c r="AC222" s="253"/>
    </row>
    <row r="223">
      <c r="A223" s="22"/>
      <c r="B223" s="22"/>
      <c r="C223" s="22"/>
      <c r="D223" s="22"/>
      <c r="E223" s="22"/>
      <c r="F223" s="22"/>
      <c r="G223" s="112"/>
      <c r="H223" s="112"/>
      <c r="I223" s="112"/>
      <c r="J223" s="112"/>
      <c r="K223" s="112"/>
      <c r="L223" s="112"/>
      <c r="M223" s="253"/>
      <c r="N223" s="253"/>
      <c r="O223" s="253"/>
      <c r="P223" s="253"/>
      <c r="Q223" s="253"/>
      <c r="R223" s="253"/>
      <c r="S223" s="253"/>
      <c r="T223" s="253"/>
      <c r="U223" s="253"/>
      <c r="V223" s="253"/>
      <c r="W223" s="253"/>
      <c r="X223" s="253"/>
      <c r="Y223" s="253"/>
      <c r="Z223" s="253"/>
      <c r="AA223" s="253"/>
      <c r="AB223" s="253"/>
      <c r="AC223" s="253"/>
    </row>
    <row r="224">
      <c r="A224" s="22"/>
      <c r="B224" s="22"/>
      <c r="C224" s="22"/>
      <c r="D224" s="22"/>
      <c r="E224" s="22"/>
      <c r="F224" s="22"/>
      <c r="G224" s="112"/>
      <c r="H224" s="112"/>
      <c r="I224" s="112"/>
      <c r="J224" s="112"/>
      <c r="K224" s="112"/>
      <c r="L224" s="112"/>
      <c r="M224" s="253"/>
      <c r="N224" s="253"/>
      <c r="O224" s="253"/>
      <c r="P224" s="253"/>
      <c r="Q224" s="253"/>
      <c r="R224" s="253"/>
      <c r="S224" s="253"/>
      <c r="T224" s="253"/>
      <c r="U224" s="253"/>
      <c r="V224" s="253"/>
      <c r="W224" s="253"/>
      <c r="X224" s="253"/>
      <c r="Y224" s="253"/>
      <c r="Z224" s="253"/>
      <c r="AA224" s="253"/>
      <c r="AB224" s="253"/>
      <c r="AC224" s="253"/>
    </row>
    <row r="225">
      <c r="A225" s="22"/>
      <c r="B225" s="22"/>
      <c r="C225" s="22"/>
      <c r="D225" s="22"/>
      <c r="E225" s="22"/>
      <c r="F225" s="22"/>
      <c r="G225" s="112"/>
      <c r="H225" s="112"/>
      <c r="I225" s="112"/>
      <c r="J225" s="112"/>
      <c r="K225" s="112"/>
      <c r="L225" s="112"/>
      <c r="M225" s="253"/>
      <c r="N225" s="253"/>
      <c r="O225" s="253"/>
      <c r="P225" s="253"/>
      <c r="Q225" s="253"/>
      <c r="R225" s="253"/>
      <c r="S225" s="253"/>
      <c r="T225" s="253"/>
      <c r="U225" s="253"/>
      <c r="V225" s="253"/>
      <c r="W225" s="253"/>
      <c r="X225" s="253"/>
      <c r="Y225" s="253"/>
      <c r="Z225" s="253"/>
      <c r="AA225" s="253"/>
      <c r="AB225" s="253"/>
      <c r="AC225" s="253"/>
    </row>
    <row r="226">
      <c r="A226" s="22"/>
      <c r="B226" s="22"/>
      <c r="C226" s="22"/>
      <c r="D226" s="22"/>
      <c r="E226" s="22"/>
      <c r="F226" s="22"/>
      <c r="G226" s="112"/>
      <c r="H226" s="112"/>
      <c r="I226" s="112"/>
      <c r="J226" s="112"/>
      <c r="K226" s="112"/>
      <c r="L226" s="112"/>
      <c r="M226" s="253"/>
      <c r="N226" s="253"/>
      <c r="O226" s="253"/>
      <c r="P226" s="253"/>
      <c r="Q226" s="253"/>
      <c r="R226" s="253"/>
      <c r="S226" s="253"/>
      <c r="T226" s="253"/>
      <c r="U226" s="253"/>
      <c r="V226" s="253"/>
      <c r="W226" s="253"/>
      <c r="X226" s="253"/>
      <c r="Y226" s="253"/>
      <c r="Z226" s="253"/>
      <c r="AA226" s="253"/>
      <c r="AB226" s="253"/>
      <c r="AC226" s="253"/>
    </row>
    <row r="227">
      <c r="A227" s="22"/>
      <c r="B227" s="22"/>
      <c r="C227" s="22"/>
      <c r="D227" s="22"/>
      <c r="E227" s="22"/>
      <c r="F227" s="22"/>
      <c r="G227" s="112"/>
      <c r="H227" s="112"/>
      <c r="I227" s="112"/>
      <c r="J227" s="112"/>
      <c r="K227" s="112"/>
      <c r="L227" s="112"/>
      <c r="M227" s="253"/>
      <c r="N227" s="253"/>
      <c r="O227" s="253"/>
      <c r="P227" s="253"/>
      <c r="Q227" s="253"/>
      <c r="R227" s="253"/>
      <c r="S227" s="253"/>
      <c r="T227" s="253"/>
      <c r="U227" s="253"/>
      <c r="V227" s="253"/>
      <c r="W227" s="253"/>
      <c r="X227" s="253"/>
      <c r="Y227" s="253"/>
      <c r="Z227" s="253"/>
      <c r="AA227" s="253"/>
      <c r="AB227" s="253"/>
      <c r="AC227" s="253"/>
    </row>
    <row r="228">
      <c r="A228" s="22"/>
      <c r="B228" s="22"/>
      <c r="C228" s="22"/>
      <c r="D228" s="22"/>
      <c r="E228" s="22"/>
      <c r="F228" s="22"/>
      <c r="G228" s="112"/>
      <c r="H228" s="112"/>
      <c r="I228" s="112"/>
      <c r="J228" s="112"/>
      <c r="K228" s="112"/>
      <c r="L228" s="112"/>
      <c r="M228" s="253"/>
      <c r="N228" s="253"/>
      <c r="O228" s="253"/>
      <c r="P228" s="253"/>
      <c r="Q228" s="253"/>
      <c r="R228" s="253"/>
      <c r="S228" s="253"/>
      <c r="T228" s="253"/>
      <c r="U228" s="253"/>
      <c r="V228" s="253"/>
      <c r="W228" s="253"/>
      <c r="X228" s="253"/>
      <c r="Y228" s="253"/>
      <c r="Z228" s="253"/>
      <c r="AA228" s="253"/>
      <c r="AB228" s="253"/>
      <c r="AC228" s="253"/>
    </row>
    <row r="229">
      <c r="A229" s="22"/>
      <c r="B229" s="22"/>
      <c r="C229" s="22"/>
      <c r="D229" s="22"/>
      <c r="E229" s="22"/>
      <c r="F229" s="22"/>
      <c r="G229" s="112"/>
      <c r="H229" s="112"/>
      <c r="I229" s="112"/>
      <c r="J229" s="112"/>
      <c r="K229" s="112"/>
      <c r="L229" s="112"/>
      <c r="M229" s="253"/>
      <c r="N229" s="253"/>
      <c r="O229" s="253"/>
      <c r="P229" s="253"/>
      <c r="Q229" s="253"/>
      <c r="R229" s="253"/>
      <c r="S229" s="253"/>
      <c r="T229" s="253"/>
      <c r="U229" s="253"/>
      <c r="V229" s="253"/>
      <c r="W229" s="253"/>
      <c r="X229" s="253"/>
      <c r="Y229" s="253"/>
      <c r="Z229" s="253"/>
      <c r="AA229" s="253"/>
      <c r="AB229" s="253"/>
      <c r="AC229" s="253"/>
    </row>
    <row r="230">
      <c r="A230" s="22"/>
      <c r="B230" s="22"/>
      <c r="C230" s="22"/>
      <c r="D230" s="22"/>
      <c r="E230" s="22"/>
      <c r="F230" s="22"/>
      <c r="G230" s="112"/>
      <c r="H230" s="112"/>
      <c r="I230" s="112"/>
      <c r="J230" s="112"/>
      <c r="K230" s="112"/>
      <c r="L230" s="112"/>
      <c r="M230" s="253"/>
      <c r="N230" s="253"/>
      <c r="O230" s="253"/>
      <c r="P230" s="253"/>
      <c r="Q230" s="253"/>
      <c r="R230" s="253"/>
      <c r="S230" s="253"/>
      <c r="T230" s="253"/>
      <c r="U230" s="253"/>
      <c r="V230" s="253"/>
      <c r="W230" s="253"/>
      <c r="X230" s="253"/>
      <c r="Y230" s="253"/>
      <c r="Z230" s="253"/>
      <c r="AA230" s="253"/>
      <c r="AB230" s="253"/>
      <c r="AC230" s="253"/>
    </row>
    <row r="231">
      <c r="A231" s="22"/>
      <c r="B231" s="22"/>
      <c r="C231" s="22"/>
      <c r="D231" s="22"/>
      <c r="E231" s="22"/>
      <c r="F231" s="22"/>
      <c r="G231" s="112"/>
      <c r="H231" s="112"/>
      <c r="I231" s="112"/>
      <c r="J231" s="112"/>
      <c r="K231" s="112"/>
      <c r="L231" s="112"/>
      <c r="M231" s="253"/>
      <c r="N231" s="253"/>
      <c r="O231" s="253"/>
      <c r="P231" s="253"/>
      <c r="Q231" s="253"/>
      <c r="R231" s="253"/>
      <c r="S231" s="253"/>
      <c r="T231" s="253"/>
      <c r="U231" s="253"/>
      <c r="V231" s="253"/>
      <c r="W231" s="253"/>
      <c r="X231" s="253"/>
      <c r="Y231" s="253"/>
      <c r="Z231" s="253"/>
      <c r="AA231" s="253"/>
      <c r="AB231" s="253"/>
      <c r="AC231" s="253"/>
    </row>
    <row r="232">
      <c r="A232" s="22"/>
      <c r="B232" s="22"/>
      <c r="C232" s="22"/>
      <c r="D232" s="22"/>
      <c r="E232" s="22"/>
      <c r="F232" s="22"/>
      <c r="G232" s="112"/>
      <c r="H232" s="112"/>
      <c r="I232" s="112"/>
      <c r="J232" s="112"/>
      <c r="K232" s="112"/>
      <c r="L232" s="112"/>
      <c r="M232" s="253"/>
      <c r="N232" s="253"/>
      <c r="O232" s="253"/>
      <c r="P232" s="253"/>
      <c r="Q232" s="253"/>
      <c r="R232" s="253"/>
      <c r="S232" s="253"/>
      <c r="T232" s="253"/>
      <c r="U232" s="253"/>
      <c r="V232" s="253"/>
      <c r="W232" s="253"/>
      <c r="X232" s="253"/>
      <c r="Y232" s="253"/>
      <c r="Z232" s="253"/>
      <c r="AA232" s="253"/>
      <c r="AB232" s="253"/>
      <c r="AC232" s="253"/>
    </row>
    <row r="233">
      <c r="A233" s="22"/>
      <c r="B233" s="22"/>
      <c r="C233" s="22"/>
      <c r="D233" s="22"/>
      <c r="E233" s="22"/>
      <c r="F233" s="22"/>
      <c r="G233" s="112"/>
      <c r="H233" s="112"/>
      <c r="I233" s="112"/>
      <c r="J233" s="112"/>
      <c r="K233" s="112"/>
      <c r="L233" s="112"/>
      <c r="M233" s="253"/>
      <c r="N233" s="253"/>
      <c r="O233" s="253"/>
      <c r="P233" s="253"/>
      <c r="Q233" s="253"/>
      <c r="R233" s="253"/>
      <c r="S233" s="253"/>
      <c r="T233" s="253"/>
      <c r="U233" s="253"/>
      <c r="V233" s="253"/>
      <c r="W233" s="253"/>
      <c r="X233" s="253"/>
      <c r="Y233" s="253"/>
      <c r="Z233" s="253"/>
      <c r="AA233" s="253"/>
      <c r="AB233" s="253"/>
      <c r="AC233" s="253"/>
    </row>
    <row r="234">
      <c r="A234" s="22"/>
      <c r="B234" s="22"/>
      <c r="C234" s="22"/>
      <c r="D234" s="22"/>
      <c r="E234" s="22"/>
      <c r="F234" s="22"/>
      <c r="G234" s="112"/>
      <c r="H234" s="112"/>
      <c r="I234" s="112"/>
      <c r="J234" s="112"/>
      <c r="K234" s="112"/>
      <c r="L234" s="112"/>
      <c r="M234" s="253"/>
      <c r="N234" s="253"/>
      <c r="O234" s="253"/>
      <c r="P234" s="253"/>
      <c r="Q234" s="253"/>
      <c r="R234" s="253"/>
      <c r="S234" s="253"/>
      <c r="T234" s="253"/>
      <c r="U234" s="253"/>
      <c r="V234" s="253"/>
      <c r="W234" s="253"/>
      <c r="X234" s="253"/>
      <c r="Y234" s="253"/>
      <c r="Z234" s="253"/>
      <c r="AA234" s="253"/>
      <c r="AB234" s="253"/>
      <c r="AC234" s="253"/>
    </row>
    <row r="235">
      <c r="A235" s="22"/>
      <c r="B235" s="22"/>
      <c r="C235" s="22"/>
      <c r="D235" s="22"/>
      <c r="E235" s="22"/>
      <c r="F235" s="22"/>
      <c r="G235" s="112"/>
      <c r="H235" s="112"/>
      <c r="I235" s="112"/>
      <c r="J235" s="112"/>
      <c r="K235" s="112"/>
      <c r="L235" s="112"/>
      <c r="M235" s="253"/>
      <c r="N235" s="253"/>
      <c r="O235" s="253"/>
      <c r="P235" s="253"/>
      <c r="Q235" s="253"/>
      <c r="R235" s="253"/>
      <c r="S235" s="253"/>
      <c r="T235" s="253"/>
      <c r="U235" s="253"/>
      <c r="V235" s="253"/>
      <c r="W235" s="253"/>
      <c r="X235" s="253"/>
      <c r="Y235" s="253"/>
      <c r="Z235" s="253"/>
      <c r="AA235" s="253"/>
      <c r="AB235" s="253"/>
      <c r="AC235" s="253"/>
    </row>
    <row r="236">
      <c r="A236" s="22"/>
      <c r="B236" s="22"/>
      <c r="C236" s="22"/>
      <c r="D236" s="22"/>
      <c r="E236" s="22"/>
      <c r="F236" s="22"/>
      <c r="G236" s="112"/>
      <c r="H236" s="112"/>
      <c r="I236" s="112"/>
      <c r="J236" s="112"/>
      <c r="K236" s="112"/>
      <c r="L236" s="112"/>
      <c r="M236" s="253"/>
      <c r="N236" s="253"/>
      <c r="O236" s="253"/>
      <c r="P236" s="253"/>
      <c r="Q236" s="253"/>
      <c r="R236" s="253"/>
      <c r="S236" s="253"/>
      <c r="T236" s="253"/>
      <c r="U236" s="253"/>
      <c r="V236" s="253"/>
      <c r="W236" s="253"/>
      <c r="X236" s="253"/>
      <c r="Y236" s="253"/>
      <c r="Z236" s="253"/>
      <c r="AA236" s="253"/>
      <c r="AB236" s="253"/>
      <c r="AC236" s="253"/>
    </row>
    <row r="237">
      <c r="A237" s="22"/>
      <c r="B237" s="22"/>
      <c r="C237" s="22"/>
      <c r="D237" s="22"/>
      <c r="E237" s="22"/>
      <c r="F237" s="22"/>
      <c r="G237" s="112"/>
      <c r="H237" s="112"/>
      <c r="I237" s="112"/>
      <c r="J237" s="112"/>
      <c r="K237" s="112"/>
      <c r="L237" s="112"/>
      <c r="M237" s="253"/>
      <c r="N237" s="253"/>
      <c r="O237" s="253"/>
      <c r="P237" s="253"/>
      <c r="Q237" s="253"/>
      <c r="R237" s="253"/>
      <c r="S237" s="253"/>
      <c r="T237" s="253"/>
      <c r="U237" s="253"/>
      <c r="V237" s="253"/>
      <c r="W237" s="253"/>
      <c r="X237" s="253"/>
      <c r="Y237" s="253"/>
      <c r="Z237" s="253"/>
      <c r="AA237" s="253"/>
      <c r="AB237" s="253"/>
      <c r="AC237" s="253"/>
    </row>
    <row r="238">
      <c r="A238" s="22"/>
      <c r="B238" s="22"/>
      <c r="C238" s="22"/>
      <c r="D238" s="22"/>
      <c r="E238" s="22"/>
      <c r="F238" s="22"/>
      <c r="G238" s="112"/>
      <c r="H238" s="112"/>
      <c r="I238" s="112"/>
      <c r="J238" s="112"/>
      <c r="K238" s="112"/>
      <c r="L238" s="112"/>
      <c r="M238" s="253"/>
      <c r="N238" s="253"/>
      <c r="O238" s="253"/>
      <c r="P238" s="253"/>
      <c r="Q238" s="253"/>
      <c r="R238" s="253"/>
      <c r="S238" s="253"/>
      <c r="T238" s="253"/>
      <c r="U238" s="253"/>
      <c r="V238" s="253"/>
      <c r="W238" s="253"/>
      <c r="X238" s="253"/>
      <c r="Y238" s="253"/>
      <c r="Z238" s="253"/>
      <c r="AA238" s="253"/>
      <c r="AB238" s="253"/>
      <c r="AC238" s="253"/>
    </row>
    <row r="239">
      <c r="A239" s="22"/>
      <c r="B239" s="22"/>
      <c r="C239" s="22"/>
      <c r="D239" s="22"/>
      <c r="E239" s="22"/>
      <c r="F239" s="22"/>
      <c r="G239" s="112"/>
      <c r="H239" s="112"/>
      <c r="I239" s="112"/>
      <c r="J239" s="112"/>
      <c r="K239" s="112"/>
      <c r="L239" s="112"/>
      <c r="M239" s="253"/>
      <c r="N239" s="253"/>
      <c r="O239" s="253"/>
      <c r="P239" s="253"/>
      <c r="Q239" s="253"/>
      <c r="R239" s="253"/>
      <c r="S239" s="253"/>
      <c r="T239" s="253"/>
      <c r="U239" s="253"/>
      <c r="V239" s="253"/>
      <c r="W239" s="253"/>
      <c r="X239" s="253"/>
      <c r="Y239" s="253"/>
      <c r="Z239" s="253"/>
      <c r="AA239" s="253"/>
      <c r="AB239" s="253"/>
      <c r="AC239" s="253"/>
    </row>
    <row r="240">
      <c r="A240" s="22"/>
      <c r="B240" s="22"/>
      <c r="C240" s="22"/>
      <c r="D240" s="22"/>
      <c r="E240" s="22"/>
      <c r="F240" s="22"/>
      <c r="G240" s="112"/>
      <c r="H240" s="112"/>
      <c r="I240" s="112"/>
      <c r="J240" s="112"/>
      <c r="K240" s="112"/>
      <c r="L240" s="112"/>
      <c r="M240" s="253"/>
      <c r="N240" s="253"/>
      <c r="O240" s="253"/>
      <c r="P240" s="253"/>
      <c r="Q240" s="253"/>
      <c r="R240" s="253"/>
      <c r="S240" s="253"/>
      <c r="T240" s="253"/>
      <c r="U240" s="253"/>
      <c r="V240" s="253"/>
      <c r="W240" s="253"/>
      <c r="X240" s="253"/>
      <c r="Y240" s="253"/>
      <c r="Z240" s="253"/>
      <c r="AA240" s="253"/>
      <c r="AB240" s="253"/>
      <c r="AC240" s="253"/>
    </row>
    <row r="241">
      <c r="A241" s="22"/>
      <c r="B241" s="22"/>
      <c r="C241" s="22"/>
      <c r="D241" s="22"/>
      <c r="E241" s="22"/>
      <c r="F241" s="22"/>
      <c r="G241" s="112"/>
      <c r="H241" s="112"/>
      <c r="I241" s="112"/>
      <c r="J241" s="112"/>
      <c r="K241" s="112"/>
      <c r="L241" s="112"/>
      <c r="M241" s="253"/>
      <c r="N241" s="253"/>
      <c r="O241" s="253"/>
      <c r="P241" s="253"/>
      <c r="Q241" s="253"/>
      <c r="R241" s="253"/>
      <c r="S241" s="253"/>
      <c r="T241" s="253"/>
      <c r="U241" s="253"/>
      <c r="V241" s="253"/>
      <c r="W241" s="253"/>
      <c r="X241" s="253"/>
      <c r="Y241" s="253"/>
      <c r="Z241" s="253"/>
      <c r="AA241" s="253"/>
      <c r="AB241" s="253"/>
      <c r="AC241" s="253"/>
    </row>
    <row r="242">
      <c r="A242" s="22"/>
      <c r="B242" s="22"/>
      <c r="C242" s="22"/>
      <c r="D242" s="22"/>
      <c r="E242" s="22"/>
      <c r="F242" s="22"/>
      <c r="G242" s="112"/>
      <c r="H242" s="112"/>
      <c r="I242" s="112"/>
      <c r="J242" s="112"/>
      <c r="K242" s="112"/>
      <c r="L242" s="112"/>
      <c r="M242" s="253"/>
      <c r="N242" s="253"/>
      <c r="O242" s="253"/>
      <c r="P242" s="253"/>
      <c r="Q242" s="253"/>
      <c r="R242" s="253"/>
      <c r="S242" s="253"/>
      <c r="T242" s="253"/>
      <c r="U242" s="253"/>
      <c r="V242" s="253"/>
      <c r="W242" s="253"/>
      <c r="X242" s="253"/>
      <c r="Y242" s="253"/>
      <c r="Z242" s="253"/>
      <c r="AA242" s="253"/>
      <c r="AB242" s="253"/>
      <c r="AC242" s="253"/>
    </row>
    <row r="243">
      <c r="A243" s="22"/>
      <c r="B243" s="22"/>
      <c r="C243" s="22"/>
      <c r="D243" s="22"/>
      <c r="E243" s="22"/>
      <c r="F243" s="22"/>
      <c r="G243" s="112"/>
      <c r="H243" s="112"/>
      <c r="I243" s="112"/>
      <c r="J243" s="112"/>
      <c r="K243" s="112"/>
      <c r="L243" s="112"/>
      <c r="M243" s="253"/>
      <c r="N243" s="253"/>
      <c r="O243" s="253"/>
      <c r="P243" s="253"/>
      <c r="Q243" s="253"/>
      <c r="R243" s="253"/>
      <c r="S243" s="253"/>
      <c r="T243" s="253"/>
      <c r="U243" s="253"/>
      <c r="V243" s="253"/>
      <c r="W243" s="253"/>
      <c r="X243" s="253"/>
      <c r="Y243" s="253"/>
      <c r="Z243" s="253"/>
      <c r="AA243" s="253"/>
      <c r="AB243" s="253"/>
      <c r="AC243" s="253"/>
    </row>
    <row r="244">
      <c r="A244" s="22"/>
      <c r="B244" s="22"/>
      <c r="C244" s="22"/>
      <c r="D244" s="22"/>
      <c r="E244" s="22"/>
      <c r="F244" s="22"/>
      <c r="G244" s="112"/>
      <c r="H244" s="112"/>
      <c r="I244" s="112"/>
      <c r="J244" s="112"/>
      <c r="K244" s="112"/>
      <c r="L244" s="112"/>
      <c r="M244" s="253"/>
      <c r="N244" s="253"/>
      <c r="O244" s="253"/>
      <c r="P244" s="253"/>
      <c r="Q244" s="253"/>
      <c r="R244" s="253"/>
      <c r="S244" s="253"/>
      <c r="T244" s="253"/>
      <c r="U244" s="253"/>
      <c r="V244" s="253"/>
      <c r="W244" s="253"/>
      <c r="X244" s="253"/>
      <c r="Y244" s="253"/>
      <c r="Z244" s="253"/>
      <c r="AA244" s="253"/>
      <c r="AB244" s="253"/>
      <c r="AC244" s="253"/>
    </row>
    <row r="245">
      <c r="A245" s="22"/>
      <c r="B245" s="22"/>
      <c r="C245" s="22"/>
      <c r="D245" s="22"/>
      <c r="E245" s="22"/>
      <c r="F245" s="22"/>
      <c r="G245" s="112"/>
      <c r="H245" s="112"/>
      <c r="I245" s="112"/>
      <c r="J245" s="112"/>
      <c r="K245" s="112"/>
      <c r="L245" s="112"/>
      <c r="M245" s="253"/>
      <c r="N245" s="253"/>
      <c r="O245" s="253"/>
      <c r="P245" s="253"/>
      <c r="Q245" s="253"/>
      <c r="R245" s="253"/>
      <c r="S245" s="253"/>
      <c r="T245" s="253"/>
      <c r="U245" s="253"/>
      <c r="V245" s="253"/>
      <c r="W245" s="253"/>
      <c r="X245" s="253"/>
      <c r="Y245" s="253"/>
      <c r="Z245" s="253"/>
      <c r="AA245" s="253"/>
      <c r="AB245" s="253"/>
      <c r="AC245" s="253"/>
    </row>
    <row r="246">
      <c r="A246" s="22"/>
      <c r="B246" s="22"/>
      <c r="C246" s="22"/>
      <c r="D246" s="22"/>
      <c r="E246" s="22"/>
      <c r="F246" s="22"/>
      <c r="G246" s="112"/>
      <c r="H246" s="112"/>
      <c r="I246" s="112"/>
      <c r="J246" s="112"/>
      <c r="K246" s="112"/>
      <c r="L246" s="112"/>
      <c r="M246" s="253"/>
      <c r="N246" s="253"/>
      <c r="O246" s="253"/>
      <c r="P246" s="253"/>
      <c r="Q246" s="253"/>
      <c r="R246" s="253"/>
      <c r="S246" s="253"/>
      <c r="T246" s="253"/>
      <c r="U246" s="253"/>
      <c r="V246" s="253"/>
      <c r="W246" s="253"/>
      <c r="X246" s="253"/>
      <c r="Y246" s="253"/>
      <c r="Z246" s="253"/>
      <c r="AA246" s="253"/>
      <c r="AB246" s="253"/>
      <c r="AC246" s="253"/>
    </row>
    <row r="247">
      <c r="A247" s="22"/>
      <c r="B247" s="22"/>
      <c r="C247" s="22"/>
      <c r="D247" s="22"/>
      <c r="E247" s="22"/>
      <c r="F247" s="22"/>
      <c r="G247" s="112"/>
      <c r="H247" s="112"/>
      <c r="I247" s="112"/>
      <c r="J247" s="112"/>
      <c r="K247" s="112"/>
      <c r="L247" s="112"/>
      <c r="M247" s="253"/>
      <c r="N247" s="253"/>
      <c r="O247" s="253"/>
      <c r="P247" s="253"/>
      <c r="Q247" s="253"/>
      <c r="R247" s="253"/>
      <c r="S247" s="253"/>
      <c r="T247" s="253"/>
      <c r="U247" s="253"/>
      <c r="V247" s="253"/>
      <c r="W247" s="253"/>
      <c r="X247" s="253"/>
      <c r="Y247" s="253"/>
      <c r="Z247" s="253"/>
      <c r="AA247" s="253"/>
      <c r="AB247" s="253"/>
      <c r="AC247" s="253"/>
    </row>
    <row r="248">
      <c r="A248" s="22"/>
      <c r="B248" s="22"/>
      <c r="C248" s="22"/>
      <c r="D248" s="22"/>
      <c r="E248" s="22"/>
      <c r="F248" s="22"/>
      <c r="G248" s="112"/>
      <c r="H248" s="112"/>
      <c r="I248" s="112"/>
      <c r="J248" s="112"/>
      <c r="K248" s="112"/>
      <c r="L248" s="112"/>
      <c r="M248" s="253"/>
      <c r="N248" s="253"/>
      <c r="O248" s="253"/>
      <c r="P248" s="253"/>
      <c r="Q248" s="253"/>
      <c r="R248" s="253"/>
      <c r="S248" s="253"/>
      <c r="T248" s="253"/>
      <c r="U248" s="253"/>
      <c r="V248" s="253"/>
      <c r="W248" s="253"/>
      <c r="X248" s="253"/>
      <c r="Y248" s="253"/>
      <c r="Z248" s="253"/>
      <c r="AA248" s="253"/>
      <c r="AB248" s="253"/>
      <c r="AC248" s="253"/>
    </row>
    <row r="249">
      <c r="A249" s="22"/>
      <c r="B249" s="22"/>
      <c r="C249" s="22"/>
      <c r="D249" s="22"/>
      <c r="E249" s="22"/>
      <c r="F249" s="22"/>
      <c r="G249" s="112"/>
      <c r="H249" s="112"/>
      <c r="I249" s="112"/>
      <c r="J249" s="112"/>
      <c r="K249" s="112"/>
      <c r="L249" s="112"/>
      <c r="M249" s="253"/>
      <c r="N249" s="253"/>
      <c r="O249" s="253"/>
      <c r="P249" s="253"/>
      <c r="Q249" s="253"/>
      <c r="R249" s="253"/>
      <c r="S249" s="253"/>
      <c r="T249" s="253"/>
      <c r="U249" s="253"/>
      <c r="V249" s="253"/>
      <c r="W249" s="253"/>
      <c r="X249" s="253"/>
      <c r="Y249" s="253"/>
      <c r="Z249" s="253"/>
      <c r="AA249" s="253"/>
      <c r="AB249" s="253"/>
      <c r="AC249" s="253"/>
    </row>
    <row r="250">
      <c r="A250" s="22"/>
      <c r="B250" s="22"/>
      <c r="C250" s="22"/>
      <c r="D250" s="22"/>
      <c r="E250" s="22"/>
      <c r="F250" s="22"/>
      <c r="G250" s="112"/>
      <c r="H250" s="112"/>
      <c r="I250" s="112"/>
      <c r="J250" s="112"/>
      <c r="K250" s="112"/>
      <c r="L250" s="112"/>
      <c r="M250" s="253"/>
      <c r="N250" s="253"/>
      <c r="O250" s="253"/>
      <c r="P250" s="253"/>
      <c r="Q250" s="253"/>
      <c r="R250" s="253"/>
      <c r="S250" s="253"/>
      <c r="T250" s="253"/>
      <c r="U250" s="253"/>
      <c r="V250" s="253"/>
      <c r="W250" s="253"/>
      <c r="X250" s="253"/>
      <c r="Y250" s="253"/>
      <c r="Z250" s="253"/>
      <c r="AA250" s="253"/>
      <c r="AB250" s="253"/>
      <c r="AC250" s="253"/>
    </row>
    <row r="251">
      <c r="A251" s="22"/>
      <c r="B251" s="22"/>
      <c r="C251" s="22"/>
      <c r="D251" s="22"/>
      <c r="E251" s="22"/>
      <c r="F251" s="22"/>
      <c r="G251" s="112"/>
      <c r="H251" s="112"/>
      <c r="I251" s="112"/>
      <c r="J251" s="112"/>
      <c r="K251" s="112"/>
      <c r="L251" s="112"/>
      <c r="M251" s="253"/>
      <c r="N251" s="253"/>
      <c r="O251" s="253"/>
      <c r="P251" s="253"/>
      <c r="Q251" s="253"/>
      <c r="R251" s="253"/>
      <c r="S251" s="253"/>
      <c r="T251" s="253"/>
      <c r="U251" s="253"/>
      <c r="V251" s="253"/>
      <c r="W251" s="253"/>
      <c r="X251" s="253"/>
      <c r="Y251" s="253"/>
      <c r="Z251" s="253"/>
      <c r="AA251" s="253"/>
      <c r="AB251" s="253"/>
      <c r="AC251" s="253"/>
    </row>
    <row r="252">
      <c r="A252" s="22"/>
      <c r="B252" s="22"/>
      <c r="C252" s="22"/>
      <c r="D252" s="22"/>
      <c r="E252" s="22"/>
      <c r="F252" s="22"/>
      <c r="G252" s="112"/>
      <c r="H252" s="112"/>
      <c r="I252" s="112"/>
      <c r="J252" s="112"/>
      <c r="K252" s="112"/>
      <c r="L252" s="112"/>
      <c r="M252" s="253"/>
      <c r="N252" s="253"/>
      <c r="O252" s="253"/>
      <c r="P252" s="253"/>
      <c r="Q252" s="253"/>
      <c r="R252" s="253"/>
      <c r="S252" s="253"/>
      <c r="T252" s="253"/>
      <c r="U252" s="253"/>
      <c r="V252" s="253"/>
      <c r="W252" s="253"/>
      <c r="X252" s="253"/>
      <c r="Y252" s="253"/>
      <c r="Z252" s="253"/>
      <c r="AA252" s="253"/>
      <c r="AB252" s="253"/>
      <c r="AC252" s="253"/>
    </row>
    <row r="253">
      <c r="A253" s="22"/>
      <c r="B253" s="22"/>
      <c r="C253" s="22"/>
      <c r="D253" s="22"/>
      <c r="E253" s="22"/>
      <c r="F253" s="22"/>
      <c r="G253" s="112"/>
      <c r="H253" s="112"/>
      <c r="I253" s="112"/>
      <c r="J253" s="112"/>
      <c r="K253" s="112"/>
      <c r="L253" s="112"/>
      <c r="M253" s="253"/>
      <c r="N253" s="253"/>
      <c r="O253" s="253"/>
      <c r="P253" s="253"/>
      <c r="Q253" s="253"/>
      <c r="R253" s="253"/>
      <c r="S253" s="253"/>
      <c r="T253" s="253"/>
      <c r="U253" s="253"/>
      <c r="V253" s="253"/>
      <c r="W253" s="253"/>
      <c r="X253" s="253"/>
      <c r="Y253" s="253"/>
      <c r="Z253" s="253"/>
      <c r="AA253" s="253"/>
      <c r="AB253" s="253"/>
      <c r="AC253" s="253"/>
    </row>
    <row r="254">
      <c r="A254" s="22"/>
      <c r="B254" s="22"/>
      <c r="C254" s="22"/>
      <c r="D254" s="22"/>
      <c r="E254" s="22"/>
      <c r="F254" s="22"/>
      <c r="G254" s="112"/>
      <c r="H254" s="112"/>
      <c r="I254" s="112"/>
      <c r="J254" s="112"/>
      <c r="K254" s="112"/>
      <c r="L254" s="112"/>
      <c r="M254" s="253"/>
      <c r="N254" s="253"/>
      <c r="O254" s="253"/>
      <c r="P254" s="253"/>
      <c r="Q254" s="253"/>
      <c r="R254" s="253"/>
      <c r="S254" s="253"/>
      <c r="T254" s="253"/>
      <c r="U254" s="253"/>
      <c r="V254" s="253"/>
      <c r="W254" s="253"/>
      <c r="X254" s="253"/>
      <c r="Y254" s="253"/>
      <c r="Z254" s="253"/>
      <c r="AA254" s="253"/>
      <c r="AB254" s="253"/>
      <c r="AC254" s="253"/>
    </row>
    <row r="255">
      <c r="A255" s="22"/>
      <c r="B255" s="22"/>
      <c r="C255" s="22"/>
      <c r="D255" s="22"/>
      <c r="E255" s="22"/>
      <c r="F255" s="22"/>
      <c r="G255" s="112"/>
      <c r="H255" s="112"/>
      <c r="I255" s="112"/>
      <c r="J255" s="112"/>
      <c r="K255" s="112"/>
      <c r="L255" s="112"/>
      <c r="M255" s="253"/>
      <c r="N255" s="253"/>
      <c r="O255" s="253"/>
      <c r="P255" s="253"/>
      <c r="Q255" s="253"/>
      <c r="R255" s="253"/>
      <c r="S255" s="253"/>
      <c r="T255" s="253"/>
      <c r="U255" s="253"/>
      <c r="V255" s="253"/>
      <c r="W255" s="253"/>
      <c r="X255" s="253"/>
      <c r="Y255" s="253"/>
      <c r="Z255" s="253"/>
      <c r="AA255" s="253"/>
      <c r="AB255" s="253"/>
      <c r="AC255" s="253"/>
    </row>
    <row r="256">
      <c r="A256" s="22"/>
      <c r="B256" s="22"/>
      <c r="C256" s="22"/>
      <c r="D256" s="22"/>
      <c r="E256" s="22"/>
      <c r="F256" s="22"/>
      <c r="G256" s="112"/>
      <c r="H256" s="112"/>
      <c r="I256" s="112"/>
      <c r="J256" s="112"/>
      <c r="K256" s="112"/>
      <c r="L256" s="112"/>
      <c r="M256" s="253"/>
      <c r="N256" s="253"/>
      <c r="O256" s="253"/>
      <c r="P256" s="253"/>
      <c r="Q256" s="253"/>
      <c r="R256" s="253"/>
      <c r="S256" s="253"/>
      <c r="T256" s="253"/>
      <c r="U256" s="253"/>
      <c r="V256" s="253"/>
      <c r="W256" s="253"/>
      <c r="X256" s="253"/>
      <c r="Y256" s="253"/>
      <c r="Z256" s="253"/>
      <c r="AA256" s="253"/>
      <c r="AB256" s="253"/>
      <c r="AC256" s="253"/>
    </row>
    <row r="257">
      <c r="A257" s="22"/>
      <c r="B257" s="22"/>
      <c r="C257" s="22"/>
      <c r="D257" s="22"/>
      <c r="E257" s="22"/>
      <c r="F257" s="22"/>
      <c r="G257" s="112"/>
      <c r="H257" s="112"/>
      <c r="I257" s="112"/>
      <c r="J257" s="112"/>
      <c r="K257" s="112"/>
      <c r="L257" s="112"/>
      <c r="M257" s="253"/>
      <c r="N257" s="253"/>
      <c r="O257" s="253"/>
      <c r="P257" s="253"/>
      <c r="Q257" s="253"/>
      <c r="R257" s="253"/>
      <c r="S257" s="253"/>
      <c r="T257" s="253"/>
      <c r="U257" s="253"/>
      <c r="V257" s="253"/>
      <c r="W257" s="253"/>
      <c r="X257" s="253"/>
      <c r="Y257" s="253"/>
      <c r="Z257" s="253"/>
      <c r="AA257" s="253"/>
      <c r="AB257" s="253"/>
      <c r="AC257" s="253"/>
    </row>
    <row r="258">
      <c r="A258" s="22"/>
      <c r="B258" s="22"/>
      <c r="C258" s="22"/>
      <c r="D258" s="22"/>
      <c r="E258" s="22"/>
      <c r="F258" s="22"/>
      <c r="G258" s="112"/>
      <c r="H258" s="112"/>
      <c r="I258" s="112"/>
      <c r="J258" s="112"/>
      <c r="K258" s="112"/>
      <c r="L258" s="112"/>
      <c r="M258" s="253"/>
      <c r="N258" s="253"/>
      <c r="O258" s="253"/>
      <c r="P258" s="253"/>
      <c r="Q258" s="253"/>
      <c r="R258" s="253"/>
      <c r="S258" s="253"/>
      <c r="T258" s="253"/>
      <c r="U258" s="253"/>
      <c r="V258" s="253"/>
      <c r="W258" s="253"/>
      <c r="X258" s="253"/>
      <c r="Y258" s="253"/>
      <c r="Z258" s="253"/>
      <c r="AA258" s="253"/>
      <c r="AB258" s="253"/>
      <c r="AC258" s="253"/>
    </row>
    <row r="259">
      <c r="A259" s="22"/>
      <c r="B259" s="22"/>
      <c r="C259" s="22"/>
      <c r="D259" s="22"/>
      <c r="E259" s="22"/>
      <c r="F259" s="22"/>
      <c r="G259" s="112"/>
      <c r="H259" s="112"/>
      <c r="I259" s="112"/>
      <c r="J259" s="112"/>
      <c r="K259" s="112"/>
      <c r="L259" s="112"/>
      <c r="M259" s="253"/>
      <c r="N259" s="253"/>
      <c r="O259" s="253"/>
      <c r="P259" s="253"/>
      <c r="Q259" s="253"/>
      <c r="R259" s="253"/>
      <c r="S259" s="253"/>
      <c r="T259" s="253"/>
      <c r="U259" s="253"/>
      <c r="V259" s="253"/>
      <c r="W259" s="253"/>
      <c r="X259" s="253"/>
      <c r="Y259" s="253"/>
      <c r="Z259" s="253"/>
      <c r="AA259" s="253"/>
      <c r="AB259" s="253"/>
      <c r="AC259" s="253"/>
    </row>
    <row r="260">
      <c r="A260" s="22"/>
      <c r="B260" s="22"/>
      <c r="C260" s="22"/>
      <c r="D260" s="22"/>
      <c r="E260" s="22"/>
      <c r="F260" s="22"/>
      <c r="G260" s="112"/>
      <c r="H260" s="112"/>
      <c r="I260" s="112"/>
      <c r="J260" s="112"/>
      <c r="K260" s="112"/>
      <c r="L260" s="112"/>
      <c r="M260" s="253"/>
      <c r="N260" s="253"/>
      <c r="O260" s="253"/>
      <c r="P260" s="253"/>
      <c r="Q260" s="253"/>
      <c r="R260" s="253"/>
      <c r="S260" s="253"/>
      <c r="T260" s="253"/>
      <c r="U260" s="253"/>
      <c r="V260" s="253"/>
      <c r="W260" s="253"/>
      <c r="X260" s="253"/>
      <c r="Y260" s="253"/>
      <c r="Z260" s="253"/>
      <c r="AA260" s="253"/>
      <c r="AB260" s="253"/>
      <c r="AC260" s="253"/>
    </row>
    <row r="261">
      <c r="A261" s="22"/>
      <c r="B261" s="22"/>
      <c r="C261" s="22"/>
      <c r="D261" s="22"/>
      <c r="E261" s="22"/>
      <c r="F261" s="22"/>
      <c r="G261" s="112"/>
      <c r="H261" s="112"/>
      <c r="I261" s="112"/>
      <c r="J261" s="112"/>
      <c r="K261" s="112"/>
      <c r="L261" s="112"/>
      <c r="M261" s="253"/>
      <c r="N261" s="253"/>
      <c r="O261" s="253"/>
      <c r="P261" s="253"/>
      <c r="Q261" s="253"/>
      <c r="R261" s="253"/>
      <c r="S261" s="253"/>
      <c r="T261" s="253"/>
      <c r="U261" s="253"/>
      <c r="V261" s="253"/>
      <c r="W261" s="253"/>
      <c r="X261" s="253"/>
      <c r="Y261" s="253"/>
      <c r="Z261" s="253"/>
      <c r="AA261" s="253"/>
      <c r="AB261" s="253"/>
      <c r="AC261" s="253"/>
    </row>
    <row r="262">
      <c r="A262" s="22"/>
      <c r="B262" s="22"/>
      <c r="C262" s="22"/>
      <c r="D262" s="22"/>
      <c r="E262" s="22"/>
      <c r="F262" s="22"/>
      <c r="G262" s="112"/>
      <c r="H262" s="112"/>
      <c r="I262" s="112"/>
      <c r="J262" s="112"/>
      <c r="K262" s="112"/>
      <c r="L262" s="112"/>
      <c r="M262" s="253"/>
      <c r="N262" s="253"/>
      <c r="O262" s="253"/>
      <c r="P262" s="253"/>
      <c r="Q262" s="253"/>
      <c r="R262" s="253"/>
      <c r="S262" s="253"/>
      <c r="T262" s="253"/>
      <c r="U262" s="253"/>
      <c r="V262" s="253"/>
      <c r="W262" s="253"/>
      <c r="X262" s="253"/>
      <c r="Y262" s="253"/>
      <c r="Z262" s="253"/>
      <c r="AA262" s="253"/>
      <c r="AB262" s="253"/>
      <c r="AC262" s="253"/>
    </row>
    <row r="263">
      <c r="A263" s="22"/>
      <c r="B263" s="22"/>
      <c r="C263" s="22"/>
      <c r="D263" s="22"/>
      <c r="E263" s="22"/>
      <c r="F263" s="22"/>
      <c r="G263" s="112"/>
      <c r="H263" s="112"/>
      <c r="I263" s="112"/>
      <c r="J263" s="112"/>
      <c r="K263" s="112"/>
      <c r="L263" s="112"/>
      <c r="M263" s="253"/>
      <c r="N263" s="253"/>
      <c r="O263" s="253"/>
      <c r="P263" s="253"/>
      <c r="Q263" s="253"/>
      <c r="R263" s="253"/>
      <c r="S263" s="253"/>
      <c r="T263" s="253"/>
      <c r="U263" s="253"/>
      <c r="V263" s="253"/>
      <c r="W263" s="253"/>
      <c r="X263" s="253"/>
      <c r="Y263" s="253"/>
      <c r="Z263" s="253"/>
      <c r="AA263" s="253"/>
      <c r="AB263" s="253"/>
      <c r="AC263" s="253"/>
    </row>
    <row r="264">
      <c r="A264" s="22"/>
      <c r="B264" s="22"/>
      <c r="C264" s="22"/>
      <c r="D264" s="22"/>
      <c r="E264" s="22"/>
      <c r="F264" s="22"/>
      <c r="G264" s="112"/>
      <c r="H264" s="112"/>
      <c r="I264" s="112"/>
      <c r="J264" s="112"/>
      <c r="K264" s="112"/>
      <c r="L264" s="112"/>
      <c r="M264" s="253"/>
      <c r="N264" s="253"/>
      <c r="O264" s="253"/>
      <c r="P264" s="253"/>
      <c r="Q264" s="253"/>
      <c r="R264" s="253"/>
      <c r="S264" s="253"/>
      <c r="T264" s="253"/>
      <c r="U264" s="253"/>
      <c r="V264" s="253"/>
      <c r="W264" s="253"/>
      <c r="X264" s="253"/>
      <c r="Y264" s="253"/>
      <c r="Z264" s="253"/>
      <c r="AA264" s="253"/>
      <c r="AB264" s="253"/>
      <c r="AC264" s="253"/>
    </row>
    <row r="265">
      <c r="A265" s="22"/>
      <c r="B265" s="22"/>
      <c r="C265" s="22"/>
      <c r="D265" s="22"/>
      <c r="E265" s="22"/>
      <c r="F265" s="22"/>
      <c r="G265" s="112"/>
      <c r="H265" s="112"/>
      <c r="I265" s="112"/>
      <c r="J265" s="112"/>
      <c r="K265" s="112"/>
      <c r="L265" s="112"/>
      <c r="M265" s="253"/>
      <c r="N265" s="253"/>
      <c r="O265" s="253"/>
      <c r="P265" s="253"/>
      <c r="Q265" s="253"/>
      <c r="R265" s="253"/>
      <c r="S265" s="253"/>
      <c r="T265" s="253"/>
      <c r="U265" s="253"/>
      <c r="V265" s="253"/>
      <c r="W265" s="253"/>
      <c r="X265" s="253"/>
      <c r="Y265" s="253"/>
      <c r="Z265" s="253"/>
      <c r="AA265" s="253"/>
      <c r="AB265" s="253"/>
      <c r="AC265" s="253"/>
    </row>
    <row r="266">
      <c r="A266" s="22"/>
      <c r="B266" s="22"/>
      <c r="C266" s="22"/>
      <c r="D266" s="22"/>
      <c r="E266" s="22"/>
      <c r="F266" s="22"/>
      <c r="G266" s="112"/>
      <c r="H266" s="112"/>
      <c r="I266" s="112"/>
      <c r="J266" s="112"/>
      <c r="K266" s="112"/>
      <c r="L266" s="112"/>
      <c r="M266" s="253"/>
      <c r="N266" s="253"/>
      <c r="O266" s="253"/>
      <c r="P266" s="253"/>
      <c r="Q266" s="253"/>
      <c r="R266" s="253"/>
      <c r="S266" s="253"/>
      <c r="T266" s="253"/>
      <c r="U266" s="253"/>
      <c r="V266" s="253"/>
      <c r="W266" s="253"/>
      <c r="X266" s="253"/>
      <c r="Y266" s="253"/>
      <c r="Z266" s="253"/>
      <c r="AA266" s="253"/>
      <c r="AB266" s="253"/>
      <c r="AC266" s="253"/>
    </row>
    <row r="267">
      <c r="A267" s="22"/>
      <c r="B267" s="22"/>
      <c r="C267" s="22"/>
      <c r="D267" s="22"/>
      <c r="E267" s="22"/>
      <c r="F267" s="22"/>
      <c r="G267" s="112"/>
      <c r="H267" s="112"/>
      <c r="I267" s="112"/>
      <c r="J267" s="112"/>
      <c r="K267" s="112"/>
      <c r="L267" s="112"/>
      <c r="M267" s="253"/>
      <c r="N267" s="253"/>
      <c r="O267" s="253"/>
      <c r="P267" s="253"/>
      <c r="Q267" s="253"/>
      <c r="R267" s="253"/>
      <c r="S267" s="253"/>
      <c r="T267" s="253"/>
      <c r="U267" s="253"/>
      <c r="V267" s="253"/>
      <c r="W267" s="253"/>
      <c r="X267" s="253"/>
      <c r="Y267" s="253"/>
      <c r="Z267" s="253"/>
      <c r="AA267" s="253"/>
      <c r="AB267" s="253"/>
      <c r="AC267" s="253"/>
    </row>
    <row r="268">
      <c r="A268" s="22"/>
      <c r="B268" s="22"/>
      <c r="C268" s="22"/>
      <c r="D268" s="22"/>
      <c r="E268" s="22"/>
      <c r="F268" s="22"/>
      <c r="G268" s="112"/>
      <c r="H268" s="112"/>
      <c r="I268" s="112"/>
      <c r="J268" s="112"/>
      <c r="K268" s="112"/>
      <c r="L268" s="112"/>
      <c r="M268" s="253"/>
      <c r="N268" s="253"/>
      <c r="O268" s="253"/>
      <c r="P268" s="253"/>
      <c r="Q268" s="253"/>
      <c r="R268" s="253"/>
      <c r="S268" s="253"/>
      <c r="T268" s="253"/>
      <c r="U268" s="253"/>
      <c r="V268" s="253"/>
      <c r="W268" s="253"/>
      <c r="X268" s="253"/>
      <c r="Y268" s="253"/>
      <c r="Z268" s="253"/>
      <c r="AA268" s="253"/>
      <c r="AB268" s="253"/>
      <c r="AC268" s="253"/>
    </row>
    <row r="269">
      <c r="A269" s="22"/>
      <c r="B269" s="22"/>
      <c r="C269" s="22"/>
      <c r="D269" s="22"/>
      <c r="E269" s="22"/>
      <c r="F269" s="22"/>
      <c r="G269" s="112"/>
      <c r="H269" s="112"/>
      <c r="I269" s="112"/>
      <c r="J269" s="112"/>
      <c r="K269" s="112"/>
      <c r="L269" s="112"/>
      <c r="M269" s="253"/>
      <c r="N269" s="253"/>
      <c r="O269" s="253"/>
      <c r="P269" s="253"/>
      <c r="Q269" s="253"/>
      <c r="R269" s="253"/>
      <c r="S269" s="253"/>
      <c r="T269" s="253"/>
      <c r="U269" s="253"/>
      <c r="V269" s="253"/>
      <c r="W269" s="253"/>
      <c r="X269" s="253"/>
      <c r="Y269" s="253"/>
      <c r="Z269" s="253"/>
      <c r="AA269" s="253"/>
      <c r="AB269" s="253"/>
      <c r="AC269" s="253"/>
    </row>
    <row r="270">
      <c r="A270" s="22"/>
      <c r="B270" s="22"/>
      <c r="C270" s="22"/>
      <c r="D270" s="22"/>
      <c r="E270" s="22"/>
      <c r="F270" s="22"/>
      <c r="G270" s="112"/>
      <c r="H270" s="112"/>
      <c r="I270" s="112"/>
      <c r="J270" s="112"/>
      <c r="K270" s="112"/>
      <c r="L270" s="112"/>
      <c r="M270" s="253"/>
      <c r="N270" s="253"/>
      <c r="O270" s="253"/>
      <c r="P270" s="253"/>
      <c r="Q270" s="253"/>
      <c r="R270" s="253"/>
      <c r="S270" s="253"/>
      <c r="T270" s="253"/>
      <c r="U270" s="253"/>
      <c r="V270" s="253"/>
      <c r="W270" s="253"/>
      <c r="X270" s="253"/>
      <c r="Y270" s="253"/>
      <c r="Z270" s="253"/>
      <c r="AA270" s="253"/>
      <c r="AB270" s="253"/>
      <c r="AC270" s="253"/>
    </row>
    <row r="271">
      <c r="A271" s="22"/>
      <c r="B271" s="22"/>
      <c r="C271" s="22"/>
      <c r="D271" s="22"/>
      <c r="E271" s="22"/>
      <c r="F271" s="22"/>
      <c r="G271" s="112"/>
      <c r="H271" s="112"/>
      <c r="I271" s="112"/>
      <c r="J271" s="112"/>
      <c r="K271" s="112"/>
      <c r="L271" s="112"/>
      <c r="M271" s="253"/>
      <c r="N271" s="253"/>
      <c r="O271" s="253"/>
      <c r="P271" s="253"/>
      <c r="Q271" s="253"/>
      <c r="R271" s="253"/>
      <c r="S271" s="253"/>
      <c r="T271" s="253"/>
      <c r="U271" s="253"/>
      <c r="V271" s="253"/>
      <c r="W271" s="253"/>
      <c r="X271" s="253"/>
      <c r="Y271" s="253"/>
      <c r="Z271" s="253"/>
      <c r="AA271" s="253"/>
      <c r="AB271" s="253"/>
      <c r="AC271" s="253"/>
    </row>
    <row r="272">
      <c r="A272" s="22"/>
      <c r="B272" s="22"/>
      <c r="C272" s="22"/>
      <c r="D272" s="22"/>
      <c r="E272" s="22"/>
      <c r="F272" s="22"/>
      <c r="G272" s="112"/>
      <c r="H272" s="112"/>
      <c r="I272" s="112"/>
      <c r="J272" s="112"/>
      <c r="K272" s="112"/>
      <c r="L272" s="112"/>
      <c r="M272" s="253"/>
      <c r="N272" s="253"/>
      <c r="O272" s="253"/>
      <c r="P272" s="253"/>
      <c r="Q272" s="253"/>
      <c r="R272" s="253"/>
      <c r="S272" s="253"/>
      <c r="T272" s="253"/>
      <c r="U272" s="253"/>
      <c r="V272" s="253"/>
      <c r="W272" s="253"/>
      <c r="X272" s="253"/>
      <c r="Y272" s="253"/>
      <c r="Z272" s="253"/>
      <c r="AA272" s="253"/>
      <c r="AB272" s="253"/>
      <c r="AC272" s="253"/>
    </row>
    <row r="273">
      <c r="A273" s="22"/>
      <c r="B273" s="22"/>
      <c r="C273" s="22"/>
      <c r="D273" s="22"/>
      <c r="E273" s="22"/>
      <c r="F273" s="22"/>
      <c r="G273" s="112"/>
      <c r="H273" s="112"/>
      <c r="I273" s="112"/>
      <c r="J273" s="112"/>
      <c r="K273" s="112"/>
      <c r="L273" s="112"/>
      <c r="M273" s="253"/>
      <c r="N273" s="253"/>
      <c r="O273" s="253"/>
      <c r="P273" s="253"/>
      <c r="Q273" s="253"/>
      <c r="R273" s="253"/>
      <c r="S273" s="253"/>
      <c r="T273" s="253"/>
      <c r="U273" s="253"/>
      <c r="V273" s="253"/>
      <c r="W273" s="253"/>
      <c r="X273" s="253"/>
      <c r="Y273" s="253"/>
      <c r="Z273" s="253"/>
      <c r="AA273" s="253"/>
      <c r="AB273" s="253"/>
      <c r="AC273" s="253"/>
    </row>
    <row r="274">
      <c r="A274" s="22"/>
      <c r="B274" s="22"/>
      <c r="C274" s="22"/>
      <c r="D274" s="22"/>
      <c r="E274" s="22"/>
      <c r="F274" s="22"/>
      <c r="G274" s="112"/>
      <c r="H274" s="112"/>
      <c r="I274" s="112"/>
      <c r="J274" s="112"/>
      <c r="K274" s="112"/>
      <c r="L274" s="112"/>
      <c r="M274" s="253"/>
      <c r="N274" s="253"/>
      <c r="O274" s="253"/>
      <c r="P274" s="253"/>
      <c r="Q274" s="253"/>
      <c r="R274" s="253"/>
      <c r="S274" s="253"/>
      <c r="T274" s="253"/>
      <c r="U274" s="253"/>
      <c r="V274" s="253"/>
      <c r="W274" s="253"/>
      <c r="X274" s="253"/>
      <c r="Y274" s="253"/>
      <c r="Z274" s="253"/>
      <c r="AA274" s="253"/>
      <c r="AB274" s="253"/>
      <c r="AC274" s="253"/>
    </row>
    <row r="275">
      <c r="A275" s="22"/>
      <c r="B275" s="22"/>
      <c r="C275" s="22"/>
      <c r="D275" s="22"/>
      <c r="E275" s="22"/>
      <c r="F275" s="22"/>
      <c r="G275" s="112"/>
      <c r="H275" s="112"/>
      <c r="I275" s="112"/>
      <c r="J275" s="112"/>
      <c r="K275" s="112"/>
      <c r="L275" s="112"/>
      <c r="M275" s="253"/>
      <c r="N275" s="253"/>
      <c r="O275" s="253"/>
      <c r="P275" s="253"/>
      <c r="Q275" s="253"/>
      <c r="R275" s="253"/>
      <c r="S275" s="253"/>
      <c r="T275" s="253"/>
      <c r="U275" s="253"/>
      <c r="V275" s="253"/>
      <c r="W275" s="253"/>
      <c r="X275" s="253"/>
      <c r="Y275" s="253"/>
      <c r="Z275" s="253"/>
      <c r="AA275" s="253"/>
      <c r="AB275" s="253"/>
      <c r="AC275" s="253"/>
    </row>
    <row r="276">
      <c r="A276" s="22"/>
      <c r="B276" s="22"/>
      <c r="C276" s="22"/>
      <c r="D276" s="22"/>
      <c r="E276" s="22"/>
      <c r="F276" s="22"/>
      <c r="G276" s="112"/>
      <c r="H276" s="112"/>
      <c r="I276" s="112"/>
      <c r="J276" s="112"/>
      <c r="K276" s="112"/>
      <c r="L276" s="112"/>
      <c r="M276" s="253"/>
      <c r="N276" s="253"/>
      <c r="O276" s="253"/>
      <c r="P276" s="253"/>
      <c r="Q276" s="253"/>
      <c r="R276" s="253"/>
      <c r="S276" s="253"/>
      <c r="T276" s="253"/>
      <c r="U276" s="253"/>
      <c r="V276" s="253"/>
      <c r="W276" s="253"/>
      <c r="X276" s="253"/>
      <c r="Y276" s="253"/>
      <c r="Z276" s="253"/>
      <c r="AA276" s="253"/>
      <c r="AB276" s="253"/>
      <c r="AC276" s="253"/>
    </row>
    <row r="277">
      <c r="A277" s="22"/>
      <c r="B277" s="22"/>
      <c r="C277" s="22"/>
      <c r="D277" s="22"/>
      <c r="E277" s="22"/>
      <c r="F277" s="22"/>
      <c r="G277" s="112"/>
      <c r="H277" s="112"/>
      <c r="I277" s="112"/>
      <c r="J277" s="112"/>
      <c r="K277" s="112"/>
      <c r="L277" s="112"/>
      <c r="M277" s="253"/>
      <c r="N277" s="253"/>
      <c r="O277" s="253"/>
      <c r="P277" s="253"/>
      <c r="Q277" s="253"/>
      <c r="R277" s="253"/>
      <c r="S277" s="253"/>
      <c r="T277" s="253"/>
      <c r="U277" s="253"/>
      <c r="V277" s="253"/>
      <c r="W277" s="253"/>
      <c r="X277" s="253"/>
      <c r="Y277" s="253"/>
      <c r="Z277" s="253"/>
      <c r="AA277" s="253"/>
      <c r="AB277" s="253"/>
      <c r="AC277" s="253"/>
    </row>
    <row r="278">
      <c r="A278" s="22"/>
      <c r="B278" s="22"/>
      <c r="C278" s="22"/>
      <c r="D278" s="22"/>
      <c r="E278" s="22"/>
      <c r="F278" s="22"/>
      <c r="G278" s="112"/>
      <c r="H278" s="112"/>
      <c r="I278" s="112"/>
      <c r="J278" s="112"/>
      <c r="K278" s="112"/>
      <c r="L278" s="112"/>
      <c r="M278" s="253"/>
      <c r="N278" s="253"/>
      <c r="O278" s="253"/>
      <c r="P278" s="253"/>
      <c r="Q278" s="253"/>
      <c r="R278" s="253"/>
      <c r="S278" s="253"/>
      <c r="T278" s="253"/>
      <c r="U278" s="253"/>
      <c r="V278" s="253"/>
      <c r="W278" s="253"/>
      <c r="X278" s="253"/>
      <c r="Y278" s="253"/>
      <c r="Z278" s="253"/>
      <c r="AA278" s="253"/>
      <c r="AB278" s="253"/>
      <c r="AC278" s="253"/>
    </row>
    <row r="279">
      <c r="A279" s="22"/>
      <c r="B279" s="22"/>
      <c r="C279" s="22"/>
      <c r="D279" s="22"/>
      <c r="E279" s="22"/>
      <c r="F279" s="22"/>
      <c r="G279" s="112"/>
      <c r="H279" s="112"/>
      <c r="I279" s="112"/>
      <c r="J279" s="112"/>
      <c r="K279" s="112"/>
      <c r="L279" s="112"/>
      <c r="M279" s="253"/>
      <c r="N279" s="253"/>
      <c r="O279" s="253"/>
      <c r="P279" s="253"/>
      <c r="Q279" s="253"/>
      <c r="R279" s="253"/>
      <c r="S279" s="253"/>
      <c r="T279" s="253"/>
      <c r="U279" s="253"/>
      <c r="V279" s="253"/>
      <c r="W279" s="253"/>
      <c r="X279" s="253"/>
      <c r="Y279" s="253"/>
      <c r="Z279" s="253"/>
      <c r="AA279" s="253"/>
      <c r="AB279" s="253"/>
      <c r="AC279" s="253"/>
    </row>
    <row r="280">
      <c r="A280" s="22"/>
      <c r="B280" s="22"/>
      <c r="C280" s="22"/>
      <c r="D280" s="22"/>
      <c r="E280" s="22"/>
      <c r="F280" s="22"/>
      <c r="G280" s="112"/>
      <c r="H280" s="112"/>
      <c r="I280" s="112"/>
      <c r="J280" s="112"/>
      <c r="K280" s="112"/>
      <c r="L280" s="112"/>
      <c r="M280" s="253"/>
      <c r="N280" s="253"/>
      <c r="O280" s="253"/>
      <c r="P280" s="253"/>
      <c r="Q280" s="253"/>
      <c r="R280" s="253"/>
      <c r="S280" s="253"/>
      <c r="T280" s="253"/>
      <c r="U280" s="253"/>
      <c r="V280" s="253"/>
      <c r="W280" s="253"/>
      <c r="X280" s="253"/>
      <c r="Y280" s="253"/>
      <c r="Z280" s="253"/>
      <c r="AA280" s="253"/>
      <c r="AB280" s="253"/>
      <c r="AC280" s="253"/>
    </row>
    <row r="281">
      <c r="A281" s="22"/>
      <c r="B281" s="22"/>
      <c r="C281" s="22"/>
      <c r="D281" s="22"/>
      <c r="E281" s="22"/>
      <c r="F281" s="22"/>
      <c r="G281" s="112"/>
      <c r="H281" s="112"/>
      <c r="I281" s="112"/>
      <c r="J281" s="112"/>
      <c r="K281" s="112"/>
      <c r="L281" s="112"/>
      <c r="M281" s="253"/>
      <c r="N281" s="253"/>
      <c r="O281" s="253"/>
      <c r="P281" s="253"/>
      <c r="Q281" s="253"/>
      <c r="R281" s="253"/>
      <c r="S281" s="253"/>
      <c r="T281" s="253"/>
      <c r="U281" s="253"/>
      <c r="V281" s="253"/>
      <c r="W281" s="253"/>
      <c r="X281" s="253"/>
      <c r="Y281" s="253"/>
      <c r="Z281" s="253"/>
      <c r="AA281" s="253"/>
      <c r="AB281" s="253"/>
      <c r="AC281" s="253"/>
    </row>
    <row r="282">
      <c r="A282" s="22"/>
      <c r="B282" s="22"/>
      <c r="C282" s="22"/>
      <c r="D282" s="22"/>
      <c r="E282" s="22"/>
      <c r="F282" s="22"/>
      <c r="G282" s="112"/>
      <c r="H282" s="112"/>
      <c r="I282" s="112"/>
      <c r="J282" s="112"/>
      <c r="K282" s="112"/>
      <c r="L282" s="112"/>
      <c r="M282" s="253"/>
      <c r="N282" s="253"/>
      <c r="O282" s="253"/>
      <c r="P282" s="253"/>
      <c r="Q282" s="253"/>
      <c r="R282" s="253"/>
      <c r="S282" s="253"/>
      <c r="T282" s="253"/>
      <c r="U282" s="253"/>
      <c r="V282" s="253"/>
      <c r="W282" s="253"/>
      <c r="X282" s="253"/>
      <c r="Y282" s="253"/>
      <c r="Z282" s="253"/>
      <c r="AA282" s="253"/>
      <c r="AB282" s="253"/>
      <c r="AC282" s="253"/>
    </row>
    <row r="283">
      <c r="A283" s="22"/>
      <c r="B283" s="22"/>
      <c r="C283" s="22"/>
      <c r="D283" s="22"/>
      <c r="E283" s="22"/>
      <c r="F283" s="22"/>
      <c r="G283" s="112"/>
      <c r="H283" s="112"/>
      <c r="I283" s="112"/>
      <c r="J283" s="112"/>
      <c r="K283" s="112"/>
      <c r="L283" s="112"/>
      <c r="M283" s="253"/>
      <c r="N283" s="253"/>
      <c r="O283" s="253"/>
      <c r="P283" s="253"/>
      <c r="Q283" s="253"/>
      <c r="R283" s="253"/>
      <c r="S283" s="253"/>
      <c r="T283" s="253"/>
      <c r="U283" s="253"/>
      <c r="V283" s="253"/>
      <c r="W283" s="253"/>
      <c r="X283" s="253"/>
      <c r="Y283" s="253"/>
      <c r="Z283" s="253"/>
      <c r="AA283" s="253"/>
      <c r="AB283" s="253"/>
      <c r="AC283" s="253"/>
    </row>
    <row r="284">
      <c r="A284" s="22"/>
      <c r="B284" s="22"/>
      <c r="C284" s="22"/>
      <c r="D284" s="22"/>
      <c r="E284" s="22"/>
      <c r="F284" s="22"/>
      <c r="G284" s="112"/>
      <c r="H284" s="112"/>
      <c r="I284" s="112"/>
      <c r="J284" s="112"/>
      <c r="K284" s="112"/>
      <c r="L284" s="112"/>
      <c r="M284" s="253"/>
      <c r="N284" s="253"/>
      <c r="O284" s="253"/>
      <c r="P284" s="253"/>
      <c r="Q284" s="253"/>
      <c r="R284" s="253"/>
      <c r="S284" s="253"/>
      <c r="T284" s="253"/>
      <c r="U284" s="253"/>
      <c r="V284" s="253"/>
      <c r="W284" s="253"/>
      <c r="X284" s="253"/>
      <c r="Y284" s="253"/>
      <c r="Z284" s="253"/>
      <c r="AA284" s="253"/>
      <c r="AB284" s="253"/>
      <c r="AC284" s="253"/>
    </row>
    <row r="285">
      <c r="A285" s="22"/>
      <c r="B285" s="22"/>
      <c r="C285" s="22"/>
      <c r="D285" s="22"/>
      <c r="E285" s="22"/>
      <c r="F285" s="22"/>
      <c r="G285" s="112"/>
      <c r="H285" s="112"/>
      <c r="I285" s="112"/>
      <c r="J285" s="112"/>
      <c r="K285" s="112"/>
      <c r="L285" s="112"/>
      <c r="M285" s="253"/>
      <c r="N285" s="253"/>
      <c r="O285" s="253"/>
      <c r="P285" s="253"/>
      <c r="Q285" s="253"/>
      <c r="R285" s="253"/>
      <c r="S285" s="253"/>
      <c r="T285" s="253"/>
      <c r="U285" s="253"/>
      <c r="V285" s="253"/>
      <c r="W285" s="253"/>
      <c r="X285" s="253"/>
      <c r="Y285" s="253"/>
      <c r="Z285" s="253"/>
      <c r="AA285" s="253"/>
      <c r="AB285" s="253"/>
      <c r="AC285" s="253"/>
    </row>
    <row r="286">
      <c r="A286" s="22"/>
      <c r="B286" s="22"/>
      <c r="C286" s="22"/>
      <c r="D286" s="22"/>
      <c r="E286" s="22"/>
      <c r="F286" s="22"/>
      <c r="G286" s="112"/>
      <c r="H286" s="112"/>
      <c r="I286" s="112"/>
      <c r="J286" s="112"/>
      <c r="K286" s="112"/>
      <c r="L286" s="112"/>
      <c r="M286" s="253"/>
      <c r="N286" s="253"/>
      <c r="O286" s="253"/>
      <c r="P286" s="253"/>
      <c r="Q286" s="253"/>
      <c r="R286" s="253"/>
      <c r="S286" s="253"/>
      <c r="T286" s="253"/>
      <c r="U286" s="253"/>
      <c r="V286" s="253"/>
      <c r="W286" s="253"/>
      <c r="X286" s="253"/>
      <c r="Y286" s="253"/>
      <c r="Z286" s="253"/>
      <c r="AA286" s="253"/>
      <c r="AB286" s="253"/>
      <c r="AC286" s="253"/>
    </row>
    <row r="287">
      <c r="A287" s="22"/>
      <c r="B287" s="22"/>
      <c r="C287" s="22"/>
      <c r="D287" s="22"/>
      <c r="E287" s="22"/>
      <c r="F287" s="22"/>
      <c r="G287" s="112"/>
      <c r="H287" s="112"/>
      <c r="I287" s="112"/>
      <c r="J287" s="112"/>
      <c r="K287" s="112"/>
      <c r="L287" s="112"/>
      <c r="M287" s="253"/>
      <c r="N287" s="253"/>
      <c r="O287" s="253"/>
      <c r="P287" s="253"/>
      <c r="Q287" s="253"/>
      <c r="R287" s="253"/>
      <c r="S287" s="253"/>
      <c r="T287" s="253"/>
      <c r="U287" s="253"/>
      <c r="V287" s="253"/>
      <c r="W287" s="253"/>
      <c r="X287" s="253"/>
      <c r="Y287" s="253"/>
      <c r="Z287" s="253"/>
      <c r="AA287" s="253"/>
      <c r="AB287" s="253"/>
      <c r="AC287" s="253"/>
    </row>
    <row r="288">
      <c r="A288" s="22"/>
      <c r="B288" s="22"/>
      <c r="C288" s="22"/>
      <c r="D288" s="22"/>
      <c r="E288" s="22"/>
      <c r="F288" s="22"/>
      <c r="G288" s="112"/>
      <c r="H288" s="112"/>
      <c r="I288" s="112"/>
      <c r="J288" s="112"/>
      <c r="K288" s="112"/>
      <c r="L288" s="112"/>
      <c r="M288" s="253"/>
      <c r="N288" s="253"/>
      <c r="O288" s="253"/>
      <c r="P288" s="253"/>
      <c r="Q288" s="253"/>
      <c r="R288" s="253"/>
      <c r="S288" s="253"/>
      <c r="T288" s="253"/>
      <c r="U288" s="253"/>
      <c r="V288" s="253"/>
      <c r="W288" s="253"/>
      <c r="X288" s="253"/>
      <c r="Y288" s="253"/>
      <c r="Z288" s="253"/>
      <c r="AA288" s="253"/>
      <c r="AB288" s="253"/>
      <c r="AC288" s="253"/>
    </row>
    <row r="289">
      <c r="A289" s="22"/>
      <c r="B289" s="22"/>
      <c r="C289" s="22"/>
      <c r="D289" s="22"/>
      <c r="E289" s="22"/>
      <c r="F289" s="22"/>
      <c r="G289" s="112"/>
      <c r="H289" s="112"/>
      <c r="I289" s="112"/>
      <c r="J289" s="112"/>
      <c r="K289" s="112"/>
      <c r="L289" s="112"/>
      <c r="M289" s="253"/>
      <c r="N289" s="253"/>
      <c r="O289" s="253"/>
      <c r="P289" s="253"/>
      <c r="Q289" s="253"/>
      <c r="R289" s="253"/>
      <c r="S289" s="253"/>
      <c r="T289" s="253"/>
      <c r="U289" s="253"/>
      <c r="V289" s="253"/>
      <c r="W289" s="253"/>
      <c r="X289" s="253"/>
      <c r="Y289" s="253"/>
      <c r="Z289" s="253"/>
      <c r="AA289" s="253"/>
      <c r="AB289" s="253"/>
      <c r="AC289" s="253"/>
    </row>
    <row r="290">
      <c r="A290" s="22"/>
      <c r="B290" s="22"/>
      <c r="C290" s="22"/>
      <c r="D290" s="22"/>
      <c r="E290" s="22"/>
      <c r="F290" s="22"/>
      <c r="G290" s="112"/>
      <c r="H290" s="112"/>
      <c r="I290" s="112"/>
      <c r="J290" s="112"/>
      <c r="K290" s="112"/>
      <c r="L290" s="112"/>
      <c r="M290" s="253"/>
      <c r="N290" s="253"/>
      <c r="O290" s="253"/>
      <c r="P290" s="253"/>
      <c r="Q290" s="253"/>
      <c r="R290" s="253"/>
      <c r="S290" s="253"/>
      <c r="T290" s="253"/>
      <c r="U290" s="253"/>
      <c r="V290" s="253"/>
      <c r="W290" s="253"/>
      <c r="X290" s="253"/>
      <c r="Y290" s="253"/>
      <c r="Z290" s="253"/>
      <c r="AA290" s="253"/>
      <c r="AB290" s="253"/>
      <c r="AC290" s="253"/>
    </row>
    <row r="291">
      <c r="A291" s="22"/>
      <c r="B291" s="22"/>
      <c r="C291" s="22"/>
      <c r="D291" s="22"/>
      <c r="E291" s="22"/>
      <c r="F291" s="22"/>
      <c r="G291" s="112"/>
      <c r="H291" s="112"/>
      <c r="I291" s="112"/>
      <c r="J291" s="112"/>
      <c r="K291" s="112"/>
      <c r="L291" s="112"/>
      <c r="M291" s="253"/>
      <c r="N291" s="253"/>
      <c r="O291" s="253"/>
      <c r="P291" s="253"/>
      <c r="Q291" s="253"/>
      <c r="R291" s="253"/>
      <c r="S291" s="253"/>
      <c r="T291" s="253"/>
      <c r="U291" s="253"/>
      <c r="V291" s="253"/>
      <c r="W291" s="253"/>
      <c r="X291" s="253"/>
      <c r="Y291" s="253"/>
      <c r="Z291" s="253"/>
      <c r="AA291" s="253"/>
      <c r="AB291" s="253"/>
      <c r="AC291" s="253"/>
    </row>
    <row r="292">
      <c r="A292" s="22"/>
      <c r="B292" s="22"/>
      <c r="C292" s="22"/>
      <c r="D292" s="22"/>
      <c r="E292" s="22"/>
      <c r="F292" s="22"/>
      <c r="G292" s="112"/>
      <c r="H292" s="112"/>
      <c r="I292" s="112"/>
      <c r="J292" s="112"/>
      <c r="K292" s="112"/>
      <c r="L292" s="112"/>
      <c r="M292" s="253"/>
      <c r="N292" s="253"/>
      <c r="O292" s="253"/>
      <c r="P292" s="253"/>
      <c r="Q292" s="253"/>
      <c r="R292" s="253"/>
      <c r="S292" s="253"/>
      <c r="T292" s="253"/>
      <c r="U292" s="253"/>
      <c r="V292" s="253"/>
      <c r="W292" s="253"/>
      <c r="X292" s="253"/>
      <c r="Y292" s="253"/>
      <c r="Z292" s="253"/>
      <c r="AA292" s="253"/>
      <c r="AB292" s="253"/>
      <c r="AC292" s="253"/>
    </row>
    <row r="293">
      <c r="A293" s="22"/>
      <c r="B293" s="22"/>
      <c r="C293" s="22"/>
      <c r="D293" s="22"/>
      <c r="E293" s="22"/>
      <c r="F293" s="22"/>
      <c r="G293" s="112"/>
      <c r="H293" s="112"/>
      <c r="I293" s="112"/>
      <c r="J293" s="112"/>
      <c r="K293" s="112"/>
      <c r="L293" s="112"/>
      <c r="M293" s="253"/>
      <c r="N293" s="253"/>
      <c r="O293" s="253"/>
      <c r="P293" s="253"/>
      <c r="Q293" s="253"/>
      <c r="R293" s="253"/>
      <c r="S293" s="253"/>
      <c r="T293" s="253"/>
      <c r="U293" s="253"/>
      <c r="V293" s="253"/>
      <c r="W293" s="253"/>
      <c r="X293" s="253"/>
      <c r="Y293" s="253"/>
      <c r="Z293" s="253"/>
      <c r="AA293" s="253"/>
      <c r="AB293" s="253"/>
      <c r="AC293" s="253"/>
    </row>
    <row r="294">
      <c r="A294" s="22"/>
      <c r="B294" s="22"/>
      <c r="C294" s="22"/>
      <c r="D294" s="22"/>
      <c r="E294" s="22"/>
      <c r="F294" s="22"/>
      <c r="G294" s="112"/>
      <c r="H294" s="112"/>
      <c r="I294" s="112"/>
      <c r="J294" s="112"/>
      <c r="K294" s="112"/>
      <c r="L294" s="112"/>
      <c r="M294" s="253"/>
      <c r="N294" s="253"/>
      <c r="O294" s="253"/>
      <c r="P294" s="253"/>
      <c r="Q294" s="253"/>
      <c r="R294" s="253"/>
      <c r="S294" s="253"/>
      <c r="T294" s="253"/>
      <c r="U294" s="253"/>
      <c r="V294" s="253"/>
      <c r="W294" s="253"/>
      <c r="X294" s="253"/>
      <c r="Y294" s="253"/>
      <c r="Z294" s="253"/>
      <c r="AA294" s="253"/>
      <c r="AB294" s="253"/>
      <c r="AC294" s="253"/>
    </row>
    <row r="295">
      <c r="A295" s="22"/>
      <c r="B295" s="22"/>
      <c r="C295" s="22"/>
      <c r="D295" s="22"/>
      <c r="E295" s="22"/>
      <c r="F295" s="22"/>
      <c r="G295" s="112"/>
      <c r="H295" s="112"/>
      <c r="I295" s="112"/>
      <c r="J295" s="112"/>
      <c r="K295" s="112"/>
      <c r="L295" s="112"/>
      <c r="M295" s="253"/>
      <c r="N295" s="253"/>
      <c r="O295" s="253"/>
      <c r="P295" s="253"/>
      <c r="Q295" s="253"/>
      <c r="R295" s="253"/>
      <c r="S295" s="253"/>
      <c r="T295" s="253"/>
      <c r="U295" s="253"/>
      <c r="V295" s="253"/>
      <c r="W295" s="253"/>
      <c r="X295" s="253"/>
      <c r="Y295" s="253"/>
      <c r="Z295" s="253"/>
      <c r="AA295" s="253"/>
      <c r="AB295" s="253"/>
      <c r="AC295" s="253"/>
    </row>
    <row r="296">
      <c r="A296" s="22"/>
      <c r="B296" s="22"/>
      <c r="C296" s="22"/>
      <c r="D296" s="22"/>
      <c r="E296" s="22"/>
      <c r="F296" s="22"/>
      <c r="G296" s="112"/>
      <c r="H296" s="112"/>
      <c r="I296" s="112"/>
      <c r="J296" s="112"/>
      <c r="K296" s="112"/>
      <c r="L296" s="112"/>
      <c r="M296" s="253"/>
      <c r="N296" s="253"/>
      <c r="O296" s="253"/>
      <c r="P296" s="253"/>
      <c r="Q296" s="253"/>
      <c r="R296" s="253"/>
      <c r="S296" s="253"/>
      <c r="T296" s="253"/>
      <c r="U296" s="253"/>
      <c r="V296" s="253"/>
      <c r="W296" s="253"/>
      <c r="X296" s="253"/>
      <c r="Y296" s="253"/>
      <c r="Z296" s="253"/>
      <c r="AA296" s="253"/>
      <c r="AB296" s="253"/>
      <c r="AC296" s="253"/>
    </row>
    <row r="297">
      <c r="A297" s="22"/>
      <c r="B297" s="22"/>
      <c r="C297" s="22"/>
      <c r="D297" s="22"/>
      <c r="E297" s="22"/>
      <c r="F297" s="22"/>
      <c r="G297" s="112"/>
      <c r="H297" s="112"/>
      <c r="I297" s="112"/>
      <c r="J297" s="112"/>
      <c r="K297" s="112"/>
      <c r="L297" s="112"/>
      <c r="M297" s="253"/>
      <c r="N297" s="253"/>
      <c r="O297" s="253"/>
      <c r="P297" s="253"/>
      <c r="Q297" s="253"/>
      <c r="R297" s="253"/>
      <c r="S297" s="253"/>
      <c r="T297" s="253"/>
      <c r="U297" s="253"/>
      <c r="V297" s="253"/>
      <c r="W297" s="253"/>
      <c r="X297" s="253"/>
      <c r="Y297" s="253"/>
      <c r="Z297" s="253"/>
      <c r="AA297" s="253"/>
      <c r="AB297" s="253"/>
      <c r="AC297" s="253"/>
    </row>
    <row r="298">
      <c r="A298" s="22"/>
      <c r="B298" s="22"/>
      <c r="C298" s="22"/>
      <c r="D298" s="22"/>
      <c r="E298" s="22"/>
      <c r="F298" s="22"/>
      <c r="G298" s="112"/>
      <c r="H298" s="112"/>
      <c r="I298" s="112"/>
      <c r="J298" s="112"/>
      <c r="K298" s="112"/>
      <c r="L298" s="112"/>
      <c r="M298" s="253"/>
      <c r="N298" s="253"/>
      <c r="O298" s="253"/>
      <c r="P298" s="253"/>
      <c r="Q298" s="253"/>
      <c r="R298" s="253"/>
      <c r="S298" s="253"/>
      <c r="T298" s="253"/>
      <c r="U298" s="253"/>
      <c r="V298" s="253"/>
      <c r="W298" s="253"/>
      <c r="X298" s="253"/>
      <c r="Y298" s="253"/>
      <c r="Z298" s="253"/>
      <c r="AA298" s="253"/>
      <c r="AB298" s="253"/>
      <c r="AC298" s="253"/>
    </row>
    <row r="299">
      <c r="A299" s="22"/>
      <c r="B299" s="22"/>
      <c r="C299" s="22"/>
      <c r="D299" s="22"/>
      <c r="E299" s="22"/>
      <c r="F299" s="22"/>
      <c r="G299" s="112"/>
      <c r="H299" s="112"/>
      <c r="I299" s="112"/>
      <c r="J299" s="112"/>
      <c r="K299" s="112"/>
      <c r="L299" s="112"/>
      <c r="M299" s="253"/>
      <c r="N299" s="253"/>
      <c r="O299" s="253"/>
      <c r="P299" s="253"/>
      <c r="Q299" s="253"/>
      <c r="R299" s="253"/>
      <c r="S299" s="253"/>
      <c r="T299" s="253"/>
      <c r="U299" s="253"/>
      <c r="V299" s="253"/>
      <c r="W299" s="253"/>
      <c r="X299" s="253"/>
      <c r="Y299" s="253"/>
      <c r="Z299" s="253"/>
      <c r="AA299" s="253"/>
      <c r="AB299" s="253"/>
      <c r="AC299" s="253"/>
    </row>
    <row r="300">
      <c r="A300" s="22"/>
      <c r="B300" s="22"/>
      <c r="C300" s="22"/>
      <c r="D300" s="22"/>
      <c r="E300" s="22"/>
      <c r="F300" s="22"/>
      <c r="G300" s="112"/>
      <c r="H300" s="112"/>
      <c r="I300" s="112"/>
      <c r="J300" s="112"/>
      <c r="K300" s="112"/>
      <c r="L300" s="112"/>
      <c r="M300" s="253"/>
      <c r="N300" s="253"/>
      <c r="O300" s="253"/>
      <c r="P300" s="253"/>
      <c r="Q300" s="253"/>
      <c r="R300" s="253"/>
      <c r="S300" s="253"/>
      <c r="T300" s="253"/>
      <c r="U300" s="253"/>
      <c r="V300" s="253"/>
      <c r="W300" s="253"/>
      <c r="X300" s="253"/>
      <c r="Y300" s="253"/>
      <c r="Z300" s="253"/>
      <c r="AA300" s="253"/>
      <c r="AB300" s="253"/>
      <c r="AC300" s="253"/>
    </row>
    <row r="301">
      <c r="A301" s="22"/>
      <c r="B301" s="22"/>
      <c r="C301" s="22"/>
      <c r="D301" s="22"/>
      <c r="E301" s="22"/>
      <c r="F301" s="22"/>
      <c r="G301" s="112"/>
      <c r="H301" s="112"/>
      <c r="I301" s="112"/>
      <c r="J301" s="112"/>
      <c r="K301" s="112"/>
      <c r="L301" s="112"/>
      <c r="M301" s="253"/>
      <c r="N301" s="253"/>
      <c r="O301" s="253"/>
      <c r="P301" s="253"/>
      <c r="Q301" s="253"/>
      <c r="R301" s="253"/>
      <c r="S301" s="253"/>
      <c r="T301" s="253"/>
      <c r="U301" s="253"/>
      <c r="V301" s="253"/>
      <c r="W301" s="253"/>
      <c r="X301" s="253"/>
      <c r="Y301" s="253"/>
      <c r="Z301" s="253"/>
      <c r="AA301" s="253"/>
      <c r="AB301" s="253"/>
      <c r="AC301" s="253"/>
    </row>
    <row r="302">
      <c r="A302" s="22"/>
      <c r="B302" s="22"/>
      <c r="C302" s="22"/>
      <c r="D302" s="22"/>
      <c r="E302" s="22"/>
      <c r="F302" s="22"/>
      <c r="G302" s="112"/>
      <c r="H302" s="112"/>
      <c r="I302" s="112"/>
      <c r="J302" s="112"/>
      <c r="K302" s="112"/>
      <c r="L302" s="112"/>
      <c r="M302" s="253"/>
      <c r="N302" s="253"/>
      <c r="O302" s="253"/>
      <c r="P302" s="253"/>
      <c r="Q302" s="253"/>
      <c r="R302" s="253"/>
      <c r="S302" s="253"/>
      <c r="T302" s="253"/>
      <c r="U302" s="253"/>
      <c r="V302" s="253"/>
      <c r="W302" s="253"/>
      <c r="X302" s="253"/>
      <c r="Y302" s="253"/>
      <c r="Z302" s="253"/>
      <c r="AA302" s="253"/>
      <c r="AB302" s="253"/>
      <c r="AC302" s="253"/>
    </row>
    <row r="303">
      <c r="A303" s="22"/>
      <c r="B303" s="22"/>
      <c r="C303" s="22"/>
      <c r="D303" s="22"/>
      <c r="E303" s="22"/>
      <c r="F303" s="22"/>
      <c r="G303" s="112"/>
      <c r="H303" s="112"/>
      <c r="I303" s="112"/>
      <c r="J303" s="112"/>
      <c r="K303" s="112"/>
      <c r="L303" s="112"/>
      <c r="M303" s="253"/>
      <c r="N303" s="253"/>
      <c r="O303" s="253"/>
      <c r="P303" s="253"/>
      <c r="Q303" s="253"/>
      <c r="R303" s="253"/>
      <c r="S303" s="253"/>
      <c r="T303" s="253"/>
      <c r="U303" s="253"/>
      <c r="V303" s="253"/>
      <c r="W303" s="253"/>
      <c r="X303" s="253"/>
      <c r="Y303" s="253"/>
      <c r="Z303" s="253"/>
      <c r="AA303" s="253"/>
      <c r="AB303" s="253"/>
      <c r="AC303" s="253"/>
    </row>
    <row r="304">
      <c r="A304" s="22"/>
      <c r="B304" s="22"/>
      <c r="C304" s="22"/>
      <c r="D304" s="22"/>
      <c r="E304" s="22"/>
      <c r="F304" s="22"/>
      <c r="G304" s="112"/>
      <c r="H304" s="112"/>
      <c r="I304" s="112"/>
      <c r="J304" s="112"/>
      <c r="K304" s="112"/>
      <c r="L304" s="112"/>
      <c r="M304" s="253"/>
      <c r="N304" s="253"/>
      <c r="O304" s="253"/>
      <c r="P304" s="253"/>
      <c r="Q304" s="253"/>
      <c r="R304" s="253"/>
      <c r="S304" s="253"/>
      <c r="T304" s="253"/>
      <c r="U304" s="253"/>
      <c r="V304" s="253"/>
      <c r="W304" s="253"/>
      <c r="X304" s="253"/>
      <c r="Y304" s="253"/>
      <c r="Z304" s="253"/>
      <c r="AA304" s="253"/>
      <c r="AB304" s="253"/>
      <c r="AC304" s="253"/>
    </row>
    <row r="305">
      <c r="A305" s="22"/>
      <c r="B305" s="22"/>
      <c r="C305" s="22"/>
      <c r="D305" s="22"/>
      <c r="E305" s="22"/>
      <c r="F305" s="22"/>
      <c r="G305" s="112"/>
      <c r="H305" s="112"/>
      <c r="I305" s="112"/>
      <c r="J305" s="112"/>
      <c r="K305" s="112"/>
      <c r="L305" s="112"/>
      <c r="M305" s="253"/>
      <c r="N305" s="253"/>
      <c r="O305" s="253"/>
      <c r="P305" s="253"/>
      <c r="Q305" s="253"/>
      <c r="R305" s="253"/>
      <c r="S305" s="253"/>
      <c r="T305" s="253"/>
      <c r="U305" s="253"/>
      <c r="V305" s="253"/>
      <c r="W305" s="253"/>
      <c r="X305" s="253"/>
      <c r="Y305" s="253"/>
      <c r="Z305" s="253"/>
      <c r="AA305" s="253"/>
      <c r="AB305" s="253"/>
      <c r="AC305" s="253"/>
    </row>
    <row r="306">
      <c r="A306" s="22"/>
      <c r="B306" s="22"/>
      <c r="C306" s="22"/>
      <c r="D306" s="22"/>
      <c r="E306" s="22"/>
      <c r="F306" s="22"/>
      <c r="G306" s="112"/>
      <c r="H306" s="112"/>
      <c r="I306" s="112"/>
      <c r="J306" s="112"/>
      <c r="K306" s="112"/>
      <c r="L306" s="112"/>
      <c r="M306" s="253"/>
      <c r="N306" s="253"/>
      <c r="O306" s="253"/>
      <c r="P306" s="253"/>
      <c r="Q306" s="253"/>
      <c r="R306" s="253"/>
      <c r="S306" s="253"/>
      <c r="T306" s="253"/>
      <c r="U306" s="253"/>
      <c r="V306" s="253"/>
      <c r="W306" s="253"/>
      <c r="X306" s="253"/>
      <c r="Y306" s="253"/>
      <c r="Z306" s="253"/>
      <c r="AA306" s="253"/>
      <c r="AB306" s="253"/>
      <c r="AC306" s="253"/>
    </row>
    <row r="307">
      <c r="A307" s="22"/>
      <c r="B307" s="22"/>
      <c r="C307" s="22"/>
      <c r="D307" s="22"/>
      <c r="E307" s="22"/>
      <c r="F307" s="22"/>
      <c r="G307" s="112"/>
      <c r="H307" s="112"/>
      <c r="I307" s="112"/>
      <c r="J307" s="112"/>
      <c r="K307" s="112"/>
      <c r="L307" s="112"/>
      <c r="M307" s="253"/>
      <c r="N307" s="253"/>
      <c r="O307" s="253"/>
      <c r="P307" s="253"/>
      <c r="Q307" s="253"/>
      <c r="R307" s="253"/>
      <c r="S307" s="253"/>
      <c r="T307" s="253"/>
      <c r="U307" s="253"/>
      <c r="V307" s="253"/>
      <c r="W307" s="253"/>
      <c r="X307" s="253"/>
      <c r="Y307" s="253"/>
      <c r="Z307" s="253"/>
      <c r="AA307" s="253"/>
      <c r="AB307" s="253"/>
      <c r="AC307" s="253"/>
    </row>
    <row r="308">
      <c r="A308" s="22"/>
      <c r="B308" s="22"/>
      <c r="C308" s="22"/>
      <c r="D308" s="22"/>
      <c r="E308" s="22"/>
      <c r="F308" s="22"/>
      <c r="G308" s="112"/>
      <c r="H308" s="112"/>
      <c r="I308" s="112"/>
      <c r="J308" s="112"/>
      <c r="K308" s="112"/>
      <c r="L308" s="112"/>
      <c r="M308" s="253"/>
      <c r="N308" s="253"/>
      <c r="O308" s="253"/>
      <c r="P308" s="253"/>
      <c r="Q308" s="253"/>
      <c r="R308" s="253"/>
      <c r="S308" s="253"/>
      <c r="T308" s="253"/>
      <c r="U308" s="253"/>
      <c r="V308" s="253"/>
      <c r="W308" s="253"/>
      <c r="X308" s="253"/>
      <c r="Y308" s="253"/>
      <c r="Z308" s="253"/>
      <c r="AA308" s="253"/>
      <c r="AB308" s="253"/>
      <c r="AC308" s="253"/>
    </row>
    <row r="309">
      <c r="A309" s="22"/>
      <c r="B309" s="22"/>
      <c r="C309" s="22"/>
      <c r="D309" s="22"/>
      <c r="E309" s="22"/>
      <c r="F309" s="22"/>
      <c r="G309" s="112"/>
      <c r="H309" s="112"/>
      <c r="I309" s="112"/>
      <c r="J309" s="112"/>
      <c r="K309" s="112"/>
      <c r="L309" s="112"/>
      <c r="M309" s="253"/>
      <c r="N309" s="253"/>
      <c r="O309" s="253"/>
      <c r="P309" s="253"/>
      <c r="Q309" s="253"/>
      <c r="R309" s="253"/>
      <c r="S309" s="253"/>
      <c r="T309" s="253"/>
      <c r="U309" s="253"/>
      <c r="V309" s="253"/>
      <c r="W309" s="253"/>
      <c r="X309" s="253"/>
      <c r="Y309" s="253"/>
      <c r="Z309" s="253"/>
      <c r="AA309" s="253"/>
      <c r="AB309" s="253"/>
      <c r="AC309" s="253"/>
    </row>
    <row r="310">
      <c r="A310" s="22"/>
      <c r="B310" s="22"/>
      <c r="C310" s="22"/>
      <c r="D310" s="22"/>
      <c r="E310" s="22"/>
      <c r="F310" s="22"/>
      <c r="G310" s="112"/>
      <c r="H310" s="112"/>
      <c r="I310" s="112"/>
      <c r="J310" s="112"/>
      <c r="K310" s="112"/>
      <c r="L310" s="112"/>
      <c r="M310" s="253"/>
      <c r="N310" s="253"/>
      <c r="O310" s="253"/>
      <c r="P310" s="253"/>
      <c r="Q310" s="253"/>
      <c r="R310" s="253"/>
      <c r="S310" s="253"/>
      <c r="T310" s="253"/>
      <c r="U310" s="253"/>
      <c r="V310" s="253"/>
      <c r="W310" s="253"/>
      <c r="X310" s="253"/>
      <c r="Y310" s="253"/>
      <c r="Z310" s="253"/>
      <c r="AA310" s="253"/>
      <c r="AB310" s="253"/>
      <c r="AC310" s="253"/>
    </row>
    <row r="311">
      <c r="A311" s="22"/>
      <c r="B311" s="22"/>
      <c r="C311" s="22"/>
      <c r="D311" s="22"/>
      <c r="E311" s="22"/>
      <c r="F311" s="22"/>
      <c r="G311" s="112"/>
      <c r="H311" s="112"/>
      <c r="I311" s="112"/>
      <c r="J311" s="112"/>
      <c r="K311" s="112"/>
      <c r="L311" s="112"/>
      <c r="M311" s="253"/>
      <c r="N311" s="253"/>
      <c r="O311" s="253"/>
      <c r="P311" s="253"/>
      <c r="Q311" s="253"/>
      <c r="R311" s="253"/>
      <c r="S311" s="253"/>
      <c r="T311" s="253"/>
      <c r="U311" s="253"/>
      <c r="V311" s="253"/>
      <c r="W311" s="253"/>
      <c r="X311" s="253"/>
      <c r="Y311" s="253"/>
      <c r="Z311" s="253"/>
      <c r="AA311" s="253"/>
      <c r="AB311" s="253"/>
      <c r="AC311" s="253"/>
    </row>
    <row r="312">
      <c r="A312" s="22"/>
      <c r="B312" s="22"/>
      <c r="C312" s="22"/>
      <c r="D312" s="22"/>
      <c r="E312" s="22"/>
      <c r="F312" s="22"/>
      <c r="G312" s="112"/>
      <c r="H312" s="112"/>
      <c r="I312" s="112"/>
      <c r="J312" s="112"/>
      <c r="K312" s="112"/>
      <c r="L312" s="112"/>
      <c r="M312" s="253"/>
      <c r="N312" s="253"/>
      <c r="O312" s="253"/>
      <c r="P312" s="253"/>
      <c r="Q312" s="253"/>
      <c r="R312" s="253"/>
      <c r="S312" s="253"/>
      <c r="T312" s="253"/>
      <c r="U312" s="253"/>
      <c r="V312" s="253"/>
      <c r="W312" s="253"/>
      <c r="X312" s="253"/>
      <c r="Y312" s="253"/>
      <c r="Z312" s="253"/>
      <c r="AA312" s="253"/>
      <c r="AB312" s="253"/>
      <c r="AC312" s="253"/>
    </row>
    <row r="313">
      <c r="A313" s="22"/>
      <c r="B313" s="22"/>
      <c r="C313" s="22"/>
      <c r="D313" s="22"/>
      <c r="E313" s="22"/>
      <c r="F313" s="22"/>
      <c r="G313" s="112"/>
      <c r="H313" s="112"/>
      <c r="I313" s="112"/>
      <c r="J313" s="112"/>
      <c r="K313" s="112"/>
      <c r="L313" s="112"/>
      <c r="M313" s="253"/>
      <c r="N313" s="253"/>
      <c r="O313" s="253"/>
      <c r="P313" s="253"/>
      <c r="Q313" s="253"/>
      <c r="R313" s="253"/>
      <c r="S313" s="253"/>
      <c r="T313" s="253"/>
      <c r="U313" s="253"/>
      <c r="V313" s="253"/>
      <c r="W313" s="253"/>
      <c r="X313" s="253"/>
      <c r="Y313" s="253"/>
      <c r="Z313" s="253"/>
      <c r="AA313" s="253"/>
      <c r="AB313" s="253"/>
      <c r="AC313" s="253"/>
    </row>
    <row r="314">
      <c r="A314" s="22"/>
      <c r="B314" s="22"/>
      <c r="C314" s="22"/>
      <c r="D314" s="22"/>
      <c r="E314" s="22"/>
      <c r="F314" s="22"/>
      <c r="G314" s="112"/>
      <c r="H314" s="112"/>
      <c r="I314" s="112"/>
      <c r="J314" s="112"/>
      <c r="K314" s="112"/>
      <c r="L314" s="112"/>
      <c r="M314" s="253"/>
      <c r="N314" s="253"/>
      <c r="O314" s="253"/>
      <c r="P314" s="253"/>
      <c r="Q314" s="253"/>
      <c r="R314" s="253"/>
      <c r="S314" s="253"/>
      <c r="T314" s="253"/>
      <c r="U314" s="253"/>
      <c r="V314" s="253"/>
      <c r="W314" s="253"/>
      <c r="X314" s="253"/>
      <c r="Y314" s="253"/>
      <c r="Z314" s="253"/>
      <c r="AA314" s="253"/>
      <c r="AB314" s="253"/>
      <c r="AC314" s="253"/>
    </row>
    <row r="315">
      <c r="A315" s="22"/>
      <c r="B315" s="22"/>
      <c r="C315" s="22"/>
      <c r="D315" s="22"/>
      <c r="E315" s="22"/>
      <c r="F315" s="22"/>
      <c r="G315" s="112"/>
      <c r="H315" s="112"/>
      <c r="I315" s="112"/>
      <c r="J315" s="112"/>
      <c r="K315" s="112"/>
      <c r="L315" s="112"/>
      <c r="M315" s="253"/>
      <c r="N315" s="253"/>
      <c r="O315" s="253"/>
      <c r="P315" s="253"/>
      <c r="Q315" s="253"/>
      <c r="R315" s="253"/>
      <c r="S315" s="253"/>
      <c r="T315" s="253"/>
      <c r="U315" s="253"/>
      <c r="V315" s="253"/>
      <c r="W315" s="253"/>
      <c r="X315" s="253"/>
      <c r="Y315" s="253"/>
      <c r="Z315" s="253"/>
      <c r="AA315" s="253"/>
      <c r="AB315" s="253"/>
      <c r="AC315" s="253"/>
    </row>
    <row r="316">
      <c r="A316" s="22"/>
      <c r="B316" s="22"/>
      <c r="C316" s="22"/>
      <c r="D316" s="22"/>
      <c r="E316" s="22"/>
      <c r="F316" s="22"/>
      <c r="G316" s="112"/>
      <c r="H316" s="112"/>
      <c r="I316" s="112"/>
      <c r="J316" s="112"/>
      <c r="K316" s="112"/>
      <c r="L316" s="112"/>
      <c r="M316" s="253"/>
      <c r="N316" s="253"/>
      <c r="O316" s="253"/>
      <c r="P316" s="253"/>
      <c r="Q316" s="253"/>
      <c r="R316" s="253"/>
      <c r="S316" s="253"/>
      <c r="T316" s="253"/>
      <c r="U316" s="253"/>
      <c r="V316" s="253"/>
      <c r="W316" s="253"/>
      <c r="X316" s="253"/>
      <c r="Y316" s="253"/>
      <c r="Z316" s="253"/>
      <c r="AA316" s="253"/>
      <c r="AB316" s="253"/>
      <c r="AC316" s="253"/>
    </row>
    <row r="317">
      <c r="A317" s="22"/>
      <c r="B317" s="22"/>
      <c r="C317" s="22"/>
      <c r="D317" s="22"/>
      <c r="E317" s="22"/>
      <c r="F317" s="22"/>
      <c r="G317" s="112"/>
      <c r="H317" s="112"/>
      <c r="I317" s="112"/>
      <c r="J317" s="112"/>
      <c r="K317" s="112"/>
      <c r="L317" s="112"/>
      <c r="M317" s="253"/>
      <c r="N317" s="253"/>
      <c r="O317" s="253"/>
      <c r="P317" s="253"/>
      <c r="Q317" s="253"/>
      <c r="R317" s="253"/>
      <c r="S317" s="253"/>
      <c r="T317" s="253"/>
      <c r="U317" s="253"/>
      <c r="V317" s="253"/>
      <c r="W317" s="253"/>
      <c r="X317" s="253"/>
      <c r="Y317" s="253"/>
      <c r="Z317" s="253"/>
      <c r="AA317" s="253"/>
      <c r="AB317" s="253"/>
      <c r="AC317" s="253"/>
    </row>
    <row r="318">
      <c r="A318" s="22"/>
      <c r="B318" s="22"/>
      <c r="C318" s="22"/>
      <c r="D318" s="22"/>
      <c r="E318" s="22"/>
      <c r="F318" s="22"/>
      <c r="G318" s="112"/>
      <c r="H318" s="112"/>
      <c r="I318" s="112"/>
      <c r="J318" s="112"/>
      <c r="K318" s="112"/>
      <c r="L318" s="112"/>
      <c r="M318" s="253"/>
      <c r="N318" s="253"/>
      <c r="O318" s="253"/>
      <c r="P318" s="253"/>
      <c r="Q318" s="253"/>
      <c r="R318" s="253"/>
      <c r="S318" s="253"/>
      <c r="T318" s="253"/>
      <c r="U318" s="253"/>
      <c r="V318" s="253"/>
      <c r="W318" s="253"/>
      <c r="X318" s="253"/>
      <c r="Y318" s="253"/>
      <c r="Z318" s="253"/>
      <c r="AA318" s="253"/>
      <c r="AB318" s="253"/>
      <c r="AC318" s="253"/>
    </row>
    <row r="319">
      <c r="A319" s="22"/>
      <c r="B319" s="22"/>
      <c r="C319" s="22"/>
      <c r="D319" s="22"/>
      <c r="E319" s="22"/>
      <c r="F319" s="22"/>
      <c r="G319" s="112"/>
      <c r="H319" s="112"/>
      <c r="I319" s="112"/>
      <c r="J319" s="112"/>
      <c r="K319" s="112"/>
      <c r="L319" s="112"/>
      <c r="M319" s="253"/>
      <c r="N319" s="253"/>
      <c r="O319" s="253"/>
      <c r="P319" s="253"/>
      <c r="Q319" s="253"/>
      <c r="R319" s="253"/>
      <c r="S319" s="253"/>
      <c r="T319" s="253"/>
      <c r="U319" s="253"/>
      <c r="V319" s="253"/>
      <c r="W319" s="253"/>
      <c r="X319" s="253"/>
      <c r="Y319" s="253"/>
      <c r="Z319" s="253"/>
      <c r="AA319" s="253"/>
      <c r="AB319" s="253"/>
      <c r="AC319" s="253"/>
    </row>
    <row r="320">
      <c r="A320" s="22"/>
      <c r="B320" s="22"/>
      <c r="C320" s="22"/>
      <c r="D320" s="22"/>
      <c r="E320" s="22"/>
      <c r="F320" s="22"/>
      <c r="G320" s="112"/>
      <c r="H320" s="112"/>
      <c r="I320" s="112"/>
      <c r="J320" s="112"/>
      <c r="K320" s="112"/>
      <c r="L320" s="112"/>
      <c r="M320" s="253"/>
      <c r="N320" s="253"/>
      <c r="O320" s="253"/>
      <c r="P320" s="253"/>
      <c r="Q320" s="253"/>
      <c r="R320" s="253"/>
      <c r="S320" s="253"/>
      <c r="T320" s="253"/>
      <c r="U320" s="253"/>
      <c r="V320" s="253"/>
      <c r="W320" s="253"/>
      <c r="X320" s="253"/>
      <c r="Y320" s="253"/>
      <c r="Z320" s="253"/>
      <c r="AA320" s="253"/>
      <c r="AB320" s="253"/>
      <c r="AC320" s="253"/>
    </row>
    <row r="321">
      <c r="A321" s="22"/>
      <c r="B321" s="22"/>
      <c r="C321" s="22"/>
      <c r="D321" s="22"/>
      <c r="E321" s="22"/>
      <c r="F321" s="22"/>
      <c r="G321" s="112"/>
      <c r="H321" s="112"/>
      <c r="I321" s="112"/>
      <c r="J321" s="112"/>
      <c r="K321" s="112"/>
      <c r="L321" s="112"/>
      <c r="M321" s="253"/>
      <c r="N321" s="253"/>
      <c r="O321" s="253"/>
      <c r="P321" s="253"/>
      <c r="Q321" s="253"/>
      <c r="R321" s="253"/>
      <c r="S321" s="253"/>
      <c r="T321" s="253"/>
      <c r="U321" s="253"/>
      <c r="V321" s="253"/>
      <c r="W321" s="253"/>
      <c r="X321" s="253"/>
      <c r="Y321" s="253"/>
      <c r="Z321" s="253"/>
      <c r="AA321" s="253"/>
      <c r="AB321" s="253"/>
      <c r="AC321" s="253"/>
    </row>
    <row r="322">
      <c r="A322" s="22"/>
      <c r="B322" s="22"/>
      <c r="C322" s="22"/>
      <c r="D322" s="22"/>
      <c r="E322" s="22"/>
      <c r="F322" s="22"/>
      <c r="G322" s="112"/>
      <c r="H322" s="112"/>
      <c r="I322" s="112"/>
      <c r="J322" s="112"/>
      <c r="K322" s="112"/>
      <c r="L322" s="112"/>
      <c r="M322" s="253"/>
      <c r="N322" s="253"/>
      <c r="O322" s="253"/>
      <c r="P322" s="253"/>
      <c r="Q322" s="253"/>
      <c r="R322" s="253"/>
      <c r="S322" s="253"/>
      <c r="T322" s="253"/>
      <c r="U322" s="253"/>
      <c r="V322" s="253"/>
      <c r="W322" s="253"/>
      <c r="X322" s="253"/>
      <c r="Y322" s="253"/>
      <c r="Z322" s="253"/>
      <c r="AA322" s="253"/>
      <c r="AB322" s="253"/>
      <c r="AC322" s="253"/>
    </row>
    <row r="323">
      <c r="A323" s="22"/>
      <c r="B323" s="22"/>
      <c r="C323" s="22"/>
      <c r="D323" s="22"/>
      <c r="E323" s="22"/>
      <c r="F323" s="22"/>
      <c r="G323" s="112"/>
      <c r="H323" s="112"/>
      <c r="I323" s="112"/>
      <c r="J323" s="112"/>
      <c r="K323" s="112"/>
      <c r="L323" s="112"/>
      <c r="M323" s="253"/>
      <c r="N323" s="253"/>
      <c r="O323" s="253"/>
      <c r="P323" s="253"/>
      <c r="Q323" s="253"/>
      <c r="R323" s="253"/>
      <c r="S323" s="253"/>
      <c r="T323" s="253"/>
      <c r="U323" s="253"/>
      <c r="V323" s="253"/>
      <c r="W323" s="253"/>
      <c r="X323" s="253"/>
      <c r="Y323" s="253"/>
      <c r="Z323" s="253"/>
      <c r="AA323" s="253"/>
      <c r="AB323" s="253"/>
      <c r="AC323" s="253"/>
    </row>
    <row r="324">
      <c r="A324" s="22"/>
      <c r="B324" s="22"/>
      <c r="C324" s="22"/>
      <c r="D324" s="22"/>
      <c r="E324" s="22"/>
      <c r="F324" s="22"/>
      <c r="G324" s="112"/>
      <c r="H324" s="112"/>
      <c r="I324" s="112"/>
      <c r="J324" s="112"/>
      <c r="K324" s="112"/>
      <c r="L324" s="112"/>
      <c r="M324" s="253"/>
      <c r="N324" s="253"/>
      <c r="O324" s="253"/>
      <c r="P324" s="253"/>
      <c r="Q324" s="253"/>
      <c r="R324" s="253"/>
      <c r="S324" s="253"/>
      <c r="T324" s="253"/>
      <c r="U324" s="253"/>
      <c r="V324" s="253"/>
      <c r="W324" s="253"/>
      <c r="X324" s="253"/>
      <c r="Y324" s="253"/>
      <c r="Z324" s="253"/>
      <c r="AA324" s="253"/>
      <c r="AB324" s="253"/>
      <c r="AC324" s="253"/>
    </row>
    <row r="325">
      <c r="A325" s="22"/>
      <c r="B325" s="22"/>
      <c r="C325" s="22"/>
      <c r="D325" s="22"/>
      <c r="E325" s="22"/>
      <c r="F325" s="22"/>
      <c r="G325" s="112"/>
      <c r="H325" s="112"/>
      <c r="I325" s="112"/>
      <c r="J325" s="112"/>
      <c r="K325" s="112"/>
      <c r="L325" s="112"/>
      <c r="M325" s="253"/>
      <c r="N325" s="253"/>
      <c r="O325" s="253"/>
      <c r="P325" s="253"/>
      <c r="Q325" s="253"/>
      <c r="R325" s="253"/>
      <c r="S325" s="253"/>
      <c r="T325" s="253"/>
      <c r="U325" s="253"/>
      <c r="V325" s="253"/>
      <c r="W325" s="253"/>
      <c r="X325" s="253"/>
      <c r="Y325" s="253"/>
      <c r="Z325" s="253"/>
      <c r="AA325" s="253"/>
      <c r="AB325" s="253"/>
      <c r="AC325" s="253"/>
    </row>
    <row r="326">
      <c r="A326" s="22"/>
      <c r="B326" s="22"/>
      <c r="C326" s="22"/>
      <c r="D326" s="22"/>
      <c r="E326" s="22"/>
      <c r="F326" s="22"/>
      <c r="G326" s="112"/>
      <c r="H326" s="112"/>
      <c r="I326" s="112"/>
      <c r="J326" s="112"/>
      <c r="K326" s="112"/>
      <c r="L326" s="112"/>
      <c r="M326" s="253"/>
      <c r="N326" s="253"/>
      <c r="O326" s="253"/>
      <c r="P326" s="253"/>
      <c r="Q326" s="253"/>
      <c r="R326" s="253"/>
      <c r="S326" s="253"/>
      <c r="T326" s="253"/>
      <c r="U326" s="253"/>
      <c r="V326" s="253"/>
      <c r="W326" s="253"/>
      <c r="X326" s="253"/>
      <c r="Y326" s="253"/>
      <c r="Z326" s="253"/>
      <c r="AA326" s="253"/>
      <c r="AB326" s="253"/>
      <c r="AC326" s="253"/>
    </row>
    <row r="327">
      <c r="A327" s="22"/>
      <c r="B327" s="22"/>
      <c r="C327" s="22"/>
      <c r="D327" s="22"/>
      <c r="E327" s="22"/>
      <c r="F327" s="22"/>
      <c r="G327" s="112"/>
      <c r="H327" s="112"/>
      <c r="I327" s="112"/>
      <c r="J327" s="112"/>
      <c r="K327" s="112"/>
      <c r="L327" s="112"/>
      <c r="M327" s="253"/>
      <c r="N327" s="253"/>
      <c r="O327" s="253"/>
      <c r="P327" s="253"/>
      <c r="Q327" s="253"/>
      <c r="R327" s="253"/>
      <c r="S327" s="253"/>
      <c r="T327" s="253"/>
      <c r="U327" s="253"/>
      <c r="V327" s="253"/>
      <c r="W327" s="253"/>
      <c r="X327" s="253"/>
      <c r="Y327" s="253"/>
      <c r="Z327" s="253"/>
      <c r="AA327" s="253"/>
      <c r="AB327" s="253"/>
      <c r="AC327" s="253"/>
    </row>
    <row r="328">
      <c r="A328" s="22"/>
      <c r="B328" s="22"/>
      <c r="C328" s="22"/>
      <c r="D328" s="22"/>
      <c r="E328" s="22"/>
      <c r="F328" s="22"/>
      <c r="G328" s="112"/>
      <c r="H328" s="112"/>
      <c r="I328" s="112"/>
      <c r="J328" s="112"/>
      <c r="K328" s="112"/>
      <c r="L328" s="112"/>
      <c r="M328" s="253"/>
      <c r="N328" s="253"/>
      <c r="O328" s="253"/>
      <c r="P328" s="253"/>
      <c r="Q328" s="253"/>
      <c r="R328" s="253"/>
      <c r="S328" s="253"/>
      <c r="T328" s="253"/>
      <c r="U328" s="253"/>
      <c r="V328" s="253"/>
      <c r="W328" s="253"/>
      <c r="X328" s="253"/>
      <c r="Y328" s="253"/>
      <c r="Z328" s="253"/>
      <c r="AA328" s="253"/>
      <c r="AB328" s="253"/>
      <c r="AC328" s="253"/>
    </row>
    <row r="329">
      <c r="A329" s="22"/>
      <c r="B329" s="22"/>
      <c r="C329" s="22"/>
      <c r="D329" s="22"/>
      <c r="E329" s="22"/>
      <c r="F329" s="22"/>
      <c r="G329" s="112"/>
      <c r="H329" s="112"/>
      <c r="I329" s="112"/>
      <c r="J329" s="112"/>
      <c r="K329" s="112"/>
      <c r="L329" s="112"/>
      <c r="M329" s="253"/>
      <c r="N329" s="253"/>
      <c r="O329" s="253"/>
      <c r="P329" s="253"/>
      <c r="Q329" s="253"/>
      <c r="R329" s="253"/>
      <c r="S329" s="253"/>
      <c r="T329" s="253"/>
      <c r="U329" s="253"/>
      <c r="V329" s="253"/>
      <c r="W329" s="253"/>
      <c r="X329" s="253"/>
      <c r="Y329" s="253"/>
      <c r="Z329" s="253"/>
      <c r="AA329" s="253"/>
      <c r="AB329" s="253"/>
      <c r="AC329" s="253"/>
    </row>
    <row r="330">
      <c r="A330" s="22"/>
      <c r="B330" s="22"/>
      <c r="C330" s="22"/>
      <c r="D330" s="22"/>
      <c r="E330" s="22"/>
      <c r="F330" s="22"/>
      <c r="G330" s="112"/>
      <c r="H330" s="112"/>
      <c r="I330" s="112"/>
      <c r="J330" s="112"/>
      <c r="K330" s="112"/>
      <c r="L330" s="112"/>
      <c r="M330" s="253"/>
      <c r="N330" s="253"/>
      <c r="O330" s="253"/>
      <c r="P330" s="253"/>
      <c r="Q330" s="253"/>
      <c r="R330" s="253"/>
      <c r="S330" s="253"/>
      <c r="T330" s="253"/>
      <c r="U330" s="253"/>
      <c r="V330" s="253"/>
      <c r="W330" s="253"/>
      <c r="X330" s="253"/>
      <c r="Y330" s="253"/>
      <c r="Z330" s="253"/>
      <c r="AA330" s="253"/>
      <c r="AB330" s="253"/>
      <c r="AC330" s="253"/>
    </row>
    <row r="331">
      <c r="A331" s="22"/>
      <c r="B331" s="22"/>
      <c r="C331" s="22"/>
      <c r="D331" s="22"/>
      <c r="E331" s="22"/>
      <c r="F331" s="22"/>
      <c r="G331" s="112"/>
      <c r="H331" s="112"/>
      <c r="I331" s="112"/>
      <c r="J331" s="112"/>
      <c r="K331" s="112"/>
      <c r="L331" s="112"/>
      <c r="M331" s="253"/>
      <c r="N331" s="253"/>
      <c r="O331" s="253"/>
      <c r="P331" s="253"/>
      <c r="Q331" s="253"/>
      <c r="R331" s="253"/>
      <c r="S331" s="253"/>
      <c r="T331" s="253"/>
      <c r="U331" s="253"/>
      <c r="V331" s="253"/>
      <c r="W331" s="253"/>
      <c r="X331" s="253"/>
      <c r="Y331" s="253"/>
      <c r="Z331" s="253"/>
      <c r="AA331" s="253"/>
      <c r="AB331" s="253"/>
      <c r="AC331" s="253"/>
    </row>
    <row r="332">
      <c r="A332" s="22"/>
      <c r="B332" s="22"/>
      <c r="C332" s="22"/>
      <c r="D332" s="22"/>
      <c r="E332" s="22"/>
      <c r="F332" s="22"/>
      <c r="G332" s="112"/>
      <c r="H332" s="112"/>
      <c r="I332" s="112"/>
      <c r="J332" s="112"/>
      <c r="K332" s="112"/>
      <c r="L332" s="112"/>
      <c r="M332" s="253"/>
      <c r="N332" s="253"/>
      <c r="O332" s="253"/>
      <c r="P332" s="253"/>
      <c r="Q332" s="253"/>
      <c r="R332" s="253"/>
      <c r="S332" s="253"/>
      <c r="T332" s="253"/>
      <c r="U332" s="253"/>
      <c r="V332" s="253"/>
      <c r="W332" s="253"/>
      <c r="X332" s="253"/>
      <c r="Y332" s="253"/>
      <c r="Z332" s="253"/>
      <c r="AA332" s="253"/>
      <c r="AB332" s="253"/>
      <c r="AC332" s="253"/>
    </row>
    <row r="333">
      <c r="A333" s="22"/>
      <c r="B333" s="22"/>
      <c r="C333" s="22"/>
      <c r="D333" s="22"/>
      <c r="E333" s="22"/>
      <c r="F333" s="22"/>
      <c r="G333" s="112"/>
      <c r="H333" s="112"/>
      <c r="I333" s="112"/>
      <c r="J333" s="112"/>
      <c r="K333" s="112"/>
      <c r="L333" s="112"/>
      <c r="M333" s="253"/>
      <c r="N333" s="253"/>
      <c r="O333" s="253"/>
      <c r="P333" s="253"/>
      <c r="Q333" s="253"/>
      <c r="R333" s="253"/>
      <c r="S333" s="253"/>
      <c r="T333" s="253"/>
      <c r="U333" s="253"/>
      <c r="V333" s="253"/>
      <c r="W333" s="253"/>
      <c r="X333" s="253"/>
      <c r="Y333" s="253"/>
      <c r="Z333" s="253"/>
      <c r="AA333" s="253"/>
      <c r="AB333" s="253"/>
      <c r="AC333" s="253"/>
    </row>
    <row r="334">
      <c r="A334" s="22"/>
      <c r="B334" s="22"/>
      <c r="C334" s="22"/>
      <c r="D334" s="22"/>
      <c r="E334" s="22"/>
      <c r="F334" s="22"/>
      <c r="G334" s="112"/>
      <c r="H334" s="112"/>
      <c r="I334" s="112"/>
      <c r="J334" s="112"/>
      <c r="K334" s="112"/>
      <c r="L334" s="112"/>
      <c r="M334" s="253"/>
      <c r="N334" s="253"/>
      <c r="O334" s="253"/>
      <c r="P334" s="253"/>
      <c r="Q334" s="253"/>
      <c r="R334" s="253"/>
      <c r="S334" s="253"/>
      <c r="T334" s="253"/>
      <c r="U334" s="253"/>
      <c r="V334" s="253"/>
      <c r="W334" s="253"/>
      <c r="X334" s="253"/>
      <c r="Y334" s="253"/>
      <c r="Z334" s="253"/>
      <c r="AA334" s="253"/>
      <c r="AB334" s="253"/>
      <c r="AC334" s="253"/>
    </row>
    <row r="335">
      <c r="A335" s="22"/>
      <c r="B335" s="22"/>
      <c r="C335" s="22"/>
      <c r="D335" s="22"/>
      <c r="E335" s="22"/>
      <c r="F335" s="22"/>
      <c r="G335" s="112"/>
      <c r="H335" s="112"/>
      <c r="I335" s="112"/>
      <c r="J335" s="112"/>
      <c r="K335" s="112"/>
      <c r="L335" s="112"/>
      <c r="M335" s="253"/>
      <c r="N335" s="253"/>
      <c r="O335" s="253"/>
      <c r="P335" s="253"/>
      <c r="Q335" s="253"/>
      <c r="R335" s="253"/>
      <c r="S335" s="253"/>
      <c r="T335" s="253"/>
      <c r="U335" s="253"/>
      <c r="V335" s="253"/>
      <c r="W335" s="253"/>
      <c r="X335" s="253"/>
      <c r="Y335" s="253"/>
      <c r="Z335" s="253"/>
      <c r="AA335" s="253"/>
      <c r="AB335" s="253"/>
      <c r="AC335" s="253"/>
    </row>
    <row r="336">
      <c r="A336" s="22"/>
      <c r="B336" s="22"/>
      <c r="C336" s="22"/>
      <c r="D336" s="22"/>
      <c r="E336" s="22"/>
      <c r="F336" s="22"/>
      <c r="G336" s="112"/>
      <c r="H336" s="112"/>
      <c r="I336" s="112"/>
      <c r="J336" s="112"/>
      <c r="K336" s="112"/>
      <c r="L336" s="112"/>
      <c r="M336" s="253"/>
      <c r="N336" s="253"/>
      <c r="O336" s="253"/>
      <c r="P336" s="253"/>
      <c r="Q336" s="253"/>
      <c r="R336" s="253"/>
      <c r="S336" s="253"/>
      <c r="T336" s="253"/>
      <c r="U336" s="253"/>
      <c r="V336" s="253"/>
      <c r="W336" s="253"/>
      <c r="X336" s="253"/>
      <c r="Y336" s="253"/>
      <c r="Z336" s="253"/>
      <c r="AA336" s="253"/>
      <c r="AB336" s="253"/>
      <c r="AC336" s="253"/>
    </row>
    <row r="337">
      <c r="A337" s="22"/>
      <c r="B337" s="22"/>
      <c r="C337" s="22"/>
      <c r="D337" s="22"/>
      <c r="E337" s="22"/>
      <c r="F337" s="22"/>
      <c r="G337" s="112"/>
      <c r="H337" s="112"/>
      <c r="I337" s="112"/>
      <c r="J337" s="112"/>
      <c r="K337" s="112"/>
      <c r="L337" s="112"/>
      <c r="M337" s="253"/>
      <c r="N337" s="253"/>
      <c r="O337" s="253"/>
      <c r="P337" s="253"/>
      <c r="Q337" s="253"/>
      <c r="R337" s="253"/>
      <c r="S337" s="253"/>
      <c r="T337" s="253"/>
      <c r="U337" s="253"/>
      <c r="V337" s="253"/>
      <c r="W337" s="253"/>
      <c r="X337" s="253"/>
      <c r="Y337" s="253"/>
      <c r="Z337" s="253"/>
      <c r="AA337" s="253"/>
      <c r="AB337" s="253"/>
      <c r="AC337" s="253"/>
    </row>
    <row r="338">
      <c r="A338" s="22"/>
      <c r="B338" s="22"/>
      <c r="C338" s="22"/>
      <c r="D338" s="22"/>
      <c r="E338" s="22"/>
      <c r="F338" s="22"/>
      <c r="G338" s="112"/>
      <c r="H338" s="112"/>
      <c r="I338" s="112"/>
      <c r="J338" s="112"/>
      <c r="K338" s="112"/>
      <c r="L338" s="112"/>
      <c r="M338" s="253"/>
      <c r="N338" s="253"/>
      <c r="O338" s="253"/>
      <c r="P338" s="253"/>
      <c r="Q338" s="253"/>
      <c r="R338" s="253"/>
      <c r="S338" s="253"/>
      <c r="T338" s="253"/>
      <c r="U338" s="253"/>
      <c r="V338" s="253"/>
      <c r="W338" s="253"/>
      <c r="X338" s="253"/>
      <c r="Y338" s="253"/>
      <c r="Z338" s="253"/>
      <c r="AA338" s="253"/>
      <c r="AB338" s="253"/>
      <c r="AC338" s="253"/>
    </row>
    <row r="339">
      <c r="A339" s="22"/>
      <c r="B339" s="22"/>
      <c r="C339" s="22"/>
      <c r="D339" s="22"/>
      <c r="E339" s="22"/>
      <c r="F339" s="22"/>
      <c r="G339" s="112"/>
      <c r="H339" s="112"/>
      <c r="I339" s="112"/>
      <c r="J339" s="112"/>
      <c r="K339" s="112"/>
      <c r="L339" s="112"/>
      <c r="M339" s="253"/>
      <c r="N339" s="253"/>
      <c r="O339" s="253"/>
      <c r="P339" s="253"/>
      <c r="Q339" s="253"/>
      <c r="R339" s="253"/>
      <c r="S339" s="253"/>
      <c r="T339" s="253"/>
      <c r="U339" s="253"/>
      <c r="V339" s="253"/>
      <c r="W339" s="253"/>
      <c r="X339" s="253"/>
      <c r="Y339" s="253"/>
      <c r="Z339" s="253"/>
      <c r="AA339" s="253"/>
      <c r="AB339" s="253"/>
      <c r="AC339" s="253"/>
    </row>
    <row r="340">
      <c r="A340" s="22"/>
      <c r="B340" s="22"/>
      <c r="C340" s="22"/>
      <c r="D340" s="22"/>
      <c r="E340" s="22"/>
      <c r="F340" s="22"/>
      <c r="G340" s="112"/>
      <c r="H340" s="112"/>
      <c r="I340" s="112"/>
      <c r="J340" s="112"/>
      <c r="K340" s="112"/>
      <c r="L340" s="112"/>
      <c r="M340" s="253"/>
      <c r="N340" s="253"/>
      <c r="O340" s="253"/>
      <c r="P340" s="253"/>
      <c r="Q340" s="253"/>
      <c r="R340" s="253"/>
      <c r="S340" s="253"/>
      <c r="T340" s="253"/>
      <c r="U340" s="253"/>
      <c r="V340" s="253"/>
      <c r="W340" s="253"/>
      <c r="X340" s="253"/>
      <c r="Y340" s="253"/>
      <c r="Z340" s="253"/>
      <c r="AA340" s="253"/>
      <c r="AB340" s="253"/>
      <c r="AC340" s="253"/>
    </row>
    <row r="341">
      <c r="A341" s="22"/>
      <c r="B341" s="22"/>
      <c r="C341" s="22"/>
      <c r="D341" s="22"/>
      <c r="E341" s="22"/>
      <c r="F341" s="22"/>
      <c r="G341" s="112"/>
      <c r="H341" s="112"/>
      <c r="I341" s="112"/>
      <c r="J341" s="112"/>
      <c r="K341" s="112"/>
      <c r="L341" s="112"/>
      <c r="M341" s="253"/>
      <c r="N341" s="253"/>
      <c r="O341" s="253"/>
      <c r="P341" s="253"/>
      <c r="Q341" s="253"/>
      <c r="R341" s="253"/>
      <c r="S341" s="253"/>
      <c r="T341" s="253"/>
      <c r="U341" s="253"/>
      <c r="V341" s="253"/>
      <c r="W341" s="253"/>
      <c r="X341" s="253"/>
      <c r="Y341" s="253"/>
      <c r="Z341" s="253"/>
      <c r="AA341" s="253"/>
      <c r="AB341" s="253"/>
      <c r="AC341" s="253"/>
    </row>
    <row r="342">
      <c r="A342" s="22"/>
      <c r="B342" s="22"/>
      <c r="C342" s="22"/>
      <c r="D342" s="22"/>
      <c r="E342" s="22"/>
      <c r="F342" s="22"/>
      <c r="G342" s="112"/>
      <c r="H342" s="112"/>
      <c r="I342" s="112"/>
      <c r="J342" s="112"/>
      <c r="K342" s="112"/>
      <c r="L342" s="112"/>
      <c r="M342" s="253"/>
      <c r="N342" s="253"/>
      <c r="O342" s="253"/>
      <c r="P342" s="253"/>
      <c r="Q342" s="253"/>
      <c r="R342" s="253"/>
      <c r="S342" s="253"/>
      <c r="T342" s="253"/>
      <c r="U342" s="253"/>
      <c r="V342" s="253"/>
      <c r="W342" s="253"/>
      <c r="X342" s="253"/>
      <c r="Y342" s="253"/>
      <c r="Z342" s="253"/>
      <c r="AA342" s="253"/>
      <c r="AB342" s="253"/>
      <c r="AC342" s="253"/>
    </row>
    <row r="343">
      <c r="A343" s="22"/>
      <c r="B343" s="22"/>
      <c r="C343" s="22"/>
      <c r="D343" s="22"/>
      <c r="E343" s="22"/>
      <c r="F343" s="22"/>
      <c r="G343" s="112"/>
      <c r="H343" s="112"/>
      <c r="I343" s="112"/>
      <c r="J343" s="112"/>
      <c r="K343" s="112"/>
      <c r="L343" s="112"/>
      <c r="M343" s="253"/>
      <c r="N343" s="253"/>
      <c r="O343" s="253"/>
      <c r="P343" s="253"/>
      <c r="Q343" s="253"/>
      <c r="R343" s="253"/>
      <c r="S343" s="253"/>
      <c r="T343" s="253"/>
      <c r="U343" s="253"/>
      <c r="V343" s="253"/>
      <c r="W343" s="253"/>
      <c r="X343" s="253"/>
      <c r="Y343" s="253"/>
      <c r="Z343" s="253"/>
      <c r="AA343" s="253"/>
      <c r="AB343" s="253"/>
      <c r="AC343" s="253"/>
    </row>
    <row r="344">
      <c r="A344" s="22"/>
      <c r="B344" s="22"/>
      <c r="C344" s="22"/>
      <c r="D344" s="22"/>
      <c r="E344" s="22"/>
      <c r="F344" s="22"/>
      <c r="G344" s="112"/>
      <c r="H344" s="112"/>
      <c r="I344" s="112"/>
      <c r="J344" s="112"/>
      <c r="K344" s="112"/>
      <c r="L344" s="112"/>
      <c r="M344" s="253"/>
      <c r="N344" s="253"/>
      <c r="O344" s="253"/>
      <c r="P344" s="253"/>
      <c r="Q344" s="253"/>
      <c r="R344" s="253"/>
      <c r="S344" s="253"/>
      <c r="T344" s="253"/>
      <c r="U344" s="253"/>
      <c r="V344" s="253"/>
      <c r="W344" s="253"/>
      <c r="X344" s="253"/>
      <c r="Y344" s="253"/>
      <c r="Z344" s="253"/>
      <c r="AA344" s="253"/>
      <c r="AB344" s="253"/>
      <c r="AC344" s="253"/>
    </row>
    <row r="345">
      <c r="A345" s="22"/>
      <c r="B345" s="22"/>
      <c r="C345" s="22"/>
      <c r="D345" s="22"/>
      <c r="E345" s="22"/>
      <c r="F345" s="22"/>
      <c r="G345" s="112"/>
      <c r="H345" s="112"/>
      <c r="I345" s="112"/>
      <c r="J345" s="112"/>
      <c r="K345" s="112"/>
      <c r="L345" s="112"/>
      <c r="M345" s="253"/>
      <c r="N345" s="253"/>
      <c r="O345" s="253"/>
      <c r="P345" s="253"/>
      <c r="Q345" s="253"/>
      <c r="R345" s="253"/>
      <c r="S345" s="253"/>
      <c r="T345" s="253"/>
      <c r="U345" s="253"/>
      <c r="V345" s="253"/>
      <c r="W345" s="253"/>
      <c r="X345" s="253"/>
      <c r="Y345" s="253"/>
      <c r="Z345" s="253"/>
      <c r="AA345" s="253"/>
      <c r="AB345" s="253"/>
      <c r="AC345" s="253"/>
    </row>
    <row r="346">
      <c r="A346" s="22"/>
      <c r="B346" s="22"/>
      <c r="C346" s="22"/>
      <c r="D346" s="22"/>
      <c r="E346" s="22"/>
      <c r="F346" s="22"/>
      <c r="G346" s="112"/>
      <c r="H346" s="112"/>
      <c r="I346" s="112"/>
      <c r="J346" s="112"/>
      <c r="K346" s="112"/>
      <c r="L346" s="112"/>
      <c r="M346" s="253"/>
      <c r="N346" s="253"/>
      <c r="O346" s="253"/>
      <c r="P346" s="253"/>
      <c r="Q346" s="253"/>
      <c r="R346" s="253"/>
      <c r="S346" s="253"/>
      <c r="T346" s="253"/>
      <c r="U346" s="253"/>
      <c r="V346" s="253"/>
      <c r="W346" s="253"/>
      <c r="X346" s="253"/>
      <c r="Y346" s="253"/>
      <c r="Z346" s="253"/>
      <c r="AA346" s="253"/>
      <c r="AB346" s="253"/>
      <c r="AC346" s="253"/>
    </row>
    <row r="347">
      <c r="A347" s="22"/>
      <c r="B347" s="22"/>
      <c r="C347" s="22"/>
      <c r="D347" s="22"/>
      <c r="E347" s="22"/>
      <c r="F347" s="22"/>
      <c r="G347" s="112"/>
      <c r="H347" s="112"/>
      <c r="I347" s="112"/>
      <c r="J347" s="112"/>
      <c r="K347" s="112"/>
      <c r="L347" s="112"/>
      <c r="M347" s="253"/>
      <c r="N347" s="253"/>
      <c r="O347" s="253"/>
      <c r="P347" s="253"/>
      <c r="Q347" s="253"/>
      <c r="R347" s="253"/>
      <c r="S347" s="253"/>
      <c r="T347" s="253"/>
      <c r="U347" s="253"/>
      <c r="V347" s="253"/>
      <c r="W347" s="253"/>
      <c r="X347" s="253"/>
      <c r="Y347" s="253"/>
      <c r="Z347" s="253"/>
      <c r="AA347" s="253"/>
      <c r="AB347" s="253"/>
      <c r="AC347" s="253"/>
    </row>
    <row r="348">
      <c r="A348" s="22"/>
      <c r="B348" s="22"/>
      <c r="C348" s="22"/>
      <c r="D348" s="22"/>
      <c r="E348" s="22"/>
      <c r="F348" s="22"/>
      <c r="G348" s="112"/>
      <c r="H348" s="112"/>
      <c r="I348" s="112"/>
      <c r="J348" s="112"/>
      <c r="K348" s="112"/>
      <c r="L348" s="112"/>
      <c r="M348" s="253"/>
      <c r="N348" s="253"/>
      <c r="O348" s="253"/>
      <c r="P348" s="253"/>
      <c r="Q348" s="253"/>
      <c r="R348" s="253"/>
      <c r="S348" s="253"/>
      <c r="T348" s="253"/>
      <c r="U348" s="253"/>
      <c r="V348" s="253"/>
      <c r="W348" s="253"/>
      <c r="X348" s="253"/>
      <c r="Y348" s="253"/>
      <c r="Z348" s="253"/>
      <c r="AA348" s="253"/>
      <c r="AB348" s="253"/>
      <c r="AC348" s="253"/>
    </row>
    <row r="349">
      <c r="A349" s="22"/>
      <c r="B349" s="22"/>
      <c r="C349" s="22"/>
      <c r="D349" s="22"/>
      <c r="E349" s="22"/>
      <c r="F349" s="22"/>
      <c r="G349" s="112"/>
      <c r="H349" s="112"/>
      <c r="I349" s="112"/>
      <c r="J349" s="112"/>
      <c r="K349" s="112"/>
      <c r="L349" s="112"/>
      <c r="M349" s="253"/>
      <c r="N349" s="253"/>
      <c r="O349" s="253"/>
      <c r="P349" s="253"/>
      <c r="Q349" s="253"/>
      <c r="R349" s="253"/>
      <c r="S349" s="253"/>
      <c r="T349" s="253"/>
      <c r="U349" s="253"/>
      <c r="V349" s="253"/>
      <c r="W349" s="253"/>
      <c r="X349" s="253"/>
      <c r="Y349" s="253"/>
      <c r="Z349" s="253"/>
      <c r="AA349" s="253"/>
      <c r="AB349" s="253"/>
      <c r="AC349" s="253"/>
    </row>
    <row r="350">
      <c r="A350" s="22"/>
      <c r="B350" s="22"/>
      <c r="C350" s="22"/>
      <c r="D350" s="22"/>
      <c r="E350" s="22"/>
      <c r="F350" s="22"/>
      <c r="G350" s="112"/>
      <c r="H350" s="112"/>
      <c r="I350" s="112"/>
      <c r="J350" s="112"/>
      <c r="K350" s="112"/>
      <c r="L350" s="112"/>
      <c r="M350" s="253"/>
      <c r="N350" s="253"/>
      <c r="O350" s="253"/>
      <c r="P350" s="253"/>
      <c r="Q350" s="253"/>
      <c r="R350" s="253"/>
      <c r="S350" s="253"/>
      <c r="T350" s="253"/>
      <c r="U350" s="253"/>
      <c r="V350" s="253"/>
      <c r="W350" s="253"/>
      <c r="X350" s="253"/>
      <c r="Y350" s="253"/>
      <c r="Z350" s="253"/>
      <c r="AA350" s="253"/>
      <c r="AB350" s="253"/>
      <c r="AC350" s="253"/>
    </row>
    <row r="351">
      <c r="A351" s="22"/>
      <c r="B351" s="22"/>
      <c r="C351" s="22"/>
      <c r="D351" s="22"/>
      <c r="E351" s="22"/>
      <c r="F351" s="22"/>
      <c r="G351" s="112"/>
      <c r="H351" s="112"/>
      <c r="I351" s="112"/>
      <c r="J351" s="112"/>
      <c r="K351" s="112"/>
      <c r="L351" s="112"/>
      <c r="M351" s="253"/>
      <c r="N351" s="253"/>
      <c r="O351" s="253"/>
      <c r="P351" s="253"/>
      <c r="Q351" s="253"/>
      <c r="R351" s="253"/>
      <c r="S351" s="253"/>
      <c r="T351" s="253"/>
      <c r="U351" s="253"/>
      <c r="V351" s="253"/>
      <c r="W351" s="253"/>
      <c r="X351" s="253"/>
      <c r="Y351" s="253"/>
      <c r="Z351" s="253"/>
      <c r="AA351" s="253"/>
      <c r="AB351" s="253"/>
      <c r="AC351" s="253"/>
    </row>
    <row r="352">
      <c r="A352" s="22"/>
      <c r="B352" s="22"/>
      <c r="C352" s="22"/>
      <c r="D352" s="22"/>
      <c r="E352" s="22"/>
      <c r="F352" s="22"/>
      <c r="G352" s="112"/>
      <c r="H352" s="112"/>
      <c r="I352" s="112"/>
      <c r="J352" s="112"/>
      <c r="K352" s="112"/>
      <c r="L352" s="112"/>
      <c r="M352" s="253"/>
      <c r="N352" s="253"/>
      <c r="O352" s="253"/>
      <c r="P352" s="253"/>
      <c r="Q352" s="253"/>
      <c r="R352" s="253"/>
      <c r="S352" s="253"/>
      <c r="T352" s="253"/>
      <c r="U352" s="253"/>
      <c r="V352" s="253"/>
      <c r="W352" s="253"/>
      <c r="X352" s="253"/>
      <c r="Y352" s="253"/>
      <c r="Z352" s="253"/>
      <c r="AA352" s="253"/>
      <c r="AB352" s="253"/>
      <c r="AC352" s="253"/>
    </row>
    <row r="353">
      <c r="A353" s="22"/>
      <c r="B353" s="22"/>
      <c r="C353" s="22"/>
      <c r="D353" s="22"/>
      <c r="E353" s="22"/>
      <c r="F353" s="22"/>
      <c r="G353" s="112"/>
      <c r="H353" s="112"/>
      <c r="I353" s="112"/>
      <c r="J353" s="112"/>
      <c r="K353" s="112"/>
      <c r="L353" s="112"/>
      <c r="M353" s="253"/>
      <c r="N353" s="253"/>
      <c r="O353" s="253"/>
      <c r="P353" s="253"/>
      <c r="Q353" s="253"/>
      <c r="R353" s="253"/>
      <c r="S353" s="253"/>
      <c r="T353" s="253"/>
      <c r="U353" s="253"/>
      <c r="V353" s="253"/>
      <c r="W353" s="253"/>
      <c r="X353" s="253"/>
      <c r="Y353" s="253"/>
      <c r="Z353" s="253"/>
      <c r="AA353" s="253"/>
      <c r="AB353" s="253"/>
      <c r="AC353" s="253"/>
    </row>
    <row r="354">
      <c r="A354" s="22"/>
      <c r="B354" s="22"/>
      <c r="C354" s="22"/>
      <c r="D354" s="22"/>
      <c r="E354" s="22"/>
      <c r="F354" s="22"/>
      <c r="G354" s="112"/>
      <c r="H354" s="112"/>
      <c r="I354" s="112"/>
      <c r="J354" s="112"/>
      <c r="K354" s="112"/>
      <c r="L354" s="112"/>
      <c r="M354" s="253"/>
      <c r="N354" s="253"/>
      <c r="O354" s="253"/>
      <c r="P354" s="253"/>
      <c r="Q354" s="253"/>
      <c r="R354" s="253"/>
      <c r="S354" s="253"/>
      <c r="T354" s="253"/>
      <c r="U354" s="253"/>
      <c r="V354" s="253"/>
      <c r="W354" s="253"/>
      <c r="X354" s="253"/>
      <c r="Y354" s="253"/>
      <c r="Z354" s="253"/>
      <c r="AA354" s="253"/>
      <c r="AB354" s="253"/>
      <c r="AC354" s="253"/>
    </row>
    <row r="355">
      <c r="A355" s="22"/>
      <c r="B355" s="22"/>
      <c r="C355" s="22"/>
      <c r="D355" s="22"/>
      <c r="E355" s="22"/>
      <c r="F355" s="22"/>
      <c r="G355" s="112"/>
      <c r="H355" s="112"/>
      <c r="I355" s="112"/>
      <c r="J355" s="112"/>
      <c r="K355" s="112"/>
      <c r="L355" s="112"/>
      <c r="M355" s="253"/>
      <c r="N355" s="253"/>
      <c r="O355" s="253"/>
      <c r="P355" s="253"/>
      <c r="Q355" s="253"/>
      <c r="R355" s="253"/>
      <c r="S355" s="253"/>
      <c r="T355" s="253"/>
      <c r="U355" s="253"/>
      <c r="V355" s="253"/>
      <c r="W355" s="253"/>
      <c r="X355" s="253"/>
      <c r="Y355" s="253"/>
      <c r="Z355" s="253"/>
      <c r="AA355" s="253"/>
      <c r="AB355" s="253"/>
      <c r="AC355" s="253"/>
    </row>
    <row r="356">
      <c r="A356" s="22"/>
      <c r="B356" s="22"/>
      <c r="C356" s="22"/>
      <c r="D356" s="22"/>
      <c r="E356" s="22"/>
      <c r="F356" s="22"/>
      <c r="G356" s="112"/>
      <c r="H356" s="112"/>
      <c r="I356" s="112"/>
      <c r="J356" s="112"/>
      <c r="K356" s="112"/>
      <c r="L356" s="112"/>
      <c r="M356" s="253"/>
      <c r="N356" s="253"/>
      <c r="O356" s="253"/>
      <c r="P356" s="253"/>
      <c r="Q356" s="253"/>
      <c r="R356" s="253"/>
      <c r="S356" s="253"/>
      <c r="T356" s="253"/>
      <c r="U356" s="253"/>
      <c r="V356" s="253"/>
      <c r="W356" s="253"/>
      <c r="X356" s="253"/>
      <c r="Y356" s="253"/>
      <c r="Z356" s="253"/>
      <c r="AA356" s="253"/>
      <c r="AB356" s="253"/>
      <c r="AC356" s="253"/>
    </row>
    <row r="357">
      <c r="A357" s="22"/>
      <c r="B357" s="22"/>
      <c r="C357" s="22"/>
      <c r="D357" s="22"/>
      <c r="E357" s="22"/>
      <c r="F357" s="22"/>
      <c r="G357" s="112"/>
      <c r="H357" s="112"/>
      <c r="I357" s="112"/>
      <c r="J357" s="112"/>
      <c r="K357" s="112"/>
      <c r="L357" s="112"/>
      <c r="M357" s="253"/>
      <c r="N357" s="253"/>
      <c r="O357" s="253"/>
      <c r="P357" s="253"/>
      <c r="Q357" s="253"/>
      <c r="R357" s="253"/>
      <c r="S357" s="253"/>
      <c r="T357" s="253"/>
      <c r="U357" s="253"/>
      <c r="V357" s="253"/>
      <c r="W357" s="253"/>
      <c r="X357" s="253"/>
      <c r="Y357" s="253"/>
      <c r="Z357" s="253"/>
      <c r="AA357" s="253"/>
      <c r="AB357" s="253"/>
      <c r="AC357" s="253"/>
    </row>
    <row r="358">
      <c r="A358" s="22"/>
      <c r="B358" s="22"/>
      <c r="C358" s="22"/>
      <c r="D358" s="22"/>
      <c r="E358" s="22"/>
      <c r="F358" s="22"/>
      <c r="G358" s="112"/>
      <c r="H358" s="112"/>
      <c r="I358" s="112"/>
      <c r="J358" s="112"/>
      <c r="K358" s="112"/>
      <c r="L358" s="112"/>
      <c r="M358" s="253"/>
      <c r="N358" s="253"/>
      <c r="O358" s="253"/>
      <c r="P358" s="253"/>
      <c r="Q358" s="253"/>
      <c r="R358" s="253"/>
      <c r="S358" s="253"/>
      <c r="T358" s="253"/>
      <c r="U358" s="253"/>
      <c r="V358" s="253"/>
      <c r="W358" s="253"/>
      <c r="X358" s="253"/>
      <c r="Y358" s="253"/>
      <c r="Z358" s="253"/>
      <c r="AA358" s="253"/>
      <c r="AB358" s="253"/>
      <c r="AC358" s="253"/>
    </row>
    <row r="359">
      <c r="A359" s="22"/>
      <c r="B359" s="22"/>
      <c r="C359" s="22"/>
      <c r="D359" s="22"/>
      <c r="E359" s="22"/>
      <c r="F359" s="22"/>
      <c r="G359" s="112"/>
      <c r="H359" s="112"/>
      <c r="I359" s="112"/>
      <c r="J359" s="112"/>
      <c r="K359" s="112"/>
      <c r="L359" s="112"/>
      <c r="M359" s="253"/>
      <c r="N359" s="253"/>
      <c r="O359" s="253"/>
      <c r="P359" s="253"/>
      <c r="Q359" s="253"/>
      <c r="R359" s="253"/>
      <c r="S359" s="253"/>
      <c r="T359" s="253"/>
      <c r="U359" s="253"/>
      <c r="V359" s="253"/>
      <c r="W359" s="253"/>
      <c r="X359" s="253"/>
      <c r="Y359" s="253"/>
      <c r="Z359" s="253"/>
      <c r="AA359" s="253"/>
      <c r="AB359" s="253"/>
      <c r="AC359" s="253"/>
    </row>
    <row r="360">
      <c r="A360" s="22"/>
      <c r="B360" s="22"/>
      <c r="C360" s="22"/>
      <c r="D360" s="22"/>
      <c r="E360" s="22"/>
      <c r="F360" s="22"/>
      <c r="G360" s="112"/>
      <c r="H360" s="112"/>
      <c r="I360" s="112"/>
      <c r="J360" s="112"/>
      <c r="K360" s="112"/>
      <c r="L360" s="112"/>
      <c r="M360" s="253"/>
      <c r="N360" s="253"/>
      <c r="O360" s="253"/>
      <c r="P360" s="253"/>
      <c r="Q360" s="253"/>
      <c r="R360" s="253"/>
      <c r="S360" s="253"/>
      <c r="T360" s="253"/>
      <c r="U360" s="253"/>
      <c r="V360" s="253"/>
      <c r="W360" s="253"/>
      <c r="X360" s="253"/>
      <c r="Y360" s="253"/>
      <c r="Z360" s="253"/>
      <c r="AA360" s="253"/>
      <c r="AB360" s="253"/>
      <c r="AC360" s="253"/>
    </row>
    <row r="361">
      <c r="A361" s="22"/>
      <c r="B361" s="22"/>
      <c r="C361" s="22"/>
      <c r="D361" s="22"/>
      <c r="E361" s="22"/>
      <c r="F361" s="22"/>
      <c r="G361" s="112"/>
      <c r="H361" s="112"/>
      <c r="I361" s="112"/>
      <c r="J361" s="112"/>
      <c r="K361" s="112"/>
      <c r="L361" s="112"/>
      <c r="M361" s="253"/>
      <c r="N361" s="253"/>
      <c r="O361" s="253"/>
      <c r="P361" s="253"/>
      <c r="Q361" s="253"/>
      <c r="R361" s="253"/>
      <c r="S361" s="253"/>
      <c r="T361" s="253"/>
      <c r="U361" s="253"/>
      <c r="V361" s="253"/>
      <c r="W361" s="253"/>
      <c r="X361" s="253"/>
      <c r="Y361" s="253"/>
      <c r="Z361" s="253"/>
      <c r="AA361" s="253"/>
      <c r="AB361" s="253"/>
      <c r="AC361" s="253"/>
    </row>
    <row r="362">
      <c r="A362" s="22"/>
      <c r="B362" s="22"/>
      <c r="C362" s="22"/>
      <c r="D362" s="22"/>
      <c r="E362" s="22"/>
      <c r="F362" s="22"/>
      <c r="G362" s="112"/>
      <c r="H362" s="112"/>
      <c r="I362" s="112"/>
      <c r="J362" s="112"/>
      <c r="K362" s="112"/>
      <c r="L362" s="112"/>
      <c r="M362" s="253"/>
      <c r="N362" s="253"/>
      <c r="O362" s="253"/>
      <c r="P362" s="253"/>
      <c r="Q362" s="253"/>
      <c r="R362" s="253"/>
      <c r="S362" s="253"/>
      <c r="T362" s="253"/>
      <c r="U362" s="253"/>
      <c r="V362" s="253"/>
      <c r="W362" s="253"/>
      <c r="X362" s="253"/>
      <c r="Y362" s="253"/>
      <c r="Z362" s="253"/>
      <c r="AA362" s="253"/>
      <c r="AB362" s="253"/>
      <c r="AC362" s="253"/>
    </row>
    <row r="363">
      <c r="A363" s="22"/>
      <c r="B363" s="22"/>
      <c r="C363" s="22"/>
      <c r="D363" s="22"/>
      <c r="E363" s="22"/>
      <c r="F363" s="22"/>
      <c r="G363" s="112"/>
      <c r="H363" s="112"/>
      <c r="I363" s="112"/>
      <c r="J363" s="112"/>
      <c r="K363" s="112"/>
      <c r="L363" s="112"/>
      <c r="M363" s="253"/>
      <c r="N363" s="253"/>
      <c r="O363" s="253"/>
      <c r="P363" s="253"/>
      <c r="Q363" s="253"/>
      <c r="R363" s="253"/>
      <c r="S363" s="253"/>
      <c r="T363" s="253"/>
      <c r="U363" s="253"/>
      <c r="V363" s="253"/>
      <c r="W363" s="253"/>
      <c r="X363" s="253"/>
      <c r="Y363" s="253"/>
      <c r="Z363" s="253"/>
      <c r="AA363" s="253"/>
      <c r="AB363" s="253"/>
      <c r="AC363" s="253"/>
    </row>
    <row r="364">
      <c r="A364" s="22"/>
      <c r="B364" s="22"/>
      <c r="C364" s="22"/>
      <c r="D364" s="22"/>
      <c r="E364" s="22"/>
      <c r="F364" s="22"/>
      <c r="G364" s="112"/>
      <c r="H364" s="112"/>
      <c r="I364" s="112"/>
      <c r="J364" s="112"/>
      <c r="K364" s="112"/>
      <c r="L364" s="112"/>
      <c r="M364" s="253"/>
      <c r="N364" s="253"/>
      <c r="O364" s="253"/>
      <c r="P364" s="253"/>
      <c r="Q364" s="253"/>
      <c r="R364" s="253"/>
      <c r="S364" s="253"/>
      <c r="T364" s="253"/>
      <c r="U364" s="253"/>
      <c r="V364" s="253"/>
      <c r="W364" s="253"/>
      <c r="X364" s="253"/>
      <c r="Y364" s="253"/>
      <c r="Z364" s="253"/>
      <c r="AA364" s="253"/>
      <c r="AB364" s="253"/>
      <c r="AC364" s="253"/>
    </row>
    <row r="365">
      <c r="A365" s="22"/>
      <c r="B365" s="22"/>
      <c r="C365" s="22"/>
      <c r="D365" s="22"/>
      <c r="E365" s="22"/>
      <c r="F365" s="22"/>
      <c r="G365" s="112"/>
      <c r="H365" s="112"/>
      <c r="I365" s="112"/>
      <c r="J365" s="112"/>
      <c r="K365" s="112"/>
      <c r="L365" s="112"/>
      <c r="M365" s="253"/>
      <c r="N365" s="253"/>
      <c r="O365" s="253"/>
      <c r="P365" s="253"/>
      <c r="Q365" s="253"/>
      <c r="R365" s="253"/>
      <c r="S365" s="253"/>
      <c r="T365" s="253"/>
      <c r="U365" s="253"/>
      <c r="V365" s="253"/>
      <c r="W365" s="253"/>
      <c r="X365" s="253"/>
      <c r="Y365" s="253"/>
      <c r="Z365" s="253"/>
      <c r="AA365" s="253"/>
      <c r="AB365" s="253"/>
      <c r="AC365" s="253"/>
    </row>
    <row r="366">
      <c r="A366" s="22"/>
      <c r="B366" s="22"/>
      <c r="C366" s="22"/>
      <c r="D366" s="22"/>
      <c r="E366" s="22"/>
      <c r="F366" s="22"/>
      <c r="G366" s="112"/>
      <c r="H366" s="112"/>
      <c r="I366" s="112"/>
      <c r="J366" s="112"/>
      <c r="K366" s="112"/>
      <c r="L366" s="112"/>
      <c r="M366" s="253"/>
      <c r="N366" s="253"/>
      <c r="O366" s="253"/>
      <c r="P366" s="253"/>
      <c r="Q366" s="253"/>
      <c r="R366" s="253"/>
      <c r="S366" s="253"/>
      <c r="T366" s="253"/>
      <c r="U366" s="253"/>
      <c r="V366" s="253"/>
      <c r="W366" s="253"/>
      <c r="X366" s="253"/>
      <c r="Y366" s="253"/>
      <c r="Z366" s="253"/>
      <c r="AA366" s="253"/>
      <c r="AB366" s="253"/>
      <c r="AC366" s="253"/>
    </row>
    <row r="367">
      <c r="A367" s="22"/>
      <c r="B367" s="22"/>
      <c r="C367" s="22"/>
      <c r="D367" s="22"/>
      <c r="E367" s="22"/>
      <c r="F367" s="22"/>
      <c r="G367" s="112"/>
      <c r="H367" s="112"/>
      <c r="I367" s="112"/>
      <c r="J367" s="112"/>
      <c r="K367" s="112"/>
      <c r="L367" s="112"/>
      <c r="M367" s="253"/>
      <c r="N367" s="253"/>
      <c r="O367" s="253"/>
      <c r="P367" s="253"/>
      <c r="Q367" s="253"/>
      <c r="R367" s="253"/>
      <c r="S367" s="253"/>
      <c r="T367" s="253"/>
      <c r="U367" s="253"/>
      <c r="V367" s="253"/>
      <c r="W367" s="253"/>
      <c r="X367" s="253"/>
      <c r="Y367" s="253"/>
      <c r="Z367" s="253"/>
      <c r="AA367" s="253"/>
      <c r="AB367" s="253"/>
      <c r="AC367" s="253"/>
    </row>
    <row r="368">
      <c r="A368" s="22"/>
      <c r="B368" s="22"/>
      <c r="C368" s="22"/>
      <c r="D368" s="22"/>
      <c r="E368" s="22"/>
      <c r="F368" s="22"/>
      <c r="G368" s="112"/>
      <c r="H368" s="112"/>
      <c r="I368" s="112"/>
      <c r="J368" s="112"/>
      <c r="K368" s="112"/>
      <c r="L368" s="112"/>
      <c r="M368" s="253"/>
      <c r="N368" s="253"/>
      <c r="O368" s="253"/>
      <c r="P368" s="253"/>
      <c r="Q368" s="253"/>
      <c r="R368" s="253"/>
      <c r="S368" s="253"/>
      <c r="T368" s="253"/>
      <c r="U368" s="253"/>
      <c r="V368" s="253"/>
      <c r="W368" s="253"/>
      <c r="X368" s="253"/>
      <c r="Y368" s="253"/>
      <c r="Z368" s="253"/>
      <c r="AA368" s="253"/>
      <c r="AB368" s="253"/>
      <c r="AC368" s="253"/>
    </row>
    <row r="369">
      <c r="A369" s="22"/>
      <c r="B369" s="22"/>
      <c r="C369" s="22"/>
      <c r="D369" s="22"/>
      <c r="E369" s="22"/>
      <c r="F369" s="22"/>
      <c r="G369" s="112"/>
      <c r="H369" s="112"/>
      <c r="I369" s="112"/>
      <c r="J369" s="112"/>
      <c r="K369" s="112"/>
      <c r="L369" s="112"/>
      <c r="M369" s="253"/>
      <c r="N369" s="253"/>
      <c r="O369" s="253"/>
      <c r="P369" s="253"/>
      <c r="Q369" s="253"/>
      <c r="R369" s="253"/>
      <c r="S369" s="253"/>
      <c r="T369" s="253"/>
      <c r="U369" s="253"/>
      <c r="V369" s="253"/>
      <c r="W369" s="253"/>
      <c r="X369" s="253"/>
      <c r="Y369" s="253"/>
      <c r="Z369" s="253"/>
      <c r="AA369" s="253"/>
      <c r="AB369" s="253"/>
      <c r="AC369" s="253"/>
    </row>
    <row r="370">
      <c r="A370" s="22"/>
      <c r="B370" s="22"/>
      <c r="C370" s="22"/>
      <c r="D370" s="22"/>
      <c r="E370" s="22"/>
      <c r="F370" s="22"/>
      <c r="G370" s="112"/>
      <c r="H370" s="112"/>
      <c r="I370" s="112"/>
      <c r="J370" s="112"/>
      <c r="K370" s="112"/>
      <c r="L370" s="112"/>
      <c r="M370" s="253"/>
      <c r="N370" s="253"/>
      <c r="O370" s="253"/>
      <c r="P370" s="253"/>
      <c r="Q370" s="253"/>
      <c r="R370" s="253"/>
      <c r="S370" s="253"/>
      <c r="T370" s="253"/>
      <c r="U370" s="253"/>
      <c r="V370" s="253"/>
      <c r="W370" s="253"/>
      <c r="X370" s="253"/>
      <c r="Y370" s="253"/>
      <c r="Z370" s="253"/>
      <c r="AA370" s="253"/>
      <c r="AB370" s="253"/>
      <c r="AC370" s="253"/>
    </row>
    <row r="371">
      <c r="A371" s="22"/>
      <c r="B371" s="22"/>
      <c r="C371" s="22"/>
      <c r="D371" s="22"/>
      <c r="E371" s="22"/>
      <c r="F371" s="22"/>
      <c r="G371" s="112"/>
      <c r="H371" s="112"/>
      <c r="I371" s="112"/>
      <c r="J371" s="112"/>
      <c r="K371" s="112"/>
      <c r="L371" s="112"/>
      <c r="M371" s="253"/>
      <c r="N371" s="253"/>
      <c r="O371" s="253"/>
      <c r="P371" s="253"/>
      <c r="Q371" s="253"/>
      <c r="R371" s="253"/>
      <c r="S371" s="253"/>
      <c r="T371" s="253"/>
      <c r="U371" s="253"/>
      <c r="V371" s="253"/>
      <c r="W371" s="253"/>
      <c r="X371" s="253"/>
      <c r="Y371" s="253"/>
      <c r="Z371" s="253"/>
      <c r="AA371" s="253"/>
      <c r="AB371" s="253"/>
      <c r="AC371" s="253"/>
    </row>
    <row r="372">
      <c r="A372" s="22"/>
      <c r="B372" s="22"/>
      <c r="C372" s="22"/>
      <c r="D372" s="22"/>
      <c r="E372" s="22"/>
      <c r="F372" s="22"/>
      <c r="G372" s="112"/>
      <c r="H372" s="112"/>
      <c r="I372" s="112"/>
      <c r="J372" s="112"/>
      <c r="K372" s="112"/>
      <c r="L372" s="112"/>
      <c r="M372" s="253"/>
      <c r="N372" s="253"/>
      <c r="O372" s="253"/>
      <c r="P372" s="253"/>
      <c r="Q372" s="253"/>
      <c r="R372" s="253"/>
      <c r="S372" s="253"/>
      <c r="T372" s="253"/>
      <c r="U372" s="253"/>
      <c r="V372" s="253"/>
      <c r="W372" s="253"/>
      <c r="X372" s="253"/>
      <c r="Y372" s="253"/>
      <c r="Z372" s="253"/>
      <c r="AA372" s="253"/>
      <c r="AB372" s="253"/>
      <c r="AC372" s="253"/>
    </row>
    <row r="373">
      <c r="A373" s="22"/>
      <c r="B373" s="22"/>
      <c r="C373" s="22"/>
      <c r="D373" s="22"/>
      <c r="E373" s="22"/>
      <c r="F373" s="22"/>
      <c r="G373" s="112"/>
      <c r="H373" s="112"/>
      <c r="I373" s="112"/>
      <c r="J373" s="112"/>
      <c r="K373" s="112"/>
      <c r="L373" s="112"/>
      <c r="M373" s="253"/>
      <c r="N373" s="253"/>
      <c r="O373" s="253"/>
      <c r="P373" s="253"/>
      <c r="Q373" s="253"/>
      <c r="R373" s="253"/>
      <c r="S373" s="253"/>
      <c r="T373" s="253"/>
      <c r="U373" s="253"/>
      <c r="V373" s="253"/>
      <c r="W373" s="253"/>
      <c r="X373" s="253"/>
      <c r="Y373" s="253"/>
      <c r="Z373" s="253"/>
      <c r="AA373" s="253"/>
      <c r="AB373" s="253"/>
      <c r="AC373" s="253"/>
    </row>
    <row r="374">
      <c r="A374" s="22"/>
      <c r="B374" s="22"/>
      <c r="C374" s="22"/>
      <c r="D374" s="22"/>
      <c r="E374" s="22"/>
      <c r="F374" s="22"/>
      <c r="G374" s="112"/>
      <c r="H374" s="112"/>
      <c r="I374" s="112"/>
      <c r="J374" s="112"/>
      <c r="K374" s="112"/>
      <c r="L374" s="112"/>
      <c r="M374" s="253"/>
      <c r="N374" s="253"/>
      <c r="O374" s="253"/>
      <c r="P374" s="253"/>
      <c r="Q374" s="253"/>
      <c r="R374" s="253"/>
      <c r="S374" s="253"/>
      <c r="T374" s="253"/>
      <c r="U374" s="253"/>
      <c r="V374" s="253"/>
      <c r="W374" s="253"/>
      <c r="X374" s="253"/>
      <c r="Y374" s="253"/>
      <c r="Z374" s="253"/>
      <c r="AA374" s="253"/>
      <c r="AB374" s="253"/>
      <c r="AC374" s="253"/>
    </row>
    <row r="375">
      <c r="A375" s="22"/>
      <c r="B375" s="22"/>
      <c r="C375" s="22"/>
      <c r="D375" s="22"/>
      <c r="E375" s="22"/>
      <c r="F375" s="22"/>
      <c r="G375" s="112"/>
      <c r="H375" s="112"/>
      <c r="I375" s="112"/>
      <c r="J375" s="112"/>
      <c r="K375" s="112"/>
      <c r="L375" s="112"/>
      <c r="M375" s="253"/>
      <c r="N375" s="253"/>
      <c r="O375" s="253"/>
      <c r="P375" s="253"/>
      <c r="Q375" s="253"/>
      <c r="R375" s="253"/>
      <c r="S375" s="253"/>
      <c r="T375" s="253"/>
      <c r="U375" s="253"/>
      <c r="V375" s="253"/>
      <c r="W375" s="253"/>
      <c r="X375" s="253"/>
      <c r="Y375" s="253"/>
      <c r="Z375" s="253"/>
      <c r="AA375" s="253"/>
      <c r="AB375" s="253"/>
      <c r="AC375" s="253"/>
    </row>
    <row r="376">
      <c r="A376" s="22"/>
      <c r="B376" s="22"/>
      <c r="C376" s="22"/>
      <c r="D376" s="22"/>
      <c r="E376" s="22"/>
      <c r="F376" s="22"/>
      <c r="G376" s="112"/>
      <c r="H376" s="112"/>
      <c r="I376" s="112"/>
      <c r="J376" s="112"/>
      <c r="K376" s="112"/>
      <c r="L376" s="112"/>
      <c r="M376" s="253"/>
      <c r="N376" s="253"/>
      <c r="O376" s="253"/>
      <c r="P376" s="253"/>
      <c r="Q376" s="253"/>
      <c r="R376" s="253"/>
      <c r="S376" s="253"/>
      <c r="T376" s="253"/>
      <c r="U376" s="253"/>
      <c r="V376" s="253"/>
      <c r="W376" s="253"/>
      <c r="X376" s="253"/>
      <c r="Y376" s="253"/>
      <c r="Z376" s="253"/>
      <c r="AA376" s="253"/>
      <c r="AB376" s="253"/>
      <c r="AC376" s="253"/>
    </row>
    <row r="377">
      <c r="A377" s="22"/>
      <c r="B377" s="22"/>
      <c r="C377" s="22"/>
      <c r="D377" s="22"/>
      <c r="E377" s="22"/>
      <c r="F377" s="22"/>
      <c r="G377" s="112"/>
      <c r="H377" s="112"/>
      <c r="I377" s="112"/>
      <c r="J377" s="112"/>
      <c r="K377" s="112"/>
      <c r="L377" s="112"/>
      <c r="M377" s="253"/>
      <c r="N377" s="253"/>
      <c r="O377" s="253"/>
      <c r="P377" s="253"/>
      <c r="Q377" s="253"/>
      <c r="R377" s="253"/>
      <c r="S377" s="253"/>
      <c r="T377" s="253"/>
      <c r="U377" s="253"/>
      <c r="V377" s="253"/>
      <c r="W377" s="253"/>
      <c r="X377" s="253"/>
      <c r="Y377" s="253"/>
      <c r="Z377" s="253"/>
      <c r="AA377" s="253"/>
      <c r="AB377" s="253"/>
      <c r="AC377" s="253"/>
    </row>
    <row r="378">
      <c r="A378" s="22"/>
      <c r="B378" s="22"/>
      <c r="C378" s="22"/>
      <c r="D378" s="22"/>
      <c r="E378" s="22"/>
      <c r="F378" s="22"/>
      <c r="G378" s="112"/>
      <c r="H378" s="112"/>
      <c r="I378" s="112"/>
      <c r="J378" s="112"/>
      <c r="K378" s="112"/>
      <c r="L378" s="112"/>
      <c r="M378" s="253"/>
      <c r="N378" s="253"/>
      <c r="O378" s="253"/>
      <c r="P378" s="253"/>
      <c r="Q378" s="253"/>
      <c r="R378" s="253"/>
      <c r="S378" s="253"/>
      <c r="T378" s="253"/>
      <c r="U378" s="253"/>
      <c r="V378" s="253"/>
      <c r="W378" s="253"/>
      <c r="X378" s="253"/>
      <c r="Y378" s="253"/>
      <c r="Z378" s="253"/>
      <c r="AA378" s="253"/>
      <c r="AB378" s="253"/>
      <c r="AC378" s="253"/>
    </row>
    <row r="379">
      <c r="A379" s="22"/>
      <c r="B379" s="22"/>
      <c r="C379" s="22"/>
      <c r="D379" s="22"/>
      <c r="E379" s="22"/>
      <c r="F379" s="22"/>
      <c r="G379" s="112"/>
      <c r="H379" s="112"/>
      <c r="I379" s="112"/>
      <c r="J379" s="112"/>
      <c r="K379" s="112"/>
      <c r="L379" s="112"/>
      <c r="M379" s="253"/>
      <c r="N379" s="253"/>
      <c r="O379" s="253"/>
      <c r="P379" s="253"/>
      <c r="Q379" s="253"/>
      <c r="R379" s="253"/>
      <c r="S379" s="253"/>
      <c r="T379" s="253"/>
      <c r="U379" s="253"/>
      <c r="V379" s="253"/>
      <c r="W379" s="253"/>
      <c r="X379" s="253"/>
      <c r="Y379" s="253"/>
      <c r="Z379" s="253"/>
      <c r="AA379" s="253"/>
      <c r="AB379" s="253"/>
      <c r="AC379" s="253"/>
    </row>
    <row r="380">
      <c r="A380" s="22"/>
      <c r="B380" s="22"/>
      <c r="C380" s="22"/>
      <c r="D380" s="22"/>
      <c r="E380" s="22"/>
      <c r="F380" s="22"/>
      <c r="G380" s="112"/>
      <c r="H380" s="112"/>
      <c r="I380" s="112"/>
      <c r="J380" s="112"/>
      <c r="K380" s="112"/>
      <c r="L380" s="112"/>
      <c r="M380" s="253"/>
      <c r="N380" s="253"/>
      <c r="O380" s="253"/>
      <c r="P380" s="253"/>
      <c r="Q380" s="253"/>
      <c r="R380" s="253"/>
      <c r="S380" s="253"/>
      <c r="T380" s="253"/>
      <c r="U380" s="253"/>
      <c r="V380" s="253"/>
      <c r="W380" s="253"/>
      <c r="X380" s="253"/>
      <c r="Y380" s="253"/>
      <c r="Z380" s="253"/>
      <c r="AA380" s="253"/>
      <c r="AB380" s="253"/>
      <c r="AC380" s="253"/>
    </row>
    <row r="381">
      <c r="A381" s="22"/>
      <c r="B381" s="22"/>
      <c r="C381" s="22"/>
      <c r="D381" s="22"/>
      <c r="E381" s="22"/>
      <c r="F381" s="22"/>
      <c r="G381" s="112"/>
      <c r="H381" s="112"/>
      <c r="I381" s="112"/>
      <c r="J381" s="112"/>
      <c r="K381" s="112"/>
      <c r="L381" s="112"/>
      <c r="M381" s="253"/>
      <c r="N381" s="253"/>
      <c r="O381" s="253"/>
      <c r="P381" s="253"/>
      <c r="Q381" s="253"/>
      <c r="R381" s="253"/>
      <c r="S381" s="253"/>
      <c r="T381" s="253"/>
      <c r="U381" s="253"/>
      <c r="V381" s="253"/>
      <c r="W381" s="253"/>
      <c r="X381" s="253"/>
      <c r="Y381" s="253"/>
      <c r="Z381" s="253"/>
      <c r="AA381" s="253"/>
      <c r="AB381" s="253"/>
      <c r="AC381" s="253"/>
    </row>
    <row r="382">
      <c r="A382" s="22"/>
      <c r="B382" s="22"/>
      <c r="C382" s="22"/>
      <c r="D382" s="22"/>
      <c r="E382" s="22"/>
      <c r="F382" s="22"/>
      <c r="G382" s="112"/>
      <c r="H382" s="112"/>
      <c r="I382" s="112"/>
      <c r="J382" s="112"/>
      <c r="K382" s="112"/>
      <c r="L382" s="112"/>
      <c r="M382" s="253"/>
      <c r="N382" s="253"/>
      <c r="O382" s="253"/>
      <c r="P382" s="253"/>
      <c r="Q382" s="253"/>
      <c r="R382" s="253"/>
      <c r="S382" s="253"/>
      <c r="T382" s="253"/>
      <c r="U382" s="253"/>
      <c r="V382" s="253"/>
      <c r="W382" s="253"/>
      <c r="X382" s="253"/>
      <c r="Y382" s="253"/>
      <c r="Z382" s="253"/>
      <c r="AA382" s="253"/>
      <c r="AB382" s="253"/>
      <c r="AC382" s="253"/>
    </row>
    <row r="383">
      <c r="A383" s="22"/>
      <c r="B383" s="22"/>
      <c r="C383" s="22"/>
      <c r="D383" s="22"/>
      <c r="E383" s="22"/>
      <c r="F383" s="22"/>
      <c r="G383" s="112"/>
      <c r="H383" s="112"/>
      <c r="I383" s="112"/>
      <c r="J383" s="112"/>
      <c r="K383" s="112"/>
      <c r="L383" s="112"/>
      <c r="M383" s="253"/>
      <c r="N383" s="253"/>
      <c r="O383" s="253"/>
      <c r="P383" s="253"/>
      <c r="Q383" s="253"/>
      <c r="R383" s="253"/>
      <c r="S383" s="253"/>
      <c r="T383" s="253"/>
      <c r="U383" s="253"/>
      <c r="V383" s="253"/>
      <c r="W383" s="253"/>
      <c r="X383" s="253"/>
      <c r="Y383" s="253"/>
      <c r="Z383" s="253"/>
      <c r="AA383" s="253"/>
      <c r="AB383" s="253"/>
      <c r="AC383" s="253"/>
    </row>
    <row r="384">
      <c r="A384" s="22"/>
      <c r="B384" s="22"/>
      <c r="C384" s="22"/>
      <c r="D384" s="22"/>
      <c r="E384" s="22"/>
      <c r="F384" s="22"/>
      <c r="G384" s="112"/>
      <c r="H384" s="112"/>
      <c r="I384" s="112"/>
      <c r="J384" s="112"/>
      <c r="K384" s="112"/>
      <c r="L384" s="112"/>
      <c r="M384" s="253"/>
      <c r="N384" s="253"/>
      <c r="O384" s="253"/>
      <c r="P384" s="253"/>
      <c r="Q384" s="253"/>
      <c r="R384" s="253"/>
      <c r="S384" s="253"/>
      <c r="T384" s="253"/>
      <c r="U384" s="253"/>
      <c r="V384" s="253"/>
      <c r="W384" s="253"/>
      <c r="X384" s="253"/>
      <c r="Y384" s="253"/>
      <c r="Z384" s="253"/>
      <c r="AA384" s="253"/>
      <c r="AB384" s="253"/>
      <c r="AC384" s="253"/>
    </row>
    <row r="385">
      <c r="A385" s="22"/>
      <c r="B385" s="22"/>
      <c r="C385" s="22"/>
      <c r="D385" s="22"/>
      <c r="E385" s="22"/>
      <c r="F385" s="22"/>
      <c r="G385" s="112"/>
      <c r="H385" s="112"/>
      <c r="I385" s="112"/>
      <c r="J385" s="112"/>
      <c r="K385" s="112"/>
      <c r="L385" s="112"/>
      <c r="M385" s="253"/>
      <c r="N385" s="253"/>
      <c r="O385" s="253"/>
      <c r="P385" s="253"/>
      <c r="Q385" s="253"/>
      <c r="R385" s="253"/>
      <c r="S385" s="253"/>
      <c r="T385" s="253"/>
      <c r="U385" s="253"/>
      <c r="V385" s="253"/>
      <c r="W385" s="253"/>
      <c r="X385" s="253"/>
      <c r="Y385" s="253"/>
      <c r="Z385" s="253"/>
      <c r="AA385" s="253"/>
      <c r="AB385" s="253"/>
      <c r="AC385" s="253"/>
    </row>
    <row r="386">
      <c r="A386" s="22"/>
      <c r="B386" s="22"/>
      <c r="C386" s="22"/>
      <c r="D386" s="22"/>
      <c r="E386" s="22"/>
      <c r="F386" s="22"/>
      <c r="G386" s="112"/>
      <c r="H386" s="112"/>
      <c r="I386" s="112"/>
      <c r="J386" s="112"/>
      <c r="K386" s="112"/>
      <c r="L386" s="112"/>
      <c r="M386" s="253"/>
      <c r="N386" s="253"/>
      <c r="O386" s="253"/>
      <c r="P386" s="253"/>
      <c r="Q386" s="253"/>
      <c r="R386" s="253"/>
      <c r="S386" s="253"/>
      <c r="T386" s="253"/>
      <c r="U386" s="253"/>
      <c r="V386" s="253"/>
      <c r="W386" s="253"/>
      <c r="X386" s="253"/>
      <c r="Y386" s="253"/>
      <c r="Z386" s="253"/>
      <c r="AA386" s="253"/>
      <c r="AB386" s="253"/>
      <c r="AC386" s="253"/>
    </row>
    <row r="387">
      <c r="A387" s="22"/>
      <c r="B387" s="22"/>
      <c r="C387" s="22"/>
      <c r="D387" s="22"/>
      <c r="E387" s="22"/>
      <c r="F387" s="22"/>
      <c r="G387" s="112"/>
      <c r="H387" s="112"/>
      <c r="I387" s="112"/>
      <c r="J387" s="112"/>
      <c r="K387" s="112"/>
      <c r="L387" s="112"/>
      <c r="M387" s="253"/>
      <c r="N387" s="253"/>
      <c r="O387" s="253"/>
      <c r="P387" s="253"/>
      <c r="Q387" s="253"/>
      <c r="R387" s="253"/>
      <c r="S387" s="253"/>
      <c r="T387" s="253"/>
      <c r="U387" s="253"/>
      <c r="V387" s="253"/>
      <c r="W387" s="253"/>
      <c r="X387" s="253"/>
      <c r="Y387" s="253"/>
      <c r="Z387" s="253"/>
      <c r="AA387" s="253"/>
      <c r="AB387" s="253"/>
      <c r="AC387" s="253"/>
    </row>
    <row r="388">
      <c r="A388" s="22"/>
      <c r="B388" s="22"/>
      <c r="C388" s="22"/>
      <c r="D388" s="22"/>
      <c r="E388" s="22"/>
      <c r="F388" s="22"/>
      <c r="G388" s="112"/>
      <c r="H388" s="112"/>
      <c r="I388" s="112"/>
      <c r="J388" s="112"/>
      <c r="K388" s="112"/>
      <c r="L388" s="112"/>
      <c r="M388" s="253"/>
      <c r="N388" s="253"/>
      <c r="O388" s="253"/>
      <c r="P388" s="253"/>
      <c r="Q388" s="253"/>
      <c r="R388" s="253"/>
      <c r="S388" s="253"/>
      <c r="T388" s="253"/>
      <c r="U388" s="253"/>
      <c r="V388" s="253"/>
      <c r="W388" s="253"/>
      <c r="X388" s="253"/>
      <c r="Y388" s="253"/>
      <c r="Z388" s="253"/>
      <c r="AA388" s="253"/>
      <c r="AB388" s="253"/>
      <c r="AC388" s="253"/>
    </row>
    <row r="389">
      <c r="A389" s="22"/>
      <c r="B389" s="22"/>
      <c r="C389" s="22"/>
      <c r="D389" s="22"/>
      <c r="E389" s="22"/>
      <c r="F389" s="22"/>
      <c r="G389" s="112"/>
      <c r="H389" s="112"/>
      <c r="I389" s="112"/>
      <c r="J389" s="112"/>
      <c r="K389" s="112"/>
      <c r="L389" s="112"/>
      <c r="M389" s="253"/>
      <c r="N389" s="253"/>
      <c r="O389" s="253"/>
      <c r="P389" s="253"/>
      <c r="Q389" s="253"/>
      <c r="R389" s="253"/>
      <c r="S389" s="253"/>
      <c r="T389" s="253"/>
      <c r="U389" s="253"/>
      <c r="V389" s="253"/>
      <c r="W389" s="253"/>
      <c r="X389" s="253"/>
      <c r="Y389" s="253"/>
      <c r="Z389" s="253"/>
      <c r="AA389" s="253"/>
      <c r="AB389" s="253"/>
      <c r="AC389" s="253"/>
    </row>
    <row r="390">
      <c r="A390" s="22"/>
      <c r="B390" s="22"/>
      <c r="C390" s="22"/>
      <c r="D390" s="22"/>
      <c r="E390" s="22"/>
      <c r="F390" s="22"/>
      <c r="G390" s="112"/>
      <c r="H390" s="112"/>
      <c r="I390" s="112"/>
      <c r="J390" s="112"/>
      <c r="K390" s="112"/>
      <c r="L390" s="112"/>
      <c r="M390" s="253"/>
      <c r="N390" s="253"/>
      <c r="O390" s="253"/>
      <c r="P390" s="253"/>
      <c r="Q390" s="253"/>
      <c r="R390" s="253"/>
      <c r="S390" s="253"/>
      <c r="T390" s="253"/>
      <c r="U390" s="253"/>
      <c r="V390" s="253"/>
      <c r="W390" s="253"/>
      <c r="X390" s="253"/>
      <c r="Y390" s="253"/>
      <c r="Z390" s="253"/>
      <c r="AA390" s="253"/>
      <c r="AB390" s="253"/>
      <c r="AC390" s="253"/>
    </row>
    <row r="391">
      <c r="A391" s="22"/>
      <c r="B391" s="22"/>
      <c r="C391" s="22"/>
      <c r="D391" s="22"/>
      <c r="E391" s="22"/>
      <c r="F391" s="22"/>
      <c r="G391" s="112"/>
      <c r="H391" s="112"/>
      <c r="I391" s="112"/>
      <c r="J391" s="112"/>
      <c r="K391" s="112"/>
      <c r="L391" s="112"/>
      <c r="M391" s="253"/>
      <c r="N391" s="253"/>
      <c r="O391" s="253"/>
      <c r="P391" s="253"/>
      <c r="Q391" s="253"/>
      <c r="R391" s="253"/>
      <c r="S391" s="253"/>
      <c r="T391" s="253"/>
      <c r="U391" s="253"/>
      <c r="V391" s="253"/>
      <c r="W391" s="253"/>
      <c r="X391" s="253"/>
      <c r="Y391" s="253"/>
      <c r="Z391" s="253"/>
      <c r="AA391" s="253"/>
      <c r="AB391" s="253"/>
      <c r="AC391" s="253"/>
    </row>
    <row r="392">
      <c r="A392" s="22"/>
      <c r="B392" s="22"/>
      <c r="C392" s="22"/>
      <c r="D392" s="22"/>
      <c r="E392" s="22"/>
      <c r="F392" s="22"/>
      <c r="G392" s="112"/>
      <c r="H392" s="112"/>
      <c r="I392" s="112"/>
      <c r="J392" s="112"/>
      <c r="K392" s="112"/>
      <c r="L392" s="112"/>
      <c r="M392" s="253"/>
      <c r="N392" s="253"/>
      <c r="O392" s="253"/>
      <c r="P392" s="253"/>
      <c r="Q392" s="253"/>
      <c r="R392" s="253"/>
      <c r="S392" s="253"/>
      <c r="T392" s="253"/>
      <c r="U392" s="253"/>
      <c r="V392" s="253"/>
      <c r="W392" s="253"/>
      <c r="X392" s="253"/>
      <c r="Y392" s="253"/>
      <c r="Z392" s="253"/>
      <c r="AA392" s="253"/>
      <c r="AB392" s="253"/>
      <c r="AC392" s="253"/>
    </row>
    <row r="393">
      <c r="A393" s="22"/>
      <c r="B393" s="22"/>
      <c r="C393" s="22"/>
      <c r="D393" s="22"/>
      <c r="E393" s="22"/>
      <c r="F393" s="22"/>
      <c r="G393" s="112"/>
      <c r="H393" s="112"/>
      <c r="I393" s="112"/>
      <c r="J393" s="112"/>
      <c r="K393" s="112"/>
      <c r="L393" s="112"/>
      <c r="M393" s="253"/>
      <c r="N393" s="253"/>
      <c r="O393" s="253"/>
      <c r="P393" s="253"/>
      <c r="Q393" s="253"/>
      <c r="R393" s="253"/>
      <c r="S393" s="253"/>
      <c r="T393" s="253"/>
      <c r="U393" s="253"/>
      <c r="V393" s="253"/>
      <c r="W393" s="253"/>
      <c r="X393" s="253"/>
      <c r="Y393" s="253"/>
      <c r="Z393" s="253"/>
      <c r="AA393" s="253"/>
      <c r="AB393" s="253"/>
      <c r="AC393" s="253"/>
    </row>
    <row r="394">
      <c r="A394" s="22"/>
      <c r="B394" s="22"/>
      <c r="C394" s="22"/>
      <c r="D394" s="22"/>
      <c r="E394" s="22"/>
      <c r="F394" s="22"/>
      <c r="G394" s="112"/>
      <c r="H394" s="112"/>
      <c r="I394" s="112"/>
      <c r="J394" s="112"/>
      <c r="K394" s="112"/>
      <c r="L394" s="112"/>
      <c r="M394" s="253"/>
      <c r="N394" s="253"/>
      <c r="O394" s="253"/>
      <c r="P394" s="253"/>
      <c r="Q394" s="253"/>
      <c r="R394" s="253"/>
      <c r="S394" s="253"/>
      <c r="T394" s="253"/>
      <c r="U394" s="253"/>
      <c r="V394" s="253"/>
      <c r="W394" s="253"/>
      <c r="X394" s="253"/>
      <c r="Y394" s="253"/>
      <c r="Z394" s="253"/>
      <c r="AA394" s="253"/>
      <c r="AB394" s="253"/>
      <c r="AC394" s="253"/>
    </row>
    <row r="395">
      <c r="A395" s="22"/>
      <c r="B395" s="22"/>
      <c r="C395" s="22"/>
      <c r="D395" s="22"/>
      <c r="E395" s="22"/>
      <c r="F395" s="22"/>
      <c r="G395" s="112"/>
      <c r="H395" s="112"/>
      <c r="I395" s="112"/>
      <c r="J395" s="112"/>
      <c r="K395" s="112"/>
      <c r="L395" s="112"/>
      <c r="M395" s="253"/>
      <c r="N395" s="253"/>
      <c r="O395" s="253"/>
      <c r="P395" s="253"/>
      <c r="Q395" s="253"/>
      <c r="R395" s="253"/>
      <c r="S395" s="253"/>
      <c r="T395" s="253"/>
      <c r="U395" s="253"/>
      <c r="V395" s="253"/>
      <c r="W395" s="253"/>
      <c r="X395" s="253"/>
      <c r="Y395" s="253"/>
      <c r="Z395" s="253"/>
      <c r="AA395" s="253"/>
      <c r="AB395" s="253"/>
      <c r="AC395" s="253"/>
    </row>
    <row r="396">
      <c r="A396" s="22"/>
      <c r="B396" s="22"/>
      <c r="C396" s="22"/>
      <c r="D396" s="22"/>
      <c r="E396" s="22"/>
      <c r="F396" s="22"/>
      <c r="G396" s="112"/>
      <c r="H396" s="112"/>
      <c r="I396" s="112"/>
      <c r="J396" s="112"/>
      <c r="K396" s="112"/>
      <c r="L396" s="112"/>
      <c r="M396" s="253"/>
      <c r="N396" s="253"/>
      <c r="O396" s="253"/>
      <c r="P396" s="253"/>
      <c r="Q396" s="253"/>
      <c r="R396" s="253"/>
      <c r="S396" s="253"/>
      <c r="T396" s="253"/>
      <c r="U396" s="253"/>
      <c r="V396" s="253"/>
      <c r="W396" s="253"/>
      <c r="X396" s="253"/>
      <c r="Y396" s="253"/>
      <c r="Z396" s="253"/>
      <c r="AA396" s="253"/>
      <c r="AB396" s="253"/>
      <c r="AC396" s="253"/>
    </row>
    <row r="397">
      <c r="A397" s="22"/>
      <c r="B397" s="22"/>
      <c r="C397" s="22"/>
      <c r="D397" s="22"/>
      <c r="E397" s="22"/>
      <c r="F397" s="22"/>
      <c r="G397" s="112"/>
      <c r="H397" s="112"/>
      <c r="I397" s="112"/>
      <c r="J397" s="112"/>
      <c r="K397" s="112"/>
      <c r="L397" s="112"/>
      <c r="M397" s="253"/>
      <c r="N397" s="253"/>
      <c r="O397" s="253"/>
      <c r="P397" s="253"/>
      <c r="Q397" s="253"/>
      <c r="R397" s="253"/>
      <c r="S397" s="253"/>
      <c r="T397" s="253"/>
      <c r="U397" s="253"/>
      <c r="V397" s="253"/>
      <c r="W397" s="253"/>
      <c r="X397" s="253"/>
      <c r="Y397" s="253"/>
      <c r="Z397" s="253"/>
      <c r="AA397" s="253"/>
      <c r="AB397" s="253"/>
      <c r="AC397" s="253"/>
    </row>
    <row r="398">
      <c r="A398" s="22"/>
      <c r="B398" s="22"/>
      <c r="C398" s="22"/>
      <c r="D398" s="22"/>
      <c r="E398" s="22"/>
      <c r="F398" s="22"/>
      <c r="G398" s="112"/>
      <c r="H398" s="112"/>
      <c r="I398" s="112"/>
      <c r="J398" s="112"/>
      <c r="K398" s="112"/>
      <c r="L398" s="112"/>
      <c r="M398" s="253"/>
      <c r="N398" s="253"/>
      <c r="O398" s="253"/>
      <c r="P398" s="253"/>
      <c r="Q398" s="253"/>
      <c r="R398" s="253"/>
      <c r="S398" s="253"/>
      <c r="T398" s="253"/>
      <c r="U398" s="253"/>
      <c r="V398" s="253"/>
      <c r="W398" s="253"/>
      <c r="X398" s="253"/>
      <c r="Y398" s="253"/>
      <c r="Z398" s="253"/>
      <c r="AA398" s="253"/>
      <c r="AB398" s="253"/>
      <c r="AC398" s="253"/>
    </row>
    <row r="399">
      <c r="A399" s="22"/>
      <c r="B399" s="22"/>
      <c r="C399" s="22"/>
      <c r="D399" s="22"/>
      <c r="E399" s="22"/>
      <c r="F399" s="22"/>
      <c r="G399" s="112"/>
      <c r="H399" s="112"/>
      <c r="I399" s="112"/>
      <c r="J399" s="112"/>
      <c r="K399" s="112"/>
      <c r="L399" s="112"/>
      <c r="M399" s="253"/>
      <c r="N399" s="253"/>
      <c r="O399" s="253"/>
      <c r="P399" s="253"/>
      <c r="Q399" s="253"/>
      <c r="R399" s="253"/>
      <c r="S399" s="253"/>
      <c r="T399" s="253"/>
      <c r="U399" s="253"/>
      <c r="V399" s="253"/>
      <c r="W399" s="253"/>
      <c r="X399" s="253"/>
      <c r="Y399" s="253"/>
      <c r="Z399" s="253"/>
      <c r="AA399" s="253"/>
      <c r="AB399" s="253"/>
      <c r="AC399" s="253"/>
    </row>
    <row r="400">
      <c r="A400" s="22"/>
      <c r="B400" s="22"/>
      <c r="C400" s="22"/>
      <c r="D400" s="22"/>
      <c r="E400" s="22"/>
      <c r="F400" s="22"/>
      <c r="G400" s="112"/>
      <c r="H400" s="112"/>
      <c r="I400" s="112"/>
      <c r="J400" s="112"/>
      <c r="K400" s="112"/>
      <c r="L400" s="112"/>
      <c r="M400" s="253"/>
      <c r="N400" s="253"/>
      <c r="O400" s="253"/>
      <c r="P400" s="253"/>
      <c r="Q400" s="253"/>
      <c r="R400" s="253"/>
      <c r="S400" s="253"/>
      <c r="T400" s="253"/>
      <c r="U400" s="253"/>
      <c r="V400" s="253"/>
      <c r="W400" s="253"/>
      <c r="X400" s="253"/>
      <c r="Y400" s="253"/>
      <c r="Z400" s="253"/>
      <c r="AA400" s="253"/>
      <c r="AB400" s="253"/>
      <c r="AC400" s="253"/>
    </row>
    <row r="401">
      <c r="A401" s="22"/>
      <c r="B401" s="22"/>
      <c r="C401" s="22"/>
      <c r="D401" s="22"/>
      <c r="E401" s="22"/>
      <c r="F401" s="22"/>
      <c r="G401" s="112"/>
      <c r="H401" s="112"/>
      <c r="I401" s="112"/>
      <c r="J401" s="112"/>
      <c r="K401" s="112"/>
      <c r="L401" s="112"/>
      <c r="M401" s="253"/>
      <c r="N401" s="253"/>
      <c r="O401" s="253"/>
      <c r="P401" s="253"/>
      <c r="Q401" s="253"/>
      <c r="R401" s="253"/>
      <c r="S401" s="253"/>
      <c r="T401" s="253"/>
      <c r="U401" s="253"/>
      <c r="V401" s="253"/>
      <c r="W401" s="253"/>
      <c r="X401" s="253"/>
      <c r="Y401" s="253"/>
      <c r="Z401" s="253"/>
      <c r="AA401" s="253"/>
      <c r="AB401" s="253"/>
      <c r="AC401" s="253"/>
    </row>
    <row r="402">
      <c r="A402" s="22"/>
      <c r="B402" s="22"/>
      <c r="C402" s="22"/>
      <c r="D402" s="22"/>
      <c r="E402" s="22"/>
      <c r="F402" s="22"/>
      <c r="G402" s="112"/>
      <c r="H402" s="112"/>
      <c r="I402" s="112"/>
      <c r="J402" s="112"/>
      <c r="K402" s="112"/>
      <c r="L402" s="112"/>
      <c r="M402" s="253"/>
      <c r="N402" s="253"/>
      <c r="O402" s="253"/>
      <c r="P402" s="253"/>
      <c r="Q402" s="253"/>
      <c r="R402" s="253"/>
      <c r="S402" s="253"/>
      <c r="T402" s="253"/>
      <c r="U402" s="253"/>
      <c r="V402" s="253"/>
      <c r="W402" s="253"/>
      <c r="X402" s="253"/>
      <c r="Y402" s="253"/>
      <c r="Z402" s="253"/>
      <c r="AA402" s="253"/>
      <c r="AB402" s="253"/>
      <c r="AC402" s="253"/>
    </row>
    <row r="403">
      <c r="A403" s="22"/>
      <c r="B403" s="22"/>
      <c r="C403" s="22"/>
      <c r="D403" s="22"/>
      <c r="E403" s="22"/>
      <c r="F403" s="22"/>
      <c r="G403" s="112"/>
      <c r="H403" s="112"/>
      <c r="I403" s="112"/>
      <c r="J403" s="112"/>
      <c r="K403" s="112"/>
      <c r="L403" s="112"/>
      <c r="M403" s="253"/>
      <c r="N403" s="253"/>
      <c r="O403" s="253"/>
      <c r="P403" s="253"/>
      <c r="Q403" s="253"/>
      <c r="R403" s="253"/>
      <c r="S403" s="253"/>
      <c r="T403" s="253"/>
      <c r="U403" s="253"/>
      <c r="V403" s="253"/>
      <c r="W403" s="253"/>
      <c r="X403" s="253"/>
      <c r="Y403" s="253"/>
      <c r="Z403" s="253"/>
      <c r="AA403" s="253"/>
      <c r="AB403" s="253"/>
      <c r="AC403" s="253"/>
    </row>
    <row r="404">
      <c r="A404" s="22"/>
      <c r="B404" s="22"/>
      <c r="C404" s="22"/>
      <c r="D404" s="22"/>
      <c r="E404" s="22"/>
      <c r="F404" s="22"/>
      <c r="G404" s="112"/>
      <c r="H404" s="112"/>
      <c r="I404" s="112"/>
      <c r="J404" s="112"/>
      <c r="K404" s="112"/>
      <c r="L404" s="112"/>
      <c r="M404" s="253"/>
      <c r="N404" s="253"/>
      <c r="O404" s="253"/>
      <c r="P404" s="253"/>
      <c r="Q404" s="253"/>
      <c r="R404" s="253"/>
      <c r="S404" s="253"/>
      <c r="T404" s="253"/>
      <c r="U404" s="253"/>
      <c r="V404" s="253"/>
      <c r="W404" s="253"/>
      <c r="X404" s="253"/>
      <c r="Y404" s="253"/>
      <c r="Z404" s="253"/>
      <c r="AA404" s="253"/>
      <c r="AB404" s="253"/>
      <c r="AC404" s="253"/>
    </row>
    <row r="405">
      <c r="A405" s="22"/>
      <c r="B405" s="22"/>
      <c r="C405" s="22"/>
      <c r="D405" s="22"/>
      <c r="E405" s="22"/>
      <c r="F405" s="22"/>
      <c r="G405" s="112"/>
      <c r="H405" s="112"/>
      <c r="I405" s="112"/>
      <c r="J405" s="112"/>
      <c r="K405" s="112"/>
      <c r="L405" s="112"/>
      <c r="M405" s="253"/>
      <c r="N405" s="253"/>
      <c r="O405" s="253"/>
      <c r="P405" s="253"/>
      <c r="Q405" s="253"/>
      <c r="R405" s="253"/>
      <c r="S405" s="253"/>
      <c r="T405" s="253"/>
      <c r="U405" s="253"/>
      <c r="V405" s="253"/>
      <c r="W405" s="253"/>
      <c r="X405" s="253"/>
      <c r="Y405" s="253"/>
      <c r="Z405" s="253"/>
      <c r="AA405" s="253"/>
      <c r="AB405" s="253"/>
      <c r="AC405" s="253"/>
    </row>
    <row r="406">
      <c r="A406" s="22"/>
      <c r="B406" s="22"/>
      <c r="C406" s="22"/>
      <c r="D406" s="22"/>
      <c r="E406" s="22"/>
      <c r="F406" s="22"/>
      <c r="G406" s="112"/>
      <c r="H406" s="112"/>
      <c r="I406" s="112"/>
      <c r="J406" s="112"/>
      <c r="K406" s="112"/>
      <c r="L406" s="112"/>
      <c r="M406" s="253"/>
      <c r="N406" s="253"/>
      <c r="O406" s="253"/>
      <c r="P406" s="253"/>
      <c r="Q406" s="253"/>
      <c r="R406" s="253"/>
      <c r="S406" s="253"/>
      <c r="T406" s="253"/>
      <c r="U406" s="253"/>
      <c r="V406" s="253"/>
      <c r="W406" s="253"/>
      <c r="X406" s="253"/>
      <c r="Y406" s="253"/>
      <c r="Z406" s="253"/>
      <c r="AA406" s="253"/>
      <c r="AB406" s="253"/>
      <c r="AC406" s="253"/>
    </row>
    <row r="407">
      <c r="A407" s="22"/>
      <c r="B407" s="22"/>
      <c r="C407" s="22"/>
      <c r="D407" s="22"/>
      <c r="E407" s="22"/>
      <c r="F407" s="22"/>
      <c r="G407" s="112"/>
      <c r="H407" s="112"/>
      <c r="I407" s="112"/>
      <c r="J407" s="112"/>
      <c r="K407" s="112"/>
      <c r="L407" s="112"/>
      <c r="M407" s="253"/>
      <c r="N407" s="253"/>
      <c r="O407" s="253"/>
      <c r="P407" s="253"/>
      <c r="Q407" s="253"/>
      <c r="R407" s="253"/>
      <c r="S407" s="253"/>
      <c r="T407" s="253"/>
      <c r="U407" s="253"/>
      <c r="V407" s="253"/>
      <c r="W407" s="253"/>
      <c r="X407" s="253"/>
      <c r="Y407" s="253"/>
      <c r="Z407" s="253"/>
      <c r="AA407" s="253"/>
      <c r="AB407" s="253"/>
      <c r="AC407" s="253"/>
    </row>
    <row r="408">
      <c r="A408" s="22"/>
      <c r="B408" s="22"/>
      <c r="C408" s="22"/>
      <c r="D408" s="22"/>
      <c r="E408" s="22"/>
      <c r="F408" s="22"/>
      <c r="G408" s="112"/>
      <c r="H408" s="112"/>
      <c r="I408" s="112"/>
      <c r="J408" s="112"/>
      <c r="K408" s="112"/>
      <c r="L408" s="112"/>
      <c r="M408" s="253"/>
      <c r="N408" s="253"/>
      <c r="O408" s="253"/>
      <c r="P408" s="253"/>
      <c r="Q408" s="253"/>
      <c r="R408" s="253"/>
      <c r="S408" s="253"/>
      <c r="T408" s="253"/>
      <c r="U408" s="253"/>
      <c r="V408" s="253"/>
      <c r="W408" s="253"/>
      <c r="X408" s="253"/>
      <c r="Y408" s="253"/>
      <c r="Z408" s="253"/>
      <c r="AA408" s="253"/>
      <c r="AB408" s="253"/>
      <c r="AC408" s="253"/>
    </row>
    <row r="409">
      <c r="A409" s="22"/>
      <c r="B409" s="22"/>
      <c r="C409" s="22"/>
      <c r="D409" s="22"/>
      <c r="E409" s="22"/>
      <c r="F409" s="22"/>
      <c r="G409" s="112"/>
      <c r="H409" s="112"/>
      <c r="I409" s="112"/>
      <c r="J409" s="112"/>
      <c r="K409" s="112"/>
      <c r="L409" s="112"/>
      <c r="M409" s="253"/>
      <c r="N409" s="253"/>
      <c r="O409" s="253"/>
      <c r="P409" s="253"/>
      <c r="Q409" s="253"/>
      <c r="R409" s="253"/>
      <c r="S409" s="253"/>
      <c r="T409" s="253"/>
      <c r="U409" s="253"/>
      <c r="V409" s="253"/>
      <c r="W409" s="253"/>
      <c r="X409" s="253"/>
      <c r="Y409" s="253"/>
      <c r="Z409" s="253"/>
      <c r="AA409" s="253"/>
      <c r="AB409" s="253"/>
      <c r="AC409" s="253"/>
    </row>
    <row r="410">
      <c r="A410" s="22"/>
      <c r="B410" s="22"/>
      <c r="C410" s="22"/>
      <c r="D410" s="22"/>
      <c r="E410" s="22"/>
      <c r="F410" s="22"/>
      <c r="G410" s="112"/>
      <c r="H410" s="112"/>
      <c r="I410" s="112"/>
      <c r="J410" s="112"/>
      <c r="K410" s="112"/>
      <c r="L410" s="112"/>
      <c r="M410" s="253"/>
      <c r="N410" s="253"/>
      <c r="O410" s="253"/>
      <c r="P410" s="253"/>
      <c r="Q410" s="253"/>
      <c r="R410" s="253"/>
      <c r="S410" s="253"/>
      <c r="T410" s="253"/>
      <c r="U410" s="253"/>
      <c r="V410" s="253"/>
      <c r="W410" s="253"/>
      <c r="X410" s="253"/>
      <c r="Y410" s="253"/>
      <c r="Z410" s="253"/>
      <c r="AA410" s="253"/>
      <c r="AB410" s="253"/>
      <c r="AC410" s="253"/>
    </row>
    <row r="411">
      <c r="A411" s="22"/>
      <c r="B411" s="22"/>
      <c r="C411" s="22"/>
      <c r="D411" s="22"/>
      <c r="E411" s="22"/>
      <c r="F411" s="22"/>
      <c r="G411" s="112"/>
      <c r="H411" s="112"/>
      <c r="I411" s="112"/>
      <c r="J411" s="112"/>
      <c r="K411" s="112"/>
      <c r="L411" s="112"/>
      <c r="M411" s="253"/>
      <c r="N411" s="253"/>
      <c r="O411" s="253"/>
      <c r="P411" s="253"/>
      <c r="Q411" s="253"/>
      <c r="R411" s="253"/>
      <c r="S411" s="253"/>
      <c r="T411" s="253"/>
      <c r="U411" s="253"/>
      <c r="V411" s="253"/>
      <c r="W411" s="253"/>
      <c r="X411" s="253"/>
      <c r="Y411" s="253"/>
      <c r="Z411" s="253"/>
      <c r="AA411" s="253"/>
      <c r="AB411" s="253"/>
      <c r="AC411" s="253"/>
    </row>
    <row r="412">
      <c r="A412" s="22"/>
      <c r="B412" s="22"/>
      <c r="C412" s="22"/>
      <c r="D412" s="22"/>
      <c r="E412" s="22"/>
      <c r="F412" s="22"/>
      <c r="G412" s="112"/>
      <c r="H412" s="112"/>
      <c r="I412" s="112"/>
      <c r="J412" s="112"/>
      <c r="K412" s="112"/>
      <c r="L412" s="112"/>
      <c r="M412" s="253"/>
      <c r="N412" s="253"/>
      <c r="O412" s="253"/>
      <c r="P412" s="253"/>
      <c r="Q412" s="253"/>
      <c r="R412" s="253"/>
      <c r="S412" s="253"/>
      <c r="T412" s="253"/>
      <c r="U412" s="253"/>
      <c r="V412" s="253"/>
      <c r="W412" s="253"/>
      <c r="X412" s="253"/>
      <c r="Y412" s="253"/>
      <c r="Z412" s="253"/>
      <c r="AA412" s="253"/>
      <c r="AB412" s="253"/>
      <c r="AC412" s="253"/>
    </row>
    <row r="413">
      <c r="A413" s="22"/>
      <c r="B413" s="22"/>
      <c r="C413" s="22"/>
      <c r="D413" s="22"/>
      <c r="E413" s="22"/>
      <c r="F413" s="22"/>
      <c r="G413" s="112"/>
      <c r="H413" s="112"/>
      <c r="I413" s="112"/>
      <c r="J413" s="112"/>
      <c r="K413" s="112"/>
      <c r="L413" s="112"/>
      <c r="M413" s="253"/>
      <c r="N413" s="253"/>
      <c r="O413" s="253"/>
      <c r="P413" s="253"/>
      <c r="Q413" s="253"/>
      <c r="R413" s="253"/>
      <c r="S413" s="253"/>
      <c r="T413" s="253"/>
      <c r="U413" s="253"/>
      <c r="V413" s="253"/>
      <c r="W413" s="253"/>
      <c r="X413" s="253"/>
      <c r="Y413" s="253"/>
      <c r="Z413" s="253"/>
      <c r="AA413" s="253"/>
      <c r="AB413" s="253"/>
      <c r="AC413" s="253"/>
    </row>
    <row r="414">
      <c r="A414" s="22"/>
      <c r="B414" s="22"/>
      <c r="C414" s="22"/>
      <c r="D414" s="22"/>
      <c r="E414" s="22"/>
      <c r="F414" s="22"/>
      <c r="G414" s="112"/>
      <c r="H414" s="112"/>
      <c r="I414" s="112"/>
      <c r="J414" s="112"/>
      <c r="K414" s="112"/>
      <c r="L414" s="112"/>
      <c r="M414" s="253"/>
      <c r="N414" s="253"/>
      <c r="O414" s="253"/>
      <c r="P414" s="253"/>
      <c r="Q414" s="253"/>
      <c r="R414" s="253"/>
      <c r="S414" s="253"/>
      <c r="T414" s="253"/>
      <c r="U414" s="253"/>
      <c r="V414" s="253"/>
      <c r="W414" s="253"/>
      <c r="X414" s="253"/>
      <c r="Y414" s="253"/>
      <c r="Z414" s="253"/>
      <c r="AA414" s="253"/>
      <c r="AB414" s="253"/>
      <c r="AC414" s="253"/>
    </row>
    <row r="415">
      <c r="A415" s="22"/>
      <c r="B415" s="22"/>
      <c r="C415" s="22"/>
      <c r="D415" s="22"/>
      <c r="E415" s="22"/>
      <c r="F415" s="22"/>
      <c r="G415" s="112"/>
      <c r="H415" s="112"/>
      <c r="I415" s="112"/>
      <c r="J415" s="112"/>
      <c r="K415" s="112"/>
      <c r="L415" s="112"/>
      <c r="M415" s="253"/>
      <c r="N415" s="253"/>
      <c r="O415" s="253"/>
      <c r="P415" s="253"/>
      <c r="Q415" s="253"/>
      <c r="R415" s="253"/>
      <c r="S415" s="253"/>
      <c r="T415" s="253"/>
      <c r="U415" s="253"/>
      <c r="V415" s="253"/>
      <c r="W415" s="253"/>
      <c r="X415" s="253"/>
      <c r="Y415" s="253"/>
      <c r="Z415" s="253"/>
      <c r="AA415" s="253"/>
      <c r="AB415" s="253"/>
      <c r="AC415" s="253"/>
    </row>
    <row r="416">
      <c r="A416" s="22"/>
      <c r="B416" s="22"/>
      <c r="C416" s="22"/>
      <c r="D416" s="22"/>
      <c r="E416" s="22"/>
      <c r="F416" s="22"/>
      <c r="G416" s="112"/>
      <c r="H416" s="112"/>
      <c r="I416" s="112"/>
      <c r="J416" s="112"/>
      <c r="K416" s="112"/>
      <c r="L416" s="112"/>
      <c r="M416" s="253"/>
      <c r="N416" s="253"/>
      <c r="O416" s="253"/>
      <c r="P416" s="253"/>
      <c r="Q416" s="253"/>
      <c r="R416" s="253"/>
      <c r="S416" s="253"/>
      <c r="T416" s="253"/>
      <c r="U416" s="253"/>
      <c r="V416" s="253"/>
      <c r="W416" s="253"/>
      <c r="X416" s="253"/>
      <c r="Y416" s="253"/>
      <c r="Z416" s="253"/>
      <c r="AA416" s="253"/>
      <c r="AB416" s="253"/>
      <c r="AC416" s="253"/>
    </row>
    <row r="417">
      <c r="A417" s="22"/>
      <c r="B417" s="22"/>
      <c r="C417" s="22"/>
      <c r="D417" s="22"/>
      <c r="E417" s="22"/>
      <c r="F417" s="22"/>
      <c r="G417" s="112"/>
      <c r="H417" s="112"/>
      <c r="I417" s="112"/>
      <c r="J417" s="112"/>
      <c r="K417" s="112"/>
      <c r="L417" s="112"/>
      <c r="M417" s="253"/>
      <c r="N417" s="253"/>
      <c r="O417" s="253"/>
      <c r="P417" s="253"/>
      <c r="Q417" s="253"/>
      <c r="R417" s="253"/>
      <c r="S417" s="253"/>
      <c r="T417" s="253"/>
      <c r="U417" s="253"/>
      <c r="V417" s="253"/>
      <c r="W417" s="253"/>
      <c r="X417" s="253"/>
      <c r="Y417" s="253"/>
      <c r="Z417" s="253"/>
      <c r="AA417" s="253"/>
      <c r="AB417" s="253"/>
      <c r="AC417" s="253"/>
    </row>
    <row r="418">
      <c r="A418" s="22"/>
      <c r="B418" s="22"/>
      <c r="C418" s="22"/>
      <c r="D418" s="22"/>
      <c r="E418" s="22"/>
      <c r="F418" s="22"/>
      <c r="G418" s="112"/>
      <c r="H418" s="112"/>
      <c r="I418" s="112"/>
      <c r="J418" s="112"/>
      <c r="K418" s="112"/>
      <c r="L418" s="112"/>
      <c r="M418" s="253"/>
      <c r="N418" s="253"/>
      <c r="O418" s="253"/>
      <c r="P418" s="253"/>
      <c r="Q418" s="253"/>
      <c r="R418" s="253"/>
      <c r="S418" s="253"/>
      <c r="T418" s="253"/>
      <c r="U418" s="253"/>
      <c r="V418" s="253"/>
      <c r="W418" s="253"/>
      <c r="X418" s="253"/>
      <c r="Y418" s="253"/>
      <c r="Z418" s="253"/>
      <c r="AA418" s="253"/>
      <c r="AB418" s="253"/>
      <c r="AC418" s="253"/>
    </row>
    <row r="419">
      <c r="A419" s="22"/>
      <c r="B419" s="22"/>
      <c r="C419" s="22"/>
      <c r="D419" s="22"/>
      <c r="E419" s="22"/>
      <c r="F419" s="22"/>
      <c r="G419" s="112"/>
      <c r="H419" s="112"/>
      <c r="I419" s="112"/>
      <c r="J419" s="112"/>
      <c r="K419" s="112"/>
      <c r="L419" s="112"/>
      <c r="M419" s="253"/>
      <c r="N419" s="253"/>
      <c r="O419" s="253"/>
      <c r="P419" s="253"/>
      <c r="Q419" s="253"/>
      <c r="R419" s="253"/>
      <c r="S419" s="253"/>
      <c r="T419" s="253"/>
      <c r="U419" s="253"/>
      <c r="V419" s="253"/>
      <c r="W419" s="253"/>
      <c r="X419" s="253"/>
      <c r="Y419" s="253"/>
      <c r="Z419" s="253"/>
      <c r="AA419" s="253"/>
      <c r="AB419" s="253"/>
      <c r="AC419" s="253"/>
    </row>
    <row r="420">
      <c r="A420" s="22"/>
      <c r="B420" s="22"/>
      <c r="C420" s="22"/>
      <c r="D420" s="22"/>
      <c r="E420" s="22"/>
      <c r="F420" s="22"/>
      <c r="G420" s="112"/>
      <c r="H420" s="112"/>
      <c r="I420" s="112"/>
      <c r="J420" s="112"/>
      <c r="K420" s="112"/>
      <c r="L420" s="112"/>
      <c r="M420" s="253"/>
      <c r="N420" s="253"/>
      <c r="O420" s="253"/>
      <c r="P420" s="253"/>
      <c r="Q420" s="253"/>
      <c r="R420" s="253"/>
      <c r="S420" s="253"/>
      <c r="T420" s="253"/>
      <c r="U420" s="253"/>
      <c r="V420" s="253"/>
      <c r="W420" s="253"/>
      <c r="X420" s="253"/>
      <c r="Y420" s="253"/>
      <c r="Z420" s="253"/>
      <c r="AA420" s="253"/>
      <c r="AB420" s="253"/>
      <c r="AC420" s="253"/>
    </row>
    <row r="421">
      <c r="A421" s="22"/>
      <c r="B421" s="22"/>
      <c r="C421" s="22"/>
      <c r="D421" s="22"/>
      <c r="E421" s="22"/>
      <c r="F421" s="22"/>
      <c r="G421" s="112"/>
      <c r="H421" s="112"/>
      <c r="I421" s="112"/>
      <c r="J421" s="112"/>
      <c r="K421" s="112"/>
      <c r="L421" s="112"/>
      <c r="M421" s="253"/>
      <c r="N421" s="253"/>
      <c r="O421" s="253"/>
      <c r="P421" s="253"/>
      <c r="Q421" s="253"/>
      <c r="R421" s="253"/>
      <c r="S421" s="253"/>
      <c r="T421" s="253"/>
      <c r="U421" s="253"/>
      <c r="V421" s="253"/>
      <c r="W421" s="253"/>
      <c r="X421" s="253"/>
      <c r="Y421" s="253"/>
      <c r="Z421" s="253"/>
      <c r="AA421" s="253"/>
      <c r="AB421" s="253"/>
      <c r="AC421" s="253"/>
    </row>
    <row r="422">
      <c r="A422" s="22"/>
      <c r="B422" s="22"/>
      <c r="C422" s="22"/>
      <c r="D422" s="22"/>
      <c r="E422" s="22"/>
      <c r="F422" s="22"/>
      <c r="G422" s="112"/>
      <c r="H422" s="112"/>
      <c r="I422" s="112"/>
      <c r="J422" s="112"/>
      <c r="K422" s="112"/>
      <c r="L422" s="112"/>
      <c r="M422" s="253"/>
      <c r="N422" s="253"/>
      <c r="O422" s="253"/>
      <c r="P422" s="253"/>
      <c r="Q422" s="253"/>
      <c r="R422" s="253"/>
      <c r="S422" s="253"/>
      <c r="T422" s="253"/>
      <c r="U422" s="253"/>
      <c r="V422" s="253"/>
      <c r="W422" s="253"/>
      <c r="X422" s="253"/>
      <c r="Y422" s="253"/>
      <c r="Z422" s="253"/>
      <c r="AA422" s="253"/>
      <c r="AB422" s="253"/>
      <c r="AC422" s="253"/>
    </row>
    <row r="423">
      <c r="A423" s="22"/>
      <c r="B423" s="22"/>
      <c r="C423" s="22"/>
      <c r="D423" s="22"/>
      <c r="E423" s="22"/>
      <c r="F423" s="22"/>
      <c r="G423" s="112"/>
      <c r="H423" s="112"/>
      <c r="I423" s="112"/>
      <c r="J423" s="112"/>
      <c r="K423" s="112"/>
      <c r="L423" s="112"/>
      <c r="M423" s="253"/>
      <c r="N423" s="253"/>
      <c r="O423" s="253"/>
      <c r="P423" s="253"/>
      <c r="Q423" s="253"/>
      <c r="R423" s="253"/>
      <c r="S423" s="253"/>
      <c r="T423" s="253"/>
      <c r="U423" s="253"/>
      <c r="V423" s="253"/>
      <c r="W423" s="253"/>
      <c r="X423" s="253"/>
      <c r="Y423" s="253"/>
      <c r="Z423" s="253"/>
      <c r="AA423" s="253"/>
      <c r="AB423" s="253"/>
      <c r="AC423" s="253"/>
    </row>
    <row r="424">
      <c r="A424" s="22"/>
      <c r="B424" s="22"/>
      <c r="C424" s="22"/>
      <c r="D424" s="22"/>
      <c r="E424" s="22"/>
      <c r="F424" s="22"/>
      <c r="G424" s="112"/>
      <c r="H424" s="112"/>
      <c r="I424" s="112"/>
      <c r="J424" s="112"/>
      <c r="K424" s="112"/>
      <c r="L424" s="112"/>
      <c r="M424" s="253"/>
      <c r="N424" s="253"/>
      <c r="O424" s="253"/>
      <c r="P424" s="253"/>
      <c r="Q424" s="253"/>
      <c r="R424" s="253"/>
      <c r="S424" s="253"/>
      <c r="T424" s="253"/>
      <c r="U424" s="253"/>
      <c r="V424" s="253"/>
      <c r="W424" s="253"/>
      <c r="X424" s="253"/>
      <c r="Y424" s="253"/>
      <c r="Z424" s="253"/>
      <c r="AA424" s="253"/>
      <c r="AB424" s="253"/>
      <c r="AC424" s="253"/>
    </row>
    <row r="425">
      <c r="A425" s="22"/>
      <c r="B425" s="22"/>
      <c r="C425" s="22"/>
      <c r="D425" s="22"/>
      <c r="E425" s="22"/>
      <c r="F425" s="22"/>
      <c r="G425" s="112"/>
      <c r="H425" s="112"/>
      <c r="I425" s="112"/>
      <c r="J425" s="112"/>
      <c r="K425" s="112"/>
      <c r="L425" s="112"/>
      <c r="M425" s="253"/>
      <c r="N425" s="253"/>
      <c r="O425" s="253"/>
      <c r="P425" s="253"/>
      <c r="Q425" s="253"/>
      <c r="R425" s="253"/>
      <c r="S425" s="253"/>
      <c r="T425" s="253"/>
      <c r="U425" s="253"/>
      <c r="V425" s="253"/>
      <c r="W425" s="253"/>
      <c r="X425" s="253"/>
      <c r="Y425" s="253"/>
      <c r="Z425" s="253"/>
      <c r="AA425" s="253"/>
      <c r="AB425" s="253"/>
      <c r="AC425" s="253"/>
    </row>
    <row r="426">
      <c r="A426" s="22"/>
      <c r="B426" s="22"/>
      <c r="C426" s="22"/>
      <c r="D426" s="22"/>
      <c r="E426" s="22"/>
      <c r="F426" s="22"/>
      <c r="G426" s="112"/>
      <c r="H426" s="112"/>
      <c r="I426" s="112"/>
      <c r="J426" s="112"/>
      <c r="K426" s="112"/>
      <c r="L426" s="112"/>
      <c r="M426" s="253"/>
      <c r="N426" s="253"/>
      <c r="O426" s="253"/>
      <c r="P426" s="253"/>
      <c r="Q426" s="253"/>
      <c r="R426" s="253"/>
      <c r="S426" s="253"/>
      <c r="T426" s="253"/>
      <c r="U426" s="253"/>
      <c r="V426" s="253"/>
      <c r="W426" s="253"/>
      <c r="X426" s="253"/>
      <c r="Y426" s="253"/>
      <c r="Z426" s="253"/>
      <c r="AA426" s="253"/>
      <c r="AB426" s="253"/>
      <c r="AC426" s="253"/>
    </row>
    <row r="427">
      <c r="A427" s="22"/>
      <c r="B427" s="22"/>
      <c r="C427" s="22"/>
      <c r="D427" s="22"/>
      <c r="E427" s="22"/>
      <c r="F427" s="22"/>
      <c r="G427" s="112"/>
      <c r="H427" s="112"/>
      <c r="I427" s="112"/>
      <c r="J427" s="112"/>
      <c r="K427" s="112"/>
      <c r="L427" s="112"/>
      <c r="M427" s="253"/>
      <c r="N427" s="253"/>
      <c r="O427" s="253"/>
      <c r="P427" s="253"/>
      <c r="Q427" s="253"/>
      <c r="R427" s="253"/>
      <c r="S427" s="253"/>
      <c r="T427" s="253"/>
      <c r="U427" s="253"/>
      <c r="V427" s="253"/>
      <c r="W427" s="253"/>
      <c r="X427" s="253"/>
      <c r="Y427" s="253"/>
      <c r="Z427" s="253"/>
      <c r="AA427" s="253"/>
      <c r="AB427" s="253"/>
      <c r="AC427" s="253"/>
    </row>
    <row r="428">
      <c r="A428" s="22"/>
      <c r="B428" s="22"/>
      <c r="C428" s="22"/>
      <c r="D428" s="22"/>
      <c r="E428" s="22"/>
      <c r="F428" s="22"/>
      <c r="G428" s="112"/>
      <c r="H428" s="112"/>
      <c r="I428" s="112"/>
      <c r="J428" s="112"/>
      <c r="K428" s="112"/>
      <c r="L428" s="112"/>
      <c r="M428" s="253"/>
      <c r="N428" s="253"/>
      <c r="O428" s="253"/>
      <c r="P428" s="253"/>
      <c r="Q428" s="253"/>
      <c r="R428" s="253"/>
      <c r="S428" s="253"/>
      <c r="T428" s="253"/>
      <c r="U428" s="253"/>
      <c r="V428" s="253"/>
      <c r="W428" s="253"/>
      <c r="X428" s="253"/>
      <c r="Y428" s="253"/>
      <c r="Z428" s="253"/>
      <c r="AA428" s="253"/>
      <c r="AB428" s="253"/>
      <c r="AC428" s="253"/>
    </row>
    <row r="429">
      <c r="A429" s="22"/>
      <c r="B429" s="22"/>
      <c r="C429" s="22"/>
      <c r="D429" s="22"/>
      <c r="E429" s="22"/>
      <c r="F429" s="22"/>
      <c r="G429" s="112"/>
      <c r="H429" s="112"/>
      <c r="I429" s="112"/>
      <c r="J429" s="112"/>
      <c r="K429" s="112"/>
      <c r="L429" s="112"/>
      <c r="M429" s="253"/>
      <c r="N429" s="253"/>
      <c r="O429" s="253"/>
      <c r="P429" s="253"/>
      <c r="Q429" s="253"/>
      <c r="R429" s="253"/>
      <c r="S429" s="253"/>
      <c r="T429" s="253"/>
      <c r="U429" s="253"/>
      <c r="V429" s="253"/>
      <c r="W429" s="253"/>
      <c r="X429" s="253"/>
      <c r="Y429" s="253"/>
      <c r="Z429" s="253"/>
      <c r="AA429" s="253"/>
      <c r="AB429" s="253"/>
      <c r="AC429" s="253"/>
    </row>
    <row r="430">
      <c r="A430" s="22"/>
      <c r="B430" s="22"/>
      <c r="C430" s="22"/>
      <c r="D430" s="22"/>
      <c r="E430" s="22"/>
      <c r="F430" s="22"/>
      <c r="G430" s="112"/>
      <c r="H430" s="112"/>
      <c r="I430" s="112"/>
      <c r="J430" s="112"/>
      <c r="K430" s="112"/>
      <c r="L430" s="112"/>
      <c r="M430" s="253"/>
      <c r="N430" s="253"/>
      <c r="O430" s="253"/>
      <c r="P430" s="253"/>
      <c r="Q430" s="253"/>
      <c r="R430" s="253"/>
      <c r="S430" s="253"/>
      <c r="T430" s="253"/>
      <c r="U430" s="253"/>
      <c r="V430" s="253"/>
      <c r="W430" s="253"/>
      <c r="X430" s="253"/>
      <c r="Y430" s="253"/>
      <c r="Z430" s="253"/>
      <c r="AA430" s="253"/>
      <c r="AB430" s="253"/>
      <c r="AC430" s="253"/>
    </row>
    <row r="431">
      <c r="A431" s="22"/>
      <c r="B431" s="22"/>
      <c r="C431" s="22"/>
      <c r="D431" s="22"/>
      <c r="E431" s="22"/>
      <c r="F431" s="22"/>
      <c r="G431" s="112"/>
      <c r="H431" s="112"/>
      <c r="I431" s="112"/>
      <c r="J431" s="112"/>
      <c r="K431" s="112"/>
      <c r="L431" s="112"/>
      <c r="M431" s="253"/>
      <c r="N431" s="253"/>
      <c r="O431" s="253"/>
      <c r="P431" s="253"/>
      <c r="Q431" s="253"/>
      <c r="R431" s="253"/>
      <c r="S431" s="253"/>
      <c r="T431" s="253"/>
      <c r="U431" s="253"/>
      <c r="V431" s="253"/>
      <c r="W431" s="253"/>
      <c r="X431" s="253"/>
      <c r="Y431" s="253"/>
      <c r="Z431" s="253"/>
      <c r="AA431" s="253"/>
      <c r="AB431" s="253"/>
      <c r="AC431" s="253"/>
    </row>
    <row r="432">
      <c r="A432" s="22"/>
      <c r="B432" s="22"/>
      <c r="C432" s="22"/>
      <c r="D432" s="22"/>
      <c r="E432" s="22"/>
      <c r="F432" s="22"/>
      <c r="G432" s="112"/>
      <c r="H432" s="112"/>
      <c r="I432" s="112"/>
      <c r="J432" s="112"/>
      <c r="K432" s="112"/>
      <c r="L432" s="112"/>
      <c r="M432" s="253"/>
      <c r="N432" s="253"/>
      <c r="O432" s="253"/>
      <c r="P432" s="253"/>
      <c r="Q432" s="253"/>
      <c r="R432" s="253"/>
      <c r="S432" s="253"/>
      <c r="T432" s="253"/>
      <c r="U432" s="253"/>
      <c r="V432" s="253"/>
      <c r="W432" s="253"/>
      <c r="X432" s="253"/>
      <c r="Y432" s="253"/>
      <c r="Z432" s="253"/>
      <c r="AA432" s="253"/>
      <c r="AB432" s="253"/>
      <c r="AC432" s="253"/>
    </row>
    <row r="433">
      <c r="A433" s="22"/>
      <c r="B433" s="22"/>
      <c r="C433" s="22"/>
      <c r="D433" s="22"/>
      <c r="E433" s="22"/>
      <c r="F433" s="22"/>
      <c r="G433" s="112"/>
      <c r="H433" s="112"/>
      <c r="I433" s="112"/>
      <c r="J433" s="112"/>
      <c r="K433" s="112"/>
      <c r="L433" s="112"/>
      <c r="M433" s="253"/>
      <c r="N433" s="253"/>
      <c r="O433" s="253"/>
      <c r="P433" s="253"/>
      <c r="Q433" s="253"/>
      <c r="R433" s="253"/>
      <c r="S433" s="253"/>
      <c r="T433" s="253"/>
      <c r="U433" s="253"/>
      <c r="V433" s="253"/>
      <c r="W433" s="253"/>
      <c r="X433" s="253"/>
      <c r="Y433" s="253"/>
      <c r="Z433" s="253"/>
      <c r="AA433" s="253"/>
      <c r="AB433" s="253"/>
      <c r="AC433" s="253"/>
    </row>
    <row r="434">
      <c r="A434" s="22"/>
      <c r="B434" s="22"/>
      <c r="C434" s="22"/>
      <c r="D434" s="22"/>
      <c r="E434" s="22"/>
      <c r="F434" s="22"/>
      <c r="G434" s="112"/>
      <c r="H434" s="112"/>
      <c r="I434" s="112"/>
      <c r="J434" s="112"/>
      <c r="K434" s="112"/>
      <c r="L434" s="112"/>
      <c r="M434" s="253"/>
      <c r="N434" s="253"/>
      <c r="O434" s="253"/>
      <c r="P434" s="253"/>
      <c r="Q434" s="253"/>
      <c r="R434" s="253"/>
      <c r="S434" s="253"/>
      <c r="T434" s="253"/>
      <c r="U434" s="253"/>
      <c r="V434" s="253"/>
      <c r="W434" s="253"/>
      <c r="X434" s="253"/>
      <c r="Y434" s="253"/>
      <c r="Z434" s="253"/>
      <c r="AA434" s="253"/>
      <c r="AB434" s="253"/>
      <c r="AC434" s="253"/>
    </row>
    <row r="435">
      <c r="A435" s="22"/>
      <c r="B435" s="22"/>
      <c r="C435" s="22"/>
      <c r="D435" s="22"/>
      <c r="E435" s="22"/>
      <c r="F435" s="22"/>
      <c r="G435" s="112"/>
      <c r="H435" s="112"/>
      <c r="I435" s="112"/>
      <c r="J435" s="112"/>
      <c r="K435" s="112"/>
      <c r="L435" s="112"/>
      <c r="M435" s="253"/>
      <c r="N435" s="253"/>
      <c r="O435" s="253"/>
      <c r="P435" s="253"/>
      <c r="Q435" s="253"/>
      <c r="R435" s="253"/>
      <c r="S435" s="253"/>
      <c r="T435" s="253"/>
      <c r="U435" s="253"/>
      <c r="V435" s="253"/>
      <c r="W435" s="253"/>
      <c r="X435" s="253"/>
      <c r="Y435" s="253"/>
      <c r="Z435" s="253"/>
      <c r="AA435" s="253"/>
      <c r="AB435" s="253"/>
      <c r="AC435" s="253"/>
    </row>
    <row r="436">
      <c r="A436" s="22"/>
      <c r="B436" s="22"/>
      <c r="C436" s="22"/>
      <c r="D436" s="22"/>
      <c r="E436" s="22"/>
      <c r="F436" s="22"/>
      <c r="G436" s="112"/>
      <c r="H436" s="112"/>
      <c r="I436" s="112"/>
      <c r="J436" s="112"/>
      <c r="K436" s="112"/>
      <c r="L436" s="112"/>
      <c r="M436" s="253"/>
      <c r="N436" s="253"/>
      <c r="O436" s="253"/>
      <c r="P436" s="253"/>
      <c r="Q436" s="253"/>
      <c r="R436" s="253"/>
      <c r="S436" s="253"/>
      <c r="T436" s="253"/>
      <c r="U436" s="253"/>
      <c r="V436" s="253"/>
      <c r="W436" s="253"/>
      <c r="X436" s="253"/>
      <c r="Y436" s="253"/>
      <c r="Z436" s="253"/>
      <c r="AA436" s="253"/>
      <c r="AB436" s="253"/>
      <c r="AC436" s="253"/>
    </row>
    <row r="437">
      <c r="A437" s="22"/>
      <c r="B437" s="22"/>
      <c r="C437" s="22"/>
      <c r="D437" s="22"/>
      <c r="E437" s="22"/>
      <c r="F437" s="22"/>
      <c r="G437" s="112"/>
      <c r="H437" s="112"/>
      <c r="I437" s="112"/>
      <c r="J437" s="112"/>
      <c r="K437" s="112"/>
      <c r="L437" s="112"/>
      <c r="M437" s="253"/>
      <c r="N437" s="253"/>
      <c r="O437" s="253"/>
      <c r="P437" s="253"/>
      <c r="Q437" s="253"/>
      <c r="R437" s="253"/>
      <c r="S437" s="253"/>
      <c r="T437" s="253"/>
      <c r="U437" s="253"/>
      <c r="V437" s="253"/>
      <c r="W437" s="253"/>
      <c r="X437" s="253"/>
      <c r="Y437" s="253"/>
      <c r="Z437" s="253"/>
      <c r="AA437" s="253"/>
      <c r="AB437" s="253"/>
      <c r="AC437" s="253"/>
    </row>
    <row r="438">
      <c r="A438" s="22"/>
      <c r="B438" s="22"/>
      <c r="C438" s="22"/>
      <c r="D438" s="22"/>
      <c r="E438" s="22"/>
      <c r="F438" s="22"/>
      <c r="G438" s="112"/>
      <c r="H438" s="112"/>
      <c r="I438" s="112"/>
      <c r="J438" s="112"/>
      <c r="K438" s="112"/>
      <c r="L438" s="112"/>
      <c r="M438" s="253"/>
      <c r="N438" s="253"/>
      <c r="O438" s="253"/>
      <c r="P438" s="253"/>
      <c r="Q438" s="253"/>
      <c r="R438" s="253"/>
      <c r="S438" s="253"/>
      <c r="T438" s="253"/>
      <c r="U438" s="253"/>
      <c r="V438" s="253"/>
      <c r="W438" s="253"/>
      <c r="X438" s="253"/>
      <c r="Y438" s="253"/>
      <c r="Z438" s="253"/>
      <c r="AA438" s="253"/>
      <c r="AB438" s="253"/>
      <c r="AC438" s="253"/>
    </row>
    <row r="439">
      <c r="A439" s="22"/>
      <c r="B439" s="22"/>
      <c r="C439" s="22"/>
      <c r="D439" s="22"/>
      <c r="E439" s="22"/>
      <c r="F439" s="22"/>
      <c r="G439" s="112"/>
      <c r="H439" s="112"/>
      <c r="I439" s="112"/>
      <c r="J439" s="112"/>
      <c r="K439" s="112"/>
      <c r="L439" s="112"/>
      <c r="M439" s="253"/>
      <c r="N439" s="253"/>
      <c r="O439" s="253"/>
      <c r="P439" s="253"/>
      <c r="Q439" s="253"/>
      <c r="R439" s="253"/>
      <c r="S439" s="253"/>
      <c r="T439" s="253"/>
      <c r="U439" s="253"/>
      <c r="V439" s="253"/>
      <c r="W439" s="253"/>
      <c r="X439" s="253"/>
      <c r="Y439" s="253"/>
      <c r="Z439" s="253"/>
      <c r="AA439" s="253"/>
      <c r="AB439" s="253"/>
      <c r="AC439" s="253"/>
    </row>
    <row r="440">
      <c r="A440" s="22"/>
      <c r="B440" s="22"/>
      <c r="C440" s="22"/>
      <c r="D440" s="22"/>
      <c r="E440" s="22"/>
      <c r="F440" s="22"/>
      <c r="G440" s="112"/>
      <c r="H440" s="112"/>
      <c r="I440" s="112"/>
      <c r="J440" s="112"/>
      <c r="K440" s="112"/>
      <c r="L440" s="112"/>
      <c r="M440" s="253"/>
      <c r="N440" s="253"/>
      <c r="O440" s="253"/>
      <c r="P440" s="253"/>
      <c r="Q440" s="253"/>
      <c r="R440" s="253"/>
      <c r="S440" s="253"/>
      <c r="T440" s="253"/>
      <c r="U440" s="253"/>
      <c r="V440" s="253"/>
      <c r="W440" s="253"/>
      <c r="X440" s="253"/>
      <c r="Y440" s="253"/>
      <c r="Z440" s="253"/>
      <c r="AA440" s="253"/>
      <c r="AB440" s="253"/>
      <c r="AC440" s="253"/>
    </row>
    <row r="441">
      <c r="A441" s="22"/>
      <c r="B441" s="22"/>
      <c r="C441" s="22"/>
      <c r="D441" s="22"/>
      <c r="E441" s="22"/>
      <c r="F441" s="22"/>
      <c r="G441" s="112"/>
      <c r="H441" s="112"/>
      <c r="I441" s="112"/>
      <c r="J441" s="112"/>
      <c r="K441" s="112"/>
      <c r="L441" s="112"/>
      <c r="M441" s="253"/>
      <c r="N441" s="253"/>
      <c r="O441" s="253"/>
      <c r="P441" s="253"/>
      <c r="Q441" s="253"/>
      <c r="R441" s="253"/>
      <c r="S441" s="253"/>
      <c r="T441" s="253"/>
      <c r="U441" s="253"/>
      <c r="V441" s="253"/>
      <c r="W441" s="253"/>
      <c r="X441" s="253"/>
      <c r="Y441" s="253"/>
      <c r="Z441" s="253"/>
      <c r="AA441" s="253"/>
      <c r="AB441" s="253"/>
      <c r="AC441" s="253"/>
    </row>
    <row r="442">
      <c r="A442" s="22"/>
      <c r="B442" s="22"/>
      <c r="C442" s="22"/>
      <c r="D442" s="22"/>
      <c r="E442" s="22"/>
      <c r="F442" s="22"/>
      <c r="G442" s="112"/>
      <c r="H442" s="112"/>
      <c r="I442" s="112"/>
      <c r="J442" s="112"/>
      <c r="K442" s="112"/>
      <c r="L442" s="112"/>
      <c r="M442" s="253"/>
      <c r="N442" s="253"/>
      <c r="O442" s="253"/>
      <c r="P442" s="253"/>
      <c r="Q442" s="253"/>
      <c r="R442" s="253"/>
      <c r="S442" s="253"/>
      <c r="T442" s="253"/>
      <c r="U442" s="253"/>
      <c r="V442" s="253"/>
      <c r="W442" s="253"/>
      <c r="X442" s="253"/>
      <c r="Y442" s="253"/>
      <c r="Z442" s="253"/>
      <c r="AA442" s="253"/>
      <c r="AB442" s="253"/>
      <c r="AC442" s="253"/>
    </row>
    <row r="443">
      <c r="A443" s="22"/>
      <c r="B443" s="22"/>
      <c r="C443" s="22"/>
      <c r="D443" s="22"/>
      <c r="E443" s="22"/>
      <c r="F443" s="22"/>
      <c r="G443" s="112"/>
      <c r="H443" s="112"/>
      <c r="I443" s="112"/>
      <c r="J443" s="112"/>
      <c r="K443" s="112"/>
      <c r="L443" s="112"/>
      <c r="M443" s="253"/>
      <c r="N443" s="253"/>
      <c r="O443" s="253"/>
      <c r="P443" s="253"/>
      <c r="Q443" s="253"/>
      <c r="R443" s="253"/>
      <c r="S443" s="253"/>
      <c r="T443" s="253"/>
      <c r="U443" s="253"/>
      <c r="V443" s="253"/>
      <c r="W443" s="253"/>
      <c r="X443" s="253"/>
      <c r="Y443" s="253"/>
      <c r="Z443" s="253"/>
      <c r="AA443" s="253"/>
      <c r="AB443" s="253"/>
      <c r="AC443" s="253"/>
    </row>
    <row r="444">
      <c r="A444" s="22"/>
      <c r="B444" s="22"/>
      <c r="C444" s="22"/>
      <c r="D444" s="22"/>
      <c r="E444" s="22"/>
      <c r="F444" s="22"/>
      <c r="G444" s="112"/>
      <c r="H444" s="112"/>
      <c r="I444" s="112"/>
      <c r="J444" s="112"/>
      <c r="K444" s="112"/>
      <c r="L444" s="112"/>
      <c r="M444" s="253"/>
      <c r="N444" s="253"/>
      <c r="O444" s="253"/>
      <c r="P444" s="253"/>
      <c r="Q444" s="253"/>
      <c r="R444" s="253"/>
      <c r="S444" s="253"/>
      <c r="T444" s="253"/>
      <c r="U444" s="253"/>
      <c r="V444" s="253"/>
      <c r="W444" s="253"/>
      <c r="X444" s="253"/>
      <c r="Y444" s="253"/>
      <c r="Z444" s="253"/>
      <c r="AA444" s="253"/>
      <c r="AB444" s="253"/>
      <c r="AC444" s="253"/>
    </row>
    <row r="445">
      <c r="A445" s="22"/>
      <c r="B445" s="22"/>
      <c r="C445" s="22"/>
      <c r="D445" s="22"/>
      <c r="E445" s="22"/>
      <c r="F445" s="22"/>
      <c r="G445" s="112"/>
      <c r="H445" s="112"/>
      <c r="I445" s="112"/>
      <c r="J445" s="112"/>
      <c r="K445" s="112"/>
      <c r="L445" s="112"/>
      <c r="M445" s="253"/>
      <c r="N445" s="253"/>
      <c r="O445" s="253"/>
      <c r="P445" s="253"/>
      <c r="Q445" s="253"/>
      <c r="R445" s="253"/>
      <c r="S445" s="253"/>
      <c r="T445" s="253"/>
      <c r="U445" s="253"/>
      <c r="V445" s="253"/>
      <c r="W445" s="253"/>
      <c r="X445" s="253"/>
      <c r="Y445" s="253"/>
      <c r="Z445" s="253"/>
      <c r="AA445" s="253"/>
      <c r="AB445" s="253"/>
      <c r="AC445" s="253"/>
    </row>
    <row r="446">
      <c r="A446" s="22"/>
      <c r="B446" s="22"/>
      <c r="C446" s="22"/>
      <c r="D446" s="22"/>
      <c r="E446" s="22"/>
      <c r="F446" s="22"/>
      <c r="G446" s="112"/>
      <c r="H446" s="112"/>
      <c r="I446" s="112"/>
      <c r="J446" s="112"/>
      <c r="K446" s="112"/>
      <c r="L446" s="112"/>
      <c r="M446" s="253"/>
      <c r="N446" s="253"/>
      <c r="O446" s="253"/>
      <c r="P446" s="253"/>
      <c r="Q446" s="253"/>
      <c r="R446" s="253"/>
      <c r="S446" s="253"/>
      <c r="T446" s="253"/>
      <c r="U446" s="253"/>
      <c r="V446" s="253"/>
      <c r="W446" s="253"/>
      <c r="X446" s="253"/>
      <c r="Y446" s="253"/>
      <c r="Z446" s="253"/>
      <c r="AA446" s="253"/>
      <c r="AB446" s="253"/>
      <c r="AC446" s="253"/>
    </row>
    <row r="447">
      <c r="A447" s="22"/>
      <c r="B447" s="22"/>
      <c r="C447" s="22"/>
      <c r="D447" s="22"/>
      <c r="E447" s="22"/>
      <c r="F447" s="22"/>
      <c r="G447" s="112"/>
      <c r="H447" s="112"/>
      <c r="I447" s="112"/>
      <c r="J447" s="112"/>
      <c r="K447" s="112"/>
      <c r="L447" s="112"/>
      <c r="M447" s="253"/>
      <c r="N447" s="253"/>
      <c r="O447" s="253"/>
      <c r="P447" s="253"/>
      <c r="Q447" s="253"/>
      <c r="R447" s="253"/>
      <c r="S447" s="253"/>
      <c r="T447" s="253"/>
      <c r="U447" s="253"/>
      <c r="V447" s="253"/>
      <c r="W447" s="253"/>
      <c r="X447" s="253"/>
      <c r="Y447" s="253"/>
      <c r="Z447" s="253"/>
      <c r="AA447" s="253"/>
      <c r="AB447" s="253"/>
      <c r="AC447" s="253"/>
    </row>
    <row r="448">
      <c r="A448" s="22"/>
      <c r="B448" s="22"/>
      <c r="C448" s="22"/>
      <c r="D448" s="22"/>
      <c r="E448" s="22"/>
      <c r="F448" s="22"/>
      <c r="G448" s="112"/>
      <c r="H448" s="112"/>
      <c r="I448" s="112"/>
      <c r="J448" s="112"/>
      <c r="K448" s="112"/>
      <c r="L448" s="112"/>
      <c r="M448" s="253"/>
      <c r="N448" s="253"/>
      <c r="O448" s="253"/>
      <c r="P448" s="253"/>
      <c r="Q448" s="253"/>
      <c r="R448" s="253"/>
      <c r="S448" s="253"/>
      <c r="T448" s="253"/>
      <c r="U448" s="253"/>
      <c r="V448" s="253"/>
      <c r="W448" s="253"/>
      <c r="X448" s="253"/>
      <c r="Y448" s="253"/>
      <c r="Z448" s="253"/>
      <c r="AA448" s="253"/>
      <c r="AB448" s="253"/>
      <c r="AC448" s="253"/>
    </row>
    <row r="449">
      <c r="A449" s="22"/>
      <c r="B449" s="22"/>
      <c r="C449" s="22"/>
      <c r="D449" s="22"/>
      <c r="E449" s="22"/>
      <c r="F449" s="22"/>
      <c r="G449" s="112"/>
      <c r="H449" s="112"/>
      <c r="I449" s="112"/>
      <c r="J449" s="112"/>
      <c r="K449" s="112"/>
      <c r="L449" s="112"/>
      <c r="M449" s="253"/>
      <c r="N449" s="253"/>
      <c r="O449" s="253"/>
      <c r="P449" s="253"/>
      <c r="Q449" s="253"/>
      <c r="R449" s="253"/>
      <c r="S449" s="253"/>
      <c r="T449" s="253"/>
      <c r="U449" s="253"/>
      <c r="V449" s="253"/>
      <c r="W449" s="253"/>
      <c r="X449" s="253"/>
      <c r="Y449" s="253"/>
      <c r="Z449" s="253"/>
      <c r="AA449" s="253"/>
      <c r="AB449" s="253"/>
      <c r="AC449" s="253"/>
    </row>
    <row r="450">
      <c r="A450" s="22"/>
      <c r="B450" s="22"/>
      <c r="C450" s="22"/>
      <c r="D450" s="22"/>
      <c r="E450" s="22"/>
      <c r="F450" s="22"/>
      <c r="G450" s="112"/>
      <c r="H450" s="112"/>
      <c r="I450" s="112"/>
      <c r="J450" s="112"/>
      <c r="K450" s="112"/>
      <c r="L450" s="112"/>
      <c r="M450" s="253"/>
      <c r="N450" s="253"/>
      <c r="O450" s="253"/>
      <c r="P450" s="253"/>
      <c r="Q450" s="253"/>
      <c r="R450" s="253"/>
      <c r="S450" s="253"/>
      <c r="T450" s="253"/>
      <c r="U450" s="253"/>
      <c r="V450" s="253"/>
      <c r="W450" s="253"/>
      <c r="X450" s="253"/>
      <c r="Y450" s="253"/>
      <c r="Z450" s="253"/>
      <c r="AA450" s="253"/>
      <c r="AB450" s="253"/>
      <c r="AC450" s="253"/>
    </row>
    <row r="451">
      <c r="A451" s="22"/>
      <c r="B451" s="22"/>
      <c r="C451" s="22"/>
      <c r="D451" s="22"/>
      <c r="E451" s="22"/>
      <c r="F451" s="22"/>
      <c r="G451" s="112"/>
      <c r="H451" s="112"/>
      <c r="I451" s="112"/>
      <c r="J451" s="112"/>
      <c r="K451" s="112"/>
      <c r="L451" s="112"/>
      <c r="M451" s="253"/>
      <c r="N451" s="253"/>
      <c r="O451" s="253"/>
      <c r="P451" s="253"/>
      <c r="Q451" s="253"/>
      <c r="R451" s="253"/>
      <c r="S451" s="253"/>
      <c r="T451" s="253"/>
      <c r="U451" s="253"/>
      <c r="V451" s="253"/>
      <c r="W451" s="253"/>
      <c r="X451" s="253"/>
      <c r="Y451" s="253"/>
      <c r="Z451" s="253"/>
      <c r="AA451" s="253"/>
      <c r="AB451" s="253"/>
      <c r="AC451" s="253"/>
    </row>
    <row r="452">
      <c r="A452" s="22"/>
      <c r="B452" s="22"/>
      <c r="C452" s="22"/>
      <c r="D452" s="22"/>
      <c r="E452" s="22"/>
      <c r="F452" s="22"/>
      <c r="G452" s="112"/>
      <c r="H452" s="112"/>
      <c r="I452" s="112"/>
      <c r="J452" s="112"/>
      <c r="K452" s="112"/>
      <c r="L452" s="112"/>
      <c r="M452" s="253"/>
      <c r="N452" s="253"/>
      <c r="O452" s="253"/>
      <c r="P452" s="253"/>
      <c r="Q452" s="253"/>
      <c r="R452" s="253"/>
      <c r="S452" s="253"/>
      <c r="T452" s="253"/>
      <c r="U452" s="253"/>
      <c r="V452" s="253"/>
      <c r="W452" s="253"/>
      <c r="X452" s="253"/>
      <c r="Y452" s="253"/>
      <c r="Z452" s="253"/>
      <c r="AA452" s="253"/>
      <c r="AB452" s="253"/>
      <c r="AC452" s="253"/>
    </row>
    <row r="453">
      <c r="A453" s="22"/>
      <c r="B453" s="22"/>
      <c r="C453" s="22"/>
      <c r="D453" s="22"/>
      <c r="E453" s="22"/>
      <c r="F453" s="22"/>
      <c r="G453" s="112"/>
      <c r="H453" s="112"/>
      <c r="I453" s="112"/>
      <c r="J453" s="112"/>
      <c r="K453" s="112"/>
      <c r="L453" s="112"/>
      <c r="M453" s="253"/>
      <c r="N453" s="253"/>
      <c r="O453" s="253"/>
      <c r="P453" s="253"/>
      <c r="Q453" s="253"/>
      <c r="R453" s="253"/>
      <c r="S453" s="253"/>
      <c r="T453" s="253"/>
      <c r="U453" s="253"/>
      <c r="V453" s="253"/>
      <c r="W453" s="253"/>
      <c r="X453" s="253"/>
      <c r="Y453" s="253"/>
      <c r="Z453" s="253"/>
      <c r="AA453" s="253"/>
      <c r="AB453" s="253"/>
      <c r="AC453" s="253"/>
    </row>
    <row r="454">
      <c r="A454" s="22"/>
      <c r="B454" s="22"/>
      <c r="C454" s="22"/>
      <c r="D454" s="22"/>
      <c r="E454" s="22"/>
      <c r="F454" s="22"/>
      <c r="G454" s="112"/>
      <c r="H454" s="112"/>
      <c r="I454" s="112"/>
      <c r="J454" s="112"/>
      <c r="K454" s="112"/>
      <c r="L454" s="112"/>
      <c r="M454" s="253"/>
      <c r="N454" s="253"/>
      <c r="O454" s="253"/>
      <c r="P454" s="253"/>
      <c r="Q454" s="253"/>
      <c r="R454" s="253"/>
      <c r="S454" s="253"/>
      <c r="T454" s="253"/>
      <c r="U454" s="253"/>
      <c r="V454" s="253"/>
      <c r="W454" s="253"/>
      <c r="X454" s="253"/>
      <c r="Y454" s="253"/>
      <c r="Z454" s="253"/>
      <c r="AA454" s="253"/>
      <c r="AB454" s="253"/>
      <c r="AC454" s="253"/>
    </row>
    <row r="455">
      <c r="A455" s="22"/>
      <c r="B455" s="22"/>
      <c r="C455" s="22"/>
      <c r="D455" s="22"/>
      <c r="E455" s="22"/>
      <c r="F455" s="22"/>
      <c r="G455" s="112"/>
      <c r="H455" s="112"/>
      <c r="I455" s="112"/>
      <c r="J455" s="112"/>
      <c r="K455" s="112"/>
      <c r="L455" s="112"/>
      <c r="M455" s="253"/>
      <c r="N455" s="253"/>
      <c r="O455" s="253"/>
      <c r="P455" s="253"/>
      <c r="Q455" s="253"/>
      <c r="R455" s="253"/>
      <c r="S455" s="253"/>
      <c r="T455" s="253"/>
      <c r="U455" s="253"/>
      <c r="V455" s="253"/>
      <c r="W455" s="253"/>
      <c r="X455" s="253"/>
      <c r="Y455" s="253"/>
      <c r="Z455" s="253"/>
      <c r="AA455" s="253"/>
      <c r="AB455" s="253"/>
      <c r="AC455" s="253"/>
    </row>
    <row r="456">
      <c r="A456" s="22"/>
      <c r="B456" s="22"/>
      <c r="C456" s="22"/>
      <c r="D456" s="22"/>
      <c r="E456" s="22"/>
      <c r="F456" s="22"/>
      <c r="G456" s="112"/>
      <c r="H456" s="112"/>
      <c r="I456" s="112"/>
      <c r="J456" s="112"/>
      <c r="K456" s="112"/>
      <c r="L456" s="112"/>
      <c r="M456" s="253"/>
      <c r="N456" s="253"/>
      <c r="O456" s="253"/>
      <c r="P456" s="253"/>
      <c r="Q456" s="253"/>
      <c r="R456" s="253"/>
      <c r="S456" s="253"/>
      <c r="T456" s="253"/>
      <c r="U456" s="253"/>
      <c r="V456" s="253"/>
      <c r="W456" s="253"/>
      <c r="X456" s="253"/>
      <c r="Y456" s="253"/>
      <c r="Z456" s="253"/>
      <c r="AA456" s="253"/>
      <c r="AB456" s="253"/>
      <c r="AC456" s="253"/>
    </row>
    <row r="457">
      <c r="A457" s="22"/>
      <c r="B457" s="22"/>
      <c r="C457" s="22"/>
      <c r="D457" s="22"/>
      <c r="E457" s="22"/>
      <c r="F457" s="22"/>
      <c r="G457" s="112"/>
      <c r="H457" s="112"/>
      <c r="I457" s="112"/>
      <c r="J457" s="112"/>
      <c r="K457" s="112"/>
      <c r="L457" s="112"/>
      <c r="M457" s="253"/>
      <c r="N457" s="253"/>
      <c r="O457" s="253"/>
      <c r="P457" s="253"/>
      <c r="Q457" s="253"/>
      <c r="R457" s="253"/>
      <c r="S457" s="253"/>
      <c r="T457" s="253"/>
      <c r="U457" s="253"/>
      <c r="V457" s="253"/>
      <c r="W457" s="253"/>
      <c r="X457" s="253"/>
      <c r="Y457" s="253"/>
      <c r="Z457" s="253"/>
      <c r="AA457" s="253"/>
      <c r="AB457" s="253"/>
      <c r="AC457" s="253"/>
    </row>
    <row r="458">
      <c r="A458" s="22"/>
      <c r="B458" s="22"/>
      <c r="C458" s="22"/>
      <c r="D458" s="22"/>
      <c r="E458" s="22"/>
      <c r="F458" s="22"/>
      <c r="G458" s="112"/>
      <c r="H458" s="112"/>
      <c r="I458" s="112"/>
      <c r="J458" s="112"/>
      <c r="K458" s="112"/>
      <c r="L458" s="112"/>
      <c r="M458" s="253"/>
      <c r="N458" s="253"/>
      <c r="O458" s="253"/>
      <c r="P458" s="253"/>
      <c r="Q458" s="253"/>
      <c r="R458" s="253"/>
      <c r="S458" s="253"/>
      <c r="T458" s="253"/>
      <c r="U458" s="253"/>
      <c r="V458" s="253"/>
      <c r="W458" s="253"/>
      <c r="X458" s="253"/>
      <c r="Y458" s="253"/>
      <c r="Z458" s="253"/>
      <c r="AA458" s="253"/>
      <c r="AB458" s="253"/>
      <c r="AC458" s="253"/>
    </row>
    <row r="459">
      <c r="A459" s="22"/>
      <c r="B459" s="22"/>
      <c r="C459" s="22"/>
      <c r="D459" s="22"/>
      <c r="E459" s="22"/>
      <c r="F459" s="22"/>
      <c r="G459" s="112"/>
      <c r="H459" s="112"/>
      <c r="I459" s="112"/>
      <c r="J459" s="112"/>
      <c r="K459" s="112"/>
      <c r="L459" s="112"/>
      <c r="M459" s="253"/>
      <c r="N459" s="253"/>
      <c r="O459" s="253"/>
      <c r="P459" s="253"/>
      <c r="Q459" s="253"/>
      <c r="R459" s="253"/>
      <c r="S459" s="253"/>
      <c r="T459" s="253"/>
      <c r="U459" s="253"/>
      <c r="V459" s="253"/>
      <c r="W459" s="253"/>
      <c r="X459" s="253"/>
      <c r="Y459" s="253"/>
      <c r="Z459" s="253"/>
      <c r="AA459" s="253"/>
      <c r="AB459" s="253"/>
      <c r="AC459" s="253"/>
    </row>
    <row r="460">
      <c r="A460" s="22"/>
      <c r="B460" s="22"/>
      <c r="C460" s="22"/>
      <c r="D460" s="22"/>
      <c r="E460" s="22"/>
      <c r="F460" s="22"/>
      <c r="G460" s="112"/>
      <c r="H460" s="112"/>
      <c r="I460" s="112"/>
      <c r="J460" s="112"/>
      <c r="K460" s="112"/>
      <c r="L460" s="112"/>
      <c r="M460" s="253"/>
      <c r="N460" s="253"/>
      <c r="O460" s="253"/>
      <c r="P460" s="253"/>
      <c r="Q460" s="253"/>
      <c r="R460" s="253"/>
      <c r="S460" s="253"/>
      <c r="T460" s="253"/>
      <c r="U460" s="253"/>
      <c r="V460" s="253"/>
      <c r="W460" s="253"/>
      <c r="X460" s="253"/>
      <c r="Y460" s="253"/>
      <c r="Z460" s="253"/>
      <c r="AA460" s="253"/>
      <c r="AB460" s="253"/>
      <c r="AC460" s="253"/>
    </row>
    <row r="461">
      <c r="A461" s="22"/>
      <c r="B461" s="22"/>
      <c r="C461" s="22"/>
      <c r="D461" s="22"/>
      <c r="E461" s="22"/>
      <c r="F461" s="22"/>
      <c r="G461" s="112"/>
      <c r="H461" s="112"/>
      <c r="I461" s="112"/>
      <c r="J461" s="112"/>
      <c r="K461" s="112"/>
      <c r="L461" s="112"/>
      <c r="M461" s="253"/>
      <c r="N461" s="253"/>
      <c r="O461" s="253"/>
      <c r="P461" s="253"/>
      <c r="Q461" s="253"/>
      <c r="R461" s="253"/>
      <c r="S461" s="253"/>
      <c r="T461" s="253"/>
      <c r="U461" s="253"/>
      <c r="V461" s="253"/>
      <c r="W461" s="253"/>
      <c r="X461" s="253"/>
      <c r="Y461" s="253"/>
      <c r="Z461" s="253"/>
      <c r="AA461" s="253"/>
      <c r="AB461" s="253"/>
      <c r="AC461" s="253"/>
    </row>
    <row r="462">
      <c r="A462" s="22"/>
      <c r="B462" s="22"/>
      <c r="C462" s="22"/>
      <c r="D462" s="22"/>
      <c r="E462" s="22"/>
      <c r="F462" s="22"/>
      <c r="G462" s="112"/>
      <c r="H462" s="112"/>
      <c r="I462" s="112"/>
      <c r="J462" s="112"/>
      <c r="K462" s="112"/>
      <c r="L462" s="112"/>
      <c r="M462" s="253"/>
      <c r="N462" s="253"/>
      <c r="O462" s="253"/>
      <c r="P462" s="253"/>
      <c r="Q462" s="253"/>
      <c r="R462" s="253"/>
      <c r="S462" s="253"/>
      <c r="T462" s="253"/>
      <c r="U462" s="253"/>
      <c r="V462" s="253"/>
      <c r="W462" s="253"/>
      <c r="X462" s="253"/>
      <c r="Y462" s="253"/>
      <c r="Z462" s="253"/>
      <c r="AA462" s="253"/>
      <c r="AB462" s="253"/>
      <c r="AC462" s="253"/>
    </row>
    <row r="463">
      <c r="A463" s="22"/>
      <c r="B463" s="22"/>
      <c r="C463" s="22"/>
      <c r="D463" s="22"/>
      <c r="E463" s="22"/>
      <c r="F463" s="22"/>
      <c r="G463" s="112"/>
      <c r="H463" s="112"/>
      <c r="I463" s="112"/>
      <c r="J463" s="112"/>
      <c r="K463" s="112"/>
      <c r="L463" s="112"/>
      <c r="M463" s="253"/>
      <c r="N463" s="253"/>
      <c r="O463" s="253"/>
      <c r="P463" s="253"/>
      <c r="Q463" s="253"/>
      <c r="R463" s="253"/>
      <c r="S463" s="253"/>
      <c r="T463" s="253"/>
      <c r="U463" s="253"/>
      <c r="V463" s="253"/>
      <c r="W463" s="253"/>
      <c r="X463" s="253"/>
      <c r="Y463" s="253"/>
      <c r="Z463" s="253"/>
      <c r="AA463" s="253"/>
      <c r="AB463" s="253"/>
      <c r="AC463" s="253"/>
    </row>
    <row r="464">
      <c r="A464" s="22"/>
      <c r="B464" s="22"/>
      <c r="C464" s="22"/>
      <c r="D464" s="22"/>
      <c r="E464" s="22"/>
      <c r="F464" s="22"/>
      <c r="G464" s="112"/>
      <c r="H464" s="112"/>
      <c r="I464" s="112"/>
      <c r="J464" s="112"/>
      <c r="K464" s="112"/>
      <c r="L464" s="112"/>
      <c r="M464" s="253"/>
      <c r="N464" s="253"/>
      <c r="O464" s="253"/>
      <c r="P464" s="253"/>
      <c r="Q464" s="253"/>
      <c r="R464" s="253"/>
      <c r="S464" s="253"/>
      <c r="T464" s="253"/>
      <c r="U464" s="253"/>
      <c r="V464" s="253"/>
      <c r="W464" s="253"/>
      <c r="X464" s="253"/>
      <c r="Y464" s="253"/>
      <c r="Z464" s="253"/>
      <c r="AA464" s="253"/>
      <c r="AB464" s="253"/>
      <c r="AC464" s="253"/>
    </row>
    <row r="465">
      <c r="A465" s="22"/>
      <c r="B465" s="22"/>
      <c r="C465" s="22"/>
      <c r="D465" s="22"/>
      <c r="E465" s="22"/>
      <c r="F465" s="22"/>
      <c r="G465" s="112"/>
      <c r="H465" s="112"/>
      <c r="I465" s="112"/>
      <c r="J465" s="112"/>
      <c r="K465" s="112"/>
      <c r="L465" s="112"/>
      <c r="M465" s="253"/>
      <c r="N465" s="253"/>
      <c r="O465" s="253"/>
      <c r="P465" s="253"/>
      <c r="Q465" s="253"/>
      <c r="R465" s="253"/>
      <c r="S465" s="253"/>
      <c r="T465" s="253"/>
      <c r="U465" s="253"/>
      <c r="V465" s="253"/>
      <c r="W465" s="253"/>
      <c r="X465" s="253"/>
      <c r="Y465" s="253"/>
      <c r="Z465" s="253"/>
      <c r="AA465" s="253"/>
      <c r="AB465" s="253"/>
      <c r="AC465" s="253"/>
    </row>
    <row r="466">
      <c r="A466" s="22"/>
      <c r="B466" s="22"/>
      <c r="C466" s="22"/>
      <c r="D466" s="22"/>
      <c r="E466" s="22"/>
      <c r="F466" s="22"/>
      <c r="G466" s="112"/>
      <c r="H466" s="112"/>
      <c r="I466" s="112"/>
      <c r="J466" s="112"/>
      <c r="K466" s="112"/>
      <c r="L466" s="112"/>
      <c r="M466" s="253"/>
      <c r="N466" s="253"/>
      <c r="O466" s="253"/>
      <c r="P466" s="253"/>
      <c r="Q466" s="253"/>
      <c r="R466" s="253"/>
      <c r="S466" s="253"/>
      <c r="T466" s="253"/>
      <c r="U466" s="253"/>
      <c r="V466" s="253"/>
      <c r="W466" s="253"/>
      <c r="X466" s="253"/>
      <c r="Y466" s="253"/>
      <c r="Z466" s="253"/>
      <c r="AA466" s="253"/>
      <c r="AB466" s="253"/>
      <c r="AC466" s="253"/>
    </row>
    <row r="467">
      <c r="A467" s="22"/>
      <c r="B467" s="22"/>
      <c r="C467" s="22"/>
      <c r="D467" s="22"/>
      <c r="E467" s="22"/>
      <c r="F467" s="22"/>
      <c r="G467" s="112"/>
      <c r="H467" s="112"/>
      <c r="I467" s="112"/>
      <c r="J467" s="112"/>
      <c r="K467" s="112"/>
      <c r="L467" s="112"/>
      <c r="M467" s="253"/>
      <c r="N467" s="253"/>
      <c r="O467" s="253"/>
      <c r="P467" s="253"/>
      <c r="Q467" s="253"/>
      <c r="R467" s="253"/>
      <c r="S467" s="253"/>
      <c r="T467" s="253"/>
      <c r="U467" s="253"/>
      <c r="V467" s="253"/>
      <c r="W467" s="253"/>
      <c r="X467" s="253"/>
      <c r="Y467" s="253"/>
      <c r="Z467" s="253"/>
      <c r="AA467" s="253"/>
      <c r="AB467" s="253"/>
      <c r="AC467" s="253"/>
    </row>
    <row r="468">
      <c r="A468" s="22"/>
      <c r="B468" s="22"/>
      <c r="C468" s="22"/>
      <c r="D468" s="22"/>
      <c r="E468" s="22"/>
      <c r="F468" s="22"/>
      <c r="G468" s="112"/>
      <c r="H468" s="112"/>
      <c r="I468" s="112"/>
      <c r="J468" s="112"/>
      <c r="K468" s="112"/>
      <c r="L468" s="112"/>
      <c r="M468" s="253"/>
      <c r="N468" s="253"/>
      <c r="O468" s="253"/>
      <c r="P468" s="253"/>
      <c r="Q468" s="253"/>
      <c r="R468" s="253"/>
      <c r="S468" s="253"/>
      <c r="T468" s="253"/>
      <c r="U468" s="253"/>
      <c r="V468" s="253"/>
      <c r="W468" s="253"/>
      <c r="X468" s="253"/>
      <c r="Y468" s="253"/>
      <c r="Z468" s="253"/>
      <c r="AA468" s="253"/>
      <c r="AB468" s="253"/>
      <c r="AC468" s="253"/>
    </row>
    <row r="469">
      <c r="A469" s="22"/>
      <c r="B469" s="22"/>
      <c r="C469" s="22"/>
      <c r="D469" s="22"/>
      <c r="E469" s="22"/>
      <c r="F469" s="22"/>
      <c r="G469" s="112"/>
      <c r="H469" s="112"/>
      <c r="I469" s="112"/>
      <c r="J469" s="112"/>
      <c r="K469" s="112"/>
      <c r="L469" s="112"/>
      <c r="M469" s="253"/>
      <c r="N469" s="253"/>
      <c r="O469" s="253"/>
      <c r="P469" s="253"/>
      <c r="Q469" s="253"/>
      <c r="R469" s="253"/>
      <c r="S469" s="253"/>
      <c r="T469" s="253"/>
      <c r="U469" s="253"/>
      <c r="V469" s="253"/>
      <c r="W469" s="253"/>
      <c r="X469" s="253"/>
      <c r="Y469" s="253"/>
      <c r="Z469" s="253"/>
      <c r="AA469" s="253"/>
      <c r="AB469" s="253"/>
      <c r="AC469" s="253"/>
    </row>
    <row r="470">
      <c r="A470" s="22"/>
      <c r="B470" s="22"/>
      <c r="C470" s="22"/>
      <c r="D470" s="22"/>
      <c r="E470" s="22"/>
      <c r="F470" s="22"/>
      <c r="G470" s="112"/>
      <c r="H470" s="112"/>
      <c r="I470" s="112"/>
      <c r="J470" s="112"/>
      <c r="K470" s="112"/>
      <c r="L470" s="112"/>
      <c r="M470" s="253"/>
      <c r="N470" s="253"/>
      <c r="O470" s="253"/>
      <c r="P470" s="253"/>
      <c r="Q470" s="253"/>
      <c r="R470" s="253"/>
      <c r="S470" s="253"/>
      <c r="T470" s="253"/>
      <c r="U470" s="253"/>
      <c r="V470" s="253"/>
      <c r="W470" s="253"/>
      <c r="X470" s="253"/>
      <c r="Y470" s="253"/>
      <c r="Z470" s="253"/>
      <c r="AA470" s="253"/>
      <c r="AB470" s="253"/>
      <c r="AC470" s="253"/>
    </row>
    <row r="471">
      <c r="A471" s="22"/>
      <c r="B471" s="22"/>
      <c r="C471" s="22"/>
      <c r="D471" s="22"/>
      <c r="E471" s="22"/>
      <c r="F471" s="22"/>
      <c r="G471" s="112"/>
      <c r="H471" s="112"/>
      <c r="I471" s="112"/>
      <c r="J471" s="112"/>
      <c r="K471" s="112"/>
      <c r="L471" s="112"/>
      <c r="M471" s="253"/>
      <c r="N471" s="253"/>
      <c r="O471" s="253"/>
      <c r="P471" s="253"/>
      <c r="Q471" s="253"/>
      <c r="R471" s="253"/>
      <c r="S471" s="253"/>
      <c r="T471" s="253"/>
      <c r="U471" s="253"/>
      <c r="V471" s="253"/>
      <c r="W471" s="253"/>
      <c r="X471" s="253"/>
      <c r="Y471" s="253"/>
      <c r="Z471" s="253"/>
      <c r="AA471" s="253"/>
      <c r="AB471" s="253"/>
      <c r="AC471" s="253"/>
    </row>
    <row r="472">
      <c r="A472" s="22"/>
      <c r="B472" s="22"/>
      <c r="C472" s="22"/>
      <c r="D472" s="22"/>
      <c r="E472" s="22"/>
      <c r="F472" s="22"/>
      <c r="G472" s="112"/>
      <c r="H472" s="112"/>
      <c r="I472" s="112"/>
      <c r="J472" s="112"/>
      <c r="K472" s="112"/>
      <c r="L472" s="112"/>
      <c r="M472" s="253"/>
      <c r="N472" s="253"/>
      <c r="O472" s="253"/>
      <c r="P472" s="253"/>
      <c r="Q472" s="253"/>
      <c r="R472" s="253"/>
      <c r="S472" s="253"/>
      <c r="T472" s="253"/>
      <c r="U472" s="253"/>
      <c r="V472" s="253"/>
      <c r="W472" s="253"/>
      <c r="X472" s="253"/>
      <c r="Y472" s="253"/>
      <c r="Z472" s="253"/>
      <c r="AA472" s="253"/>
      <c r="AB472" s="253"/>
      <c r="AC472" s="253"/>
    </row>
    <row r="473">
      <c r="A473" s="22"/>
      <c r="B473" s="22"/>
      <c r="C473" s="22"/>
      <c r="D473" s="22"/>
      <c r="E473" s="22"/>
      <c r="F473" s="22"/>
      <c r="G473" s="112"/>
      <c r="H473" s="112"/>
      <c r="I473" s="112"/>
      <c r="J473" s="112"/>
      <c r="K473" s="112"/>
      <c r="L473" s="112"/>
      <c r="M473" s="253"/>
      <c r="N473" s="253"/>
      <c r="O473" s="253"/>
      <c r="P473" s="253"/>
      <c r="Q473" s="253"/>
      <c r="R473" s="253"/>
      <c r="S473" s="253"/>
      <c r="T473" s="253"/>
      <c r="U473" s="253"/>
      <c r="V473" s="253"/>
      <c r="W473" s="253"/>
      <c r="X473" s="253"/>
      <c r="Y473" s="253"/>
      <c r="Z473" s="253"/>
      <c r="AA473" s="253"/>
      <c r="AB473" s="253"/>
      <c r="AC473" s="253"/>
    </row>
    <row r="474">
      <c r="A474" s="22"/>
      <c r="B474" s="22"/>
      <c r="C474" s="22"/>
      <c r="D474" s="22"/>
      <c r="E474" s="22"/>
      <c r="F474" s="22"/>
      <c r="G474" s="112"/>
      <c r="H474" s="112"/>
      <c r="I474" s="112"/>
      <c r="J474" s="112"/>
      <c r="K474" s="112"/>
      <c r="L474" s="112"/>
      <c r="M474" s="253"/>
      <c r="N474" s="253"/>
      <c r="O474" s="253"/>
      <c r="P474" s="253"/>
      <c r="Q474" s="253"/>
      <c r="R474" s="253"/>
      <c r="S474" s="253"/>
      <c r="T474" s="253"/>
      <c r="U474" s="253"/>
      <c r="V474" s="253"/>
      <c r="W474" s="253"/>
      <c r="X474" s="253"/>
      <c r="Y474" s="253"/>
      <c r="Z474" s="253"/>
      <c r="AA474" s="253"/>
      <c r="AB474" s="253"/>
      <c r="AC474" s="253"/>
    </row>
    <row r="475">
      <c r="A475" s="22"/>
      <c r="B475" s="22"/>
      <c r="C475" s="22"/>
      <c r="D475" s="22"/>
      <c r="E475" s="22"/>
      <c r="F475" s="22"/>
      <c r="G475" s="112"/>
      <c r="H475" s="112"/>
      <c r="I475" s="112"/>
      <c r="J475" s="112"/>
      <c r="K475" s="112"/>
      <c r="L475" s="112"/>
      <c r="M475" s="253"/>
      <c r="N475" s="253"/>
      <c r="O475" s="253"/>
      <c r="P475" s="253"/>
      <c r="Q475" s="253"/>
      <c r="R475" s="253"/>
      <c r="S475" s="253"/>
      <c r="T475" s="253"/>
      <c r="U475" s="253"/>
      <c r="V475" s="253"/>
      <c r="W475" s="253"/>
      <c r="X475" s="253"/>
      <c r="Y475" s="253"/>
      <c r="Z475" s="253"/>
      <c r="AA475" s="253"/>
      <c r="AB475" s="253"/>
      <c r="AC475" s="253"/>
    </row>
    <row r="476">
      <c r="A476" s="22"/>
      <c r="B476" s="22"/>
      <c r="C476" s="22"/>
      <c r="D476" s="22"/>
      <c r="E476" s="22"/>
      <c r="F476" s="22"/>
      <c r="G476" s="112"/>
      <c r="H476" s="112"/>
      <c r="I476" s="112"/>
      <c r="J476" s="112"/>
      <c r="K476" s="112"/>
      <c r="L476" s="112"/>
      <c r="M476" s="253"/>
      <c r="N476" s="253"/>
      <c r="O476" s="253"/>
      <c r="P476" s="253"/>
      <c r="Q476" s="253"/>
      <c r="R476" s="253"/>
      <c r="S476" s="253"/>
      <c r="T476" s="253"/>
      <c r="U476" s="253"/>
      <c r="V476" s="253"/>
      <c r="W476" s="253"/>
      <c r="X476" s="253"/>
      <c r="Y476" s="253"/>
      <c r="Z476" s="253"/>
      <c r="AA476" s="253"/>
      <c r="AB476" s="253"/>
      <c r="AC476" s="253"/>
    </row>
    <row r="477">
      <c r="A477" s="22"/>
      <c r="B477" s="22"/>
      <c r="C477" s="22"/>
      <c r="D477" s="22"/>
      <c r="E477" s="22"/>
      <c r="F477" s="22"/>
      <c r="G477" s="112"/>
      <c r="H477" s="112"/>
      <c r="I477" s="112"/>
      <c r="J477" s="112"/>
      <c r="K477" s="112"/>
      <c r="L477" s="112"/>
      <c r="M477" s="253"/>
      <c r="N477" s="253"/>
      <c r="O477" s="253"/>
      <c r="P477" s="253"/>
      <c r="Q477" s="253"/>
      <c r="R477" s="253"/>
      <c r="S477" s="253"/>
      <c r="T477" s="253"/>
      <c r="U477" s="253"/>
      <c r="V477" s="253"/>
      <c r="W477" s="253"/>
      <c r="X477" s="253"/>
      <c r="Y477" s="253"/>
      <c r="Z477" s="253"/>
      <c r="AA477" s="253"/>
      <c r="AB477" s="253"/>
      <c r="AC477" s="253"/>
    </row>
    <row r="478">
      <c r="A478" s="22"/>
      <c r="B478" s="22"/>
      <c r="C478" s="22"/>
      <c r="D478" s="22"/>
      <c r="E478" s="22"/>
      <c r="F478" s="22"/>
      <c r="G478" s="112"/>
      <c r="H478" s="112"/>
      <c r="I478" s="112"/>
      <c r="J478" s="112"/>
      <c r="K478" s="112"/>
      <c r="L478" s="112"/>
      <c r="M478" s="253"/>
      <c r="N478" s="253"/>
      <c r="O478" s="253"/>
      <c r="P478" s="253"/>
      <c r="Q478" s="253"/>
      <c r="R478" s="253"/>
      <c r="S478" s="253"/>
      <c r="T478" s="253"/>
      <c r="U478" s="253"/>
      <c r="V478" s="253"/>
      <c r="W478" s="253"/>
      <c r="X478" s="253"/>
      <c r="Y478" s="253"/>
      <c r="Z478" s="253"/>
      <c r="AA478" s="253"/>
      <c r="AB478" s="253"/>
      <c r="AC478" s="253"/>
    </row>
    <row r="479">
      <c r="A479" s="22"/>
      <c r="B479" s="22"/>
      <c r="C479" s="22"/>
      <c r="D479" s="22"/>
      <c r="E479" s="22"/>
      <c r="F479" s="22"/>
      <c r="G479" s="112"/>
      <c r="H479" s="112"/>
      <c r="I479" s="112"/>
      <c r="J479" s="112"/>
      <c r="K479" s="112"/>
      <c r="L479" s="112"/>
      <c r="M479" s="253"/>
      <c r="N479" s="253"/>
      <c r="O479" s="253"/>
      <c r="P479" s="253"/>
      <c r="Q479" s="253"/>
      <c r="R479" s="253"/>
      <c r="S479" s="253"/>
      <c r="T479" s="253"/>
      <c r="U479" s="253"/>
      <c r="V479" s="253"/>
      <c r="W479" s="253"/>
      <c r="X479" s="253"/>
      <c r="Y479" s="253"/>
      <c r="Z479" s="253"/>
      <c r="AA479" s="253"/>
      <c r="AB479" s="253"/>
      <c r="AC479" s="253"/>
    </row>
    <row r="480">
      <c r="A480" s="22"/>
      <c r="B480" s="22"/>
      <c r="C480" s="22"/>
      <c r="D480" s="22"/>
      <c r="E480" s="22"/>
      <c r="F480" s="22"/>
      <c r="G480" s="112"/>
      <c r="H480" s="112"/>
      <c r="I480" s="112"/>
      <c r="J480" s="112"/>
      <c r="K480" s="112"/>
      <c r="L480" s="112"/>
      <c r="M480" s="253"/>
      <c r="N480" s="253"/>
      <c r="O480" s="253"/>
      <c r="P480" s="253"/>
      <c r="Q480" s="253"/>
      <c r="R480" s="253"/>
      <c r="S480" s="253"/>
      <c r="T480" s="253"/>
      <c r="U480" s="253"/>
      <c r="V480" s="253"/>
      <c r="W480" s="253"/>
      <c r="X480" s="253"/>
      <c r="Y480" s="253"/>
      <c r="Z480" s="253"/>
      <c r="AA480" s="253"/>
      <c r="AB480" s="253"/>
      <c r="AC480" s="253"/>
    </row>
    <row r="481">
      <c r="A481" s="22"/>
      <c r="B481" s="22"/>
      <c r="C481" s="22"/>
      <c r="D481" s="22"/>
      <c r="E481" s="22"/>
      <c r="F481" s="22"/>
      <c r="G481" s="112"/>
      <c r="H481" s="112"/>
      <c r="I481" s="112"/>
      <c r="J481" s="112"/>
      <c r="K481" s="112"/>
      <c r="L481" s="112"/>
      <c r="M481" s="253"/>
      <c r="N481" s="253"/>
      <c r="O481" s="253"/>
      <c r="P481" s="253"/>
      <c r="Q481" s="253"/>
      <c r="R481" s="253"/>
      <c r="S481" s="253"/>
      <c r="T481" s="253"/>
      <c r="U481" s="253"/>
      <c r="V481" s="253"/>
      <c r="W481" s="253"/>
      <c r="X481" s="253"/>
      <c r="Y481" s="253"/>
      <c r="Z481" s="253"/>
      <c r="AA481" s="253"/>
      <c r="AB481" s="253"/>
      <c r="AC481" s="253"/>
    </row>
    <row r="482">
      <c r="A482" s="22"/>
      <c r="B482" s="22"/>
      <c r="C482" s="22"/>
      <c r="D482" s="22"/>
      <c r="E482" s="22"/>
      <c r="F482" s="22"/>
      <c r="G482" s="112"/>
      <c r="H482" s="112"/>
      <c r="I482" s="112"/>
      <c r="J482" s="112"/>
      <c r="K482" s="112"/>
      <c r="L482" s="112"/>
      <c r="M482" s="253"/>
      <c r="N482" s="253"/>
      <c r="O482" s="253"/>
      <c r="P482" s="253"/>
      <c r="Q482" s="253"/>
      <c r="R482" s="253"/>
      <c r="S482" s="253"/>
      <c r="T482" s="253"/>
      <c r="U482" s="253"/>
      <c r="V482" s="253"/>
      <c r="W482" s="253"/>
      <c r="X482" s="253"/>
      <c r="Y482" s="253"/>
      <c r="Z482" s="253"/>
      <c r="AA482" s="253"/>
      <c r="AB482" s="253"/>
      <c r="AC482" s="253"/>
    </row>
    <row r="483">
      <c r="A483" s="22"/>
      <c r="B483" s="22"/>
      <c r="C483" s="22"/>
      <c r="D483" s="22"/>
      <c r="E483" s="22"/>
      <c r="F483" s="22"/>
      <c r="G483" s="112"/>
      <c r="H483" s="112"/>
      <c r="I483" s="112"/>
      <c r="J483" s="112"/>
      <c r="K483" s="112"/>
      <c r="L483" s="112"/>
      <c r="M483" s="253"/>
      <c r="N483" s="253"/>
      <c r="O483" s="253"/>
      <c r="P483" s="253"/>
      <c r="Q483" s="253"/>
      <c r="R483" s="253"/>
      <c r="S483" s="253"/>
      <c r="T483" s="253"/>
      <c r="U483" s="253"/>
      <c r="V483" s="253"/>
      <c r="W483" s="253"/>
      <c r="X483" s="253"/>
      <c r="Y483" s="253"/>
      <c r="Z483" s="253"/>
      <c r="AA483" s="253"/>
      <c r="AB483" s="253"/>
      <c r="AC483" s="253"/>
    </row>
    <row r="484">
      <c r="A484" s="22"/>
      <c r="B484" s="22"/>
      <c r="C484" s="22"/>
      <c r="D484" s="22"/>
      <c r="E484" s="22"/>
      <c r="F484" s="22"/>
      <c r="G484" s="112"/>
      <c r="H484" s="112"/>
      <c r="I484" s="112"/>
      <c r="J484" s="112"/>
      <c r="K484" s="112"/>
      <c r="L484" s="112"/>
      <c r="M484" s="253"/>
      <c r="N484" s="253"/>
      <c r="O484" s="253"/>
      <c r="P484" s="253"/>
      <c r="Q484" s="253"/>
      <c r="R484" s="253"/>
      <c r="S484" s="253"/>
      <c r="T484" s="253"/>
      <c r="U484" s="253"/>
      <c r="V484" s="253"/>
      <c r="W484" s="253"/>
      <c r="X484" s="253"/>
      <c r="Y484" s="253"/>
      <c r="Z484" s="253"/>
      <c r="AA484" s="253"/>
      <c r="AB484" s="253"/>
      <c r="AC484" s="253"/>
    </row>
    <row r="485">
      <c r="A485" s="22"/>
      <c r="B485" s="22"/>
      <c r="C485" s="22"/>
      <c r="D485" s="22"/>
      <c r="E485" s="22"/>
      <c r="F485" s="22"/>
      <c r="G485" s="112"/>
      <c r="H485" s="112"/>
      <c r="I485" s="112"/>
      <c r="J485" s="112"/>
      <c r="K485" s="112"/>
      <c r="L485" s="112"/>
      <c r="M485" s="253"/>
      <c r="N485" s="253"/>
      <c r="O485" s="253"/>
      <c r="P485" s="253"/>
      <c r="Q485" s="253"/>
      <c r="R485" s="253"/>
      <c r="S485" s="253"/>
      <c r="T485" s="253"/>
      <c r="U485" s="253"/>
      <c r="V485" s="253"/>
      <c r="W485" s="253"/>
      <c r="X485" s="253"/>
      <c r="Y485" s="253"/>
      <c r="Z485" s="253"/>
      <c r="AA485" s="253"/>
      <c r="AB485" s="253"/>
      <c r="AC485" s="253"/>
    </row>
    <row r="486">
      <c r="A486" s="22"/>
      <c r="B486" s="22"/>
      <c r="C486" s="22"/>
      <c r="D486" s="22"/>
      <c r="E486" s="22"/>
      <c r="F486" s="22"/>
      <c r="G486" s="112"/>
      <c r="H486" s="112"/>
      <c r="I486" s="112"/>
      <c r="J486" s="112"/>
      <c r="K486" s="112"/>
      <c r="L486" s="112"/>
      <c r="M486" s="253"/>
      <c r="N486" s="253"/>
      <c r="O486" s="253"/>
      <c r="P486" s="253"/>
      <c r="Q486" s="253"/>
      <c r="R486" s="253"/>
      <c r="S486" s="253"/>
      <c r="T486" s="253"/>
      <c r="U486" s="253"/>
      <c r="V486" s="253"/>
      <c r="W486" s="253"/>
      <c r="X486" s="253"/>
      <c r="Y486" s="253"/>
      <c r="Z486" s="253"/>
      <c r="AA486" s="253"/>
      <c r="AB486" s="253"/>
      <c r="AC486" s="253"/>
    </row>
    <row r="487">
      <c r="A487" s="22"/>
      <c r="B487" s="22"/>
      <c r="C487" s="22"/>
      <c r="D487" s="22"/>
      <c r="E487" s="22"/>
      <c r="F487" s="22"/>
      <c r="G487" s="112"/>
      <c r="H487" s="112"/>
      <c r="I487" s="112"/>
      <c r="J487" s="112"/>
      <c r="K487" s="112"/>
      <c r="L487" s="112"/>
      <c r="M487" s="253"/>
      <c r="N487" s="253"/>
      <c r="O487" s="253"/>
      <c r="P487" s="253"/>
      <c r="Q487" s="253"/>
      <c r="R487" s="253"/>
      <c r="S487" s="253"/>
      <c r="T487" s="253"/>
      <c r="U487" s="253"/>
      <c r="V487" s="253"/>
      <c r="W487" s="253"/>
      <c r="X487" s="253"/>
      <c r="Y487" s="253"/>
      <c r="Z487" s="253"/>
      <c r="AA487" s="253"/>
      <c r="AB487" s="253"/>
      <c r="AC487" s="253"/>
    </row>
    <row r="488">
      <c r="A488" s="22"/>
      <c r="B488" s="22"/>
      <c r="C488" s="22"/>
      <c r="D488" s="22"/>
      <c r="E488" s="22"/>
      <c r="F488" s="22"/>
      <c r="G488" s="112"/>
      <c r="H488" s="112"/>
      <c r="I488" s="112"/>
      <c r="J488" s="112"/>
      <c r="K488" s="112"/>
      <c r="L488" s="112"/>
      <c r="M488" s="253"/>
      <c r="N488" s="253"/>
      <c r="O488" s="253"/>
      <c r="P488" s="253"/>
      <c r="Q488" s="253"/>
      <c r="R488" s="253"/>
      <c r="S488" s="253"/>
      <c r="T488" s="253"/>
      <c r="U488" s="253"/>
      <c r="V488" s="253"/>
      <c r="W488" s="253"/>
      <c r="X488" s="253"/>
      <c r="Y488" s="253"/>
      <c r="Z488" s="253"/>
      <c r="AA488" s="253"/>
      <c r="AB488" s="253"/>
      <c r="AC488" s="253"/>
    </row>
    <row r="489">
      <c r="A489" s="22"/>
      <c r="B489" s="22"/>
      <c r="C489" s="22"/>
      <c r="D489" s="22"/>
      <c r="E489" s="22"/>
      <c r="F489" s="22"/>
      <c r="G489" s="112"/>
      <c r="H489" s="112"/>
      <c r="I489" s="112"/>
      <c r="J489" s="112"/>
      <c r="K489" s="112"/>
      <c r="L489" s="112"/>
      <c r="M489" s="253"/>
      <c r="N489" s="253"/>
      <c r="O489" s="253"/>
      <c r="P489" s="253"/>
      <c r="Q489" s="253"/>
      <c r="R489" s="253"/>
      <c r="S489" s="253"/>
      <c r="T489" s="253"/>
      <c r="U489" s="253"/>
      <c r="V489" s="253"/>
      <c r="W489" s="253"/>
      <c r="X489" s="253"/>
      <c r="Y489" s="253"/>
      <c r="Z489" s="253"/>
      <c r="AA489" s="253"/>
      <c r="AB489" s="253"/>
      <c r="AC489" s="253"/>
    </row>
    <row r="490">
      <c r="A490" s="22"/>
      <c r="B490" s="22"/>
      <c r="C490" s="22"/>
      <c r="D490" s="22"/>
      <c r="E490" s="22"/>
      <c r="F490" s="22"/>
      <c r="G490" s="112"/>
      <c r="H490" s="112"/>
      <c r="I490" s="112"/>
      <c r="J490" s="112"/>
      <c r="K490" s="112"/>
      <c r="L490" s="112"/>
      <c r="M490" s="253"/>
      <c r="N490" s="253"/>
      <c r="O490" s="253"/>
      <c r="P490" s="253"/>
      <c r="Q490" s="253"/>
      <c r="R490" s="253"/>
      <c r="S490" s="253"/>
      <c r="T490" s="253"/>
      <c r="U490" s="253"/>
      <c r="V490" s="253"/>
      <c r="W490" s="253"/>
      <c r="X490" s="253"/>
      <c r="Y490" s="253"/>
      <c r="Z490" s="253"/>
      <c r="AA490" s="253"/>
      <c r="AB490" s="253"/>
      <c r="AC490" s="253"/>
    </row>
    <row r="491">
      <c r="A491" s="22"/>
      <c r="B491" s="22"/>
      <c r="C491" s="22"/>
      <c r="D491" s="22"/>
      <c r="E491" s="22"/>
      <c r="F491" s="22"/>
      <c r="G491" s="112"/>
      <c r="H491" s="112"/>
      <c r="I491" s="112"/>
      <c r="J491" s="112"/>
      <c r="K491" s="112"/>
      <c r="L491" s="112"/>
      <c r="M491" s="253"/>
      <c r="N491" s="253"/>
      <c r="O491" s="253"/>
      <c r="P491" s="253"/>
      <c r="Q491" s="253"/>
      <c r="R491" s="253"/>
      <c r="S491" s="253"/>
      <c r="T491" s="253"/>
      <c r="U491" s="253"/>
      <c r="V491" s="253"/>
      <c r="W491" s="253"/>
      <c r="X491" s="253"/>
      <c r="Y491" s="253"/>
      <c r="Z491" s="253"/>
      <c r="AA491" s="253"/>
      <c r="AB491" s="253"/>
      <c r="AC491" s="253"/>
    </row>
    <row r="492">
      <c r="A492" s="22"/>
      <c r="B492" s="22"/>
      <c r="C492" s="22"/>
      <c r="D492" s="22"/>
      <c r="E492" s="22"/>
      <c r="F492" s="22"/>
      <c r="G492" s="112"/>
      <c r="H492" s="112"/>
      <c r="I492" s="112"/>
      <c r="J492" s="112"/>
      <c r="K492" s="112"/>
      <c r="L492" s="112"/>
      <c r="M492" s="253"/>
      <c r="N492" s="253"/>
      <c r="O492" s="253"/>
      <c r="P492" s="253"/>
      <c r="Q492" s="253"/>
      <c r="R492" s="253"/>
      <c r="S492" s="253"/>
      <c r="T492" s="253"/>
      <c r="U492" s="253"/>
      <c r="V492" s="253"/>
      <c r="W492" s="253"/>
      <c r="X492" s="253"/>
      <c r="Y492" s="253"/>
      <c r="Z492" s="253"/>
      <c r="AA492" s="253"/>
      <c r="AB492" s="253"/>
      <c r="AC492" s="253"/>
    </row>
    <row r="493">
      <c r="A493" s="22"/>
      <c r="B493" s="22"/>
      <c r="C493" s="22"/>
      <c r="D493" s="22"/>
      <c r="E493" s="22"/>
      <c r="F493" s="22"/>
      <c r="G493" s="112"/>
      <c r="H493" s="112"/>
      <c r="I493" s="112"/>
      <c r="J493" s="112"/>
      <c r="K493" s="112"/>
      <c r="L493" s="112"/>
      <c r="M493" s="253"/>
      <c r="N493" s="253"/>
      <c r="O493" s="253"/>
      <c r="P493" s="253"/>
      <c r="Q493" s="253"/>
      <c r="R493" s="253"/>
      <c r="S493" s="253"/>
      <c r="T493" s="253"/>
      <c r="U493" s="253"/>
      <c r="V493" s="253"/>
      <c r="W493" s="253"/>
      <c r="X493" s="253"/>
      <c r="Y493" s="253"/>
      <c r="Z493" s="253"/>
      <c r="AA493" s="253"/>
      <c r="AB493" s="253"/>
      <c r="AC493" s="253"/>
    </row>
    <row r="494">
      <c r="A494" s="22"/>
      <c r="B494" s="22"/>
      <c r="C494" s="22"/>
      <c r="D494" s="22"/>
      <c r="E494" s="22"/>
      <c r="F494" s="22"/>
      <c r="G494" s="112"/>
      <c r="H494" s="112"/>
      <c r="I494" s="112"/>
      <c r="J494" s="112"/>
      <c r="K494" s="112"/>
      <c r="L494" s="112"/>
      <c r="M494" s="253"/>
      <c r="N494" s="253"/>
      <c r="O494" s="253"/>
      <c r="P494" s="253"/>
      <c r="Q494" s="253"/>
      <c r="R494" s="253"/>
      <c r="S494" s="253"/>
      <c r="T494" s="253"/>
      <c r="U494" s="253"/>
      <c r="V494" s="253"/>
      <c r="W494" s="253"/>
      <c r="X494" s="253"/>
      <c r="Y494" s="253"/>
      <c r="Z494" s="253"/>
      <c r="AA494" s="253"/>
      <c r="AB494" s="253"/>
      <c r="AC494" s="253"/>
    </row>
    <row r="495">
      <c r="A495" s="22"/>
      <c r="B495" s="22"/>
      <c r="C495" s="22"/>
      <c r="D495" s="22"/>
      <c r="E495" s="22"/>
      <c r="F495" s="22"/>
      <c r="G495" s="112"/>
      <c r="H495" s="112"/>
      <c r="I495" s="112"/>
      <c r="J495" s="112"/>
      <c r="K495" s="112"/>
      <c r="L495" s="112"/>
      <c r="M495" s="253"/>
      <c r="N495" s="253"/>
      <c r="O495" s="253"/>
      <c r="P495" s="253"/>
      <c r="Q495" s="253"/>
      <c r="R495" s="253"/>
      <c r="S495" s="253"/>
      <c r="T495" s="253"/>
      <c r="U495" s="253"/>
      <c r="V495" s="253"/>
      <c r="W495" s="253"/>
      <c r="X495" s="253"/>
      <c r="Y495" s="253"/>
      <c r="Z495" s="253"/>
      <c r="AA495" s="253"/>
      <c r="AB495" s="253"/>
      <c r="AC495" s="253"/>
    </row>
    <row r="496">
      <c r="A496" s="22"/>
      <c r="B496" s="22"/>
      <c r="C496" s="22"/>
      <c r="D496" s="22"/>
      <c r="E496" s="22"/>
      <c r="F496" s="22"/>
      <c r="G496" s="112"/>
      <c r="H496" s="112"/>
      <c r="I496" s="112"/>
      <c r="J496" s="112"/>
      <c r="K496" s="112"/>
      <c r="L496" s="112"/>
      <c r="M496" s="253"/>
      <c r="N496" s="253"/>
      <c r="O496" s="253"/>
      <c r="P496" s="253"/>
      <c r="Q496" s="253"/>
      <c r="R496" s="253"/>
      <c r="S496" s="253"/>
      <c r="T496" s="253"/>
      <c r="U496" s="253"/>
      <c r="V496" s="253"/>
      <c r="W496" s="253"/>
      <c r="X496" s="253"/>
      <c r="Y496" s="253"/>
      <c r="Z496" s="253"/>
      <c r="AA496" s="253"/>
      <c r="AB496" s="253"/>
      <c r="AC496" s="253"/>
    </row>
    <row r="497">
      <c r="A497" s="22"/>
      <c r="B497" s="22"/>
      <c r="C497" s="22"/>
      <c r="D497" s="22"/>
      <c r="E497" s="22"/>
      <c r="F497" s="22"/>
      <c r="G497" s="112"/>
      <c r="H497" s="112"/>
      <c r="I497" s="112"/>
      <c r="J497" s="112"/>
      <c r="K497" s="112"/>
      <c r="L497" s="112"/>
      <c r="M497" s="253"/>
      <c r="N497" s="253"/>
      <c r="O497" s="253"/>
      <c r="P497" s="253"/>
      <c r="Q497" s="253"/>
      <c r="R497" s="253"/>
      <c r="S497" s="253"/>
      <c r="T497" s="253"/>
      <c r="U497" s="253"/>
      <c r="V497" s="253"/>
      <c r="W497" s="253"/>
      <c r="X497" s="253"/>
      <c r="Y497" s="253"/>
      <c r="Z497" s="253"/>
      <c r="AA497" s="253"/>
      <c r="AB497" s="253"/>
      <c r="AC497" s="253"/>
    </row>
    <row r="498">
      <c r="A498" s="22"/>
      <c r="B498" s="22"/>
      <c r="C498" s="22"/>
      <c r="D498" s="22"/>
      <c r="E498" s="22"/>
      <c r="F498" s="22"/>
      <c r="G498" s="112"/>
      <c r="H498" s="112"/>
      <c r="I498" s="112"/>
      <c r="J498" s="112"/>
      <c r="K498" s="112"/>
      <c r="L498" s="112"/>
      <c r="M498" s="253"/>
      <c r="N498" s="253"/>
      <c r="O498" s="253"/>
      <c r="P498" s="253"/>
      <c r="Q498" s="253"/>
      <c r="R498" s="253"/>
      <c r="S498" s="253"/>
      <c r="T498" s="253"/>
      <c r="U498" s="253"/>
      <c r="V498" s="253"/>
      <c r="W498" s="253"/>
      <c r="X498" s="253"/>
      <c r="Y498" s="253"/>
      <c r="Z498" s="253"/>
      <c r="AA498" s="253"/>
      <c r="AB498" s="253"/>
      <c r="AC498" s="253"/>
    </row>
    <row r="499">
      <c r="A499" s="22"/>
      <c r="B499" s="22"/>
      <c r="C499" s="22"/>
      <c r="D499" s="22"/>
      <c r="E499" s="22"/>
      <c r="F499" s="22"/>
      <c r="G499" s="112"/>
      <c r="H499" s="112"/>
      <c r="I499" s="112"/>
      <c r="J499" s="112"/>
      <c r="K499" s="112"/>
      <c r="L499" s="112"/>
      <c r="M499" s="253"/>
      <c r="N499" s="253"/>
      <c r="O499" s="253"/>
      <c r="P499" s="253"/>
      <c r="Q499" s="253"/>
      <c r="R499" s="253"/>
      <c r="S499" s="253"/>
      <c r="T499" s="253"/>
      <c r="U499" s="253"/>
      <c r="V499" s="253"/>
      <c r="W499" s="253"/>
      <c r="X499" s="253"/>
      <c r="Y499" s="253"/>
      <c r="Z499" s="253"/>
      <c r="AA499" s="253"/>
      <c r="AB499" s="253"/>
      <c r="AC499" s="253"/>
    </row>
    <row r="500">
      <c r="A500" s="22"/>
      <c r="B500" s="22"/>
      <c r="C500" s="22"/>
      <c r="D500" s="22"/>
      <c r="E500" s="22"/>
      <c r="F500" s="22"/>
      <c r="G500" s="112"/>
      <c r="H500" s="112"/>
      <c r="I500" s="112"/>
      <c r="J500" s="112"/>
      <c r="K500" s="112"/>
      <c r="L500" s="112"/>
      <c r="M500" s="253"/>
      <c r="N500" s="253"/>
      <c r="O500" s="253"/>
      <c r="P500" s="253"/>
      <c r="Q500" s="253"/>
      <c r="R500" s="253"/>
      <c r="S500" s="253"/>
      <c r="T500" s="253"/>
      <c r="U500" s="253"/>
      <c r="V500" s="253"/>
      <c r="W500" s="253"/>
      <c r="X500" s="253"/>
      <c r="Y500" s="253"/>
      <c r="Z500" s="253"/>
      <c r="AA500" s="253"/>
      <c r="AB500" s="253"/>
      <c r="AC500" s="253"/>
    </row>
    <row r="501">
      <c r="A501" s="22"/>
      <c r="B501" s="22"/>
      <c r="C501" s="22"/>
      <c r="D501" s="22"/>
      <c r="E501" s="22"/>
      <c r="F501" s="22"/>
      <c r="G501" s="112"/>
      <c r="H501" s="112"/>
      <c r="I501" s="112"/>
      <c r="J501" s="112"/>
      <c r="K501" s="112"/>
      <c r="L501" s="112"/>
      <c r="M501" s="253"/>
      <c r="N501" s="253"/>
      <c r="O501" s="253"/>
      <c r="P501" s="253"/>
      <c r="Q501" s="253"/>
      <c r="R501" s="253"/>
      <c r="S501" s="253"/>
      <c r="T501" s="253"/>
      <c r="U501" s="253"/>
      <c r="V501" s="253"/>
      <c r="W501" s="253"/>
      <c r="X501" s="253"/>
      <c r="Y501" s="253"/>
      <c r="Z501" s="253"/>
      <c r="AA501" s="253"/>
      <c r="AB501" s="253"/>
      <c r="AC501" s="253"/>
    </row>
    <row r="502">
      <c r="A502" s="22"/>
      <c r="B502" s="22"/>
      <c r="C502" s="22"/>
      <c r="D502" s="22"/>
      <c r="E502" s="22"/>
      <c r="F502" s="22"/>
      <c r="G502" s="112"/>
      <c r="H502" s="112"/>
      <c r="I502" s="112"/>
      <c r="J502" s="112"/>
      <c r="K502" s="112"/>
      <c r="L502" s="112"/>
      <c r="M502" s="253"/>
      <c r="N502" s="253"/>
      <c r="O502" s="253"/>
      <c r="P502" s="253"/>
      <c r="Q502" s="253"/>
      <c r="R502" s="253"/>
      <c r="S502" s="253"/>
      <c r="T502" s="253"/>
      <c r="U502" s="253"/>
      <c r="V502" s="253"/>
      <c r="W502" s="253"/>
      <c r="X502" s="253"/>
      <c r="Y502" s="253"/>
      <c r="Z502" s="253"/>
      <c r="AA502" s="253"/>
      <c r="AB502" s="253"/>
      <c r="AC502" s="253"/>
    </row>
    <row r="503">
      <c r="A503" s="22"/>
      <c r="B503" s="22"/>
      <c r="C503" s="22"/>
      <c r="D503" s="22"/>
      <c r="E503" s="22"/>
      <c r="F503" s="22"/>
      <c r="G503" s="112"/>
      <c r="H503" s="112"/>
      <c r="I503" s="112"/>
      <c r="J503" s="112"/>
      <c r="K503" s="112"/>
      <c r="L503" s="112"/>
      <c r="M503" s="253"/>
      <c r="N503" s="253"/>
      <c r="O503" s="253"/>
      <c r="P503" s="253"/>
      <c r="Q503" s="253"/>
      <c r="R503" s="253"/>
      <c r="S503" s="253"/>
      <c r="T503" s="253"/>
      <c r="U503" s="253"/>
      <c r="V503" s="253"/>
      <c r="W503" s="253"/>
      <c r="X503" s="253"/>
      <c r="Y503" s="253"/>
      <c r="Z503" s="253"/>
      <c r="AA503" s="253"/>
      <c r="AB503" s="253"/>
      <c r="AC503" s="253"/>
    </row>
    <row r="504">
      <c r="A504" s="22"/>
      <c r="B504" s="22"/>
      <c r="C504" s="22"/>
      <c r="D504" s="22"/>
      <c r="E504" s="22"/>
      <c r="F504" s="22"/>
      <c r="G504" s="112"/>
      <c r="H504" s="112"/>
      <c r="I504" s="112"/>
      <c r="J504" s="112"/>
      <c r="K504" s="112"/>
      <c r="L504" s="112"/>
      <c r="M504" s="253"/>
      <c r="N504" s="253"/>
      <c r="O504" s="253"/>
      <c r="P504" s="253"/>
      <c r="Q504" s="253"/>
      <c r="R504" s="253"/>
      <c r="S504" s="253"/>
      <c r="T504" s="253"/>
      <c r="U504" s="253"/>
      <c r="V504" s="253"/>
      <c r="W504" s="253"/>
      <c r="X504" s="253"/>
      <c r="Y504" s="253"/>
      <c r="Z504" s="253"/>
      <c r="AA504" s="253"/>
      <c r="AB504" s="253"/>
      <c r="AC504" s="253"/>
    </row>
    <row r="505">
      <c r="A505" s="22"/>
      <c r="B505" s="22"/>
      <c r="C505" s="22"/>
      <c r="D505" s="22"/>
      <c r="E505" s="22"/>
      <c r="F505" s="22"/>
      <c r="G505" s="112"/>
      <c r="H505" s="112"/>
      <c r="I505" s="112"/>
      <c r="J505" s="112"/>
      <c r="K505" s="112"/>
      <c r="L505" s="112"/>
      <c r="M505" s="253"/>
      <c r="N505" s="253"/>
      <c r="O505" s="253"/>
      <c r="P505" s="253"/>
      <c r="Q505" s="253"/>
      <c r="R505" s="253"/>
      <c r="S505" s="253"/>
      <c r="T505" s="253"/>
      <c r="U505" s="253"/>
      <c r="V505" s="253"/>
      <c r="W505" s="253"/>
      <c r="X505" s="253"/>
      <c r="Y505" s="253"/>
      <c r="Z505" s="253"/>
      <c r="AA505" s="253"/>
      <c r="AB505" s="253"/>
      <c r="AC505" s="253"/>
    </row>
    <row r="506">
      <c r="A506" s="22"/>
      <c r="B506" s="22"/>
      <c r="C506" s="22"/>
      <c r="D506" s="22"/>
      <c r="E506" s="22"/>
      <c r="F506" s="22"/>
      <c r="G506" s="112"/>
      <c r="H506" s="112"/>
      <c r="I506" s="112"/>
      <c r="J506" s="112"/>
      <c r="K506" s="112"/>
      <c r="L506" s="112"/>
      <c r="M506" s="253"/>
      <c r="N506" s="253"/>
      <c r="O506" s="253"/>
      <c r="P506" s="253"/>
      <c r="Q506" s="253"/>
      <c r="R506" s="253"/>
      <c r="S506" s="253"/>
      <c r="T506" s="253"/>
      <c r="U506" s="253"/>
      <c r="V506" s="253"/>
      <c r="W506" s="253"/>
      <c r="X506" s="253"/>
      <c r="Y506" s="253"/>
      <c r="Z506" s="253"/>
      <c r="AA506" s="253"/>
      <c r="AB506" s="253"/>
      <c r="AC506" s="253"/>
    </row>
    <row r="507">
      <c r="A507" s="22"/>
      <c r="B507" s="22"/>
      <c r="C507" s="22"/>
      <c r="D507" s="22"/>
      <c r="E507" s="22"/>
      <c r="F507" s="22"/>
      <c r="G507" s="112"/>
      <c r="H507" s="112"/>
      <c r="I507" s="112"/>
      <c r="J507" s="112"/>
      <c r="K507" s="112"/>
      <c r="L507" s="112"/>
      <c r="M507" s="253"/>
      <c r="N507" s="253"/>
      <c r="O507" s="253"/>
      <c r="P507" s="253"/>
      <c r="Q507" s="253"/>
      <c r="R507" s="253"/>
      <c r="S507" s="253"/>
      <c r="T507" s="253"/>
      <c r="U507" s="253"/>
      <c r="V507" s="253"/>
      <c r="W507" s="253"/>
      <c r="X507" s="253"/>
      <c r="Y507" s="253"/>
      <c r="Z507" s="253"/>
      <c r="AA507" s="253"/>
      <c r="AB507" s="253"/>
      <c r="AC507" s="253"/>
    </row>
    <row r="508">
      <c r="A508" s="22"/>
      <c r="B508" s="22"/>
      <c r="C508" s="22"/>
      <c r="D508" s="22"/>
      <c r="E508" s="22"/>
      <c r="F508" s="22"/>
      <c r="G508" s="112"/>
      <c r="H508" s="112"/>
      <c r="I508" s="112"/>
      <c r="J508" s="112"/>
      <c r="K508" s="112"/>
      <c r="L508" s="112"/>
      <c r="M508" s="253"/>
      <c r="N508" s="253"/>
      <c r="O508" s="253"/>
      <c r="P508" s="253"/>
      <c r="Q508" s="253"/>
      <c r="R508" s="253"/>
      <c r="S508" s="253"/>
      <c r="T508" s="253"/>
      <c r="U508" s="253"/>
      <c r="V508" s="253"/>
      <c r="W508" s="253"/>
      <c r="X508" s="253"/>
      <c r="Y508" s="253"/>
      <c r="Z508" s="253"/>
      <c r="AA508" s="253"/>
      <c r="AB508" s="253"/>
      <c r="AC508" s="253"/>
    </row>
    <row r="509">
      <c r="A509" s="22"/>
      <c r="B509" s="22"/>
      <c r="C509" s="22"/>
      <c r="D509" s="22"/>
      <c r="E509" s="22"/>
      <c r="F509" s="22"/>
      <c r="G509" s="112"/>
      <c r="H509" s="112"/>
      <c r="I509" s="112"/>
      <c r="J509" s="112"/>
      <c r="K509" s="112"/>
      <c r="L509" s="112"/>
      <c r="M509" s="253"/>
      <c r="N509" s="253"/>
      <c r="O509" s="253"/>
      <c r="P509" s="253"/>
      <c r="Q509" s="253"/>
      <c r="R509" s="253"/>
      <c r="S509" s="253"/>
      <c r="T509" s="253"/>
      <c r="U509" s="253"/>
      <c r="V509" s="253"/>
      <c r="W509" s="253"/>
      <c r="X509" s="253"/>
      <c r="Y509" s="253"/>
      <c r="Z509" s="253"/>
      <c r="AA509" s="253"/>
      <c r="AB509" s="253"/>
      <c r="AC509" s="253"/>
    </row>
    <row r="510">
      <c r="A510" s="22"/>
      <c r="B510" s="22"/>
      <c r="C510" s="22"/>
      <c r="D510" s="22"/>
      <c r="E510" s="22"/>
      <c r="F510" s="22"/>
      <c r="G510" s="112"/>
      <c r="H510" s="112"/>
      <c r="I510" s="112"/>
      <c r="J510" s="112"/>
      <c r="K510" s="112"/>
      <c r="L510" s="112"/>
      <c r="M510" s="253"/>
      <c r="N510" s="253"/>
      <c r="O510" s="253"/>
      <c r="P510" s="253"/>
      <c r="Q510" s="253"/>
      <c r="R510" s="253"/>
      <c r="S510" s="253"/>
      <c r="T510" s="253"/>
      <c r="U510" s="253"/>
      <c r="V510" s="253"/>
      <c r="W510" s="253"/>
      <c r="X510" s="253"/>
      <c r="Y510" s="253"/>
      <c r="Z510" s="253"/>
      <c r="AA510" s="253"/>
      <c r="AB510" s="253"/>
      <c r="AC510" s="253"/>
    </row>
    <row r="511">
      <c r="A511" s="22"/>
      <c r="B511" s="22"/>
      <c r="C511" s="22"/>
      <c r="D511" s="22"/>
      <c r="E511" s="22"/>
      <c r="F511" s="22"/>
      <c r="G511" s="112"/>
      <c r="H511" s="112"/>
      <c r="I511" s="112"/>
      <c r="J511" s="112"/>
      <c r="K511" s="112"/>
      <c r="L511" s="112"/>
      <c r="M511" s="253"/>
      <c r="N511" s="253"/>
      <c r="O511" s="253"/>
      <c r="P511" s="253"/>
      <c r="Q511" s="253"/>
      <c r="R511" s="253"/>
      <c r="S511" s="253"/>
      <c r="T511" s="253"/>
      <c r="U511" s="253"/>
      <c r="V511" s="253"/>
      <c r="W511" s="253"/>
      <c r="X511" s="253"/>
      <c r="Y511" s="253"/>
      <c r="Z511" s="253"/>
      <c r="AA511" s="253"/>
      <c r="AB511" s="253"/>
      <c r="AC511" s="253"/>
    </row>
    <row r="512">
      <c r="A512" s="22"/>
      <c r="B512" s="22"/>
      <c r="C512" s="22"/>
      <c r="D512" s="22"/>
      <c r="E512" s="22"/>
      <c r="F512" s="22"/>
      <c r="G512" s="112"/>
      <c r="H512" s="112"/>
      <c r="I512" s="112"/>
      <c r="J512" s="112"/>
      <c r="K512" s="112"/>
      <c r="L512" s="112"/>
      <c r="M512" s="253"/>
      <c r="N512" s="253"/>
      <c r="O512" s="253"/>
      <c r="P512" s="253"/>
      <c r="Q512" s="253"/>
      <c r="R512" s="253"/>
      <c r="S512" s="253"/>
      <c r="T512" s="253"/>
      <c r="U512" s="253"/>
      <c r="V512" s="253"/>
      <c r="W512" s="253"/>
      <c r="X512" s="253"/>
      <c r="Y512" s="253"/>
      <c r="Z512" s="253"/>
      <c r="AA512" s="253"/>
      <c r="AB512" s="253"/>
      <c r="AC512" s="253"/>
    </row>
    <row r="513">
      <c r="A513" s="22"/>
      <c r="B513" s="22"/>
      <c r="C513" s="22"/>
      <c r="D513" s="22"/>
      <c r="E513" s="22"/>
      <c r="F513" s="22"/>
      <c r="G513" s="112"/>
      <c r="H513" s="112"/>
      <c r="I513" s="112"/>
      <c r="J513" s="112"/>
      <c r="K513" s="112"/>
      <c r="L513" s="112"/>
      <c r="M513" s="253"/>
      <c r="N513" s="253"/>
      <c r="O513" s="253"/>
      <c r="P513" s="253"/>
      <c r="Q513" s="253"/>
      <c r="R513" s="253"/>
      <c r="S513" s="253"/>
      <c r="T513" s="253"/>
      <c r="U513" s="253"/>
      <c r="V513" s="253"/>
      <c r="W513" s="253"/>
      <c r="X513" s="253"/>
      <c r="Y513" s="253"/>
      <c r="Z513" s="253"/>
      <c r="AA513" s="253"/>
      <c r="AB513" s="253"/>
      <c r="AC513" s="253"/>
    </row>
    <row r="514">
      <c r="A514" s="22"/>
      <c r="B514" s="22"/>
      <c r="C514" s="22"/>
      <c r="D514" s="22"/>
      <c r="E514" s="22"/>
      <c r="F514" s="22"/>
      <c r="G514" s="112"/>
      <c r="H514" s="112"/>
      <c r="I514" s="112"/>
      <c r="J514" s="112"/>
      <c r="K514" s="112"/>
      <c r="L514" s="112"/>
      <c r="M514" s="253"/>
      <c r="N514" s="253"/>
      <c r="O514" s="253"/>
      <c r="P514" s="253"/>
      <c r="Q514" s="253"/>
      <c r="R514" s="253"/>
      <c r="S514" s="253"/>
      <c r="T514" s="253"/>
      <c r="U514" s="253"/>
      <c r="V514" s="253"/>
      <c r="W514" s="253"/>
      <c r="X514" s="253"/>
      <c r="Y514" s="253"/>
      <c r="Z514" s="253"/>
      <c r="AA514" s="253"/>
      <c r="AB514" s="253"/>
      <c r="AC514" s="253"/>
    </row>
    <row r="515">
      <c r="A515" s="22"/>
      <c r="B515" s="22"/>
      <c r="C515" s="22"/>
      <c r="D515" s="22"/>
      <c r="E515" s="22"/>
      <c r="F515" s="22"/>
      <c r="G515" s="112"/>
      <c r="H515" s="112"/>
      <c r="I515" s="112"/>
      <c r="J515" s="112"/>
      <c r="K515" s="112"/>
      <c r="L515" s="112"/>
      <c r="M515" s="253"/>
      <c r="N515" s="253"/>
      <c r="O515" s="253"/>
      <c r="P515" s="253"/>
      <c r="Q515" s="253"/>
      <c r="R515" s="253"/>
      <c r="S515" s="253"/>
      <c r="T515" s="253"/>
      <c r="U515" s="253"/>
      <c r="V515" s="253"/>
      <c r="W515" s="253"/>
      <c r="X515" s="253"/>
      <c r="Y515" s="253"/>
      <c r="Z515" s="253"/>
      <c r="AA515" s="253"/>
      <c r="AB515" s="253"/>
      <c r="AC515" s="253"/>
    </row>
    <row r="516">
      <c r="A516" s="22"/>
      <c r="B516" s="22"/>
      <c r="C516" s="22"/>
      <c r="D516" s="22"/>
      <c r="E516" s="22"/>
      <c r="F516" s="22"/>
      <c r="G516" s="112"/>
      <c r="H516" s="112"/>
      <c r="I516" s="112"/>
      <c r="J516" s="112"/>
      <c r="K516" s="112"/>
      <c r="L516" s="112"/>
      <c r="M516" s="253"/>
      <c r="N516" s="253"/>
      <c r="O516" s="253"/>
      <c r="P516" s="253"/>
      <c r="Q516" s="253"/>
      <c r="R516" s="253"/>
      <c r="S516" s="253"/>
      <c r="T516" s="253"/>
      <c r="U516" s="253"/>
      <c r="V516" s="253"/>
      <c r="W516" s="253"/>
      <c r="X516" s="253"/>
      <c r="Y516" s="253"/>
      <c r="Z516" s="253"/>
      <c r="AA516" s="253"/>
      <c r="AB516" s="253"/>
      <c r="AC516" s="253"/>
    </row>
    <row r="517">
      <c r="A517" s="22"/>
      <c r="B517" s="22"/>
      <c r="C517" s="22"/>
      <c r="D517" s="22"/>
      <c r="E517" s="22"/>
      <c r="F517" s="22"/>
      <c r="G517" s="112"/>
      <c r="H517" s="112"/>
      <c r="I517" s="112"/>
      <c r="J517" s="112"/>
      <c r="K517" s="112"/>
      <c r="L517" s="112"/>
      <c r="M517" s="253"/>
      <c r="N517" s="253"/>
      <c r="O517" s="253"/>
      <c r="P517" s="253"/>
      <c r="Q517" s="253"/>
      <c r="R517" s="253"/>
      <c r="S517" s="253"/>
      <c r="T517" s="253"/>
      <c r="U517" s="253"/>
      <c r="V517" s="253"/>
      <c r="W517" s="253"/>
      <c r="X517" s="253"/>
      <c r="Y517" s="253"/>
      <c r="Z517" s="253"/>
      <c r="AA517" s="253"/>
      <c r="AB517" s="253"/>
      <c r="AC517" s="253"/>
    </row>
    <row r="518">
      <c r="A518" s="22"/>
      <c r="B518" s="22"/>
      <c r="C518" s="22"/>
      <c r="D518" s="22"/>
      <c r="E518" s="22"/>
      <c r="F518" s="22"/>
      <c r="G518" s="112"/>
      <c r="H518" s="112"/>
      <c r="I518" s="112"/>
      <c r="J518" s="112"/>
      <c r="K518" s="112"/>
      <c r="L518" s="112"/>
      <c r="M518" s="253"/>
      <c r="N518" s="253"/>
      <c r="O518" s="253"/>
      <c r="P518" s="253"/>
      <c r="Q518" s="253"/>
      <c r="R518" s="253"/>
      <c r="S518" s="253"/>
      <c r="T518" s="253"/>
      <c r="U518" s="253"/>
      <c r="V518" s="253"/>
      <c r="W518" s="253"/>
      <c r="X518" s="253"/>
      <c r="Y518" s="253"/>
      <c r="Z518" s="253"/>
      <c r="AA518" s="253"/>
      <c r="AB518" s="253"/>
      <c r="AC518" s="253"/>
    </row>
    <row r="519">
      <c r="A519" s="22"/>
      <c r="B519" s="22"/>
      <c r="C519" s="22"/>
      <c r="D519" s="22"/>
      <c r="E519" s="22"/>
      <c r="F519" s="22"/>
      <c r="G519" s="112"/>
      <c r="H519" s="112"/>
      <c r="I519" s="112"/>
      <c r="J519" s="112"/>
      <c r="K519" s="112"/>
      <c r="L519" s="112"/>
      <c r="M519" s="253"/>
      <c r="N519" s="253"/>
      <c r="O519" s="253"/>
      <c r="P519" s="253"/>
      <c r="Q519" s="253"/>
      <c r="R519" s="253"/>
      <c r="S519" s="253"/>
      <c r="T519" s="253"/>
      <c r="U519" s="253"/>
      <c r="V519" s="253"/>
      <c r="W519" s="253"/>
      <c r="X519" s="253"/>
      <c r="Y519" s="253"/>
      <c r="Z519" s="253"/>
      <c r="AA519" s="253"/>
      <c r="AB519" s="253"/>
      <c r="AC519" s="253"/>
    </row>
    <row r="520">
      <c r="A520" s="22"/>
      <c r="B520" s="22"/>
      <c r="C520" s="22"/>
      <c r="D520" s="22"/>
      <c r="E520" s="22"/>
      <c r="F520" s="22"/>
      <c r="G520" s="112"/>
      <c r="H520" s="112"/>
      <c r="I520" s="112"/>
      <c r="J520" s="112"/>
      <c r="K520" s="112"/>
      <c r="L520" s="112"/>
      <c r="M520" s="253"/>
      <c r="N520" s="253"/>
      <c r="O520" s="253"/>
      <c r="P520" s="253"/>
      <c r="Q520" s="253"/>
      <c r="R520" s="253"/>
      <c r="S520" s="253"/>
      <c r="T520" s="253"/>
      <c r="U520" s="253"/>
      <c r="V520" s="253"/>
      <c r="W520" s="253"/>
      <c r="X520" s="253"/>
      <c r="Y520" s="253"/>
      <c r="Z520" s="253"/>
      <c r="AA520" s="253"/>
      <c r="AB520" s="253"/>
      <c r="AC520" s="253"/>
    </row>
    <row r="521">
      <c r="A521" s="22"/>
      <c r="B521" s="22"/>
      <c r="C521" s="22"/>
      <c r="D521" s="22"/>
      <c r="E521" s="22"/>
      <c r="F521" s="22"/>
      <c r="G521" s="112"/>
      <c r="H521" s="112"/>
      <c r="I521" s="112"/>
      <c r="J521" s="112"/>
      <c r="K521" s="112"/>
      <c r="L521" s="112"/>
      <c r="M521" s="253"/>
      <c r="N521" s="253"/>
      <c r="O521" s="253"/>
      <c r="P521" s="253"/>
      <c r="Q521" s="253"/>
      <c r="R521" s="253"/>
      <c r="S521" s="253"/>
      <c r="T521" s="253"/>
      <c r="U521" s="253"/>
      <c r="V521" s="253"/>
      <c r="W521" s="253"/>
      <c r="X521" s="253"/>
      <c r="Y521" s="253"/>
      <c r="Z521" s="253"/>
      <c r="AA521" s="253"/>
      <c r="AB521" s="253"/>
      <c r="AC521" s="253"/>
    </row>
    <row r="522">
      <c r="A522" s="22"/>
      <c r="B522" s="22"/>
      <c r="C522" s="22"/>
      <c r="D522" s="22"/>
      <c r="E522" s="22"/>
      <c r="F522" s="22"/>
      <c r="G522" s="112"/>
      <c r="H522" s="112"/>
      <c r="I522" s="112"/>
      <c r="J522" s="112"/>
      <c r="K522" s="112"/>
      <c r="L522" s="112"/>
      <c r="M522" s="253"/>
      <c r="N522" s="253"/>
      <c r="O522" s="253"/>
      <c r="P522" s="253"/>
      <c r="Q522" s="253"/>
      <c r="R522" s="253"/>
      <c r="S522" s="253"/>
      <c r="T522" s="253"/>
      <c r="U522" s="253"/>
      <c r="V522" s="253"/>
      <c r="W522" s="253"/>
      <c r="X522" s="253"/>
      <c r="Y522" s="253"/>
      <c r="Z522" s="253"/>
      <c r="AA522" s="253"/>
      <c r="AB522" s="253"/>
      <c r="AC522" s="253"/>
    </row>
    <row r="523">
      <c r="A523" s="22"/>
      <c r="B523" s="22"/>
      <c r="C523" s="22"/>
      <c r="D523" s="22"/>
      <c r="E523" s="22"/>
      <c r="F523" s="22"/>
      <c r="G523" s="112"/>
      <c r="H523" s="112"/>
      <c r="I523" s="112"/>
      <c r="J523" s="112"/>
      <c r="K523" s="112"/>
      <c r="L523" s="112"/>
      <c r="M523" s="253"/>
      <c r="N523" s="253"/>
      <c r="O523" s="253"/>
      <c r="P523" s="253"/>
      <c r="Q523" s="253"/>
      <c r="R523" s="253"/>
      <c r="S523" s="253"/>
      <c r="T523" s="253"/>
      <c r="U523" s="253"/>
      <c r="V523" s="253"/>
      <c r="W523" s="253"/>
      <c r="X523" s="253"/>
      <c r="Y523" s="253"/>
      <c r="Z523" s="253"/>
      <c r="AA523" s="253"/>
      <c r="AB523" s="253"/>
      <c r="AC523" s="253"/>
    </row>
    <row r="524">
      <c r="A524" s="22"/>
      <c r="B524" s="22"/>
      <c r="C524" s="22"/>
      <c r="D524" s="22"/>
      <c r="E524" s="22"/>
      <c r="F524" s="22"/>
      <c r="G524" s="112"/>
      <c r="H524" s="112"/>
      <c r="I524" s="112"/>
      <c r="J524" s="112"/>
      <c r="K524" s="112"/>
      <c r="L524" s="112"/>
      <c r="M524" s="253"/>
      <c r="N524" s="253"/>
      <c r="O524" s="253"/>
      <c r="P524" s="253"/>
      <c r="Q524" s="253"/>
      <c r="R524" s="253"/>
      <c r="S524" s="253"/>
      <c r="T524" s="253"/>
      <c r="U524" s="253"/>
      <c r="V524" s="253"/>
      <c r="W524" s="253"/>
      <c r="X524" s="253"/>
      <c r="Y524" s="253"/>
      <c r="Z524" s="253"/>
      <c r="AA524" s="253"/>
      <c r="AB524" s="253"/>
      <c r="AC524" s="253"/>
    </row>
    <row r="525">
      <c r="A525" s="22"/>
      <c r="B525" s="22"/>
      <c r="C525" s="22"/>
      <c r="D525" s="22"/>
      <c r="E525" s="22"/>
      <c r="F525" s="22"/>
      <c r="G525" s="112"/>
      <c r="H525" s="112"/>
      <c r="I525" s="112"/>
      <c r="J525" s="112"/>
      <c r="K525" s="112"/>
      <c r="L525" s="112"/>
      <c r="M525" s="253"/>
      <c r="N525" s="253"/>
      <c r="O525" s="253"/>
      <c r="P525" s="253"/>
      <c r="Q525" s="253"/>
      <c r="R525" s="253"/>
      <c r="S525" s="253"/>
      <c r="T525" s="253"/>
      <c r="U525" s="253"/>
      <c r="V525" s="253"/>
      <c r="W525" s="253"/>
      <c r="X525" s="253"/>
      <c r="Y525" s="253"/>
      <c r="Z525" s="253"/>
      <c r="AA525" s="253"/>
      <c r="AB525" s="253"/>
      <c r="AC525" s="253"/>
    </row>
    <row r="526">
      <c r="A526" s="22"/>
      <c r="B526" s="22"/>
      <c r="C526" s="22"/>
      <c r="D526" s="22"/>
      <c r="E526" s="22"/>
      <c r="F526" s="22"/>
      <c r="G526" s="112"/>
      <c r="H526" s="112"/>
      <c r="I526" s="112"/>
      <c r="J526" s="112"/>
      <c r="K526" s="112"/>
      <c r="L526" s="112"/>
      <c r="M526" s="253"/>
      <c r="N526" s="253"/>
      <c r="O526" s="253"/>
      <c r="P526" s="253"/>
      <c r="Q526" s="253"/>
      <c r="R526" s="253"/>
      <c r="S526" s="253"/>
      <c r="T526" s="253"/>
      <c r="U526" s="253"/>
      <c r="V526" s="253"/>
      <c r="W526" s="253"/>
      <c r="X526" s="253"/>
      <c r="Y526" s="253"/>
      <c r="Z526" s="253"/>
      <c r="AA526" s="253"/>
      <c r="AB526" s="253"/>
      <c r="AC526" s="253"/>
    </row>
    <row r="527">
      <c r="A527" s="22"/>
      <c r="B527" s="22"/>
      <c r="C527" s="22"/>
      <c r="D527" s="22"/>
      <c r="E527" s="22"/>
      <c r="F527" s="22"/>
      <c r="G527" s="112"/>
      <c r="H527" s="112"/>
      <c r="I527" s="112"/>
      <c r="J527" s="112"/>
      <c r="K527" s="112"/>
      <c r="L527" s="112"/>
      <c r="M527" s="253"/>
      <c r="N527" s="253"/>
      <c r="O527" s="253"/>
      <c r="P527" s="253"/>
      <c r="Q527" s="253"/>
      <c r="R527" s="253"/>
      <c r="S527" s="253"/>
      <c r="T527" s="253"/>
      <c r="U527" s="253"/>
      <c r="V527" s="253"/>
      <c r="W527" s="253"/>
      <c r="X527" s="253"/>
      <c r="Y527" s="253"/>
      <c r="Z527" s="253"/>
      <c r="AA527" s="253"/>
      <c r="AB527" s="253"/>
      <c r="AC527" s="253"/>
    </row>
    <row r="528">
      <c r="A528" s="22"/>
      <c r="B528" s="22"/>
      <c r="C528" s="22"/>
      <c r="D528" s="22"/>
      <c r="E528" s="22"/>
      <c r="F528" s="22"/>
      <c r="G528" s="112"/>
      <c r="H528" s="112"/>
      <c r="I528" s="112"/>
      <c r="J528" s="112"/>
      <c r="K528" s="112"/>
      <c r="L528" s="112"/>
      <c r="M528" s="253"/>
      <c r="N528" s="253"/>
      <c r="O528" s="253"/>
      <c r="P528" s="253"/>
      <c r="Q528" s="253"/>
      <c r="R528" s="253"/>
      <c r="S528" s="253"/>
      <c r="T528" s="253"/>
      <c r="U528" s="253"/>
      <c r="V528" s="253"/>
      <c r="W528" s="253"/>
      <c r="X528" s="253"/>
      <c r="Y528" s="253"/>
      <c r="Z528" s="253"/>
      <c r="AA528" s="253"/>
      <c r="AB528" s="253"/>
      <c r="AC528" s="253"/>
    </row>
    <row r="529">
      <c r="A529" s="22"/>
      <c r="B529" s="22"/>
      <c r="C529" s="22"/>
      <c r="D529" s="22"/>
      <c r="E529" s="22"/>
      <c r="F529" s="22"/>
      <c r="G529" s="112"/>
      <c r="H529" s="112"/>
      <c r="I529" s="112"/>
      <c r="J529" s="112"/>
      <c r="K529" s="112"/>
      <c r="L529" s="112"/>
      <c r="M529" s="253"/>
      <c r="N529" s="253"/>
      <c r="O529" s="253"/>
      <c r="P529" s="253"/>
      <c r="Q529" s="253"/>
      <c r="R529" s="253"/>
      <c r="S529" s="253"/>
      <c r="T529" s="253"/>
      <c r="U529" s="253"/>
      <c r="V529" s="253"/>
      <c r="W529" s="253"/>
      <c r="X529" s="253"/>
      <c r="Y529" s="253"/>
      <c r="Z529" s="253"/>
      <c r="AA529" s="253"/>
      <c r="AB529" s="253"/>
      <c r="AC529" s="253"/>
    </row>
    <row r="530">
      <c r="A530" s="22"/>
      <c r="B530" s="22"/>
      <c r="C530" s="22"/>
      <c r="D530" s="22"/>
      <c r="E530" s="22"/>
      <c r="F530" s="22"/>
      <c r="G530" s="112"/>
      <c r="H530" s="112"/>
      <c r="I530" s="112"/>
      <c r="J530" s="112"/>
      <c r="K530" s="112"/>
      <c r="L530" s="112"/>
      <c r="M530" s="253"/>
      <c r="N530" s="253"/>
      <c r="O530" s="253"/>
      <c r="P530" s="253"/>
      <c r="Q530" s="253"/>
      <c r="R530" s="253"/>
      <c r="S530" s="253"/>
      <c r="T530" s="253"/>
      <c r="U530" s="253"/>
      <c r="V530" s="253"/>
      <c r="W530" s="253"/>
      <c r="X530" s="253"/>
      <c r="Y530" s="253"/>
      <c r="Z530" s="253"/>
      <c r="AA530" s="253"/>
      <c r="AB530" s="253"/>
      <c r="AC530" s="253"/>
    </row>
    <row r="531">
      <c r="A531" s="22"/>
      <c r="B531" s="22"/>
      <c r="C531" s="22"/>
      <c r="D531" s="22"/>
      <c r="E531" s="22"/>
      <c r="F531" s="22"/>
      <c r="G531" s="112"/>
      <c r="H531" s="112"/>
      <c r="I531" s="112"/>
      <c r="J531" s="112"/>
      <c r="K531" s="112"/>
      <c r="L531" s="112"/>
      <c r="M531" s="253"/>
      <c r="N531" s="253"/>
      <c r="O531" s="253"/>
      <c r="P531" s="253"/>
      <c r="Q531" s="253"/>
      <c r="R531" s="253"/>
      <c r="S531" s="253"/>
      <c r="T531" s="253"/>
      <c r="U531" s="253"/>
      <c r="V531" s="253"/>
      <c r="W531" s="253"/>
      <c r="X531" s="253"/>
      <c r="Y531" s="253"/>
      <c r="Z531" s="253"/>
      <c r="AA531" s="253"/>
      <c r="AB531" s="253"/>
      <c r="AC531" s="253"/>
    </row>
    <row r="532">
      <c r="A532" s="22"/>
      <c r="B532" s="22"/>
      <c r="C532" s="22"/>
      <c r="D532" s="22"/>
      <c r="E532" s="22"/>
      <c r="F532" s="22"/>
      <c r="G532" s="112"/>
      <c r="H532" s="112"/>
      <c r="I532" s="112"/>
      <c r="J532" s="112"/>
      <c r="K532" s="112"/>
      <c r="L532" s="112"/>
      <c r="M532" s="253"/>
      <c r="N532" s="253"/>
      <c r="O532" s="253"/>
      <c r="P532" s="253"/>
      <c r="Q532" s="253"/>
      <c r="R532" s="253"/>
      <c r="S532" s="253"/>
      <c r="T532" s="253"/>
      <c r="U532" s="253"/>
      <c r="V532" s="253"/>
      <c r="W532" s="253"/>
      <c r="X532" s="253"/>
      <c r="Y532" s="253"/>
      <c r="Z532" s="253"/>
      <c r="AA532" s="253"/>
      <c r="AB532" s="253"/>
      <c r="AC532" s="253"/>
    </row>
    <row r="533">
      <c r="A533" s="22"/>
      <c r="B533" s="22"/>
      <c r="C533" s="22"/>
      <c r="D533" s="22"/>
      <c r="E533" s="22"/>
      <c r="F533" s="22"/>
      <c r="G533" s="112"/>
      <c r="H533" s="112"/>
      <c r="I533" s="112"/>
      <c r="J533" s="112"/>
      <c r="K533" s="112"/>
      <c r="L533" s="112"/>
      <c r="M533" s="253"/>
      <c r="N533" s="253"/>
      <c r="O533" s="253"/>
      <c r="P533" s="253"/>
      <c r="Q533" s="253"/>
      <c r="R533" s="253"/>
      <c r="S533" s="253"/>
      <c r="T533" s="253"/>
      <c r="U533" s="253"/>
      <c r="V533" s="253"/>
      <c r="W533" s="253"/>
      <c r="X533" s="253"/>
      <c r="Y533" s="253"/>
      <c r="Z533" s="253"/>
      <c r="AA533" s="253"/>
      <c r="AB533" s="253"/>
      <c r="AC533" s="253"/>
    </row>
    <row r="534">
      <c r="A534" s="22"/>
      <c r="B534" s="22"/>
      <c r="C534" s="22"/>
      <c r="D534" s="22"/>
      <c r="E534" s="22"/>
      <c r="F534" s="22"/>
      <c r="G534" s="112"/>
      <c r="H534" s="112"/>
      <c r="I534" s="112"/>
      <c r="J534" s="112"/>
      <c r="K534" s="112"/>
      <c r="L534" s="112"/>
      <c r="M534" s="253"/>
      <c r="N534" s="253"/>
      <c r="O534" s="253"/>
      <c r="P534" s="253"/>
      <c r="Q534" s="253"/>
      <c r="R534" s="253"/>
      <c r="S534" s="253"/>
      <c r="T534" s="253"/>
      <c r="U534" s="253"/>
      <c r="V534" s="253"/>
      <c r="W534" s="253"/>
      <c r="X534" s="253"/>
      <c r="Y534" s="253"/>
      <c r="Z534" s="253"/>
      <c r="AA534" s="253"/>
      <c r="AB534" s="253"/>
      <c r="AC534" s="253"/>
    </row>
    <row r="535">
      <c r="A535" s="22"/>
      <c r="B535" s="22"/>
      <c r="C535" s="22"/>
      <c r="D535" s="22"/>
      <c r="E535" s="22"/>
      <c r="F535" s="22"/>
      <c r="G535" s="112"/>
      <c r="H535" s="112"/>
      <c r="I535" s="112"/>
      <c r="J535" s="112"/>
      <c r="K535" s="112"/>
      <c r="L535" s="112"/>
      <c r="M535" s="253"/>
      <c r="N535" s="253"/>
      <c r="O535" s="253"/>
      <c r="P535" s="253"/>
      <c r="Q535" s="253"/>
      <c r="R535" s="253"/>
      <c r="S535" s="253"/>
      <c r="T535" s="253"/>
      <c r="U535" s="253"/>
      <c r="V535" s="253"/>
      <c r="W535" s="253"/>
      <c r="X535" s="253"/>
      <c r="Y535" s="253"/>
      <c r="Z535" s="253"/>
      <c r="AA535" s="253"/>
      <c r="AB535" s="253"/>
      <c r="AC535" s="253"/>
    </row>
    <row r="536">
      <c r="A536" s="22"/>
      <c r="B536" s="22"/>
      <c r="C536" s="22"/>
      <c r="D536" s="22"/>
      <c r="E536" s="22"/>
      <c r="F536" s="22"/>
      <c r="G536" s="112"/>
      <c r="H536" s="112"/>
      <c r="I536" s="112"/>
      <c r="J536" s="112"/>
      <c r="K536" s="112"/>
      <c r="L536" s="112"/>
      <c r="M536" s="253"/>
      <c r="N536" s="253"/>
      <c r="O536" s="253"/>
      <c r="P536" s="253"/>
      <c r="Q536" s="253"/>
      <c r="R536" s="253"/>
      <c r="S536" s="253"/>
      <c r="T536" s="253"/>
      <c r="U536" s="253"/>
      <c r="V536" s="253"/>
      <c r="W536" s="253"/>
      <c r="X536" s="253"/>
      <c r="Y536" s="253"/>
      <c r="Z536" s="253"/>
      <c r="AA536" s="253"/>
      <c r="AB536" s="253"/>
      <c r="AC536" s="253"/>
    </row>
    <row r="537">
      <c r="A537" s="22"/>
      <c r="B537" s="22"/>
      <c r="C537" s="22"/>
      <c r="D537" s="22"/>
      <c r="E537" s="22"/>
      <c r="F537" s="22"/>
      <c r="G537" s="112"/>
      <c r="H537" s="112"/>
      <c r="I537" s="112"/>
      <c r="J537" s="112"/>
      <c r="K537" s="112"/>
      <c r="L537" s="112"/>
      <c r="M537" s="253"/>
      <c r="N537" s="253"/>
      <c r="O537" s="253"/>
      <c r="P537" s="253"/>
      <c r="Q537" s="253"/>
      <c r="R537" s="253"/>
      <c r="S537" s="253"/>
      <c r="T537" s="253"/>
      <c r="U537" s="253"/>
      <c r="V537" s="253"/>
      <c r="W537" s="253"/>
      <c r="X537" s="253"/>
      <c r="Y537" s="253"/>
      <c r="Z537" s="253"/>
      <c r="AA537" s="253"/>
      <c r="AB537" s="253"/>
      <c r="AC537" s="253"/>
    </row>
    <row r="538">
      <c r="A538" s="22"/>
      <c r="B538" s="22"/>
      <c r="C538" s="22"/>
      <c r="D538" s="22"/>
      <c r="E538" s="22"/>
      <c r="F538" s="22"/>
      <c r="G538" s="112"/>
      <c r="H538" s="112"/>
      <c r="I538" s="112"/>
      <c r="J538" s="112"/>
      <c r="K538" s="112"/>
      <c r="L538" s="112"/>
      <c r="M538" s="253"/>
      <c r="N538" s="253"/>
      <c r="O538" s="253"/>
      <c r="P538" s="253"/>
      <c r="Q538" s="253"/>
      <c r="R538" s="253"/>
      <c r="S538" s="253"/>
      <c r="T538" s="253"/>
      <c r="U538" s="253"/>
      <c r="V538" s="253"/>
      <c r="W538" s="253"/>
      <c r="X538" s="253"/>
      <c r="Y538" s="253"/>
      <c r="Z538" s="253"/>
      <c r="AA538" s="253"/>
      <c r="AB538" s="253"/>
      <c r="AC538" s="253"/>
    </row>
    <row r="539">
      <c r="A539" s="22"/>
      <c r="B539" s="22"/>
      <c r="C539" s="22"/>
      <c r="D539" s="22"/>
      <c r="E539" s="22"/>
      <c r="F539" s="22"/>
      <c r="G539" s="112"/>
      <c r="H539" s="112"/>
      <c r="I539" s="112"/>
      <c r="J539" s="112"/>
      <c r="K539" s="112"/>
      <c r="L539" s="112"/>
      <c r="M539" s="253"/>
      <c r="N539" s="253"/>
      <c r="O539" s="253"/>
      <c r="P539" s="253"/>
      <c r="Q539" s="253"/>
      <c r="R539" s="253"/>
      <c r="S539" s="253"/>
      <c r="T539" s="253"/>
      <c r="U539" s="253"/>
      <c r="V539" s="253"/>
      <c r="W539" s="253"/>
      <c r="X539" s="253"/>
      <c r="Y539" s="253"/>
      <c r="Z539" s="253"/>
      <c r="AA539" s="253"/>
      <c r="AB539" s="253"/>
      <c r="AC539" s="253"/>
    </row>
    <row r="540">
      <c r="A540" s="22"/>
      <c r="B540" s="22"/>
      <c r="C540" s="22"/>
      <c r="D540" s="22"/>
      <c r="E540" s="22"/>
      <c r="F540" s="22"/>
      <c r="G540" s="112"/>
      <c r="H540" s="112"/>
      <c r="I540" s="112"/>
      <c r="J540" s="112"/>
      <c r="K540" s="112"/>
      <c r="L540" s="112"/>
      <c r="M540" s="253"/>
      <c r="N540" s="253"/>
      <c r="O540" s="253"/>
      <c r="P540" s="253"/>
      <c r="Q540" s="253"/>
      <c r="R540" s="253"/>
      <c r="S540" s="253"/>
      <c r="T540" s="253"/>
      <c r="U540" s="253"/>
      <c r="V540" s="253"/>
      <c r="W540" s="253"/>
      <c r="X540" s="253"/>
      <c r="Y540" s="253"/>
      <c r="Z540" s="253"/>
      <c r="AA540" s="253"/>
      <c r="AB540" s="253"/>
      <c r="AC540" s="253"/>
    </row>
    <row r="541">
      <c r="A541" s="22"/>
      <c r="B541" s="22"/>
      <c r="C541" s="22"/>
      <c r="D541" s="22"/>
      <c r="E541" s="22"/>
      <c r="F541" s="22"/>
      <c r="G541" s="112"/>
      <c r="H541" s="112"/>
      <c r="I541" s="112"/>
      <c r="J541" s="112"/>
      <c r="K541" s="112"/>
      <c r="L541" s="112"/>
      <c r="M541" s="253"/>
      <c r="N541" s="253"/>
      <c r="O541" s="253"/>
      <c r="P541" s="253"/>
      <c r="Q541" s="253"/>
      <c r="R541" s="253"/>
      <c r="S541" s="253"/>
      <c r="T541" s="253"/>
      <c r="U541" s="253"/>
      <c r="V541" s="253"/>
      <c r="W541" s="253"/>
      <c r="X541" s="253"/>
      <c r="Y541" s="253"/>
      <c r="Z541" s="253"/>
      <c r="AA541" s="253"/>
      <c r="AB541" s="253"/>
      <c r="AC541" s="253"/>
    </row>
    <row r="542">
      <c r="A542" s="22"/>
      <c r="B542" s="22"/>
      <c r="C542" s="22"/>
      <c r="D542" s="22"/>
      <c r="E542" s="22"/>
      <c r="F542" s="22"/>
      <c r="G542" s="112"/>
      <c r="H542" s="112"/>
      <c r="I542" s="112"/>
      <c r="J542" s="112"/>
      <c r="K542" s="112"/>
      <c r="L542" s="112"/>
      <c r="M542" s="253"/>
      <c r="N542" s="253"/>
      <c r="O542" s="253"/>
      <c r="P542" s="253"/>
      <c r="Q542" s="253"/>
      <c r="R542" s="253"/>
      <c r="S542" s="253"/>
      <c r="T542" s="253"/>
      <c r="U542" s="253"/>
      <c r="V542" s="253"/>
      <c r="W542" s="253"/>
      <c r="X542" s="253"/>
      <c r="Y542" s="253"/>
      <c r="Z542" s="253"/>
      <c r="AA542" s="253"/>
      <c r="AB542" s="253"/>
      <c r="AC542" s="253"/>
    </row>
    <row r="543">
      <c r="A543" s="22"/>
      <c r="B543" s="22"/>
      <c r="C543" s="22"/>
      <c r="D543" s="22"/>
      <c r="E543" s="22"/>
      <c r="F543" s="22"/>
      <c r="G543" s="112"/>
      <c r="H543" s="112"/>
      <c r="I543" s="112"/>
      <c r="J543" s="112"/>
      <c r="K543" s="112"/>
      <c r="L543" s="112"/>
      <c r="M543" s="253"/>
      <c r="N543" s="253"/>
      <c r="O543" s="253"/>
      <c r="P543" s="253"/>
      <c r="Q543" s="253"/>
      <c r="R543" s="253"/>
      <c r="S543" s="253"/>
      <c r="T543" s="253"/>
      <c r="U543" s="253"/>
      <c r="V543" s="253"/>
      <c r="W543" s="253"/>
      <c r="X543" s="253"/>
      <c r="Y543" s="253"/>
      <c r="Z543" s="253"/>
      <c r="AA543" s="253"/>
      <c r="AB543" s="253"/>
      <c r="AC543" s="253"/>
    </row>
    <row r="544">
      <c r="A544" s="22"/>
      <c r="B544" s="22"/>
      <c r="C544" s="22"/>
      <c r="D544" s="22"/>
      <c r="E544" s="22"/>
      <c r="F544" s="22"/>
      <c r="G544" s="112"/>
      <c r="H544" s="112"/>
      <c r="I544" s="112"/>
      <c r="J544" s="112"/>
      <c r="K544" s="112"/>
      <c r="L544" s="112"/>
      <c r="M544" s="253"/>
      <c r="N544" s="253"/>
      <c r="O544" s="253"/>
      <c r="P544" s="253"/>
      <c r="Q544" s="253"/>
      <c r="R544" s="253"/>
      <c r="S544" s="253"/>
      <c r="T544" s="253"/>
      <c r="U544" s="253"/>
      <c r="V544" s="253"/>
      <c r="W544" s="253"/>
      <c r="X544" s="253"/>
      <c r="Y544" s="253"/>
      <c r="Z544" s="253"/>
      <c r="AA544" s="253"/>
      <c r="AB544" s="253"/>
      <c r="AC544" s="253"/>
    </row>
    <row r="545">
      <c r="A545" s="22"/>
      <c r="B545" s="22"/>
      <c r="C545" s="22"/>
      <c r="D545" s="22"/>
      <c r="E545" s="22"/>
      <c r="F545" s="22"/>
      <c r="G545" s="112"/>
      <c r="H545" s="112"/>
      <c r="I545" s="112"/>
      <c r="J545" s="112"/>
      <c r="K545" s="112"/>
      <c r="L545" s="112"/>
      <c r="M545" s="253"/>
      <c r="N545" s="253"/>
      <c r="O545" s="253"/>
      <c r="P545" s="253"/>
      <c r="Q545" s="253"/>
      <c r="R545" s="253"/>
      <c r="S545" s="253"/>
      <c r="T545" s="253"/>
      <c r="U545" s="253"/>
      <c r="V545" s="253"/>
      <c r="W545" s="253"/>
      <c r="X545" s="253"/>
      <c r="Y545" s="253"/>
      <c r="Z545" s="253"/>
      <c r="AA545" s="253"/>
      <c r="AB545" s="253"/>
      <c r="AC545" s="253"/>
    </row>
    <row r="546">
      <c r="A546" s="22"/>
      <c r="B546" s="22"/>
      <c r="C546" s="22"/>
      <c r="D546" s="22"/>
      <c r="E546" s="22"/>
      <c r="F546" s="22"/>
      <c r="G546" s="112"/>
      <c r="H546" s="112"/>
      <c r="I546" s="112"/>
      <c r="J546" s="112"/>
      <c r="K546" s="112"/>
      <c r="L546" s="112"/>
      <c r="M546" s="253"/>
      <c r="N546" s="253"/>
      <c r="O546" s="253"/>
      <c r="P546" s="253"/>
      <c r="Q546" s="253"/>
      <c r="R546" s="253"/>
      <c r="S546" s="253"/>
      <c r="T546" s="253"/>
      <c r="U546" s="253"/>
      <c r="V546" s="253"/>
      <c r="W546" s="253"/>
      <c r="X546" s="253"/>
      <c r="Y546" s="253"/>
      <c r="Z546" s="253"/>
      <c r="AA546" s="253"/>
      <c r="AB546" s="253"/>
      <c r="AC546" s="253"/>
    </row>
    <row r="547">
      <c r="A547" s="22"/>
      <c r="B547" s="22"/>
      <c r="C547" s="22"/>
      <c r="D547" s="22"/>
      <c r="E547" s="22"/>
      <c r="F547" s="22"/>
      <c r="G547" s="112"/>
      <c r="H547" s="112"/>
      <c r="I547" s="112"/>
      <c r="J547" s="112"/>
      <c r="K547" s="112"/>
      <c r="L547" s="112"/>
      <c r="M547" s="253"/>
      <c r="N547" s="253"/>
      <c r="O547" s="253"/>
      <c r="P547" s="253"/>
      <c r="Q547" s="253"/>
      <c r="R547" s="253"/>
      <c r="S547" s="253"/>
      <c r="T547" s="253"/>
      <c r="U547" s="253"/>
      <c r="V547" s="253"/>
      <c r="W547" s="253"/>
      <c r="X547" s="253"/>
      <c r="Y547" s="253"/>
      <c r="Z547" s="253"/>
      <c r="AA547" s="253"/>
      <c r="AB547" s="253"/>
      <c r="AC547" s="253"/>
    </row>
    <row r="548">
      <c r="A548" s="22"/>
      <c r="B548" s="22"/>
      <c r="C548" s="22"/>
      <c r="D548" s="22"/>
      <c r="E548" s="22"/>
      <c r="F548" s="22"/>
      <c r="G548" s="112"/>
      <c r="H548" s="112"/>
      <c r="I548" s="112"/>
      <c r="J548" s="112"/>
      <c r="K548" s="112"/>
      <c r="L548" s="112"/>
      <c r="M548" s="253"/>
      <c r="N548" s="253"/>
      <c r="O548" s="253"/>
      <c r="P548" s="253"/>
      <c r="Q548" s="253"/>
      <c r="R548" s="253"/>
      <c r="S548" s="253"/>
      <c r="T548" s="253"/>
      <c r="U548" s="253"/>
      <c r="V548" s="253"/>
      <c r="W548" s="253"/>
      <c r="X548" s="253"/>
      <c r="Y548" s="253"/>
      <c r="Z548" s="253"/>
      <c r="AA548" s="253"/>
      <c r="AB548" s="253"/>
      <c r="AC548" s="253"/>
    </row>
    <row r="549">
      <c r="A549" s="22"/>
      <c r="B549" s="22"/>
      <c r="C549" s="22"/>
      <c r="D549" s="22"/>
      <c r="E549" s="22"/>
      <c r="F549" s="22"/>
      <c r="G549" s="112"/>
      <c r="H549" s="112"/>
      <c r="I549" s="112"/>
      <c r="J549" s="112"/>
      <c r="K549" s="112"/>
      <c r="L549" s="112"/>
      <c r="M549" s="253"/>
      <c r="N549" s="253"/>
      <c r="O549" s="253"/>
      <c r="P549" s="253"/>
      <c r="Q549" s="253"/>
      <c r="R549" s="253"/>
      <c r="S549" s="253"/>
      <c r="T549" s="253"/>
      <c r="U549" s="253"/>
      <c r="V549" s="253"/>
      <c r="W549" s="253"/>
      <c r="X549" s="253"/>
      <c r="Y549" s="253"/>
      <c r="Z549" s="253"/>
      <c r="AA549" s="253"/>
      <c r="AB549" s="253"/>
      <c r="AC549" s="253"/>
    </row>
    <row r="550">
      <c r="A550" s="22"/>
      <c r="B550" s="22"/>
      <c r="C550" s="22"/>
      <c r="D550" s="22"/>
      <c r="E550" s="22"/>
      <c r="F550" s="22"/>
      <c r="G550" s="112"/>
      <c r="H550" s="112"/>
      <c r="I550" s="112"/>
      <c r="J550" s="112"/>
      <c r="K550" s="112"/>
      <c r="L550" s="112"/>
      <c r="M550" s="253"/>
      <c r="N550" s="253"/>
      <c r="O550" s="253"/>
      <c r="P550" s="253"/>
      <c r="Q550" s="253"/>
      <c r="R550" s="253"/>
      <c r="S550" s="253"/>
      <c r="T550" s="253"/>
      <c r="U550" s="253"/>
      <c r="V550" s="253"/>
      <c r="W550" s="253"/>
      <c r="X550" s="253"/>
      <c r="Y550" s="253"/>
      <c r="Z550" s="253"/>
      <c r="AA550" s="253"/>
      <c r="AB550" s="253"/>
      <c r="AC550" s="253"/>
    </row>
    <row r="551">
      <c r="A551" s="22"/>
      <c r="B551" s="22"/>
      <c r="C551" s="22"/>
      <c r="D551" s="22"/>
      <c r="E551" s="22"/>
      <c r="F551" s="22"/>
      <c r="G551" s="112"/>
      <c r="H551" s="112"/>
      <c r="I551" s="112"/>
      <c r="J551" s="112"/>
      <c r="K551" s="112"/>
      <c r="L551" s="112"/>
      <c r="M551" s="253"/>
      <c r="N551" s="253"/>
      <c r="O551" s="253"/>
      <c r="P551" s="253"/>
      <c r="Q551" s="253"/>
      <c r="R551" s="253"/>
      <c r="S551" s="253"/>
      <c r="T551" s="253"/>
      <c r="U551" s="253"/>
      <c r="V551" s="253"/>
      <c r="W551" s="253"/>
      <c r="X551" s="253"/>
      <c r="Y551" s="253"/>
      <c r="Z551" s="253"/>
      <c r="AA551" s="253"/>
      <c r="AB551" s="253"/>
      <c r="AC551" s="253"/>
    </row>
    <row r="552">
      <c r="A552" s="22"/>
      <c r="B552" s="22"/>
      <c r="C552" s="22"/>
      <c r="D552" s="22"/>
      <c r="E552" s="22"/>
      <c r="F552" s="22"/>
      <c r="G552" s="112"/>
      <c r="H552" s="112"/>
      <c r="I552" s="112"/>
      <c r="J552" s="112"/>
      <c r="K552" s="112"/>
      <c r="L552" s="112"/>
      <c r="M552" s="253"/>
      <c r="N552" s="253"/>
      <c r="O552" s="253"/>
      <c r="P552" s="253"/>
      <c r="Q552" s="253"/>
      <c r="R552" s="253"/>
      <c r="S552" s="253"/>
      <c r="T552" s="253"/>
      <c r="U552" s="253"/>
      <c r="V552" s="253"/>
      <c r="W552" s="253"/>
      <c r="X552" s="253"/>
      <c r="Y552" s="253"/>
      <c r="Z552" s="253"/>
      <c r="AA552" s="253"/>
      <c r="AB552" s="253"/>
      <c r="AC552" s="253"/>
    </row>
    <row r="553">
      <c r="A553" s="22"/>
      <c r="B553" s="22"/>
      <c r="C553" s="22"/>
      <c r="D553" s="22"/>
      <c r="E553" s="22"/>
      <c r="F553" s="22"/>
      <c r="G553" s="112"/>
      <c r="H553" s="112"/>
      <c r="I553" s="112"/>
      <c r="J553" s="112"/>
      <c r="K553" s="112"/>
      <c r="L553" s="112"/>
      <c r="M553" s="253"/>
      <c r="N553" s="253"/>
      <c r="O553" s="253"/>
      <c r="P553" s="253"/>
      <c r="Q553" s="253"/>
      <c r="R553" s="253"/>
      <c r="S553" s="253"/>
      <c r="T553" s="253"/>
      <c r="U553" s="253"/>
      <c r="V553" s="253"/>
      <c r="W553" s="253"/>
      <c r="X553" s="253"/>
      <c r="Y553" s="253"/>
      <c r="Z553" s="253"/>
      <c r="AA553" s="253"/>
      <c r="AB553" s="253"/>
      <c r="AC553" s="253"/>
    </row>
    <row r="554">
      <c r="A554" s="22"/>
      <c r="B554" s="22"/>
      <c r="C554" s="22"/>
      <c r="D554" s="22"/>
      <c r="E554" s="22"/>
      <c r="F554" s="22"/>
      <c r="G554" s="112"/>
      <c r="H554" s="112"/>
      <c r="I554" s="112"/>
      <c r="J554" s="112"/>
      <c r="K554" s="112"/>
      <c r="L554" s="112"/>
      <c r="M554" s="253"/>
      <c r="N554" s="253"/>
      <c r="O554" s="253"/>
      <c r="P554" s="253"/>
      <c r="Q554" s="253"/>
      <c r="R554" s="253"/>
      <c r="S554" s="253"/>
      <c r="T554" s="253"/>
      <c r="U554" s="253"/>
      <c r="V554" s="253"/>
      <c r="W554" s="253"/>
      <c r="X554" s="253"/>
      <c r="Y554" s="253"/>
      <c r="Z554" s="253"/>
      <c r="AA554" s="253"/>
      <c r="AB554" s="253"/>
      <c r="AC554" s="253"/>
    </row>
    <row r="555">
      <c r="A555" s="22"/>
      <c r="B555" s="22"/>
      <c r="C555" s="22"/>
      <c r="D555" s="22"/>
      <c r="E555" s="22"/>
      <c r="F555" s="22"/>
      <c r="G555" s="112"/>
      <c r="H555" s="112"/>
      <c r="I555" s="112"/>
      <c r="J555" s="112"/>
      <c r="K555" s="112"/>
      <c r="L555" s="112"/>
      <c r="M555" s="253"/>
      <c r="N555" s="253"/>
      <c r="O555" s="253"/>
      <c r="P555" s="253"/>
      <c r="Q555" s="253"/>
      <c r="R555" s="253"/>
      <c r="S555" s="253"/>
      <c r="T555" s="253"/>
      <c r="U555" s="253"/>
      <c r="V555" s="253"/>
      <c r="W555" s="253"/>
      <c r="X555" s="253"/>
      <c r="Y555" s="253"/>
      <c r="Z555" s="253"/>
      <c r="AA555" s="253"/>
      <c r="AB555" s="253"/>
      <c r="AC555" s="253"/>
    </row>
    <row r="556">
      <c r="A556" s="22"/>
      <c r="B556" s="22"/>
      <c r="C556" s="22"/>
      <c r="D556" s="22"/>
      <c r="E556" s="22"/>
      <c r="F556" s="22"/>
      <c r="G556" s="112"/>
      <c r="H556" s="112"/>
      <c r="I556" s="112"/>
      <c r="J556" s="112"/>
      <c r="K556" s="112"/>
      <c r="L556" s="112"/>
      <c r="M556" s="253"/>
      <c r="N556" s="253"/>
      <c r="O556" s="253"/>
      <c r="P556" s="253"/>
      <c r="Q556" s="253"/>
      <c r="R556" s="253"/>
      <c r="S556" s="253"/>
      <c r="T556" s="253"/>
      <c r="U556" s="253"/>
      <c r="V556" s="253"/>
      <c r="W556" s="253"/>
      <c r="X556" s="253"/>
      <c r="Y556" s="253"/>
      <c r="Z556" s="253"/>
      <c r="AA556" s="253"/>
      <c r="AB556" s="253"/>
      <c r="AC556" s="253"/>
    </row>
    <row r="557">
      <c r="A557" s="22"/>
      <c r="B557" s="22"/>
      <c r="C557" s="22"/>
      <c r="D557" s="22"/>
      <c r="E557" s="22"/>
      <c r="F557" s="22"/>
      <c r="G557" s="112"/>
      <c r="H557" s="112"/>
      <c r="I557" s="112"/>
      <c r="J557" s="112"/>
      <c r="K557" s="112"/>
      <c r="L557" s="112"/>
      <c r="M557" s="253"/>
      <c r="N557" s="253"/>
      <c r="O557" s="253"/>
      <c r="P557" s="253"/>
      <c r="Q557" s="253"/>
      <c r="R557" s="253"/>
      <c r="S557" s="253"/>
      <c r="T557" s="253"/>
      <c r="U557" s="253"/>
      <c r="V557" s="253"/>
      <c r="W557" s="253"/>
      <c r="X557" s="253"/>
      <c r="Y557" s="253"/>
      <c r="Z557" s="253"/>
      <c r="AA557" s="253"/>
      <c r="AB557" s="253"/>
      <c r="AC557" s="253"/>
    </row>
    <row r="558">
      <c r="A558" s="22"/>
      <c r="B558" s="22"/>
      <c r="C558" s="22"/>
      <c r="D558" s="22"/>
      <c r="E558" s="22"/>
      <c r="F558" s="22"/>
      <c r="G558" s="112"/>
      <c r="H558" s="112"/>
      <c r="I558" s="112"/>
      <c r="J558" s="112"/>
      <c r="K558" s="112"/>
      <c r="L558" s="112"/>
      <c r="M558" s="253"/>
      <c r="N558" s="253"/>
      <c r="O558" s="253"/>
      <c r="P558" s="253"/>
      <c r="Q558" s="253"/>
      <c r="R558" s="253"/>
      <c r="S558" s="253"/>
      <c r="T558" s="253"/>
      <c r="U558" s="253"/>
      <c r="V558" s="253"/>
      <c r="W558" s="253"/>
      <c r="X558" s="253"/>
      <c r="Y558" s="253"/>
      <c r="Z558" s="253"/>
      <c r="AA558" s="253"/>
      <c r="AB558" s="253"/>
      <c r="AC558" s="253"/>
    </row>
    <row r="559">
      <c r="A559" s="22"/>
      <c r="B559" s="22"/>
      <c r="C559" s="22"/>
      <c r="D559" s="22"/>
      <c r="E559" s="22"/>
      <c r="F559" s="22"/>
      <c r="G559" s="112"/>
      <c r="H559" s="112"/>
      <c r="I559" s="112"/>
      <c r="J559" s="112"/>
      <c r="K559" s="112"/>
      <c r="L559" s="112"/>
      <c r="M559" s="253"/>
      <c r="N559" s="253"/>
      <c r="O559" s="253"/>
      <c r="P559" s="253"/>
      <c r="Q559" s="253"/>
      <c r="R559" s="253"/>
      <c r="S559" s="253"/>
      <c r="T559" s="253"/>
      <c r="U559" s="253"/>
      <c r="V559" s="253"/>
      <c r="W559" s="253"/>
      <c r="X559" s="253"/>
      <c r="Y559" s="253"/>
      <c r="Z559" s="253"/>
      <c r="AA559" s="253"/>
      <c r="AB559" s="253"/>
      <c r="AC559" s="253"/>
    </row>
    <row r="560">
      <c r="A560" s="22"/>
      <c r="B560" s="22"/>
      <c r="C560" s="22"/>
      <c r="D560" s="22"/>
      <c r="E560" s="22"/>
      <c r="F560" s="22"/>
      <c r="G560" s="112"/>
      <c r="H560" s="112"/>
      <c r="I560" s="112"/>
      <c r="J560" s="112"/>
      <c r="K560" s="112"/>
      <c r="L560" s="112"/>
      <c r="M560" s="253"/>
      <c r="N560" s="253"/>
      <c r="O560" s="253"/>
      <c r="P560" s="253"/>
      <c r="Q560" s="253"/>
      <c r="R560" s="253"/>
      <c r="S560" s="253"/>
      <c r="T560" s="253"/>
      <c r="U560" s="253"/>
      <c r="V560" s="253"/>
      <c r="W560" s="253"/>
      <c r="X560" s="253"/>
      <c r="Y560" s="253"/>
      <c r="Z560" s="253"/>
      <c r="AA560" s="253"/>
      <c r="AB560" s="253"/>
      <c r="AC560" s="253"/>
    </row>
    <row r="561">
      <c r="A561" s="22"/>
      <c r="B561" s="22"/>
      <c r="C561" s="22"/>
      <c r="D561" s="22"/>
      <c r="E561" s="22"/>
      <c r="F561" s="22"/>
      <c r="G561" s="112"/>
      <c r="H561" s="112"/>
      <c r="I561" s="112"/>
      <c r="J561" s="112"/>
      <c r="K561" s="112"/>
      <c r="L561" s="112"/>
      <c r="M561" s="253"/>
      <c r="N561" s="253"/>
      <c r="O561" s="253"/>
      <c r="P561" s="253"/>
      <c r="Q561" s="253"/>
      <c r="R561" s="253"/>
      <c r="S561" s="253"/>
      <c r="T561" s="253"/>
      <c r="U561" s="253"/>
      <c r="V561" s="253"/>
      <c r="W561" s="253"/>
      <c r="X561" s="253"/>
      <c r="Y561" s="253"/>
      <c r="Z561" s="253"/>
      <c r="AA561" s="253"/>
      <c r="AB561" s="253"/>
      <c r="AC561" s="253"/>
    </row>
    <row r="562">
      <c r="A562" s="22"/>
      <c r="B562" s="22"/>
      <c r="C562" s="22"/>
      <c r="D562" s="22"/>
      <c r="E562" s="22"/>
      <c r="F562" s="22"/>
      <c r="G562" s="112"/>
      <c r="H562" s="112"/>
      <c r="I562" s="112"/>
      <c r="J562" s="112"/>
      <c r="K562" s="112"/>
      <c r="L562" s="112"/>
      <c r="M562" s="253"/>
      <c r="N562" s="253"/>
      <c r="O562" s="253"/>
      <c r="P562" s="253"/>
      <c r="Q562" s="253"/>
      <c r="R562" s="253"/>
      <c r="S562" s="253"/>
      <c r="T562" s="253"/>
      <c r="U562" s="253"/>
      <c r="V562" s="253"/>
      <c r="W562" s="253"/>
      <c r="X562" s="253"/>
      <c r="Y562" s="253"/>
      <c r="Z562" s="253"/>
      <c r="AA562" s="253"/>
      <c r="AB562" s="253"/>
      <c r="AC562" s="253"/>
    </row>
    <row r="563">
      <c r="A563" s="22"/>
      <c r="B563" s="22"/>
      <c r="C563" s="22"/>
      <c r="D563" s="22"/>
      <c r="E563" s="22"/>
      <c r="F563" s="22"/>
      <c r="G563" s="112"/>
      <c r="H563" s="112"/>
      <c r="I563" s="112"/>
      <c r="J563" s="112"/>
      <c r="K563" s="112"/>
      <c r="L563" s="112"/>
      <c r="M563" s="253"/>
      <c r="N563" s="253"/>
      <c r="O563" s="253"/>
      <c r="P563" s="253"/>
      <c r="Q563" s="253"/>
      <c r="R563" s="253"/>
      <c r="S563" s="253"/>
      <c r="T563" s="253"/>
      <c r="U563" s="253"/>
      <c r="V563" s="253"/>
      <c r="W563" s="253"/>
      <c r="X563" s="253"/>
      <c r="Y563" s="253"/>
      <c r="Z563" s="253"/>
      <c r="AA563" s="253"/>
      <c r="AB563" s="253"/>
      <c r="AC563" s="253"/>
    </row>
    <row r="564">
      <c r="A564" s="22"/>
      <c r="B564" s="22"/>
      <c r="C564" s="22"/>
      <c r="D564" s="22"/>
      <c r="E564" s="22"/>
      <c r="F564" s="22"/>
      <c r="G564" s="112"/>
      <c r="H564" s="112"/>
      <c r="I564" s="112"/>
      <c r="J564" s="112"/>
      <c r="K564" s="112"/>
      <c r="L564" s="112"/>
      <c r="M564" s="253"/>
      <c r="N564" s="253"/>
      <c r="O564" s="253"/>
      <c r="P564" s="253"/>
      <c r="Q564" s="253"/>
      <c r="R564" s="253"/>
      <c r="S564" s="253"/>
      <c r="T564" s="253"/>
      <c r="U564" s="253"/>
      <c r="V564" s="253"/>
      <c r="W564" s="253"/>
      <c r="X564" s="253"/>
      <c r="Y564" s="253"/>
      <c r="Z564" s="253"/>
      <c r="AA564" s="253"/>
      <c r="AB564" s="253"/>
      <c r="AC564" s="253"/>
    </row>
    <row r="565">
      <c r="A565" s="22"/>
      <c r="B565" s="22"/>
      <c r="C565" s="22"/>
      <c r="D565" s="22"/>
      <c r="E565" s="22"/>
      <c r="F565" s="22"/>
      <c r="G565" s="112"/>
      <c r="H565" s="112"/>
      <c r="I565" s="112"/>
      <c r="J565" s="112"/>
      <c r="K565" s="112"/>
      <c r="L565" s="112"/>
      <c r="M565" s="253"/>
      <c r="N565" s="253"/>
      <c r="O565" s="253"/>
      <c r="P565" s="253"/>
      <c r="Q565" s="253"/>
      <c r="R565" s="253"/>
      <c r="S565" s="253"/>
      <c r="T565" s="253"/>
      <c r="U565" s="253"/>
      <c r="V565" s="253"/>
      <c r="W565" s="253"/>
      <c r="X565" s="253"/>
      <c r="Y565" s="253"/>
      <c r="Z565" s="253"/>
      <c r="AA565" s="253"/>
      <c r="AB565" s="253"/>
      <c r="AC565" s="253"/>
    </row>
    <row r="566">
      <c r="A566" s="22"/>
      <c r="B566" s="22"/>
      <c r="C566" s="22"/>
      <c r="D566" s="22"/>
      <c r="E566" s="22"/>
      <c r="F566" s="22"/>
      <c r="G566" s="112"/>
      <c r="H566" s="112"/>
      <c r="I566" s="112"/>
      <c r="J566" s="112"/>
      <c r="K566" s="112"/>
      <c r="L566" s="112"/>
      <c r="M566" s="253"/>
      <c r="N566" s="253"/>
      <c r="O566" s="253"/>
      <c r="P566" s="253"/>
      <c r="Q566" s="253"/>
      <c r="R566" s="253"/>
      <c r="S566" s="253"/>
      <c r="T566" s="253"/>
      <c r="U566" s="253"/>
      <c r="V566" s="253"/>
      <c r="W566" s="253"/>
      <c r="X566" s="253"/>
      <c r="Y566" s="253"/>
      <c r="Z566" s="253"/>
      <c r="AA566" s="253"/>
      <c r="AB566" s="253"/>
      <c r="AC566" s="253"/>
    </row>
    <row r="567">
      <c r="A567" s="22"/>
      <c r="B567" s="22"/>
      <c r="C567" s="22"/>
      <c r="D567" s="22"/>
      <c r="E567" s="22"/>
      <c r="F567" s="22"/>
      <c r="G567" s="112"/>
      <c r="H567" s="112"/>
      <c r="I567" s="112"/>
      <c r="J567" s="112"/>
      <c r="K567" s="112"/>
      <c r="L567" s="112"/>
      <c r="M567" s="253"/>
      <c r="N567" s="253"/>
      <c r="O567" s="253"/>
      <c r="P567" s="253"/>
      <c r="Q567" s="253"/>
      <c r="R567" s="253"/>
      <c r="S567" s="253"/>
      <c r="T567" s="253"/>
      <c r="U567" s="253"/>
      <c r="V567" s="253"/>
      <c r="W567" s="253"/>
      <c r="X567" s="253"/>
      <c r="Y567" s="253"/>
      <c r="Z567" s="253"/>
      <c r="AA567" s="253"/>
      <c r="AB567" s="253"/>
      <c r="AC567" s="253"/>
    </row>
    <row r="568">
      <c r="A568" s="22"/>
      <c r="B568" s="22"/>
      <c r="C568" s="22"/>
      <c r="D568" s="22"/>
      <c r="E568" s="22"/>
      <c r="F568" s="22"/>
      <c r="G568" s="112"/>
      <c r="H568" s="112"/>
      <c r="I568" s="112"/>
      <c r="J568" s="112"/>
      <c r="K568" s="112"/>
      <c r="L568" s="112"/>
      <c r="M568" s="253"/>
      <c r="N568" s="253"/>
      <c r="O568" s="253"/>
      <c r="P568" s="253"/>
      <c r="Q568" s="253"/>
      <c r="R568" s="253"/>
      <c r="S568" s="253"/>
      <c r="T568" s="253"/>
      <c r="U568" s="253"/>
      <c r="V568" s="253"/>
      <c r="W568" s="253"/>
      <c r="X568" s="253"/>
      <c r="Y568" s="253"/>
      <c r="Z568" s="253"/>
      <c r="AA568" s="253"/>
      <c r="AB568" s="253"/>
      <c r="AC568" s="253"/>
    </row>
    <row r="569">
      <c r="A569" s="22"/>
      <c r="B569" s="22"/>
      <c r="C569" s="22"/>
      <c r="D569" s="22"/>
      <c r="E569" s="22"/>
      <c r="F569" s="22"/>
      <c r="G569" s="112"/>
      <c r="H569" s="112"/>
      <c r="I569" s="112"/>
      <c r="J569" s="112"/>
      <c r="K569" s="112"/>
      <c r="L569" s="112"/>
      <c r="M569" s="253"/>
      <c r="N569" s="253"/>
      <c r="O569" s="253"/>
      <c r="P569" s="253"/>
      <c r="Q569" s="253"/>
      <c r="R569" s="253"/>
      <c r="S569" s="253"/>
      <c r="T569" s="253"/>
      <c r="U569" s="253"/>
      <c r="V569" s="253"/>
      <c r="W569" s="253"/>
      <c r="X569" s="253"/>
      <c r="Y569" s="253"/>
      <c r="Z569" s="253"/>
      <c r="AA569" s="253"/>
      <c r="AB569" s="253"/>
      <c r="AC569" s="253"/>
    </row>
    <row r="570">
      <c r="A570" s="22"/>
      <c r="B570" s="22"/>
      <c r="C570" s="22"/>
      <c r="D570" s="22"/>
      <c r="E570" s="22"/>
      <c r="F570" s="22"/>
      <c r="G570" s="112"/>
      <c r="H570" s="112"/>
      <c r="I570" s="112"/>
      <c r="J570" s="112"/>
      <c r="K570" s="112"/>
      <c r="L570" s="112"/>
      <c r="M570" s="253"/>
      <c r="N570" s="253"/>
      <c r="O570" s="253"/>
      <c r="P570" s="253"/>
      <c r="Q570" s="253"/>
      <c r="R570" s="253"/>
      <c r="S570" s="253"/>
      <c r="T570" s="253"/>
      <c r="U570" s="253"/>
      <c r="V570" s="253"/>
      <c r="W570" s="253"/>
      <c r="X570" s="253"/>
      <c r="Y570" s="253"/>
      <c r="Z570" s="253"/>
      <c r="AA570" s="253"/>
      <c r="AB570" s="253"/>
      <c r="AC570" s="253"/>
    </row>
    <row r="571">
      <c r="A571" s="22"/>
      <c r="B571" s="22"/>
      <c r="C571" s="22"/>
      <c r="D571" s="22"/>
      <c r="E571" s="22"/>
      <c r="F571" s="22"/>
      <c r="G571" s="112"/>
      <c r="H571" s="112"/>
      <c r="I571" s="112"/>
      <c r="J571" s="112"/>
      <c r="K571" s="112"/>
      <c r="L571" s="112"/>
      <c r="M571" s="253"/>
      <c r="N571" s="253"/>
      <c r="O571" s="253"/>
      <c r="P571" s="253"/>
      <c r="Q571" s="253"/>
      <c r="R571" s="253"/>
      <c r="S571" s="253"/>
      <c r="T571" s="253"/>
      <c r="U571" s="253"/>
      <c r="V571" s="253"/>
      <c r="W571" s="253"/>
      <c r="X571" s="253"/>
      <c r="Y571" s="253"/>
      <c r="Z571" s="253"/>
      <c r="AA571" s="253"/>
      <c r="AB571" s="253"/>
      <c r="AC571" s="253"/>
    </row>
    <row r="572">
      <c r="A572" s="22"/>
      <c r="B572" s="22"/>
      <c r="C572" s="22"/>
      <c r="D572" s="22"/>
      <c r="E572" s="22"/>
      <c r="F572" s="22"/>
      <c r="G572" s="112"/>
      <c r="H572" s="112"/>
      <c r="I572" s="112"/>
      <c r="J572" s="112"/>
      <c r="K572" s="112"/>
      <c r="L572" s="112"/>
      <c r="M572" s="253"/>
      <c r="N572" s="253"/>
      <c r="O572" s="253"/>
      <c r="P572" s="253"/>
      <c r="Q572" s="253"/>
      <c r="R572" s="253"/>
      <c r="S572" s="253"/>
      <c r="T572" s="253"/>
      <c r="U572" s="253"/>
      <c r="V572" s="253"/>
      <c r="W572" s="253"/>
      <c r="X572" s="253"/>
      <c r="Y572" s="253"/>
      <c r="Z572" s="253"/>
      <c r="AA572" s="253"/>
      <c r="AB572" s="253"/>
      <c r="AC572" s="253"/>
    </row>
    <row r="573">
      <c r="A573" s="22"/>
      <c r="B573" s="22"/>
      <c r="C573" s="22"/>
      <c r="D573" s="22"/>
      <c r="E573" s="22"/>
      <c r="F573" s="22"/>
      <c r="G573" s="112"/>
      <c r="H573" s="112"/>
      <c r="I573" s="112"/>
      <c r="J573" s="112"/>
      <c r="K573" s="112"/>
      <c r="L573" s="112"/>
      <c r="M573" s="253"/>
      <c r="N573" s="253"/>
      <c r="O573" s="253"/>
      <c r="P573" s="253"/>
      <c r="Q573" s="253"/>
      <c r="R573" s="253"/>
      <c r="S573" s="253"/>
      <c r="T573" s="253"/>
      <c r="U573" s="253"/>
      <c r="V573" s="253"/>
      <c r="W573" s="253"/>
      <c r="X573" s="253"/>
      <c r="Y573" s="253"/>
      <c r="Z573" s="253"/>
      <c r="AA573" s="253"/>
      <c r="AB573" s="253"/>
      <c r="AC573" s="253"/>
    </row>
    <row r="574">
      <c r="A574" s="22"/>
      <c r="B574" s="22"/>
      <c r="C574" s="22"/>
      <c r="D574" s="22"/>
      <c r="E574" s="22"/>
      <c r="F574" s="22"/>
      <c r="G574" s="112"/>
      <c r="H574" s="112"/>
      <c r="I574" s="112"/>
      <c r="J574" s="112"/>
      <c r="K574" s="112"/>
      <c r="L574" s="112"/>
      <c r="M574" s="253"/>
      <c r="N574" s="253"/>
      <c r="O574" s="253"/>
      <c r="P574" s="253"/>
      <c r="Q574" s="253"/>
      <c r="R574" s="253"/>
      <c r="S574" s="253"/>
      <c r="T574" s="253"/>
      <c r="U574" s="253"/>
      <c r="V574" s="253"/>
      <c r="W574" s="253"/>
      <c r="X574" s="253"/>
      <c r="Y574" s="253"/>
      <c r="Z574" s="253"/>
      <c r="AA574" s="253"/>
      <c r="AB574" s="253"/>
      <c r="AC574" s="253"/>
    </row>
    <row r="575">
      <c r="A575" s="22"/>
      <c r="B575" s="22"/>
      <c r="C575" s="22"/>
      <c r="D575" s="22"/>
      <c r="E575" s="22"/>
      <c r="F575" s="22"/>
      <c r="G575" s="112"/>
      <c r="H575" s="112"/>
      <c r="I575" s="112"/>
      <c r="J575" s="112"/>
      <c r="K575" s="112"/>
      <c r="L575" s="112"/>
      <c r="M575" s="253"/>
      <c r="N575" s="253"/>
      <c r="O575" s="253"/>
      <c r="P575" s="253"/>
      <c r="Q575" s="253"/>
      <c r="R575" s="253"/>
      <c r="S575" s="253"/>
      <c r="T575" s="253"/>
      <c r="U575" s="253"/>
      <c r="V575" s="253"/>
      <c r="W575" s="253"/>
      <c r="X575" s="253"/>
      <c r="Y575" s="253"/>
      <c r="Z575" s="253"/>
      <c r="AA575" s="253"/>
      <c r="AB575" s="253"/>
      <c r="AC575" s="253"/>
    </row>
    <row r="576">
      <c r="A576" s="22"/>
      <c r="B576" s="22"/>
      <c r="C576" s="22"/>
      <c r="D576" s="22"/>
      <c r="E576" s="22"/>
      <c r="F576" s="22"/>
      <c r="G576" s="112"/>
      <c r="H576" s="112"/>
      <c r="I576" s="112"/>
      <c r="J576" s="112"/>
      <c r="K576" s="112"/>
      <c r="L576" s="112"/>
      <c r="M576" s="253"/>
      <c r="N576" s="253"/>
      <c r="O576" s="253"/>
      <c r="P576" s="253"/>
      <c r="Q576" s="253"/>
      <c r="R576" s="253"/>
      <c r="S576" s="253"/>
      <c r="T576" s="253"/>
      <c r="U576" s="253"/>
      <c r="V576" s="253"/>
      <c r="W576" s="253"/>
      <c r="X576" s="253"/>
      <c r="Y576" s="253"/>
      <c r="Z576" s="253"/>
      <c r="AA576" s="253"/>
      <c r="AB576" s="253"/>
      <c r="AC576" s="253"/>
    </row>
    <row r="577">
      <c r="A577" s="22"/>
      <c r="B577" s="22"/>
      <c r="C577" s="22"/>
      <c r="D577" s="22"/>
      <c r="E577" s="22"/>
      <c r="F577" s="22"/>
      <c r="G577" s="112"/>
      <c r="H577" s="112"/>
      <c r="I577" s="112"/>
      <c r="J577" s="112"/>
      <c r="K577" s="112"/>
      <c r="L577" s="112"/>
      <c r="M577" s="253"/>
      <c r="N577" s="253"/>
      <c r="O577" s="253"/>
      <c r="P577" s="253"/>
      <c r="Q577" s="253"/>
      <c r="R577" s="253"/>
      <c r="S577" s="253"/>
      <c r="T577" s="253"/>
      <c r="U577" s="253"/>
      <c r="V577" s="253"/>
      <c r="W577" s="253"/>
      <c r="X577" s="253"/>
      <c r="Y577" s="253"/>
      <c r="Z577" s="253"/>
      <c r="AA577" s="253"/>
      <c r="AB577" s="253"/>
      <c r="AC577" s="253"/>
    </row>
    <row r="578">
      <c r="A578" s="22"/>
      <c r="B578" s="22"/>
      <c r="C578" s="22"/>
      <c r="D578" s="22"/>
      <c r="E578" s="22"/>
      <c r="F578" s="22"/>
      <c r="G578" s="112"/>
      <c r="H578" s="112"/>
      <c r="I578" s="112"/>
      <c r="J578" s="112"/>
      <c r="K578" s="112"/>
      <c r="L578" s="112"/>
      <c r="M578" s="253"/>
      <c r="N578" s="253"/>
      <c r="O578" s="253"/>
      <c r="P578" s="253"/>
      <c r="Q578" s="253"/>
      <c r="R578" s="253"/>
      <c r="S578" s="253"/>
      <c r="T578" s="253"/>
      <c r="U578" s="253"/>
      <c r="V578" s="253"/>
      <c r="W578" s="253"/>
      <c r="X578" s="253"/>
      <c r="Y578" s="253"/>
      <c r="Z578" s="253"/>
      <c r="AA578" s="253"/>
      <c r="AB578" s="253"/>
      <c r="AC578" s="253"/>
    </row>
    <row r="579">
      <c r="A579" s="22"/>
      <c r="B579" s="22"/>
      <c r="C579" s="22"/>
      <c r="D579" s="22"/>
      <c r="E579" s="22"/>
      <c r="F579" s="22"/>
      <c r="G579" s="112"/>
      <c r="H579" s="112"/>
      <c r="I579" s="112"/>
      <c r="J579" s="112"/>
      <c r="K579" s="112"/>
      <c r="L579" s="112"/>
      <c r="M579" s="253"/>
      <c r="N579" s="253"/>
      <c r="O579" s="253"/>
      <c r="P579" s="253"/>
      <c r="Q579" s="253"/>
      <c r="R579" s="253"/>
      <c r="S579" s="253"/>
      <c r="T579" s="253"/>
      <c r="U579" s="253"/>
      <c r="V579" s="253"/>
      <c r="W579" s="253"/>
      <c r="X579" s="253"/>
      <c r="Y579" s="253"/>
      <c r="Z579" s="253"/>
      <c r="AA579" s="253"/>
      <c r="AB579" s="253"/>
      <c r="AC579" s="253"/>
    </row>
    <row r="580">
      <c r="A580" s="22"/>
      <c r="B580" s="22"/>
      <c r="C580" s="22"/>
      <c r="D580" s="22"/>
      <c r="E580" s="22"/>
      <c r="F580" s="22"/>
      <c r="G580" s="112"/>
      <c r="H580" s="112"/>
      <c r="I580" s="112"/>
      <c r="J580" s="112"/>
      <c r="K580" s="112"/>
      <c r="L580" s="112"/>
      <c r="M580" s="253"/>
      <c r="N580" s="253"/>
      <c r="O580" s="253"/>
      <c r="P580" s="253"/>
      <c r="Q580" s="253"/>
      <c r="R580" s="253"/>
      <c r="S580" s="253"/>
      <c r="T580" s="253"/>
      <c r="U580" s="253"/>
      <c r="V580" s="253"/>
      <c r="W580" s="253"/>
      <c r="X580" s="253"/>
      <c r="Y580" s="253"/>
      <c r="Z580" s="253"/>
      <c r="AA580" s="253"/>
      <c r="AB580" s="253"/>
      <c r="AC580" s="253"/>
    </row>
    <row r="581">
      <c r="A581" s="22"/>
      <c r="B581" s="22"/>
      <c r="C581" s="22"/>
      <c r="D581" s="22"/>
      <c r="E581" s="22"/>
      <c r="F581" s="22"/>
      <c r="G581" s="112"/>
      <c r="H581" s="112"/>
      <c r="I581" s="112"/>
      <c r="J581" s="112"/>
      <c r="K581" s="112"/>
      <c r="L581" s="112"/>
      <c r="M581" s="253"/>
      <c r="N581" s="253"/>
      <c r="O581" s="253"/>
      <c r="P581" s="253"/>
      <c r="Q581" s="253"/>
      <c r="R581" s="253"/>
      <c r="S581" s="253"/>
      <c r="T581" s="253"/>
      <c r="U581" s="253"/>
      <c r="V581" s="253"/>
      <c r="W581" s="253"/>
      <c r="X581" s="253"/>
      <c r="Y581" s="253"/>
      <c r="Z581" s="253"/>
      <c r="AA581" s="253"/>
      <c r="AB581" s="253"/>
      <c r="AC581" s="253"/>
    </row>
    <row r="582">
      <c r="A582" s="22"/>
      <c r="B582" s="22"/>
      <c r="C582" s="22"/>
      <c r="D582" s="22"/>
      <c r="E582" s="22"/>
      <c r="F582" s="22"/>
      <c r="G582" s="112"/>
      <c r="H582" s="112"/>
      <c r="I582" s="112"/>
      <c r="J582" s="112"/>
      <c r="K582" s="112"/>
      <c r="L582" s="112"/>
      <c r="M582" s="253"/>
      <c r="N582" s="253"/>
      <c r="O582" s="253"/>
      <c r="P582" s="253"/>
      <c r="Q582" s="253"/>
      <c r="R582" s="253"/>
      <c r="S582" s="253"/>
      <c r="T582" s="253"/>
      <c r="U582" s="253"/>
      <c r="V582" s="253"/>
      <c r="W582" s="253"/>
      <c r="X582" s="253"/>
      <c r="Y582" s="253"/>
      <c r="Z582" s="253"/>
      <c r="AA582" s="253"/>
      <c r="AB582" s="253"/>
      <c r="AC582" s="253"/>
    </row>
    <row r="583">
      <c r="A583" s="22"/>
      <c r="B583" s="22"/>
      <c r="C583" s="22"/>
      <c r="D583" s="22"/>
      <c r="E583" s="22"/>
      <c r="F583" s="22"/>
      <c r="G583" s="112"/>
      <c r="H583" s="112"/>
      <c r="I583" s="112"/>
      <c r="J583" s="112"/>
      <c r="K583" s="112"/>
      <c r="L583" s="112"/>
      <c r="M583" s="253"/>
      <c r="N583" s="253"/>
      <c r="O583" s="253"/>
      <c r="P583" s="253"/>
      <c r="Q583" s="253"/>
      <c r="R583" s="253"/>
      <c r="S583" s="253"/>
      <c r="T583" s="253"/>
      <c r="U583" s="253"/>
      <c r="V583" s="253"/>
      <c r="W583" s="253"/>
      <c r="X583" s="253"/>
      <c r="Y583" s="253"/>
      <c r="Z583" s="253"/>
      <c r="AA583" s="253"/>
      <c r="AB583" s="253"/>
      <c r="AC583" s="253"/>
    </row>
    <row r="584">
      <c r="A584" s="22"/>
      <c r="B584" s="22"/>
      <c r="C584" s="22"/>
      <c r="D584" s="22"/>
      <c r="E584" s="22"/>
      <c r="F584" s="22"/>
      <c r="G584" s="112"/>
      <c r="H584" s="112"/>
      <c r="I584" s="112"/>
      <c r="J584" s="112"/>
      <c r="K584" s="112"/>
      <c r="L584" s="112"/>
      <c r="M584" s="253"/>
      <c r="N584" s="253"/>
      <c r="O584" s="253"/>
      <c r="P584" s="253"/>
      <c r="Q584" s="253"/>
      <c r="R584" s="253"/>
      <c r="S584" s="253"/>
      <c r="T584" s="253"/>
      <c r="U584" s="253"/>
      <c r="V584" s="253"/>
      <c r="W584" s="253"/>
      <c r="X584" s="253"/>
      <c r="Y584" s="253"/>
      <c r="Z584" s="253"/>
      <c r="AA584" s="253"/>
      <c r="AB584" s="253"/>
      <c r="AC584" s="253"/>
    </row>
    <row r="585">
      <c r="A585" s="22"/>
      <c r="B585" s="22"/>
      <c r="C585" s="22"/>
      <c r="D585" s="22"/>
      <c r="E585" s="22"/>
      <c r="F585" s="22"/>
      <c r="G585" s="112"/>
      <c r="H585" s="112"/>
      <c r="I585" s="112"/>
      <c r="J585" s="112"/>
      <c r="K585" s="112"/>
      <c r="L585" s="112"/>
      <c r="M585" s="253"/>
      <c r="N585" s="253"/>
      <c r="O585" s="253"/>
      <c r="P585" s="253"/>
      <c r="Q585" s="253"/>
      <c r="R585" s="253"/>
      <c r="S585" s="253"/>
      <c r="T585" s="253"/>
      <c r="U585" s="253"/>
      <c r="V585" s="253"/>
      <c r="W585" s="253"/>
      <c r="X585" s="253"/>
      <c r="Y585" s="253"/>
      <c r="Z585" s="253"/>
      <c r="AA585" s="253"/>
      <c r="AB585" s="253"/>
      <c r="AC585" s="253"/>
    </row>
    <row r="586">
      <c r="A586" s="22"/>
      <c r="B586" s="22"/>
      <c r="C586" s="22"/>
      <c r="D586" s="22"/>
      <c r="E586" s="22"/>
      <c r="F586" s="22"/>
      <c r="G586" s="112"/>
      <c r="H586" s="112"/>
      <c r="I586" s="112"/>
      <c r="J586" s="112"/>
      <c r="K586" s="112"/>
      <c r="L586" s="112"/>
      <c r="M586" s="253"/>
      <c r="N586" s="253"/>
      <c r="O586" s="253"/>
      <c r="P586" s="253"/>
      <c r="Q586" s="253"/>
      <c r="R586" s="253"/>
      <c r="S586" s="253"/>
      <c r="T586" s="253"/>
      <c r="U586" s="253"/>
      <c r="V586" s="253"/>
      <c r="W586" s="253"/>
      <c r="X586" s="253"/>
      <c r="Y586" s="253"/>
      <c r="Z586" s="253"/>
      <c r="AA586" s="253"/>
      <c r="AB586" s="253"/>
      <c r="AC586" s="253"/>
    </row>
    <row r="587">
      <c r="A587" s="22"/>
      <c r="B587" s="22"/>
      <c r="C587" s="22"/>
      <c r="D587" s="22"/>
      <c r="E587" s="22"/>
      <c r="F587" s="22"/>
      <c r="G587" s="112"/>
      <c r="H587" s="112"/>
      <c r="I587" s="112"/>
      <c r="J587" s="112"/>
      <c r="K587" s="112"/>
      <c r="L587" s="112"/>
      <c r="M587" s="253"/>
      <c r="N587" s="253"/>
      <c r="O587" s="253"/>
      <c r="P587" s="253"/>
      <c r="Q587" s="253"/>
      <c r="R587" s="253"/>
      <c r="S587" s="253"/>
      <c r="T587" s="253"/>
      <c r="U587" s="253"/>
      <c r="V587" s="253"/>
      <c r="W587" s="253"/>
      <c r="X587" s="253"/>
      <c r="Y587" s="253"/>
      <c r="Z587" s="253"/>
      <c r="AA587" s="253"/>
      <c r="AB587" s="253"/>
      <c r="AC587" s="253"/>
    </row>
    <row r="588">
      <c r="A588" s="22"/>
      <c r="B588" s="22"/>
      <c r="C588" s="22"/>
      <c r="D588" s="22"/>
      <c r="E588" s="22"/>
      <c r="F588" s="22"/>
      <c r="G588" s="112"/>
      <c r="H588" s="112"/>
      <c r="I588" s="112"/>
      <c r="J588" s="112"/>
      <c r="K588" s="112"/>
      <c r="L588" s="112"/>
      <c r="M588" s="253"/>
      <c r="N588" s="253"/>
      <c r="O588" s="253"/>
      <c r="P588" s="253"/>
      <c r="Q588" s="253"/>
      <c r="R588" s="253"/>
      <c r="S588" s="253"/>
      <c r="T588" s="253"/>
      <c r="U588" s="253"/>
      <c r="V588" s="253"/>
      <c r="W588" s="253"/>
      <c r="X588" s="253"/>
      <c r="Y588" s="253"/>
      <c r="Z588" s="253"/>
      <c r="AA588" s="253"/>
      <c r="AB588" s="253"/>
      <c r="AC588" s="253"/>
    </row>
    <row r="589">
      <c r="A589" s="22"/>
      <c r="B589" s="22"/>
      <c r="C589" s="22"/>
      <c r="D589" s="22"/>
      <c r="E589" s="22"/>
      <c r="F589" s="22"/>
      <c r="G589" s="112"/>
      <c r="H589" s="112"/>
      <c r="I589" s="112"/>
      <c r="J589" s="112"/>
      <c r="K589" s="112"/>
      <c r="L589" s="112"/>
      <c r="M589" s="253"/>
      <c r="N589" s="253"/>
      <c r="O589" s="253"/>
      <c r="P589" s="253"/>
      <c r="Q589" s="253"/>
      <c r="R589" s="253"/>
      <c r="S589" s="253"/>
      <c r="T589" s="253"/>
      <c r="U589" s="253"/>
      <c r="V589" s="253"/>
      <c r="W589" s="253"/>
      <c r="X589" s="253"/>
      <c r="Y589" s="253"/>
      <c r="Z589" s="253"/>
      <c r="AA589" s="253"/>
      <c r="AB589" s="253"/>
      <c r="AC589" s="253"/>
    </row>
    <row r="590">
      <c r="A590" s="22"/>
      <c r="B590" s="22"/>
      <c r="C590" s="22"/>
      <c r="D590" s="22"/>
      <c r="E590" s="22"/>
      <c r="F590" s="22"/>
      <c r="G590" s="112"/>
      <c r="H590" s="112"/>
      <c r="I590" s="112"/>
      <c r="J590" s="112"/>
      <c r="K590" s="112"/>
      <c r="L590" s="112"/>
      <c r="M590" s="253"/>
      <c r="N590" s="253"/>
      <c r="O590" s="253"/>
      <c r="P590" s="253"/>
      <c r="Q590" s="253"/>
      <c r="R590" s="253"/>
      <c r="S590" s="253"/>
      <c r="T590" s="253"/>
      <c r="U590" s="253"/>
      <c r="V590" s="253"/>
      <c r="W590" s="253"/>
      <c r="X590" s="253"/>
      <c r="Y590" s="253"/>
      <c r="Z590" s="253"/>
      <c r="AA590" s="253"/>
      <c r="AB590" s="253"/>
      <c r="AC590" s="253"/>
    </row>
    <row r="591">
      <c r="A591" s="22"/>
      <c r="B591" s="22"/>
      <c r="C591" s="22"/>
      <c r="D591" s="22"/>
      <c r="E591" s="22"/>
      <c r="F591" s="22"/>
      <c r="G591" s="112"/>
      <c r="H591" s="112"/>
      <c r="I591" s="112"/>
      <c r="J591" s="112"/>
      <c r="K591" s="112"/>
      <c r="L591" s="112"/>
      <c r="M591" s="253"/>
      <c r="N591" s="253"/>
      <c r="O591" s="253"/>
      <c r="P591" s="253"/>
      <c r="Q591" s="253"/>
      <c r="R591" s="253"/>
      <c r="S591" s="253"/>
      <c r="T591" s="253"/>
      <c r="U591" s="253"/>
      <c r="V591" s="253"/>
      <c r="W591" s="253"/>
      <c r="X591" s="253"/>
      <c r="Y591" s="253"/>
      <c r="Z591" s="253"/>
      <c r="AA591" s="253"/>
      <c r="AB591" s="253"/>
      <c r="AC591" s="253"/>
    </row>
    <row r="592">
      <c r="A592" s="22"/>
      <c r="B592" s="22"/>
      <c r="C592" s="22"/>
      <c r="D592" s="22"/>
      <c r="E592" s="22"/>
      <c r="F592" s="22"/>
      <c r="G592" s="112"/>
      <c r="H592" s="112"/>
      <c r="I592" s="112"/>
      <c r="J592" s="112"/>
      <c r="K592" s="112"/>
      <c r="L592" s="112"/>
      <c r="M592" s="253"/>
      <c r="N592" s="253"/>
      <c r="O592" s="253"/>
      <c r="P592" s="253"/>
      <c r="Q592" s="253"/>
      <c r="R592" s="253"/>
      <c r="S592" s="253"/>
      <c r="T592" s="253"/>
      <c r="U592" s="253"/>
      <c r="V592" s="253"/>
      <c r="W592" s="253"/>
      <c r="X592" s="253"/>
      <c r="Y592" s="253"/>
      <c r="Z592" s="253"/>
      <c r="AA592" s="253"/>
      <c r="AB592" s="253"/>
      <c r="AC592" s="253"/>
    </row>
    <row r="593">
      <c r="A593" s="22"/>
      <c r="B593" s="22"/>
      <c r="C593" s="22"/>
      <c r="D593" s="22"/>
      <c r="E593" s="22"/>
      <c r="F593" s="22"/>
      <c r="G593" s="112"/>
      <c r="H593" s="112"/>
      <c r="I593" s="112"/>
      <c r="J593" s="112"/>
      <c r="K593" s="112"/>
      <c r="L593" s="112"/>
      <c r="M593" s="253"/>
      <c r="N593" s="253"/>
      <c r="O593" s="253"/>
      <c r="P593" s="253"/>
      <c r="Q593" s="253"/>
      <c r="R593" s="253"/>
      <c r="S593" s="253"/>
      <c r="T593" s="253"/>
      <c r="U593" s="253"/>
      <c r="V593" s="253"/>
      <c r="W593" s="253"/>
      <c r="X593" s="253"/>
      <c r="Y593" s="253"/>
      <c r="Z593" s="253"/>
      <c r="AA593" s="253"/>
      <c r="AB593" s="253"/>
      <c r="AC593" s="253"/>
    </row>
    <row r="594">
      <c r="A594" s="22"/>
      <c r="B594" s="22"/>
      <c r="C594" s="22"/>
      <c r="D594" s="22"/>
      <c r="E594" s="22"/>
      <c r="F594" s="22"/>
      <c r="G594" s="112"/>
      <c r="H594" s="112"/>
      <c r="I594" s="112"/>
      <c r="J594" s="112"/>
      <c r="K594" s="112"/>
      <c r="L594" s="112"/>
      <c r="M594" s="253"/>
      <c r="N594" s="253"/>
      <c r="O594" s="253"/>
      <c r="P594" s="253"/>
      <c r="Q594" s="253"/>
      <c r="R594" s="253"/>
      <c r="S594" s="253"/>
      <c r="T594" s="253"/>
      <c r="U594" s="253"/>
      <c r="V594" s="253"/>
      <c r="W594" s="253"/>
      <c r="X594" s="253"/>
      <c r="Y594" s="253"/>
      <c r="Z594" s="253"/>
      <c r="AA594" s="253"/>
      <c r="AB594" s="253"/>
      <c r="AC594" s="253"/>
    </row>
    <row r="595">
      <c r="A595" s="22"/>
      <c r="B595" s="22"/>
      <c r="C595" s="22"/>
      <c r="D595" s="22"/>
      <c r="E595" s="22"/>
      <c r="F595" s="22"/>
      <c r="G595" s="112"/>
      <c r="H595" s="112"/>
      <c r="I595" s="112"/>
      <c r="J595" s="112"/>
      <c r="K595" s="112"/>
      <c r="L595" s="112"/>
      <c r="M595" s="253"/>
      <c r="N595" s="253"/>
      <c r="O595" s="253"/>
      <c r="P595" s="253"/>
      <c r="Q595" s="253"/>
      <c r="R595" s="253"/>
      <c r="S595" s="253"/>
      <c r="T595" s="253"/>
      <c r="U595" s="253"/>
      <c r="V595" s="253"/>
      <c r="W595" s="253"/>
      <c r="X595" s="253"/>
      <c r="Y595" s="253"/>
      <c r="Z595" s="253"/>
      <c r="AA595" s="253"/>
      <c r="AB595" s="253"/>
      <c r="AC595" s="253"/>
    </row>
    <row r="596">
      <c r="A596" s="22"/>
      <c r="B596" s="22"/>
      <c r="C596" s="22"/>
      <c r="D596" s="22"/>
      <c r="E596" s="22"/>
      <c r="F596" s="22"/>
      <c r="G596" s="112"/>
      <c r="H596" s="112"/>
      <c r="I596" s="112"/>
      <c r="J596" s="112"/>
      <c r="K596" s="112"/>
      <c r="L596" s="112"/>
      <c r="M596" s="253"/>
      <c r="N596" s="253"/>
      <c r="O596" s="253"/>
      <c r="P596" s="253"/>
      <c r="Q596" s="253"/>
      <c r="R596" s="253"/>
      <c r="S596" s="253"/>
      <c r="T596" s="253"/>
      <c r="U596" s="253"/>
      <c r="V596" s="253"/>
      <c r="W596" s="253"/>
      <c r="X596" s="253"/>
      <c r="Y596" s="253"/>
      <c r="Z596" s="253"/>
      <c r="AA596" s="253"/>
      <c r="AB596" s="253"/>
      <c r="AC596" s="253"/>
    </row>
    <row r="597">
      <c r="A597" s="22"/>
      <c r="B597" s="22"/>
      <c r="C597" s="22"/>
      <c r="D597" s="22"/>
      <c r="E597" s="22"/>
      <c r="F597" s="22"/>
      <c r="G597" s="112"/>
      <c r="H597" s="112"/>
      <c r="I597" s="112"/>
      <c r="J597" s="112"/>
      <c r="K597" s="112"/>
      <c r="L597" s="112"/>
      <c r="M597" s="253"/>
      <c r="N597" s="253"/>
      <c r="O597" s="253"/>
      <c r="P597" s="253"/>
      <c r="Q597" s="253"/>
      <c r="R597" s="253"/>
      <c r="S597" s="253"/>
      <c r="T597" s="253"/>
      <c r="U597" s="253"/>
      <c r="V597" s="253"/>
      <c r="W597" s="253"/>
      <c r="X597" s="253"/>
      <c r="Y597" s="253"/>
      <c r="Z597" s="253"/>
      <c r="AA597" s="253"/>
      <c r="AB597" s="253"/>
      <c r="AC597" s="253"/>
    </row>
    <row r="598">
      <c r="A598" s="22"/>
      <c r="B598" s="22"/>
      <c r="C598" s="22"/>
      <c r="D598" s="22"/>
      <c r="E598" s="22"/>
      <c r="F598" s="22"/>
      <c r="G598" s="112"/>
      <c r="H598" s="112"/>
      <c r="I598" s="112"/>
      <c r="J598" s="112"/>
      <c r="K598" s="112"/>
      <c r="L598" s="112"/>
      <c r="M598" s="253"/>
      <c r="N598" s="253"/>
      <c r="O598" s="253"/>
      <c r="P598" s="253"/>
      <c r="Q598" s="253"/>
      <c r="R598" s="253"/>
      <c r="S598" s="253"/>
      <c r="T598" s="253"/>
      <c r="U598" s="253"/>
      <c r="V598" s="253"/>
      <c r="W598" s="253"/>
      <c r="X598" s="253"/>
      <c r="Y598" s="253"/>
      <c r="Z598" s="253"/>
      <c r="AA598" s="253"/>
      <c r="AB598" s="253"/>
      <c r="AC598" s="253"/>
    </row>
    <row r="599">
      <c r="A599" s="22"/>
      <c r="B599" s="22"/>
      <c r="C599" s="22"/>
      <c r="D599" s="22"/>
      <c r="E599" s="22"/>
      <c r="F599" s="22"/>
      <c r="G599" s="112"/>
      <c r="H599" s="112"/>
      <c r="I599" s="112"/>
      <c r="J599" s="112"/>
      <c r="K599" s="112"/>
      <c r="L599" s="112"/>
      <c r="M599" s="253"/>
      <c r="N599" s="253"/>
      <c r="O599" s="253"/>
      <c r="P599" s="253"/>
      <c r="Q599" s="253"/>
      <c r="R599" s="253"/>
      <c r="S599" s="253"/>
      <c r="T599" s="253"/>
      <c r="U599" s="253"/>
      <c r="V599" s="253"/>
      <c r="W599" s="253"/>
      <c r="X599" s="253"/>
      <c r="Y599" s="253"/>
      <c r="Z599" s="253"/>
      <c r="AA599" s="253"/>
      <c r="AB599" s="253"/>
      <c r="AC599" s="253"/>
    </row>
    <row r="600">
      <c r="A600" s="22"/>
      <c r="B600" s="22"/>
      <c r="C600" s="22"/>
      <c r="D600" s="22"/>
      <c r="E600" s="22"/>
      <c r="F600" s="22"/>
      <c r="G600" s="112"/>
      <c r="H600" s="112"/>
      <c r="I600" s="112"/>
      <c r="J600" s="112"/>
      <c r="K600" s="112"/>
      <c r="L600" s="112"/>
      <c r="M600" s="253"/>
      <c r="N600" s="253"/>
      <c r="O600" s="253"/>
      <c r="P600" s="253"/>
      <c r="Q600" s="253"/>
      <c r="R600" s="253"/>
      <c r="S600" s="253"/>
      <c r="T600" s="253"/>
      <c r="U600" s="253"/>
      <c r="V600" s="253"/>
      <c r="W600" s="253"/>
      <c r="X600" s="253"/>
      <c r="Y600" s="253"/>
      <c r="Z600" s="253"/>
      <c r="AA600" s="253"/>
      <c r="AB600" s="253"/>
      <c r="AC600" s="253"/>
    </row>
    <row r="601">
      <c r="A601" s="22"/>
      <c r="B601" s="22"/>
      <c r="C601" s="22"/>
      <c r="D601" s="22"/>
      <c r="E601" s="22"/>
      <c r="F601" s="22"/>
      <c r="G601" s="112"/>
      <c r="H601" s="112"/>
      <c r="I601" s="112"/>
      <c r="J601" s="112"/>
      <c r="K601" s="112"/>
      <c r="L601" s="112"/>
      <c r="M601" s="253"/>
      <c r="N601" s="253"/>
      <c r="O601" s="253"/>
      <c r="P601" s="253"/>
      <c r="Q601" s="253"/>
      <c r="R601" s="253"/>
      <c r="S601" s="253"/>
      <c r="T601" s="253"/>
      <c r="U601" s="253"/>
      <c r="V601" s="253"/>
      <c r="W601" s="253"/>
      <c r="X601" s="253"/>
      <c r="Y601" s="253"/>
      <c r="Z601" s="253"/>
      <c r="AA601" s="253"/>
      <c r="AB601" s="253"/>
      <c r="AC601" s="253"/>
    </row>
    <row r="602">
      <c r="A602" s="22"/>
      <c r="B602" s="22"/>
      <c r="C602" s="22"/>
      <c r="D602" s="22"/>
      <c r="E602" s="22"/>
      <c r="F602" s="22"/>
      <c r="G602" s="112"/>
      <c r="H602" s="112"/>
      <c r="I602" s="112"/>
      <c r="J602" s="112"/>
      <c r="K602" s="112"/>
      <c r="L602" s="112"/>
      <c r="M602" s="253"/>
      <c r="N602" s="253"/>
      <c r="O602" s="253"/>
      <c r="P602" s="253"/>
      <c r="Q602" s="253"/>
      <c r="R602" s="253"/>
      <c r="S602" s="253"/>
      <c r="T602" s="253"/>
      <c r="U602" s="253"/>
      <c r="V602" s="253"/>
      <c r="W602" s="253"/>
      <c r="X602" s="253"/>
      <c r="Y602" s="253"/>
      <c r="Z602" s="253"/>
      <c r="AA602" s="253"/>
      <c r="AB602" s="253"/>
      <c r="AC602" s="253"/>
    </row>
    <row r="603">
      <c r="A603" s="22"/>
      <c r="B603" s="22"/>
      <c r="C603" s="22"/>
      <c r="D603" s="22"/>
      <c r="E603" s="22"/>
      <c r="F603" s="22"/>
      <c r="G603" s="112"/>
      <c r="H603" s="112"/>
      <c r="I603" s="112"/>
      <c r="J603" s="112"/>
      <c r="K603" s="112"/>
      <c r="L603" s="112"/>
      <c r="M603" s="253"/>
      <c r="N603" s="253"/>
      <c r="O603" s="253"/>
      <c r="P603" s="253"/>
      <c r="Q603" s="253"/>
      <c r="R603" s="253"/>
      <c r="S603" s="253"/>
      <c r="T603" s="253"/>
      <c r="U603" s="253"/>
      <c r="V603" s="253"/>
      <c r="W603" s="253"/>
      <c r="X603" s="253"/>
      <c r="Y603" s="253"/>
      <c r="Z603" s="253"/>
      <c r="AA603" s="253"/>
      <c r="AB603" s="253"/>
      <c r="AC603" s="253"/>
    </row>
    <row r="604">
      <c r="A604" s="22"/>
      <c r="B604" s="22"/>
      <c r="C604" s="22"/>
      <c r="D604" s="22"/>
      <c r="E604" s="22"/>
      <c r="F604" s="22"/>
      <c r="G604" s="112"/>
      <c r="H604" s="112"/>
      <c r="I604" s="112"/>
      <c r="J604" s="112"/>
      <c r="K604" s="112"/>
      <c r="L604" s="112"/>
      <c r="M604" s="253"/>
      <c r="N604" s="253"/>
      <c r="O604" s="253"/>
      <c r="P604" s="253"/>
      <c r="Q604" s="253"/>
      <c r="R604" s="253"/>
      <c r="S604" s="253"/>
      <c r="T604" s="253"/>
      <c r="U604" s="253"/>
      <c r="V604" s="253"/>
      <c r="W604" s="253"/>
      <c r="X604" s="253"/>
      <c r="Y604" s="253"/>
      <c r="Z604" s="253"/>
      <c r="AA604" s="253"/>
      <c r="AB604" s="253"/>
      <c r="AC604" s="253"/>
    </row>
    <row r="605">
      <c r="A605" s="22"/>
      <c r="B605" s="22"/>
      <c r="C605" s="22"/>
      <c r="D605" s="22"/>
      <c r="E605" s="22"/>
      <c r="F605" s="22"/>
      <c r="G605" s="112"/>
      <c r="H605" s="112"/>
      <c r="I605" s="112"/>
      <c r="J605" s="112"/>
      <c r="K605" s="112"/>
      <c r="L605" s="112"/>
      <c r="M605" s="253"/>
      <c r="N605" s="253"/>
      <c r="O605" s="253"/>
      <c r="P605" s="253"/>
      <c r="Q605" s="253"/>
      <c r="R605" s="253"/>
      <c r="S605" s="253"/>
      <c r="T605" s="253"/>
      <c r="U605" s="253"/>
      <c r="V605" s="253"/>
      <c r="W605" s="253"/>
      <c r="X605" s="253"/>
      <c r="Y605" s="253"/>
      <c r="Z605" s="253"/>
      <c r="AA605" s="253"/>
      <c r="AB605" s="253"/>
      <c r="AC605" s="253"/>
    </row>
    <row r="606">
      <c r="A606" s="22"/>
      <c r="B606" s="22"/>
      <c r="C606" s="22"/>
      <c r="D606" s="22"/>
      <c r="E606" s="22"/>
      <c r="F606" s="22"/>
      <c r="G606" s="112"/>
      <c r="H606" s="112"/>
      <c r="I606" s="112"/>
      <c r="J606" s="112"/>
      <c r="K606" s="112"/>
      <c r="L606" s="112"/>
      <c r="M606" s="253"/>
      <c r="N606" s="253"/>
      <c r="O606" s="253"/>
      <c r="P606" s="253"/>
      <c r="Q606" s="253"/>
      <c r="R606" s="253"/>
      <c r="S606" s="253"/>
      <c r="T606" s="253"/>
      <c r="U606" s="253"/>
      <c r="V606" s="253"/>
      <c r="W606" s="253"/>
      <c r="X606" s="253"/>
      <c r="Y606" s="253"/>
      <c r="Z606" s="253"/>
      <c r="AA606" s="253"/>
      <c r="AB606" s="253"/>
      <c r="AC606" s="253"/>
    </row>
    <row r="607">
      <c r="A607" s="22"/>
      <c r="B607" s="22"/>
      <c r="C607" s="22"/>
      <c r="D607" s="22"/>
      <c r="E607" s="22"/>
      <c r="F607" s="22"/>
      <c r="G607" s="112"/>
      <c r="H607" s="112"/>
      <c r="I607" s="112"/>
      <c r="J607" s="112"/>
      <c r="K607" s="112"/>
      <c r="L607" s="112"/>
      <c r="M607" s="253"/>
      <c r="N607" s="253"/>
      <c r="O607" s="253"/>
      <c r="P607" s="253"/>
      <c r="Q607" s="253"/>
      <c r="R607" s="253"/>
      <c r="S607" s="253"/>
      <c r="T607" s="253"/>
      <c r="U607" s="253"/>
      <c r="V607" s="253"/>
      <c r="W607" s="253"/>
      <c r="X607" s="253"/>
      <c r="Y607" s="253"/>
      <c r="Z607" s="253"/>
      <c r="AA607" s="253"/>
      <c r="AB607" s="253"/>
      <c r="AC607" s="253"/>
    </row>
    <row r="608">
      <c r="A608" s="22"/>
      <c r="B608" s="22"/>
      <c r="C608" s="22"/>
      <c r="D608" s="22"/>
      <c r="E608" s="22"/>
      <c r="F608" s="22"/>
      <c r="G608" s="112"/>
      <c r="H608" s="112"/>
      <c r="I608" s="112"/>
      <c r="J608" s="112"/>
      <c r="K608" s="112"/>
      <c r="L608" s="112"/>
      <c r="M608" s="253"/>
      <c r="N608" s="253"/>
      <c r="O608" s="253"/>
      <c r="P608" s="253"/>
      <c r="Q608" s="253"/>
      <c r="R608" s="253"/>
      <c r="S608" s="253"/>
      <c r="T608" s="253"/>
      <c r="U608" s="253"/>
      <c r="V608" s="253"/>
      <c r="W608" s="253"/>
      <c r="X608" s="253"/>
      <c r="Y608" s="253"/>
      <c r="Z608" s="253"/>
      <c r="AA608" s="253"/>
      <c r="AB608" s="253"/>
      <c r="AC608" s="253"/>
    </row>
    <row r="609">
      <c r="A609" s="22"/>
      <c r="B609" s="22"/>
      <c r="C609" s="22"/>
      <c r="D609" s="22"/>
      <c r="E609" s="22"/>
      <c r="F609" s="22"/>
      <c r="G609" s="112"/>
      <c r="H609" s="112"/>
      <c r="I609" s="112"/>
      <c r="J609" s="112"/>
      <c r="K609" s="112"/>
      <c r="L609" s="112"/>
      <c r="M609" s="253"/>
      <c r="N609" s="253"/>
      <c r="O609" s="253"/>
      <c r="P609" s="253"/>
      <c r="Q609" s="253"/>
      <c r="R609" s="253"/>
      <c r="S609" s="253"/>
      <c r="T609" s="253"/>
      <c r="U609" s="253"/>
      <c r="V609" s="253"/>
      <c r="W609" s="253"/>
      <c r="X609" s="253"/>
      <c r="Y609" s="253"/>
      <c r="Z609" s="253"/>
      <c r="AA609" s="253"/>
      <c r="AB609" s="253"/>
      <c r="AC609" s="253"/>
    </row>
    <row r="610">
      <c r="A610" s="22"/>
      <c r="B610" s="22"/>
      <c r="C610" s="22"/>
      <c r="D610" s="22"/>
      <c r="E610" s="22"/>
      <c r="F610" s="22"/>
      <c r="G610" s="112"/>
      <c r="H610" s="112"/>
      <c r="I610" s="112"/>
      <c r="J610" s="112"/>
      <c r="K610" s="112"/>
      <c r="L610" s="112"/>
      <c r="M610" s="253"/>
      <c r="N610" s="253"/>
      <c r="O610" s="253"/>
      <c r="P610" s="253"/>
      <c r="Q610" s="253"/>
      <c r="R610" s="253"/>
      <c r="S610" s="253"/>
      <c r="T610" s="253"/>
      <c r="U610" s="253"/>
      <c r="V610" s="253"/>
      <c r="W610" s="253"/>
      <c r="X610" s="253"/>
      <c r="Y610" s="253"/>
      <c r="Z610" s="253"/>
      <c r="AA610" s="253"/>
      <c r="AB610" s="253"/>
      <c r="AC610" s="253"/>
    </row>
    <row r="611">
      <c r="A611" s="22"/>
      <c r="B611" s="22"/>
      <c r="C611" s="22"/>
      <c r="D611" s="22"/>
      <c r="E611" s="22"/>
      <c r="F611" s="22"/>
      <c r="G611" s="112"/>
      <c r="H611" s="112"/>
      <c r="I611" s="112"/>
      <c r="J611" s="112"/>
      <c r="K611" s="112"/>
      <c r="L611" s="112"/>
      <c r="M611" s="253"/>
      <c r="N611" s="253"/>
      <c r="O611" s="253"/>
      <c r="P611" s="253"/>
      <c r="Q611" s="253"/>
      <c r="R611" s="253"/>
      <c r="S611" s="253"/>
      <c r="T611" s="253"/>
      <c r="U611" s="253"/>
      <c r="V611" s="253"/>
      <c r="W611" s="253"/>
      <c r="X611" s="253"/>
      <c r="Y611" s="253"/>
      <c r="Z611" s="253"/>
      <c r="AA611" s="253"/>
      <c r="AB611" s="253"/>
      <c r="AC611" s="253"/>
    </row>
    <row r="612">
      <c r="A612" s="22"/>
      <c r="B612" s="22"/>
      <c r="C612" s="22"/>
      <c r="D612" s="22"/>
      <c r="E612" s="22"/>
      <c r="F612" s="22"/>
      <c r="G612" s="112"/>
      <c r="H612" s="112"/>
      <c r="I612" s="112"/>
      <c r="J612" s="112"/>
      <c r="K612" s="112"/>
      <c r="L612" s="112"/>
      <c r="M612" s="253"/>
      <c r="N612" s="253"/>
      <c r="O612" s="253"/>
      <c r="P612" s="253"/>
      <c r="Q612" s="253"/>
      <c r="R612" s="253"/>
      <c r="S612" s="253"/>
      <c r="T612" s="253"/>
      <c r="U612" s="253"/>
      <c r="V612" s="253"/>
      <c r="W612" s="253"/>
      <c r="X612" s="253"/>
      <c r="Y612" s="253"/>
      <c r="Z612" s="253"/>
      <c r="AA612" s="253"/>
      <c r="AB612" s="253"/>
      <c r="AC612" s="253"/>
    </row>
    <row r="613">
      <c r="A613" s="22"/>
      <c r="B613" s="22"/>
      <c r="C613" s="22"/>
      <c r="D613" s="22"/>
      <c r="E613" s="22"/>
      <c r="F613" s="22"/>
      <c r="G613" s="112"/>
      <c r="H613" s="112"/>
      <c r="I613" s="112"/>
      <c r="J613" s="112"/>
      <c r="K613" s="112"/>
      <c r="L613" s="112"/>
      <c r="M613" s="253"/>
      <c r="N613" s="253"/>
      <c r="O613" s="253"/>
      <c r="P613" s="253"/>
      <c r="Q613" s="253"/>
      <c r="R613" s="253"/>
      <c r="S613" s="253"/>
      <c r="T613" s="253"/>
      <c r="U613" s="253"/>
      <c r="V613" s="253"/>
      <c r="W613" s="253"/>
      <c r="X613" s="253"/>
      <c r="Y613" s="253"/>
      <c r="Z613" s="253"/>
      <c r="AA613" s="253"/>
      <c r="AB613" s="253"/>
      <c r="AC613" s="253"/>
    </row>
    <row r="614">
      <c r="A614" s="22"/>
      <c r="B614" s="22"/>
      <c r="C614" s="22"/>
      <c r="D614" s="22"/>
      <c r="E614" s="22"/>
      <c r="F614" s="22"/>
      <c r="G614" s="112"/>
      <c r="H614" s="112"/>
      <c r="I614" s="112"/>
      <c r="J614" s="112"/>
      <c r="K614" s="112"/>
      <c r="L614" s="112"/>
      <c r="M614" s="253"/>
      <c r="N614" s="253"/>
      <c r="O614" s="253"/>
      <c r="P614" s="253"/>
      <c r="Q614" s="253"/>
      <c r="R614" s="253"/>
      <c r="S614" s="253"/>
      <c r="T614" s="253"/>
      <c r="U614" s="253"/>
      <c r="V614" s="253"/>
      <c r="W614" s="253"/>
      <c r="X614" s="253"/>
      <c r="Y614" s="253"/>
      <c r="Z614" s="253"/>
      <c r="AA614" s="253"/>
      <c r="AB614" s="253"/>
      <c r="AC614" s="253"/>
    </row>
    <row r="615">
      <c r="A615" s="22"/>
      <c r="B615" s="22"/>
      <c r="C615" s="22"/>
      <c r="D615" s="22"/>
      <c r="E615" s="22"/>
      <c r="F615" s="22"/>
      <c r="G615" s="112"/>
      <c r="H615" s="112"/>
      <c r="I615" s="112"/>
      <c r="J615" s="112"/>
      <c r="K615" s="112"/>
      <c r="L615" s="112"/>
      <c r="M615" s="253"/>
      <c r="N615" s="253"/>
      <c r="O615" s="253"/>
      <c r="P615" s="253"/>
      <c r="Q615" s="253"/>
      <c r="R615" s="253"/>
      <c r="S615" s="253"/>
      <c r="T615" s="253"/>
      <c r="U615" s="253"/>
      <c r="V615" s="253"/>
      <c r="W615" s="253"/>
      <c r="X615" s="253"/>
      <c r="Y615" s="253"/>
      <c r="Z615" s="253"/>
      <c r="AA615" s="253"/>
      <c r="AB615" s="253"/>
      <c r="AC615" s="253"/>
    </row>
    <row r="616">
      <c r="A616" s="22"/>
      <c r="B616" s="22"/>
      <c r="C616" s="22"/>
      <c r="D616" s="22"/>
      <c r="E616" s="22"/>
      <c r="F616" s="22"/>
      <c r="G616" s="112"/>
      <c r="H616" s="112"/>
      <c r="I616" s="112"/>
      <c r="J616" s="112"/>
      <c r="K616" s="112"/>
      <c r="L616" s="112"/>
      <c r="M616" s="253"/>
      <c r="N616" s="253"/>
      <c r="O616" s="253"/>
      <c r="P616" s="253"/>
      <c r="Q616" s="253"/>
      <c r="R616" s="253"/>
      <c r="S616" s="253"/>
      <c r="T616" s="253"/>
      <c r="U616" s="253"/>
      <c r="V616" s="253"/>
      <c r="W616" s="253"/>
      <c r="X616" s="253"/>
      <c r="Y616" s="253"/>
      <c r="Z616" s="253"/>
      <c r="AA616" s="253"/>
      <c r="AB616" s="253"/>
      <c r="AC616" s="253"/>
    </row>
    <row r="617">
      <c r="A617" s="22"/>
      <c r="B617" s="22"/>
      <c r="C617" s="22"/>
      <c r="D617" s="22"/>
      <c r="E617" s="22"/>
      <c r="F617" s="22"/>
      <c r="G617" s="112"/>
      <c r="H617" s="112"/>
      <c r="I617" s="112"/>
      <c r="J617" s="112"/>
      <c r="K617" s="112"/>
      <c r="L617" s="112"/>
      <c r="M617" s="253"/>
      <c r="N617" s="253"/>
      <c r="O617" s="253"/>
      <c r="P617" s="253"/>
      <c r="Q617" s="253"/>
      <c r="R617" s="253"/>
      <c r="S617" s="253"/>
      <c r="T617" s="253"/>
      <c r="U617" s="253"/>
      <c r="V617" s="253"/>
      <c r="W617" s="253"/>
      <c r="X617" s="253"/>
      <c r="Y617" s="253"/>
      <c r="Z617" s="253"/>
      <c r="AA617" s="253"/>
      <c r="AB617" s="253"/>
      <c r="AC617" s="253"/>
    </row>
    <row r="618">
      <c r="A618" s="22"/>
      <c r="B618" s="22"/>
      <c r="C618" s="22"/>
      <c r="D618" s="22"/>
      <c r="E618" s="22"/>
      <c r="F618" s="22"/>
      <c r="G618" s="112"/>
      <c r="H618" s="112"/>
      <c r="I618" s="112"/>
      <c r="J618" s="112"/>
      <c r="K618" s="112"/>
      <c r="L618" s="112"/>
      <c r="M618" s="253"/>
      <c r="N618" s="253"/>
      <c r="O618" s="253"/>
      <c r="P618" s="253"/>
      <c r="Q618" s="253"/>
      <c r="R618" s="253"/>
      <c r="S618" s="253"/>
      <c r="T618" s="253"/>
      <c r="U618" s="253"/>
      <c r="V618" s="253"/>
      <c r="W618" s="253"/>
      <c r="X618" s="253"/>
      <c r="Y618" s="253"/>
      <c r="Z618" s="253"/>
      <c r="AA618" s="253"/>
      <c r="AB618" s="253"/>
      <c r="AC618" s="253"/>
    </row>
    <row r="619">
      <c r="A619" s="22"/>
      <c r="B619" s="22"/>
      <c r="C619" s="22"/>
      <c r="D619" s="22"/>
      <c r="E619" s="22"/>
      <c r="F619" s="22"/>
      <c r="G619" s="112"/>
      <c r="H619" s="112"/>
      <c r="I619" s="112"/>
      <c r="J619" s="112"/>
      <c r="K619" s="112"/>
      <c r="L619" s="112"/>
      <c r="M619" s="253"/>
      <c r="N619" s="253"/>
      <c r="O619" s="253"/>
      <c r="P619" s="253"/>
      <c r="Q619" s="253"/>
      <c r="R619" s="253"/>
      <c r="S619" s="253"/>
      <c r="T619" s="253"/>
      <c r="U619" s="253"/>
      <c r="V619" s="253"/>
      <c r="W619" s="253"/>
      <c r="X619" s="253"/>
      <c r="Y619" s="253"/>
      <c r="Z619" s="253"/>
      <c r="AA619" s="253"/>
      <c r="AB619" s="253"/>
      <c r="AC619" s="253"/>
    </row>
    <row r="620">
      <c r="A620" s="22"/>
      <c r="B620" s="22"/>
      <c r="C620" s="22"/>
      <c r="D620" s="22"/>
      <c r="E620" s="22"/>
      <c r="F620" s="22"/>
      <c r="G620" s="112"/>
      <c r="H620" s="112"/>
      <c r="I620" s="112"/>
      <c r="J620" s="112"/>
      <c r="K620" s="112"/>
      <c r="L620" s="112"/>
      <c r="M620" s="253"/>
      <c r="N620" s="253"/>
      <c r="O620" s="253"/>
      <c r="P620" s="253"/>
      <c r="Q620" s="253"/>
      <c r="R620" s="253"/>
      <c r="S620" s="253"/>
      <c r="T620" s="253"/>
      <c r="U620" s="253"/>
      <c r="V620" s="253"/>
      <c r="W620" s="253"/>
      <c r="X620" s="253"/>
      <c r="Y620" s="253"/>
      <c r="Z620" s="253"/>
      <c r="AA620" s="253"/>
      <c r="AB620" s="253"/>
      <c r="AC620" s="253"/>
    </row>
    <row r="621">
      <c r="A621" s="22"/>
      <c r="B621" s="22"/>
      <c r="C621" s="22"/>
      <c r="D621" s="22"/>
      <c r="E621" s="22"/>
      <c r="F621" s="22"/>
      <c r="G621" s="112"/>
      <c r="H621" s="112"/>
      <c r="I621" s="112"/>
      <c r="J621" s="112"/>
      <c r="K621" s="112"/>
      <c r="L621" s="112"/>
      <c r="M621" s="253"/>
      <c r="N621" s="253"/>
      <c r="O621" s="253"/>
      <c r="P621" s="253"/>
      <c r="Q621" s="253"/>
      <c r="R621" s="253"/>
      <c r="S621" s="253"/>
      <c r="T621" s="253"/>
      <c r="U621" s="253"/>
      <c r="V621" s="253"/>
      <c r="W621" s="253"/>
      <c r="X621" s="253"/>
      <c r="Y621" s="253"/>
      <c r="Z621" s="253"/>
      <c r="AA621" s="253"/>
      <c r="AB621" s="253"/>
      <c r="AC621" s="253"/>
    </row>
    <row r="622">
      <c r="A622" s="22"/>
      <c r="B622" s="22"/>
      <c r="C622" s="22"/>
      <c r="D622" s="22"/>
      <c r="E622" s="22"/>
      <c r="F622" s="22"/>
      <c r="G622" s="112"/>
      <c r="H622" s="112"/>
      <c r="I622" s="112"/>
      <c r="J622" s="112"/>
      <c r="K622" s="112"/>
      <c r="L622" s="112"/>
      <c r="M622" s="253"/>
      <c r="N622" s="253"/>
      <c r="O622" s="253"/>
      <c r="P622" s="253"/>
      <c r="Q622" s="253"/>
      <c r="R622" s="253"/>
      <c r="S622" s="253"/>
      <c r="T622" s="253"/>
      <c r="U622" s="253"/>
      <c r="V622" s="253"/>
      <c r="W622" s="253"/>
      <c r="X622" s="253"/>
      <c r="Y622" s="253"/>
      <c r="Z622" s="253"/>
      <c r="AA622" s="253"/>
      <c r="AB622" s="253"/>
      <c r="AC622" s="253"/>
    </row>
    <row r="623">
      <c r="A623" s="22"/>
      <c r="B623" s="22"/>
      <c r="C623" s="22"/>
      <c r="D623" s="22"/>
      <c r="E623" s="22"/>
      <c r="F623" s="22"/>
      <c r="G623" s="112"/>
      <c r="H623" s="112"/>
      <c r="I623" s="112"/>
      <c r="J623" s="112"/>
      <c r="K623" s="112"/>
      <c r="L623" s="112"/>
      <c r="M623" s="253"/>
      <c r="N623" s="253"/>
      <c r="O623" s="253"/>
      <c r="P623" s="253"/>
      <c r="Q623" s="253"/>
      <c r="R623" s="253"/>
      <c r="S623" s="253"/>
      <c r="T623" s="253"/>
      <c r="U623" s="253"/>
      <c r="V623" s="253"/>
      <c r="W623" s="253"/>
      <c r="X623" s="253"/>
      <c r="Y623" s="253"/>
      <c r="Z623" s="253"/>
      <c r="AA623" s="253"/>
      <c r="AB623" s="253"/>
      <c r="AC623" s="253"/>
    </row>
    <row r="624">
      <c r="A624" s="22"/>
      <c r="B624" s="22"/>
      <c r="C624" s="22"/>
      <c r="D624" s="22"/>
      <c r="E624" s="22"/>
      <c r="F624" s="22"/>
      <c r="G624" s="112"/>
      <c r="H624" s="112"/>
      <c r="I624" s="112"/>
      <c r="J624" s="112"/>
      <c r="K624" s="112"/>
      <c r="L624" s="112"/>
      <c r="M624" s="253"/>
      <c r="N624" s="253"/>
      <c r="O624" s="253"/>
      <c r="P624" s="253"/>
      <c r="Q624" s="253"/>
      <c r="R624" s="253"/>
      <c r="S624" s="253"/>
      <c r="T624" s="253"/>
      <c r="U624" s="253"/>
      <c r="V624" s="253"/>
      <c r="W624" s="253"/>
      <c r="X624" s="253"/>
      <c r="Y624" s="253"/>
      <c r="Z624" s="253"/>
      <c r="AA624" s="253"/>
      <c r="AB624" s="253"/>
      <c r="AC624" s="253"/>
    </row>
    <row r="625">
      <c r="A625" s="22"/>
      <c r="B625" s="22"/>
      <c r="C625" s="22"/>
      <c r="D625" s="22"/>
      <c r="E625" s="22"/>
      <c r="F625" s="22"/>
      <c r="G625" s="112"/>
      <c r="H625" s="112"/>
      <c r="I625" s="112"/>
      <c r="J625" s="112"/>
      <c r="K625" s="112"/>
      <c r="L625" s="112"/>
      <c r="M625" s="253"/>
      <c r="N625" s="253"/>
      <c r="O625" s="253"/>
      <c r="P625" s="253"/>
      <c r="Q625" s="253"/>
      <c r="R625" s="253"/>
      <c r="S625" s="253"/>
      <c r="T625" s="253"/>
      <c r="U625" s="253"/>
      <c r="V625" s="253"/>
      <c r="W625" s="253"/>
      <c r="X625" s="253"/>
      <c r="Y625" s="253"/>
      <c r="Z625" s="253"/>
      <c r="AA625" s="253"/>
      <c r="AB625" s="253"/>
      <c r="AC625" s="253"/>
    </row>
    <row r="626">
      <c r="A626" s="22"/>
      <c r="B626" s="22"/>
      <c r="C626" s="22"/>
      <c r="D626" s="22"/>
      <c r="E626" s="22"/>
      <c r="F626" s="22"/>
      <c r="G626" s="112"/>
      <c r="H626" s="112"/>
      <c r="I626" s="112"/>
      <c r="J626" s="112"/>
      <c r="K626" s="112"/>
      <c r="L626" s="112"/>
      <c r="M626" s="253"/>
      <c r="N626" s="253"/>
      <c r="O626" s="253"/>
      <c r="P626" s="253"/>
      <c r="Q626" s="253"/>
      <c r="R626" s="253"/>
      <c r="S626" s="253"/>
      <c r="T626" s="253"/>
      <c r="U626" s="253"/>
      <c r="V626" s="253"/>
      <c r="W626" s="253"/>
      <c r="X626" s="253"/>
      <c r="Y626" s="253"/>
      <c r="Z626" s="253"/>
      <c r="AA626" s="253"/>
      <c r="AB626" s="253"/>
      <c r="AC626" s="253"/>
    </row>
    <row r="627">
      <c r="A627" s="22"/>
      <c r="B627" s="22"/>
      <c r="C627" s="22"/>
      <c r="D627" s="22"/>
      <c r="E627" s="22"/>
      <c r="F627" s="22"/>
      <c r="G627" s="112"/>
      <c r="H627" s="112"/>
      <c r="I627" s="112"/>
      <c r="J627" s="112"/>
      <c r="K627" s="112"/>
      <c r="L627" s="112"/>
      <c r="M627" s="253"/>
      <c r="N627" s="253"/>
      <c r="O627" s="253"/>
      <c r="P627" s="253"/>
      <c r="Q627" s="253"/>
      <c r="R627" s="253"/>
      <c r="S627" s="253"/>
      <c r="T627" s="253"/>
      <c r="U627" s="253"/>
      <c r="V627" s="253"/>
      <c r="W627" s="253"/>
      <c r="X627" s="253"/>
      <c r="Y627" s="253"/>
      <c r="Z627" s="253"/>
      <c r="AA627" s="253"/>
      <c r="AB627" s="253"/>
      <c r="AC627" s="253"/>
    </row>
    <row r="628">
      <c r="A628" s="22"/>
      <c r="B628" s="22"/>
      <c r="C628" s="22"/>
      <c r="D628" s="22"/>
      <c r="E628" s="22"/>
      <c r="F628" s="22"/>
      <c r="G628" s="112"/>
      <c r="H628" s="112"/>
      <c r="I628" s="112"/>
      <c r="J628" s="112"/>
      <c r="K628" s="112"/>
      <c r="L628" s="112"/>
      <c r="M628" s="253"/>
      <c r="N628" s="253"/>
      <c r="O628" s="253"/>
      <c r="P628" s="253"/>
      <c r="Q628" s="253"/>
      <c r="R628" s="253"/>
      <c r="S628" s="253"/>
      <c r="T628" s="253"/>
      <c r="U628" s="253"/>
      <c r="V628" s="253"/>
      <c r="W628" s="253"/>
      <c r="X628" s="253"/>
      <c r="Y628" s="253"/>
      <c r="Z628" s="253"/>
      <c r="AA628" s="253"/>
      <c r="AB628" s="253"/>
      <c r="AC628" s="253"/>
    </row>
    <row r="629">
      <c r="A629" s="22"/>
      <c r="B629" s="22"/>
      <c r="C629" s="22"/>
      <c r="D629" s="22"/>
      <c r="E629" s="22"/>
      <c r="F629" s="22"/>
      <c r="G629" s="112"/>
      <c r="H629" s="112"/>
      <c r="I629" s="112"/>
      <c r="J629" s="112"/>
      <c r="K629" s="112"/>
      <c r="L629" s="112"/>
      <c r="M629" s="253"/>
      <c r="N629" s="253"/>
      <c r="O629" s="253"/>
      <c r="P629" s="253"/>
      <c r="Q629" s="253"/>
      <c r="R629" s="253"/>
      <c r="S629" s="253"/>
      <c r="T629" s="253"/>
      <c r="U629" s="253"/>
      <c r="V629" s="253"/>
      <c r="W629" s="253"/>
      <c r="X629" s="253"/>
      <c r="Y629" s="253"/>
      <c r="Z629" s="253"/>
      <c r="AA629" s="253"/>
      <c r="AB629" s="253"/>
      <c r="AC629" s="253"/>
    </row>
    <row r="630">
      <c r="A630" s="22"/>
      <c r="B630" s="22"/>
      <c r="C630" s="22"/>
      <c r="D630" s="22"/>
      <c r="E630" s="22"/>
      <c r="F630" s="22"/>
      <c r="G630" s="112"/>
      <c r="H630" s="112"/>
      <c r="I630" s="112"/>
      <c r="J630" s="112"/>
      <c r="K630" s="112"/>
      <c r="L630" s="112"/>
      <c r="M630" s="253"/>
      <c r="N630" s="253"/>
      <c r="O630" s="253"/>
      <c r="P630" s="253"/>
      <c r="Q630" s="253"/>
      <c r="R630" s="253"/>
      <c r="S630" s="253"/>
      <c r="T630" s="253"/>
      <c r="U630" s="253"/>
      <c r="V630" s="253"/>
      <c r="W630" s="253"/>
      <c r="X630" s="253"/>
      <c r="Y630" s="253"/>
      <c r="Z630" s="253"/>
      <c r="AA630" s="253"/>
      <c r="AB630" s="253"/>
      <c r="AC630" s="253"/>
    </row>
    <row r="631">
      <c r="A631" s="22"/>
      <c r="B631" s="22"/>
      <c r="C631" s="22"/>
      <c r="D631" s="22"/>
      <c r="E631" s="22"/>
      <c r="F631" s="22"/>
      <c r="G631" s="112"/>
      <c r="H631" s="112"/>
      <c r="I631" s="112"/>
      <c r="J631" s="112"/>
      <c r="K631" s="112"/>
      <c r="L631" s="112"/>
      <c r="M631" s="253"/>
      <c r="N631" s="253"/>
      <c r="O631" s="253"/>
      <c r="P631" s="253"/>
      <c r="Q631" s="253"/>
      <c r="R631" s="253"/>
      <c r="S631" s="253"/>
      <c r="T631" s="253"/>
      <c r="U631" s="253"/>
      <c r="V631" s="253"/>
      <c r="W631" s="253"/>
      <c r="X631" s="253"/>
      <c r="Y631" s="253"/>
      <c r="Z631" s="253"/>
      <c r="AA631" s="253"/>
      <c r="AB631" s="253"/>
      <c r="AC631" s="253"/>
    </row>
    <row r="632">
      <c r="A632" s="22"/>
      <c r="B632" s="22"/>
      <c r="C632" s="22"/>
      <c r="D632" s="22"/>
      <c r="E632" s="22"/>
      <c r="F632" s="22"/>
      <c r="G632" s="112"/>
      <c r="H632" s="112"/>
      <c r="I632" s="112"/>
      <c r="J632" s="112"/>
      <c r="K632" s="112"/>
      <c r="L632" s="112"/>
      <c r="M632" s="253"/>
      <c r="N632" s="253"/>
      <c r="O632" s="253"/>
      <c r="P632" s="253"/>
      <c r="Q632" s="253"/>
      <c r="R632" s="253"/>
      <c r="S632" s="253"/>
      <c r="T632" s="253"/>
      <c r="U632" s="253"/>
      <c r="V632" s="253"/>
      <c r="W632" s="253"/>
      <c r="X632" s="253"/>
      <c r="Y632" s="253"/>
      <c r="Z632" s="253"/>
      <c r="AA632" s="253"/>
      <c r="AB632" s="253"/>
      <c r="AC632" s="253"/>
    </row>
    <row r="633">
      <c r="A633" s="22"/>
      <c r="B633" s="22"/>
      <c r="C633" s="22"/>
      <c r="D633" s="22"/>
      <c r="E633" s="22"/>
      <c r="F633" s="22"/>
      <c r="G633" s="112"/>
      <c r="H633" s="112"/>
      <c r="I633" s="112"/>
      <c r="J633" s="112"/>
      <c r="K633" s="112"/>
      <c r="L633" s="112"/>
      <c r="M633" s="253"/>
      <c r="N633" s="253"/>
      <c r="O633" s="253"/>
      <c r="P633" s="253"/>
      <c r="Q633" s="253"/>
      <c r="R633" s="253"/>
      <c r="S633" s="253"/>
      <c r="T633" s="253"/>
      <c r="U633" s="253"/>
      <c r="V633" s="253"/>
      <c r="W633" s="253"/>
      <c r="X633" s="253"/>
      <c r="Y633" s="253"/>
      <c r="Z633" s="253"/>
      <c r="AA633" s="253"/>
      <c r="AB633" s="253"/>
      <c r="AC633" s="253"/>
    </row>
    <row r="634">
      <c r="A634" s="22"/>
      <c r="B634" s="22"/>
      <c r="C634" s="22"/>
      <c r="D634" s="22"/>
      <c r="E634" s="22"/>
      <c r="F634" s="22"/>
      <c r="G634" s="112"/>
      <c r="H634" s="112"/>
      <c r="I634" s="112"/>
      <c r="J634" s="112"/>
      <c r="K634" s="112"/>
      <c r="L634" s="112"/>
      <c r="M634" s="253"/>
      <c r="N634" s="253"/>
      <c r="O634" s="253"/>
      <c r="P634" s="253"/>
      <c r="Q634" s="253"/>
      <c r="R634" s="253"/>
      <c r="S634" s="253"/>
      <c r="T634" s="253"/>
      <c r="U634" s="253"/>
      <c r="V634" s="253"/>
      <c r="W634" s="253"/>
      <c r="X634" s="253"/>
      <c r="Y634" s="253"/>
      <c r="Z634" s="253"/>
      <c r="AA634" s="253"/>
      <c r="AB634" s="253"/>
      <c r="AC634" s="253"/>
    </row>
    <row r="635">
      <c r="A635" s="22"/>
      <c r="B635" s="22"/>
      <c r="C635" s="22"/>
      <c r="D635" s="22"/>
      <c r="E635" s="22"/>
      <c r="F635" s="22"/>
      <c r="G635" s="112"/>
      <c r="H635" s="112"/>
      <c r="I635" s="112"/>
      <c r="J635" s="112"/>
      <c r="K635" s="112"/>
      <c r="L635" s="112"/>
      <c r="M635" s="253"/>
      <c r="N635" s="253"/>
      <c r="O635" s="253"/>
      <c r="P635" s="253"/>
      <c r="Q635" s="253"/>
      <c r="R635" s="253"/>
      <c r="S635" s="253"/>
      <c r="T635" s="253"/>
      <c r="U635" s="253"/>
      <c r="V635" s="253"/>
      <c r="W635" s="253"/>
      <c r="X635" s="253"/>
      <c r="Y635" s="253"/>
      <c r="Z635" s="253"/>
      <c r="AA635" s="253"/>
      <c r="AB635" s="253"/>
      <c r="AC635" s="253"/>
    </row>
    <row r="636">
      <c r="A636" s="22"/>
      <c r="B636" s="22"/>
      <c r="C636" s="22"/>
      <c r="D636" s="22"/>
      <c r="E636" s="22"/>
      <c r="F636" s="22"/>
      <c r="G636" s="112"/>
      <c r="H636" s="112"/>
      <c r="I636" s="112"/>
      <c r="J636" s="112"/>
      <c r="K636" s="112"/>
      <c r="L636" s="112"/>
      <c r="M636" s="253"/>
      <c r="N636" s="253"/>
      <c r="O636" s="253"/>
      <c r="P636" s="253"/>
      <c r="Q636" s="253"/>
      <c r="R636" s="253"/>
      <c r="S636" s="253"/>
      <c r="T636" s="253"/>
      <c r="U636" s="253"/>
      <c r="V636" s="253"/>
      <c r="W636" s="253"/>
      <c r="X636" s="253"/>
      <c r="Y636" s="253"/>
      <c r="Z636" s="253"/>
      <c r="AA636" s="253"/>
      <c r="AB636" s="253"/>
      <c r="AC636" s="253"/>
    </row>
    <row r="637">
      <c r="A637" s="22"/>
      <c r="B637" s="22"/>
      <c r="C637" s="22"/>
      <c r="D637" s="22"/>
      <c r="E637" s="22"/>
      <c r="F637" s="22"/>
      <c r="G637" s="112"/>
      <c r="H637" s="112"/>
      <c r="I637" s="112"/>
      <c r="J637" s="112"/>
      <c r="K637" s="112"/>
      <c r="L637" s="112"/>
      <c r="M637" s="253"/>
      <c r="N637" s="253"/>
      <c r="O637" s="253"/>
      <c r="P637" s="253"/>
      <c r="Q637" s="253"/>
      <c r="R637" s="253"/>
      <c r="S637" s="253"/>
      <c r="T637" s="253"/>
      <c r="U637" s="253"/>
      <c r="V637" s="253"/>
      <c r="W637" s="253"/>
      <c r="X637" s="253"/>
      <c r="Y637" s="253"/>
      <c r="Z637" s="253"/>
      <c r="AA637" s="253"/>
      <c r="AB637" s="253"/>
      <c r="AC637" s="253"/>
    </row>
    <row r="638">
      <c r="A638" s="22"/>
      <c r="B638" s="22"/>
      <c r="C638" s="22"/>
      <c r="D638" s="22"/>
      <c r="E638" s="22"/>
      <c r="F638" s="22"/>
      <c r="G638" s="112"/>
      <c r="H638" s="112"/>
      <c r="I638" s="112"/>
      <c r="J638" s="112"/>
      <c r="K638" s="112"/>
      <c r="L638" s="112"/>
      <c r="M638" s="253"/>
      <c r="N638" s="253"/>
      <c r="O638" s="253"/>
      <c r="P638" s="253"/>
      <c r="Q638" s="253"/>
      <c r="R638" s="253"/>
      <c r="S638" s="253"/>
      <c r="T638" s="253"/>
      <c r="U638" s="253"/>
      <c r="V638" s="253"/>
      <c r="W638" s="253"/>
      <c r="X638" s="253"/>
      <c r="Y638" s="253"/>
      <c r="Z638" s="253"/>
      <c r="AA638" s="253"/>
      <c r="AB638" s="253"/>
      <c r="AC638" s="253"/>
    </row>
    <row r="639">
      <c r="A639" s="22"/>
      <c r="B639" s="22"/>
      <c r="C639" s="22"/>
      <c r="D639" s="22"/>
      <c r="E639" s="22"/>
      <c r="F639" s="22"/>
      <c r="G639" s="112"/>
      <c r="H639" s="112"/>
      <c r="I639" s="112"/>
      <c r="J639" s="112"/>
      <c r="K639" s="112"/>
      <c r="L639" s="112"/>
      <c r="M639" s="253"/>
      <c r="N639" s="253"/>
      <c r="O639" s="253"/>
      <c r="P639" s="253"/>
      <c r="Q639" s="253"/>
      <c r="R639" s="253"/>
      <c r="S639" s="253"/>
      <c r="T639" s="253"/>
      <c r="U639" s="253"/>
      <c r="V639" s="253"/>
      <c r="W639" s="253"/>
      <c r="X639" s="253"/>
      <c r="Y639" s="253"/>
      <c r="Z639" s="253"/>
      <c r="AA639" s="253"/>
      <c r="AB639" s="253"/>
      <c r="AC639" s="253"/>
    </row>
    <row r="640">
      <c r="A640" s="22"/>
      <c r="B640" s="22"/>
      <c r="C640" s="22"/>
      <c r="D640" s="22"/>
      <c r="E640" s="22"/>
      <c r="F640" s="22"/>
      <c r="G640" s="112"/>
      <c r="H640" s="112"/>
      <c r="I640" s="112"/>
      <c r="J640" s="112"/>
      <c r="K640" s="112"/>
      <c r="L640" s="112"/>
      <c r="M640" s="253"/>
      <c r="N640" s="253"/>
      <c r="O640" s="253"/>
      <c r="P640" s="253"/>
      <c r="Q640" s="253"/>
      <c r="R640" s="253"/>
      <c r="S640" s="253"/>
      <c r="T640" s="253"/>
      <c r="U640" s="253"/>
      <c r="V640" s="253"/>
      <c r="W640" s="253"/>
      <c r="X640" s="253"/>
      <c r="Y640" s="253"/>
      <c r="Z640" s="253"/>
      <c r="AA640" s="253"/>
      <c r="AB640" s="253"/>
      <c r="AC640" s="253"/>
    </row>
    <row r="641">
      <c r="A641" s="22"/>
      <c r="B641" s="22"/>
      <c r="C641" s="22"/>
      <c r="D641" s="22"/>
      <c r="E641" s="22"/>
      <c r="F641" s="22"/>
      <c r="G641" s="112"/>
      <c r="H641" s="112"/>
      <c r="I641" s="112"/>
      <c r="J641" s="112"/>
      <c r="K641" s="112"/>
      <c r="L641" s="112"/>
      <c r="M641" s="253"/>
      <c r="N641" s="253"/>
      <c r="O641" s="253"/>
      <c r="P641" s="253"/>
      <c r="Q641" s="253"/>
      <c r="R641" s="253"/>
      <c r="S641" s="253"/>
      <c r="T641" s="253"/>
      <c r="U641" s="253"/>
      <c r="V641" s="253"/>
      <c r="W641" s="253"/>
      <c r="X641" s="253"/>
      <c r="Y641" s="253"/>
      <c r="Z641" s="253"/>
      <c r="AA641" s="253"/>
      <c r="AB641" s="253"/>
      <c r="AC641" s="253"/>
    </row>
    <row r="642">
      <c r="A642" s="22"/>
      <c r="B642" s="22"/>
      <c r="C642" s="22"/>
      <c r="D642" s="22"/>
      <c r="E642" s="22"/>
      <c r="F642" s="22"/>
      <c r="G642" s="112"/>
      <c r="H642" s="112"/>
      <c r="I642" s="112"/>
      <c r="J642" s="112"/>
      <c r="K642" s="112"/>
      <c r="L642" s="112"/>
      <c r="M642" s="253"/>
      <c r="N642" s="253"/>
      <c r="O642" s="253"/>
      <c r="P642" s="253"/>
      <c r="Q642" s="253"/>
      <c r="R642" s="253"/>
      <c r="S642" s="253"/>
      <c r="T642" s="253"/>
      <c r="U642" s="253"/>
      <c r="V642" s="253"/>
      <c r="W642" s="253"/>
      <c r="X642" s="253"/>
      <c r="Y642" s="253"/>
      <c r="Z642" s="253"/>
      <c r="AA642" s="253"/>
      <c r="AB642" s="253"/>
      <c r="AC642" s="253"/>
    </row>
    <row r="643">
      <c r="A643" s="22"/>
      <c r="B643" s="22"/>
      <c r="C643" s="22"/>
      <c r="D643" s="22"/>
      <c r="E643" s="22"/>
      <c r="F643" s="22"/>
      <c r="G643" s="112"/>
      <c r="H643" s="112"/>
      <c r="I643" s="112"/>
      <c r="J643" s="112"/>
      <c r="K643" s="112"/>
      <c r="L643" s="112"/>
      <c r="M643" s="253"/>
      <c r="N643" s="253"/>
      <c r="O643" s="253"/>
      <c r="P643" s="253"/>
      <c r="Q643" s="253"/>
      <c r="R643" s="253"/>
      <c r="S643" s="253"/>
      <c r="T643" s="253"/>
      <c r="U643" s="253"/>
      <c r="V643" s="253"/>
      <c r="W643" s="253"/>
      <c r="X643" s="253"/>
      <c r="Y643" s="253"/>
      <c r="Z643" s="253"/>
      <c r="AA643" s="253"/>
      <c r="AB643" s="253"/>
      <c r="AC643" s="253"/>
    </row>
    <row r="644">
      <c r="A644" s="22"/>
      <c r="B644" s="22"/>
      <c r="C644" s="22"/>
      <c r="D644" s="22"/>
      <c r="E644" s="22"/>
      <c r="F644" s="22"/>
      <c r="G644" s="112"/>
      <c r="H644" s="112"/>
      <c r="I644" s="112"/>
      <c r="J644" s="112"/>
      <c r="K644" s="112"/>
      <c r="L644" s="112"/>
      <c r="M644" s="253"/>
      <c r="N644" s="253"/>
      <c r="O644" s="253"/>
      <c r="P644" s="253"/>
      <c r="Q644" s="253"/>
      <c r="R644" s="253"/>
      <c r="S644" s="253"/>
      <c r="T644" s="253"/>
      <c r="U644" s="253"/>
      <c r="V644" s="253"/>
      <c r="W644" s="253"/>
      <c r="X644" s="253"/>
      <c r="Y644" s="253"/>
      <c r="Z644" s="253"/>
      <c r="AA644" s="253"/>
      <c r="AB644" s="253"/>
      <c r="AC644" s="253"/>
    </row>
    <row r="645">
      <c r="A645" s="22"/>
      <c r="B645" s="22"/>
      <c r="C645" s="22"/>
      <c r="D645" s="22"/>
      <c r="E645" s="22"/>
      <c r="F645" s="22"/>
      <c r="G645" s="112"/>
      <c r="H645" s="112"/>
      <c r="I645" s="112"/>
      <c r="J645" s="112"/>
      <c r="K645" s="112"/>
      <c r="L645" s="112"/>
      <c r="M645" s="253"/>
      <c r="N645" s="253"/>
      <c r="O645" s="253"/>
      <c r="P645" s="253"/>
      <c r="Q645" s="253"/>
      <c r="R645" s="253"/>
      <c r="S645" s="253"/>
      <c r="T645" s="253"/>
      <c r="U645" s="253"/>
      <c r="V645" s="253"/>
      <c r="W645" s="253"/>
      <c r="X645" s="253"/>
      <c r="Y645" s="253"/>
      <c r="Z645" s="253"/>
      <c r="AA645" s="253"/>
      <c r="AB645" s="253"/>
      <c r="AC645" s="253"/>
    </row>
    <row r="646">
      <c r="A646" s="22"/>
      <c r="B646" s="22"/>
      <c r="C646" s="22"/>
      <c r="D646" s="22"/>
      <c r="E646" s="22"/>
      <c r="F646" s="22"/>
      <c r="G646" s="112"/>
      <c r="H646" s="112"/>
      <c r="I646" s="112"/>
      <c r="J646" s="112"/>
      <c r="K646" s="112"/>
      <c r="L646" s="112"/>
      <c r="M646" s="253"/>
      <c r="N646" s="253"/>
      <c r="O646" s="253"/>
      <c r="P646" s="253"/>
      <c r="Q646" s="253"/>
      <c r="R646" s="253"/>
      <c r="S646" s="253"/>
      <c r="T646" s="253"/>
      <c r="U646" s="253"/>
      <c r="V646" s="253"/>
      <c r="W646" s="253"/>
      <c r="X646" s="253"/>
      <c r="Y646" s="253"/>
      <c r="Z646" s="253"/>
      <c r="AA646" s="253"/>
      <c r="AB646" s="253"/>
      <c r="AC646" s="253"/>
    </row>
    <row r="647">
      <c r="A647" s="22"/>
      <c r="B647" s="22"/>
      <c r="C647" s="22"/>
      <c r="D647" s="22"/>
      <c r="E647" s="22"/>
      <c r="F647" s="22"/>
      <c r="G647" s="112"/>
      <c r="H647" s="112"/>
      <c r="I647" s="112"/>
      <c r="J647" s="112"/>
      <c r="K647" s="112"/>
      <c r="L647" s="112"/>
      <c r="M647" s="253"/>
      <c r="N647" s="253"/>
      <c r="O647" s="253"/>
      <c r="P647" s="253"/>
      <c r="Q647" s="253"/>
      <c r="R647" s="253"/>
      <c r="S647" s="253"/>
      <c r="T647" s="253"/>
      <c r="U647" s="253"/>
      <c r="V647" s="253"/>
      <c r="W647" s="253"/>
      <c r="X647" s="253"/>
      <c r="Y647" s="253"/>
      <c r="Z647" s="253"/>
      <c r="AA647" s="253"/>
      <c r="AB647" s="253"/>
      <c r="AC647" s="253"/>
    </row>
    <row r="648">
      <c r="A648" s="22"/>
      <c r="B648" s="22"/>
      <c r="C648" s="22"/>
      <c r="D648" s="22"/>
      <c r="E648" s="22"/>
      <c r="F648" s="22"/>
      <c r="G648" s="112"/>
      <c r="H648" s="112"/>
      <c r="I648" s="112"/>
      <c r="J648" s="112"/>
      <c r="K648" s="112"/>
      <c r="L648" s="112"/>
      <c r="M648" s="253"/>
      <c r="N648" s="253"/>
      <c r="O648" s="253"/>
      <c r="P648" s="253"/>
      <c r="Q648" s="253"/>
      <c r="R648" s="253"/>
      <c r="S648" s="253"/>
      <c r="T648" s="253"/>
      <c r="U648" s="253"/>
      <c r="V648" s="253"/>
      <c r="W648" s="253"/>
      <c r="X648" s="253"/>
      <c r="Y648" s="253"/>
      <c r="Z648" s="253"/>
      <c r="AA648" s="253"/>
      <c r="AB648" s="253"/>
      <c r="AC648" s="253"/>
    </row>
    <row r="649">
      <c r="A649" s="22"/>
      <c r="B649" s="22"/>
      <c r="C649" s="22"/>
      <c r="D649" s="22"/>
      <c r="E649" s="22"/>
      <c r="F649" s="22"/>
      <c r="G649" s="112"/>
      <c r="H649" s="112"/>
      <c r="I649" s="112"/>
      <c r="J649" s="112"/>
      <c r="K649" s="112"/>
      <c r="L649" s="112"/>
      <c r="M649" s="253"/>
      <c r="N649" s="253"/>
      <c r="O649" s="253"/>
      <c r="P649" s="253"/>
      <c r="Q649" s="253"/>
      <c r="R649" s="253"/>
      <c r="S649" s="253"/>
      <c r="T649" s="253"/>
      <c r="U649" s="253"/>
      <c r="V649" s="253"/>
      <c r="W649" s="253"/>
      <c r="X649" s="253"/>
      <c r="Y649" s="253"/>
      <c r="Z649" s="253"/>
      <c r="AA649" s="253"/>
      <c r="AB649" s="253"/>
      <c r="AC649" s="253"/>
    </row>
    <row r="650">
      <c r="A650" s="22"/>
      <c r="B650" s="22"/>
      <c r="C650" s="22"/>
      <c r="D650" s="22"/>
      <c r="E650" s="22"/>
      <c r="F650" s="22"/>
      <c r="G650" s="112"/>
      <c r="H650" s="112"/>
      <c r="I650" s="112"/>
      <c r="J650" s="112"/>
      <c r="K650" s="112"/>
      <c r="L650" s="112"/>
      <c r="M650" s="253"/>
      <c r="N650" s="253"/>
      <c r="O650" s="253"/>
      <c r="P650" s="253"/>
      <c r="Q650" s="253"/>
      <c r="R650" s="253"/>
      <c r="S650" s="253"/>
      <c r="T650" s="253"/>
      <c r="U650" s="253"/>
      <c r="V650" s="253"/>
      <c r="W650" s="253"/>
      <c r="X650" s="253"/>
      <c r="Y650" s="253"/>
      <c r="Z650" s="253"/>
      <c r="AA650" s="253"/>
      <c r="AB650" s="253"/>
      <c r="AC650" s="253"/>
    </row>
    <row r="651">
      <c r="A651" s="22"/>
      <c r="B651" s="22"/>
      <c r="C651" s="22"/>
      <c r="D651" s="22"/>
      <c r="E651" s="22"/>
      <c r="F651" s="22"/>
      <c r="G651" s="112"/>
      <c r="H651" s="112"/>
      <c r="I651" s="112"/>
      <c r="J651" s="112"/>
      <c r="K651" s="112"/>
      <c r="L651" s="112"/>
      <c r="M651" s="253"/>
      <c r="N651" s="253"/>
      <c r="O651" s="253"/>
      <c r="P651" s="253"/>
      <c r="Q651" s="253"/>
      <c r="R651" s="253"/>
      <c r="S651" s="253"/>
      <c r="T651" s="253"/>
      <c r="U651" s="253"/>
      <c r="V651" s="253"/>
      <c r="W651" s="253"/>
      <c r="X651" s="253"/>
      <c r="Y651" s="253"/>
      <c r="Z651" s="253"/>
      <c r="AA651" s="253"/>
      <c r="AB651" s="253"/>
      <c r="AC651" s="253"/>
    </row>
    <row r="652">
      <c r="A652" s="22"/>
      <c r="B652" s="22"/>
      <c r="C652" s="22"/>
      <c r="D652" s="22"/>
      <c r="E652" s="22"/>
      <c r="F652" s="22"/>
      <c r="G652" s="112"/>
      <c r="H652" s="112"/>
      <c r="I652" s="112"/>
      <c r="J652" s="112"/>
      <c r="K652" s="112"/>
      <c r="L652" s="112"/>
      <c r="M652" s="253"/>
      <c r="N652" s="253"/>
      <c r="O652" s="253"/>
      <c r="P652" s="253"/>
      <c r="Q652" s="253"/>
      <c r="R652" s="253"/>
      <c r="S652" s="253"/>
      <c r="T652" s="253"/>
      <c r="U652" s="253"/>
      <c r="V652" s="253"/>
      <c r="W652" s="253"/>
      <c r="X652" s="253"/>
      <c r="Y652" s="253"/>
      <c r="Z652" s="253"/>
      <c r="AA652" s="253"/>
      <c r="AB652" s="253"/>
      <c r="AC652" s="253"/>
    </row>
    <row r="653">
      <c r="A653" s="22"/>
      <c r="B653" s="22"/>
      <c r="C653" s="22"/>
      <c r="D653" s="22"/>
      <c r="E653" s="22"/>
      <c r="F653" s="22"/>
      <c r="G653" s="112"/>
      <c r="H653" s="112"/>
      <c r="I653" s="112"/>
      <c r="J653" s="112"/>
      <c r="K653" s="112"/>
      <c r="L653" s="112"/>
      <c r="M653" s="253"/>
      <c r="N653" s="253"/>
      <c r="O653" s="253"/>
      <c r="P653" s="253"/>
      <c r="Q653" s="253"/>
      <c r="R653" s="253"/>
      <c r="S653" s="253"/>
      <c r="T653" s="253"/>
      <c r="U653" s="253"/>
      <c r="V653" s="253"/>
      <c r="W653" s="253"/>
      <c r="X653" s="253"/>
      <c r="Y653" s="253"/>
      <c r="Z653" s="253"/>
      <c r="AA653" s="253"/>
      <c r="AB653" s="253"/>
      <c r="AC653" s="253"/>
    </row>
    <row r="654">
      <c r="A654" s="22"/>
      <c r="B654" s="22"/>
      <c r="C654" s="22"/>
      <c r="D654" s="22"/>
      <c r="E654" s="22"/>
      <c r="F654" s="22"/>
      <c r="G654" s="112"/>
      <c r="H654" s="112"/>
      <c r="I654" s="112"/>
      <c r="J654" s="112"/>
      <c r="K654" s="112"/>
      <c r="L654" s="112"/>
      <c r="M654" s="253"/>
      <c r="N654" s="253"/>
      <c r="O654" s="253"/>
      <c r="P654" s="253"/>
      <c r="Q654" s="253"/>
      <c r="R654" s="253"/>
      <c r="S654" s="253"/>
      <c r="T654" s="253"/>
      <c r="U654" s="253"/>
      <c r="V654" s="253"/>
      <c r="W654" s="253"/>
      <c r="X654" s="253"/>
      <c r="Y654" s="253"/>
      <c r="Z654" s="253"/>
      <c r="AA654" s="253"/>
      <c r="AB654" s="253"/>
      <c r="AC654" s="253"/>
    </row>
    <row r="655">
      <c r="A655" s="22"/>
      <c r="B655" s="22"/>
      <c r="C655" s="22"/>
      <c r="D655" s="22"/>
      <c r="E655" s="22"/>
      <c r="F655" s="22"/>
      <c r="G655" s="112"/>
      <c r="H655" s="112"/>
      <c r="I655" s="112"/>
      <c r="J655" s="112"/>
      <c r="K655" s="112"/>
      <c r="L655" s="112"/>
      <c r="M655" s="253"/>
      <c r="N655" s="253"/>
      <c r="O655" s="253"/>
      <c r="P655" s="253"/>
      <c r="Q655" s="253"/>
      <c r="R655" s="253"/>
      <c r="S655" s="253"/>
      <c r="T655" s="253"/>
      <c r="U655" s="253"/>
      <c r="V655" s="253"/>
      <c r="W655" s="253"/>
      <c r="X655" s="253"/>
      <c r="Y655" s="253"/>
      <c r="Z655" s="253"/>
      <c r="AA655" s="253"/>
      <c r="AB655" s="253"/>
      <c r="AC655" s="253"/>
    </row>
    <row r="656">
      <c r="A656" s="22"/>
      <c r="B656" s="22"/>
      <c r="C656" s="22"/>
      <c r="D656" s="22"/>
      <c r="E656" s="22"/>
      <c r="F656" s="22"/>
      <c r="G656" s="112"/>
      <c r="H656" s="112"/>
      <c r="I656" s="112"/>
      <c r="J656" s="112"/>
      <c r="K656" s="112"/>
      <c r="L656" s="112"/>
      <c r="M656" s="253"/>
      <c r="N656" s="253"/>
      <c r="O656" s="253"/>
      <c r="P656" s="253"/>
      <c r="Q656" s="253"/>
      <c r="R656" s="253"/>
      <c r="S656" s="253"/>
      <c r="T656" s="253"/>
      <c r="U656" s="253"/>
      <c r="V656" s="253"/>
      <c r="W656" s="253"/>
      <c r="X656" s="253"/>
      <c r="Y656" s="253"/>
      <c r="Z656" s="253"/>
      <c r="AA656" s="253"/>
      <c r="AB656" s="253"/>
      <c r="AC656" s="253"/>
    </row>
    <row r="657">
      <c r="A657" s="22"/>
      <c r="B657" s="22"/>
      <c r="C657" s="22"/>
      <c r="D657" s="22"/>
      <c r="E657" s="22"/>
      <c r="F657" s="22"/>
      <c r="G657" s="112"/>
      <c r="H657" s="112"/>
      <c r="I657" s="112"/>
      <c r="J657" s="112"/>
      <c r="K657" s="112"/>
      <c r="L657" s="112"/>
      <c r="M657" s="253"/>
      <c r="N657" s="253"/>
      <c r="O657" s="253"/>
      <c r="P657" s="253"/>
      <c r="Q657" s="253"/>
      <c r="R657" s="253"/>
      <c r="S657" s="253"/>
      <c r="T657" s="253"/>
      <c r="U657" s="253"/>
      <c r="V657" s="253"/>
      <c r="W657" s="253"/>
      <c r="X657" s="253"/>
      <c r="Y657" s="253"/>
      <c r="Z657" s="253"/>
      <c r="AA657" s="253"/>
      <c r="AB657" s="253"/>
      <c r="AC657" s="253"/>
    </row>
    <row r="658">
      <c r="A658" s="22"/>
      <c r="B658" s="22"/>
      <c r="C658" s="22"/>
      <c r="D658" s="22"/>
      <c r="E658" s="22"/>
      <c r="F658" s="22"/>
      <c r="G658" s="112"/>
      <c r="H658" s="112"/>
      <c r="I658" s="112"/>
      <c r="J658" s="112"/>
      <c r="K658" s="112"/>
      <c r="L658" s="112"/>
      <c r="M658" s="253"/>
      <c r="N658" s="253"/>
      <c r="O658" s="253"/>
      <c r="P658" s="253"/>
      <c r="Q658" s="253"/>
      <c r="R658" s="253"/>
      <c r="S658" s="253"/>
      <c r="T658" s="253"/>
      <c r="U658" s="253"/>
      <c r="V658" s="253"/>
      <c r="W658" s="253"/>
      <c r="X658" s="253"/>
      <c r="Y658" s="253"/>
      <c r="Z658" s="253"/>
      <c r="AA658" s="253"/>
      <c r="AB658" s="253"/>
      <c r="AC658" s="253"/>
    </row>
    <row r="659">
      <c r="A659" s="22"/>
      <c r="B659" s="22"/>
      <c r="C659" s="22"/>
      <c r="D659" s="22"/>
      <c r="E659" s="22"/>
      <c r="F659" s="22"/>
      <c r="G659" s="112"/>
      <c r="H659" s="112"/>
      <c r="I659" s="112"/>
      <c r="J659" s="112"/>
      <c r="K659" s="112"/>
      <c r="L659" s="112"/>
      <c r="M659" s="253"/>
      <c r="N659" s="253"/>
      <c r="O659" s="253"/>
      <c r="P659" s="253"/>
      <c r="Q659" s="253"/>
      <c r="R659" s="253"/>
      <c r="S659" s="253"/>
      <c r="T659" s="253"/>
      <c r="U659" s="253"/>
      <c r="V659" s="253"/>
      <c r="W659" s="253"/>
      <c r="X659" s="253"/>
      <c r="Y659" s="253"/>
      <c r="Z659" s="253"/>
      <c r="AA659" s="253"/>
      <c r="AB659" s="253"/>
      <c r="AC659" s="253"/>
    </row>
    <row r="660">
      <c r="A660" s="22"/>
      <c r="B660" s="22"/>
      <c r="C660" s="22"/>
      <c r="D660" s="22"/>
      <c r="E660" s="22"/>
      <c r="F660" s="22"/>
      <c r="G660" s="112"/>
      <c r="H660" s="112"/>
      <c r="I660" s="112"/>
      <c r="J660" s="112"/>
      <c r="K660" s="112"/>
      <c r="L660" s="112"/>
      <c r="M660" s="253"/>
      <c r="N660" s="253"/>
      <c r="O660" s="253"/>
      <c r="P660" s="253"/>
      <c r="Q660" s="253"/>
      <c r="R660" s="253"/>
      <c r="S660" s="253"/>
      <c r="T660" s="253"/>
      <c r="U660" s="253"/>
      <c r="V660" s="253"/>
      <c r="W660" s="253"/>
      <c r="X660" s="253"/>
      <c r="Y660" s="253"/>
      <c r="Z660" s="253"/>
      <c r="AA660" s="253"/>
      <c r="AB660" s="253"/>
      <c r="AC660" s="253"/>
    </row>
    <row r="661">
      <c r="A661" s="22"/>
      <c r="B661" s="22"/>
      <c r="C661" s="22"/>
      <c r="D661" s="22"/>
      <c r="E661" s="22"/>
      <c r="F661" s="22"/>
      <c r="G661" s="112"/>
      <c r="H661" s="112"/>
      <c r="I661" s="112"/>
      <c r="J661" s="112"/>
      <c r="K661" s="112"/>
      <c r="L661" s="112"/>
      <c r="M661" s="253"/>
      <c r="N661" s="253"/>
      <c r="O661" s="253"/>
      <c r="P661" s="253"/>
      <c r="Q661" s="253"/>
      <c r="R661" s="253"/>
      <c r="S661" s="253"/>
      <c r="T661" s="253"/>
      <c r="U661" s="253"/>
      <c r="V661" s="253"/>
      <c r="W661" s="253"/>
      <c r="X661" s="253"/>
      <c r="Y661" s="253"/>
      <c r="Z661" s="253"/>
      <c r="AA661" s="253"/>
      <c r="AB661" s="253"/>
      <c r="AC661" s="253"/>
    </row>
    <row r="662">
      <c r="A662" s="22"/>
      <c r="B662" s="22"/>
      <c r="C662" s="22"/>
      <c r="D662" s="22"/>
      <c r="E662" s="22"/>
      <c r="F662" s="22"/>
      <c r="G662" s="112"/>
      <c r="H662" s="112"/>
      <c r="I662" s="112"/>
      <c r="J662" s="112"/>
      <c r="K662" s="112"/>
      <c r="L662" s="112"/>
      <c r="M662" s="253"/>
      <c r="N662" s="253"/>
      <c r="O662" s="253"/>
      <c r="P662" s="253"/>
      <c r="Q662" s="253"/>
      <c r="R662" s="253"/>
      <c r="S662" s="253"/>
      <c r="T662" s="253"/>
      <c r="U662" s="253"/>
      <c r="V662" s="253"/>
      <c r="W662" s="253"/>
      <c r="X662" s="253"/>
      <c r="Y662" s="253"/>
      <c r="Z662" s="253"/>
      <c r="AA662" s="253"/>
      <c r="AB662" s="253"/>
      <c r="AC662" s="253"/>
    </row>
    <row r="663">
      <c r="A663" s="22"/>
      <c r="B663" s="22"/>
      <c r="C663" s="22"/>
      <c r="D663" s="22"/>
      <c r="E663" s="22"/>
      <c r="F663" s="22"/>
      <c r="G663" s="112"/>
      <c r="H663" s="112"/>
      <c r="I663" s="112"/>
      <c r="J663" s="112"/>
      <c r="K663" s="112"/>
      <c r="L663" s="112"/>
      <c r="M663" s="253"/>
      <c r="N663" s="253"/>
      <c r="O663" s="253"/>
      <c r="P663" s="253"/>
      <c r="Q663" s="253"/>
      <c r="R663" s="253"/>
      <c r="S663" s="253"/>
      <c r="T663" s="253"/>
      <c r="U663" s="253"/>
      <c r="V663" s="253"/>
      <c r="W663" s="253"/>
      <c r="X663" s="253"/>
      <c r="Y663" s="253"/>
      <c r="Z663" s="253"/>
      <c r="AA663" s="253"/>
      <c r="AB663" s="253"/>
      <c r="AC663" s="253"/>
    </row>
    <row r="664">
      <c r="A664" s="22"/>
      <c r="B664" s="22"/>
      <c r="C664" s="22"/>
      <c r="D664" s="22"/>
      <c r="E664" s="22"/>
      <c r="F664" s="22"/>
      <c r="G664" s="112"/>
      <c r="H664" s="112"/>
      <c r="I664" s="112"/>
      <c r="J664" s="112"/>
      <c r="K664" s="112"/>
      <c r="L664" s="112"/>
      <c r="M664" s="253"/>
      <c r="N664" s="253"/>
      <c r="O664" s="253"/>
      <c r="P664" s="253"/>
      <c r="Q664" s="253"/>
      <c r="R664" s="253"/>
      <c r="S664" s="253"/>
      <c r="T664" s="253"/>
      <c r="U664" s="253"/>
      <c r="V664" s="253"/>
      <c r="W664" s="253"/>
      <c r="X664" s="253"/>
      <c r="Y664" s="253"/>
      <c r="Z664" s="253"/>
      <c r="AA664" s="253"/>
      <c r="AB664" s="253"/>
      <c r="AC664" s="253"/>
    </row>
    <row r="665">
      <c r="A665" s="22"/>
      <c r="B665" s="22"/>
      <c r="C665" s="22"/>
      <c r="D665" s="22"/>
      <c r="E665" s="22"/>
      <c r="F665" s="22"/>
      <c r="G665" s="112"/>
      <c r="H665" s="112"/>
      <c r="I665" s="112"/>
      <c r="J665" s="112"/>
      <c r="K665" s="112"/>
      <c r="L665" s="112"/>
      <c r="M665" s="253"/>
      <c r="N665" s="253"/>
      <c r="O665" s="253"/>
      <c r="P665" s="253"/>
      <c r="Q665" s="253"/>
      <c r="R665" s="253"/>
      <c r="S665" s="253"/>
      <c r="T665" s="253"/>
      <c r="U665" s="253"/>
      <c r="V665" s="253"/>
      <c r="W665" s="253"/>
      <c r="X665" s="253"/>
      <c r="Y665" s="253"/>
      <c r="Z665" s="253"/>
      <c r="AA665" s="253"/>
      <c r="AB665" s="253"/>
      <c r="AC665" s="253"/>
    </row>
    <row r="666">
      <c r="A666" s="22"/>
      <c r="B666" s="22"/>
      <c r="C666" s="22"/>
      <c r="D666" s="22"/>
      <c r="E666" s="22"/>
      <c r="F666" s="22"/>
      <c r="G666" s="112"/>
      <c r="H666" s="112"/>
      <c r="I666" s="112"/>
      <c r="J666" s="112"/>
      <c r="K666" s="112"/>
      <c r="L666" s="112"/>
      <c r="M666" s="253"/>
      <c r="N666" s="253"/>
      <c r="O666" s="253"/>
      <c r="P666" s="253"/>
      <c r="Q666" s="253"/>
      <c r="R666" s="253"/>
      <c r="S666" s="253"/>
      <c r="T666" s="253"/>
      <c r="U666" s="253"/>
      <c r="V666" s="253"/>
      <c r="W666" s="253"/>
      <c r="X666" s="253"/>
      <c r="Y666" s="253"/>
      <c r="Z666" s="253"/>
      <c r="AA666" s="253"/>
      <c r="AB666" s="253"/>
      <c r="AC666" s="253"/>
    </row>
    <row r="667">
      <c r="A667" s="22"/>
      <c r="B667" s="22"/>
      <c r="C667" s="22"/>
      <c r="D667" s="22"/>
      <c r="E667" s="22"/>
      <c r="F667" s="22"/>
      <c r="G667" s="112"/>
      <c r="H667" s="112"/>
      <c r="I667" s="112"/>
      <c r="J667" s="112"/>
      <c r="K667" s="112"/>
      <c r="L667" s="112"/>
      <c r="M667" s="253"/>
      <c r="N667" s="253"/>
      <c r="O667" s="253"/>
      <c r="P667" s="253"/>
      <c r="Q667" s="253"/>
      <c r="R667" s="253"/>
      <c r="S667" s="253"/>
      <c r="T667" s="253"/>
      <c r="U667" s="253"/>
      <c r="V667" s="253"/>
      <c r="W667" s="253"/>
      <c r="X667" s="253"/>
      <c r="Y667" s="253"/>
      <c r="Z667" s="253"/>
      <c r="AA667" s="253"/>
      <c r="AB667" s="253"/>
      <c r="AC667" s="253"/>
    </row>
    <row r="668">
      <c r="A668" s="22"/>
      <c r="B668" s="22"/>
      <c r="C668" s="22"/>
      <c r="D668" s="22"/>
      <c r="E668" s="22"/>
      <c r="F668" s="22"/>
      <c r="G668" s="112"/>
      <c r="H668" s="112"/>
      <c r="I668" s="112"/>
      <c r="J668" s="112"/>
      <c r="K668" s="112"/>
      <c r="L668" s="112"/>
      <c r="M668" s="253"/>
      <c r="N668" s="253"/>
      <c r="O668" s="253"/>
      <c r="P668" s="253"/>
      <c r="Q668" s="253"/>
      <c r="R668" s="253"/>
      <c r="S668" s="253"/>
      <c r="T668" s="253"/>
      <c r="U668" s="253"/>
      <c r="V668" s="253"/>
      <c r="W668" s="253"/>
      <c r="X668" s="253"/>
      <c r="Y668" s="253"/>
      <c r="Z668" s="253"/>
      <c r="AA668" s="253"/>
      <c r="AB668" s="253"/>
      <c r="AC668" s="253"/>
    </row>
    <row r="669">
      <c r="A669" s="22"/>
      <c r="B669" s="22"/>
      <c r="C669" s="22"/>
      <c r="D669" s="22"/>
      <c r="E669" s="22"/>
      <c r="F669" s="22"/>
      <c r="G669" s="112"/>
      <c r="H669" s="112"/>
      <c r="I669" s="112"/>
      <c r="J669" s="112"/>
      <c r="K669" s="112"/>
      <c r="L669" s="112"/>
      <c r="M669" s="253"/>
      <c r="N669" s="253"/>
      <c r="O669" s="253"/>
      <c r="P669" s="253"/>
      <c r="Q669" s="253"/>
      <c r="R669" s="253"/>
      <c r="S669" s="253"/>
      <c r="T669" s="253"/>
      <c r="U669" s="253"/>
      <c r="V669" s="253"/>
      <c r="W669" s="253"/>
      <c r="X669" s="253"/>
      <c r="Y669" s="253"/>
      <c r="Z669" s="253"/>
      <c r="AA669" s="253"/>
      <c r="AB669" s="253"/>
      <c r="AC669" s="253"/>
    </row>
    <row r="670">
      <c r="A670" s="22"/>
      <c r="B670" s="22"/>
      <c r="C670" s="22"/>
      <c r="D670" s="22"/>
      <c r="E670" s="22"/>
      <c r="F670" s="22"/>
      <c r="G670" s="112"/>
      <c r="H670" s="112"/>
      <c r="I670" s="112"/>
      <c r="J670" s="112"/>
      <c r="K670" s="112"/>
      <c r="L670" s="112"/>
      <c r="M670" s="253"/>
      <c r="N670" s="253"/>
      <c r="O670" s="253"/>
      <c r="P670" s="253"/>
      <c r="Q670" s="253"/>
      <c r="R670" s="253"/>
      <c r="S670" s="253"/>
      <c r="T670" s="253"/>
      <c r="U670" s="253"/>
      <c r="V670" s="253"/>
      <c r="W670" s="253"/>
      <c r="X670" s="253"/>
      <c r="Y670" s="253"/>
      <c r="Z670" s="253"/>
      <c r="AA670" s="253"/>
      <c r="AB670" s="253"/>
      <c r="AC670" s="253"/>
    </row>
    <row r="671">
      <c r="A671" s="22"/>
      <c r="B671" s="22"/>
      <c r="C671" s="22"/>
      <c r="D671" s="22"/>
      <c r="E671" s="22"/>
      <c r="F671" s="22"/>
      <c r="G671" s="112"/>
      <c r="H671" s="112"/>
      <c r="I671" s="112"/>
      <c r="J671" s="112"/>
      <c r="K671" s="112"/>
      <c r="L671" s="112"/>
      <c r="M671" s="253"/>
      <c r="N671" s="253"/>
      <c r="O671" s="253"/>
      <c r="P671" s="253"/>
      <c r="Q671" s="253"/>
      <c r="R671" s="253"/>
      <c r="S671" s="253"/>
      <c r="T671" s="253"/>
      <c r="U671" s="253"/>
      <c r="V671" s="253"/>
      <c r="W671" s="253"/>
      <c r="X671" s="253"/>
      <c r="Y671" s="253"/>
      <c r="Z671" s="253"/>
      <c r="AA671" s="253"/>
      <c r="AB671" s="253"/>
      <c r="AC671" s="253"/>
    </row>
    <row r="672">
      <c r="A672" s="22"/>
      <c r="B672" s="22"/>
      <c r="C672" s="22"/>
      <c r="D672" s="22"/>
      <c r="E672" s="22"/>
      <c r="F672" s="22"/>
      <c r="G672" s="112"/>
      <c r="H672" s="112"/>
      <c r="I672" s="112"/>
      <c r="J672" s="112"/>
      <c r="K672" s="112"/>
      <c r="L672" s="112"/>
      <c r="M672" s="253"/>
      <c r="N672" s="253"/>
      <c r="O672" s="253"/>
      <c r="P672" s="253"/>
      <c r="Q672" s="253"/>
      <c r="R672" s="253"/>
      <c r="S672" s="253"/>
      <c r="T672" s="253"/>
      <c r="U672" s="253"/>
      <c r="V672" s="253"/>
      <c r="W672" s="253"/>
      <c r="X672" s="253"/>
      <c r="Y672" s="253"/>
      <c r="Z672" s="253"/>
      <c r="AA672" s="253"/>
      <c r="AB672" s="253"/>
      <c r="AC672" s="253"/>
    </row>
    <row r="673">
      <c r="A673" s="22"/>
      <c r="B673" s="22"/>
      <c r="C673" s="22"/>
      <c r="D673" s="22"/>
      <c r="E673" s="22"/>
      <c r="F673" s="22"/>
      <c r="G673" s="112"/>
      <c r="H673" s="112"/>
      <c r="I673" s="112"/>
      <c r="J673" s="112"/>
      <c r="K673" s="112"/>
      <c r="L673" s="112"/>
      <c r="M673" s="253"/>
      <c r="N673" s="253"/>
      <c r="O673" s="253"/>
      <c r="P673" s="253"/>
      <c r="Q673" s="253"/>
      <c r="R673" s="253"/>
      <c r="S673" s="253"/>
      <c r="T673" s="253"/>
      <c r="U673" s="253"/>
      <c r="V673" s="253"/>
      <c r="W673" s="253"/>
      <c r="X673" s="253"/>
      <c r="Y673" s="253"/>
      <c r="Z673" s="253"/>
      <c r="AA673" s="253"/>
      <c r="AB673" s="253"/>
      <c r="AC673" s="253"/>
    </row>
    <row r="674">
      <c r="A674" s="22"/>
      <c r="B674" s="22"/>
      <c r="C674" s="22"/>
      <c r="D674" s="22"/>
      <c r="E674" s="22"/>
      <c r="F674" s="22"/>
      <c r="G674" s="112"/>
      <c r="H674" s="112"/>
      <c r="I674" s="112"/>
      <c r="J674" s="112"/>
      <c r="K674" s="112"/>
      <c r="L674" s="112"/>
      <c r="M674" s="253"/>
      <c r="N674" s="253"/>
      <c r="O674" s="253"/>
      <c r="P674" s="253"/>
      <c r="Q674" s="253"/>
      <c r="R674" s="253"/>
      <c r="S674" s="253"/>
      <c r="T674" s="253"/>
      <c r="U674" s="253"/>
      <c r="V674" s="253"/>
      <c r="W674" s="253"/>
      <c r="X674" s="253"/>
      <c r="Y674" s="253"/>
      <c r="Z674" s="253"/>
      <c r="AA674" s="253"/>
      <c r="AB674" s="253"/>
      <c r="AC674" s="253"/>
    </row>
    <row r="675">
      <c r="A675" s="22"/>
      <c r="B675" s="22"/>
      <c r="C675" s="22"/>
      <c r="D675" s="22"/>
      <c r="E675" s="22"/>
      <c r="F675" s="22"/>
      <c r="G675" s="112"/>
      <c r="H675" s="112"/>
      <c r="I675" s="112"/>
      <c r="J675" s="112"/>
      <c r="K675" s="112"/>
      <c r="L675" s="112"/>
      <c r="M675" s="253"/>
      <c r="N675" s="253"/>
      <c r="O675" s="253"/>
      <c r="P675" s="253"/>
      <c r="Q675" s="253"/>
      <c r="R675" s="253"/>
      <c r="S675" s="253"/>
      <c r="T675" s="253"/>
      <c r="U675" s="253"/>
      <c r="V675" s="253"/>
      <c r="W675" s="253"/>
      <c r="X675" s="253"/>
      <c r="Y675" s="253"/>
      <c r="Z675" s="253"/>
      <c r="AA675" s="253"/>
      <c r="AB675" s="253"/>
      <c r="AC675" s="253"/>
    </row>
    <row r="676">
      <c r="A676" s="22"/>
      <c r="B676" s="22"/>
      <c r="C676" s="22"/>
      <c r="D676" s="22"/>
      <c r="E676" s="22"/>
      <c r="F676" s="22"/>
      <c r="G676" s="112"/>
      <c r="H676" s="112"/>
      <c r="I676" s="112"/>
      <c r="J676" s="112"/>
      <c r="K676" s="112"/>
      <c r="L676" s="112"/>
      <c r="M676" s="253"/>
      <c r="N676" s="253"/>
      <c r="O676" s="253"/>
      <c r="P676" s="253"/>
      <c r="Q676" s="253"/>
      <c r="R676" s="253"/>
      <c r="S676" s="253"/>
      <c r="T676" s="253"/>
      <c r="U676" s="253"/>
      <c r="V676" s="253"/>
      <c r="W676" s="253"/>
      <c r="X676" s="253"/>
      <c r="Y676" s="253"/>
      <c r="Z676" s="253"/>
      <c r="AA676" s="253"/>
      <c r="AB676" s="253"/>
      <c r="AC676" s="253"/>
    </row>
    <row r="677">
      <c r="A677" s="22"/>
      <c r="B677" s="22"/>
      <c r="C677" s="22"/>
      <c r="D677" s="22"/>
      <c r="E677" s="22"/>
      <c r="F677" s="22"/>
      <c r="G677" s="112"/>
      <c r="H677" s="112"/>
      <c r="I677" s="112"/>
      <c r="J677" s="112"/>
      <c r="K677" s="112"/>
      <c r="L677" s="112"/>
      <c r="M677" s="253"/>
      <c r="N677" s="253"/>
      <c r="O677" s="253"/>
      <c r="P677" s="253"/>
      <c r="Q677" s="253"/>
      <c r="R677" s="253"/>
      <c r="S677" s="253"/>
      <c r="T677" s="253"/>
      <c r="U677" s="253"/>
      <c r="V677" s="253"/>
      <c r="W677" s="253"/>
      <c r="X677" s="253"/>
      <c r="Y677" s="253"/>
      <c r="Z677" s="253"/>
      <c r="AA677" s="253"/>
      <c r="AB677" s="253"/>
      <c r="AC677" s="253"/>
    </row>
    <row r="678">
      <c r="A678" s="22"/>
      <c r="B678" s="22"/>
      <c r="C678" s="22"/>
      <c r="D678" s="22"/>
      <c r="E678" s="22"/>
      <c r="F678" s="22"/>
      <c r="G678" s="112"/>
      <c r="H678" s="112"/>
      <c r="I678" s="112"/>
      <c r="J678" s="112"/>
      <c r="K678" s="112"/>
      <c r="L678" s="112"/>
      <c r="M678" s="253"/>
      <c r="N678" s="253"/>
      <c r="O678" s="253"/>
      <c r="P678" s="253"/>
      <c r="Q678" s="253"/>
      <c r="R678" s="253"/>
      <c r="S678" s="253"/>
      <c r="T678" s="253"/>
      <c r="U678" s="253"/>
      <c r="V678" s="253"/>
      <c r="W678" s="253"/>
      <c r="X678" s="253"/>
      <c r="Y678" s="253"/>
      <c r="Z678" s="253"/>
      <c r="AA678" s="253"/>
      <c r="AB678" s="253"/>
      <c r="AC678" s="253"/>
    </row>
    <row r="679">
      <c r="A679" s="22"/>
      <c r="B679" s="22"/>
      <c r="C679" s="22"/>
      <c r="D679" s="22"/>
      <c r="E679" s="22"/>
      <c r="F679" s="22"/>
      <c r="G679" s="112"/>
      <c r="H679" s="112"/>
      <c r="I679" s="112"/>
      <c r="J679" s="112"/>
      <c r="K679" s="112"/>
      <c r="L679" s="112"/>
      <c r="M679" s="253"/>
      <c r="N679" s="253"/>
      <c r="O679" s="253"/>
      <c r="P679" s="253"/>
      <c r="Q679" s="253"/>
      <c r="R679" s="253"/>
      <c r="S679" s="253"/>
      <c r="T679" s="253"/>
      <c r="U679" s="253"/>
      <c r="V679" s="253"/>
      <c r="W679" s="253"/>
      <c r="X679" s="253"/>
      <c r="Y679" s="253"/>
      <c r="Z679" s="253"/>
      <c r="AA679" s="253"/>
      <c r="AB679" s="253"/>
      <c r="AC679" s="253"/>
    </row>
    <row r="680">
      <c r="A680" s="22"/>
      <c r="B680" s="22"/>
      <c r="C680" s="22"/>
      <c r="D680" s="22"/>
      <c r="E680" s="22"/>
      <c r="F680" s="22"/>
      <c r="G680" s="112"/>
      <c r="H680" s="112"/>
      <c r="I680" s="112"/>
      <c r="J680" s="112"/>
      <c r="K680" s="112"/>
      <c r="L680" s="112"/>
      <c r="M680" s="253"/>
      <c r="N680" s="253"/>
      <c r="O680" s="253"/>
      <c r="P680" s="253"/>
      <c r="Q680" s="253"/>
      <c r="R680" s="253"/>
      <c r="S680" s="253"/>
      <c r="T680" s="253"/>
      <c r="U680" s="253"/>
      <c r="V680" s="253"/>
      <c r="W680" s="253"/>
      <c r="X680" s="253"/>
      <c r="Y680" s="253"/>
      <c r="Z680" s="253"/>
      <c r="AA680" s="253"/>
      <c r="AB680" s="253"/>
      <c r="AC680" s="253"/>
    </row>
    <row r="681">
      <c r="A681" s="22"/>
      <c r="B681" s="22"/>
      <c r="C681" s="22"/>
      <c r="D681" s="22"/>
      <c r="E681" s="22"/>
      <c r="F681" s="22"/>
      <c r="G681" s="112"/>
      <c r="H681" s="112"/>
      <c r="I681" s="112"/>
      <c r="J681" s="112"/>
      <c r="K681" s="112"/>
      <c r="L681" s="112"/>
      <c r="M681" s="253"/>
      <c r="N681" s="253"/>
      <c r="O681" s="253"/>
      <c r="P681" s="253"/>
      <c r="Q681" s="253"/>
      <c r="R681" s="253"/>
      <c r="S681" s="253"/>
      <c r="T681" s="253"/>
      <c r="U681" s="253"/>
      <c r="V681" s="253"/>
      <c r="W681" s="253"/>
      <c r="X681" s="253"/>
      <c r="Y681" s="253"/>
      <c r="Z681" s="253"/>
      <c r="AA681" s="253"/>
      <c r="AB681" s="253"/>
      <c r="AC681" s="253"/>
    </row>
    <row r="682">
      <c r="A682" s="22"/>
      <c r="B682" s="22"/>
      <c r="C682" s="22"/>
      <c r="D682" s="22"/>
      <c r="E682" s="22"/>
      <c r="F682" s="22"/>
      <c r="G682" s="112"/>
      <c r="H682" s="112"/>
      <c r="I682" s="112"/>
      <c r="J682" s="112"/>
      <c r="K682" s="112"/>
      <c r="L682" s="112"/>
      <c r="M682" s="253"/>
      <c r="N682" s="253"/>
      <c r="O682" s="253"/>
      <c r="P682" s="253"/>
      <c r="Q682" s="253"/>
      <c r="R682" s="253"/>
      <c r="S682" s="253"/>
      <c r="T682" s="253"/>
      <c r="U682" s="253"/>
      <c r="V682" s="253"/>
      <c r="W682" s="253"/>
      <c r="X682" s="253"/>
      <c r="Y682" s="253"/>
      <c r="Z682" s="253"/>
      <c r="AA682" s="253"/>
      <c r="AB682" s="253"/>
      <c r="AC682" s="253"/>
    </row>
    <row r="683">
      <c r="A683" s="22"/>
      <c r="B683" s="22"/>
      <c r="C683" s="22"/>
      <c r="D683" s="22"/>
      <c r="E683" s="22"/>
      <c r="F683" s="22"/>
      <c r="G683" s="112"/>
      <c r="H683" s="112"/>
      <c r="I683" s="112"/>
      <c r="J683" s="112"/>
      <c r="K683" s="112"/>
      <c r="L683" s="112"/>
      <c r="M683" s="253"/>
      <c r="N683" s="253"/>
      <c r="O683" s="253"/>
      <c r="P683" s="253"/>
      <c r="Q683" s="253"/>
      <c r="R683" s="253"/>
      <c r="S683" s="253"/>
      <c r="T683" s="253"/>
      <c r="U683" s="253"/>
      <c r="V683" s="253"/>
      <c r="W683" s="253"/>
      <c r="X683" s="253"/>
      <c r="Y683" s="253"/>
      <c r="Z683" s="253"/>
      <c r="AA683" s="253"/>
      <c r="AB683" s="253"/>
      <c r="AC683" s="253"/>
    </row>
    <row r="684">
      <c r="A684" s="22"/>
      <c r="B684" s="22"/>
      <c r="C684" s="22"/>
      <c r="D684" s="22"/>
      <c r="E684" s="22"/>
      <c r="F684" s="22"/>
      <c r="G684" s="112"/>
      <c r="H684" s="112"/>
      <c r="I684" s="112"/>
      <c r="J684" s="112"/>
      <c r="K684" s="112"/>
      <c r="L684" s="112"/>
      <c r="M684" s="253"/>
      <c r="N684" s="253"/>
      <c r="O684" s="253"/>
      <c r="P684" s="253"/>
      <c r="Q684" s="253"/>
      <c r="R684" s="253"/>
      <c r="S684" s="253"/>
      <c r="T684" s="253"/>
      <c r="U684" s="253"/>
      <c r="V684" s="253"/>
      <c r="W684" s="253"/>
      <c r="X684" s="253"/>
      <c r="Y684" s="253"/>
      <c r="Z684" s="253"/>
      <c r="AA684" s="253"/>
      <c r="AB684" s="253"/>
      <c r="AC684" s="253"/>
    </row>
    <row r="685">
      <c r="A685" s="22"/>
      <c r="B685" s="22"/>
      <c r="C685" s="22"/>
      <c r="D685" s="22"/>
      <c r="E685" s="22"/>
      <c r="F685" s="22"/>
      <c r="G685" s="112"/>
      <c r="H685" s="112"/>
      <c r="I685" s="112"/>
      <c r="J685" s="112"/>
      <c r="K685" s="112"/>
      <c r="L685" s="112"/>
      <c r="M685" s="253"/>
      <c r="N685" s="253"/>
      <c r="O685" s="253"/>
      <c r="P685" s="253"/>
      <c r="Q685" s="253"/>
      <c r="R685" s="253"/>
      <c r="S685" s="253"/>
      <c r="T685" s="253"/>
      <c r="U685" s="253"/>
      <c r="V685" s="253"/>
      <c r="W685" s="253"/>
      <c r="X685" s="253"/>
      <c r="Y685" s="253"/>
      <c r="Z685" s="253"/>
      <c r="AA685" s="253"/>
      <c r="AB685" s="253"/>
      <c r="AC685" s="253"/>
    </row>
    <row r="686">
      <c r="A686" s="22"/>
      <c r="B686" s="22"/>
      <c r="C686" s="22"/>
      <c r="D686" s="22"/>
      <c r="E686" s="22"/>
      <c r="F686" s="22"/>
      <c r="G686" s="112"/>
      <c r="H686" s="112"/>
      <c r="I686" s="112"/>
      <c r="J686" s="112"/>
      <c r="K686" s="112"/>
      <c r="L686" s="112"/>
      <c r="M686" s="253"/>
      <c r="N686" s="253"/>
      <c r="O686" s="253"/>
      <c r="P686" s="253"/>
      <c r="Q686" s="253"/>
      <c r="R686" s="253"/>
      <c r="S686" s="253"/>
      <c r="T686" s="253"/>
      <c r="U686" s="253"/>
      <c r="V686" s="253"/>
      <c r="W686" s="253"/>
      <c r="X686" s="253"/>
      <c r="Y686" s="253"/>
      <c r="Z686" s="253"/>
      <c r="AA686" s="253"/>
      <c r="AB686" s="253"/>
      <c r="AC686" s="253"/>
    </row>
    <row r="687">
      <c r="A687" s="22"/>
      <c r="B687" s="22"/>
      <c r="C687" s="22"/>
      <c r="D687" s="22"/>
      <c r="E687" s="22"/>
      <c r="F687" s="22"/>
      <c r="G687" s="112"/>
      <c r="H687" s="112"/>
      <c r="I687" s="112"/>
      <c r="J687" s="112"/>
      <c r="K687" s="112"/>
      <c r="L687" s="112"/>
      <c r="M687" s="253"/>
      <c r="N687" s="253"/>
      <c r="O687" s="253"/>
      <c r="P687" s="253"/>
      <c r="Q687" s="253"/>
      <c r="R687" s="253"/>
      <c r="S687" s="253"/>
      <c r="T687" s="253"/>
      <c r="U687" s="253"/>
      <c r="V687" s="253"/>
      <c r="W687" s="253"/>
      <c r="X687" s="253"/>
      <c r="Y687" s="253"/>
      <c r="Z687" s="253"/>
      <c r="AA687" s="253"/>
      <c r="AB687" s="253"/>
      <c r="AC687" s="253"/>
    </row>
    <row r="688">
      <c r="A688" s="22"/>
      <c r="B688" s="22"/>
      <c r="C688" s="22"/>
      <c r="D688" s="22"/>
      <c r="E688" s="22"/>
      <c r="F688" s="22"/>
      <c r="G688" s="112"/>
      <c r="H688" s="112"/>
      <c r="I688" s="112"/>
      <c r="J688" s="112"/>
      <c r="K688" s="112"/>
      <c r="L688" s="112"/>
      <c r="M688" s="253"/>
      <c r="N688" s="253"/>
      <c r="O688" s="253"/>
      <c r="P688" s="253"/>
      <c r="Q688" s="253"/>
      <c r="R688" s="253"/>
      <c r="S688" s="253"/>
      <c r="T688" s="253"/>
      <c r="U688" s="253"/>
      <c r="V688" s="253"/>
      <c r="W688" s="253"/>
      <c r="X688" s="253"/>
      <c r="Y688" s="253"/>
      <c r="Z688" s="253"/>
      <c r="AA688" s="253"/>
      <c r="AB688" s="253"/>
      <c r="AC688" s="253"/>
    </row>
    <row r="689">
      <c r="A689" s="22"/>
      <c r="B689" s="22"/>
      <c r="C689" s="22"/>
      <c r="D689" s="22"/>
      <c r="E689" s="22"/>
      <c r="F689" s="22"/>
      <c r="G689" s="112"/>
      <c r="H689" s="112"/>
      <c r="I689" s="112"/>
      <c r="J689" s="112"/>
      <c r="K689" s="112"/>
      <c r="L689" s="112"/>
      <c r="M689" s="253"/>
      <c r="N689" s="253"/>
      <c r="O689" s="253"/>
      <c r="P689" s="253"/>
      <c r="Q689" s="253"/>
      <c r="R689" s="253"/>
      <c r="S689" s="253"/>
      <c r="T689" s="253"/>
      <c r="U689" s="253"/>
      <c r="V689" s="253"/>
      <c r="W689" s="253"/>
      <c r="X689" s="253"/>
      <c r="Y689" s="253"/>
      <c r="Z689" s="253"/>
      <c r="AA689" s="253"/>
      <c r="AB689" s="253"/>
      <c r="AC689" s="253"/>
    </row>
    <row r="690">
      <c r="A690" s="22"/>
      <c r="B690" s="22"/>
      <c r="C690" s="22"/>
      <c r="D690" s="22"/>
      <c r="E690" s="22"/>
      <c r="F690" s="22"/>
      <c r="G690" s="112"/>
      <c r="H690" s="112"/>
      <c r="I690" s="112"/>
      <c r="J690" s="112"/>
      <c r="K690" s="112"/>
      <c r="L690" s="112"/>
      <c r="M690" s="253"/>
      <c r="N690" s="253"/>
      <c r="O690" s="253"/>
      <c r="P690" s="253"/>
      <c r="Q690" s="253"/>
      <c r="R690" s="253"/>
      <c r="S690" s="253"/>
      <c r="T690" s="253"/>
      <c r="U690" s="253"/>
      <c r="V690" s="253"/>
      <c r="W690" s="253"/>
      <c r="X690" s="253"/>
      <c r="Y690" s="253"/>
      <c r="Z690" s="253"/>
      <c r="AA690" s="253"/>
      <c r="AB690" s="253"/>
      <c r="AC690" s="253"/>
    </row>
    <row r="691">
      <c r="A691" s="22"/>
      <c r="B691" s="22"/>
      <c r="C691" s="22"/>
      <c r="D691" s="22"/>
      <c r="E691" s="22"/>
      <c r="F691" s="22"/>
      <c r="G691" s="112"/>
      <c r="H691" s="112"/>
      <c r="I691" s="112"/>
      <c r="J691" s="112"/>
      <c r="K691" s="112"/>
      <c r="L691" s="112"/>
      <c r="M691" s="253"/>
      <c r="N691" s="253"/>
      <c r="O691" s="253"/>
      <c r="P691" s="253"/>
      <c r="Q691" s="253"/>
      <c r="R691" s="253"/>
      <c r="S691" s="253"/>
      <c r="T691" s="253"/>
      <c r="U691" s="253"/>
      <c r="V691" s="253"/>
      <c r="W691" s="253"/>
      <c r="X691" s="253"/>
      <c r="Y691" s="253"/>
      <c r="Z691" s="253"/>
      <c r="AA691" s="253"/>
      <c r="AB691" s="253"/>
      <c r="AC691" s="253"/>
    </row>
    <row r="692">
      <c r="A692" s="22"/>
      <c r="B692" s="22"/>
      <c r="C692" s="22"/>
      <c r="D692" s="22"/>
      <c r="E692" s="22"/>
      <c r="F692" s="22"/>
      <c r="G692" s="112"/>
      <c r="H692" s="112"/>
      <c r="I692" s="112"/>
      <c r="J692" s="112"/>
      <c r="K692" s="112"/>
      <c r="L692" s="112"/>
      <c r="M692" s="253"/>
      <c r="N692" s="253"/>
      <c r="O692" s="253"/>
      <c r="P692" s="253"/>
      <c r="Q692" s="253"/>
      <c r="R692" s="253"/>
      <c r="S692" s="253"/>
      <c r="T692" s="253"/>
      <c r="U692" s="253"/>
      <c r="V692" s="253"/>
      <c r="W692" s="253"/>
      <c r="X692" s="253"/>
      <c r="Y692" s="253"/>
      <c r="Z692" s="253"/>
      <c r="AA692" s="253"/>
      <c r="AB692" s="253"/>
      <c r="AC692" s="253"/>
    </row>
    <row r="693">
      <c r="A693" s="22"/>
      <c r="B693" s="22"/>
      <c r="C693" s="22"/>
      <c r="D693" s="22"/>
      <c r="E693" s="22"/>
      <c r="F693" s="22"/>
      <c r="G693" s="112"/>
      <c r="H693" s="112"/>
      <c r="I693" s="112"/>
      <c r="J693" s="112"/>
      <c r="K693" s="112"/>
      <c r="L693" s="112"/>
      <c r="M693" s="253"/>
      <c r="N693" s="253"/>
      <c r="O693" s="253"/>
      <c r="P693" s="253"/>
      <c r="Q693" s="253"/>
      <c r="R693" s="253"/>
      <c r="S693" s="253"/>
      <c r="T693" s="253"/>
      <c r="U693" s="253"/>
      <c r="V693" s="253"/>
      <c r="W693" s="253"/>
      <c r="X693" s="253"/>
      <c r="Y693" s="253"/>
      <c r="Z693" s="253"/>
      <c r="AA693" s="253"/>
      <c r="AB693" s="253"/>
      <c r="AC693" s="253"/>
    </row>
    <row r="694">
      <c r="A694" s="22"/>
      <c r="B694" s="22"/>
      <c r="C694" s="22"/>
      <c r="D694" s="22"/>
      <c r="E694" s="22"/>
      <c r="F694" s="22"/>
      <c r="G694" s="112"/>
      <c r="H694" s="112"/>
      <c r="I694" s="112"/>
      <c r="J694" s="112"/>
      <c r="K694" s="112"/>
      <c r="L694" s="112"/>
      <c r="M694" s="253"/>
      <c r="N694" s="253"/>
      <c r="O694" s="253"/>
      <c r="P694" s="253"/>
      <c r="Q694" s="253"/>
      <c r="R694" s="253"/>
      <c r="S694" s="253"/>
      <c r="T694" s="253"/>
      <c r="U694" s="253"/>
      <c r="V694" s="253"/>
      <c r="W694" s="253"/>
      <c r="X694" s="253"/>
      <c r="Y694" s="253"/>
      <c r="Z694" s="253"/>
      <c r="AA694" s="253"/>
      <c r="AB694" s="253"/>
      <c r="AC694" s="253"/>
    </row>
    <row r="695">
      <c r="A695" s="22"/>
      <c r="B695" s="22"/>
      <c r="C695" s="22"/>
      <c r="D695" s="22"/>
      <c r="E695" s="22"/>
      <c r="F695" s="22"/>
      <c r="G695" s="112"/>
      <c r="H695" s="112"/>
      <c r="I695" s="112"/>
      <c r="J695" s="112"/>
      <c r="K695" s="112"/>
      <c r="L695" s="112"/>
      <c r="M695" s="253"/>
      <c r="N695" s="253"/>
      <c r="O695" s="253"/>
      <c r="P695" s="253"/>
      <c r="Q695" s="253"/>
      <c r="R695" s="253"/>
      <c r="S695" s="253"/>
      <c r="T695" s="253"/>
      <c r="U695" s="253"/>
      <c r="V695" s="253"/>
      <c r="W695" s="253"/>
      <c r="X695" s="253"/>
      <c r="Y695" s="253"/>
      <c r="Z695" s="253"/>
      <c r="AA695" s="253"/>
      <c r="AB695" s="253"/>
      <c r="AC695" s="253"/>
    </row>
    <row r="696">
      <c r="A696" s="22"/>
      <c r="B696" s="22"/>
      <c r="C696" s="22"/>
      <c r="D696" s="22"/>
      <c r="E696" s="22"/>
      <c r="F696" s="22"/>
      <c r="G696" s="112"/>
      <c r="H696" s="112"/>
      <c r="I696" s="112"/>
      <c r="J696" s="112"/>
      <c r="K696" s="112"/>
      <c r="L696" s="112"/>
      <c r="M696" s="253"/>
      <c r="N696" s="253"/>
      <c r="O696" s="253"/>
      <c r="P696" s="253"/>
      <c r="Q696" s="253"/>
      <c r="R696" s="253"/>
      <c r="S696" s="253"/>
      <c r="T696" s="253"/>
      <c r="U696" s="253"/>
      <c r="V696" s="253"/>
      <c r="W696" s="253"/>
      <c r="X696" s="253"/>
      <c r="Y696" s="253"/>
      <c r="Z696" s="253"/>
      <c r="AA696" s="253"/>
      <c r="AB696" s="253"/>
      <c r="AC696" s="253"/>
    </row>
    <row r="697">
      <c r="A697" s="22"/>
      <c r="B697" s="22"/>
      <c r="C697" s="22"/>
      <c r="D697" s="22"/>
      <c r="E697" s="22"/>
      <c r="F697" s="22"/>
      <c r="G697" s="112"/>
      <c r="H697" s="112"/>
      <c r="I697" s="112"/>
      <c r="J697" s="112"/>
      <c r="K697" s="112"/>
      <c r="L697" s="112"/>
      <c r="M697" s="253"/>
      <c r="N697" s="253"/>
      <c r="O697" s="253"/>
      <c r="P697" s="253"/>
      <c r="Q697" s="253"/>
      <c r="R697" s="253"/>
      <c r="S697" s="253"/>
      <c r="T697" s="253"/>
      <c r="U697" s="253"/>
      <c r="V697" s="253"/>
      <c r="W697" s="253"/>
      <c r="X697" s="253"/>
      <c r="Y697" s="253"/>
      <c r="Z697" s="253"/>
      <c r="AA697" s="253"/>
      <c r="AB697" s="253"/>
      <c r="AC697" s="253"/>
    </row>
    <row r="698">
      <c r="A698" s="22"/>
      <c r="B698" s="22"/>
      <c r="C698" s="22"/>
      <c r="D698" s="22"/>
      <c r="E698" s="22"/>
      <c r="F698" s="22"/>
      <c r="G698" s="112"/>
      <c r="H698" s="112"/>
      <c r="I698" s="112"/>
      <c r="J698" s="112"/>
      <c r="K698" s="112"/>
      <c r="L698" s="112"/>
      <c r="M698" s="253"/>
      <c r="N698" s="253"/>
      <c r="O698" s="253"/>
      <c r="P698" s="253"/>
      <c r="Q698" s="253"/>
      <c r="R698" s="253"/>
      <c r="S698" s="253"/>
      <c r="T698" s="253"/>
      <c r="U698" s="253"/>
      <c r="V698" s="253"/>
      <c r="W698" s="253"/>
      <c r="X698" s="253"/>
      <c r="Y698" s="253"/>
      <c r="Z698" s="253"/>
      <c r="AA698" s="253"/>
      <c r="AB698" s="253"/>
      <c r="AC698" s="253"/>
    </row>
    <row r="699">
      <c r="A699" s="22"/>
      <c r="B699" s="22"/>
      <c r="C699" s="22"/>
      <c r="D699" s="22"/>
      <c r="E699" s="22"/>
      <c r="F699" s="22"/>
      <c r="G699" s="112"/>
      <c r="H699" s="112"/>
      <c r="I699" s="112"/>
      <c r="J699" s="112"/>
      <c r="K699" s="112"/>
      <c r="L699" s="112"/>
      <c r="M699" s="253"/>
      <c r="N699" s="253"/>
      <c r="O699" s="253"/>
      <c r="P699" s="253"/>
      <c r="Q699" s="253"/>
      <c r="R699" s="253"/>
      <c r="S699" s="253"/>
      <c r="T699" s="253"/>
      <c r="U699" s="253"/>
      <c r="V699" s="253"/>
      <c r="W699" s="253"/>
      <c r="X699" s="253"/>
      <c r="Y699" s="253"/>
      <c r="Z699" s="253"/>
      <c r="AA699" s="253"/>
      <c r="AB699" s="253"/>
      <c r="AC699" s="253"/>
    </row>
    <row r="700">
      <c r="A700" s="22"/>
      <c r="B700" s="22"/>
      <c r="C700" s="22"/>
      <c r="D700" s="22"/>
      <c r="E700" s="22"/>
      <c r="F700" s="22"/>
      <c r="G700" s="112"/>
      <c r="H700" s="112"/>
      <c r="I700" s="112"/>
      <c r="J700" s="112"/>
      <c r="K700" s="112"/>
      <c r="L700" s="112"/>
      <c r="M700" s="253"/>
      <c r="N700" s="253"/>
      <c r="O700" s="253"/>
      <c r="P700" s="253"/>
      <c r="Q700" s="253"/>
      <c r="R700" s="253"/>
      <c r="S700" s="253"/>
      <c r="T700" s="253"/>
      <c r="U700" s="253"/>
      <c r="V700" s="253"/>
      <c r="W700" s="253"/>
      <c r="X700" s="253"/>
      <c r="Y700" s="253"/>
      <c r="Z700" s="253"/>
      <c r="AA700" s="253"/>
      <c r="AB700" s="253"/>
      <c r="AC700" s="253"/>
    </row>
    <row r="701">
      <c r="A701" s="22"/>
      <c r="B701" s="22"/>
      <c r="C701" s="22"/>
      <c r="D701" s="22"/>
      <c r="E701" s="22"/>
      <c r="F701" s="22"/>
      <c r="G701" s="112"/>
      <c r="H701" s="112"/>
      <c r="I701" s="112"/>
      <c r="J701" s="112"/>
      <c r="K701" s="112"/>
      <c r="L701" s="112"/>
      <c r="M701" s="253"/>
      <c r="N701" s="253"/>
      <c r="O701" s="253"/>
      <c r="P701" s="253"/>
      <c r="Q701" s="253"/>
      <c r="R701" s="253"/>
      <c r="S701" s="253"/>
      <c r="T701" s="253"/>
      <c r="U701" s="253"/>
      <c r="V701" s="253"/>
      <c r="W701" s="253"/>
      <c r="X701" s="253"/>
      <c r="Y701" s="253"/>
      <c r="Z701" s="253"/>
      <c r="AA701" s="253"/>
      <c r="AB701" s="253"/>
      <c r="AC701" s="253"/>
    </row>
    <row r="702">
      <c r="A702" s="22"/>
      <c r="B702" s="22"/>
      <c r="C702" s="22"/>
      <c r="D702" s="22"/>
      <c r="E702" s="22"/>
      <c r="F702" s="22"/>
      <c r="G702" s="112"/>
      <c r="H702" s="112"/>
      <c r="I702" s="112"/>
      <c r="J702" s="112"/>
      <c r="K702" s="112"/>
      <c r="L702" s="112"/>
      <c r="M702" s="253"/>
      <c r="N702" s="253"/>
      <c r="O702" s="253"/>
      <c r="P702" s="253"/>
      <c r="Q702" s="253"/>
      <c r="R702" s="253"/>
      <c r="S702" s="253"/>
      <c r="T702" s="253"/>
      <c r="U702" s="253"/>
      <c r="V702" s="253"/>
      <c r="W702" s="253"/>
      <c r="X702" s="253"/>
      <c r="Y702" s="253"/>
      <c r="Z702" s="253"/>
      <c r="AA702" s="253"/>
      <c r="AB702" s="253"/>
      <c r="AC702" s="253"/>
    </row>
    <row r="703">
      <c r="A703" s="22"/>
      <c r="B703" s="22"/>
      <c r="C703" s="22"/>
      <c r="D703" s="22"/>
      <c r="E703" s="22"/>
      <c r="F703" s="22"/>
      <c r="G703" s="112"/>
      <c r="H703" s="112"/>
      <c r="I703" s="112"/>
      <c r="J703" s="112"/>
      <c r="K703" s="112"/>
      <c r="L703" s="112"/>
      <c r="M703" s="253"/>
      <c r="N703" s="253"/>
      <c r="O703" s="253"/>
      <c r="P703" s="253"/>
      <c r="Q703" s="253"/>
      <c r="R703" s="253"/>
      <c r="S703" s="253"/>
      <c r="T703" s="253"/>
      <c r="U703" s="253"/>
      <c r="V703" s="253"/>
      <c r="W703" s="253"/>
      <c r="X703" s="253"/>
      <c r="Y703" s="253"/>
      <c r="Z703" s="253"/>
      <c r="AA703" s="253"/>
      <c r="AB703" s="253"/>
      <c r="AC703" s="253"/>
    </row>
    <row r="704">
      <c r="A704" s="22"/>
      <c r="B704" s="22"/>
      <c r="C704" s="22"/>
      <c r="D704" s="22"/>
      <c r="E704" s="22"/>
      <c r="F704" s="22"/>
      <c r="G704" s="112"/>
      <c r="H704" s="112"/>
      <c r="I704" s="112"/>
      <c r="J704" s="112"/>
      <c r="K704" s="112"/>
      <c r="L704" s="112"/>
      <c r="M704" s="253"/>
      <c r="N704" s="253"/>
      <c r="O704" s="253"/>
      <c r="P704" s="253"/>
      <c r="Q704" s="253"/>
      <c r="R704" s="253"/>
      <c r="S704" s="253"/>
      <c r="T704" s="253"/>
      <c r="U704" s="253"/>
      <c r="V704" s="253"/>
      <c r="W704" s="253"/>
      <c r="X704" s="253"/>
      <c r="Y704" s="253"/>
      <c r="Z704" s="253"/>
      <c r="AA704" s="253"/>
      <c r="AB704" s="253"/>
      <c r="AC704" s="253"/>
    </row>
    <row r="705">
      <c r="A705" s="22"/>
      <c r="B705" s="22"/>
      <c r="C705" s="22"/>
      <c r="D705" s="22"/>
      <c r="E705" s="22"/>
      <c r="F705" s="22"/>
      <c r="G705" s="112"/>
      <c r="H705" s="112"/>
      <c r="I705" s="112"/>
      <c r="J705" s="112"/>
      <c r="K705" s="112"/>
      <c r="L705" s="112"/>
      <c r="M705" s="253"/>
      <c r="N705" s="253"/>
      <c r="O705" s="253"/>
      <c r="P705" s="253"/>
      <c r="Q705" s="253"/>
      <c r="R705" s="253"/>
      <c r="S705" s="253"/>
      <c r="T705" s="253"/>
      <c r="U705" s="253"/>
      <c r="V705" s="253"/>
      <c r="W705" s="253"/>
      <c r="X705" s="253"/>
      <c r="Y705" s="253"/>
      <c r="Z705" s="253"/>
      <c r="AA705" s="253"/>
      <c r="AB705" s="253"/>
      <c r="AC705" s="253"/>
    </row>
    <row r="706">
      <c r="A706" s="22"/>
      <c r="B706" s="22"/>
      <c r="C706" s="22"/>
      <c r="D706" s="22"/>
      <c r="E706" s="22"/>
      <c r="F706" s="22"/>
      <c r="G706" s="112"/>
      <c r="H706" s="112"/>
      <c r="I706" s="112"/>
      <c r="J706" s="112"/>
      <c r="K706" s="112"/>
      <c r="L706" s="112"/>
      <c r="M706" s="253"/>
      <c r="N706" s="253"/>
      <c r="O706" s="253"/>
      <c r="P706" s="253"/>
      <c r="Q706" s="253"/>
      <c r="R706" s="253"/>
      <c r="S706" s="253"/>
      <c r="T706" s="253"/>
      <c r="U706" s="253"/>
      <c r="V706" s="253"/>
      <c r="W706" s="253"/>
      <c r="X706" s="253"/>
      <c r="Y706" s="253"/>
      <c r="Z706" s="253"/>
      <c r="AA706" s="253"/>
      <c r="AB706" s="253"/>
      <c r="AC706" s="253"/>
    </row>
    <row r="707">
      <c r="A707" s="22"/>
      <c r="B707" s="22"/>
      <c r="C707" s="22"/>
      <c r="D707" s="22"/>
      <c r="E707" s="22"/>
      <c r="F707" s="22"/>
      <c r="G707" s="112"/>
      <c r="H707" s="112"/>
      <c r="I707" s="112"/>
      <c r="J707" s="112"/>
      <c r="K707" s="112"/>
      <c r="L707" s="112"/>
      <c r="M707" s="253"/>
      <c r="N707" s="253"/>
      <c r="O707" s="253"/>
      <c r="P707" s="253"/>
      <c r="Q707" s="253"/>
      <c r="R707" s="253"/>
      <c r="S707" s="253"/>
      <c r="T707" s="253"/>
      <c r="U707" s="253"/>
      <c r="V707" s="253"/>
      <c r="W707" s="253"/>
      <c r="X707" s="253"/>
      <c r="Y707" s="253"/>
      <c r="Z707" s="253"/>
      <c r="AA707" s="253"/>
      <c r="AB707" s="253"/>
      <c r="AC707" s="253"/>
    </row>
    <row r="708">
      <c r="A708" s="22"/>
      <c r="B708" s="22"/>
      <c r="C708" s="22"/>
      <c r="D708" s="22"/>
      <c r="E708" s="22"/>
      <c r="F708" s="22"/>
      <c r="G708" s="112"/>
      <c r="H708" s="112"/>
      <c r="I708" s="112"/>
      <c r="J708" s="112"/>
      <c r="K708" s="112"/>
      <c r="L708" s="112"/>
      <c r="M708" s="253"/>
      <c r="N708" s="253"/>
      <c r="O708" s="253"/>
      <c r="P708" s="253"/>
      <c r="Q708" s="253"/>
      <c r="R708" s="253"/>
      <c r="S708" s="253"/>
      <c r="T708" s="253"/>
      <c r="U708" s="253"/>
      <c r="V708" s="253"/>
      <c r="W708" s="253"/>
      <c r="X708" s="253"/>
      <c r="Y708" s="253"/>
      <c r="Z708" s="253"/>
      <c r="AA708" s="253"/>
      <c r="AB708" s="253"/>
      <c r="AC708" s="253"/>
    </row>
    <row r="709">
      <c r="A709" s="22"/>
      <c r="B709" s="22"/>
      <c r="C709" s="22"/>
      <c r="D709" s="22"/>
      <c r="E709" s="22"/>
      <c r="F709" s="22"/>
      <c r="G709" s="112"/>
      <c r="H709" s="112"/>
      <c r="I709" s="112"/>
      <c r="J709" s="112"/>
      <c r="K709" s="112"/>
      <c r="L709" s="112"/>
      <c r="M709" s="253"/>
      <c r="N709" s="253"/>
      <c r="O709" s="253"/>
      <c r="P709" s="253"/>
      <c r="Q709" s="253"/>
      <c r="R709" s="253"/>
      <c r="S709" s="253"/>
      <c r="T709" s="253"/>
      <c r="U709" s="253"/>
      <c r="V709" s="253"/>
      <c r="W709" s="253"/>
      <c r="X709" s="253"/>
      <c r="Y709" s="253"/>
      <c r="Z709" s="253"/>
      <c r="AA709" s="253"/>
      <c r="AB709" s="253"/>
      <c r="AC709" s="253"/>
    </row>
    <row r="710">
      <c r="A710" s="22"/>
      <c r="B710" s="22"/>
      <c r="C710" s="22"/>
      <c r="D710" s="22"/>
      <c r="E710" s="22"/>
      <c r="F710" s="22"/>
      <c r="G710" s="112"/>
      <c r="H710" s="112"/>
      <c r="I710" s="112"/>
      <c r="J710" s="112"/>
      <c r="K710" s="112"/>
      <c r="L710" s="112"/>
      <c r="M710" s="253"/>
      <c r="N710" s="253"/>
      <c r="O710" s="253"/>
      <c r="P710" s="253"/>
      <c r="Q710" s="253"/>
      <c r="R710" s="253"/>
      <c r="S710" s="253"/>
      <c r="T710" s="253"/>
      <c r="U710" s="253"/>
      <c r="V710" s="253"/>
      <c r="W710" s="253"/>
      <c r="X710" s="253"/>
      <c r="Y710" s="253"/>
      <c r="Z710" s="253"/>
      <c r="AA710" s="253"/>
      <c r="AB710" s="253"/>
      <c r="AC710" s="253"/>
    </row>
    <row r="711">
      <c r="A711" s="22"/>
      <c r="B711" s="22"/>
      <c r="C711" s="22"/>
      <c r="D711" s="22"/>
      <c r="E711" s="22"/>
      <c r="F711" s="22"/>
      <c r="G711" s="112"/>
      <c r="H711" s="112"/>
      <c r="I711" s="112"/>
      <c r="J711" s="112"/>
      <c r="K711" s="112"/>
      <c r="L711" s="112"/>
      <c r="M711" s="253"/>
      <c r="N711" s="253"/>
      <c r="O711" s="253"/>
      <c r="P711" s="253"/>
      <c r="Q711" s="253"/>
      <c r="R711" s="253"/>
      <c r="S711" s="253"/>
      <c r="T711" s="253"/>
      <c r="U711" s="253"/>
      <c r="V711" s="253"/>
      <c r="W711" s="253"/>
      <c r="X711" s="253"/>
      <c r="Y711" s="253"/>
      <c r="Z711" s="253"/>
      <c r="AA711" s="253"/>
      <c r="AB711" s="253"/>
      <c r="AC711" s="253"/>
    </row>
    <row r="712">
      <c r="A712" s="22"/>
      <c r="B712" s="22"/>
      <c r="C712" s="22"/>
      <c r="D712" s="22"/>
      <c r="E712" s="22"/>
      <c r="F712" s="22"/>
      <c r="G712" s="112"/>
      <c r="H712" s="112"/>
      <c r="I712" s="112"/>
      <c r="J712" s="112"/>
      <c r="K712" s="112"/>
      <c r="L712" s="112"/>
      <c r="M712" s="253"/>
      <c r="N712" s="253"/>
      <c r="O712" s="253"/>
      <c r="P712" s="253"/>
      <c r="Q712" s="253"/>
      <c r="R712" s="253"/>
      <c r="S712" s="253"/>
      <c r="T712" s="253"/>
      <c r="U712" s="253"/>
      <c r="V712" s="253"/>
      <c r="W712" s="253"/>
      <c r="X712" s="253"/>
      <c r="Y712" s="253"/>
      <c r="Z712" s="253"/>
      <c r="AA712" s="253"/>
      <c r="AB712" s="253"/>
      <c r="AC712" s="253"/>
    </row>
    <row r="713">
      <c r="A713" s="22"/>
      <c r="B713" s="22"/>
      <c r="C713" s="22"/>
      <c r="D713" s="22"/>
      <c r="E713" s="22"/>
      <c r="F713" s="22"/>
      <c r="G713" s="112"/>
      <c r="H713" s="112"/>
      <c r="I713" s="112"/>
      <c r="J713" s="112"/>
      <c r="K713" s="112"/>
      <c r="L713" s="112"/>
      <c r="M713" s="253"/>
      <c r="N713" s="253"/>
      <c r="O713" s="253"/>
      <c r="P713" s="253"/>
      <c r="Q713" s="253"/>
      <c r="R713" s="253"/>
      <c r="S713" s="253"/>
      <c r="T713" s="253"/>
      <c r="U713" s="253"/>
      <c r="V713" s="253"/>
      <c r="W713" s="253"/>
      <c r="X713" s="253"/>
      <c r="Y713" s="253"/>
      <c r="Z713" s="253"/>
      <c r="AA713" s="253"/>
      <c r="AB713" s="253"/>
      <c r="AC713" s="253"/>
    </row>
    <row r="714">
      <c r="A714" s="22"/>
      <c r="B714" s="22"/>
      <c r="C714" s="22"/>
      <c r="D714" s="22"/>
      <c r="E714" s="22"/>
      <c r="F714" s="22"/>
      <c r="G714" s="112"/>
      <c r="H714" s="112"/>
      <c r="I714" s="112"/>
      <c r="J714" s="112"/>
      <c r="K714" s="112"/>
      <c r="L714" s="112"/>
      <c r="M714" s="253"/>
      <c r="N714" s="253"/>
      <c r="O714" s="253"/>
      <c r="P714" s="253"/>
      <c r="Q714" s="253"/>
      <c r="R714" s="253"/>
      <c r="S714" s="253"/>
      <c r="T714" s="253"/>
      <c r="U714" s="253"/>
      <c r="V714" s="253"/>
      <c r="W714" s="253"/>
      <c r="X714" s="253"/>
      <c r="Y714" s="253"/>
      <c r="Z714" s="253"/>
      <c r="AA714" s="253"/>
      <c r="AB714" s="253"/>
      <c r="AC714" s="253"/>
    </row>
    <row r="715">
      <c r="A715" s="22"/>
      <c r="B715" s="22"/>
      <c r="C715" s="22"/>
      <c r="D715" s="22"/>
      <c r="E715" s="22"/>
      <c r="F715" s="22"/>
      <c r="G715" s="112"/>
      <c r="H715" s="112"/>
      <c r="I715" s="112"/>
      <c r="J715" s="112"/>
      <c r="K715" s="112"/>
      <c r="L715" s="112"/>
      <c r="M715" s="253"/>
      <c r="N715" s="253"/>
      <c r="O715" s="253"/>
      <c r="P715" s="253"/>
      <c r="Q715" s="253"/>
      <c r="R715" s="253"/>
      <c r="S715" s="253"/>
      <c r="T715" s="253"/>
      <c r="U715" s="253"/>
      <c r="V715" s="253"/>
      <c r="W715" s="253"/>
      <c r="X715" s="253"/>
      <c r="Y715" s="253"/>
      <c r="Z715" s="253"/>
      <c r="AA715" s="253"/>
      <c r="AB715" s="253"/>
      <c r="AC715" s="253"/>
    </row>
    <row r="716">
      <c r="A716" s="22"/>
      <c r="B716" s="22"/>
      <c r="C716" s="22"/>
      <c r="D716" s="22"/>
      <c r="E716" s="22"/>
      <c r="F716" s="22"/>
      <c r="G716" s="112"/>
      <c r="H716" s="112"/>
      <c r="I716" s="112"/>
      <c r="J716" s="112"/>
      <c r="K716" s="112"/>
      <c r="L716" s="112"/>
      <c r="M716" s="253"/>
      <c r="N716" s="253"/>
      <c r="O716" s="253"/>
      <c r="P716" s="253"/>
      <c r="Q716" s="253"/>
      <c r="R716" s="253"/>
      <c r="S716" s="253"/>
      <c r="T716" s="253"/>
      <c r="U716" s="253"/>
      <c r="V716" s="253"/>
      <c r="W716" s="253"/>
      <c r="X716" s="253"/>
      <c r="Y716" s="253"/>
      <c r="Z716" s="253"/>
      <c r="AA716" s="253"/>
      <c r="AB716" s="253"/>
      <c r="AC716" s="253"/>
    </row>
    <row r="717">
      <c r="A717" s="22"/>
      <c r="B717" s="22"/>
      <c r="C717" s="22"/>
      <c r="D717" s="22"/>
      <c r="E717" s="22"/>
      <c r="F717" s="22"/>
      <c r="G717" s="112"/>
      <c r="H717" s="112"/>
      <c r="I717" s="112"/>
      <c r="J717" s="112"/>
      <c r="K717" s="112"/>
      <c r="L717" s="112"/>
      <c r="M717" s="253"/>
      <c r="N717" s="253"/>
      <c r="O717" s="253"/>
      <c r="P717" s="253"/>
      <c r="Q717" s="253"/>
      <c r="R717" s="253"/>
      <c r="S717" s="253"/>
      <c r="T717" s="253"/>
      <c r="U717" s="253"/>
      <c r="V717" s="253"/>
      <c r="W717" s="253"/>
      <c r="X717" s="253"/>
      <c r="Y717" s="253"/>
      <c r="Z717" s="253"/>
      <c r="AA717" s="253"/>
      <c r="AB717" s="253"/>
      <c r="AC717" s="253"/>
    </row>
    <row r="718">
      <c r="A718" s="22"/>
      <c r="B718" s="22"/>
      <c r="C718" s="22"/>
      <c r="D718" s="22"/>
      <c r="E718" s="22"/>
      <c r="F718" s="22"/>
      <c r="G718" s="112"/>
      <c r="H718" s="112"/>
      <c r="I718" s="112"/>
      <c r="J718" s="112"/>
      <c r="K718" s="112"/>
      <c r="L718" s="112"/>
      <c r="M718" s="253"/>
      <c r="N718" s="253"/>
      <c r="O718" s="253"/>
      <c r="P718" s="253"/>
      <c r="Q718" s="253"/>
      <c r="R718" s="253"/>
      <c r="S718" s="253"/>
      <c r="T718" s="253"/>
      <c r="U718" s="253"/>
      <c r="V718" s="253"/>
      <c r="W718" s="253"/>
      <c r="X718" s="253"/>
      <c r="Y718" s="253"/>
      <c r="Z718" s="253"/>
      <c r="AA718" s="253"/>
      <c r="AB718" s="253"/>
      <c r="AC718" s="253"/>
    </row>
    <row r="719">
      <c r="A719" s="22"/>
      <c r="B719" s="22"/>
      <c r="C719" s="22"/>
      <c r="D719" s="22"/>
      <c r="E719" s="22"/>
      <c r="F719" s="22"/>
      <c r="G719" s="112"/>
      <c r="H719" s="112"/>
      <c r="I719" s="112"/>
      <c r="J719" s="112"/>
      <c r="K719" s="112"/>
      <c r="L719" s="112"/>
      <c r="M719" s="253"/>
      <c r="N719" s="253"/>
      <c r="O719" s="253"/>
      <c r="P719" s="253"/>
      <c r="Q719" s="253"/>
      <c r="R719" s="253"/>
      <c r="S719" s="253"/>
      <c r="T719" s="253"/>
      <c r="U719" s="253"/>
      <c r="V719" s="253"/>
      <c r="W719" s="253"/>
      <c r="X719" s="253"/>
      <c r="Y719" s="253"/>
      <c r="Z719" s="253"/>
      <c r="AA719" s="253"/>
      <c r="AB719" s="253"/>
      <c r="AC719" s="253"/>
    </row>
    <row r="720">
      <c r="A720" s="22"/>
      <c r="B720" s="22"/>
      <c r="C720" s="22"/>
      <c r="D720" s="22"/>
      <c r="E720" s="22"/>
      <c r="F720" s="22"/>
      <c r="G720" s="112"/>
      <c r="H720" s="112"/>
      <c r="I720" s="112"/>
      <c r="J720" s="112"/>
      <c r="K720" s="112"/>
      <c r="L720" s="112"/>
      <c r="M720" s="253"/>
      <c r="N720" s="253"/>
      <c r="O720" s="253"/>
      <c r="P720" s="253"/>
      <c r="Q720" s="253"/>
      <c r="R720" s="253"/>
      <c r="S720" s="253"/>
      <c r="T720" s="253"/>
      <c r="U720" s="253"/>
      <c r="V720" s="253"/>
      <c r="W720" s="253"/>
      <c r="X720" s="253"/>
      <c r="Y720" s="253"/>
      <c r="Z720" s="253"/>
      <c r="AA720" s="253"/>
      <c r="AB720" s="253"/>
      <c r="AC720" s="253"/>
    </row>
    <row r="721">
      <c r="A721" s="22"/>
      <c r="B721" s="22"/>
      <c r="C721" s="22"/>
      <c r="D721" s="22"/>
      <c r="E721" s="22"/>
      <c r="F721" s="22"/>
      <c r="G721" s="112"/>
      <c r="H721" s="112"/>
      <c r="I721" s="112"/>
      <c r="J721" s="112"/>
      <c r="K721" s="112"/>
      <c r="L721" s="112"/>
      <c r="M721" s="253"/>
      <c r="N721" s="253"/>
      <c r="O721" s="253"/>
      <c r="P721" s="253"/>
      <c r="Q721" s="253"/>
      <c r="R721" s="253"/>
      <c r="S721" s="253"/>
      <c r="T721" s="253"/>
      <c r="U721" s="253"/>
      <c r="V721" s="253"/>
      <c r="W721" s="253"/>
      <c r="X721" s="253"/>
      <c r="Y721" s="253"/>
      <c r="Z721" s="253"/>
      <c r="AA721" s="253"/>
      <c r="AB721" s="253"/>
      <c r="AC721" s="253"/>
    </row>
    <row r="722">
      <c r="A722" s="22"/>
      <c r="B722" s="22"/>
      <c r="C722" s="22"/>
      <c r="D722" s="22"/>
      <c r="E722" s="22"/>
      <c r="F722" s="22"/>
      <c r="G722" s="112"/>
      <c r="H722" s="112"/>
      <c r="I722" s="112"/>
      <c r="J722" s="112"/>
      <c r="K722" s="112"/>
      <c r="L722" s="112"/>
      <c r="M722" s="253"/>
      <c r="N722" s="253"/>
      <c r="O722" s="253"/>
      <c r="P722" s="253"/>
      <c r="Q722" s="253"/>
      <c r="R722" s="253"/>
      <c r="S722" s="253"/>
      <c r="T722" s="253"/>
      <c r="U722" s="253"/>
      <c r="V722" s="253"/>
      <c r="W722" s="253"/>
      <c r="X722" s="253"/>
      <c r="Y722" s="253"/>
      <c r="Z722" s="253"/>
      <c r="AA722" s="253"/>
      <c r="AB722" s="253"/>
      <c r="AC722" s="253"/>
    </row>
    <row r="723">
      <c r="A723" s="22"/>
      <c r="B723" s="22"/>
      <c r="C723" s="22"/>
      <c r="D723" s="22"/>
      <c r="E723" s="22"/>
      <c r="F723" s="22"/>
      <c r="G723" s="112"/>
      <c r="H723" s="112"/>
      <c r="I723" s="112"/>
      <c r="J723" s="112"/>
      <c r="K723" s="112"/>
      <c r="L723" s="112"/>
      <c r="M723" s="253"/>
      <c r="N723" s="253"/>
      <c r="O723" s="253"/>
      <c r="P723" s="253"/>
      <c r="Q723" s="253"/>
      <c r="R723" s="253"/>
      <c r="S723" s="253"/>
      <c r="T723" s="253"/>
      <c r="U723" s="253"/>
      <c r="V723" s="253"/>
      <c r="W723" s="253"/>
      <c r="X723" s="253"/>
      <c r="Y723" s="253"/>
      <c r="Z723" s="253"/>
      <c r="AA723" s="253"/>
      <c r="AB723" s="253"/>
      <c r="AC723" s="253"/>
    </row>
    <row r="724">
      <c r="A724" s="22"/>
      <c r="B724" s="22"/>
      <c r="C724" s="22"/>
      <c r="D724" s="22"/>
      <c r="E724" s="22"/>
      <c r="F724" s="22"/>
      <c r="G724" s="112"/>
      <c r="H724" s="112"/>
      <c r="I724" s="112"/>
      <c r="J724" s="112"/>
      <c r="K724" s="112"/>
      <c r="L724" s="112"/>
      <c r="M724" s="253"/>
      <c r="N724" s="253"/>
      <c r="O724" s="253"/>
      <c r="P724" s="253"/>
      <c r="Q724" s="253"/>
      <c r="R724" s="253"/>
      <c r="S724" s="253"/>
      <c r="T724" s="253"/>
      <c r="U724" s="253"/>
      <c r="V724" s="253"/>
      <c r="W724" s="253"/>
      <c r="X724" s="253"/>
      <c r="Y724" s="253"/>
      <c r="Z724" s="253"/>
      <c r="AA724" s="253"/>
      <c r="AB724" s="253"/>
      <c r="AC724" s="253"/>
    </row>
    <row r="725">
      <c r="A725" s="22"/>
      <c r="B725" s="22"/>
      <c r="C725" s="22"/>
      <c r="D725" s="22"/>
      <c r="E725" s="22"/>
      <c r="F725" s="22"/>
      <c r="G725" s="112"/>
      <c r="H725" s="112"/>
      <c r="I725" s="112"/>
      <c r="J725" s="112"/>
      <c r="K725" s="112"/>
      <c r="L725" s="112"/>
      <c r="M725" s="253"/>
      <c r="N725" s="253"/>
      <c r="O725" s="253"/>
      <c r="P725" s="253"/>
      <c r="Q725" s="253"/>
      <c r="R725" s="253"/>
      <c r="S725" s="253"/>
      <c r="T725" s="253"/>
      <c r="U725" s="253"/>
      <c r="V725" s="253"/>
      <c r="W725" s="253"/>
      <c r="X725" s="253"/>
      <c r="Y725" s="253"/>
      <c r="Z725" s="253"/>
      <c r="AA725" s="253"/>
      <c r="AB725" s="253"/>
      <c r="AC725" s="253"/>
    </row>
    <row r="726">
      <c r="A726" s="22"/>
      <c r="B726" s="22"/>
      <c r="C726" s="22"/>
      <c r="D726" s="22"/>
      <c r="E726" s="22"/>
      <c r="F726" s="22"/>
      <c r="G726" s="112"/>
      <c r="H726" s="112"/>
      <c r="I726" s="112"/>
      <c r="J726" s="112"/>
      <c r="K726" s="112"/>
      <c r="L726" s="112"/>
      <c r="M726" s="253"/>
      <c r="N726" s="253"/>
      <c r="O726" s="253"/>
      <c r="P726" s="253"/>
      <c r="Q726" s="253"/>
      <c r="R726" s="253"/>
      <c r="S726" s="253"/>
      <c r="T726" s="253"/>
      <c r="U726" s="253"/>
      <c r="V726" s="253"/>
      <c r="W726" s="253"/>
      <c r="X726" s="253"/>
      <c r="Y726" s="253"/>
      <c r="Z726" s="253"/>
      <c r="AA726" s="253"/>
      <c r="AB726" s="253"/>
      <c r="AC726" s="253"/>
    </row>
    <row r="727">
      <c r="A727" s="22"/>
      <c r="B727" s="22"/>
      <c r="C727" s="22"/>
      <c r="D727" s="22"/>
      <c r="E727" s="22"/>
      <c r="F727" s="22"/>
      <c r="G727" s="112"/>
      <c r="H727" s="112"/>
      <c r="I727" s="112"/>
      <c r="J727" s="112"/>
      <c r="K727" s="112"/>
      <c r="L727" s="112"/>
      <c r="M727" s="253"/>
      <c r="N727" s="253"/>
      <c r="O727" s="253"/>
      <c r="P727" s="253"/>
      <c r="Q727" s="253"/>
      <c r="R727" s="253"/>
      <c r="S727" s="253"/>
      <c r="T727" s="253"/>
      <c r="U727" s="253"/>
      <c r="V727" s="253"/>
      <c r="W727" s="253"/>
      <c r="X727" s="253"/>
      <c r="Y727" s="253"/>
      <c r="Z727" s="253"/>
      <c r="AA727" s="253"/>
      <c r="AB727" s="253"/>
      <c r="AC727" s="253"/>
    </row>
    <row r="728">
      <c r="A728" s="22"/>
      <c r="B728" s="22"/>
      <c r="C728" s="22"/>
      <c r="D728" s="22"/>
      <c r="E728" s="22"/>
      <c r="F728" s="22"/>
      <c r="G728" s="112"/>
      <c r="H728" s="112"/>
      <c r="I728" s="112"/>
      <c r="J728" s="112"/>
      <c r="K728" s="112"/>
      <c r="L728" s="112"/>
      <c r="M728" s="253"/>
      <c r="N728" s="253"/>
      <c r="O728" s="253"/>
      <c r="P728" s="253"/>
      <c r="Q728" s="253"/>
      <c r="R728" s="253"/>
      <c r="S728" s="253"/>
      <c r="T728" s="253"/>
      <c r="U728" s="253"/>
      <c r="V728" s="253"/>
      <c r="W728" s="253"/>
      <c r="X728" s="253"/>
      <c r="Y728" s="253"/>
      <c r="Z728" s="253"/>
      <c r="AA728" s="253"/>
      <c r="AB728" s="253"/>
      <c r="AC728" s="253"/>
    </row>
    <row r="729">
      <c r="A729" s="22"/>
      <c r="B729" s="22"/>
      <c r="C729" s="22"/>
      <c r="D729" s="22"/>
      <c r="E729" s="22"/>
      <c r="F729" s="22"/>
      <c r="G729" s="112"/>
      <c r="H729" s="112"/>
      <c r="I729" s="112"/>
      <c r="J729" s="112"/>
      <c r="K729" s="112"/>
      <c r="L729" s="112"/>
      <c r="M729" s="253"/>
      <c r="N729" s="253"/>
      <c r="O729" s="253"/>
      <c r="P729" s="253"/>
      <c r="Q729" s="253"/>
      <c r="R729" s="253"/>
      <c r="S729" s="253"/>
      <c r="T729" s="253"/>
      <c r="U729" s="253"/>
      <c r="V729" s="253"/>
      <c r="W729" s="253"/>
      <c r="X729" s="253"/>
      <c r="Y729" s="253"/>
      <c r="Z729" s="253"/>
      <c r="AA729" s="253"/>
      <c r="AB729" s="253"/>
      <c r="AC729" s="253"/>
    </row>
    <row r="730">
      <c r="A730" s="22"/>
      <c r="B730" s="22"/>
      <c r="C730" s="22"/>
      <c r="D730" s="22"/>
      <c r="E730" s="22"/>
      <c r="F730" s="22"/>
      <c r="G730" s="112"/>
      <c r="H730" s="112"/>
      <c r="I730" s="112"/>
      <c r="J730" s="112"/>
      <c r="K730" s="112"/>
      <c r="L730" s="112"/>
      <c r="M730" s="253"/>
      <c r="N730" s="253"/>
      <c r="O730" s="253"/>
      <c r="P730" s="253"/>
      <c r="Q730" s="253"/>
      <c r="R730" s="253"/>
      <c r="S730" s="253"/>
      <c r="T730" s="253"/>
      <c r="U730" s="253"/>
      <c r="V730" s="253"/>
      <c r="W730" s="253"/>
      <c r="X730" s="253"/>
      <c r="Y730" s="253"/>
      <c r="Z730" s="253"/>
      <c r="AA730" s="253"/>
      <c r="AB730" s="253"/>
      <c r="AC730" s="253"/>
    </row>
    <row r="731">
      <c r="A731" s="22"/>
      <c r="B731" s="22"/>
      <c r="C731" s="22"/>
      <c r="D731" s="22"/>
      <c r="E731" s="22"/>
      <c r="F731" s="22"/>
      <c r="G731" s="112"/>
      <c r="H731" s="112"/>
      <c r="I731" s="112"/>
      <c r="J731" s="112"/>
      <c r="K731" s="112"/>
      <c r="L731" s="112"/>
      <c r="M731" s="253"/>
      <c r="N731" s="253"/>
      <c r="O731" s="253"/>
      <c r="P731" s="253"/>
      <c r="Q731" s="253"/>
      <c r="R731" s="253"/>
      <c r="S731" s="253"/>
      <c r="T731" s="253"/>
      <c r="U731" s="253"/>
      <c r="V731" s="253"/>
      <c r="W731" s="253"/>
      <c r="X731" s="253"/>
      <c r="Y731" s="253"/>
      <c r="Z731" s="253"/>
      <c r="AA731" s="253"/>
      <c r="AB731" s="253"/>
      <c r="AC731" s="253"/>
    </row>
    <row r="732">
      <c r="A732" s="22"/>
      <c r="B732" s="22"/>
      <c r="C732" s="22"/>
      <c r="D732" s="22"/>
      <c r="E732" s="22"/>
      <c r="F732" s="22"/>
      <c r="G732" s="112"/>
      <c r="H732" s="112"/>
      <c r="I732" s="112"/>
      <c r="J732" s="112"/>
      <c r="K732" s="112"/>
      <c r="L732" s="112"/>
      <c r="M732" s="253"/>
      <c r="N732" s="253"/>
      <c r="O732" s="253"/>
      <c r="P732" s="253"/>
      <c r="Q732" s="253"/>
      <c r="R732" s="253"/>
      <c r="S732" s="253"/>
      <c r="T732" s="253"/>
      <c r="U732" s="253"/>
      <c r="V732" s="253"/>
      <c r="W732" s="253"/>
      <c r="X732" s="253"/>
      <c r="Y732" s="253"/>
      <c r="Z732" s="253"/>
      <c r="AA732" s="253"/>
      <c r="AB732" s="253"/>
      <c r="AC732" s="253"/>
    </row>
    <row r="733">
      <c r="A733" s="22"/>
      <c r="B733" s="22"/>
      <c r="C733" s="22"/>
      <c r="D733" s="22"/>
      <c r="E733" s="22"/>
      <c r="F733" s="22"/>
      <c r="G733" s="112"/>
      <c r="H733" s="112"/>
      <c r="I733" s="112"/>
      <c r="J733" s="112"/>
      <c r="K733" s="112"/>
      <c r="L733" s="112"/>
      <c r="M733" s="253"/>
      <c r="N733" s="253"/>
      <c r="O733" s="253"/>
      <c r="P733" s="253"/>
      <c r="Q733" s="253"/>
      <c r="R733" s="253"/>
      <c r="S733" s="253"/>
      <c r="T733" s="253"/>
      <c r="U733" s="253"/>
      <c r="V733" s="253"/>
      <c r="W733" s="253"/>
      <c r="X733" s="253"/>
      <c r="Y733" s="253"/>
      <c r="Z733" s="253"/>
      <c r="AA733" s="253"/>
      <c r="AB733" s="253"/>
      <c r="AC733" s="253"/>
    </row>
    <row r="734">
      <c r="A734" s="22"/>
      <c r="B734" s="22"/>
      <c r="C734" s="22"/>
      <c r="D734" s="22"/>
      <c r="E734" s="22"/>
      <c r="F734" s="22"/>
      <c r="G734" s="112"/>
      <c r="H734" s="112"/>
      <c r="I734" s="112"/>
      <c r="J734" s="112"/>
      <c r="K734" s="112"/>
      <c r="L734" s="112"/>
      <c r="M734" s="253"/>
      <c r="N734" s="253"/>
      <c r="O734" s="253"/>
      <c r="P734" s="253"/>
      <c r="Q734" s="253"/>
      <c r="R734" s="253"/>
      <c r="S734" s="253"/>
      <c r="T734" s="253"/>
      <c r="U734" s="253"/>
      <c r="V734" s="253"/>
      <c r="W734" s="253"/>
      <c r="X734" s="253"/>
      <c r="Y734" s="253"/>
      <c r="Z734" s="253"/>
      <c r="AA734" s="253"/>
      <c r="AB734" s="253"/>
      <c r="AC734" s="253"/>
    </row>
    <row r="735">
      <c r="A735" s="22"/>
      <c r="B735" s="22"/>
      <c r="C735" s="22"/>
      <c r="D735" s="22"/>
      <c r="E735" s="22"/>
      <c r="F735" s="22"/>
      <c r="G735" s="112"/>
      <c r="H735" s="112"/>
      <c r="I735" s="112"/>
      <c r="J735" s="112"/>
      <c r="K735" s="112"/>
      <c r="L735" s="112"/>
      <c r="M735" s="253"/>
      <c r="N735" s="253"/>
      <c r="O735" s="253"/>
      <c r="P735" s="253"/>
      <c r="Q735" s="253"/>
      <c r="R735" s="253"/>
      <c r="S735" s="253"/>
      <c r="T735" s="253"/>
      <c r="U735" s="253"/>
      <c r="V735" s="253"/>
      <c r="W735" s="253"/>
      <c r="X735" s="253"/>
      <c r="Y735" s="253"/>
      <c r="Z735" s="253"/>
      <c r="AA735" s="253"/>
      <c r="AB735" s="253"/>
      <c r="AC735" s="253"/>
    </row>
    <row r="736">
      <c r="A736" s="22"/>
      <c r="B736" s="22"/>
      <c r="C736" s="22"/>
      <c r="D736" s="22"/>
      <c r="E736" s="22"/>
      <c r="F736" s="22"/>
      <c r="G736" s="112"/>
      <c r="H736" s="112"/>
      <c r="I736" s="112"/>
      <c r="J736" s="112"/>
      <c r="K736" s="112"/>
      <c r="L736" s="112"/>
      <c r="M736" s="253"/>
      <c r="N736" s="253"/>
      <c r="O736" s="253"/>
      <c r="P736" s="253"/>
      <c r="Q736" s="253"/>
      <c r="R736" s="253"/>
      <c r="S736" s="253"/>
      <c r="T736" s="253"/>
      <c r="U736" s="253"/>
      <c r="V736" s="253"/>
      <c r="W736" s="253"/>
      <c r="X736" s="253"/>
      <c r="Y736" s="253"/>
      <c r="Z736" s="253"/>
      <c r="AA736" s="253"/>
      <c r="AB736" s="253"/>
      <c r="AC736" s="253"/>
    </row>
    <row r="737">
      <c r="A737" s="22"/>
      <c r="B737" s="22"/>
      <c r="C737" s="22"/>
      <c r="D737" s="22"/>
      <c r="E737" s="22"/>
      <c r="F737" s="22"/>
      <c r="G737" s="112"/>
      <c r="H737" s="112"/>
      <c r="I737" s="112"/>
      <c r="J737" s="112"/>
      <c r="K737" s="112"/>
      <c r="L737" s="112"/>
      <c r="M737" s="253"/>
      <c r="N737" s="253"/>
      <c r="O737" s="253"/>
      <c r="P737" s="253"/>
      <c r="Q737" s="253"/>
      <c r="R737" s="253"/>
      <c r="S737" s="253"/>
      <c r="T737" s="253"/>
      <c r="U737" s="253"/>
      <c r="V737" s="253"/>
      <c r="W737" s="253"/>
      <c r="X737" s="253"/>
      <c r="Y737" s="253"/>
      <c r="Z737" s="253"/>
      <c r="AA737" s="253"/>
      <c r="AB737" s="253"/>
      <c r="AC737" s="253"/>
    </row>
    <row r="738">
      <c r="A738" s="22"/>
      <c r="B738" s="22"/>
      <c r="C738" s="22"/>
      <c r="D738" s="22"/>
      <c r="E738" s="22"/>
      <c r="F738" s="22"/>
      <c r="G738" s="112"/>
      <c r="H738" s="112"/>
      <c r="I738" s="112"/>
      <c r="J738" s="112"/>
      <c r="K738" s="112"/>
      <c r="L738" s="112"/>
      <c r="M738" s="253"/>
      <c r="N738" s="253"/>
      <c r="O738" s="253"/>
      <c r="P738" s="253"/>
      <c r="Q738" s="253"/>
      <c r="R738" s="253"/>
      <c r="S738" s="253"/>
      <c r="T738" s="253"/>
      <c r="U738" s="253"/>
      <c r="V738" s="253"/>
      <c r="W738" s="253"/>
      <c r="X738" s="253"/>
      <c r="Y738" s="253"/>
      <c r="Z738" s="253"/>
      <c r="AA738" s="253"/>
      <c r="AB738" s="253"/>
      <c r="AC738" s="253"/>
    </row>
    <row r="739">
      <c r="A739" s="22"/>
      <c r="B739" s="22"/>
      <c r="C739" s="22"/>
      <c r="D739" s="22"/>
      <c r="E739" s="22"/>
      <c r="F739" s="22"/>
      <c r="G739" s="112"/>
      <c r="H739" s="112"/>
      <c r="I739" s="112"/>
      <c r="J739" s="112"/>
      <c r="K739" s="112"/>
      <c r="L739" s="112"/>
      <c r="M739" s="253"/>
      <c r="N739" s="253"/>
      <c r="O739" s="253"/>
      <c r="P739" s="253"/>
      <c r="Q739" s="253"/>
      <c r="R739" s="253"/>
      <c r="S739" s="253"/>
      <c r="T739" s="253"/>
      <c r="U739" s="253"/>
      <c r="V739" s="253"/>
      <c r="W739" s="253"/>
      <c r="X739" s="253"/>
      <c r="Y739" s="253"/>
      <c r="Z739" s="253"/>
      <c r="AA739" s="253"/>
      <c r="AB739" s="253"/>
      <c r="AC739" s="253"/>
    </row>
    <row r="740">
      <c r="A740" s="22"/>
      <c r="B740" s="22"/>
      <c r="C740" s="22"/>
      <c r="D740" s="22"/>
      <c r="E740" s="22"/>
      <c r="F740" s="22"/>
      <c r="G740" s="112"/>
      <c r="H740" s="112"/>
      <c r="I740" s="112"/>
      <c r="J740" s="112"/>
      <c r="K740" s="112"/>
      <c r="L740" s="112"/>
      <c r="M740" s="253"/>
      <c r="N740" s="253"/>
      <c r="O740" s="253"/>
      <c r="P740" s="253"/>
      <c r="Q740" s="253"/>
      <c r="R740" s="253"/>
      <c r="S740" s="253"/>
      <c r="T740" s="253"/>
      <c r="U740" s="253"/>
      <c r="V740" s="253"/>
      <c r="W740" s="253"/>
      <c r="X740" s="253"/>
      <c r="Y740" s="253"/>
      <c r="Z740" s="253"/>
      <c r="AA740" s="253"/>
      <c r="AB740" s="253"/>
      <c r="AC740" s="253"/>
    </row>
    <row r="741">
      <c r="A741" s="22"/>
      <c r="B741" s="22"/>
      <c r="C741" s="22"/>
      <c r="D741" s="22"/>
      <c r="E741" s="22"/>
      <c r="F741" s="22"/>
      <c r="G741" s="112"/>
      <c r="H741" s="112"/>
      <c r="I741" s="112"/>
      <c r="J741" s="112"/>
      <c r="K741" s="112"/>
      <c r="L741" s="112"/>
      <c r="M741" s="253"/>
      <c r="N741" s="253"/>
      <c r="O741" s="253"/>
      <c r="P741" s="253"/>
      <c r="Q741" s="253"/>
      <c r="R741" s="253"/>
      <c r="S741" s="253"/>
      <c r="T741" s="253"/>
      <c r="U741" s="253"/>
      <c r="V741" s="253"/>
      <c r="W741" s="253"/>
      <c r="X741" s="253"/>
      <c r="Y741" s="253"/>
      <c r="Z741" s="253"/>
      <c r="AA741" s="253"/>
      <c r="AB741" s="253"/>
      <c r="AC741" s="253"/>
    </row>
    <row r="742">
      <c r="A742" s="22"/>
      <c r="B742" s="22"/>
      <c r="C742" s="22"/>
      <c r="D742" s="22"/>
      <c r="E742" s="22"/>
      <c r="F742" s="22"/>
      <c r="G742" s="112"/>
      <c r="H742" s="112"/>
      <c r="I742" s="112"/>
      <c r="J742" s="112"/>
      <c r="K742" s="112"/>
      <c r="L742" s="112"/>
      <c r="M742" s="253"/>
      <c r="N742" s="253"/>
      <c r="O742" s="253"/>
      <c r="P742" s="253"/>
      <c r="Q742" s="253"/>
      <c r="R742" s="253"/>
      <c r="S742" s="253"/>
      <c r="T742" s="253"/>
      <c r="U742" s="253"/>
      <c r="V742" s="253"/>
      <c r="W742" s="253"/>
      <c r="X742" s="253"/>
      <c r="Y742" s="253"/>
      <c r="Z742" s="253"/>
      <c r="AA742" s="253"/>
      <c r="AB742" s="253"/>
      <c r="AC742" s="253"/>
    </row>
    <row r="743">
      <c r="A743" s="22"/>
      <c r="B743" s="22"/>
      <c r="C743" s="22"/>
      <c r="D743" s="22"/>
      <c r="E743" s="22"/>
      <c r="F743" s="22"/>
      <c r="G743" s="112"/>
      <c r="H743" s="112"/>
      <c r="I743" s="112"/>
      <c r="J743" s="112"/>
      <c r="K743" s="112"/>
      <c r="L743" s="112"/>
      <c r="M743" s="253"/>
      <c r="N743" s="253"/>
      <c r="O743" s="253"/>
      <c r="P743" s="253"/>
      <c r="Q743" s="253"/>
      <c r="R743" s="253"/>
      <c r="S743" s="253"/>
      <c r="T743" s="253"/>
      <c r="U743" s="253"/>
      <c r="V743" s="253"/>
      <c r="W743" s="253"/>
      <c r="X743" s="253"/>
      <c r="Y743" s="253"/>
      <c r="Z743" s="253"/>
      <c r="AA743" s="253"/>
      <c r="AB743" s="253"/>
      <c r="AC743" s="253"/>
    </row>
    <row r="744">
      <c r="A744" s="22"/>
      <c r="B744" s="22"/>
      <c r="C744" s="22"/>
      <c r="D744" s="22"/>
      <c r="E744" s="22"/>
      <c r="F744" s="22"/>
      <c r="G744" s="112"/>
      <c r="H744" s="112"/>
      <c r="I744" s="112"/>
      <c r="J744" s="112"/>
      <c r="K744" s="112"/>
      <c r="L744" s="112"/>
      <c r="M744" s="253"/>
      <c r="N744" s="253"/>
      <c r="O744" s="253"/>
      <c r="P744" s="253"/>
      <c r="Q744" s="253"/>
      <c r="R744" s="253"/>
      <c r="S744" s="253"/>
      <c r="T744" s="253"/>
      <c r="U744" s="253"/>
      <c r="V744" s="253"/>
      <c r="W744" s="253"/>
      <c r="X744" s="253"/>
      <c r="Y744" s="253"/>
      <c r="Z744" s="253"/>
      <c r="AA744" s="253"/>
      <c r="AB744" s="253"/>
      <c r="AC744" s="253"/>
    </row>
    <row r="745">
      <c r="A745" s="22"/>
      <c r="B745" s="22"/>
      <c r="C745" s="22"/>
      <c r="D745" s="22"/>
      <c r="E745" s="22"/>
      <c r="F745" s="22"/>
      <c r="G745" s="112"/>
      <c r="H745" s="112"/>
      <c r="I745" s="112"/>
      <c r="J745" s="112"/>
      <c r="K745" s="112"/>
      <c r="L745" s="112"/>
      <c r="M745" s="253"/>
      <c r="N745" s="253"/>
      <c r="O745" s="253"/>
      <c r="P745" s="253"/>
      <c r="Q745" s="253"/>
      <c r="R745" s="253"/>
      <c r="S745" s="253"/>
      <c r="T745" s="253"/>
      <c r="U745" s="253"/>
      <c r="V745" s="253"/>
      <c r="W745" s="253"/>
      <c r="X745" s="253"/>
      <c r="Y745" s="253"/>
      <c r="Z745" s="253"/>
      <c r="AA745" s="253"/>
      <c r="AB745" s="253"/>
      <c r="AC745" s="253"/>
    </row>
    <row r="746">
      <c r="A746" s="22"/>
      <c r="B746" s="22"/>
      <c r="C746" s="22"/>
      <c r="D746" s="22"/>
      <c r="E746" s="22"/>
      <c r="F746" s="22"/>
      <c r="G746" s="112"/>
      <c r="H746" s="112"/>
      <c r="I746" s="112"/>
      <c r="J746" s="112"/>
      <c r="K746" s="112"/>
      <c r="L746" s="112"/>
      <c r="M746" s="253"/>
      <c r="N746" s="253"/>
      <c r="O746" s="253"/>
      <c r="P746" s="253"/>
      <c r="Q746" s="253"/>
      <c r="R746" s="253"/>
      <c r="S746" s="253"/>
      <c r="T746" s="253"/>
      <c r="U746" s="253"/>
      <c r="V746" s="253"/>
      <c r="W746" s="253"/>
      <c r="X746" s="253"/>
      <c r="Y746" s="253"/>
      <c r="Z746" s="253"/>
      <c r="AA746" s="253"/>
      <c r="AB746" s="253"/>
      <c r="AC746" s="253"/>
    </row>
    <row r="747">
      <c r="A747" s="22"/>
      <c r="B747" s="22"/>
      <c r="C747" s="22"/>
      <c r="D747" s="22"/>
      <c r="E747" s="22"/>
      <c r="F747" s="22"/>
      <c r="G747" s="112"/>
      <c r="H747" s="112"/>
      <c r="I747" s="112"/>
      <c r="J747" s="112"/>
      <c r="K747" s="112"/>
      <c r="L747" s="112"/>
      <c r="M747" s="253"/>
      <c r="N747" s="253"/>
      <c r="O747" s="253"/>
      <c r="P747" s="253"/>
      <c r="Q747" s="253"/>
      <c r="R747" s="253"/>
      <c r="S747" s="253"/>
      <c r="T747" s="253"/>
      <c r="U747" s="253"/>
      <c r="V747" s="253"/>
      <c r="W747" s="253"/>
      <c r="X747" s="253"/>
      <c r="Y747" s="253"/>
      <c r="Z747" s="253"/>
      <c r="AA747" s="253"/>
      <c r="AB747" s="253"/>
      <c r="AC747" s="253"/>
    </row>
    <row r="748">
      <c r="A748" s="22"/>
      <c r="B748" s="22"/>
      <c r="C748" s="22"/>
      <c r="D748" s="22"/>
      <c r="E748" s="22"/>
      <c r="F748" s="22"/>
      <c r="G748" s="112"/>
      <c r="H748" s="112"/>
      <c r="I748" s="112"/>
      <c r="J748" s="112"/>
      <c r="K748" s="112"/>
      <c r="L748" s="112"/>
      <c r="M748" s="253"/>
      <c r="N748" s="253"/>
      <c r="O748" s="253"/>
      <c r="P748" s="253"/>
      <c r="Q748" s="253"/>
      <c r="R748" s="253"/>
      <c r="S748" s="253"/>
      <c r="T748" s="253"/>
      <c r="U748" s="253"/>
      <c r="V748" s="253"/>
      <c r="W748" s="253"/>
      <c r="X748" s="253"/>
      <c r="Y748" s="253"/>
      <c r="Z748" s="253"/>
      <c r="AA748" s="253"/>
      <c r="AB748" s="253"/>
      <c r="AC748" s="253"/>
    </row>
    <row r="749">
      <c r="A749" s="22"/>
      <c r="B749" s="22"/>
      <c r="C749" s="22"/>
      <c r="D749" s="22"/>
      <c r="E749" s="22"/>
      <c r="F749" s="22"/>
      <c r="G749" s="112"/>
      <c r="H749" s="112"/>
      <c r="I749" s="112"/>
      <c r="J749" s="112"/>
      <c r="K749" s="112"/>
      <c r="L749" s="112"/>
      <c r="M749" s="253"/>
      <c r="N749" s="253"/>
      <c r="O749" s="253"/>
      <c r="P749" s="253"/>
      <c r="Q749" s="253"/>
      <c r="R749" s="253"/>
      <c r="S749" s="253"/>
      <c r="T749" s="253"/>
      <c r="U749" s="253"/>
      <c r="V749" s="253"/>
      <c r="W749" s="253"/>
      <c r="X749" s="253"/>
      <c r="Y749" s="253"/>
      <c r="Z749" s="253"/>
      <c r="AA749" s="253"/>
      <c r="AB749" s="253"/>
      <c r="AC749" s="253"/>
    </row>
    <row r="750">
      <c r="A750" s="22"/>
      <c r="B750" s="22"/>
      <c r="C750" s="22"/>
      <c r="D750" s="22"/>
      <c r="E750" s="22"/>
      <c r="F750" s="22"/>
      <c r="G750" s="112"/>
      <c r="H750" s="112"/>
      <c r="I750" s="112"/>
      <c r="J750" s="112"/>
      <c r="K750" s="112"/>
      <c r="L750" s="112"/>
      <c r="M750" s="253"/>
      <c r="N750" s="253"/>
      <c r="O750" s="253"/>
      <c r="P750" s="253"/>
      <c r="Q750" s="253"/>
      <c r="R750" s="253"/>
      <c r="S750" s="253"/>
      <c r="T750" s="253"/>
      <c r="U750" s="253"/>
      <c r="V750" s="253"/>
      <c r="W750" s="253"/>
      <c r="X750" s="253"/>
      <c r="Y750" s="253"/>
      <c r="Z750" s="253"/>
      <c r="AA750" s="253"/>
      <c r="AB750" s="253"/>
      <c r="AC750" s="253"/>
    </row>
    <row r="751">
      <c r="A751" s="22"/>
      <c r="B751" s="22"/>
      <c r="C751" s="22"/>
      <c r="D751" s="22"/>
      <c r="E751" s="22"/>
      <c r="F751" s="22"/>
      <c r="G751" s="112"/>
      <c r="H751" s="112"/>
      <c r="I751" s="112"/>
      <c r="J751" s="112"/>
      <c r="K751" s="112"/>
      <c r="L751" s="112"/>
      <c r="M751" s="253"/>
      <c r="N751" s="253"/>
      <c r="O751" s="253"/>
      <c r="P751" s="253"/>
      <c r="Q751" s="253"/>
      <c r="R751" s="253"/>
      <c r="S751" s="253"/>
      <c r="T751" s="253"/>
      <c r="U751" s="253"/>
      <c r="V751" s="253"/>
      <c r="W751" s="253"/>
      <c r="X751" s="253"/>
      <c r="Y751" s="253"/>
      <c r="Z751" s="253"/>
      <c r="AA751" s="253"/>
      <c r="AB751" s="253"/>
      <c r="AC751" s="253"/>
    </row>
    <row r="752">
      <c r="A752" s="22"/>
      <c r="B752" s="22"/>
      <c r="C752" s="22"/>
      <c r="D752" s="22"/>
      <c r="E752" s="22"/>
      <c r="F752" s="22"/>
      <c r="G752" s="112"/>
      <c r="H752" s="112"/>
      <c r="I752" s="112"/>
      <c r="J752" s="112"/>
      <c r="K752" s="112"/>
      <c r="L752" s="112"/>
      <c r="M752" s="253"/>
      <c r="N752" s="253"/>
      <c r="O752" s="253"/>
      <c r="P752" s="253"/>
      <c r="Q752" s="253"/>
      <c r="R752" s="253"/>
      <c r="S752" s="253"/>
      <c r="T752" s="253"/>
      <c r="U752" s="253"/>
      <c r="V752" s="253"/>
      <c r="W752" s="253"/>
      <c r="X752" s="253"/>
      <c r="Y752" s="253"/>
      <c r="Z752" s="253"/>
      <c r="AA752" s="253"/>
      <c r="AB752" s="253"/>
      <c r="AC752" s="253"/>
    </row>
    <row r="753">
      <c r="A753" s="22"/>
      <c r="B753" s="22"/>
      <c r="C753" s="22"/>
      <c r="D753" s="22"/>
      <c r="E753" s="22"/>
      <c r="F753" s="22"/>
      <c r="G753" s="112"/>
      <c r="H753" s="112"/>
      <c r="I753" s="112"/>
      <c r="J753" s="112"/>
      <c r="K753" s="112"/>
      <c r="L753" s="112"/>
      <c r="M753" s="253"/>
      <c r="N753" s="253"/>
      <c r="O753" s="253"/>
      <c r="P753" s="253"/>
      <c r="Q753" s="253"/>
      <c r="R753" s="253"/>
      <c r="S753" s="253"/>
      <c r="T753" s="253"/>
      <c r="U753" s="253"/>
      <c r="V753" s="253"/>
      <c r="W753" s="253"/>
      <c r="X753" s="253"/>
      <c r="Y753" s="253"/>
      <c r="Z753" s="253"/>
      <c r="AA753" s="253"/>
      <c r="AB753" s="253"/>
      <c r="AC753" s="253"/>
    </row>
    <row r="754">
      <c r="A754" s="22"/>
      <c r="B754" s="22"/>
      <c r="C754" s="22"/>
      <c r="D754" s="22"/>
      <c r="E754" s="22"/>
      <c r="F754" s="22"/>
      <c r="G754" s="112"/>
      <c r="H754" s="112"/>
      <c r="I754" s="112"/>
      <c r="J754" s="112"/>
      <c r="K754" s="112"/>
      <c r="L754" s="112"/>
      <c r="M754" s="253"/>
      <c r="N754" s="253"/>
      <c r="O754" s="253"/>
      <c r="P754" s="253"/>
      <c r="Q754" s="253"/>
      <c r="R754" s="253"/>
      <c r="S754" s="253"/>
      <c r="T754" s="253"/>
      <c r="U754" s="253"/>
      <c r="V754" s="253"/>
      <c r="W754" s="253"/>
      <c r="X754" s="253"/>
      <c r="Y754" s="253"/>
      <c r="Z754" s="253"/>
      <c r="AA754" s="253"/>
      <c r="AB754" s="253"/>
      <c r="AC754" s="253"/>
    </row>
    <row r="755">
      <c r="A755" s="22"/>
      <c r="B755" s="22"/>
      <c r="C755" s="22"/>
      <c r="D755" s="22"/>
      <c r="E755" s="22"/>
      <c r="F755" s="22"/>
      <c r="G755" s="112"/>
      <c r="H755" s="112"/>
      <c r="I755" s="112"/>
      <c r="J755" s="112"/>
      <c r="K755" s="112"/>
      <c r="L755" s="112"/>
      <c r="M755" s="253"/>
      <c r="N755" s="253"/>
      <c r="O755" s="253"/>
      <c r="P755" s="253"/>
      <c r="Q755" s="253"/>
      <c r="R755" s="253"/>
      <c r="S755" s="253"/>
      <c r="T755" s="253"/>
      <c r="U755" s="253"/>
      <c r="V755" s="253"/>
      <c r="W755" s="253"/>
      <c r="X755" s="253"/>
      <c r="Y755" s="253"/>
      <c r="Z755" s="253"/>
      <c r="AA755" s="253"/>
      <c r="AB755" s="253"/>
      <c r="AC755" s="253"/>
    </row>
    <row r="756">
      <c r="A756" s="22"/>
      <c r="B756" s="22"/>
      <c r="C756" s="22"/>
      <c r="D756" s="22"/>
      <c r="E756" s="22"/>
      <c r="F756" s="22"/>
      <c r="G756" s="112"/>
      <c r="H756" s="112"/>
      <c r="I756" s="112"/>
      <c r="J756" s="112"/>
      <c r="K756" s="112"/>
      <c r="L756" s="112"/>
      <c r="M756" s="253"/>
      <c r="N756" s="253"/>
      <c r="O756" s="253"/>
      <c r="P756" s="253"/>
      <c r="Q756" s="253"/>
      <c r="R756" s="253"/>
      <c r="S756" s="253"/>
      <c r="T756" s="253"/>
      <c r="U756" s="253"/>
      <c r="V756" s="253"/>
      <c r="W756" s="253"/>
      <c r="X756" s="253"/>
      <c r="Y756" s="253"/>
      <c r="Z756" s="253"/>
      <c r="AA756" s="253"/>
      <c r="AB756" s="253"/>
      <c r="AC756" s="253"/>
    </row>
    <row r="757">
      <c r="A757" s="22"/>
      <c r="B757" s="22"/>
      <c r="C757" s="22"/>
      <c r="D757" s="22"/>
      <c r="E757" s="22"/>
      <c r="F757" s="22"/>
      <c r="G757" s="112"/>
      <c r="H757" s="112"/>
      <c r="I757" s="112"/>
      <c r="J757" s="112"/>
      <c r="K757" s="112"/>
      <c r="L757" s="112"/>
      <c r="M757" s="253"/>
      <c r="N757" s="253"/>
      <c r="O757" s="253"/>
      <c r="P757" s="253"/>
      <c r="Q757" s="253"/>
      <c r="R757" s="253"/>
      <c r="S757" s="253"/>
      <c r="T757" s="253"/>
      <c r="U757" s="253"/>
      <c r="V757" s="253"/>
      <c r="W757" s="253"/>
      <c r="X757" s="253"/>
      <c r="Y757" s="253"/>
      <c r="Z757" s="253"/>
      <c r="AA757" s="253"/>
      <c r="AB757" s="253"/>
      <c r="AC757" s="253"/>
    </row>
    <row r="758">
      <c r="A758" s="22"/>
      <c r="B758" s="22"/>
      <c r="C758" s="22"/>
      <c r="D758" s="22"/>
      <c r="E758" s="22"/>
      <c r="F758" s="22"/>
      <c r="G758" s="112"/>
      <c r="H758" s="112"/>
      <c r="I758" s="112"/>
      <c r="J758" s="112"/>
      <c r="K758" s="112"/>
      <c r="L758" s="112"/>
      <c r="M758" s="253"/>
      <c r="N758" s="253"/>
      <c r="O758" s="253"/>
      <c r="P758" s="253"/>
      <c r="Q758" s="253"/>
      <c r="R758" s="253"/>
      <c r="S758" s="253"/>
      <c r="T758" s="253"/>
      <c r="U758" s="253"/>
      <c r="V758" s="253"/>
      <c r="W758" s="253"/>
      <c r="X758" s="253"/>
      <c r="Y758" s="253"/>
      <c r="Z758" s="253"/>
      <c r="AA758" s="253"/>
      <c r="AB758" s="253"/>
      <c r="AC758" s="253"/>
    </row>
    <row r="759">
      <c r="A759" s="22"/>
      <c r="B759" s="22"/>
      <c r="C759" s="22"/>
      <c r="D759" s="22"/>
      <c r="E759" s="22"/>
      <c r="F759" s="22"/>
      <c r="G759" s="112"/>
      <c r="H759" s="112"/>
      <c r="I759" s="112"/>
      <c r="J759" s="112"/>
      <c r="K759" s="112"/>
      <c r="L759" s="112"/>
      <c r="M759" s="253"/>
      <c r="N759" s="253"/>
      <c r="O759" s="253"/>
      <c r="P759" s="253"/>
      <c r="Q759" s="253"/>
      <c r="R759" s="253"/>
      <c r="S759" s="253"/>
      <c r="T759" s="253"/>
      <c r="U759" s="253"/>
      <c r="V759" s="253"/>
      <c r="W759" s="253"/>
      <c r="X759" s="253"/>
      <c r="Y759" s="253"/>
      <c r="Z759" s="253"/>
      <c r="AA759" s="253"/>
      <c r="AB759" s="253"/>
      <c r="AC759" s="253"/>
    </row>
    <row r="760">
      <c r="A760" s="22"/>
      <c r="B760" s="22"/>
      <c r="C760" s="22"/>
      <c r="D760" s="22"/>
      <c r="E760" s="22"/>
      <c r="F760" s="22"/>
      <c r="G760" s="112"/>
      <c r="H760" s="112"/>
      <c r="I760" s="112"/>
      <c r="J760" s="112"/>
      <c r="K760" s="112"/>
      <c r="L760" s="112"/>
      <c r="M760" s="253"/>
      <c r="N760" s="253"/>
      <c r="O760" s="253"/>
      <c r="P760" s="253"/>
      <c r="Q760" s="253"/>
      <c r="R760" s="253"/>
      <c r="S760" s="253"/>
      <c r="T760" s="253"/>
      <c r="U760" s="253"/>
      <c r="V760" s="253"/>
      <c r="W760" s="253"/>
      <c r="X760" s="253"/>
      <c r="Y760" s="253"/>
      <c r="Z760" s="253"/>
      <c r="AA760" s="253"/>
      <c r="AB760" s="253"/>
      <c r="AC760" s="253"/>
    </row>
    <row r="761">
      <c r="A761" s="22"/>
      <c r="B761" s="22"/>
      <c r="C761" s="22"/>
      <c r="D761" s="22"/>
      <c r="E761" s="22"/>
      <c r="F761" s="22"/>
      <c r="G761" s="112"/>
      <c r="H761" s="112"/>
      <c r="I761" s="112"/>
      <c r="J761" s="112"/>
      <c r="K761" s="112"/>
      <c r="L761" s="112"/>
      <c r="M761" s="253"/>
      <c r="N761" s="253"/>
      <c r="O761" s="253"/>
      <c r="P761" s="253"/>
      <c r="Q761" s="253"/>
      <c r="R761" s="253"/>
      <c r="S761" s="253"/>
      <c r="T761" s="253"/>
      <c r="U761" s="253"/>
      <c r="V761" s="253"/>
      <c r="W761" s="253"/>
      <c r="X761" s="253"/>
      <c r="Y761" s="253"/>
      <c r="Z761" s="253"/>
      <c r="AA761" s="253"/>
      <c r="AB761" s="253"/>
      <c r="AC761" s="253"/>
    </row>
    <row r="762">
      <c r="A762" s="22"/>
      <c r="B762" s="22"/>
      <c r="C762" s="22"/>
      <c r="D762" s="22"/>
      <c r="E762" s="22"/>
      <c r="F762" s="22"/>
      <c r="G762" s="112"/>
      <c r="H762" s="112"/>
      <c r="I762" s="112"/>
      <c r="J762" s="112"/>
      <c r="K762" s="112"/>
      <c r="L762" s="112"/>
      <c r="M762" s="253"/>
      <c r="N762" s="253"/>
      <c r="O762" s="253"/>
      <c r="P762" s="253"/>
      <c r="Q762" s="253"/>
      <c r="R762" s="253"/>
      <c r="S762" s="253"/>
      <c r="T762" s="253"/>
      <c r="U762" s="253"/>
      <c r="V762" s="253"/>
      <c r="W762" s="253"/>
      <c r="X762" s="253"/>
      <c r="Y762" s="253"/>
      <c r="Z762" s="253"/>
      <c r="AA762" s="253"/>
      <c r="AB762" s="253"/>
      <c r="AC762" s="253"/>
    </row>
    <row r="763">
      <c r="A763" s="22"/>
      <c r="B763" s="22"/>
      <c r="C763" s="22"/>
      <c r="D763" s="22"/>
      <c r="E763" s="22"/>
      <c r="F763" s="22"/>
      <c r="G763" s="112"/>
      <c r="H763" s="112"/>
      <c r="I763" s="112"/>
      <c r="J763" s="112"/>
      <c r="K763" s="112"/>
      <c r="L763" s="112"/>
      <c r="M763" s="253"/>
      <c r="N763" s="253"/>
      <c r="O763" s="253"/>
      <c r="P763" s="253"/>
      <c r="Q763" s="253"/>
      <c r="R763" s="253"/>
      <c r="S763" s="253"/>
      <c r="T763" s="253"/>
      <c r="U763" s="253"/>
      <c r="V763" s="253"/>
      <c r="W763" s="253"/>
      <c r="X763" s="253"/>
      <c r="Y763" s="253"/>
      <c r="Z763" s="253"/>
      <c r="AA763" s="253"/>
      <c r="AB763" s="253"/>
      <c r="AC763" s="253"/>
    </row>
    <row r="764">
      <c r="A764" s="22"/>
      <c r="B764" s="22"/>
      <c r="C764" s="22"/>
      <c r="D764" s="22"/>
      <c r="E764" s="22"/>
      <c r="F764" s="22"/>
      <c r="G764" s="112"/>
      <c r="H764" s="112"/>
      <c r="I764" s="112"/>
      <c r="J764" s="112"/>
      <c r="K764" s="112"/>
      <c r="L764" s="112"/>
      <c r="M764" s="253"/>
      <c r="N764" s="253"/>
      <c r="O764" s="253"/>
      <c r="P764" s="253"/>
      <c r="Q764" s="253"/>
      <c r="R764" s="253"/>
      <c r="S764" s="253"/>
      <c r="T764" s="253"/>
      <c r="U764" s="253"/>
      <c r="V764" s="253"/>
      <c r="W764" s="253"/>
      <c r="X764" s="253"/>
      <c r="Y764" s="253"/>
      <c r="Z764" s="253"/>
      <c r="AA764" s="253"/>
      <c r="AB764" s="253"/>
      <c r="AC764" s="253"/>
    </row>
    <row r="765">
      <c r="A765" s="22"/>
      <c r="B765" s="22"/>
      <c r="C765" s="22"/>
      <c r="D765" s="22"/>
      <c r="E765" s="22"/>
      <c r="F765" s="22"/>
      <c r="G765" s="112"/>
      <c r="H765" s="112"/>
      <c r="I765" s="112"/>
      <c r="J765" s="112"/>
      <c r="K765" s="112"/>
      <c r="L765" s="112"/>
      <c r="M765" s="253"/>
      <c r="N765" s="253"/>
      <c r="O765" s="253"/>
      <c r="P765" s="253"/>
      <c r="Q765" s="253"/>
      <c r="R765" s="253"/>
      <c r="S765" s="253"/>
      <c r="T765" s="253"/>
      <c r="U765" s="253"/>
      <c r="V765" s="253"/>
      <c r="W765" s="253"/>
      <c r="X765" s="253"/>
      <c r="Y765" s="253"/>
      <c r="Z765" s="253"/>
      <c r="AA765" s="253"/>
      <c r="AB765" s="253"/>
      <c r="AC765" s="253"/>
    </row>
    <row r="766">
      <c r="A766" s="22"/>
      <c r="B766" s="22"/>
      <c r="C766" s="22"/>
      <c r="D766" s="22"/>
      <c r="E766" s="22"/>
      <c r="F766" s="22"/>
      <c r="G766" s="112"/>
      <c r="H766" s="112"/>
      <c r="I766" s="112"/>
      <c r="J766" s="112"/>
      <c r="K766" s="112"/>
      <c r="L766" s="112"/>
      <c r="M766" s="253"/>
      <c r="N766" s="253"/>
      <c r="O766" s="253"/>
      <c r="P766" s="253"/>
      <c r="Q766" s="253"/>
      <c r="R766" s="253"/>
      <c r="S766" s="253"/>
      <c r="T766" s="253"/>
      <c r="U766" s="253"/>
      <c r="V766" s="253"/>
      <c r="W766" s="253"/>
      <c r="X766" s="253"/>
      <c r="Y766" s="253"/>
      <c r="Z766" s="253"/>
      <c r="AA766" s="253"/>
      <c r="AB766" s="253"/>
      <c r="AC766" s="253"/>
    </row>
    <row r="767">
      <c r="A767" s="22"/>
      <c r="B767" s="22"/>
      <c r="C767" s="22"/>
      <c r="D767" s="22"/>
      <c r="E767" s="22"/>
      <c r="F767" s="22"/>
      <c r="G767" s="112"/>
      <c r="H767" s="112"/>
      <c r="I767" s="112"/>
      <c r="J767" s="112"/>
      <c r="K767" s="112"/>
      <c r="L767" s="112"/>
      <c r="M767" s="253"/>
      <c r="N767" s="253"/>
      <c r="O767" s="253"/>
      <c r="P767" s="253"/>
      <c r="Q767" s="253"/>
      <c r="R767" s="253"/>
      <c r="S767" s="253"/>
      <c r="T767" s="253"/>
      <c r="U767" s="253"/>
      <c r="V767" s="253"/>
      <c r="W767" s="253"/>
      <c r="X767" s="253"/>
      <c r="Y767" s="253"/>
      <c r="Z767" s="253"/>
      <c r="AA767" s="253"/>
      <c r="AB767" s="253"/>
      <c r="AC767" s="253"/>
    </row>
    <row r="768">
      <c r="A768" s="22"/>
      <c r="B768" s="22"/>
      <c r="C768" s="22"/>
      <c r="D768" s="22"/>
      <c r="E768" s="22"/>
      <c r="F768" s="22"/>
      <c r="G768" s="112"/>
      <c r="H768" s="112"/>
      <c r="I768" s="112"/>
      <c r="J768" s="112"/>
      <c r="K768" s="112"/>
      <c r="L768" s="112"/>
      <c r="M768" s="253"/>
      <c r="N768" s="253"/>
      <c r="O768" s="253"/>
      <c r="P768" s="253"/>
      <c r="Q768" s="253"/>
      <c r="R768" s="253"/>
      <c r="S768" s="253"/>
      <c r="T768" s="253"/>
      <c r="U768" s="253"/>
      <c r="V768" s="253"/>
      <c r="W768" s="253"/>
      <c r="X768" s="253"/>
      <c r="Y768" s="253"/>
      <c r="Z768" s="253"/>
      <c r="AA768" s="253"/>
      <c r="AB768" s="253"/>
      <c r="AC768" s="253"/>
    </row>
    <row r="769">
      <c r="A769" s="22"/>
      <c r="B769" s="22"/>
      <c r="C769" s="22"/>
      <c r="D769" s="22"/>
      <c r="E769" s="22"/>
      <c r="F769" s="22"/>
      <c r="G769" s="112"/>
      <c r="H769" s="112"/>
      <c r="I769" s="112"/>
      <c r="J769" s="112"/>
      <c r="K769" s="112"/>
      <c r="L769" s="112"/>
      <c r="M769" s="253"/>
      <c r="N769" s="253"/>
      <c r="O769" s="253"/>
      <c r="P769" s="253"/>
      <c r="Q769" s="253"/>
      <c r="R769" s="253"/>
      <c r="S769" s="253"/>
      <c r="T769" s="253"/>
      <c r="U769" s="253"/>
      <c r="V769" s="253"/>
      <c r="W769" s="253"/>
      <c r="X769" s="253"/>
      <c r="Y769" s="253"/>
      <c r="Z769" s="253"/>
      <c r="AA769" s="253"/>
      <c r="AB769" s="253"/>
      <c r="AC769" s="253"/>
    </row>
    <row r="770">
      <c r="A770" s="22"/>
      <c r="B770" s="22"/>
      <c r="C770" s="22"/>
      <c r="D770" s="22"/>
      <c r="E770" s="22"/>
      <c r="F770" s="22"/>
      <c r="G770" s="112"/>
      <c r="H770" s="112"/>
      <c r="I770" s="112"/>
      <c r="J770" s="112"/>
      <c r="K770" s="112"/>
      <c r="L770" s="112"/>
      <c r="M770" s="253"/>
      <c r="N770" s="253"/>
      <c r="O770" s="253"/>
      <c r="P770" s="253"/>
      <c r="Q770" s="253"/>
      <c r="R770" s="253"/>
      <c r="S770" s="253"/>
      <c r="T770" s="253"/>
      <c r="U770" s="253"/>
      <c r="V770" s="253"/>
      <c r="W770" s="253"/>
      <c r="X770" s="253"/>
      <c r="Y770" s="253"/>
      <c r="Z770" s="253"/>
      <c r="AA770" s="253"/>
      <c r="AB770" s="253"/>
      <c r="AC770" s="253"/>
    </row>
    <row r="771">
      <c r="A771" s="22"/>
      <c r="B771" s="22"/>
      <c r="C771" s="22"/>
      <c r="D771" s="22"/>
      <c r="E771" s="22"/>
      <c r="F771" s="22"/>
      <c r="G771" s="112"/>
      <c r="H771" s="112"/>
      <c r="I771" s="112"/>
      <c r="J771" s="112"/>
      <c r="K771" s="112"/>
      <c r="L771" s="112"/>
      <c r="M771" s="253"/>
      <c r="N771" s="253"/>
      <c r="O771" s="253"/>
      <c r="P771" s="253"/>
      <c r="Q771" s="253"/>
      <c r="R771" s="253"/>
      <c r="S771" s="253"/>
      <c r="T771" s="253"/>
      <c r="U771" s="253"/>
      <c r="V771" s="253"/>
      <c r="W771" s="253"/>
      <c r="X771" s="253"/>
      <c r="Y771" s="253"/>
      <c r="Z771" s="253"/>
      <c r="AA771" s="253"/>
      <c r="AB771" s="253"/>
      <c r="AC771" s="253"/>
    </row>
    <row r="772">
      <c r="A772" s="22"/>
      <c r="B772" s="22"/>
      <c r="C772" s="22"/>
      <c r="D772" s="22"/>
      <c r="E772" s="22"/>
      <c r="F772" s="22"/>
      <c r="G772" s="112"/>
      <c r="H772" s="112"/>
      <c r="I772" s="112"/>
      <c r="J772" s="112"/>
      <c r="K772" s="112"/>
      <c r="L772" s="112"/>
      <c r="M772" s="253"/>
      <c r="N772" s="253"/>
      <c r="O772" s="253"/>
      <c r="P772" s="253"/>
      <c r="Q772" s="253"/>
      <c r="R772" s="253"/>
      <c r="S772" s="253"/>
      <c r="T772" s="253"/>
      <c r="U772" s="253"/>
      <c r="V772" s="253"/>
      <c r="W772" s="253"/>
      <c r="X772" s="253"/>
      <c r="Y772" s="253"/>
      <c r="Z772" s="253"/>
      <c r="AA772" s="253"/>
      <c r="AB772" s="253"/>
      <c r="AC772" s="253"/>
    </row>
    <row r="773">
      <c r="A773" s="22"/>
      <c r="B773" s="22"/>
      <c r="C773" s="22"/>
      <c r="D773" s="22"/>
      <c r="E773" s="22"/>
      <c r="F773" s="22"/>
      <c r="G773" s="112"/>
      <c r="H773" s="112"/>
      <c r="I773" s="112"/>
      <c r="J773" s="112"/>
      <c r="K773" s="112"/>
      <c r="L773" s="112"/>
      <c r="M773" s="253"/>
      <c r="N773" s="253"/>
      <c r="O773" s="253"/>
      <c r="P773" s="253"/>
      <c r="Q773" s="253"/>
      <c r="R773" s="253"/>
      <c r="S773" s="253"/>
      <c r="T773" s="253"/>
      <c r="U773" s="253"/>
      <c r="V773" s="253"/>
      <c r="W773" s="253"/>
      <c r="X773" s="253"/>
      <c r="Y773" s="253"/>
      <c r="Z773" s="253"/>
      <c r="AA773" s="253"/>
      <c r="AB773" s="253"/>
      <c r="AC773" s="253"/>
    </row>
    <row r="774">
      <c r="A774" s="22"/>
      <c r="B774" s="22"/>
      <c r="C774" s="22"/>
      <c r="D774" s="22"/>
      <c r="E774" s="22"/>
      <c r="F774" s="22"/>
      <c r="G774" s="112"/>
      <c r="H774" s="112"/>
      <c r="I774" s="112"/>
      <c r="J774" s="112"/>
      <c r="K774" s="112"/>
      <c r="L774" s="112"/>
      <c r="M774" s="253"/>
      <c r="N774" s="253"/>
      <c r="O774" s="253"/>
      <c r="P774" s="253"/>
      <c r="Q774" s="253"/>
      <c r="R774" s="253"/>
      <c r="S774" s="253"/>
      <c r="T774" s="253"/>
      <c r="U774" s="253"/>
      <c r="V774" s="253"/>
      <c r="W774" s="253"/>
      <c r="X774" s="253"/>
      <c r="Y774" s="253"/>
      <c r="Z774" s="253"/>
      <c r="AA774" s="253"/>
      <c r="AB774" s="253"/>
      <c r="AC774" s="253"/>
    </row>
    <row r="775">
      <c r="A775" s="22"/>
      <c r="B775" s="22"/>
      <c r="C775" s="22"/>
      <c r="D775" s="22"/>
      <c r="E775" s="22"/>
      <c r="F775" s="22"/>
      <c r="G775" s="112"/>
      <c r="H775" s="112"/>
      <c r="I775" s="112"/>
      <c r="J775" s="112"/>
      <c r="K775" s="112"/>
      <c r="L775" s="112"/>
      <c r="M775" s="253"/>
      <c r="N775" s="253"/>
      <c r="O775" s="253"/>
      <c r="P775" s="253"/>
      <c r="Q775" s="253"/>
      <c r="R775" s="253"/>
      <c r="S775" s="253"/>
      <c r="T775" s="253"/>
      <c r="U775" s="253"/>
      <c r="V775" s="253"/>
      <c r="W775" s="253"/>
      <c r="X775" s="253"/>
      <c r="Y775" s="253"/>
      <c r="Z775" s="253"/>
      <c r="AA775" s="253"/>
      <c r="AB775" s="253"/>
      <c r="AC775" s="253"/>
    </row>
    <row r="776">
      <c r="A776" s="22"/>
      <c r="B776" s="22"/>
      <c r="C776" s="22"/>
      <c r="D776" s="22"/>
      <c r="E776" s="22"/>
      <c r="F776" s="22"/>
      <c r="G776" s="112"/>
      <c r="H776" s="112"/>
      <c r="I776" s="112"/>
      <c r="J776" s="112"/>
      <c r="K776" s="112"/>
      <c r="L776" s="112"/>
      <c r="M776" s="253"/>
      <c r="N776" s="253"/>
      <c r="O776" s="253"/>
      <c r="P776" s="253"/>
      <c r="Q776" s="253"/>
      <c r="R776" s="253"/>
      <c r="S776" s="253"/>
      <c r="T776" s="253"/>
      <c r="U776" s="253"/>
      <c r="V776" s="253"/>
      <c r="W776" s="253"/>
      <c r="X776" s="253"/>
      <c r="Y776" s="253"/>
      <c r="Z776" s="253"/>
      <c r="AA776" s="253"/>
      <c r="AB776" s="253"/>
      <c r="AC776" s="253"/>
    </row>
    <row r="777">
      <c r="A777" s="22"/>
      <c r="B777" s="22"/>
      <c r="C777" s="22"/>
      <c r="D777" s="22"/>
      <c r="E777" s="22"/>
      <c r="F777" s="22"/>
      <c r="G777" s="112"/>
      <c r="H777" s="112"/>
      <c r="I777" s="112"/>
      <c r="J777" s="112"/>
      <c r="K777" s="112"/>
      <c r="L777" s="112"/>
      <c r="M777" s="253"/>
      <c r="N777" s="253"/>
      <c r="O777" s="253"/>
      <c r="P777" s="253"/>
      <c r="Q777" s="253"/>
      <c r="R777" s="253"/>
      <c r="S777" s="253"/>
      <c r="T777" s="253"/>
      <c r="U777" s="253"/>
      <c r="V777" s="253"/>
      <c r="W777" s="253"/>
      <c r="X777" s="253"/>
      <c r="Y777" s="253"/>
      <c r="Z777" s="253"/>
      <c r="AA777" s="253"/>
      <c r="AB777" s="253"/>
      <c r="AC777" s="253"/>
    </row>
    <row r="778">
      <c r="A778" s="22"/>
      <c r="B778" s="22"/>
      <c r="C778" s="22"/>
      <c r="D778" s="22"/>
      <c r="E778" s="22"/>
      <c r="F778" s="22"/>
      <c r="G778" s="112"/>
      <c r="H778" s="112"/>
      <c r="I778" s="112"/>
      <c r="J778" s="112"/>
      <c r="K778" s="112"/>
      <c r="L778" s="112"/>
      <c r="M778" s="253"/>
      <c r="N778" s="253"/>
      <c r="O778" s="253"/>
      <c r="P778" s="253"/>
      <c r="Q778" s="253"/>
      <c r="R778" s="253"/>
      <c r="S778" s="253"/>
      <c r="T778" s="253"/>
      <c r="U778" s="253"/>
      <c r="V778" s="253"/>
      <c r="W778" s="253"/>
      <c r="X778" s="253"/>
      <c r="Y778" s="253"/>
      <c r="Z778" s="253"/>
      <c r="AA778" s="253"/>
      <c r="AB778" s="253"/>
      <c r="AC778" s="253"/>
    </row>
    <row r="779">
      <c r="A779" s="22"/>
      <c r="B779" s="22"/>
      <c r="C779" s="22"/>
      <c r="D779" s="22"/>
      <c r="E779" s="22"/>
      <c r="F779" s="22"/>
      <c r="G779" s="112"/>
      <c r="H779" s="112"/>
      <c r="I779" s="112"/>
      <c r="J779" s="112"/>
      <c r="K779" s="112"/>
      <c r="L779" s="112"/>
      <c r="M779" s="253"/>
      <c r="N779" s="253"/>
      <c r="O779" s="253"/>
      <c r="P779" s="253"/>
      <c r="Q779" s="253"/>
      <c r="R779" s="253"/>
      <c r="S779" s="253"/>
      <c r="T779" s="253"/>
      <c r="U779" s="253"/>
      <c r="V779" s="253"/>
      <c r="W779" s="253"/>
      <c r="X779" s="253"/>
      <c r="Y779" s="253"/>
      <c r="Z779" s="253"/>
      <c r="AA779" s="253"/>
      <c r="AB779" s="253"/>
      <c r="AC779" s="253"/>
    </row>
    <row r="780">
      <c r="A780" s="22"/>
      <c r="B780" s="22"/>
      <c r="C780" s="22"/>
      <c r="D780" s="22"/>
      <c r="E780" s="22"/>
      <c r="F780" s="22"/>
      <c r="G780" s="112"/>
      <c r="H780" s="112"/>
      <c r="I780" s="112"/>
      <c r="J780" s="112"/>
      <c r="K780" s="112"/>
      <c r="L780" s="112"/>
      <c r="M780" s="253"/>
      <c r="N780" s="253"/>
      <c r="O780" s="253"/>
      <c r="P780" s="253"/>
      <c r="Q780" s="253"/>
      <c r="R780" s="253"/>
      <c r="S780" s="253"/>
      <c r="T780" s="253"/>
      <c r="U780" s="253"/>
      <c r="V780" s="253"/>
      <c r="W780" s="253"/>
      <c r="X780" s="253"/>
      <c r="Y780" s="253"/>
      <c r="Z780" s="253"/>
      <c r="AA780" s="253"/>
      <c r="AB780" s="253"/>
      <c r="AC780" s="253"/>
    </row>
    <row r="781">
      <c r="A781" s="22"/>
      <c r="B781" s="22"/>
      <c r="C781" s="22"/>
      <c r="D781" s="22"/>
      <c r="E781" s="22"/>
      <c r="F781" s="22"/>
      <c r="G781" s="112"/>
      <c r="H781" s="112"/>
      <c r="I781" s="112"/>
      <c r="J781" s="112"/>
      <c r="K781" s="112"/>
      <c r="L781" s="112"/>
      <c r="M781" s="253"/>
      <c r="N781" s="253"/>
      <c r="O781" s="253"/>
      <c r="P781" s="253"/>
      <c r="Q781" s="253"/>
      <c r="R781" s="253"/>
      <c r="S781" s="253"/>
      <c r="T781" s="253"/>
      <c r="U781" s="253"/>
      <c r="V781" s="253"/>
      <c r="W781" s="253"/>
      <c r="X781" s="253"/>
      <c r="Y781" s="253"/>
      <c r="Z781" s="253"/>
      <c r="AA781" s="253"/>
      <c r="AB781" s="253"/>
      <c r="AC781" s="253"/>
    </row>
    <row r="782">
      <c r="A782" s="22"/>
      <c r="B782" s="22"/>
      <c r="C782" s="22"/>
      <c r="D782" s="22"/>
      <c r="E782" s="22"/>
      <c r="F782" s="22"/>
      <c r="G782" s="112"/>
      <c r="H782" s="112"/>
      <c r="I782" s="112"/>
      <c r="J782" s="112"/>
      <c r="K782" s="112"/>
      <c r="L782" s="112"/>
      <c r="M782" s="253"/>
      <c r="N782" s="253"/>
      <c r="O782" s="253"/>
      <c r="P782" s="253"/>
      <c r="Q782" s="253"/>
      <c r="R782" s="253"/>
      <c r="S782" s="253"/>
      <c r="T782" s="253"/>
      <c r="U782" s="253"/>
      <c r="V782" s="253"/>
      <c r="W782" s="253"/>
      <c r="X782" s="253"/>
      <c r="Y782" s="253"/>
      <c r="Z782" s="253"/>
      <c r="AA782" s="253"/>
      <c r="AB782" s="253"/>
      <c r="AC782" s="253"/>
    </row>
    <row r="783">
      <c r="A783" s="22"/>
      <c r="B783" s="22"/>
      <c r="C783" s="22"/>
      <c r="D783" s="22"/>
      <c r="E783" s="22"/>
      <c r="F783" s="22"/>
      <c r="G783" s="112"/>
      <c r="H783" s="112"/>
      <c r="I783" s="112"/>
      <c r="J783" s="112"/>
      <c r="K783" s="112"/>
      <c r="L783" s="112"/>
      <c r="M783" s="253"/>
      <c r="N783" s="253"/>
      <c r="O783" s="253"/>
      <c r="P783" s="253"/>
      <c r="Q783" s="253"/>
      <c r="R783" s="253"/>
      <c r="S783" s="253"/>
      <c r="T783" s="253"/>
      <c r="U783" s="253"/>
      <c r="V783" s="253"/>
      <c r="W783" s="253"/>
      <c r="X783" s="253"/>
      <c r="Y783" s="253"/>
      <c r="Z783" s="253"/>
      <c r="AA783" s="253"/>
      <c r="AB783" s="253"/>
      <c r="AC783" s="253"/>
    </row>
    <row r="784">
      <c r="A784" s="22"/>
      <c r="B784" s="22"/>
      <c r="C784" s="22"/>
      <c r="D784" s="22"/>
      <c r="E784" s="22"/>
      <c r="F784" s="22"/>
      <c r="G784" s="112"/>
      <c r="H784" s="112"/>
      <c r="I784" s="112"/>
      <c r="J784" s="112"/>
      <c r="K784" s="112"/>
      <c r="L784" s="112"/>
      <c r="M784" s="253"/>
      <c r="N784" s="253"/>
      <c r="O784" s="253"/>
      <c r="P784" s="253"/>
      <c r="Q784" s="253"/>
      <c r="R784" s="253"/>
      <c r="S784" s="253"/>
      <c r="T784" s="253"/>
      <c r="U784" s="253"/>
      <c r="V784" s="253"/>
      <c r="W784" s="253"/>
      <c r="X784" s="253"/>
      <c r="Y784" s="253"/>
      <c r="Z784" s="253"/>
      <c r="AA784" s="253"/>
      <c r="AB784" s="253"/>
      <c r="AC784" s="253"/>
    </row>
    <row r="785">
      <c r="A785" s="22"/>
      <c r="B785" s="22"/>
      <c r="C785" s="22"/>
      <c r="D785" s="22"/>
      <c r="E785" s="22"/>
      <c r="F785" s="22"/>
      <c r="G785" s="112"/>
      <c r="H785" s="112"/>
      <c r="I785" s="112"/>
      <c r="J785" s="112"/>
      <c r="K785" s="112"/>
      <c r="L785" s="112"/>
      <c r="M785" s="253"/>
      <c r="N785" s="253"/>
      <c r="O785" s="253"/>
      <c r="P785" s="253"/>
      <c r="Q785" s="253"/>
      <c r="R785" s="253"/>
      <c r="S785" s="253"/>
      <c r="T785" s="253"/>
      <c r="U785" s="253"/>
      <c r="V785" s="253"/>
      <c r="W785" s="253"/>
      <c r="X785" s="253"/>
      <c r="Y785" s="253"/>
      <c r="Z785" s="253"/>
      <c r="AA785" s="253"/>
      <c r="AB785" s="253"/>
      <c r="AC785" s="253"/>
    </row>
    <row r="786">
      <c r="A786" s="22"/>
      <c r="B786" s="22"/>
      <c r="C786" s="22"/>
      <c r="D786" s="22"/>
      <c r="E786" s="22"/>
      <c r="F786" s="22"/>
      <c r="G786" s="112"/>
      <c r="H786" s="112"/>
      <c r="I786" s="112"/>
      <c r="J786" s="112"/>
      <c r="K786" s="112"/>
      <c r="L786" s="112"/>
      <c r="M786" s="253"/>
      <c r="N786" s="253"/>
      <c r="O786" s="253"/>
      <c r="P786" s="253"/>
      <c r="Q786" s="253"/>
      <c r="R786" s="253"/>
      <c r="S786" s="253"/>
      <c r="T786" s="253"/>
      <c r="U786" s="253"/>
      <c r="V786" s="253"/>
      <c r="W786" s="253"/>
      <c r="X786" s="253"/>
      <c r="Y786" s="253"/>
      <c r="Z786" s="253"/>
      <c r="AA786" s="253"/>
      <c r="AB786" s="253"/>
      <c r="AC786" s="253"/>
    </row>
    <row r="787">
      <c r="A787" s="22"/>
      <c r="B787" s="22"/>
      <c r="C787" s="22"/>
      <c r="D787" s="22"/>
      <c r="E787" s="22"/>
      <c r="F787" s="22"/>
      <c r="G787" s="112"/>
      <c r="H787" s="112"/>
      <c r="I787" s="112"/>
      <c r="J787" s="112"/>
      <c r="K787" s="112"/>
      <c r="L787" s="112"/>
      <c r="M787" s="253"/>
      <c r="N787" s="253"/>
      <c r="O787" s="253"/>
      <c r="P787" s="253"/>
      <c r="Q787" s="253"/>
      <c r="R787" s="253"/>
      <c r="S787" s="253"/>
      <c r="T787" s="253"/>
      <c r="U787" s="253"/>
      <c r="V787" s="253"/>
      <c r="W787" s="253"/>
      <c r="X787" s="253"/>
      <c r="Y787" s="253"/>
      <c r="Z787" s="253"/>
      <c r="AA787" s="253"/>
      <c r="AB787" s="253"/>
      <c r="AC787" s="253"/>
    </row>
    <row r="788">
      <c r="A788" s="22"/>
      <c r="B788" s="22"/>
      <c r="C788" s="22"/>
      <c r="D788" s="22"/>
      <c r="E788" s="22"/>
      <c r="F788" s="22"/>
      <c r="G788" s="112"/>
      <c r="H788" s="112"/>
      <c r="I788" s="112"/>
      <c r="J788" s="112"/>
      <c r="K788" s="112"/>
      <c r="L788" s="112"/>
      <c r="M788" s="253"/>
      <c r="N788" s="253"/>
      <c r="O788" s="253"/>
      <c r="P788" s="253"/>
      <c r="Q788" s="253"/>
      <c r="R788" s="253"/>
      <c r="S788" s="253"/>
      <c r="T788" s="253"/>
      <c r="U788" s="253"/>
      <c r="V788" s="253"/>
      <c r="W788" s="253"/>
      <c r="X788" s="253"/>
      <c r="Y788" s="253"/>
      <c r="Z788" s="253"/>
      <c r="AA788" s="253"/>
      <c r="AB788" s="253"/>
      <c r="AC788" s="253"/>
    </row>
    <row r="789">
      <c r="A789" s="22"/>
      <c r="B789" s="22"/>
      <c r="C789" s="22"/>
      <c r="D789" s="22"/>
      <c r="E789" s="22"/>
      <c r="F789" s="22"/>
      <c r="G789" s="112"/>
      <c r="H789" s="112"/>
      <c r="I789" s="112"/>
      <c r="J789" s="112"/>
      <c r="K789" s="112"/>
      <c r="L789" s="112"/>
      <c r="M789" s="253"/>
      <c r="N789" s="253"/>
      <c r="O789" s="253"/>
      <c r="P789" s="253"/>
      <c r="Q789" s="253"/>
      <c r="R789" s="253"/>
      <c r="S789" s="253"/>
      <c r="T789" s="253"/>
      <c r="U789" s="253"/>
      <c r="V789" s="253"/>
      <c r="W789" s="253"/>
      <c r="X789" s="253"/>
      <c r="Y789" s="253"/>
      <c r="Z789" s="253"/>
      <c r="AA789" s="253"/>
      <c r="AB789" s="253"/>
      <c r="AC789" s="253"/>
    </row>
    <row r="790">
      <c r="A790" s="22"/>
      <c r="B790" s="22"/>
      <c r="C790" s="22"/>
      <c r="D790" s="22"/>
      <c r="E790" s="22"/>
      <c r="F790" s="22"/>
      <c r="G790" s="112"/>
      <c r="H790" s="112"/>
      <c r="I790" s="112"/>
      <c r="J790" s="112"/>
      <c r="K790" s="112"/>
      <c r="L790" s="112"/>
      <c r="M790" s="253"/>
      <c r="N790" s="253"/>
      <c r="O790" s="253"/>
      <c r="P790" s="253"/>
      <c r="Q790" s="253"/>
      <c r="R790" s="253"/>
      <c r="S790" s="253"/>
      <c r="T790" s="253"/>
      <c r="U790" s="253"/>
      <c r="V790" s="253"/>
      <c r="W790" s="253"/>
      <c r="X790" s="253"/>
      <c r="Y790" s="253"/>
      <c r="Z790" s="253"/>
      <c r="AA790" s="253"/>
      <c r="AB790" s="253"/>
      <c r="AC790" s="253"/>
    </row>
    <row r="791">
      <c r="A791" s="22"/>
      <c r="B791" s="22"/>
      <c r="C791" s="22"/>
      <c r="D791" s="22"/>
      <c r="E791" s="22"/>
      <c r="F791" s="22"/>
      <c r="G791" s="112"/>
      <c r="H791" s="112"/>
      <c r="I791" s="112"/>
      <c r="J791" s="112"/>
      <c r="K791" s="112"/>
      <c r="L791" s="112"/>
      <c r="M791" s="253"/>
      <c r="N791" s="253"/>
      <c r="O791" s="253"/>
      <c r="P791" s="253"/>
      <c r="Q791" s="253"/>
      <c r="R791" s="253"/>
      <c r="S791" s="253"/>
      <c r="T791" s="253"/>
      <c r="U791" s="253"/>
      <c r="V791" s="253"/>
      <c r="W791" s="253"/>
      <c r="X791" s="253"/>
      <c r="Y791" s="253"/>
      <c r="Z791" s="253"/>
      <c r="AA791" s="253"/>
      <c r="AB791" s="253"/>
      <c r="AC791" s="253"/>
    </row>
    <row r="792">
      <c r="A792" s="22"/>
      <c r="B792" s="22"/>
      <c r="C792" s="22"/>
      <c r="D792" s="22"/>
      <c r="E792" s="22"/>
      <c r="F792" s="22"/>
      <c r="G792" s="112"/>
      <c r="H792" s="112"/>
      <c r="I792" s="112"/>
      <c r="J792" s="112"/>
      <c r="K792" s="112"/>
      <c r="L792" s="112"/>
      <c r="M792" s="253"/>
      <c r="N792" s="253"/>
      <c r="O792" s="253"/>
      <c r="P792" s="253"/>
      <c r="Q792" s="253"/>
      <c r="R792" s="253"/>
      <c r="S792" s="253"/>
      <c r="T792" s="253"/>
      <c r="U792" s="253"/>
      <c r="V792" s="253"/>
      <c r="W792" s="253"/>
      <c r="X792" s="253"/>
      <c r="Y792" s="253"/>
      <c r="Z792" s="253"/>
      <c r="AA792" s="253"/>
      <c r="AB792" s="253"/>
      <c r="AC792" s="253"/>
    </row>
    <row r="793">
      <c r="A793" s="22"/>
      <c r="B793" s="22"/>
      <c r="C793" s="22"/>
      <c r="D793" s="22"/>
      <c r="E793" s="22"/>
      <c r="F793" s="22"/>
      <c r="G793" s="112"/>
      <c r="H793" s="112"/>
      <c r="I793" s="112"/>
      <c r="J793" s="112"/>
      <c r="K793" s="112"/>
      <c r="L793" s="112"/>
      <c r="M793" s="253"/>
      <c r="N793" s="253"/>
      <c r="O793" s="253"/>
      <c r="P793" s="253"/>
      <c r="Q793" s="253"/>
      <c r="R793" s="253"/>
      <c r="S793" s="253"/>
      <c r="T793" s="253"/>
      <c r="U793" s="253"/>
      <c r="V793" s="253"/>
      <c r="W793" s="253"/>
      <c r="X793" s="253"/>
      <c r="Y793" s="253"/>
      <c r="Z793" s="253"/>
      <c r="AA793" s="253"/>
      <c r="AB793" s="253"/>
      <c r="AC793" s="253"/>
    </row>
    <row r="794">
      <c r="A794" s="22"/>
      <c r="B794" s="22"/>
      <c r="C794" s="22"/>
      <c r="D794" s="22"/>
      <c r="E794" s="22"/>
      <c r="F794" s="22"/>
      <c r="G794" s="112"/>
      <c r="H794" s="112"/>
      <c r="I794" s="112"/>
      <c r="J794" s="112"/>
      <c r="K794" s="112"/>
      <c r="L794" s="112"/>
      <c r="M794" s="253"/>
      <c r="N794" s="253"/>
      <c r="O794" s="253"/>
      <c r="P794" s="253"/>
      <c r="Q794" s="253"/>
      <c r="R794" s="253"/>
      <c r="S794" s="253"/>
      <c r="T794" s="253"/>
      <c r="U794" s="253"/>
      <c r="V794" s="253"/>
      <c r="W794" s="253"/>
      <c r="X794" s="253"/>
      <c r="Y794" s="253"/>
      <c r="Z794" s="253"/>
      <c r="AA794" s="253"/>
      <c r="AB794" s="253"/>
      <c r="AC794" s="253"/>
    </row>
    <row r="795">
      <c r="A795" s="22"/>
      <c r="B795" s="22"/>
      <c r="C795" s="22"/>
      <c r="D795" s="22"/>
      <c r="E795" s="22"/>
      <c r="F795" s="22"/>
      <c r="G795" s="112"/>
      <c r="H795" s="112"/>
      <c r="I795" s="112"/>
      <c r="J795" s="112"/>
      <c r="K795" s="112"/>
      <c r="L795" s="112"/>
      <c r="M795" s="253"/>
      <c r="N795" s="253"/>
      <c r="O795" s="253"/>
      <c r="P795" s="253"/>
      <c r="Q795" s="253"/>
      <c r="R795" s="253"/>
      <c r="S795" s="253"/>
      <c r="T795" s="253"/>
      <c r="U795" s="253"/>
      <c r="V795" s="253"/>
      <c r="W795" s="253"/>
      <c r="X795" s="253"/>
      <c r="Y795" s="253"/>
      <c r="Z795" s="253"/>
      <c r="AA795" s="253"/>
      <c r="AB795" s="253"/>
      <c r="AC795" s="253"/>
    </row>
    <row r="796">
      <c r="A796" s="22"/>
      <c r="B796" s="22"/>
      <c r="C796" s="22"/>
      <c r="D796" s="22"/>
      <c r="E796" s="22"/>
      <c r="F796" s="22"/>
      <c r="G796" s="112"/>
      <c r="H796" s="112"/>
      <c r="I796" s="112"/>
      <c r="J796" s="112"/>
      <c r="K796" s="112"/>
      <c r="L796" s="112"/>
      <c r="M796" s="253"/>
      <c r="N796" s="253"/>
      <c r="O796" s="253"/>
      <c r="P796" s="253"/>
      <c r="Q796" s="253"/>
      <c r="R796" s="253"/>
      <c r="S796" s="253"/>
      <c r="T796" s="253"/>
      <c r="U796" s="253"/>
      <c r="V796" s="253"/>
      <c r="W796" s="253"/>
      <c r="X796" s="253"/>
      <c r="Y796" s="253"/>
      <c r="Z796" s="253"/>
      <c r="AA796" s="253"/>
      <c r="AB796" s="253"/>
      <c r="AC796" s="253"/>
    </row>
    <row r="797">
      <c r="A797" s="22"/>
      <c r="B797" s="22"/>
      <c r="C797" s="22"/>
      <c r="D797" s="22"/>
      <c r="E797" s="22"/>
      <c r="F797" s="22"/>
      <c r="G797" s="112"/>
      <c r="H797" s="112"/>
      <c r="I797" s="112"/>
      <c r="J797" s="112"/>
      <c r="K797" s="112"/>
      <c r="L797" s="112"/>
      <c r="M797" s="253"/>
      <c r="N797" s="253"/>
      <c r="O797" s="253"/>
      <c r="P797" s="253"/>
      <c r="Q797" s="253"/>
      <c r="R797" s="253"/>
      <c r="S797" s="253"/>
      <c r="T797" s="253"/>
      <c r="U797" s="253"/>
      <c r="V797" s="253"/>
      <c r="W797" s="253"/>
      <c r="X797" s="253"/>
      <c r="Y797" s="253"/>
      <c r="Z797" s="253"/>
      <c r="AA797" s="253"/>
      <c r="AB797" s="253"/>
      <c r="AC797" s="253"/>
    </row>
    <row r="798">
      <c r="A798" s="22"/>
      <c r="B798" s="22"/>
      <c r="C798" s="22"/>
      <c r="D798" s="22"/>
      <c r="E798" s="22"/>
      <c r="F798" s="22"/>
      <c r="G798" s="112"/>
      <c r="H798" s="112"/>
      <c r="I798" s="112"/>
      <c r="J798" s="112"/>
      <c r="K798" s="112"/>
      <c r="L798" s="112"/>
      <c r="M798" s="253"/>
      <c r="N798" s="253"/>
      <c r="O798" s="253"/>
      <c r="P798" s="253"/>
      <c r="Q798" s="253"/>
      <c r="R798" s="253"/>
      <c r="S798" s="253"/>
      <c r="T798" s="253"/>
      <c r="U798" s="253"/>
      <c r="V798" s="253"/>
      <c r="W798" s="253"/>
      <c r="X798" s="253"/>
      <c r="Y798" s="253"/>
      <c r="Z798" s="253"/>
      <c r="AA798" s="253"/>
      <c r="AB798" s="253"/>
      <c r="AC798" s="253"/>
    </row>
    <row r="799">
      <c r="A799" s="22"/>
      <c r="B799" s="22"/>
      <c r="C799" s="22"/>
      <c r="D799" s="22"/>
      <c r="E799" s="22"/>
      <c r="F799" s="22"/>
      <c r="G799" s="112"/>
      <c r="H799" s="112"/>
      <c r="I799" s="112"/>
      <c r="J799" s="112"/>
      <c r="K799" s="112"/>
      <c r="L799" s="112"/>
      <c r="M799" s="253"/>
      <c r="N799" s="253"/>
      <c r="O799" s="253"/>
      <c r="P799" s="253"/>
      <c r="Q799" s="253"/>
      <c r="R799" s="253"/>
      <c r="S799" s="253"/>
      <c r="T799" s="253"/>
      <c r="U799" s="253"/>
      <c r="V799" s="253"/>
      <c r="W799" s="253"/>
      <c r="X799" s="253"/>
      <c r="Y799" s="253"/>
      <c r="Z799" s="253"/>
      <c r="AA799" s="253"/>
      <c r="AB799" s="253"/>
      <c r="AC799" s="253"/>
    </row>
    <row r="800">
      <c r="A800" s="22"/>
      <c r="B800" s="22"/>
      <c r="C800" s="22"/>
      <c r="D800" s="22"/>
      <c r="E800" s="22"/>
      <c r="F800" s="22"/>
      <c r="G800" s="112"/>
      <c r="H800" s="112"/>
      <c r="I800" s="112"/>
      <c r="J800" s="112"/>
      <c r="K800" s="112"/>
      <c r="L800" s="112"/>
      <c r="M800" s="253"/>
      <c r="N800" s="253"/>
      <c r="O800" s="253"/>
      <c r="P800" s="253"/>
      <c r="Q800" s="253"/>
      <c r="R800" s="253"/>
      <c r="S800" s="253"/>
      <c r="T800" s="253"/>
      <c r="U800" s="253"/>
      <c r="V800" s="253"/>
      <c r="W800" s="253"/>
      <c r="X800" s="253"/>
      <c r="Y800" s="253"/>
      <c r="Z800" s="253"/>
      <c r="AA800" s="253"/>
      <c r="AB800" s="253"/>
      <c r="AC800" s="253"/>
    </row>
    <row r="801">
      <c r="A801" s="22"/>
      <c r="B801" s="22"/>
      <c r="C801" s="22"/>
      <c r="D801" s="22"/>
      <c r="E801" s="22"/>
      <c r="F801" s="22"/>
      <c r="G801" s="112"/>
      <c r="H801" s="112"/>
      <c r="I801" s="112"/>
      <c r="J801" s="112"/>
      <c r="K801" s="112"/>
      <c r="L801" s="112"/>
      <c r="M801" s="253"/>
      <c r="N801" s="253"/>
      <c r="O801" s="253"/>
      <c r="P801" s="253"/>
      <c r="Q801" s="253"/>
      <c r="R801" s="253"/>
      <c r="S801" s="253"/>
      <c r="T801" s="253"/>
      <c r="U801" s="253"/>
      <c r="V801" s="253"/>
      <c r="W801" s="253"/>
      <c r="X801" s="253"/>
      <c r="Y801" s="253"/>
      <c r="Z801" s="253"/>
      <c r="AA801" s="253"/>
      <c r="AB801" s="253"/>
      <c r="AC801" s="253"/>
    </row>
    <row r="802">
      <c r="A802" s="22"/>
      <c r="B802" s="22"/>
      <c r="C802" s="22"/>
      <c r="D802" s="22"/>
      <c r="E802" s="22"/>
      <c r="F802" s="22"/>
      <c r="G802" s="112"/>
      <c r="H802" s="112"/>
      <c r="I802" s="112"/>
      <c r="J802" s="112"/>
      <c r="K802" s="112"/>
      <c r="L802" s="112"/>
      <c r="M802" s="253"/>
      <c r="N802" s="253"/>
      <c r="O802" s="253"/>
      <c r="P802" s="253"/>
      <c r="Q802" s="253"/>
      <c r="R802" s="253"/>
      <c r="S802" s="253"/>
      <c r="T802" s="253"/>
      <c r="U802" s="253"/>
      <c r="V802" s="253"/>
      <c r="W802" s="253"/>
      <c r="X802" s="253"/>
      <c r="Y802" s="253"/>
      <c r="Z802" s="253"/>
      <c r="AA802" s="253"/>
      <c r="AB802" s="253"/>
      <c r="AC802" s="253"/>
    </row>
    <row r="803">
      <c r="A803" s="22"/>
      <c r="B803" s="22"/>
      <c r="C803" s="22"/>
      <c r="D803" s="22"/>
      <c r="E803" s="22"/>
      <c r="F803" s="22"/>
      <c r="G803" s="112"/>
      <c r="H803" s="112"/>
      <c r="I803" s="112"/>
      <c r="J803" s="112"/>
      <c r="K803" s="112"/>
      <c r="L803" s="112"/>
      <c r="M803" s="253"/>
      <c r="N803" s="253"/>
      <c r="O803" s="253"/>
      <c r="P803" s="253"/>
      <c r="Q803" s="253"/>
      <c r="R803" s="253"/>
      <c r="S803" s="253"/>
      <c r="T803" s="253"/>
      <c r="U803" s="253"/>
      <c r="V803" s="253"/>
      <c r="W803" s="253"/>
      <c r="X803" s="253"/>
      <c r="Y803" s="253"/>
      <c r="Z803" s="253"/>
      <c r="AA803" s="253"/>
      <c r="AB803" s="253"/>
      <c r="AC803" s="253"/>
    </row>
    <row r="804">
      <c r="A804" s="22"/>
      <c r="B804" s="22"/>
      <c r="C804" s="22"/>
      <c r="D804" s="22"/>
      <c r="E804" s="22"/>
      <c r="F804" s="22"/>
      <c r="G804" s="112"/>
      <c r="H804" s="112"/>
      <c r="I804" s="112"/>
      <c r="J804" s="112"/>
      <c r="K804" s="112"/>
      <c r="L804" s="112"/>
      <c r="M804" s="253"/>
      <c r="N804" s="253"/>
      <c r="O804" s="253"/>
      <c r="P804" s="253"/>
      <c r="Q804" s="253"/>
      <c r="R804" s="253"/>
      <c r="S804" s="253"/>
      <c r="T804" s="253"/>
      <c r="U804" s="253"/>
      <c r="V804" s="253"/>
      <c r="W804" s="253"/>
      <c r="X804" s="253"/>
      <c r="Y804" s="253"/>
      <c r="Z804" s="253"/>
      <c r="AA804" s="253"/>
      <c r="AB804" s="253"/>
      <c r="AC804" s="253"/>
    </row>
    <row r="805">
      <c r="A805" s="22"/>
      <c r="B805" s="22"/>
      <c r="C805" s="22"/>
      <c r="D805" s="22"/>
      <c r="E805" s="22"/>
      <c r="F805" s="22"/>
      <c r="G805" s="112"/>
      <c r="H805" s="112"/>
      <c r="I805" s="112"/>
      <c r="J805" s="112"/>
      <c r="K805" s="112"/>
      <c r="L805" s="112"/>
      <c r="M805" s="253"/>
      <c r="N805" s="253"/>
      <c r="O805" s="253"/>
      <c r="P805" s="253"/>
      <c r="Q805" s="253"/>
      <c r="R805" s="253"/>
      <c r="S805" s="253"/>
      <c r="T805" s="253"/>
      <c r="U805" s="253"/>
      <c r="V805" s="253"/>
      <c r="W805" s="253"/>
      <c r="X805" s="253"/>
      <c r="Y805" s="253"/>
      <c r="Z805" s="253"/>
      <c r="AA805" s="253"/>
      <c r="AB805" s="253"/>
      <c r="AC805" s="253"/>
    </row>
    <row r="806">
      <c r="A806" s="22"/>
      <c r="B806" s="22"/>
      <c r="C806" s="22"/>
      <c r="D806" s="22"/>
      <c r="E806" s="22"/>
      <c r="F806" s="22"/>
      <c r="G806" s="112"/>
      <c r="H806" s="112"/>
      <c r="I806" s="112"/>
      <c r="J806" s="112"/>
      <c r="K806" s="112"/>
      <c r="L806" s="112"/>
      <c r="M806" s="253"/>
      <c r="N806" s="253"/>
      <c r="O806" s="253"/>
      <c r="P806" s="253"/>
      <c r="Q806" s="253"/>
      <c r="R806" s="253"/>
      <c r="S806" s="253"/>
      <c r="T806" s="253"/>
      <c r="U806" s="253"/>
      <c r="V806" s="253"/>
      <c r="W806" s="253"/>
      <c r="X806" s="253"/>
      <c r="Y806" s="253"/>
      <c r="Z806" s="253"/>
      <c r="AA806" s="253"/>
      <c r="AB806" s="253"/>
      <c r="AC806" s="253"/>
    </row>
    <row r="807">
      <c r="A807" s="22"/>
      <c r="B807" s="22"/>
      <c r="C807" s="22"/>
      <c r="D807" s="22"/>
      <c r="E807" s="22"/>
      <c r="F807" s="22"/>
      <c r="G807" s="112"/>
      <c r="H807" s="112"/>
      <c r="I807" s="112"/>
      <c r="J807" s="112"/>
      <c r="K807" s="112"/>
      <c r="L807" s="112"/>
      <c r="M807" s="253"/>
      <c r="N807" s="253"/>
      <c r="O807" s="253"/>
      <c r="P807" s="253"/>
      <c r="Q807" s="253"/>
      <c r="R807" s="253"/>
      <c r="S807" s="253"/>
      <c r="T807" s="253"/>
      <c r="U807" s="253"/>
      <c r="V807" s="253"/>
      <c r="W807" s="253"/>
      <c r="X807" s="253"/>
      <c r="Y807" s="253"/>
      <c r="Z807" s="253"/>
      <c r="AA807" s="253"/>
      <c r="AB807" s="253"/>
      <c r="AC807" s="253"/>
    </row>
    <row r="808">
      <c r="A808" s="22"/>
      <c r="B808" s="22"/>
      <c r="C808" s="22"/>
      <c r="D808" s="22"/>
      <c r="E808" s="22"/>
      <c r="F808" s="22"/>
      <c r="G808" s="112"/>
      <c r="H808" s="112"/>
      <c r="I808" s="112"/>
      <c r="J808" s="112"/>
      <c r="K808" s="112"/>
      <c r="L808" s="112"/>
      <c r="M808" s="253"/>
      <c r="N808" s="253"/>
      <c r="O808" s="253"/>
      <c r="P808" s="253"/>
      <c r="Q808" s="253"/>
      <c r="R808" s="253"/>
      <c r="S808" s="253"/>
      <c r="T808" s="253"/>
      <c r="U808" s="253"/>
      <c r="V808" s="253"/>
      <c r="W808" s="253"/>
      <c r="X808" s="253"/>
      <c r="Y808" s="253"/>
      <c r="Z808" s="253"/>
      <c r="AA808" s="253"/>
      <c r="AB808" s="253"/>
      <c r="AC808" s="253"/>
    </row>
    <row r="809">
      <c r="A809" s="22"/>
      <c r="B809" s="22"/>
      <c r="C809" s="22"/>
      <c r="D809" s="22"/>
      <c r="E809" s="22"/>
      <c r="F809" s="22"/>
      <c r="G809" s="112"/>
      <c r="H809" s="112"/>
      <c r="I809" s="112"/>
      <c r="J809" s="112"/>
      <c r="K809" s="112"/>
      <c r="L809" s="112"/>
      <c r="M809" s="253"/>
      <c r="N809" s="253"/>
      <c r="O809" s="253"/>
      <c r="P809" s="253"/>
      <c r="Q809" s="253"/>
      <c r="R809" s="253"/>
      <c r="S809" s="253"/>
      <c r="T809" s="253"/>
      <c r="U809" s="253"/>
      <c r="V809" s="253"/>
      <c r="W809" s="253"/>
      <c r="X809" s="253"/>
      <c r="Y809" s="253"/>
      <c r="Z809" s="253"/>
      <c r="AA809" s="253"/>
      <c r="AB809" s="253"/>
      <c r="AC809" s="253"/>
    </row>
    <row r="810">
      <c r="A810" s="22"/>
      <c r="B810" s="22"/>
      <c r="C810" s="22"/>
      <c r="D810" s="22"/>
      <c r="E810" s="22"/>
      <c r="F810" s="22"/>
      <c r="G810" s="112"/>
      <c r="H810" s="112"/>
      <c r="I810" s="112"/>
      <c r="J810" s="112"/>
      <c r="K810" s="112"/>
      <c r="L810" s="112"/>
      <c r="M810" s="253"/>
      <c r="N810" s="253"/>
      <c r="O810" s="253"/>
      <c r="P810" s="253"/>
      <c r="Q810" s="253"/>
      <c r="R810" s="253"/>
      <c r="S810" s="253"/>
      <c r="T810" s="253"/>
      <c r="U810" s="253"/>
      <c r="V810" s="253"/>
      <c r="W810" s="253"/>
      <c r="X810" s="253"/>
      <c r="Y810" s="253"/>
      <c r="Z810" s="253"/>
      <c r="AA810" s="253"/>
      <c r="AB810" s="253"/>
      <c r="AC810" s="253"/>
    </row>
    <row r="811">
      <c r="A811" s="22"/>
      <c r="B811" s="22"/>
      <c r="C811" s="22"/>
      <c r="D811" s="22"/>
      <c r="E811" s="22"/>
      <c r="F811" s="22"/>
      <c r="G811" s="112"/>
      <c r="H811" s="112"/>
      <c r="I811" s="112"/>
      <c r="J811" s="112"/>
      <c r="K811" s="112"/>
      <c r="L811" s="112"/>
      <c r="M811" s="253"/>
      <c r="N811" s="253"/>
      <c r="O811" s="253"/>
      <c r="P811" s="253"/>
      <c r="Q811" s="253"/>
      <c r="R811" s="253"/>
      <c r="S811" s="253"/>
      <c r="T811" s="253"/>
      <c r="U811" s="253"/>
      <c r="V811" s="253"/>
      <c r="W811" s="253"/>
      <c r="X811" s="253"/>
      <c r="Y811" s="253"/>
      <c r="Z811" s="253"/>
      <c r="AA811" s="253"/>
      <c r="AB811" s="253"/>
      <c r="AC811" s="253"/>
    </row>
    <row r="812">
      <c r="A812" s="22"/>
      <c r="B812" s="22"/>
      <c r="C812" s="22"/>
      <c r="D812" s="22"/>
      <c r="E812" s="22"/>
      <c r="F812" s="22"/>
      <c r="G812" s="112"/>
      <c r="H812" s="112"/>
      <c r="I812" s="112"/>
      <c r="J812" s="112"/>
      <c r="K812" s="112"/>
      <c r="L812" s="112"/>
      <c r="M812" s="253"/>
      <c r="N812" s="253"/>
      <c r="O812" s="253"/>
      <c r="P812" s="253"/>
      <c r="Q812" s="253"/>
      <c r="R812" s="253"/>
      <c r="S812" s="253"/>
      <c r="T812" s="253"/>
      <c r="U812" s="253"/>
      <c r="V812" s="253"/>
      <c r="W812" s="253"/>
      <c r="X812" s="253"/>
      <c r="Y812" s="253"/>
      <c r="Z812" s="253"/>
      <c r="AA812" s="253"/>
      <c r="AB812" s="253"/>
      <c r="AC812" s="253"/>
    </row>
    <row r="813">
      <c r="A813" s="22"/>
      <c r="B813" s="22"/>
      <c r="C813" s="22"/>
      <c r="D813" s="22"/>
      <c r="E813" s="22"/>
      <c r="F813" s="22"/>
      <c r="G813" s="112"/>
      <c r="H813" s="112"/>
      <c r="I813" s="112"/>
      <c r="J813" s="112"/>
      <c r="K813" s="112"/>
      <c r="L813" s="112"/>
      <c r="M813" s="253"/>
      <c r="N813" s="253"/>
      <c r="O813" s="253"/>
      <c r="P813" s="253"/>
      <c r="Q813" s="253"/>
      <c r="R813" s="253"/>
      <c r="S813" s="253"/>
      <c r="T813" s="253"/>
      <c r="U813" s="253"/>
      <c r="V813" s="253"/>
      <c r="W813" s="253"/>
      <c r="X813" s="253"/>
      <c r="Y813" s="253"/>
      <c r="Z813" s="253"/>
      <c r="AA813" s="253"/>
      <c r="AB813" s="253"/>
      <c r="AC813" s="253"/>
    </row>
    <row r="814">
      <c r="A814" s="22"/>
      <c r="B814" s="22"/>
      <c r="C814" s="22"/>
      <c r="D814" s="22"/>
      <c r="E814" s="22"/>
      <c r="F814" s="22"/>
      <c r="G814" s="112"/>
      <c r="H814" s="112"/>
      <c r="I814" s="112"/>
      <c r="J814" s="112"/>
      <c r="K814" s="112"/>
      <c r="L814" s="112"/>
      <c r="M814" s="253"/>
      <c r="N814" s="253"/>
      <c r="O814" s="253"/>
      <c r="P814" s="253"/>
      <c r="Q814" s="253"/>
      <c r="R814" s="253"/>
      <c r="S814" s="253"/>
      <c r="T814" s="253"/>
      <c r="U814" s="253"/>
      <c r="V814" s="253"/>
      <c r="W814" s="253"/>
      <c r="X814" s="253"/>
      <c r="Y814" s="253"/>
      <c r="Z814" s="253"/>
      <c r="AA814" s="253"/>
      <c r="AB814" s="253"/>
      <c r="AC814" s="253"/>
    </row>
    <row r="815">
      <c r="A815" s="22"/>
      <c r="B815" s="22"/>
      <c r="C815" s="22"/>
      <c r="D815" s="22"/>
      <c r="E815" s="22"/>
      <c r="F815" s="22"/>
      <c r="G815" s="112"/>
      <c r="H815" s="112"/>
      <c r="I815" s="112"/>
      <c r="J815" s="112"/>
      <c r="K815" s="112"/>
      <c r="L815" s="112"/>
      <c r="M815" s="253"/>
      <c r="N815" s="253"/>
      <c r="O815" s="253"/>
      <c r="P815" s="253"/>
      <c r="Q815" s="253"/>
      <c r="R815" s="253"/>
      <c r="S815" s="253"/>
      <c r="T815" s="253"/>
      <c r="U815" s="253"/>
      <c r="V815" s="253"/>
      <c r="W815" s="253"/>
      <c r="X815" s="253"/>
      <c r="Y815" s="253"/>
      <c r="Z815" s="253"/>
      <c r="AA815" s="253"/>
      <c r="AB815" s="253"/>
      <c r="AC815" s="253"/>
    </row>
    <row r="816">
      <c r="A816" s="22"/>
      <c r="B816" s="22"/>
      <c r="C816" s="22"/>
      <c r="D816" s="22"/>
      <c r="E816" s="22"/>
      <c r="F816" s="22"/>
      <c r="G816" s="112"/>
      <c r="H816" s="112"/>
      <c r="I816" s="112"/>
      <c r="J816" s="112"/>
      <c r="K816" s="112"/>
      <c r="L816" s="112"/>
      <c r="M816" s="253"/>
      <c r="N816" s="253"/>
      <c r="O816" s="253"/>
      <c r="P816" s="253"/>
      <c r="Q816" s="253"/>
      <c r="R816" s="253"/>
      <c r="S816" s="253"/>
      <c r="T816" s="253"/>
      <c r="U816" s="253"/>
      <c r="V816" s="253"/>
      <c r="W816" s="253"/>
      <c r="X816" s="253"/>
      <c r="Y816" s="253"/>
      <c r="Z816" s="253"/>
      <c r="AA816" s="253"/>
      <c r="AB816" s="253"/>
      <c r="AC816" s="253"/>
    </row>
    <row r="817">
      <c r="A817" s="22"/>
      <c r="B817" s="22"/>
      <c r="C817" s="22"/>
      <c r="D817" s="22"/>
      <c r="E817" s="22"/>
      <c r="F817" s="22"/>
      <c r="G817" s="112"/>
      <c r="H817" s="112"/>
      <c r="I817" s="112"/>
      <c r="J817" s="112"/>
      <c r="K817" s="112"/>
      <c r="L817" s="112"/>
      <c r="M817" s="253"/>
      <c r="N817" s="253"/>
      <c r="O817" s="253"/>
      <c r="P817" s="253"/>
      <c r="Q817" s="253"/>
      <c r="R817" s="253"/>
      <c r="S817" s="253"/>
      <c r="T817" s="253"/>
      <c r="U817" s="253"/>
      <c r="V817" s="253"/>
      <c r="W817" s="253"/>
      <c r="X817" s="253"/>
      <c r="Y817" s="253"/>
      <c r="Z817" s="253"/>
      <c r="AA817" s="253"/>
      <c r="AB817" s="253"/>
      <c r="AC817" s="253"/>
    </row>
    <row r="818">
      <c r="A818" s="22"/>
      <c r="B818" s="22"/>
      <c r="C818" s="22"/>
      <c r="D818" s="22"/>
      <c r="E818" s="22"/>
      <c r="F818" s="22"/>
      <c r="G818" s="112"/>
      <c r="H818" s="112"/>
      <c r="I818" s="112"/>
      <c r="J818" s="112"/>
      <c r="K818" s="112"/>
      <c r="L818" s="112"/>
      <c r="M818" s="253"/>
      <c r="N818" s="253"/>
      <c r="O818" s="253"/>
      <c r="P818" s="253"/>
      <c r="Q818" s="253"/>
      <c r="R818" s="253"/>
      <c r="S818" s="253"/>
      <c r="T818" s="253"/>
      <c r="U818" s="253"/>
      <c r="V818" s="253"/>
      <c r="W818" s="253"/>
      <c r="X818" s="253"/>
      <c r="Y818" s="253"/>
      <c r="Z818" s="253"/>
      <c r="AA818" s="253"/>
      <c r="AB818" s="253"/>
      <c r="AC818" s="253"/>
    </row>
    <row r="819">
      <c r="A819" s="22"/>
      <c r="B819" s="22"/>
      <c r="C819" s="22"/>
      <c r="D819" s="22"/>
      <c r="E819" s="22"/>
      <c r="F819" s="22"/>
      <c r="G819" s="112"/>
      <c r="H819" s="112"/>
      <c r="I819" s="112"/>
      <c r="J819" s="112"/>
      <c r="K819" s="112"/>
      <c r="L819" s="112"/>
      <c r="M819" s="253"/>
      <c r="N819" s="253"/>
      <c r="O819" s="253"/>
      <c r="P819" s="253"/>
      <c r="Q819" s="253"/>
      <c r="R819" s="253"/>
      <c r="S819" s="253"/>
      <c r="T819" s="253"/>
      <c r="U819" s="253"/>
      <c r="V819" s="253"/>
      <c r="W819" s="253"/>
      <c r="X819" s="253"/>
      <c r="Y819" s="253"/>
      <c r="Z819" s="253"/>
      <c r="AA819" s="253"/>
      <c r="AB819" s="253"/>
      <c r="AC819" s="253"/>
    </row>
    <row r="820">
      <c r="A820" s="22"/>
      <c r="B820" s="22"/>
      <c r="C820" s="22"/>
      <c r="D820" s="22"/>
      <c r="E820" s="22"/>
      <c r="F820" s="22"/>
      <c r="G820" s="112"/>
      <c r="H820" s="112"/>
      <c r="I820" s="112"/>
      <c r="J820" s="112"/>
      <c r="K820" s="112"/>
      <c r="L820" s="112"/>
      <c r="M820" s="253"/>
      <c r="N820" s="253"/>
      <c r="O820" s="253"/>
      <c r="P820" s="253"/>
      <c r="Q820" s="253"/>
      <c r="R820" s="253"/>
      <c r="S820" s="253"/>
      <c r="T820" s="253"/>
      <c r="U820" s="253"/>
      <c r="V820" s="253"/>
      <c r="W820" s="253"/>
      <c r="X820" s="253"/>
      <c r="Y820" s="253"/>
      <c r="Z820" s="253"/>
      <c r="AA820" s="253"/>
      <c r="AB820" s="253"/>
      <c r="AC820" s="253"/>
    </row>
    <row r="821">
      <c r="A821" s="22"/>
      <c r="B821" s="22"/>
      <c r="C821" s="22"/>
      <c r="D821" s="22"/>
      <c r="E821" s="22"/>
      <c r="F821" s="22"/>
      <c r="G821" s="112"/>
      <c r="H821" s="112"/>
      <c r="I821" s="112"/>
      <c r="J821" s="112"/>
      <c r="K821" s="112"/>
      <c r="L821" s="112"/>
      <c r="M821" s="253"/>
      <c r="N821" s="253"/>
      <c r="O821" s="253"/>
      <c r="P821" s="253"/>
      <c r="Q821" s="253"/>
      <c r="R821" s="253"/>
      <c r="S821" s="253"/>
      <c r="T821" s="253"/>
      <c r="U821" s="253"/>
      <c r="V821" s="253"/>
      <c r="W821" s="253"/>
      <c r="X821" s="253"/>
      <c r="Y821" s="253"/>
      <c r="Z821" s="253"/>
      <c r="AA821" s="253"/>
      <c r="AB821" s="253"/>
      <c r="AC821" s="253"/>
    </row>
    <row r="822">
      <c r="A822" s="22"/>
      <c r="B822" s="22"/>
      <c r="C822" s="22"/>
      <c r="D822" s="22"/>
      <c r="E822" s="22"/>
      <c r="F822" s="22"/>
      <c r="G822" s="112"/>
      <c r="H822" s="112"/>
      <c r="I822" s="112"/>
      <c r="J822" s="112"/>
      <c r="K822" s="112"/>
      <c r="L822" s="112"/>
      <c r="M822" s="253"/>
      <c r="N822" s="253"/>
      <c r="O822" s="253"/>
      <c r="P822" s="253"/>
      <c r="Q822" s="253"/>
      <c r="R822" s="253"/>
      <c r="S822" s="253"/>
      <c r="T822" s="253"/>
      <c r="U822" s="253"/>
      <c r="V822" s="253"/>
      <c r="W822" s="253"/>
      <c r="X822" s="253"/>
      <c r="Y822" s="253"/>
      <c r="Z822" s="253"/>
      <c r="AA822" s="253"/>
      <c r="AB822" s="253"/>
      <c r="AC822" s="253"/>
    </row>
    <row r="823">
      <c r="A823" s="22"/>
      <c r="B823" s="22"/>
      <c r="C823" s="22"/>
      <c r="D823" s="22"/>
      <c r="E823" s="22"/>
      <c r="F823" s="22"/>
      <c r="G823" s="112"/>
      <c r="H823" s="112"/>
      <c r="I823" s="112"/>
      <c r="J823" s="112"/>
      <c r="K823" s="112"/>
      <c r="L823" s="112"/>
      <c r="M823" s="253"/>
      <c r="N823" s="253"/>
      <c r="O823" s="253"/>
      <c r="P823" s="253"/>
      <c r="Q823" s="253"/>
      <c r="R823" s="253"/>
      <c r="S823" s="253"/>
      <c r="T823" s="253"/>
      <c r="U823" s="253"/>
      <c r="V823" s="253"/>
      <c r="W823" s="253"/>
      <c r="X823" s="253"/>
      <c r="Y823" s="253"/>
      <c r="Z823" s="253"/>
      <c r="AA823" s="253"/>
      <c r="AB823" s="253"/>
      <c r="AC823" s="253"/>
    </row>
    <row r="824">
      <c r="A824" s="22"/>
      <c r="B824" s="22"/>
      <c r="C824" s="22"/>
      <c r="D824" s="22"/>
      <c r="E824" s="22"/>
      <c r="F824" s="22"/>
      <c r="G824" s="112"/>
      <c r="H824" s="112"/>
      <c r="I824" s="112"/>
      <c r="J824" s="112"/>
      <c r="K824" s="112"/>
      <c r="L824" s="112"/>
      <c r="M824" s="253"/>
      <c r="N824" s="253"/>
      <c r="O824" s="253"/>
      <c r="P824" s="253"/>
      <c r="Q824" s="253"/>
      <c r="R824" s="253"/>
      <c r="S824" s="253"/>
      <c r="T824" s="253"/>
      <c r="U824" s="253"/>
      <c r="V824" s="253"/>
      <c r="W824" s="253"/>
      <c r="X824" s="253"/>
      <c r="Y824" s="253"/>
      <c r="Z824" s="253"/>
      <c r="AA824" s="253"/>
      <c r="AB824" s="253"/>
      <c r="AC824" s="253"/>
    </row>
    <row r="825">
      <c r="A825" s="22"/>
      <c r="B825" s="22"/>
      <c r="C825" s="22"/>
      <c r="D825" s="22"/>
      <c r="E825" s="22"/>
      <c r="F825" s="22"/>
      <c r="G825" s="112"/>
      <c r="H825" s="112"/>
      <c r="I825" s="112"/>
      <c r="J825" s="112"/>
      <c r="K825" s="112"/>
      <c r="L825" s="112"/>
      <c r="M825" s="253"/>
      <c r="N825" s="253"/>
      <c r="O825" s="253"/>
      <c r="P825" s="253"/>
      <c r="Q825" s="253"/>
      <c r="R825" s="253"/>
      <c r="S825" s="253"/>
      <c r="T825" s="253"/>
      <c r="U825" s="253"/>
      <c r="V825" s="253"/>
      <c r="W825" s="253"/>
      <c r="X825" s="253"/>
      <c r="Y825" s="253"/>
      <c r="Z825" s="253"/>
      <c r="AA825" s="253"/>
      <c r="AB825" s="253"/>
      <c r="AC825" s="253"/>
    </row>
    <row r="826">
      <c r="A826" s="22"/>
      <c r="B826" s="22"/>
      <c r="C826" s="22"/>
      <c r="D826" s="22"/>
      <c r="E826" s="22"/>
      <c r="F826" s="22"/>
      <c r="G826" s="112"/>
      <c r="H826" s="112"/>
      <c r="I826" s="112"/>
      <c r="J826" s="112"/>
      <c r="K826" s="112"/>
      <c r="L826" s="112"/>
      <c r="M826" s="253"/>
      <c r="N826" s="253"/>
      <c r="O826" s="253"/>
      <c r="P826" s="253"/>
      <c r="Q826" s="253"/>
      <c r="R826" s="253"/>
      <c r="S826" s="253"/>
      <c r="T826" s="253"/>
      <c r="U826" s="253"/>
      <c r="V826" s="253"/>
      <c r="W826" s="253"/>
      <c r="X826" s="253"/>
      <c r="Y826" s="253"/>
      <c r="Z826" s="253"/>
      <c r="AA826" s="253"/>
      <c r="AB826" s="253"/>
      <c r="AC826" s="253"/>
    </row>
    <row r="827">
      <c r="A827" s="22"/>
      <c r="B827" s="22"/>
      <c r="C827" s="22"/>
      <c r="D827" s="22"/>
      <c r="E827" s="22"/>
      <c r="F827" s="22"/>
      <c r="G827" s="112"/>
      <c r="H827" s="112"/>
      <c r="I827" s="112"/>
      <c r="J827" s="112"/>
      <c r="K827" s="112"/>
      <c r="L827" s="112"/>
      <c r="M827" s="253"/>
      <c r="N827" s="253"/>
      <c r="O827" s="253"/>
      <c r="P827" s="253"/>
      <c r="Q827" s="253"/>
      <c r="R827" s="253"/>
      <c r="S827" s="253"/>
      <c r="T827" s="253"/>
      <c r="U827" s="253"/>
      <c r="V827" s="253"/>
      <c r="W827" s="253"/>
      <c r="X827" s="253"/>
      <c r="Y827" s="253"/>
      <c r="Z827" s="253"/>
      <c r="AA827" s="253"/>
      <c r="AB827" s="253"/>
      <c r="AC827" s="253"/>
    </row>
    <row r="828">
      <c r="A828" s="22"/>
      <c r="B828" s="22"/>
      <c r="C828" s="22"/>
      <c r="D828" s="22"/>
      <c r="E828" s="22"/>
      <c r="F828" s="22"/>
      <c r="G828" s="112"/>
      <c r="H828" s="112"/>
      <c r="I828" s="112"/>
      <c r="J828" s="112"/>
      <c r="K828" s="112"/>
      <c r="L828" s="112"/>
      <c r="M828" s="253"/>
      <c r="N828" s="253"/>
      <c r="O828" s="253"/>
      <c r="P828" s="253"/>
      <c r="Q828" s="253"/>
      <c r="R828" s="253"/>
      <c r="S828" s="253"/>
      <c r="T828" s="253"/>
      <c r="U828" s="253"/>
      <c r="V828" s="253"/>
      <c r="W828" s="253"/>
      <c r="X828" s="253"/>
      <c r="Y828" s="253"/>
      <c r="Z828" s="253"/>
      <c r="AA828" s="253"/>
      <c r="AB828" s="253"/>
      <c r="AC828" s="253"/>
    </row>
    <row r="829">
      <c r="A829" s="22"/>
      <c r="B829" s="22"/>
      <c r="C829" s="22"/>
      <c r="D829" s="22"/>
      <c r="E829" s="22"/>
      <c r="F829" s="22"/>
      <c r="G829" s="112"/>
      <c r="H829" s="112"/>
      <c r="I829" s="112"/>
      <c r="J829" s="112"/>
      <c r="K829" s="112"/>
      <c r="L829" s="112"/>
      <c r="M829" s="253"/>
      <c r="N829" s="253"/>
      <c r="O829" s="253"/>
      <c r="P829" s="253"/>
      <c r="Q829" s="253"/>
      <c r="R829" s="253"/>
      <c r="S829" s="253"/>
      <c r="T829" s="253"/>
      <c r="U829" s="253"/>
      <c r="V829" s="253"/>
      <c r="W829" s="253"/>
      <c r="X829" s="253"/>
      <c r="Y829" s="253"/>
      <c r="Z829" s="253"/>
      <c r="AA829" s="253"/>
      <c r="AB829" s="253"/>
      <c r="AC829" s="253"/>
    </row>
    <row r="830">
      <c r="A830" s="22"/>
      <c r="B830" s="22"/>
      <c r="C830" s="22"/>
      <c r="D830" s="22"/>
      <c r="E830" s="22"/>
      <c r="F830" s="22"/>
      <c r="G830" s="112"/>
      <c r="H830" s="112"/>
      <c r="I830" s="112"/>
      <c r="J830" s="112"/>
      <c r="K830" s="112"/>
      <c r="L830" s="112"/>
      <c r="M830" s="253"/>
      <c r="N830" s="253"/>
      <c r="O830" s="253"/>
      <c r="P830" s="253"/>
      <c r="Q830" s="253"/>
      <c r="R830" s="253"/>
      <c r="S830" s="253"/>
      <c r="T830" s="253"/>
      <c r="U830" s="253"/>
      <c r="V830" s="253"/>
      <c r="W830" s="253"/>
      <c r="X830" s="253"/>
      <c r="Y830" s="253"/>
      <c r="Z830" s="253"/>
      <c r="AA830" s="253"/>
      <c r="AB830" s="253"/>
      <c r="AC830" s="253"/>
    </row>
    <row r="831">
      <c r="A831" s="22"/>
      <c r="B831" s="22"/>
      <c r="C831" s="22"/>
      <c r="D831" s="22"/>
      <c r="E831" s="22"/>
      <c r="F831" s="22"/>
      <c r="G831" s="112"/>
      <c r="H831" s="112"/>
      <c r="I831" s="112"/>
      <c r="J831" s="112"/>
      <c r="K831" s="112"/>
      <c r="L831" s="112"/>
      <c r="M831" s="253"/>
      <c r="N831" s="253"/>
      <c r="O831" s="253"/>
      <c r="P831" s="253"/>
      <c r="Q831" s="253"/>
      <c r="R831" s="253"/>
      <c r="S831" s="253"/>
      <c r="T831" s="253"/>
      <c r="U831" s="253"/>
      <c r="V831" s="253"/>
      <c r="W831" s="253"/>
      <c r="X831" s="253"/>
      <c r="Y831" s="253"/>
      <c r="Z831" s="253"/>
      <c r="AA831" s="253"/>
      <c r="AB831" s="253"/>
      <c r="AC831" s="253"/>
    </row>
    <row r="832">
      <c r="A832" s="22"/>
      <c r="B832" s="22"/>
      <c r="C832" s="22"/>
      <c r="D832" s="22"/>
      <c r="E832" s="22"/>
      <c r="F832" s="22"/>
      <c r="G832" s="112"/>
      <c r="H832" s="112"/>
      <c r="I832" s="112"/>
      <c r="J832" s="112"/>
      <c r="K832" s="112"/>
      <c r="L832" s="112"/>
      <c r="M832" s="253"/>
      <c r="N832" s="253"/>
      <c r="O832" s="253"/>
      <c r="P832" s="253"/>
      <c r="Q832" s="253"/>
      <c r="R832" s="253"/>
      <c r="S832" s="253"/>
      <c r="T832" s="253"/>
      <c r="U832" s="253"/>
      <c r="V832" s="253"/>
      <c r="W832" s="253"/>
      <c r="X832" s="253"/>
      <c r="Y832" s="253"/>
      <c r="Z832" s="253"/>
      <c r="AA832" s="253"/>
      <c r="AB832" s="253"/>
      <c r="AC832" s="253"/>
    </row>
    <row r="833">
      <c r="A833" s="22"/>
      <c r="B833" s="22"/>
      <c r="C833" s="22"/>
      <c r="D833" s="22"/>
      <c r="E833" s="22"/>
      <c r="F833" s="22"/>
      <c r="G833" s="112"/>
      <c r="H833" s="112"/>
      <c r="I833" s="112"/>
      <c r="J833" s="112"/>
      <c r="K833" s="112"/>
      <c r="L833" s="112"/>
      <c r="M833" s="253"/>
      <c r="N833" s="253"/>
      <c r="O833" s="253"/>
      <c r="P833" s="253"/>
      <c r="Q833" s="253"/>
      <c r="R833" s="253"/>
      <c r="S833" s="253"/>
      <c r="T833" s="253"/>
      <c r="U833" s="253"/>
      <c r="V833" s="253"/>
      <c r="W833" s="253"/>
      <c r="X833" s="253"/>
      <c r="Y833" s="253"/>
      <c r="Z833" s="253"/>
      <c r="AA833" s="253"/>
      <c r="AB833" s="253"/>
      <c r="AC833" s="253"/>
    </row>
    <row r="834">
      <c r="A834" s="22"/>
      <c r="B834" s="22"/>
      <c r="C834" s="22"/>
      <c r="D834" s="22"/>
      <c r="E834" s="22"/>
      <c r="F834" s="22"/>
      <c r="G834" s="112"/>
      <c r="H834" s="112"/>
      <c r="I834" s="112"/>
      <c r="J834" s="112"/>
      <c r="K834" s="112"/>
      <c r="L834" s="112"/>
      <c r="M834" s="253"/>
      <c r="N834" s="253"/>
      <c r="O834" s="253"/>
      <c r="P834" s="253"/>
      <c r="Q834" s="253"/>
      <c r="R834" s="253"/>
      <c r="S834" s="253"/>
      <c r="T834" s="253"/>
      <c r="U834" s="253"/>
      <c r="V834" s="253"/>
      <c r="W834" s="253"/>
      <c r="X834" s="253"/>
      <c r="Y834" s="253"/>
      <c r="Z834" s="253"/>
      <c r="AA834" s="253"/>
      <c r="AB834" s="253"/>
      <c r="AC834" s="253"/>
    </row>
    <row r="835">
      <c r="A835" s="22"/>
      <c r="B835" s="22"/>
      <c r="C835" s="22"/>
      <c r="D835" s="22"/>
      <c r="E835" s="22"/>
      <c r="F835" s="22"/>
      <c r="G835" s="112"/>
      <c r="H835" s="112"/>
      <c r="I835" s="112"/>
      <c r="J835" s="112"/>
      <c r="K835" s="112"/>
      <c r="L835" s="112"/>
      <c r="M835" s="253"/>
      <c r="N835" s="253"/>
      <c r="O835" s="253"/>
      <c r="P835" s="253"/>
      <c r="Q835" s="253"/>
      <c r="R835" s="253"/>
      <c r="S835" s="253"/>
      <c r="T835" s="253"/>
      <c r="U835" s="253"/>
      <c r="V835" s="253"/>
      <c r="W835" s="253"/>
      <c r="X835" s="253"/>
      <c r="Y835" s="253"/>
      <c r="Z835" s="253"/>
      <c r="AA835" s="253"/>
      <c r="AB835" s="253"/>
      <c r="AC835" s="253"/>
    </row>
    <row r="836">
      <c r="A836" s="22"/>
      <c r="B836" s="22"/>
      <c r="C836" s="22"/>
      <c r="D836" s="22"/>
      <c r="E836" s="22"/>
      <c r="F836" s="22"/>
      <c r="G836" s="112"/>
      <c r="H836" s="112"/>
      <c r="I836" s="112"/>
      <c r="J836" s="112"/>
      <c r="K836" s="112"/>
      <c r="L836" s="112"/>
      <c r="M836" s="253"/>
      <c r="N836" s="253"/>
      <c r="O836" s="253"/>
      <c r="P836" s="253"/>
      <c r="Q836" s="253"/>
      <c r="R836" s="253"/>
      <c r="S836" s="253"/>
      <c r="T836" s="253"/>
      <c r="U836" s="253"/>
      <c r="V836" s="253"/>
      <c r="W836" s="253"/>
      <c r="X836" s="253"/>
      <c r="Y836" s="253"/>
      <c r="Z836" s="253"/>
      <c r="AA836" s="253"/>
      <c r="AB836" s="253"/>
      <c r="AC836" s="253"/>
    </row>
    <row r="837">
      <c r="A837" s="22"/>
      <c r="B837" s="22"/>
      <c r="C837" s="22"/>
      <c r="D837" s="22"/>
      <c r="E837" s="22"/>
      <c r="F837" s="22"/>
      <c r="G837" s="112"/>
      <c r="H837" s="112"/>
      <c r="I837" s="112"/>
      <c r="J837" s="112"/>
      <c r="K837" s="112"/>
      <c r="L837" s="112"/>
      <c r="M837" s="253"/>
      <c r="N837" s="253"/>
      <c r="O837" s="253"/>
      <c r="P837" s="253"/>
      <c r="Q837" s="253"/>
      <c r="R837" s="253"/>
      <c r="S837" s="253"/>
      <c r="T837" s="253"/>
      <c r="U837" s="253"/>
      <c r="V837" s="253"/>
      <c r="W837" s="253"/>
      <c r="X837" s="253"/>
      <c r="Y837" s="253"/>
      <c r="Z837" s="253"/>
      <c r="AA837" s="253"/>
      <c r="AB837" s="253"/>
      <c r="AC837" s="253"/>
    </row>
    <row r="838">
      <c r="A838" s="22"/>
      <c r="B838" s="22"/>
      <c r="C838" s="22"/>
      <c r="D838" s="22"/>
      <c r="E838" s="22"/>
      <c r="F838" s="22"/>
      <c r="G838" s="112"/>
      <c r="H838" s="112"/>
      <c r="I838" s="112"/>
      <c r="J838" s="112"/>
      <c r="K838" s="112"/>
      <c r="L838" s="112"/>
      <c r="M838" s="253"/>
      <c r="N838" s="253"/>
      <c r="O838" s="253"/>
      <c r="P838" s="253"/>
      <c r="Q838" s="253"/>
      <c r="R838" s="253"/>
      <c r="S838" s="253"/>
      <c r="T838" s="253"/>
      <c r="U838" s="253"/>
      <c r="V838" s="253"/>
      <c r="W838" s="253"/>
      <c r="X838" s="253"/>
      <c r="Y838" s="253"/>
      <c r="Z838" s="253"/>
      <c r="AA838" s="253"/>
      <c r="AB838" s="253"/>
      <c r="AC838" s="253"/>
    </row>
    <row r="839">
      <c r="A839" s="22"/>
      <c r="B839" s="22"/>
      <c r="C839" s="22"/>
      <c r="D839" s="22"/>
      <c r="E839" s="22"/>
      <c r="F839" s="22"/>
      <c r="G839" s="112"/>
      <c r="H839" s="112"/>
      <c r="I839" s="112"/>
      <c r="J839" s="112"/>
      <c r="K839" s="112"/>
      <c r="L839" s="112"/>
      <c r="M839" s="253"/>
      <c r="N839" s="253"/>
      <c r="O839" s="253"/>
      <c r="P839" s="253"/>
      <c r="Q839" s="253"/>
      <c r="R839" s="253"/>
      <c r="S839" s="253"/>
      <c r="T839" s="253"/>
      <c r="U839" s="253"/>
      <c r="V839" s="253"/>
      <c r="W839" s="253"/>
      <c r="X839" s="253"/>
      <c r="Y839" s="253"/>
      <c r="Z839" s="253"/>
      <c r="AA839" s="253"/>
      <c r="AB839" s="253"/>
      <c r="AC839" s="253"/>
    </row>
    <row r="840">
      <c r="A840" s="22"/>
      <c r="B840" s="22"/>
      <c r="C840" s="22"/>
      <c r="D840" s="22"/>
      <c r="E840" s="22"/>
      <c r="F840" s="22"/>
      <c r="G840" s="112"/>
      <c r="H840" s="112"/>
      <c r="I840" s="112"/>
      <c r="J840" s="112"/>
      <c r="K840" s="112"/>
      <c r="L840" s="112"/>
      <c r="M840" s="253"/>
      <c r="N840" s="253"/>
      <c r="O840" s="253"/>
      <c r="P840" s="253"/>
      <c r="Q840" s="253"/>
      <c r="R840" s="253"/>
      <c r="S840" s="253"/>
      <c r="T840" s="253"/>
      <c r="U840" s="253"/>
      <c r="V840" s="253"/>
      <c r="W840" s="253"/>
      <c r="X840" s="253"/>
      <c r="Y840" s="253"/>
      <c r="Z840" s="253"/>
      <c r="AA840" s="253"/>
      <c r="AB840" s="253"/>
      <c r="AC840" s="253"/>
    </row>
    <row r="841">
      <c r="A841" s="22"/>
      <c r="B841" s="22"/>
      <c r="C841" s="22"/>
      <c r="D841" s="22"/>
      <c r="E841" s="22"/>
      <c r="F841" s="22"/>
      <c r="G841" s="112"/>
      <c r="H841" s="112"/>
      <c r="I841" s="112"/>
      <c r="J841" s="112"/>
      <c r="K841" s="112"/>
      <c r="L841" s="112"/>
      <c r="M841" s="253"/>
      <c r="N841" s="253"/>
      <c r="O841" s="253"/>
      <c r="P841" s="253"/>
      <c r="Q841" s="253"/>
      <c r="R841" s="253"/>
      <c r="S841" s="253"/>
      <c r="T841" s="253"/>
      <c r="U841" s="253"/>
      <c r="V841" s="253"/>
      <c r="W841" s="253"/>
      <c r="X841" s="253"/>
      <c r="Y841" s="253"/>
      <c r="Z841" s="253"/>
      <c r="AA841" s="253"/>
      <c r="AB841" s="253"/>
      <c r="AC841" s="253"/>
    </row>
    <row r="842">
      <c r="A842" s="22"/>
      <c r="B842" s="22"/>
      <c r="C842" s="22"/>
      <c r="D842" s="22"/>
      <c r="E842" s="22"/>
      <c r="F842" s="22"/>
      <c r="G842" s="112"/>
      <c r="H842" s="112"/>
      <c r="I842" s="112"/>
      <c r="J842" s="112"/>
      <c r="K842" s="112"/>
      <c r="L842" s="112"/>
      <c r="M842" s="253"/>
      <c r="N842" s="253"/>
      <c r="O842" s="253"/>
      <c r="P842" s="253"/>
      <c r="Q842" s="253"/>
      <c r="R842" s="253"/>
      <c r="S842" s="253"/>
      <c r="T842" s="253"/>
      <c r="U842" s="253"/>
      <c r="V842" s="253"/>
      <c r="W842" s="253"/>
      <c r="X842" s="253"/>
      <c r="Y842" s="253"/>
      <c r="Z842" s="253"/>
      <c r="AA842" s="253"/>
      <c r="AB842" s="253"/>
      <c r="AC842" s="253"/>
    </row>
    <row r="843">
      <c r="A843" s="22"/>
      <c r="B843" s="22"/>
      <c r="C843" s="22"/>
      <c r="D843" s="22"/>
      <c r="E843" s="22"/>
      <c r="F843" s="22"/>
      <c r="G843" s="112"/>
      <c r="H843" s="112"/>
      <c r="I843" s="112"/>
      <c r="J843" s="112"/>
      <c r="K843" s="112"/>
      <c r="L843" s="112"/>
      <c r="M843" s="253"/>
      <c r="N843" s="253"/>
      <c r="O843" s="253"/>
      <c r="P843" s="253"/>
      <c r="Q843" s="253"/>
      <c r="R843" s="253"/>
      <c r="S843" s="253"/>
      <c r="T843" s="253"/>
      <c r="U843" s="253"/>
      <c r="V843" s="253"/>
      <c r="W843" s="253"/>
      <c r="X843" s="253"/>
      <c r="Y843" s="253"/>
      <c r="Z843" s="253"/>
      <c r="AA843" s="253"/>
      <c r="AB843" s="253"/>
      <c r="AC843" s="253"/>
    </row>
    <row r="844">
      <c r="A844" s="22"/>
      <c r="B844" s="22"/>
      <c r="C844" s="22"/>
      <c r="D844" s="22"/>
      <c r="E844" s="22"/>
      <c r="F844" s="22"/>
      <c r="G844" s="112"/>
      <c r="H844" s="112"/>
      <c r="I844" s="112"/>
      <c r="J844" s="112"/>
      <c r="K844" s="112"/>
      <c r="L844" s="112"/>
      <c r="M844" s="253"/>
      <c r="N844" s="253"/>
      <c r="O844" s="253"/>
      <c r="P844" s="253"/>
      <c r="Q844" s="253"/>
      <c r="R844" s="253"/>
      <c r="S844" s="253"/>
      <c r="T844" s="253"/>
      <c r="U844" s="253"/>
      <c r="V844" s="253"/>
      <c r="W844" s="253"/>
      <c r="X844" s="253"/>
      <c r="Y844" s="253"/>
      <c r="Z844" s="253"/>
      <c r="AA844" s="253"/>
      <c r="AB844" s="253"/>
      <c r="AC844" s="253"/>
    </row>
    <row r="845">
      <c r="A845" s="22"/>
      <c r="B845" s="22"/>
      <c r="C845" s="22"/>
      <c r="D845" s="22"/>
      <c r="E845" s="22"/>
      <c r="F845" s="22"/>
      <c r="G845" s="112"/>
      <c r="H845" s="112"/>
      <c r="I845" s="112"/>
      <c r="J845" s="112"/>
      <c r="K845" s="112"/>
      <c r="L845" s="112"/>
      <c r="M845" s="253"/>
      <c r="N845" s="253"/>
      <c r="O845" s="253"/>
      <c r="P845" s="253"/>
      <c r="Q845" s="253"/>
      <c r="R845" s="253"/>
      <c r="S845" s="253"/>
      <c r="T845" s="253"/>
      <c r="U845" s="253"/>
      <c r="V845" s="253"/>
      <c r="W845" s="253"/>
      <c r="X845" s="253"/>
      <c r="Y845" s="253"/>
      <c r="Z845" s="253"/>
      <c r="AA845" s="253"/>
      <c r="AB845" s="253"/>
      <c r="AC845" s="253"/>
    </row>
    <row r="846">
      <c r="A846" s="22"/>
      <c r="B846" s="22"/>
      <c r="C846" s="22"/>
      <c r="D846" s="22"/>
      <c r="E846" s="22"/>
      <c r="F846" s="22"/>
      <c r="G846" s="112"/>
      <c r="H846" s="112"/>
      <c r="I846" s="112"/>
      <c r="J846" s="112"/>
      <c r="K846" s="112"/>
      <c r="L846" s="112"/>
      <c r="M846" s="253"/>
      <c r="N846" s="253"/>
      <c r="O846" s="253"/>
      <c r="P846" s="253"/>
      <c r="Q846" s="253"/>
      <c r="R846" s="253"/>
      <c r="S846" s="253"/>
      <c r="T846" s="253"/>
      <c r="U846" s="253"/>
      <c r="V846" s="253"/>
      <c r="W846" s="253"/>
      <c r="X846" s="253"/>
      <c r="Y846" s="253"/>
      <c r="Z846" s="253"/>
      <c r="AA846" s="253"/>
      <c r="AB846" s="253"/>
      <c r="AC846" s="253"/>
    </row>
    <row r="847">
      <c r="A847" s="22"/>
      <c r="B847" s="22"/>
      <c r="C847" s="22"/>
      <c r="D847" s="22"/>
      <c r="E847" s="22"/>
      <c r="F847" s="22"/>
      <c r="G847" s="112"/>
      <c r="H847" s="112"/>
      <c r="I847" s="112"/>
      <c r="J847" s="112"/>
      <c r="K847" s="112"/>
      <c r="L847" s="112"/>
      <c r="M847" s="253"/>
      <c r="N847" s="253"/>
      <c r="O847" s="253"/>
      <c r="P847" s="253"/>
      <c r="Q847" s="253"/>
      <c r="R847" s="253"/>
      <c r="S847" s="253"/>
      <c r="T847" s="253"/>
      <c r="U847" s="253"/>
      <c r="V847" s="253"/>
      <c r="W847" s="253"/>
      <c r="X847" s="253"/>
      <c r="Y847" s="253"/>
      <c r="Z847" s="253"/>
      <c r="AA847" s="253"/>
      <c r="AB847" s="253"/>
      <c r="AC847" s="253"/>
    </row>
    <row r="848">
      <c r="A848" s="22"/>
      <c r="B848" s="22"/>
      <c r="C848" s="22"/>
      <c r="D848" s="22"/>
      <c r="E848" s="22"/>
      <c r="F848" s="22"/>
      <c r="G848" s="112"/>
      <c r="H848" s="112"/>
      <c r="I848" s="112"/>
      <c r="J848" s="112"/>
      <c r="K848" s="112"/>
      <c r="L848" s="112"/>
      <c r="M848" s="253"/>
      <c r="N848" s="253"/>
      <c r="O848" s="253"/>
      <c r="P848" s="253"/>
      <c r="Q848" s="253"/>
      <c r="R848" s="253"/>
      <c r="S848" s="253"/>
      <c r="T848" s="253"/>
      <c r="U848" s="253"/>
      <c r="V848" s="253"/>
      <c r="W848" s="253"/>
      <c r="X848" s="253"/>
      <c r="Y848" s="253"/>
      <c r="Z848" s="253"/>
      <c r="AA848" s="253"/>
      <c r="AB848" s="253"/>
      <c r="AC848" s="253"/>
    </row>
    <row r="849">
      <c r="A849" s="22"/>
      <c r="B849" s="22"/>
      <c r="C849" s="22"/>
      <c r="D849" s="22"/>
      <c r="E849" s="22"/>
      <c r="F849" s="22"/>
      <c r="G849" s="112"/>
      <c r="H849" s="112"/>
      <c r="I849" s="112"/>
      <c r="J849" s="112"/>
      <c r="K849" s="112"/>
      <c r="L849" s="112"/>
      <c r="M849" s="253"/>
      <c r="N849" s="253"/>
      <c r="O849" s="253"/>
      <c r="P849" s="253"/>
      <c r="Q849" s="253"/>
      <c r="R849" s="253"/>
      <c r="S849" s="253"/>
      <c r="T849" s="253"/>
      <c r="U849" s="253"/>
      <c r="V849" s="253"/>
      <c r="W849" s="253"/>
      <c r="X849" s="253"/>
      <c r="Y849" s="253"/>
      <c r="Z849" s="253"/>
      <c r="AA849" s="253"/>
      <c r="AB849" s="253"/>
      <c r="AC849" s="253"/>
    </row>
    <row r="850">
      <c r="A850" s="22"/>
      <c r="B850" s="22"/>
      <c r="C850" s="22"/>
      <c r="D850" s="22"/>
      <c r="E850" s="22"/>
      <c r="F850" s="22"/>
      <c r="G850" s="112"/>
      <c r="H850" s="112"/>
      <c r="I850" s="112"/>
      <c r="J850" s="112"/>
      <c r="K850" s="112"/>
      <c r="L850" s="112"/>
      <c r="M850" s="253"/>
      <c r="N850" s="253"/>
      <c r="O850" s="253"/>
      <c r="P850" s="253"/>
      <c r="Q850" s="253"/>
      <c r="R850" s="253"/>
      <c r="S850" s="253"/>
      <c r="T850" s="253"/>
      <c r="U850" s="253"/>
      <c r="V850" s="253"/>
      <c r="W850" s="253"/>
      <c r="X850" s="253"/>
      <c r="Y850" s="253"/>
      <c r="Z850" s="253"/>
      <c r="AA850" s="253"/>
      <c r="AB850" s="253"/>
      <c r="AC850" s="253"/>
    </row>
    <row r="851">
      <c r="A851" s="22"/>
      <c r="B851" s="22"/>
      <c r="C851" s="22"/>
      <c r="D851" s="22"/>
      <c r="E851" s="22"/>
      <c r="F851" s="22"/>
      <c r="G851" s="112"/>
      <c r="H851" s="112"/>
      <c r="I851" s="112"/>
      <c r="J851" s="112"/>
      <c r="K851" s="112"/>
      <c r="L851" s="112"/>
      <c r="M851" s="253"/>
      <c r="N851" s="253"/>
      <c r="O851" s="253"/>
      <c r="P851" s="253"/>
      <c r="Q851" s="253"/>
      <c r="R851" s="253"/>
      <c r="S851" s="253"/>
      <c r="T851" s="253"/>
      <c r="U851" s="253"/>
      <c r="V851" s="253"/>
      <c r="W851" s="253"/>
      <c r="X851" s="253"/>
      <c r="Y851" s="253"/>
      <c r="Z851" s="253"/>
      <c r="AA851" s="253"/>
      <c r="AB851" s="253"/>
      <c r="AC851" s="253"/>
    </row>
    <row r="852">
      <c r="A852" s="22"/>
      <c r="B852" s="22"/>
      <c r="C852" s="22"/>
      <c r="D852" s="22"/>
      <c r="E852" s="22"/>
      <c r="F852" s="22"/>
      <c r="G852" s="112"/>
      <c r="H852" s="112"/>
      <c r="I852" s="112"/>
      <c r="J852" s="112"/>
      <c r="K852" s="112"/>
      <c r="L852" s="112"/>
      <c r="M852" s="253"/>
      <c r="N852" s="253"/>
      <c r="O852" s="253"/>
      <c r="P852" s="253"/>
      <c r="Q852" s="253"/>
      <c r="R852" s="253"/>
      <c r="S852" s="253"/>
      <c r="T852" s="253"/>
      <c r="U852" s="253"/>
      <c r="V852" s="253"/>
      <c r="W852" s="253"/>
      <c r="X852" s="253"/>
      <c r="Y852" s="253"/>
      <c r="Z852" s="253"/>
      <c r="AA852" s="253"/>
      <c r="AB852" s="253"/>
      <c r="AC852" s="253"/>
    </row>
    <row r="853">
      <c r="A853" s="22"/>
      <c r="B853" s="22"/>
      <c r="C853" s="22"/>
      <c r="D853" s="22"/>
      <c r="E853" s="22"/>
      <c r="F853" s="22"/>
      <c r="G853" s="112"/>
      <c r="H853" s="112"/>
      <c r="I853" s="112"/>
      <c r="J853" s="112"/>
      <c r="K853" s="112"/>
      <c r="L853" s="112"/>
      <c r="M853" s="253"/>
      <c r="N853" s="253"/>
      <c r="O853" s="253"/>
      <c r="P853" s="253"/>
      <c r="Q853" s="253"/>
      <c r="R853" s="253"/>
      <c r="S853" s="253"/>
      <c r="T853" s="253"/>
      <c r="U853" s="253"/>
      <c r="V853" s="253"/>
      <c r="W853" s="253"/>
      <c r="X853" s="253"/>
      <c r="Y853" s="253"/>
      <c r="Z853" s="253"/>
      <c r="AA853" s="253"/>
      <c r="AB853" s="253"/>
      <c r="AC853" s="253"/>
    </row>
    <row r="854">
      <c r="A854" s="22"/>
      <c r="B854" s="22"/>
      <c r="C854" s="22"/>
      <c r="D854" s="22"/>
      <c r="E854" s="22"/>
      <c r="F854" s="22"/>
      <c r="G854" s="112"/>
      <c r="H854" s="112"/>
      <c r="I854" s="112"/>
      <c r="J854" s="112"/>
      <c r="K854" s="112"/>
      <c r="L854" s="112"/>
      <c r="M854" s="253"/>
      <c r="N854" s="253"/>
      <c r="O854" s="253"/>
      <c r="P854" s="253"/>
      <c r="Q854" s="253"/>
      <c r="R854" s="253"/>
      <c r="S854" s="253"/>
      <c r="T854" s="253"/>
      <c r="U854" s="253"/>
      <c r="V854" s="253"/>
      <c r="W854" s="253"/>
      <c r="X854" s="253"/>
      <c r="Y854" s="253"/>
      <c r="Z854" s="253"/>
      <c r="AA854" s="253"/>
      <c r="AB854" s="253"/>
      <c r="AC854" s="253"/>
    </row>
    <row r="855">
      <c r="A855" s="22"/>
      <c r="B855" s="22"/>
      <c r="C855" s="22"/>
      <c r="D855" s="22"/>
      <c r="E855" s="22"/>
      <c r="F855" s="22"/>
      <c r="G855" s="112"/>
      <c r="H855" s="112"/>
      <c r="I855" s="112"/>
      <c r="J855" s="112"/>
      <c r="K855" s="112"/>
      <c r="L855" s="112"/>
      <c r="M855" s="253"/>
      <c r="N855" s="253"/>
      <c r="O855" s="253"/>
      <c r="P855" s="253"/>
      <c r="Q855" s="253"/>
      <c r="R855" s="253"/>
      <c r="S855" s="253"/>
      <c r="T855" s="253"/>
      <c r="U855" s="253"/>
      <c r="V855" s="253"/>
      <c r="W855" s="253"/>
      <c r="X855" s="253"/>
      <c r="Y855" s="253"/>
      <c r="Z855" s="253"/>
      <c r="AA855" s="253"/>
      <c r="AB855" s="253"/>
      <c r="AC855" s="253"/>
    </row>
    <row r="856">
      <c r="A856" s="22"/>
      <c r="B856" s="22"/>
      <c r="C856" s="22"/>
      <c r="D856" s="22"/>
      <c r="E856" s="22"/>
      <c r="F856" s="22"/>
      <c r="G856" s="112"/>
      <c r="H856" s="112"/>
      <c r="I856" s="112"/>
      <c r="J856" s="112"/>
      <c r="K856" s="112"/>
      <c r="L856" s="112"/>
      <c r="M856" s="253"/>
      <c r="N856" s="253"/>
      <c r="O856" s="253"/>
      <c r="P856" s="253"/>
      <c r="Q856" s="253"/>
      <c r="R856" s="253"/>
      <c r="S856" s="253"/>
      <c r="T856" s="253"/>
      <c r="U856" s="253"/>
      <c r="V856" s="253"/>
      <c r="W856" s="253"/>
      <c r="X856" s="253"/>
      <c r="Y856" s="253"/>
      <c r="Z856" s="253"/>
      <c r="AA856" s="253"/>
      <c r="AB856" s="253"/>
      <c r="AC856" s="253"/>
    </row>
    <row r="857">
      <c r="A857" s="22"/>
      <c r="B857" s="22"/>
      <c r="C857" s="22"/>
      <c r="D857" s="22"/>
      <c r="E857" s="22"/>
      <c r="F857" s="22"/>
      <c r="G857" s="112"/>
      <c r="H857" s="112"/>
      <c r="I857" s="112"/>
      <c r="J857" s="112"/>
      <c r="K857" s="112"/>
      <c r="L857" s="112"/>
      <c r="M857" s="253"/>
      <c r="N857" s="253"/>
      <c r="O857" s="253"/>
      <c r="P857" s="253"/>
      <c r="Q857" s="253"/>
      <c r="R857" s="253"/>
      <c r="S857" s="253"/>
      <c r="T857" s="253"/>
      <c r="U857" s="253"/>
      <c r="V857" s="253"/>
      <c r="W857" s="253"/>
      <c r="X857" s="253"/>
      <c r="Y857" s="253"/>
      <c r="Z857" s="253"/>
      <c r="AA857" s="253"/>
      <c r="AB857" s="253"/>
      <c r="AC857" s="253"/>
    </row>
    <row r="858">
      <c r="A858" s="22"/>
      <c r="B858" s="22"/>
      <c r="C858" s="22"/>
      <c r="D858" s="22"/>
      <c r="E858" s="22"/>
      <c r="F858" s="22"/>
      <c r="G858" s="112"/>
      <c r="H858" s="112"/>
      <c r="I858" s="112"/>
      <c r="J858" s="112"/>
      <c r="K858" s="112"/>
      <c r="L858" s="112"/>
      <c r="M858" s="253"/>
      <c r="N858" s="253"/>
      <c r="O858" s="253"/>
      <c r="P858" s="253"/>
      <c r="Q858" s="253"/>
      <c r="R858" s="253"/>
      <c r="S858" s="253"/>
      <c r="T858" s="253"/>
      <c r="U858" s="253"/>
      <c r="V858" s="253"/>
      <c r="W858" s="253"/>
      <c r="X858" s="253"/>
      <c r="Y858" s="253"/>
      <c r="Z858" s="253"/>
      <c r="AA858" s="253"/>
      <c r="AB858" s="253"/>
      <c r="AC858" s="253"/>
    </row>
    <row r="859">
      <c r="A859" s="22"/>
      <c r="B859" s="22"/>
      <c r="C859" s="22"/>
      <c r="D859" s="22"/>
      <c r="E859" s="22"/>
      <c r="F859" s="22"/>
      <c r="G859" s="112"/>
      <c r="H859" s="112"/>
      <c r="I859" s="112"/>
      <c r="J859" s="112"/>
      <c r="K859" s="112"/>
      <c r="L859" s="112"/>
      <c r="M859" s="253"/>
      <c r="N859" s="253"/>
      <c r="O859" s="253"/>
      <c r="P859" s="253"/>
      <c r="Q859" s="253"/>
      <c r="R859" s="253"/>
      <c r="S859" s="253"/>
      <c r="T859" s="253"/>
      <c r="U859" s="253"/>
      <c r="V859" s="253"/>
      <c r="W859" s="253"/>
      <c r="X859" s="253"/>
      <c r="Y859" s="253"/>
      <c r="Z859" s="253"/>
      <c r="AA859" s="253"/>
      <c r="AB859" s="253"/>
      <c r="AC859" s="253"/>
    </row>
    <row r="860">
      <c r="A860" s="22"/>
      <c r="B860" s="22"/>
      <c r="C860" s="22"/>
      <c r="D860" s="22"/>
      <c r="E860" s="22"/>
      <c r="F860" s="22"/>
      <c r="G860" s="112"/>
      <c r="H860" s="112"/>
      <c r="I860" s="112"/>
      <c r="J860" s="112"/>
      <c r="K860" s="112"/>
      <c r="L860" s="112"/>
      <c r="M860" s="253"/>
      <c r="N860" s="253"/>
      <c r="O860" s="253"/>
      <c r="P860" s="253"/>
      <c r="Q860" s="253"/>
      <c r="R860" s="253"/>
      <c r="S860" s="253"/>
      <c r="T860" s="253"/>
      <c r="U860" s="253"/>
      <c r="V860" s="253"/>
      <c r="W860" s="253"/>
      <c r="X860" s="253"/>
      <c r="Y860" s="253"/>
      <c r="Z860" s="253"/>
      <c r="AA860" s="253"/>
      <c r="AB860" s="253"/>
      <c r="AC860" s="253"/>
    </row>
    <row r="861">
      <c r="A861" s="22"/>
      <c r="B861" s="22"/>
      <c r="C861" s="22"/>
      <c r="D861" s="22"/>
      <c r="E861" s="22"/>
      <c r="F861" s="22"/>
      <c r="G861" s="112"/>
      <c r="H861" s="112"/>
      <c r="I861" s="112"/>
      <c r="J861" s="112"/>
      <c r="K861" s="112"/>
      <c r="L861" s="112"/>
      <c r="M861" s="253"/>
      <c r="N861" s="253"/>
      <c r="O861" s="253"/>
      <c r="P861" s="253"/>
      <c r="Q861" s="253"/>
      <c r="R861" s="253"/>
      <c r="S861" s="253"/>
      <c r="T861" s="253"/>
      <c r="U861" s="253"/>
      <c r="V861" s="253"/>
      <c r="W861" s="253"/>
      <c r="X861" s="253"/>
      <c r="Y861" s="253"/>
      <c r="Z861" s="253"/>
      <c r="AA861" s="253"/>
      <c r="AB861" s="253"/>
      <c r="AC861" s="253"/>
    </row>
    <row r="862">
      <c r="A862" s="22"/>
      <c r="B862" s="22"/>
      <c r="C862" s="22"/>
      <c r="D862" s="22"/>
      <c r="E862" s="22"/>
      <c r="F862" s="22"/>
      <c r="G862" s="112"/>
      <c r="H862" s="112"/>
      <c r="I862" s="112"/>
      <c r="J862" s="112"/>
      <c r="K862" s="112"/>
      <c r="L862" s="112"/>
      <c r="M862" s="253"/>
      <c r="N862" s="253"/>
      <c r="O862" s="253"/>
      <c r="P862" s="253"/>
      <c r="Q862" s="253"/>
      <c r="R862" s="253"/>
      <c r="S862" s="253"/>
      <c r="T862" s="253"/>
      <c r="U862" s="253"/>
      <c r="V862" s="253"/>
      <c r="W862" s="253"/>
      <c r="X862" s="253"/>
      <c r="Y862" s="253"/>
      <c r="Z862" s="253"/>
      <c r="AA862" s="253"/>
      <c r="AB862" s="253"/>
      <c r="AC862" s="253"/>
    </row>
    <row r="863">
      <c r="A863" s="22"/>
      <c r="B863" s="22"/>
      <c r="C863" s="22"/>
      <c r="D863" s="22"/>
      <c r="E863" s="22"/>
      <c r="F863" s="22"/>
      <c r="G863" s="112"/>
      <c r="H863" s="112"/>
      <c r="I863" s="112"/>
      <c r="J863" s="112"/>
      <c r="K863" s="112"/>
      <c r="L863" s="112"/>
      <c r="M863" s="253"/>
      <c r="N863" s="253"/>
      <c r="O863" s="253"/>
      <c r="P863" s="253"/>
      <c r="Q863" s="253"/>
      <c r="R863" s="253"/>
      <c r="S863" s="253"/>
      <c r="T863" s="253"/>
      <c r="U863" s="253"/>
      <c r="V863" s="253"/>
      <c r="W863" s="253"/>
      <c r="X863" s="253"/>
      <c r="Y863" s="253"/>
      <c r="Z863" s="253"/>
      <c r="AA863" s="253"/>
      <c r="AB863" s="253"/>
      <c r="AC863" s="253"/>
    </row>
    <row r="864">
      <c r="A864" s="22"/>
      <c r="B864" s="22"/>
      <c r="C864" s="22"/>
      <c r="D864" s="22"/>
      <c r="E864" s="22"/>
      <c r="F864" s="22"/>
      <c r="G864" s="112"/>
      <c r="H864" s="112"/>
      <c r="I864" s="112"/>
      <c r="J864" s="112"/>
      <c r="K864" s="112"/>
      <c r="L864" s="112"/>
      <c r="M864" s="253"/>
      <c r="N864" s="253"/>
      <c r="O864" s="253"/>
      <c r="P864" s="253"/>
      <c r="Q864" s="253"/>
      <c r="R864" s="253"/>
      <c r="S864" s="253"/>
      <c r="T864" s="253"/>
      <c r="U864" s="253"/>
      <c r="V864" s="253"/>
      <c r="W864" s="253"/>
      <c r="X864" s="253"/>
      <c r="Y864" s="253"/>
      <c r="Z864" s="253"/>
      <c r="AA864" s="253"/>
      <c r="AB864" s="253"/>
      <c r="AC864" s="253"/>
    </row>
    <row r="865">
      <c r="A865" s="22"/>
      <c r="B865" s="22"/>
      <c r="C865" s="22"/>
      <c r="D865" s="22"/>
      <c r="E865" s="22"/>
      <c r="F865" s="22"/>
      <c r="G865" s="112"/>
      <c r="H865" s="112"/>
      <c r="I865" s="112"/>
      <c r="J865" s="112"/>
      <c r="K865" s="112"/>
      <c r="L865" s="112"/>
      <c r="M865" s="253"/>
      <c r="N865" s="253"/>
      <c r="O865" s="253"/>
      <c r="P865" s="253"/>
      <c r="Q865" s="253"/>
      <c r="R865" s="253"/>
      <c r="S865" s="253"/>
      <c r="T865" s="253"/>
      <c r="U865" s="253"/>
      <c r="V865" s="253"/>
      <c r="W865" s="253"/>
      <c r="X865" s="253"/>
      <c r="Y865" s="253"/>
      <c r="Z865" s="253"/>
      <c r="AA865" s="253"/>
      <c r="AB865" s="253"/>
      <c r="AC865" s="253"/>
    </row>
    <row r="866">
      <c r="A866" s="22"/>
      <c r="B866" s="22"/>
      <c r="C866" s="22"/>
      <c r="D866" s="22"/>
      <c r="E866" s="22"/>
      <c r="F866" s="22"/>
      <c r="G866" s="112"/>
      <c r="H866" s="112"/>
      <c r="I866" s="112"/>
      <c r="J866" s="112"/>
      <c r="K866" s="112"/>
      <c r="L866" s="112"/>
      <c r="M866" s="253"/>
      <c r="N866" s="253"/>
      <c r="O866" s="253"/>
      <c r="P866" s="253"/>
      <c r="Q866" s="253"/>
      <c r="R866" s="253"/>
      <c r="S866" s="253"/>
      <c r="T866" s="253"/>
      <c r="U866" s="253"/>
      <c r="V866" s="253"/>
      <c r="W866" s="253"/>
      <c r="X866" s="253"/>
      <c r="Y866" s="253"/>
      <c r="Z866" s="253"/>
      <c r="AA866" s="253"/>
      <c r="AB866" s="253"/>
      <c r="AC866" s="253"/>
    </row>
    <row r="867">
      <c r="A867" s="22"/>
      <c r="B867" s="22"/>
      <c r="C867" s="22"/>
      <c r="D867" s="22"/>
      <c r="E867" s="22"/>
      <c r="F867" s="22"/>
      <c r="G867" s="112"/>
      <c r="H867" s="112"/>
      <c r="I867" s="112"/>
      <c r="J867" s="112"/>
      <c r="K867" s="112"/>
      <c r="L867" s="112"/>
      <c r="M867" s="253"/>
      <c r="N867" s="253"/>
      <c r="O867" s="253"/>
      <c r="P867" s="253"/>
      <c r="Q867" s="253"/>
      <c r="R867" s="253"/>
      <c r="S867" s="253"/>
      <c r="T867" s="253"/>
      <c r="U867" s="253"/>
      <c r="V867" s="253"/>
      <c r="W867" s="253"/>
      <c r="X867" s="253"/>
      <c r="Y867" s="253"/>
      <c r="Z867" s="253"/>
      <c r="AA867" s="253"/>
      <c r="AB867" s="253"/>
      <c r="AC867" s="253"/>
    </row>
    <row r="868">
      <c r="A868" s="22"/>
      <c r="B868" s="22"/>
      <c r="C868" s="22"/>
      <c r="D868" s="22"/>
      <c r="E868" s="22"/>
      <c r="F868" s="22"/>
      <c r="G868" s="112"/>
      <c r="H868" s="112"/>
      <c r="I868" s="112"/>
      <c r="J868" s="112"/>
      <c r="K868" s="112"/>
      <c r="L868" s="112"/>
      <c r="M868" s="253"/>
      <c r="N868" s="253"/>
      <c r="O868" s="253"/>
      <c r="P868" s="253"/>
      <c r="Q868" s="253"/>
      <c r="R868" s="253"/>
      <c r="S868" s="253"/>
      <c r="T868" s="253"/>
      <c r="U868" s="253"/>
      <c r="V868" s="253"/>
      <c r="W868" s="253"/>
      <c r="X868" s="253"/>
      <c r="Y868" s="253"/>
      <c r="Z868" s="253"/>
      <c r="AA868" s="253"/>
      <c r="AB868" s="253"/>
      <c r="AC868" s="253"/>
    </row>
    <row r="869">
      <c r="A869" s="22"/>
      <c r="B869" s="22"/>
      <c r="C869" s="22"/>
      <c r="D869" s="22"/>
      <c r="E869" s="22"/>
      <c r="F869" s="22"/>
      <c r="G869" s="112"/>
      <c r="H869" s="112"/>
      <c r="I869" s="112"/>
      <c r="J869" s="112"/>
      <c r="K869" s="112"/>
      <c r="L869" s="112"/>
      <c r="M869" s="253"/>
      <c r="N869" s="253"/>
      <c r="O869" s="253"/>
      <c r="P869" s="253"/>
      <c r="Q869" s="253"/>
      <c r="R869" s="253"/>
      <c r="S869" s="253"/>
      <c r="T869" s="253"/>
      <c r="U869" s="253"/>
      <c r="V869" s="253"/>
      <c r="W869" s="253"/>
      <c r="X869" s="253"/>
      <c r="Y869" s="253"/>
      <c r="Z869" s="253"/>
      <c r="AA869" s="253"/>
      <c r="AB869" s="253"/>
      <c r="AC869" s="253"/>
    </row>
    <row r="870">
      <c r="A870" s="22"/>
      <c r="B870" s="22"/>
      <c r="C870" s="22"/>
      <c r="D870" s="22"/>
      <c r="E870" s="22"/>
      <c r="F870" s="22"/>
      <c r="G870" s="112"/>
      <c r="H870" s="112"/>
      <c r="I870" s="112"/>
      <c r="J870" s="112"/>
      <c r="K870" s="112"/>
      <c r="L870" s="112"/>
      <c r="M870" s="253"/>
      <c r="N870" s="253"/>
      <c r="O870" s="253"/>
      <c r="P870" s="253"/>
      <c r="Q870" s="253"/>
      <c r="R870" s="253"/>
      <c r="S870" s="253"/>
      <c r="T870" s="253"/>
      <c r="U870" s="253"/>
      <c r="V870" s="253"/>
      <c r="W870" s="253"/>
      <c r="X870" s="253"/>
      <c r="Y870" s="253"/>
      <c r="Z870" s="253"/>
      <c r="AA870" s="253"/>
      <c r="AB870" s="253"/>
      <c r="AC870" s="253"/>
    </row>
    <row r="871">
      <c r="A871" s="22"/>
      <c r="B871" s="22"/>
      <c r="C871" s="22"/>
      <c r="D871" s="22"/>
      <c r="E871" s="22"/>
      <c r="F871" s="22"/>
      <c r="G871" s="112"/>
      <c r="H871" s="112"/>
      <c r="I871" s="112"/>
      <c r="J871" s="112"/>
      <c r="K871" s="112"/>
      <c r="L871" s="112"/>
      <c r="M871" s="253"/>
      <c r="N871" s="253"/>
      <c r="O871" s="253"/>
      <c r="P871" s="253"/>
      <c r="Q871" s="253"/>
      <c r="R871" s="253"/>
      <c r="S871" s="253"/>
      <c r="T871" s="253"/>
      <c r="U871" s="253"/>
      <c r="V871" s="253"/>
      <c r="W871" s="253"/>
      <c r="X871" s="253"/>
      <c r="Y871" s="253"/>
      <c r="Z871" s="253"/>
      <c r="AA871" s="253"/>
      <c r="AB871" s="253"/>
      <c r="AC871" s="253"/>
    </row>
    <row r="872">
      <c r="A872" s="22"/>
      <c r="B872" s="22"/>
      <c r="C872" s="22"/>
      <c r="D872" s="22"/>
      <c r="E872" s="22"/>
      <c r="F872" s="22"/>
      <c r="G872" s="112"/>
      <c r="H872" s="112"/>
      <c r="I872" s="112"/>
      <c r="J872" s="112"/>
      <c r="K872" s="112"/>
      <c r="L872" s="112"/>
      <c r="M872" s="253"/>
      <c r="N872" s="253"/>
      <c r="O872" s="253"/>
      <c r="P872" s="253"/>
      <c r="Q872" s="253"/>
      <c r="R872" s="253"/>
      <c r="S872" s="253"/>
      <c r="T872" s="253"/>
      <c r="U872" s="253"/>
      <c r="V872" s="253"/>
      <c r="W872" s="253"/>
      <c r="X872" s="253"/>
      <c r="Y872" s="253"/>
      <c r="Z872" s="253"/>
      <c r="AA872" s="253"/>
      <c r="AB872" s="253"/>
      <c r="AC872" s="253"/>
    </row>
    <row r="873">
      <c r="A873" s="22"/>
      <c r="B873" s="22"/>
      <c r="C873" s="22"/>
      <c r="D873" s="22"/>
      <c r="E873" s="22"/>
      <c r="F873" s="22"/>
      <c r="G873" s="112"/>
      <c r="H873" s="112"/>
      <c r="I873" s="112"/>
      <c r="J873" s="112"/>
      <c r="K873" s="112"/>
      <c r="L873" s="112"/>
      <c r="M873" s="253"/>
      <c r="N873" s="253"/>
      <c r="O873" s="253"/>
      <c r="P873" s="253"/>
      <c r="Q873" s="253"/>
      <c r="R873" s="253"/>
      <c r="S873" s="253"/>
      <c r="T873" s="253"/>
      <c r="U873" s="253"/>
      <c r="V873" s="253"/>
      <c r="W873" s="253"/>
      <c r="X873" s="253"/>
      <c r="Y873" s="253"/>
      <c r="Z873" s="253"/>
      <c r="AA873" s="253"/>
      <c r="AB873" s="253"/>
      <c r="AC873" s="253"/>
    </row>
    <row r="874">
      <c r="A874" s="22"/>
      <c r="B874" s="22"/>
      <c r="C874" s="22"/>
      <c r="D874" s="22"/>
      <c r="E874" s="22"/>
      <c r="F874" s="22"/>
      <c r="G874" s="112"/>
      <c r="H874" s="112"/>
      <c r="I874" s="112"/>
      <c r="J874" s="112"/>
      <c r="K874" s="112"/>
      <c r="L874" s="112"/>
      <c r="M874" s="253"/>
      <c r="N874" s="253"/>
      <c r="O874" s="253"/>
      <c r="P874" s="253"/>
      <c r="Q874" s="253"/>
      <c r="R874" s="253"/>
      <c r="S874" s="253"/>
      <c r="T874" s="253"/>
      <c r="U874" s="253"/>
      <c r="V874" s="253"/>
      <c r="W874" s="253"/>
      <c r="X874" s="253"/>
      <c r="Y874" s="253"/>
      <c r="Z874" s="253"/>
      <c r="AA874" s="253"/>
      <c r="AB874" s="253"/>
      <c r="AC874" s="253"/>
    </row>
    <row r="875">
      <c r="A875" s="22"/>
      <c r="B875" s="22"/>
      <c r="C875" s="22"/>
      <c r="D875" s="22"/>
      <c r="E875" s="22"/>
      <c r="F875" s="22"/>
      <c r="G875" s="112"/>
      <c r="H875" s="112"/>
      <c r="I875" s="112"/>
      <c r="J875" s="112"/>
      <c r="K875" s="112"/>
      <c r="L875" s="112"/>
      <c r="M875" s="253"/>
      <c r="N875" s="253"/>
      <c r="O875" s="253"/>
      <c r="P875" s="253"/>
      <c r="Q875" s="253"/>
      <c r="R875" s="253"/>
      <c r="S875" s="253"/>
      <c r="T875" s="253"/>
      <c r="U875" s="253"/>
      <c r="V875" s="253"/>
      <c r="W875" s="253"/>
      <c r="X875" s="253"/>
      <c r="Y875" s="253"/>
      <c r="Z875" s="253"/>
      <c r="AA875" s="253"/>
      <c r="AB875" s="253"/>
      <c r="AC875" s="253"/>
    </row>
    <row r="876">
      <c r="A876" s="22"/>
      <c r="B876" s="22"/>
      <c r="C876" s="22"/>
      <c r="D876" s="22"/>
      <c r="E876" s="22"/>
      <c r="F876" s="22"/>
      <c r="G876" s="112"/>
      <c r="H876" s="112"/>
      <c r="I876" s="112"/>
      <c r="J876" s="112"/>
      <c r="K876" s="112"/>
      <c r="L876" s="112"/>
      <c r="M876" s="253"/>
      <c r="N876" s="253"/>
      <c r="O876" s="253"/>
      <c r="P876" s="253"/>
      <c r="Q876" s="253"/>
      <c r="R876" s="253"/>
      <c r="S876" s="253"/>
      <c r="T876" s="253"/>
      <c r="U876" s="253"/>
      <c r="V876" s="253"/>
      <c r="W876" s="253"/>
      <c r="X876" s="253"/>
      <c r="Y876" s="253"/>
      <c r="Z876" s="253"/>
      <c r="AA876" s="253"/>
      <c r="AB876" s="253"/>
      <c r="AC876" s="253"/>
    </row>
    <row r="877">
      <c r="A877" s="22"/>
      <c r="B877" s="22"/>
      <c r="C877" s="22"/>
      <c r="D877" s="22"/>
      <c r="E877" s="22"/>
      <c r="F877" s="22"/>
      <c r="G877" s="112"/>
      <c r="H877" s="112"/>
      <c r="I877" s="112"/>
      <c r="J877" s="112"/>
      <c r="K877" s="112"/>
      <c r="L877" s="112"/>
      <c r="M877" s="253"/>
      <c r="N877" s="253"/>
      <c r="O877" s="253"/>
      <c r="P877" s="253"/>
      <c r="Q877" s="253"/>
      <c r="R877" s="253"/>
      <c r="S877" s="253"/>
      <c r="T877" s="253"/>
      <c r="U877" s="253"/>
      <c r="V877" s="253"/>
      <c r="W877" s="253"/>
      <c r="X877" s="253"/>
      <c r="Y877" s="253"/>
      <c r="Z877" s="253"/>
      <c r="AA877" s="253"/>
      <c r="AB877" s="253"/>
      <c r="AC877" s="253"/>
    </row>
    <row r="878">
      <c r="A878" s="22"/>
      <c r="B878" s="22"/>
      <c r="C878" s="22"/>
      <c r="D878" s="22"/>
      <c r="E878" s="22"/>
      <c r="F878" s="22"/>
      <c r="G878" s="112"/>
      <c r="H878" s="112"/>
      <c r="I878" s="112"/>
      <c r="J878" s="112"/>
      <c r="K878" s="112"/>
      <c r="L878" s="112"/>
      <c r="M878" s="253"/>
      <c r="N878" s="253"/>
      <c r="O878" s="253"/>
      <c r="P878" s="253"/>
      <c r="Q878" s="253"/>
      <c r="R878" s="253"/>
      <c r="S878" s="253"/>
      <c r="T878" s="253"/>
      <c r="U878" s="253"/>
      <c r="V878" s="253"/>
      <c r="W878" s="253"/>
      <c r="X878" s="253"/>
      <c r="Y878" s="253"/>
      <c r="Z878" s="253"/>
      <c r="AA878" s="253"/>
      <c r="AB878" s="253"/>
      <c r="AC878" s="253"/>
    </row>
    <row r="879">
      <c r="A879" s="22"/>
      <c r="B879" s="22"/>
      <c r="C879" s="22"/>
      <c r="D879" s="22"/>
      <c r="E879" s="22"/>
      <c r="F879" s="22"/>
      <c r="G879" s="112"/>
      <c r="H879" s="112"/>
      <c r="I879" s="112"/>
      <c r="J879" s="112"/>
      <c r="K879" s="112"/>
      <c r="L879" s="112"/>
      <c r="M879" s="253"/>
      <c r="N879" s="253"/>
      <c r="O879" s="253"/>
      <c r="P879" s="253"/>
      <c r="Q879" s="253"/>
      <c r="R879" s="253"/>
      <c r="S879" s="253"/>
      <c r="T879" s="253"/>
      <c r="U879" s="253"/>
      <c r="V879" s="253"/>
      <c r="W879" s="253"/>
      <c r="X879" s="253"/>
      <c r="Y879" s="253"/>
      <c r="Z879" s="253"/>
      <c r="AA879" s="253"/>
      <c r="AB879" s="253"/>
      <c r="AC879" s="253"/>
    </row>
    <row r="880">
      <c r="A880" s="22"/>
      <c r="B880" s="22"/>
      <c r="C880" s="22"/>
      <c r="D880" s="22"/>
      <c r="E880" s="22"/>
      <c r="F880" s="22"/>
      <c r="G880" s="112"/>
      <c r="H880" s="112"/>
      <c r="I880" s="112"/>
      <c r="J880" s="112"/>
      <c r="K880" s="112"/>
      <c r="L880" s="112"/>
      <c r="M880" s="253"/>
      <c r="N880" s="253"/>
      <c r="O880" s="253"/>
      <c r="P880" s="253"/>
      <c r="Q880" s="253"/>
      <c r="R880" s="253"/>
      <c r="S880" s="253"/>
      <c r="T880" s="253"/>
      <c r="U880" s="253"/>
      <c r="V880" s="253"/>
      <c r="W880" s="253"/>
      <c r="X880" s="253"/>
      <c r="Y880" s="253"/>
      <c r="Z880" s="253"/>
      <c r="AA880" s="253"/>
      <c r="AB880" s="253"/>
      <c r="AC880" s="253"/>
    </row>
    <row r="881">
      <c r="A881" s="22"/>
      <c r="B881" s="22"/>
      <c r="C881" s="22"/>
      <c r="D881" s="22"/>
      <c r="E881" s="22"/>
      <c r="F881" s="22"/>
      <c r="G881" s="112"/>
      <c r="H881" s="112"/>
      <c r="I881" s="112"/>
      <c r="J881" s="112"/>
      <c r="K881" s="112"/>
      <c r="L881" s="112"/>
      <c r="M881" s="253"/>
      <c r="N881" s="253"/>
      <c r="O881" s="253"/>
      <c r="P881" s="253"/>
      <c r="Q881" s="253"/>
      <c r="R881" s="253"/>
      <c r="S881" s="253"/>
      <c r="T881" s="253"/>
      <c r="U881" s="253"/>
      <c r="V881" s="253"/>
      <c r="W881" s="253"/>
      <c r="X881" s="253"/>
      <c r="Y881" s="253"/>
      <c r="Z881" s="253"/>
      <c r="AA881" s="253"/>
      <c r="AB881" s="253"/>
      <c r="AC881" s="253"/>
    </row>
    <row r="882">
      <c r="A882" s="22"/>
      <c r="B882" s="22"/>
      <c r="C882" s="22"/>
      <c r="D882" s="22"/>
      <c r="E882" s="22"/>
      <c r="F882" s="22"/>
      <c r="G882" s="112"/>
      <c r="H882" s="112"/>
      <c r="I882" s="112"/>
      <c r="J882" s="112"/>
      <c r="K882" s="112"/>
      <c r="L882" s="112"/>
      <c r="M882" s="253"/>
      <c r="N882" s="253"/>
      <c r="O882" s="253"/>
      <c r="P882" s="253"/>
      <c r="Q882" s="253"/>
      <c r="R882" s="253"/>
      <c r="S882" s="253"/>
      <c r="T882" s="253"/>
      <c r="U882" s="253"/>
      <c r="V882" s="253"/>
      <c r="W882" s="253"/>
      <c r="X882" s="253"/>
      <c r="Y882" s="253"/>
      <c r="Z882" s="253"/>
      <c r="AA882" s="253"/>
      <c r="AB882" s="253"/>
      <c r="AC882" s="253"/>
    </row>
    <row r="883">
      <c r="A883" s="22"/>
      <c r="B883" s="22"/>
      <c r="C883" s="22"/>
      <c r="D883" s="22"/>
      <c r="E883" s="22"/>
      <c r="F883" s="22"/>
      <c r="G883" s="112"/>
      <c r="H883" s="112"/>
      <c r="I883" s="112"/>
      <c r="J883" s="112"/>
      <c r="K883" s="112"/>
      <c r="L883" s="112"/>
      <c r="M883" s="253"/>
      <c r="N883" s="253"/>
      <c r="O883" s="253"/>
      <c r="P883" s="253"/>
      <c r="Q883" s="253"/>
      <c r="R883" s="253"/>
      <c r="S883" s="253"/>
      <c r="T883" s="253"/>
      <c r="U883" s="253"/>
      <c r="V883" s="253"/>
      <c r="W883" s="253"/>
      <c r="X883" s="253"/>
      <c r="Y883" s="253"/>
      <c r="Z883" s="253"/>
      <c r="AA883" s="253"/>
      <c r="AB883" s="253"/>
      <c r="AC883" s="253"/>
    </row>
    <row r="884">
      <c r="A884" s="22"/>
      <c r="B884" s="22"/>
      <c r="C884" s="22"/>
      <c r="D884" s="22"/>
      <c r="E884" s="22"/>
      <c r="F884" s="22"/>
      <c r="G884" s="112"/>
      <c r="H884" s="112"/>
      <c r="I884" s="112"/>
      <c r="J884" s="112"/>
      <c r="K884" s="112"/>
      <c r="L884" s="112"/>
      <c r="M884" s="253"/>
      <c r="N884" s="253"/>
      <c r="O884" s="253"/>
      <c r="P884" s="253"/>
      <c r="Q884" s="253"/>
      <c r="R884" s="253"/>
      <c r="S884" s="253"/>
      <c r="T884" s="253"/>
      <c r="U884" s="253"/>
      <c r="V884" s="253"/>
      <c r="W884" s="253"/>
      <c r="X884" s="253"/>
      <c r="Y884" s="253"/>
      <c r="Z884" s="253"/>
      <c r="AA884" s="253"/>
      <c r="AB884" s="253"/>
      <c r="AC884" s="253"/>
    </row>
    <row r="885">
      <c r="A885" s="22"/>
      <c r="B885" s="22"/>
      <c r="C885" s="22"/>
      <c r="D885" s="22"/>
      <c r="E885" s="22"/>
      <c r="F885" s="22"/>
      <c r="G885" s="112"/>
      <c r="H885" s="112"/>
      <c r="I885" s="112"/>
      <c r="J885" s="112"/>
      <c r="K885" s="112"/>
      <c r="L885" s="112"/>
      <c r="M885" s="253"/>
      <c r="N885" s="253"/>
      <c r="O885" s="253"/>
      <c r="P885" s="253"/>
      <c r="Q885" s="253"/>
      <c r="R885" s="253"/>
      <c r="S885" s="253"/>
      <c r="T885" s="253"/>
      <c r="U885" s="253"/>
      <c r="V885" s="253"/>
      <c r="W885" s="253"/>
      <c r="X885" s="253"/>
      <c r="Y885" s="253"/>
      <c r="Z885" s="253"/>
      <c r="AA885" s="253"/>
      <c r="AB885" s="253"/>
      <c r="AC885" s="253"/>
    </row>
    <row r="886">
      <c r="A886" s="22"/>
      <c r="B886" s="22"/>
      <c r="C886" s="22"/>
      <c r="D886" s="22"/>
      <c r="E886" s="22"/>
      <c r="F886" s="22"/>
      <c r="G886" s="112"/>
      <c r="H886" s="112"/>
      <c r="I886" s="112"/>
      <c r="J886" s="112"/>
      <c r="K886" s="112"/>
      <c r="L886" s="112"/>
      <c r="M886" s="253"/>
      <c r="N886" s="253"/>
      <c r="O886" s="253"/>
      <c r="P886" s="253"/>
      <c r="Q886" s="253"/>
      <c r="R886" s="253"/>
      <c r="S886" s="253"/>
      <c r="T886" s="253"/>
      <c r="U886" s="253"/>
      <c r="V886" s="253"/>
      <c r="W886" s="253"/>
      <c r="X886" s="253"/>
      <c r="Y886" s="253"/>
      <c r="Z886" s="253"/>
      <c r="AA886" s="253"/>
      <c r="AB886" s="253"/>
      <c r="AC886" s="253"/>
    </row>
    <row r="887">
      <c r="A887" s="22"/>
      <c r="B887" s="22"/>
      <c r="C887" s="22"/>
      <c r="D887" s="22"/>
      <c r="E887" s="22"/>
      <c r="F887" s="22"/>
      <c r="G887" s="112"/>
      <c r="H887" s="112"/>
      <c r="I887" s="112"/>
      <c r="J887" s="112"/>
      <c r="K887" s="112"/>
      <c r="L887" s="112"/>
      <c r="M887" s="253"/>
      <c r="N887" s="253"/>
      <c r="O887" s="253"/>
      <c r="P887" s="253"/>
      <c r="Q887" s="253"/>
      <c r="R887" s="253"/>
      <c r="S887" s="253"/>
      <c r="T887" s="253"/>
      <c r="U887" s="253"/>
      <c r="V887" s="253"/>
      <c r="W887" s="253"/>
      <c r="X887" s="253"/>
      <c r="Y887" s="253"/>
      <c r="Z887" s="253"/>
      <c r="AA887" s="253"/>
      <c r="AB887" s="253"/>
      <c r="AC887" s="253"/>
    </row>
    <row r="888">
      <c r="A888" s="22"/>
      <c r="B888" s="22"/>
      <c r="C888" s="22"/>
      <c r="D888" s="22"/>
      <c r="E888" s="22"/>
      <c r="F888" s="22"/>
      <c r="G888" s="112"/>
      <c r="H888" s="112"/>
      <c r="I888" s="112"/>
      <c r="J888" s="112"/>
      <c r="K888" s="112"/>
      <c r="L888" s="112"/>
      <c r="M888" s="253"/>
      <c r="N888" s="253"/>
      <c r="O888" s="253"/>
      <c r="P888" s="253"/>
      <c r="Q888" s="253"/>
      <c r="R888" s="253"/>
      <c r="S888" s="253"/>
      <c r="T888" s="253"/>
      <c r="U888" s="253"/>
      <c r="V888" s="253"/>
      <c r="W888" s="253"/>
      <c r="X888" s="253"/>
      <c r="Y888" s="253"/>
      <c r="Z888" s="253"/>
      <c r="AA888" s="253"/>
      <c r="AB888" s="253"/>
      <c r="AC888" s="253"/>
    </row>
    <row r="889">
      <c r="A889" s="22"/>
      <c r="B889" s="22"/>
      <c r="C889" s="22"/>
      <c r="D889" s="22"/>
      <c r="E889" s="22"/>
      <c r="F889" s="22"/>
      <c r="G889" s="112"/>
      <c r="H889" s="112"/>
      <c r="I889" s="112"/>
      <c r="J889" s="112"/>
      <c r="K889" s="112"/>
      <c r="L889" s="112"/>
      <c r="M889" s="253"/>
      <c r="N889" s="253"/>
      <c r="O889" s="253"/>
      <c r="P889" s="253"/>
      <c r="Q889" s="253"/>
      <c r="R889" s="253"/>
      <c r="S889" s="253"/>
      <c r="T889" s="253"/>
      <c r="U889" s="253"/>
      <c r="V889" s="253"/>
      <c r="W889" s="253"/>
      <c r="X889" s="253"/>
      <c r="Y889" s="253"/>
      <c r="Z889" s="253"/>
      <c r="AA889" s="253"/>
      <c r="AB889" s="253"/>
      <c r="AC889" s="253"/>
    </row>
    <row r="890">
      <c r="A890" s="22"/>
      <c r="B890" s="22"/>
      <c r="C890" s="22"/>
      <c r="D890" s="22"/>
      <c r="E890" s="22"/>
      <c r="F890" s="22"/>
      <c r="G890" s="112"/>
      <c r="H890" s="112"/>
      <c r="I890" s="112"/>
      <c r="J890" s="112"/>
      <c r="K890" s="112"/>
      <c r="L890" s="112"/>
      <c r="M890" s="253"/>
      <c r="N890" s="253"/>
      <c r="O890" s="253"/>
      <c r="P890" s="253"/>
      <c r="Q890" s="253"/>
      <c r="R890" s="253"/>
      <c r="S890" s="253"/>
      <c r="T890" s="253"/>
      <c r="U890" s="253"/>
      <c r="V890" s="253"/>
      <c r="W890" s="253"/>
      <c r="X890" s="253"/>
      <c r="Y890" s="253"/>
      <c r="Z890" s="253"/>
      <c r="AA890" s="253"/>
      <c r="AB890" s="253"/>
      <c r="AC890" s="253"/>
    </row>
    <row r="891">
      <c r="A891" s="22"/>
      <c r="B891" s="22"/>
      <c r="C891" s="22"/>
      <c r="D891" s="22"/>
      <c r="E891" s="22"/>
      <c r="F891" s="22"/>
      <c r="G891" s="112"/>
      <c r="H891" s="112"/>
      <c r="I891" s="112"/>
      <c r="J891" s="112"/>
      <c r="K891" s="112"/>
      <c r="L891" s="112"/>
      <c r="M891" s="253"/>
      <c r="N891" s="253"/>
      <c r="O891" s="253"/>
      <c r="P891" s="253"/>
      <c r="Q891" s="253"/>
      <c r="R891" s="253"/>
      <c r="S891" s="253"/>
      <c r="T891" s="253"/>
      <c r="U891" s="253"/>
      <c r="V891" s="253"/>
      <c r="W891" s="253"/>
      <c r="X891" s="253"/>
      <c r="Y891" s="253"/>
      <c r="Z891" s="253"/>
      <c r="AA891" s="253"/>
      <c r="AB891" s="253"/>
      <c r="AC891" s="253"/>
    </row>
    <row r="892">
      <c r="A892" s="22"/>
      <c r="B892" s="22"/>
      <c r="C892" s="22"/>
      <c r="D892" s="22"/>
      <c r="E892" s="22"/>
      <c r="F892" s="22"/>
      <c r="G892" s="112"/>
      <c r="H892" s="112"/>
      <c r="I892" s="112"/>
      <c r="J892" s="112"/>
      <c r="K892" s="112"/>
      <c r="L892" s="112"/>
      <c r="M892" s="253"/>
      <c r="N892" s="253"/>
      <c r="O892" s="253"/>
      <c r="P892" s="253"/>
      <c r="Q892" s="253"/>
      <c r="R892" s="253"/>
      <c r="S892" s="253"/>
      <c r="T892" s="253"/>
      <c r="U892" s="253"/>
      <c r="V892" s="253"/>
      <c r="W892" s="253"/>
      <c r="X892" s="253"/>
      <c r="Y892" s="253"/>
      <c r="Z892" s="253"/>
      <c r="AA892" s="253"/>
      <c r="AB892" s="253"/>
      <c r="AC892" s="253"/>
    </row>
    <row r="893">
      <c r="A893" s="22"/>
      <c r="B893" s="22"/>
      <c r="C893" s="22"/>
      <c r="D893" s="22"/>
      <c r="E893" s="22"/>
      <c r="F893" s="22"/>
      <c r="G893" s="112"/>
      <c r="H893" s="112"/>
      <c r="I893" s="112"/>
      <c r="J893" s="112"/>
      <c r="K893" s="112"/>
      <c r="L893" s="112"/>
      <c r="M893" s="253"/>
      <c r="N893" s="253"/>
      <c r="O893" s="253"/>
      <c r="P893" s="253"/>
      <c r="Q893" s="253"/>
      <c r="R893" s="253"/>
      <c r="S893" s="253"/>
      <c r="T893" s="253"/>
      <c r="U893" s="253"/>
      <c r="V893" s="253"/>
      <c r="W893" s="253"/>
      <c r="X893" s="253"/>
      <c r="Y893" s="253"/>
      <c r="Z893" s="253"/>
      <c r="AA893" s="253"/>
      <c r="AB893" s="253"/>
      <c r="AC893" s="253"/>
    </row>
    <row r="894">
      <c r="A894" s="22"/>
      <c r="B894" s="22"/>
      <c r="C894" s="22"/>
      <c r="D894" s="22"/>
      <c r="E894" s="22"/>
      <c r="F894" s="22"/>
      <c r="G894" s="112"/>
      <c r="H894" s="112"/>
      <c r="I894" s="112"/>
      <c r="J894" s="112"/>
      <c r="K894" s="112"/>
      <c r="L894" s="112"/>
      <c r="M894" s="253"/>
      <c r="N894" s="253"/>
      <c r="O894" s="253"/>
      <c r="P894" s="253"/>
      <c r="Q894" s="253"/>
      <c r="R894" s="253"/>
      <c r="S894" s="253"/>
      <c r="T894" s="253"/>
      <c r="U894" s="253"/>
      <c r="V894" s="253"/>
      <c r="W894" s="253"/>
      <c r="X894" s="253"/>
      <c r="Y894" s="253"/>
      <c r="Z894" s="253"/>
      <c r="AA894" s="253"/>
      <c r="AB894" s="253"/>
      <c r="AC894" s="253"/>
    </row>
    <row r="895">
      <c r="A895" s="22"/>
      <c r="B895" s="22"/>
      <c r="C895" s="22"/>
      <c r="D895" s="22"/>
      <c r="E895" s="22"/>
      <c r="F895" s="22"/>
      <c r="G895" s="112"/>
      <c r="H895" s="112"/>
      <c r="I895" s="112"/>
      <c r="J895" s="112"/>
      <c r="K895" s="112"/>
      <c r="L895" s="112"/>
      <c r="M895" s="253"/>
      <c r="N895" s="253"/>
      <c r="O895" s="253"/>
      <c r="P895" s="253"/>
      <c r="Q895" s="253"/>
      <c r="R895" s="253"/>
      <c r="S895" s="253"/>
      <c r="T895" s="253"/>
      <c r="U895" s="253"/>
      <c r="V895" s="253"/>
      <c r="W895" s="253"/>
      <c r="X895" s="253"/>
      <c r="Y895" s="253"/>
      <c r="Z895" s="253"/>
      <c r="AA895" s="253"/>
      <c r="AB895" s="253"/>
      <c r="AC895" s="253"/>
    </row>
    <row r="896">
      <c r="A896" s="22"/>
      <c r="B896" s="22"/>
      <c r="C896" s="22"/>
      <c r="D896" s="22"/>
      <c r="E896" s="22"/>
      <c r="F896" s="22"/>
      <c r="G896" s="112"/>
      <c r="H896" s="112"/>
      <c r="I896" s="112"/>
      <c r="J896" s="112"/>
      <c r="K896" s="112"/>
      <c r="L896" s="112"/>
      <c r="M896" s="253"/>
      <c r="N896" s="253"/>
      <c r="O896" s="253"/>
      <c r="P896" s="253"/>
      <c r="Q896" s="253"/>
      <c r="R896" s="253"/>
      <c r="S896" s="253"/>
      <c r="T896" s="253"/>
      <c r="U896" s="253"/>
      <c r="V896" s="253"/>
      <c r="W896" s="253"/>
      <c r="X896" s="253"/>
      <c r="Y896" s="253"/>
      <c r="Z896" s="253"/>
      <c r="AA896" s="253"/>
      <c r="AB896" s="253"/>
      <c r="AC896" s="253"/>
    </row>
    <row r="897">
      <c r="A897" s="22"/>
      <c r="B897" s="22"/>
      <c r="C897" s="22"/>
      <c r="D897" s="22"/>
      <c r="E897" s="22"/>
      <c r="F897" s="22"/>
      <c r="G897" s="112"/>
      <c r="H897" s="112"/>
      <c r="I897" s="112"/>
      <c r="J897" s="112"/>
      <c r="K897" s="112"/>
      <c r="L897" s="112"/>
      <c r="M897" s="253"/>
      <c r="N897" s="253"/>
      <c r="O897" s="253"/>
      <c r="P897" s="253"/>
      <c r="Q897" s="253"/>
      <c r="R897" s="253"/>
      <c r="S897" s="253"/>
      <c r="T897" s="253"/>
      <c r="U897" s="253"/>
      <c r="V897" s="253"/>
      <c r="W897" s="253"/>
      <c r="X897" s="253"/>
      <c r="Y897" s="253"/>
      <c r="Z897" s="253"/>
      <c r="AA897" s="253"/>
      <c r="AB897" s="253"/>
      <c r="AC897" s="253"/>
    </row>
    <row r="898">
      <c r="A898" s="22"/>
      <c r="B898" s="22"/>
      <c r="C898" s="22"/>
      <c r="D898" s="22"/>
      <c r="E898" s="22"/>
      <c r="F898" s="22"/>
      <c r="G898" s="112"/>
      <c r="H898" s="112"/>
      <c r="I898" s="112"/>
      <c r="J898" s="112"/>
      <c r="K898" s="112"/>
      <c r="L898" s="112"/>
      <c r="M898" s="253"/>
      <c r="N898" s="253"/>
      <c r="O898" s="253"/>
      <c r="P898" s="253"/>
      <c r="Q898" s="253"/>
      <c r="R898" s="253"/>
      <c r="S898" s="253"/>
      <c r="T898" s="253"/>
      <c r="U898" s="253"/>
      <c r="V898" s="253"/>
      <c r="W898" s="253"/>
      <c r="X898" s="253"/>
      <c r="Y898" s="253"/>
      <c r="Z898" s="253"/>
      <c r="AA898" s="253"/>
      <c r="AB898" s="253"/>
      <c r="AC898" s="253"/>
    </row>
    <row r="899">
      <c r="A899" s="22"/>
      <c r="B899" s="22"/>
      <c r="C899" s="22"/>
      <c r="D899" s="22"/>
      <c r="E899" s="22"/>
      <c r="F899" s="22"/>
      <c r="G899" s="112"/>
      <c r="H899" s="112"/>
      <c r="I899" s="112"/>
      <c r="J899" s="112"/>
      <c r="K899" s="112"/>
      <c r="L899" s="112"/>
      <c r="M899" s="253"/>
      <c r="N899" s="253"/>
      <c r="O899" s="253"/>
      <c r="P899" s="253"/>
      <c r="Q899" s="253"/>
      <c r="R899" s="253"/>
      <c r="S899" s="253"/>
      <c r="T899" s="253"/>
      <c r="U899" s="253"/>
      <c r="V899" s="253"/>
      <c r="W899" s="253"/>
      <c r="X899" s="253"/>
      <c r="Y899" s="253"/>
      <c r="Z899" s="253"/>
      <c r="AA899" s="253"/>
      <c r="AB899" s="253"/>
      <c r="AC899" s="253"/>
    </row>
    <row r="900">
      <c r="A900" s="22"/>
      <c r="B900" s="22"/>
      <c r="C900" s="22"/>
      <c r="D900" s="22"/>
      <c r="E900" s="22"/>
      <c r="F900" s="22"/>
      <c r="G900" s="112"/>
      <c r="H900" s="112"/>
      <c r="I900" s="112"/>
      <c r="J900" s="112"/>
      <c r="K900" s="112"/>
      <c r="L900" s="112"/>
      <c r="M900" s="253"/>
      <c r="N900" s="253"/>
      <c r="O900" s="253"/>
      <c r="P900" s="253"/>
      <c r="Q900" s="253"/>
      <c r="R900" s="253"/>
      <c r="S900" s="253"/>
      <c r="T900" s="253"/>
      <c r="U900" s="253"/>
      <c r="V900" s="253"/>
      <c r="W900" s="253"/>
      <c r="X900" s="253"/>
      <c r="Y900" s="253"/>
      <c r="Z900" s="253"/>
      <c r="AA900" s="253"/>
      <c r="AB900" s="253"/>
      <c r="AC900" s="253"/>
    </row>
    <row r="901">
      <c r="A901" s="22"/>
      <c r="B901" s="22"/>
      <c r="C901" s="22"/>
      <c r="D901" s="22"/>
      <c r="E901" s="22"/>
      <c r="F901" s="22"/>
      <c r="G901" s="112"/>
      <c r="H901" s="112"/>
      <c r="I901" s="112"/>
      <c r="J901" s="112"/>
      <c r="K901" s="112"/>
      <c r="L901" s="112"/>
      <c r="M901" s="253"/>
      <c r="N901" s="253"/>
      <c r="O901" s="253"/>
      <c r="P901" s="253"/>
      <c r="Q901" s="253"/>
      <c r="R901" s="253"/>
      <c r="S901" s="253"/>
      <c r="T901" s="253"/>
      <c r="U901" s="253"/>
      <c r="V901" s="253"/>
      <c r="W901" s="253"/>
      <c r="X901" s="253"/>
      <c r="Y901" s="253"/>
      <c r="Z901" s="253"/>
      <c r="AA901" s="253"/>
      <c r="AB901" s="253"/>
      <c r="AC901" s="253"/>
    </row>
    <row r="902">
      <c r="A902" s="22"/>
      <c r="B902" s="22"/>
      <c r="C902" s="22"/>
      <c r="D902" s="22"/>
      <c r="E902" s="22"/>
      <c r="F902" s="22"/>
      <c r="G902" s="112"/>
      <c r="H902" s="112"/>
      <c r="I902" s="112"/>
      <c r="J902" s="112"/>
      <c r="K902" s="112"/>
      <c r="L902" s="112"/>
      <c r="M902" s="253"/>
      <c r="N902" s="253"/>
      <c r="O902" s="253"/>
      <c r="P902" s="253"/>
      <c r="Q902" s="253"/>
      <c r="R902" s="253"/>
      <c r="S902" s="253"/>
      <c r="T902" s="253"/>
      <c r="U902" s="253"/>
      <c r="V902" s="253"/>
      <c r="W902" s="253"/>
      <c r="X902" s="253"/>
      <c r="Y902" s="253"/>
      <c r="Z902" s="253"/>
      <c r="AA902" s="253"/>
      <c r="AB902" s="253"/>
      <c r="AC902" s="253"/>
    </row>
    <row r="903">
      <c r="A903" s="22"/>
      <c r="B903" s="22"/>
      <c r="C903" s="22"/>
      <c r="D903" s="22"/>
      <c r="E903" s="22"/>
      <c r="F903" s="22"/>
      <c r="G903" s="112"/>
      <c r="H903" s="112"/>
      <c r="I903" s="112"/>
      <c r="J903" s="112"/>
      <c r="K903" s="112"/>
      <c r="L903" s="112"/>
      <c r="M903" s="253"/>
      <c r="N903" s="253"/>
      <c r="O903" s="253"/>
      <c r="P903" s="253"/>
      <c r="Q903" s="253"/>
      <c r="R903" s="253"/>
      <c r="S903" s="253"/>
      <c r="T903" s="253"/>
      <c r="U903" s="253"/>
      <c r="V903" s="253"/>
      <c r="W903" s="253"/>
      <c r="X903" s="253"/>
      <c r="Y903" s="253"/>
      <c r="Z903" s="253"/>
      <c r="AA903" s="253"/>
      <c r="AB903" s="253"/>
      <c r="AC903" s="253"/>
    </row>
    <row r="904">
      <c r="A904" s="22"/>
      <c r="B904" s="22"/>
      <c r="C904" s="22"/>
      <c r="D904" s="22"/>
      <c r="E904" s="22"/>
      <c r="F904" s="22"/>
      <c r="G904" s="112"/>
      <c r="H904" s="112"/>
      <c r="I904" s="112"/>
      <c r="J904" s="112"/>
      <c r="K904" s="112"/>
      <c r="L904" s="112"/>
      <c r="M904" s="253"/>
      <c r="N904" s="253"/>
      <c r="O904" s="253"/>
      <c r="P904" s="253"/>
      <c r="Q904" s="253"/>
      <c r="R904" s="253"/>
      <c r="S904" s="253"/>
      <c r="T904" s="253"/>
      <c r="U904" s="253"/>
      <c r="V904" s="253"/>
      <c r="W904" s="253"/>
      <c r="X904" s="253"/>
      <c r="Y904" s="253"/>
      <c r="Z904" s="253"/>
      <c r="AA904" s="253"/>
      <c r="AB904" s="253"/>
      <c r="AC904" s="253"/>
    </row>
    <row r="905">
      <c r="A905" s="22"/>
      <c r="B905" s="22"/>
      <c r="C905" s="22"/>
      <c r="D905" s="22"/>
      <c r="E905" s="22"/>
      <c r="F905" s="22"/>
      <c r="G905" s="112"/>
      <c r="H905" s="112"/>
      <c r="I905" s="112"/>
      <c r="J905" s="112"/>
      <c r="K905" s="112"/>
      <c r="L905" s="112"/>
      <c r="M905" s="253"/>
      <c r="N905" s="253"/>
      <c r="O905" s="253"/>
      <c r="P905" s="253"/>
      <c r="Q905" s="253"/>
      <c r="R905" s="253"/>
      <c r="S905" s="253"/>
      <c r="T905" s="253"/>
      <c r="U905" s="253"/>
      <c r="V905" s="253"/>
      <c r="W905" s="253"/>
      <c r="X905" s="253"/>
      <c r="Y905" s="253"/>
      <c r="Z905" s="253"/>
      <c r="AA905" s="253"/>
      <c r="AB905" s="253"/>
      <c r="AC905" s="253"/>
    </row>
    <row r="906">
      <c r="A906" s="22"/>
      <c r="B906" s="22"/>
      <c r="C906" s="22"/>
      <c r="D906" s="22"/>
      <c r="E906" s="22"/>
      <c r="F906" s="22"/>
      <c r="G906" s="112"/>
      <c r="H906" s="112"/>
      <c r="I906" s="112"/>
      <c r="J906" s="112"/>
      <c r="K906" s="112"/>
      <c r="L906" s="112"/>
      <c r="M906" s="253"/>
      <c r="N906" s="253"/>
      <c r="O906" s="253"/>
      <c r="P906" s="253"/>
      <c r="Q906" s="253"/>
      <c r="R906" s="253"/>
      <c r="S906" s="253"/>
      <c r="T906" s="253"/>
      <c r="U906" s="253"/>
      <c r="V906" s="253"/>
      <c r="W906" s="253"/>
      <c r="X906" s="253"/>
      <c r="Y906" s="253"/>
      <c r="Z906" s="253"/>
      <c r="AA906" s="253"/>
      <c r="AB906" s="253"/>
      <c r="AC906" s="253"/>
    </row>
    <row r="907">
      <c r="A907" s="22"/>
      <c r="B907" s="22"/>
      <c r="C907" s="22"/>
      <c r="D907" s="22"/>
      <c r="E907" s="22"/>
      <c r="F907" s="22"/>
      <c r="G907" s="112"/>
      <c r="H907" s="112"/>
      <c r="I907" s="112"/>
      <c r="J907" s="112"/>
      <c r="K907" s="112"/>
      <c r="L907" s="112"/>
      <c r="M907" s="253"/>
      <c r="N907" s="253"/>
      <c r="O907" s="253"/>
      <c r="P907" s="253"/>
      <c r="Q907" s="253"/>
      <c r="R907" s="253"/>
      <c r="S907" s="253"/>
      <c r="T907" s="253"/>
      <c r="U907" s="253"/>
      <c r="V907" s="253"/>
      <c r="W907" s="253"/>
      <c r="X907" s="253"/>
      <c r="Y907" s="253"/>
      <c r="Z907" s="253"/>
      <c r="AA907" s="253"/>
      <c r="AB907" s="253"/>
      <c r="AC907" s="253"/>
    </row>
    <row r="908">
      <c r="A908" s="22"/>
      <c r="B908" s="22"/>
      <c r="C908" s="22"/>
      <c r="D908" s="22"/>
      <c r="E908" s="22"/>
      <c r="F908" s="22"/>
      <c r="G908" s="112"/>
      <c r="H908" s="112"/>
      <c r="I908" s="112"/>
      <c r="J908" s="112"/>
      <c r="K908" s="112"/>
      <c r="L908" s="112"/>
      <c r="M908" s="253"/>
      <c r="N908" s="253"/>
      <c r="O908" s="253"/>
      <c r="P908" s="253"/>
      <c r="Q908" s="253"/>
      <c r="R908" s="253"/>
      <c r="S908" s="253"/>
      <c r="T908" s="253"/>
      <c r="U908" s="253"/>
      <c r="V908" s="253"/>
      <c r="W908" s="253"/>
      <c r="X908" s="253"/>
      <c r="Y908" s="253"/>
      <c r="Z908" s="253"/>
      <c r="AA908" s="253"/>
      <c r="AB908" s="253"/>
      <c r="AC908" s="253"/>
    </row>
    <row r="909">
      <c r="A909" s="22"/>
      <c r="B909" s="22"/>
      <c r="C909" s="22"/>
      <c r="D909" s="22"/>
      <c r="E909" s="22"/>
      <c r="F909" s="22"/>
      <c r="G909" s="112"/>
      <c r="H909" s="112"/>
      <c r="I909" s="112"/>
      <c r="J909" s="112"/>
      <c r="K909" s="112"/>
      <c r="L909" s="112"/>
      <c r="M909" s="253"/>
      <c r="N909" s="253"/>
      <c r="O909" s="253"/>
      <c r="P909" s="253"/>
      <c r="Q909" s="253"/>
      <c r="R909" s="253"/>
      <c r="S909" s="253"/>
      <c r="T909" s="253"/>
      <c r="U909" s="253"/>
      <c r="V909" s="253"/>
      <c r="W909" s="253"/>
      <c r="X909" s="253"/>
      <c r="Y909" s="253"/>
      <c r="Z909" s="253"/>
      <c r="AA909" s="253"/>
      <c r="AB909" s="253"/>
      <c r="AC909" s="253"/>
    </row>
    <row r="910">
      <c r="A910" s="22"/>
      <c r="B910" s="22"/>
      <c r="C910" s="22"/>
      <c r="D910" s="22"/>
      <c r="E910" s="22"/>
      <c r="F910" s="22"/>
      <c r="G910" s="112"/>
      <c r="H910" s="112"/>
      <c r="I910" s="112"/>
      <c r="J910" s="112"/>
      <c r="K910" s="112"/>
      <c r="L910" s="112"/>
      <c r="M910" s="253"/>
      <c r="N910" s="253"/>
      <c r="O910" s="253"/>
      <c r="P910" s="253"/>
      <c r="Q910" s="253"/>
      <c r="R910" s="253"/>
      <c r="S910" s="253"/>
      <c r="T910" s="253"/>
      <c r="U910" s="253"/>
      <c r="V910" s="253"/>
      <c r="W910" s="253"/>
      <c r="X910" s="253"/>
      <c r="Y910" s="253"/>
      <c r="Z910" s="253"/>
      <c r="AA910" s="253"/>
      <c r="AB910" s="253"/>
      <c r="AC910" s="253"/>
    </row>
    <row r="911">
      <c r="A911" s="22"/>
      <c r="B911" s="22"/>
      <c r="C911" s="22"/>
      <c r="D911" s="22"/>
      <c r="E911" s="22"/>
      <c r="F911" s="22"/>
      <c r="G911" s="112"/>
      <c r="H911" s="112"/>
      <c r="I911" s="112"/>
      <c r="J911" s="112"/>
      <c r="K911" s="112"/>
      <c r="L911" s="112"/>
      <c r="M911" s="253"/>
      <c r="N911" s="253"/>
      <c r="O911" s="253"/>
      <c r="P911" s="253"/>
      <c r="Q911" s="253"/>
      <c r="R911" s="253"/>
      <c r="S911" s="253"/>
      <c r="T911" s="253"/>
      <c r="U911" s="253"/>
      <c r="V911" s="253"/>
      <c r="W911" s="253"/>
      <c r="X911" s="253"/>
      <c r="Y911" s="253"/>
      <c r="Z911" s="253"/>
      <c r="AA911" s="253"/>
      <c r="AB911" s="253"/>
      <c r="AC911" s="253"/>
    </row>
    <row r="912">
      <c r="A912" s="22"/>
      <c r="B912" s="22"/>
      <c r="C912" s="22"/>
      <c r="D912" s="22"/>
      <c r="E912" s="22"/>
      <c r="F912" s="22"/>
      <c r="G912" s="112"/>
      <c r="H912" s="112"/>
      <c r="I912" s="112"/>
      <c r="J912" s="112"/>
      <c r="K912" s="112"/>
      <c r="L912" s="112"/>
      <c r="M912" s="253"/>
      <c r="N912" s="253"/>
      <c r="O912" s="253"/>
      <c r="P912" s="253"/>
      <c r="Q912" s="253"/>
      <c r="R912" s="253"/>
      <c r="S912" s="253"/>
      <c r="T912" s="253"/>
      <c r="U912" s="253"/>
      <c r="V912" s="253"/>
      <c r="W912" s="253"/>
      <c r="X912" s="253"/>
      <c r="Y912" s="253"/>
      <c r="Z912" s="253"/>
      <c r="AA912" s="253"/>
      <c r="AB912" s="253"/>
      <c r="AC912" s="253"/>
    </row>
    <row r="913">
      <c r="A913" s="22"/>
      <c r="B913" s="22"/>
      <c r="C913" s="22"/>
      <c r="D913" s="22"/>
      <c r="E913" s="22"/>
      <c r="F913" s="22"/>
      <c r="G913" s="112"/>
      <c r="H913" s="112"/>
      <c r="I913" s="112"/>
      <c r="J913" s="112"/>
      <c r="K913" s="112"/>
      <c r="L913" s="112"/>
      <c r="M913" s="253"/>
      <c r="N913" s="253"/>
      <c r="O913" s="253"/>
      <c r="P913" s="253"/>
      <c r="Q913" s="253"/>
      <c r="R913" s="253"/>
      <c r="S913" s="253"/>
      <c r="T913" s="253"/>
      <c r="U913" s="253"/>
      <c r="V913" s="253"/>
      <c r="W913" s="253"/>
      <c r="X913" s="253"/>
      <c r="Y913" s="253"/>
      <c r="Z913" s="253"/>
      <c r="AA913" s="253"/>
      <c r="AB913" s="253"/>
      <c r="AC913" s="253"/>
    </row>
    <row r="914">
      <c r="A914" s="22"/>
      <c r="B914" s="22"/>
      <c r="C914" s="22"/>
      <c r="D914" s="22"/>
      <c r="E914" s="22"/>
      <c r="F914" s="22"/>
      <c r="G914" s="112"/>
      <c r="H914" s="112"/>
      <c r="I914" s="112"/>
      <c r="J914" s="112"/>
      <c r="K914" s="112"/>
      <c r="L914" s="112"/>
      <c r="M914" s="253"/>
      <c r="N914" s="253"/>
      <c r="O914" s="253"/>
      <c r="P914" s="253"/>
      <c r="Q914" s="253"/>
      <c r="R914" s="253"/>
      <c r="S914" s="253"/>
      <c r="T914" s="253"/>
      <c r="U914" s="253"/>
      <c r="V914" s="253"/>
      <c r="W914" s="253"/>
      <c r="X914" s="253"/>
      <c r="Y914" s="253"/>
      <c r="Z914" s="253"/>
      <c r="AA914" s="253"/>
      <c r="AB914" s="253"/>
      <c r="AC914" s="253"/>
    </row>
    <row r="915">
      <c r="A915" s="22"/>
      <c r="B915" s="22"/>
      <c r="C915" s="22"/>
      <c r="D915" s="22"/>
      <c r="E915" s="22"/>
      <c r="F915" s="22"/>
      <c r="G915" s="112"/>
      <c r="H915" s="112"/>
      <c r="I915" s="112"/>
      <c r="J915" s="112"/>
      <c r="K915" s="112"/>
      <c r="L915" s="112"/>
      <c r="M915" s="253"/>
      <c r="N915" s="253"/>
      <c r="O915" s="253"/>
      <c r="P915" s="253"/>
      <c r="Q915" s="253"/>
      <c r="R915" s="253"/>
      <c r="S915" s="253"/>
      <c r="T915" s="253"/>
      <c r="U915" s="253"/>
      <c r="V915" s="253"/>
      <c r="W915" s="253"/>
      <c r="X915" s="253"/>
      <c r="Y915" s="253"/>
      <c r="Z915" s="253"/>
      <c r="AA915" s="253"/>
      <c r="AB915" s="253"/>
      <c r="AC915" s="253"/>
    </row>
    <row r="916">
      <c r="A916" s="22"/>
      <c r="B916" s="22"/>
      <c r="C916" s="22"/>
      <c r="D916" s="22"/>
      <c r="E916" s="22"/>
      <c r="F916" s="22"/>
      <c r="G916" s="112"/>
      <c r="H916" s="112"/>
      <c r="I916" s="112"/>
      <c r="J916" s="112"/>
      <c r="K916" s="112"/>
      <c r="L916" s="112"/>
      <c r="M916" s="253"/>
      <c r="N916" s="253"/>
      <c r="O916" s="253"/>
      <c r="P916" s="253"/>
      <c r="Q916" s="253"/>
      <c r="R916" s="253"/>
      <c r="S916" s="253"/>
      <c r="T916" s="253"/>
      <c r="U916" s="253"/>
      <c r="V916" s="253"/>
      <c r="W916" s="253"/>
      <c r="X916" s="253"/>
      <c r="Y916" s="253"/>
      <c r="Z916" s="253"/>
      <c r="AA916" s="253"/>
      <c r="AB916" s="253"/>
      <c r="AC916" s="253"/>
    </row>
    <row r="917">
      <c r="A917" s="22"/>
      <c r="B917" s="22"/>
      <c r="C917" s="22"/>
      <c r="D917" s="22"/>
      <c r="E917" s="22"/>
      <c r="F917" s="22"/>
      <c r="G917" s="112"/>
      <c r="H917" s="112"/>
      <c r="I917" s="112"/>
      <c r="J917" s="112"/>
      <c r="K917" s="112"/>
      <c r="L917" s="112"/>
      <c r="M917" s="253"/>
      <c r="N917" s="253"/>
      <c r="O917" s="253"/>
      <c r="P917" s="253"/>
      <c r="Q917" s="253"/>
      <c r="R917" s="253"/>
      <c r="S917" s="253"/>
      <c r="T917" s="253"/>
      <c r="U917" s="253"/>
      <c r="V917" s="253"/>
      <c r="W917" s="253"/>
      <c r="X917" s="253"/>
      <c r="Y917" s="253"/>
      <c r="Z917" s="253"/>
      <c r="AA917" s="253"/>
      <c r="AB917" s="253"/>
      <c r="AC917" s="253"/>
    </row>
    <row r="918">
      <c r="A918" s="22"/>
      <c r="B918" s="22"/>
      <c r="C918" s="22"/>
      <c r="D918" s="22"/>
      <c r="E918" s="22"/>
      <c r="F918" s="22"/>
      <c r="G918" s="112"/>
      <c r="H918" s="112"/>
      <c r="I918" s="112"/>
      <c r="J918" s="112"/>
      <c r="K918" s="112"/>
      <c r="L918" s="112"/>
      <c r="M918" s="253"/>
      <c r="N918" s="253"/>
      <c r="O918" s="253"/>
      <c r="P918" s="253"/>
      <c r="Q918" s="253"/>
      <c r="R918" s="253"/>
      <c r="S918" s="253"/>
      <c r="T918" s="253"/>
      <c r="U918" s="253"/>
      <c r="V918" s="253"/>
      <c r="W918" s="253"/>
      <c r="X918" s="253"/>
      <c r="Y918" s="253"/>
      <c r="Z918" s="253"/>
      <c r="AA918" s="253"/>
      <c r="AB918" s="253"/>
      <c r="AC918" s="253"/>
    </row>
    <row r="919">
      <c r="A919" s="22"/>
      <c r="B919" s="22"/>
      <c r="C919" s="22"/>
      <c r="D919" s="22"/>
      <c r="E919" s="22"/>
      <c r="F919" s="22"/>
      <c r="G919" s="112"/>
      <c r="H919" s="112"/>
      <c r="I919" s="112"/>
      <c r="J919" s="112"/>
      <c r="K919" s="112"/>
      <c r="L919" s="112"/>
      <c r="M919" s="253"/>
      <c r="N919" s="253"/>
      <c r="O919" s="253"/>
      <c r="P919" s="253"/>
      <c r="Q919" s="253"/>
      <c r="R919" s="253"/>
      <c r="S919" s="253"/>
      <c r="T919" s="253"/>
      <c r="U919" s="253"/>
      <c r="V919" s="253"/>
      <c r="W919" s="253"/>
      <c r="X919" s="253"/>
      <c r="Y919" s="253"/>
      <c r="Z919" s="253"/>
      <c r="AA919" s="253"/>
      <c r="AB919" s="253"/>
      <c r="AC919" s="253"/>
    </row>
    <row r="920">
      <c r="A920" s="22"/>
      <c r="B920" s="22"/>
      <c r="C920" s="22"/>
      <c r="D920" s="22"/>
      <c r="E920" s="22"/>
      <c r="F920" s="22"/>
      <c r="G920" s="112"/>
      <c r="H920" s="112"/>
      <c r="I920" s="112"/>
      <c r="J920" s="112"/>
      <c r="K920" s="112"/>
      <c r="L920" s="112"/>
      <c r="M920" s="253"/>
      <c r="N920" s="253"/>
      <c r="O920" s="253"/>
      <c r="P920" s="253"/>
      <c r="Q920" s="253"/>
      <c r="R920" s="253"/>
      <c r="S920" s="253"/>
      <c r="T920" s="253"/>
      <c r="U920" s="253"/>
      <c r="V920" s="253"/>
      <c r="W920" s="253"/>
      <c r="X920" s="253"/>
      <c r="Y920" s="253"/>
      <c r="Z920" s="253"/>
      <c r="AA920" s="253"/>
      <c r="AB920" s="253"/>
      <c r="AC920" s="253"/>
    </row>
    <row r="921">
      <c r="A921" s="22"/>
      <c r="B921" s="22"/>
      <c r="C921" s="22"/>
      <c r="D921" s="22"/>
      <c r="E921" s="22"/>
      <c r="F921" s="22"/>
      <c r="G921" s="112"/>
      <c r="H921" s="112"/>
      <c r="I921" s="112"/>
      <c r="J921" s="112"/>
      <c r="K921" s="112"/>
      <c r="L921" s="112"/>
      <c r="M921" s="253"/>
      <c r="N921" s="253"/>
      <c r="O921" s="253"/>
      <c r="P921" s="253"/>
      <c r="Q921" s="253"/>
      <c r="R921" s="253"/>
      <c r="S921" s="253"/>
      <c r="T921" s="253"/>
      <c r="U921" s="253"/>
      <c r="V921" s="253"/>
      <c r="W921" s="253"/>
      <c r="X921" s="253"/>
      <c r="Y921" s="253"/>
      <c r="Z921" s="253"/>
      <c r="AA921" s="253"/>
      <c r="AB921" s="253"/>
      <c r="AC921" s="253"/>
    </row>
    <row r="922">
      <c r="A922" s="22"/>
      <c r="B922" s="22"/>
      <c r="C922" s="22"/>
      <c r="D922" s="22"/>
      <c r="E922" s="22"/>
      <c r="F922" s="22"/>
      <c r="G922" s="112"/>
      <c r="H922" s="112"/>
      <c r="I922" s="112"/>
      <c r="J922" s="112"/>
      <c r="K922" s="112"/>
      <c r="L922" s="112"/>
      <c r="M922" s="253"/>
      <c r="N922" s="253"/>
      <c r="O922" s="253"/>
      <c r="P922" s="253"/>
      <c r="Q922" s="253"/>
      <c r="R922" s="253"/>
      <c r="S922" s="253"/>
      <c r="T922" s="253"/>
      <c r="U922" s="253"/>
      <c r="V922" s="253"/>
      <c r="W922" s="253"/>
      <c r="X922" s="253"/>
      <c r="Y922" s="253"/>
      <c r="Z922" s="253"/>
      <c r="AA922" s="253"/>
      <c r="AB922" s="253"/>
      <c r="AC922" s="253"/>
    </row>
    <row r="923">
      <c r="A923" s="22"/>
      <c r="B923" s="22"/>
      <c r="C923" s="22"/>
      <c r="D923" s="22"/>
      <c r="E923" s="22"/>
      <c r="F923" s="22"/>
      <c r="G923" s="112"/>
      <c r="H923" s="112"/>
      <c r="I923" s="112"/>
      <c r="J923" s="112"/>
      <c r="K923" s="112"/>
      <c r="L923" s="112"/>
      <c r="M923" s="253"/>
      <c r="N923" s="253"/>
      <c r="O923" s="253"/>
      <c r="P923" s="253"/>
      <c r="Q923" s="253"/>
      <c r="R923" s="253"/>
      <c r="S923" s="253"/>
      <c r="T923" s="253"/>
      <c r="U923" s="253"/>
      <c r="V923" s="253"/>
      <c r="W923" s="253"/>
      <c r="X923" s="253"/>
      <c r="Y923" s="253"/>
      <c r="Z923" s="253"/>
      <c r="AA923" s="253"/>
      <c r="AB923" s="253"/>
      <c r="AC923" s="253"/>
    </row>
    <row r="924">
      <c r="A924" s="22"/>
      <c r="B924" s="22"/>
      <c r="C924" s="22"/>
      <c r="D924" s="22"/>
      <c r="E924" s="22"/>
      <c r="F924" s="22"/>
      <c r="G924" s="112"/>
      <c r="H924" s="112"/>
      <c r="I924" s="112"/>
      <c r="J924" s="112"/>
      <c r="K924" s="112"/>
      <c r="L924" s="112"/>
      <c r="M924" s="253"/>
      <c r="N924" s="253"/>
      <c r="O924" s="253"/>
      <c r="P924" s="253"/>
      <c r="Q924" s="253"/>
      <c r="R924" s="253"/>
      <c r="S924" s="253"/>
      <c r="T924" s="253"/>
      <c r="U924" s="253"/>
      <c r="V924" s="253"/>
      <c r="W924" s="253"/>
      <c r="X924" s="253"/>
      <c r="Y924" s="253"/>
      <c r="Z924" s="253"/>
      <c r="AA924" s="253"/>
      <c r="AB924" s="253"/>
      <c r="AC924" s="253"/>
    </row>
    <row r="925">
      <c r="A925" s="22"/>
      <c r="B925" s="22"/>
      <c r="C925" s="22"/>
      <c r="D925" s="22"/>
      <c r="E925" s="22"/>
      <c r="F925" s="22"/>
      <c r="G925" s="112"/>
      <c r="H925" s="112"/>
      <c r="I925" s="112"/>
      <c r="J925" s="112"/>
      <c r="K925" s="112"/>
      <c r="L925" s="112"/>
      <c r="M925" s="253"/>
      <c r="N925" s="253"/>
      <c r="O925" s="253"/>
      <c r="P925" s="253"/>
      <c r="Q925" s="253"/>
      <c r="R925" s="253"/>
      <c r="S925" s="253"/>
      <c r="T925" s="253"/>
      <c r="U925" s="253"/>
      <c r="V925" s="253"/>
      <c r="W925" s="253"/>
      <c r="X925" s="253"/>
      <c r="Y925" s="253"/>
      <c r="Z925" s="253"/>
      <c r="AA925" s="253"/>
      <c r="AB925" s="253"/>
      <c r="AC925" s="253"/>
    </row>
    <row r="926">
      <c r="A926" s="22"/>
      <c r="B926" s="22"/>
      <c r="C926" s="22"/>
      <c r="D926" s="22"/>
      <c r="E926" s="22"/>
      <c r="F926" s="22"/>
      <c r="G926" s="112"/>
      <c r="H926" s="112"/>
      <c r="I926" s="112"/>
      <c r="J926" s="112"/>
      <c r="K926" s="112"/>
      <c r="L926" s="112"/>
      <c r="M926" s="253"/>
      <c r="N926" s="253"/>
      <c r="O926" s="253"/>
      <c r="P926" s="253"/>
      <c r="Q926" s="253"/>
      <c r="R926" s="253"/>
      <c r="S926" s="253"/>
      <c r="T926" s="253"/>
      <c r="U926" s="253"/>
      <c r="V926" s="253"/>
      <c r="W926" s="253"/>
      <c r="X926" s="253"/>
      <c r="Y926" s="253"/>
      <c r="Z926" s="253"/>
      <c r="AA926" s="253"/>
      <c r="AB926" s="253"/>
      <c r="AC926" s="253"/>
    </row>
    <row r="927">
      <c r="A927" s="22"/>
      <c r="B927" s="22"/>
      <c r="C927" s="22"/>
      <c r="D927" s="22"/>
      <c r="E927" s="22"/>
      <c r="F927" s="22"/>
      <c r="G927" s="112"/>
      <c r="H927" s="112"/>
      <c r="I927" s="112"/>
      <c r="J927" s="112"/>
      <c r="K927" s="112"/>
      <c r="L927" s="112"/>
      <c r="M927" s="253"/>
      <c r="N927" s="253"/>
      <c r="O927" s="253"/>
      <c r="P927" s="253"/>
      <c r="Q927" s="253"/>
      <c r="R927" s="253"/>
      <c r="S927" s="253"/>
      <c r="T927" s="253"/>
      <c r="U927" s="253"/>
      <c r="V927" s="253"/>
      <c r="W927" s="253"/>
      <c r="X927" s="253"/>
      <c r="Y927" s="253"/>
      <c r="Z927" s="253"/>
      <c r="AA927" s="253"/>
      <c r="AB927" s="253"/>
      <c r="AC927" s="253"/>
    </row>
    <row r="928">
      <c r="A928" s="22"/>
      <c r="B928" s="22"/>
      <c r="C928" s="22"/>
      <c r="D928" s="22"/>
      <c r="E928" s="22"/>
      <c r="F928" s="22"/>
      <c r="G928" s="112"/>
      <c r="H928" s="112"/>
      <c r="I928" s="112"/>
      <c r="J928" s="112"/>
      <c r="K928" s="112"/>
      <c r="L928" s="112"/>
      <c r="M928" s="253"/>
      <c r="N928" s="253"/>
      <c r="O928" s="253"/>
      <c r="P928" s="253"/>
      <c r="Q928" s="253"/>
      <c r="R928" s="253"/>
      <c r="S928" s="253"/>
      <c r="T928" s="253"/>
      <c r="U928" s="253"/>
      <c r="V928" s="253"/>
      <c r="W928" s="253"/>
      <c r="X928" s="253"/>
      <c r="Y928" s="253"/>
      <c r="Z928" s="253"/>
      <c r="AA928" s="253"/>
      <c r="AB928" s="253"/>
      <c r="AC928" s="253"/>
    </row>
    <row r="929">
      <c r="A929" s="22"/>
      <c r="B929" s="22"/>
      <c r="C929" s="22"/>
      <c r="D929" s="22"/>
      <c r="E929" s="22"/>
      <c r="F929" s="22"/>
      <c r="G929" s="112"/>
      <c r="H929" s="112"/>
      <c r="I929" s="112"/>
      <c r="J929" s="112"/>
      <c r="K929" s="112"/>
      <c r="L929" s="112"/>
      <c r="M929" s="253"/>
      <c r="N929" s="253"/>
      <c r="O929" s="253"/>
      <c r="P929" s="253"/>
      <c r="Q929" s="253"/>
      <c r="R929" s="253"/>
      <c r="S929" s="253"/>
      <c r="T929" s="253"/>
      <c r="U929" s="253"/>
      <c r="V929" s="253"/>
      <c r="W929" s="253"/>
      <c r="X929" s="253"/>
      <c r="Y929" s="253"/>
      <c r="Z929" s="253"/>
      <c r="AA929" s="253"/>
      <c r="AB929" s="253"/>
      <c r="AC929" s="253"/>
    </row>
    <row r="930">
      <c r="A930" s="22"/>
      <c r="B930" s="22"/>
      <c r="C930" s="22"/>
      <c r="D930" s="22"/>
      <c r="E930" s="22"/>
      <c r="F930" s="22"/>
      <c r="G930" s="112"/>
      <c r="H930" s="112"/>
      <c r="I930" s="112"/>
      <c r="J930" s="112"/>
      <c r="K930" s="112"/>
      <c r="L930" s="112"/>
      <c r="M930" s="253"/>
      <c r="N930" s="253"/>
      <c r="O930" s="253"/>
      <c r="P930" s="253"/>
      <c r="Q930" s="253"/>
      <c r="R930" s="253"/>
      <c r="S930" s="253"/>
      <c r="T930" s="253"/>
      <c r="U930" s="253"/>
      <c r="V930" s="253"/>
      <c r="W930" s="253"/>
      <c r="X930" s="253"/>
      <c r="Y930" s="253"/>
      <c r="Z930" s="253"/>
      <c r="AA930" s="253"/>
      <c r="AB930" s="253"/>
      <c r="AC930" s="253"/>
    </row>
    <row r="931">
      <c r="A931" s="22"/>
      <c r="B931" s="22"/>
      <c r="C931" s="22"/>
      <c r="D931" s="22"/>
      <c r="E931" s="22"/>
      <c r="F931" s="22"/>
      <c r="G931" s="112"/>
      <c r="H931" s="112"/>
      <c r="I931" s="112"/>
      <c r="J931" s="112"/>
      <c r="K931" s="112"/>
      <c r="L931" s="112"/>
      <c r="M931" s="253"/>
      <c r="N931" s="253"/>
      <c r="O931" s="253"/>
      <c r="P931" s="253"/>
      <c r="Q931" s="253"/>
      <c r="R931" s="253"/>
      <c r="S931" s="253"/>
      <c r="T931" s="253"/>
      <c r="U931" s="253"/>
      <c r="V931" s="253"/>
      <c r="W931" s="253"/>
      <c r="X931" s="253"/>
      <c r="Y931" s="253"/>
      <c r="Z931" s="253"/>
      <c r="AA931" s="253"/>
      <c r="AB931" s="253"/>
      <c r="AC931" s="253"/>
    </row>
    <row r="932">
      <c r="A932" s="22"/>
      <c r="B932" s="22"/>
      <c r="C932" s="22"/>
      <c r="D932" s="22"/>
      <c r="E932" s="22"/>
      <c r="F932" s="22"/>
      <c r="G932" s="112"/>
      <c r="H932" s="112"/>
      <c r="I932" s="112"/>
      <c r="J932" s="112"/>
      <c r="K932" s="112"/>
      <c r="L932" s="112"/>
      <c r="M932" s="253"/>
      <c r="N932" s="253"/>
      <c r="O932" s="253"/>
      <c r="P932" s="253"/>
      <c r="Q932" s="253"/>
      <c r="R932" s="253"/>
      <c r="S932" s="253"/>
      <c r="T932" s="253"/>
      <c r="U932" s="253"/>
      <c r="V932" s="253"/>
      <c r="W932" s="253"/>
      <c r="X932" s="253"/>
      <c r="Y932" s="253"/>
      <c r="Z932" s="253"/>
      <c r="AA932" s="253"/>
      <c r="AB932" s="253"/>
      <c r="AC932" s="253"/>
    </row>
    <row r="933">
      <c r="A933" s="22"/>
      <c r="B933" s="22"/>
      <c r="C933" s="22"/>
      <c r="D933" s="22"/>
      <c r="E933" s="22"/>
      <c r="F933" s="22"/>
      <c r="G933" s="112"/>
      <c r="H933" s="112"/>
      <c r="I933" s="112"/>
      <c r="J933" s="112"/>
      <c r="K933" s="112"/>
      <c r="L933" s="112"/>
      <c r="M933" s="253"/>
      <c r="N933" s="253"/>
      <c r="O933" s="253"/>
      <c r="P933" s="253"/>
      <c r="Q933" s="253"/>
      <c r="R933" s="253"/>
      <c r="S933" s="253"/>
      <c r="T933" s="253"/>
      <c r="U933" s="253"/>
      <c r="V933" s="253"/>
      <c r="W933" s="253"/>
      <c r="X933" s="253"/>
      <c r="Y933" s="253"/>
      <c r="Z933" s="253"/>
      <c r="AA933" s="253"/>
      <c r="AB933" s="253"/>
      <c r="AC933" s="253"/>
    </row>
    <row r="934">
      <c r="A934" s="22"/>
      <c r="B934" s="22"/>
      <c r="C934" s="22"/>
      <c r="D934" s="22"/>
      <c r="E934" s="22"/>
      <c r="F934" s="22"/>
      <c r="G934" s="112"/>
      <c r="H934" s="112"/>
      <c r="I934" s="112"/>
      <c r="J934" s="112"/>
      <c r="K934" s="112"/>
      <c r="L934" s="112"/>
      <c r="M934" s="253"/>
      <c r="N934" s="253"/>
      <c r="O934" s="253"/>
      <c r="P934" s="253"/>
      <c r="Q934" s="253"/>
      <c r="R934" s="253"/>
      <c r="S934" s="253"/>
      <c r="T934" s="253"/>
      <c r="U934" s="253"/>
      <c r="V934" s="253"/>
      <c r="W934" s="253"/>
      <c r="X934" s="253"/>
      <c r="Y934" s="253"/>
      <c r="Z934" s="253"/>
      <c r="AA934" s="253"/>
      <c r="AB934" s="253"/>
      <c r="AC934" s="253"/>
    </row>
    <row r="935">
      <c r="A935" s="22"/>
      <c r="B935" s="22"/>
      <c r="C935" s="22"/>
      <c r="D935" s="22"/>
      <c r="E935" s="22"/>
      <c r="F935" s="22"/>
      <c r="G935" s="112"/>
      <c r="H935" s="112"/>
      <c r="I935" s="112"/>
      <c r="J935" s="112"/>
      <c r="K935" s="112"/>
      <c r="L935" s="112"/>
      <c r="M935" s="253"/>
      <c r="N935" s="253"/>
      <c r="O935" s="253"/>
      <c r="P935" s="253"/>
      <c r="Q935" s="253"/>
      <c r="R935" s="253"/>
      <c r="S935" s="253"/>
      <c r="T935" s="253"/>
      <c r="U935" s="253"/>
      <c r="V935" s="253"/>
      <c r="W935" s="253"/>
      <c r="X935" s="253"/>
      <c r="Y935" s="253"/>
      <c r="Z935" s="253"/>
      <c r="AA935" s="253"/>
      <c r="AB935" s="253"/>
      <c r="AC935" s="253"/>
    </row>
    <row r="936">
      <c r="A936" s="22"/>
      <c r="B936" s="22"/>
      <c r="C936" s="22"/>
      <c r="D936" s="22"/>
      <c r="E936" s="22"/>
      <c r="F936" s="22"/>
      <c r="G936" s="112"/>
      <c r="H936" s="112"/>
      <c r="I936" s="112"/>
      <c r="J936" s="112"/>
      <c r="K936" s="112"/>
      <c r="L936" s="112"/>
      <c r="M936" s="253"/>
      <c r="N936" s="253"/>
      <c r="O936" s="253"/>
      <c r="P936" s="253"/>
      <c r="Q936" s="253"/>
      <c r="R936" s="253"/>
      <c r="S936" s="253"/>
      <c r="T936" s="253"/>
      <c r="U936" s="253"/>
      <c r="V936" s="253"/>
      <c r="W936" s="253"/>
      <c r="X936" s="253"/>
      <c r="Y936" s="253"/>
      <c r="Z936" s="253"/>
      <c r="AA936" s="253"/>
      <c r="AB936" s="253"/>
      <c r="AC936" s="253"/>
    </row>
    <row r="937">
      <c r="A937" s="22"/>
      <c r="B937" s="22"/>
      <c r="C937" s="22"/>
      <c r="D937" s="22"/>
      <c r="E937" s="22"/>
      <c r="F937" s="22"/>
      <c r="G937" s="112"/>
      <c r="H937" s="112"/>
      <c r="I937" s="112"/>
      <c r="J937" s="112"/>
      <c r="K937" s="112"/>
      <c r="L937" s="112"/>
      <c r="M937" s="253"/>
      <c r="N937" s="253"/>
      <c r="O937" s="253"/>
      <c r="P937" s="253"/>
      <c r="Q937" s="253"/>
      <c r="R937" s="253"/>
      <c r="S937" s="253"/>
      <c r="T937" s="253"/>
      <c r="U937" s="253"/>
      <c r="V937" s="253"/>
      <c r="W937" s="253"/>
      <c r="X937" s="253"/>
      <c r="Y937" s="253"/>
      <c r="Z937" s="253"/>
      <c r="AA937" s="253"/>
      <c r="AB937" s="253"/>
      <c r="AC937" s="253"/>
    </row>
    <row r="938">
      <c r="A938" s="22"/>
      <c r="B938" s="22"/>
      <c r="C938" s="22"/>
      <c r="D938" s="22"/>
      <c r="E938" s="22"/>
      <c r="F938" s="22"/>
      <c r="G938" s="112"/>
      <c r="H938" s="112"/>
      <c r="I938" s="112"/>
      <c r="J938" s="112"/>
      <c r="K938" s="112"/>
      <c r="L938" s="112"/>
      <c r="M938" s="253"/>
      <c r="N938" s="253"/>
      <c r="O938" s="253"/>
      <c r="P938" s="253"/>
      <c r="Q938" s="253"/>
      <c r="R938" s="253"/>
      <c r="S938" s="253"/>
      <c r="T938" s="253"/>
      <c r="U938" s="253"/>
      <c r="V938" s="253"/>
      <c r="W938" s="253"/>
      <c r="X938" s="253"/>
      <c r="Y938" s="253"/>
      <c r="Z938" s="253"/>
      <c r="AA938" s="253"/>
      <c r="AB938" s="253"/>
      <c r="AC938" s="253"/>
    </row>
    <row r="939">
      <c r="A939" s="22"/>
      <c r="B939" s="22"/>
      <c r="C939" s="22"/>
      <c r="D939" s="22"/>
      <c r="E939" s="22"/>
      <c r="F939" s="22"/>
      <c r="G939" s="112"/>
      <c r="H939" s="112"/>
      <c r="I939" s="112"/>
      <c r="J939" s="112"/>
      <c r="K939" s="112"/>
      <c r="L939" s="112"/>
      <c r="M939" s="253"/>
      <c r="N939" s="253"/>
      <c r="O939" s="253"/>
      <c r="P939" s="253"/>
      <c r="Q939" s="253"/>
      <c r="R939" s="253"/>
      <c r="S939" s="253"/>
      <c r="T939" s="253"/>
      <c r="U939" s="253"/>
      <c r="V939" s="253"/>
      <c r="W939" s="253"/>
      <c r="X939" s="253"/>
      <c r="Y939" s="253"/>
      <c r="Z939" s="253"/>
      <c r="AA939" s="253"/>
      <c r="AB939" s="253"/>
      <c r="AC939" s="253"/>
    </row>
    <row r="940">
      <c r="A940" s="22"/>
      <c r="B940" s="22"/>
      <c r="C940" s="22"/>
      <c r="D940" s="22"/>
      <c r="E940" s="22"/>
      <c r="F940" s="22"/>
      <c r="G940" s="112"/>
      <c r="H940" s="112"/>
      <c r="I940" s="112"/>
      <c r="J940" s="112"/>
      <c r="K940" s="112"/>
      <c r="L940" s="112"/>
      <c r="M940" s="253"/>
      <c r="N940" s="253"/>
      <c r="O940" s="253"/>
      <c r="P940" s="253"/>
      <c r="Q940" s="253"/>
      <c r="R940" s="253"/>
      <c r="S940" s="253"/>
      <c r="T940" s="253"/>
      <c r="U940" s="253"/>
      <c r="V940" s="253"/>
      <c r="W940" s="253"/>
      <c r="X940" s="253"/>
      <c r="Y940" s="253"/>
      <c r="Z940" s="253"/>
      <c r="AA940" s="253"/>
      <c r="AB940" s="253"/>
      <c r="AC940" s="253"/>
    </row>
    <row r="941">
      <c r="A941" s="22"/>
      <c r="B941" s="22"/>
      <c r="C941" s="22"/>
      <c r="D941" s="22"/>
      <c r="E941" s="22"/>
      <c r="F941" s="22"/>
      <c r="G941" s="112"/>
      <c r="H941" s="112"/>
      <c r="I941" s="112"/>
      <c r="J941" s="112"/>
      <c r="K941" s="112"/>
      <c r="L941" s="112"/>
      <c r="M941" s="253"/>
      <c r="N941" s="253"/>
      <c r="O941" s="253"/>
      <c r="P941" s="253"/>
      <c r="Q941" s="253"/>
      <c r="R941" s="253"/>
      <c r="S941" s="253"/>
      <c r="T941" s="253"/>
      <c r="U941" s="253"/>
      <c r="V941" s="253"/>
      <c r="W941" s="253"/>
      <c r="X941" s="253"/>
      <c r="Y941" s="253"/>
      <c r="Z941" s="253"/>
      <c r="AA941" s="253"/>
      <c r="AB941" s="253"/>
      <c r="AC941" s="253"/>
    </row>
    <row r="942">
      <c r="A942" s="22"/>
      <c r="B942" s="22"/>
      <c r="C942" s="22"/>
      <c r="D942" s="22"/>
      <c r="E942" s="22"/>
      <c r="F942" s="22"/>
      <c r="G942" s="112"/>
      <c r="H942" s="112"/>
      <c r="I942" s="112"/>
      <c r="J942" s="112"/>
      <c r="K942" s="112"/>
      <c r="L942" s="112"/>
      <c r="M942" s="253"/>
      <c r="N942" s="253"/>
      <c r="O942" s="253"/>
      <c r="P942" s="253"/>
      <c r="Q942" s="253"/>
      <c r="R942" s="253"/>
      <c r="S942" s="253"/>
      <c r="T942" s="253"/>
      <c r="U942" s="253"/>
      <c r="V942" s="253"/>
      <c r="W942" s="253"/>
      <c r="X942" s="253"/>
      <c r="Y942" s="253"/>
      <c r="Z942" s="253"/>
      <c r="AA942" s="253"/>
      <c r="AB942" s="253"/>
      <c r="AC942" s="253"/>
    </row>
    <row r="943">
      <c r="A943" s="22"/>
      <c r="B943" s="22"/>
      <c r="C943" s="22"/>
      <c r="D943" s="22"/>
      <c r="E943" s="22"/>
      <c r="F943" s="22"/>
      <c r="G943" s="112"/>
      <c r="H943" s="112"/>
      <c r="I943" s="112"/>
      <c r="J943" s="112"/>
      <c r="K943" s="112"/>
      <c r="L943" s="112"/>
      <c r="M943" s="253"/>
      <c r="N943" s="253"/>
      <c r="O943" s="253"/>
      <c r="P943" s="253"/>
      <c r="Q943" s="253"/>
      <c r="R943" s="253"/>
      <c r="S943" s="253"/>
      <c r="T943" s="253"/>
      <c r="U943" s="253"/>
      <c r="V943" s="253"/>
      <c r="W943" s="253"/>
      <c r="X943" s="253"/>
      <c r="Y943" s="253"/>
      <c r="Z943" s="253"/>
      <c r="AA943" s="253"/>
      <c r="AB943" s="253"/>
      <c r="AC943" s="253"/>
    </row>
    <row r="944">
      <c r="A944" s="22"/>
      <c r="B944" s="22"/>
      <c r="C944" s="22"/>
      <c r="D944" s="22"/>
      <c r="E944" s="22"/>
      <c r="F944" s="22"/>
      <c r="G944" s="112"/>
      <c r="H944" s="112"/>
      <c r="I944" s="112"/>
      <c r="J944" s="112"/>
      <c r="K944" s="112"/>
      <c r="L944" s="112"/>
      <c r="M944" s="253"/>
      <c r="N944" s="253"/>
      <c r="O944" s="253"/>
      <c r="P944" s="253"/>
      <c r="Q944" s="253"/>
      <c r="R944" s="253"/>
      <c r="S944" s="253"/>
      <c r="T944" s="253"/>
      <c r="U944" s="253"/>
      <c r="V944" s="253"/>
      <c r="W944" s="253"/>
      <c r="X944" s="253"/>
      <c r="Y944" s="253"/>
      <c r="Z944" s="253"/>
      <c r="AA944" s="253"/>
      <c r="AB944" s="253"/>
      <c r="AC944" s="253"/>
    </row>
    <row r="945">
      <c r="A945" s="22"/>
      <c r="B945" s="22"/>
      <c r="C945" s="22"/>
      <c r="D945" s="22"/>
      <c r="E945" s="22"/>
      <c r="F945" s="22"/>
      <c r="G945" s="112"/>
      <c r="H945" s="112"/>
      <c r="I945" s="112"/>
      <c r="J945" s="112"/>
      <c r="K945" s="112"/>
      <c r="L945" s="112"/>
      <c r="M945" s="253"/>
      <c r="N945" s="253"/>
      <c r="O945" s="253"/>
      <c r="P945" s="253"/>
      <c r="Q945" s="253"/>
      <c r="R945" s="253"/>
      <c r="S945" s="253"/>
      <c r="T945" s="253"/>
      <c r="U945" s="253"/>
      <c r="V945" s="253"/>
      <c r="W945" s="253"/>
      <c r="X945" s="253"/>
      <c r="Y945" s="253"/>
      <c r="Z945" s="253"/>
      <c r="AA945" s="253"/>
      <c r="AB945" s="253"/>
      <c r="AC945" s="253"/>
    </row>
    <row r="946">
      <c r="A946" s="22"/>
      <c r="B946" s="22"/>
      <c r="C946" s="22"/>
      <c r="D946" s="22"/>
      <c r="E946" s="22"/>
      <c r="F946" s="22"/>
      <c r="G946" s="112"/>
      <c r="H946" s="112"/>
      <c r="I946" s="112"/>
      <c r="J946" s="112"/>
      <c r="K946" s="112"/>
      <c r="L946" s="112"/>
      <c r="M946" s="253"/>
      <c r="N946" s="253"/>
      <c r="O946" s="253"/>
      <c r="P946" s="253"/>
      <c r="Q946" s="253"/>
      <c r="R946" s="253"/>
      <c r="S946" s="253"/>
      <c r="T946" s="253"/>
      <c r="U946" s="253"/>
      <c r="V946" s="253"/>
      <c r="W946" s="253"/>
      <c r="X946" s="253"/>
      <c r="Y946" s="253"/>
      <c r="Z946" s="253"/>
      <c r="AA946" s="253"/>
      <c r="AB946" s="253"/>
      <c r="AC946" s="253"/>
    </row>
    <row r="947">
      <c r="A947" s="22"/>
      <c r="B947" s="22"/>
      <c r="C947" s="22"/>
      <c r="D947" s="22"/>
      <c r="E947" s="22"/>
      <c r="F947" s="22"/>
      <c r="G947" s="112"/>
      <c r="H947" s="112"/>
      <c r="I947" s="112"/>
      <c r="J947" s="112"/>
      <c r="K947" s="112"/>
      <c r="L947" s="112"/>
      <c r="M947" s="253"/>
      <c r="N947" s="253"/>
      <c r="O947" s="253"/>
      <c r="P947" s="253"/>
      <c r="Q947" s="253"/>
      <c r="R947" s="253"/>
      <c r="S947" s="253"/>
      <c r="T947" s="253"/>
      <c r="U947" s="253"/>
      <c r="V947" s="253"/>
      <c r="W947" s="253"/>
      <c r="X947" s="253"/>
      <c r="Y947" s="253"/>
      <c r="Z947" s="253"/>
      <c r="AA947" s="253"/>
      <c r="AB947" s="253"/>
      <c r="AC947" s="253"/>
    </row>
    <row r="948">
      <c r="A948" s="22"/>
      <c r="B948" s="22"/>
      <c r="C948" s="22"/>
      <c r="D948" s="22"/>
      <c r="E948" s="22"/>
      <c r="F948" s="22"/>
      <c r="G948" s="112"/>
      <c r="H948" s="112"/>
      <c r="I948" s="112"/>
      <c r="J948" s="112"/>
      <c r="K948" s="112"/>
      <c r="L948" s="112"/>
      <c r="M948" s="253"/>
      <c r="N948" s="253"/>
      <c r="O948" s="253"/>
      <c r="P948" s="253"/>
      <c r="Q948" s="253"/>
      <c r="R948" s="253"/>
      <c r="S948" s="253"/>
      <c r="T948" s="253"/>
      <c r="U948" s="253"/>
      <c r="V948" s="253"/>
      <c r="W948" s="253"/>
      <c r="X948" s="253"/>
      <c r="Y948" s="253"/>
      <c r="Z948" s="253"/>
      <c r="AA948" s="253"/>
      <c r="AB948" s="253"/>
      <c r="AC948" s="253"/>
    </row>
    <row r="949">
      <c r="A949" s="22"/>
      <c r="B949" s="22"/>
      <c r="C949" s="22"/>
      <c r="D949" s="22"/>
      <c r="E949" s="22"/>
      <c r="F949" s="22"/>
      <c r="G949" s="112"/>
      <c r="H949" s="112"/>
      <c r="I949" s="112"/>
      <c r="J949" s="112"/>
      <c r="K949" s="112"/>
      <c r="L949" s="112"/>
      <c r="M949" s="253"/>
      <c r="N949" s="253"/>
      <c r="O949" s="253"/>
      <c r="P949" s="253"/>
      <c r="Q949" s="253"/>
      <c r="R949" s="253"/>
      <c r="S949" s="253"/>
      <c r="T949" s="253"/>
      <c r="U949" s="253"/>
      <c r="V949" s="253"/>
      <c r="W949" s="253"/>
      <c r="X949" s="253"/>
      <c r="Y949" s="253"/>
      <c r="Z949" s="253"/>
      <c r="AA949" s="253"/>
      <c r="AB949" s="253"/>
      <c r="AC949" s="253"/>
    </row>
    <row r="950">
      <c r="A950" s="22"/>
      <c r="B950" s="22"/>
      <c r="C950" s="22"/>
      <c r="D950" s="22"/>
      <c r="E950" s="22"/>
      <c r="F950" s="22"/>
      <c r="G950" s="112"/>
      <c r="H950" s="112"/>
      <c r="I950" s="112"/>
      <c r="J950" s="112"/>
      <c r="K950" s="112"/>
      <c r="L950" s="112"/>
      <c r="M950" s="253"/>
      <c r="N950" s="253"/>
      <c r="O950" s="253"/>
      <c r="P950" s="253"/>
      <c r="Q950" s="253"/>
      <c r="R950" s="253"/>
      <c r="S950" s="253"/>
      <c r="T950" s="253"/>
      <c r="U950" s="253"/>
      <c r="V950" s="253"/>
      <c r="W950" s="253"/>
      <c r="X950" s="253"/>
      <c r="Y950" s="253"/>
      <c r="Z950" s="253"/>
      <c r="AA950" s="253"/>
      <c r="AB950" s="253"/>
      <c r="AC950" s="253"/>
    </row>
    <row r="951">
      <c r="A951" s="22"/>
      <c r="B951" s="22"/>
      <c r="C951" s="22"/>
      <c r="D951" s="22"/>
      <c r="E951" s="22"/>
      <c r="F951" s="22"/>
      <c r="G951" s="112"/>
      <c r="H951" s="112"/>
      <c r="I951" s="112"/>
      <c r="J951" s="112"/>
      <c r="K951" s="112"/>
      <c r="L951" s="112"/>
      <c r="M951" s="253"/>
      <c r="N951" s="253"/>
      <c r="O951" s="253"/>
      <c r="P951" s="253"/>
      <c r="Q951" s="253"/>
      <c r="R951" s="253"/>
      <c r="S951" s="253"/>
      <c r="T951" s="253"/>
      <c r="U951" s="253"/>
      <c r="V951" s="253"/>
      <c r="W951" s="253"/>
      <c r="X951" s="253"/>
      <c r="Y951" s="253"/>
      <c r="Z951" s="253"/>
      <c r="AA951" s="253"/>
      <c r="AB951" s="253"/>
      <c r="AC951" s="253"/>
    </row>
    <row r="952">
      <c r="A952" s="22"/>
      <c r="B952" s="22"/>
      <c r="C952" s="22"/>
      <c r="D952" s="22"/>
      <c r="E952" s="22"/>
      <c r="F952" s="22"/>
      <c r="G952" s="112"/>
      <c r="H952" s="112"/>
      <c r="I952" s="112"/>
      <c r="J952" s="112"/>
      <c r="K952" s="112"/>
      <c r="L952" s="112"/>
      <c r="M952" s="253"/>
      <c r="N952" s="253"/>
      <c r="O952" s="253"/>
      <c r="P952" s="253"/>
      <c r="Q952" s="253"/>
      <c r="R952" s="253"/>
      <c r="S952" s="253"/>
      <c r="T952" s="253"/>
      <c r="U952" s="253"/>
      <c r="V952" s="253"/>
      <c r="W952" s="253"/>
      <c r="X952" s="253"/>
      <c r="Y952" s="253"/>
      <c r="Z952" s="253"/>
      <c r="AA952" s="253"/>
      <c r="AB952" s="253"/>
      <c r="AC952" s="253"/>
    </row>
    <row r="953">
      <c r="A953" s="22"/>
      <c r="B953" s="22"/>
      <c r="C953" s="22"/>
      <c r="D953" s="22"/>
      <c r="E953" s="22"/>
      <c r="F953" s="22"/>
      <c r="G953" s="112"/>
      <c r="H953" s="112"/>
      <c r="I953" s="112"/>
      <c r="J953" s="112"/>
      <c r="K953" s="112"/>
      <c r="L953" s="112"/>
      <c r="M953" s="253"/>
      <c r="N953" s="253"/>
      <c r="O953" s="253"/>
      <c r="P953" s="253"/>
      <c r="Q953" s="253"/>
      <c r="R953" s="253"/>
      <c r="S953" s="253"/>
      <c r="T953" s="253"/>
      <c r="U953" s="253"/>
      <c r="V953" s="253"/>
      <c r="W953" s="253"/>
      <c r="X953" s="253"/>
      <c r="Y953" s="253"/>
      <c r="Z953" s="253"/>
      <c r="AA953" s="253"/>
      <c r="AB953" s="253"/>
      <c r="AC953" s="253"/>
    </row>
    <row r="954">
      <c r="A954" s="22"/>
      <c r="B954" s="22"/>
      <c r="C954" s="22"/>
      <c r="D954" s="22"/>
      <c r="E954" s="22"/>
      <c r="F954" s="22"/>
      <c r="G954" s="112"/>
      <c r="H954" s="112"/>
      <c r="I954" s="112"/>
      <c r="J954" s="112"/>
      <c r="K954" s="112"/>
      <c r="L954" s="112"/>
      <c r="M954" s="253"/>
      <c r="N954" s="253"/>
      <c r="O954" s="253"/>
      <c r="P954" s="253"/>
      <c r="Q954" s="253"/>
      <c r="R954" s="253"/>
      <c r="S954" s="253"/>
      <c r="T954" s="253"/>
      <c r="U954" s="253"/>
      <c r="V954" s="253"/>
      <c r="W954" s="253"/>
      <c r="X954" s="253"/>
      <c r="Y954" s="253"/>
      <c r="Z954" s="253"/>
      <c r="AA954" s="253"/>
      <c r="AB954" s="253"/>
      <c r="AC954" s="253"/>
    </row>
    <row r="955">
      <c r="A955" s="22"/>
      <c r="B955" s="22"/>
      <c r="C955" s="22"/>
      <c r="D955" s="22"/>
      <c r="E955" s="22"/>
      <c r="F955" s="22"/>
      <c r="G955" s="112"/>
      <c r="H955" s="112"/>
      <c r="I955" s="112"/>
      <c r="J955" s="112"/>
      <c r="K955" s="112"/>
      <c r="L955" s="112"/>
      <c r="M955" s="253"/>
      <c r="N955" s="253"/>
      <c r="O955" s="253"/>
      <c r="P955" s="253"/>
      <c r="Q955" s="253"/>
      <c r="R955" s="253"/>
      <c r="S955" s="253"/>
      <c r="T955" s="253"/>
      <c r="U955" s="253"/>
      <c r="V955" s="253"/>
      <c r="W955" s="253"/>
      <c r="X955" s="253"/>
      <c r="Y955" s="253"/>
      <c r="Z955" s="253"/>
      <c r="AA955" s="253"/>
      <c r="AB955" s="253"/>
      <c r="AC955" s="253"/>
    </row>
    <row r="956">
      <c r="A956" s="22"/>
      <c r="B956" s="22"/>
      <c r="C956" s="22"/>
      <c r="D956" s="22"/>
      <c r="E956" s="22"/>
      <c r="F956" s="22"/>
      <c r="G956" s="112"/>
      <c r="H956" s="112"/>
      <c r="I956" s="112"/>
      <c r="J956" s="112"/>
      <c r="K956" s="112"/>
      <c r="L956" s="112"/>
      <c r="M956" s="253"/>
      <c r="N956" s="253"/>
      <c r="O956" s="253"/>
      <c r="P956" s="253"/>
      <c r="Q956" s="253"/>
      <c r="R956" s="253"/>
      <c r="S956" s="253"/>
      <c r="T956" s="253"/>
      <c r="U956" s="253"/>
      <c r="V956" s="253"/>
      <c r="W956" s="253"/>
      <c r="X956" s="253"/>
      <c r="Y956" s="253"/>
      <c r="Z956" s="253"/>
      <c r="AA956" s="253"/>
      <c r="AB956" s="253"/>
      <c r="AC956" s="253"/>
    </row>
    <row r="957">
      <c r="A957" s="22"/>
      <c r="B957" s="22"/>
      <c r="C957" s="22"/>
      <c r="D957" s="22"/>
      <c r="E957" s="22"/>
      <c r="F957" s="22"/>
      <c r="G957" s="112"/>
      <c r="H957" s="112"/>
      <c r="I957" s="112"/>
      <c r="J957" s="112"/>
      <c r="K957" s="112"/>
      <c r="L957" s="112"/>
      <c r="M957" s="253"/>
      <c r="N957" s="253"/>
      <c r="O957" s="253"/>
      <c r="P957" s="253"/>
      <c r="Q957" s="253"/>
      <c r="R957" s="253"/>
      <c r="S957" s="253"/>
      <c r="T957" s="253"/>
      <c r="U957" s="253"/>
      <c r="V957" s="253"/>
      <c r="W957" s="253"/>
      <c r="X957" s="253"/>
      <c r="Y957" s="253"/>
      <c r="Z957" s="253"/>
      <c r="AA957" s="253"/>
      <c r="AB957" s="253"/>
      <c r="AC957" s="253"/>
    </row>
    <row r="958">
      <c r="A958" s="22"/>
      <c r="B958" s="22"/>
      <c r="C958" s="22"/>
      <c r="D958" s="22"/>
      <c r="E958" s="22"/>
      <c r="F958" s="22"/>
      <c r="G958" s="112"/>
      <c r="H958" s="112"/>
      <c r="I958" s="112"/>
      <c r="J958" s="112"/>
      <c r="K958" s="112"/>
      <c r="L958" s="112"/>
      <c r="M958" s="253"/>
      <c r="N958" s="253"/>
      <c r="O958" s="253"/>
      <c r="P958" s="253"/>
      <c r="Q958" s="253"/>
      <c r="R958" s="253"/>
      <c r="S958" s="253"/>
      <c r="T958" s="253"/>
      <c r="U958" s="253"/>
      <c r="V958" s="253"/>
      <c r="W958" s="253"/>
      <c r="X958" s="253"/>
      <c r="Y958" s="253"/>
      <c r="Z958" s="253"/>
      <c r="AA958" s="253"/>
      <c r="AB958" s="253"/>
      <c r="AC958" s="253"/>
    </row>
    <row r="959">
      <c r="A959" s="22"/>
      <c r="B959" s="22"/>
      <c r="C959" s="22"/>
      <c r="D959" s="22"/>
      <c r="E959" s="22"/>
      <c r="F959" s="22"/>
      <c r="G959" s="112"/>
      <c r="H959" s="112"/>
      <c r="I959" s="112"/>
      <c r="J959" s="112"/>
      <c r="K959" s="112"/>
      <c r="L959" s="112"/>
      <c r="M959" s="253"/>
      <c r="N959" s="253"/>
      <c r="O959" s="253"/>
      <c r="P959" s="253"/>
      <c r="Q959" s="253"/>
      <c r="R959" s="253"/>
      <c r="S959" s="253"/>
      <c r="T959" s="253"/>
      <c r="U959" s="253"/>
      <c r="V959" s="253"/>
      <c r="W959" s="253"/>
      <c r="X959" s="253"/>
      <c r="Y959" s="253"/>
      <c r="Z959" s="253"/>
      <c r="AA959" s="253"/>
      <c r="AB959" s="253"/>
      <c r="AC959" s="253"/>
    </row>
    <row r="960">
      <c r="A960" s="22"/>
      <c r="B960" s="22"/>
      <c r="C960" s="22"/>
      <c r="D960" s="22"/>
      <c r="E960" s="22"/>
      <c r="F960" s="22"/>
      <c r="G960" s="112"/>
      <c r="H960" s="112"/>
      <c r="I960" s="112"/>
      <c r="J960" s="112"/>
      <c r="K960" s="112"/>
      <c r="L960" s="112"/>
      <c r="M960" s="253"/>
      <c r="N960" s="253"/>
      <c r="O960" s="253"/>
      <c r="P960" s="253"/>
      <c r="Q960" s="253"/>
      <c r="R960" s="253"/>
      <c r="S960" s="253"/>
      <c r="T960" s="253"/>
      <c r="U960" s="253"/>
      <c r="V960" s="253"/>
      <c r="W960" s="253"/>
      <c r="X960" s="253"/>
      <c r="Y960" s="253"/>
      <c r="Z960" s="253"/>
      <c r="AA960" s="253"/>
      <c r="AB960" s="253"/>
      <c r="AC960" s="253"/>
    </row>
    <row r="961">
      <c r="A961" s="22"/>
      <c r="B961" s="22"/>
      <c r="C961" s="22"/>
      <c r="D961" s="22"/>
      <c r="E961" s="22"/>
      <c r="F961" s="22"/>
      <c r="G961" s="112"/>
      <c r="H961" s="112"/>
      <c r="I961" s="112"/>
      <c r="J961" s="112"/>
      <c r="K961" s="112"/>
      <c r="L961" s="112"/>
      <c r="M961" s="253"/>
      <c r="N961" s="253"/>
      <c r="O961" s="253"/>
      <c r="P961" s="253"/>
      <c r="Q961" s="253"/>
      <c r="R961" s="253"/>
      <c r="S961" s="253"/>
      <c r="T961" s="253"/>
      <c r="U961" s="253"/>
      <c r="V961" s="253"/>
      <c r="W961" s="253"/>
      <c r="X961" s="253"/>
      <c r="Y961" s="253"/>
      <c r="Z961" s="253"/>
      <c r="AA961" s="253"/>
      <c r="AB961" s="253"/>
      <c r="AC961" s="253"/>
    </row>
    <row r="962">
      <c r="A962" s="22"/>
      <c r="B962" s="22"/>
      <c r="C962" s="22"/>
      <c r="D962" s="22"/>
      <c r="E962" s="22"/>
      <c r="F962" s="22"/>
      <c r="G962" s="112"/>
      <c r="H962" s="112"/>
      <c r="I962" s="112"/>
      <c r="J962" s="112"/>
      <c r="K962" s="112"/>
      <c r="L962" s="112"/>
      <c r="M962" s="253"/>
      <c r="N962" s="253"/>
      <c r="O962" s="253"/>
      <c r="P962" s="253"/>
      <c r="Q962" s="253"/>
      <c r="R962" s="253"/>
      <c r="S962" s="253"/>
      <c r="T962" s="253"/>
      <c r="U962" s="253"/>
      <c r="V962" s="253"/>
      <c r="W962" s="253"/>
      <c r="X962" s="253"/>
      <c r="Y962" s="253"/>
      <c r="Z962" s="253"/>
      <c r="AA962" s="253"/>
      <c r="AB962" s="253"/>
      <c r="AC962" s="253"/>
    </row>
    <row r="963">
      <c r="A963" s="22"/>
      <c r="B963" s="22"/>
      <c r="C963" s="22"/>
      <c r="D963" s="22"/>
      <c r="E963" s="22"/>
      <c r="F963" s="22"/>
      <c r="G963" s="112"/>
      <c r="H963" s="112"/>
      <c r="I963" s="112"/>
      <c r="J963" s="112"/>
      <c r="K963" s="112"/>
      <c r="L963" s="112"/>
      <c r="M963" s="253"/>
      <c r="N963" s="253"/>
      <c r="O963" s="253"/>
      <c r="P963" s="253"/>
      <c r="Q963" s="253"/>
      <c r="R963" s="253"/>
      <c r="S963" s="253"/>
      <c r="T963" s="253"/>
      <c r="U963" s="253"/>
      <c r="V963" s="253"/>
      <c r="W963" s="253"/>
      <c r="X963" s="253"/>
      <c r="Y963" s="253"/>
      <c r="Z963" s="253"/>
      <c r="AA963" s="253"/>
      <c r="AB963" s="253"/>
      <c r="AC963" s="253"/>
    </row>
    <row r="964">
      <c r="A964" s="22"/>
      <c r="B964" s="22"/>
      <c r="C964" s="22"/>
      <c r="D964" s="22"/>
      <c r="E964" s="22"/>
      <c r="F964" s="22"/>
      <c r="G964" s="112"/>
      <c r="H964" s="112"/>
      <c r="I964" s="112"/>
      <c r="J964" s="112"/>
      <c r="K964" s="112"/>
      <c r="L964" s="112"/>
      <c r="M964" s="253"/>
      <c r="N964" s="253"/>
      <c r="O964" s="253"/>
      <c r="P964" s="253"/>
      <c r="Q964" s="253"/>
      <c r="R964" s="253"/>
      <c r="S964" s="253"/>
      <c r="T964" s="253"/>
      <c r="U964" s="253"/>
      <c r="V964" s="253"/>
      <c r="W964" s="253"/>
      <c r="X964" s="253"/>
      <c r="Y964" s="253"/>
      <c r="Z964" s="253"/>
      <c r="AA964" s="253"/>
      <c r="AB964" s="253"/>
      <c r="AC964" s="253"/>
    </row>
    <row r="965">
      <c r="A965" s="22"/>
      <c r="B965" s="22"/>
      <c r="C965" s="22"/>
      <c r="D965" s="22"/>
      <c r="E965" s="22"/>
      <c r="F965" s="22"/>
      <c r="G965" s="112"/>
      <c r="H965" s="112"/>
      <c r="I965" s="112"/>
      <c r="J965" s="112"/>
      <c r="K965" s="112"/>
      <c r="L965" s="112"/>
      <c r="M965" s="253"/>
      <c r="N965" s="253"/>
      <c r="O965" s="253"/>
      <c r="P965" s="253"/>
      <c r="Q965" s="253"/>
      <c r="R965" s="253"/>
      <c r="S965" s="253"/>
      <c r="T965" s="253"/>
      <c r="U965" s="253"/>
      <c r="V965" s="253"/>
      <c r="W965" s="253"/>
      <c r="X965" s="253"/>
      <c r="Y965" s="253"/>
      <c r="Z965" s="253"/>
      <c r="AA965" s="253"/>
      <c r="AB965" s="253"/>
      <c r="AC965" s="253"/>
    </row>
    <row r="966">
      <c r="A966" s="22"/>
      <c r="B966" s="22"/>
      <c r="C966" s="22"/>
      <c r="D966" s="22"/>
      <c r="E966" s="22"/>
      <c r="F966" s="22"/>
      <c r="G966" s="112"/>
      <c r="H966" s="112"/>
      <c r="I966" s="112"/>
      <c r="J966" s="112"/>
      <c r="K966" s="112"/>
      <c r="L966" s="112"/>
      <c r="M966" s="253"/>
      <c r="N966" s="253"/>
      <c r="O966" s="253"/>
      <c r="P966" s="253"/>
      <c r="Q966" s="253"/>
      <c r="R966" s="253"/>
      <c r="S966" s="253"/>
      <c r="T966" s="253"/>
      <c r="U966" s="253"/>
      <c r="V966" s="253"/>
      <c r="W966" s="253"/>
      <c r="X966" s="253"/>
      <c r="Y966" s="253"/>
      <c r="Z966" s="253"/>
      <c r="AA966" s="253"/>
      <c r="AB966" s="253"/>
      <c r="AC966" s="253"/>
    </row>
    <row r="967">
      <c r="A967" s="22"/>
      <c r="B967" s="22"/>
      <c r="C967" s="22"/>
      <c r="D967" s="22"/>
      <c r="E967" s="22"/>
      <c r="F967" s="22"/>
      <c r="G967" s="112"/>
      <c r="H967" s="112"/>
      <c r="I967" s="112"/>
      <c r="J967" s="112"/>
      <c r="K967" s="112"/>
      <c r="L967" s="112"/>
      <c r="M967" s="253"/>
      <c r="N967" s="253"/>
      <c r="O967" s="253"/>
      <c r="P967" s="253"/>
      <c r="Q967" s="253"/>
      <c r="R967" s="253"/>
      <c r="S967" s="253"/>
      <c r="T967" s="253"/>
      <c r="U967" s="253"/>
      <c r="V967" s="253"/>
      <c r="W967" s="253"/>
      <c r="X967" s="253"/>
      <c r="Y967" s="253"/>
      <c r="Z967" s="253"/>
      <c r="AA967" s="253"/>
      <c r="AB967" s="253"/>
      <c r="AC967" s="253"/>
    </row>
    <row r="968">
      <c r="A968" s="22"/>
      <c r="B968" s="22"/>
      <c r="C968" s="22"/>
      <c r="D968" s="22"/>
      <c r="E968" s="22"/>
      <c r="F968" s="22"/>
      <c r="G968" s="112"/>
      <c r="H968" s="112"/>
      <c r="I968" s="112"/>
      <c r="J968" s="112"/>
      <c r="K968" s="112"/>
      <c r="L968" s="112"/>
      <c r="M968" s="253"/>
      <c r="N968" s="253"/>
      <c r="O968" s="253"/>
      <c r="P968" s="253"/>
      <c r="Q968" s="253"/>
      <c r="R968" s="253"/>
      <c r="S968" s="253"/>
      <c r="T968" s="253"/>
      <c r="U968" s="253"/>
      <c r="V968" s="253"/>
      <c r="W968" s="253"/>
      <c r="X968" s="253"/>
      <c r="Y968" s="253"/>
      <c r="Z968" s="253"/>
      <c r="AA968" s="253"/>
      <c r="AB968" s="253"/>
      <c r="AC968" s="253"/>
    </row>
    <row r="969">
      <c r="A969" s="22"/>
      <c r="B969" s="22"/>
      <c r="C969" s="22"/>
      <c r="D969" s="22"/>
      <c r="E969" s="22"/>
      <c r="F969" s="22"/>
      <c r="G969" s="112"/>
      <c r="H969" s="112"/>
      <c r="I969" s="112"/>
      <c r="J969" s="112"/>
      <c r="K969" s="112"/>
      <c r="L969" s="112"/>
      <c r="M969" s="253"/>
      <c r="N969" s="253"/>
      <c r="O969" s="253"/>
      <c r="P969" s="253"/>
      <c r="Q969" s="253"/>
      <c r="R969" s="253"/>
      <c r="S969" s="253"/>
      <c r="T969" s="253"/>
      <c r="U969" s="253"/>
      <c r="V969" s="253"/>
      <c r="W969" s="253"/>
      <c r="X969" s="253"/>
      <c r="Y969" s="253"/>
      <c r="Z969" s="253"/>
      <c r="AA969" s="253"/>
      <c r="AB969" s="253"/>
      <c r="AC969" s="253"/>
    </row>
    <row r="970">
      <c r="A970" s="22"/>
      <c r="B970" s="22"/>
      <c r="C970" s="22"/>
      <c r="D970" s="22"/>
      <c r="E970" s="22"/>
      <c r="F970" s="22"/>
      <c r="G970" s="112"/>
      <c r="H970" s="112"/>
      <c r="I970" s="112"/>
      <c r="J970" s="112"/>
      <c r="K970" s="112"/>
      <c r="L970" s="112"/>
      <c r="M970" s="253"/>
      <c r="N970" s="253"/>
      <c r="O970" s="253"/>
      <c r="P970" s="253"/>
      <c r="Q970" s="253"/>
      <c r="R970" s="253"/>
      <c r="S970" s="253"/>
      <c r="T970" s="253"/>
      <c r="U970" s="253"/>
      <c r="V970" s="253"/>
      <c r="W970" s="253"/>
      <c r="X970" s="253"/>
      <c r="Y970" s="253"/>
      <c r="Z970" s="253"/>
      <c r="AA970" s="253"/>
      <c r="AB970" s="253"/>
      <c r="AC970" s="253"/>
    </row>
    <row r="971">
      <c r="A971" s="22"/>
      <c r="B971" s="22"/>
      <c r="C971" s="22"/>
      <c r="D971" s="22"/>
      <c r="E971" s="22"/>
      <c r="F971" s="22"/>
      <c r="G971" s="112"/>
      <c r="H971" s="112"/>
      <c r="I971" s="112"/>
      <c r="J971" s="112"/>
      <c r="K971" s="112"/>
      <c r="L971" s="112"/>
      <c r="M971" s="253"/>
      <c r="N971" s="253"/>
      <c r="O971" s="253"/>
      <c r="P971" s="253"/>
      <c r="Q971" s="253"/>
      <c r="R971" s="253"/>
      <c r="S971" s="253"/>
      <c r="T971" s="253"/>
      <c r="U971" s="253"/>
      <c r="V971" s="253"/>
      <c r="W971" s="253"/>
      <c r="X971" s="253"/>
      <c r="Y971" s="253"/>
      <c r="Z971" s="253"/>
      <c r="AA971" s="253"/>
      <c r="AB971" s="253"/>
      <c r="AC971" s="253"/>
    </row>
    <row r="972">
      <c r="A972" s="22"/>
      <c r="B972" s="22"/>
      <c r="C972" s="22"/>
      <c r="D972" s="22"/>
      <c r="E972" s="22"/>
      <c r="F972" s="22"/>
      <c r="G972" s="112"/>
      <c r="H972" s="112"/>
      <c r="I972" s="112"/>
      <c r="J972" s="112"/>
      <c r="K972" s="112"/>
      <c r="L972" s="112"/>
      <c r="M972" s="253"/>
      <c r="N972" s="253"/>
      <c r="O972" s="253"/>
      <c r="P972" s="253"/>
      <c r="Q972" s="253"/>
      <c r="R972" s="253"/>
      <c r="S972" s="253"/>
      <c r="T972" s="253"/>
      <c r="U972" s="253"/>
      <c r="V972" s="253"/>
      <c r="W972" s="253"/>
      <c r="X972" s="253"/>
      <c r="Y972" s="253"/>
      <c r="Z972" s="253"/>
      <c r="AA972" s="253"/>
      <c r="AB972" s="253"/>
      <c r="AC972" s="253"/>
    </row>
    <row r="973">
      <c r="A973" s="22"/>
      <c r="B973" s="22"/>
      <c r="C973" s="22"/>
      <c r="D973" s="22"/>
      <c r="E973" s="22"/>
      <c r="F973" s="22"/>
      <c r="G973" s="112"/>
      <c r="H973" s="112"/>
      <c r="I973" s="112"/>
      <c r="J973" s="112"/>
      <c r="K973" s="112"/>
      <c r="L973" s="112"/>
      <c r="M973" s="253"/>
      <c r="N973" s="253"/>
      <c r="O973" s="253"/>
      <c r="P973" s="253"/>
      <c r="Q973" s="253"/>
      <c r="R973" s="253"/>
      <c r="S973" s="253"/>
      <c r="T973" s="253"/>
      <c r="U973" s="253"/>
      <c r="V973" s="253"/>
      <c r="W973" s="253"/>
      <c r="X973" s="253"/>
      <c r="Y973" s="253"/>
      <c r="Z973" s="253"/>
      <c r="AA973" s="253"/>
      <c r="AB973" s="253"/>
      <c r="AC973" s="253"/>
    </row>
    <row r="974">
      <c r="A974" s="22"/>
      <c r="B974" s="22"/>
      <c r="C974" s="22"/>
      <c r="D974" s="22"/>
      <c r="E974" s="22"/>
      <c r="F974" s="22"/>
      <c r="G974" s="112"/>
      <c r="H974" s="112"/>
      <c r="I974" s="112"/>
      <c r="J974" s="112"/>
      <c r="K974" s="112"/>
      <c r="L974" s="112"/>
      <c r="M974" s="253"/>
      <c r="N974" s="253"/>
      <c r="O974" s="253"/>
      <c r="P974" s="253"/>
      <c r="Q974" s="253"/>
      <c r="R974" s="253"/>
      <c r="S974" s="253"/>
      <c r="T974" s="253"/>
      <c r="U974" s="253"/>
      <c r="V974" s="253"/>
      <c r="W974" s="253"/>
      <c r="X974" s="253"/>
      <c r="Y974" s="253"/>
      <c r="Z974" s="253"/>
      <c r="AA974" s="253"/>
      <c r="AB974" s="253"/>
      <c r="AC974" s="253"/>
    </row>
    <row r="975">
      <c r="A975" s="22"/>
      <c r="B975" s="22"/>
      <c r="C975" s="22"/>
      <c r="D975" s="22"/>
      <c r="E975" s="22"/>
      <c r="F975" s="22"/>
      <c r="G975" s="112"/>
      <c r="H975" s="112"/>
      <c r="I975" s="112"/>
      <c r="J975" s="112"/>
      <c r="K975" s="112"/>
      <c r="L975" s="112"/>
      <c r="M975" s="253"/>
      <c r="N975" s="253"/>
      <c r="O975" s="253"/>
      <c r="P975" s="253"/>
      <c r="Q975" s="253"/>
      <c r="R975" s="253"/>
      <c r="S975" s="253"/>
      <c r="T975" s="253"/>
      <c r="U975" s="253"/>
      <c r="V975" s="253"/>
      <c r="W975" s="253"/>
      <c r="X975" s="253"/>
      <c r="Y975" s="253"/>
      <c r="Z975" s="253"/>
      <c r="AA975" s="253"/>
      <c r="AB975" s="253"/>
      <c r="AC975" s="253"/>
    </row>
    <row r="976">
      <c r="A976" s="22"/>
      <c r="B976" s="22"/>
      <c r="C976" s="22"/>
      <c r="D976" s="22"/>
      <c r="E976" s="22"/>
      <c r="F976" s="22"/>
      <c r="G976" s="112"/>
      <c r="H976" s="112"/>
      <c r="I976" s="112"/>
      <c r="J976" s="112"/>
      <c r="K976" s="112"/>
      <c r="L976" s="112"/>
      <c r="M976" s="253"/>
      <c r="N976" s="253"/>
      <c r="O976" s="253"/>
      <c r="P976" s="253"/>
      <c r="Q976" s="253"/>
      <c r="R976" s="253"/>
      <c r="S976" s="253"/>
      <c r="T976" s="253"/>
      <c r="U976" s="253"/>
      <c r="V976" s="253"/>
      <c r="W976" s="253"/>
      <c r="X976" s="253"/>
      <c r="Y976" s="253"/>
      <c r="Z976" s="253"/>
      <c r="AA976" s="253"/>
      <c r="AB976" s="253"/>
      <c r="AC976" s="253"/>
    </row>
    <row r="977">
      <c r="A977" s="22"/>
      <c r="B977" s="22"/>
      <c r="C977" s="22"/>
      <c r="D977" s="22"/>
      <c r="E977" s="22"/>
      <c r="F977" s="22"/>
      <c r="G977" s="112"/>
      <c r="H977" s="112"/>
      <c r="I977" s="112"/>
      <c r="J977" s="112"/>
      <c r="K977" s="112"/>
      <c r="L977" s="112"/>
      <c r="M977" s="253"/>
      <c r="N977" s="253"/>
      <c r="O977" s="253"/>
      <c r="P977" s="253"/>
      <c r="Q977" s="253"/>
      <c r="R977" s="253"/>
      <c r="S977" s="253"/>
      <c r="T977" s="253"/>
      <c r="U977" s="253"/>
      <c r="V977" s="253"/>
      <c r="W977" s="253"/>
      <c r="X977" s="253"/>
      <c r="Y977" s="253"/>
      <c r="Z977" s="253"/>
      <c r="AA977" s="253"/>
      <c r="AB977" s="253"/>
      <c r="AC977" s="253"/>
    </row>
    <row r="978">
      <c r="A978" s="22"/>
      <c r="B978" s="22"/>
      <c r="C978" s="22"/>
      <c r="D978" s="22"/>
      <c r="E978" s="22"/>
      <c r="F978" s="22"/>
      <c r="G978" s="112"/>
      <c r="H978" s="112"/>
      <c r="I978" s="112"/>
      <c r="J978" s="112"/>
      <c r="K978" s="112"/>
      <c r="L978" s="112"/>
      <c r="M978" s="253"/>
      <c r="N978" s="253"/>
      <c r="O978" s="253"/>
      <c r="P978" s="253"/>
      <c r="Q978" s="253"/>
      <c r="R978" s="253"/>
      <c r="S978" s="253"/>
      <c r="T978" s="253"/>
      <c r="U978" s="253"/>
      <c r="V978" s="253"/>
      <c r="W978" s="253"/>
      <c r="X978" s="253"/>
      <c r="Y978" s="253"/>
      <c r="Z978" s="253"/>
      <c r="AA978" s="253"/>
      <c r="AB978" s="253"/>
      <c r="AC978" s="253"/>
    </row>
    <row r="979">
      <c r="A979" s="22"/>
      <c r="B979" s="22"/>
      <c r="C979" s="22"/>
      <c r="D979" s="22"/>
      <c r="E979" s="22"/>
      <c r="F979" s="22"/>
      <c r="G979" s="112"/>
      <c r="H979" s="112"/>
      <c r="I979" s="112"/>
      <c r="J979" s="112"/>
      <c r="K979" s="112"/>
      <c r="L979" s="112"/>
      <c r="M979" s="253"/>
      <c r="N979" s="253"/>
      <c r="O979" s="253"/>
      <c r="P979" s="253"/>
      <c r="Q979" s="253"/>
      <c r="R979" s="253"/>
      <c r="S979" s="253"/>
      <c r="T979" s="253"/>
      <c r="U979" s="253"/>
      <c r="V979" s="253"/>
      <c r="W979" s="253"/>
      <c r="X979" s="253"/>
      <c r="Y979" s="253"/>
      <c r="Z979" s="253"/>
      <c r="AA979" s="253"/>
      <c r="AB979" s="253"/>
      <c r="AC979" s="253"/>
    </row>
    <row r="980">
      <c r="A980" s="22"/>
      <c r="B980" s="22"/>
      <c r="C980" s="22"/>
      <c r="D980" s="22"/>
      <c r="E980" s="22"/>
      <c r="F980" s="22"/>
      <c r="G980" s="112"/>
      <c r="H980" s="112"/>
      <c r="I980" s="112"/>
      <c r="J980" s="112"/>
      <c r="K980" s="112"/>
      <c r="L980" s="112"/>
      <c r="M980" s="253"/>
      <c r="N980" s="253"/>
      <c r="O980" s="253"/>
      <c r="P980" s="253"/>
      <c r="Q980" s="253"/>
      <c r="R980" s="253"/>
      <c r="S980" s="253"/>
      <c r="T980" s="253"/>
      <c r="U980" s="253"/>
      <c r="V980" s="253"/>
      <c r="W980" s="253"/>
      <c r="X980" s="253"/>
      <c r="Y980" s="253"/>
      <c r="Z980" s="253"/>
      <c r="AA980" s="253"/>
      <c r="AB980" s="253"/>
      <c r="AC980" s="253"/>
    </row>
    <row r="981">
      <c r="A981" s="22"/>
      <c r="B981" s="22"/>
      <c r="C981" s="22"/>
      <c r="D981" s="22"/>
      <c r="E981" s="22"/>
      <c r="F981" s="22"/>
      <c r="G981" s="112"/>
      <c r="H981" s="112"/>
      <c r="I981" s="112"/>
      <c r="J981" s="112"/>
      <c r="K981" s="112"/>
      <c r="L981" s="112"/>
      <c r="M981" s="253"/>
      <c r="N981" s="253"/>
      <c r="O981" s="253"/>
      <c r="P981" s="253"/>
      <c r="Q981" s="253"/>
      <c r="R981" s="253"/>
      <c r="S981" s="253"/>
      <c r="T981" s="253"/>
      <c r="U981" s="253"/>
      <c r="V981" s="253"/>
      <c r="W981" s="253"/>
      <c r="X981" s="253"/>
      <c r="Y981" s="253"/>
      <c r="Z981" s="253"/>
      <c r="AA981" s="253"/>
      <c r="AB981" s="253"/>
      <c r="AC981" s="253"/>
    </row>
    <row r="982">
      <c r="A982" s="22"/>
      <c r="B982" s="22"/>
      <c r="C982" s="22"/>
      <c r="D982" s="22"/>
      <c r="E982" s="22"/>
      <c r="F982" s="22"/>
      <c r="G982" s="112"/>
      <c r="H982" s="112"/>
      <c r="I982" s="112"/>
      <c r="J982" s="112"/>
      <c r="K982" s="112"/>
      <c r="L982" s="112"/>
      <c r="M982" s="253"/>
      <c r="N982" s="253"/>
      <c r="O982" s="253"/>
      <c r="P982" s="253"/>
      <c r="Q982" s="253"/>
      <c r="R982" s="253"/>
      <c r="S982" s="253"/>
      <c r="T982" s="253"/>
      <c r="U982" s="253"/>
      <c r="V982" s="253"/>
      <c r="W982" s="253"/>
      <c r="X982" s="253"/>
      <c r="Y982" s="253"/>
      <c r="Z982" s="253"/>
      <c r="AA982" s="253"/>
      <c r="AB982" s="253"/>
      <c r="AC982" s="253"/>
    </row>
    <row r="983">
      <c r="A983" s="22"/>
      <c r="B983" s="22"/>
      <c r="C983" s="22"/>
      <c r="D983" s="22"/>
      <c r="E983" s="22"/>
      <c r="F983" s="22"/>
      <c r="G983" s="112"/>
      <c r="H983" s="112"/>
      <c r="I983" s="112"/>
      <c r="J983" s="112"/>
      <c r="K983" s="112"/>
      <c r="L983" s="112"/>
      <c r="M983" s="253"/>
      <c r="N983" s="253"/>
      <c r="O983" s="253"/>
      <c r="P983" s="253"/>
      <c r="Q983" s="253"/>
      <c r="R983" s="253"/>
      <c r="S983" s="253"/>
      <c r="T983" s="253"/>
      <c r="U983" s="253"/>
      <c r="V983" s="253"/>
      <c r="W983" s="253"/>
      <c r="X983" s="253"/>
      <c r="Y983" s="253"/>
      <c r="Z983" s="253"/>
      <c r="AA983" s="253"/>
      <c r="AB983" s="253"/>
      <c r="AC983" s="253"/>
    </row>
    <row r="984">
      <c r="A984" s="22"/>
      <c r="B984" s="22"/>
      <c r="C984" s="22"/>
      <c r="D984" s="22"/>
      <c r="E984" s="22"/>
      <c r="F984" s="22"/>
      <c r="G984" s="112"/>
      <c r="H984" s="112"/>
      <c r="I984" s="112"/>
      <c r="J984" s="112"/>
      <c r="K984" s="112"/>
      <c r="L984" s="112"/>
      <c r="M984" s="253"/>
      <c r="N984" s="253"/>
      <c r="O984" s="253"/>
      <c r="P984" s="253"/>
      <c r="Q984" s="253"/>
      <c r="R984" s="253"/>
      <c r="S984" s="253"/>
      <c r="T984" s="253"/>
      <c r="U984" s="253"/>
      <c r="V984" s="253"/>
      <c r="W984" s="253"/>
      <c r="X984" s="253"/>
      <c r="Y984" s="253"/>
      <c r="Z984" s="253"/>
      <c r="AA984" s="253"/>
      <c r="AB984" s="253"/>
      <c r="AC984" s="253"/>
    </row>
    <row r="985">
      <c r="A985" s="22"/>
      <c r="B985" s="22"/>
      <c r="C985" s="22"/>
      <c r="D985" s="22"/>
      <c r="E985" s="22"/>
      <c r="F985" s="22"/>
      <c r="G985" s="112"/>
      <c r="H985" s="112"/>
      <c r="I985" s="112"/>
      <c r="J985" s="112"/>
      <c r="K985" s="112"/>
      <c r="L985" s="112"/>
      <c r="M985" s="253"/>
      <c r="N985" s="253"/>
      <c r="O985" s="253"/>
      <c r="P985" s="253"/>
      <c r="Q985" s="253"/>
      <c r="R985" s="253"/>
      <c r="S985" s="253"/>
      <c r="T985" s="253"/>
      <c r="U985" s="253"/>
      <c r="V985" s="253"/>
      <c r="W985" s="253"/>
      <c r="X985" s="253"/>
      <c r="Y985" s="253"/>
      <c r="Z985" s="253"/>
      <c r="AA985" s="253"/>
      <c r="AB985" s="253"/>
      <c r="AC985" s="253"/>
    </row>
    <row r="986">
      <c r="A986" s="22"/>
      <c r="B986" s="22"/>
      <c r="C986" s="22"/>
      <c r="D986" s="22"/>
      <c r="E986" s="22"/>
      <c r="F986" s="22"/>
      <c r="G986" s="112"/>
      <c r="H986" s="112"/>
      <c r="I986" s="112"/>
      <c r="J986" s="112"/>
      <c r="K986" s="112"/>
      <c r="L986" s="112"/>
      <c r="M986" s="253"/>
      <c r="N986" s="253"/>
      <c r="O986" s="253"/>
      <c r="P986" s="253"/>
      <c r="Q986" s="253"/>
      <c r="R986" s="253"/>
      <c r="S986" s="253"/>
      <c r="T986" s="253"/>
      <c r="U986" s="253"/>
      <c r="V986" s="253"/>
      <c r="W986" s="253"/>
      <c r="X986" s="253"/>
      <c r="Y986" s="253"/>
      <c r="Z986" s="253"/>
      <c r="AA986" s="253"/>
      <c r="AB986" s="253"/>
      <c r="AC986" s="253"/>
    </row>
  </sheetData>
  <conditionalFormatting sqref="A1:AC1">
    <cfRule type="notContainsBlanks" dxfId="0" priority="1">
      <formula>LEN(TRIM(A1))&gt;0</formula>
    </cfRule>
  </conditionalFormatting>
  <hyperlinks>
    <hyperlink r:id="rId1" ref="H2"/>
    <hyperlink r:id="rId2" ref="H3"/>
    <hyperlink r:id="rId3" ref="H4"/>
    <hyperlink r:id="rId4" ref="H5"/>
    <hyperlink r:id="rId5" ref="H6"/>
    <hyperlink r:id="rId6" ref="H7"/>
    <hyperlink r:id="rId7" ref="I7"/>
    <hyperlink r:id="rId8" ref="J7"/>
    <hyperlink r:id="rId9" ref="H8"/>
    <hyperlink r:id="rId10" ref="H9"/>
    <hyperlink r:id="rId11" ref="H10"/>
    <hyperlink r:id="rId12" ref="I10"/>
    <hyperlink r:id="rId13" ref="H11"/>
    <hyperlink r:id="rId14" ref="J11"/>
    <hyperlink r:id="rId15" ref="H12"/>
    <hyperlink r:id="rId16" ref="I12"/>
    <hyperlink r:id="rId17" ref="H13"/>
    <hyperlink r:id="rId18" ref="H14"/>
    <hyperlink r:id="rId19" ref="H15"/>
    <hyperlink r:id="rId20" ref="H16"/>
    <hyperlink r:id="rId21" ref="H17"/>
    <hyperlink r:id="rId22" ref="I17"/>
    <hyperlink r:id="rId23" ref="H18"/>
    <hyperlink r:id="rId24" ref="H19"/>
    <hyperlink r:id="rId25" ref="I19"/>
    <hyperlink r:id="rId26" ref="H20"/>
    <hyperlink r:id="rId27" ref="I20"/>
    <hyperlink r:id="rId28" ref="H21"/>
    <hyperlink r:id="rId29" ref="H22"/>
    <hyperlink r:id="rId30" ref="H23"/>
    <hyperlink r:id="rId31" ref="I23"/>
    <hyperlink r:id="rId32" ref="H24"/>
    <hyperlink r:id="rId33" ref="I24"/>
    <hyperlink r:id="rId34" ref="H25"/>
    <hyperlink r:id="rId35" ref="I25"/>
    <hyperlink r:id="rId36" ref="H26"/>
    <hyperlink r:id="rId37" ref="I26"/>
    <hyperlink r:id="rId38" ref="H27"/>
    <hyperlink r:id="rId39" ref="H28"/>
    <hyperlink r:id="rId40" ref="H29"/>
    <hyperlink r:id="rId41" ref="H30"/>
    <hyperlink r:id="rId42" ref="H31"/>
    <hyperlink r:id="rId43" ref="H32"/>
    <hyperlink r:id="rId44" ref="H33"/>
    <hyperlink r:id="rId45" ref="I33"/>
    <hyperlink r:id="rId46" ref="J33"/>
    <hyperlink r:id="rId47" ref="H34"/>
    <hyperlink r:id="rId48" ref="I34"/>
    <hyperlink r:id="rId49" ref="J34"/>
    <hyperlink r:id="rId50" ref="H35"/>
    <hyperlink r:id="rId51" ref="I35"/>
    <hyperlink r:id="rId52" ref="J35"/>
    <hyperlink r:id="rId53" ref="H36"/>
    <hyperlink r:id="rId54" ref="I36"/>
    <hyperlink r:id="rId55" ref="J36"/>
    <hyperlink r:id="rId56" ref="H37"/>
    <hyperlink r:id="rId57" ref="I37"/>
    <hyperlink r:id="rId58" ref="H38"/>
    <hyperlink r:id="rId59" ref="H39"/>
    <hyperlink r:id="rId60" ref="H40"/>
    <hyperlink r:id="rId61" ref="H41"/>
    <hyperlink r:id="rId62" ref="H42"/>
    <hyperlink r:id="rId63" ref="I42"/>
    <hyperlink r:id="rId64" ref="J42"/>
    <hyperlink r:id="rId65" ref="H43"/>
    <hyperlink r:id="rId66" ref="I43"/>
    <hyperlink r:id="rId67" ref="J43"/>
    <hyperlink r:id="rId68" ref="H44"/>
    <hyperlink r:id="rId69" ref="H45"/>
    <hyperlink r:id="rId70" ref="H46"/>
    <hyperlink r:id="rId71" ref="I46"/>
    <hyperlink r:id="rId72" ref="J46"/>
    <hyperlink r:id="rId73" ref="H47"/>
    <hyperlink r:id="rId74" ref="I47"/>
    <hyperlink r:id="rId75" ref="J47"/>
    <hyperlink r:id="rId76" ref="H48"/>
    <hyperlink r:id="rId77" ref="I48"/>
    <hyperlink r:id="rId78" ref="J48"/>
    <hyperlink r:id="rId79" ref="H49"/>
    <hyperlink r:id="rId80" ref="H50"/>
    <hyperlink r:id="rId81" ref="I50"/>
    <hyperlink r:id="rId82" ref="J50"/>
    <hyperlink r:id="rId83" ref="H51"/>
    <hyperlink r:id="rId84" ref="J51"/>
    <hyperlink r:id="rId85" ref="H52"/>
    <hyperlink r:id="rId86" ref="H53"/>
    <hyperlink r:id="rId87" ref="I53"/>
    <hyperlink r:id="rId88" ref="J53"/>
    <hyperlink r:id="rId89" ref="H54"/>
    <hyperlink r:id="rId90" ref="H55"/>
    <hyperlink r:id="rId91" ref="I55"/>
    <hyperlink r:id="rId92" ref="H56"/>
    <hyperlink r:id="rId93" ref="I56"/>
    <hyperlink r:id="rId94" ref="H57"/>
    <hyperlink r:id="rId95" ref="I57"/>
    <hyperlink r:id="rId96" ref="H58"/>
    <hyperlink r:id="rId97" ref="I58"/>
    <hyperlink r:id="rId98" ref="H59"/>
    <hyperlink r:id="rId99" ref="I59"/>
    <hyperlink r:id="rId100" ref="H60"/>
    <hyperlink r:id="rId101" ref="I60"/>
    <hyperlink r:id="rId102" ref="H61"/>
    <hyperlink r:id="rId103" ref="I61"/>
    <hyperlink r:id="rId104" ref="J61"/>
    <hyperlink r:id="rId105" ref="H62"/>
    <hyperlink r:id="rId106" ref="I62"/>
    <hyperlink r:id="rId107" ref="H63"/>
    <hyperlink r:id="rId108" ref="I63"/>
    <hyperlink r:id="rId109" ref="H64"/>
    <hyperlink r:id="rId110" ref="H65"/>
    <hyperlink r:id="rId111" ref="I65"/>
    <hyperlink r:id="rId112" ref="H66"/>
    <hyperlink r:id="rId113" ref="H67"/>
    <hyperlink r:id="rId114" ref="I67"/>
    <hyperlink r:id="rId115" ref="J67"/>
    <hyperlink r:id="rId116" ref="H68"/>
    <hyperlink r:id="rId117" ref="H69"/>
    <hyperlink r:id="rId118" ref="I69"/>
    <hyperlink r:id="rId119" ref="H70"/>
    <hyperlink r:id="rId120" ref="H71"/>
    <hyperlink r:id="rId121" ref="H72"/>
    <hyperlink r:id="rId122" ref="I72"/>
    <hyperlink r:id="rId123" ref="H73"/>
    <hyperlink r:id="rId124" ref="H74"/>
    <hyperlink r:id="rId125" ref="I74"/>
    <hyperlink r:id="rId126" ref="H75"/>
    <hyperlink r:id="rId127" ref="I75"/>
    <hyperlink r:id="rId128" ref="J75"/>
    <hyperlink r:id="rId129" ref="H76"/>
    <hyperlink r:id="rId130" ref="H77"/>
    <hyperlink r:id="rId131" ref="H78"/>
    <hyperlink r:id="rId132" ref="I78"/>
    <hyperlink r:id="rId133" ref="H79"/>
    <hyperlink r:id="rId134" ref="I79"/>
    <hyperlink r:id="rId135" ref="H80"/>
    <hyperlink r:id="rId136" ref="H81"/>
    <hyperlink r:id="rId137" ref="H82"/>
    <hyperlink r:id="rId138" ref="I82"/>
    <hyperlink r:id="rId139" ref="H83"/>
    <hyperlink r:id="rId140" ref="H84"/>
    <hyperlink r:id="rId141" ref="I84"/>
    <hyperlink r:id="rId142" ref="J84"/>
    <hyperlink r:id="rId143" ref="H85"/>
    <hyperlink r:id="rId144" ref="H86"/>
    <hyperlink r:id="rId145" ref="H87"/>
    <hyperlink r:id="rId146" ref="H88"/>
    <hyperlink r:id="rId147" ref="I88"/>
    <hyperlink r:id="rId148" ref="H89"/>
    <hyperlink r:id="rId149" ref="H90"/>
    <hyperlink r:id="rId150" ref="H91"/>
    <hyperlink r:id="rId151" ref="I91"/>
    <hyperlink r:id="rId152" ref="H92"/>
    <hyperlink r:id="rId153" ref="I92"/>
    <hyperlink r:id="rId154" ref="H93"/>
    <hyperlink r:id="rId155" ref="H94"/>
    <hyperlink r:id="rId156" ref="I94"/>
    <hyperlink r:id="rId157" ref="H95"/>
    <hyperlink r:id="rId158" ref="J95"/>
    <hyperlink r:id="rId159" ref="F96"/>
    <hyperlink r:id="rId160" ref="H96"/>
    <hyperlink r:id="rId161" ref="I96"/>
    <hyperlink r:id="rId162" ref="H97"/>
    <hyperlink r:id="rId163" ref="H98"/>
    <hyperlink r:id="rId164" ref="H99"/>
    <hyperlink r:id="rId165" ref="I99"/>
    <hyperlink r:id="rId166" ref="J99"/>
    <hyperlink r:id="rId167" ref="H100"/>
    <hyperlink r:id="rId168" ref="H101"/>
    <hyperlink r:id="rId169" ref="I101"/>
    <hyperlink r:id="rId170" ref="H102"/>
    <hyperlink r:id="rId171" ref="H103"/>
    <hyperlink r:id="rId172" ref="I103"/>
    <hyperlink r:id="rId173" ref="H104"/>
    <hyperlink r:id="rId174" ref="I104"/>
    <hyperlink r:id="rId175" ref="H105"/>
    <hyperlink r:id="rId176" ref="I105"/>
    <hyperlink r:id="rId177" ref="H106"/>
    <hyperlink r:id="rId178" ref="I106"/>
    <hyperlink r:id="rId179" ref="H107"/>
    <hyperlink r:id="rId180" ref="H108"/>
    <hyperlink r:id="rId181" ref="H109"/>
    <hyperlink r:id="rId182" ref="H110"/>
    <hyperlink r:id="rId183" ref="H111"/>
    <hyperlink r:id="rId184" ref="H112"/>
    <hyperlink r:id="rId185" ref="H113"/>
    <hyperlink r:id="rId186" ref="H114"/>
    <hyperlink r:id="rId187" ref="I114"/>
    <hyperlink r:id="rId188" ref="H115"/>
    <hyperlink r:id="rId189" ref="H116"/>
    <hyperlink r:id="rId190" ref="I116"/>
    <hyperlink r:id="rId191" ref="H117"/>
    <hyperlink r:id="rId192" ref="I117"/>
    <hyperlink r:id="rId193" ref="J117"/>
    <hyperlink r:id="rId194" ref="H118"/>
    <hyperlink r:id="rId195" ref="H119"/>
    <hyperlink r:id="rId196" ref="I119"/>
    <hyperlink r:id="rId197" ref="J119"/>
    <hyperlink r:id="rId198" ref="H120"/>
    <hyperlink r:id="rId199" ref="I120"/>
    <hyperlink r:id="rId200" ref="H121"/>
    <hyperlink r:id="rId201" ref="H122"/>
    <hyperlink r:id="rId202" ref="H123"/>
    <hyperlink r:id="rId203" ref="I123"/>
    <hyperlink r:id="rId204" ref="H124"/>
    <hyperlink r:id="rId205" ref="H125"/>
    <hyperlink r:id="rId206" ref="I125"/>
    <hyperlink r:id="rId207" ref="J125"/>
    <hyperlink r:id="rId208" ref="H126"/>
    <hyperlink r:id="rId209" ref="I126"/>
    <hyperlink r:id="rId210" ref="H127"/>
    <hyperlink r:id="rId211" ref="I127"/>
    <hyperlink r:id="rId212" ref="J127"/>
    <hyperlink r:id="rId213" ref="H128"/>
    <hyperlink r:id="rId214" ref="I128"/>
    <hyperlink r:id="rId215" ref="H129"/>
    <hyperlink r:id="rId216" ref="I129"/>
    <hyperlink r:id="rId217" ref="J129"/>
    <hyperlink r:id="rId218" ref="H130"/>
    <hyperlink r:id="rId219" ref="I130"/>
    <hyperlink r:id="rId220" ref="J130"/>
    <hyperlink r:id="rId221" ref="H131"/>
    <hyperlink r:id="rId222" ref="H132"/>
    <hyperlink r:id="rId223" ref="I132"/>
    <hyperlink r:id="rId224" ref="H133"/>
    <hyperlink r:id="rId225" ref="I133"/>
    <hyperlink r:id="rId226" ref="J133"/>
    <hyperlink r:id="rId227" ref="H134"/>
    <hyperlink r:id="rId228" ref="I134"/>
    <hyperlink r:id="rId229" ref="H135"/>
    <hyperlink r:id="rId230" ref="I135"/>
    <hyperlink r:id="rId231" ref="H136"/>
    <hyperlink r:id="rId232" ref="H137"/>
    <hyperlink r:id="rId233" ref="I137"/>
    <hyperlink r:id="rId234" ref="H138"/>
    <hyperlink r:id="rId235" ref="I138"/>
    <hyperlink r:id="rId236" ref="H139"/>
    <hyperlink r:id="rId237" ref="H140"/>
    <hyperlink r:id="rId238" ref="I140"/>
    <hyperlink r:id="rId239" ref="H141"/>
    <hyperlink r:id="rId240" ref="H142"/>
    <hyperlink r:id="rId241" ref="H143"/>
    <hyperlink r:id="rId242" ref="H144"/>
    <hyperlink r:id="rId243" ref="I144"/>
    <hyperlink r:id="rId244" ref="J144"/>
    <hyperlink r:id="rId245" ref="H145"/>
    <hyperlink r:id="rId246" ref="H146"/>
    <hyperlink r:id="rId247" ref="I146"/>
    <hyperlink r:id="rId248" ref="J146"/>
    <hyperlink r:id="rId249" ref="H147"/>
    <hyperlink r:id="rId250" ref="I147"/>
    <hyperlink r:id="rId251" ref="H148"/>
    <hyperlink r:id="rId252" ref="H149"/>
    <hyperlink r:id="rId253" ref="H150"/>
    <hyperlink r:id="rId254" ref="I150"/>
    <hyperlink r:id="rId255" ref="H151"/>
    <hyperlink r:id="rId256" ref="I151"/>
    <hyperlink r:id="rId257" ref="H152"/>
    <hyperlink r:id="rId258" ref="H153"/>
    <hyperlink r:id="rId259" ref="H154"/>
    <hyperlink r:id="rId260" ref="J155"/>
    <hyperlink r:id="rId261" ref="H156"/>
    <hyperlink r:id="rId262" ref="I156"/>
    <hyperlink r:id="rId263" ref="H157"/>
    <hyperlink r:id="rId264" ref="H158"/>
    <hyperlink r:id="rId265" ref="I158"/>
    <hyperlink r:id="rId266" ref="H159"/>
    <hyperlink r:id="rId267" ref="J159"/>
    <hyperlink r:id="rId268" ref="H160"/>
    <hyperlink r:id="rId269" ref="I160"/>
    <hyperlink r:id="rId270" ref="H161"/>
    <hyperlink r:id="rId271" ref="H162"/>
    <hyperlink r:id="rId272" ref="H163"/>
    <hyperlink r:id="rId273" ref="I163"/>
    <hyperlink r:id="rId274" ref="J163"/>
    <hyperlink r:id="rId275" ref="H164"/>
    <hyperlink r:id="rId276" ref="H165"/>
    <hyperlink r:id="rId277" ref="I165"/>
    <hyperlink r:id="rId278" ref="H166"/>
    <hyperlink r:id="rId279" ref="H167"/>
    <hyperlink r:id="rId280" ref="I167"/>
    <hyperlink r:id="rId281" ref="H168"/>
    <hyperlink r:id="rId282" ref="I168"/>
    <hyperlink r:id="rId283" ref="J169"/>
    <hyperlink r:id="rId284" ref="H170"/>
    <hyperlink r:id="rId285" ref="H171"/>
    <hyperlink r:id="rId286" ref="J171"/>
    <hyperlink r:id="rId287" ref="J172"/>
  </hyperlinks>
  <drawing r:id="rId288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8.25"/>
    <col customWidth="1" min="3" max="3" width="26.25"/>
    <col customWidth="1" min="4" max="4" width="5.5"/>
    <col customWidth="1" min="5" max="5" width="6.38"/>
    <col customWidth="1" min="6" max="6" width="4.13"/>
    <col customWidth="1" min="7" max="7" width="3.0"/>
    <col customWidth="1" min="8" max="8" width="44.88"/>
    <col customWidth="1" min="9" max="9" width="28.0"/>
    <col customWidth="1" min="10" max="10" width="33.38"/>
    <col customWidth="1" min="11" max="11" width="4.88"/>
    <col customWidth="1" min="12" max="12" width="3.88"/>
    <col customWidth="1" min="13" max="13" width="7.25"/>
    <col customWidth="1" min="14" max="14" width="4.38"/>
    <col customWidth="1" min="15" max="15" width="4.5"/>
    <col customWidth="1" min="16" max="16" width="4.13"/>
    <col customWidth="1" min="17" max="17" width="5.13"/>
    <col customWidth="1" min="18" max="18" width="4.25"/>
    <col customWidth="1" min="19" max="19" width="4.5"/>
  </cols>
  <sheetData>
    <row r="1">
      <c r="A1" s="8" t="s">
        <v>19</v>
      </c>
      <c r="B1" s="4" t="s">
        <v>1</v>
      </c>
      <c r="C1" s="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>
      <c r="A2" s="37">
        <v>25093.0</v>
      </c>
      <c r="C2" s="8" t="s">
        <v>3658</v>
      </c>
      <c r="D2" s="8" t="s">
        <v>138</v>
      </c>
      <c r="E2" s="8" t="s">
        <v>9815</v>
      </c>
      <c r="H2" s="12" t="s">
        <v>9816</v>
      </c>
    </row>
    <row r="3">
      <c r="B3" s="8" t="s">
        <v>20</v>
      </c>
      <c r="C3" s="8" t="s">
        <v>9817</v>
      </c>
      <c r="D3" s="8" t="s">
        <v>138</v>
      </c>
      <c r="E3" s="8" t="s">
        <v>9815</v>
      </c>
      <c r="H3" s="12" t="s">
        <v>9818</v>
      </c>
    </row>
    <row r="4">
      <c r="B4" s="8" t="s">
        <v>20</v>
      </c>
      <c r="C4" s="8" t="s">
        <v>8503</v>
      </c>
      <c r="D4" s="8" t="s">
        <v>138</v>
      </c>
      <c r="E4" s="8" t="s">
        <v>9815</v>
      </c>
      <c r="H4" s="12" t="s">
        <v>9819</v>
      </c>
    </row>
    <row r="5">
      <c r="B5" s="8" t="s">
        <v>173</v>
      </c>
      <c r="C5" s="8" t="s">
        <v>292</v>
      </c>
      <c r="D5" s="8" t="s">
        <v>138</v>
      </c>
      <c r="E5" s="8" t="s">
        <v>9815</v>
      </c>
      <c r="H5" s="12" t="s">
        <v>9820</v>
      </c>
    </row>
    <row r="6">
      <c r="B6" s="8" t="s">
        <v>20</v>
      </c>
      <c r="C6" s="8" t="s">
        <v>9821</v>
      </c>
      <c r="D6" s="8" t="s">
        <v>138</v>
      </c>
      <c r="E6" s="8" t="s">
        <v>9815</v>
      </c>
      <c r="H6" s="12" t="s">
        <v>9822</v>
      </c>
      <c r="I6" s="12" t="s">
        <v>9823</v>
      </c>
    </row>
    <row r="7">
      <c r="B7" s="8" t="s">
        <v>20</v>
      </c>
      <c r="C7" s="8" t="s">
        <v>7725</v>
      </c>
      <c r="D7" s="8" t="s">
        <v>138</v>
      </c>
      <c r="E7" s="8" t="s">
        <v>9815</v>
      </c>
      <c r="H7" s="12" t="s">
        <v>9824</v>
      </c>
    </row>
    <row r="8">
      <c r="A8" s="37">
        <v>32731.0</v>
      </c>
      <c r="B8" s="8"/>
      <c r="C8" s="8" t="s">
        <v>8289</v>
      </c>
      <c r="D8" s="8" t="s">
        <v>138</v>
      </c>
      <c r="E8" s="8" t="s">
        <v>139</v>
      </c>
      <c r="H8" s="12" t="s">
        <v>9825</v>
      </c>
    </row>
    <row r="9">
      <c r="A9" s="37">
        <v>32727.0</v>
      </c>
      <c r="B9" s="8"/>
      <c r="C9" s="8" t="s">
        <v>9826</v>
      </c>
      <c r="D9" s="8" t="s">
        <v>138</v>
      </c>
      <c r="E9" s="8" t="s">
        <v>139</v>
      </c>
      <c r="J9" s="12" t="s">
        <v>9827</v>
      </c>
    </row>
    <row r="10">
      <c r="A10" s="37">
        <v>29684.0</v>
      </c>
      <c r="C10" s="8" t="s">
        <v>9828</v>
      </c>
      <c r="D10" s="8" t="s">
        <v>138</v>
      </c>
      <c r="E10" s="8" t="s">
        <v>139</v>
      </c>
      <c r="H10" s="257"/>
      <c r="J10" s="12" t="s">
        <v>9829</v>
      </c>
    </row>
    <row r="11">
      <c r="A11" s="37">
        <v>26554.0</v>
      </c>
      <c r="B11" s="8"/>
      <c r="C11" s="8" t="s">
        <v>9830</v>
      </c>
      <c r="D11" s="8" t="s">
        <v>138</v>
      </c>
      <c r="E11" s="8" t="s">
        <v>139</v>
      </c>
      <c r="H11" s="12" t="s">
        <v>9831</v>
      </c>
      <c r="I11" s="258"/>
      <c r="J11" s="12" t="s">
        <v>9832</v>
      </c>
    </row>
    <row r="12">
      <c r="A12" s="37">
        <v>25315.0</v>
      </c>
      <c r="C12" s="8" t="s">
        <v>871</v>
      </c>
      <c r="D12" s="8" t="s">
        <v>138</v>
      </c>
      <c r="E12" s="8" t="s">
        <v>139</v>
      </c>
      <c r="H12" s="12" t="s">
        <v>9833</v>
      </c>
    </row>
    <row r="13">
      <c r="A13" s="37">
        <v>25200.0</v>
      </c>
      <c r="C13" s="8" t="s">
        <v>9834</v>
      </c>
      <c r="D13" s="8" t="s">
        <v>138</v>
      </c>
      <c r="E13" s="8" t="s">
        <v>139</v>
      </c>
      <c r="H13" s="12" t="s">
        <v>9835</v>
      </c>
      <c r="I13" s="12" t="s">
        <v>9836</v>
      </c>
    </row>
    <row r="14">
      <c r="A14" s="37">
        <v>25125.0</v>
      </c>
      <c r="B14" s="8"/>
      <c r="C14" s="8" t="s">
        <v>1194</v>
      </c>
      <c r="D14" s="8" t="s">
        <v>138</v>
      </c>
      <c r="E14" s="8" t="s">
        <v>139</v>
      </c>
      <c r="H14" s="9" t="s">
        <v>9837</v>
      </c>
      <c r="I14" s="244"/>
    </row>
    <row r="15">
      <c r="A15" s="37">
        <v>25090.0</v>
      </c>
      <c r="C15" s="8" t="s">
        <v>4871</v>
      </c>
      <c r="D15" s="8" t="s">
        <v>138</v>
      </c>
      <c r="E15" s="8" t="s">
        <v>139</v>
      </c>
      <c r="H15" s="12" t="s">
        <v>9838</v>
      </c>
      <c r="I15" s="12" t="s">
        <v>9839</v>
      </c>
    </row>
    <row r="16">
      <c r="C16" s="8" t="s">
        <v>9840</v>
      </c>
      <c r="D16" s="8" t="s">
        <v>138</v>
      </c>
      <c r="E16" s="8" t="s">
        <v>139</v>
      </c>
      <c r="H16" s="12" t="s">
        <v>9841</v>
      </c>
      <c r="I16" s="12" t="s">
        <v>9842</v>
      </c>
    </row>
    <row r="17">
      <c r="A17" s="37">
        <v>23195.0</v>
      </c>
      <c r="B17" s="8"/>
      <c r="C17" s="8" t="s">
        <v>9843</v>
      </c>
      <c r="D17" s="8" t="s">
        <v>138</v>
      </c>
      <c r="E17" s="8" t="s">
        <v>139</v>
      </c>
      <c r="H17" s="12" t="s">
        <v>9844</v>
      </c>
      <c r="J17" s="12" t="s">
        <v>9845</v>
      </c>
    </row>
    <row r="18">
      <c r="A18" s="37">
        <v>22639.0</v>
      </c>
      <c r="B18" s="8"/>
      <c r="C18" s="8" t="s">
        <v>9846</v>
      </c>
      <c r="D18" s="8" t="s">
        <v>138</v>
      </c>
      <c r="E18" s="8" t="s">
        <v>139</v>
      </c>
      <c r="F18" s="37" t="s">
        <v>0</v>
      </c>
      <c r="G18" s="37"/>
      <c r="H18" s="12" t="s">
        <v>9847</v>
      </c>
    </row>
    <row r="19">
      <c r="A19" s="37">
        <v>21566.0</v>
      </c>
      <c r="C19" s="8" t="s">
        <v>9112</v>
      </c>
      <c r="D19" s="8" t="s">
        <v>138</v>
      </c>
      <c r="E19" s="8" t="s">
        <v>139</v>
      </c>
      <c r="H19" s="12" t="s">
        <v>9848</v>
      </c>
    </row>
    <row r="20">
      <c r="A20" s="37">
        <v>21352.0</v>
      </c>
      <c r="C20" s="8" t="s">
        <v>9849</v>
      </c>
      <c r="D20" s="8" t="s">
        <v>138</v>
      </c>
      <c r="E20" s="8" t="s">
        <v>139</v>
      </c>
      <c r="H20" s="12" t="s">
        <v>9850</v>
      </c>
    </row>
    <row r="21">
      <c r="A21" s="37">
        <v>20900.0</v>
      </c>
      <c r="C21" s="8" t="s">
        <v>9851</v>
      </c>
      <c r="D21" s="8" t="s">
        <v>138</v>
      </c>
      <c r="E21" s="8" t="s">
        <v>139</v>
      </c>
      <c r="J21" s="12" t="s">
        <v>9852</v>
      </c>
    </row>
    <row r="22">
      <c r="A22" s="37">
        <v>19927.0</v>
      </c>
      <c r="B22" s="8"/>
      <c r="C22" s="8" t="s">
        <v>9853</v>
      </c>
      <c r="D22" s="8" t="s">
        <v>138</v>
      </c>
      <c r="E22" s="8" t="s">
        <v>139</v>
      </c>
      <c r="H22" s="12" t="s">
        <v>9854</v>
      </c>
    </row>
    <row r="23">
      <c r="A23" s="37">
        <v>19910.0</v>
      </c>
      <c r="C23" s="8" t="s">
        <v>9855</v>
      </c>
      <c r="D23" s="8" t="s">
        <v>138</v>
      </c>
      <c r="E23" s="8" t="s">
        <v>139</v>
      </c>
      <c r="H23" s="12" t="s">
        <v>9856</v>
      </c>
    </row>
    <row r="24">
      <c r="A24" s="37">
        <v>15581.0</v>
      </c>
      <c r="C24" s="8" t="s">
        <v>9857</v>
      </c>
      <c r="D24" s="8" t="s">
        <v>138</v>
      </c>
      <c r="E24" s="8" t="s">
        <v>139</v>
      </c>
      <c r="H24" s="12" t="s">
        <v>9858</v>
      </c>
      <c r="I24" s="12" t="s">
        <v>9859</v>
      </c>
      <c r="J24" s="9" t="s">
        <v>9860</v>
      </c>
    </row>
    <row r="25">
      <c r="A25" s="37">
        <v>15509.0</v>
      </c>
      <c r="C25" s="8" t="s">
        <v>9861</v>
      </c>
      <c r="D25" s="8" t="s">
        <v>138</v>
      </c>
      <c r="E25" s="8" t="s">
        <v>139</v>
      </c>
      <c r="H25" s="12" t="s">
        <v>9862</v>
      </c>
    </row>
    <row r="26">
      <c r="A26" s="37">
        <v>15443.0</v>
      </c>
      <c r="C26" s="8" t="s">
        <v>4088</v>
      </c>
      <c r="D26" s="8" t="s">
        <v>138</v>
      </c>
      <c r="E26" s="8" t="s">
        <v>139</v>
      </c>
      <c r="J26" s="12" t="s">
        <v>9863</v>
      </c>
    </row>
    <row r="27">
      <c r="A27" s="37">
        <v>15434.0</v>
      </c>
      <c r="B27" s="8"/>
      <c r="C27" s="8" t="s">
        <v>9864</v>
      </c>
      <c r="D27" s="8" t="s">
        <v>138</v>
      </c>
      <c r="E27" s="8" t="s">
        <v>139</v>
      </c>
      <c r="H27" s="12" t="s">
        <v>9865</v>
      </c>
    </row>
    <row r="28">
      <c r="A28" s="37">
        <v>15418.0</v>
      </c>
      <c r="C28" s="8" t="s">
        <v>9866</v>
      </c>
      <c r="D28" s="8" t="s">
        <v>138</v>
      </c>
      <c r="E28" s="8" t="s">
        <v>139</v>
      </c>
      <c r="H28" s="12" t="s">
        <v>9867</v>
      </c>
    </row>
    <row r="29">
      <c r="A29" s="37">
        <v>15362.0</v>
      </c>
      <c r="C29" s="8" t="s">
        <v>306</v>
      </c>
      <c r="D29" s="8" t="s">
        <v>138</v>
      </c>
      <c r="E29" s="8" t="s">
        <v>139</v>
      </c>
      <c r="J29" s="12" t="s">
        <v>9868</v>
      </c>
    </row>
    <row r="30">
      <c r="A30" s="37">
        <v>15361.0</v>
      </c>
      <c r="C30" s="8" t="s">
        <v>9869</v>
      </c>
      <c r="D30" s="8" t="s">
        <v>138</v>
      </c>
      <c r="E30" s="8" t="s">
        <v>139</v>
      </c>
      <c r="H30" s="12" t="s">
        <v>9870</v>
      </c>
    </row>
    <row r="31">
      <c r="A31" s="37">
        <v>15353.0</v>
      </c>
      <c r="C31" s="8" t="s">
        <v>963</v>
      </c>
      <c r="D31" s="8" t="s">
        <v>138</v>
      </c>
      <c r="E31" s="8" t="s">
        <v>139</v>
      </c>
      <c r="H31" s="12" t="s">
        <v>9871</v>
      </c>
    </row>
    <row r="32">
      <c r="A32" s="37">
        <v>15324.0</v>
      </c>
      <c r="C32" s="8" t="s">
        <v>9872</v>
      </c>
      <c r="D32" s="8" t="s">
        <v>138</v>
      </c>
      <c r="E32" s="8" t="s">
        <v>139</v>
      </c>
      <c r="J32" s="12" t="s">
        <v>9873</v>
      </c>
      <c r="K32" s="37" t="s">
        <v>4926</v>
      </c>
      <c r="L32" s="12" t="s">
        <v>9874</v>
      </c>
    </row>
    <row r="33">
      <c r="C33" s="8" t="s">
        <v>1975</v>
      </c>
      <c r="D33" s="8" t="s">
        <v>138</v>
      </c>
      <c r="E33" s="8" t="s">
        <v>139</v>
      </c>
      <c r="H33" s="12" t="s">
        <v>9875</v>
      </c>
      <c r="J33" s="12" t="s">
        <v>9876</v>
      </c>
    </row>
    <row r="34">
      <c r="B34" s="8" t="s">
        <v>301</v>
      </c>
      <c r="C34" s="8" t="s">
        <v>9877</v>
      </c>
      <c r="D34" s="8" t="s">
        <v>138</v>
      </c>
      <c r="E34" s="8" t="s">
        <v>139</v>
      </c>
      <c r="H34" s="12" t="s">
        <v>9878</v>
      </c>
      <c r="J34" s="12" t="s">
        <v>9879</v>
      </c>
    </row>
    <row r="35">
      <c r="B35" s="8" t="s">
        <v>20</v>
      </c>
      <c r="C35" s="8" t="s">
        <v>4670</v>
      </c>
      <c r="D35" s="8" t="s">
        <v>138</v>
      </c>
      <c r="E35" s="8" t="s">
        <v>139</v>
      </c>
      <c r="H35" s="12" t="s">
        <v>9880</v>
      </c>
    </row>
    <row r="36">
      <c r="B36" s="8" t="s">
        <v>20</v>
      </c>
      <c r="C36" s="8" t="s">
        <v>9881</v>
      </c>
      <c r="D36" s="8" t="s">
        <v>138</v>
      </c>
      <c r="E36" s="8" t="s">
        <v>139</v>
      </c>
      <c r="H36" s="12" t="s">
        <v>9882</v>
      </c>
    </row>
    <row r="37">
      <c r="B37" s="8" t="s">
        <v>20</v>
      </c>
      <c r="C37" s="8" t="s">
        <v>49</v>
      </c>
      <c r="D37" s="8" t="s">
        <v>138</v>
      </c>
      <c r="E37" s="8" t="s">
        <v>139</v>
      </c>
      <c r="H37" s="12" t="s">
        <v>9883</v>
      </c>
      <c r="I37" s="12" t="s">
        <v>9884</v>
      </c>
    </row>
    <row r="38">
      <c r="B38" s="8" t="s">
        <v>20</v>
      </c>
      <c r="C38" s="8" t="s">
        <v>9885</v>
      </c>
      <c r="D38" s="8" t="s">
        <v>138</v>
      </c>
      <c r="E38" s="8" t="s">
        <v>139</v>
      </c>
      <c r="H38" s="12" t="s">
        <v>9886</v>
      </c>
      <c r="I38" s="12" t="s">
        <v>9887</v>
      </c>
      <c r="J38" s="12" t="s">
        <v>9888</v>
      </c>
    </row>
    <row r="39">
      <c r="B39" s="8" t="s">
        <v>20</v>
      </c>
      <c r="C39" s="8" t="s">
        <v>3617</v>
      </c>
      <c r="D39" s="8" t="s">
        <v>138</v>
      </c>
      <c r="E39" s="8" t="s">
        <v>139</v>
      </c>
      <c r="H39" s="12" t="s">
        <v>9889</v>
      </c>
      <c r="J39" s="12" t="s">
        <v>9890</v>
      </c>
    </row>
    <row r="40">
      <c r="B40" s="8" t="s">
        <v>20</v>
      </c>
      <c r="C40" s="8" t="s">
        <v>510</v>
      </c>
      <c r="D40" s="8" t="s">
        <v>138</v>
      </c>
      <c r="E40" s="8" t="s">
        <v>139</v>
      </c>
      <c r="F40" s="8" t="s">
        <v>9891</v>
      </c>
      <c r="H40" s="12" t="s">
        <v>9892</v>
      </c>
      <c r="I40" s="12" t="s">
        <v>9893</v>
      </c>
    </row>
    <row r="41">
      <c r="B41" s="8" t="s">
        <v>20</v>
      </c>
      <c r="C41" s="8" t="s">
        <v>1298</v>
      </c>
      <c r="D41" s="8" t="s">
        <v>138</v>
      </c>
      <c r="E41" s="8" t="s">
        <v>139</v>
      </c>
      <c r="F41" s="8" t="s">
        <v>9894</v>
      </c>
      <c r="H41" s="12" t="s">
        <v>9895</v>
      </c>
      <c r="J41" s="12" t="s">
        <v>9896</v>
      </c>
    </row>
    <row r="42">
      <c r="B42" s="8" t="s">
        <v>20</v>
      </c>
      <c r="C42" s="8" t="s">
        <v>9897</v>
      </c>
      <c r="D42" s="8" t="s">
        <v>138</v>
      </c>
      <c r="E42" s="8" t="s">
        <v>139</v>
      </c>
      <c r="H42" s="12" t="s">
        <v>9898</v>
      </c>
      <c r="I42" s="8" t="s">
        <v>9899</v>
      </c>
      <c r="J42" s="8" t="s">
        <v>9899</v>
      </c>
    </row>
    <row r="43">
      <c r="B43" s="8" t="s">
        <v>20</v>
      </c>
      <c r="C43" s="8" t="s">
        <v>9900</v>
      </c>
      <c r="D43" s="8" t="s">
        <v>138</v>
      </c>
      <c r="E43" s="8" t="s">
        <v>139</v>
      </c>
      <c r="H43" s="12" t="s">
        <v>9901</v>
      </c>
      <c r="I43" s="12" t="s">
        <v>9902</v>
      </c>
    </row>
    <row r="44">
      <c r="B44" s="8" t="s">
        <v>20</v>
      </c>
      <c r="C44" s="8" t="s">
        <v>9903</v>
      </c>
      <c r="D44" s="8" t="s">
        <v>138</v>
      </c>
      <c r="E44" s="8" t="s">
        <v>139</v>
      </c>
      <c r="F44" s="8" t="s">
        <v>296</v>
      </c>
      <c r="H44" s="12" t="s">
        <v>9904</v>
      </c>
      <c r="I44" s="9" t="s">
        <v>9905</v>
      </c>
      <c r="J44" s="12" t="s">
        <v>9906</v>
      </c>
    </row>
    <row r="45">
      <c r="B45" s="8" t="s">
        <v>20</v>
      </c>
      <c r="C45" s="8" t="s">
        <v>9907</v>
      </c>
      <c r="D45" s="8" t="s">
        <v>138</v>
      </c>
      <c r="E45" s="8" t="s">
        <v>139</v>
      </c>
      <c r="H45" s="12" t="s">
        <v>9908</v>
      </c>
      <c r="I45" s="12" t="s">
        <v>9909</v>
      </c>
      <c r="J45" s="12" t="s">
        <v>9910</v>
      </c>
    </row>
    <row r="46">
      <c r="B46" s="8" t="s">
        <v>20</v>
      </c>
      <c r="C46" s="8" t="s">
        <v>9911</v>
      </c>
      <c r="D46" s="8" t="s">
        <v>138</v>
      </c>
      <c r="E46" s="8" t="s">
        <v>139</v>
      </c>
      <c r="H46" s="12" t="s">
        <v>9912</v>
      </c>
      <c r="J46" s="12" t="s">
        <v>9913</v>
      </c>
    </row>
    <row r="47">
      <c r="B47" s="8" t="s">
        <v>20</v>
      </c>
      <c r="C47" s="8" t="s">
        <v>2267</v>
      </c>
      <c r="D47" s="8" t="s">
        <v>138</v>
      </c>
      <c r="E47" s="8" t="s">
        <v>139</v>
      </c>
      <c r="H47" s="12" t="s">
        <v>9914</v>
      </c>
      <c r="I47" s="12" t="s">
        <v>9915</v>
      </c>
    </row>
    <row r="48">
      <c r="B48" s="8" t="s">
        <v>20</v>
      </c>
      <c r="C48" s="8" t="s">
        <v>9916</v>
      </c>
      <c r="D48" s="8" t="s">
        <v>138</v>
      </c>
      <c r="E48" s="8" t="s">
        <v>139</v>
      </c>
      <c r="H48" s="12" t="s">
        <v>9917</v>
      </c>
      <c r="I48" s="12" t="s">
        <v>9918</v>
      </c>
    </row>
    <row r="49">
      <c r="B49" s="8" t="s">
        <v>20</v>
      </c>
      <c r="C49" s="8" t="s">
        <v>9919</v>
      </c>
      <c r="D49" s="8" t="s">
        <v>138</v>
      </c>
      <c r="E49" s="8" t="s">
        <v>139</v>
      </c>
      <c r="H49" s="12" t="s">
        <v>9920</v>
      </c>
      <c r="I49" s="12" t="s">
        <v>9921</v>
      </c>
    </row>
    <row r="50">
      <c r="B50" s="8" t="s">
        <v>20</v>
      </c>
      <c r="C50" s="8" t="s">
        <v>9922</v>
      </c>
      <c r="D50" s="8" t="s">
        <v>138</v>
      </c>
      <c r="E50" s="8" t="s">
        <v>139</v>
      </c>
      <c r="H50" s="12" t="s">
        <v>9923</v>
      </c>
    </row>
    <row r="51">
      <c r="B51" s="8" t="s">
        <v>20</v>
      </c>
      <c r="C51" s="8" t="s">
        <v>9924</v>
      </c>
      <c r="D51" s="8" t="s">
        <v>138</v>
      </c>
      <c r="E51" s="8" t="s">
        <v>139</v>
      </c>
      <c r="H51" s="12" t="s">
        <v>9925</v>
      </c>
      <c r="I51" s="12" t="s">
        <v>9926</v>
      </c>
      <c r="J51" s="12" t="s">
        <v>9927</v>
      </c>
    </row>
    <row r="52">
      <c r="B52" s="8" t="s">
        <v>20</v>
      </c>
      <c r="C52" s="8" t="s">
        <v>9928</v>
      </c>
      <c r="D52" s="8" t="s">
        <v>138</v>
      </c>
      <c r="E52" s="8" t="s">
        <v>139</v>
      </c>
      <c r="H52" s="12" t="s">
        <v>9929</v>
      </c>
      <c r="I52" s="12" t="s">
        <v>9930</v>
      </c>
    </row>
    <row r="53">
      <c r="B53" s="8" t="s">
        <v>20</v>
      </c>
      <c r="C53" s="8" t="s">
        <v>9931</v>
      </c>
      <c r="D53" s="8" t="s">
        <v>138</v>
      </c>
      <c r="E53" s="8" t="s">
        <v>139</v>
      </c>
      <c r="H53" s="12" t="s">
        <v>9932</v>
      </c>
      <c r="J53" s="12" t="s">
        <v>9852</v>
      </c>
    </row>
    <row r="54">
      <c r="B54" s="8" t="s">
        <v>20</v>
      </c>
      <c r="C54" s="8" t="s">
        <v>9933</v>
      </c>
      <c r="D54" s="8" t="s">
        <v>138</v>
      </c>
      <c r="E54" s="8" t="s">
        <v>139</v>
      </c>
      <c r="H54" s="12" t="s">
        <v>9934</v>
      </c>
    </row>
    <row r="55">
      <c r="A55" s="37">
        <v>20901.0</v>
      </c>
      <c r="C55" s="8" t="s">
        <v>1975</v>
      </c>
      <c r="D55" s="8" t="s">
        <v>138</v>
      </c>
      <c r="E55" s="8" t="s">
        <v>139</v>
      </c>
      <c r="H55" s="12" t="s">
        <v>9935</v>
      </c>
      <c r="J55" s="12" t="s">
        <v>9876</v>
      </c>
    </row>
    <row r="56">
      <c r="B56" s="8" t="s">
        <v>20</v>
      </c>
      <c r="C56" s="8" t="s">
        <v>9936</v>
      </c>
      <c r="D56" s="8" t="s">
        <v>138</v>
      </c>
      <c r="E56" s="8" t="s">
        <v>139</v>
      </c>
      <c r="H56" s="12" t="s">
        <v>9937</v>
      </c>
      <c r="J56" s="12" t="s">
        <v>9829</v>
      </c>
    </row>
    <row r="57">
      <c r="B57" s="8" t="s">
        <v>20</v>
      </c>
      <c r="C57" s="8" t="s">
        <v>3468</v>
      </c>
      <c r="D57" s="8" t="s">
        <v>138</v>
      </c>
      <c r="E57" s="8" t="s">
        <v>139</v>
      </c>
      <c r="H57" s="12" t="s">
        <v>9938</v>
      </c>
      <c r="I57" s="12" t="s">
        <v>9939</v>
      </c>
      <c r="J57" s="12" t="s">
        <v>9940</v>
      </c>
    </row>
    <row r="58">
      <c r="B58" s="8" t="s">
        <v>20</v>
      </c>
      <c r="C58" s="8" t="s">
        <v>9941</v>
      </c>
      <c r="D58" s="8" t="s">
        <v>138</v>
      </c>
      <c r="E58" s="8" t="s">
        <v>139</v>
      </c>
      <c r="H58" s="12" t="s">
        <v>9942</v>
      </c>
      <c r="I58" s="12" t="s">
        <v>9943</v>
      </c>
      <c r="J58" s="12" t="s">
        <v>9944</v>
      </c>
    </row>
    <row r="59">
      <c r="B59" s="8" t="s">
        <v>20</v>
      </c>
      <c r="C59" s="8" t="s">
        <v>9945</v>
      </c>
      <c r="D59" s="8" t="s">
        <v>138</v>
      </c>
      <c r="E59" s="8" t="s">
        <v>139</v>
      </c>
      <c r="H59" s="12" t="s">
        <v>9946</v>
      </c>
      <c r="I59" s="12" t="s">
        <v>9947</v>
      </c>
    </row>
    <row r="60">
      <c r="B60" s="8" t="s">
        <v>20</v>
      </c>
      <c r="C60" s="8" t="s">
        <v>3163</v>
      </c>
      <c r="D60" s="8" t="s">
        <v>138</v>
      </c>
      <c r="E60" s="8" t="s">
        <v>139</v>
      </c>
      <c r="G60" s="37">
        <v>1.0</v>
      </c>
      <c r="H60" s="12" t="s">
        <v>9948</v>
      </c>
    </row>
    <row r="61">
      <c r="B61" s="8" t="s">
        <v>20</v>
      </c>
      <c r="C61" s="8" t="s">
        <v>6913</v>
      </c>
      <c r="D61" s="8" t="s">
        <v>138</v>
      </c>
      <c r="E61" s="8" t="s">
        <v>139</v>
      </c>
      <c r="H61" s="12" t="s">
        <v>9949</v>
      </c>
    </row>
    <row r="62">
      <c r="B62" s="8" t="s">
        <v>20</v>
      </c>
      <c r="C62" s="8" t="s">
        <v>9950</v>
      </c>
      <c r="D62" s="8" t="s">
        <v>138</v>
      </c>
      <c r="E62" s="8" t="s">
        <v>139</v>
      </c>
      <c r="H62" s="12" t="s">
        <v>9951</v>
      </c>
      <c r="I62" s="12" t="s">
        <v>9952</v>
      </c>
      <c r="J62" s="12" t="s">
        <v>9953</v>
      </c>
    </row>
    <row r="63">
      <c r="B63" s="8" t="s">
        <v>20</v>
      </c>
      <c r="C63" s="8" t="s">
        <v>9954</v>
      </c>
      <c r="D63" s="8" t="s">
        <v>138</v>
      </c>
      <c r="E63" s="8" t="s">
        <v>139</v>
      </c>
      <c r="H63" s="12" t="s">
        <v>9955</v>
      </c>
    </row>
    <row r="64">
      <c r="B64" s="8" t="s">
        <v>20</v>
      </c>
      <c r="C64" s="8" t="s">
        <v>9956</v>
      </c>
      <c r="D64" s="8" t="s">
        <v>138</v>
      </c>
      <c r="E64" s="8" t="s">
        <v>139</v>
      </c>
      <c r="G64" s="37">
        <v>1.0</v>
      </c>
      <c r="H64" s="12" t="s">
        <v>9957</v>
      </c>
      <c r="I64" s="9" t="s">
        <v>9958</v>
      </c>
    </row>
    <row r="65">
      <c r="B65" s="8" t="s">
        <v>20</v>
      </c>
      <c r="C65" s="8" t="s">
        <v>1068</v>
      </c>
      <c r="D65" s="8" t="s">
        <v>138</v>
      </c>
      <c r="E65" s="8" t="s">
        <v>139</v>
      </c>
      <c r="H65" s="12" t="s">
        <v>9959</v>
      </c>
      <c r="I65" s="12" t="s">
        <v>9960</v>
      </c>
      <c r="J65" s="9" t="s">
        <v>9961</v>
      </c>
    </row>
    <row r="66">
      <c r="B66" s="8" t="s">
        <v>20</v>
      </c>
      <c r="C66" s="8" t="s">
        <v>4304</v>
      </c>
      <c r="D66" s="8" t="s">
        <v>138</v>
      </c>
      <c r="E66" s="8" t="s">
        <v>139</v>
      </c>
      <c r="H66" s="12" t="s">
        <v>9962</v>
      </c>
      <c r="I66" s="9" t="s">
        <v>9963</v>
      </c>
    </row>
    <row r="67">
      <c r="B67" s="8" t="s">
        <v>20</v>
      </c>
      <c r="C67" s="8" t="s">
        <v>9964</v>
      </c>
      <c r="D67" s="8" t="s">
        <v>138</v>
      </c>
      <c r="E67" s="8" t="s">
        <v>139</v>
      </c>
      <c r="H67" s="12" t="s">
        <v>9965</v>
      </c>
      <c r="I67" s="9" t="s">
        <v>9966</v>
      </c>
    </row>
    <row r="68">
      <c r="B68" s="8" t="s">
        <v>20</v>
      </c>
      <c r="C68" s="8" t="s">
        <v>9967</v>
      </c>
      <c r="D68" s="8" t="s">
        <v>138</v>
      </c>
      <c r="E68" s="8" t="s">
        <v>139</v>
      </c>
      <c r="H68" s="12" t="s">
        <v>9968</v>
      </c>
      <c r="I68" s="9" t="s">
        <v>9969</v>
      </c>
    </row>
    <row r="69">
      <c r="B69" s="8" t="s">
        <v>20</v>
      </c>
      <c r="C69" s="8" t="s">
        <v>4670</v>
      </c>
      <c r="D69" s="8" t="s">
        <v>138</v>
      </c>
      <c r="E69" s="8" t="s">
        <v>139</v>
      </c>
      <c r="F69" s="8" t="s">
        <v>9970</v>
      </c>
      <c r="H69" s="12" t="s">
        <v>9971</v>
      </c>
    </row>
    <row r="70">
      <c r="B70" s="8" t="s">
        <v>20</v>
      </c>
      <c r="C70" s="8" t="s">
        <v>9972</v>
      </c>
      <c r="D70" s="8" t="s">
        <v>138</v>
      </c>
      <c r="E70" s="8" t="s">
        <v>139</v>
      </c>
      <c r="H70" s="12" t="s">
        <v>9973</v>
      </c>
    </row>
    <row r="71">
      <c r="B71" s="8" t="s">
        <v>20</v>
      </c>
      <c r="C71" s="8" t="s">
        <v>1420</v>
      </c>
      <c r="D71" s="8" t="s">
        <v>138</v>
      </c>
      <c r="E71" s="8" t="s">
        <v>139</v>
      </c>
      <c r="H71" s="12" t="s">
        <v>9974</v>
      </c>
    </row>
    <row r="72">
      <c r="B72" s="8" t="s">
        <v>20</v>
      </c>
      <c r="C72" s="8" t="s">
        <v>3192</v>
      </c>
      <c r="D72" s="8" t="s">
        <v>138</v>
      </c>
      <c r="E72" s="8" t="s">
        <v>139</v>
      </c>
      <c r="H72" s="12" t="s">
        <v>9975</v>
      </c>
    </row>
    <row r="73">
      <c r="B73" s="8" t="s">
        <v>20</v>
      </c>
      <c r="C73" s="8" t="s">
        <v>3081</v>
      </c>
      <c r="D73" s="8" t="s">
        <v>138</v>
      </c>
      <c r="E73" s="8" t="s">
        <v>139</v>
      </c>
      <c r="H73" s="12" t="s">
        <v>9976</v>
      </c>
    </row>
    <row r="74">
      <c r="B74" s="8" t="s">
        <v>20</v>
      </c>
      <c r="C74" s="8" t="s">
        <v>1257</v>
      </c>
      <c r="D74" s="8" t="s">
        <v>138</v>
      </c>
      <c r="E74" s="8" t="s">
        <v>139</v>
      </c>
      <c r="H74" s="12" t="s">
        <v>9977</v>
      </c>
    </row>
    <row r="75">
      <c r="B75" s="8" t="s">
        <v>20</v>
      </c>
      <c r="C75" s="8" t="s">
        <v>9978</v>
      </c>
      <c r="D75" s="8" t="s">
        <v>138</v>
      </c>
      <c r="E75" s="8" t="s">
        <v>139</v>
      </c>
      <c r="H75" s="12" t="s">
        <v>9979</v>
      </c>
    </row>
    <row r="76">
      <c r="B76" s="8" t="s">
        <v>20</v>
      </c>
      <c r="C76" s="8" t="s">
        <v>9980</v>
      </c>
      <c r="D76" s="8" t="s">
        <v>138</v>
      </c>
      <c r="E76" s="8" t="s">
        <v>139</v>
      </c>
      <c r="H76" s="12" t="s">
        <v>9981</v>
      </c>
      <c r="I76" s="9" t="s">
        <v>9982</v>
      </c>
      <c r="J76" s="9" t="s">
        <v>9983</v>
      </c>
    </row>
    <row r="77">
      <c r="B77" s="8" t="s">
        <v>20</v>
      </c>
      <c r="C77" s="8" t="s">
        <v>9984</v>
      </c>
      <c r="D77" s="8" t="s">
        <v>138</v>
      </c>
      <c r="E77" s="8" t="s">
        <v>139</v>
      </c>
      <c r="H77" s="12" t="s">
        <v>9985</v>
      </c>
      <c r="I77" s="12" t="s">
        <v>9986</v>
      </c>
    </row>
    <row r="78">
      <c r="B78" s="8" t="s">
        <v>102</v>
      </c>
      <c r="C78" s="8" t="s">
        <v>9987</v>
      </c>
      <c r="D78" s="8" t="s">
        <v>138</v>
      </c>
      <c r="E78" s="8" t="s">
        <v>139</v>
      </c>
      <c r="F78" s="8" t="s">
        <v>9988</v>
      </c>
      <c r="H78" s="12" t="s">
        <v>9989</v>
      </c>
    </row>
    <row r="79">
      <c r="B79" s="8" t="s">
        <v>20</v>
      </c>
      <c r="C79" s="8" t="s">
        <v>9990</v>
      </c>
      <c r="D79" s="8" t="s">
        <v>138</v>
      </c>
      <c r="E79" s="8" t="s">
        <v>139</v>
      </c>
      <c r="F79" s="8" t="s">
        <v>9894</v>
      </c>
      <c r="H79" s="12" t="s">
        <v>9991</v>
      </c>
    </row>
    <row r="80">
      <c r="B80" s="8" t="s">
        <v>20</v>
      </c>
      <c r="C80" s="8" t="s">
        <v>4166</v>
      </c>
      <c r="D80" s="8" t="s">
        <v>138</v>
      </c>
      <c r="E80" s="8" t="s">
        <v>139</v>
      </c>
      <c r="F80" s="8" t="s">
        <v>9992</v>
      </c>
      <c r="H80" s="12" t="s">
        <v>9993</v>
      </c>
    </row>
    <row r="81">
      <c r="B81" s="8" t="s">
        <v>20</v>
      </c>
      <c r="C81" s="8" t="s">
        <v>347</v>
      </c>
      <c r="D81" s="8" t="s">
        <v>138</v>
      </c>
      <c r="E81" s="8" t="s">
        <v>139</v>
      </c>
      <c r="F81" s="8" t="s">
        <v>9994</v>
      </c>
      <c r="H81" s="12" t="s">
        <v>9995</v>
      </c>
    </row>
    <row r="82">
      <c r="B82" s="8" t="s">
        <v>20</v>
      </c>
      <c r="C82" s="8" t="s">
        <v>9996</v>
      </c>
      <c r="D82" s="8" t="s">
        <v>138</v>
      </c>
      <c r="E82" s="8" t="s">
        <v>139</v>
      </c>
      <c r="F82" s="8" t="s">
        <v>9994</v>
      </c>
      <c r="H82" s="12" t="s">
        <v>9997</v>
      </c>
    </row>
    <row r="83">
      <c r="B83" s="8" t="s">
        <v>20</v>
      </c>
      <c r="C83" s="8" t="s">
        <v>6538</v>
      </c>
      <c r="D83" s="8" t="s">
        <v>138</v>
      </c>
      <c r="E83" s="8" t="s">
        <v>139</v>
      </c>
      <c r="F83" s="8" t="s">
        <v>9998</v>
      </c>
      <c r="H83" s="12" t="s">
        <v>9999</v>
      </c>
    </row>
    <row r="84">
      <c r="B84" s="8" t="s">
        <v>20</v>
      </c>
      <c r="C84" s="8" t="s">
        <v>3209</v>
      </c>
      <c r="D84" s="8" t="s">
        <v>138</v>
      </c>
      <c r="E84" s="8" t="s">
        <v>139</v>
      </c>
      <c r="F84" s="8" t="s">
        <v>10000</v>
      </c>
      <c r="H84" s="12" t="s">
        <v>10001</v>
      </c>
      <c r="I84" s="12" t="s">
        <v>10002</v>
      </c>
    </row>
    <row r="85">
      <c r="B85" s="8" t="s">
        <v>20</v>
      </c>
      <c r="C85" s="8" t="s">
        <v>10003</v>
      </c>
      <c r="D85" s="8" t="s">
        <v>138</v>
      </c>
      <c r="E85" s="8" t="s">
        <v>139</v>
      </c>
      <c r="F85" s="8" t="s">
        <v>10004</v>
      </c>
      <c r="H85" s="12" t="s">
        <v>10005</v>
      </c>
      <c r="J85" s="9" t="s">
        <v>10006</v>
      </c>
    </row>
    <row r="86">
      <c r="B86" s="8" t="s">
        <v>20</v>
      </c>
      <c r="C86" s="8" t="s">
        <v>3612</v>
      </c>
      <c r="D86" s="8" t="s">
        <v>138</v>
      </c>
      <c r="E86" s="8" t="s">
        <v>139</v>
      </c>
      <c r="F86" s="8" t="s">
        <v>10004</v>
      </c>
      <c r="H86" s="12" t="s">
        <v>10007</v>
      </c>
    </row>
    <row r="87">
      <c r="B87" s="8" t="s">
        <v>20</v>
      </c>
      <c r="C87" s="8" t="s">
        <v>4478</v>
      </c>
      <c r="D87" s="8" t="s">
        <v>138</v>
      </c>
      <c r="E87" s="8" t="s">
        <v>139</v>
      </c>
      <c r="F87" s="8" t="s">
        <v>10008</v>
      </c>
      <c r="H87" s="12" t="s">
        <v>10009</v>
      </c>
    </row>
    <row r="88">
      <c r="B88" s="8" t="s">
        <v>20</v>
      </c>
      <c r="C88" s="8" t="s">
        <v>10010</v>
      </c>
      <c r="D88" s="8" t="s">
        <v>138</v>
      </c>
      <c r="E88" s="8" t="s">
        <v>139</v>
      </c>
      <c r="F88" s="8" t="s">
        <v>10004</v>
      </c>
      <c r="H88" s="12" t="s">
        <v>10011</v>
      </c>
      <c r="I88" s="12" t="s">
        <v>10012</v>
      </c>
    </row>
    <row r="89">
      <c r="B89" s="8" t="s">
        <v>20</v>
      </c>
      <c r="C89" s="8" t="s">
        <v>10013</v>
      </c>
      <c r="D89" s="8" t="s">
        <v>138</v>
      </c>
      <c r="E89" s="8" t="s">
        <v>139</v>
      </c>
      <c r="H89" s="12" t="s">
        <v>10014</v>
      </c>
    </row>
    <row r="90">
      <c r="B90" s="8" t="s">
        <v>301</v>
      </c>
      <c r="C90" s="8" t="s">
        <v>10015</v>
      </c>
      <c r="D90" s="8" t="s">
        <v>138</v>
      </c>
      <c r="E90" s="8" t="s">
        <v>139</v>
      </c>
      <c r="F90" s="8" t="s">
        <v>10016</v>
      </c>
      <c r="H90" s="12" t="s">
        <v>10017</v>
      </c>
    </row>
    <row r="91">
      <c r="B91" s="8" t="s">
        <v>20</v>
      </c>
      <c r="C91" s="8" t="s">
        <v>2889</v>
      </c>
      <c r="D91" s="8" t="s">
        <v>138</v>
      </c>
      <c r="E91" s="8" t="s">
        <v>10018</v>
      </c>
      <c r="H91" s="12" t="s">
        <v>10019</v>
      </c>
    </row>
    <row r="92">
      <c r="B92" s="8" t="s">
        <v>20</v>
      </c>
      <c r="C92" s="8" t="s">
        <v>10020</v>
      </c>
      <c r="D92" s="8" t="s">
        <v>138</v>
      </c>
      <c r="E92" s="8" t="s">
        <v>10018</v>
      </c>
      <c r="H92" s="12" t="s">
        <v>10021</v>
      </c>
      <c r="I92" s="12" t="s">
        <v>10022</v>
      </c>
    </row>
    <row r="93">
      <c r="B93" s="8" t="s">
        <v>20</v>
      </c>
      <c r="C93" s="8" t="s">
        <v>10023</v>
      </c>
      <c r="D93" s="8" t="s">
        <v>138</v>
      </c>
      <c r="E93" s="8" t="s">
        <v>10018</v>
      </c>
      <c r="H93" s="12" t="s">
        <v>10024</v>
      </c>
    </row>
    <row r="94">
      <c r="B94" s="8" t="s">
        <v>20</v>
      </c>
      <c r="C94" s="8" t="s">
        <v>8403</v>
      </c>
      <c r="D94" s="8" t="s">
        <v>138</v>
      </c>
      <c r="E94" s="8" t="s">
        <v>10018</v>
      </c>
      <c r="F94" s="8" t="s">
        <v>10025</v>
      </c>
      <c r="H94" s="12" t="s">
        <v>10026</v>
      </c>
      <c r="I94" s="12" t="s">
        <v>10027</v>
      </c>
    </row>
    <row r="95">
      <c r="B95" s="8" t="s">
        <v>20</v>
      </c>
      <c r="C95" s="8" t="s">
        <v>49</v>
      </c>
      <c r="D95" s="8" t="s">
        <v>138</v>
      </c>
      <c r="E95" s="8" t="s">
        <v>10018</v>
      </c>
      <c r="H95" s="12" t="s">
        <v>10028</v>
      </c>
      <c r="I95" s="12" t="s">
        <v>10029</v>
      </c>
    </row>
    <row r="96">
      <c r="B96" s="8" t="s">
        <v>276</v>
      </c>
      <c r="C96" s="8" t="s">
        <v>7198</v>
      </c>
      <c r="D96" s="8" t="s">
        <v>138</v>
      </c>
      <c r="E96" s="8" t="s">
        <v>10018</v>
      </c>
      <c r="H96" s="12" t="s">
        <v>10030</v>
      </c>
    </row>
    <row r="97">
      <c r="B97" s="8" t="s">
        <v>20</v>
      </c>
      <c r="C97" s="8" t="s">
        <v>1207</v>
      </c>
      <c r="D97" s="8" t="s">
        <v>138</v>
      </c>
      <c r="E97" s="8" t="s">
        <v>10018</v>
      </c>
      <c r="F97" s="8" t="s">
        <v>10025</v>
      </c>
      <c r="H97" s="12" t="s">
        <v>10031</v>
      </c>
    </row>
    <row r="98">
      <c r="B98" s="8" t="s">
        <v>102</v>
      </c>
      <c r="C98" s="8" t="s">
        <v>1257</v>
      </c>
      <c r="D98" s="8" t="s">
        <v>138</v>
      </c>
      <c r="E98" s="8" t="s">
        <v>10018</v>
      </c>
      <c r="F98" s="8" t="s">
        <v>10032</v>
      </c>
      <c r="H98" s="12" t="s">
        <v>10033</v>
      </c>
      <c r="J98" s="12" t="s">
        <v>10034</v>
      </c>
    </row>
    <row r="99">
      <c r="A99" s="37">
        <v>23439.0</v>
      </c>
      <c r="B99" s="8"/>
      <c r="C99" s="8" t="s">
        <v>922</v>
      </c>
      <c r="D99" s="8" t="s">
        <v>138</v>
      </c>
      <c r="E99" s="8" t="s">
        <v>10035</v>
      </c>
      <c r="J99" s="12" t="s">
        <v>10036</v>
      </c>
    </row>
    <row r="100">
      <c r="A100" s="37">
        <v>22632.0</v>
      </c>
      <c r="C100" s="8" t="s">
        <v>10037</v>
      </c>
      <c r="D100" s="8" t="s">
        <v>138</v>
      </c>
      <c r="E100" s="8" t="s">
        <v>10035</v>
      </c>
      <c r="H100" s="12" t="s">
        <v>10038</v>
      </c>
      <c r="I100" s="12" t="s">
        <v>10039</v>
      </c>
      <c r="J100" s="12" t="s">
        <v>10040</v>
      </c>
    </row>
    <row r="101">
      <c r="A101" s="37">
        <v>19924.0</v>
      </c>
      <c r="C101" s="8" t="s">
        <v>10041</v>
      </c>
      <c r="D101" s="8" t="s">
        <v>138</v>
      </c>
      <c r="E101" s="8" t="s">
        <v>10035</v>
      </c>
      <c r="J101" s="12" t="s">
        <v>10042</v>
      </c>
    </row>
    <row r="102">
      <c r="B102" s="8" t="s">
        <v>20</v>
      </c>
      <c r="C102" s="8" t="s">
        <v>10043</v>
      </c>
      <c r="D102" s="8" t="s">
        <v>138</v>
      </c>
      <c r="E102" s="8" t="s">
        <v>10035</v>
      </c>
      <c r="H102" s="12" t="s">
        <v>10044</v>
      </c>
      <c r="I102" s="12" t="s">
        <v>10045</v>
      </c>
    </row>
    <row r="103">
      <c r="B103" s="8" t="s">
        <v>20</v>
      </c>
      <c r="C103" s="8" t="s">
        <v>10046</v>
      </c>
      <c r="D103" s="8" t="s">
        <v>138</v>
      </c>
      <c r="E103" s="8" t="s">
        <v>10035</v>
      </c>
      <c r="H103" s="12" t="s">
        <v>10047</v>
      </c>
      <c r="I103" s="9" t="s">
        <v>10048</v>
      </c>
      <c r="J103" s="12" t="s">
        <v>10049</v>
      </c>
    </row>
    <row r="104">
      <c r="B104" s="8" t="s">
        <v>20</v>
      </c>
      <c r="C104" s="8" t="s">
        <v>963</v>
      </c>
      <c r="D104" s="8" t="s">
        <v>138</v>
      </c>
      <c r="E104" s="8" t="s">
        <v>10035</v>
      </c>
      <c r="H104" s="12" t="s">
        <v>10050</v>
      </c>
      <c r="I104" s="12" t="s">
        <v>10051</v>
      </c>
    </row>
    <row r="105">
      <c r="B105" s="8" t="s">
        <v>20</v>
      </c>
      <c r="C105" s="8" t="s">
        <v>3881</v>
      </c>
      <c r="D105" s="8" t="s">
        <v>138</v>
      </c>
      <c r="E105" s="8" t="s">
        <v>10035</v>
      </c>
      <c r="H105" s="12" t="s">
        <v>10052</v>
      </c>
      <c r="I105" s="12" t="s">
        <v>10053</v>
      </c>
    </row>
    <row r="106">
      <c r="B106" s="8" t="s">
        <v>20</v>
      </c>
      <c r="C106" s="8" t="s">
        <v>10054</v>
      </c>
      <c r="D106" s="8" t="s">
        <v>138</v>
      </c>
      <c r="E106" s="8" t="s">
        <v>10035</v>
      </c>
      <c r="H106" s="12" t="s">
        <v>10055</v>
      </c>
    </row>
    <row r="107">
      <c r="B107" s="8" t="s">
        <v>20</v>
      </c>
      <c r="C107" s="8" t="s">
        <v>10056</v>
      </c>
      <c r="D107" s="8" t="s">
        <v>138</v>
      </c>
      <c r="E107" s="8" t="s">
        <v>10035</v>
      </c>
      <c r="H107" s="12" t="s">
        <v>10057</v>
      </c>
    </row>
    <row r="108">
      <c r="B108" s="8" t="s">
        <v>20</v>
      </c>
      <c r="C108" s="8" t="s">
        <v>882</v>
      </c>
      <c r="D108" s="8" t="s">
        <v>138</v>
      </c>
      <c r="E108" s="8" t="s">
        <v>10035</v>
      </c>
      <c r="H108" s="12" t="s">
        <v>10058</v>
      </c>
    </row>
    <row r="109">
      <c r="B109" s="8" t="s">
        <v>20</v>
      </c>
      <c r="C109" s="8" t="s">
        <v>3612</v>
      </c>
      <c r="D109" s="8" t="s">
        <v>138</v>
      </c>
      <c r="E109" s="8" t="s">
        <v>10035</v>
      </c>
      <c r="H109" s="12" t="s">
        <v>10059</v>
      </c>
      <c r="I109" s="9" t="s">
        <v>10060</v>
      </c>
      <c r="J109" s="9" t="s">
        <v>10061</v>
      </c>
    </row>
    <row r="110">
      <c r="B110" s="8" t="s">
        <v>20</v>
      </c>
      <c r="C110" s="8" t="s">
        <v>10062</v>
      </c>
      <c r="D110" s="8" t="s">
        <v>138</v>
      </c>
      <c r="E110" s="8" t="s">
        <v>10035</v>
      </c>
      <c r="H110" s="12" t="s">
        <v>10063</v>
      </c>
      <c r="I110" s="258"/>
      <c r="J110" s="258"/>
    </row>
    <row r="111">
      <c r="B111" s="8" t="s">
        <v>20</v>
      </c>
      <c r="C111" s="8" t="s">
        <v>10064</v>
      </c>
      <c r="D111" s="8" t="s">
        <v>138</v>
      </c>
      <c r="E111" s="8" t="s">
        <v>10035</v>
      </c>
      <c r="H111" s="12" t="s">
        <v>10065</v>
      </c>
      <c r="I111" s="9" t="s">
        <v>10066</v>
      </c>
      <c r="J111" s="258"/>
    </row>
    <row r="112">
      <c r="B112" s="8" t="s">
        <v>20</v>
      </c>
      <c r="C112" s="8" t="s">
        <v>10067</v>
      </c>
      <c r="D112" s="8" t="s">
        <v>138</v>
      </c>
      <c r="E112" s="8" t="s">
        <v>10035</v>
      </c>
      <c r="H112" s="12" t="s">
        <v>10068</v>
      </c>
      <c r="I112" s="9" t="s">
        <v>10069</v>
      </c>
      <c r="J112" s="258"/>
    </row>
    <row r="113">
      <c r="B113" s="8" t="s">
        <v>3027</v>
      </c>
      <c r="C113" s="8" t="s">
        <v>804</v>
      </c>
      <c r="D113" s="8" t="s">
        <v>138</v>
      </c>
      <c r="E113" s="8" t="s">
        <v>10035</v>
      </c>
      <c r="H113" s="12" t="s">
        <v>10070</v>
      </c>
      <c r="I113" s="258"/>
      <c r="J113" s="258"/>
    </row>
    <row r="114">
      <c r="B114" s="8" t="s">
        <v>20</v>
      </c>
      <c r="C114" s="8" t="s">
        <v>4914</v>
      </c>
      <c r="D114" s="8" t="s">
        <v>138</v>
      </c>
      <c r="E114" s="8" t="s">
        <v>10035</v>
      </c>
      <c r="H114" s="12" t="s">
        <v>10071</v>
      </c>
      <c r="I114" s="258"/>
      <c r="J114" s="9" t="s">
        <v>10072</v>
      </c>
    </row>
    <row r="115">
      <c r="C115" s="8" t="s">
        <v>4420</v>
      </c>
      <c r="D115" s="8" t="s">
        <v>138</v>
      </c>
      <c r="E115" s="8" t="s">
        <v>10073</v>
      </c>
      <c r="F115" s="8" t="s">
        <v>10008</v>
      </c>
      <c r="J115" s="12" t="s">
        <v>10074</v>
      </c>
    </row>
    <row r="116">
      <c r="A116" s="37">
        <v>15483.0</v>
      </c>
      <c r="C116" s="8" t="s">
        <v>8968</v>
      </c>
      <c r="D116" s="8" t="s">
        <v>138</v>
      </c>
      <c r="E116" s="8" t="s">
        <v>10073</v>
      </c>
      <c r="J116" s="12" t="s">
        <v>10075</v>
      </c>
    </row>
    <row r="117">
      <c r="B117" s="8" t="s">
        <v>20</v>
      </c>
      <c r="C117" s="8" t="s">
        <v>9081</v>
      </c>
      <c r="D117" s="8" t="s">
        <v>138</v>
      </c>
      <c r="E117" s="8" t="s">
        <v>10073</v>
      </c>
      <c r="H117" s="12" t="s">
        <v>10033</v>
      </c>
    </row>
    <row r="118">
      <c r="B118" s="8" t="s">
        <v>20</v>
      </c>
      <c r="C118" s="8" t="s">
        <v>10076</v>
      </c>
      <c r="D118" s="8" t="s">
        <v>138</v>
      </c>
      <c r="E118" s="8" t="s">
        <v>10073</v>
      </c>
      <c r="H118" s="12" t="s">
        <v>10077</v>
      </c>
      <c r="I118" s="12" t="s">
        <v>10078</v>
      </c>
    </row>
    <row r="119">
      <c r="B119" s="8" t="s">
        <v>20</v>
      </c>
      <c r="C119" s="8" t="s">
        <v>10079</v>
      </c>
      <c r="D119" s="8" t="s">
        <v>138</v>
      </c>
      <c r="E119" s="8" t="s">
        <v>10073</v>
      </c>
      <c r="H119" s="12" t="s">
        <v>10080</v>
      </c>
    </row>
    <row r="120">
      <c r="B120" s="8" t="s">
        <v>20</v>
      </c>
      <c r="C120" s="8" t="s">
        <v>10081</v>
      </c>
      <c r="D120" s="8" t="s">
        <v>138</v>
      </c>
      <c r="E120" s="8" t="s">
        <v>10073</v>
      </c>
      <c r="H120" s="12" t="s">
        <v>10082</v>
      </c>
    </row>
    <row r="121">
      <c r="B121" s="8" t="s">
        <v>20</v>
      </c>
      <c r="C121" s="8" t="s">
        <v>10083</v>
      </c>
      <c r="D121" s="8" t="s">
        <v>138</v>
      </c>
      <c r="E121" s="8" t="s">
        <v>10073</v>
      </c>
      <c r="F121" s="8" t="s">
        <v>10008</v>
      </c>
      <c r="H121" s="12" t="s">
        <v>10084</v>
      </c>
    </row>
    <row r="122">
      <c r="B122" s="8" t="s">
        <v>20</v>
      </c>
      <c r="C122" s="8" t="s">
        <v>10085</v>
      </c>
      <c r="D122" s="8" t="s">
        <v>138</v>
      </c>
      <c r="E122" s="8" t="s">
        <v>10086</v>
      </c>
      <c r="H122" s="12" t="s">
        <v>10087</v>
      </c>
      <c r="I122" s="12" t="s">
        <v>10088</v>
      </c>
    </row>
    <row r="123">
      <c r="B123" s="8" t="s">
        <v>20</v>
      </c>
      <c r="C123" s="8" t="s">
        <v>10089</v>
      </c>
      <c r="D123" s="8" t="s">
        <v>138</v>
      </c>
      <c r="E123" s="8" t="s">
        <v>10086</v>
      </c>
      <c r="H123" s="12" t="s">
        <v>10090</v>
      </c>
    </row>
    <row r="124">
      <c r="B124" s="8" t="s">
        <v>20</v>
      </c>
      <c r="C124" s="8" t="s">
        <v>2233</v>
      </c>
      <c r="D124" s="8" t="s">
        <v>138</v>
      </c>
      <c r="E124" s="8" t="s">
        <v>10086</v>
      </c>
      <c r="H124" s="12" t="s">
        <v>10091</v>
      </c>
    </row>
    <row r="125">
      <c r="B125" s="8" t="s">
        <v>20</v>
      </c>
      <c r="C125" s="8" t="s">
        <v>3209</v>
      </c>
      <c r="D125" s="8" t="s">
        <v>138</v>
      </c>
      <c r="E125" s="8" t="s">
        <v>10086</v>
      </c>
      <c r="H125" s="12" t="s">
        <v>10092</v>
      </c>
    </row>
    <row r="126">
      <c r="B126" s="8" t="s">
        <v>20</v>
      </c>
      <c r="C126" s="8" t="s">
        <v>10093</v>
      </c>
      <c r="D126" s="8" t="s">
        <v>138</v>
      </c>
      <c r="E126" s="8" t="s">
        <v>10086</v>
      </c>
      <c r="H126" s="12" t="s">
        <v>10094</v>
      </c>
    </row>
    <row r="127">
      <c r="B127" s="8" t="s">
        <v>1206</v>
      </c>
      <c r="C127" s="8" t="s">
        <v>2542</v>
      </c>
      <c r="D127" s="8" t="s">
        <v>138</v>
      </c>
      <c r="E127" s="8" t="s">
        <v>10086</v>
      </c>
      <c r="H127" s="12" t="s">
        <v>10095</v>
      </c>
    </row>
    <row r="128">
      <c r="B128" s="8" t="s">
        <v>20</v>
      </c>
      <c r="C128" s="8" t="s">
        <v>10096</v>
      </c>
      <c r="D128" s="8" t="s">
        <v>138</v>
      </c>
      <c r="E128" s="8" t="s">
        <v>10086</v>
      </c>
      <c r="H128" s="12" t="s">
        <v>10097</v>
      </c>
      <c r="I128" s="12" t="s">
        <v>10098</v>
      </c>
    </row>
    <row r="129">
      <c r="B129" s="8" t="s">
        <v>20</v>
      </c>
      <c r="C129" s="8" t="s">
        <v>3209</v>
      </c>
      <c r="D129" s="8" t="s">
        <v>138</v>
      </c>
      <c r="E129" s="8" t="s">
        <v>10099</v>
      </c>
      <c r="F129" s="8" t="s">
        <v>10100</v>
      </c>
      <c r="H129" s="12" t="s">
        <v>10101</v>
      </c>
      <c r="I129" s="12" t="s">
        <v>10102</v>
      </c>
    </row>
    <row r="130">
      <c r="B130" s="8" t="s">
        <v>20</v>
      </c>
      <c r="C130" s="8" t="s">
        <v>4560</v>
      </c>
      <c r="D130" s="8" t="s">
        <v>138</v>
      </c>
      <c r="E130" s="8" t="s">
        <v>10099</v>
      </c>
      <c r="F130" s="8" t="s">
        <v>10100</v>
      </c>
      <c r="H130" s="12" t="s">
        <v>10103</v>
      </c>
      <c r="J130" s="12" t="s">
        <v>10104</v>
      </c>
    </row>
    <row r="131">
      <c r="B131" s="8" t="s">
        <v>20</v>
      </c>
      <c r="C131" s="8" t="s">
        <v>10105</v>
      </c>
      <c r="D131" s="8" t="s">
        <v>138</v>
      </c>
      <c r="E131" s="8" t="s">
        <v>10099</v>
      </c>
      <c r="F131" s="8" t="s">
        <v>10100</v>
      </c>
      <c r="H131" s="12" t="s">
        <v>10106</v>
      </c>
    </row>
    <row r="132">
      <c r="B132" s="8" t="s">
        <v>20</v>
      </c>
      <c r="C132" s="8" t="s">
        <v>2587</v>
      </c>
      <c r="D132" s="8" t="s">
        <v>138</v>
      </c>
      <c r="E132" s="8" t="s">
        <v>10099</v>
      </c>
      <c r="F132" s="8" t="s">
        <v>10107</v>
      </c>
      <c r="H132" s="12" t="s">
        <v>10108</v>
      </c>
    </row>
    <row r="133">
      <c r="B133" s="8" t="s">
        <v>20</v>
      </c>
      <c r="C133" s="8" t="s">
        <v>327</v>
      </c>
      <c r="D133" s="8" t="s">
        <v>138</v>
      </c>
      <c r="E133" s="8" t="s">
        <v>10099</v>
      </c>
      <c r="F133" s="8" t="s">
        <v>10109</v>
      </c>
      <c r="H133" s="12" t="s">
        <v>10110</v>
      </c>
    </row>
    <row r="134">
      <c r="B134" s="8"/>
      <c r="C134" s="8" t="s">
        <v>10111</v>
      </c>
      <c r="D134" s="8" t="s">
        <v>138</v>
      </c>
      <c r="E134" s="8" t="s">
        <v>10112</v>
      </c>
      <c r="H134" s="12" t="s">
        <v>10113</v>
      </c>
      <c r="I134" s="12" t="s">
        <v>10114</v>
      </c>
      <c r="J134" s="258"/>
    </row>
    <row r="135">
      <c r="A135" s="37">
        <v>25168.0</v>
      </c>
      <c r="B135" s="8"/>
      <c r="C135" s="8" t="s">
        <v>1603</v>
      </c>
      <c r="D135" s="8" t="s">
        <v>138</v>
      </c>
      <c r="E135" s="8" t="s">
        <v>10112</v>
      </c>
      <c r="H135" s="12" t="s">
        <v>10115</v>
      </c>
      <c r="I135" s="12" t="s">
        <v>10116</v>
      </c>
    </row>
    <row r="136">
      <c r="A136" s="37">
        <v>19923.0</v>
      </c>
      <c r="C136" s="8" t="s">
        <v>10117</v>
      </c>
      <c r="D136" s="8" t="s">
        <v>138</v>
      </c>
      <c r="E136" s="8" t="s">
        <v>10112</v>
      </c>
      <c r="J136" s="12" t="s">
        <v>10118</v>
      </c>
    </row>
    <row r="137">
      <c r="A137" s="37">
        <v>19921.0</v>
      </c>
      <c r="C137" s="8" t="s">
        <v>10119</v>
      </c>
      <c r="D137" s="8" t="s">
        <v>138</v>
      </c>
      <c r="E137" s="8" t="s">
        <v>10112</v>
      </c>
      <c r="H137" s="12" t="s">
        <v>10120</v>
      </c>
    </row>
    <row r="138">
      <c r="A138" s="37">
        <v>15494.0</v>
      </c>
      <c r="C138" s="8" t="s">
        <v>8350</v>
      </c>
      <c r="D138" s="8" t="s">
        <v>138</v>
      </c>
      <c r="E138" s="8" t="s">
        <v>10112</v>
      </c>
      <c r="H138" s="12" t="s">
        <v>10121</v>
      </c>
    </row>
    <row r="139">
      <c r="B139" s="8" t="s">
        <v>20</v>
      </c>
      <c r="C139" s="8" t="s">
        <v>10122</v>
      </c>
      <c r="D139" s="8" t="s">
        <v>138</v>
      </c>
      <c r="E139" s="8" t="s">
        <v>10112</v>
      </c>
      <c r="H139" s="12" t="s">
        <v>10123</v>
      </c>
      <c r="I139" s="12" t="s">
        <v>10124</v>
      </c>
    </row>
    <row r="140">
      <c r="B140" s="8" t="s">
        <v>20</v>
      </c>
      <c r="C140" s="8" t="s">
        <v>10125</v>
      </c>
      <c r="D140" s="8" t="s">
        <v>138</v>
      </c>
      <c r="E140" s="8" t="s">
        <v>10112</v>
      </c>
      <c r="H140" s="12" t="s">
        <v>10126</v>
      </c>
    </row>
    <row r="141">
      <c r="B141" s="8" t="s">
        <v>20</v>
      </c>
      <c r="C141" s="8" t="s">
        <v>10127</v>
      </c>
      <c r="D141" s="8" t="s">
        <v>138</v>
      </c>
      <c r="E141" s="8" t="s">
        <v>10112</v>
      </c>
      <c r="H141" s="12" t="s">
        <v>10128</v>
      </c>
      <c r="I141" s="12" t="s">
        <v>10129</v>
      </c>
    </row>
    <row r="142">
      <c r="B142" s="8" t="s">
        <v>20</v>
      </c>
      <c r="C142" s="8" t="s">
        <v>6160</v>
      </c>
      <c r="D142" s="8" t="s">
        <v>138</v>
      </c>
      <c r="E142" s="8" t="s">
        <v>10112</v>
      </c>
      <c r="G142" s="37">
        <v>1.0</v>
      </c>
      <c r="H142" s="12" t="s">
        <v>10130</v>
      </c>
    </row>
    <row r="143">
      <c r="B143" s="8" t="s">
        <v>20</v>
      </c>
      <c r="C143" s="8" t="s">
        <v>10131</v>
      </c>
      <c r="D143" s="8" t="s">
        <v>138</v>
      </c>
      <c r="E143" s="8" t="s">
        <v>10112</v>
      </c>
      <c r="H143" s="12" t="s">
        <v>10132</v>
      </c>
    </row>
    <row r="144">
      <c r="B144" s="8" t="s">
        <v>20</v>
      </c>
      <c r="C144" s="8" t="s">
        <v>2775</v>
      </c>
      <c r="D144" s="8" t="s">
        <v>138</v>
      </c>
      <c r="E144" s="8" t="s">
        <v>10112</v>
      </c>
      <c r="H144" s="12" t="s">
        <v>10133</v>
      </c>
      <c r="I144" s="12" t="s">
        <v>10134</v>
      </c>
    </row>
    <row r="145">
      <c r="B145" s="8" t="s">
        <v>20</v>
      </c>
      <c r="C145" s="8" t="s">
        <v>10135</v>
      </c>
      <c r="D145" s="8" t="s">
        <v>138</v>
      </c>
      <c r="E145" s="8" t="s">
        <v>10112</v>
      </c>
      <c r="H145" s="12" t="s">
        <v>10136</v>
      </c>
    </row>
    <row r="146">
      <c r="B146" s="8" t="s">
        <v>20</v>
      </c>
      <c r="C146" s="8" t="s">
        <v>2079</v>
      </c>
      <c r="D146" s="8" t="s">
        <v>138</v>
      </c>
      <c r="E146" s="8" t="s">
        <v>10112</v>
      </c>
      <c r="H146" s="12" t="s">
        <v>10137</v>
      </c>
      <c r="I146" s="12" t="s">
        <v>10138</v>
      </c>
    </row>
    <row r="147">
      <c r="B147" s="8" t="s">
        <v>20</v>
      </c>
      <c r="C147" s="8" t="s">
        <v>10139</v>
      </c>
      <c r="D147" s="8" t="s">
        <v>138</v>
      </c>
      <c r="E147" s="8" t="s">
        <v>10112</v>
      </c>
      <c r="H147" s="12" t="s">
        <v>10140</v>
      </c>
      <c r="I147" s="12" t="s">
        <v>10141</v>
      </c>
    </row>
    <row r="148">
      <c r="B148" s="8" t="s">
        <v>20</v>
      </c>
      <c r="C148" s="8" t="s">
        <v>10142</v>
      </c>
      <c r="D148" s="8" t="s">
        <v>138</v>
      </c>
      <c r="E148" s="8" t="s">
        <v>10112</v>
      </c>
      <c r="H148" s="9" t="s">
        <v>10143</v>
      </c>
      <c r="I148" s="12" t="s">
        <v>10144</v>
      </c>
      <c r="J148" s="12" t="s">
        <v>10145</v>
      </c>
    </row>
    <row r="149">
      <c r="B149" s="8" t="s">
        <v>20</v>
      </c>
      <c r="C149" s="8" t="s">
        <v>10146</v>
      </c>
      <c r="D149" s="8" t="s">
        <v>138</v>
      </c>
      <c r="E149" s="8" t="s">
        <v>10112</v>
      </c>
      <c r="H149" s="12" t="s">
        <v>10147</v>
      </c>
      <c r="I149" s="12" t="s">
        <v>10148</v>
      </c>
    </row>
    <row r="150">
      <c r="B150" s="8" t="s">
        <v>20</v>
      </c>
      <c r="C150" s="8" t="s">
        <v>10149</v>
      </c>
      <c r="D150" s="8" t="s">
        <v>138</v>
      </c>
      <c r="E150" s="8" t="s">
        <v>10112</v>
      </c>
      <c r="H150" s="12" t="s">
        <v>10150</v>
      </c>
      <c r="J150" s="12" t="s">
        <v>10151</v>
      </c>
    </row>
    <row r="151">
      <c r="B151" s="8" t="s">
        <v>20</v>
      </c>
      <c r="C151" s="8" t="s">
        <v>10152</v>
      </c>
      <c r="D151" s="8" t="s">
        <v>138</v>
      </c>
      <c r="E151" s="8" t="s">
        <v>10112</v>
      </c>
      <c r="H151" s="12" t="s">
        <v>10153</v>
      </c>
    </row>
    <row r="152">
      <c r="B152" s="8" t="s">
        <v>20</v>
      </c>
      <c r="C152" s="8" t="s">
        <v>10154</v>
      </c>
      <c r="D152" s="8" t="s">
        <v>138</v>
      </c>
      <c r="E152" s="8" t="s">
        <v>10112</v>
      </c>
      <c r="F152" s="8" t="s">
        <v>787</v>
      </c>
      <c r="H152" s="12" t="s">
        <v>10155</v>
      </c>
    </row>
    <row r="153">
      <c r="B153" s="8" t="s">
        <v>20</v>
      </c>
      <c r="C153" s="8" t="s">
        <v>2260</v>
      </c>
      <c r="D153" s="8" t="s">
        <v>138</v>
      </c>
      <c r="E153" s="8" t="s">
        <v>10112</v>
      </c>
      <c r="H153" s="12" t="s">
        <v>10156</v>
      </c>
      <c r="I153" s="12" t="s">
        <v>10157</v>
      </c>
    </row>
    <row r="154">
      <c r="B154" s="8" t="s">
        <v>20</v>
      </c>
      <c r="C154" s="8" t="s">
        <v>10158</v>
      </c>
      <c r="D154" s="8" t="s">
        <v>138</v>
      </c>
      <c r="E154" s="8" t="s">
        <v>10112</v>
      </c>
      <c r="H154" s="12" t="s">
        <v>10159</v>
      </c>
    </row>
    <row r="155">
      <c r="B155" s="8" t="s">
        <v>20</v>
      </c>
      <c r="C155" s="8" t="s">
        <v>3209</v>
      </c>
      <c r="D155" s="8" t="s">
        <v>138</v>
      </c>
      <c r="E155" s="8" t="s">
        <v>10112</v>
      </c>
      <c r="H155" s="12" t="s">
        <v>10160</v>
      </c>
    </row>
    <row r="156">
      <c r="B156" s="8" t="s">
        <v>20</v>
      </c>
      <c r="C156" s="8" t="s">
        <v>10161</v>
      </c>
      <c r="D156" s="8" t="s">
        <v>138</v>
      </c>
      <c r="E156" s="8" t="s">
        <v>10112</v>
      </c>
      <c r="H156" s="12" t="s">
        <v>10162</v>
      </c>
    </row>
    <row r="157">
      <c r="B157" s="8" t="s">
        <v>20</v>
      </c>
      <c r="C157" s="8" t="s">
        <v>3658</v>
      </c>
      <c r="D157" s="8" t="s">
        <v>138</v>
      </c>
      <c r="E157" s="8" t="s">
        <v>10112</v>
      </c>
      <c r="H157" s="12" t="s">
        <v>10163</v>
      </c>
    </row>
    <row r="158">
      <c r="B158" s="8" t="s">
        <v>20</v>
      </c>
      <c r="C158" s="8" t="s">
        <v>10164</v>
      </c>
      <c r="D158" s="8" t="s">
        <v>138</v>
      </c>
      <c r="E158" s="8" t="s">
        <v>10112</v>
      </c>
      <c r="H158" s="12" t="s">
        <v>10165</v>
      </c>
      <c r="I158" s="12" t="s">
        <v>10166</v>
      </c>
    </row>
    <row r="159">
      <c r="B159" s="8" t="s">
        <v>17</v>
      </c>
      <c r="C159" s="8" t="s">
        <v>1420</v>
      </c>
      <c r="D159" s="8" t="s">
        <v>138</v>
      </c>
      <c r="E159" s="8" t="s">
        <v>10112</v>
      </c>
      <c r="F159" s="8" t="s">
        <v>1274</v>
      </c>
      <c r="H159" s="12" t="s">
        <v>10167</v>
      </c>
    </row>
    <row r="160">
      <c r="B160" s="8" t="s">
        <v>20</v>
      </c>
      <c r="C160" s="8" t="s">
        <v>10168</v>
      </c>
      <c r="D160" s="8" t="s">
        <v>138</v>
      </c>
      <c r="E160" s="8" t="s">
        <v>10112</v>
      </c>
      <c r="H160" s="12" t="s">
        <v>10169</v>
      </c>
    </row>
    <row r="161">
      <c r="B161" s="8" t="s">
        <v>20</v>
      </c>
      <c r="C161" s="8" t="s">
        <v>125</v>
      </c>
      <c r="D161" s="8" t="s">
        <v>138</v>
      </c>
      <c r="E161" s="8" t="s">
        <v>10112</v>
      </c>
      <c r="H161" s="12" t="s">
        <v>10170</v>
      </c>
      <c r="J161" s="12" t="s">
        <v>10171</v>
      </c>
    </row>
    <row r="162">
      <c r="B162" s="8" t="s">
        <v>20</v>
      </c>
      <c r="C162" s="8" t="s">
        <v>10172</v>
      </c>
      <c r="D162" s="8" t="s">
        <v>138</v>
      </c>
      <c r="E162" s="8" t="s">
        <v>10112</v>
      </c>
      <c r="H162" s="12" t="s">
        <v>10173</v>
      </c>
      <c r="I162" s="12" t="s">
        <v>10174</v>
      </c>
    </row>
    <row r="163">
      <c r="B163" s="8" t="s">
        <v>20</v>
      </c>
      <c r="C163" s="8" t="s">
        <v>10175</v>
      </c>
      <c r="D163" s="8" t="s">
        <v>138</v>
      </c>
      <c r="E163" s="8" t="s">
        <v>10112</v>
      </c>
      <c r="H163" s="12" t="s">
        <v>10176</v>
      </c>
    </row>
    <row r="164">
      <c r="B164" s="8" t="s">
        <v>20</v>
      </c>
      <c r="C164" s="8" t="s">
        <v>10177</v>
      </c>
      <c r="D164" s="8" t="s">
        <v>138</v>
      </c>
      <c r="E164" s="8" t="s">
        <v>10112</v>
      </c>
      <c r="H164" s="12" t="s">
        <v>10178</v>
      </c>
      <c r="I164" s="12" t="s">
        <v>10179</v>
      </c>
    </row>
    <row r="165">
      <c r="B165" s="8" t="s">
        <v>20</v>
      </c>
      <c r="C165" s="8" t="s">
        <v>10180</v>
      </c>
      <c r="D165" s="8" t="s">
        <v>138</v>
      </c>
      <c r="E165" s="8" t="s">
        <v>10112</v>
      </c>
      <c r="H165" s="12" t="s">
        <v>10181</v>
      </c>
      <c r="I165" s="12" t="s">
        <v>10182</v>
      </c>
    </row>
    <row r="166">
      <c r="B166" s="8" t="s">
        <v>20</v>
      </c>
      <c r="C166" s="8" t="s">
        <v>10183</v>
      </c>
      <c r="D166" s="8" t="s">
        <v>138</v>
      </c>
      <c r="E166" s="8" t="s">
        <v>10112</v>
      </c>
      <c r="H166" s="12" t="s">
        <v>10184</v>
      </c>
      <c r="I166" s="12" t="s">
        <v>10185</v>
      </c>
    </row>
    <row r="167">
      <c r="B167" s="8" t="s">
        <v>20</v>
      </c>
      <c r="C167" s="8" t="s">
        <v>10186</v>
      </c>
      <c r="D167" s="8" t="s">
        <v>138</v>
      </c>
      <c r="E167" s="8" t="s">
        <v>10112</v>
      </c>
      <c r="H167" s="12" t="s">
        <v>10187</v>
      </c>
    </row>
    <row r="168">
      <c r="B168" s="8" t="s">
        <v>20</v>
      </c>
      <c r="C168" s="8" t="s">
        <v>874</v>
      </c>
      <c r="D168" s="8" t="s">
        <v>138</v>
      </c>
      <c r="E168" s="8" t="s">
        <v>10112</v>
      </c>
      <c r="G168" s="37">
        <v>1.0</v>
      </c>
      <c r="H168" s="12" t="s">
        <v>4115</v>
      </c>
    </row>
    <row r="169">
      <c r="B169" s="8" t="s">
        <v>20</v>
      </c>
      <c r="C169" s="8" t="s">
        <v>10188</v>
      </c>
      <c r="D169" s="8" t="s">
        <v>138</v>
      </c>
      <c r="E169" s="8" t="s">
        <v>10112</v>
      </c>
      <c r="H169" s="12" t="s">
        <v>10189</v>
      </c>
    </row>
    <row r="170">
      <c r="B170" s="8" t="s">
        <v>20</v>
      </c>
      <c r="C170" s="8" t="s">
        <v>49</v>
      </c>
      <c r="D170" s="8" t="s">
        <v>138</v>
      </c>
      <c r="E170" s="8" t="s">
        <v>10112</v>
      </c>
      <c r="H170" s="12" t="s">
        <v>10190</v>
      </c>
      <c r="I170" s="9" t="s">
        <v>10191</v>
      </c>
      <c r="J170" s="258"/>
    </row>
    <row r="171">
      <c r="B171" s="8" t="s">
        <v>20</v>
      </c>
      <c r="C171" s="8" t="s">
        <v>3999</v>
      </c>
      <c r="D171" s="8" t="s">
        <v>138</v>
      </c>
      <c r="E171" s="8" t="s">
        <v>10112</v>
      </c>
      <c r="H171" s="12" t="s">
        <v>10192</v>
      </c>
      <c r="I171" s="258"/>
      <c r="J171" s="9" t="s">
        <v>10193</v>
      </c>
    </row>
    <row r="172">
      <c r="B172" s="8" t="s">
        <v>20</v>
      </c>
      <c r="C172" s="8" t="s">
        <v>7725</v>
      </c>
      <c r="D172" s="8" t="s">
        <v>138</v>
      </c>
      <c r="E172" s="8" t="s">
        <v>10112</v>
      </c>
      <c r="H172" s="12" t="s">
        <v>10194</v>
      </c>
      <c r="I172" s="9" t="s">
        <v>10195</v>
      </c>
      <c r="J172" s="258"/>
    </row>
    <row r="173">
      <c r="B173" s="8" t="s">
        <v>20</v>
      </c>
      <c r="C173" s="8" t="s">
        <v>5407</v>
      </c>
      <c r="D173" s="8" t="s">
        <v>138</v>
      </c>
      <c r="E173" s="8" t="s">
        <v>10112</v>
      </c>
      <c r="F173" s="8" t="s">
        <v>787</v>
      </c>
      <c r="H173" s="12" t="s">
        <v>10196</v>
      </c>
      <c r="I173" s="258"/>
      <c r="J173" s="258"/>
    </row>
    <row r="174">
      <c r="B174" s="8" t="s">
        <v>20</v>
      </c>
      <c r="C174" s="8" t="s">
        <v>10197</v>
      </c>
      <c r="D174" s="8" t="s">
        <v>138</v>
      </c>
      <c r="E174" s="8" t="s">
        <v>10112</v>
      </c>
      <c r="H174" s="12" t="s">
        <v>10198</v>
      </c>
      <c r="I174" s="258"/>
      <c r="J174" s="9" t="s">
        <v>10199</v>
      </c>
    </row>
    <row r="175">
      <c r="B175" s="8" t="s">
        <v>276</v>
      </c>
      <c r="C175" s="8" t="s">
        <v>6207</v>
      </c>
      <c r="D175" s="8" t="s">
        <v>138</v>
      </c>
      <c r="E175" s="8" t="s">
        <v>10112</v>
      </c>
      <c r="H175" s="12" t="s">
        <v>10200</v>
      </c>
      <c r="I175" s="9" t="s">
        <v>10201</v>
      </c>
      <c r="J175" s="258"/>
    </row>
    <row r="176">
      <c r="B176" s="8" t="s">
        <v>20</v>
      </c>
      <c r="C176" s="8" t="s">
        <v>10202</v>
      </c>
      <c r="D176" s="8" t="s">
        <v>138</v>
      </c>
      <c r="E176" s="8" t="s">
        <v>10112</v>
      </c>
      <c r="H176" s="12" t="s">
        <v>10203</v>
      </c>
      <c r="I176" s="12" t="s">
        <v>10204</v>
      </c>
    </row>
    <row r="177">
      <c r="B177" s="8" t="s">
        <v>20</v>
      </c>
      <c r="C177" s="8" t="s">
        <v>10205</v>
      </c>
      <c r="D177" s="8" t="s">
        <v>138</v>
      </c>
      <c r="E177" s="8" t="s">
        <v>10112</v>
      </c>
      <c r="H177" s="12" t="s">
        <v>10206</v>
      </c>
    </row>
    <row r="178">
      <c r="B178" s="8" t="s">
        <v>20</v>
      </c>
      <c r="C178" s="8" t="s">
        <v>2079</v>
      </c>
      <c r="D178" s="8" t="s">
        <v>138</v>
      </c>
      <c r="E178" s="8" t="s">
        <v>10112</v>
      </c>
      <c r="H178" s="12" t="s">
        <v>10207</v>
      </c>
      <c r="I178" s="12" t="s">
        <v>10138</v>
      </c>
      <c r="J178" s="12" t="s">
        <v>10208</v>
      </c>
    </row>
    <row r="179">
      <c r="B179" s="8" t="s">
        <v>20</v>
      </c>
      <c r="C179" s="8" t="s">
        <v>10209</v>
      </c>
      <c r="D179" s="8" t="s">
        <v>138</v>
      </c>
      <c r="E179" s="8" t="s">
        <v>10112</v>
      </c>
      <c r="H179" s="12" t="s">
        <v>10210</v>
      </c>
    </row>
    <row r="180">
      <c r="B180" s="8" t="s">
        <v>20</v>
      </c>
      <c r="C180" s="8" t="s">
        <v>10211</v>
      </c>
      <c r="D180" s="8" t="s">
        <v>138</v>
      </c>
      <c r="E180" s="8" t="s">
        <v>10112</v>
      </c>
      <c r="H180" s="12" t="s">
        <v>10212</v>
      </c>
      <c r="I180" s="9" t="s">
        <v>10213</v>
      </c>
    </row>
    <row r="181">
      <c r="B181" s="8" t="s">
        <v>20</v>
      </c>
      <c r="C181" s="8" t="s">
        <v>10214</v>
      </c>
      <c r="D181" s="8" t="s">
        <v>138</v>
      </c>
      <c r="E181" s="8" t="s">
        <v>10112</v>
      </c>
      <c r="H181" s="12" t="s">
        <v>10215</v>
      </c>
    </row>
    <row r="182">
      <c r="B182" s="8" t="s">
        <v>20</v>
      </c>
      <c r="C182" s="8" t="s">
        <v>10216</v>
      </c>
      <c r="D182" s="8" t="s">
        <v>138</v>
      </c>
      <c r="E182" s="8" t="s">
        <v>10112</v>
      </c>
      <c r="H182" s="12" t="s">
        <v>10217</v>
      </c>
    </row>
    <row r="183">
      <c r="B183" s="8" t="s">
        <v>20</v>
      </c>
      <c r="C183" s="8" t="s">
        <v>10218</v>
      </c>
      <c r="D183" s="8" t="s">
        <v>138</v>
      </c>
      <c r="E183" s="8" t="s">
        <v>10112</v>
      </c>
      <c r="H183" s="12" t="s">
        <v>10219</v>
      </c>
      <c r="J183" s="12" t="s">
        <v>10220</v>
      </c>
    </row>
    <row r="184">
      <c r="B184" s="8" t="s">
        <v>20</v>
      </c>
      <c r="C184" s="8" t="s">
        <v>10127</v>
      </c>
      <c r="D184" s="8" t="s">
        <v>138</v>
      </c>
      <c r="E184" s="8" t="s">
        <v>10112</v>
      </c>
      <c r="H184" s="12" t="s">
        <v>10221</v>
      </c>
      <c r="I184" s="12" t="s">
        <v>10129</v>
      </c>
    </row>
    <row r="185">
      <c r="B185" s="8" t="s">
        <v>20</v>
      </c>
      <c r="C185" s="8" t="s">
        <v>529</v>
      </c>
      <c r="D185" s="8" t="s">
        <v>138</v>
      </c>
      <c r="E185" s="8" t="s">
        <v>10112</v>
      </c>
      <c r="F185" s="8" t="s">
        <v>10222</v>
      </c>
      <c r="H185" s="12" t="s">
        <v>10223</v>
      </c>
    </row>
    <row r="186">
      <c r="B186" s="8" t="s">
        <v>20</v>
      </c>
      <c r="C186" s="8" t="s">
        <v>10224</v>
      </c>
      <c r="D186" s="8" t="s">
        <v>138</v>
      </c>
      <c r="E186" s="8" t="s">
        <v>10112</v>
      </c>
      <c r="H186" s="12" t="s">
        <v>10225</v>
      </c>
    </row>
    <row r="187">
      <c r="B187" s="8" t="s">
        <v>20</v>
      </c>
      <c r="C187" s="8" t="s">
        <v>10226</v>
      </c>
      <c r="D187" s="8" t="s">
        <v>138</v>
      </c>
      <c r="E187" s="8" t="s">
        <v>10112</v>
      </c>
      <c r="H187" s="12" t="s">
        <v>10227</v>
      </c>
      <c r="J187" s="12" t="s">
        <v>10228</v>
      </c>
    </row>
    <row r="188">
      <c r="B188" s="8" t="s">
        <v>20</v>
      </c>
      <c r="C188" s="8" t="s">
        <v>10229</v>
      </c>
      <c r="D188" s="8" t="s">
        <v>138</v>
      </c>
      <c r="E188" s="8" t="s">
        <v>10112</v>
      </c>
      <c r="H188" s="12" t="s">
        <v>10230</v>
      </c>
      <c r="I188" s="12" t="s">
        <v>10231</v>
      </c>
      <c r="J188" s="12" t="s">
        <v>10232</v>
      </c>
    </row>
    <row r="189">
      <c r="B189" s="8" t="s">
        <v>173</v>
      </c>
      <c r="C189" s="8" t="s">
        <v>10233</v>
      </c>
      <c r="D189" s="8" t="s">
        <v>138</v>
      </c>
      <c r="E189" s="8" t="s">
        <v>10112</v>
      </c>
      <c r="H189" s="9" t="s">
        <v>10234</v>
      </c>
    </row>
    <row r="190">
      <c r="B190" s="8" t="s">
        <v>17</v>
      </c>
      <c r="C190" s="8" t="s">
        <v>10235</v>
      </c>
      <c r="D190" s="8" t="s">
        <v>138</v>
      </c>
      <c r="E190" s="8" t="s">
        <v>10112</v>
      </c>
      <c r="H190" s="12" t="s">
        <v>10236</v>
      </c>
    </row>
    <row r="191">
      <c r="B191" s="8" t="s">
        <v>20</v>
      </c>
      <c r="C191" s="8" t="s">
        <v>10237</v>
      </c>
      <c r="D191" s="8" t="s">
        <v>138</v>
      </c>
      <c r="E191" s="8" t="s">
        <v>10112</v>
      </c>
      <c r="H191" s="12" t="s">
        <v>10238</v>
      </c>
    </row>
    <row r="192">
      <c r="B192" s="8" t="s">
        <v>20</v>
      </c>
      <c r="C192" s="8" t="s">
        <v>4478</v>
      </c>
      <c r="D192" s="8" t="s">
        <v>138</v>
      </c>
      <c r="E192" s="8" t="s">
        <v>10112</v>
      </c>
      <c r="G192" s="37">
        <v>1.0</v>
      </c>
      <c r="H192" s="12" t="s">
        <v>10239</v>
      </c>
    </row>
    <row r="193">
      <c r="B193" s="8" t="s">
        <v>34</v>
      </c>
      <c r="C193" s="8" t="s">
        <v>1603</v>
      </c>
      <c r="D193" s="8" t="s">
        <v>138</v>
      </c>
      <c r="E193" s="8" t="s">
        <v>10112</v>
      </c>
      <c r="H193" s="12" t="s">
        <v>10240</v>
      </c>
      <c r="I193" s="12" t="s">
        <v>10241</v>
      </c>
      <c r="J193" s="12" t="s">
        <v>10242</v>
      </c>
    </row>
    <row r="194">
      <c r="B194" s="8" t="s">
        <v>20</v>
      </c>
      <c r="C194" s="8" t="s">
        <v>6913</v>
      </c>
      <c r="D194" s="8" t="s">
        <v>138</v>
      </c>
      <c r="E194" s="8" t="s">
        <v>10112</v>
      </c>
      <c r="H194" s="12" t="s">
        <v>10243</v>
      </c>
      <c r="I194" s="12" t="s">
        <v>10244</v>
      </c>
    </row>
    <row r="195">
      <c r="B195" s="8" t="s">
        <v>20</v>
      </c>
      <c r="C195" s="8" t="s">
        <v>10245</v>
      </c>
      <c r="D195" s="8" t="s">
        <v>138</v>
      </c>
      <c r="E195" s="8" t="s">
        <v>10112</v>
      </c>
      <c r="H195" s="12" t="s">
        <v>10246</v>
      </c>
    </row>
    <row r="196">
      <c r="B196" s="8" t="s">
        <v>17</v>
      </c>
      <c r="C196" s="8" t="s">
        <v>39</v>
      </c>
      <c r="D196" s="8" t="s">
        <v>138</v>
      </c>
      <c r="E196" s="8" t="s">
        <v>10112</v>
      </c>
      <c r="H196" s="12" t="s">
        <v>10247</v>
      </c>
    </row>
    <row r="197">
      <c r="B197" s="8" t="s">
        <v>20</v>
      </c>
      <c r="C197" s="8" t="s">
        <v>10248</v>
      </c>
      <c r="D197" s="8" t="s">
        <v>138</v>
      </c>
      <c r="E197" s="8" t="s">
        <v>10112</v>
      </c>
      <c r="H197" s="12" t="s">
        <v>10249</v>
      </c>
    </row>
    <row r="198">
      <c r="B198" s="8" t="s">
        <v>17</v>
      </c>
      <c r="C198" s="8" t="s">
        <v>10250</v>
      </c>
      <c r="D198" s="8" t="s">
        <v>138</v>
      </c>
      <c r="E198" s="8" t="s">
        <v>10112</v>
      </c>
      <c r="H198" s="12" t="s">
        <v>10251</v>
      </c>
    </row>
    <row r="199">
      <c r="B199" s="8" t="s">
        <v>20</v>
      </c>
      <c r="C199" s="8" t="s">
        <v>10252</v>
      </c>
      <c r="D199" s="8" t="s">
        <v>138</v>
      </c>
      <c r="E199" s="8" t="s">
        <v>10112</v>
      </c>
      <c r="H199" s="12" t="s">
        <v>10253</v>
      </c>
    </row>
    <row r="200">
      <c r="B200" s="8" t="s">
        <v>20</v>
      </c>
      <c r="C200" s="8" t="s">
        <v>1257</v>
      </c>
      <c r="D200" s="8" t="s">
        <v>138</v>
      </c>
      <c r="E200" s="8" t="s">
        <v>10254</v>
      </c>
      <c r="H200" s="12" t="s">
        <v>10255</v>
      </c>
      <c r="I200" s="12" t="s">
        <v>10256</v>
      </c>
    </row>
    <row r="201">
      <c r="B201" s="8" t="s">
        <v>20</v>
      </c>
      <c r="C201" s="8" t="s">
        <v>1925</v>
      </c>
      <c r="D201" s="8" t="s">
        <v>138</v>
      </c>
      <c r="E201" s="8" t="s">
        <v>10254</v>
      </c>
      <c r="H201" s="12" t="s">
        <v>10257</v>
      </c>
      <c r="I201" s="12" t="s">
        <v>10258</v>
      </c>
    </row>
    <row r="202">
      <c r="A202" s="37">
        <v>25094.0</v>
      </c>
      <c r="B202" s="8"/>
      <c r="C202" s="8" t="s">
        <v>3861</v>
      </c>
      <c r="D202" s="8" t="s">
        <v>138</v>
      </c>
      <c r="E202" s="8" t="s">
        <v>10259</v>
      </c>
      <c r="F202" s="8" t="s">
        <v>10260</v>
      </c>
      <c r="G202" s="37">
        <v>1.0</v>
      </c>
      <c r="H202" s="12" t="s">
        <v>10261</v>
      </c>
    </row>
    <row r="203">
      <c r="B203" s="8" t="s">
        <v>20</v>
      </c>
      <c r="C203" s="8" t="s">
        <v>855</v>
      </c>
      <c r="D203" s="8" t="s">
        <v>138</v>
      </c>
      <c r="E203" s="8" t="s">
        <v>10259</v>
      </c>
      <c r="H203" s="12" t="s">
        <v>10262</v>
      </c>
    </row>
    <row r="204">
      <c r="B204" s="8" t="s">
        <v>20</v>
      </c>
      <c r="C204" s="8" t="s">
        <v>2916</v>
      </c>
      <c r="D204" s="8" t="s">
        <v>138</v>
      </c>
      <c r="E204" s="8" t="s">
        <v>10259</v>
      </c>
      <c r="F204" s="8" t="s">
        <v>8130</v>
      </c>
      <c r="G204" s="37">
        <v>1.0</v>
      </c>
      <c r="H204" s="12" t="s">
        <v>10263</v>
      </c>
    </row>
    <row r="205">
      <c r="A205" s="37">
        <v>19925.0</v>
      </c>
      <c r="C205" s="8" t="s">
        <v>1975</v>
      </c>
      <c r="D205" s="8" t="s">
        <v>138</v>
      </c>
      <c r="E205" s="8" t="s">
        <v>10264</v>
      </c>
      <c r="H205" s="12" t="s">
        <v>10265</v>
      </c>
      <c r="J205" s="9" t="s">
        <v>10266</v>
      </c>
    </row>
    <row r="206">
      <c r="B206" s="8" t="s">
        <v>20</v>
      </c>
      <c r="C206" s="8" t="s">
        <v>641</v>
      </c>
      <c r="D206" s="8" t="s">
        <v>138</v>
      </c>
      <c r="E206" s="8" t="s">
        <v>10264</v>
      </c>
      <c r="H206" s="12" t="s">
        <v>10267</v>
      </c>
    </row>
    <row r="207">
      <c r="B207" s="8" t="s">
        <v>20</v>
      </c>
      <c r="C207" s="8" t="s">
        <v>874</v>
      </c>
      <c r="D207" s="8" t="s">
        <v>138</v>
      </c>
      <c r="E207" s="8" t="s">
        <v>10264</v>
      </c>
      <c r="H207" s="12" t="s">
        <v>10268</v>
      </c>
    </row>
    <row r="208">
      <c r="B208" s="8" t="s">
        <v>276</v>
      </c>
      <c r="C208" s="8" t="s">
        <v>10269</v>
      </c>
      <c r="D208" s="8" t="s">
        <v>138</v>
      </c>
      <c r="E208" s="8" t="s">
        <v>10264</v>
      </c>
      <c r="H208" s="12" t="s">
        <v>10270</v>
      </c>
    </row>
    <row r="209">
      <c r="B209" s="8" t="s">
        <v>20</v>
      </c>
      <c r="C209" s="8" t="s">
        <v>10271</v>
      </c>
      <c r="D209" s="8" t="s">
        <v>138</v>
      </c>
      <c r="E209" s="8" t="s">
        <v>10264</v>
      </c>
      <c r="H209" s="12" t="s">
        <v>10272</v>
      </c>
      <c r="I209" s="12" t="s">
        <v>10273</v>
      </c>
    </row>
    <row r="210">
      <c r="B210" s="8" t="s">
        <v>276</v>
      </c>
      <c r="C210" s="8" t="s">
        <v>1942</v>
      </c>
      <c r="D210" s="8" t="s">
        <v>138</v>
      </c>
      <c r="E210" s="8" t="s">
        <v>10264</v>
      </c>
      <c r="H210" s="12" t="s">
        <v>10274</v>
      </c>
    </row>
    <row r="211">
      <c r="B211" s="8" t="s">
        <v>20</v>
      </c>
      <c r="C211" s="8" t="s">
        <v>10275</v>
      </c>
      <c r="D211" s="8" t="s">
        <v>138</v>
      </c>
      <c r="E211" s="8" t="s">
        <v>10264</v>
      </c>
      <c r="H211" s="12" t="s">
        <v>10276</v>
      </c>
      <c r="I211" s="9" t="s">
        <v>10277</v>
      </c>
    </row>
    <row r="212">
      <c r="B212" s="8" t="s">
        <v>20</v>
      </c>
      <c r="C212" s="8" t="s">
        <v>6708</v>
      </c>
      <c r="D212" s="8" t="s">
        <v>138</v>
      </c>
      <c r="E212" s="8" t="s">
        <v>10264</v>
      </c>
      <c r="H212" s="12" t="s">
        <v>10278</v>
      </c>
    </row>
    <row r="213">
      <c r="B213" s="8" t="s">
        <v>17</v>
      </c>
      <c r="C213" s="8" t="s">
        <v>8970</v>
      </c>
      <c r="D213" s="8" t="s">
        <v>138</v>
      </c>
      <c r="E213" s="8" t="s">
        <v>10264</v>
      </c>
      <c r="F213" s="8" t="s">
        <v>10279</v>
      </c>
      <c r="H213" s="12" t="s">
        <v>10280</v>
      </c>
      <c r="I213" s="258"/>
      <c r="J213" s="258"/>
    </row>
    <row r="214">
      <c r="B214" s="8" t="s">
        <v>20</v>
      </c>
      <c r="C214" s="8" t="s">
        <v>3688</v>
      </c>
      <c r="D214" s="8" t="s">
        <v>138</v>
      </c>
      <c r="E214" s="8" t="s">
        <v>10099</v>
      </c>
      <c r="F214" s="8" t="s">
        <v>10281</v>
      </c>
      <c r="H214" s="12" t="s">
        <v>10282</v>
      </c>
    </row>
    <row r="215">
      <c r="B215" s="8" t="s">
        <v>20</v>
      </c>
      <c r="C215" s="8" t="s">
        <v>3658</v>
      </c>
      <c r="D215" s="8" t="s">
        <v>138</v>
      </c>
      <c r="E215" s="8" t="s">
        <v>10099</v>
      </c>
      <c r="F215" s="8" t="s">
        <v>10281</v>
      </c>
      <c r="H215" s="12" t="s">
        <v>10283</v>
      </c>
    </row>
    <row r="216">
      <c r="B216" s="8" t="s">
        <v>20</v>
      </c>
      <c r="C216" s="8" t="s">
        <v>917</v>
      </c>
      <c r="D216" s="8" t="s">
        <v>138</v>
      </c>
      <c r="E216" s="8" t="s">
        <v>139</v>
      </c>
      <c r="J216" s="12" t="s">
        <v>9015</v>
      </c>
    </row>
    <row r="217">
      <c r="B217" s="8" t="s">
        <v>20</v>
      </c>
      <c r="C217" s="8" t="s">
        <v>10284</v>
      </c>
      <c r="D217" s="8" t="s">
        <v>138</v>
      </c>
      <c r="E217" s="8" t="s">
        <v>10112</v>
      </c>
      <c r="H217" s="12" t="s">
        <v>10285</v>
      </c>
      <c r="I217" s="12" t="s">
        <v>10138</v>
      </c>
      <c r="J217" s="12" t="s">
        <v>10208</v>
      </c>
    </row>
    <row r="218">
      <c r="B218" s="8" t="s">
        <v>20</v>
      </c>
      <c r="C218" s="8" t="s">
        <v>786</v>
      </c>
      <c r="D218" s="8" t="s">
        <v>138</v>
      </c>
      <c r="E218" s="8" t="s">
        <v>139</v>
      </c>
      <c r="H218" s="12" t="s">
        <v>10286</v>
      </c>
    </row>
    <row r="219">
      <c r="B219" s="8" t="s">
        <v>20</v>
      </c>
      <c r="C219" s="11" t="s">
        <v>724</v>
      </c>
      <c r="D219" s="8" t="s">
        <v>138</v>
      </c>
      <c r="E219" s="8" t="s">
        <v>10287</v>
      </c>
      <c r="H219" s="12" t="s">
        <v>10288</v>
      </c>
      <c r="I219" s="12" t="s">
        <v>10289</v>
      </c>
    </row>
    <row r="220">
      <c r="B220" s="8" t="s">
        <v>720</v>
      </c>
      <c r="C220" s="8" t="s">
        <v>3182</v>
      </c>
      <c r="D220" s="8" t="s">
        <v>138</v>
      </c>
      <c r="E220" s="8" t="s">
        <v>10259</v>
      </c>
      <c r="H220" s="12" t="s">
        <v>10290</v>
      </c>
    </row>
    <row r="221">
      <c r="B221" s="8" t="s">
        <v>20</v>
      </c>
      <c r="C221" s="11" t="s">
        <v>10291</v>
      </c>
      <c r="D221" s="8" t="s">
        <v>138</v>
      </c>
      <c r="E221" s="8" t="s">
        <v>10018</v>
      </c>
      <c r="J221" s="12" t="s">
        <v>10292</v>
      </c>
    </row>
    <row r="222">
      <c r="B222" s="8" t="s">
        <v>20</v>
      </c>
      <c r="C222" s="11" t="s">
        <v>5682</v>
      </c>
      <c r="D222" s="8" t="s">
        <v>138</v>
      </c>
      <c r="E222" s="8" t="s">
        <v>139</v>
      </c>
      <c r="H222" s="12" t="s">
        <v>10293</v>
      </c>
    </row>
    <row r="223">
      <c r="B223" s="8" t="s">
        <v>20</v>
      </c>
      <c r="C223" s="11" t="s">
        <v>855</v>
      </c>
      <c r="D223" s="8" t="s">
        <v>138</v>
      </c>
      <c r="E223" s="8" t="s">
        <v>139</v>
      </c>
      <c r="H223" s="12" t="s">
        <v>10294</v>
      </c>
    </row>
    <row r="224">
      <c r="B224" s="8" t="s">
        <v>20</v>
      </c>
      <c r="C224" s="11" t="s">
        <v>8055</v>
      </c>
      <c r="D224" s="8" t="s">
        <v>138</v>
      </c>
      <c r="E224" s="8" t="s">
        <v>139</v>
      </c>
      <c r="H224" s="12" t="s">
        <v>10295</v>
      </c>
    </row>
    <row r="225">
      <c r="B225" s="8" t="s">
        <v>20</v>
      </c>
      <c r="C225" s="8" t="s">
        <v>10296</v>
      </c>
      <c r="D225" s="8" t="s">
        <v>138</v>
      </c>
      <c r="E225" s="8" t="s">
        <v>139</v>
      </c>
      <c r="J225" s="12" t="s">
        <v>10297</v>
      </c>
    </row>
    <row r="226">
      <c r="B226" s="8" t="s">
        <v>20</v>
      </c>
      <c r="C226" s="8" t="s">
        <v>4278</v>
      </c>
      <c r="D226" s="8" t="s">
        <v>138</v>
      </c>
      <c r="E226" s="8" t="s">
        <v>139</v>
      </c>
      <c r="H226" s="12" t="s">
        <v>10298</v>
      </c>
      <c r="I226" s="259" t="s">
        <v>10299</v>
      </c>
    </row>
    <row r="227">
      <c r="B227" s="8" t="s">
        <v>20</v>
      </c>
      <c r="C227" s="8" t="s">
        <v>3209</v>
      </c>
      <c r="D227" s="8" t="s">
        <v>138</v>
      </c>
      <c r="E227" s="8" t="s">
        <v>10112</v>
      </c>
      <c r="I227" s="260"/>
      <c r="J227" s="12" t="s">
        <v>10300</v>
      </c>
    </row>
    <row r="228">
      <c r="B228" s="8" t="s">
        <v>20</v>
      </c>
      <c r="C228" s="8" t="s">
        <v>10301</v>
      </c>
      <c r="D228" s="8" t="s">
        <v>138</v>
      </c>
      <c r="E228" s="8" t="s">
        <v>139</v>
      </c>
      <c r="H228" s="12" t="s">
        <v>10302</v>
      </c>
    </row>
    <row r="229">
      <c r="B229" s="8" t="s">
        <v>20</v>
      </c>
      <c r="C229" s="8" t="s">
        <v>4871</v>
      </c>
      <c r="D229" s="8" t="s">
        <v>138</v>
      </c>
      <c r="E229" s="8" t="s">
        <v>139</v>
      </c>
      <c r="J229" s="12" t="s">
        <v>10303</v>
      </c>
    </row>
    <row r="230">
      <c r="B230" s="8" t="s">
        <v>20</v>
      </c>
      <c r="C230" s="8" t="s">
        <v>10304</v>
      </c>
      <c r="D230" s="8" t="s">
        <v>138</v>
      </c>
      <c r="E230" s="8" t="s">
        <v>139</v>
      </c>
      <c r="J230" s="12" t="s">
        <v>10305</v>
      </c>
    </row>
    <row r="231">
      <c r="B231" s="8" t="s">
        <v>20</v>
      </c>
      <c r="C231" s="11" t="s">
        <v>7833</v>
      </c>
      <c r="D231" s="8" t="s">
        <v>138</v>
      </c>
      <c r="E231" s="8" t="s">
        <v>139</v>
      </c>
      <c r="J231" s="12" t="s">
        <v>10306</v>
      </c>
    </row>
    <row r="232">
      <c r="B232" s="8" t="s">
        <v>20</v>
      </c>
      <c r="C232" s="11" t="s">
        <v>1439</v>
      </c>
      <c r="D232" s="8" t="s">
        <v>138</v>
      </c>
      <c r="E232" s="8" t="s">
        <v>10260</v>
      </c>
      <c r="J232" s="12" t="s">
        <v>10307</v>
      </c>
    </row>
    <row r="233">
      <c r="B233" s="8" t="s">
        <v>20</v>
      </c>
      <c r="C233" s="11" t="s">
        <v>10308</v>
      </c>
      <c r="D233" s="8" t="s">
        <v>138</v>
      </c>
      <c r="E233" s="8" t="s">
        <v>139</v>
      </c>
      <c r="H233" s="12" t="s">
        <v>10309</v>
      </c>
      <c r="I233" s="12" t="s">
        <v>10310</v>
      </c>
      <c r="J233" s="12" t="s">
        <v>10311</v>
      </c>
    </row>
    <row r="234">
      <c r="B234" s="8" t="s">
        <v>20</v>
      </c>
      <c r="C234" s="8" t="s">
        <v>10312</v>
      </c>
      <c r="D234" s="8" t="s">
        <v>138</v>
      </c>
      <c r="E234" s="8" t="s">
        <v>139</v>
      </c>
      <c r="J234" s="12" t="s">
        <v>10313</v>
      </c>
    </row>
    <row r="235">
      <c r="B235" s="8" t="s">
        <v>20</v>
      </c>
      <c r="C235" s="8" t="s">
        <v>1234</v>
      </c>
      <c r="D235" s="8" t="s">
        <v>138</v>
      </c>
      <c r="E235" s="8" t="s">
        <v>139</v>
      </c>
      <c r="J235" s="12" t="s">
        <v>10314</v>
      </c>
    </row>
    <row r="236">
      <c r="B236" s="8" t="s">
        <v>20</v>
      </c>
      <c r="C236" s="8" t="s">
        <v>4396</v>
      </c>
      <c r="D236" s="8" t="s">
        <v>138</v>
      </c>
      <c r="E236" s="8" t="s">
        <v>10264</v>
      </c>
      <c r="H236" s="12" t="s">
        <v>10315</v>
      </c>
      <c r="I236" s="261" t="s">
        <v>10316</v>
      </c>
    </row>
    <row r="237">
      <c r="B237" s="8" t="s">
        <v>20</v>
      </c>
      <c r="C237" s="11" t="s">
        <v>10317</v>
      </c>
      <c r="D237" s="8" t="s">
        <v>138</v>
      </c>
      <c r="E237" s="8" t="s">
        <v>139</v>
      </c>
      <c r="I237" s="257" t="s">
        <v>0</v>
      </c>
      <c r="J237" s="12" t="s">
        <v>10318</v>
      </c>
    </row>
    <row r="238">
      <c r="B238" s="8" t="s">
        <v>20</v>
      </c>
      <c r="C238" s="11" t="s">
        <v>1402</v>
      </c>
      <c r="D238" s="8" t="s">
        <v>138</v>
      </c>
      <c r="E238" s="8" t="s">
        <v>139</v>
      </c>
      <c r="H238" s="12" t="s">
        <v>10319</v>
      </c>
      <c r="I238" s="12" t="s">
        <v>10320</v>
      </c>
    </row>
    <row r="239">
      <c r="B239" s="8" t="s">
        <v>20</v>
      </c>
      <c r="C239" s="8" t="s">
        <v>1423</v>
      </c>
      <c r="D239" s="8" t="s">
        <v>138</v>
      </c>
      <c r="E239" s="8" t="s">
        <v>139</v>
      </c>
      <c r="H239" s="12" t="s">
        <v>10321</v>
      </c>
    </row>
    <row r="240">
      <c r="B240" s="8" t="s">
        <v>20</v>
      </c>
      <c r="C240" s="11" t="s">
        <v>10322</v>
      </c>
      <c r="D240" s="8" t="s">
        <v>138</v>
      </c>
      <c r="E240" s="8" t="s">
        <v>139</v>
      </c>
      <c r="H240" s="12" t="s">
        <v>10323</v>
      </c>
      <c r="J240" s="259" t="s">
        <v>10324</v>
      </c>
    </row>
    <row r="241">
      <c r="B241" s="8" t="s">
        <v>20</v>
      </c>
      <c r="C241" s="8" t="s">
        <v>10325</v>
      </c>
      <c r="D241" s="8" t="s">
        <v>138</v>
      </c>
      <c r="E241" s="8" t="s">
        <v>139</v>
      </c>
      <c r="I241" s="12" t="s">
        <v>10326</v>
      </c>
      <c r="J241" s="262"/>
    </row>
    <row r="242">
      <c r="B242" s="8" t="s">
        <v>20</v>
      </c>
      <c r="C242" s="11" t="s">
        <v>8968</v>
      </c>
      <c r="D242" s="8" t="s">
        <v>138</v>
      </c>
      <c r="E242" s="8" t="s">
        <v>10073</v>
      </c>
      <c r="J242" s="12" t="s">
        <v>10075</v>
      </c>
    </row>
    <row r="243">
      <c r="B243" s="8" t="s">
        <v>720</v>
      </c>
      <c r="C243" s="8" t="s">
        <v>10327</v>
      </c>
      <c r="D243" s="8" t="s">
        <v>138</v>
      </c>
      <c r="E243" s="8" t="s">
        <v>10035</v>
      </c>
      <c r="H243" s="12" t="s">
        <v>10328</v>
      </c>
      <c r="I243" s="259" t="s">
        <v>10329</v>
      </c>
    </row>
    <row r="244">
      <c r="B244" s="8" t="s">
        <v>20</v>
      </c>
      <c r="C244" s="11" t="s">
        <v>5696</v>
      </c>
      <c r="D244" s="8" t="s">
        <v>138</v>
      </c>
      <c r="E244" s="8" t="s">
        <v>139</v>
      </c>
      <c r="I244" s="263" t="s">
        <v>9947</v>
      </c>
    </row>
    <row r="245">
      <c r="B245" s="8" t="s">
        <v>20</v>
      </c>
      <c r="C245" s="8" t="s">
        <v>5685</v>
      </c>
      <c r="D245" s="8" t="s">
        <v>138</v>
      </c>
      <c r="E245" s="8" t="s">
        <v>139</v>
      </c>
      <c r="H245" s="12" t="s">
        <v>10330</v>
      </c>
    </row>
    <row r="246">
      <c r="B246" s="8" t="s">
        <v>20</v>
      </c>
      <c r="C246" s="8" t="s">
        <v>9978</v>
      </c>
      <c r="D246" s="8" t="s">
        <v>138</v>
      </c>
      <c r="E246" s="8" t="s">
        <v>139</v>
      </c>
      <c r="I246" s="12" t="s">
        <v>10331</v>
      </c>
    </row>
    <row r="247">
      <c r="B247" s="8" t="s">
        <v>20</v>
      </c>
      <c r="C247" s="8" t="s">
        <v>529</v>
      </c>
      <c r="D247" s="8" t="s">
        <v>138</v>
      </c>
      <c r="E247" s="8" t="s">
        <v>139</v>
      </c>
      <c r="H247" s="12" t="s">
        <v>10332</v>
      </c>
    </row>
    <row r="248">
      <c r="B248" s="8" t="s">
        <v>20</v>
      </c>
      <c r="C248" s="8" t="s">
        <v>10325</v>
      </c>
      <c r="D248" s="8" t="s">
        <v>138</v>
      </c>
      <c r="E248" s="8" t="s">
        <v>139</v>
      </c>
      <c r="J248" s="12" t="s">
        <v>10333</v>
      </c>
    </row>
    <row r="249">
      <c r="B249" s="8" t="s">
        <v>20</v>
      </c>
      <c r="C249" s="8" t="s">
        <v>963</v>
      </c>
      <c r="D249" s="8" t="s">
        <v>138</v>
      </c>
      <c r="E249" s="8" t="s">
        <v>139</v>
      </c>
      <c r="I249" s="12" t="s">
        <v>10334</v>
      </c>
    </row>
    <row r="250">
      <c r="B250" s="8" t="s">
        <v>20</v>
      </c>
      <c r="C250" s="8" t="s">
        <v>8570</v>
      </c>
      <c r="D250" s="8" t="s">
        <v>138</v>
      </c>
      <c r="E250" s="8" t="s">
        <v>139</v>
      </c>
      <c r="H250" s="12" t="s">
        <v>10335</v>
      </c>
      <c r="I250" s="12" t="s">
        <v>10336</v>
      </c>
      <c r="J250" s="12" t="s">
        <v>10337</v>
      </c>
    </row>
    <row r="251">
      <c r="B251" s="8" t="s">
        <v>20</v>
      </c>
      <c r="C251" s="8" t="s">
        <v>10338</v>
      </c>
      <c r="D251" s="8" t="s">
        <v>138</v>
      </c>
      <c r="E251" s="8" t="s">
        <v>139</v>
      </c>
      <c r="J251" s="12" t="s">
        <v>10339</v>
      </c>
    </row>
    <row r="252">
      <c r="B252" s="8" t="s">
        <v>20</v>
      </c>
      <c r="C252" s="8" t="s">
        <v>3209</v>
      </c>
      <c r="D252" s="8" t="s">
        <v>138</v>
      </c>
      <c r="E252" s="8" t="s">
        <v>139</v>
      </c>
      <c r="J252" s="12" t="s">
        <v>10340</v>
      </c>
    </row>
    <row r="253">
      <c r="B253" s="8" t="s">
        <v>20</v>
      </c>
      <c r="C253" s="8" t="s">
        <v>10341</v>
      </c>
      <c r="D253" s="8" t="s">
        <v>138</v>
      </c>
      <c r="E253" s="8" t="s">
        <v>139</v>
      </c>
      <c r="J253" s="12" t="s">
        <v>10342</v>
      </c>
    </row>
    <row r="254">
      <c r="B254" s="8" t="s">
        <v>276</v>
      </c>
      <c r="C254" s="8" t="s">
        <v>10343</v>
      </c>
      <c r="D254" s="8" t="s">
        <v>138</v>
      </c>
      <c r="E254" s="8" t="s">
        <v>10035</v>
      </c>
      <c r="J254" s="12" t="s">
        <v>10344</v>
      </c>
    </row>
    <row r="255">
      <c r="B255" s="8" t="s">
        <v>301</v>
      </c>
      <c r="C255" s="8" t="s">
        <v>1473</v>
      </c>
      <c r="D255" s="8" t="s">
        <v>138</v>
      </c>
      <c r="E255" s="8" t="s">
        <v>10112</v>
      </c>
      <c r="H255" s="9" t="s">
        <v>10345</v>
      </c>
      <c r="J255" s="12" t="s">
        <v>10346</v>
      </c>
    </row>
    <row r="256">
      <c r="B256" s="8" t="s">
        <v>20</v>
      </c>
      <c r="C256" s="8" t="s">
        <v>1952</v>
      </c>
      <c r="D256" s="8" t="s">
        <v>138</v>
      </c>
      <c r="E256" s="8" t="s">
        <v>10254</v>
      </c>
      <c r="J256" s="12" t="s">
        <v>10347</v>
      </c>
    </row>
    <row r="257">
      <c r="C257" s="8"/>
    </row>
    <row r="258">
      <c r="C258" s="8"/>
    </row>
    <row r="259">
      <c r="C259" s="8"/>
    </row>
    <row r="260">
      <c r="C260" s="8"/>
    </row>
    <row r="261">
      <c r="C261" s="8"/>
    </row>
    <row r="262">
      <c r="C262" s="8"/>
    </row>
    <row r="263">
      <c r="C263" s="8"/>
    </row>
    <row r="264">
      <c r="C264" s="8"/>
    </row>
    <row r="265">
      <c r="C265" s="8"/>
    </row>
    <row r="266">
      <c r="C266" s="8"/>
    </row>
    <row r="267">
      <c r="C267" s="8"/>
    </row>
    <row r="268">
      <c r="C268" s="8"/>
    </row>
    <row r="269">
      <c r="C269" s="8"/>
    </row>
    <row r="270">
      <c r="C270" s="8"/>
    </row>
    <row r="271">
      <c r="C271" s="8"/>
    </row>
    <row r="272">
      <c r="C272" s="8"/>
    </row>
    <row r="273">
      <c r="C273" s="8"/>
    </row>
    <row r="274">
      <c r="C274" s="8"/>
    </row>
    <row r="275">
      <c r="C275" s="8"/>
    </row>
    <row r="276">
      <c r="C276" s="8"/>
    </row>
    <row r="277">
      <c r="C277" s="8"/>
    </row>
    <row r="278">
      <c r="C278" s="8"/>
    </row>
    <row r="279">
      <c r="C279" s="8"/>
    </row>
    <row r="280">
      <c r="C280" s="8"/>
    </row>
    <row r="281">
      <c r="C281" s="8"/>
    </row>
    <row r="282">
      <c r="C282" s="8"/>
    </row>
    <row r="283">
      <c r="C283" s="8"/>
    </row>
    <row r="284">
      <c r="C284" s="8"/>
    </row>
    <row r="285">
      <c r="C285" s="8"/>
    </row>
    <row r="286">
      <c r="C286" s="8"/>
    </row>
    <row r="287">
      <c r="C287" s="8"/>
    </row>
    <row r="288">
      <c r="C288" s="8"/>
    </row>
    <row r="289">
      <c r="C289" s="8"/>
    </row>
    <row r="290">
      <c r="C290" s="8"/>
    </row>
    <row r="291">
      <c r="C291" s="8"/>
    </row>
    <row r="292">
      <c r="C292" s="8"/>
    </row>
    <row r="293">
      <c r="C293" s="8"/>
    </row>
    <row r="294">
      <c r="C294" s="8"/>
    </row>
    <row r="295">
      <c r="C295" s="8"/>
    </row>
    <row r="296">
      <c r="C296" s="8"/>
    </row>
    <row r="297">
      <c r="C297" s="8"/>
    </row>
    <row r="298">
      <c r="C298" s="8"/>
    </row>
    <row r="299">
      <c r="C299" s="8"/>
    </row>
    <row r="300">
      <c r="C300" s="8"/>
    </row>
    <row r="301">
      <c r="C301" s="8"/>
    </row>
    <row r="302">
      <c r="C302" s="8"/>
    </row>
    <row r="303">
      <c r="C303" s="8"/>
    </row>
    <row r="304">
      <c r="C304" s="8"/>
    </row>
    <row r="305">
      <c r="C305" s="8"/>
    </row>
    <row r="306">
      <c r="C306" s="8"/>
    </row>
    <row r="307">
      <c r="C307" s="8"/>
    </row>
    <row r="308">
      <c r="C308" s="8"/>
    </row>
    <row r="309">
      <c r="C309" s="8"/>
    </row>
    <row r="310">
      <c r="C310" s="8"/>
    </row>
    <row r="311">
      <c r="C311" s="8"/>
    </row>
    <row r="312">
      <c r="C312" s="8"/>
    </row>
    <row r="313">
      <c r="C313" s="8"/>
    </row>
    <row r="314">
      <c r="C314" s="8"/>
    </row>
    <row r="315">
      <c r="C315" s="8"/>
    </row>
    <row r="316">
      <c r="C316" s="8"/>
    </row>
    <row r="317">
      <c r="C317" s="8"/>
    </row>
    <row r="318">
      <c r="C318" s="8"/>
    </row>
    <row r="319">
      <c r="C319" s="8"/>
    </row>
    <row r="320">
      <c r="C320" s="8"/>
    </row>
    <row r="321">
      <c r="C321" s="8"/>
    </row>
    <row r="322">
      <c r="C322" s="8"/>
    </row>
    <row r="323">
      <c r="C323" s="8"/>
    </row>
    <row r="324">
      <c r="C324" s="8"/>
    </row>
    <row r="325">
      <c r="C325" s="8"/>
    </row>
    <row r="326">
      <c r="C326" s="8"/>
    </row>
    <row r="327">
      <c r="C327" s="8"/>
    </row>
    <row r="328">
      <c r="C328" s="8"/>
    </row>
    <row r="329">
      <c r="C329" s="8"/>
    </row>
    <row r="330">
      <c r="C330" s="8"/>
    </row>
    <row r="331">
      <c r="C331" s="8"/>
    </row>
    <row r="332">
      <c r="C332" s="8"/>
    </row>
    <row r="333">
      <c r="C333" s="8"/>
    </row>
    <row r="334">
      <c r="C334" s="8"/>
    </row>
    <row r="335">
      <c r="C335" s="8"/>
    </row>
    <row r="336">
      <c r="C336" s="8"/>
    </row>
    <row r="337">
      <c r="C337" s="8"/>
    </row>
    <row r="338">
      <c r="C338" s="8"/>
    </row>
    <row r="339">
      <c r="C339" s="8"/>
    </row>
    <row r="340">
      <c r="C340" s="8"/>
    </row>
    <row r="341">
      <c r="C341" s="8"/>
    </row>
    <row r="342">
      <c r="C342" s="8"/>
    </row>
    <row r="343">
      <c r="C343" s="8"/>
    </row>
    <row r="344">
      <c r="C344" s="8"/>
    </row>
    <row r="345">
      <c r="C345" s="8"/>
    </row>
    <row r="346">
      <c r="C346" s="8"/>
    </row>
    <row r="347">
      <c r="C347" s="8"/>
    </row>
    <row r="348">
      <c r="C348" s="8"/>
    </row>
    <row r="349">
      <c r="C349" s="8"/>
    </row>
    <row r="350">
      <c r="C350" s="8"/>
    </row>
    <row r="351">
      <c r="C351" s="8"/>
    </row>
    <row r="352">
      <c r="C352" s="8"/>
    </row>
    <row r="353">
      <c r="C353" s="8"/>
    </row>
    <row r="354">
      <c r="C354" s="8"/>
    </row>
    <row r="355">
      <c r="C355" s="8"/>
    </row>
    <row r="356">
      <c r="C356" s="8"/>
    </row>
    <row r="357">
      <c r="C357" s="8"/>
    </row>
    <row r="358">
      <c r="C358" s="8"/>
    </row>
    <row r="359">
      <c r="C359" s="8"/>
    </row>
    <row r="360">
      <c r="C360" s="8"/>
    </row>
    <row r="361">
      <c r="C361" s="8"/>
    </row>
    <row r="362">
      <c r="C362" s="8"/>
    </row>
    <row r="363">
      <c r="C363" s="8"/>
    </row>
    <row r="364">
      <c r="C364" s="8"/>
    </row>
    <row r="365">
      <c r="C365" s="8"/>
    </row>
    <row r="366">
      <c r="C366" s="8"/>
    </row>
    <row r="367">
      <c r="C367" s="8"/>
    </row>
    <row r="368">
      <c r="C368" s="8"/>
    </row>
    <row r="369">
      <c r="C369" s="8"/>
    </row>
    <row r="370">
      <c r="C370" s="8"/>
    </row>
    <row r="371">
      <c r="C371" s="8"/>
    </row>
    <row r="372">
      <c r="C372" s="8"/>
    </row>
    <row r="373">
      <c r="C373" s="8"/>
    </row>
    <row r="374">
      <c r="C374" s="8"/>
    </row>
    <row r="375">
      <c r="C375" s="8"/>
    </row>
    <row r="376">
      <c r="C376" s="8"/>
    </row>
    <row r="377">
      <c r="C377" s="8"/>
    </row>
    <row r="378">
      <c r="C378" s="8"/>
    </row>
    <row r="379">
      <c r="C379" s="8"/>
    </row>
    <row r="380">
      <c r="C380" s="8"/>
    </row>
    <row r="381">
      <c r="C381" s="8"/>
    </row>
    <row r="382">
      <c r="C382" s="8"/>
    </row>
    <row r="383">
      <c r="C383" s="8"/>
    </row>
    <row r="384">
      <c r="C384" s="8"/>
    </row>
    <row r="385">
      <c r="C385" s="8"/>
    </row>
    <row r="386">
      <c r="C386" s="8"/>
    </row>
    <row r="387">
      <c r="C387" s="8"/>
    </row>
    <row r="388">
      <c r="C388" s="8"/>
    </row>
    <row r="389">
      <c r="C389" s="8"/>
    </row>
    <row r="390">
      <c r="C390" s="8"/>
    </row>
    <row r="391">
      <c r="C391" s="8"/>
    </row>
    <row r="392">
      <c r="C392" s="8"/>
    </row>
    <row r="393">
      <c r="C393" s="8"/>
    </row>
    <row r="394">
      <c r="C394" s="8"/>
    </row>
    <row r="395">
      <c r="C395" s="8"/>
    </row>
    <row r="396">
      <c r="C396" s="8"/>
    </row>
    <row r="397">
      <c r="C397" s="8"/>
    </row>
    <row r="398">
      <c r="C398" s="8"/>
    </row>
    <row r="399">
      <c r="C399" s="8"/>
    </row>
    <row r="400">
      <c r="C400" s="8"/>
    </row>
    <row r="401">
      <c r="C401" s="8"/>
    </row>
    <row r="402">
      <c r="C402" s="8"/>
    </row>
    <row r="403">
      <c r="C403" s="8"/>
    </row>
    <row r="404">
      <c r="C404" s="8"/>
    </row>
    <row r="405">
      <c r="C405" s="8"/>
    </row>
    <row r="406">
      <c r="C406" s="8"/>
    </row>
    <row r="407">
      <c r="C407" s="8"/>
    </row>
    <row r="408">
      <c r="C408" s="8"/>
    </row>
    <row r="409">
      <c r="C409" s="8"/>
    </row>
    <row r="410">
      <c r="C410" s="8"/>
    </row>
    <row r="411">
      <c r="C411" s="8"/>
    </row>
    <row r="412">
      <c r="C412" s="8"/>
    </row>
    <row r="413">
      <c r="C413" s="8"/>
    </row>
    <row r="414">
      <c r="C414" s="8"/>
    </row>
    <row r="415">
      <c r="C415" s="8"/>
    </row>
    <row r="416">
      <c r="C416" s="8"/>
    </row>
    <row r="417">
      <c r="C417" s="8"/>
    </row>
    <row r="418">
      <c r="C418" s="8"/>
    </row>
    <row r="419">
      <c r="C419" s="8"/>
    </row>
    <row r="420">
      <c r="C420" s="8"/>
    </row>
    <row r="421">
      <c r="C421" s="8"/>
    </row>
    <row r="422">
      <c r="C422" s="8"/>
    </row>
    <row r="423">
      <c r="C423" s="8"/>
    </row>
    <row r="424">
      <c r="C424" s="8"/>
    </row>
    <row r="425">
      <c r="C425" s="8"/>
    </row>
    <row r="426">
      <c r="C426" s="8"/>
    </row>
    <row r="427">
      <c r="C427" s="8"/>
    </row>
    <row r="428">
      <c r="C428" s="8"/>
    </row>
    <row r="429">
      <c r="C429" s="8"/>
    </row>
    <row r="430">
      <c r="C430" s="8"/>
    </row>
    <row r="431">
      <c r="C431" s="8"/>
    </row>
    <row r="432">
      <c r="C432" s="8"/>
    </row>
    <row r="433">
      <c r="C433" s="8"/>
    </row>
    <row r="434">
      <c r="C434" s="8"/>
    </row>
    <row r="435">
      <c r="C435" s="8"/>
    </row>
    <row r="436">
      <c r="C436" s="8"/>
    </row>
    <row r="437">
      <c r="C437" s="8"/>
    </row>
    <row r="438">
      <c r="C438" s="8"/>
    </row>
    <row r="439">
      <c r="C439" s="8"/>
    </row>
    <row r="440">
      <c r="C440" s="8"/>
    </row>
    <row r="441">
      <c r="C441" s="8"/>
    </row>
    <row r="442">
      <c r="C442" s="8"/>
    </row>
    <row r="443">
      <c r="C443" s="8"/>
    </row>
    <row r="444">
      <c r="C444" s="8"/>
    </row>
    <row r="445">
      <c r="C445" s="8"/>
    </row>
    <row r="446">
      <c r="C446" s="8"/>
    </row>
    <row r="447">
      <c r="C447" s="8"/>
    </row>
    <row r="448">
      <c r="C448" s="8"/>
    </row>
    <row r="449">
      <c r="C449" s="8"/>
    </row>
    <row r="450">
      <c r="C450" s="8"/>
    </row>
    <row r="451">
      <c r="C451" s="8"/>
    </row>
    <row r="452">
      <c r="C452" s="8"/>
    </row>
    <row r="453">
      <c r="C453" s="8"/>
    </row>
    <row r="454">
      <c r="C454" s="8"/>
    </row>
    <row r="455">
      <c r="C455" s="8"/>
    </row>
    <row r="456">
      <c r="C456" s="8"/>
    </row>
    <row r="457">
      <c r="C457" s="8"/>
    </row>
    <row r="458">
      <c r="C458" s="8"/>
    </row>
    <row r="459">
      <c r="C459" s="8"/>
    </row>
    <row r="460">
      <c r="C460" s="8"/>
    </row>
    <row r="461">
      <c r="C461" s="8"/>
    </row>
    <row r="462">
      <c r="C462" s="8"/>
    </row>
    <row r="463">
      <c r="C463" s="8"/>
    </row>
    <row r="464">
      <c r="C464" s="8"/>
    </row>
    <row r="465">
      <c r="C465" s="8"/>
    </row>
    <row r="466">
      <c r="C466" s="8"/>
    </row>
    <row r="467">
      <c r="C467" s="8"/>
    </row>
    <row r="468">
      <c r="C468" s="8"/>
    </row>
    <row r="469">
      <c r="C469" s="8"/>
    </row>
    <row r="470">
      <c r="C470" s="8"/>
    </row>
    <row r="471">
      <c r="C471" s="8"/>
    </row>
    <row r="472">
      <c r="C472" s="8"/>
    </row>
    <row r="473">
      <c r="C473" s="8"/>
    </row>
    <row r="474">
      <c r="C474" s="8"/>
    </row>
    <row r="475">
      <c r="C475" s="8"/>
    </row>
    <row r="476">
      <c r="C476" s="8"/>
    </row>
    <row r="477">
      <c r="C477" s="8"/>
    </row>
    <row r="478">
      <c r="C478" s="8"/>
    </row>
    <row r="479">
      <c r="C479" s="8"/>
    </row>
    <row r="480">
      <c r="C480" s="8"/>
    </row>
    <row r="481">
      <c r="C481" s="8"/>
    </row>
    <row r="482">
      <c r="C482" s="8"/>
    </row>
    <row r="483">
      <c r="C483" s="8"/>
    </row>
    <row r="484">
      <c r="C484" s="8"/>
    </row>
    <row r="485">
      <c r="C485" s="8"/>
    </row>
    <row r="486">
      <c r="C486" s="8"/>
    </row>
    <row r="487">
      <c r="C487" s="8"/>
    </row>
    <row r="488">
      <c r="C488" s="8"/>
    </row>
    <row r="489">
      <c r="C489" s="8"/>
    </row>
    <row r="490">
      <c r="C490" s="8"/>
    </row>
    <row r="491">
      <c r="C491" s="8"/>
    </row>
    <row r="492">
      <c r="C492" s="8"/>
    </row>
    <row r="493">
      <c r="C493" s="8"/>
    </row>
    <row r="494">
      <c r="C494" s="8"/>
    </row>
    <row r="495">
      <c r="C495" s="8"/>
    </row>
    <row r="496">
      <c r="C496" s="8"/>
    </row>
    <row r="497">
      <c r="C497" s="8"/>
    </row>
    <row r="498">
      <c r="C498" s="8"/>
    </row>
    <row r="499">
      <c r="C499" s="8"/>
    </row>
    <row r="500">
      <c r="C500" s="8"/>
    </row>
    <row r="501">
      <c r="C501" s="8"/>
    </row>
    <row r="502">
      <c r="C502" s="8"/>
    </row>
    <row r="503">
      <c r="C503" s="8"/>
    </row>
    <row r="504">
      <c r="C504" s="8"/>
    </row>
    <row r="505">
      <c r="C505" s="8"/>
    </row>
    <row r="506">
      <c r="C506" s="8"/>
    </row>
    <row r="507">
      <c r="C507" s="8"/>
    </row>
    <row r="508">
      <c r="C508" s="8"/>
    </row>
    <row r="509">
      <c r="C509" s="8"/>
    </row>
    <row r="510">
      <c r="C510" s="8"/>
    </row>
    <row r="511">
      <c r="C511" s="8"/>
    </row>
    <row r="512">
      <c r="C512" s="8"/>
    </row>
    <row r="513">
      <c r="C513" s="8"/>
    </row>
    <row r="514">
      <c r="C514" s="8"/>
    </row>
    <row r="515">
      <c r="C515" s="8"/>
    </row>
    <row r="516">
      <c r="C516" s="8"/>
    </row>
    <row r="517">
      <c r="C517" s="8"/>
    </row>
    <row r="518">
      <c r="C518" s="8"/>
    </row>
    <row r="519">
      <c r="C519" s="8"/>
    </row>
    <row r="520">
      <c r="C520" s="8"/>
    </row>
    <row r="521">
      <c r="C521" s="8"/>
    </row>
    <row r="522">
      <c r="C522" s="8"/>
    </row>
    <row r="523">
      <c r="C523" s="8"/>
    </row>
    <row r="524">
      <c r="C524" s="8"/>
    </row>
    <row r="525">
      <c r="C525" s="8"/>
    </row>
    <row r="526">
      <c r="C526" s="8"/>
    </row>
    <row r="527">
      <c r="C527" s="8"/>
    </row>
    <row r="528">
      <c r="C528" s="8"/>
    </row>
    <row r="529">
      <c r="C529" s="8"/>
    </row>
    <row r="530">
      <c r="C530" s="8"/>
    </row>
    <row r="531">
      <c r="C531" s="8"/>
    </row>
    <row r="532">
      <c r="C532" s="8"/>
    </row>
    <row r="533">
      <c r="C533" s="8"/>
    </row>
    <row r="534">
      <c r="C534" s="8"/>
    </row>
    <row r="535">
      <c r="C535" s="8"/>
    </row>
    <row r="536">
      <c r="C536" s="8"/>
    </row>
    <row r="537">
      <c r="C537" s="8"/>
    </row>
    <row r="538">
      <c r="C538" s="8"/>
    </row>
    <row r="539">
      <c r="C539" s="8"/>
    </row>
    <row r="540">
      <c r="C540" s="8"/>
    </row>
    <row r="541">
      <c r="C541" s="8"/>
    </row>
    <row r="542">
      <c r="C542" s="8"/>
    </row>
    <row r="543">
      <c r="C543" s="8"/>
    </row>
    <row r="544">
      <c r="C544" s="8"/>
    </row>
    <row r="545">
      <c r="C545" s="8"/>
    </row>
    <row r="546">
      <c r="C546" s="8"/>
    </row>
    <row r="547">
      <c r="C547" s="8"/>
    </row>
    <row r="548">
      <c r="C548" s="8"/>
    </row>
    <row r="549">
      <c r="C549" s="8"/>
    </row>
    <row r="550">
      <c r="C550" s="8"/>
    </row>
    <row r="551">
      <c r="C551" s="8"/>
    </row>
    <row r="552">
      <c r="C552" s="8"/>
    </row>
    <row r="553">
      <c r="C553" s="8"/>
    </row>
    <row r="554">
      <c r="C554" s="8"/>
    </row>
    <row r="555">
      <c r="C555" s="8"/>
    </row>
    <row r="556">
      <c r="C556" s="8"/>
    </row>
    <row r="557">
      <c r="C557" s="8"/>
    </row>
    <row r="558">
      <c r="C558" s="8"/>
    </row>
    <row r="559">
      <c r="C559" s="8"/>
    </row>
    <row r="560">
      <c r="C560" s="8"/>
    </row>
    <row r="561">
      <c r="C561" s="8"/>
    </row>
    <row r="562">
      <c r="C562" s="8"/>
    </row>
    <row r="563">
      <c r="C563" s="8"/>
    </row>
    <row r="564">
      <c r="C564" s="8"/>
    </row>
    <row r="565">
      <c r="C565" s="8"/>
    </row>
    <row r="566">
      <c r="C566" s="8"/>
    </row>
    <row r="567">
      <c r="C567" s="8"/>
    </row>
    <row r="568">
      <c r="C568" s="8"/>
    </row>
    <row r="569">
      <c r="C569" s="8"/>
    </row>
    <row r="570">
      <c r="C570" s="8"/>
    </row>
    <row r="571">
      <c r="C571" s="8"/>
    </row>
    <row r="572">
      <c r="C572" s="8"/>
    </row>
    <row r="573">
      <c r="C573" s="8"/>
    </row>
    <row r="574">
      <c r="C574" s="8"/>
    </row>
    <row r="575">
      <c r="C575" s="8"/>
    </row>
    <row r="576">
      <c r="C576" s="8"/>
    </row>
    <row r="577">
      <c r="C577" s="8"/>
    </row>
    <row r="578">
      <c r="C578" s="8"/>
    </row>
    <row r="579">
      <c r="C579" s="8"/>
    </row>
    <row r="580">
      <c r="C580" s="8"/>
    </row>
    <row r="581">
      <c r="C581" s="8"/>
    </row>
    <row r="582">
      <c r="C582" s="8"/>
    </row>
    <row r="583">
      <c r="C583" s="8"/>
    </row>
    <row r="584">
      <c r="C584" s="8"/>
    </row>
    <row r="585">
      <c r="C585" s="8"/>
    </row>
    <row r="586">
      <c r="C586" s="8"/>
    </row>
    <row r="587">
      <c r="C587" s="8"/>
    </row>
    <row r="588">
      <c r="C588" s="8"/>
    </row>
    <row r="589">
      <c r="C589" s="8"/>
    </row>
    <row r="590">
      <c r="C590" s="8"/>
    </row>
    <row r="591">
      <c r="C591" s="8"/>
    </row>
    <row r="592">
      <c r="C592" s="8"/>
    </row>
    <row r="593">
      <c r="C593" s="8"/>
    </row>
    <row r="594">
      <c r="C594" s="8"/>
    </row>
    <row r="595">
      <c r="C595" s="8"/>
    </row>
    <row r="596">
      <c r="C596" s="8"/>
    </row>
    <row r="597">
      <c r="C597" s="8"/>
    </row>
    <row r="598">
      <c r="C598" s="8"/>
    </row>
    <row r="599">
      <c r="C599" s="8"/>
    </row>
    <row r="600">
      <c r="C600" s="8"/>
    </row>
    <row r="601">
      <c r="C601" s="8"/>
    </row>
    <row r="602">
      <c r="C602" s="8"/>
    </row>
    <row r="603">
      <c r="C603" s="8"/>
    </row>
    <row r="604">
      <c r="C604" s="8"/>
    </row>
    <row r="605">
      <c r="C605" s="8"/>
    </row>
    <row r="606">
      <c r="C606" s="8"/>
    </row>
    <row r="607">
      <c r="C607" s="8"/>
    </row>
    <row r="608">
      <c r="C608" s="8"/>
    </row>
    <row r="609">
      <c r="C609" s="8"/>
    </row>
    <row r="610">
      <c r="C610" s="8"/>
    </row>
    <row r="611">
      <c r="C611" s="8"/>
    </row>
    <row r="612">
      <c r="C612" s="8"/>
    </row>
    <row r="613">
      <c r="C613" s="8"/>
    </row>
    <row r="614">
      <c r="C614" s="8"/>
    </row>
    <row r="615">
      <c r="C615" s="8"/>
    </row>
    <row r="616">
      <c r="C616" s="8"/>
    </row>
    <row r="617">
      <c r="C617" s="8"/>
    </row>
    <row r="618">
      <c r="C618" s="8"/>
    </row>
    <row r="619">
      <c r="C619" s="8"/>
    </row>
    <row r="620">
      <c r="C620" s="8"/>
    </row>
    <row r="621">
      <c r="C621" s="8"/>
    </row>
    <row r="622">
      <c r="C622" s="8"/>
    </row>
    <row r="623">
      <c r="C623" s="8"/>
    </row>
    <row r="624">
      <c r="C624" s="8"/>
    </row>
    <row r="625">
      <c r="C625" s="8"/>
    </row>
    <row r="626">
      <c r="C626" s="8"/>
    </row>
    <row r="627">
      <c r="C627" s="8"/>
    </row>
    <row r="628">
      <c r="C628" s="8"/>
    </row>
    <row r="629">
      <c r="C629" s="8"/>
    </row>
    <row r="630">
      <c r="C630" s="8"/>
    </row>
    <row r="631">
      <c r="C631" s="8"/>
    </row>
    <row r="632">
      <c r="C632" s="8"/>
    </row>
    <row r="633">
      <c r="C633" s="8"/>
    </row>
    <row r="634">
      <c r="C634" s="8"/>
    </row>
    <row r="635">
      <c r="C635" s="8"/>
    </row>
    <row r="636">
      <c r="C636" s="8"/>
    </row>
    <row r="637">
      <c r="C637" s="8"/>
    </row>
    <row r="638">
      <c r="C638" s="8"/>
    </row>
    <row r="639">
      <c r="C639" s="8"/>
    </row>
    <row r="640">
      <c r="C640" s="8"/>
    </row>
    <row r="641">
      <c r="C641" s="8"/>
    </row>
    <row r="642">
      <c r="C642" s="8"/>
    </row>
    <row r="643">
      <c r="C643" s="8"/>
    </row>
    <row r="644">
      <c r="C644" s="8"/>
    </row>
    <row r="645">
      <c r="C645" s="8"/>
    </row>
    <row r="646">
      <c r="C646" s="8"/>
    </row>
    <row r="647">
      <c r="C647" s="8"/>
    </row>
    <row r="648">
      <c r="C648" s="8"/>
    </row>
    <row r="649">
      <c r="C649" s="8"/>
    </row>
    <row r="650">
      <c r="C650" s="8"/>
    </row>
    <row r="651">
      <c r="C651" s="8"/>
    </row>
    <row r="652">
      <c r="C652" s="8"/>
    </row>
    <row r="653">
      <c r="C653" s="8"/>
    </row>
    <row r="654">
      <c r="C654" s="8"/>
    </row>
    <row r="655">
      <c r="C655" s="8"/>
    </row>
    <row r="656">
      <c r="C656" s="8"/>
    </row>
    <row r="657">
      <c r="C657" s="8"/>
    </row>
    <row r="658">
      <c r="C658" s="8"/>
    </row>
    <row r="659">
      <c r="C659" s="8"/>
    </row>
    <row r="660">
      <c r="C660" s="8"/>
    </row>
    <row r="661">
      <c r="C661" s="8"/>
    </row>
    <row r="662">
      <c r="C662" s="8"/>
    </row>
    <row r="663">
      <c r="C663" s="8"/>
    </row>
    <row r="664">
      <c r="C664" s="8"/>
    </row>
    <row r="665">
      <c r="C665" s="8"/>
    </row>
    <row r="666">
      <c r="C666" s="8"/>
    </row>
    <row r="667">
      <c r="C667" s="8"/>
    </row>
    <row r="668">
      <c r="C668" s="8"/>
    </row>
    <row r="669">
      <c r="C669" s="8"/>
    </row>
    <row r="670">
      <c r="C670" s="8"/>
    </row>
    <row r="671">
      <c r="C671" s="8"/>
    </row>
    <row r="672">
      <c r="C672" s="8"/>
    </row>
    <row r="673">
      <c r="C673" s="8"/>
    </row>
    <row r="674">
      <c r="C674" s="8"/>
    </row>
    <row r="675">
      <c r="C675" s="8"/>
    </row>
    <row r="676">
      <c r="C676" s="8"/>
    </row>
    <row r="677">
      <c r="C677" s="8"/>
    </row>
    <row r="678">
      <c r="C678" s="8"/>
    </row>
    <row r="679">
      <c r="C679" s="8"/>
    </row>
    <row r="680">
      <c r="C680" s="8"/>
    </row>
    <row r="681">
      <c r="C681" s="8"/>
    </row>
    <row r="682">
      <c r="C682" s="8"/>
    </row>
    <row r="683">
      <c r="C683" s="8"/>
    </row>
    <row r="684">
      <c r="C684" s="8"/>
    </row>
    <row r="685">
      <c r="C685" s="8"/>
    </row>
    <row r="686">
      <c r="C686" s="8"/>
    </row>
    <row r="687">
      <c r="C687" s="8"/>
    </row>
    <row r="688">
      <c r="C688" s="8"/>
    </row>
    <row r="689">
      <c r="C689" s="8"/>
    </row>
    <row r="690">
      <c r="C690" s="8"/>
    </row>
    <row r="691">
      <c r="C691" s="8"/>
    </row>
    <row r="692">
      <c r="C692" s="8"/>
    </row>
    <row r="693">
      <c r="C693" s="8"/>
    </row>
    <row r="694">
      <c r="C694" s="8"/>
    </row>
    <row r="695">
      <c r="C695" s="8"/>
    </row>
    <row r="696">
      <c r="C696" s="8"/>
    </row>
    <row r="697">
      <c r="C697" s="8"/>
    </row>
    <row r="698">
      <c r="C698" s="8"/>
    </row>
    <row r="699">
      <c r="C699" s="8"/>
    </row>
    <row r="700">
      <c r="C700" s="8"/>
    </row>
    <row r="701">
      <c r="C701" s="8"/>
    </row>
    <row r="702">
      <c r="C702" s="8"/>
    </row>
    <row r="703">
      <c r="C703" s="8"/>
    </row>
    <row r="704">
      <c r="C704" s="8"/>
    </row>
    <row r="705">
      <c r="C705" s="8"/>
    </row>
    <row r="706">
      <c r="C706" s="8"/>
    </row>
    <row r="707">
      <c r="C707" s="8"/>
    </row>
    <row r="708">
      <c r="C708" s="8"/>
    </row>
    <row r="709">
      <c r="C709" s="8"/>
    </row>
    <row r="710">
      <c r="C710" s="8"/>
    </row>
    <row r="711">
      <c r="C711" s="8"/>
    </row>
    <row r="712">
      <c r="C712" s="8"/>
    </row>
    <row r="713">
      <c r="C713" s="8"/>
    </row>
    <row r="714">
      <c r="C714" s="8"/>
    </row>
    <row r="715">
      <c r="C715" s="8"/>
    </row>
    <row r="716">
      <c r="C716" s="8"/>
    </row>
    <row r="717">
      <c r="C717" s="8"/>
    </row>
    <row r="718">
      <c r="C718" s="8"/>
    </row>
    <row r="719">
      <c r="C719" s="8"/>
    </row>
    <row r="720">
      <c r="C720" s="8"/>
    </row>
    <row r="721">
      <c r="C721" s="8"/>
    </row>
    <row r="722">
      <c r="C722" s="8"/>
    </row>
    <row r="723">
      <c r="C723" s="8"/>
    </row>
    <row r="724">
      <c r="C724" s="8"/>
    </row>
    <row r="725">
      <c r="C725" s="8"/>
    </row>
    <row r="726">
      <c r="C726" s="8"/>
    </row>
    <row r="727">
      <c r="C727" s="8"/>
    </row>
    <row r="728">
      <c r="C728" s="8"/>
    </row>
    <row r="729">
      <c r="C729" s="8"/>
    </row>
    <row r="730">
      <c r="C730" s="8"/>
    </row>
    <row r="731">
      <c r="C731" s="8"/>
    </row>
    <row r="732">
      <c r="C732" s="8"/>
    </row>
    <row r="733">
      <c r="C733" s="8"/>
    </row>
    <row r="734">
      <c r="C734" s="8"/>
    </row>
    <row r="735">
      <c r="C735" s="8"/>
    </row>
    <row r="736">
      <c r="C736" s="8"/>
    </row>
    <row r="737">
      <c r="C737" s="8"/>
    </row>
    <row r="738">
      <c r="C738" s="8"/>
    </row>
    <row r="739">
      <c r="C739" s="8"/>
    </row>
    <row r="740">
      <c r="C740" s="8"/>
    </row>
    <row r="741">
      <c r="C741" s="8"/>
    </row>
    <row r="742">
      <c r="C742" s="8"/>
    </row>
    <row r="743">
      <c r="C743" s="8"/>
    </row>
    <row r="744">
      <c r="C744" s="8"/>
    </row>
    <row r="745">
      <c r="C745" s="8"/>
    </row>
    <row r="746">
      <c r="C746" s="8"/>
    </row>
    <row r="747">
      <c r="C747" s="8"/>
    </row>
    <row r="748">
      <c r="C748" s="8"/>
    </row>
    <row r="749">
      <c r="C749" s="8"/>
    </row>
    <row r="750">
      <c r="C750" s="8"/>
    </row>
    <row r="751">
      <c r="C751" s="8"/>
    </row>
    <row r="752">
      <c r="C752" s="8"/>
    </row>
    <row r="753">
      <c r="C753" s="8"/>
    </row>
    <row r="754">
      <c r="C754" s="8"/>
    </row>
    <row r="755">
      <c r="C755" s="8"/>
    </row>
    <row r="756">
      <c r="C756" s="8"/>
    </row>
    <row r="757">
      <c r="C757" s="8"/>
    </row>
    <row r="758">
      <c r="C758" s="8"/>
    </row>
    <row r="759">
      <c r="C759" s="8"/>
    </row>
    <row r="760">
      <c r="C760" s="8"/>
    </row>
    <row r="761">
      <c r="C761" s="8"/>
    </row>
    <row r="762">
      <c r="C762" s="8"/>
    </row>
    <row r="763">
      <c r="C763" s="8"/>
    </row>
    <row r="764">
      <c r="C764" s="8"/>
    </row>
    <row r="765">
      <c r="C765" s="8"/>
    </row>
    <row r="766">
      <c r="C766" s="8"/>
    </row>
    <row r="767">
      <c r="C767" s="8"/>
    </row>
    <row r="768">
      <c r="C768" s="8"/>
    </row>
    <row r="769">
      <c r="C769" s="8"/>
    </row>
    <row r="770">
      <c r="C770" s="8"/>
    </row>
    <row r="771">
      <c r="C771" s="8"/>
    </row>
    <row r="772">
      <c r="C772" s="8"/>
    </row>
    <row r="773">
      <c r="C773" s="8"/>
    </row>
    <row r="774">
      <c r="C774" s="8"/>
    </row>
    <row r="775">
      <c r="C775" s="8"/>
    </row>
    <row r="776">
      <c r="C776" s="8"/>
    </row>
    <row r="777">
      <c r="C777" s="8"/>
    </row>
    <row r="778">
      <c r="C778" s="8"/>
    </row>
    <row r="779">
      <c r="C779" s="8"/>
    </row>
    <row r="780">
      <c r="C780" s="8"/>
    </row>
    <row r="781">
      <c r="C781" s="8"/>
    </row>
    <row r="782">
      <c r="C782" s="8"/>
    </row>
    <row r="783">
      <c r="C783" s="8"/>
    </row>
    <row r="784">
      <c r="C784" s="8"/>
    </row>
    <row r="785">
      <c r="C785" s="8"/>
    </row>
    <row r="786">
      <c r="C786" s="8"/>
    </row>
    <row r="787">
      <c r="C787" s="8"/>
    </row>
    <row r="788">
      <c r="C788" s="8"/>
    </row>
    <row r="789">
      <c r="C789" s="8"/>
    </row>
    <row r="790">
      <c r="C790" s="8"/>
    </row>
    <row r="791">
      <c r="C791" s="8"/>
    </row>
    <row r="792">
      <c r="C792" s="8"/>
    </row>
    <row r="793">
      <c r="C793" s="8"/>
    </row>
    <row r="794">
      <c r="C794" s="8"/>
    </row>
    <row r="795">
      <c r="C795" s="8"/>
    </row>
    <row r="796">
      <c r="C796" s="8"/>
    </row>
    <row r="797">
      <c r="C797" s="8"/>
    </row>
    <row r="798">
      <c r="C798" s="8"/>
    </row>
    <row r="799">
      <c r="C799" s="8"/>
    </row>
    <row r="800">
      <c r="C800" s="8"/>
    </row>
    <row r="801">
      <c r="C801" s="8"/>
    </row>
    <row r="802">
      <c r="C802" s="8"/>
    </row>
    <row r="803">
      <c r="C803" s="8"/>
    </row>
    <row r="804">
      <c r="C804" s="8"/>
    </row>
    <row r="805">
      <c r="C805" s="8"/>
    </row>
    <row r="806">
      <c r="C806" s="8"/>
    </row>
    <row r="807">
      <c r="C807" s="8"/>
    </row>
    <row r="808">
      <c r="C808" s="8"/>
    </row>
    <row r="809">
      <c r="C809" s="8"/>
    </row>
    <row r="810">
      <c r="C810" s="8"/>
    </row>
    <row r="811">
      <c r="C811" s="8"/>
    </row>
    <row r="812">
      <c r="C812" s="8"/>
    </row>
    <row r="813">
      <c r="C813" s="8"/>
    </row>
    <row r="814">
      <c r="C814" s="8"/>
    </row>
    <row r="815">
      <c r="C815" s="8"/>
    </row>
    <row r="816">
      <c r="C816" s="8"/>
    </row>
    <row r="817">
      <c r="C817" s="8"/>
    </row>
    <row r="818">
      <c r="C818" s="8"/>
    </row>
    <row r="819">
      <c r="C819" s="8"/>
    </row>
    <row r="820">
      <c r="C820" s="8"/>
    </row>
    <row r="821">
      <c r="C821" s="8"/>
    </row>
    <row r="822">
      <c r="C822" s="8"/>
    </row>
    <row r="823">
      <c r="C823" s="8"/>
    </row>
    <row r="824">
      <c r="C824" s="8"/>
    </row>
    <row r="825">
      <c r="C825" s="8"/>
    </row>
    <row r="826">
      <c r="C826" s="8"/>
    </row>
    <row r="827">
      <c r="C827" s="8"/>
    </row>
    <row r="828">
      <c r="C828" s="8"/>
    </row>
    <row r="829">
      <c r="C829" s="8"/>
    </row>
    <row r="830">
      <c r="C830" s="8"/>
    </row>
    <row r="831">
      <c r="C831" s="8"/>
    </row>
    <row r="832">
      <c r="C832" s="8"/>
    </row>
    <row r="833">
      <c r="C833" s="8"/>
    </row>
    <row r="834">
      <c r="C834" s="8"/>
    </row>
    <row r="835">
      <c r="C835" s="8"/>
    </row>
    <row r="836">
      <c r="C836" s="8"/>
    </row>
    <row r="837">
      <c r="C837" s="8"/>
    </row>
    <row r="838">
      <c r="C838" s="8"/>
    </row>
    <row r="839">
      <c r="C839" s="8"/>
    </row>
    <row r="840">
      <c r="C840" s="8"/>
    </row>
    <row r="841">
      <c r="C841" s="8"/>
    </row>
    <row r="842">
      <c r="C842" s="8"/>
    </row>
    <row r="843">
      <c r="C843" s="8"/>
    </row>
    <row r="844">
      <c r="C844" s="8"/>
    </row>
    <row r="845">
      <c r="C845" s="8"/>
    </row>
    <row r="846">
      <c r="C846" s="8"/>
    </row>
    <row r="847">
      <c r="C847" s="8"/>
    </row>
    <row r="848">
      <c r="C848" s="8"/>
    </row>
    <row r="849">
      <c r="C849" s="8"/>
    </row>
    <row r="850">
      <c r="C850" s="8"/>
    </row>
    <row r="851">
      <c r="C851" s="8"/>
    </row>
    <row r="852">
      <c r="C852" s="8"/>
    </row>
    <row r="853">
      <c r="C853" s="8"/>
    </row>
    <row r="854">
      <c r="C854" s="8"/>
    </row>
    <row r="855">
      <c r="C855" s="8"/>
    </row>
    <row r="856">
      <c r="C856" s="8"/>
    </row>
    <row r="857">
      <c r="C857" s="8"/>
    </row>
    <row r="858">
      <c r="C858" s="8"/>
    </row>
    <row r="859">
      <c r="C859" s="8"/>
    </row>
    <row r="860">
      <c r="C860" s="8"/>
    </row>
    <row r="861">
      <c r="C861" s="8"/>
    </row>
    <row r="862">
      <c r="C862" s="8"/>
    </row>
    <row r="863">
      <c r="C863" s="8"/>
    </row>
    <row r="864">
      <c r="C864" s="8"/>
    </row>
    <row r="865">
      <c r="C865" s="8"/>
    </row>
    <row r="866">
      <c r="C866" s="8"/>
    </row>
    <row r="867">
      <c r="C867" s="8"/>
    </row>
    <row r="868">
      <c r="C868" s="8"/>
    </row>
    <row r="869">
      <c r="C869" s="8"/>
    </row>
    <row r="870">
      <c r="C870" s="8"/>
    </row>
    <row r="871">
      <c r="C871" s="8"/>
    </row>
    <row r="872">
      <c r="C872" s="8"/>
    </row>
    <row r="873">
      <c r="C873" s="8"/>
    </row>
    <row r="874">
      <c r="C874" s="8"/>
    </row>
    <row r="875">
      <c r="C875" s="8"/>
    </row>
    <row r="876">
      <c r="C876" s="8"/>
    </row>
    <row r="877">
      <c r="C877" s="8"/>
    </row>
    <row r="878">
      <c r="C878" s="8"/>
    </row>
    <row r="879">
      <c r="C879" s="8"/>
    </row>
    <row r="880">
      <c r="C880" s="8"/>
    </row>
    <row r="881">
      <c r="C881" s="8"/>
    </row>
    <row r="882">
      <c r="C882" s="8"/>
    </row>
    <row r="883">
      <c r="C883" s="8"/>
    </row>
    <row r="884">
      <c r="C884" s="8"/>
    </row>
    <row r="885">
      <c r="C885" s="8"/>
    </row>
    <row r="886">
      <c r="C886" s="8"/>
    </row>
    <row r="887">
      <c r="C887" s="8"/>
    </row>
    <row r="888">
      <c r="C888" s="8"/>
    </row>
    <row r="889">
      <c r="C889" s="8"/>
    </row>
    <row r="890">
      <c r="C890" s="8"/>
    </row>
    <row r="891">
      <c r="C891" s="8"/>
    </row>
    <row r="892">
      <c r="C892" s="8"/>
    </row>
    <row r="893">
      <c r="C893" s="8"/>
    </row>
    <row r="894">
      <c r="C894" s="8"/>
    </row>
    <row r="895">
      <c r="C895" s="8"/>
    </row>
    <row r="896">
      <c r="C896" s="8"/>
    </row>
    <row r="897">
      <c r="C897" s="8"/>
    </row>
    <row r="898">
      <c r="C898" s="8"/>
    </row>
    <row r="899">
      <c r="C899" s="8"/>
    </row>
    <row r="900">
      <c r="C900" s="8"/>
    </row>
    <row r="901">
      <c r="C901" s="8"/>
    </row>
    <row r="902">
      <c r="C902" s="8"/>
    </row>
    <row r="903">
      <c r="C903" s="8"/>
    </row>
    <row r="904">
      <c r="C904" s="8"/>
    </row>
    <row r="905">
      <c r="C905" s="8"/>
    </row>
    <row r="906">
      <c r="C906" s="8"/>
    </row>
    <row r="907">
      <c r="C907" s="8"/>
    </row>
    <row r="908">
      <c r="C908" s="8"/>
    </row>
    <row r="909">
      <c r="C909" s="8"/>
    </row>
    <row r="910">
      <c r="C910" s="8"/>
    </row>
    <row r="911">
      <c r="C911" s="8"/>
    </row>
    <row r="912">
      <c r="C912" s="8"/>
    </row>
    <row r="913">
      <c r="C913" s="8"/>
    </row>
    <row r="914">
      <c r="C914" s="8"/>
    </row>
    <row r="915">
      <c r="C915" s="8"/>
    </row>
    <row r="916">
      <c r="C916" s="8"/>
    </row>
    <row r="917">
      <c r="C917" s="8"/>
    </row>
    <row r="918">
      <c r="C918" s="8"/>
    </row>
    <row r="919">
      <c r="C919" s="8"/>
    </row>
    <row r="920">
      <c r="C920" s="8"/>
    </row>
    <row r="921">
      <c r="C921" s="8"/>
    </row>
    <row r="922">
      <c r="C922" s="8"/>
    </row>
    <row r="923">
      <c r="C923" s="8"/>
    </row>
    <row r="924">
      <c r="C924" s="8"/>
    </row>
    <row r="925">
      <c r="C925" s="8"/>
    </row>
    <row r="926">
      <c r="C926" s="8"/>
    </row>
    <row r="927">
      <c r="C927" s="8"/>
    </row>
    <row r="928">
      <c r="C928" s="8"/>
    </row>
    <row r="929">
      <c r="C929" s="8"/>
    </row>
    <row r="930">
      <c r="C930" s="8"/>
    </row>
    <row r="931">
      <c r="C931" s="8"/>
    </row>
    <row r="932">
      <c r="C932" s="8"/>
    </row>
    <row r="933">
      <c r="C933" s="8"/>
    </row>
    <row r="934">
      <c r="C934" s="8"/>
    </row>
    <row r="935">
      <c r="C935" s="8"/>
    </row>
    <row r="936">
      <c r="C936" s="8"/>
    </row>
    <row r="937">
      <c r="C937" s="8"/>
    </row>
    <row r="938">
      <c r="C938" s="8"/>
    </row>
    <row r="939">
      <c r="C939" s="8"/>
    </row>
    <row r="940">
      <c r="C940" s="8"/>
    </row>
    <row r="941">
      <c r="C941" s="8"/>
    </row>
    <row r="942">
      <c r="C942" s="8"/>
    </row>
    <row r="943">
      <c r="C943" s="8"/>
    </row>
    <row r="944">
      <c r="C944" s="8"/>
    </row>
    <row r="945">
      <c r="C945" s="8"/>
    </row>
    <row r="946">
      <c r="C946" s="8"/>
    </row>
    <row r="947">
      <c r="C947" s="8"/>
    </row>
    <row r="948">
      <c r="C948" s="8"/>
    </row>
    <row r="949">
      <c r="C949" s="8"/>
    </row>
    <row r="950">
      <c r="C950" s="8"/>
    </row>
    <row r="951">
      <c r="C951" s="8"/>
    </row>
    <row r="952">
      <c r="C952" s="8"/>
    </row>
    <row r="953">
      <c r="C953" s="8"/>
    </row>
    <row r="954">
      <c r="C954" s="8"/>
    </row>
    <row r="955">
      <c r="C955" s="8"/>
    </row>
    <row r="956">
      <c r="C956" s="8"/>
    </row>
    <row r="957">
      <c r="C957" s="8"/>
    </row>
    <row r="958">
      <c r="C958" s="8"/>
    </row>
    <row r="959">
      <c r="C959" s="8"/>
    </row>
    <row r="960">
      <c r="C960" s="8"/>
    </row>
    <row r="961">
      <c r="C961" s="8"/>
    </row>
    <row r="962">
      <c r="C962" s="8"/>
    </row>
    <row r="963">
      <c r="C963" s="8"/>
    </row>
    <row r="964">
      <c r="C964" s="8"/>
    </row>
    <row r="965">
      <c r="C965" s="8"/>
    </row>
    <row r="966">
      <c r="C966" s="8"/>
    </row>
    <row r="967">
      <c r="C967" s="8"/>
    </row>
    <row r="968">
      <c r="C968" s="8"/>
    </row>
    <row r="969">
      <c r="C969" s="8"/>
    </row>
    <row r="970">
      <c r="C970" s="8"/>
    </row>
    <row r="971">
      <c r="C971" s="8"/>
    </row>
    <row r="972">
      <c r="C972" s="8"/>
    </row>
    <row r="973">
      <c r="C973" s="8"/>
    </row>
    <row r="974">
      <c r="C974" s="8"/>
    </row>
    <row r="975">
      <c r="C975" s="8"/>
    </row>
    <row r="976">
      <c r="C976" s="8"/>
    </row>
    <row r="977">
      <c r="C977" s="8"/>
    </row>
    <row r="978">
      <c r="C978" s="8"/>
    </row>
    <row r="979">
      <c r="C979" s="8"/>
    </row>
    <row r="980">
      <c r="C980" s="8"/>
    </row>
    <row r="981">
      <c r="C981" s="8"/>
    </row>
    <row r="982">
      <c r="C982" s="8"/>
    </row>
    <row r="983">
      <c r="C983" s="8"/>
    </row>
    <row r="984">
      <c r="C984" s="8"/>
    </row>
    <row r="985">
      <c r="C985" s="8"/>
    </row>
    <row r="986">
      <c r="C986" s="8"/>
    </row>
    <row r="987">
      <c r="C987" s="8"/>
    </row>
    <row r="988">
      <c r="C988" s="8"/>
    </row>
    <row r="989">
      <c r="C989" s="8"/>
    </row>
    <row r="990">
      <c r="C990" s="8"/>
    </row>
  </sheetData>
  <conditionalFormatting sqref="A1:B1 D1:S1">
    <cfRule type="notContainsBlanks" dxfId="0" priority="1">
      <formula>LEN(TRIM(A1))&gt;0</formula>
    </cfRule>
  </conditionalFormatting>
  <hyperlinks>
    <hyperlink r:id="rId1" ref="H2"/>
    <hyperlink r:id="rId2" ref="H3"/>
    <hyperlink r:id="rId3" ref="H4"/>
    <hyperlink r:id="rId4" ref="H5"/>
    <hyperlink r:id="rId5" ref="H6"/>
    <hyperlink r:id="rId6" ref="I6"/>
    <hyperlink r:id="rId7" ref="H7"/>
    <hyperlink r:id="rId8" ref="H8"/>
    <hyperlink r:id="rId9" ref="J9"/>
    <hyperlink r:id="rId10" ref="J10"/>
    <hyperlink r:id="rId11" ref="H11"/>
    <hyperlink r:id="rId12" ref="J11"/>
    <hyperlink r:id="rId13" ref="H12"/>
    <hyperlink r:id="rId14" ref="H13"/>
    <hyperlink r:id="rId15" ref="I13"/>
    <hyperlink r:id="rId16" ref="H14"/>
    <hyperlink r:id="rId17" ref="H15"/>
    <hyperlink r:id="rId18" ref="I15"/>
    <hyperlink r:id="rId19" ref="H16"/>
    <hyperlink r:id="rId20" ref="I16"/>
    <hyperlink r:id="rId21" ref="H17"/>
    <hyperlink r:id="rId22" ref="J17"/>
    <hyperlink r:id="rId23" ref="H18"/>
    <hyperlink r:id="rId24" ref="H19"/>
    <hyperlink r:id="rId25" ref="H20"/>
    <hyperlink r:id="rId26" ref="J21"/>
    <hyperlink r:id="rId27" ref="H22"/>
    <hyperlink r:id="rId28" ref="H23"/>
    <hyperlink r:id="rId29" ref="H24"/>
    <hyperlink r:id="rId30" ref="I24"/>
    <hyperlink r:id="rId31" ref="J24"/>
    <hyperlink r:id="rId32" ref="H25"/>
    <hyperlink r:id="rId33" ref="J26"/>
    <hyperlink r:id="rId34" ref="H27"/>
    <hyperlink r:id="rId35" ref="H28"/>
    <hyperlink r:id="rId36" ref="J29"/>
    <hyperlink r:id="rId37" ref="H30"/>
    <hyperlink r:id="rId38" ref="H31"/>
    <hyperlink r:id="rId39" ref="J32"/>
    <hyperlink r:id="rId40" ref="L32"/>
    <hyperlink r:id="rId41" ref="H33"/>
    <hyperlink r:id="rId42" ref="J33"/>
    <hyperlink r:id="rId43" ref="H34"/>
    <hyperlink r:id="rId44" ref="J34"/>
    <hyperlink r:id="rId45" ref="H35"/>
    <hyperlink r:id="rId46" ref="H36"/>
    <hyperlink r:id="rId47" ref="H37"/>
    <hyperlink r:id="rId48" ref="I37"/>
    <hyperlink r:id="rId49" ref="H38"/>
    <hyperlink r:id="rId50" ref="I38"/>
    <hyperlink r:id="rId51" ref="J38"/>
    <hyperlink r:id="rId52" ref="H39"/>
    <hyperlink r:id="rId53" ref="J39"/>
    <hyperlink r:id="rId54" ref="H40"/>
    <hyperlink r:id="rId55" ref="I40"/>
    <hyperlink r:id="rId56" ref="H41"/>
    <hyperlink r:id="rId57" ref="J41"/>
    <hyperlink r:id="rId58" ref="H42"/>
    <hyperlink r:id="rId59" ref="H43"/>
    <hyperlink r:id="rId60" ref="I43"/>
    <hyperlink r:id="rId61" ref="H44"/>
    <hyperlink r:id="rId62" ref="I44"/>
    <hyperlink r:id="rId63" ref="J44"/>
    <hyperlink r:id="rId64" ref="H45"/>
    <hyperlink r:id="rId65" ref="I45"/>
    <hyperlink r:id="rId66" ref="J45"/>
    <hyperlink r:id="rId67" ref="H46"/>
    <hyperlink r:id="rId68" ref="J46"/>
    <hyperlink r:id="rId69" ref="H47"/>
    <hyperlink r:id="rId70" ref="I47"/>
    <hyperlink r:id="rId71" ref="H48"/>
    <hyperlink r:id="rId72" ref="I48"/>
    <hyperlink r:id="rId73" ref="H49"/>
    <hyperlink r:id="rId74" ref="I49"/>
    <hyperlink r:id="rId75" ref="H50"/>
    <hyperlink r:id="rId76" ref="H51"/>
    <hyperlink r:id="rId77" ref="I51"/>
    <hyperlink r:id="rId78" ref="J51"/>
    <hyperlink r:id="rId79" ref="H52"/>
    <hyperlink r:id="rId80" ref="I52"/>
    <hyperlink r:id="rId81" ref="H53"/>
    <hyperlink r:id="rId82" ref="J53"/>
    <hyperlink r:id="rId83" ref="H54"/>
    <hyperlink r:id="rId84" ref="H55"/>
    <hyperlink r:id="rId85" ref="J55"/>
    <hyperlink r:id="rId86" ref="H56"/>
    <hyperlink r:id="rId87" ref="J56"/>
    <hyperlink r:id="rId88" ref="H57"/>
    <hyperlink r:id="rId89" ref="I57"/>
    <hyperlink r:id="rId90" ref="J57"/>
    <hyperlink r:id="rId91" ref="H58"/>
    <hyperlink r:id="rId92" ref="I58"/>
    <hyperlink r:id="rId93" ref="J58"/>
    <hyperlink r:id="rId94" ref="H59"/>
    <hyperlink r:id="rId95" ref="I59"/>
    <hyperlink r:id="rId96" ref="H60"/>
    <hyperlink r:id="rId97" ref="H61"/>
    <hyperlink r:id="rId98" ref="H62"/>
    <hyperlink r:id="rId99" ref="I62"/>
    <hyperlink r:id="rId100" ref="J62"/>
    <hyperlink r:id="rId101" ref="H63"/>
    <hyperlink r:id="rId102" ref="H64"/>
    <hyperlink r:id="rId103" ref="I64"/>
    <hyperlink r:id="rId104" ref="H65"/>
    <hyperlink r:id="rId105" ref="I65"/>
    <hyperlink r:id="rId106" ref="J65"/>
    <hyperlink r:id="rId107" ref="H66"/>
    <hyperlink r:id="rId108" ref="I66"/>
    <hyperlink r:id="rId109" ref="H67"/>
    <hyperlink r:id="rId110" ref="I67"/>
    <hyperlink r:id="rId111" ref="H68"/>
    <hyperlink r:id="rId112" ref="I68"/>
    <hyperlink r:id="rId113" ref="H69"/>
    <hyperlink r:id="rId114" ref="H70"/>
    <hyperlink r:id="rId115" ref="H71"/>
    <hyperlink r:id="rId116" ref="H72"/>
    <hyperlink r:id="rId117" ref="H73"/>
    <hyperlink r:id="rId118" ref="H74"/>
    <hyperlink r:id="rId119" ref="H75"/>
    <hyperlink r:id="rId120" ref="H76"/>
    <hyperlink r:id="rId121" ref="I76"/>
    <hyperlink r:id="rId122" ref="J76"/>
    <hyperlink r:id="rId123" ref="H77"/>
    <hyperlink r:id="rId124" ref="I77"/>
    <hyperlink r:id="rId125" ref="H78"/>
    <hyperlink r:id="rId126" ref="H79"/>
    <hyperlink r:id="rId127" ref="H80"/>
    <hyperlink r:id="rId128" ref="H81"/>
    <hyperlink r:id="rId129" ref="H82"/>
    <hyperlink r:id="rId130" ref="H83"/>
    <hyperlink r:id="rId131" ref="H84"/>
    <hyperlink r:id="rId132" ref="I84"/>
    <hyperlink r:id="rId133" ref="H85"/>
    <hyperlink r:id="rId134" ref="J85"/>
    <hyperlink r:id="rId135" ref="H86"/>
    <hyperlink r:id="rId136" ref="H87"/>
    <hyperlink r:id="rId137" ref="H88"/>
    <hyperlink r:id="rId138" ref="I88"/>
    <hyperlink r:id="rId139" ref="H89"/>
    <hyperlink r:id="rId140" ref="H90"/>
    <hyperlink r:id="rId141" ref="H91"/>
    <hyperlink r:id="rId142" ref="H92"/>
    <hyperlink r:id="rId143" ref="I92"/>
    <hyperlink r:id="rId144" ref="H93"/>
    <hyperlink r:id="rId145" ref="H94"/>
    <hyperlink r:id="rId146" ref="I94"/>
    <hyperlink r:id="rId147" ref="H95"/>
    <hyperlink r:id="rId148" ref="I95"/>
    <hyperlink r:id="rId149" ref="H96"/>
    <hyperlink r:id="rId150" ref="H97"/>
    <hyperlink r:id="rId151" ref="H98"/>
    <hyperlink r:id="rId152" ref="J98"/>
    <hyperlink r:id="rId153" ref="J99"/>
    <hyperlink r:id="rId154" ref="H100"/>
    <hyperlink r:id="rId155" ref="I100"/>
    <hyperlink r:id="rId156" ref="J100"/>
    <hyperlink r:id="rId157" ref="J101"/>
    <hyperlink r:id="rId158" ref="H102"/>
    <hyperlink r:id="rId159" ref="I102"/>
    <hyperlink r:id="rId160" ref="H103"/>
    <hyperlink r:id="rId161" ref="I103"/>
    <hyperlink r:id="rId162" ref="J103"/>
    <hyperlink r:id="rId163" ref="H104"/>
    <hyperlink r:id="rId164" ref="I104"/>
    <hyperlink r:id="rId165" ref="H105"/>
    <hyperlink r:id="rId166" ref="I105"/>
    <hyperlink r:id="rId167" ref="H106"/>
    <hyperlink r:id="rId168" ref="H107"/>
    <hyperlink r:id="rId169" ref="H108"/>
    <hyperlink r:id="rId170" ref="H109"/>
    <hyperlink r:id="rId171" ref="I109"/>
    <hyperlink r:id="rId172" ref="J109"/>
    <hyperlink r:id="rId173" ref="H110"/>
    <hyperlink r:id="rId174" ref="H111"/>
    <hyperlink r:id="rId175" ref="I111"/>
    <hyperlink r:id="rId176" ref="H112"/>
    <hyperlink r:id="rId177" ref="I112"/>
    <hyperlink r:id="rId178" ref="H113"/>
    <hyperlink r:id="rId179" ref="H114"/>
    <hyperlink r:id="rId180" ref="J114"/>
    <hyperlink r:id="rId181" ref="J115"/>
    <hyperlink r:id="rId182" ref="J116"/>
    <hyperlink r:id="rId183" ref="H117"/>
    <hyperlink r:id="rId184" ref="H118"/>
    <hyperlink r:id="rId185" ref="I118"/>
    <hyperlink r:id="rId186" ref="H119"/>
    <hyperlink r:id="rId187" ref="H120"/>
    <hyperlink r:id="rId188" ref="H121"/>
    <hyperlink r:id="rId189" ref="H122"/>
    <hyperlink r:id="rId190" ref="I122"/>
    <hyperlink r:id="rId191" ref="H123"/>
    <hyperlink r:id="rId192" ref="H124"/>
    <hyperlink r:id="rId193" ref="H125"/>
    <hyperlink r:id="rId194" ref="H126"/>
    <hyperlink r:id="rId195" ref="H127"/>
    <hyperlink r:id="rId196" ref="H128"/>
    <hyperlink r:id="rId197" ref="I128"/>
    <hyperlink r:id="rId198" ref="H129"/>
    <hyperlink r:id="rId199" ref="I129"/>
    <hyperlink r:id="rId200" ref="H130"/>
    <hyperlink r:id="rId201" ref="J130"/>
    <hyperlink r:id="rId202" ref="H131"/>
    <hyperlink r:id="rId203" ref="H132"/>
    <hyperlink r:id="rId204" ref="H133"/>
    <hyperlink r:id="rId205" ref="H134"/>
    <hyperlink r:id="rId206" ref="I134"/>
    <hyperlink r:id="rId207" ref="H135"/>
    <hyperlink r:id="rId208" ref="I135"/>
    <hyperlink r:id="rId209" ref="J136"/>
    <hyperlink r:id="rId210" ref="H137"/>
    <hyperlink r:id="rId211" ref="H138"/>
    <hyperlink r:id="rId212" ref="H139"/>
    <hyperlink r:id="rId213" ref="I139"/>
    <hyperlink r:id="rId214" ref="H140"/>
    <hyperlink r:id="rId215" ref="H141"/>
    <hyperlink r:id="rId216" ref="I141"/>
    <hyperlink r:id="rId217" ref="H142"/>
    <hyperlink r:id="rId218" ref="H143"/>
    <hyperlink r:id="rId219" ref="H144"/>
    <hyperlink r:id="rId220" ref="I144"/>
    <hyperlink r:id="rId221" ref="H145"/>
    <hyperlink r:id="rId222" ref="H146"/>
    <hyperlink r:id="rId223" ref="I146"/>
    <hyperlink r:id="rId224" ref="H147"/>
    <hyperlink r:id="rId225" ref="I147"/>
    <hyperlink r:id="rId226" ref="H148"/>
    <hyperlink r:id="rId227" ref="I148"/>
    <hyperlink r:id="rId228" ref="J148"/>
    <hyperlink r:id="rId229" ref="H149"/>
    <hyperlink r:id="rId230" ref="I149"/>
    <hyperlink r:id="rId231" ref="H150"/>
    <hyperlink r:id="rId232" ref="J150"/>
    <hyperlink r:id="rId233" ref="H151"/>
    <hyperlink r:id="rId234" ref="H152"/>
    <hyperlink r:id="rId235" ref="H153"/>
    <hyperlink r:id="rId236" ref="I153"/>
    <hyperlink r:id="rId237" ref="H154"/>
    <hyperlink r:id="rId238" ref="H155"/>
    <hyperlink r:id="rId239" ref="H156"/>
    <hyperlink r:id="rId240" ref="H157"/>
    <hyperlink r:id="rId241" ref="H158"/>
    <hyperlink r:id="rId242" ref="I158"/>
    <hyperlink r:id="rId243" ref="H159"/>
    <hyperlink r:id="rId244" ref="H160"/>
    <hyperlink r:id="rId245" ref="H161"/>
    <hyperlink r:id="rId246" ref="J161"/>
    <hyperlink r:id="rId247" ref="H162"/>
    <hyperlink r:id="rId248" ref="I162"/>
    <hyperlink r:id="rId249" ref="H163"/>
    <hyperlink r:id="rId250" ref="H164"/>
    <hyperlink r:id="rId251" ref="I164"/>
    <hyperlink r:id="rId252" ref="H165"/>
    <hyperlink r:id="rId253" ref="I165"/>
    <hyperlink r:id="rId254" ref="H166"/>
    <hyperlink r:id="rId255" ref="I166"/>
    <hyperlink r:id="rId256" ref="H167"/>
    <hyperlink r:id="rId257" ref="H168"/>
    <hyperlink r:id="rId258" ref="H169"/>
    <hyperlink r:id="rId259" ref="H170"/>
    <hyperlink r:id="rId260" ref="I170"/>
    <hyperlink r:id="rId261" ref="H171"/>
    <hyperlink r:id="rId262" ref="J171"/>
    <hyperlink r:id="rId263" ref="H172"/>
    <hyperlink r:id="rId264" ref="I172"/>
    <hyperlink r:id="rId265" ref="H173"/>
    <hyperlink r:id="rId266" ref="H174"/>
    <hyperlink r:id="rId267" ref="J174"/>
    <hyperlink r:id="rId268" ref="H175"/>
    <hyperlink r:id="rId269" ref="I175"/>
    <hyperlink r:id="rId270" ref="H176"/>
    <hyperlink r:id="rId271" ref="I176"/>
    <hyperlink r:id="rId272" ref="H177"/>
    <hyperlink r:id="rId273" ref="H178"/>
    <hyperlink r:id="rId274" ref="I178"/>
    <hyperlink r:id="rId275" ref="J178"/>
    <hyperlink r:id="rId276" ref="H179"/>
    <hyperlink r:id="rId277" ref="H180"/>
    <hyperlink r:id="rId278" ref="I180"/>
    <hyperlink r:id="rId279" ref="H181"/>
    <hyperlink r:id="rId280" ref="H182"/>
    <hyperlink r:id="rId281" ref="H183"/>
    <hyperlink r:id="rId282" ref="J183"/>
    <hyperlink r:id="rId283" ref="H184"/>
    <hyperlink r:id="rId284" ref="I184"/>
    <hyperlink r:id="rId285" ref="H185"/>
    <hyperlink r:id="rId286" ref="H186"/>
    <hyperlink r:id="rId287" ref="H187"/>
    <hyperlink r:id="rId288" ref="J187"/>
    <hyperlink r:id="rId289" ref="H188"/>
    <hyperlink r:id="rId290" ref="I188"/>
    <hyperlink r:id="rId291" ref="J188"/>
    <hyperlink r:id="rId292" ref="H189"/>
    <hyperlink r:id="rId293" ref="H190"/>
    <hyperlink r:id="rId294" ref="H191"/>
    <hyperlink r:id="rId295" ref="H192"/>
    <hyperlink r:id="rId296" ref="H193"/>
    <hyperlink r:id="rId297" ref="I193"/>
    <hyperlink r:id="rId298" ref="J193"/>
    <hyperlink r:id="rId299" ref="H194"/>
    <hyperlink r:id="rId300" ref="I194"/>
    <hyperlink r:id="rId301" ref="H195"/>
    <hyperlink r:id="rId302" ref="H196"/>
    <hyperlink r:id="rId303" ref="H197"/>
    <hyperlink r:id="rId304" ref="H198"/>
    <hyperlink r:id="rId305" ref="H199"/>
    <hyperlink r:id="rId306" ref="H200"/>
    <hyperlink r:id="rId307" ref="I200"/>
    <hyperlink r:id="rId308" ref="H201"/>
    <hyperlink r:id="rId309" ref="I201"/>
    <hyperlink r:id="rId310" ref="H202"/>
    <hyperlink r:id="rId311" ref="H203"/>
    <hyperlink r:id="rId312" ref="H204"/>
    <hyperlink r:id="rId313" ref="H205"/>
    <hyperlink r:id="rId314" ref="J205"/>
    <hyperlink r:id="rId315" ref="H206"/>
    <hyperlink r:id="rId316" ref="H207"/>
    <hyperlink r:id="rId317" ref="H208"/>
    <hyperlink r:id="rId318" ref="H209"/>
    <hyperlink r:id="rId319" ref="I209"/>
    <hyperlink r:id="rId320" ref="H210"/>
    <hyperlink r:id="rId321" ref="H211"/>
    <hyperlink r:id="rId322" ref="I211"/>
    <hyperlink r:id="rId323" ref="H212"/>
    <hyperlink r:id="rId324" ref="H213"/>
    <hyperlink r:id="rId325" ref="H214"/>
    <hyperlink r:id="rId326" ref="H215"/>
    <hyperlink r:id="rId327" ref="J216"/>
    <hyperlink r:id="rId328" ref="H217"/>
    <hyperlink r:id="rId329" ref="I217"/>
    <hyperlink r:id="rId330" ref="J217"/>
    <hyperlink r:id="rId331" ref="H218"/>
    <hyperlink r:id="rId332" ref="H219"/>
    <hyperlink r:id="rId333" ref="I219"/>
    <hyperlink r:id="rId334" ref="H220"/>
    <hyperlink r:id="rId335" ref="J221"/>
    <hyperlink r:id="rId336" ref="H222"/>
    <hyperlink r:id="rId337" ref="H223"/>
    <hyperlink r:id="rId338" ref="H224"/>
    <hyperlink r:id="rId339" ref="J225"/>
    <hyperlink r:id="rId340" ref="H226"/>
    <hyperlink r:id="rId341" ref="I226"/>
    <hyperlink r:id="rId342" ref="J227"/>
    <hyperlink r:id="rId343" ref="H228"/>
    <hyperlink r:id="rId344" ref="J229"/>
    <hyperlink r:id="rId345" ref="J230"/>
    <hyperlink r:id="rId346" ref="J231"/>
    <hyperlink r:id="rId347" ref="J232"/>
    <hyperlink r:id="rId348" ref="H233"/>
    <hyperlink r:id="rId349" ref="I233"/>
    <hyperlink r:id="rId350" ref="J233"/>
    <hyperlink r:id="rId351" ref="J234"/>
    <hyperlink r:id="rId352" ref="J235"/>
    <hyperlink r:id="rId353" ref="H236"/>
    <hyperlink r:id="rId354" ref="I236"/>
    <hyperlink r:id="rId355" ref="J237"/>
    <hyperlink r:id="rId356" ref="H238"/>
    <hyperlink r:id="rId357" ref="I238"/>
    <hyperlink r:id="rId358" ref="H239"/>
    <hyperlink r:id="rId359" ref="H240"/>
    <hyperlink r:id="rId360" ref="J240"/>
    <hyperlink r:id="rId361" ref="I241"/>
    <hyperlink r:id="rId362" ref="J242"/>
    <hyperlink r:id="rId363" ref="H243"/>
    <hyperlink r:id="rId364" ref="I243"/>
    <hyperlink r:id="rId365" ref="I244"/>
    <hyperlink r:id="rId366" ref="H245"/>
    <hyperlink r:id="rId367" ref="I246"/>
    <hyperlink r:id="rId368" ref="H247"/>
    <hyperlink r:id="rId369" ref="J248"/>
    <hyperlink r:id="rId370" ref="I249"/>
    <hyperlink r:id="rId371" ref="H250"/>
    <hyperlink r:id="rId372" ref="I250"/>
    <hyperlink r:id="rId373" ref="J250"/>
    <hyperlink r:id="rId374" ref="J251"/>
    <hyperlink r:id="rId375" ref="J252"/>
    <hyperlink r:id="rId376" ref="J253"/>
    <hyperlink r:id="rId377" ref="J254"/>
    <hyperlink r:id="rId378" ref="H255"/>
    <hyperlink r:id="rId379" ref="J255"/>
    <hyperlink r:id="rId380" ref="J256"/>
  </hyperlinks>
  <drawing r:id="rId38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8.75"/>
    <col customWidth="1" min="3" max="3" width="26.75"/>
    <col customWidth="1" min="4" max="4" width="4.38"/>
    <col customWidth="1" min="5" max="5" width="10.0"/>
    <col customWidth="1" min="6" max="7" width="4.13"/>
    <col customWidth="1" min="8" max="8" width="43.75"/>
    <col customWidth="1" min="9" max="9" width="26.88"/>
    <col customWidth="1" min="10" max="10" width="32.63"/>
    <col customWidth="1" min="11" max="11" width="29.38"/>
    <col customWidth="1" min="12" max="12" width="3.88"/>
    <col customWidth="1" min="13" max="13" width="7.25"/>
    <col customWidth="1" min="14" max="14" width="6.13"/>
    <col customWidth="1" min="15" max="15" width="4.5"/>
    <col customWidth="1" min="16" max="16" width="4.13"/>
    <col customWidth="1" min="17" max="17" width="5.13"/>
    <col customWidth="1" min="18" max="18" width="4.25"/>
    <col customWidth="1" min="19" max="19" width="4.5"/>
  </cols>
  <sheetData>
    <row r="1">
      <c r="A1" s="7" t="s">
        <v>19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>
      <c r="A2" s="78"/>
      <c r="B2" s="4"/>
      <c r="C2" s="131" t="s">
        <v>10348</v>
      </c>
      <c r="D2" s="4" t="s">
        <v>99</v>
      </c>
      <c r="E2" s="4" t="s">
        <v>10349</v>
      </c>
      <c r="F2" s="27"/>
      <c r="G2" s="27"/>
      <c r="H2" s="29" t="s">
        <v>10350</v>
      </c>
      <c r="I2" s="29" t="s">
        <v>10351</v>
      </c>
      <c r="J2" s="27"/>
      <c r="N2" s="8"/>
    </row>
    <row r="3">
      <c r="A3" s="1">
        <v>32715.0</v>
      </c>
      <c r="B3" s="4"/>
      <c r="C3" s="28" t="s">
        <v>10352</v>
      </c>
      <c r="D3" s="4" t="s">
        <v>99</v>
      </c>
      <c r="E3" s="4" t="s">
        <v>99</v>
      </c>
      <c r="F3" s="264"/>
      <c r="G3" s="264"/>
      <c r="H3" s="29" t="s">
        <v>10353</v>
      </c>
      <c r="I3" s="27"/>
      <c r="J3" s="27"/>
      <c r="K3" s="258"/>
      <c r="N3" s="8"/>
    </row>
    <row r="4">
      <c r="A4" s="1">
        <v>32713.0</v>
      </c>
      <c r="B4" s="4"/>
      <c r="C4" s="28" t="s">
        <v>963</v>
      </c>
      <c r="D4" s="4" t="s">
        <v>99</v>
      </c>
      <c r="E4" s="4" t="s">
        <v>99</v>
      </c>
      <c r="F4" s="27"/>
      <c r="G4" s="27"/>
      <c r="H4" s="29" t="s">
        <v>10354</v>
      </c>
      <c r="I4" s="27"/>
      <c r="J4" s="27"/>
      <c r="N4" s="8"/>
    </row>
    <row r="5">
      <c r="A5" s="1">
        <v>32712.0</v>
      </c>
      <c r="B5" s="4"/>
      <c r="C5" s="28" t="s">
        <v>804</v>
      </c>
      <c r="D5" s="4" t="s">
        <v>99</v>
      </c>
      <c r="E5" s="4" t="s">
        <v>10355</v>
      </c>
      <c r="F5" s="265"/>
      <c r="G5" s="265"/>
      <c r="H5" s="29" t="s">
        <v>10356</v>
      </c>
      <c r="I5" s="27"/>
      <c r="J5" s="27"/>
    </row>
    <row r="6">
      <c r="A6" s="1">
        <v>32711.0</v>
      </c>
      <c r="B6" s="4"/>
      <c r="C6" s="28" t="s">
        <v>10357</v>
      </c>
      <c r="D6" s="4" t="s">
        <v>99</v>
      </c>
      <c r="E6" s="4" t="s">
        <v>99</v>
      </c>
      <c r="F6" s="27"/>
      <c r="G6" s="27"/>
      <c r="H6" s="43" t="s">
        <v>10358</v>
      </c>
      <c r="I6" s="27"/>
      <c r="J6" s="27"/>
    </row>
    <row r="7">
      <c r="A7" s="1">
        <v>25101.0</v>
      </c>
      <c r="B7" s="4"/>
      <c r="C7" s="131" t="s">
        <v>10359</v>
      </c>
      <c r="D7" s="4" t="s">
        <v>99</v>
      </c>
      <c r="E7" s="4" t="s">
        <v>99</v>
      </c>
      <c r="F7" s="27"/>
      <c r="G7" s="27"/>
      <c r="H7" s="29" t="s">
        <v>10360</v>
      </c>
      <c r="I7" s="27"/>
      <c r="J7" s="29" t="s">
        <v>10361</v>
      </c>
    </row>
    <row r="8">
      <c r="A8" s="1">
        <v>32708.0</v>
      </c>
      <c r="B8" s="4"/>
      <c r="C8" s="28" t="s">
        <v>10362</v>
      </c>
      <c r="D8" s="4" t="s">
        <v>99</v>
      </c>
      <c r="E8" s="4" t="s">
        <v>10363</v>
      </c>
      <c r="F8" s="4"/>
      <c r="G8" s="4"/>
      <c r="H8" s="29" t="s">
        <v>10364</v>
      </c>
      <c r="I8" s="27"/>
      <c r="J8" s="29" t="s">
        <v>10365</v>
      </c>
    </row>
    <row r="9">
      <c r="A9" s="1">
        <v>32706.0</v>
      </c>
      <c r="B9" s="4"/>
      <c r="C9" s="28" t="s">
        <v>10366</v>
      </c>
      <c r="D9" s="4" t="s">
        <v>99</v>
      </c>
      <c r="E9" s="4" t="s">
        <v>99</v>
      </c>
      <c r="F9" s="27"/>
      <c r="G9" s="27"/>
      <c r="H9" s="29" t="s">
        <v>10367</v>
      </c>
      <c r="I9" s="27"/>
      <c r="J9" s="29" t="s">
        <v>10368</v>
      </c>
      <c r="K9" s="266"/>
    </row>
    <row r="10">
      <c r="A10" s="1">
        <v>32705.0</v>
      </c>
      <c r="B10" s="4"/>
      <c r="C10" s="28" t="s">
        <v>6562</v>
      </c>
      <c r="D10" s="4" t="s">
        <v>99</v>
      </c>
      <c r="E10" s="4" t="s">
        <v>99</v>
      </c>
      <c r="F10" s="27"/>
      <c r="G10" s="27"/>
      <c r="H10" s="29" t="s">
        <v>10369</v>
      </c>
      <c r="I10" s="27"/>
      <c r="J10" s="27"/>
    </row>
    <row r="11">
      <c r="A11" s="1">
        <v>32704.0</v>
      </c>
      <c r="B11" s="4"/>
      <c r="C11" s="131" t="s">
        <v>10370</v>
      </c>
      <c r="D11" s="4" t="s">
        <v>99</v>
      </c>
      <c r="E11" s="4" t="s">
        <v>99</v>
      </c>
      <c r="F11" s="27"/>
      <c r="G11" s="27"/>
      <c r="H11" s="29" t="s">
        <v>10371</v>
      </c>
      <c r="I11" s="29" t="s">
        <v>10372</v>
      </c>
      <c r="J11" s="27"/>
    </row>
    <row r="12">
      <c r="A12" s="1">
        <v>32703.0</v>
      </c>
      <c r="B12" s="4"/>
      <c r="C12" s="28" t="s">
        <v>10373</v>
      </c>
      <c r="D12" s="4" t="s">
        <v>99</v>
      </c>
      <c r="E12" s="4" t="s">
        <v>99</v>
      </c>
      <c r="F12" s="27"/>
      <c r="G12" s="27"/>
      <c r="H12" s="29" t="s">
        <v>10374</v>
      </c>
      <c r="I12" s="27"/>
      <c r="J12" s="27"/>
    </row>
    <row r="13">
      <c r="A13" s="1">
        <v>32702.0</v>
      </c>
      <c r="B13" s="4"/>
      <c r="C13" s="28" t="s">
        <v>74</v>
      </c>
      <c r="D13" s="4" t="s">
        <v>99</v>
      </c>
      <c r="E13" s="4" t="s">
        <v>10375</v>
      </c>
      <c r="F13" s="27"/>
      <c r="G13" s="27"/>
      <c r="H13" s="29" t="s">
        <v>10376</v>
      </c>
      <c r="I13" s="27"/>
      <c r="J13" s="27"/>
    </row>
    <row r="14">
      <c r="A14" s="1">
        <v>32701.0</v>
      </c>
      <c r="B14" s="4"/>
      <c r="C14" s="28" t="s">
        <v>871</v>
      </c>
      <c r="D14" s="4" t="s">
        <v>99</v>
      </c>
      <c r="E14" s="4" t="s">
        <v>99</v>
      </c>
      <c r="F14" s="27"/>
      <c r="G14" s="27"/>
      <c r="H14" s="29" t="s">
        <v>10377</v>
      </c>
      <c r="I14" s="27"/>
      <c r="J14" s="27"/>
    </row>
    <row r="15">
      <c r="A15" s="1">
        <v>32699.0</v>
      </c>
      <c r="B15" s="4"/>
      <c r="C15" s="28" t="s">
        <v>10378</v>
      </c>
      <c r="D15" s="4" t="s">
        <v>99</v>
      </c>
      <c r="E15" s="4" t="s">
        <v>99</v>
      </c>
      <c r="F15" s="27"/>
      <c r="G15" s="27"/>
      <c r="H15" s="29" t="s">
        <v>10379</v>
      </c>
      <c r="I15" s="27"/>
      <c r="J15" s="27"/>
    </row>
    <row r="16">
      <c r="A16" s="1">
        <v>32698.0</v>
      </c>
      <c r="B16" s="4"/>
      <c r="C16" s="28" t="s">
        <v>773</v>
      </c>
      <c r="D16" s="4" t="s">
        <v>99</v>
      </c>
      <c r="E16" s="4" t="s">
        <v>99</v>
      </c>
      <c r="F16" s="27"/>
      <c r="G16" s="27"/>
      <c r="H16" s="29" t="s">
        <v>10380</v>
      </c>
      <c r="I16" s="29" t="s">
        <v>10381</v>
      </c>
      <c r="J16" s="27"/>
    </row>
    <row r="17">
      <c r="A17" s="1">
        <v>32695.0</v>
      </c>
      <c r="B17" s="4"/>
      <c r="C17" s="28" t="s">
        <v>10382</v>
      </c>
      <c r="D17" s="4" t="s">
        <v>99</v>
      </c>
      <c r="E17" s="4" t="s">
        <v>10383</v>
      </c>
      <c r="F17" s="27"/>
      <c r="G17" s="27"/>
      <c r="H17" s="29" t="s">
        <v>10384</v>
      </c>
      <c r="I17" s="27"/>
      <c r="J17" s="27"/>
    </row>
    <row r="18">
      <c r="A18" s="78"/>
      <c r="B18" s="4"/>
      <c r="C18" s="131" t="s">
        <v>10385</v>
      </c>
      <c r="D18" s="4" t="s">
        <v>99</v>
      </c>
      <c r="E18" s="4" t="s">
        <v>99</v>
      </c>
      <c r="F18" s="27"/>
      <c r="G18" s="27"/>
      <c r="H18" s="29" t="s">
        <v>10386</v>
      </c>
      <c r="I18" s="27"/>
      <c r="J18" s="27"/>
    </row>
    <row r="19">
      <c r="A19" s="1">
        <v>32672.0</v>
      </c>
      <c r="B19" s="27"/>
      <c r="C19" s="28" t="s">
        <v>10387</v>
      </c>
      <c r="D19" s="4" t="s">
        <v>99</v>
      </c>
      <c r="E19" s="4" t="s">
        <v>10388</v>
      </c>
      <c r="F19" s="27"/>
      <c r="G19" s="27"/>
      <c r="H19" s="29" t="s">
        <v>10389</v>
      </c>
      <c r="I19" s="27"/>
      <c r="J19" s="27"/>
    </row>
    <row r="20">
      <c r="A20" s="1">
        <v>32649.0</v>
      </c>
      <c r="B20" s="27"/>
      <c r="C20" s="28" t="s">
        <v>10390</v>
      </c>
      <c r="D20" s="4" t="s">
        <v>99</v>
      </c>
      <c r="E20" s="4" t="s">
        <v>99</v>
      </c>
      <c r="F20" s="27"/>
      <c r="G20" s="27"/>
      <c r="H20" s="29" t="s">
        <v>10391</v>
      </c>
      <c r="I20" s="27"/>
      <c r="J20" s="27"/>
    </row>
    <row r="21">
      <c r="A21" s="1">
        <v>30386.0</v>
      </c>
      <c r="B21" s="27"/>
      <c r="C21" s="28" t="s">
        <v>10392</v>
      </c>
      <c r="D21" s="4" t="s">
        <v>99</v>
      </c>
      <c r="E21" s="4" t="s">
        <v>99</v>
      </c>
      <c r="F21" s="27"/>
      <c r="G21" s="27"/>
      <c r="H21" s="29" t="s">
        <v>10393</v>
      </c>
      <c r="I21" s="27"/>
      <c r="J21" s="27"/>
    </row>
    <row r="22">
      <c r="A22" s="1">
        <v>30385.0</v>
      </c>
      <c r="B22" s="27"/>
      <c r="C22" s="28" t="s">
        <v>10394</v>
      </c>
      <c r="D22" s="4" t="s">
        <v>99</v>
      </c>
      <c r="E22" s="4" t="s">
        <v>99</v>
      </c>
      <c r="F22" s="27"/>
      <c r="G22" s="27"/>
      <c r="H22" s="29" t="s">
        <v>10395</v>
      </c>
      <c r="I22" s="27"/>
      <c r="J22" s="27"/>
    </row>
    <row r="23">
      <c r="A23" s="1">
        <v>29925.0</v>
      </c>
      <c r="B23" s="27"/>
      <c r="C23" s="28" t="s">
        <v>10396</v>
      </c>
      <c r="D23" s="4" t="s">
        <v>99</v>
      </c>
      <c r="E23" s="4" t="s">
        <v>99</v>
      </c>
      <c r="F23" s="27"/>
      <c r="G23" s="27"/>
      <c r="H23" s="27"/>
      <c r="I23" s="27"/>
      <c r="J23" s="29" t="s">
        <v>10397</v>
      </c>
    </row>
    <row r="24">
      <c r="A24" s="1">
        <v>29921.0</v>
      </c>
      <c r="B24" s="27"/>
      <c r="C24" s="28" t="s">
        <v>10398</v>
      </c>
      <c r="D24" s="4" t="s">
        <v>99</v>
      </c>
      <c r="E24" s="4" t="s">
        <v>99</v>
      </c>
      <c r="F24" s="27"/>
      <c r="G24" s="27"/>
      <c r="H24" s="29" t="s">
        <v>10399</v>
      </c>
      <c r="I24" s="27"/>
      <c r="J24" s="27"/>
    </row>
    <row r="25">
      <c r="A25" s="1">
        <v>29381.0</v>
      </c>
      <c r="B25" s="27"/>
      <c r="C25" s="28" t="s">
        <v>10400</v>
      </c>
      <c r="D25" s="4" t="s">
        <v>99</v>
      </c>
      <c r="E25" s="4" t="s">
        <v>10401</v>
      </c>
      <c r="F25" s="27"/>
      <c r="G25" s="27"/>
      <c r="H25" s="29" t="s">
        <v>10402</v>
      </c>
      <c r="I25" s="27"/>
      <c r="J25" s="27"/>
    </row>
    <row r="26">
      <c r="A26" s="1">
        <v>26637.0</v>
      </c>
      <c r="B26" s="27"/>
      <c r="C26" s="28" t="s">
        <v>10403</v>
      </c>
      <c r="D26" s="4" t="s">
        <v>99</v>
      </c>
      <c r="E26" s="4" t="s">
        <v>99</v>
      </c>
      <c r="F26" s="27"/>
      <c r="G26" s="27"/>
      <c r="H26" s="29" t="s">
        <v>10404</v>
      </c>
      <c r="I26" s="27"/>
      <c r="J26" s="27"/>
    </row>
    <row r="27">
      <c r="A27" s="1">
        <v>26351.0</v>
      </c>
      <c r="B27" s="27"/>
      <c r="C27" s="28" t="s">
        <v>10405</v>
      </c>
      <c r="D27" s="4" t="s">
        <v>99</v>
      </c>
      <c r="E27" s="4" t="s">
        <v>10406</v>
      </c>
      <c r="F27" s="27"/>
      <c r="G27" s="27"/>
      <c r="H27" s="29" t="s">
        <v>10407</v>
      </c>
      <c r="I27" s="27"/>
      <c r="J27" s="27"/>
    </row>
    <row r="28">
      <c r="A28" s="1">
        <v>26348.0</v>
      </c>
      <c r="B28" s="27"/>
      <c r="C28" s="28" t="s">
        <v>10408</v>
      </c>
      <c r="D28" s="4" t="s">
        <v>99</v>
      </c>
      <c r="E28" s="4" t="s">
        <v>10409</v>
      </c>
      <c r="F28" s="27"/>
      <c r="G28" s="27"/>
      <c r="H28" s="29" t="s">
        <v>10410</v>
      </c>
      <c r="I28" s="27"/>
      <c r="J28" s="27"/>
    </row>
    <row r="29">
      <c r="A29" s="1">
        <v>26346.0</v>
      </c>
      <c r="B29" s="27"/>
      <c r="C29" s="28" t="s">
        <v>10411</v>
      </c>
      <c r="D29" s="4" t="s">
        <v>99</v>
      </c>
      <c r="E29" s="4" t="s">
        <v>10412</v>
      </c>
      <c r="F29" s="27"/>
      <c r="G29" s="27"/>
      <c r="H29" s="29" t="s">
        <v>10413</v>
      </c>
      <c r="I29" s="27"/>
      <c r="J29" s="27"/>
    </row>
    <row r="30">
      <c r="A30" s="1">
        <v>26341.0</v>
      </c>
      <c r="B30" s="27"/>
      <c r="C30" s="28" t="s">
        <v>804</v>
      </c>
      <c r="D30" s="4" t="s">
        <v>99</v>
      </c>
      <c r="E30" s="4" t="s">
        <v>99</v>
      </c>
      <c r="F30" s="27"/>
      <c r="G30" s="27"/>
      <c r="H30" s="29" t="s">
        <v>10414</v>
      </c>
      <c r="I30" s="27"/>
      <c r="J30" s="27"/>
    </row>
    <row r="31">
      <c r="A31" s="1">
        <v>25109.0</v>
      </c>
      <c r="B31" s="27"/>
      <c r="C31" s="28" t="s">
        <v>7317</v>
      </c>
      <c r="D31" s="4" t="s">
        <v>99</v>
      </c>
      <c r="E31" s="4" t="s">
        <v>10415</v>
      </c>
      <c r="F31" s="27"/>
      <c r="G31" s="27"/>
      <c r="H31" s="29" t="s">
        <v>10416</v>
      </c>
      <c r="I31" s="27"/>
      <c r="J31" s="27"/>
    </row>
    <row r="32">
      <c r="A32" s="1">
        <v>25107.0</v>
      </c>
      <c r="B32" s="27"/>
      <c r="C32" s="28" t="s">
        <v>10417</v>
      </c>
      <c r="D32" s="4" t="s">
        <v>99</v>
      </c>
      <c r="E32" s="4" t="s">
        <v>99</v>
      </c>
      <c r="F32" s="27"/>
      <c r="G32" s="27"/>
      <c r="H32" s="27"/>
      <c r="I32" s="27"/>
      <c r="J32" s="29" t="s">
        <v>10418</v>
      </c>
    </row>
    <row r="33">
      <c r="A33" s="1">
        <v>20912.0</v>
      </c>
      <c r="B33" s="27"/>
      <c r="C33" s="28" t="s">
        <v>8507</v>
      </c>
      <c r="D33" s="4" t="s">
        <v>99</v>
      </c>
      <c r="E33" s="4" t="s">
        <v>99</v>
      </c>
      <c r="F33" s="27"/>
      <c r="G33" s="27"/>
      <c r="H33" s="29" t="s">
        <v>10419</v>
      </c>
      <c r="I33" s="27"/>
      <c r="J33" s="27"/>
    </row>
    <row r="34">
      <c r="A34" s="1">
        <v>20910.0</v>
      </c>
      <c r="B34" s="27"/>
      <c r="C34" s="28" t="s">
        <v>7420</v>
      </c>
      <c r="D34" s="4" t="s">
        <v>99</v>
      </c>
      <c r="E34" s="4" t="s">
        <v>10420</v>
      </c>
      <c r="F34" s="27"/>
      <c r="G34" s="27"/>
      <c r="H34" s="29" t="s">
        <v>10421</v>
      </c>
      <c r="I34" s="27"/>
      <c r="J34" s="27"/>
    </row>
    <row r="35">
      <c r="A35" s="1">
        <v>20906.0</v>
      </c>
      <c r="B35" s="27"/>
      <c r="C35" s="28" t="s">
        <v>2861</v>
      </c>
      <c r="D35" s="4" t="s">
        <v>99</v>
      </c>
      <c r="E35" s="4" t="s">
        <v>10422</v>
      </c>
      <c r="F35" s="27"/>
      <c r="G35" s="27"/>
      <c r="H35" s="27"/>
      <c r="I35" s="27"/>
      <c r="J35" s="29" t="s">
        <v>1026</v>
      </c>
    </row>
    <row r="36">
      <c r="A36" s="1">
        <v>20905.0</v>
      </c>
      <c r="B36" s="27"/>
      <c r="C36" s="28" t="s">
        <v>10423</v>
      </c>
      <c r="D36" s="4" t="s">
        <v>99</v>
      </c>
      <c r="E36" s="4" t="s">
        <v>99</v>
      </c>
      <c r="F36" s="27"/>
      <c r="G36" s="27"/>
      <c r="H36" s="29" t="s">
        <v>10424</v>
      </c>
      <c r="I36" s="27"/>
      <c r="J36" s="27"/>
    </row>
    <row r="37">
      <c r="A37" s="1">
        <v>20903.0</v>
      </c>
      <c r="B37" s="27"/>
      <c r="C37" s="28" t="s">
        <v>955</v>
      </c>
      <c r="D37" s="4" t="s">
        <v>99</v>
      </c>
      <c r="E37" s="4" t="s">
        <v>99</v>
      </c>
      <c r="F37" s="27"/>
      <c r="G37" s="27"/>
      <c r="H37" s="29" t="s">
        <v>10425</v>
      </c>
      <c r="I37" s="27"/>
      <c r="J37" s="27"/>
    </row>
    <row r="38">
      <c r="A38" s="1">
        <v>20888.0</v>
      </c>
      <c r="B38" s="27"/>
      <c r="C38" s="28" t="s">
        <v>10426</v>
      </c>
      <c r="D38" s="4" t="s">
        <v>99</v>
      </c>
      <c r="E38" s="4" t="s">
        <v>10427</v>
      </c>
      <c r="F38" s="27"/>
      <c r="G38" s="27"/>
      <c r="H38" s="29" t="s">
        <v>10428</v>
      </c>
      <c r="I38" s="27"/>
      <c r="J38" s="27"/>
    </row>
    <row r="39">
      <c r="A39" s="1">
        <v>20886.0</v>
      </c>
      <c r="B39" s="27"/>
      <c r="C39" s="28" t="s">
        <v>4293</v>
      </c>
      <c r="D39" s="4" t="s">
        <v>99</v>
      </c>
      <c r="E39" s="4" t="s">
        <v>10349</v>
      </c>
      <c r="F39" s="27"/>
      <c r="G39" s="27"/>
      <c r="H39" s="29" t="s">
        <v>10429</v>
      </c>
      <c r="I39" s="27"/>
      <c r="J39" s="27"/>
    </row>
    <row r="40">
      <c r="A40" s="1">
        <v>20649.0</v>
      </c>
      <c r="B40" s="27"/>
      <c r="C40" s="28" t="s">
        <v>10430</v>
      </c>
      <c r="D40" s="4" t="s">
        <v>99</v>
      </c>
      <c r="E40" s="4" t="s">
        <v>99</v>
      </c>
      <c r="F40" s="27"/>
      <c r="G40" s="27"/>
      <c r="H40" s="29" t="s">
        <v>10431</v>
      </c>
      <c r="I40" s="29" t="s">
        <v>10432</v>
      </c>
      <c r="J40" s="27"/>
    </row>
    <row r="41">
      <c r="A41" s="1">
        <v>19817.0</v>
      </c>
      <c r="B41" s="27"/>
      <c r="C41" s="28" t="s">
        <v>10433</v>
      </c>
      <c r="D41" s="4" t="s">
        <v>99</v>
      </c>
      <c r="E41" s="4" t="s">
        <v>99</v>
      </c>
      <c r="F41" s="27"/>
      <c r="G41" s="27"/>
      <c r="H41" s="29" t="s">
        <v>10434</v>
      </c>
      <c r="I41" s="27"/>
      <c r="J41" s="27"/>
    </row>
    <row r="42">
      <c r="A42" s="1">
        <v>19868.0</v>
      </c>
      <c r="B42" s="27"/>
      <c r="C42" s="28" t="s">
        <v>813</v>
      </c>
      <c r="D42" s="4" t="s">
        <v>99</v>
      </c>
      <c r="E42" s="4" t="s">
        <v>10349</v>
      </c>
      <c r="F42" s="27"/>
      <c r="G42" s="27"/>
      <c r="H42" s="27"/>
      <c r="I42" s="27"/>
      <c r="J42" s="29" t="s">
        <v>10435</v>
      </c>
    </row>
    <row r="43">
      <c r="A43" s="1">
        <v>19685.0</v>
      </c>
      <c r="B43" s="27"/>
      <c r="C43" s="28" t="s">
        <v>4867</v>
      </c>
      <c r="D43" s="4" t="s">
        <v>99</v>
      </c>
      <c r="E43" s="4" t="s">
        <v>10436</v>
      </c>
      <c r="F43" s="27"/>
      <c r="G43" s="27"/>
      <c r="H43" s="27"/>
      <c r="I43" s="27"/>
      <c r="J43" s="29" t="s">
        <v>10437</v>
      </c>
    </row>
    <row r="44">
      <c r="A44" s="1">
        <v>19684.0</v>
      </c>
      <c r="B44" s="27"/>
      <c r="C44" s="28" t="s">
        <v>8055</v>
      </c>
      <c r="D44" s="4" t="s">
        <v>99</v>
      </c>
      <c r="E44" s="4" t="s">
        <v>10438</v>
      </c>
      <c r="F44" s="27"/>
      <c r="G44" s="27"/>
      <c r="H44" s="29" t="s">
        <v>10439</v>
      </c>
      <c r="I44" s="27"/>
      <c r="J44" s="27"/>
    </row>
    <row r="45">
      <c r="A45" s="1">
        <v>19683.0</v>
      </c>
      <c r="B45" s="27"/>
      <c r="C45" s="28" t="s">
        <v>1975</v>
      </c>
      <c r="D45" s="4" t="s">
        <v>99</v>
      </c>
      <c r="E45" s="4" t="s">
        <v>9707</v>
      </c>
      <c r="F45" s="27"/>
      <c r="G45" s="27"/>
      <c r="H45" s="29" t="s">
        <v>10440</v>
      </c>
      <c r="I45" s="27"/>
      <c r="J45" s="27"/>
    </row>
    <row r="46">
      <c r="A46" s="1">
        <v>19678.0</v>
      </c>
      <c r="B46" s="27"/>
      <c r="C46" s="28" t="s">
        <v>10441</v>
      </c>
      <c r="D46" s="4" t="s">
        <v>99</v>
      </c>
      <c r="E46" s="4" t="s">
        <v>10422</v>
      </c>
      <c r="F46" s="27"/>
      <c r="G46" s="27"/>
      <c r="H46" s="27"/>
      <c r="I46" s="27"/>
      <c r="J46" s="29" t="s">
        <v>10442</v>
      </c>
    </row>
    <row r="47">
      <c r="A47" s="1">
        <v>19677.0</v>
      </c>
      <c r="B47" s="27"/>
      <c r="C47" s="28" t="s">
        <v>10443</v>
      </c>
      <c r="D47" s="4" t="s">
        <v>99</v>
      </c>
      <c r="E47" s="4" t="s">
        <v>10422</v>
      </c>
      <c r="F47" s="27"/>
      <c r="G47" s="27"/>
      <c r="H47" s="29" t="s">
        <v>10444</v>
      </c>
      <c r="I47" s="27"/>
      <c r="J47" s="27"/>
    </row>
    <row r="48">
      <c r="A48" s="1">
        <v>19676.0</v>
      </c>
      <c r="B48" s="27"/>
      <c r="C48" s="28" t="s">
        <v>10445</v>
      </c>
      <c r="D48" s="4" t="s">
        <v>99</v>
      </c>
      <c r="E48" s="4" t="s">
        <v>10412</v>
      </c>
      <c r="F48" s="27"/>
      <c r="G48" s="27"/>
      <c r="H48" s="29" t="s">
        <v>10446</v>
      </c>
      <c r="I48" s="29" t="s">
        <v>10447</v>
      </c>
      <c r="J48" s="27"/>
    </row>
    <row r="49">
      <c r="A49" s="1">
        <v>19675.0</v>
      </c>
      <c r="B49" s="27"/>
      <c r="C49" s="28" t="s">
        <v>855</v>
      </c>
      <c r="D49" s="4" t="s">
        <v>99</v>
      </c>
      <c r="E49" s="4" t="s">
        <v>10412</v>
      </c>
      <c r="F49" s="27"/>
      <c r="G49" s="27"/>
      <c r="H49" s="29" t="s">
        <v>10448</v>
      </c>
      <c r="I49" s="27"/>
      <c r="J49" s="27"/>
    </row>
    <row r="50">
      <c r="A50" s="1">
        <v>19672.0</v>
      </c>
      <c r="B50" s="27"/>
      <c r="C50" s="28" t="s">
        <v>10449</v>
      </c>
      <c r="D50" s="4" t="s">
        <v>99</v>
      </c>
      <c r="E50" s="4" t="s">
        <v>99</v>
      </c>
      <c r="F50" s="27"/>
      <c r="G50" s="27"/>
      <c r="H50" s="29" t="s">
        <v>10450</v>
      </c>
      <c r="I50" s="27"/>
      <c r="J50" s="27"/>
    </row>
    <row r="51">
      <c r="A51" s="1">
        <v>19671.0</v>
      </c>
      <c r="B51" s="27"/>
      <c r="C51" s="28" t="s">
        <v>8151</v>
      </c>
      <c r="D51" s="4" t="s">
        <v>99</v>
      </c>
      <c r="E51" s="4" t="s">
        <v>99</v>
      </c>
      <c r="F51" s="27"/>
      <c r="G51" s="27"/>
      <c r="H51" s="29" t="s">
        <v>10451</v>
      </c>
      <c r="I51" s="29" t="s">
        <v>10452</v>
      </c>
      <c r="J51" s="27"/>
    </row>
    <row r="52">
      <c r="A52" s="1" t="s">
        <v>10453</v>
      </c>
      <c r="B52" s="27"/>
      <c r="C52" s="28" t="s">
        <v>10454</v>
      </c>
      <c r="D52" s="4" t="s">
        <v>99</v>
      </c>
      <c r="E52" s="4" t="s">
        <v>10412</v>
      </c>
      <c r="F52" s="27"/>
      <c r="G52" s="27"/>
      <c r="H52" s="29" t="s">
        <v>10455</v>
      </c>
      <c r="I52" s="29" t="s">
        <v>10456</v>
      </c>
      <c r="J52" s="27"/>
    </row>
    <row r="53">
      <c r="A53" s="78"/>
      <c r="B53" s="27"/>
      <c r="C53" s="4" t="s">
        <v>4420</v>
      </c>
      <c r="D53" s="4" t="s">
        <v>99</v>
      </c>
      <c r="E53" s="4" t="s">
        <v>10457</v>
      </c>
      <c r="F53" s="27"/>
      <c r="G53" s="27"/>
      <c r="H53" s="27"/>
      <c r="I53" s="27"/>
      <c r="J53" s="29" t="s">
        <v>10458</v>
      </c>
    </row>
    <row r="54">
      <c r="A54" s="1">
        <v>18394.0</v>
      </c>
      <c r="B54" s="27"/>
      <c r="C54" s="28" t="s">
        <v>855</v>
      </c>
      <c r="D54" s="4" t="s">
        <v>99</v>
      </c>
      <c r="E54" s="4" t="s">
        <v>10422</v>
      </c>
      <c r="F54" s="27"/>
      <c r="G54" s="27"/>
      <c r="H54" s="29" t="s">
        <v>10459</v>
      </c>
      <c r="I54" s="27"/>
      <c r="J54" s="27"/>
    </row>
    <row r="55">
      <c r="A55" s="1">
        <v>18393.0</v>
      </c>
      <c r="B55" s="27"/>
      <c r="C55" s="28" t="s">
        <v>10460</v>
      </c>
      <c r="D55" s="4" t="s">
        <v>99</v>
      </c>
      <c r="E55" s="4" t="s">
        <v>10461</v>
      </c>
      <c r="F55" s="27"/>
      <c r="G55" s="27"/>
      <c r="H55" s="27"/>
      <c r="I55" s="27"/>
      <c r="J55" s="29" t="s">
        <v>10462</v>
      </c>
    </row>
    <row r="56">
      <c r="A56" s="1">
        <v>18388.0</v>
      </c>
      <c r="B56" s="27"/>
      <c r="C56" s="28" t="s">
        <v>6812</v>
      </c>
      <c r="D56" s="4" t="s">
        <v>99</v>
      </c>
      <c r="E56" s="4" t="s">
        <v>10415</v>
      </c>
      <c r="F56" s="27"/>
      <c r="G56" s="27"/>
      <c r="H56" s="27"/>
      <c r="I56" s="27"/>
      <c r="J56" s="29" t="s">
        <v>10463</v>
      </c>
    </row>
    <row r="57">
      <c r="A57" s="1">
        <v>18387.0</v>
      </c>
      <c r="B57" s="27"/>
      <c r="C57" s="4" t="s">
        <v>10464</v>
      </c>
      <c r="D57" s="4" t="s">
        <v>99</v>
      </c>
      <c r="E57" s="4" t="s">
        <v>10465</v>
      </c>
      <c r="F57" s="27"/>
      <c r="G57" s="27"/>
      <c r="H57" s="29" t="s">
        <v>10466</v>
      </c>
      <c r="I57" s="27"/>
      <c r="J57" s="27"/>
    </row>
    <row r="58">
      <c r="A58" s="1">
        <v>18384.0</v>
      </c>
      <c r="B58" s="27"/>
      <c r="C58" s="28" t="s">
        <v>4125</v>
      </c>
      <c r="D58" s="4" t="s">
        <v>99</v>
      </c>
      <c r="E58" s="4" t="s">
        <v>10412</v>
      </c>
      <c r="F58" s="27"/>
      <c r="G58" s="27"/>
      <c r="H58" s="29" t="s">
        <v>10467</v>
      </c>
      <c r="I58" s="27"/>
      <c r="J58" s="27"/>
    </row>
    <row r="59">
      <c r="A59" s="1">
        <v>18383.0</v>
      </c>
      <c r="B59" s="27"/>
      <c r="C59" s="28" t="s">
        <v>4348</v>
      </c>
      <c r="D59" s="4" t="s">
        <v>99</v>
      </c>
      <c r="E59" s="4" t="s">
        <v>10468</v>
      </c>
      <c r="F59" s="27"/>
      <c r="G59" s="27"/>
      <c r="H59" s="29" t="s">
        <v>10469</v>
      </c>
      <c r="I59" s="27"/>
      <c r="J59" s="27"/>
    </row>
    <row r="60">
      <c r="A60" s="1">
        <v>18191.0</v>
      </c>
      <c r="B60" s="27"/>
      <c r="C60" s="28" t="s">
        <v>4517</v>
      </c>
      <c r="D60" s="4" t="s">
        <v>99</v>
      </c>
      <c r="E60" s="4" t="s">
        <v>10388</v>
      </c>
      <c r="F60" s="27"/>
      <c r="G60" s="27"/>
      <c r="H60" s="29" t="s">
        <v>10470</v>
      </c>
      <c r="I60" s="27"/>
      <c r="J60" s="87" t="s">
        <v>10471</v>
      </c>
    </row>
    <row r="61">
      <c r="A61" s="1">
        <v>18178.0</v>
      </c>
      <c r="B61" s="27"/>
      <c r="C61" s="28" t="s">
        <v>5997</v>
      </c>
      <c r="D61" s="4" t="s">
        <v>99</v>
      </c>
      <c r="E61" s="4" t="s">
        <v>99</v>
      </c>
      <c r="F61" s="27"/>
      <c r="G61" s="27"/>
      <c r="H61" s="29" t="s">
        <v>10472</v>
      </c>
      <c r="I61" s="27"/>
      <c r="J61" s="85"/>
    </row>
    <row r="62">
      <c r="A62" s="1">
        <v>18176.0</v>
      </c>
      <c r="B62" s="27"/>
      <c r="C62" s="28" t="s">
        <v>10473</v>
      </c>
      <c r="D62" s="4" t="s">
        <v>99</v>
      </c>
      <c r="E62" s="4" t="s">
        <v>10406</v>
      </c>
      <c r="F62" s="27"/>
      <c r="G62" s="27"/>
      <c r="H62" s="29" t="s">
        <v>10474</v>
      </c>
      <c r="I62" s="27"/>
      <c r="J62" s="27"/>
    </row>
    <row r="63">
      <c r="A63" s="1">
        <v>17974.0</v>
      </c>
      <c r="B63" s="27"/>
      <c r="C63" s="28" t="s">
        <v>1975</v>
      </c>
      <c r="D63" s="4" t="s">
        <v>99</v>
      </c>
      <c r="E63" s="4" t="s">
        <v>10422</v>
      </c>
      <c r="F63" s="27"/>
      <c r="G63" s="27"/>
      <c r="H63" s="29" t="s">
        <v>10475</v>
      </c>
      <c r="I63" s="29" t="s">
        <v>10476</v>
      </c>
      <c r="J63" s="27"/>
    </row>
    <row r="64">
      <c r="A64" s="1">
        <v>17973.0</v>
      </c>
      <c r="B64" s="27"/>
      <c r="C64" s="28" t="s">
        <v>763</v>
      </c>
      <c r="D64" s="4" t="s">
        <v>99</v>
      </c>
      <c r="E64" s="4" t="s">
        <v>10422</v>
      </c>
      <c r="F64" s="27"/>
      <c r="G64" s="27"/>
      <c r="H64" s="29" t="s">
        <v>10477</v>
      </c>
      <c r="I64" s="27"/>
      <c r="J64" s="27"/>
    </row>
    <row r="65">
      <c r="A65" s="1">
        <v>17735.0</v>
      </c>
      <c r="B65" s="27"/>
      <c r="C65" s="28" t="s">
        <v>5281</v>
      </c>
      <c r="D65" s="4" t="s">
        <v>99</v>
      </c>
      <c r="E65" s="4" t="s">
        <v>10422</v>
      </c>
      <c r="F65" s="27"/>
      <c r="G65" s="27"/>
      <c r="H65" s="29" t="s">
        <v>10478</v>
      </c>
      <c r="I65" s="27"/>
      <c r="J65" s="27"/>
    </row>
    <row r="66">
      <c r="A66" s="1">
        <v>12149.0</v>
      </c>
      <c r="B66" s="27"/>
      <c r="C66" s="28" t="s">
        <v>4293</v>
      </c>
      <c r="D66" s="4" t="s">
        <v>99</v>
      </c>
      <c r="E66" s="4" t="s">
        <v>10427</v>
      </c>
      <c r="F66" s="27"/>
      <c r="G66" s="27"/>
      <c r="H66" s="29" t="s">
        <v>10479</v>
      </c>
      <c r="I66" s="27"/>
      <c r="J66" s="27"/>
    </row>
    <row r="67">
      <c r="A67" s="1">
        <v>12141.0</v>
      </c>
      <c r="B67" s="27"/>
      <c r="C67" s="28" t="s">
        <v>10480</v>
      </c>
      <c r="D67" s="4" t="s">
        <v>99</v>
      </c>
      <c r="E67" s="4" t="s">
        <v>10481</v>
      </c>
      <c r="F67" s="27"/>
      <c r="G67" s="27"/>
      <c r="H67" s="27"/>
      <c r="I67" s="27"/>
      <c r="J67" s="29" t="s">
        <v>10482</v>
      </c>
    </row>
    <row r="68">
      <c r="A68" s="1">
        <v>12114.0</v>
      </c>
      <c r="B68" s="27"/>
      <c r="C68" s="28" t="s">
        <v>855</v>
      </c>
      <c r="D68" s="4" t="s">
        <v>99</v>
      </c>
      <c r="E68" s="4" t="s">
        <v>99</v>
      </c>
      <c r="F68" s="27"/>
      <c r="G68" s="27"/>
      <c r="H68" s="27"/>
      <c r="I68" s="27"/>
      <c r="J68" s="29" t="s">
        <v>10483</v>
      </c>
    </row>
    <row r="69">
      <c r="A69" s="1">
        <v>12110.0</v>
      </c>
      <c r="B69" s="27"/>
      <c r="C69" s="28" t="s">
        <v>10484</v>
      </c>
      <c r="D69" s="4" t="s">
        <v>99</v>
      </c>
      <c r="E69" s="4" t="s">
        <v>99</v>
      </c>
      <c r="F69" s="27"/>
      <c r="G69" s="27"/>
      <c r="H69" s="29" t="s">
        <v>10485</v>
      </c>
      <c r="I69" s="27"/>
      <c r="J69" s="27"/>
    </row>
    <row r="70">
      <c r="A70" s="1">
        <v>12109.0</v>
      </c>
      <c r="B70" s="27"/>
      <c r="C70" s="28" t="s">
        <v>10486</v>
      </c>
      <c r="D70" s="4" t="s">
        <v>99</v>
      </c>
      <c r="E70" s="4" t="s">
        <v>99</v>
      </c>
      <c r="F70" s="27"/>
      <c r="G70" s="27"/>
      <c r="H70" s="29" t="s">
        <v>10487</v>
      </c>
      <c r="I70" s="29" t="s">
        <v>10488</v>
      </c>
      <c r="J70" s="27"/>
    </row>
    <row r="71">
      <c r="A71" s="1">
        <v>12053.0</v>
      </c>
      <c r="B71" s="27"/>
      <c r="C71" s="28" t="s">
        <v>10489</v>
      </c>
      <c r="D71" s="4" t="s">
        <v>99</v>
      </c>
      <c r="E71" s="4" t="s">
        <v>99</v>
      </c>
      <c r="F71" s="27"/>
      <c r="G71" s="27"/>
      <c r="H71" s="29" t="s">
        <v>10490</v>
      </c>
      <c r="I71" s="27"/>
      <c r="J71" s="27"/>
    </row>
    <row r="72">
      <c r="A72" s="1">
        <v>12047.0</v>
      </c>
      <c r="B72" s="27"/>
      <c r="C72" s="28" t="s">
        <v>1025</v>
      </c>
      <c r="D72" s="4" t="s">
        <v>99</v>
      </c>
      <c r="E72" s="4" t="s">
        <v>99</v>
      </c>
      <c r="F72" s="27"/>
      <c r="G72" s="27"/>
      <c r="H72" s="29" t="s">
        <v>10491</v>
      </c>
      <c r="I72" s="27"/>
      <c r="J72" s="27"/>
    </row>
    <row r="73">
      <c r="A73" s="1">
        <v>12039.0</v>
      </c>
      <c r="B73" s="27"/>
      <c r="C73" s="28" t="s">
        <v>5784</v>
      </c>
      <c r="D73" s="4" t="s">
        <v>99</v>
      </c>
      <c r="E73" s="4" t="s">
        <v>99</v>
      </c>
      <c r="F73" s="27"/>
      <c r="G73" s="27"/>
      <c r="H73" s="29" t="s">
        <v>10492</v>
      </c>
      <c r="I73" s="27"/>
      <c r="J73" s="29" t="s">
        <v>10493</v>
      </c>
    </row>
    <row r="74">
      <c r="A74" s="1">
        <v>12015.0</v>
      </c>
      <c r="B74" s="27"/>
      <c r="C74" s="28" t="s">
        <v>4517</v>
      </c>
      <c r="D74" s="4" t="s">
        <v>99</v>
      </c>
      <c r="E74" s="4" t="s">
        <v>99</v>
      </c>
      <c r="F74" s="27"/>
      <c r="G74" s="27"/>
      <c r="H74" s="29" t="s">
        <v>10494</v>
      </c>
      <c r="I74" s="27"/>
      <c r="J74" s="27"/>
    </row>
    <row r="75">
      <c r="A75" s="1">
        <v>11873.0</v>
      </c>
      <c r="B75" s="27"/>
      <c r="C75" s="28" t="s">
        <v>10495</v>
      </c>
      <c r="D75" s="4" t="s">
        <v>99</v>
      </c>
      <c r="E75" s="4" t="s">
        <v>10496</v>
      </c>
      <c r="F75" s="27"/>
      <c r="G75" s="27"/>
      <c r="H75" s="29" t="s">
        <v>10497</v>
      </c>
      <c r="I75" s="27"/>
      <c r="J75" s="27"/>
    </row>
    <row r="76">
      <c r="A76" s="1">
        <v>11843.0</v>
      </c>
      <c r="B76" s="27"/>
      <c r="C76" s="28" t="s">
        <v>10498</v>
      </c>
      <c r="D76" s="4" t="s">
        <v>99</v>
      </c>
      <c r="E76" s="4" t="s">
        <v>10499</v>
      </c>
      <c r="F76" s="27"/>
      <c r="G76" s="27"/>
      <c r="H76" s="29" t="s">
        <v>10500</v>
      </c>
      <c r="I76" s="27"/>
      <c r="J76" s="27"/>
    </row>
    <row r="77">
      <c r="A77" s="1">
        <v>11703.0</v>
      </c>
      <c r="B77" s="27"/>
      <c r="C77" s="28" t="s">
        <v>10501</v>
      </c>
      <c r="D77" s="4" t="s">
        <v>99</v>
      </c>
      <c r="E77" s="4" t="s">
        <v>10502</v>
      </c>
      <c r="F77" s="27"/>
      <c r="G77" s="27"/>
      <c r="H77" s="27"/>
      <c r="I77" s="29" t="s">
        <v>10503</v>
      </c>
      <c r="J77" s="27"/>
    </row>
    <row r="78">
      <c r="A78" s="1">
        <v>11698.0</v>
      </c>
      <c r="B78" s="27"/>
      <c r="C78" s="28" t="s">
        <v>10504</v>
      </c>
      <c r="D78" s="4" t="s">
        <v>99</v>
      </c>
      <c r="E78" s="4" t="s">
        <v>99</v>
      </c>
      <c r="F78" s="27"/>
      <c r="G78" s="27"/>
      <c r="H78" s="27"/>
      <c r="I78" s="27"/>
      <c r="J78" s="29" t="s">
        <v>10505</v>
      </c>
    </row>
    <row r="79">
      <c r="A79" s="1">
        <v>11631.0</v>
      </c>
      <c r="B79" s="27"/>
      <c r="C79" s="28" t="s">
        <v>10506</v>
      </c>
      <c r="D79" s="4" t="s">
        <v>99</v>
      </c>
      <c r="E79" s="4" t="s">
        <v>99</v>
      </c>
      <c r="F79" s="27"/>
      <c r="G79" s="27"/>
      <c r="H79" s="29" t="s">
        <v>10507</v>
      </c>
      <c r="I79" s="27"/>
      <c r="J79" s="27"/>
    </row>
    <row r="80">
      <c r="A80" s="1">
        <v>11595.0</v>
      </c>
      <c r="B80" s="27"/>
      <c r="C80" s="28" t="s">
        <v>74</v>
      </c>
      <c r="D80" s="4" t="s">
        <v>99</v>
      </c>
      <c r="E80" s="4" t="s">
        <v>10349</v>
      </c>
      <c r="F80" s="27"/>
      <c r="G80" s="27"/>
      <c r="H80" s="29" t="s">
        <v>10508</v>
      </c>
      <c r="I80" s="27"/>
      <c r="J80" s="27"/>
    </row>
    <row r="81">
      <c r="A81" s="1">
        <v>11589.0</v>
      </c>
      <c r="B81" s="27"/>
      <c r="C81" s="28" t="s">
        <v>1009</v>
      </c>
      <c r="D81" s="4" t="s">
        <v>99</v>
      </c>
      <c r="E81" s="4" t="s">
        <v>99</v>
      </c>
      <c r="F81" s="27"/>
      <c r="G81" s="27"/>
      <c r="H81" s="29" t="s">
        <v>10509</v>
      </c>
      <c r="I81" s="27"/>
      <c r="J81" s="29" t="s">
        <v>10510</v>
      </c>
    </row>
    <row r="82">
      <c r="A82" s="1">
        <v>11581.0</v>
      </c>
      <c r="B82" s="27"/>
      <c r="C82" s="28" t="s">
        <v>10511</v>
      </c>
      <c r="D82" s="4" t="s">
        <v>99</v>
      </c>
      <c r="E82" s="4" t="s">
        <v>99</v>
      </c>
      <c r="F82" s="27"/>
      <c r="G82" s="27"/>
      <c r="H82" s="29" t="s">
        <v>10512</v>
      </c>
      <c r="I82" s="29" t="s">
        <v>10513</v>
      </c>
      <c r="J82" s="27"/>
    </row>
    <row r="83">
      <c r="A83" s="1">
        <v>11580.0</v>
      </c>
      <c r="B83" s="27"/>
      <c r="C83" s="28" t="s">
        <v>7424</v>
      </c>
      <c r="D83" s="4" t="s">
        <v>99</v>
      </c>
      <c r="E83" s="4" t="s">
        <v>10420</v>
      </c>
      <c r="F83" s="27"/>
      <c r="G83" s="27"/>
      <c r="H83" s="29" t="s">
        <v>10514</v>
      </c>
      <c r="I83" s="27"/>
      <c r="J83" s="27"/>
    </row>
    <row r="84">
      <c r="A84" s="1">
        <v>11575.0</v>
      </c>
      <c r="B84" s="27"/>
      <c r="C84" s="28" t="s">
        <v>10515</v>
      </c>
      <c r="D84" s="4" t="s">
        <v>99</v>
      </c>
      <c r="E84" s="4" t="s">
        <v>99</v>
      </c>
      <c r="F84" s="27"/>
      <c r="G84" s="27"/>
      <c r="H84" s="29" t="s">
        <v>10516</v>
      </c>
      <c r="I84" s="29" t="s">
        <v>10517</v>
      </c>
      <c r="J84" s="27"/>
    </row>
    <row r="85">
      <c r="A85" s="1">
        <v>11478.0</v>
      </c>
      <c r="B85" s="27"/>
      <c r="C85" s="28" t="s">
        <v>10357</v>
      </c>
      <c r="D85" s="4" t="s">
        <v>99</v>
      </c>
      <c r="E85" s="4" t="s">
        <v>99</v>
      </c>
      <c r="F85" s="27"/>
      <c r="G85" s="27"/>
      <c r="H85" s="29" t="s">
        <v>10358</v>
      </c>
      <c r="I85" s="27"/>
      <c r="J85" s="27"/>
    </row>
    <row r="86">
      <c r="A86" s="1">
        <v>11463.0</v>
      </c>
      <c r="B86" s="27"/>
      <c r="C86" s="28" t="s">
        <v>10518</v>
      </c>
      <c r="D86" s="4" t="s">
        <v>99</v>
      </c>
      <c r="E86" s="4" t="s">
        <v>99</v>
      </c>
      <c r="F86" s="27"/>
      <c r="G86" s="27"/>
      <c r="H86" s="27"/>
      <c r="I86" s="27"/>
      <c r="J86" s="29" t="s">
        <v>10519</v>
      </c>
    </row>
    <row r="87">
      <c r="A87" s="1">
        <v>11457.0</v>
      </c>
      <c r="B87" s="27"/>
      <c r="C87" s="28" t="s">
        <v>3658</v>
      </c>
      <c r="D87" s="4" t="s">
        <v>99</v>
      </c>
      <c r="E87" s="4" t="s">
        <v>99</v>
      </c>
      <c r="F87" s="27"/>
      <c r="G87" s="27"/>
      <c r="H87" s="27"/>
      <c r="I87" s="27"/>
      <c r="J87" s="29" t="s">
        <v>10520</v>
      </c>
    </row>
    <row r="88">
      <c r="A88" s="1">
        <v>11442.0</v>
      </c>
      <c r="B88" s="27"/>
      <c r="C88" s="28" t="s">
        <v>10385</v>
      </c>
      <c r="D88" s="4" t="s">
        <v>99</v>
      </c>
      <c r="E88" s="4" t="s">
        <v>99</v>
      </c>
      <c r="F88" s="27"/>
      <c r="G88" s="27"/>
      <c r="H88" s="29" t="s">
        <v>10386</v>
      </c>
      <c r="I88" s="27"/>
      <c r="J88" s="27"/>
    </row>
    <row r="89">
      <c r="A89" s="1">
        <v>11418.0</v>
      </c>
      <c r="B89" s="27"/>
      <c r="C89" s="28" t="s">
        <v>963</v>
      </c>
      <c r="D89" s="4" t="s">
        <v>99</v>
      </c>
      <c r="E89" s="4" t="s">
        <v>10422</v>
      </c>
      <c r="F89" s="27"/>
      <c r="G89" s="27"/>
      <c r="H89" s="29" t="s">
        <v>10521</v>
      </c>
      <c r="I89" s="29" t="s">
        <v>10522</v>
      </c>
      <c r="J89" s="27"/>
    </row>
    <row r="90">
      <c r="A90" s="1">
        <v>11404.0</v>
      </c>
      <c r="B90" s="27"/>
      <c r="C90" s="28" t="s">
        <v>3482</v>
      </c>
      <c r="D90" s="4" t="s">
        <v>99</v>
      </c>
      <c r="E90" s="4" t="s">
        <v>10427</v>
      </c>
      <c r="F90" s="27"/>
      <c r="G90" s="27"/>
      <c r="H90" s="29" t="s">
        <v>10523</v>
      </c>
      <c r="I90" s="27"/>
      <c r="J90" s="27"/>
    </row>
    <row r="91">
      <c r="A91" s="1">
        <v>11395.0</v>
      </c>
      <c r="B91" s="27"/>
      <c r="C91" s="28" t="s">
        <v>10524</v>
      </c>
      <c r="D91" s="4" t="s">
        <v>99</v>
      </c>
      <c r="E91" s="4" t="s">
        <v>10388</v>
      </c>
      <c r="F91" s="27"/>
      <c r="G91" s="27"/>
      <c r="H91" s="29" t="s">
        <v>10525</v>
      </c>
      <c r="I91" s="27"/>
      <c r="J91" s="27"/>
    </row>
    <row r="92">
      <c r="A92" s="1">
        <v>11394.0</v>
      </c>
      <c r="B92" s="27"/>
      <c r="C92" s="28" t="s">
        <v>4304</v>
      </c>
      <c r="D92" s="4" t="s">
        <v>99</v>
      </c>
      <c r="E92" s="4" t="s">
        <v>99</v>
      </c>
      <c r="F92" s="27"/>
      <c r="G92" s="27"/>
      <c r="H92" s="29" t="s">
        <v>10526</v>
      </c>
      <c r="I92" s="27"/>
      <c r="J92" s="27"/>
    </row>
    <row r="93">
      <c r="A93" s="1">
        <v>11375.0</v>
      </c>
      <c r="B93" s="27"/>
      <c r="C93" s="28" t="s">
        <v>680</v>
      </c>
      <c r="D93" s="4" t="s">
        <v>99</v>
      </c>
      <c r="E93" s="4" t="s">
        <v>99</v>
      </c>
      <c r="F93" s="27"/>
      <c r="G93" s="27"/>
      <c r="H93" s="29" t="s">
        <v>10527</v>
      </c>
      <c r="I93" s="27"/>
      <c r="J93" s="29" t="s">
        <v>10528</v>
      </c>
    </row>
    <row r="94">
      <c r="A94" s="1">
        <v>11357.0</v>
      </c>
      <c r="B94" s="27"/>
      <c r="C94" s="28" t="s">
        <v>10529</v>
      </c>
      <c r="D94" s="4" t="s">
        <v>99</v>
      </c>
      <c r="E94" s="4" t="s">
        <v>99</v>
      </c>
      <c r="F94" s="27"/>
      <c r="G94" s="27"/>
      <c r="H94" s="29" t="s">
        <v>10530</v>
      </c>
      <c r="I94" s="29" t="s">
        <v>10531</v>
      </c>
      <c r="J94" s="27"/>
    </row>
    <row r="95">
      <c r="A95" s="1">
        <v>11341.0</v>
      </c>
      <c r="B95" s="27"/>
      <c r="C95" s="28" t="s">
        <v>10532</v>
      </c>
      <c r="D95" s="4" t="s">
        <v>99</v>
      </c>
      <c r="E95" s="4" t="s">
        <v>99</v>
      </c>
      <c r="F95" s="27"/>
      <c r="G95" s="27"/>
      <c r="H95" s="29" t="s">
        <v>10533</v>
      </c>
      <c r="I95" s="27"/>
      <c r="J95" s="27"/>
    </row>
    <row r="96">
      <c r="A96" s="78"/>
      <c r="B96" s="4" t="s">
        <v>102</v>
      </c>
      <c r="C96" s="4" t="s">
        <v>963</v>
      </c>
      <c r="D96" s="4" t="s">
        <v>99</v>
      </c>
      <c r="E96" s="4" t="s">
        <v>99</v>
      </c>
      <c r="F96" s="4" t="s">
        <v>10534</v>
      </c>
      <c r="G96" s="27"/>
      <c r="H96" s="29" t="s">
        <v>10535</v>
      </c>
      <c r="I96" s="27"/>
      <c r="J96" s="29" t="s">
        <v>10536</v>
      </c>
    </row>
    <row r="97">
      <c r="A97" s="78"/>
      <c r="B97" s="4" t="s">
        <v>102</v>
      </c>
      <c r="C97" s="4" t="s">
        <v>3225</v>
      </c>
      <c r="D97" s="4" t="s">
        <v>99</v>
      </c>
      <c r="E97" s="4" t="s">
        <v>99</v>
      </c>
      <c r="F97" s="4" t="s">
        <v>10537</v>
      </c>
      <c r="G97" s="27"/>
      <c r="H97" s="29" t="s">
        <v>10538</v>
      </c>
      <c r="I97" s="27"/>
      <c r="J97" s="29" t="s">
        <v>10539</v>
      </c>
    </row>
    <row r="98">
      <c r="A98" s="78"/>
      <c r="B98" s="4" t="s">
        <v>102</v>
      </c>
      <c r="C98" s="4" t="s">
        <v>10540</v>
      </c>
      <c r="D98" s="4" t="s">
        <v>99</v>
      </c>
      <c r="E98" s="4" t="s">
        <v>99</v>
      </c>
      <c r="F98" s="4" t="s">
        <v>10534</v>
      </c>
      <c r="G98" s="27"/>
      <c r="H98" s="29" t="s">
        <v>10541</v>
      </c>
      <c r="I98" s="27"/>
      <c r="J98" s="27"/>
    </row>
    <row r="99">
      <c r="A99" s="100">
        <v>33336.0</v>
      </c>
      <c r="B99" s="8" t="s">
        <v>20</v>
      </c>
      <c r="C99" s="11" t="s">
        <v>29</v>
      </c>
      <c r="D99" s="4" t="s">
        <v>99</v>
      </c>
      <c r="E99" s="11" t="s">
        <v>99</v>
      </c>
      <c r="J99" s="12" t="s">
        <v>10542</v>
      </c>
    </row>
    <row r="100">
      <c r="A100" s="100">
        <v>33161.0</v>
      </c>
      <c r="B100" s="8" t="s">
        <v>20</v>
      </c>
      <c r="C100" s="11" t="s">
        <v>10543</v>
      </c>
      <c r="D100" s="4" t="s">
        <v>99</v>
      </c>
      <c r="E100" s="11" t="s">
        <v>99</v>
      </c>
      <c r="H100" s="9" t="s">
        <v>10544</v>
      </c>
    </row>
    <row r="101">
      <c r="A101" s="100">
        <v>32968.0</v>
      </c>
      <c r="B101" s="8" t="s">
        <v>20</v>
      </c>
      <c r="C101" s="11" t="s">
        <v>10545</v>
      </c>
      <c r="D101" s="4" t="s">
        <v>99</v>
      </c>
      <c r="E101" s="11" t="s">
        <v>99</v>
      </c>
      <c r="H101" s="9" t="s">
        <v>10546</v>
      </c>
    </row>
    <row r="102">
      <c r="A102" s="100">
        <v>32966.0</v>
      </c>
      <c r="B102" s="8" t="s">
        <v>20</v>
      </c>
      <c r="C102" s="11" t="s">
        <v>10547</v>
      </c>
      <c r="D102" s="4" t="s">
        <v>99</v>
      </c>
      <c r="E102" s="11" t="s">
        <v>99</v>
      </c>
      <c r="H102" s="9" t="s">
        <v>10548</v>
      </c>
    </row>
    <row r="103">
      <c r="A103" s="100">
        <v>32964.0</v>
      </c>
      <c r="B103" s="8" t="s">
        <v>20</v>
      </c>
      <c r="C103" s="11" t="s">
        <v>10549</v>
      </c>
      <c r="D103" s="4" t="s">
        <v>99</v>
      </c>
      <c r="E103" s="11" t="s">
        <v>99</v>
      </c>
      <c r="H103" s="9" t="s">
        <v>10550</v>
      </c>
    </row>
    <row r="104">
      <c r="A104" s="100">
        <v>32963.0</v>
      </c>
      <c r="B104" s="8" t="s">
        <v>20</v>
      </c>
      <c r="C104" s="11" t="s">
        <v>10551</v>
      </c>
      <c r="D104" s="4" t="s">
        <v>99</v>
      </c>
      <c r="E104" s="11" t="s">
        <v>99</v>
      </c>
      <c r="H104" s="9" t="s">
        <v>10552</v>
      </c>
      <c r="I104" s="12" t="s">
        <v>101</v>
      </c>
    </row>
    <row r="105">
      <c r="A105" s="100">
        <v>32771.0</v>
      </c>
      <c r="B105" s="8" t="s">
        <v>20</v>
      </c>
      <c r="C105" s="11" t="s">
        <v>10553</v>
      </c>
      <c r="D105" s="4" t="s">
        <v>99</v>
      </c>
      <c r="E105" s="11" t="s">
        <v>10427</v>
      </c>
      <c r="H105" s="9" t="s">
        <v>10554</v>
      </c>
      <c r="I105" s="12" t="s">
        <v>10555</v>
      </c>
    </row>
    <row r="106">
      <c r="A106" s="100">
        <v>32715.0</v>
      </c>
      <c r="B106" s="8" t="s">
        <v>20</v>
      </c>
      <c r="C106" s="11" t="s">
        <v>10352</v>
      </c>
      <c r="D106" s="4" t="s">
        <v>99</v>
      </c>
      <c r="E106" s="11" t="s">
        <v>99</v>
      </c>
      <c r="G106" s="37">
        <v>1.0</v>
      </c>
      <c r="H106" s="9" t="s">
        <v>10353</v>
      </c>
    </row>
    <row r="107">
      <c r="A107" s="100">
        <v>32713.0</v>
      </c>
      <c r="B107" s="8" t="s">
        <v>20</v>
      </c>
      <c r="C107" s="11" t="s">
        <v>963</v>
      </c>
      <c r="D107" s="4" t="s">
        <v>99</v>
      </c>
      <c r="E107" s="11" t="s">
        <v>99</v>
      </c>
      <c r="H107" s="9" t="s">
        <v>10556</v>
      </c>
      <c r="I107" s="12" t="s">
        <v>10557</v>
      </c>
      <c r="J107" s="12" t="s">
        <v>10536</v>
      </c>
    </row>
    <row r="108">
      <c r="A108" s="100">
        <v>32697.0</v>
      </c>
      <c r="B108" s="8" t="s">
        <v>20</v>
      </c>
      <c r="C108" s="11" t="s">
        <v>10558</v>
      </c>
      <c r="D108" s="4" t="s">
        <v>99</v>
      </c>
      <c r="E108" s="11" t="s">
        <v>99</v>
      </c>
      <c r="H108" s="9" t="s">
        <v>10559</v>
      </c>
      <c r="J108" s="12" t="s">
        <v>10560</v>
      </c>
    </row>
    <row r="109">
      <c r="A109" s="100">
        <v>32671.0</v>
      </c>
      <c r="B109" s="8" t="s">
        <v>20</v>
      </c>
      <c r="C109" s="11" t="s">
        <v>10561</v>
      </c>
      <c r="D109" s="4" t="s">
        <v>99</v>
      </c>
      <c r="E109" s="11" t="s">
        <v>99</v>
      </c>
      <c r="J109" s="12" t="s">
        <v>10562</v>
      </c>
    </row>
    <row r="110">
      <c r="A110" s="100">
        <v>32395.0</v>
      </c>
      <c r="B110" s="8" t="s">
        <v>20</v>
      </c>
      <c r="C110" s="11" t="s">
        <v>55</v>
      </c>
      <c r="D110" s="4" t="s">
        <v>99</v>
      </c>
      <c r="E110" s="11" t="s">
        <v>99</v>
      </c>
      <c r="H110" s="9" t="s">
        <v>10563</v>
      </c>
      <c r="J110" s="12" t="s">
        <v>10520</v>
      </c>
    </row>
    <row r="111">
      <c r="A111" s="100">
        <v>32385.0</v>
      </c>
      <c r="B111" s="8" t="s">
        <v>102</v>
      </c>
      <c r="C111" s="11" t="s">
        <v>10564</v>
      </c>
      <c r="D111" s="4" t="s">
        <v>99</v>
      </c>
      <c r="E111" s="11" t="s">
        <v>99</v>
      </c>
      <c r="H111" s="9" t="s">
        <v>10565</v>
      </c>
      <c r="I111" s="12" t="s">
        <v>10566</v>
      </c>
      <c r="J111" s="12" t="s">
        <v>10567</v>
      </c>
    </row>
    <row r="112">
      <c r="A112" s="100">
        <v>32383.0</v>
      </c>
      <c r="B112" s="8" t="s">
        <v>20</v>
      </c>
      <c r="C112" s="11" t="s">
        <v>10568</v>
      </c>
      <c r="D112" s="4" t="s">
        <v>99</v>
      </c>
      <c r="E112" s="11" t="s">
        <v>10427</v>
      </c>
      <c r="H112" s="9" t="s">
        <v>10554</v>
      </c>
      <c r="I112" s="12" t="s">
        <v>10555</v>
      </c>
    </row>
    <row r="113">
      <c r="A113" s="100">
        <v>32257.0</v>
      </c>
      <c r="B113" s="8" t="s">
        <v>20</v>
      </c>
      <c r="C113" s="11" t="s">
        <v>10569</v>
      </c>
      <c r="D113" s="4" t="s">
        <v>99</v>
      </c>
      <c r="E113" s="11" t="s">
        <v>99</v>
      </c>
      <c r="H113" s="9" t="s">
        <v>10570</v>
      </c>
      <c r="I113" s="12" t="s">
        <v>10571</v>
      </c>
    </row>
    <row r="114">
      <c r="A114" s="100">
        <v>32194.0</v>
      </c>
      <c r="B114" s="8" t="s">
        <v>20</v>
      </c>
      <c r="C114" s="11" t="s">
        <v>10572</v>
      </c>
      <c r="D114" s="4" t="s">
        <v>99</v>
      </c>
      <c r="E114" s="11" t="s">
        <v>99</v>
      </c>
      <c r="J114" s="12" t="s">
        <v>10573</v>
      </c>
    </row>
    <row r="115">
      <c r="A115" s="100">
        <v>32181.0</v>
      </c>
      <c r="B115" s="8" t="s">
        <v>20</v>
      </c>
      <c r="C115" s="11" t="s">
        <v>2785</v>
      </c>
      <c r="D115" s="4" t="s">
        <v>99</v>
      </c>
      <c r="E115" s="11" t="s">
        <v>99</v>
      </c>
      <c r="H115" s="9" t="s">
        <v>10574</v>
      </c>
    </row>
    <row r="116">
      <c r="A116" s="100">
        <v>31973.0</v>
      </c>
      <c r="B116" s="8" t="s">
        <v>4322</v>
      </c>
      <c r="C116" s="11" t="s">
        <v>1952</v>
      </c>
      <c r="D116" s="4" t="s">
        <v>99</v>
      </c>
      <c r="E116" s="11" t="s">
        <v>99</v>
      </c>
      <c r="H116" s="9" t="s">
        <v>10575</v>
      </c>
      <c r="J116" s="12" t="s">
        <v>10483</v>
      </c>
    </row>
    <row r="117">
      <c r="A117" s="100">
        <v>31932.0</v>
      </c>
      <c r="B117" s="8" t="s">
        <v>20</v>
      </c>
      <c r="C117" s="11" t="s">
        <v>529</v>
      </c>
      <c r="D117" s="4" t="s">
        <v>99</v>
      </c>
      <c r="E117" s="11" t="s">
        <v>10576</v>
      </c>
      <c r="H117" s="9" t="s">
        <v>10577</v>
      </c>
    </row>
    <row r="118">
      <c r="A118" s="100">
        <v>31683.0</v>
      </c>
      <c r="B118" s="8" t="s">
        <v>20</v>
      </c>
      <c r="C118" s="11" t="s">
        <v>786</v>
      </c>
      <c r="D118" s="4" t="s">
        <v>99</v>
      </c>
      <c r="E118" s="11" t="s">
        <v>10406</v>
      </c>
      <c r="H118" s="9" t="s">
        <v>10578</v>
      </c>
    </row>
    <row r="119">
      <c r="A119" s="100">
        <v>31677.0</v>
      </c>
      <c r="B119" s="8" t="s">
        <v>20</v>
      </c>
      <c r="C119" s="11" t="s">
        <v>10579</v>
      </c>
      <c r="D119" s="4" t="s">
        <v>99</v>
      </c>
      <c r="E119" s="11" t="s">
        <v>10406</v>
      </c>
      <c r="H119" s="9" t="s">
        <v>10580</v>
      </c>
      <c r="J119" s="12" t="s">
        <v>10581</v>
      </c>
    </row>
    <row r="120">
      <c r="A120" s="100">
        <v>31673.0</v>
      </c>
      <c r="B120" s="8" t="s">
        <v>20</v>
      </c>
      <c r="C120" s="11" t="s">
        <v>1975</v>
      </c>
      <c r="D120" s="4" t="s">
        <v>99</v>
      </c>
      <c r="E120" s="11" t="s">
        <v>10582</v>
      </c>
      <c r="H120" s="9" t="s">
        <v>10583</v>
      </c>
    </row>
    <row r="121">
      <c r="A121" s="100">
        <v>31539.0</v>
      </c>
      <c r="B121" s="8" t="s">
        <v>20</v>
      </c>
      <c r="C121" s="11" t="s">
        <v>4724</v>
      </c>
      <c r="D121" s="4" t="s">
        <v>99</v>
      </c>
      <c r="E121" s="11" t="s">
        <v>10584</v>
      </c>
      <c r="H121" s="9" t="s">
        <v>10585</v>
      </c>
    </row>
    <row r="122">
      <c r="A122" s="100">
        <v>31537.0</v>
      </c>
      <c r="B122" s="8" t="s">
        <v>20</v>
      </c>
      <c r="C122" s="11" t="s">
        <v>755</v>
      </c>
      <c r="D122" s="4" t="s">
        <v>99</v>
      </c>
      <c r="E122" s="11" t="s">
        <v>99</v>
      </c>
      <c r="H122" s="9" t="s">
        <v>10586</v>
      </c>
    </row>
    <row r="123">
      <c r="A123" s="100">
        <v>31415.0</v>
      </c>
      <c r="B123" s="8" t="s">
        <v>20</v>
      </c>
      <c r="C123" s="11" t="s">
        <v>10587</v>
      </c>
      <c r="D123" s="4" t="s">
        <v>99</v>
      </c>
      <c r="E123" s="11" t="s">
        <v>10349</v>
      </c>
      <c r="H123" s="9" t="s">
        <v>10588</v>
      </c>
      <c r="I123" s="12" t="s">
        <v>10589</v>
      </c>
    </row>
    <row r="124">
      <c r="A124" s="100">
        <v>31366.0</v>
      </c>
      <c r="B124" s="8" t="s">
        <v>20</v>
      </c>
      <c r="C124" s="11" t="s">
        <v>641</v>
      </c>
      <c r="D124" s="4" t="s">
        <v>99</v>
      </c>
      <c r="E124" s="11" t="s">
        <v>99</v>
      </c>
      <c r="H124" s="9" t="s">
        <v>10590</v>
      </c>
      <c r="I124" s="12" t="s">
        <v>10591</v>
      </c>
    </row>
    <row r="125">
      <c r="A125" s="100">
        <v>31365.0</v>
      </c>
      <c r="B125" s="8" t="s">
        <v>20</v>
      </c>
      <c r="C125" s="11" t="s">
        <v>5653</v>
      </c>
      <c r="D125" s="4" t="s">
        <v>99</v>
      </c>
      <c r="E125" s="11" t="s">
        <v>10349</v>
      </c>
      <c r="H125" s="9" t="s">
        <v>10592</v>
      </c>
    </row>
    <row r="126">
      <c r="A126" s="100">
        <v>31360.0</v>
      </c>
      <c r="B126" s="8" t="s">
        <v>20</v>
      </c>
      <c r="C126" s="11" t="s">
        <v>10593</v>
      </c>
      <c r="D126" s="4" t="s">
        <v>99</v>
      </c>
      <c r="E126" s="11" t="s">
        <v>99</v>
      </c>
      <c r="H126" s="9" t="s">
        <v>10594</v>
      </c>
    </row>
    <row r="127">
      <c r="A127" s="100">
        <v>31198.0</v>
      </c>
      <c r="B127" s="8" t="s">
        <v>20</v>
      </c>
      <c r="C127" s="11" t="s">
        <v>10595</v>
      </c>
      <c r="D127" s="4" t="s">
        <v>99</v>
      </c>
      <c r="E127" s="11" t="s">
        <v>99</v>
      </c>
      <c r="J127" s="12" t="s">
        <v>8428</v>
      </c>
    </row>
    <row r="128">
      <c r="A128" s="100">
        <v>31197.0</v>
      </c>
      <c r="B128" s="8" t="s">
        <v>20</v>
      </c>
      <c r="C128" s="11" t="s">
        <v>4892</v>
      </c>
      <c r="D128" s="4" t="s">
        <v>99</v>
      </c>
      <c r="E128" s="11" t="s">
        <v>10584</v>
      </c>
      <c r="H128" s="9" t="s">
        <v>10596</v>
      </c>
    </row>
    <row r="129">
      <c r="A129" s="100">
        <v>31172.0</v>
      </c>
      <c r="B129" s="8" t="s">
        <v>276</v>
      </c>
      <c r="C129" s="11" t="s">
        <v>10597</v>
      </c>
      <c r="D129" s="4" t="s">
        <v>99</v>
      </c>
      <c r="E129" s="11" t="s">
        <v>99</v>
      </c>
      <c r="H129" s="9" t="s">
        <v>10598</v>
      </c>
      <c r="I129" s="12" t="s">
        <v>10599</v>
      </c>
    </row>
    <row r="130">
      <c r="A130" s="100">
        <v>31167.0</v>
      </c>
      <c r="B130" s="8" t="s">
        <v>20</v>
      </c>
      <c r="C130" s="11" t="s">
        <v>4331</v>
      </c>
      <c r="D130" s="4" t="s">
        <v>99</v>
      </c>
      <c r="E130" s="11" t="s">
        <v>10427</v>
      </c>
      <c r="G130" s="37">
        <v>1.0</v>
      </c>
      <c r="H130" s="9" t="s">
        <v>10600</v>
      </c>
    </row>
    <row r="131">
      <c r="A131" s="100">
        <v>31159.0</v>
      </c>
      <c r="B131" s="8" t="s">
        <v>20</v>
      </c>
      <c r="C131" s="11" t="s">
        <v>10601</v>
      </c>
      <c r="D131" s="4" t="s">
        <v>99</v>
      </c>
      <c r="E131" s="11" t="s">
        <v>99</v>
      </c>
      <c r="H131" s="9" t="s">
        <v>10602</v>
      </c>
    </row>
    <row r="132">
      <c r="A132" s="100">
        <v>31145.0</v>
      </c>
      <c r="B132" s="8" t="s">
        <v>20</v>
      </c>
      <c r="C132" s="11" t="s">
        <v>4326</v>
      </c>
      <c r="D132" s="4" t="s">
        <v>99</v>
      </c>
      <c r="E132" s="11" t="s">
        <v>10349</v>
      </c>
      <c r="H132" s="9" t="s">
        <v>10603</v>
      </c>
    </row>
    <row r="133">
      <c r="A133" s="100">
        <v>31009.0</v>
      </c>
      <c r="B133" s="8" t="s">
        <v>20</v>
      </c>
      <c r="C133" s="11" t="s">
        <v>10604</v>
      </c>
      <c r="D133" s="4" t="s">
        <v>99</v>
      </c>
      <c r="E133" s="11" t="s">
        <v>10349</v>
      </c>
      <c r="H133" s="9" t="s">
        <v>10605</v>
      </c>
    </row>
    <row r="134">
      <c r="A134" s="100">
        <v>30950.0</v>
      </c>
      <c r="B134" s="8" t="s">
        <v>20</v>
      </c>
      <c r="C134" s="11" t="s">
        <v>341</v>
      </c>
      <c r="D134" s="4" t="s">
        <v>99</v>
      </c>
      <c r="E134" s="11" t="s">
        <v>99</v>
      </c>
      <c r="H134" s="9" t="s">
        <v>10606</v>
      </c>
    </row>
    <row r="135">
      <c r="A135" s="100">
        <v>30688.0</v>
      </c>
      <c r="B135" s="8" t="s">
        <v>720</v>
      </c>
      <c r="C135" s="11" t="s">
        <v>10607</v>
      </c>
      <c r="D135" s="4" t="s">
        <v>99</v>
      </c>
      <c r="E135" s="11" t="s">
        <v>10349</v>
      </c>
      <c r="H135" s="9" t="s">
        <v>10608</v>
      </c>
      <c r="J135" s="12" t="s">
        <v>10609</v>
      </c>
    </row>
    <row r="136">
      <c r="A136" s="100">
        <v>30611.0</v>
      </c>
      <c r="B136" s="8" t="s">
        <v>20</v>
      </c>
      <c r="C136" s="11" t="s">
        <v>10610</v>
      </c>
      <c r="D136" s="4" t="s">
        <v>99</v>
      </c>
      <c r="E136" s="11" t="s">
        <v>10349</v>
      </c>
      <c r="H136" s="9" t="s">
        <v>10611</v>
      </c>
    </row>
    <row r="137">
      <c r="A137" s="100">
        <v>30112.0</v>
      </c>
      <c r="B137" s="8" t="s">
        <v>2364</v>
      </c>
      <c r="C137" s="11" t="s">
        <v>10612</v>
      </c>
      <c r="D137" s="4" t="s">
        <v>99</v>
      </c>
      <c r="E137" s="11" t="s">
        <v>99</v>
      </c>
      <c r="H137" s="9" t="s">
        <v>10613</v>
      </c>
    </row>
    <row r="138">
      <c r="A138" s="100">
        <v>30085.0</v>
      </c>
      <c r="B138" s="8" t="s">
        <v>20</v>
      </c>
      <c r="C138" s="11" t="s">
        <v>10614</v>
      </c>
      <c r="D138" s="4" t="s">
        <v>99</v>
      </c>
      <c r="E138" s="11" t="s">
        <v>99</v>
      </c>
      <c r="J138" s="12" t="s">
        <v>10615</v>
      </c>
    </row>
    <row r="139">
      <c r="A139" s="100">
        <v>29578.0</v>
      </c>
      <c r="B139" s="8" t="s">
        <v>20</v>
      </c>
      <c r="C139" s="11" t="s">
        <v>10616</v>
      </c>
      <c r="D139" s="4" t="s">
        <v>99</v>
      </c>
      <c r="E139" s="11" t="s">
        <v>99</v>
      </c>
      <c r="H139" s="9" t="s">
        <v>10617</v>
      </c>
      <c r="J139" s="12" t="s">
        <v>10618</v>
      </c>
    </row>
    <row r="140">
      <c r="A140" s="100">
        <v>29377.0</v>
      </c>
      <c r="B140" s="8" t="s">
        <v>20</v>
      </c>
      <c r="C140" s="11" t="s">
        <v>10619</v>
      </c>
      <c r="D140" s="4" t="s">
        <v>99</v>
      </c>
      <c r="E140" s="11" t="s">
        <v>10415</v>
      </c>
      <c r="H140" s="9" t="s">
        <v>10620</v>
      </c>
    </row>
    <row r="141">
      <c r="A141" s="100">
        <v>29376.0</v>
      </c>
      <c r="B141" s="8" t="s">
        <v>20</v>
      </c>
      <c r="C141" s="11" t="s">
        <v>10621</v>
      </c>
      <c r="D141" s="4" t="s">
        <v>99</v>
      </c>
      <c r="E141" s="11" t="s">
        <v>10415</v>
      </c>
      <c r="H141" s="9" t="s">
        <v>10622</v>
      </c>
    </row>
    <row r="142">
      <c r="A142" s="100">
        <v>29375.0</v>
      </c>
      <c r="B142" s="8" t="s">
        <v>687</v>
      </c>
      <c r="C142" s="11" t="s">
        <v>10623</v>
      </c>
      <c r="D142" s="4" t="s">
        <v>99</v>
      </c>
      <c r="E142" s="11" t="s">
        <v>10461</v>
      </c>
      <c r="H142" s="9" t="s">
        <v>10624</v>
      </c>
    </row>
    <row r="143">
      <c r="A143" s="100">
        <v>28824.0</v>
      </c>
      <c r="B143" s="8" t="s">
        <v>20</v>
      </c>
      <c r="C143" s="11" t="s">
        <v>176</v>
      </c>
      <c r="D143" s="4" t="s">
        <v>99</v>
      </c>
      <c r="E143" s="11" t="s">
        <v>10584</v>
      </c>
      <c r="H143" s="9" t="s">
        <v>10625</v>
      </c>
    </row>
    <row r="144">
      <c r="A144" s="100">
        <v>28823.0</v>
      </c>
      <c r="B144" s="8" t="s">
        <v>20</v>
      </c>
      <c r="C144" s="11" t="s">
        <v>6550</v>
      </c>
      <c r="D144" s="4" t="s">
        <v>99</v>
      </c>
      <c r="E144" s="11" t="s">
        <v>99</v>
      </c>
      <c r="H144" s="9" t="s">
        <v>10626</v>
      </c>
      <c r="I144" s="12" t="s">
        <v>10627</v>
      </c>
    </row>
    <row r="145">
      <c r="A145" s="100">
        <v>28684.0</v>
      </c>
      <c r="B145" s="8" t="s">
        <v>20</v>
      </c>
      <c r="C145" s="11" t="s">
        <v>10628</v>
      </c>
      <c r="D145" s="4" t="s">
        <v>99</v>
      </c>
      <c r="E145" s="11" t="s">
        <v>99</v>
      </c>
      <c r="H145" s="9" t="s">
        <v>10629</v>
      </c>
      <c r="J145" s="12" t="s">
        <v>10630</v>
      </c>
    </row>
    <row r="146">
      <c r="A146" s="100">
        <v>28586.0</v>
      </c>
      <c r="B146" s="8" t="s">
        <v>20</v>
      </c>
      <c r="C146" s="11" t="s">
        <v>10631</v>
      </c>
      <c r="D146" s="4" t="s">
        <v>99</v>
      </c>
      <c r="E146" s="11" t="s">
        <v>99</v>
      </c>
      <c r="H146" s="9" t="s">
        <v>10632</v>
      </c>
      <c r="I146" s="12" t="s">
        <v>10633</v>
      </c>
    </row>
    <row r="147">
      <c r="A147" s="100">
        <v>28299.0</v>
      </c>
      <c r="B147" s="8" t="s">
        <v>20</v>
      </c>
      <c r="C147" s="11" t="s">
        <v>10634</v>
      </c>
      <c r="D147" s="4" t="s">
        <v>99</v>
      </c>
      <c r="E147" s="11" t="s">
        <v>99</v>
      </c>
      <c r="H147" s="9" t="s">
        <v>10635</v>
      </c>
    </row>
    <row r="148">
      <c r="A148" s="100">
        <v>28229.0</v>
      </c>
      <c r="B148" s="8" t="s">
        <v>20</v>
      </c>
      <c r="C148" s="11" t="s">
        <v>10636</v>
      </c>
      <c r="D148" s="4" t="s">
        <v>99</v>
      </c>
      <c r="E148" s="11" t="s">
        <v>99</v>
      </c>
      <c r="H148" s="9" t="s">
        <v>10637</v>
      </c>
      <c r="I148" s="12" t="s">
        <v>10638</v>
      </c>
    </row>
    <row r="149">
      <c r="A149" s="100">
        <v>28211.0</v>
      </c>
      <c r="B149" s="8" t="s">
        <v>20</v>
      </c>
      <c r="C149" s="11" t="s">
        <v>10639</v>
      </c>
      <c r="D149" s="4" t="s">
        <v>99</v>
      </c>
      <c r="E149" s="11" t="s">
        <v>99</v>
      </c>
      <c r="J149" s="12" t="s">
        <v>10640</v>
      </c>
    </row>
    <row r="150">
      <c r="A150" s="100">
        <v>28178.0</v>
      </c>
      <c r="B150" s="8" t="s">
        <v>20</v>
      </c>
      <c r="C150" s="11" t="s">
        <v>10641</v>
      </c>
      <c r="D150" s="4" t="s">
        <v>99</v>
      </c>
      <c r="E150" s="11" t="s">
        <v>99</v>
      </c>
      <c r="H150" s="9" t="s">
        <v>10642</v>
      </c>
    </row>
    <row r="151">
      <c r="A151" s="100">
        <v>27980.0</v>
      </c>
      <c r="B151" s="8" t="s">
        <v>20</v>
      </c>
      <c r="C151" s="11" t="s">
        <v>2267</v>
      </c>
      <c r="D151" s="4" t="s">
        <v>99</v>
      </c>
      <c r="E151" s="11" t="s">
        <v>10406</v>
      </c>
      <c r="H151" s="9" t="s">
        <v>10643</v>
      </c>
      <c r="I151" s="12" t="s">
        <v>10644</v>
      </c>
    </row>
    <row r="152">
      <c r="A152" s="100">
        <v>27657.0</v>
      </c>
      <c r="B152" s="8" t="s">
        <v>20</v>
      </c>
      <c r="C152" s="11" t="s">
        <v>855</v>
      </c>
      <c r="D152" s="4" t="s">
        <v>99</v>
      </c>
      <c r="E152" s="11" t="s">
        <v>10409</v>
      </c>
      <c r="H152" s="9" t="s">
        <v>10645</v>
      </c>
    </row>
    <row r="153">
      <c r="A153" s="100">
        <v>27653.0</v>
      </c>
      <c r="B153" s="8" t="s">
        <v>20</v>
      </c>
      <c r="C153" s="11" t="s">
        <v>10646</v>
      </c>
      <c r="D153" s="4" t="s">
        <v>99</v>
      </c>
      <c r="E153" s="11" t="s">
        <v>10438</v>
      </c>
      <c r="H153" s="9" t="s">
        <v>10647</v>
      </c>
    </row>
    <row r="154">
      <c r="A154" s="100">
        <v>27650.0</v>
      </c>
      <c r="B154" s="8" t="s">
        <v>20</v>
      </c>
      <c r="C154" s="11" t="s">
        <v>10648</v>
      </c>
      <c r="D154" s="4" t="s">
        <v>99</v>
      </c>
      <c r="E154" s="11" t="s">
        <v>10649</v>
      </c>
      <c r="H154" s="9" t="s">
        <v>10650</v>
      </c>
      <c r="J154" s="12" t="s">
        <v>10651</v>
      </c>
    </row>
    <row r="155">
      <c r="A155" s="100">
        <v>27648.0</v>
      </c>
      <c r="B155" s="8" t="s">
        <v>20</v>
      </c>
      <c r="C155" s="11" t="s">
        <v>10652</v>
      </c>
      <c r="D155" s="4" t="s">
        <v>99</v>
      </c>
      <c r="E155" s="11" t="s">
        <v>10649</v>
      </c>
      <c r="H155" s="9" t="s">
        <v>10653</v>
      </c>
      <c r="J155" s="12" t="s">
        <v>10654</v>
      </c>
    </row>
    <row r="156">
      <c r="A156" s="100">
        <v>27647.0</v>
      </c>
      <c r="B156" s="8" t="s">
        <v>20</v>
      </c>
      <c r="C156" s="11" t="s">
        <v>10655</v>
      </c>
      <c r="D156" s="4" t="s">
        <v>99</v>
      </c>
      <c r="E156" s="11" t="s">
        <v>10422</v>
      </c>
      <c r="H156" s="9" t="s">
        <v>10656</v>
      </c>
    </row>
    <row r="157">
      <c r="A157" s="100">
        <v>27643.0</v>
      </c>
      <c r="B157" s="8" t="s">
        <v>20</v>
      </c>
      <c r="C157" s="11" t="s">
        <v>2066</v>
      </c>
      <c r="D157" s="4" t="s">
        <v>99</v>
      </c>
      <c r="E157" s="11" t="s">
        <v>10406</v>
      </c>
      <c r="H157" s="9" t="s">
        <v>10657</v>
      </c>
    </row>
    <row r="158">
      <c r="A158" s="100">
        <v>27641.0</v>
      </c>
      <c r="B158" s="8" t="s">
        <v>766</v>
      </c>
      <c r="C158" s="11" t="s">
        <v>10658</v>
      </c>
      <c r="D158" s="4" t="s">
        <v>99</v>
      </c>
      <c r="E158" s="11" t="s">
        <v>10412</v>
      </c>
      <c r="H158" s="9" t="s">
        <v>10659</v>
      </c>
    </row>
    <row r="159">
      <c r="A159" s="100">
        <v>27640.0</v>
      </c>
      <c r="B159" s="8" t="s">
        <v>20</v>
      </c>
      <c r="C159" s="11" t="s">
        <v>10660</v>
      </c>
      <c r="D159" s="4" t="s">
        <v>99</v>
      </c>
      <c r="E159" s="11" t="s">
        <v>10584</v>
      </c>
      <c r="H159" s="9" t="s">
        <v>10661</v>
      </c>
    </row>
    <row r="160">
      <c r="A160" s="100">
        <v>27638.0</v>
      </c>
      <c r="B160" s="8" t="s">
        <v>20</v>
      </c>
      <c r="C160" s="11" t="s">
        <v>10662</v>
      </c>
      <c r="D160" s="4" t="s">
        <v>99</v>
      </c>
      <c r="E160" s="11" t="s">
        <v>10349</v>
      </c>
      <c r="H160" s="9" t="s">
        <v>10663</v>
      </c>
      <c r="I160" s="12" t="s">
        <v>10664</v>
      </c>
      <c r="J160" s="12" t="s">
        <v>10665</v>
      </c>
    </row>
    <row r="161">
      <c r="A161" s="100">
        <v>26654.0</v>
      </c>
      <c r="B161" s="8" t="s">
        <v>20</v>
      </c>
      <c r="C161" s="11" t="s">
        <v>1274</v>
      </c>
      <c r="D161" s="4" t="s">
        <v>99</v>
      </c>
      <c r="E161" s="11" t="s">
        <v>10349</v>
      </c>
      <c r="H161" s="9" t="s">
        <v>10666</v>
      </c>
      <c r="J161" s="12" t="s">
        <v>10667</v>
      </c>
    </row>
    <row r="162">
      <c r="A162" s="100">
        <v>26637.0</v>
      </c>
      <c r="B162" s="8" t="s">
        <v>20</v>
      </c>
      <c r="C162" s="11" t="s">
        <v>10403</v>
      </c>
      <c r="D162" s="4" t="s">
        <v>99</v>
      </c>
      <c r="E162" s="11" t="s">
        <v>99</v>
      </c>
      <c r="J162" s="12" t="s">
        <v>10668</v>
      </c>
    </row>
    <row r="163">
      <c r="A163" s="100">
        <v>26350.0</v>
      </c>
      <c r="B163" s="8" t="s">
        <v>20</v>
      </c>
      <c r="C163" s="11" t="s">
        <v>3658</v>
      </c>
      <c r="D163" s="4" t="s">
        <v>99</v>
      </c>
      <c r="E163" s="11" t="s">
        <v>10669</v>
      </c>
      <c r="H163" s="9" t="s">
        <v>10670</v>
      </c>
    </row>
    <row r="164">
      <c r="A164" s="100">
        <v>26346.0</v>
      </c>
      <c r="B164" s="8" t="s">
        <v>20</v>
      </c>
      <c r="C164" s="11" t="s">
        <v>10411</v>
      </c>
      <c r="D164" s="4" t="s">
        <v>99</v>
      </c>
      <c r="E164" s="11" t="s">
        <v>10412</v>
      </c>
      <c r="H164" s="9" t="s">
        <v>10671</v>
      </c>
    </row>
    <row r="165">
      <c r="A165" s="100">
        <v>26341.0</v>
      </c>
      <c r="B165" s="8" t="s">
        <v>5200</v>
      </c>
      <c r="C165" s="11" t="s">
        <v>804</v>
      </c>
      <c r="D165" s="4" t="s">
        <v>99</v>
      </c>
      <c r="E165" s="11" t="s">
        <v>99</v>
      </c>
      <c r="H165" s="9" t="s">
        <v>10672</v>
      </c>
    </row>
    <row r="166">
      <c r="A166" s="100">
        <v>26211.0</v>
      </c>
      <c r="B166" s="8" t="s">
        <v>20</v>
      </c>
      <c r="C166" s="11" t="s">
        <v>10673</v>
      </c>
      <c r="D166" s="4" t="s">
        <v>99</v>
      </c>
      <c r="E166" s="11" t="s">
        <v>10406</v>
      </c>
      <c r="H166" s="9" t="s">
        <v>10674</v>
      </c>
    </row>
    <row r="167">
      <c r="A167" s="100">
        <v>25957.0</v>
      </c>
      <c r="B167" s="8" t="s">
        <v>20</v>
      </c>
      <c r="C167" s="11" t="s">
        <v>5407</v>
      </c>
      <c r="D167" s="4" t="s">
        <v>99</v>
      </c>
      <c r="E167" s="11" t="s">
        <v>10576</v>
      </c>
      <c r="J167" s="12" t="s">
        <v>10675</v>
      </c>
    </row>
    <row r="168">
      <c r="A168" s="100">
        <v>25835.0</v>
      </c>
      <c r="B168" s="8" t="s">
        <v>20</v>
      </c>
      <c r="C168" s="11" t="s">
        <v>10676</v>
      </c>
      <c r="D168" s="4" t="s">
        <v>99</v>
      </c>
      <c r="E168" s="11" t="s">
        <v>10576</v>
      </c>
      <c r="H168" s="9" t="s">
        <v>10677</v>
      </c>
    </row>
    <row r="169">
      <c r="A169" s="100">
        <v>25109.0</v>
      </c>
      <c r="B169" s="8" t="s">
        <v>20</v>
      </c>
      <c r="C169" s="11" t="s">
        <v>7317</v>
      </c>
      <c r="D169" s="4" t="s">
        <v>99</v>
      </c>
      <c r="E169" s="11" t="s">
        <v>10415</v>
      </c>
      <c r="H169" s="9" t="s">
        <v>10678</v>
      </c>
    </row>
    <row r="170">
      <c r="A170" s="100">
        <v>25107.0</v>
      </c>
      <c r="B170" s="8" t="s">
        <v>20</v>
      </c>
      <c r="C170" s="11" t="s">
        <v>10417</v>
      </c>
      <c r="D170" s="4" t="s">
        <v>99</v>
      </c>
      <c r="E170" s="11" t="s">
        <v>99</v>
      </c>
      <c r="J170" s="12" t="s">
        <v>10679</v>
      </c>
    </row>
    <row r="171">
      <c r="A171" s="100">
        <v>25106.0</v>
      </c>
      <c r="B171" s="8" t="s">
        <v>20</v>
      </c>
      <c r="C171" s="11" t="s">
        <v>10680</v>
      </c>
      <c r="D171" s="4" t="s">
        <v>99</v>
      </c>
      <c r="E171" s="11" t="s">
        <v>99</v>
      </c>
      <c r="H171" s="9" t="s">
        <v>10681</v>
      </c>
    </row>
    <row r="172">
      <c r="A172" s="100">
        <v>25101.0</v>
      </c>
      <c r="B172" s="8" t="s">
        <v>20</v>
      </c>
      <c r="C172" s="11" t="s">
        <v>5943</v>
      </c>
      <c r="D172" s="4" t="s">
        <v>99</v>
      </c>
      <c r="E172" s="11" t="s">
        <v>99</v>
      </c>
      <c r="H172" s="9" t="s">
        <v>10682</v>
      </c>
      <c r="J172" s="12" t="s">
        <v>10361</v>
      </c>
    </row>
    <row r="173">
      <c r="A173" s="100">
        <v>25005.0</v>
      </c>
      <c r="B173" s="8" t="s">
        <v>20</v>
      </c>
      <c r="C173" s="11" t="s">
        <v>10683</v>
      </c>
      <c r="D173" s="4" t="s">
        <v>99</v>
      </c>
      <c r="E173" s="11" t="s">
        <v>99</v>
      </c>
      <c r="H173" s="9" t="s">
        <v>10684</v>
      </c>
      <c r="J173" s="12" t="s">
        <v>10685</v>
      </c>
    </row>
    <row r="174">
      <c r="A174" s="100">
        <v>24786.0</v>
      </c>
      <c r="B174" s="8" t="s">
        <v>20</v>
      </c>
      <c r="C174" s="11" t="s">
        <v>10686</v>
      </c>
      <c r="D174" s="4" t="s">
        <v>99</v>
      </c>
      <c r="E174" s="11" t="s">
        <v>99</v>
      </c>
      <c r="H174" s="9" t="s">
        <v>10687</v>
      </c>
    </row>
    <row r="175">
      <c r="A175" s="100">
        <v>24697.0</v>
      </c>
      <c r="B175" s="8" t="s">
        <v>20</v>
      </c>
      <c r="C175" s="11" t="s">
        <v>10688</v>
      </c>
      <c r="D175" s="4" t="s">
        <v>99</v>
      </c>
      <c r="E175" s="11" t="s">
        <v>99</v>
      </c>
      <c r="H175" s="9" t="s">
        <v>10689</v>
      </c>
    </row>
    <row r="176">
      <c r="A176" s="100">
        <v>24507.0</v>
      </c>
      <c r="B176" s="8" t="s">
        <v>5200</v>
      </c>
      <c r="C176" s="11" t="s">
        <v>874</v>
      </c>
      <c r="D176" s="4" t="s">
        <v>99</v>
      </c>
      <c r="E176" s="11" t="s">
        <v>99</v>
      </c>
      <c r="H176" s="9" t="s">
        <v>10690</v>
      </c>
    </row>
    <row r="177">
      <c r="A177" s="100">
        <v>24503.0</v>
      </c>
      <c r="B177" s="8" t="s">
        <v>20</v>
      </c>
      <c r="C177" s="11" t="s">
        <v>10691</v>
      </c>
      <c r="D177" s="4" t="s">
        <v>99</v>
      </c>
      <c r="E177" s="11" t="s">
        <v>10649</v>
      </c>
      <c r="H177" s="9" t="s">
        <v>10692</v>
      </c>
    </row>
    <row r="178">
      <c r="A178" s="100">
        <v>24501.0</v>
      </c>
      <c r="B178" s="8" t="s">
        <v>20</v>
      </c>
      <c r="C178" s="11" t="s">
        <v>10693</v>
      </c>
      <c r="D178" s="4" t="s">
        <v>99</v>
      </c>
      <c r="E178" s="11" t="s">
        <v>99</v>
      </c>
      <c r="H178" s="9" t="s">
        <v>10694</v>
      </c>
    </row>
    <row r="179">
      <c r="A179" s="100">
        <v>24495.0</v>
      </c>
      <c r="B179" s="8" t="s">
        <v>20</v>
      </c>
      <c r="C179" s="11" t="s">
        <v>760</v>
      </c>
      <c r="D179" s="4" t="s">
        <v>99</v>
      </c>
      <c r="E179" s="11" t="s">
        <v>10582</v>
      </c>
      <c r="H179" s="9" t="s">
        <v>10695</v>
      </c>
    </row>
    <row r="180">
      <c r="A180" s="100">
        <v>24427.0</v>
      </c>
      <c r="B180" s="8" t="s">
        <v>276</v>
      </c>
      <c r="C180" s="11" t="s">
        <v>4331</v>
      </c>
      <c r="D180" s="4" t="s">
        <v>99</v>
      </c>
      <c r="E180" s="11" t="s">
        <v>10669</v>
      </c>
      <c r="H180" s="9" t="s">
        <v>10696</v>
      </c>
    </row>
    <row r="181">
      <c r="A181" s="100">
        <v>24246.0</v>
      </c>
      <c r="B181" s="8" t="s">
        <v>20</v>
      </c>
      <c r="C181" s="11" t="s">
        <v>763</v>
      </c>
      <c r="D181" s="4" t="s">
        <v>99</v>
      </c>
      <c r="E181" s="11" t="s">
        <v>99</v>
      </c>
      <c r="H181" s="9" t="s">
        <v>10697</v>
      </c>
      <c r="I181" s="12" t="s">
        <v>10698</v>
      </c>
    </row>
    <row r="182">
      <c r="A182" s="100">
        <v>24153.0</v>
      </c>
      <c r="B182" s="8" t="s">
        <v>20</v>
      </c>
      <c r="C182" s="11" t="s">
        <v>205</v>
      </c>
      <c r="D182" s="4" t="s">
        <v>99</v>
      </c>
      <c r="E182" s="11" t="s">
        <v>10427</v>
      </c>
      <c r="H182" s="9" t="s">
        <v>10699</v>
      </c>
    </row>
    <row r="183">
      <c r="A183" s="100">
        <v>24152.0</v>
      </c>
      <c r="B183" s="8" t="s">
        <v>20</v>
      </c>
      <c r="C183" s="11" t="s">
        <v>10700</v>
      </c>
      <c r="D183" s="4" t="s">
        <v>99</v>
      </c>
      <c r="E183" s="11" t="s">
        <v>99</v>
      </c>
      <c r="H183" s="9" t="s">
        <v>10701</v>
      </c>
    </row>
    <row r="184">
      <c r="A184" s="100">
        <v>24151.0</v>
      </c>
      <c r="B184" s="8" t="s">
        <v>20</v>
      </c>
      <c r="C184" s="11" t="s">
        <v>9298</v>
      </c>
      <c r="D184" s="4" t="s">
        <v>99</v>
      </c>
      <c r="E184" s="11" t="s">
        <v>10427</v>
      </c>
      <c r="H184" s="9" t="s">
        <v>10600</v>
      </c>
    </row>
    <row r="185">
      <c r="A185" s="100">
        <v>24118.0</v>
      </c>
      <c r="B185" s="8" t="s">
        <v>20</v>
      </c>
      <c r="C185" s="11" t="s">
        <v>10702</v>
      </c>
      <c r="D185" s="4" t="s">
        <v>99</v>
      </c>
      <c r="E185" s="11" t="s">
        <v>10438</v>
      </c>
      <c r="I185" s="12" t="s">
        <v>10703</v>
      </c>
    </row>
    <row r="186">
      <c r="A186" s="100">
        <v>24029.0</v>
      </c>
      <c r="B186" s="8" t="s">
        <v>20</v>
      </c>
      <c r="C186" s="11" t="s">
        <v>10704</v>
      </c>
      <c r="D186" s="4" t="s">
        <v>99</v>
      </c>
      <c r="E186" s="11" t="s">
        <v>10401</v>
      </c>
      <c r="H186" s="9" t="s">
        <v>10705</v>
      </c>
    </row>
    <row r="187">
      <c r="A187" s="100">
        <v>24026.0</v>
      </c>
      <c r="B187" s="8" t="s">
        <v>20</v>
      </c>
      <c r="C187" s="11" t="s">
        <v>10706</v>
      </c>
      <c r="D187" s="4" t="s">
        <v>99</v>
      </c>
      <c r="E187" s="11" t="s">
        <v>10465</v>
      </c>
      <c r="H187" s="9" t="s">
        <v>10707</v>
      </c>
    </row>
    <row r="188">
      <c r="A188" s="100">
        <v>23737.0</v>
      </c>
      <c r="B188" s="8" t="s">
        <v>20</v>
      </c>
      <c r="C188" s="11" t="s">
        <v>10708</v>
      </c>
      <c r="D188" s="4" t="s">
        <v>99</v>
      </c>
      <c r="E188" s="11" t="s">
        <v>10422</v>
      </c>
      <c r="H188" s="9" t="s">
        <v>10709</v>
      </c>
    </row>
    <row r="189">
      <c r="A189" s="100">
        <v>23636.0</v>
      </c>
      <c r="B189" s="8" t="s">
        <v>20</v>
      </c>
      <c r="C189" s="11" t="s">
        <v>10710</v>
      </c>
      <c r="D189" s="4" t="s">
        <v>99</v>
      </c>
      <c r="E189" s="11" t="s">
        <v>99</v>
      </c>
      <c r="H189" s="9" t="s">
        <v>10711</v>
      </c>
    </row>
    <row r="190">
      <c r="A190" s="100">
        <v>23611.0</v>
      </c>
      <c r="B190" s="8" t="s">
        <v>20</v>
      </c>
      <c r="C190" s="11" t="s">
        <v>49</v>
      </c>
      <c r="D190" s="4" t="s">
        <v>99</v>
      </c>
      <c r="E190" s="11" t="s">
        <v>10349</v>
      </c>
      <c r="H190" s="9" t="s">
        <v>10712</v>
      </c>
      <c r="J190" s="12" t="s">
        <v>10713</v>
      </c>
    </row>
    <row r="191">
      <c r="A191" s="100">
        <v>23573.0</v>
      </c>
      <c r="B191" s="8" t="s">
        <v>20</v>
      </c>
      <c r="C191" s="11" t="s">
        <v>3361</v>
      </c>
      <c r="D191" s="4" t="s">
        <v>99</v>
      </c>
      <c r="E191" s="11" t="s">
        <v>10406</v>
      </c>
      <c r="H191" s="9" t="s">
        <v>10714</v>
      </c>
    </row>
    <row r="192">
      <c r="A192" s="100">
        <v>23565.0</v>
      </c>
      <c r="B192" s="8" t="s">
        <v>20</v>
      </c>
      <c r="C192" s="11" t="s">
        <v>6131</v>
      </c>
      <c r="D192" s="4" t="s">
        <v>99</v>
      </c>
      <c r="E192" s="11" t="s">
        <v>99</v>
      </c>
      <c r="H192" s="9" t="s">
        <v>10715</v>
      </c>
    </row>
    <row r="193">
      <c r="A193" s="100">
        <v>23455.0</v>
      </c>
      <c r="B193" s="8" t="s">
        <v>20</v>
      </c>
      <c r="C193" s="11" t="s">
        <v>10716</v>
      </c>
      <c r="D193" s="4" t="s">
        <v>99</v>
      </c>
      <c r="E193" s="11" t="s">
        <v>10457</v>
      </c>
      <c r="J193" s="12" t="s">
        <v>10717</v>
      </c>
    </row>
    <row r="194">
      <c r="A194" s="100">
        <v>22789.0</v>
      </c>
      <c r="B194" s="8" t="s">
        <v>20</v>
      </c>
      <c r="C194" s="11" t="s">
        <v>10718</v>
      </c>
      <c r="D194" s="4" t="s">
        <v>99</v>
      </c>
      <c r="E194" s="11" t="s">
        <v>10669</v>
      </c>
      <c r="H194" s="9" t="s">
        <v>10696</v>
      </c>
    </row>
    <row r="195">
      <c r="A195" s="100">
        <v>22788.0</v>
      </c>
      <c r="B195" s="8" t="s">
        <v>20</v>
      </c>
      <c r="C195" s="11" t="s">
        <v>10719</v>
      </c>
      <c r="D195" s="4" t="s">
        <v>99</v>
      </c>
      <c r="E195" s="11" t="s">
        <v>99</v>
      </c>
      <c r="H195" s="9" t="s">
        <v>10720</v>
      </c>
    </row>
    <row r="196">
      <c r="A196" s="100">
        <v>22782.0</v>
      </c>
      <c r="B196" s="8" t="s">
        <v>20</v>
      </c>
      <c r="C196" s="11" t="s">
        <v>10721</v>
      </c>
      <c r="D196" s="4" t="s">
        <v>99</v>
      </c>
      <c r="E196" s="11" t="s">
        <v>10412</v>
      </c>
      <c r="H196" s="9" t="s">
        <v>10722</v>
      </c>
      <c r="I196" s="12" t="s">
        <v>10723</v>
      </c>
    </row>
    <row r="197">
      <c r="A197" s="100">
        <v>22780.0</v>
      </c>
      <c r="B197" s="8" t="s">
        <v>20</v>
      </c>
      <c r="C197" s="11" t="s">
        <v>10724</v>
      </c>
      <c r="D197" s="4" t="s">
        <v>99</v>
      </c>
      <c r="E197" s="11" t="s">
        <v>10349</v>
      </c>
      <c r="H197" s="9" t="s">
        <v>10725</v>
      </c>
      <c r="I197" s="12" t="s">
        <v>10726</v>
      </c>
    </row>
    <row r="198">
      <c r="A198" s="100">
        <v>22777.0</v>
      </c>
      <c r="B198" s="8" t="s">
        <v>102</v>
      </c>
      <c r="C198" s="11" t="s">
        <v>10727</v>
      </c>
      <c r="D198" s="4" t="s">
        <v>99</v>
      </c>
      <c r="E198" s="11" t="s">
        <v>10422</v>
      </c>
      <c r="H198" s="9" t="s">
        <v>10728</v>
      </c>
    </row>
    <row r="199">
      <c r="A199" s="100">
        <v>22239.0</v>
      </c>
      <c r="B199" s="8" t="s">
        <v>20</v>
      </c>
      <c r="C199" s="11" t="s">
        <v>3999</v>
      </c>
      <c r="D199" s="4" t="s">
        <v>99</v>
      </c>
      <c r="E199" s="11" t="s">
        <v>99</v>
      </c>
      <c r="H199" s="9" t="s">
        <v>10729</v>
      </c>
      <c r="I199" s="12" t="s">
        <v>10730</v>
      </c>
      <c r="J199" s="12" t="s">
        <v>10731</v>
      </c>
    </row>
    <row r="200">
      <c r="A200" s="100">
        <v>22224.0</v>
      </c>
      <c r="B200" s="8" t="s">
        <v>20</v>
      </c>
      <c r="C200" s="11" t="s">
        <v>2889</v>
      </c>
      <c r="D200" s="4" t="s">
        <v>99</v>
      </c>
      <c r="E200" s="11" t="s">
        <v>10465</v>
      </c>
      <c r="H200" s="9" t="s">
        <v>10732</v>
      </c>
    </row>
    <row r="201">
      <c r="A201" s="100">
        <v>22217.0</v>
      </c>
      <c r="B201" s="8" t="s">
        <v>20</v>
      </c>
      <c r="C201" s="11" t="s">
        <v>10733</v>
      </c>
      <c r="D201" s="4" t="s">
        <v>99</v>
      </c>
      <c r="E201" s="11" t="s">
        <v>99</v>
      </c>
      <c r="H201" s="9" t="s">
        <v>10734</v>
      </c>
      <c r="I201" s="12" t="s">
        <v>10735</v>
      </c>
    </row>
    <row r="202">
      <c r="A202" s="100">
        <v>22159.0</v>
      </c>
      <c r="B202" s="8" t="s">
        <v>20</v>
      </c>
      <c r="C202" s="11" t="s">
        <v>3617</v>
      </c>
      <c r="D202" s="4" t="s">
        <v>99</v>
      </c>
      <c r="E202" s="11" t="s">
        <v>99</v>
      </c>
      <c r="H202" s="9" t="s">
        <v>10736</v>
      </c>
      <c r="I202" s="12" t="s">
        <v>10737</v>
      </c>
    </row>
    <row r="203">
      <c r="A203" s="100">
        <v>22071.0</v>
      </c>
      <c r="B203" s="8" t="s">
        <v>20</v>
      </c>
      <c r="C203" s="11" t="s">
        <v>874</v>
      </c>
      <c r="D203" s="4" t="s">
        <v>99</v>
      </c>
      <c r="E203" s="11" t="s">
        <v>10349</v>
      </c>
      <c r="H203" s="9" t="s">
        <v>10738</v>
      </c>
    </row>
    <row r="204">
      <c r="A204" s="100">
        <v>21273.0</v>
      </c>
      <c r="B204" s="8" t="s">
        <v>20</v>
      </c>
      <c r="C204" s="11" t="s">
        <v>10739</v>
      </c>
      <c r="D204" s="4" t="s">
        <v>99</v>
      </c>
      <c r="E204" s="11" t="s">
        <v>10349</v>
      </c>
      <c r="H204" s="9" t="s">
        <v>10740</v>
      </c>
    </row>
    <row r="205">
      <c r="A205" s="100">
        <v>20888.0</v>
      </c>
      <c r="B205" s="8" t="s">
        <v>20</v>
      </c>
      <c r="C205" s="11" t="s">
        <v>10426</v>
      </c>
      <c r="D205" s="4" t="s">
        <v>99</v>
      </c>
      <c r="E205" s="11" t="s">
        <v>10427</v>
      </c>
      <c r="H205" s="9" t="s">
        <v>10741</v>
      </c>
    </row>
    <row r="206">
      <c r="A206" s="100">
        <v>20545.0</v>
      </c>
      <c r="B206" s="8" t="s">
        <v>20</v>
      </c>
      <c r="C206" s="11" t="s">
        <v>10742</v>
      </c>
      <c r="D206" s="4" t="s">
        <v>99</v>
      </c>
      <c r="E206" s="11" t="s">
        <v>99</v>
      </c>
      <c r="H206" s="9" t="s">
        <v>10743</v>
      </c>
    </row>
    <row r="207">
      <c r="A207" s="100">
        <v>20542.0</v>
      </c>
      <c r="B207" s="8" t="s">
        <v>20</v>
      </c>
      <c r="C207" s="11" t="s">
        <v>10744</v>
      </c>
      <c r="D207" s="4" t="s">
        <v>99</v>
      </c>
      <c r="E207" s="11" t="s">
        <v>99</v>
      </c>
      <c r="H207" s="9" t="s">
        <v>10745</v>
      </c>
    </row>
    <row r="208">
      <c r="A208" s="100">
        <v>20539.0</v>
      </c>
      <c r="B208" s="8" t="s">
        <v>20</v>
      </c>
      <c r="C208" s="11" t="s">
        <v>1342</v>
      </c>
      <c r="D208" s="4" t="s">
        <v>99</v>
      </c>
      <c r="E208" s="11" t="s">
        <v>10401</v>
      </c>
      <c r="H208" s="9" t="s">
        <v>10746</v>
      </c>
    </row>
    <row r="209">
      <c r="A209" s="100">
        <v>20505.0</v>
      </c>
      <c r="B209" s="8" t="s">
        <v>20</v>
      </c>
      <c r="C209" s="11" t="s">
        <v>10747</v>
      </c>
      <c r="D209" s="4" t="s">
        <v>99</v>
      </c>
      <c r="E209" s="11" t="s">
        <v>99</v>
      </c>
      <c r="H209" s="9" t="s">
        <v>10748</v>
      </c>
    </row>
    <row r="210">
      <c r="A210" s="100">
        <v>20435.0</v>
      </c>
      <c r="B210" s="8" t="s">
        <v>20</v>
      </c>
      <c r="C210" s="11" t="s">
        <v>10749</v>
      </c>
      <c r="D210" s="4" t="s">
        <v>99</v>
      </c>
      <c r="E210" s="11" t="s">
        <v>99</v>
      </c>
      <c r="H210" s="9" t="s">
        <v>10750</v>
      </c>
    </row>
    <row r="211">
      <c r="A211" s="100">
        <v>20369.0</v>
      </c>
      <c r="B211" s="8" t="s">
        <v>20</v>
      </c>
      <c r="C211" s="11" t="s">
        <v>4459</v>
      </c>
      <c r="D211" s="4" t="s">
        <v>99</v>
      </c>
      <c r="E211" s="11" t="s">
        <v>10438</v>
      </c>
      <c r="H211" s="9" t="s">
        <v>10751</v>
      </c>
    </row>
    <row r="212">
      <c r="A212" s="100">
        <v>20119.0</v>
      </c>
      <c r="B212" s="8" t="s">
        <v>20</v>
      </c>
      <c r="C212" s="11" t="s">
        <v>10752</v>
      </c>
      <c r="D212" s="4" t="s">
        <v>99</v>
      </c>
      <c r="E212" s="11" t="s">
        <v>10649</v>
      </c>
      <c r="H212" s="9" t="s">
        <v>10753</v>
      </c>
      <c r="I212" s="12" t="s">
        <v>10754</v>
      </c>
    </row>
    <row r="213">
      <c r="A213" s="100">
        <v>19971.0</v>
      </c>
      <c r="B213" s="8" t="s">
        <v>20</v>
      </c>
      <c r="C213" s="11" t="s">
        <v>3209</v>
      </c>
      <c r="D213" s="4" t="s">
        <v>99</v>
      </c>
      <c r="E213" s="11" t="s">
        <v>99</v>
      </c>
      <c r="I213" s="12" t="s">
        <v>10571</v>
      </c>
      <c r="J213" s="12" t="s">
        <v>10755</v>
      </c>
    </row>
    <row r="214">
      <c r="A214" s="100">
        <v>19792.0</v>
      </c>
      <c r="B214" s="8" t="s">
        <v>20</v>
      </c>
      <c r="C214" s="11" t="s">
        <v>763</v>
      </c>
      <c r="D214" s="4" t="s">
        <v>99</v>
      </c>
      <c r="E214" s="11" t="s">
        <v>10461</v>
      </c>
      <c r="H214" s="9" t="s">
        <v>10756</v>
      </c>
    </row>
    <row r="215">
      <c r="A215" s="100">
        <v>19686.0</v>
      </c>
      <c r="B215" s="8" t="s">
        <v>20</v>
      </c>
      <c r="C215" s="11" t="s">
        <v>813</v>
      </c>
      <c r="D215" s="4" t="s">
        <v>99</v>
      </c>
      <c r="E215" s="11" t="s">
        <v>10349</v>
      </c>
      <c r="H215" s="9" t="s">
        <v>10757</v>
      </c>
      <c r="I215" s="12" t="s">
        <v>10758</v>
      </c>
    </row>
    <row r="216" ht="18.0" customHeight="1">
      <c r="A216" s="100">
        <v>19685.0</v>
      </c>
      <c r="B216" s="8" t="s">
        <v>20</v>
      </c>
      <c r="C216" s="11" t="s">
        <v>4867</v>
      </c>
      <c r="D216" s="4" t="s">
        <v>99</v>
      </c>
      <c r="E216" s="11" t="s">
        <v>10457</v>
      </c>
      <c r="H216" s="9" t="s">
        <v>10759</v>
      </c>
      <c r="I216" s="12" t="s">
        <v>10760</v>
      </c>
    </row>
    <row r="217">
      <c r="A217" s="100">
        <v>18393.0</v>
      </c>
      <c r="B217" s="8" t="s">
        <v>20</v>
      </c>
      <c r="C217" s="11" t="s">
        <v>10460</v>
      </c>
      <c r="D217" s="4" t="s">
        <v>99</v>
      </c>
      <c r="E217" s="11" t="s">
        <v>10461</v>
      </c>
      <c r="H217" s="9" t="s">
        <v>10761</v>
      </c>
      <c r="J217" s="12" t="s">
        <v>10462</v>
      </c>
    </row>
    <row r="218">
      <c r="A218" s="100">
        <v>18392.0</v>
      </c>
      <c r="B218" s="8" t="s">
        <v>20</v>
      </c>
      <c r="C218" s="11" t="s">
        <v>10762</v>
      </c>
      <c r="D218" s="4" t="s">
        <v>99</v>
      </c>
      <c r="E218" s="11" t="s">
        <v>99</v>
      </c>
      <c r="K218" s="9" t="s">
        <v>10763</v>
      </c>
    </row>
    <row r="219">
      <c r="A219" s="100">
        <v>18384.0</v>
      </c>
      <c r="B219" s="8" t="s">
        <v>20</v>
      </c>
      <c r="C219" s="11" t="s">
        <v>4125</v>
      </c>
      <c r="D219" s="4" t="s">
        <v>99</v>
      </c>
      <c r="E219" s="11" t="s">
        <v>10412</v>
      </c>
      <c r="H219" s="9" t="s">
        <v>10764</v>
      </c>
    </row>
    <row r="220">
      <c r="A220" s="100">
        <v>18383.0</v>
      </c>
      <c r="B220" s="8" t="s">
        <v>20</v>
      </c>
      <c r="C220" s="11" t="s">
        <v>4348</v>
      </c>
      <c r="D220" s="4" t="s">
        <v>99</v>
      </c>
      <c r="E220" s="11" t="s">
        <v>99</v>
      </c>
      <c r="H220" s="9" t="s">
        <v>10765</v>
      </c>
    </row>
    <row r="221">
      <c r="A221" s="100">
        <v>18181.0</v>
      </c>
      <c r="B221" s="8" t="s">
        <v>20</v>
      </c>
      <c r="C221" s="11" t="s">
        <v>10766</v>
      </c>
      <c r="D221" s="4" t="s">
        <v>99</v>
      </c>
      <c r="E221" s="11" t="s">
        <v>99</v>
      </c>
      <c r="H221" s="9" t="s">
        <v>10767</v>
      </c>
      <c r="J221" s="12" t="s">
        <v>10768</v>
      </c>
    </row>
    <row r="222">
      <c r="A222" s="100">
        <v>12150.0</v>
      </c>
      <c r="B222" s="8" t="s">
        <v>20</v>
      </c>
      <c r="C222" s="11" t="s">
        <v>7735</v>
      </c>
      <c r="D222" s="4" t="s">
        <v>99</v>
      </c>
      <c r="E222" s="11" t="s">
        <v>10422</v>
      </c>
      <c r="H222" s="9" t="s">
        <v>10769</v>
      </c>
    </row>
    <row r="223">
      <c r="A223" s="100">
        <v>12148.0</v>
      </c>
      <c r="B223" s="8" t="s">
        <v>20</v>
      </c>
      <c r="C223" s="11" t="s">
        <v>10770</v>
      </c>
      <c r="D223" s="4" t="s">
        <v>99</v>
      </c>
      <c r="E223" s="11" t="s">
        <v>99</v>
      </c>
      <c r="H223" s="9" t="s">
        <v>10771</v>
      </c>
      <c r="J223" s="12" t="s">
        <v>10505</v>
      </c>
    </row>
    <row r="224">
      <c r="A224" s="100">
        <v>12145.0</v>
      </c>
      <c r="B224" s="8" t="s">
        <v>20</v>
      </c>
      <c r="C224" s="11" t="s">
        <v>10772</v>
      </c>
      <c r="D224" s="4" t="s">
        <v>99</v>
      </c>
      <c r="E224" s="11" t="s">
        <v>99</v>
      </c>
      <c r="H224" s="9" t="s">
        <v>10773</v>
      </c>
    </row>
    <row r="225">
      <c r="A225" s="100">
        <v>12143.0</v>
      </c>
      <c r="B225" s="8" t="s">
        <v>20</v>
      </c>
      <c r="C225" s="11" t="s">
        <v>5326</v>
      </c>
      <c r="D225" s="4" t="s">
        <v>99</v>
      </c>
      <c r="E225" s="11" t="s">
        <v>99</v>
      </c>
      <c r="H225" s="9" t="s">
        <v>10774</v>
      </c>
    </row>
    <row r="226">
      <c r="A226" s="100">
        <v>12138.0</v>
      </c>
      <c r="B226" s="8" t="s">
        <v>20</v>
      </c>
      <c r="C226" s="11" t="s">
        <v>10775</v>
      </c>
      <c r="D226" s="4" t="s">
        <v>99</v>
      </c>
      <c r="E226" s="11" t="s">
        <v>99</v>
      </c>
      <c r="H226" s="9" t="s">
        <v>10776</v>
      </c>
    </row>
    <row r="227">
      <c r="A227" s="100">
        <v>12136.0</v>
      </c>
      <c r="B227" s="8" t="s">
        <v>20</v>
      </c>
      <c r="C227" s="11" t="s">
        <v>10777</v>
      </c>
      <c r="D227" s="4" t="s">
        <v>99</v>
      </c>
      <c r="E227" s="11" t="s">
        <v>10649</v>
      </c>
      <c r="H227" s="9" t="s">
        <v>10778</v>
      </c>
      <c r="I227" s="12" t="s">
        <v>10779</v>
      </c>
    </row>
    <row r="228">
      <c r="A228" s="100">
        <v>12130.0</v>
      </c>
      <c r="B228" s="8" t="s">
        <v>20</v>
      </c>
      <c r="C228" s="11" t="s">
        <v>6901</v>
      </c>
      <c r="D228" s="4" t="s">
        <v>99</v>
      </c>
      <c r="E228" s="11" t="s">
        <v>10401</v>
      </c>
      <c r="H228" s="9" t="s">
        <v>10780</v>
      </c>
    </row>
    <row r="229">
      <c r="A229" s="100">
        <v>12128.0</v>
      </c>
      <c r="B229" s="8" t="s">
        <v>20</v>
      </c>
      <c r="C229" s="11" t="s">
        <v>10781</v>
      </c>
      <c r="D229" s="4" t="s">
        <v>99</v>
      </c>
      <c r="E229" s="11" t="s">
        <v>99</v>
      </c>
      <c r="H229" s="267" t="s">
        <v>10586</v>
      </c>
    </row>
    <row r="230">
      <c r="A230" s="100">
        <v>12127.0</v>
      </c>
      <c r="B230" s="8" t="s">
        <v>20</v>
      </c>
      <c r="C230" s="11" t="s">
        <v>10502</v>
      </c>
      <c r="D230" s="4" t="s">
        <v>99</v>
      </c>
      <c r="E230" s="11" t="s">
        <v>99</v>
      </c>
      <c r="H230" s="9" t="s">
        <v>10782</v>
      </c>
      <c r="I230" s="12" t="s">
        <v>10783</v>
      </c>
    </row>
    <row r="231">
      <c r="A231" s="100">
        <v>12121.0</v>
      </c>
      <c r="B231" s="8" t="s">
        <v>20</v>
      </c>
      <c r="C231" s="11" t="s">
        <v>10784</v>
      </c>
      <c r="D231" s="4" t="s">
        <v>99</v>
      </c>
      <c r="E231" s="11" t="s">
        <v>10349</v>
      </c>
      <c r="H231" s="9" t="s">
        <v>10785</v>
      </c>
    </row>
    <row r="232">
      <c r="A232" s="100">
        <v>12116.0</v>
      </c>
      <c r="B232" s="8" t="s">
        <v>20</v>
      </c>
      <c r="C232" s="11" t="s">
        <v>10786</v>
      </c>
      <c r="D232" s="4" t="s">
        <v>99</v>
      </c>
      <c r="E232" s="11" t="s">
        <v>10406</v>
      </c>
      <c r="J232" s="12" t="s">
        <v>10787</v>
      </c>
    </row>
    <row r="233">
      <c r="A233" s="100">
        <v>12098.0</v>
      </c>
      <c r="B233" s="8" t="s">
        <v>20</v>
      </c>
      <c r="C233" s="11" t="s">
        <v>10788</v>
      </c>
      <c r="D233" s="4" t="s">
        <v>99</v>
      </c>
      <c r="E233" s="11" t="s">
        <v>99</v>
      </c>
      <c r="H233" s="9" t="s">
        <v>10789</v>
      </c>
    </row>
    <row r="234">
      <c r="A234" s="100">
        <v>12092.0</v>
      </c>
      <c r="B234" s="8" t="s">
        <v>20</v>
      </c>
      <c r="C234" s="11" t="s">
        <v>10790</v>
      </c>
      <c r="D234" s="4" t="s">
        <v>99</v>
      </c>
      <c r="E234" s="11" t="s">
        <v>99</v>
      </c>
      <c r="H234" s="9" t="s">
        <v>10791</v>
      </c>
    </row>
    <row r="235">
      <c r="A235" s="100">
        <v>12081.0</v>
      </c>
      <c r="B235" s="8" t="s">
        <v>20</v>
      </c>
      <c r="C235" s="11" t="s">
        <v>698</v>
      </c>
      <c r="D235" s="4" t="s">
        <v>99</v>
      </c>
      <c r="E235" s="11" t="s">
        <v>10349</v>
      </c>
      <c r="H235" s="9" t="s">
        <v>10792</v>
      </c>
    </row>
    <row r="236">
      <c r="A236" s="100">
        <v>12075.0</v>
      </c>
      <c r="B236" s="8" t="s">
        <v>20</v>
      </c>
      <c r="C236" s="11" t="s">
        <v>1057</v>
      </c>
      <c r="D236" s="4" t="s">
        <v>99</v>
      </c>
      <c r="E236" s="11" t="s">
        <v>10422</v>
      </c>
      <c r="H236" s="9" t="s">
        <v>10793</v>
      </c>
    </row>
    <row r="237">
      <c r="A237" s="100">
        <v>12067.0</v>
      </c>
      <c r="B237" s="8" t="s">
        <v>20</v>
      </c>
      <c r="C237" s="11" t="s">
        <v>10794</v>
      </c>
      <c r="D237" s="4" t="s">
        <v>99</v>
      </c>
      <c r="E237" s="11" t="s">
        <v>10584</v>
      </c>
      <c r="H237" s="9" t="s">
        <v>10795</v>
      </c>
      <c r="I237" s="12" t="s">
        <v>10796</v>
      </c>
    </row>
    <row r="238">
      <c r="A238" s="100">
        <v>12029.0</v>
      </c>
      <c r="B238" s="8" t="s">
        <v>20</v>
      </c>
      <c r="C238" s="11" t="s">
        <v>10797</v>
      </c>
      <c r="D238" s="4" t="s">
        <v>99</v>
      </c>
      <c r="E238" s="11" t="s">
        <v>99</v>
      </c>
      <c r="H238" s="9" t="s">
        <v>10798</v>
      </c>
    </row>
    <row r="239">
      <c r="A239" s="100">
        <v>12009.0</v>
      </c>
      <c r="B239" s="8" t="s">
        <v>20</v>
      </c>
      <c r="C239" s="11" t="s">
        <v>4517</v>
      </c>
      <c r="D239" s="4" t="s">
        <v>99</v>
      </c>
      <c r="E239" s="11" t="s">
        <v>10461</v>
      </c>
      <c r="H239" s="9" t="s">
        <v>10799</v>
      </c>
    </row>
    <row r="240">
      <c r="A240" s="100">
        <v>12003.0</v>
      </c>
      <c r="B240" s="8" t="s">
        <v>20</v>
      </c>
      <c r="C240" s="11" t="s">
        <v>4304</v>
      </c>
      <c r="D240" s="4" t="s">
        <v>99</v>
      </c>
      <c r="E240" s="11" t="s">
        <v>10406</v>
      </c>
      <c r="H240" s="9" t="s">
        <v>10800</v>
      </c>
    </row>
    <row r="241">
      <c r="A241" s="100">
        <v>11999.0</v>
      </c>
      <c r="B241" s="8" t="s">
        <v>20</v>
      </c>
      <c r="C241" s="11" t="s">
        <v>1369</v>
      </c>
      <c r="D241" s="4" t="s">
        <v>99</v>
      </c>
      <c r="E241" s="11" t="s">
        <v>10406</v>
      </c>
      <c r="H241" s="9" t="s">
        <v>10801</v>
      </c>
    </row>
    <row r="242">
      <c r="A242" s="100">
        <v>11998.0</v>
      </c>
      <c r="B242" s="8" t="s">
        <v>20</v>
      </c>
      <c r="C242" s="11" t="s">
        <v>1027</v>
      </c>
      <c r="D242" s="4" t="s">
        <v>99</v>
      </c>
      <c r="E242" s="11" t="s">
        <v>10406</v>
      </c>
      <c r="H242" s="9" t="s">
        <v>10802</v>
      </c>
    </row>
    <row r="243">
      <c r="A243" s="100">
        <v>11979.0</v>
      </c>
      <c r="B243" s="8" t="s">
        <v>20</v>
      </c>
      <c r="C243" s="11" t="s">
        <v>10803</v>
      </c>
      <c r="D243" s="4" t="s">
        <v>99</v>
      </c>
      <c r="E243" s="11" t="s">
        <v>10457</v>
      </c>
      <c r="H243" s="9" t="s">
        <v>10804</v>
      </c>
      <c r="J243" s="12" t="s">
        <v>10458</v>
      </c>
    </row>
    <row r="244">
      <c r="A244" s="100">
        <v>11968.0</v>
      </c>
      <c r="B244" s="8" t="s">
        <v>20</v>
      </c>
      <c r="C244" s="11" t="s">
        <v>10805</v>
      </c>
      <c r="D244" s="4" t="s">
        <v>99</v>
      </c>
      <c r="E244" s="11" t="s">
        <v>10584</v>
      </c>
      <c r="H244" s="9" t="s">
        <v>10806</v>
      </c>
      <c r="I244" s="12" t="s">
        <v>10807</v>
      </c>
    </row>
    <row r="245">
      <c r="A245" s="100">
        <v>11954.0</v>
      </c>
      <c r="B245" s="8" t="s">
        <v>20</v>
      </c>
      <c r="C245" s="11" t="s">
        <v>4206</v>
      </c>
      <c r="D245" s="4" t="s">
        <v>99</v>
      </c>
      <c r="E245" s="11" t="s">
        <v>10388</v>
      </c>
      <c r="H245" s="9" t="s">
        <v>10808</v>
      </c>
      <c r="J245" s="12" t="s">
        <v>10809</v>
      </c>
    </row>
    <row r="246">
      <c r="A246" s="100">
        <v>11947.0</v>
      </c>
      <c r="B246" s="8" t="s">
        <v>20</v>
      </c>
      <c r="C246" s="11" t="s">
        <v>10810</v>
      </c>
      <c r="D246" s="4" t="s">
        <v>99</v>
      </c>
      <c r="E246" s="11" t="s">
        <v>10422</v>
      </c>
      <c r="H246" s="9" t="s">
        <v>10811</v>
      </c>
    </row>
    <row r="247">
      <c r="A247" s="100">
        <v>11945.0</v>
      </c>
      <c r="B247" s="8" t="s">
        <v>20</v>
      </c>
      <c r="C247" s="11" t="s">
        <v>5784</v>
      </c>
      <c r="D247" s="4" t="s">
        <v>99</v>
      </c>
      <c r="E247" s="11" t="s">
        <v>10422</v>
      </c>
      <c r="H247" s="9" t="s">
        <v>10812</v>
      </c>
    </row>
    <row r="248">
      <c r="A248" s="100">
        <v>11940.0</v>
      </c>
      <c r="B248" s="8" t="s">
        <v>20</v>
      </c>
      <c r="C248" s="11" t="s">
        <v>49</v>
      </c>
      <c r="D248" s="4" t="s">
        <v>99</v>
      </c>
      <c r="E248" s="11" t="s">
        <v>10422</v>
      </c>
      <c r="H248" s="9" t="s">
        <v>10813</v>
      </c>
    </row>
    <row r="249">
      <c r="A249" s="100">
        <v>11912.0</v>
      </c>
      <c r="B249" s="8" t="s">
        <v>20</v>
      </c>
      <c r="C249" s="11" t="s">
        <v>10814</v>
      </c>
      <c r="D249" s="4" t="s">
        <v>99</v>
      </c>
      <c r="E249" s="11" t="s">
        <v>10649</v>
      </c>
      <c r="H249" s="9" t="s">
        <v>10815</v>
      </c>
      <c r="I249" s="12" t="s">
        <v>10816</v>
      </c>
    </row>
    <row r="250">
      <c r="A250" s="100">
        <v>11911.0</v>
      </c>
      <c r="B250" s="8" t="s">
        <v>20</v>
      </c>
      <c r="C250" s="11" t="s">
        <v>10817</v>
      </c>
      <c r="D250" s="4" t="s">
        <v>99</v>
      </c>
      <c r="E250" s="11" t="s">
        <v>10422</v>
      </c>
      <c r="J250" s="12" t="s">
        <v>10818</v>
      </c>
    </row>
    <row r="251">
      <c r="A251" s="100">
        <v>11902.0</v>
      </c>
      <c r="B251" s="8" t="s">
        <v>20</v>
      </c>
      <c r="C251" s="11" t="s">
        <v>10819</v>
      </c>
      <c r="D251" s="4" t="s">
        <v>99</v>
      </c>
      <c r="E251" s="11" t="s">
        <v>99</v>
      </c>
      <c r="H251" s="9" t="s">
        <v>10820</v>
      </c>
    </row>
    <row r="252">
      <c r="A252" s="100">
        <v>11901.0</v>
      </c>
      <c r="B252" s="8" t="s">
        <v>20</v>
      </c>
      <c r="C252" s="11" t="s">
        <v>10821</v>
      </c>
      <c r="D252" s="4" t="s">
        <v>99</v>
      </c>
      <c r="E252" s="11" t="s">
        <v>10422</v>
      </c>
      <c r="J252" s="12" t="s">
        <v>10822</v>
      </c>
    </row>
    <row r="253">
      <c r="A253" s="100">
        <v>11899.0</v>
      </c>
      <c r="B253" s="8" t="s">
        <v>20</v>
      </c>
      <c r="C253" s="11" t="s">
        <v>10823</v>
      </c>
      <c r="D253" s="4" t="s">
        <v>99</v>
      </c>
      <c r="E253" s="11" t="s">
        <v>6585</v>
      </c>
      <c r="J253" s="12" t="s">
        <v>10824</v>
      </c>
    </row>
    <row r="254">
      <c r="A254" s="100">
        <v>11891.0</v>
      </c>
      <c r="B254" s="8" t="s">
        <v>20</v>
      </c>
      <c r="C254" s="11" t="s">
        <v>10825</v>
      </c>
      <c r="D254" s="4" t="s">
        <v>99</v>
      </c>
      <c r="E254" s="11" t="s">
        <v>99</v>
      </c>
      <c r="H254" s="9" t="s">
        <v>10826</v>
      </c>
    </row>
    <row r="255">
      <c r="A255" s="100">
        <v>11890.0</v>
      </c>
      <c r="B255" s="8" t="s">
        <v>766</v>
      </c>
      <c r="C255" s="11" t="s">
        <v>10827</v>
      </c>
      <c r="D255" s="4" t="s">
        <v>99</v>
      </c>
      <c r="E255" s="11" t="s">
        <v>99</v>
      </c>
      <c r="H255" s="9" t="s">
        <v>10828</v>
      </c>
    </row>
    <row r="256">
      <c r="A256" s="100">
        <v>11888.0</v>
      </c>
      <c r="B256" s="8" t="s">
        <v>20</v>
      </c>
      <c r="C256" s="11" t="s">
        <v>10829</v>
      </c>
      <c r="D256" s="4" t="s">
        <v>99</v>
      </c>
      <c r="E256" s="11" t="s">
        <v>99</v>
      </c>
      <c r="H256" s="9" t="s">
        <v>10830</v>
      </c>
    </row>
    <row r="257">
      <c r="A257" s="100">
        <v>11886.0</v>
      </c>
      <c r="B257" s="8" t="s">
        <v>20</v>
      </c>
      <c r="C257" s="11" t="s">
        <v>10831</v>
      </c>
      <c r="D257" s="4" t="s">
        <v>99</v>
      </c>
      <c r="E257" s="11" t="s">
        <v>10412</v>
      </c>
      <c r="J257" s="12" t="s">
        <v>10832</v>
      </c>
    </row>
    <row r="258">
      <c r="A258" s="100">
        <v>11869.0</v>
      </c>
      <c r="B258" s="8" t="s">
        <v>20</v>
      </c>
      <c r="C258" s="11" t="s">
        <v>10833</v>
      </c>
      <c r="D258" s="4" t="s">
        <v>99</v>
      </c>
      <c r="E258" s="11" t="s">
        <v>10349</v>
      </c>
      <c r="H258" s="9" t="s">
        <v>10834</v>
      </c>
    </row>
    <row r="259">
      <c r="A259" s="100">
        <v>11857.0</v>
      </c>
      <c r="B259" s="8" t="s">
        <v>102</v>
      </c>
      <c r="C259" s="11" t="s">
        <v>10835</v>
      </c>
      <c r="D259" s="4" t="s">
        <v>99</v>
      </c>
      <c r="E259" s="11" t="s">
        <v>6585</v>
      </c>
      <c r="H259" s="9" t="s">
        <v>10836</v>
      </c>
    </row>
    <row r="260">
      <c r="A260" s="100">
        <v>11822.0</v>
      </c>
      <c r="B260" s="8" t="s">
        <v>20</v>
      </c>
      <c r="C260" s="11" t="s">
        <v>10837</v>
      </c>
      <c r="D260" s="4" t="s">
        <v>99</v>
      </c>
      <c r="E260" s="11" t="s">
        <v>99</v>
      </c>
      <c r="J260" s="12" t="s">
        <v>10838</v>
      </c>
    </row>
    <row r="261">
      <c r="A261" s="100">
        <v>11821.0</v>
      </c>
      <c r="B261" s="8" t="s">
        <v>20</v>
      </c>
      <c r="C261" s="11" t="s">
        <v>6574</v>
      </c>
      <c r="D261" s="4" t="s">
        <v>99</v>
      </c>
      <c r="E261" s="11" t="s">
        <v>99</v>
      </c>
      <c r="H261" s="9" t="s">
        <v>10729</v>
      </c>
    </row>
    <row r="262">
      <c r="A262" s="100">
        <v>11814.0</v>
      </c>
      <c r="B262" s="8" t="s">
        <v>20</v>
      </c>
      <c r="C262" s="11" t="s">
        <v>6680</v>
      </c>
      <c r="D262" s="4" t="s">
        <v>99</v>
      </c>
      <c r="E262" s="11" t="s">
        <v>99</v>
      </c>
      <c r="H262" s="9" t="s">
        <v>10839</v>
      </c>
      <c r="I262" s="12" t="s">
        <v>10840</v>
      </c>
    </row>
    <row r="263">
      <c r="A263" s="100">
        <v>11812.0</v>
      </c>
      <c r="B263" s="8" t="s">
        <v>20</v>
      </c>
      <c r="C263" s="11" t="s">
        <v>10841</v>
      </c>
      <c r="D263" s="4" t="s">
        <v>99</v>
      </c>
      <c r="E263" s="11" t="s">
        <v>99</v>
      </c>
      <c r="H263" s="9" t="s">
        <v>10842</v>
      </c>
    </row>
    <row r="264">
      <c r="A264" s="100">
        <v>11805.0</v>
      </c>
      <c r="B264" s="8" t="s">
        <v>20</v>
      </c>
      <c r="C264" s="11" t="s">
        <v>10843</v>
      </c>
      <c r="D264" s="4" t="s">
        <v>99</v>
      </c>
      <c r="E264" s="11" t="s">
        <v>99</v>
      </c>
      <c r="H264" s="9" t="s">
        <v>10844</v>
      </c>
    </row>
    <row r="265">
      <c r="A265" s="100">
        <v>11801.0</v>
      </c>
      <c r="B265" s="8" t="s">
        <v>20</v>
      </c>
      <c r="C265" s="11" t="s">
        <v>10845</v>
      </c>
      <c r="D265" s="4" t="s">
        <v>99</v>
      </c>
      <c r="E265" s="11" t="s">
        <v>99</v>
      </c>
      <c r="H265" s="9" t="s">
        <v>10846</v>
      </c>
      <c r="J265" s="12" t="s">
        <v>10847</v>
      </c>
    </row>
    <row r="266">
      <c r="A266" s="100">
        <v>11774.0</v>
      </c>
      <c r="B266" s="8" t="s">
        <v>20</v>
      </c>
      <c r="C266" s="11" t="s">
        <v>10848</v>
      </c>
      <c r="D266" s="4" t="s">
        <v>99</v>
      </c>
      <c r="E266" s="11" t="s">
        <v>6585</v>
      </c>
      <c r="J266" s="12" t="s">
        <v>10849</v>
      </c>
    </row>
    <row r="267">
      <c r="A267" s="100">
        <v>11764.0</v>
      </c>
      <c r="B267" s="8" t="s">
        <v>20</v>
      </c>
      <c r="C267" s="11" t="s">
        <v>10850</v>
      </c>
      <c r="D267" s="4" t="s">
        <v>99</v>
      </c>
      <c r="E267" s="11" t="s">
        <v>10388</v>
      </c>
      <c r="I267" s="12" t="s">
        <v>10851</v>
      </c>
    </row>
    <row r="268">
      <c r="A268" s="100">
        <v>11762.0</v>
      </c>
      <c r="B268" s="8" t="s">
        <v>20</v>
      </c>
      <c r="C268" s="11" t="s">
        <v>4055</v>
      </c>
      <c r="D268" s="4" t="s">
        <v>99</v>
      </c>
      <c r="E268" s="11" t="s">
        <v>10422</v>
      </c>
      <c r="H268" s="9" t="s">
        <v>10852</v>
      </c>
    </row>
    <row r="269">
      <c r="A269" s="100">
        <v>11760.0</v>
      </c>
      <c r="B269" s="8" t="s">
        <v>20</v>
      </c>
      <c r="C269" s="11" t="s">
        <v>10853</v>
      </c>
      <c r="D269" s="4" t="s">
        <v>99</v>
      </c>
      <c r="E269" s="11" t="s">
        <v>6585</v>
      </c>
      <c r="H269" s="9" t="s">
        <v>10637</v>
      </c>
      <c r="I269" s="12" t="s">
        <v>10638</v>
      </c>
    </row>
    <row r="270">
      <c r="A270" s="100">
        <v>11758.0</v>
      </c>
      <c r="B270" s="8" t="s">
        <v>20</v>
      </c>
      <c r="C270" s="11" t="s">
        <v>1360</v>
      </c>
      <c r="D270" s="4" t="s">
        <v>99</v>
      </c>
      <c r="E270" s="11" t="s">
        <v>10412</v>
      </c>
      <c r="H270" s="9" t="s">
        <v>10854</v>
      </c>
    </row>
    <row r="271">
      <c r="A271" s="100">
        <v>11755.0</v>
      </c>
      <c r="B271" s="8" t="s">
        <v>276</v>
      </c>
      <c r="C271" s="11" t="s">
        <v>49</v>
      </c>
      <c r="D271" s="4" t="s">
        <v>99</v>
      </c>
      <c r="E271" s="11" t="s">
        <v>10412</v>
      </c>
      <c r="H271" s="9" t="s">
        <v>10855</v>
      </c>
      <c r="I271" s="12" t="s">
        <v>10856</v>
      </c>
    </row>
    <row r="272">
      <c r="A272" s="100">
        <v>11751.0</v>
      </c>
      <c r="B272" s="8" t="s">
        <v>20</v>
      </c>
      <c r="C272" s="11" t="s">
        <v>10857</v>
      </c>
      <c r="D272" s="4" t="s">
        <v>99</v>
      </c>
      <c r="E272" s="11" t="s">
        <v>6585</v>
      </c>
      <c r="H272" s="9" t="s">
        <v>10858</v>
      </c>
      <c r="J272" s="12" t="s">
        <v>10859</v>
      </c>
    </row>
    <row r="273">
      <c r="A273" s="100">
        <v>11746.0</v>
      </c>
      <c r="B273" s="8" t="s">
        <v>20</v>
      </c>
      <c r="C273" s="11" t="s">
        <v>10860</v>
      </c>
      <c r="D273" s="4" t="s">
        <v>99</v>
      </c>
      <c r="E273" s="11" t="s">
        <v>10406</v>
      </c>
      <c r="H273" s="9" t="s">
        <v>10861</v>
      </c>
      <c r="I273" s="12" t="s">
        <v>10862</v>
      </c>
    </row>
    <row r="274">
      <c r="A274" s="100">
        <v>11738.0</v>
      </c>
      <c r="B274" s="8" t="s">
        <v>20</v>
      </c>
      <c r="C274" s="11" t="s">
        <v>1369</v>
      </c>
      <c r="D274" s="4" t="s">
        <v>99</v>
      </c>
      <c r="E274" s="11" t="s">
        <v>6585</v>
      </c>
      <c r="H274" s="9" t="s">
        <v>10863</v>
      </c>
      <c r="I274" s="12" t="s">
        <v>10864</v>
      </c>
    </row>
    <row r="275">
      <c r="A275" s="100">
        <v>11731.0</v>
      </c>
      <c r="B275" s="8" t="s">
        <v>20</v>
      </c>
      <c r="C275" s="11" t="s">
        <v>10865</v>
      </c>
      <c r="D275" s="4" t="s">
        <v>99</v>
      </c>
      <c r="E275" s="11" t="s">
        <v>10349</v>
      </c>
      <c r="H275" s="9" t="s">
        <v>10866</v>
      </c>
      <c r="I275" s="12" t="s">
        <v>10867</v>
      </c>
    </row>
    <row r="276">
      <c r="A276" s="100">
        <v>11729.0</v>
      </c>
      <c r="B276" s="8" t="s">
        <v>4322</v>
      </c>
      <c r="C276" s="11" t="s">
        <v>4206</v>
      </c>
      <c r="D276" s="4" t="s">
        <v>99</v>
      </c>
      <c r="E276" s="11" t="s">
        <v>10349</v>
      </c>
      <c r="H276" s="9" t="s">
        <v>10868</v>
      </c>
    </row>
    <row r="277">
      <c r="A277" s="100">
        <v>11721.0</v>
      </c>
      <c r="B277" s="8" t="s">
        <v>20</v>
      </c>
      <c r="C277" s="11" t="s">
        <v>4137</v>
      </c>
      <c r="D277" s="4" t="s">
        <v>99</v>
      </c>
      <c r="E277" s="11" t="s">
        <v>10349</v>
      </c>
      <c r="H277" s="9" t="s">
        <v>10869</v>
      </c>
    </row>
    <row r="278">
      <c r="A278" s="100">
        <v>11718.0</v>
      </c>
      <c r="B278" s="8" t="s">
        <v>20</v>
      </c>
      <c r="C278" s="11" t="s">
        <v>1450</v>
      </c>
      <c r="D278" s="4" t="s">
        <v>99</v>
      </c>
      <c r="E278" s="11" t="s">
        <v>10349</v>
      </c>
      <c r="J278" s="12" t="s">
        <v>10870</v>
      </c>
    </row>
    <row r="279">
      <c r="A279" s="100">
        <v>11715.0</v>
      </c>
      <c r="B279" s="8" t="s">
        <v>720</v>
      </c>
      <c r="C279" s="11" t="s">
        <v>4055</v>
      </c>
      <c r="D279" s="4" t="s">
        <v>99</v>
      </c>
      <c r="E279" s="11" t="s">
        <v>10461</v>
      </c>
      <c r="H279" s="9" t="s">
        <v>10871</v>
      </c>
    </row>
    <row r="280">
      <c r="A280" s="100">
        <v>11713.0</v>
      </c>
      <c r="B280" s="8" t="s">
        <v>20</v>
      </c>
      <c r="C280" s="11" t="s">
        <v>10872</v>
      </c>
      <c r="D280" s="4" t="s">
        <v>99</v>
      </c>
      <c r="E280" s="11" t="s">
        <v>10582</v>
      </c>
      <c r="H280" s="9" t="s">
        <v>10873</v>
      </c>
    </row>
    <row r="281">
      <c r="A281" s="100">
        <v>11703.0</v>
      </c>
      <c r="B281" s="8" t="s">
        <v>20</v>
      </c>
      <c r="C281" s="11" t="s">
        <v>10501</v>
      </c>
      <c r="D281" s="4" t="s">
        <v>99</v>
      </c>
      <c r="E281" s="11" t="s">
        <v>99</v>
      </c>
      <c r="H281" s="9" t="s">
        <v>10874</v>
      </c>
      <c r="I281" s="12" t="s">
        <v>10875</v>
      </c>
    </row>
    <row r="282">
      <c r="A282" s="100">
        <v>11674.0</v>
      </c>
      <c r="B282" s="8" t="s">
        <v>20</v>
      </c>
      <c r="C282" s="11" t="s">
        <v>6792</v>
      </c>
      <c r="D282" s="4" t="s">
        <v>99</v>
      </c>
      <c r="E282" s="11" t="s">
        <v>10422</v>
      </c>
      <c r="H282" s="9" t="s">
        <v>10876</v>
      </c>
    </row>
    <row r="283">
      <c r="A283" s="100">
        <v>11669.0</v>
      </c>
      <c r="B283" s="8" t="s">
        <v>20</v>
      </c>
      <c r="C283" s="11" t="s">
        <v>10877</v>
      </c>
      <c r="D283" s="4" t="s">
        <v>99</v>
      </c>
      <c r="E283" s="11" t="s">
        <v>10422</v>
      </c>
      <c r="H283" s="9" t="s">
        <v>10878</v>
      </c>
    </row>
    <row r="284">
      <c r="A284" s="100">
        <v>11650.0</v>
      </c>
      <c r="B284" s="8" t="s">
        <v>20</v>
      </c>
      <c r="C284" s="11" t="s">
        <v>4088</v>
      </c>
      <c r="D284" s="4" t="s">
        <v>99</v>
      </c>
      <c r="E284" s="11" t="s">
        <v>10388</v>
      </c>
      <c r="H284" s="9" t="s">
        <v>10879</v>
      </c>
    </row>
    <row r="285">
      <c r="A285" s="100">
        <v>11649.0</v>
      </c>
      <c r="B285" s="8" t="s">
        <v>20</v>
      </c>
      <c r="C285" s="11" t="s">
        <v>10880</v>
      </c>
      <c r="D285" s="4" t="s">
        <v>99</v>
      </c>
      <c r="E285" s="11" t="s">
        <v>10388</v>
      </c>
      <c r="H285" s="9" t="s">
        <v>10881</v>
      </c>
    </row>
    <row r="286">
      <c r="A286" s="100">
        <v>11648.0</v>
      </c>
      <c r="B286" s="8" t="s">
        <v>20</v>
      </c>
      <c r="C286" s="11" t="s">
        <v>1975</v>
      </c>
      <c r="D286" s="4" t="s">
        <v>99</v>
      </c>
      <c r="E286" s="11" t="s">
        <v>10388</v>
      </c>
      <c r="H286" s="9" t="s">
        <v>10882</v>
      </c>
      <c r="I286" s="12" t="s">
        <v>10883</v>
      </c>
    </row>
    <row r="287">
      <c r="A287" s="100">
        <v>11642.0</v>
      </c>
      <c r="B287" s="8" t="s">
        <v>20</v>
      </c>
      <c r="C287" s="11" t="s">
        <v>69</v>
      </c>
      <c r="D287" s="4" t="s">
        <v>99</v>
      </c>
      <c r="E287" s="11" t="s">
        <v>10457</v>
      </c>
      <c r="H287" s="9" t="s">
        <v>10884</v>
      </c>
      <c r="J287" s="12" t="s">
        <v>10885</v>
      </c>
    </row>
    <row r="288">
      <c r="A288" s="100">
        <v>11634.0</v>
      </c>
      <c r="B288" s="8" t="s">
        <v>20</v>
      </c>
      <c r="C288" s="11" t="s">
        <v>10886</v>
      </c>
      <c r="D288" s="4" t="s">
        <v>99</v>
      </c>
      <c r="E288" s="11" t="s">
        <v>6585</v>
      </c>
      <c r="J288" s="12" t="s">
        <v>10573</v>
      </c>
    </row>
    <row r="289">
      <c r="A289" s="100">
        <v>11633.0</v>
      </c>
      <c r="B289" s="8" t="s">
        <v>20</v>
      </c>
      <c r="C289" s="11" t="s">
        <v>10887</v>
      </c>
      <c r="D289" s="4" t="s">
        <v>99</v>
      </c>
      <c r="E289" s="11" t="s">
        <v>6585</v>
      </c>
      <c r="H289" s="9" t="s">
        <v>10888</v>
      </c>
      <c r="I289" s="12" t="s">
        <v>10889</v>
      </c>
    </row>
    <row r="290">
      <c r="A290" s="100">
        <v>11625.0</v>
      </c>
      <c r="B290" s="8" t="s">
        <v>20</v>
      </c>
      <c r="C290" s="11" t="s">
        <v>10890</v>
      </c>
      <c r="D290" s="4" t="s">
        <v>99</v>
      </c>
      <c r="E290" s="11" t="s">
        <v>99</v>
      </c>
      <c r="J290" s="12" t="s">
        <v>10891</v>
      </c>
    </row>
    <row r="291">
      <c r="A291" s="100">
        <v>11623.0</v>
      </c>
      <c r="B291" s="8" t="s">
        <v>720</v>
      </c>
      <c r="C291" s="11" t="s">
        <v>10892</v>
      </c>
      <c r="D291" s="4" t="s">
        <v>99</v>
      </c>
      <c r="E291" s="11" t="s">
        <v>6585</v>
      </c>
      <c r="J291" s="12" t="s">
        <v>10893</v>
      </c>
    </row>
    <row r="292">
      <c r="A292" s="100">
        <v>11611.0</v>
      </c>
      <c r="B292" s="8" t="s">
        <v>20</v>
      </c>
      <c r="C292" s="11" t="s">
        <v>1248</v>
      </c>
      <c r="D292" s="4" t="s">
        <v>99</v>
      </c>
      <c r="E292" s="11" t="s">
        <v>6585</v>
      </c>
      <c r="H292" s="9" t="s">
        <v>10894</v>
      </c>
    </row>
    <row r="293">
      <c r="A293" s="100">
        <v>11609.0</v>
      </c>
      <c r="B293" s="8" t="s">
        <v>20</v>
      </c>
      <c r="C293" s="11" t="s">
        <v>3808</v>
      </c>
      <c r="D293" s="4" t="s">
        <v>99</v>
      </c>
      <c r="E293" s="11" t="s">
        <v>6585</v>
      </c>
      <c r="H293" s="9" t="s">
        <v>10895</v>
      </c>
    </row>
    <row r="294">
      <c r="A294" s="100">
        <v>11598.0</v>
      </c>
      <c r="B294" s="8" t="s">
        <v>20</v>
      </c>
      <c r="C294" s="11" t="s">
        <v>3192</v>
      </c>
      <c r="D294" s="4" t="s">
        <v>99</v>
      </c>
      <c r="E294" s="11" t="s">
        <v>10896</v>
      </c>
      <c r="H294" s="9" t="s">
        <v>10897</v>
      </c>
    </row>
    <row r="295">
      <c r="A295" s="100">
        <v>11595.0</v>
      </c>
      <c r="B295" s="8" t="s">
        <v>20</v>
      </c>
      <c r="C295" s="11" t="s">
        <v>74</v>
      </c>
      <c r="D295" s="4" t="s">
        <v>99</v>
      </c>
      <c r="E295" s="11" t="s">
        <v>10349</v>
      </c>
      <c r="H295" s="9" t="s">
        <v>10898</v>
      </c>
      <c r="I295" s="12" t="s">
        <v>10899</v>
      </c>
    </row>
    <row r="296">
      <c r="A296" s="100">
        <v>11588.0</v>
      </c>
      <c r="B296" s="8" t="s">
        <v>20</v>
      </c>
      <c r="C296" s="11" t="s">
        <v>698</v>
      </c>
      <c r="D296" s="4" t="s">
        <v>99</v>
      </c>
      <c r="E296" s="11" t="s">
        <v>10461</v>
      </c>
      <c r="H296" s="9" t="s">
        <v>10900</v>
      </c>
    </row>
    <row r="297">
      <c r="A297" s="100">
        <v>11586.0</v>
      </c>
      <c r="B297" s="8" t="s">
        <v>20</v>
      </c>
      <c r="C297" s="11" t="s">
        <v>10901</v>
      </c>
      <c r="D297" s="4" t="s">
        <v>99</v>
      </c>
      <c r="E297" s="11" t="s">
        <v>10415</v>
      </c>
      <c r="H297" s="9" t="s">
        <v>10902</v>
      </c>
    </row>
    <row r="298">
      <c r="A298" s="100">
        <v>11584.0</v>
      </c>
      <c r="B298" s="8" t="s">
        <v>20</v>
      </c>
      <c r="C298" s="11" t="s">
        <v>2267</v>
      </c>
      <c r="D298" s="4" t="s">
        <v>99</v>
      </c>
      <c r="E298" s="11" t="s">
        <v>10412</v>
      </c>
      <c r="H298" s="9" t="s">
        <v>10903</v>
      </c>
      <c r="I298" s="12" t="s">
        <v>10904</v>
      </c>
    </row>
    <row r="299">
      <c r="A299" s="100">
        <v>11580.0</v>
      </c>
      <c r="B299" s="8" t="s">
        <v>20</v>
      </c>
      <c r="C299" s="11" t="s">
        <v>7424</v>
      </c>
      <c r="D299" s="4" t="s">
        <v>99</v>
      </c>
      <c r="E299" s="11" t="s">
        <v>99</v>
      </c>
      <c r="H299" s="9" t="s">
        <v>10905</v>
      </c>
      <c r="J299" s="12" t="s">
        <v>10906</v>
      </c>
    </row>
    <row r="300">
      <c r="A300" s="100">
        <v>11568.0</v>
      </c>
      <c r="B300" s="8" t="s">
        <v>20</v>
      </c>
      <c r="C300" s="11" t="s">
        <v>763</v>
      </c>
      <c r="D300" s="4" t="s">
        <v>99</v>
      </c>
      <c r="E300" s="11" t="s">
        <v>10457</v>
      </c>
      <c r="H300" s="9" t="s">
        <v>10907</v>
      </c>
      <c r="J300" s="12" t="s">
        <v>10908</v>
      </c>
    </row>
    <row r="301">
      <c r="A301" s="100">
        <v>11567.0</v>
      </c>
      <c r="B301" s="8" t="s">
        <v>20</v>
      </c>
      <c r="C301" s="11" t="s">
        <v>10909</v>
      </c>
      <c r="D301" s="4" t="s">
        <v>99</v>
      </c>
      <c r="E301" s="11" t="s">
        <v>10388</v>
      </c>
      <c r="H301" s="9" t="s">
        <v>10910</v>
      </c>
    </row>
    <row r="302">
      <c r="A302" s="100">
        <v>11562.0</v>
      </c>
      <c r="B302" s="8" t="s">
        <v>20</v>
      </c>
      <c r="C302" s="11" t="s">
        <v>6619</v>
      </c>
      <c r="D302" s="4" t="s">
        <v>99</v>
      </c>
      <c r="E302" s="11" t="s">
        <v>10457</v>
      </c>
      <c r="H302" s="9" t="s">
        <v>10911</v>
      </c>
    </row>
    <row r="303">
      <c r="A303" s="100">
        <v>11544.0</v>
      </c>
      <c r="B303" s="8" t="s">
        <v>20</v>
      </c>
      <c r="C303" s="11" t="s">
        <v>10912</v>
      </c>
      <c r="D303" s="4" t="s">
        <v>99</v>
      </c>
      <c r="E303" s="11" t="s">
        <v>10669</v>
      </c>
      <c r="H303" s="9" t="s">
        <v>10913</v>
      </c>
      <c r="I303" s="12" t="s">
        <v>10914</v>
      </c>
      <c r="J303" s="12" t="s">
        <v>10915</v>
      </c>
    </row>
    <row r="304">
      <c r="A304" s="100">
        <v>11531.0</v>
      </c>
      <c r="B304" s="8" t="s">
        <v>20</v>
      </c>
      <c r="C304" s="11" t="s">
        <v>10916</v>
      </c>
      <c r="D304" s="4" t="s">
        <v>99</v>
      </c>
      <c r="E304" s="11" t="s">
        <v>6585</v>
      </c>
      <c r="H304" s="9" t="s">
        <v>10917</v>
      </c>
    </row>
    <row r="305">
      <c r="A305" s="100">
        <v>11529.0</v>
      </c>
      <c r="B305" s="8" t="s">
        <v>20</v>
      </c>
      <c r="C305" s="11" t="s">
        <v>10918</v>
      </c>
      <c r="D305" s="4" t="s">
        <v>99</v>
      </c>
      <c r="E305" s="11" t="s">
        <v>10584</v>
      </c>
      <c r="H305" s="9" t="s">
        <v>10919</v>
      </c>
    </row>
    <row r="306">
      <c r="A306" s="100">
        <v>11523.0</v>
      </c>
      <c r="B306" s="8" t="s">
        <v>20</v>
      </c>
      <c r="C306" s="11" t="s">
        <v>10786</v>
      </c>
      <c r="D306" s="4" t="s">
        <v>99</v>
      </c>
      <c r="E306" s="11" t="s">
        <v>10406</v>
      </c>
      <c r="H306" s="9" t="s">
        <v>10920</v>
      </c>
    </row>
    <row r="307">
      <c r="A307" s="100">
        <v>11520.0</v>
      </c>
      <c r="B307" s="8" t="s">
        <v>20</v>
      </c>
      <c r="C307" s="11" t="s">
        <v>10921</v>
      </c>
      <c r="D307" s="4" t="s">
        <v>99</v>
      </c>
      <c r="E307" s="11" t="s">
        <v>10406</v>
      </c>
      <c r="H307" s="9" t="s">
        <v>10922</v>
      </c>
    </row>
    <row r="308">
      <c r="A308" s="100">
        <v>11510.0</v>
      </c>
      <c r="B308" s="8" t="s">
        <v>20</v>
      </c>
      <c r="C308" s="11" t="s">
        <v>10848</v>
      </c>
      <c r="D308" s="4" t="s">
        <v>99</v>
      </c>
      <c r="E308" s="11" t="s">
        <v>10406</v>
      </c>
      <c r="H308" s="9" t="s">
        <v>10923</v>
      </c>
    </row>
    <row r="309">
      <c r="A309" s="100">
        <v>11506.0</v>
      </c>
      <c r="B309" s="8" t="s">
        <v>20</v>
      </c>
      <c r="C309" s="11" t="s">
        <v>10924</v>
      </c>
      <c r="D309" s="4" t="s">
        <v>99</v>
      </c>
      <c r="E309" s="11" t="s">
        <v>99</v>
      </c>
      <c r="I309" s="12" t="s">
        <v>10925</v>
      </c>
    </row>
    <row r="310">
      <c r="A310" s="100">
        <v>11501.0</v>
      </c>
      <c r="B310" s="8" t="s">
        <v>20</v>
      </c>
      <c r="C310" s="11" t="s">
        <v>4106</v>
      </c>
      <c r="D310" s="4" t="s">
        <v>99</v>
      </c>
      <c r="E310" s="11" t="s">
        <v>10415</v>
      </c>
      <c r="H310" s="9" t="s">
        <v>10926</v>
      </c>
    </row>
    <row r="311">
      <c r="A311" s="100">
        <v>11499.0</v>
      </c>
      <c r="B311" s="8" t="s">
        <v>20</v>
      </c>
      <c r="C311" s="11" t="s">
        <v>760</v>
      </c>
      <c r="D311" s="4" t="s">
        <v>99</v>
      </c>
      <c r="E311" s="11" t="s">
        <v>10896</v>
      </c>
      <c r="H311" s="9" t="s">
        <v>10927</v>
      </c>
    </row>
    <row r="312">
      <c r="A312" s="100">
        <v>11496.0</v>
      </c>
      <c r="B312" s="8" t="s">
        <v>20</v>
      </c>
      <c r="C312" s="11" t="s">
        <v>10928</v>
      </c>
      <c r="D312" s="4" t="s">
        <v>99</v>
      </c>
      <c r="E312" s="11" t="s">
        <v>10461</v>
      </c>
      <c r="H312" s="9" t="s">
        <v>10873</v>
      </c>
    </row>
    <row r="313">
      <c r="A313" s="100">
        <v>11495.0</v>
      </c>
      <c r="B313" s="8" t="s">
        <v>20</v>
      </c>
      <c r="C313" s="11" t="s">
        <v>1975</v>
      </c>
      <c r="D313" s="4" t="s">
        <v>99</v>
      </c>
      <c r="E313" s="11" t="s">
        <v>10349</v>
      </c>
      <c r="H313" s="9" t="s">
        <v>10929</v>
      </c>
    </row>
    <row r="314">
      <c r="A314" s="100">
        <v>11478.0</v>
      </c>
      <c r="B314" s="8" t="s">
        <v>20</v>
      </c>
      <c r="C314" s="11" t="s">
        <v>10930</v>
      </c>
      <c r="D314" s="4" t="s">
        <v>99</v>
      </c>
      <c r="E314" s="11" t="s">
        <v>99</v>
      </c>
      <c r="J314" s="12" t="s">
        <v>10931</v>
      </c>
    </row>
    <row r="315">
      <c r="A315" s="100">
        <v>11476.0</v>
      </c>
      <c r="B315" s="8" t="s">
        <v>20</v>
      </c>
      <c r="C315" s="11" t="s">
        <v>10932</v>
      </c>
      <c r="D315" s="4" t="s">
        <v>99</v>
      </c>
      <c r="E315" s="11" t="s">
        <v>99</v>
      </c>
      <c r="H315" s="9" t="s">
        <v>10933</v>
      </c>
    </row>
    <row r="316">
      <c r="A316" s="100">
        <v>11474.0</v>
      </c>
      <c r="B316" s="8" t="s">
        <v>20</v>
      </c>
      <c r="C316" s="11" t="s">
        <v>10934</v>
      </c>
      <c r="D316" s="4" t="s">
        <v>99</v>
      </c>
      <c r="E316" s="11" t="s">
        <v>6585</v>
      </c>
      <c r="H316" s="9" t="s">
        <v>10935</v>
      </c>
    </row>
    <row r="317">
      <c r="A317" s="100">
        <v>11470.0</v>
      </c>
      <c r="B317" s="8" t="s">
        <v>20</v>
      </c>
      <c r="C317" s="11" t="s">
        <v>10936</v>
      </c>
      <c r="D317" s="4" t="s">
        <v>99</v>
      </c>
      <c r="E317" s="11" t="s">
        <v>99</v>
      </c>
      <c r="H317" s="9" t="s">
        <v>10937</v>
      </c>
      <c r="I317" s="12" t="s">
        <v>10938</v>
      </c>
      <c r="J317" s="12" t="s">
        <v>10939</v>
      </c>
    </row>
    <row r="318">
      <c r="A318" s="100">
        <v>11464.0</v>
      </c>
      <c r="B318" s="8" t="s">
        <v>20</v>
      </c>
      <c r="C318" s="11" t="s">
        <v>10940</v>
      </c>
      <c r="D318" s="4" t="s">
        <v>99</v>
      </c>
      <c r="E318" s="11" t="s">
        <v>99</v>
      </c>
      <c r="H318" s="9" t="s">
        <v>10941</v>
      </c>
      <c r="J318" s="12" t="s">
        <v>10942</v>
      </c>
    </row>
    <row r="319">
      <c r="A319" s="100">
        <v>11463.0</v>
      </c>
      <c r="B319" s="8" t="s">
        <v>20</v>
      </c>
      <c r="C319" s="11" t="s">
        <v>10518</v>
      </c>
      <c r="D319" s="4" t="s">
        <v>99</v>
      </c>
      <c r="E319" s="11" t="s">
        <v>99</v>
      </c>
      <c r="H319" s="9" t="s">
        <v>10943</v>
      </c>
      <c r="J319" s="12" t="s">
        <v>10519</v>
      </c>
    </row>
    <row r="320">
      <c r="A320" s="100">
        <v>11461.0</v>
      </c>
      <c r="B320" s="8" t="s">
        <v>20</v>
      </c>
      <c r="C320" s="11" t="s">
        <v>10944</v>
      </c>
      <c r="D320" s="4" t="s">
        <v>99</v>
      </c>
      <c r="E320" s="11" t="s">
        <v>99</v>
      </c>
      <c r="H320" s="9" t="s">
        <v>10945</v>
      </c>
      <c r="J320" s="12" t="s">
        <v>10946</v>
      </c>
    </row>
    <row r="321">
      <c r="A321" s="100">
        <v>11460.0</v>
      </c>
      <c r="B321" s="8" t="s">
        <v>20</v>
      </c>
      <c r="C321" s="11" t="s">
        <v>10947</v>
      </c>
      <c r="D321" s="4" t="s">
        <v>99</v>
      </c>
      <c r="E321" s="11" t="s">
        <v>99</v>
      </c>
      <c r="H321" s="9" t="s">
        <v>10948</v>
      </c>
    </row>
    <row r="322">
      <c r="A322" s="100">
        <v>11457.0</v>
      </c>
      <c r="B322" s="8" t="s">
        <v>20</v>
      </c>
      <c r="C322" s="11" t="s">
        <v>3658</v>
      </c>
      <c r="D322" s="4" t="s">
        <v>99</v>
      </c>
      <c r="E322" s="11" t="s">
        <v>99</v>
      </c>
      <c r="I322" s="12" t="s">
        <v>10949</v>
      </c>
      <c r="J322" s="12" t="s">
        <v>10520</v>
      </c>
    </row>
    <row r="323">
      <c r="A323" s="100">
        <v>11452.0</v>
      </c>
      <c r="B323" s="8" t="s">
        <v>20</v>
      </c>
      <c r="C323" s="11" t="s">
        <v>10950</v>
      </c>
      <c r="D323" s="4" t="s">
        <v>99</v>
      </c>
      <c r="E323" s="11" t="s">
        <v>99</v>
      </c>
      <c r="H323" s="9" t="s">
        <v>10951</v>
      </c>
    </row>
    <row r="324">
      <c r="A324" s="100">
        <v>11442.0</v>
      </c>
      <c r="B324" s="8" t="s">
        <v>20</v>
      </c>
      <c r="C324" s="11" t="s">
        <v>10385</v>
      </c>
      <c r="D324" s="4" t="s">
        <v>99</v>
      </c>
      <c r="E324" s="11" t="s">
        <v>99</v>
      </c>
      <c r="H324" s="9" t="s">
        <v>10952</v>
      </c>
    </row>
    <row r="325">
      <c r="A325" s="100">
        <v>11439.0</v>
      </c>
      <c r="B325" s="8" t="s">
        <v>20</v>
      </c>
      <c r="C325" s="11" t="s">
        <v>10953</v>
      </c>
      <c r="D325" s="4" t="s">
        <v>99</v>
      </c>
      <c r="E325" s="11" t="s">
        <v>99</v>
      </c>
      <c r="J325" s="12" t="s">
        <v>10954</v>
      </c>
    </row>
    <row r="326">
      <c r="A326" s="100">
        <v>11421.0</v>
      </c>
      <c r="B326" s="8" t="s">
        <v>20</v>
      </c>
      <c r="C326" s="11" t="s">
        <v>10955</v>
      </c>
      <c r="D326" s="4" t="s">
        <v>99</v>
      </c>
      <c r="E326" s="11" t="s">
        <v>10465</v>
      </c>
      <c r="H326" s="9" t="s">
        <v>10956</v>
      </c>
    </row>
    <row r="327">
      <c r="A327" s="100">
        <v>11419.0</v>
      </c>
      <c r="B327" s="8" t="s">
        <v>20</v>
      </c>
      <c r="C327" s="11" t="s">
        <v>4572</v>
      </c>
      <c r="D327" s="4" t="s">
        <v>99</v>
      </c>
      <c r="E327" s="11" t="s">
        <v>10422</v>
      </c>
      <c r="H327" s="9" t="s">
        <v>10957</v>
      </c>
    </row>
    <row r="328">
      <c r="A328" s="100">
        <v>11418.0</v>
      </c>
      <c r="B328" s="8" t="s">
        <v>20</v>
      </c>
      <c r="C328" s="11" t="s">
        <v>963</v>
      </c>
      <c r="D328" s="4" t="s">
        <v>99</v>
      </c>
      <c r="E328" s="11" t="s">
        <v>10422</v>
      </c>
      <c r="H328" s="9" t="s">
        <v>10958</v>
      </c>
    </row>
    <row r="329">
      <c r="A329" s="100">
        <v>11417.0</v>
      </c>
      <c r="B329" s="8" t="s">
        <v>20</v>
      </c>
      <c r="C329" s="11" t="s">
        <v>6488</v>
      </c>
      <c r="D329" s="4" t="s">
        <v>99</v>
      </c>
      <c r="E329" s="11" t="s">
        <v>10438</v>
      </c>
    </row>
    <row r="330">
      <c r="A330" s="100">
        <v>11415.0</v>
      </c>
      <c r="B330" s="8" t="s">
        <v>20</v>
      </c>
      <c r="C330" s="11" t="s">
        <v>1417</v>
      </c>
      <c r="D330" s="4" t="s">
        <v>99</v>
      </c>
      <c r="E330" s="11" t="s">
        <v>10438</v>
      </c>
      <c r="H330" s="9" t="s">
        <v>10959</v>
      </c>
    </row>
    <row r="331">
      <c r="A331" s="100">
        <v>11400.0</v>
      </c>
      <c r="B331" s="8" t="s">
        <v>20</v>
      </c>
      <c r="C331" s="11" t="s">
        <v>10960</v>
      </c>
      <c r="D331" s="4" t="s">
        <v>99</v>
      </c>
      <c r="E331" s="11" t="s">
        <v>10406</v>
      </c>
      <c r="H331" s="9" t="s">
        <v>10961</v>
      </c>
    </row>
    <row r="332">
      <c r="A332" s="100">
        <v>11395.0</v>
      </c>
      <c r="B332" s="8" t="s">
        <v>20</v>
      </c>
      <c r="C332" s="11" t="s">
        <v>10524</v>
      </c>
      <c r="D332" s="4" t="s">
        <v>99</v>
      </c>
      <c r="E332" s="11" t="s">
        <v>10388</v>
      </c>
      <c r="H332" s="9" t="s">
        <v>10962</v>
      </c>
    </row>
    <row r="333">
      <c r="A333" s="100">
        <v>11388.0</v>
      </c>
      <c r="B333" s="8" t="s">
        <v>20</v>
      </c>
      <c r="C333" s="11" t="s">
        <v>6621</v>
      </c>
      <c r="D333" s="4" t="s">
        <v>99</v>
      </c>
      <c r="E333" s="11" t="s">
        <v>99</v>
      </c>
      <c r="J333" s="12" t="s">
        <v>10963</v>
      </c>
    </row>
    <row r="334">
      <c r="A334" s="100">
        <v>11375.0</v>
      </c>
      <c r="B334" s="8" t="s">
        <v>4322</v>
      </c>
      <c r="C334" s="11" t="s">
        <v>680</v>
      </c>
      <c r="D334" s="4" t="s">
        <v>99</v>
      </c>
      <c r="E334" s="11" t="s">
        <v>99</v>
      </c>
      <c r="H334" s="9" t="s">
        <v>10964</v>
      </c>
    </row>
    <row r="335">
      <c r="A335" s="100">
        <v>11373.0</v>
      </c>
      <c r="B335" s="8" t="s">
        <v>20</v>
      </c>
      <c r="C335" s="11" t="s">
        <v>10965</v>
      </c>
      <c r="D335" s="4" t="s">
        <v>99</v>
      </c>
      <c r="E335" s="11" t="s">
        <v>99</v>
      </c>
      <c r="H335" s="9" t="s">
        <v>10966</v>
      </c>
    </row>
    <row r="336">
      <c r="A336" s="100">
        <v>11368.0</v>
      </c>
      <c r="B336" s="8" t="s">
        <v>20</v>
      </c>
      <c r="C336" s="11" t="s">
        <v>1476</v>
      </c>
      <c r="D336" s="4" t="s">
        <v>99</v>
      </c>
      <c r="E336" s="11" t="s">
        <v>99</v>
      </c>
      <c r="J336" s="12" t="s">
        <v>10967</v>
      </c>
    </row>
    <row r="337">
      <c r="A337" s="100">
        <v>11367.0</v>
      </c>
      <c r="B337" s="8" t="s">
        <v>20</v>
      </c>
      <c r="C337" s="11" t="s">
        <v>8135</v>
      </c>
      <c r="D337" s="4" t="s">
        <v>99</v>
      </c>
      <c r="E337" s="11" t="s">
        <v>99</v>
      </c>
      <c r="H337" s="9" t="s">
        <v>10968</v>
      </c>
    </row>
    <row r="338">
      <c r="A338" s="100">
        <v>11364.0</v>
      </c>
      <c r="B338" s="8" t="s">
        <v>20</v>
      </c>
      <c r="C338" s="11" t="s">
        <v>3929</v>
      </c>
      <c r="D338" s="4" t="s">
        <v>99</v>
      </c>
      <c r="E338" s="11" t="s">
        <v>99</v>
      </c>
      <c r="H338" s="9" t="s">
        <v>10969</v>
      </c>
    </row>
    <row r="339">
      <c r="A339" s="100">
        <v>11363.0</v>
      </c>
      <c r="B339" s="8" t="s">
        <v>20</v>
      </c>
      <c r="C339" s="11" t="s">
        <v>10970</v>
      </c>
      <c r="D339" s="4" t="s">
        <v>99</v>
      </c>
      <c r="E339" s="11" t="s">
        <v>99</v>
      </c>
      <c r="H339" s="9" t="s">
        <v>10971</v>
      </c>
    </row>
    <row r="340">
      <c r="A340" s="100">
        <v>11355.0</v>
      </c>
      <c r="B340" s="8" t="s">
        <v>20</v>
      </c>
      <c r="C340" s="11" t="s">
        <v>10972</v>
      </c>
      <c r="D340" s="4" t="s">
        <v>99</v>
      </c>
      <c r="E340" s="11" t="s">
        <v>99</v>
      </c>
      <c r="I340" s="12" t="s">
        <v>10973</v>
      </c>
      <c r="J340" s="12" t="s">
        <v>10974</v>
      </c>
    </row>
    <row r="341">
      <c r="A341" s="100">
        <v>11349.0</v>
      </c>
      <c r="B341" s="8" t="s">
        <v>20</v>
      </c>
      <c r="C341" s="11" t="s">
        <v>10975</v>
      </c>
      <c r="D341" s="4" t="s">
        <v>99</v>
      </c>
      <c r="E341" s="11" t="s">
        <v>99</v>
      </c>
      <c r="H341" s="9" t="s">
        <v>10976</v>
      </c>
    </row>
    <row r="342">
      <c r="A342" s="100">
        <v>11346.0</v>
      </c>
      <c r="B342" s="8" t="s">
        <v>20</v>
      </c>
      <c r="C342" s="11" t="s">
        <v>10977</v>
      </c>
      <c r="D342" s="4" t="s">
        <v>99</v>
      </c>
      <c r="E342" s="11" t="s">
        <v>99</v>
      </c>
      <c r="H342" s="9" t="s">
        <v>10978</v>
      </c>
      <c r="J342" s="12" t="s">
        <v>10979</v>
      </c>
    </row>
    <row r="343">
      <c r="A343" s="100">
        <v>11338.0</v>
      </c>
      <c r="B343" s="8" t="s">
        <v>20</v>
      </c>
      <c r="C343" s="11" t="s">
        <v>10980</v>
      </c>
      <c r="D343" s="4" t="s">
        <v>99</v>
      </c>
      <c r="E343" s="11" t="s">
        <v>10649</v>
      </c>
      <c r="I343" s="12" t="s">
        <v>10816</v>
      </c>
      <c r="J343" s="12" t="s">
        <v>10981</v>
      </c>
    </row>
    <row r="344">
      <c r="A344" s="100">
        <v>11336.0</v>
      </c>
      <c r="B344" s="8" t="s">
        <v>20</v>
      </c>
      <c r="C344" s="11" t="s">
        <v>4416</v>
      </c>
      <c r="D344" s="4" t="s">
        <v>99</v>
      </c>
      <c r="E344" s="11" t="s">
        <v>99</v>
      </c>
      <c r="H344" s="9" t="s">
        <v>10982</v>
      </c>
    </row>
    <row r="345">
      <c r="A345" s="22"/>
      <c r="B345" s="8" t="s">
        <v>20</v>
      </c>
      <c r="C345" s="8" t="s">
        <v>10983</v>
      </c>
      <c r="D345" s="8" t="s">
        <v>99</v>
      </c>
      <c r="E345" s="8" t="s">
        <v>10349</v>
      </c>
      <c r="J345" s="12" t="s">
        <v>10984</v>
      </c>
    </row>
    <row r="346">
      <c r="A346" s="22"/>
      <c r="B346" s="8" t="s">
        <v>17</v>
      </c>
      <c r="C346" s="21" t="s">
        <v>10985</v>
      </c>
      <c r="D346" s="8" t="s">
        <v>99</v>
      </c>
      <c r="E346" s="8" t="s">
        <v>10349</v>
      </c>
      <c r="J346" s="12" t="s">
        <v>10986</v>
      </c>
    </row>
    <row r="347">
      <c r="A347" s="22"/>
      <c r="B347" s="8" t="s">
        <v>276</v>
      </c>
      <c r="C347" s="21" t="s">
        <v>10987</v>
      </c>
      <c r="D347" s="8" t="s">
        <v>99</v>
      </c>
      <c r="E347" s="8" t="s">
        <v>99</v>
      </c>
      <c r="J347" s="12" t="s">
        <v>10988</v>
      </c>
    </row>
    <row r="348">
      <c r="A348" s="22"/>
      <c r="B348" s="8" t="s">
        <v>20</v>
      </c>
      <c r="C348" s="268" t="s">
        <v>4304</v>
      </c>
      <c r="D348" s="8" t="s">
        <v>99</v>
      </c>
      <c r="E348" s="8" t="s">
        <v>10349</v>
      </c>
      <c r="J348" s="12" t="s">
        <v>10989</v>
      </c>
    </row>
    <row r="349">
      <c r="A349" s="22"/>
      <c r="B349" s="8" t="s">
        <v>20</v>
      </c>
      <c r="C349" s="268" t="s">
        <v>10990</v>
      </c>
      <c r="D349" s="8" t="s">
        <v>99</v>
      </c>
      <c r="E349" s="8" t="s">
        <v>10991</v>
      </c>
      <c r="J349" s="12" t="s">
        <v>10992</v>
      </c>
    </row>
    <row r="350">
      <c r="A350" s="22"/>
      <c r="B350" s="8" t="s">
        <v>20</v>
      </c>
      <c r="C350" s="268" t="s">
        <v>10993</v>
      </c>
      <c r="D350" s="8" t="s">
        <v>99</v>
      </c>
      <c r="E350" s="8" t="s">
        <v>10994</v>
      </c>
      <c r="J350" s="12" t="s">
        <v>10995</v>
      </c>
    </row>
    <row r="351">
      <c r="A351" s="22"/>
      <c r="B351" s="8"/>
      <c r="C351" s="62"/>
      <c r="D351" s="8"/>
      <c r="E351" s="8"/>
      <c r="J351" s="37"/>
    </row>
    <row r="352">
      <c r="A352" s="22"/>
      <c r="B352" s="8"/>
      <c r="C352" s="62"/>
      <c r="D352" s="8"/>
      <c r="E352" s="8"/>
      <c r="J352" s="37"/>
    </row>
    <row r="353">
      <c r="A353" s="22"/>
      <c r="B353" s="8"/>
      <c r="C353" s="62"/>
      <c r="D353" s="8"/>
      <c r="E353" s="8"/>
      <c r="J353" s="37"/>
    </row>
    <row r="354">
      <c r="A354" s="22"/>
      <c r="B354" s="8"/>
      <c r="C354" s="62"/>
      <c r="D354" s="8"/>
      <c r="E354" s="8"/>
      <c r="J354" s="37"/>
    </row>
    <row r="355">
      <c r="A355" s="22"/>
      <c r="B355" s="8"/>
      <c r="C355" s="62"/>
      <c r="D355" s="8"/>
      <c r="E355" s="8"/>
      <c r="J355" s="37"/>
    </row>
    <row r="356">
      <c r="A356" s="22"/>
      <c r="B356" s="8"/>
      <c r="C356" s="62"/>
      <c r="D356" s="8"/>
      <c r="E356" s="8"/>
      <c r="J356" s="37"/>
    </row>
    <row r="357">
      <c r="A357" s="22"/>
      <c r="B357" s="8"/>
      <c r="C357" s="62"/>
      <c r="D357" s="8"/>
      <c r="E357" s="8"/>
      <c r="J357" s="37"/>
    </row>
    <row r="358">
      <c r="A358" s="22"/>
      <c r="B358" s="8"/>
      <c r="C358" s="62"/>
      <c r="D358" s="8"/>
      <c r="E358" s="8"/>
      <c r="J358" s="37"/>
    </row>
    <row r="359">
      <c r="A359" s="22"/>
      <c r="B359" s="8"/>
      <c r="C359" s="62"/>
      <c r="D359" s="8"/>
      <c r="E359" s="8"/>
      <c r="J359" s="37"/>
    </row>
    <row r="360">
      <c r="A360" s="22"/>
      <c r="B360" s="8"/>
      <c r="C360" s="62"/>
      <c r="D360" s="8"/>
      <c r="E360" s="8"/>
      <c r="J360" s="37"/>
    </row>
    <row r="361">
      <c r="A361" s="22"/>
      <c r="B361" s="8"/>
      <c r="C361" s="62"/>
      <c r="D361" s="8"/>
      <c r="E361" s="8"/>
      <c r="J361" s="37"/>
    </row>
    <row r="362">
      <c r="A362" s="22"/>
      <c r="B362" s="8"/>
      <c r="C362" s="62"/>
      <c r="D362" s="8"/>
      <c r="E362" s="8"/>
      <c r="J362" s="37"/>
    </row>
    <row r="363">
      <c r="A363" s="22"/>
      <c r="B363" s="8"/>
      <c r="C363" s="62"/>
      <c r="D363" s="8"/>
      <c r="E363" s="8"/>
      <c r="J363" s="37"/>
    </row>
    <row r="364">
      <c r="A364" s="22"/>
      <c r="B364" s="8"/>
      <c r="C364" s="62"/>
      <c r="D364" s="8"/>
      <c r="E364" s="8"/>
      <c r="J364" s="37"/>
    </row>
    <row r="365">
      <c r="A365" s="22"/>
      <c r="B365" s="8"/>
      <c r="C365" s="62"/>
      <c r="D365" s="8"/>
      <c r="E365" s="8"/>
      <c r="J365" s="37"/>
    </row>
    <row r="366">
      <c r="A366" s="22"/>
      <c r="B366" s="8"/>
      <c r="C366" s="62"/>
      <c r="D366" s="8"/>
      <c r="E366" s="8"/>
      <c r="J366" s="37"/>
    </row>
    <row r="367">
      <c r="A367" s="22"/>
      <c r="B367" s="8"/>
      <c r="C367" s="62"/>
      <c r="D367" s="8"/>
      <c r="E367" s="8"/>
      <c r="J367" s="37"/>
    </row>
    <row r="368">
      <c r="A368" s="22"/>
      <c r="B368" s="8"/>
      <c r="C368" s="62"/>
      <c r="D368" s="8"/>
      <c r="E368" s="8"/>
      <c r="J368" s="37"/>
    </row>
    <row r="369">
      <c r="A369" s="22"/>
      <c r="B369" s="8"/>
      <c r="C369" s="62"/>
      <c r="D369" s="8"/>
      <c r="E369" s="8"/>
      <c r="J369" s="37"/>
    </row>
    <row r="370">
      <c r="A370" s="22"/>
      <c r="B370" s="8"/>
      <c r="C370" s="62"/>
      <c r="D370" s="8"/>
      <c r="E370" s="8"/>
      <c r="J370" s="37"/>
    </row>
    <row r="371">
      <c r="A371" s="22"/>
      <c r="B371" s="8"/>
      <c r="C371" s="62"/>
      <c r="D371" s="8"/>
      <c r="E371" s="8"/>
      <c r="J371" s="37"/>
    </row>
    <row r="372">
      <c r="A372" s="22"/>
      <c r="B372" s="8"/>
      <c r="C372" s="62"/>
      <c r="D372" s="8"/>
      <c r="E372" s="8"/>
      <c r="J372" s="37"/>
    </row>
    <row r="373">
      <c r="A373" s="22"/>
      <c r="B373" s="8"/>
      <c r="C373" s="62"/>
      <c r="D373" s="8"/>
      <c r="E373" s="8"/>
      <c r="J373" s="37"/>
    </row>
    <row r="374">
      <c r="A374" s="22"/>
      <c r="B374" s="8"/>
      <c r="C374" s="62"/>
      <c r="D374" s="8"/>
      <c r="E374" s="8"/>
      <c r="J374" s="37"/>
    </row>
    <row r="375">
      <c r="A375" s="22"/>
      <c r="B375" s="8"/>
      <c r="C375" s="62"/>
      <c r="D375" s="8"/>
      <c r="E375" s="8"/>
      <c r="J375" s="37"/>
    </row>
    <row r="376">
      <c r="A376" s="22"/>
      <c r="B376" s="8"/>
      <c r="C376" s="62"/>
      <c r="D376" s="8"/>
      <c r="E376" s="8"/>
      <c r="J376" s="37"/>
    </row>
    <row r="377">
      <c r="A377" s="22"/>
      <c r="B377" s="8"/>
      <c r="C377" s="62"/>
      <c r="D377" s="8"/>
      <c r="E377" s="8"/>
      <c r="J377" s="37"/>
    </row>
    <row r="378">
      <c r="A378" s="22"/>
      <c r="B378" s="8"/>
      <c r="C378" s="62"/>
      <c r="D378" s="8"/>
      <c r="E378" s="8"/>
      <c r="J378" s="37"/>
    </row>
    <row r="379">
      <c r="A379" s="22"/>
      <c r="B379" s="8"/>
      <c r="C379" s="62"/>
      <c r="D379" s="8"/>
      <c r="E379" s="8"/>
      <c r="J379" s="37"/>
    </row>
    <row r="380">
      <c r="A380" s="22"/>
      <c r="B380" s="8"/>
      <c r="C380" s="62"/>
      <c r="D380" s="8"/>
      <c r="E380" s="8"/>
      <c r="J380" s="37"/>
    </row>
    <row r="381">
      <c r="A381" s="22"/>
      <c r="B381" s="8"/>
      <c r="C381" s="62"/>
      <c r="D381" s="8"/>
      <c r="E381" s="8"/>
      <c r="J381" s="37"/>
    </row>
    <row r="382">
      <c r="A382" s="22"/>
      <c r="B382" s="8"/>
      <c r="C382" s="62"/>
      <c r="D382" s="8"/>
      <c r="E382" s="8"/>
      <c r="J382" s="37"/>
    </row>
    <row r="383">
      <c r="A383" s="22"/>
      <c r="B383" s="8"/>
      <c r="C383" s="62"/>
      <c r="D383" s="8"/>
      <c r="E383" s="8"/>
      <c r="J383" s="37"/>
    </row>
    <row r="384">
      <c r="A384" s="22"/>
      <c r="B384" s="8"/>
      <c r="C384" s="62"/>
      <c r="D384" s="8"/>
      <c r="E384" s="8"/>
      <c r="J384" s="37"/>
    </row>
    <row r="385">
      <c r="A385" s="22"/>
      <c r="B385" s="8"/>
      <c r="C385" s="62"/>
      <c r="D385" s="8"/>
      <c r="E385" s="8"/>
      <c r="J385" s="37"/>
    </row>
    <row r="386">
      <c r="A386" s="22"/>
      <c r="B386" s="8"/>
      <c r="C386" s="62"/>
      <c r="D386" s="8"/>
      <c r="E386" s="8"/>
      <c r="J386" s="37"/>
    </row>
    <row r="387">
      <c r="A387" s="22"/>
      <c r="B387" s="8"/>
      <c r="C387" s="62"/>
      <c r="D387" s="8"/>
      <c r="E387" s="8"/>
      <c r="J387" s="37"/>
    </row>
    <row r="388">
      <c r="A388" s="22"/>
      <c r="B388" s="8"/>
      <c r="C388" s="62"/>
      <c r="D388" s="8"/>
      <c r="E388" s="8"/>
      <c r="J388" s="37"/>
    </row>
    <row r="389">
      <c r="A389" s="22"/>
      <c r="B389" s="8"/>
      <c r="C389" s="62"/>
      <c r="D389" s="8"/>
      <c r="E389" s="8"/>
      <c r="J389" s="37"/>
    </row>
    <row r="390">
      <c r="A390" s="22"/>
      <c r="B390" s="8"/>
      <c r="C390" s="62"/>
      <c r="D390" s="8"/>
      <c r="E390" s="8"/>
      <c r="J390" s="37"/>
    </row>
    <row r="391">
      <c r="A391" s="22"/>
      <c r="B391" s="8"/>
      <c r="C391" s="62"/>
      <c r="D391" s="8"/>
      <c r="E391" s="8"/>
      <c r="J391" s="37"/>
    </row>
    <row r="392">
      <c r="A392" s="22"/>
      <c r="B392" s="8"/>
      <c r="C392" s="62"/>
      <c r="D392" s="8"/>
      <c r="E392" s="8"/>
      <c r="J392" s="37"/>
    </row>
    <row r="393">
      <c r="A393" s="22"/>
      <c r="B393" s="8"/>
      <c r="C393" s="62"/>
      <c r="D393" s="8"/>
      <c r="E393" s="8"/>
      <c r="J393" s="37"/>
    </row>
    <row r="394">
      <c r="A394" s="22"/>
      <c r="B394" s="8"/>
      <c r="C394" s="62"/>
      <c r="D394" s="8"/>
      <c r="E394" s="8"/>
      <c r="J394" s="37"/>
    </row>
    <row r="395">
      <c r="A395" s="22"/>
      <c r="B395" s="8"/>
      <c r="C395" s="62"/>
      <c r="D395" s="8"/>
      <c r="E395" s="8"/>
      <c r="J395" s="37"/>
    </row>
    <row r="396">
      <c r="A396" s="22"/>
      <c r="B396" s="8"/>
      <c r="C396" s="62"/>
      <c r="D396" s="8"/>
      <c r="E396" s="8"/>
      <c r="J396" s="37"/>
    </row>
    <row r="397">
      <c r="A397" s="22"/>
      <c r="B397" s="8"/>
      <c r="C397" s="62"/>
      <c r="D397" s="8"/>
      <c r="E397" s="8"/>
      <c r="J397" s="37"/>
    </row>
    <row r="398">
      <c r="A398" s="22"/>
      <c r="B398" s="8"/>
      <c r="C398" s="62"/>
      <c r="D398" s="8"/>
      <c r="E398" s="8"/>
      <c r="J398" s="37"/>
    </row>
    <row r="399">
      <c r="A399" s="22"/>
      <c r="B399" s="8"/>
      <c r="C399" s="62"/>
      <c r="D399" s="8"/>
      <c r="E399" s="8"/>
      <c r="J399" s="37"/>
    </row>
    <row r="400">
      <c r="A400" s="22"/>
      <c r="B400" s="8"/>
      <c r="C400" s="62"/>
      <c r="D400" s="8"/>
      <c r="E400" s="8"/>
      <c r="J400" s="37"/>
    </row>
    <row r="401">
      <c r="A401" s="22"/>
      <c r="B401" s="8"/>
      <c r="C401" s="62"/>
      <c r="D401" s="8"/>
      <c r="E401" s="8"/>
      <c r="J401" s="37"/>
    </row>
    <row r="402">
      <c r="A402" s="22"/>
      <c r="B402" s="8"/>
      <c r="C402" s="62"/>
      <c r="D402" s="8"/>
      <c r="E402" s="8"/>
      <c r="J402" s="37"/>
    </row>
    <row r="403">
      <c r="A403" s="22"/>
      <c r="B403" s="8"/>
      <c r="C403" s="62"/>
      <c r="D403" s="8"/>
      <c r="E403" s="8"/>
      <c r="J403" s="37"/>
    </row>
    <row r="404">
      <c r="A404" s="22"/>
      <c r="B404" s="8"/>
      <c r="C404" s="62"/>
      <c r="D404" s="8"/>
      <c r="E404" s="8"/>
      <c r="J404" s="37"/>
    </row>
    <row r="405">
      <c r="A405" s="22"/>
      <c r="B405" s="8"/>
      <c r="C405" s="62"/>
      <c r="D405" s="8"/>
      <c r="E405" s="8"/>
      <c r="J405" s="37"/>
    </row>
    <row r="406">
      <c r="A406" s="22"/>
      <c r="B406" s="8"/>
      <c r="C406" s="62"/>
      <c r="D406" s="8"/>
      <c r="E406" s="8"/>
      <c r="J406" s="37"/>
    </row>
    <row r="407">
      <c r="A407" s="22"/>
      <c r="B407" s="8"/>
      <c r="C407" s="62"/>
      <c r="D407" s="8"/>
      <c r="E407" s="8"/>
      <c r="J407" s="37"/>
    </row>
    <row r="408">
      <c r="A408" s="22"/>
      <c r="B408" s="8"/>
      <c r="C408" s="62"/>
      <c r="D408" s="8"/>
      <c r="E408" s="8"/>
      <c r="J408" s="37"/>
    </row>
    <row r="409">
      <c r="A409" s="22"/>
      <c r="B409" s="8"/>
      <c r="C409" s="62"/>
      <c r="D409" s="8"/>
      <c r="E409" s="8"/>
      <c r="J409" s="37"/>
    </row>
    <row r="410">
      <c r="A410" s="22"/>
      <c r="B410" s="8"/>
      <c r="C410" s="62"/>
      <c r="D410" s="8"/>
      <c r="E410" s="8"/>
      <c r="J410" s="37"/>
    </row>
    <row r="411">
      <c r="A411" s="22"/>
      <c r="B411" s="8"/>
      <c r="C411" s="62"/>
      <c r="D411" s="8"/>
      <c r="E411" s="8"/>
      <c r="J411" s="37"/>
    </row>
    <row r="412">
      <c r="A412" s="22"/>
      <c r="B412" s="8"/>
      <c r="C412" s="62"/>
      <c r="D412" s="8"/>
      <c r="E412" s="8"/>
      <c r="J412" s="37"/>
    </row>
    <row r="413">
      <c r="A413" s="22"/>
      <c r="B413" s="8"/>
      <c r="C413" s="62"/>
      <c r="D413" s="8"/>
      <c r="E413" s="8"/>
      <c r="J413" s="37"/>
    </row>
    <row r="414">
      <c r="A414" s="22"/>
      <c r="B414" s="8"/>
      <c r="C414" s="62"/>
      <c r="D414" s="8"/>
      <c r="E414" s="8"/>
      <c r="J414" s="37"/>
    </row>
    <row r="415">
      <c r="A415" s="22"/>
      <c r="B415" s="8"/>
      <c r="C415" s="62"/>
      <c r="D415" s="8"/>
      <c r="E415" s="8"/>
      <c r="J415" s="37"/>
    </row>
    <row r="416">
      <c r="A416" s="22"/>
      <c r="B416" s="8"/>
      <c r="C416" s="62"/>
      <c r="D416" s="8"/>
      <c r="E416" s="8"/>
      <c r="J416" s="37"/>
    </row>
    <row r="417">
      <c r="A417" s="22"/>
      <c r="B417" s="8"/>
      <c r="C417" s="62"/>
      <c r="D417" s="8"/>
      <c r="E417" s="8"/>
      <c r="J417" s="37"/>
    </row>
    <row r="418">
      <c r="A418" s="22"/>
      <c r="B418" s="8"/>
      <c r="C418" s="62"/>
      <c r="D418" s="8"/>
      <c r="E418" s="8"/>
      <c r="J418" s="37"/>
    </row>
    <row r="419">
      <c r="A419" s="22"/>
      <c r="B419" s="8"/>
      <c r="C419" s="62"/>
      <c r="D419" s="8"/>
      <c r="E419" s="8"/>
      <c r="J419" s="37"/>
    </row>
    <row r="420">
      <c r="A420" s="22"/>
      <c r="B420" s="8"/>
      <c r="C420" s="62"/>
      <c r="D420" s="8"/>
      <c r="E420" s="8"/>
      <c r="J420" s="37"/>
    </row>
    <row r="421">
      <c r="A421" s="22"/>
      <c r="B421" s="8"/>
      <c r="C421" s="62"/>
      <c r="D421" s="8"/>
      <c r="E421" s="8"/>
      <c r="J421" s="37"/>
    </row>
    <row r="422">
      <c r="A422" s="22"/>
      <c r="B422" s="8"/>
      <c r="C422" s="62"/>
      <c r="D422" s="8"/>
      <c r="E422" s="8"/>
      <c r="J422" s="37"/>
    </row>
    <row r="423">
      <c r="A423" s="22"/>
      <c r="B423" s="8"/>
      <c r="C423" s="62"/>
      <c r="D423" s="8"/>
      <c r="E423" s="8"/>
      <c r="J423" s="37"/>
    </row>
    <row r="424">
      <c r="A424" s="22"/>
      <c r="B424" s="8"/>
      <c r="C424" s="62"/>
      <c r="D424" s="8"/>
      <c r="E424" s="8"/>
      <c r="J424" s="37"/>
    </row>
    <row r="425">
      <c r="A425" s="22"/>
      <c r="B425" s="8"/>
      <c r="C425" s="62"/>
      <c r="D425" s="8"/>
      <c r="E425" s="8"/>
      <c r="J425" s="37"/>
    </row>
    <row r="426">
      <c r="A426" s="22"/>
      <c r="B426" s="8"/>
      <c r="C426" s="62"/>
      <c r="D426" s="8"/>
      <c r="E426" s="8"/>
      <c r="J426" s="37"/>
    </row>
    <row r="427">
      <c r="A427" s="22"/>
      <c r="B427" s="8"/>
      <c r="C427" s="62"/>
      <c r="D427" s="8"/>
      <c r="E427" s="8"/>
      <c r="J427" s="37"/>
    </row>
    <row r="428">
      <c r="A428" s="22"/>
      <c r="B428" s="8"/>
      <c r="C428" s="62"/>
      <c r="D428" s="8"/>
      <c r="E428" s="8"/>
      <c r="J428" s="37"/>
    </row>
    <row r="429">
      <c r="A429" s="22"/>
      <c r="B429" s="8"/>
      <c r="C429" s="62"/>
      <c r="D429" s="8"/>
      <c r="E429" s="8"/>
      <c r="J429" s="37"/>
    </row>
    <row r="430">
      <c r="A430" s="22"/>
      <c r="B430" s="8"/>
      <c r="C430" s="62"/>
      <c r="D430" s="8"/>
      <c r="E430" s="8"/>
      <c r="J430" s="37"/>
    </row>
    <row r="431">
      <c r="A431" s="22"/>
      <c r="B431" s="8"/>
      <c r="C431" s="62"/>
      <c r="D431" s="8"/>
      <c r="E431" s="8"/>
      <c r="J431" s="37"/>
    </row>
    <row r="432">
      <c r="A432" s="22"/>
      <c r="B432" s="8"/>
      <c r="C432" s="62"/>
      <c r="D432" s="8"/>
      <c r="E432" s="8"/>
      <c r="J432" s="37"/>
    </row>
    <row r="433">
      <c r="A433" s="22"/>
      <c r="B433" s="8"/>
      <c r="C433" s="62"/>
      <c r="D433" s="8"/>
      <c r="E433" s="8"/>
      <c r="J433" s="37"/>
    </row>
    <row r="434">
      <c r="A434" s="22"/>
      <c r="B434" s="8"/>
      <c r="C434" s="62"/>
      <c r="D434" s="8"/>
      <c r="E434" s="8"/>
      <c r="J434" s="37"/>
    </row>
    <row r="435">
      <c r="A435" s="22"/>
      <c r="B435" s="8"/>
      <c r="C435" s="62"/>
      <c r="D435" s="8"/>
      <c r="E435" s="8"/>
      <c r="J435" s="37"/>
    </row>
    <row r="436">
      <c r="A436" s="22"/>
      <c r="B436" s="8"/>
      <c r="C436" s="62"/>
      <c r="D436" s="8"/>
      <c r="E436" s="8"/>
      <c r="J436" s="37"/>
    </row>
    <row r="437">
      <c r="A437" s="22"/>
      <c r="B437" s="8"/>
      <c r="C437" s="62"/>
      <c r="D437" s="8"/>
      <c r="E437" s="8"/>
      <c r="J437" s="37"/>
    </row>
    <row r="438">
      <c r="A438" s="22"/>
      <c r="B438" s="8"/>
      <c r="C438" s="62"/>
      <c r="D438" s="8"/>
      <c r="E438" s="8"/>
      <c r="J438" s="37"/>
    </row>
    <row r="439">
      <c r="A439" s="22"/>
      <c r="B439" s="8"/>
      <c r="C439" s="62"/>
      <c r="D439" s="8"/>
      <c r="E439" s="8"/>
      <c r="J439" s="37"/>
    </row>
    <row r="440">
      <c r="A440" s="22"/>
      <c r="B440" s="8"/>
      <c r="C440" s="62"/>
      <c r="D440" s="8"/>
      <c r="E440" s="8"/>
      <c r="J440" s="37"/>
    </row>
    <row r="441">
      <c r="A441" s="22"/>
      <c r="B441" s="8"/>
      <c r="C441" s="62"/>
      <c r="D441" s="8"/>
      <c r="E441" s="8"/>
      <c r="J441" s="37"/>
    </row>
    <row r="442">
      <c r="A442" s="22"/>
      <c r="B442" s="8"/>
      <c r="C442" s="62"/>
      <c r="D442" s="8"/>
      <c r="E442" s="8"/>
      <c r="J442" s="37"/>
    </row>
    <row r="443">
      <c r="A443" s="22"/>
      <c r="B443" s="8"/>
      <c r="C443" s="62"/>
      <c r="D443" s="8"/>
      <c r="E443" s="8"/>
      <c r="J443" s="37"/>
    </row>
    <row r="444">
      <c r="A444" s="22"/>
      <c r="B444" s="8"/>
      <c r="C444" s="62"/>
      <c r="D444" s="8"/>
      <c r="E444" s="8"/>
      <c r="J444" s="37"/>
    </row>
    <row r="445">
      <c r="A445" s="22"/>
      <c r="B445" s="8"/>
      <c r="C445" s="62"/>
      <c r="D445" s="8"/>
      <c r="E445" s="8"/>
      <c r="J445" s="37"/>
    </row>
    <row r="446">
      <c r="A446" s="22"/>
      <c r="B446" s="8"/>
      <c r="C446" s="62"/>
      <c r="D446" s="8"/>
      <c r="E446" s="8"/>
      <c r="J446" s="37"/>
    </row>
    <row r="447">
      <c r="A447" s="22"/>
      <c r="B447" s="8"/>
      <c r="C447" s="62"/>
      <c r="D447" s="8"/>
      <c r="E447" s="8"/>
      <c r="J447" s="37"/>
    </row>
    <row r="448">
      <c r="A448" s="22"/>
      <c r="B448" s="8"/>
      <c r="C448" s="62"/>
      <c r="D448" s="8"/>
      <c r="E448" s="8"/>
      <c r="J448" s="37"/>
    </row>
    <row r="449">
      <c r="A449" s="22"/>
      <c r="B449" s="8"/>
      <c r="C449" s="62"/>
      <c r="D449" s="8"/>
      <c r="E449" s="8"/>
      <c r="J449" s="37"/>
    </row>
    <row r="450">
      <c r="A450" s="22"/>
      <c r="B450" s="8"/>
      <c r="C450" s="62"/>
      <c r="D450" s="8"/>
      <c r="E450" s="8"/>
      <c r="J450" s="37"/>
    </row>
    <row r="451">
      <c r="A451" s="22"/>
      <c r="B451" s="8"/>
      <c r="C451" s="62"/>
      <c r="D451" s="8"/>
      <c r="E451" s="8"/>
      <c r="J451" s="37"/>
    </row>
    <row r="452">
      <c r="A452" s="22"/>
      <c r="B452" s="8"/>
      <c r="C452" s="62"/>
      <c r="D452" s="8"/>
      <c r="E452" s="8"/>
      <c r="J452" s="37"/>
    </row>
    <row r="453">
      <c r="A453" s="22"/>
      <c r="B453" s="8"/>
      <c r="C453" s="62"/>
      <c r="D453" s="8"/>
      <c r="E453" s="8"/>
      <c r="J453" s="37"/>
    </row>
    <row r="454">
      <c r="A454" s="22"/>
      <c r="B454" s="8"/>
      <c r="C454" s="62"/>
      <c r="D454" s="8"/>
      <c r="E454" s="8"/>
      <c r="J454" s="37"/>
    </row>
    <row r="455">
      <c r="A455" s="22"/>
      <c r="B455" s="8"/>
      <c r="C455" s="62"/>
      <c r="D455" s="8"/>
      <c r="E455" s="8"/>
      <c r="J455" s="37"/>
    </row>
    <row r="456">
      <c r="A456" s="22"/>
      <c r="B456" s="8"/>
      <c r="C456" s="62"/>
      <c r="D456" s="8"/>
      <c r="E456" s="8"/>
      <c r="J456" s="37"/>
    </row>
    <row r="457">
      <c r="A457" s="22"/>
      <c r="B457" s="8"/>
      <c r="C457" s="62"/>
      <c r="D457" s="8"/>
      <c r="E457" s="8"/>
      <c r="J457" s="37"/>
    </row>
    <row r="458">
      <c r="A458" s="22"/>
      <c r="B458" s="8"/>
      <c r="C458" s="62"/>
      <c r="D458" s="8"/>
      <c r="E458" s="8"/>
      <c r="J458" s="37"/>
    </row>
    <row r="459">
      <c r="A459" s="22"/>
      <c r="B459" s="8"/>
      <c r="C459" s="62"/>
      <c r="D459" s="8"/>
      <c r="E459" s="8"/>
      <c r="J459" s="37"/>
    </row>
    <row r="460">
      <c r="A460" s="22"/>
      <c r="B460" s="8"/>
      <c r="C460" s="62"/>
      <c r="D460" s="8"/>
      <c r="E460" s="8"/>
      <c r="J460" s="37"/>
    </row>
    <row r="461">
      <c r="A461" s="22"/>
      <c r="B461" s="8"/>
      <c r="C461" s="62"/>
      <c r="D461" s="8"/>
      <c r="E461" s="8"/>
      <c r="J461" s="37"/>
    </row>
    <row r="462">
      <c r="A462" s="22"/>
      <c r="B462" s="8"/>
      <c r="C462" s="62"/>
      <c r="D462" s="8"/>
      <c r="E462" s="8"/>
      <c r="J462" s="37"/>
    </row>
    <row r="463">
      <c r="A463" s="22"/>
      <c r="B463" s="8"/>
      <c r="C463" s="62"/>
      <c r="D463" s="8"/>
      <c r="E463" s="8"/>
      <c r="J463" s="37"/>
    </row>
    <row r="464">
      <c r="A464" s="22"/>
      <c r="B464" s="8"/>
      <c r="C464" s="62"/>
      <c r="D464" s="8"/>
      <c r="E464" s="8"/>
      <c r="J464" s="37"/>
    </row>
    <row r="465">
      <c r="A465" s="22"/>
      <c r="B465" s="8"/>
      <c r="C465" s="62"/>
      <c r="D465" s="8"/>
      <c r="E465" s="8"/>
      <c r="J465" s="37"/>
    </row>
    <row r="466">
      <c r="A466" s="22"/>
      <c r="B466" s="8"/>
      <c r="C466" s="62"/>
      <c r="D466" s="8"/>
      <c r="E466" s="8"/>
      <c r="J466" s="37"/>
    </row>
    <row r="467">
      <c r="A467" s="22"/>
      <c r="B467" s="8"/>
      <c r="C467" s="62"/>
      <c r="D467" s="8"/>
      <c r="E467" s="8"/>
      <c r="J467" s="37"/>
    </row>
    <row r="468">
      <c r="A468" s="22"/>
      <c r="B468" s="8"/>
      <c r="C468" s="62"/>
      <c r="D468" s="8"/>
      <c r="E468" s="8"/>
      <c r="J468" s="37"/>
    </row>
    <row r="469">
      <c r="A469" s="22"/>
      <c r="B469" s="8"/>
      <c r="C469" s="62"/>
      <c r="D469" s="8"/>
      <c r="E469" s="8"/>
      <c r="J469" s="37"/>
    </row>
    <row r="470">
      <c r="A470" s="22"/>
      <c r="B470" s="8"/>
      <c r="C470" s="62"/>
      <c r="D470" s="8"/>
      <c r="E470" s="8"/>
      <c r="J470" s="37"/>
    </row>
    <row r="471">
      <c r="A471" s="22"/>
      <c r="B471" s="8"/>
      <c r="C471" s="62"/>
      <c r="D471" s="8"/>
      <c r="E471" s="8"/>
      <c r="J471" s="37"/>
    </row>
    <row r="472">
      <c r="A472" s="22"/>
      <c r="B472" s="8"/>
      <c r="C472" s="62"/>
      <c r="D472" s="8"/>
      <c r="E472" s="8"/>
      <c r="J472" s="37"/>
    </row>
    <row r="473">
      <c r="A473" s="22"/>
      <c r="B473" s="8"/>
      <c r="C473" s="62"/>
      <c r="D473" s="8"/>
      <c r="E473" s="8"/>
      <c r="J473" s="37"/>
    </row>
    <row r="474">
      <c r="A474" s="22"/>
      <c r="B474" s="8"/>
      <c r="C474" s="62"/>
      <c r="D474" s="8"/>
      <c r="E474" s="8"/>
      <c r="J474" s="37"/>
    </row>
    <row r="475">
      <c r="A475" s="22"/>
      <c r="B475" s="8"/>
      <c r="C475" s="62"/>
      <c r="D475" s="8"/>
      <c r="E475" s="8"/>
      <c r="J475" s="37"/>
    </row>
    <row r="476">
      <c r="A476" s="22"/>
      <c r="B476" s="8"/>
      <c r="C476" s="62"/>
      <c r="D476" s="8"/>
      <c r="E476" s="8"/>
      <c r="J476" s="37"/>
    </row>
    <row r="477">
      <c r="A477" s="22"/>
      <c r="B477" s="8"/>
      <c r="C477" s="62"/>
      <c r="D477" s="8"/>
      <c r="E477" s="8"/>
      <c r="J477" s="37"/>
    </row>
    <row r="478">
      <c r="A478" s="22"/>
      <c r="B478" s="8"/>
      <c r="C478" s="62"/>
      <c r="D478" s="8"/>
      <c r="E478" s="8"/>
      <c r="J478" s="37"/>
    </row>
    <row r="479">
      <c r="A479" s="22"/>
      <c r="B479" s="8"/>
      <c r="C479" s="62"/>
      <c r="D479" s="8"/>
      <c r="E479" s="8"/>
      <c r="J479" s="37"/>
    </row>
    <row r="480">
      <c r="A480" s="22"/>
      <c r="B480" s="8"/>
      <c r="C480" s="62"/>
      <c r="D480" s="8"/>
      <c r="E480" s="8"/>
      <c r="J480" s="37"/>
    </row>
    <row r="481">
      <c r="A481" s="22"/>
      <c r="B481" s="8"/>
      <c r="C481" s="62"/>
      <c r="D481" s="8"/>
      <c r="E481" s="8"/>
      <c r="J481" s="37"/>
    </row>
    <row r="482">
      <c r="A482" s="22"/>
      <c r="B482" s="8"/>
      <c r="C482" s="62"/>
      <c r="D482" s="8"/>
      <c r="E482" s="8"/>
      <c r="J482" s="37"/>
    </row>
    <row r="483">
      <c r="A483" s="22"/>
      <c r="B483" s="8"/>
      <c r="C483" s="62"/>
      <c r="D483" s="8"/>
      <c r="E483" s="8"/>
      <c r="J483" s="37"/>
    </row>
    <row r="484">
      <c r="A484" s="22"/>
      <c r="B484" s="8"/>
      <c r="C484" s="62"/>
      <c r="D484" s="8"/>
      <c r="E484" s="8"/>
      <c r="J484" s="37"/>
    </row>
    <row r="485">
      <c r="A485" s="22"/>
      <c r="B485" s="8"/>
      <c r="C485" s="62"/>
      <c r="D485" s="8"/>
      <c r="E485" s="8"/>
      <c r="J485" s="37"/>
    </row>
    <row r="486">
      <c r="A486" s="22"/>
      <c r="B486" s="8"/>
      <c r="C486" s="62"/>
      <c r="D486" s="8"/>
      <c r="E486" s="8"/>
      <c r="J486" s="37"/>
    </row>
    <row r="487">
      <c r="A487" s="22"/>
      <c r="B487" s="8"/>
      <c r="C487" s="62"/>
      <c r="D487" s="8"/>
      <c r="E487" s="8"/>
      <c r="J487" s="37"/>
    </row>
    <row r="488">
      <c r="A488" s="22"/>
      <c r="B488" s="8"/>
      <c r="C488" s="62"/>
      <c r="D488" s="8"/>
      <c r="E488" s="8"/>
      <c r="J488" s="37"/>
    </row>
    <row r="489">
      <c r="A489" s="22"/>
      <c r="B489" s="8"/>
      <c r="C489" s="62"/>
      <c r="D489" s="8"/>
      <c r="E489" s="8"/>
      <c r="J489" s="37"/>
    </row>
    <row r="490">
      <c r="A490" s="22"/>
      <c r="B490" s="8"/>
      <c r="C490" s="62"/>
      <c r="D490" s="8"/>
      <c r="E490" s="8"/>
      <c r="J490" s="37"/>
    </row>
    <row r="491">
      <c r="A491" s="22"/>
      <c r="B491" s="8"/>
      <c r="C491" s="62"/>
      <c r="D491" s="8"/>
      <c r="E491" s="8"/>
      <c r="J491" s="37"/>
    </row>
    <row r="492">
      <c r="A492" s="22"/>
      <c r="B492" s="8"/>
      <c r="C492" s="62"/>
      <c r="D492" s="8"/>
      <c r="E492" s="8"/>
      <c r="J492" s="37"/>
    </row>
    <row r="493">
      <c r="A493" s="22"/>
      <c r="B493" s="8"/>
      <c r="C493" s="62"/>
      <c r="D493" s="8"/>
      <c r="E493" s="8"/>
      <c r="J493" s="37"/>
    </row>
    <row r="494">
      <c r="A494" s="22"/>
      <c r="B494" s="8"/>
      <c r="C494" s="62"/>
      <c r="D494" s="8"/>
      <c r="E494" s="8"/>
      <c r="J494" s="37"/>
    </row>
    <row r="495">
      <c r="A495" s="22"/>
      <c r="B495" s="8"/>
      <c r="C495" s="62"/>
      <c r="D495" s="8"/>
      <c r="E495" s="8"/>
      <c r="J495" s="37"/>
    </row>
    <row r="496">
      <c r="A496" s="22"/>
      <c r="B496" s="8"/>
      <c r="C496" s="62"/>
      <c r="D496" s="8"/>
      <c r="E496" s="8"/>
      <c r="J496" s="37"/>
    </row>
    <row r="497">
      <c r="A497" s="22"/>
      <c r="B497" s="8"/>
      <c r="C497" s="62"/>
      <c r="D497" s="8"/>
      <c r="E497" s="8"/>
      <c r="J497" s="37"/>
    </row>
    <row r="498">
      <c r="A498" s="22"/>
      <c r="B498" s="8"/>
      <c r="C498" s="62"/>
      <c r="D498" s="8"/>
      <c r="E498" s="8"/>
      <c r="J498" s="37"/>
    </row>
    <row r="499">
      <c r="A499" s="22"/>
      <c r="B499" s="8"/>
      <c r="C499" s="62"/>
      <c r="D499" s="8"/>
      <c r="E499" s="8"/>
      <c r="J499" s="37"/>
    </row>
    <row r="500">
      <c r="A500" s="22"/>
      <c r="B500" s="8"/>
      <c r="C500" s="62"/>
      <c r="D500" s="8"/>
      <c r="E500" s="8"/>
      <c r="J500" s="37"/>
    </row>
    <row r="501">
      <c r="A501" s="22"/>
      <c r="B501" s="8"/>
      <c r="C501" s="62"/>
      <c r="D501" s="8"/>
      <c r="E501" s="8"/>
      <c r="J501" s="37"/>
    </row>
    <row r="502">
      <c r="A502" s="22"/>
      <c r="B502" s="8"/>
      <c r="C502" s="62"/>
      <c r="D502" s="8"/>
      <c r="E502" s="8"/>
      <c r="J502" s="37"/>
    </row>
    <row r="503">
      <c r="A503" s="22"/>
      <c r="B503" s="8"/>
      <c r="C503" s="62"/>
      <c r="D503" s="8"/>
      <c r="E503" s="8"/>
      <c r="J503" s="37"/>
    </row>
    <row r="504">
      <c r="A504" s="22"/>
      <c r="B504" s="8"/>
      <c r="C504" s="62"/>
      <c r="D504" s="8"/>
      <c r="E504" s="8"/>
      <c r="J504" s="37"/>
    </row>
    <row r="505">
      <c r="A505" s="22"/>
      <c r="B505" s="8"/>
      <c r="C505" s="62"/>
      <c r="D505" s="8"/>
      <c r="E505" s="8"/>
      <c r="J505" s="37"/>
    </row>
    <row r="506">
      <c r="A506" s="22"/>
      <c r="B506" s="8"/>
      <c r="C506" s="62"/>
      <c r="D506" s="8"/>
      <c r="E506" s="8"/>
      <c r="J506" s="37"/>
    </row>
    <row r="507">
      <c r="A507" s="22"/>
      <c r="B507" s="8"/>
      <c r="C507" s="62"/>
      <c r="D507" s="8"/>
      <c r="E507" s="8"/>
      <c r="J507" s="37"/>
    </row>
    <row r="508">
      <c r="A508" s="22"/>
      <c r="B508" s="8"/>
      <c r="C508" s="62"/>
      <c r="D508" s="8"/>
      <c r="E508" s="8"/>
      <c r="J508" s="37"/>
    </row>
    <row r="509">
      <c r="A509" s="22"/>
      <c r="B509" s="8"/>
      <c r="C509" s="62"/>
      <c r="D509" s="8"/>
      <c r="E509" s="8"/>
      <c r="J509" s="37"/>
    </row>
    <row r="510">
      <c r="A510" s="22"/>
      <c r="B510" s="8"/>
      <c r="C510" s="62"/>
      <c r="D510" s="8"/>
      <c r="E510" s="8"/>
      <c r="J510" s="37"/>
    </row>
    <row r="511">
      <c r="A511" s="22"/>
      <c r="B511" s="8"/>
      <c r="C511" s="62"/>
      <c r="D511" s="8"/>
      <c r="E511" s="8"/>
      <c r="J511" s="37"/>
    </row>
    <row r="512">
      <c r="A512" s="22"/>
      <c r="B512" s="8"/>
      <c r="C512" s="62"/>
      <c r="D512" s="8"/>
      <c r="E512" s="8"/>
      <c r="J512" s="37"/>
    </row>
    <row r="513">
      <c r="A513" s="22"/>
      <c r="B513" s="8"/>
      <c r="C513" s="62"/>
      <c r="D513" s="8"/>
      <c r="E513" s="8"/>
      <c r="J513" s="37"/>
    </row>
    <row r="514">
      <c r="A514" s="22"/>
      <c r="B514" s="8"/>
      <c r="C514" s="62"/>
      <c r="D514" s="8"/>
      <c r="E514" s="8"/>
      <c r="J514" s="37"/>
    </row>
    <row r="515">
      <c r="A515" s="22"/>
      <c r="B515" s="8"/>
      <c r="C515" s="62"/>
      <c r="D515" s="8"/>
      <c r="E515" s="8"/>
      <c r="J515" s="37"/>
    </row>
    <row r="516">
      <c r="A516" s="22"/>
      <c r="B516" s="8"/>
      <c r="C516" s="62"/>
      <c r="D516" s="8"/>
      <c r="E516" s="8"/>
      <c r="J516" s="37"/>
    </row>
    <row r="517">
      <c r="A517" s="22"/>
      <c r="B517" s="8"/>
      <c r="C517" s="62"/>
      <c r="D517" s="8"/>
      <c r="E517" s="8"/>
      <c r="J517" s="37"/>
    </row>
    <row r="518">
      <c r="A518" s="22"/>
      <c r="B518" s="8"/>
      <c r="C518" s="62"/>
      <c r="D518" s="8"/>
      <c r="E518" s="8"/>
      <c r="J518" s="37"/>
    </row>
    <row r="519">
      <c r="A519" s="22"/>
      <c r="B519" s="8"/>
      <c r="C519" s="62"/>
      <c r="D519" s="8"/>
      <c r="E519" s="8"/>
      <c r="J519" s="37"/>
    </row>
    <row r="520">
      <c r="A520" s="22"/>
      <c r="B520" s="8"/>
      <c r="C520" s="62"/>
      <c r="D520" s="8"/>
      <c r="E520" s="8"/>
      <c r="J520" s="37"/>
    </row>
    <row r="521">
      <c r="A521" s="22"/>
      <c r="B521" s="8"/>
      <c r="C521" s="62"/>
      <c r="D521" s="8"/>
      <c r="E521" s="8"/>
      <c r="J521" s="37"/>
    </row>
    <row r="522">
      <c r="A522" s="22"/>
      <c r="B522" s="8"/>
      <c r="C522" s="62"/>
      <c r="D522" s="8"/>
      <c r="E522" s="8"/>
      <c r="J522" s="37"/>
    </row>
    <row r="523">
      <c r="A523" s="22"/>
      <c r="B523" s="8"/>
      <c r="C523" s="62"/>
      <c r="D523" s="8"/>
      <c r="E523" s="8"/>
      <c r="J523" s="37"/>
    </row>
    <row r="524">
      <c r="A524" s="22"/>
      <c r="B524" s="8"/>
      <c r="C524" s="62"/>
      <c r="D524" s="8"/>
      <c r="E524" s="8"/>
      <c r="J524" s="37"/>
    </row>
    <row r="525">
      <c r="A525" s="22"/>
      <c r="B525" s="8"/>
      <c r="C525" s="62"/>
      <c r="D525" s="8"/>
      <c r="E525" s="8"/>
      <c r="J525" s="37"/>
    </row>
    <row r="526">
      <c r="A526" s="22"/>
      <c r="B526" s="8"/>
      <c r="C526" s="62"/>
      <c r="D526" s="8"/>
      <c r="E526" s="8"/>
      <c r="J526" s="37"/>
    </row>
    <row r="527">
      <c r="A527" s="22"/>
      <c r="B527" s="8"/>
      <c r="C527" s="62"/>
      <c r="D527" s="8"/>
      <c r="E527" s="8"/>
      <c r="J527" s="37"/>
    </row>
    <row r="528">
      <c r="A528" s="22"/>
      <c r="B528" s="8"/>
      <c r="C528" s="62"/>
      <c r="D528" s="8"/>
      <c r="E528" s="8"/>
      <c r="J528" s="37"/>
    </row>
    <row r="529">
      <c r="A529" s="22"/>
      <c r="B529" s="8"/>
      <c r="C529" s="62"/>
      <c r="D529" s="8"/>
      <c r="E529" s="8"/>
      <c r="J529" s="37"/>
    </row>
    <row r="530">
      <c r="A530" s="22"/>
      <c r="B530" s="8"/>
      <c r="C530" s="62"/>
      <c r="D530" s="8"/>
      <c r="E530" s="8"/>
      <c r="J530" s="37"/>
    </row>
    <row r="531">
      <c r="A531" s="22"/>
      <c r="B531" s="8"/>
      <c r="C531" s="62"/>
      <c r="D531" s="8"/>
      <c r="E531" s="8"/>
      <c r="J531" s="37"/>
    </row>
    <row r="532">
      <c r="A532" s="22"/>
      <c r="B532" s="8"/>
      <c r="C532" s="62"/>
      <c r="D532" s="8"/>
      <c r="E532" s="8"/>
      <c r="J532" s="37"/>
    </row>
    <row r="533">
      <c r="A533" s="22"/>
      <c r="B533" s="8"/>
      <c r="C533" s="62"/>
      <c r="D533" s="8"/>
      <c r="E533" s="8"/>
      <c r="J533" s="37"/>
    </row>
    <row r="534">
      <c r="A534" s="22"/>
      <c r="B534" s="8"/>
      <c r="C534" s="62"/>
      <c r="D534" s="8"/>
      <c r="E534" s="8"/>
      <c r="J534" s="37"/>
    </row>
    <row r="535">
      <c r="A535" s="22"/>
      <c r="B535" s="8"/>
      <c r="C535" s="62"/>
      <c r="D535" s="8"/>
      <c r="E535" s="8"/>
      <c r="J535" s="37"/>
    </row>
    <row r="536">
      <c r="A536" s="22"/>
      <c r="B536" s="8"/>
      <c r="C536" s="62"/>
      <c r="D536" s="8"/>
      <c r="E536" s="8"/>
      <c r="J536" s="37"/>
    </row>
    <row r="537">
      <c r="A537" s="22"/>
      <c r="B537" s="8"/>
      <c r="C537" s="62"/>
      <c r="D537" s="8"/>
      <c r="E537" s="8"/>
      <c r="J537" s="37"/>
    </row>
    <row r="538">
      <c r="A538" s="22"/>
      <c r="B538" s="8"/>
      <c r="C538" s="62"/>
      <c r="D538" s="8"/>
      <c r="E538" s="8"/>
      <c r="J538" s="37"/>
    </row>
    <row r="539">
      <c r="A539" s="22"/>
      <c r="B539" s="8"/>
      <c r="C539" s="62"/>
      <c r="D539" s="8"/>
      <c r="E539" s="8"/>
      <c r="J539" s="37"/>
    </row>
    <row r="540">
      <c r="A540" s="22"/>
      <c r="B540" s="8"/>
      <c r="C540" s="62"/>
      <c r="D540" s="8"/>
      <c r="E540" s="8"/>
      <c r="J540" s="37"/>
    </row>
    <row r="541">
      <c r="A541" s="22"/>
      <c r="B541" s="8"/>
      <c r="C541" s="62"/>
      <c r="D541" s="8"/>
      <c r="E541" s="8"/>
      <c r="J541" s="37"/>
    </row>
    <row r="542">
      <c r="A542" s="22"/>
      <c r="B542" s="8"/>
      <c r="C542" s="62"/>
      <c r="D542" s="8"/>
      <c r="E542" s="8"/>
      <c r="J542" s="37"/>
    </row>
    <row r="543">
      <c r="A543" s="22"/>
      <c r="B543" s="8"/>
      <c r="C543" s="62"/>
      <c r="D543" s="8"/>
      <c r="E543" s="8"/>
      <c r="J543" s="37"/>
    </row>
    <row r="544">
      <c r="A544" s="22"/>
      <c r="B544" s="8"/>
      <c r="C544" s="62"/>
      <c r="D544" s="8"/>
      <c r="E544" s="8"/>
      <c r="J544" s="37"/>
    </row>
    <row r="545">
      <c r="A545" s="22"/>
      <c r="B545" s="8"/>
      <c r="C545" s="62"/>
      <c r="D545" s="8"/>
      <c r="E545" s="8"/>
      <c r="J545" s="37"/>
    </row>
    <row r="546">
      <c r="A546" s="22"/>
      <c r="B546" s="8"/>
      <c r="C546" s="62"/>
      <c r="D546" s="8"/>
      <c r="E546" s="8"/>
      <c r="J546" s="37"/>
    </row>
    <row r="547">
      <c r="A547" s="22"/>
      <c r="B547" s="8"/>
      <c r="C547" s="62"/>
      <c r="D547" s="8"/>
      <c r="E547" s="8"/>
      <c r="J547" s="37"/>
    </row>
    <row r="548">
      <c r="A548" s="22"/>
      <c r="B548" s="8"/>
      <c r="C548" s="62"/>
      <c r="D548" s="8"/>
      <c r="E548" s="8"/>
      <c r="J548" s="37"/>
    </row>
    <row r="549">
      <c r="A549" s="22"/>
      <c r="B549" s="8"/>
      <c r="C549" s="62"/>
      <c r="D549" s="8"/>
      <c r="E549" s="8"/>
      <c r="J549" s="37"/>
    </row>
    <row r="550">
      <c r="A550" s="22"/>
      <c r="B550" s="8"/>
      <c r="C550" s="62"/>
      <c r="D550" s="8"/>
      <c r="E550" s="8"/>
      <c r="J550" s="37"/>
    </row>
    <row r="551">
      <c r="A551" s="22"/>
      <c r="B551" s="8"/>
      <c r="C551" s="62"/>
      <c r="D551" s="8"/>
      <c r="E551" s="8"/>
      <c r="J551" s="37"/>
    </row>
    <row r="552">
      <c r="A552" s="22"/>
      <c r="B552" s="8"/>
      <c r="C552" s="62"/>
      <c r="D552" s="8"/>
      <c r="E552" s="8"/>
      <c r="J552" s="37"/>
    </row>
    <row r="553">
      <c r="A553" s="22"/>
      <c r="B553" s="8"/>
      <c r="C553" s="62"/>
      <c r="D553" s="8"/>
      <c r="E553" s="8"/>
      <c r="J553" s="37"/>
    </row>
    <row r="554">
      <c r="A554" s="22"/>
      <c r="B554" s="8"/>
      <c r="C554" s="62"/>
      <c r="D554" s="8"/>
      <c r="E554" s="8"/>
      <c r="J554" s="37"/>
    </row>
    <row r="555">
      <c r="A555" s="22"/>
      <c r="B555" s="8"/>
      <c r="C555" s="62"/>
      <c r="D555" s="8"/>
      <c r="E555" s="8"/>
      <c r="J555" s="37"/>
    </row>
    <row r="556">
      <c r="A556" s="22"/>
      <c r="B556" s="8"/>
      <c r="C556" s="62"/>
      <c r="D556" s="8"/>
      <c r="E556" s="8"/>
      <c r="J556" s="37"/>
    </row>
    <row r="557">
      <c r="A557" s="22"/>
      <c r="B557" s="8"/>
      <c r="C557" s="62"/>
      <c r="D557" s="8"/>
      <c r="E557" s="8"/>
      <c r="J557" s="37"/>
    </row>
    <row r="558">
      <c r="A558" s="22"/>
      <c r="B558" s="8"/>
      <c r="C558" s="62"/>
      <c r="D558" s="8"/>
      <c r="E558" s="8"/>
      <c r="J558" s="37"/>
    </row>
    <row r="559">
      <c r="A559" s="22"/>
      <c r="B559" s="8"/>
      <c r="C559" s="62"/>
      <c r="D559" s="8"/>
      <c r="E559" s="8"/>
      <c r="J559" s="37"/>
    </row>
    <row r="560">
      <c r="A560" s="22"/>
      <c r="B560" s="8"/>
      <c r="C560" s="62"/>
      <c r="D560" s="8"/>
      <c r="E560" s="8"/>
      <c r="J560" s="37"/>
    </row>
    <row r="561">
      <c r="A561" s="22"/>
      <c r="B561" s="8"/>
      <c r="C561" s="62"/>
      <c r="D561" s="8"/>
      <c r="E561" s="8"/>
      <c r="J561" s="37"/>
    </row>
    <row r="562">
      <c r="A562" s="22"/>
      <c r="B562" s="8"/>
      <c r="C562" s="62"/>
      <c r="D562" s="8"/>
      <c r="E562" s="8"/>
      <c r="J562" s="37"/>
    </row>
    <row r="563">
      <c r="A563" s="22"/>
      <c r="B563" s="8"/>
      <c r="C563" s="62"/>
      <c r="D563" s="8"/>
      <c r="E563" s="8"/>
      <c r="J563" s="37"/>
    </row>
    <row r="564">
      <c r="A564" s="22"/>
      <c r="B564" s="8"/>
      <c r="C564" s="62"/>
      <c r="D564" s="8"/>
      <c r="E564" s="8"/>
      <c r="J564" s="37"/>
    </row>
    <row r="565">
      <c r="A565" s="22"/>
      <c r="B565" s="8"/>
      <c r="C565" s="62"/>
      <c r="D565" s="8"/>
      <c r="E565" s="8"/>
      <c r="J565" s="37"/>
    </row>
    <row r="566">
      <c r="A566" s="22"/>
      <c r="B566" s="8"/>
      <c r="C566" s="62"/>
      <c r="D566" s="8"/>
      <c r="E566" s="8"/>
      <c r="J566" s="37"/>
    </row>
    <row r="567">
      <c r="A567" s="22"/>
      <c r="B567" s="8"/>
      <c r="C567" s="62"/>
      <c r="D567" s="8"/>
      <c r="E567" s="8"/>
      <c r="J567" s="37"/>
    </row>
    <row r="568">
      <c r="A568" s="22"/>
      <c r="B568" s="8"/>
      <c r="C568" s="62"/>
      <c r="D568" s="8"/>
      <c r="E568" s="8"/>
      <c r="J568" s="37"/>
    </row>
    <row r="569">
      <c r="A569" s="22"/>
      <c r="B569" s="8"/>
      <c r="C569" s="62"/>
      <c r="D569" s="8"/>
      <c r="E569" s="8"/>
      <c r="J569" s="37"/>
    </row>
    <row r="570">
      <c r="A570" s="22"/>
      <c r="B570" s="8"/>
      <c r="C570" s="62"/>
      <c r="D570" s="8"/>
      <c r="E570" s="8"/>
      <c r="J570" s="37"/>
    </row>
    <row r="571">
      <c r="A571" s="22"/>
      <c r="B571" s="8"/>
      <c r="C571" s="62"/>
      <c r="D571" s="8"/>
      <c r="E571" s="8"/>
      <c r="J571" s="37"/>
    </row>
    <row r="572">
      <c r="A572" s="22"/>
      <c r="B572" s="8"/>
      <c r="C572" s="62"/>
      <c r="D572" s="8"/>
      <c r="E572" s="8"/>
      <c r="J572" s="37"/>
    </row>
    <row r="573">
      <c r="A573" s="22"/>
      <c r="B573" s="8"/>
      <c r="C573" s="62"/>
      <c r="D573" s="8"/>
      <c r="E573" s="8"/>
      <c r="J573" s="37"/>
    </row>
    <row r="574">
      <c r="A574" s="22"/>
      <c r="B574" s="8"/>
      <c r="C574" s="62"/>
      <c r="D574" s="8"/>
      <c r="E574" s="8"/>
      <c r="J574" s="37"/>
    </row>
    <row r="575">
      <c r="A575" s="22"/>
      <c r="B575" s="8"/>
      <c r="C575" s="62"/>
      <c r="D575" s="8"/>
      <c r="E575" s="8"/>
      <c r="J575" s="37"/>
    </row>
    <row r="576">
      <c r="A576" s="22"/>
      <c r="B576" s="8"/>
      <c r="C576" s="62"/>
      <c r="D576" s="8"/>
      <c r="E576" s="8"/>
      <c r="J576" s="37"/>
    </row>
    <row r="577">
      <c r="A577" s="22"/>
      <c r="B577" s="8"/>
      <c r="C577" s="62"/>
      <c r="D577" s="8"/>
      <c r="E577" s="8"/>
      <c r="J577" s="37"/>
    </row>
    <row r="578">
      <c r="A578" s="22"/>
      <c r="B578" s="8"/>
      <c r="C578" s="62"/>
      <c r="D578" s="8"/>
      <c r="E578" s="8"/>
      <c r="J578" s="37"/>
    </row>
    <row r="579">
      <c r="A579" s="22"/>
      <c r="B579" s="8"/>
      <c r="C579" s="62"/>
      <c r="D579" s="8"/>
      <c r="E579" s="8"/>
      <c r="J579" s="37"/>
    </row>
    <row r="580">
      <c r="A580" s="22"/>
      <c r="B580" s="8"/>
      <c r="C580" s="62"/>
      <c r="D580" s="8"/>
      <c r="E580" s="8"/>
      <c r="J580" s="37"/>
    </row>
    <row r="581">
      <c r="A581" s="22"/>
      <c r="B581" s="8"/>
      <c r="C581" s="62"/>
      <c r="D581" s="8"/>
      <c r="E581" s="8"/>
      <c r="J581" s="37"/>
    </row>
    <row r="582">
      <c r="A582" s="22"/>
      <c r="B582" s="8"/>
      <c r="C582" s="62"/>
      <c r="D582" s="8"/>
      <c r="E582" s="8"/>
      <c r="J582" s="37"/>
    </row>
    <row r="583">
      <c r="A583" s="22"/>
      <c r="B583" s="8"/>
      <c r="C583" s="62"/>
      <c r="D583" s="8"/>
      <c r="E583" s="8"/>
      <c r="J583" s="37"/>
    </row>
    <row r="584">
      <c r="A584" s="22"/>
      <c r="B584" s="8"/>
      <c r="C584" s="62"/>
      <c r="D584" s="8"/>
      <c r="E584" s="8"/>
      <c r="J584" s="37"/>
    </row>
    <row r="585">
      <c r="A585" s="22"/>
      <c r="B585" s="8"/>
      <c r="C585" s="62"/>
      <c r="D585" s="8"/>
      <c r="E585" s="8"/>
      <c r="J585" s="37"/>
    </row>
    <row r="586">
      <c r="A586" s="22"/>
      <c r="B586" s="8"/>
      <c r="C586" s="62"/>
      <c r="D586" s="8"/>
      <c r="E586" s="8"/>
      <c r="J586" s="37"/>
    </row>
    <row r="587">
      <c r="A587" s="22"/>
      <c r="B587" s="8"/>
      <c r="C587" s="62"/>
      <c r="D587" s="8"/>
      <c r="E587" s="8"/>
      <c r="J587" s="37"/>
    </row>
    <row r="588">
      <c r="A588" s="22"/>
      <c r="B588" s="8"/>
      <c r="C588" s="62"/>
      <c r="D588" s="8"/>
      <c r="E588" s="8"/>
      <c r="J588" s="37"/>
    </row>
    <row r="589">
      <c r="A589" s="22"/>
      <c r="B589" s="8"/>
      <c r="C589" s="62"/>
      <c r="D589" s="8"/>
      <c r="E589" s="8"/>
      <c r="J589" s="37"/>
    </row>
    <row r="590">
      <c r="A590" s="22"/>
      <c r="B590" s="8"/>
      <c r="C590" s="62"/>
      <c r="D590" s="8"/>
      <c r="E590" s="8"/>
      <c r="J590" s="37"/>
    </row>
    <row r="591">
      <c r="A591" s="22"/>
      <c r="B591" s="8"/>
      <c r="C591" s="62"/>
      <c r="D591" s="8"/>
      <c r="E591" s="8"/>
      <c r="J591" s="37"/>
    </row>
    <row r="592">
      <c r="A592" s="22"/>
      <c r="B592" s="8"/>
      <c r="C592" s="62"/>
      <c r="D592" s="8"/>
      <c r="E592" s="8"/>
      <c r="J592" s="37"/>
    </row>
    <row r="593">
      <c r="A593" s="22"/>
      <c r="B593" s="8"/>
      <c r="C593" s="62"/>
      <c r="D593" s="8"/>
      <c r="E593" s="8"/>
      <c r="J593" s="37"/>
    </row>
    <row r="594">
      <c r="A594" s="22"/>
      <c r="B594" s="8"/>
      <c r="C594" s="62"/>
      <c r="D594" s="8"/>
      <c r="E594" s="8"/>
      <c r="J594" s="37"/>
    </row>
    <row r="595">
      <c r="A595" s="22"/>
      <c r="B595" s="8"/>
      <c r="C595" s="62"/>
      <c r="D595" s="8"/>
      <c r="E595" s="8"/>
      <c r="J595" s="37"/>
    </row>
    <row r="596">
      <c r="A596" s="22"/>
      <c r="B596" s="8"/>
      <c r="C596" s="62"/>
      <c r="D596" s="8"/>
      <c r="E596" s="8"/>
      <c r="J596" s="37"/>
    </row>
    <row r="597">
      <c r="A597" s="22"/>
      <c r="B597" s="8"/>
      <c r="C597" s="62"/>
      <c r="D597" s="8"/>
      <c r="E597" s="8"/>
      <c r="J597" s="37"/>
    </row>
    <row r="598">
      <c r="A598" s="22"/>
      <c r="B598" s="8"/>
      <c r="C598" s="62"/>
      <c r="D598" s="8"/>
      <c r="E598" s="8"/>
      <c r="J598" s="37"/>
    </row>
    <row r="599">
      <c r="A599" s="22"/>
      <c r="B599" s="8"/>
      <c r="C599" s="62"/>
      <c r="D599" s="8"/>
      <c r="E599" s="8"/>
      <c r="J599" s="37"/>
    </row>
    <row r="600">
      <c r="A600" s="22"/>
      <c r="B600" s="8"/>
      <c r="C600" s="62"/>
      <c r="D600" s="8"/>
      <c r="E600" s="8"/>
      <c r="J600" s="37"/>
    </row>
    <row r="601">
      <c r="A601" s="22"/>
      <c r="B601" s="8"/>
      <c r="C601" s="62"/>
      <c r="D601" s="8"/>
      <c r="E601" s="8"/>
      <c r="J601" s="37"/>
    </row>
    <row r="602">
      <c r="A602" s="22"/>
      <c r="B602" s="8"/>
      <c r="C602" s="62"/>
      <c r="D602" s="8"/>
      <c r="E602" s="8"/>
      <c r="J602" s="37"/>
    </row>
    <row r="603">
      <c r="A603" s="22"/>
      <c r="B603" s="8"/>
      <c r="C603" s="62"/>
      <c r="D603" s="8"/>
      <c r="E603" s="8"/>
      <c r="J603" s="37"/>
    </row>
    <row r="604">
      <c r="A604" s="22"/>
      <c r="B604" s="8"/>
      <c r="C604" s="62"/>
      <c r="D604" s="8"/>
      <c r="E604" s="8"/>
      <c r="J604" s="37"/>
    </row>
    <row r="605">
      <c r="A605" s="22"/>
      <c r="B605" s="8"/>
      <c r="C605" s="62"/>
      <c r="D605" s="8"/>
      <c r="E605" s="8"/>
      <c r="J605" s="37"/>
    </row>
    <row r="606">
      <c r="A606" s="22"/>
      <c r="B606" s="8"/>
      <c r="C606" s="62"/>
      <c r="D606" s="8"/>
      <c r="E606" s="8"/>
      <c r="J606" s="37"/>
    </row>
    <row r="607">
      <c r="A607" s="22"/>
      <c r="B607" s="8"/>
      <c r="C607" s="62"/>
      <c r="D607" s="8"/>
      <c r="E607" s="8"/>
      <c r="J607" s="37"/>
    </row>
    <row r="608">
      <c r="A608" s="22"/>
      <c r="B608" s="8"/>
      <c r="C608" s="62"/>
      <c r="D608" s="8"/>
      <c r="E608" s="8"/>
      <c r="J608" s="37"/>
    </row>
    <row r="609">
      <c r="A609" s="22"/>
      <c r="B609" s="8"/>
      <c r="C609" s="62"/>
      <c r="D609" s="8"/>
      <c r="E609" s="8"/>
      <c r="J609" s="37"/>
    </row>
    <row r="610">
      <c r="A610" s="22"/>
      <c r="B610" s="8"/>
      <c r="C610" s="62"/>
      <c r="D610" s="8"/>
      <c r="E610" s="8"/>
      <c r="J610" s="37"/>
    </row>
    <row r="611">
      <c r="A611" s="22"/>
      <c r="B611" s="8"/>
      <c r="C611" s="62"/>
      <c r="D611" s="8"/>
      <c r="E611" s="8"/>
      <c r="J611" s="37"/>
    </row>
    <row r="612">
      <c r="A612" s="22"/>
      <c r="B612" s="8"/>
      <c r="C612" s="62"/>
      <c r="D612" s="8"/>
      <c r="E612" s="8"/>
      <c r="J612" s="37"/>
    </row>
    <row r="613">
      <c r="A613" s="22"/>
      <c r="B613" s="8"/>
      <c r="C613" s="62"/>
      <c r="D613" s="8"/>
      <c r="E613" s="8"/>
      <c r="J613" s="37"/>
    </row>
    <row r="614">
      <c r="A614" s="22"/>
      <c r="B614" s="8"/>
      <c r="C614" s="62"/>
      <c r="D614" s="8"/>
      <c r="E614" s="8"/>
      <c r="J614" s="37"/>
    </row>
    <row r="615">
      <c r="A615" s="22"/>
      <c r="B615" s="8"/>
      <c r="C615" s="62"/>
      <c r="D615" s="8"/>
      <c r="E615" s="8"/>
      <c r="J615" s="37"/>
    </row>
    <row r="616">
      <c r="A616" s="22"/>
      <c r="B616" s="8"/>
      <c r="C616" s="62"/>
      <c r="D616" s="8"/>
      <c r="E616" s="8"/>
      <c r="J616" s="37"/>
    </row>
    <row r="617">
      <c r="A617" s="22"/>
      <c r="B617" s="8"/>
      <c r="C617" s="62"/>
      <c r="D617" s="8"/>
      <c r="E617" s="8"/>
      <c r="J617" s="37"/>
    </row>
    <row r="618">
      <c r="A618" s="22"/>
      <c r="B618" s="8"/>
      <c r="C618" s="62"/>
      <c r="D618" s="8"/>
      <c r="E618" s="8"/>
      <c r="J618" s="37"/>
    </row>
    <row r="619">
      <c r="A619" s="22"/>
      <c r="B619" s="8"/>
      <c r="C619" s="62"/>
      <c r="D619" s="8"/>
      <c r="E619" s="8"/>
      <c r="J619" s="37"/>
    </row>
    <row r="620">
      <c r="A620" s="22"/>
      <c r="B620" s="8"/>
      <c r="C620" s="62"/>
      <c r="D620" s="8"/>
      <c r="E620" s="8"/>
      <c r="J620" s="37"/>
    </row>
    <row r="621">
      <c r="A621" s="22"/>
      <c r="B621" s="8"/>
      <c r="C621" s="62"/>
      <c r="D621" s="8"/>
      <c r="E621" s="8"/>
      <c r="J621" s="37"/>
    </row>
    <row r="622">
      <c r="A622" s="22"/>
      <c r="B622" s="8"/>
      <c r="C622" s="62"/>
      <c r="D622" s="8"/>
      <c r="E622" s="8"/>
      <c r="J622" s="37"/>
    </row>
    <row r="623">
      <c r="A623" s="22"/>
      <c r="B623" s="8"/>
      <c r="C623" s="62"/>
      <c r="D623" s="8"/>
      <c r="E623" s="8"/>
      <c r="J623" s="37"/>
    </row>
    <row r="624">
      <c r="A624" s="22"/>
      <c r="B624" s="8"/>
      <c r="C624" s="62"/>
      <c r="D624" s="8"/>
      <c r="E624" s="8"/>
      <c r="J624" s="37"/>
    </row>
    <row r="625">
      <c r="A625" s="22"/>
      <c r="B625" s="8"/>
      <c r="C625" s="62"/>
      <c r="D625" s="8"/>
      <c r="E625" s="8"/>
      <c r="J625" s="37"/>
    </row>
    <row r="626">
      <c r="A626" s="22"/>
      <c r="B626" s="8"/>
      <c r="C626" s="62"/>
      <c r="D626" s="8"/>
      <c r="E626" s="8"/>
      <c r="J626" s="37"/>
    </row>
    <row r="627">
      <c r="A627" s="22"/>
      <c r="B627" s="8"/>
      <c r="C627" s="62"/>
      <c r="D627" s="8"/>
      <c r="E627" s="8"/>
      <c r="J627" s="37"/>
    </row>
    <row r="628">
      <c r="A628" s="22"/>
      <c r="B628" s="8"/>
      <c r="C628" s="62"/>
      <c r="D628" s="8"/>
      <c r="E628" s="8"/>
      <c r="J628" s="37"/>
    </row>
    <row r="629">
      <c r="A629" s="22"/>
      <c r="B629" s="8"/>
      <c r="C629" s="62"/>
      <c r="D629" s="8"/>
      <c r="E629" s="8"/>
      <c r="J629" s="37"/>
    </row>
    <row r="630">
      <c r="A630" s="22"/>
      <c r="B630" s="8"/>
      <c r="C630" s="62"/>
      <c r="D630" s="8"/>
      <c r="E630" s="8"/>
      <c r="J630" s="37"/>
    </row>
    <row r="631">
      <c r="A631" s="22"/>
      <c r="B631" s="8"/>
      <c r="C631" s="62"/>
      <c r="D631" s="8"/>
      <c r="E631" s="8"/>
      <c r="J631" s="37"/>
    </row>
    <row r="632">
      <c r="A632" s="22"/>
      <c r="B632" s="8"/>
      <c r="C632" s="62"/>
      <c r="D632" s="8"/>
      <c r="E632" s="8"/>
      <c r="J632" s="37"/>
    </row>
    <row r="633">
      <c r="A633" s="22"/>
      <c r="B633" s="8"/>
      <c r="C633" s="62"/>
      <c r="D633" s="8"/>
      <c r="E633" s="8"/>
      <c r="J633" s="37"/>
    </row>
    <row r="634">
      <c r="A634" s="22"/>
      <c r="B634" s="8"/>
      <c r="C634" s="62"/>
      <c r="D634" s="8"/>
      <c r="E634" s="8"/>
      <c r="J634" s="37"/>
    </row>
    <row r="635">
      <c r="A635" s="22"/>
      <c r="B635" s="8"/>
      <c r="C635" s="62"/>
      <c r="D635" s="8"/>
      <c r="E635" s="8"/>
      <c r="J635" s="37"/>
    </row>
    <row r="636">
      <c r="A636" s="22"/>
      <c r="B636" s="8"/>
      <c r="C636" s="62"/>
      <c r="D636" s="8"/>
      <c r="E636" s="8"/>
      <c r="J636" s="37"/>
    </row>
    <row r="637">
      <c r="A637" s="22"/>
      <c r="B637" s="8"/>
      <c r="C637" s="62"/>
      <c r="D637" s="8"/>
      <c r="E637" s="8"/>
      <c r="J637" s="37"/>
    </row>
    <row r="638">
      <c r="A638" s="22"/>
      <c r="B638" s="8"/>
      <c r="C638" s="62"/>
      <c r="D638" s="8"/>
      <c r="E638" s="8"/>
      <c r="J638" s="37"/>
    </row>
    <row r="639">
      <c r="A639" s="22"/>
      <c r="B639" s="8"/>
      <c r="C639" s="62"/>
      <c r="D639" s="8"/>
      <c r="E639" s="8"/>
      <c r="J639" s="37"/>
    </row>
    <row r="640">
      <c r="A640" s="22"/>
      <c r="B640" s="8"/>
      <c r="C640" s="62"/>
      <c r="D640" s="8"/>
      <c r="E640" s="8"/>
      <c r="J640" s="37"/>
    </row>
    <row r="641">
      <c r="A641" s="22"/>
      <c r="B641" s="8"/>
      <c r="C641" s="62"/>
      <c r="D641" s="8"/>
      <c r="E641" s="8"/>
      <c r="J641" s="37"/>
    </row>
    <row r="642">
      <c r="A642" s="22"/>
      <c r="B642" s="8"/>
      <c r="C642" s="62"/>
      <c r="D642" s="8"/>
      <c r="E642" s="8"/>
      <c r="J642" s="37"/>
    </row>
    <row r="643">
      <c r="A643" s="22"/>
      <c r="B643" s="8"/>
      <c r="C643" s="62"/>
      <c r="D643" s="8"/>
      <c r="E643" s="8"/>
      <c r="J643" s="37"/>
    </row>
    <row r="644">
      <c r="A644" s="22"/>
      <c r="B644" s="8"/>
      <c r="C644" s="62"/>
      <c r="D644" s="8"/>
      <c r="E644" s="8"/>
      <c r="J644" s="37"/>
    </row>
    <row r="645">
      <c r="A645" s="22"/>
      <c r="B645" s="8"/>
      <c r="C645" s="62"/>
      <c r="D645" s="8"/>
      <c r="E645" s="8"/>
      <c r="J645" s="37"/>
    </row>
    <row r="646">
      <c r="A646" s="22"/>
      <c r="B646" s="8"/>
      <c r="C646" s="62"/>
      <c r="D646" s="8"/>
      <c r="E646" s="8"/>
      <c r="J646" s="37"/>
    </row>
    <row r="647">
      <c r="A647" s="22"/>
      <c r="B647" s="8"/>
      <c r="C647" s="62"/>
      <c r="D647" s="8"/>
      <c r="E647" s="8"/>
      <c r="J647" s="37"/>
    </row>
    <row r="648">
      <c r="A648" s="22"/>
      <c r="B648" s="8"/>
      <c r="C648" s="62"/>
      <c r="D648" s="8"/>
      <c r="E648" s="8"/>
      <c r="J648" s="37"/>
    </row>
    <row r="649">
      <c r="A649" s="22"/>
      <c r="B649" s="8"/>
      <c r="C649" s="62"/>
      <c r="D649" s="8"/>
      <c r="E649" s="8"/>
      <c r="J649" s="37"/>
    </row>
    <row r="650">
      <c r="A650" s="22"/>
      <c r="B650" s="8"/>
      <c r="C650" s="62"/>
      <c r="D650" s="8"/>
      <c r="E650" s="8"/>
      <c r="J650" s="37"/>
    </row>
    <row r="651">
      <c r="A651" s="22"/>
      <c r="B651" s="8"/>
      <c r="C651" s="62"/>
      <c r="D651" s="8"/>
      <c r="E651" s="8"/>
      <c r="J651" s="37"/>
    </row>
    <row r="652">
      <c r="A652" s="22"/>
      <c r="B652" s="8"/>
      <c r="C652" s="62"/>
      <c r="D652" s="8"/>
      <c r="E652" s="8"/>
      <c r="J652" s="37"/>
    </row>
    <row r="653">
      <c r="A653" s="22"/>
      <c r="B653" s="8"/>
      <c r="C653" s="62"/>
      <c r="D653" s="8"/>
      <c r="E653" s="8"/>
      <c r="J653" s="37"/>
    </row>
    <row r="654">
      <c r="A654" s="22"/>
      <c r="B654" s="8"/>
      <c r="C654" s="62"/>
      <c r="D654" s="8"/>
      <c r="E654" s="8"/>
      <c r="J654" s="37"/>
    </row>
    <row r="655">
      <c r="A655" s="22"/>
      <c r="B655" s="8"/>
      <c r="C655" s="62"/>
      <c r="D655" s="8"/>
      <c r="E655" s="8"/>
      <c r="J655" s="37"/>
    </row>
    <row r="656">
      <c r="A656" s="22"/>
      <c r="B656" s="8"/>
      <c r="C656" s="62"/>
      <c r="D656" s="8"/>
      <c r="E656" s="8"/>
      <c r="J656" s="37"/>
    </row>
    <row r="657">
      <c r="A657" s="22"/>
      <c r="B657" s="8"/>
      <c r="C657" s="62"/>
      <c r="D657" s="8"/>
      <c r="E657" s="8"/>
      <c r="J657" s="37"/>
    </row>
    <row r="658">
      <c r="A658" s="22"/>
      <c r="B658" s="8"/>
      <c r="C658" s="62"/>
      <c r="D658" s="8"/>
      <c r="E658" s="8"/>
      <c r="J658" s="37"/>
    </row>
    <row r="659">
      <c r="A659" s="22"/>
      <c r="B659" s="8"/>
      <c r="C659" s="62"/>
      <c r="D659" s="8"/>
      <c r="E659" s="8"/>
      <c r="J659" s="37"/>
    </row>
    <row r="660">
      <c r="A660" s="22"/>
      <c r="B660" s="8"/>
      <c r="C660" s="62"/>
      <c r="D660" s="8"/>
      <c r="E660" s="8"/>
      <c r="J660" s="37"/>
    </row>
    <row r="661">
      <c r="A661" s="22"/>
      <c r="B661" s="8"/>
      <c r="C661" s="62"/>
      <c r="D661" s="8"/>
      <c r="E661" s="8"/>
      <c r="J661" s="37"/>
    </row>
    <row r="662">
      <c r="A662" s="22"/>
      <c r="B662" s="8"/>
      <c r="C662" s="62"/>
      <c r="D662" s="8"/>
      <c r="E662" s="8"/>
      <c r="J662" s="37"/>
    </row>
    <row r="663">
      <c r="A663" s="22"/>
      <c r="B663" s="8"/>
      <c r="C663" s="62"/>
      <c r="D663" s="8"/>
      <c r="E663" s="8"/>
      <c r="J663" s="37"/>
    </row>
    <row r="664">
      <c r="A664" s="22"/>
      <c r="B664" s="8"/>
      <c r="C664" s="62"/>
      <c r="D664" s="8"/>
      <c r="E664" s="8"/>
      <c r="J664" s="37"/>
    </row>
    <row r="665">
      <c r="A665" s="22"/>
      <c r="B665" s="8"/>
      <c r="C665" s="62"/>
      <c r="D665" s="8"/>
      <c r="E665" s="8"/>
      <c r="J665" s="37"/>
    </row>
    <row r="666">
      <c r="A666" s="22"/>
      <c r="B666" s="8"/>
      <c r="C666" s="62"/>
      <c r="D666" s="8"/>
      <c r="E666" s="8"/>
      <c r="J666" s="37"/>
    </row>
    <row r="667">
      <c r="A667" s="22"/>
      <c r="B667" s="8"/>
      <c r="C667" s="62"/>
      <c r="D667" s="8"/>
      <c r="E667" s="8"/>
      <c r="J667" s="37"/>
    </row>
    <row r="668">
      <c r="A668" s="22"/>
      <c r="B668" s="8"/>
      <c r="C668" s="62"/>
      <c r="D668" s="8"/>
      <c r="E668" s="8"/>
      <c r="J668" s="37"/>
    </row>
    <row r="669">
      <c r="A669" s="22"/>
      <c r="B669" s="8"/>
      <c r="C669" s="62"/>
      <c r="D669" s="8"/>
      <c r="E669" s="8"/>
      <c r="J669" s="37"/>
    </row>
    <row r="670">
      <c r="A670" s="22"/>
      <c r="B670" s="8"/>
      <c r="C670" s="62"/>
      <c r="D670" s="8"/>
      <c r="E670" s="8"/>
      <c r="J670" s="37"/>
    </row>
    <row r="671">
      <c r="A671" s="22"/>
      <c r="B671" s="8"/>
      <c r="C671" s="62"/>
      <c r="D671" s="8"/>
      <c r="E671" s="8"/>
      <c r="J671" s="37"/>
    </row>
    <row r="672">
      <c r="A672" s="22"/>
      <c r="B672" s="8"/>
      <c r="C672" s="62"/>
      <c r="D672" s="8"/>
      <c r="E672" s="8"/>
      <c r="J672" s="37"/>
    </row>
    <row r="673">
      <c r="A673" s="22"/>
      <c r="B673" s="8"/>
      <c r="C673" s="62"/>
      <c r="D673" s="8"/>
      <c r="E673" s="8"/>
      <c r="J673" s="37"/>
    </row>
    <row r="674">
      <c r="A674" s="22"/>
      <c r="B674" s="8"/>
      <c r="C674" s="62"/>
      <c r="D674" s="8"/>
      <c r="E674" s="8"/>
      <c r="J674" s="37"/>
    </row>
    <row r="675">
      <c r="A675" s="22"/>
      <c r="B675" s="8"/>
      <c r="C675" s="62"/>
      <c r="D675" s="8"/>
      <c r="E675" s="8"/>
      <c r="J675" s="37"/>
    </row>
    <row r="676">
      <c r="A676" s="22"/>
      <c r="B676" s="8"/>
      <c r="C676" s="62"/>
      <c r="D676" s="8"/>
      <c r="E676" s="8"/>
      <c r="J676" s="37"/>
    </row>
    <row r="677">
      <c r="A677" s="22"/>
      <c r="B677" s="8"/>
      <c r="C677" s="62"/>
      <c r="D677" s="8"/>
      <c r="E677" s="8"/>
      <c r="J677" s="37"/>
    </row>
    <row r="678">
      <c r="A678" s="22"/>
      <c r="B678" s="8"/>
      <c r="C678" s="62"/>
      <c r="D678" s="8"/>
      <c r="E678" s="8"/>
      <c r="J678" s="37"/>
    </row>
    <row r="679">
      <c r="A679" s="22"/>
      <c r="B679" s="8"/>
      <c r="C679" s="62"/>
      <c r="D679" s="8"/>
      <c r="E679" s="8"/>
      <c r="J679" s="37"/>
    </row>
    <row r="680">
      <c r="A680" s="22"/>
      <c r="B680" s="8"/>
      <c r="C680" s="62"/>
      <c r="D680" s="8"/>
      <c r="E680" s="8"/>
      <c r="J680" s="37"/>
    </row>
    <row r="681">
      <c r="A681" s="22"/>
      <c r="B681" s="8"/>
      <c r="C681" s="62"/>
      <c r="D681" s="8"/>
      <c r="E681" s="8"/>
      <c r="J681" s="37"/>
    </row>
    <row r="682">
      <c r="A682" s="22"/>
      <c r="B682" s="8"/>
      <c r="C682" s="62"/>
      <c r="D682" s="8"/>
      <c r="E682" s="8"/>
      <c r="J682" s="37"/>
    </row>
    <row r="683">
      <c r="A683" s="22"/>
      <c r="B683" s="8"/>
      <c r="C683" s="62"/>
      <c r="D683" s="8"/>
      <c r="E683" s="8"/>
      <c r="J683" s="37"/>
    </row>
    <row r="684">
      <c r="A684" s="22"/>
      <c r="B684" s="8"/>
      <c r="C684" s="62"/>
      <c r="D684" s="8"/>
      <c r="E684" s="8"/>
      <c r="J684" s="37"/>
    </row>
    <row r="685">
      <c r="A685" s="22"/>
      <c r="B685" s="8"/>
      <c r="C685" s="62"/>
      <c r="D685" s="8"/>
      <c r="E685" s="8"/>
      <c r="J685" s="37"/>
    </row>
    <row r="686">
      <c r="A686" s="22"/>
      <c r="B686" s="8"/>
      <c r="C686" s="62"/>
      <c r="D686" s="8"/>
      <c r="E686" s="8"/>
      <c r="J686" s="37"/>
    </row>
    <row r="687">
      <c r="A687" s="22"/>
      <c r="B687" s="8"/>
      <c r="C687" s="62"/>
      <c r="D687" s="8"/>
      <c r="E687" s="8"/>
      <c r="J687" s="37"/>
    </row>
    <row r="688">
      <c r="A688" s="22"/>
      <c r="B688" s="8"/>
      <c r="C688" s="62"/>
      <c r="D688" s="8"/>
      <c r="E688" s="8"/>
      <c r="J688" s="37"/>
    </row>
    <row r="689">
      <c r="A689" s="22"/>
      <c r="B689" s="8"/>
      <c r="C689" s="62"/>
      <c r="D689" s="8"/>
      <c r="E689" s="8"/>
      <c r="J689" s="37"/>
    </row>
    <row r="690">
      <c r="A690" s="22"/>
      <c r="B690" s="8"/>
      <c r="C690" s="62"/>
      <c r="D690" s="8"/>
      <c r="E690" s="8"/>
      <c r="J690" s="37"/>
    </row>
    <row r="691">
      <c r="A691" s="22"/>
      <c r="B691" s="8"/>
      <c r="C691" s="62"/>
      <c r="D691" s="8"/>
      <c r="E691" s="8"/>
      <c r="J691" s="37"/>
    </row>
    <row r="692">
      <c r="A692" s="22"/>
      <c r="B692" s="8"/>
      <c r="C692" s="62"/>
      <c r="D692" s="8"/>
      <c r="E692" s="8"/>
      <c r="J692" s="37"/>
    </row>
    <row r="693">
      <c r="A693" s="22"/>
      <c r="B693" s="8"/>
      <c r="C693" s="62"/>
      <c r="D693" s="8"/>
      <c r="E693" s="8"/>
      <c r="J693" s="37"/>
    </row>
    <row r="694">
      <c r="A694" s="22"/>
      <c r="B694" s="8"/>
      <c r="C694" s="62"/>
      <c r="D694" s="8"/>
      <c r="E694" s="8"/>
      <c r="J694" s="37"/>
    </row>
    <row r="695">
      <c r="A695" s="22"/>
      <c r="B695" s="8"/>
      <c r="C695" s="62"/>
      <c r="D695" s="8"/>
      <c r="E695" s="8"/>
      <c r="J695" s="37"/>
    </row>
    <row r="696">
      <c r="A696" s="22"/>
      <c r="B696" s="8"/>
      <c r="C696" s="62"/>
      <c r="D696" s="8"/>
      <c r="E696" s="8"/>
      <c r="J696" s="37"/>
    </row>
    <row r="697">
      <c r="A697" s="22"/>
      <c r="B697" s="8"/>
      <c r="C697" s="62"/>
      <c r="D697" s="8"/>
      <c r="E697" s="8"/>
      <c r="J697" s="37"/>
    </row>
    <row r="698">
      <c r="A698" s="22"/>
      <c r="B698" s="8"/>
      <c r="C698" s="62"/>
      <c r="D698" s="8"/>
      <c r="E698" s="8"/>
      <c r="J698" s="37"/>
    </row>
    <row r="699">
      <c r="A699" s="22"/>
      <c r="B699" s="8"/>
      <c r="C699" s="62"/>
      <c r="D699" s="8"/>
      <c r="E699" s="8"/>
      <c r="J699" s="37"/>
    </row>
    <row r="700">
      <c r="A700" s="22"/>
      <c r="B700" s="8"/>
      <c r="C700" s="62"/>
      <c r="D700" s="8"/>
      <c r="E700" s="8"/>
      <c r="J700" s="37"/>
    </row>
    <row r="701">
      <c r="A701" s="22"/>
      <c r="B701" s="8"/>
      <c r="C701" s="62"/>
      <c r="D701" s="8"/>
      <c r="E701" s="8"/>
      <c r="J701" s="37"/>
    </row>
    <row r="702">
      <c r="A702" s="22"/>
      <c r="B702" s="8"/>
      <c r="C702" s="62"/>
      <c r="D702" s="8"/>
      <c r="E702" s="8"/>
      <c r="J702" s="37"/>
    </row>
    <row r="703">
      <c r="A703" s="22"/>
      <c r="B703" s="8"/>
      <c r="C703" s="62"/>
      <c r="D703" s="8"/>
      <c r="E703" s="8"/>
      <c r="J703" s="37"/>
    </row>
    <row r="704">
      <c r="A704" s="22"/>
      <c r="B704" s="8"/>
      <c r="C704" s="62"/>
      <c r="D704" s="8"/>
      <c r="E704" s="8"/>
      <c r="J704" s="37"/>
    </row>
    <row r="705">
      <c r="A705" s="22"/>
      <c r="B705" s="8"/>
      <c r="C705" s="62"/>
      <c r="D705" s="8"/>
      <c r="E705" s="8"/>
      <c r="J705" s="37"/>
    </row>
    <row r="706">
      <c r="A706" s="22"/>
      <c r="B706" s="8"/>
      <c r="C706" s="62"/>
      <c r="D706" s="8"/>
      <c r="E706" s="8"/>
      <c r="J706" s="37"/>
    </row>
    <row r="707">
      <c r="A707" s="22"/>
      <c r="B707" s="8"/>
      <c r="C707" s="62"/>
      <c r="D707" s="8"/>
      <c r="E707" s="8"/>
      <c r="J707" s="37"/>
    </row>
    <row r="708">
      <c r="A708" s="22"/>
      <c r="B708" s="8"/>
      <c r="C708" s="62"/>
      <c r="D708" s="8"/>
      <c r="E708" s="8"/>
      <c r="J708" s="37"/>
    </row>
    <row r="709">
      <c r="A709" s="22"/>
      <c r="B709" s="8"/>
      <c r="C709" s="62"/>
      <c r="D709" s="8"/>
      <c r="E709" s="8"/>
      <c r="J709" s="37"/>
    </row>
    <row r="710">
      <c r="A710" s="22"/>
      <c r="B710" s="8"/>
      <c r="C710" s="62"/>
      <c r="D710" s="8"/>
      <c r="E710" s="8"/>
      <c r="J710" s="37"/>
    </row>
    <row r="711">
      <c r="A711" s="22"/>
      <c r="B711" s="8"/>
      <c r="C711" s="62"/>
      <c r="D711" s="8"/>
      <c r="E711" s="8"/>
      <c r="J711" s="37"/>
    </row>
    <row r="712">
      <c r="A712" s="22"/>
      <c r="B712" s="8"/>
      <c r="C712" s="62"/>
      <c r="D712" s="8"/>
      <c r="E712" s="8"/>
      <c r="J712" s="37"/>
    </row>
    <row r="713">
      <c r="A713" s="22"/>
      <c r="B713" s="8"/>
      <c r="C713" s="62"/>
      <c r="D713" s="8"/>
      <c r="E713" s="8"/>
      <c r="J713" s="37"/>
    </row>
    <row r="714">
      <c r="A714" s="22"/>
      <c r="B714" s="8"/>
      <c r="C714" s="62"/>
      <c r="D714" s="8"/>
      <c r="E714" s="8"/>
      <c r="J714" s="37"/>
    </row>
    <row r="715">
      <c r="A715" s="22"/>
      <c r="B715" s="8"/>
      <c r="C715" s="62"/>
      <c r="D715" s="8"/>
      <c r="E715" s="8"/>
      <c r="J715" s="37"/>
    </row>
    <row r="716">
      <c r="A716" s="22"/>
      <c r="B716" s="8"/>
      <c r="C716" s="62"/>
      <c r="D716" s="8"/>
      <c r="E716" s="8"/>
      <c r="J716" s="37"/>
    </row>
    <row r="717">
      <c r="A717" s="22"/>
      <c r="B717" s="8"/>
      <c r="C717" s="62"/>
      <c r="D717" s="8"/>
      <c r="E717" s="8"/>
      <c r="J717" s="37"/>
    </row>
    <row r="718">
      <c r="A718" s="22"/>
      <c r="B718" s="8"/>
      <c r="C718" s="62"/>
      <c r="D718" s="8"/>
      <c r="E718" s="8"/>
      <c r="J718" s="37"/>
    </row>
    <row r="719">
      <c r="A719" s="22"/>
      <c r="B719" s="8"/>
      <c r="C719" s="62"/>
      <c r="D719" s="8"/>
      <c r="E719" s="8"/>
      <c r="J719" s="37"/>
    </row>
    <row r="720">
      <c r="A720" s="22"/>
      <c r="B720" s="8"/>
      <c r="C720" s="62"/>
      <c r="D720" s="8"/>
      <c r="E720" s="8"/>
      <c r="J720" s="37"/>
    </row>
    <row r="721">
      <c r="A721" s="22"/>
      <c r="B721" s="8"/>
      <c r="C721" s="62"/>
      <c r="D721" s="8"/>
      <c r="E721" s="8"/>
      <c r="J721" s="37"/>
    </row>
    <row r="722">
      <c r="A722" s="22"/>
      <c r="B722" s="8"/>
      <c r="C722" s="62"/>
      <c r="D722" s="8"/>
      <c r="E722" s="8"/>
      <c r="J722" s="37"/>
    </row>
    <row r="723">
      <c r="A723" s="22"/>
      <c r="B723" s="8"/>
      <c r="C723" s="62"/>
      <c r="D723" s="8"/>
      <c r="E723" s="8"/>
      <c r="J723" s="37"/>
    </row>
    <row r="724">
      <c r="A724" s="22"/>
      <c r="B724" s="8"/>
      <c r="C724" s="62"/>
      <c r="D724" s="8"/>
      <c r="E724" s="8"/>
      <c r="J724" s="37"/>
    </row>
    <row r="725">
      <c r="A725" s="22"/>
      <c r="B725" s="8"/>
      <c r="C725" s="62"/>
      <c r="D725" s="8"/>
      <c r="E725" s="8"/>
      <c r="J725" s="37"/>
    </row>
    <row r="726">
      <c r="A726" s="22"/>
      <c r="B726" s="8"/>
      <c r="C726" s="62"/>
      <c r="D726" s="8"/>
      <c r="E726" s="8"/>
      <c r="J726" s="37"/>
    </row>
    <row r="727">
      <c r="A727" s="22"/>
      <c r="B727" s="8"/>
      <c r="C727" s="62"/>
      <c r="D727" s="8"/>
      <c r="E727" s="8"/>
      <c r="J727" s="37"/>
    </row>
    <row r="728">
      <c r="A728" s="22"/>
      <c r="B728" s="8"/>
      <c r="C728" s="62"/>
      <c r="D728" s="8"/>
      <c r="E728" s="8"/>
      <c r="J728" s="37"/>
    </row>
    <row r="729">
      <c r="A729" s="22"/>
      <c r="B729" s="8"/>
      <c r="C729" s="62"/>
      <c r="D729" s="8"/>
      <c r="E729" s="8"/>
      <c r="J729" s="37"/>
    </row>
    <row r="730">
      <c r="A730" s="22"/>
      <c r="B730" s="8"/>
      <c r="C730" s="62"/>
      <c r="D730" s="8"/>
      <c r="E730" s="8"/>
      <c r="J730" s="37"/>
    </row>
    <row r="731">
      <c r="A731" s="22"/>
      <c r="B731" s="8"/>
      <c r="C731" s="62"/>
      <c r="D731" s="8"/>
      <c r="E731" s="8"/>
      <c r="J731" s="37"/>
    </row>
    <row r="732">
      <c r="A732" s="22"/>
      <c r="B732" s="8"/>
      <c r="C732" s="62"/>
      <c r="D732" s="8"/>
      <c r="E732" s="8"/>
      <c r="J732" s="37"/>
    </row>
    <row r="733">
      <c r="A733" s="22"/>
      <c r="B733" s="8"/>
      <c r="C733" s="62"/>
      <c r="D733" s="8"/>
      <c r="E733" s="8"/>
      <c r="J733" s="37"/>
    </row>
    <row r="734">
      <c r="A734" s="22"/>
      <c r="B734" s="8"/>
      <c r="C734" s="62"/>
      <c r="D734" s="8"/>
      <c r="E734" s="8"/>
      <c r="J734" s="37"/>
    </row>
    <row r="735">
      <c r="A735" s="22"/>
      <c r="B735" s="8"/>
      <c r="C735" s="62"/>
      <c r="D735" s="8"/>
      <c r="E735" s="8"/>
      <c r="J735" s="37"/>
    </row>
    <row r="736">
      <c r="A736" s="22"/>
      <c r="B736" s="8"/>
      <c r="C736" s="62"/>
      <c r="D736" s="8"/>
      <c r="E736" s="8"/>
      <c r="J736" s="37"/>
    </row>
    <row r="737">
      <c r="A737" s="22"/>
      <c r="B737" s="8"/>
      <c r="C737" s="62"/>
      <c r="D737" s="8"/>
      <c r="E737" s="8"/>
      <c r="J737" s="37"/>
    </row>
    <row r="738">
      <c r="A738" s="22"/>
      <c r="B738" s="8"/>
      <c r="C738" s="62"/>
      <c r="D738" s="8"/>
      <c r="E738" s="8"/>
      <c r="J738" s="37"/>
    </row>
    <row r="739">
      <c r="A739" s="22"/>
      <c r="B739" s="8"/>
      <c r="C739" s="62"/>
      <c r="D739" s="8"/>
      <c r="E739" s="8"/>
      <c r="J739" s="37"/>
    </row>
    <row r="740">
      <c r="A740" s="22"/>
      <c r="B740" s="8"/>
      <c r="C740" s="62"/>
      <c r="D740" s="8"/>
      <c r="E740" s="8"/>
      <c r="J740" s="37"/>
    </row>
    <row r="741">
      <c r="A741" s="22"/>
      <c r="B741" s="8"/>
      <c r="C741" s="62"/>
      <c r="D741" s="8"/>
      <c r="E741" s="8"/>
      <c r="J741" s="37"/>
    </row>
    <row r="742">
      <c r="A742" s="22"/>
      <c r="B742" s="8"/>
      <c r="C742" s="62"/>
      <c r="D742" s="8"/>
      <c r="E742" s="8"/>
      <c r="J742" s="37"/>
    </row>
    <row r="743">
      <c r="A743" s="22"/>
      <c r="B743" s="8"/>
      <c r="C743" s="62"/>
      <c r="D743" s="8"/>
      <c r="E743" s="8"/>
      <c r="J743" s="37"/>
    </row>
    <row r="744">
      <c r="A744" s="22"/>
      <c r="B744" s="8"/>
      <c r="C744" s="62"/>
      <c r="D744" s="8"/>
      <c r="E744" s="8"/>
      <c r="J744" s="37"/>
    </row>
    <row r="745">
      <c r="A745" s="22"/>
      <c r="B745" s="8"/>
      <c r="C745" s="62"/>
      <c r="D745" s="8"/>
      <c r="E745" s="8"/>
      <c r="J745" s="37"/>
    </row>
    <row r="746">
      <c r="A746" s="22"/>
      <c r="B746" s="8"/>
      <c r="C746" s="62"/>
      <c r="D746" s="8"/>
      <c r="E746" s="8"/>
      <c r="J746" s="37"/>
    </row>
    <row r="747">
      <c r="A747" s="22"/>
      <c r="B747" s="8"/>
      <c r="C747" s="62"/>
      <c r="D747" s="8"/>
      <c r="E747" s="8"/>
      <c r="J747" s="37"/>
    </row>
    <row r="748">
      <c r="A748" s="22"/>
      <c r="B748" s="8"/>
      <c r="C748" s="62"/>
      <c r="D748" s="8"/>
      <c r="E748" s="8"/>
      <c r="J748" s="37"/>
    </row>
    <row r="749">
      <c r="A749" s="22"/>
      <c r="B749" s="8"/>
      <c r="C749" s="62"/>
      <c r="D749" s="8"/>
      <c r="E749" s="8"/>
      <c r="J749" s="37"/>
    </row>
    <row r="750">
      <c r="A750" s="22"/>
      <c r="B750" s="8"/>
      <c r="C750" s="62"/>
      <c r="D750" s="8"/>
      <c r="E750" s="8"/>
      <c r="J750" s="37"/>
    </row>
    <row r="751">
      <c r="A751" s="22"/>
      <c r="B751" s="8"/>
      <c r="C751" s="62"/>
      <c r="D751" s="8"/>
      <c r="E751" s="8"/>
      <c r="J751" s="37"/>
    </row>
    <row r="752">
      <c r="A752" s="22"/>
      <c r="B752" s="8"/>
      <c r="C752" s="62"/>
      <c r="D752" s="8"/>
      <c r="E752" s="8"/>
      <c r="J752" s="37"/>
    </row>
    <row r="753">
      <c r="A753" s="22"/>
      <c r="B753" s="8"/>
      <c r="C753" s="62"/>
      <c r="D753" s="8"/>
      <c r="E753" s="8"/>
      <c r="J753" s="37"/>
    </row>
    <row r="754">
      <c r="A754" s="22"/>
      <c r="B754" s="8"/>
      <c r="C754" s="62"/>
      <c r="D754" s="8"/>
      <c r="E754" s="8"/>
      <c r="J754" s="37"/>
    </row>
    <row r="755">
      <c r="A755" s="22"/>
      <c r="B755" s="8"/>
      <c r="C755" s="62"/>
      <c r="D755" s="8"/>
      <c r="E755" s="8"/>
      <c r="J755" s="37"/>
    </row>
    <row r="756">
      <c r="A756" s="22"/>
      <c r="B756" s="8"/>
      <c r="C756" s="62"/>
      <c r="D756" s="8"/>
      <c r="E756" s="8"/>
      <c r="J756" s="37"/>
    </row>
    <row r="757">
      <c r="A757" s="22"/>
      <c r="B757" s="8"/>
      <c r="C757" s="62"/>
      <c r="D757" s="8"/>
      <c r="E757" s="8"/>
      <c r="J757" s="37"/>
    </row>
    <row r="758">
      <c r="A758" s="22"/>
      <c r="B758" s="8"/>
      <c r="C758" s="62"/>
      <c r="D758" s="8"/>
      <c r="E758" s="8"/>
      <c r="J758" s="37"/>
    </row>
    <row r="759">
      <c r="A759" s="22"/>
      <c r="B759" s="8"/>
      <c r="C759" s="62"/>
      <c r="D759" s="8"/>
      <c r="E759" s="8"/>
      <c r="J759" s="37"/>
    </row>
    <row r="760">
      <c r="A760" s="22"/>
      <c r="B760" s="8"/>
      <c r="C760" s="62"/>
      <c r="D760" s="8"/>
      <c r="E760" s="8"/>
      <c r="J760" s="37"/>
    </row>
    <row r="761">
      <c r="A761" s="22"/>
      <c r="B761" s="8"/>
      <c r="C761" s="62"/>
      <c r="D761" s="8"/>
      <c r="E761" s="8"/>
      <c r="J761" s="37"/>
    </row>
    <row r="762">
      <c r="A762" s="22"/>
      <c r="B762" s="8"/>
      <c r="C762" s="62"/>
      <c r="D762" s="8"/>
      <c r="E762" s="8"/>
      <c r="J762" s="37"/>
    </row>
    <row r="763">
      <c r="A763" s="22"/>
      <c r="B763" s="8"/>
      <c r="C763" s="62"/>
      <c r="D763" s="8"/>
      <c r="E763" s="8"/>
      <c r="J763" s="37"/>
    </row>
    <row r="764">
      <c r="A764" s="22"/>
      <c r="B764" s="8"/>
      <c r="C764" s="62"/>
      <c r="D764" s="8"/>
      <c r="E764" s="8"/>
      <c r="J764" s="37"/>
    </row>
    <row r="765">
      <c r="A765" s="22"/>
      <c r="B765" s="8"/>
      <c r="C765" s="62"/>
      <c r="D765" s="8"/>
      <c r="E765" s="8"/>
      <c r="J765" s="37"/>
    </row>
    <row r="766">
      <c r="A766" s="22"/>
      <c r="B766" s="8"/>
      <c r="C766" s="62"/>
      <c r="D766" s="8"/>
      <c r="E766" s="8"/>
      <c r="J766" s="37"/>
    </row>
    <row r="767">
      <c r="A767" s="22"/>
      <c r="B767" s="8"/>
      <c r="C767" s="62"/>
      <c r="D767" s="8"/>
      <c r="E767" s="8"/>
      <c r="J767" s="37"/>
    </row>
    <row r="768">
      <c r="A768" s="22"/>
      <c r="B768" s="8"/>
      <c r="C768" s="62"/>
      <c r="D768" s="8"/>
      <c r="E768" s="8"/>
      <c r="J768" s="37"/>
    </row>
    <row r="769">
      <c r="A769" s="22"/>
      <c r="B769" s="8"/>
      <c r="C769" s="62"/>
      <c r="D769" s="8"/>
      <c r="E769" s="8"/>
      <c r="J769" s="37"/>
    </row>
    <row r="770">
      <c r="A770" s="22"/>
      <c r="B770" s="8"/>
      <c r="C770" s="62"/>
      <c r="D770" s="8"/>
      <c r="E770" s="8"/>
      <c r="J770" s="37"/>
    </row>
    <row r="771">
      <c r="A771" s="22"/>
      <c r="B771" s="8"/>
      <c r="C771" s="62"/>
      <c r="D771" s="8"/>
      <c r="E771" s="8"/>
      <c r="J771" s="37"/>
    </row>
    <row r="772">
      <c r="A772" s="22"/>
      <c r="B772" s="8"/>
      <c r="C772" s="62"/>
      <c r="D772" s="8"/>
      <c r="E772" s="8"/>
      <c r="J772" s="37"/>
    </row>
    <row r="773">
      <c r="A773" s="22"/>
      <c r="B773" s="8"/>
      <c r="C773" s="62"/>
      <c r="D773" s="8"/>
      <c r="E773" s="8"/>
      <c r="J773" s="37"/>
    </row>
    <row r="774">
      <c r="A774" s="22"/>
      <c r="B774" s="8"/>
      <c r="C774" s="62"/>
      <c r="D774" s="8"/>
      <c r="E774" s="8"/>
      <c r="J774" s="37"/>
    </row>
    <row r="775">
      <c r="A775" s="22"/>
      <c r="B775" s="8"/>
      <c r="C775" s="62"/>
      <c r="D775" s="8"/>
      <c r="E775" s="8"/>
      <c r="J775" s="37"/>
    </row>
    <row r="776">
      <c r="A776" s="22"/>
      <c r="B776" s="8"/>
      <c r="C776" s="62"/>
      <c r="D776" s="8"/>
      <c r="E776" s="8"/>
      <c r="J776" s="37"/>
    </row>
    <row r="777">
      <c r="A777" s="22"/>
      <c r="B777" s="8"/>
      <c r="C777" s="62"/>
      <c r="D777" s="8"/>
      <c r="E777" s="8"/>
      <c r="J777" s="37"/>
    </row>
    <row r="778">
      <c r="A778" s="22"/>
      <c r="B778" s="8"/>
      <c r="C778" s="62"/>
      <c r="D778" s="8"/>
      <c r="E778" s="8"/>
      <c r="J778" s="37"/>
    </row>
    <row r="779">
      <c r="A779" s="22"/>
      <c r="B779" s="8"/>
      <c r="C779" s="62"/>
      <c r="D779" s="8"/>
      <c r="E779" s="8"/>
      <c r="J779" s="37"/>
    </row>
    <row r="780">
      <c r="A780" s="22"/>
      <c r="B780" s="8"/>
      <c r="C780" s="62"/>
      <c r="D780" s="8"/>
      <c r="E780" s="8"/>
      <c r="J780" s="37"/>
    </row>
    <row r="781">
      <c r="A781" s="22"/>
      <c r="B781" s="8"/>
      <c r="C781" s="62"/>
      <c r="D781" s="8"/>
      <c r="E781" s="8"/>
      <c r="J781" s="37"/>
    </row>
    <row r="782">
      <c r="A782" s="22"/>
      <c r="B782" s="8"/>
      <c r="C782" s="62"/>
      <c r="D782" s="8"/>
      <c r="E782" s="8"/>
      <c r="J782" s="37"/>
    </row>
    <row r="783">
      <c r="A783" s="22"/>
      <c r="B783" s="8"/>
      <c r="C783" s="62"/>
      <c r="D783" s="8"/>
      <c r="E783" s="8"/>
      <c r="J783" s="37"/>
    </row>
    <row r="784">
      <c r="A784" s="22"/>
      <c r="B784" s="8"/>
      <c r="C784" s="62"/>
      <c r="D784" s="8"/>
      <c r="E784" s="8"/>
      <c r="J784" s="37"/>
    </row>
    <row r="785">
      <c r="A785" s="22"/>
      <c r="B785" s="8"/>
      <c r="C785" s="62"/>
      <c r="D785" s="8"/>
      <c r="E785" s="8"/>
      <c r="J785" s="37"/>
    </row>
    <row r="786">
      <c r="A786" s="22"/>
      <c r="B786" s="8"/>
      <c r="C786" s="62"/>
      <c r="D786" s="8"/>
      <c r="E786" s="8"/>
      <c r="J786" s="37"/>
    </row>
    <row r="787">
      <c r="A787" s="22"/>
      <c r="B787" s="8"/>
      <c r="C787" s="62"/>
      <c r="D787" s="8"/>
      <c r="E787" s="8"/>
      <c r="J787" s="37"/>
    </row>
    <row r="788">
      <c r="A788" s="22"/>
      <c r="B788" s="8"/>
      <c r="C788" s="62"/>
      <c r="D788" s="8"/>
      <c r="E788" s="8"/>
      <c r="J788" s="37"/>
    </row>
    <row r="789">
      <c r="A789" s="22"/>
      <c r="B789" s="8"/>
      <c r="C789" s="62"/>
      <c r="D789" s="8"/>
      <c r="E789" s="8"/>
      <c r="J789" s="37"/>
    </row>
    <row r="790">
      <c r="A790" s="22"/>
      <c r="B790" s="8"/>
      <c r="C790" s="62"/>
      <c r="D790" s="8"/>
      <c r="E790" s="8"/>
      <c r="J790" s="37"/>
    </row>
    <row r="791">
      <c r="A791" s="22"/>
      <c r="B791" s="8"/>
      <c r="C791" s="62"/>
      <c r="D791" s="8"/>
      <c r="E791" s="8"/>
      <c r="J791" s="37"/>
    </row>
    <row r="792">
      <c r="A792" s="22"/>
      <c r="B792" s="8"/>
      <c r="C792" s="62"/>
      <c r="D792" s="8"/>
      <c r="E792" s="8"/>
      <c r="J792" s="37"/>
    </row>
    <row r="793">
      <c r="A793" s="22"/>
      <c r="B793" s="8"/>
      <c r="C793" s="62"/>
      <c r="D793" s="8"/>
      <c r="E793" s="8"/>
      <c r="J793" s="37"/>
    </row>
    <row r="794">
      <c r="A794" s="22"/>
      <c r="B794" s="8"/>
      <c r="C794" s="62"/>
      <c r="D794" s="8"/>
      <c r="E794" s="8"/>
      <c r="J794" s="37"/>
    </row>
    <row r="795">
      <c r="A795" s="22"/>
      <c r="B795" s="8"/>
      <c r="C795" s="62"/>
      <c r="D795" s="8"/>
      <c r="E795" s="8"/>
      <c r="J795" s="37"/>
    </row>
    <row r="796">
      <c r="A796" s="22"/>
      <c r="B796" s="8"/>
      <c r="C796" s="62"/>
      <c r="D796" s="8"/>
      <c r="E796" s="8"/>
      <c r="J796" s="37"/>
    </row>
    <row r="797">
      <c r="A797" s="22"/>
      <c r="B797" s="8"/>
      <c r="C797" s="62"/>
      <c r="D797" s="8"/>
      <c r="E797" s="8"/>
      <c r="J797" s="37"/>
    </row>
    <row r="798">
      <c r="A798" s="22"/>
      <c r="B798" s="8"/>
      <c r="C798" s="62"/>
      <c r="D798" s="8"/>
      <c r="E798" s="8"/>
      <c r="J798" s="37"/>
    </row>
    <row r="799">
      <c r="A799" s="22"/>
      <c r="B799" s="8"/>
      <c r="C799" s="62"/>
      <c r="D799" s="8"/>
      <c r="E799" s="8"/>
      <c r="J799" s="37"/>
    </row>
    <row r="800">
      <c r="A800" s="22"/>
      <c r="B800" s="8"/>
      <c r="C800" s="62"/>
      <c r="D800" s="8"/>
      <c r="E800" s="8"/>
      <c r="J800" s="37"/>
    </row>
    <row r="801">
      <c r="A801" s="22"/>
      <c r="B801" s="8"/>
      <c r="C801" s="62"/>
      <c r="D801" s="8"/>
      <c r="E801" s="8"/>
      <c r="J801" s="37"/>
    </row>
    <row r="802">
      <c r="A802" s="22"/>
      <c r="B802" s="8"/>
      <c r="C802" s="62"/>
      <c r="D802" s="8"/>
      <c r="E802" s="8"/>
      <c r="J802" s="37"/>
    </row>
    <row r="803">
      <c r="A803" s="22"/>
      <c r="B803" s="8"/>
      <c r="C803" s="62"/>
      <c r="D803" s="8"/>
      <c r="E803" s="8"/>
      <c r="J803" s="37"/>
    </row>
    <row r="804">
      <c r="A804" s="22"/>
      <c r="B804" s="8"/>
      <c r="C804" s="62"/>
      <c r="D804" s="8"/>
      <c r="E804" s="8"/>
      <c r="J804" s="37"/>
    </row>
    <row r="805">
      <c r="A805" s="22"/>
      <c r="B805" s="8"/>
      <c r="C805" s="62"/>
      <c r="D805" s="8"/>
      <c r="E805" s="8"/>
      <c r="J805" s="37"/>
    </row>
    <row r="806">
      <c r="A806" s="22"/>
      <c r="B806" s="8"/>
      <c r="C806" s="62"/>
      <c r="D806" s="8"/>
      <c r="E806" s="8"/>
      <c r="J806" s="37"/>
    </row>
    <row r="807">
      <c r="A807" s="22"/>
      <c r="B807" s="8"/>
      <c r="C807" s="62"/>
      <c r="D807" s="8"/>
      <c r="E807" s="8"/>
      <c r="J807" s="37"/>
    </row>
    <row r="808">
      <c r="A808" s="22"/>
      <c r="B808" s="8"/>
      <c r="C808" s="62"/>
      <c r="D808" s="8"/>
      <c r="E808" s="8"/>
      <c r="J808" s="37"/>
    </row>
    <row r="809">
      <c r="A809" s="22"/>
      <c r="B809" s="8"/>
      <c r="C809" s="62"/>
      <c r="D809" s="8"/>
      <c r="E809" s="8"/>
      <c r="J809" s="37"/>
    </row>
    <row r="810">
      <c r="A810" s="22"/>
      <c r="B810" s="8"/>
      <c r="C810" s="62"/>
      <c r="D810" s="8"/>
      <c r="E810" s="8"/>
      <c r="J810" s="37"/>
    </row>
    <row r="811">
      <c r="A811" s="22"/>
      <c r="B811" s="8"/>
      <c r="C811" s="62"/>
      <c r="D811" s="8"/>
      <c r="E811" s="8"/>
      <c r="J811" s="37"/>
    </row>
    <row r="812">
      <c r="A812" s="22"/>
      <c r="B812" s="8"/>
      <c r="C812" s="62"/>
      <c r="D812" s="8"/>
      <c r="E812" s="8"/>
      <c r="J812" s="37"/>
    </row>
    <row r="813">
      <c r="A813" s="22"/>
      <c r="B813" s="8"/>
      <c r="C813" s="62"/>
      <c r="D813" s="8"/>
      <c r="E813" s="8"/>
      <c r="J813" s="37"/>
    </row>
    <row r="814">
      <c r="A814" s="22"/>
      <c r="B814" s="8"/>
      <c r="C814" s="62"/>
      <c r="D814" s="8"/>
      <c r="E814" s="8"/>
      <c r="J814" s="37"/>
    </row>
    <row r="815">
      <c r="A815" s="22"/>
      <c r="B815" s="8"/>
      <c r="C815" s="62"/>
      <c r="D815" s="8"/>
      <c r="E815" s="8"/>
      <c r="J815" s="37"/>
    </row>
    <row r="816">
      <c r="A816" s="22"/>
      <c r="B816" s="8"/>
      <c r="C816" s="62"/>
      <c r="D816" s="8"/>
      <c r="E816" s="8"/>
      <c r="J816" s="37"/>
    </row>
    <row r="817">
      <c r="A817" s="22"/>
      <c r="B817" s="8"/>
      <c r="C817" s="62"/>
      <c r="D817" s="8"/>
      <c r="E817" s="8"/>
      <c r="J817" s="37"/>
    </row>
    <row r="818">
      <c r="A818" s="22"/>
      <c r="B818" s="8"/>
      <c r="C818" s="62"/>
      <c r="D818" s="8"/>
      <c r="E818" s="8"/>
      <c r="J818" s="37"/>
    </row>
    <row r="819">
      <c r="A819" s="22"/>
      <c r="B819" s="8"/>
      <c r="C819" s="62"/>
      <c r="D819" s="8"/>
      <c r="E819" s="8"/>
      <c r="J819" s="37"/>
    </row>
    <row r="820">
      <c r="A820" s="22"/>
      <c r="B820" s="8"/>
      <c r="C820" s="62"/>
      <c r="D820" s="8"/>
      <c r="E820" s="8"/>
      <c r="J820" s="37"/>
    </row>
    <row r="821">
      <c r="A821" s="22"/>
      <c r="B821" s="8"/>
      <c r="C821" s="62"/>
      <c r="D821" s="8"/>
      <c r="E821" s="8"/>
      <c r="J821" s="37"/>
    </row>
    <row r="822">
      <c r="A822" s="22"/>
      <c r="B822" s="8"/>
      <c r="C822" s="62"/>
      <c r="D822" s="8"/>
      <c r="E822" s="8"/>
      <c r="J822" s="37"/>
    </row>
    <row r="823">
      <c r="A823" s="22"/>
      <c r="B823" s="8"/>
      <c r="C823" s="62"/>
      <c r="D823" s="8"/>
      <c r="E823" s="8"/>
      <c r="J823" s="37"/>
    </row>
    <row r="824">
      <c r="A824" s="22"/>
      <c r="B824" s="8"/>
      <c r="C824" s="62"/>
      <c r="D824" s="8"/>
      <c r="E824" s="8"/>
      <c r="J824" s="37"/>
    </row>
    <row r="825">
      <c r="A825" s="22"/>
      <c r="B825" s="8"/>
      <c r="C825" s="62"/>
      <c r="D825" s="8"/>
      <c r="E825" s="8"/>
      <c r="J825" s="37"/>
    </row>
    <row r="826">
      <c r="A826" s="22"/>
      <c r="B826" s="8"/>
      <c r="C826" s="62"/>
      <c r="D826" s="8"/>
      <c r="E826" s="8"/>
      <c r="J826" s="37"/>
    </row>
    <row r="827">
      <c r="A827" s="22"/>
      <c r="B827" s="8"/>
      <c r="C827" s="62"/>
      <c r="D827" s="8"/>
      <c r="E827" s="8"/>
      <c r="J827" s="37"/>
    </row>
    <row r="828">
      <c r="A828" s="22"/>
      <c r="B828" s="8"/>
      <c r="C828" s="62"/>
      <c r="D828" s="8"/>
      <c r="E828" s="8"/>
      <c r="J828" s="37"/>
    </row>
    <row r="829">
      <c r="A829" s="22"/>
      <c r="B829" s="8"/>
      <c r="C829" s="62"/>
      <c r="D829" s="8"/>
      <c r="E829" s="8"/>
      <c r="J829" s="37"/>
    </row>
    <row r="830">
      <c r="A830" s="22"/>
      <c r="B830" s="8"/>
      <c r="C830" s="62"/>
      <c r="D830" s="8"/>
      <c r="E830" s="8"/>
      <c r="J830" s="37"/>
    </row>
    <row r="831">
      <c r="A831" s="22"/>
      <c r="B831" s="8"/>
      <c r="C831" s="62"/>
      <c r="D831" s="8"/>
      <c r="E831" s="8"/>
      <c r="J831" s="37"/>
    </row>
    <row r="832">
      <c r="A832" s="22"/>
      <c r="B832" s="8"/>
      <c r="C832" s="62"/>
      <c r="D832" s="8"/>
      <c r="E832" s="8"/>
      <c r="J832" s="37"/>
    </row>
    <row r="833">
      <c r="A833" s="22"/>
      <c r="B833" s="8"/>
      <c r="C833" s="62"/>
      <c r="D833" s="8"/>
      <c r="E833" s="8"/>
      <c r="J833" s="37"/>
    </row>
    <row r="834">
      <c r="A834" s="22"/>
      <c r="B834" s="8"/>
      <c r="C834" s="62"/>
      <c r="D834" s="8"/>
      <c r="E834" s="8"/>
      <c r="J834" s="37"/>
    </row>
    <row r="835">
      <c r="A835" s="22"/>
      <c r="B835" s="8"/>
      <c r="C835" s="62"/>
      <c r="D835" s="8"/>
      <c r="E835" s="8"/>
      <c r="J835" s="37"/>
    </row>
    <row r="836">
      <c r="A836" s="22"/>
      <c r="B836" s="8"/>
      <c r="C836" s="62"/>
      <c r="D836" s="8"/>
      <c r="E836" s="8"/>
      <c r="J836" s="37"/>
    </row>
    <row r="837">
      <c r="A837" s="22"/>
      <c r="B837" s="8"/>
      <c r="C837" s="62"/>
      <c r="D837" s="8"/>
      <c r="E837" s="8"/>
      <c r="J837" s="37"/>
    </row>
    <row r="838">
      <c r="A838" s="22"/>
      <c r="B838" s="8"/>
      <c r="C838" s="62"/>
      <c r="D838" s="8"/>
      <c r="E838" s="8"/>
      <c r="J838" s="37"/>
    </row>
    <row r="839">
      <c r="A839" s="22"/>
      <c r="B839" s="8"/>
      <c r="C839" s="62"/>
      <c r="D839" s="8"/>
      <c r="E839" s="8"/>
      <c r="J839" s="37"/>
    </row>
    <row r="840">
      <c r="A840" s="22"/>
      <c r="B840" s="8"/>
      <c r="C840" s="62"/>
      <c r="D840" s="8"/>
      <c r="E840" s="8"/>
      <c r="J840" s="37"/>
    </row>
    <row r="841">
      <c r="A841" s="22"/>
      <c r="B841" s="8"/>
      <c r="C841" s="62"/>
      <c r="D841" s="8"/>
      <c r="E841" s="8"/>
      <c r="J841" s="37"/>
    </row>
    <row r="842">
      <c r="A842" s="22"/>
      <c r="B842" s="8"/>
      <c r="C842" s="62"/>
      <c r="D842" s="8"/>
      <c r="E842" s="8"/>
      <c r="J842" s="37"/>
    </row>
    <row r="843">
      <c r="A843" s="22"/>
      <c r="B843" s="8"/>
      <c r="C843" s="62"/>
      <c r="D843" s="8"/>
      <c r="E843" s="8"/>
      <c r="J843" s="37"/>
    </row>
    <row r="844">
      <c r="A844" s="22"/>
      <c r="B844" s="8"/>
      <c r="C844" s="62"/>
      <c r="D844" s="8"/>
      <c r="E844" s="8"/>
      <c r="J844" s="37"/>
    </row>
    <row r="845">
      <c r="A845" s="22"/>
      <c r="B845" s="8"/>
      <c r="C845" s="62"/>
      <c r="D845" s="8"/>
      <c r="E845" s="8"/>
      <c r="J845" s="37"/>
    </row>
    <row r="846">
      <c r="A846" s="22"/>
      <c r="B846" s="8"/>
      <c r="C846" s="62"/>
      <c r="D846" s="8"/>
      <c r="E846" s="8"/>
      <c r="J846" s="37"/>
    </row>
    <row r="847">
      <c r="A847" s="22"/>
      <c r="B847" s="8"/>
      <c r="C847" s="62"/>
      <c r="D847" s="8"/>
      <c r="E847" s="8"/>
      <c r="J847" s="37"/>
    </row>
    <row r="848">
      <c r="A848" s="22"/>
      <c r="B848" s="8"/>
      <c r="C848" s="62"/>
      <c r="D848" s="8"/>
      <c r="E848" s="8"/>
      <c r="J848" s="37"/>
    </row>
    <row r="849">
      <c r="A849" s="22"/>
      <c r="B849" s="8"/>
      <c r="C849" s="62"/>
      <c r="D849" s="8"/>
      <c r="E849" s="8"/>
      <c r="J849" s="37"/>
    </row>
    <row r="850">
      <c r="A850" s="22"/>
      <c r="B850" s="8"/>
      <c r="C850" s="62"/>
      <c r="D850" s="8"/>
      <c r="E850" s="8"/>
      <c r="J850" s="37"/>
    </row>
    <row r="851">
      <c r="A851" s="22"/>
      <c r="B851" s="8"/>
      <c r="C851" s="62"/>
      <c r="D851" s="8"/>
      <c r="E851" s="8"/>
      <c r="J851" s="37"/>
    </row>
    <row r="852">
      <c r="A852" s="22"/>
      <c r="B852" s="8"/>
      <c r="C852" s="62"/>
      <c r="D852" s="8"/>
      <c r="E852" s="8"/>
      <c r="J852" s="37"/>
    </row>
    <row r="853">
      <c r="A853" s="22"/>
      <c r="B853" s="8"/>
      <c r="C853" s="62"/>
      <c r="D853" s="8"/>
      <c r="E853" s="8"/>
      <c r="J853" s="37"/>
    </row>
    <row r="854">
      <c r="A854" s="22"/>
      <c r="B854" s="8"/>
      <c r="C854" s="62"/>
      <c r="D854" s="8"/>
      <c r="E854" s="8"/>
      <c r="J854" s="37"/>
    </row>
    <row r="855">
      <c r="A855" s="22"/>
      <c r="B855" s="8"/>
      <c r="C855" s="62"/>
      <c r="D855" s="8"/>
      <c r="E855" s="8"/>
      <c r="J855" s="37"/>
    </row>
    <row r="856">
      <c r="A856" s="22"/>
      <c r="B856" s="8"/>
      <c r="C856" s="62"/>
      <c r="D856" s="8"/>
      <c r="E856" s="8"/>
      <c r="J856" s="37"/>
    </row>
    <row r="857">
      <c r="A857" s="22"/>
      <c r="B857" s="8"/>
      <c r="C857" s="62"/>
      <c r="D857" s="8"/>
      <c r="E857" s="8"/>
      <c r="J857" s="37"/>
    </row>
    <row r="858">
      <c r="A858" s="22"/>
      <c r="B858" s="8"/>
      <c r="C858" s="62"/>
      <c r="D858" s="8"/>
      <c r="E858" s="8"/>
      <c r="J858" s="37"/>
    </row>
    <row r="859">
      <c r="A859" s="22"/>
      <c r="B859" s="8"/>
      <c r="C859" s="62"/>
      <c r="D859" s="8"/>
      <c r="E859" s="8"/>
      <c r="J859" s="37"/>
    </row>
    <row r="860">
      <c r="A860" s="22"/>
      <c r="B860" s="8"/>
      <c r="C860" s="62"/>
      <c r="D860" s="8"/>
      <c r="E860" s="8"/>
      <c r="J860" s="37"/>
    </row>
    <row r="861">
      <c r="A861" s="22"/>
      <c r="B861" s="8"/>
      <c r="C861" s="62"/>
      <c r="D861" s="8"/>
      <c r="E861" s="8"/>
      <c r="J861" s="37"/>
    </row>
    <row r="862">
      <c r="A862" s="22"/>
      <c r="B862" s="8"/>
      <c r="C862" s="62"/>
      <c r="D862" s="8"/>
      <c r="E862" s="8"/>
      <c r="J862" s="37"/>
    </row>
    <row r="863">
      <c r="A863" s="22"/>
      <c r="B863" s="8"/>
      <c r="C863" s="62"/>
      <c r="D863" s="8"/>
      <c r="E863" s="8"/>
      <c r="J863" s="37"/>
    </row>
    <row r="864">
      <c r="A864" s="22"/>
      <c r="B864" s="8"/>
      <c r="C864" s="62"/>
      <c r="D864" s="8"/>
      <c r="E864" s="8"/>
      <c r="J864" s="37"/>
    </row>
    <row r="865">
      <c r="A865" s="22"/>
      <c r="B865" s="8"/>
      <c r="C865" s="62"/>
      <c r="D865" s="8"/>
      <c r="E865" s="8"/>
      <c r="J865" s="37"/>
    </row>
    <row r="866">
      <c r="A866" s="22"/>
      <c r="B866" s="8"/>
      <c r="C866" s="62"/>
      <c r="D866" s="8"/>
      <c r="E866" s="8"/>
      <c r="J866" s="37"/>
    </row>
    <row r="867">
      <c r="A867" s="22"/>
      <c r="B867" s="8"/>
      <c r="C867" s="62"/>
      <c r="D867" s="8"/>
      <c r="E867" s="8"/>
      <c r="J867" s="37"/>
    </row>
    <row r="868">
      <c r="A868" s="22"/>
      <c r="B868" s="8"/>
      <c r="C868" s="62"/>
      <c r="D868" s="8"/>
      <c r="E868" s="8"/>
      <c r="J868" s="37"/>
    </row>
    <row r="869">
      <c r="A869" s="22"/>
      <c r="B869" s="8"/>
      <c r="C869" s="62"/>
      <c r="D869" s="8"/>
      <c r="E869" s="8"/>
      <c r="J869" s="37"/>
    </row>
    <row r="870">
      <c r="A870" s="22"/>
      <c r="B870" s="8"/>
      <c r="C870" s="62"/>
      <c r="D870" s="8"/>
      <c r="E870" s="8"/>
      <c r="J870" s="37"/>
    </row>
    <row r="871">
      <c r="A871" s="22"/>
      <c r="B871" s="8"/>
      <c r="C871" s="62"/>
      <c r="D871" s="8"/>
      <c r="E871" s="8"/>
      <c r="J871" s="37"/>
    </row>
    <row r="872">
      <c r="A872" s="22"/>
      <c r="B872" s="8"/>
      <c r="C872" s="62"/>
      <c r="D872" s="8"/>
      <c r="E872" s="8"/>
      <c r="J872" s="37"/>
    </row>
    <row r="873">
      <c r="A873" s="22"/>
      <c r="B873" s="8"/>
      <c r="C873" s="62"/>
      <c r="D873" s="8"/>
      <c r="E873" s="8"/>
      <c r="J873" s="37"/>
    </row>
    <row r="874">
      <c r="A874" s="22"/>
      <c r="B874" s="8"/>
      <c r="C874" s="62"/>
      <c r="D874" s="8"/>
      <c r="E874" s="8"/>
      <c r="J874" s="37"/>
    </row>
    <row r="875">
      <c r="A875" s="22"/>
      <c r="B875" s="8"/>
      <c r="C875" s="62"/>
      <c r="D875" s="8"/>
      <c r="E875" s="8"/>
      <c r="J875" s="37"/>
    </row>
    <row r="876">
      <c r="A876" s="22"/>
      <c r="B876" s="8"/>
      <c r="C876" s="62"/>
      <c r="D876" s="8"/>
      <c r="E876" s="8"/>
      <c r="J876" s="37"/>
    </row>
    <row r="877">
      <c r="A877" s="22"/>
      <c r="B877" s="8"/>
      <c r="C877" s="62"/>
      <c r="D877" s="8"/>
      <c r="E877" s="8"/>
      <c r="J877" s="37"/>
    </row>
    <row r="878">
      <c r="A878" s="22"/>
      <c r="B878" s="8"/>
      <c r="C878" s="62"/>
      <c r="D878" s="8"/>
      <c r="E878" s="8"/>
      <c r="J878" s="37"/>
    </row>
    <row r="879">
      <c r="A879" s="22"/>
      <c r="B879" s="8"/>
      <c r="C879" s="62"/>
      <c r="D879" s="8"/>
      <c r="E879" s="8"/>
      <c r="J879" s="37"/>
    </row>
    <row r="880">
      <c r="A880" s="22"/>
      <c r="B880" s="8"/>
      <c r="C880" s="62"/>
      <c r="D880" s="8"/>
      <c r="E880" s="8"/>
      <c r="J880" s="37"/>
    </row>
    <row r="881">
      <c r="A881" s="22"/>
      <c r="B881" s="8"/>
      <c r="C881" s="62"/>
      <c r="D881" s="8"/>
      <c r="E881" s="8"/>
      <c r="J881" s="37"/>
    </row>
    <row r="882">
      <c r="A882" s="22"/>
      <c r="B882" s="8"/>
      <c r="C882" s="62"/>
      <c r="D882" s="8"/>
      <c r="E882" s="8"/>
      <c r="J882" s="37"/>
    </row>
    <row r="883">
      <c r="A883" s="22"/>
      <c r="B883" s="8"/>
      <c r="C883" s="62"/>
      <c r="D883" s="8"/>
      <c r="E883" s="8"/>
      <c r="J883" s="37"/>
    </row>
    <row r="884">
      <c r="A884" s="22"/>
      <c r="B884" s="8"/>
      <c r="C884" s="62"/>
      <c r="D884" s="8"/>
      <c r="E884" s="8"/>
      <c r="J884" s="37"/>
    </row>
    <row r="885">
      <c r="A885" s="22"/>
      <c r="B885" s="8"/>
      <c r="C885" s="62"/>
      <c r="D885" s="8"/>
      <c r="E885" s="8"/>
      <c r="J885" s="37"/>
    </row>
    <row r="886">
      <c r="A886" s="22"/>
      <c r="B886" s="8"/>
      <c r="C886" s="62"/>
      <c r="D886" s="8"/>
      <c r="E886" s="8"/>
      <c r="J886" s="37"/>
    </row>
    <row r="887">
      <c r="A887" s="22"/>
      <c r="B887" s="8"/>
      <c r="C887" s="62"/>
      <c r="D887" s="8"/>
      <c r="E887" s="8"/>
      <c r="J887" s="37"/>
    </row>
    <row r="888">
      <c r="A888" s="22"/>
      <c r="B888" s="8"/>
      <c r="C888" s="62"/>
      <c r="D888" s="8"/>
      <c r="E888" s="8"/>
      <c r="J888" s="37"/>
    </row>
    <row r="889">
      <c r="A889" s="22"/>
      <c r="B889" s="8"/>
      <c r="C889" s="62"/>
      <c r="D889" s="8"/>
      <c r="E889" s="8"/>
      <c r="J889" s="37"/>
    </row>
    <row r="890">
      <c r="A890" s="22"/>
      <c r="B890" s="8"/>
      <c r="C890" s="62"/>
      <c r="D890" s="8"/>
      <c r="E890" s="8"/>
      <c r="J890" s="37"/>
    </row>
    <row r="891">
      <c r="A891" s="22"/>
      <c r="B891" s="8"/>
      <c r="C891" s="62"/>
      <c r="D891" s="8"/>
      <c r="E891" s="8"/>
      <c r="J891" s="37"/>
    </row>
    <row r="892">
      <c r="A892" s="22"/>
      <c r="B892" s="8"/>
      <c r="C892" s="62"/>
      <c r="D892" s="8"/>
      <c r="E892" s="8"/>
      <c r="J892" s="37"/>
    </row>
    <row r="893">
      <c r="A893" s="22"/>
      <c r="B893" s="8"/>
      <c r="C893" s="62"/>
      <c r="D893" s="8"/>
      <c r="E893" s="8"/>
      <c r="J893" s="37"/>
    </row>
    <row r="894">
      <c r="A894" s="22"/>
      <c r="B894" s="8"/>
      <c r="C894" s="62"/>
      <c r="D894" s="8"/>
      <c r="E894" s="8"/>
      <c r="J894" s="37"/>
    </row>
    <row r="895">
      <c r="A895" s="22"/>
      <c r="B895" s="8"/>
      <c r="C895" s="62"/>
      <c r="D895" s="8"/>
      <c r="E895" s="8"/>
      <c r="J895" s="37"/>
    </row>
    <row r="896">
      <c r="A896" s="22"/>
      <c r="B896" s="8"/>
      <c r="C896" s="62"/>
      <c r="D896" s="8"/>
      <c r="E896" s="8"/>
      <c r="J896" s="37"/>
    </row>
    <row r="897">
      <c r="A897" s="22"/>
      <c r="B897" s="8"/>
      <c r="C897" s="62"/>
      <c r="D897" s="8"/>
      <c r="E897" s="8"/>
      <c r="J897" s="37"/>
    </row>
    <row r="898">
      <c r="A898" s="22"/>
      <c r="B898" s="8"/>
      <c r="C898" s="62"/>
      <c r="D898" s="8"/>
      <c r="E898" s="8"/>
      <c r="J898" s="37"/>
    </row>
    <row r="899">
      <c r="A899" s="22"/>
      <c r="B899" s="8"/>
      <c r="C899" s="62"/>
      <c r="D899" s="8"/>
      <c r="E899" s="8"/>
      <c r="J899" s="37"/>
    </row>
    <row r="900">
      <c r="A900" s="22"/>
      <c r="B900" s="8"/>
      <c r="C900" s="62"/>
      <c r="D900" s="8"/>
      <c r="E900" s="8"/>
      <c r="J900" s="37"/>
    </row>
    <row r="901">
      <c r="A901" s="22"/>
      <c r="B901" s="8"/>
      <c r="C901" s="62"/>
      <c r="D901" s="8"/>
      <c r="E901" s="8"/>
      <c r="J901" s="37"/>
    </row>
    <row r="902">
      <c r="A902" s="22"/>
      <c r="B902" s="8"/>
      <c r="C902" s="62"/>
      <c r="D902" s="8"/>
      <c r="E902" s="8"/>
      <c r="J902" s="37"/>
    </row>
    <row r="903">
      <c r="A903" s="22"/>
      <c r="B903" s="8"/>
      <c r="C903" s="62"/>
      <c r="D903" s="8"/>
      <c r="E903" s="8"/>
      <c r="J903" s="37"/>
    </row>
    <row r="904">
      <c r="A904" s="22"/>
      <c r="B904" s="8"/>
      <c r="C904" s="62"/>
      <c r="D904" s="8"/>
      <c r="E904" s="8"/>
      <c r="J904" s="37"/>
    </row>
    <row r="905">
      <c r="A905" s="22"/>
      <c r="B905" s="8"/>
      <c r="C905" s="62"/>
      <c r="D905" s="8"/>
      <c r="E905" s="8"/>
      <c r="J905" s="37"/>
    </row>
    <row r="906">
      <c r="A906" s="22"/>
      <c r="B906" s="8"/>
      <c r="C906" s="62"/>
      <c r="D906" s="8"/>
      <c r="E906" s="8"/>
      <c r="J906" s="37"/>
    </row>
    <row r="907">
      <c r="A907" s="22"/>
      <c r="B907" s="8"/>
      <c r="C907" s="62"/>
      <c r="D907" s="8"/>
      <c r="E907" s="8"/>
      <c r="J907" s="37"/>
    </row>
    <row r="908">
      <c r="A908" s="22"/>
      <c r="B908" s="8"/>
      <c r="C908" s="62"/>
      <c r="D908" s="8"/>
      <c r="E908" s="8"/>
      <c r="J908" s="37"/>
    </row>
    <row r="909">
      <c r="A909" s="22"/>
      <c r="B909" s="8"/>
      <c r="C909" s="62"/>
      <c r="D909" s="8"/>
      <c r="E909" s="8"/>
      <c r="J909" s="37"/>
    </row>
    <row r="910">
      <c r="A910" s="22"/>
      <c r="B910" s="8"/>
      <c r="C910" s="62"/>
      <c r="D910" s="8"/>
      <c r="E910" s="8"/>
      <c r="J910" s="37"/>
    </row>
    <row r="911">
      <c r="A911" s="22"/>
      <c r="B911" s="8"/>
      <c r="C911" s="62"/>
      <c r="D911" s="8"/>
      <c r="E911" s="8"/>
      <c r="J911" s="37"/>
    </row>
    <row r="912">
      <c r="A912" s="22"/>
      <c r="B912" s="8"/>
      <c r="C912" s="62"/>
      <c r="D912" s="8"/>
      <c r="E912" s="8"/>
      <c r="J912" s="37"/>
    </row>
    <row r="913">
      <c r="A913" s="22"/>
      <c r="B913" s="8"/>
      <c r="C913" s="62"/>
      <c r="D913" s="8"/>
      <c r="E913" s="8"/>
      <c r="J913" s="37"/>
    </row>
    <row r="914">
      <c r="A914" s="22"/>
      <c r="B914" s="8"/>
      <c r="C914" s="62"/>
      <c r="D914" s="8"/>
      <c r="E914" s="8"/>
      <c r="J914" s="37"/>
    </row>
    <row r="915">
      <c r="A915" s="22"/>
      <c r="B915" s="8"/>
      <c r="C915" s="62"/>
      <c r="D915" s="8"/>
      <c r="E915" s="8"/>
      <c r="J915" s="37"/>
    </row>
    <row r="916">
      <c r="A916" s="22"/>
      <c r="B916" s="8"/>
      <c r="C916" s="62"/>
      <c r="D916" s="8"/>
      <c r="E916" s="8"/>
      <c r="J916" s="37"/>
    </row>
    <row r="917">
      <c r="A917" s="22"/>
      <c r="B917" s="8"/>
      <c r="C917" s="62"/>
      <c r="D917" s="8"/>
      <c r="E917" s="8"/>
      <c r="J917" s="37"/>
    </row>
    <row r="918">
      <c r="A918" s="22"/>
      <c r="B918" s="8"/>
      <c r="C918" s="62"/>
      <c r="D918" s="8"/>
      <c r="E918" s="8"/>
      <c r="J918" s="37"/>
    </row>
    <row r="919">
      <c r="A919" s="22"/>
      <c r="B919" s="8"/>
      <c r="C919" s="62"/>
      <c r="D919" s="8"/>
      <c r="E919" s="8"/>
      <c r="J919" s="37"/>
    </row>
    <row r="920">
      <c r="A920" s="22"/>
      <c r="B920" s="8"/>
      <c r="C920" s="62"/>
      <c r="D920" s="8"/>
      <c r="E920" s="8"/>
      <c r="J920" s="37"/>
    </row>
    <row r="921">
      <c r="A921" s="22"/>
      <c r="B921" s="8"/>
      <c r="C921" s="62"/>
      <c r="D921" s="8"/>
      <c r="E921" s="8"/>
      <c r="J921" s="37"/>
    </row>
    <row r="922">
      <c r="A922" s="22"/>
      <c r="B922" s="8"/>
      <c r="C922" s="62"/>
      <c r="D922" s="8"/>
      <c r="E922" s="8"/>
      <c r="J922" s="37"/>
    </row>
    <row r="923">
      <c r="A923" s="22"/>
      <c r="B923" s="8"/>
      <c r="C923" s="62"/>
      <c r="D923" s="8"/>
      <c r="E923" s="8"/>
      <c r="J923" s="37"/>
    </row>
    <row r="924">
      <c r="A924" s="22"/>
      <c r="B924" s="8"/>
      <c r="C924" s="62"/>
      <c r="D924" s="8"/>
      <c r="E924" s="8"/>
      <c r="J924" s="37"/>
    </row>
    <row r="925">
      <c r="A925" s="22"/>
      <c r="B925" s="8"/>
      <c r="C925" s="62"/>
      <c r="D925" s="8"/>
      <c r="E925" s="8"/>
      <c r="J925" s="37"/>
    </row>
    <row r="926">
      <c r="A926" s="22"/>
      <c r="B926" s="8"/>
      <c r="C926" s="62"/>
      <c r="D926" s="8"/>
      <c r="E926" s="8"/>
      <c r="J926" s="37"/>
    </row>
    <row r="927">
      <c r="A927" s="22"/>
      <c r="B927" s="8"/>
      <c r="C927" s="62"/>
      <c r="D927" s="8"/>
      <c r="E927" s="8"/>
      <c r="J927" s="37"/>
    </row>
    <row r="928">
      <c r="A928" s="22"/>
      <c r="B928" s="8"/>
      <c r="C928" s="62"/>
      <c r="D928" s="8"/>
      <c r="E928" s="8"/>
      <c r="J928" s="37"/>
    </row>
    <row r="929">
      <c r="A929" s="22"/>
      <c r="B929" s="8"/>
      <c r="C929" s="62"/>
      <c r="D929" s="8"/>
      <c r="E929" s="8"/>
      <c r="J929" s="37"/>
    </row>
    <row r="930">
      <c r="A930" s="22"/>
      <c r="B930" s="8"/>
      <c r="C930" s="62"/>
      <c r="D930" s="8"/>
      <c r="E930" s="8"/>
      <c r="J930" s="37"/>
    </row>
    <row r="931">
      <c r="A931" s="22"/>
      <c r="B931" s="8"/>
      <c r="C931" s="62"/>
      <c r="D931" s="8"/>
      <c r="E931" s="8"/>
      <c r="J931" s="37"/>
    </row>
    <row r="932">
      <c r="A932" s="22"/>
      <c r="B932" s="8"/>
      <c r="C932" s="62"/>
      <c r="D932" s="8"/>
      <c r="E932" s="8"/>
      <c r="J932" s="37"/>
    </row>
    <row r="933">
      <c r="A933" s="22"/>
      <c r="B933" s="8"/>
      <c r="C933" s="62"/>
      <c r="D933" s="8"/>
      <c r="E933" s="8"/>
      <c r="J933" s="37"/>
    </row>
    <row r="934">
      <c r="A934" s="22"/>
      <c r="B934" s="8"/>
      <c r="C934" s="62"/>
      <c r="D934" s="8"/>
      <c r="E934" s="8"/>
      <c r="J934" s="37"/>
    </row>
    <row r="935">
      <c r="A935" s="22"/>
      <c r="B935" s="8"/>
      <c r="C935" s="62"/>
      <c r="D935" s="8"/>
      <c r="E935" s="8"/>
      <c r="J935" s="37"/>
    </row>
    <row r="936">
      <c r="A936" s="22"/>
      <c r="B936" s="8"/>
      <c r="C936" s="62"/>
      <c r="D936" s="8"/>
      <c r="E936" s="8"/>
      <c r="J936" s="37"/>
    </row>
    <row r="937">
      <c r="A937" s="22"/>
      <c r="B937" s="8"/>
      <c r="C937" s="62"/>
      <c r="D937" s="8"/>
      <c r="E937" s="8"/>
      <c r="J937" s="37"/>
    </row>
    <row r="938">
      <c r="A938" s="22"/>
      <c r="B938" s="8"/>
      <c r="C938" s="62"/>
      <c r="D938" s="8"/>
      <c r="E938" s="8"/>
      <c r="J938" s="37"/>
    </row>
    <row r="939">
      <c r="A939" s="22"/>
      <c r="B939" s="8"/>
      <c r="C939" s="62"/>
      <c r="D939" s="8"/>
      <c r="E939" s="8"/>
      <c r="J939" s="37"/>
    </row>
    <row r="940">
      <c r="A940" s="22"/>
      <c r="B940" s="8"/>
      <c r="C940" s="62"/>
      <c r="D940" s="8"/>
      <c r="E940" s="8"/>
      <c r="J940" s="37"/>
    </row>
    <row r="941">
      <c r="A941" s="22"/>
      <c r="B941" s="8"/>
      <c r="C941" s="62"/>
      <c r="D941" s="8"/>
      <c r="E941" s="8"/>
      <c r="J941" s="37"/>
    </row>
    <row r="942">
      <c r="A942" s="22"/>
      <c r="B942" s="8"/>
      <c r="C942" s="62"/>
      <c r="D942" s="8"/>
      <c r="E942" s="8"/>
      <c r="J942" s="37"/>
    </row>
    <row r="943">
      <c r="A943" s="22"/>
      <c r="B943" s="8"/>
      <c r="C943" s="62"/>
      <c r="D943" s="8"/>
      <c r="E943" s="8"/>
      <c r="J943" s="37"/>
    </row>
    <row r="944">
      <c r="A944" s="22"/>
      <c r="B944" s="8"/>
      <c r="C944" s="62"/>
      <c r="D944" s="8"/>
      <c r="E944" s="8"/>
      <c r="J944" s="37"/>
    </row>
    <row r="945">
      <c r="A945" s="22"/>
      <c r="B945" s="8"/>
      <c r="C945" s="62"/>
      <c r="D945" s="8"/>
      <c r="E945" s="8"/>
      <c r="J945" s="37"/>
    </row>
    <row r="946">
      <c r="A946" s="22"/>
      <c r="B946" s="8"/>
      <c r="C946" s="62"/>
      <c r="D946" s="8"/>
      <c r="E946" s="8"/>
      <c r="J946" s="37"/>
    </row>
    <row r="947">
      <c r="A947" s="22"/>
      <c r="B947" s="8"/>
      <c r="C947" s="62"/>
      <c r="D947" s="8"/>
      <c r="E947" s="8"/>
      <c r="J947" s="37"/>
    </row>
    <row r="948">
      <c r="A948" s="22"/>
      <c r="B948" s="8"/>
      <c r="C948" s="62"/>
      <c r="D948" s="8"/>
      <c r="E948" s="8"/>
      <c r="J948" s="37"/>
    </row>
    <row r="949">
      <c r="A949" s="22"/>
      <c r="B949" s="8"/>
      <c r="C949" s="62"/>
      <c r="D949" s="8"/>
      <c r="E949" s="8"/>
      <c r="J949" s="37"/>
    </row>
    <row r="950">
      <c r="A950" s="22"/>
      <c r="B950" s="8"/>
      <c r="C950" s="62"/>
      <c r="D950" s="8"/>
      <c r="E950" s="8"/>
      <c r="J950" s="37"/>
    </row>
    <row r="951">
      <c r="A951" s="22"/>
      <c r="B951" s="8"/>
      <c r="C951" s="62"/>
      <c r="D951" s="8"/>
      <c r="E951" s="8"/>
      <c r="J951" s="37"/>
    </row>
    <row r="952">
      <c r="A952" s="22"/>
      <c r="B952" s="8"/>
      <c r="C952" s="62"/>
      <c r="D952" s="8"/>
      <c r="E952" s="8"/>
      <c r="J952" s="37"/>
    </row>
    <row r="953">
      <c r="A953" s="22"/>
      <c r="B953" s="8"/>
      <c r="C953" s="62"/>
      <c r="D953" s="8"/>
      <c r="E953" s="8"/>
      <c r="J953" s="37"/>
    </row>
    <row r="954">
      <c r="A954" s="22"/>
      <c r="B954" s="8"/>
      <c r="C954" s="62"/>
      <c r="D954" s="8"/>
      <c r="E954" s="8"/>
      <c r="J954" s="37"/>
    </row>
    <row r="955">
      <c r="A955" s="22"/>
      <c r="B955" s="8"/>
      <c r="C955" s="62"/>
      <c r="D955" s="8"/>
      <c r="E955" s="8"/>
      <c r="J955" s="37"/>
    </row>
    <row r="956">
      <c r="A956" s="22"/>
      <c r="B956" s="8"/>
      <c r="C956" s="62"/>
      <c r="D956" s="8"/>
      <c r="E956" s="8"/>
      <c r="J956" s="37"/>
    </row>
    <row r="957">
      <c r="A957" s="22"/>
      <c r="B957" s="8"/>
      <c r="C957" s="62"/>
      <c r="D957" s="8"/>
      <c r="E957" s="8"/>
      <c r="J957" s="37"/>
    </row>
    <row r="958">
      <c r="A958" s="22"/>
      <c r="B958" s="8"/>
      <c r="C958" s="62"/>
      <c r="D958" s="8"/>
      <c r="E958" s="8"/>
      <c r="J958" s="37"/>
    </row>
    <row r="959">
      <c r="A959" s="22"/>
      <c r="B959" s="8"/>
      <c r="C959" s="62"/>
      <c r="D959" s="8"/>
      <c r="E959" s="8"/>
      <c r="J959" s="37"/>
    </row>
    <row r="960">
      <c r="A960" s="22"/>
      <c r="B960" s="8"/>
      <c r="C960" s="62"/>
      <c r="D960" s="8"/>
      <c r="E960" s="8"/>
      <c r="J960" s="37"/>
    </row>
    <row r="961">
      <c r="A961" s="22"/>
      <c r="B961" s="8"/>
      <c r="C961" s="62"/>
      <c r="D961" s="8"/>
      <c r="E961" s="8"/>
      <c r="J961" s="37"/>
    </row>
    <row r="962">
      <c r="A962" s="22"/>
      <c r="B962" s="8"/>
      <c r="C962" s="62"/>
      <c r="D962" s="8"/>
      <c r="E962" s="8"/>
      <c r="J962" s="37"/>
    </row>
    <row r="963">
      <c r="A963" s="22"/>
      <c r="B963" s="8"/>
      <c r="C963" s="62"/>
      <c r="D963" s="8"/>
      <c r="E963" s="8"/>
      <c r="J963" s="37"/>
    </row>
    <row r="964">
      <c r="A964" s="22"/>
      <c r="B964" s="8"/>
      <c r="C964" s="62"/>
      <c r="D964" s="8"/>
      <c r="E964" s="8"/>
      <c r="J964" s="37"/>
    </row>
    <row r="965">
      <c r="A965" s="22"/>
      <c r="B965" s="8"/>
      <c r="C965" s="62"/>
      <c r="D965" s="8"/>
      <c r="E965" s="8"/>
      <c r="J965" s="37"/>
    </row>
    <row r="966">
      <c r="A966" s="22"/>
      <c r="B966" s="8"/>
      <c r="C966" s="62"/>
      <c r="D966" s="8"/>
      <c r="E966" s="8"/>
      <c r="J966" s="37"/>
    </row>
    <row r="967">
      <c r="A967" s="22"/>
      <c r="B967" s="8"/>
      <c r="C967" s="62"/>
      <c r="D967" s="8"/>
      <c r="E967" s="8"/>
      <c r="J967" s="37"/>
    </row>
    <row r="968">
      <c r="A968" s="22"/>
      <c r="B968" s="8"/>
      <c r="C968" s="62"/>
      <c r="D968" s="8"/>
      <c r="E968" s="8"/>
      <c r="J968" s="37"/>
    </row>
    <row r="969">
      <c r="A969" s="22"/>
      <c r="B969" s="8"/>
      <c r="C969" s="62"/>
      <c r="D969" s="8"/>
      <c r="E969" s="8"/>
      <c r="J969" s="37"/>
    </row>
    <row r="970">
      <c r="A970" s="22"/>
      <c r="B970" s="8"/>
      <c r="C970" s="62"/>
      <c r="D970" s="8"/>
      <c r="E970" s="8"/>
      <c r="J970" s="37"/>
    </row>
    <row r="971">
      <c r="A971" s="22"/>
      <c r="B971" s="8"/>
      <c r="C971" s="62"/>
      <c r="D971" s="8"/>
      <c r="E971" s="8"/>
      <c r="J971" s="37"/>
    </row>
    <row r="972">
      <c r="A972" s="22"/>
      <c r="B972" s="8"/>
      <c r="C972" s="62"/>
      <c r="D972" s="8"/>
      <c r="E972" s="8"/>
      <c r="J972" s="37"/>
    </row>
    <row r="973">
      <c r="A973" s="22"/>
      <c r="B973" s="8"/>
      <c r="C973" s="62"/>
      <c r="D973" s="8"/>
      <c r="E973" s="8"/>
      <c r="J973" s="37"/>
    </row>
    <row r="974">
      <c r="A974" s="22"/>
      <c r="B974" s="8"/>
      <c r="C974" s="62"/>
      <c r="D974" s="8"/>
      <c r="E974" s="8"/>
      <c r="J974" s="37"/>
    </row>
    <row r="975">
      <c r="A975" s="22"/>
      <c r="B975" s="8"/>
      <c r="C975" s="62"/>
      <c r="D975" s="8"/>
      <c r="E975" s="8"/>
      <c r="J975" s="37"/>
    </row>
    <row r="976">
      <c r="A976" s="22"/>
      <c r="B976" s="8"/>
      <c r="C976" s="62"/>
      <c r="D976" s="8"/>
      <c r="E976" s="8"/>
      <c r="J976" s="37"/>
    </row>
    <row r="977">
      <c r="A977" s="22"/>
      <c r="B977" s="8"/>
      <c r="C977" s="62"/>
      <c r="D977" s="8"/>
      <c r="E977" s="8"/>
      <c r="J977" s="37"/>
    </row>
    <row r="978">
      <c r="A978" s="22"/>
      <c r="B978" s="8"/>
      <c r="C978" s="62"/>
      <c r="D978" s="8"/>
      <c r="E978" s="8"/>
      <c r="J978" s="37"/>
    </row>
    <row r="979">
      <c r="A979" s="22"/>
      <c r="B979" s="8"/>
      <c r="C979" s="62"/>
      <c r="D979" s="8"/>
      <c r="E979" s="8"/>
      <c r="J979" s="37"/>
    </row>
    <row r="980">
      <c r="A980" s="22"/>
      <c r="B980" s="8"/>
      <c r="C980" s="62"/>
      <c r="D980" s="8"/>
      <c r="E980" s="8"/>
      <c r="J980" s="37"/>
    </row>
    <row r="981">
      <c r="A981" s="22"/>
      <c r="B981" s="8"/>
      <c r="C981" s="62"/>
      <c r="D981" s="8"/>
      <c r="E981" s="8"/>
      <c r="J981" s="37"/>
    </row>
    <row r="982">
      <c r="A982" s="22"/>
      <c r="B982" s="8"/>
      <c r="C982" s="62"/>
      <c r="D982" s="8"/>
      <c r="E982" s="8"/>
      <c r="J982" s="37"/>
    </row>
    <row r="983">
      <c r="A983" s="22"/>
      <c r="B983" s="8"/>
      <c r="C983" s="62"/>
      <c r="D983" s="8"/>
      <c r="E983" s="8"/>
      <c r="J983" s="37"/>
    </row>
    <row r="984">
      <c r="A984" s="22"/>
      <c r="B984" s="8"/>
      <c r="C984" s="62"/>
      <c r="D984" s="8"/>
      <c r="E984" s="8"/>
      <c r="J984" s="37"/>
    </row>
    <row r="985">
      <c r="A985" s="22"/>
      <c r="B985" s="8"/>
      <c r="C985" s="62"/>
      <c r="D985" s="8"/>
      <c r="E985" s="8"/>
      <c r="J985" s="37"/>
    </row>
    <row r="986">
      <c r="A986" s="22"/>
      <c r="B986" s="8"/>
      <c r="C986" s="62"/>
      <c r="D986" s="8"/>
      <c r="E986" s="8"/>
      <c r="J986" s="37"/>
    </row>
    <row r="987">
      <c r="A987" s="22"/>
      <c r="B987" s="8"/>
      <c r="C987" s="62"/>
      <c r="D987" s="8"/>
      <c r="E987" s="8"/>
      <c r="J987" s="37"/>
    </row>
    <row r="988">
      <c r="A988" s="22"/>
      <c r="B988" s="8"/>
      <c r="C988" s="62"/>
      <c r="D988" s="8"/>
      <c r="E988" s="8"/>
      <c r="J988" s="37"/>
    </row>
    <row r="989">
      <c r="A989" s="22"/>
      <c r="B989" s="8"/>
      <c r="C989" s="62"/>
      <c r="D989" s="8"/>
      <c r="E989" s="8"/>
      <c r="J989" s="37"/>
    </row>
    <row r="990">
      <c r="A990" s="22"/>
      <c r="B990" s="8"/>
      <c r="C990" s="62"/>
      <c r="D990" s="8"/>
      <c r="E990" s="8"/>
      <c r="J990" s="37"/>
    </row>
    <row r="991">
      <c r="A991" s="22"/>
      <c r="B991" s="8"/>
      <c r="C991" s="62"/>
      <c r="D991" s="8"/>
      <c r="E991" s="8"/>
      <c r="J991" s="37"/>
    </row>
    <row r="992">
      <c r="A992" s="22"/>
      <c r="B992" s="8"/>
      <c r="C992" s="62"/>
      <c r="D992" s="8"/>
      <c r="E992" s="8"/>
      <c r="J992" s="37"/>
    </row>
    <row r="993">
      <c r="A993" s="22"/>
      <c r="B993" s="8"/>
      <c r="C993" s="62"/>
      <c r="D993" s="8"/>
      <c r="E993" s="8"/>
      <c r="J993" s="37"/>
    </row>
    <row r="994">
      <c r="A994" s="22"/>
      <c r="B994" s="8"/>
      <c r="C994" s="62"/>
      <c r="D994" s="8"/>
      <c r="E994" s="8"/>
      <c r="J994" s="37"/>
    </row>
    <row r="995">
      <c r="A995" s="22"/>
      <c r="B995" s="8"/>
      <c r="C995" s="62"/>
      <c r="D995" s="8"/>
      <c r="E995" s="8"/>
      <c r="J995" s="37"/>
    </row>
    <row r="996">
      <c r="A996" s="22"/>
      <c r="B996" s="8"/>
      <c r="C996" s="62"/>
      <c r="D996" s="8"/>
      <c r="E996" s="8"/>
      <c r="J996" s="37"/>
    </row>
    <row r="997">
      <c r="A997" s="22"/>
      <c r="B997" s="8"/>
      <c r="C997" s="62"/>
      <c r="D997" s="8"/>
      <c r="E997" s="8"/>
      <c r="J997" s="37"/>
    </row>
    <row r="998">
      <c r="A998" s="22"/>
      <c r="B998" s="8"/>
      <c r="C998" s="62"/>
      <c r="D998" s="8"/>
      <c r="E998" s="8"/>
      <c r="J998" s="37"/>
    </row>
    <row r="999">
      <c r="A999" s="22"/>
      <c r="B999" s="8"/>
      <c r="C999" s="62"/>
      <c r="D999" s="8"/>
      <c r="E999" s="8"/>
      <c r="J999" s="37"/>
    </row>
    <row r="1000">
      <c r="A1000" s="22"/>
      <c r="B1000" s="8"/>
      <c r="C1000" s="62"/>
      <c r="D1000" s="8"/>
      <c r="E1000" s="8"/>
      <c r="J1000" s="37"/>
    </row>
    <row r="1001">
      <c r="A1001" s="22"/>
      <c r="B1001" s="8"/>
      <c r="C1001" s="62"/>
      <c r="D1001" s="8"/>
      <c r="E1001" s="8"/>
      <c r="J1001" s="37"/>
    </row>
    <row r="1002">
      <c r="A1002" s="22"/>
      <c r="B1002" s="8"/>
      <c r="C1002" s="62"/>
      <c r="D1002" s="8"/>
      <c r="E1002" s="8"/>
      <c r="J1002" s="37"/>
    </row>
    <row r="1003">
      <c r="A1003" s="22"/>
      <c r="B1003" s="8"/>
      <c r="C1003" s="62"/>
      <c r="D1003" s="8"/>
      <c r="E1003" s="8"/>
      <c r="J1003" s="37"/>
    </row>
    <row r="1004">
      <c r="A1004" s="22"/>
      <c r="B1004" s="8"/>
      <c r="C1004" s="62"/>
      <c r="D1004" s="8"/>
      <c r="E1004" s="8"/>
      <c r="J1004" s="37"/>
    </row>
    <row r="1005">
      <c r="A1005" s="22"/>
      <c r="B1005" s="8"/>
      <c r="C1005" s="62"/>
      <c r="D1005" s="8"/>
      <c r="E1005" s="8"/>
      <c r="J1005" s="37"/>
    </row>
    <row r="1006">
      <c r="A1006" s="22"/>
      <c r="B1006" s="8"/>
      <c r="C1006" s="62"/>
      <c r="D1006" s="8"/>
      <c r="E1006" s="8"/>
      <c r="J1006" s="37"/>
    </row>
    <row r="1007">
      <c r="A1007" s="22"/>
      <c r="B1007" s="8"/>
      <c r="C1007" s="62"/>
      <c r="D1007" s="8"/>
      <c r="E1007" s="8"/>
      <c r="J1007" s="37"/>
    </row>
    <row r="1008">
      <c r="A1008" s="22"/>
      <c r="B1008" s="8"/>
      <c r="C1008" s="62"/>
      <c r="D1008" s="8"/>
      <c r="E1008" s="8"/>
      <c r="J1008" s="37"/>
    </row>
    <row r="1009">
      <c r="A1009" s="22"/>
      <c r="B1009" s="8"/>
      <c r="C1009" s="62"/>
      <c r="D1009" s="8"/>
      <c r="E1009" s="8"/>
      <c r="J1009" s="37"/>
    </row>
    <row r="1010">
      <c r="A1010" s="22"/>
      <c r="B1010" s="8"/>
      <c r="C1010" s="62"/>
      <c r="D1010" s="8"/>
      <c r="E1010" s="8"/>
      <c r="J1010" s="37"/>
    </row>
    <row r="1011">
      <c r="A1011" s="22"/>
      <c r="B1011" s="8"/>
      <c r="C1011" s="62"/>
      <c r="D1011" s="8"/>
      <c r="E1011" s="8"/>
      <c r="J1011" s="37"/>
    </row>
    <row r="1012">
      <c r="A1012" s="22"/>
      <c r="B1012" s="8"/>
      <c r="C1012" s="62"/>
      <c r="D1012" s="8"/>
      <c r="E1012" s="8"/>
      <c r="J1012" s="37"/>
    </row>
    <row r="1013">
      <c r="A1013" s="22"/>
      <c r="B1013" s="8"/>
      <c r="C1013" s="62"/>
      <c r="D1013" s="8"/>
      <c r="E1013" s="8"/>
      <c r="J1013" s="37"/>
    </row>
    <row r="1014">
      <c r="A1014" s="22"/>
      <c r="B1014" s="8"/>
      <c r="C1014" s="62"/>
      <c r="D1014" s="8"/>
      <c r="E1014" s="8"/>
      <c r="J1014" s="37"/>
    </row>
    <row r="1015">
      <c r="A1015" s="22"/>
      <c r="B1015" s="8"/>
      <c r="C1015" s="62"/>
      <c r="D1015" s="8"/>
      <c r="E1015" s="8"/>
      <c r="J1015" s="37"/>
    </row>
    <row r="1016">
      <c r="A1016" s="22"/>
      <c r="B1016" s="8"/>
      <c r="C1016" s="62"/>
      <c r="D1016" s="8"/>
      <c r="E1016" s="8"/>
      <c r="J1016" s="37"/>
    </row>
    <row r="1017">
      <c r="A1017" s="22"/>
      <c r="B1017" s="8"/>
      <c r="C1017" s="62"/>
      <c r="D1017" s="8"/>
      <c r="E1017" s="8"/>
      <c r="J1017" s="37"/>
    </row>
    <row r="1018">
      <c r="A1018" s="22"/>
      <c r="B1018" s="8"/>
      <c r="C1018" s="62"/>
      <c r="D1018" s="8"/>
      <c r="E1018" s="8"/>
      <c r="J1018" s="37"/>
    </row>
    <row r="1019">
      <c r="A1019" s="22"/>
      <c r="B1019" s="8"/>
      <c r="C1019" s="62"/>
      <c r="D1019" s="8"/>
      <c r="E1019" s="8"/>
      <c r="J1019" s="37"/>
    </row>
    <row r="1020">
      <c r="A1020" s="22"/>
      <c r="B1020" s="8"/>
      <c r="C1020" s="62"/>
      <c r="D1020" s="8"/>
      <c r="E1020" s="8"/>
      <c r="J1020" s="37"/>
    </row>
    <row r="1021">
      <c r="A1021" s="22"/>
      <c r="B1021" s="8"/>
      <c r="C1021" s="62"/>
      <c r="D1021" s="8"/>
      <c r="E1021" s="8"/>
      <c r="J1021" s="37"/>
    </row>
    <row r="1022">
      <c r="A1022" s="22"/>
      <c r="B1022" s="8"/>
      <c r="C1022" s="62"/>
      <c r="D1022" s="8"/>
      <c r="E1022" s="8"/>
      <c r="J1022" s="37"/>
    </row>
    <row r="1023">
      <c r="A1023" s="22"/>
      <c r="B1023" s="8"/>
      <c r="C1023" s="62"/>
      <c r="D1023" s="8"/>
      <c r="E1023" s="8"/>
      <c r="J1023" s="37"/>
    </row>
    <row r="1024">
      <c r="A1024" s="22"/>
      <c r="B1024" s="8"/>
      <c r="C1024" s="62"/>
      <c r="D1024" s="8"/>
      <c r="E1024" s="8"/>
      <c r="J1024" s="37"/>
    </row>
    <row r="1025">
      <c r="A1025" s="22"/>
      <c r="B1025" s="8"/>
      <c r="C1025" s="62"/>
      <c r="D1025" s="8"/>
      <c r="E1025" s="8"/>
      <c r="J1025" s="37"/>
    </row>
    <row r="1026">
      <c r="A1026" s="22"/>
      <c r="B1026" s="8"/>
      <c r="C1026" s="62"/>
      <c r="D1026" s="8"/>
      <c r="E1026" s="8"/>
      <c r="J1026" s="37"/>
    </row>
    <row r="1027">
      <c r="A1027" s="22"/>
      <c r="B1027" s="8"/>
      <c r="C1027" s="62"/>
      <c r="D1027" s="8"/>
      <c r="E1027" s="8"/>
      <c r="J1027" s="37"/>
    </row>
    <row r="1028">
      <c r="A1028" s="22"/>
      <c r="B1028" s="8"/>
      <c r="C1028" s="62"/>
      <c r="D1028" s="8"/>
      <c r="E1028" s="8"/>
      <c r="J1028" s="37"/>
    </row>
    <row r="1029">
      <c r="A1029" s="22"/>
      <c r="B1029" s="8"/>
      <c r="C1029" s="62"/>
      <c r="D1029" s="8"/>
      <c r="E1029" s="8"/>
      <c r="J1029" s="37"/>
    </row>
    <row r="1030">
      <c r="A1030" s="22"/>
      <c r="B1030" s="8"/>
      <c r="C1030" s="62"/>
      <c r="D1030" s="8"/>
      <c r="E1030" s="8"/>
      <c r="J1030" s="37"/>
    </row>
    <row r="1031">
      <c r="A1031" s="22"/>
      <c r="B1031" s="8"/>
      <c r="C1031" s="62"/>
      <c r="D1031" s="8"/>
      <c r="E1031" s="8"/>
      <c r="J1031" s="37"/>
    </row>
    <row r="1032">
      <c r="A1032" s="22"/>
      <c r="B1032" s="8"/>
      <c r="C1032" s="62"/>
      <c r="D1032" s="8"/>
      <c r="E1032" s="8"/>
      <c r="J1032" s="37"/>
    </row>
    <row r="1033">
      <c r="A1033" s="22"/>
      <c r="B1033" s="8"/>
      <c r="C1033" s="62"/>
      <c r="D1033" s="8"/>
      <c r="E1033" s="8"/>
      <c r="J1033" s="37"/>
    </row>
    <row r="1034">
      <c r="A1034" s="22"/>
      <c r="B1034" s="8"/>
      <c r="C1034" s="62"/>
      <c r="D1034" s="8"/>
      <c r="E1034" s="8"/>
      <c r="J1034" s="37"/>
    </row>
    <row r="1035">
      <c r="A1035" s="22"/>
      <c r="B1035" s="8"/>
      <c r="C1035" s="62"/>
      <c r="D1035" s="8"/>
      <c r="E1035" s="8"/>
      <c r="J1035" s="37"/>
    </row>
    <row r="1036">
      <c r="A1036" s="22"/>
      <c r="B1036" s="8"/>
      <c r="C1036" s="62"/>
      <c r="D1036" s="8"/>
      <c r="E1036" s="8"/>
      <c r="J1036" s="37"/>
    </row>
    <row r="1037">
      <c r="A1037" s="22"/>
      <c r="B1037" s="8"/>
      <c r="C1037" s="62"/>
      <c r="D1037" s="8"/>
      <c r="E1037" s="8"/>
      <c r="J1037" s="37"/>
    </row>
    <row r="1038">
      <c r="A1038" s="22"/>
      <c r="B1038" s="8"/>
      <c r="C1038" s="62"/>
      <c r="D1038" s="8"/>
      <c r="E1038" s="8"/>
      <c r="J1038" s="37"/>
    </row>
    <row r="1039">
      <c r="A1039" s="22"/>
      <c r="B1039" s="8"/>
      <c r="C1039" s="62"/>
      <c r="D1039" s="8"/>
      <c r="E1039" s="8"/>
      <c r="J1039" s="37"/>
    </row>
    <row r="1040">
      <c r="A1040" s="22"/>
      <c r="B1040" s="8"/>
      <c r="C1040" s="62"/>
      <c r="D1040" s="8"/>
      <c r="E1040" s="8"/>
      <c r="J1040" s="37"/>
    </row>
    <row r="1041">
      <c r="A1041" s="22"/>
      <c r="B1041" s="8"/>
      <c r="C1041" s="62"/>
      <c r="D1041" s="8"/>
      <c r="E1041" s="8"/>
      <c r="J1041" s="37"/>
    </row>
    <row r="1042">
      <c r="A1042" s="22"/>
      <c r="B1042" s="8"/>
      <c r="C1042" s="62"/>
      <c r="D1042" s="8"/>
      <c r="E1042" s="8"/>
      <c r="J1042" s="37"/>
    </row>
    <row r="1043">
      <c r="A1043" s="22"/>
      <c r="B1043" s="8"/>
      <c r="C1043" s="62"/>
      <c r="D1043" s="8"/>
      <c r="E1043" s="8"/>
      <c r="J1043" s="37"/>
    </row>
    <row r="1044">
      <c r="A1044" s="22"/>
      <c r="B1044" s="8"/>
      <c r="C1044" s="62"/>
      <c r="D1044" s="8"/>
      <c r="E1044" s="8"/>
      <c r="J1044" s="37"/>
    </row>
    <row r="1045">
      <c r="A1045" s="22"/>
      <c r="B1045" s="8"/>
      <c r="C1045" s="62"/>
      <c r="D1045" s="8"/>
      <c r="E1045" s="8"/>
      <c r="J1045" s="37"/>
    </row>
    <row r="1046">
      <c r="A1046" s="22"/>
      <c r="B1046" s="8"/>
      <c r="C1046" s="62"/>
      <c r="D1046" s="8"/>
      <c r="E1046" s="8"/>
      <c r="J1046" s="37"/>
    </row>
    <row r="1047">
      <c r="A1047" s="22"/>
      <c r="B1047" s="8"/>
      <c r="C1047" s="62"/>
      <c r="D1047" s="8"/>
      <c r="E1047" s="8"/>
      <c r="J1047" s="37"/>
    </row>
    <row r="1048">
      <c r="A1048" s="22"/>
      <c r="B1048" s="8"/>
      <c r="C1048" s="62"/>
      <c r="D1048" s="8"/>
      <c r="E1048" s="8"/>
      <c r="J1048" s="37"/>
    </row>
    <row r="1049">
      <c r="A1049" s="22"/>
      <c r="B1049" s="8"/>
      <c r="C1049" s="62"/>
      <c r="D1049" s="8"/>
      <c r="E1049" s="8"/>
      <c r="J1049" s="37"/>
    </row>
    <row r="1050">
      <c r="A1050" s="22"/>
      <c r="B1050" s="8"/>
      <c r="C1050" s="62"/>
      <c r="D1050" s="8"/>
      <c r="E1050" s="8"/>
      <c r="J1050" s="37"/>
    </row>
    <row r="1051">
      <c r="A1051" s="22"/>
      <c r="B1051" s="8"/>
      <c r="C1051" s="62"/>
      <c r="D1051" s="8"/>
      <c r="E1051" s="8"/>
      <c r="J1051" s="37"/>
    </row>
    <row r="1052">
      <c r="A1052" s="22"/>
      <c r="B1052" s="8"/>
      <c r="C1052" s="62"/>
      <c r="D1052" s="8"/>
      <c r="E1052" s="8"/>
      <c r="J1052" s="37"/>
    </row>
    <row r="1053">
      <c r="A1053" s="22"/>
      <c r="B1053" s="8"/>
      <c r="C1053" s="62"/>
      <c r="D1053" s="8"/>
      <c r="E1053" s="8"/>
      <c r="J1053" s="37"/>
    </row>
    <row r="1054">
      <c r="A1054" s="22"/>
      <c r="B1054" s="8"/>
      <c r="C1054" s="62"/>
      <c r="D1054" s="8"/>
      <c r="E1054" s="8"/>
      <c r="J1054" s="37"/>
    </row>
    <row r="1055">
      <c r="A1055" s="22"/>
      <c r="B1055" s="8"/>
      <c r="C1055" s="62"/>
      <c r="D1055" s="8"/>
      <c r="E1055" s="8"/>
      <c r="J1055" s="37"/>
    </row>
    <row r="1056">
      <c r="A1056" s="22"/>
      <c r="B1056" s="8"/>
      <c r="C1056" s="62"/>
      <c r="D1056" s="8"/>
      <c r="E1056" s="8"/>
      <c r="J1056" s="37"/>
    </row>
    <row r="1057">
      <c r="A1057" s="22"/>
      <c r="B1057" s="8"/>
      <c r="C1057" s="62"/>
      <c r="D1057" s="8"/>
      <c r="E1057" s="8"/>
      <c r="J1057" s="37"/>
    </row>
    <row r="1058">
      <c r="A1058" s="22"/>
      <c r="B1058" s="8"/>
      <c r="C1058" s="62"/>
      <c r="D1058" s="8"/>
      <c r="E1058" s="8"/>
      <c r="J1058" s="37"/>
    </row>
    <row r="1059">
      <c r="A1059" s="22"/>
      <c r="B1059" s="8"/>
      <c r="C1059" s="62"/>
      <c r="D1059" s="8"/>
      <c r="E1059" s="8"/>
      <c r="J1059" s="37"/>
    </row>
    <row r="1060">
      <c r="A1060" s="22"/>
      <c r="B1060" s="8"/>
      <c r="C1060" s="62"/>
      <c r="D1060" s="8"/>
      <c r="E1060" s="8"/>
      <c r="J1060" s="37"/>
    </row>
    <row r="1061">
      <c r="A1061" s="22"/>
      <c r="B1061" s="8"/>
      <c r="C1061" s="62"/>
      <c r="D1061" s="8"/>
      <c r="E1061" s="8"/>
      <c r="J1061" s="37"/>
    </row>
    <row r="1062">
      <c r="A1062" s="22"/>
      <c r="B1062" s="8"/>
      <c r="C1062" s="62"/>
      <c r="D1062" s="8"/>
      <c r="E1062" s="8"/>
      <c r="J1062" s="37"/>
    </row>
    <row r="1063">
      <c r="A1063" s="22"/>
      <c r="B1063" s="8"/>
      <c r="C1063" s="62"/>
      <c r="D1063" s="8"/>
      <c r="E1063" s="8"/>
      <c r="J1063" s="37"/>
    </row>
    <row r="1064">
      <c r="A1064" s="22"/>
      <c r="B1064" s="8"/>
      <c r="C1064" s="62"/>
      <c r="D1064" s="8"/>
      <c r="E1064" s="8"/>
      <c r="J1064" s="37"/>
    </row>
    <row r="1065">
      <c r="A1065" s="22"/>
      <c r="B1065" s="8"/>
      <c r="C1065" s="62"/>
      <c r="D1065" s="8"/>
      <c r="E1065" s="8"/>
      <c r="J1065" s="37"/>
    </row>
    <row r="1066">
      <c r="A1066" s="22"/>
      <c r="B1066" s="8"/>
      <c r="C1066" s="62"/>
      <c r="D1066" s="8"/>
      <c r="E1066" s="8"/>
      <c r="J1066" s="37"/>
    </row>
    <row r="1067">
      <c r="A1067" s="22"/>
      <c r="B1067" s="8"/>
      <c r="C1067" s="62"/>
      <c r="D1067" s="8"/>
      <c r="E1067" s="8"/>
      <c r="J1067" s="37"/>
    </row>
    <row r="1068">
      <c r="A1068" s="22"/>
      <c r="B1068" s="8"/>
      <c r="C1068" s="62"/>
      <c r="D1068" s="8"/>
      <c r="E1068" s="8"/>
      <c r="J1068" s="37"/>
    </row>
    <row r="1069">
      <c r="A1069" s="22"/>
      <c r="B1069" s="8"/>
      <c r="C1069" s="62"/>
      <c r="D1069" s="8"/>
      <c r="E1069" s="8"/>
      <c r="J1069" s="37"/>
    </row>
    <row r="1070">
      <c r="A1070" s="22"/>
      <c r="B1070" s="8"/>
      <c r="C1070" s="62"/>
      <c r="D1070" s="8"/>
      <c r="E1070" s="8"/>
      <c r="J1070" s="37"/>
    </row>
    <row r="1071">
      <c r="A1071" s="22"/>
      <c r="B1071" s="8"/>
      <c r="C1071" s="62"/>
      <c r="D1071" s="8"/>
      <c r="E1071" s="8"/>
      <c r="J1071" s="37"/>
    </row>
    <row r="1072">
      <c r="A1072" s="22"/>
      <c r="B1072" s="8"/>
      <c r="C1072" s="62"/>
      <c r="D1072" s="8"/>
      <c r="E1072" s="8"/>
      <c r="J1072" s="37"/>
    </row>
    <row r="1073">
      <c r="A1073" s="22"/>
      <c r="B1073" s="8"/>
      <c r="C1073" s="62"/>
      <c r="D1073" s="8"/>
      <c r="E1073" s="8"/>
      <c r="J1073" s="37"/>
    </row>
    <row r="1074">
      <c r="A1074" s="22"/>
      <c r="B1074" s="8"/>
      <c r="C1074" s="62"/>
      <c r="D1074" s="8"/>
      <c r="E1074" s="8"/>
      <c r="J1074" s="37"/>
    </row>
    <row r="1075">
      <c r="A1075" s="22"/>
      <c r="B1075" s="8"/>
      <c r="C1075" s="62"/>
      <c r="D1075" s="8"/>
      <c r="E1075" s="8"/>
      <c r="J1075" s="37"/>
    </row>
    <row r="1076">
      <c r="A1076" s="22"/>
      <c r="B1076" s="8"/>
      <c r="C1076" s="62"/>
      <c r="D1076" s="8"/>
      <c r="E1076" s="8"/>
      <c r="J1076" s="37"/>
    </row>
    <row r="1077">
      <c r="A1077" s="22"/>
      <c r="B1077" s="8"/>
      <c r="C1077" s="62"/>
      <c r="D1077" s="8"/>
      <c r="E1077" s="8"/>
      <c r="J1077" s="37"/>
    </row>
    <row r="1078">
      <c r="A1078" s="22"/>
      <c r="B1078" s="8"/>
      <c r="C1078" s="62"/>
      <c r="D1078" s="8"/>
      <c r="E1078" s="8"/>
      <c r="J1078" s="37"/>
    </row>
    <row r="1079">
      <c r="A1079" s="22"/>
      <c r="B1079" s="8"/>
      <c r="C1079" s="62"/>
      <c r="D1079" s="8"/>
      <c r="E1079" s="8"/>
      <c r="J1079" s="37"/>
    </row>
    <row r="1080">
      <c r="A1080" s="22"/>
      <c r="B1080" s="8"/>
      <c r="C1080" s="62"/>
      <c r="D1080" s="8"/>
      <c r="E1080" s="8"/>
      <c r="J1080" s="37"/>
    </row>
    <row r="1081">
      <c r="A1081" s="22"/>
      <c r="B1081" s="8"/>
      <c r="C1081" s="62"/>
      <c r="D1081" s="8"/>
      <c r="E1081" s="8"/>
      <c r="J1081" s="37"/>
    </row>
    <row r="1082">
      <c r="A1082" s="22"/>
      <c r="B1082" s="8"/>
      <c r="C1082" s="62"/>
      <c r="D1082" s="8"/>
      <c r="E1082" s="8"/>
      <c r="J1082" s="37"/>
    </row>
    <row r="1083">
      <c r="A1083" s="22"/>
      <c r="B1083" s="8"/>
      <c r="C1083" s="62"/>
      <c r="D1083" s="8"/>
      <c r="E1083" s="8"/>
      <c r="J1083" s="37"/>
    </row>
    <row r="1084">
      <c r="A1084" s="22"/>
      <c r="B1084" s="8"/>
      <c r="C1084" s="62"/>
      <c r="D1084" s="8"/>
      <c r="E1084" s="8"/>
      <c r="J1084" s="37"/>
    </row>
    <row r="1085">
      <c r="A1085" s="22"/>
      <c r="B1085" s="8"/>
      <c r="C1085" s="62"/>
      <c r="D1085" s="8"/>
      <c r="E1085" s="8"/>
      <c r="J1085" s="37"/>
    </row>
    <row r="1086">
      <c r="A1086" s="22"/>
      <c r="B1086" s="8"/>
      <c r="C1086" s="62"/>
      <c r="D1086" s="8"/>
      <c r="E1086" s="8"/>
      <c r="J1086" s="37"/>
    </row>
    <row r="1087">
      <c r="A1087" s="22"/>
      <c r="B1087" s="8"/>
      <c r="C1087" s="62"/>
      <c r="D1087" s="8"/>
      <c r="E1087" s="8"/>
      <c r="J1087" s="37"/>
    </row>
    <row r="1088">
      <c r="A1088" s="22"/>
      <c r="B1088" s="8"/>
      <c r="C1088" s="62"/>
      <c r="D1088" s="8"/>
      <c r="E1088" s="8"/>
      <c r="J1088" s="37"/>
    </row>
    <row r="1089">
      <c r="A1089" s="22"/>
      <c r="B1089" s="8"/>
      <c r="C1089" s="62"/>
      <c r="D1089" s="8"/>
      <c r="E1089" s="8"/>
      <c r="J1089" s="37"/>
    </row>
    <row r="1090">
      <c r="A1090" s="22"/>
      <c r="B1090" s="8"/>
      <c r="C1090" s="62"/>
      <c r="D1090" s="8"/>
      <c r="E1090" s="8"/>
      <c r="J1090" s="37"/>
    </row>
    <row r="1091">
      <c r="A1091" s="22"/>
      <c r="B1091" s="8"/>
      <c r="C1091" s="62"/>
      <c r="D1091" s="8"/>
      <c r="E1091" s="8"/>
      <c r="J1091" s="37"/>
    </row>
    <row r="1092">
      <c r="A1092" s="22"/>
      <c r="B1092" s="8"/>
      <c r="C1092" s="62"/>
      <c r="D1092" s="8"/>
      <c r="E1092" s="8"/>
      <c r="J1092" s="37"/>
    </row>
    <row r="1093">
      <c r="A1093" s="22"/>
      <c r="B1093" s="8"/>
      <c r="C1093" s="62"/>
      <c r="D1093" s="8"/>
      <c r="E1093" s="8"/>
      <c r="J1093" s="37"/>
    </row>
    <row r="1094">
      <c r="A1094" s="22"/>
      <c r="B1094" s="8"/>
      <c r="C1094" s="62"/>
      <c r="D1094" s="8"/>
      <c r="E1094" s="8"/>
      <c r="J1094" s="37"/>
    </row>
    <row r="1095">
      <c r="A1095" s="22"/>
      <c r="B1095" s="8"/>
      <c r="C1095" s="62"/>
      <c r="D1095" s="8"/>
      <c r="E1095" s="8"/>
      <c r="J1095" s="37"/>
    </row>
    <row r="1096">
      <c r="A1096" s="22"/>
      <c r="B1096" s="8"/>
      <c r="C1096" s="62"/>
      <c r="D1096" s="8"/>
      <c r="E1096" s="8"/>
      <c r="J1096" s="37"/>
    </row>
    <row r="1097">
      <c r="A1097" s="22"/>
      <c r="B1097" s="8"/>
      <c r="C1097" s="62"/>
      <c r="D1097" s="8"/>
      <c r="E1097" s="8"/>
      <c r="J1097" s="37"/>
    </row>
    <row r="1098">
      <c r="A1098" s="22"/>
      <c r="B1098" s="8"/>
      <c r="C1098" s="62"/>
      <c r="D1098" s="8"/>
      <c r="E1098" s="8"/>
      <c r="J1098" s="37"/>
    </row>
    <row r="1099">
      <c r="A1099" s="22"/>
      <c r="B1099" s="8"/>
      <c r="C1099" s="62"/>
      <c r="D1099" s="8"/>
      <c r="E1099" s="8"/>
      <c r="J1099" s="37"/>
    </row>
    <row r="1100">
      <c r="A1100" s="22"/>
      <c r="B1100" s="8"/>
      <c r="C1100" s="62"/>
      <c r="D1100" s="8"/>
      <c r="E1100" s="8"/>
      <c r="J1100" s="37"/>
    </row>
    <row r="1101">
      <c r="A1101" s="22"/>
      <c r="B1101" s="8"/>
      <c r="C1101" s="62"/>
      <c r="D1101" s="8"/>
      <c r="E1101" s="8"/>
      <c r="J1101" s="37"/>
    </row>
    <row r="1102">
      <c r="A1102" s="22"/>
      <c r="B1102" s="8"/>
      <c r="C1102" s="62"/>
      <c r="D1102" s="8"/>
      <c r="E1102" s="8"/>
      <c r="J1102" s="37"/>
    </row>
    <row r="1103">
      <c r="A1103" s="22"/>
      <c r="B1103" s="8"/>
      <c r="C1103" s="62"/>
      <c r="D1103" s="8"/>
      <c r="E1103" s="8"/>
      <c r="J1103" s="37"/>
    </row>
    <row r="1104">
      <c r="A1104" s="22"/>
      <c r="B1104" s="8"/>
      <c r="C1104" s="62"/>
      <c r="D1104" s="8"/>
      <c r="E1104" s="8"/>
      <c r="J1104" s="37"/>
    </row>
    <row r="1105">
      <c r="A1105" s="22"/>
      <c r="B1105" s="8"/>
      <c r="C1105" s="62"/>
      <c r="D1105" s="8"/>
      <c r="E1105" s="8"/>
      <c r="J1105" s="37"/>
    </row>
    <row r="1106">
      <c r="A1106" s="22"/>
      <c r="B1106" s="8"/>
      <c r="C1106" s="62"/>
      <c r="D1106" s="8"/>
      <c r="E1106" s="8"/>
      <c r="J1106" s="37"/>
    </row>
    <row r="1107">
      <c r="A1107" s="22"/>
      <c r="B1107" s="8"/>
      <c r="C1107" s="62"/>
      <c r="D1107" s="8"/>
      <c r="E1107" s="8"/>
      <c r="J1107" s="37"/>
    </row>
    <row r="1108">
      <c r="A1108" s="22"/>
      <c r="B1108" s="8"/>
      <c r="C1108" s="62"/>
      <c r="D1108" s="8"/>
      <c r="E1108" s="8"/>
      <c r="J1108" s="37"/>
    </row>
    <row r="1109">
      <c r="A1109" s="22"/>
      <c r="B1109" s="8"/>
      <c r="C1109" s="62"/>
      <c r="D1109" s="8"/>
      <c r="E1109" s="8"/>
      <c r="J1109" s="37"/>
    </row>
    <row r="1110">
      <c r="A1110" s="22"/>
      <c r="B1110" s="8"/>
      <c r="C1110" s="62"/>
      <c r="D1110" s="8"/>
      <c r="E1110" s="8"/>
      <c r="J1110" s="37"/>
    </row>
    <row r="1111">
      <c r="A1111" s="22"/>
      <c r="B1111" s="8"/>
      <c r="C1111" s="62"/>
      <c r="D1111" s="8"/>
      <c r="E1111" s="8"/>
      <c r="J1111" s="37"/>
    </row>
    <row r="1112">
      <c r="A1112" s="22"/>
      <c r="B1112" s="8"/>
      <c r="C1112" s="62"/>
      <c r="D1112" s="8"/>
      <c r="E1112" s="8"/>
      <c r="J1112" s="37"/>
    </row>
    <row r="1113">
      <c r="A1113" s="22"/>
      <c r="B1113" s="8"/>
      <c r="C1113" s="62"/>
      <c r="D1113" s="8"/>
      <c r="E1113" s="8"/>
      <c r="J1113" s="37"/>
    </row>
    <row r="1114">
      <c r="A1114" s="22"/>
      <c r="B1114" s="8"/>
      <c r="C1114" s="62"/>
      <c r="D1114" s="8"/>
      <c r="E1114" s="8"/>
      <c r="J1114" s="37"/>
    </row>
    <row r="1115">
      <c r="A1115" s="22"/>
      <c r="B1115" s="8"/>
      <c r="C1115" s="62"/>
      <c r="D1115" s="8"/>
      <c r="E1115" s="8"/>
      <c r="J1115" s="37"/>
    </row>
    <row r="1116">
      <c r="A1116" s="22"/>
      <c r="B1116" s="8"/>
      <c r="C1116" s="62"/>
      <c r="D1116" s="8"/>
      <c r="E1116" s="8"/>
      <c r="J1116" s="37"/>
    </row>
    <row r="1117">
      <c r="A1117" s="22"/>
      <c r="B1117" s="8"/>
      <c r="C1117" s="62"/>
      <c r="D1117" s="8"/>
      <c r="E1117" s="8"/>
      <c r="J1117" s="37"/>
    </row>
    <row r="1118">
      <c r="A1118" s="22"/>
      <c r="B1118" s="8"/>
      <c r="C1118" s="62"/>
      <c r="D1118" s="8"/>
      <c r="E1118" s="8"/>
      <c r="J1118" s="37"/>
    </row>
    <row r="1119">
      <c r="A1119" s="22"/>
      <c r="B1119" s="8"/>
      <c r="C1119" s="62"/>
      <c r="D1119" s="8"/>
      <c r="E1119" s="8"/>
      <c r="J1119" s="37"/>
    </row>
    <row r="1120">
      <c r="A1120" s="22"/>
      <c r="B1120" s="8"/>
      <c r="C1120" s="62"/>
      <c r="D1120" s="8"/>
      <c r="E1120" s="8"/>
      <c r="J1120" s="37"/>
    </row>
    <row r="1121">
      <c r="A1121" s="22"/>
      <c r="B1121" s="8"/>
      <c r="C1121" s="62"/>
      <c r="D1121" s="8"/>
      <c r="E1121" s="8"/>
      <c r="J1121" s="37"/>
    </row>
    <row r="1122">
      <c r="A1122" s="22"/>
      <c r="B1122" s="8"/>
      <c r="C1122" s="62"/>
      <c r="D1122" s="8"/>
      <c r="E1122" s="8"/>
      <c r="J1122" s="37"/>
    </row>
    <row r="1123">
      <c r="A1123" s="22"/>
      <c r="B1123" s="8"/>
      <c r="C1123" s="62"/>
      <c r="D1123" s="8"/>
      <c r="E1123" s="8"/>
      <c r="J1123" s="37"/>
    </row>
    <row r="1124">
      <c r="A1124" s="22"/>
      <c r="B1124" s="8"/>
      <c r="C1124" s="62"/>
      <c r="D1124" s="8"/>
      <c r="E1124" s="8"/>
      <c r="J1124" s="37"/>
    </row>
    <row r="1125">
      <c r="A1125" s="22"/>
      <c r="B1125" s="8"/>
      <c r="C1125" s="62"/>
      <c r="D1125" s="8"/>
      <c r="E1125" s="8"/>
      <c r="J1125" s="37"/>
    </row>
    <row r="1126">
      <c r="A1126" s="22"/>
      <c r="B1126" s="8"/>
      <c r="C1126" s="62"/>
      <c r="D1126" s="8"/>
      <c r="E1126" s="8"/>
      <c r="J1126" s="37"/>
    </row>
    <row r="1127">
      <c r="A1127" s="22"/>
      <c r="B1127" s="8"/>
      <c r="C1127" s="62"/>
      <c r="D1127" s="8"/>
      <c r="E1127" s="8"/>
      <c r="J1127" s="37"/>
    </row>
    <row r="1128">
      <c r="A1128" s="22"/>
      <c r="B1128" s="8"/>
      <c r="C1128" s="62"/>
      <c r="D1128" s="8"/>
      <c r="E1128" s="8"/>
      <c r="J1128" s="37"/>
    </row>
    <row r="1129">
      <c r="A1129" s="22"/>
      <c r="B1129" s="8"/>
      <c r="C1129" s="62"/>
      <c r="D1129" s="8"/>
      <c r="E1129" s="8"/>
      <c r="J1129" s="37"/>
    </row>
    <row r="1130">
      <c r="A1130" s="22"/>
      <c r="B1130" s="8"/>
      <c r="C1130" s="62"/>
      <c r="D1130" s="8"/>
      <c r="E1130" s="8"/>
      <c r="J1130" s="37"/>
    </row>
    <row r="1131">
      <c r="A1131" s="22"/>
      <c r="B1131" s="8"/>
      <c r="C1131" s="62"/>
      <c r="D1131" s="8"/>
      <c r="E1131" s="8"/>
      <c r="J1131" s="37"/>
    </row>
    <row r="1132">
      <c r="A1132" s="22"/>
      <c r="B1132" s="8"/>
      <c r="C1132" s="62"/>
      <c r="D1132" s="8"/>
      <c r="E1132" s="8"/>
      <c r="J1132" s="37"/>
    </row>
    <row r="1133">
      <c r="A1133" s="22"/>
      <c r="B1133" s="8"/>
      <c r="C1133" s="62"/>
      <c r="D1133" s="8"/>
      <c r="E1133" s="8"/>
      <c r="J1133" s="37"/>
    </row>
    <row r="1134">
      <c r="A1134" s="22"/>
      <c r="B1134" s="8"/>
      <c r="C1134" s="62"/>
      <c r="D1134" s="8"/>
      <c r="E1134" s="8"/>
      <c r="J1134" s="37"/>
    </row>
    <row r="1135">
      <c r="A1135" s="22"/>
      <c r="B1135" s="8"/>
      <c r="C1135" s="62"/>
      <c r="D1135" s="8"/>
      <c r="E1135" s="8"/>
      <c r="J1135" s="37"/>
    </row>
    <row r="1136">
      <c r="A1136" s="22"/>
      <c r="B1136" s="8"/>
      <c r="C1136" s="62"/>
      <c r="D1136" s="8"/>
      <c r="E1136" s="8"/>
      <c r="J1136" s="37"/>
    </row>
    <row r="1137">
      <c r="A1137" s="22"/>
      <c r="B1137" s="8"/>
      <c r="C1137" s="62"/>
      <c r="D1137" s="8"/>
      <c r="E1137" s="8"/>
      <c r="J1137" s="37"/>
    </row>
    <row r="1138">
      <c r="A1138" s="22"/>
      <c r="B1138" s="8"/>
      <c r="C1138" s="62"/>
      <c r="D1138" s="8"/>
      <c r="E1138" s="8"/>
      <c r="J1138" s="37"/>
    </row>
    <row r="1139">
      <c r="A1139" s="22"/>
      <c r="B1139" s="8"/>
      <c r="C1139" s="62"/>
      <c r="D1139" s="8"/>
      <c r="E1139" s="8"/>
      <c r="J1139" s="37"/>
    </row>
    <row r="1140">
      <c r="A1140" s="22"/>
      <c r="B1140" s="8"/>
      <c r="C1140" s="62"/>
      <c r="D1140" s="8"/>
      <c r="E1140" s="8"/>
      <c r="J1140" s="37"/>
    </row>
    <row r="1141">
      <c r="A1141" s="22"/>
      <c r="B1141" s="8"/>
      <c r="C1141" s="62"/>
      <c r="D1141" s="8"/>
      <c r="E1141" s="8"/>
      <c r="J1141" s="37"/>
    </row>
    <row r="1142">
      <c r="A1142" s="22"/>
      <c r="B1142" s="8"/>
      <c r="C1142" s="62"/>
      <c r="D1142" s="8"/>
      <c r="E1142" s="8"/>
      <c r="J1142" s="37"/>
    </row>
    <row r="1143">
      <c r="A1143" s="22"/>
      <c r="B1143" s="8"/>
      <c r="C1143" s="62"/>
      <c r="D1143" s="8"/>
      <c r="E1143" s="8"/>
      <c r="J1143" s="37"/>
    </row>
    <row r="1144">
      <c r="A1144" s="22"/>
      <c r="B1144" s="8"/>
      <c r="C1144" s="62"/>
      <c r="D1144" s="8"/>
      <c r="E1144" s="8"/>
      <c r="J1144" s="37"/>
    </row>
    <row r="1145">
      <c r="A1145" s="22"/>
      <c r="B1145" s="8"/>
      <c r="C1145" s="62"/>
      <c r="D1145" s="8"/>
      <c r="E1145" s="8"/>
      <c r="J1145" s="37"/>
    </row>
    <row r="1146">
      <c r="A1146" s="22"/>
      <c r="B1146" s="8"/>
      <c r="C1146" s="62"/>
      <c r="D1146" s="8"/>
      <c r="E1146" s="8"/>
      <c r="J1146" s="37"/>
    </row>
    <row r="1147">
      <c r="A1147" s="22"/>
      <c r="B1147" s="8"/>
      <c r="C1147" s="62"/>
      <c r="D1147" s="8"/>
      <c r="E1147" s="8"/>
      <c r="J1147" s="37"/>
    </row>
    <row r="1148">
      <c r="A1148" s="22"/>
      <c r="B1148" s="8"/>
      <c r="C1148" s="62"/>
      <c r="D1148" s="8"/>
      <c r="E1148" s="8"/>
      <c r="J1148" s="37"/>
    </row>
    <row r="1149">
      <c r="A1149" s="22"/>
      <c r="B1149" s="8"/>
      <c r="C1149" s="62"/>
      <c r="D1149" s="8"/>
      <c r="E1149" s="8"/>
      <c r="J1149" s="37"/>
    </row>
    <row r="1150">
      <c r="A1150" s="22"/>
      <c r="B1150" s="8"/>
      <c r="C1150" s="62"/>
      <c r="D1150" s="8"/>
      <c r="E1150" s="8"/>
      <c r="J1150" s="37"/>
    </row>
    <row r="1151">
      <c r="A1151" s="22"/>
      <c r="B1151" s="8"/>
      <c r="C1151" s="62"/>
      <c r="D1151" s="8"/>
      <c r="E1151" s="8"/>
      <c r="J1151" s="37"/>
    </row>
    <row r="1152">
      <c r="A1152" s="22"/>
      <c r="B1152" s="8"/>
      <c r="C1152" s="62"/>
      <c r="D1152" s="8"/>
      <c r="E1152" s="8"/>
      <c r="J1152" s="37"/>
    </row>
    <row r="1153">
      <c r="A1153" s="22"/>
      <c r="B1153" s="8"/>
      <c r="C1153" s="62"/>
      <c r="D1153" s="8"/>
      <c r="E1153" s="8"/>
      <c r="J1153" s="37"/>
    </row>
    <row r="1154">
      <c r="A1154" s="22"/>
      <c r="B1154" s="8"/>
      <c r="C1154" s="62"/>
      <c r="D1154" s="8"/>
      <c r="E1154" s="8"/>
      <c r="J1154" s="37"/>
    </row>
    <row r="1155">
      <c r="A1155" s="22"/>
      <c r="B1155" s="8"/>
      <c r="C1155" s="62"/>
      <c r="D1155" s="8"/>
      <c r="E1155" s="8"/>
      <c r="J1155" s="37"/>
    </row>
    <row r="1156">
      <c r="A1156" s="22"/>
      <c r="B1156" s="8"/>
      <c r="C1156" s="62"/>
      <c r="D1156" s="8"/>
      <c r="E1156" s="8"/>
      <c r="J1156" s="37"/>
    </row>
    <row r="1157">
      <c r="A1157" s="22"/>
      <c r="B1157" s="8"/>
      <c r="C1157" s="62"/>
      <c r="D1157" s="8"/>
      <c r="E1157" s="8"/>
      <c r="J1157" s="37"/>
    </row>
    <row r="1158">
      <c r="A1158" s="22"/>
      <c r="B1158" s="8"/>
      <c r="C1158" s="62"/>
      <c r="D1158" s="8"/>
      <c r="E1158" s="8"/>
      <c r="J1158" s="37"/>
    </row>
    <row r="1159">
      <c r="A1159" s="22"/>
      <c r="B1159" s="8"/>
      <c r="C1159" s="62"/>
      <c r="D1159" s="8"/>
      <c r="E1159" s="8"/>
      <c r="J1159" s="37"/>
    </row>
    <row r="1160">
      <c r="A1160" s="22"/>
      <c r="B1160" s="8"/>
      <c r="C1160" s="62"/>
      <c r="D1160" s="8"/>
      <c r="E1160" s="8"/>
      <c r="J1160" s="37"/>
    </row>
    <row r="1161">
      <c r="A1161" s="22"/>
      <c r="B1161" s="8"/>
      <c r="C1161" s="62"/>
      <c r="D1161" s="8"/>
      <c r="E1161" s="8"/>
      <c r="J1161" s="37"/>
    </row>
    <row r="1162">
      <c r="A1162" s="22"/>
      <c r="B1162" s="8"/>
      <c r="C1162" s="62"/>
      <c r="D1162" s="8"/>
      <c r="E1162" s="8"/>
      <c r="J1162" s="37"/>
    </row>
    <row r="1163">
      <c r="A1163" s="22"/>
      <c r="B1163" s="8"/>
      <c r="C1163" s="62"/>
      <c r="D1163" s="8"/>
      <c r="E1163" s="8"/>
      <c r="J1163" s="37"/>
    </row>
    <row r="1164">
      <c r="A1164" s="22"/>
      <c r="B1164" s="8"/>
      <c r="C1164" s="62"/>
      <c r="D1164" s="8"/>
      <c r="E1164" s="8"/>
      <c r="J1164" s="37"/>
    </row>
    <row r="1165">
      <c r="A1165" s="22"/>
      <c r="B1165" s="8"/>
      <c r="C1165" s="62"/>
      <c r="D1165" s="8"/>
      <c r="E1165" s="8"/>
      <c r="J1165" s="37"/>
    </row>
    <row r="1166">
      <c r="A1166" s="22"/>
      <c r="B1166" s="8"/>
      <c r="C1166" s="62"/>
      <c r="D1166" s="8"/>
      <c r="E1166" s="8"/>
      <c r="J1166" s="37"/>
    </row>
    <row r="1167">
      <c r="A1167" s="22"/>
      <c r="B1167" s="8"/>
      <c r="C1167" s="62"/>
      <c r="D1167" s="8"/>
      <c r="E1167" s="8"/>
      <c r="J1167" s="37"/>
    </row>
    <row r="1168">
      <c r="A1168" s="22"/>
      <c r="B1168" s="8"/>
      <c r="C1168" s="62"/>
      <c r="D1168" s="8"/>
      <c r="E1168" s="8"/>
      <c r="J1168" s="37"/>
    </row>
    <row r="1169">
      <c r="A1169" s="22"/>
      <c r="B1169" s="8"/>
      <c r="C1169" s="62"/>
      <c r="D1169" s="8"/>
      <c r="E1169" s="8"/>
      <c r="J1169" s="37"/>
    </row>
    <row r="1170">
      <c r="A1170" s="22"/>
      <c r="B1170" s="8"/>
      <c r="C1170" s="62"/>
      <c r="D1170" s="8"/>
      <c r="E1170" s="8"/>
      <c r="J1170" s="37"/>
    </row>
    <row r="1171">
      <c r="A1171" s="22"/>
      <c r="B1171" s="8"/>
      <c r="C1171" s="62"/>
      <c r="D1171" s="8"/>
      <c r="E1171" s="8"/>
      <c r="J1171" s="37"/>
    </row>
    <row r="1172">
      <c r="A1172" s="22"/>
      <c r="B1172" s="8"/>
      <c r="C1172" s="62"/>
      <c r="D1172" s="8"/>
      <c r="E1172" s="8"/>
      <c r="J1172" s="37"/>
    </row>
    <row r="1173">
      <c r="A1173" s="22"/>
      <c r="B1173" s="8"/>
      <c r="C1173" s="62"/>
      <c r="D1173" s="8"/>
      <c r="E1173" s="8"/>
      <c r="J1173" s="37"/>
    </row>
    <row r="1174">
      <c r="A1174" s="22"/>
      <c r="B1174" s="8"/>
      <c r="C1174" s="62"/>
      <c r="D1174" s="8"/>
      <c r="E1174" s="8"/>
      <c r="J1174" s="37"/>
    </row>
    <row r="1175">
      <c r="A1175" s="22"/>
      <c r="B1175" s="8"/>
      <c r="C1175" s="62"/>
      <c r="D1175" s="8"/>
      <c r="E1175" s="8"/>
      <c r="J1175" s="37"/>
    </row>
    <row r="1176">
      <c r="A1176" s="22"/>
      <c r="B1176" s="8"/>
      <c r="C1176" s="62"/>
      <c r="D1176" s="8"/>
      <c r="E1176" s="8"/>
      <c r="J1176" s="37"/>
    </row>
    <row r="1177">
      <c r="A1177" s="22"/>
      <c r="B1177" s="8"/>
      <c r="C1177" s="62"/>
      <c r="D1177" s="8"/>
      <c r="E1177" s="8"/>
      <c r="J1177" s="37"/>
    </row>
    <row r="1178">
      <c r="A1178" s="22"/>
      <c r="B1178" s="8"/>
      <c r="C1178" s="62"/>
      <c r="D1178" s="8"/>
      <c r="E1178" s="8"/>
      <c r="J1178" s="37"/>
    </row>
    <row r="1179">
      <c r="A1179" s="22"/>
      <c r="B1179" s="8"/>
      <c r="C1179" s="62"/>
      <c r="D1179" s="8"/>
      <c r="E1179" s="8"/>
      <c r="J1179" s="37"/>
    </row>
    <row r="1180">
      <c r="A1180" s="22"/>
      <c r="B1180" s="8"/>
      <c r="C1180" s="62"/>
      <c r="D1180" s="8"/>
      <c r="E1180" s="8"/>
      <c r="J1180" s="37"/>
    </row>
    <row r="1181">
      <c r="A1181" s="22"/>
      <c r="B1181" s="8"/>
      <c r="C1181" s="62"/>
      <c r="D1181" s="8"/>
      <c r="E1181" s="8"/>
      <c r="J1181" s="37"/>
    </row>
    <row r="1182">
      <c r="A1182" s="22"/>
      <c r="B1182" s="8"/>
      <c r="C1182" s="62"/>
      <c r="D1182" s="8"/>
      <c r="E1182" s="8"/>
      <c r="J1182" s="37"/>
    </row>
    <row r="1183">
      <c r="A1183" s="22"/>
      <c r="B1183" s="8"/>
      <c r="C1183" s="62"/>
      <c r="D1183" s="8"/>
      <c r="E1183" s="8"/>
      <c r="J1183" s="37"/>
    </row>
    <row r="1184">
      <c r="A1184" s="22"/>
      <c r="B1184" s="8"/>
      <c r="C1184" s="62"/>
      <c r="D1184" s="8"/>
      <c r="E1184" s="8"/>
      <c r="J1184" s="37"/>
    </row>
    <row r="1185">
      <c r="A1185" s="22"/>
      <c r="B1185" s="8"/>
      <c r="C1185" s="62"/>
      <c r="D1185" s="8"/>
      <c r="E1185" s="8"/>
      <c r="J1185" s="37"/>
    </row>
    <row r="1186">
      <c r="A1186" s="22"/>
      <c r="B1186" s="8"/>
      <c r="C1186" s="62"/>
      <c r="D1186" s="8"/>
      <c r="E1186" s="8"/>
      <c r="J1186" s="37"/>
    </row>
    <row r="1187">
      <c r="A1187" s="22"/>
      <c r="B1187" s="8"/>
      <c r="C1187" s="62"/>
      <c r="D1187" s="8"/>
      <c r="E1187" s="8"/>
      <c r="J1187" s="37"/>
    </row>
    <row r="1188">
      <c r="A1188" s="22"/>
      <c r="B1188" s="8"/>
      <c r="C1188" s="62"/>
      <c r="D1188" s="8"/>
      <c r="E1188" s="8"/>
      <c r="J1188" s="37"/>
    </row>
    <row r="1189">
      <c r="A1189" s="22"/>
      <c r="B1189" s="8"/>
      <c r="C1189" s="62"/>
      <c r="D1189" s="8"/>
      <c r="E1189" s="8"/>
      <c r="J1189" s="37"/>
    </row>
    <row r="1190">
      <c r="A1190" s="22"/>
      <c r="B1190" s="8"/>
      <c r="C1190" s="62"/>
      <c r="D1190" s="8"/>
      <c r="E1190" s="8"/>
      <c r="J1190" s="37"/>
    </row>
    <row r="1191">
      <c r="A1191" s="22"/>
      <c r="B1191" s="8"/>
      <c r="C1191" s="62"/>
      <c r="D1191" s="8"/>
      <c r="E1191" s="8"/>
      <c r="J1191" s="37"/>
    </row>
    <row r="1192">
      <c r="A1192" s="22"/>
      <c r="B1192" s="8"/>
      <c r="C1192" s="62"/>
      <c r="D1192" s="8"/>
      <c r="E1192" s="8"/>
      <c r="J1192" s="37"/>
    </row>
    <row r="1193">
      <c r="A1193" s="22"/>
      <c r="B1193" s="8"/>
      <c r="C1193" s="62"/>
      <c r="D1193" s="8"/>
      <c r="E1193" s="8"/>
      <c r="J1193" s="37"/>
    </row>
    <row r="1194">
      <c r="A1194" s="22"/>
      <c r="B1194" s="8"/>
      <c r="C1194" s="62"/>
      <c r="D1194" s="8"/>
      <c r="E1194" s="8"/>
      <c r="J1194" s="37"/>
    </row>
    <row r="1195">
      <c r="A1195" s="22"/>
      <c r="B1195" s="8"/>
      <c r="C1195" s="62"/>
      <c r="D1195" s="8"/>
      <c r="E1195" s="8"/>
      <c r="J1195" s="37"/>
    </row>
    <row r="1196">
      <c r="A1196" s="22"/>
      <c r="B1196" s="8"/>
      <c r="C1196" s="62"/>
      <c r="D1196" s="8"/>
      <c r="E1196" s="8"/>
      <c r="J1196" s="37"/>
    </row>
    <row r="1197">
      <c r="A1197" s="22"/>
      <c r="B1197" s="8"/>
      <c r="C1197" s="62"/>
      <c r="D1197" s="8"/>
      <c r="E1197" s="8"/>
      <c r="J1197" s="37"/>
    </row>
    <row r="1198">
      <c r="A1198" s="22"/>
      <c r="B1198" s="8"/>
      <c r="C1198" s="62"/>
      <c r="D1198" s="8"/>
      <c r="E1198" s="8"/>
      <c r="J1198" s="37"/>
    </row>
    <row r="1199">
      <c r="A1199" s="22"/>
      <c r="B1199" s="8"/>
      <c r="C1199" s="62"/>
      <c r="D1199" s="8"/>
      <c r="E1199" s="8"/>
      <c r="J1199" s="37"/>
    </row>
    <row r="1200">
      <c r="A1200" s="22"/>
      <c r="B1200" s="8"/>
      <c r="C1200" s="62"/>
      <c r="D1200" s="8"/>
      <c r="E1200" s="8"/>
      <c r="J1200" s="37"/>
    </row>
    <row r="1201">
      <c r="A1201" s="22"/>
      <c r="B1201" s="8"/>
      <c r="C1201" s="62"/>
      <c r="D1201" s="8"/>
      <c r="E1201" s="8"/>
      <c r="J1201" s="37"/>
    </row>
    <row r="1202">
      <c r="A1202" s="22"/>
      <c r="B1202" s="8"/>
      <c r="C1202" s="62"/>
      <c r="D1202" s="8"/>
      <c r="E1202" s="8"/>
      <c r="J1202" s="37"/>
    </row>
    <row r="1203">
      <c r="A1203" s="22"/>
      <c r="B1203" s="8"/>
      <c r="C1203" s="62"/>
      <c r="D1203" s="8"/>
      <c r="E1203" s="8"/>
      <c r="J1203" s="37"/>
    </row>
    <row r="1204">
      <c r="A1204" s="22"/>
      <c r="B1204" s="8"/>
      <c r="C1204" s="62"/>
      <c r="D1204" s="8"/>
      <c r="E1204" s="8"/>
      <c r="J1204" s="37"/>
    </row>
    <row r="1205">
      <c r="A1205" s="22"/>
      <c r="B1205" s="8"/>
      <c r="C1205" s="62"/>
      <c r="D1205" s="8"/>
      <c r="E1205" s="8"/>
      <c r="J1205" s="37"/>
    </row>
    <row r="1206">
      <c r="A1206" s="22"/>
      <c r="B1206" s="8"/>
      <c r="C1206" s="62"/>
      <c r="D1206" s="8"/>
      <c r="E1206" s="8"/>
      <c r="J1206" s="37"/>
    </row>
    <row r="1207">
      <c r="A1207" s="22"/>
      <c r="B1207" s="8"/>
      <c r="C1207" s="62"/>
      <c r="D1207" s="8"/>
      <c r="E1207" s="8"/>
      <c r="J1207" s="37"/>
    </row>
    <row r="1208">
      <c r="A1208" s="22"/>
      <c r="B1208" s="8"/>
      <c r="C1208" s="62"/>
      <c r="D1208" s="8"/>
      <c r="E1208" s="8"/>
      <c r="J1208" s="37"/>
    </row>
    <row r="1209">
      <c r="A1209" s="22"/>
      <c r="B1209" s="8"/>
      <c r="C1209" s="62"/>
      <c r="D1209" s="8"/>
      <c r="E1209" s="8"/>
      <c r="J1209" s="37"/>
    </row>
    <row r="1210">
      <c r="A1210" s="22"/>
      <c r="B1210" s="8"/>
      <c r="C1210" s="62"/>
      <c r="D1210" s="8"/>
      <c r="E1210" s="8"/>
      <c r="J1210" s="37"/>
    </row>
    <row r="1211">
      <c r="A1211" s="22"/>
      <c r="B1211" s="8"/>
      <c r="C1211" s="62"/>
      <c r="D1211" s="8"/>
      <c r="E1211" s="8"/>
      <c r="J1211" s="37"/>
    </row>
    <row r="1212">
      <c r="A1212" s="22"/>
      <c r="B1212" s="8"/>
      <c r="C1212" s="62"/>
      <c r="D1212" s="8"/>
      <c r="E1212" s="8"/>
      <c r="J1212" s="37"/>
    </row>
    <row r="1213">
      <c r="A1213" s="22"/>
      <c r="B1213" s="8"/>
      <c r="C1213" s="62"/>
      <c r="D1213" s="8"/>
      <c r="E1213" s="8"/>
      <c r="J1213" s="37"/>
    </row>
    <row r="1214">
      <c r="A1214" s="22"/>
      <c r="B1214" s="8"/>
      <c r="C1214" s="62"/>
      <c r="D1214" s="8"/>
      <c r="E1214" s="8"/>
      <c r="J1214" s="37"/>
    </row>
    <row r="1215">
      <c r="A1215" s="22"/>
      <c r="B1215" s="8"/>
      <c r="C1215" s="62"/>
      <c r="D1215" s="8"/>
      <c r="E1215" s="8"/>
      <c r="J1215" s="37"/>
    </row>
    <row r="1216">
      <c r="A1216" s="22"/>
      <c r="B1216" s="8"/>
      <c r="C1216" s="62"/>
      <c r="D1216" s="8"/>
      <c r="E1216" s="8"/>
      <c r="J1216" s="37"/>
    </row>
    <row r="1217">
      <c r="A1217" s="22"/>
      <c r="B1217" s="8"/>
      <c r="C1217" s="62"/>
      <c r="D1217" s="8"/>
      <c r="E1217" s="8"/>
      <c r="J1217" s="37"/>
    </row>
    <row r="1218">
      <c r="A1218" s="22"/>
      <c r="B1218" s="8"/>
      <c r="C1218" s="62"/>
      <c r="D1218" s="8"/>
      <c r="E1218" s="8"/>
      <c r="J1218" s="37"/>
    </row>
    <row r="1219">
      <c r="A1219" s="22"/>
      <c r="B1219" s="8"/>
      <c r="C1219" s="62"/>
      <c r="D1219" s="8"/>
      <c r="E1219" s="8"/>
      <c r="J1219" s="37"/>
    </row>
    <row r="1220">
      <c r="A1220" s="22"/>
      <c r="B1220" s="8"/>
      <c r="C1220" s="62"/>
      <c r="D1220" s="8"/>
      <c r="E1220" s="8"/>
      <c r="J1220" s="37"/>
    </row>
    <row r="1221">
      <c r="A1221" s="22"/>
      <c r="B1221" s="8"/>
      <c r="C1221" s="62"/>
      <c r="D1221" s="8"/>
      <c r="E1221" s="8"/>
      <c r="J1221" s="37"/>
    </row>
    <row r="1222">
      <c r="A1222" s="22"/>
      <c r="B1222" s="8"/>
      <c r="C1222" s="62"/>
      <c r="D1222" s="8"/>
      <c r="E1222" s="8"/>
      <c r="J1222" s="37"/>
    </row>
    <row r="1223">
      <c r="A1223" s="22"/>
      <c r="B1223" s="8"/>
      <c r="C1223" s="62"/>
      <c r="D1223" s="8"/>
      <c r="E1223" s="8"/>
      <c r="J1223" s="37"/>
    </row>
    <row r="1224">
      <c r="A1224" s="22"/>
      <c r="B1224" s="8"/>
      <c r="C1224" s="62"/>
      <c r="D1224" s="8"/>
      <c r="E1224" s="8"/>
      <c r="J1224" s="37"/>
    </row>
    <row r="1225">
      <c r="A1225" s="22"/>
      <c r="B1225" s="8"/>
      <c r="C1225" s="62"/>
      <c r="D1225" s="8"/>
      <c r="E1225" s="8"/>
      <c r="J1225" s="37"/>
    </row>
    <row r="1226">
      <c r="A1226" s="22"/>
      <c r="B1226" s="8"/>
      <c r="C1226" s="62"/>
      <c r="D1226" s="8"/>
      <c r="E1226" s="8"/>
      <c r="J1226" s="37"/>
    </row>
    <row r="1227">
      <c r="A1227" s="22"/>
      <c r="B1227" s="8"/>
      <c r="C1227" s="62"/>
      <c r="D1227" s="8"/>
      <c r="E1227" s="8"/>
      <c r="J1227" s="37"/>
    </row>
    <row r="1228">
      <c r="A1228" s="22"/>
      <c r="B1228" s="8"/>
      <c r="C1228" s="62"/>
      <c r="D1228" s="8"/>
      <c r="E1228" s="8"/>
      <c r="J1228" s="37"/>
    </row>
    <row r="1229">
      <c r="A1229" s="22"/>
      <c r="B1229" s="8"/>
      <c r="C1229" s="62"/>
      <c r="D1229" s="8"/>
      <c r="E1229" s="8"/>
      <c r="J1229" s="37"/>
    </row>
    <row r="1230">
      <c r="A1230" s="22"/>
      <c r="B1230" s="8"/>
      <c r="C1230" s="62"/>
      <c r="D1230" s="8"/>
      <c r="E1230" s="8"/>
      <c r="J1230" s="37"/>
    </row>
    <row r="1231">
      <c r="A1231" s="22"/>
      <c r="B1231" s="8"/>
      <c r="C1231" s="62"/>
      <c r="D1231" s="8"/>
      <c r="E1231" s="8"/>
      <c r="J1231" s="37"/>
    </row>
    <row r="1232">
      <c r="A1232" s="22"/>
      <c r="B1232" s="8"/>
      <c r="C1232" s="62"/>
      <c r="D1232" s="8"/>
      <c r="E1232" s="8"/>
      <c r="J1232" s="37"/>
    </row>
    <row r="1233">
      <c r="A1233" s="22"/>
      <c r="B1233" s="8"/>
      <c r="C1233" s="62"/>
      <c r="D1233" s="8"/>
      <c r="E1233" s="8"/>
      <c r="J1233" s="37"/>
    </row>
    <row r="1234">
      <c r="A1234" s="22"/>
      <c r="B1234" s="8"/>
      <c r="C1234" s="62"/>
      <c r="D1234" s="8"/>
      <c r="E1234" s="8"/>
      <c r="J1234" s="37"/>
    </row>
    <row r="1235">
      <c r="A1235" s="22"/>
      <c r="B1235" s="8"/>
      <c r="C1235" s="62"/>
      <c r="D1235" s="8"/>
      <c r="E1235" s="8"/>
      <c r="J1235" s="37"/>
    </row>
    <row r="1236">
      <c r="A1236" s="22"/>
      <c r="B1236" s="8"/>
      <c r="C1236" s="62"/>
      <c r="D1236" s="8"/>
      <c r="E1236" s="8"/>
      <c r="J1236" s="37"/>
    </row>
    <row r="1237">
      <c r="A1237" s="22"/>
      <c r="B1237" s="8"/>
      <c r="C1237" s="62"/>
      <c r="D1237" s="8"/>
      <c r="E1237" s="8"/>
      <c r="J1237" s="37"/>
    </row>
    <row r="1238">
      <c r="A1238" s="22"/>
      <c r="B1238" s="8"/>
      <c r="C1238" s="62"/>
      <c r="D1238" s="8"/>
      <c r="E1238" s="8"/>
      <c r="J1238" s="37"/>
    </row>
    <row r="1239">
      <c r="A1239" s="22"/>
      <c r="B1239" s="8"/>
      <c r="C1239" s="62"/>
      <c r="D1239" s="8"/>
      <c r="E1239" s="8"/>
      <c r="J1239" s="37"/>
    </row>
    <row r="1240">
      <c r="A1240" s="22"/>
      <c r="B1240" s="8"/>
      <c r="C1240" s="62"/>
      <c r="D1240" s="8"/>
      <c r="E1240" s="8"/>
      <c r="J1240" s="37"/>
    </row>
    <row r="1241">
      <c r="A1241" s="22"/>
      <c r="B1241" s="8"/>
      <c r="C1241" s="62"/>
      <c r="D1241" s="8"/>
      <c r="E1241" s="8"/>
      <c r="J1241" s="37"/>
    </row>
    <row r="1242">
      <c r="A1242" s="22"/>
      <c r="B1242" s="8"/>
      <c r="C1242" s="62"/>
      <c r="D1242" s="8"/>
      <c r="E1242" s="8"/>
      <c r="J1242" s="37"/>
    </row>
    <row r="1243">
      <c r="A1243" s="22"/>
      <c r="B1243" s="8"/>
      <c r="C1243" s="62"/>
      <c r="D1243" s="8"/>
      <c r="E1243" s="8"/>
      <c r="J1243" s="37"/>
    </row>
    <row r="1244">
      <c r="A1244" s="22"/>
      <c r="B1244" s="8"/>
      <c r="C1244" s="62"/>
      <c r="D1244" s="8"/>
      <c r="E1244" s="8"/>
      <c r="J1244" s="37"/>
    </row>
    <row r="1245">
      <c r="A1245" s="22"/>
      <c r="B1245" s="8"/>
      <c r="C1245" s="62"/>
      <c r="D1245" s="8"/>
      <c r="E1245" s="8"/>
      <c r="J1245" s="37"/>
    </row>
    <row r="1246">
      <c r="A1246" s="22"/>
      <c r="B1246" s="8"/>
      <c r="C1246" s="62"/>
      <c r="D1246" s="8"/>
      <c r="E1246" s="8"/>
      <c r="J1246" s="37"/>
    </row>
    <row r="1247">
      <c r="A1247" s="22"/>
      <c r="B1247" s="8"/>
      <c r="C1247" s="62"/>
      <c r="D1247" s="8"/>
      <c r="E1247" s="8"/>
      <c r="J1247" s="37"/>
    </row>
    <row r="1248">
      <c r="A1248" s="22"/>
      <c r="B1248" s="8"/>
      <c r="C1248" s="62"/>
      <c r="D1248" s="8"/>
      <c r="E1248" s="8"/>
      <c r="J1248" s="37"/>
    </row>
    <row r="1249">
      <c r="A1249" s="22"/>
      <c r="B1249" s="8"/>
      <c r="C1249" s="62"/>
      <c r="D1249" s="8"/>
      <c r="E1249" s="8"/>
      <c r="J1249" s="37"/>
    </row>
    <row r="1250">
      <c r="A1250" s="22"/>
      <c r="B1250" s="8"/>
      <c r="C1250" s="62"/>
      <c r="D1250" s="8"/>
      <c r="E1250" s="8"/>
      <c r="J1250" s="37"/>
    </row>
    <row r="1251">
      <c r="A1251" s="22"/>
      <c r="B1251" s="8"/>
      <c r="C1251" s="62"/>
      <c r="D1251" s="8"/>
      <c r="E1251" s="8"/>
      <c r="J1251" s="37"/>
    </row>
    <row r="1252">
      <c r="A1252" s="22"/>
      <c r="B1252" s="8"/>
      <c r="C1252" s="62"/>
      <c r="D1252" s="8"/>
      <c r="E1252" s="8"/>
      <c r="J1252" s="37"/>
    </row>
    <row r="1253">
      <c r="A1253" s="22"/>
      <c r="B1253" s="8"/>
      <c r="C1253" s="62"/>
      <c r="D1253" s="8"/>
      <c r="E1253" s="8"/>
      <c r="J1253" s="37"/>
    </row>
    <row r="1254">
      <c r="A1254" s="22"/>
      <c r="B1254" s="8"/>
      <c r="C1254" s="62"/>
      <c r="D1254" s="8"/>
      <c r="E1254" s="8"/>
      <c r="J1254" s="37"/>
    </row>
    <row r="1255">
      <c r="A1255" s="22"/>
      <c r="B1255" s="8"/>
      <c r="C1255" s="62"/>
      <c r="D1255" s="8"/>
      <c r="E1255" s="8"/>
      <c r="J1255" s="37"/>
    </row>
    <row r="1256">
      <c r="A1256" s="22"/>
      <c r="B1256" s="8"/>
      <c r="C1256" s="62"/>
      <c r="D1256" s="8"/>
      <c r="E1256" s="8"/>
      <c r="J1256" s="37"/>
    </row>
    <row r="1257">
      <c r="A1257" s="22"/>
      <c r="B1257" s="8"/>
      <c r="C1257" s="62"/>
      <c r="D1257" s="8"/>
      <c r="E1257" s="8"/>
      <c r="J1257" s="37"/>
    </row>
    <row r="1258">
      <c r="A1258" s="22"/>
      <c r="B1258" s="8"/>
      <c r="C1258" s="62"/>
      <c r="D1258" s="8"/>
      <c r="E1258" s="8"/>
      <c r="J1258" s="37"/>
    </row>
    <row r="1259">
      <c r="A1259" s="22"/>
      <c r="B1259" s="8"/>
      <c r="C1259" s="62"/>
      <c r="D1259" s="8"/>
      <c r="E1259" s="8"/>
      <c r="J1259" s="37"/>
    </row>
    <row r="1260">
      <c r="A1260" s="22"/>
      <c r="B1260" s="8"/>
      <c r="C1260" s="62"/>
      <c r="D1260" s="8"/>
      <c r="E1260" s="8"/>
      <c r="J1260" s="37"/>
    </row>
    <row r="1261">
      <c r="A1261" s="22"/>
      <c r="B1261" s="8"/>
      <c r="C1261" s="62"/>
      <c r="D1261" s="8"/>
      <c r="E1261" s="8"/>
      <c r="J1261" s="37"/>
    </row>
    <row r="1262">
      <c r="A1262" s="22"/>
      <c r="B1262" s="8"/>
      <c r="C1262" s="62"/>
      <c r="D1262" s="8"/>
      <c r="E1262" s="8"/>
      <c r="J1262" s="37"/>
    </row>
    <row r="1263">
      <c r="A1263" s="22"/>
      <c r="B1263" s="8"/>
      <c r="C1263" s="62"/>
      <c r="D1263" s="8"/>
      <c r="E1263" s="8"/>
      <c r="J1263" s="37"/>
    </row>
    <row r="1264">
      <c r="A1264" s="22"/>
      <c r="B1264" s="8"/>
      <c r="C1264" s="62"/>
      <c r="D1264" s="8"/>
      <c r="E1264" s="8"/>
      <c r="J1264" s="37"/>
    </row>
    <row r="1265">
      <c r="A1265" s="22"/>
      <c r="B1265" s="8"/>
      <c r="C1265" s="62"/>
      <c r="D1265" s="8"/>
      <c r="E1265" s="8"/>
      <c r="J1265" s="37"/>
    </row>
    <row r="1266">
      <c r="A1266" s="22"/>
      <c r="B1266" s="8"/>
      <c r="C1266" s="62"/>
      <c r="D1266" s="8"/>
      <c r="E1266" s="8"/>
      <c r="J1266" s="37"/>
    </row>
    <row r="1267">
      <c r="A1267" s="22"/>
      <c r="B1267" s="8"/>
      <c r="C1267" s="62"/>
      <c r="D1267" s="8"/>
      <c r="E1267" s="8"/>
      <c r="J1267" s="37"/>
    </row>
    <row r="1268">
      <c r="A1268" s="22"/>
      <c r="B1268" s="8"/>
      <c r="C1268" s="62"/>
      <c r="D1268" s="8"/>
      <c r="E1268" s="8"/>
      <c r="J1268" s="37"/>
    </row>
    <row r="1269">
      <c r="A1269" s="22"/>
      <c r="B1269" s="8"/>
      <c r="C1269" s="62"/>
      <c r="D1269" s="8"/>
      <c r="E1269" s="8"/>
      <c r="J1269" s="37"/>
    </row>
    <row r="1270">
      <c r="A1270" s="22"/>
      <c r="B1270" s="8"/>
      <c r="C1270" s="62"/>
      <c r="D1270" s="8"/>
      <c r="E1270" s="8"/>
      <c r="J1270" s="37"/>
    </row>
    <row r="1271">
      <c r="A1271" s="22"/>
      <c r="B1271" s="8"/>
      <c r="C1271" s="62"/>
      <c r="D1271" s="8"/>
      <c r="E1271" s="8"/>
      <c r="J1271" s="37"/>
    </row>
    <row r="1272">
      <c r="A1272" s="22"/>
      <c r="B1272" s="8"/>
      <c r="C1272" s="62"/>
      <c r="D1272" s="8"/>
      <c r="E1272" s="8"/>
      <c r="J1272" s="37"/>
    </row>
    <row r="1273">
      <c r="A1273" s="22"/>
      <c r="B1273" s="8"/>
      <c r="C1273" s="62"/>
      <c r="D1273" s="8"/>
      <c r="E1273" s="8"/>
      <c r="J1273" s="37"/>
    </row>
    <row r="1274">
      <c r="A1274" s="22"/>
      <c r="B1274" s="8"/>
      <c r="C1274" s="62"/>
      <c r="D1274" s="8"/>
      <c r="E1274" s="8"/>
      <c r="J1274" s="37"/>
    </row>
    <row r="1275">
      <c r="A1275" s="22"/>
      <c r="B1275" s="8"/>
      <c r="C1275" s="62"/>
      <c r="D1275" s="8"/>
      <c r="E1275" s="8"/>
      <c r="J1275" s="37"/>
    </row>
    <row r="1276">
      <c r="A1276" s="22"/>
      <c r="B1276" s="8"/>
      <c r="C1276" s="62"/>
      <c r="D1276" s="8"/>
      <c r="E1276" s="8"/>
      <c r="J1276" s="37"/>
    </row>
    <row r="1277">
      <c r="A1277" s="22"/>
      <c r="B1277" s="8"/>
      <c r="C1277" s="62"/>
      <c r="D1277" s="8"/>
      <c r="E1277" s="8"/>
      <c r="J1277" s="37"/>
    </row>
    <row r="1278">
      <c r="A1278" s="22"/>
      <c r="B1278" s="8"/>
      <c r="C1278" s="62"/>
      <c r="D1278" s="8"/>
      <c r="E1278" s="8"/>
      <c r="J1278" s="37"/>
    </row>
    <row r="1279">
      <c r="A1279" s="22"/>
      <c r="B1279" s="8"/>
      <c r="C1279" s="62"/>
      <c r="D1279" s="8"/>
      <c r="E1279" s="8"/>
      <c r="J1279" s="37"/>
    </row>
    <row r="1280">
      <c r="A1280" s="22"/>
      <c r="B1280" s="8"/>
      <c r="C1280" s="62"/>
      <c r="D1280" s="8"/>
      <c r="E1280" s="8"/>
      <c r="J1280" s="37"/>
    </row>
    <row r="1281">
      <c r="A1281" s="22"/>
      <c r="B1281" s="8"/>
      <c r="C1281" s="62"/>
      <c r="D1281" s="8"/>
      <c r="E1281" s="8"/>
      <c r="J1281" s="37"/>
    </row>
    <row r="1282">
      <c r="A1282" s="22"/>
      <c r="B1282" s="8"/>
      <c r="C1282" s="62"/>
      <c r="D1282" s="8"/>
      <c r="E1282" s="8"/>
      <c r="J1282" s="37"/>
    </row>
    <row r="1283">
      <c r="A1283" s="22"/>
      <c r="B1283" s="8"/>
      <c r="C1283" s="62"/>
      <c r="D1283" s="8"/>
      <c r="E1283" s="8"/>
      <c r="J1283" s="37"/>
    </row>
    <row r="1284">
      <c r="A1284" s="22"/>
      <c r="B1284" s="8"/>
      <c r="C1284" s="62"/>
      <c r="D1284" s="8"/>
      <c r="E1284" s="8"/>
      <c r="J1284" s="37"/>
    </row>
    <row r="1285">
      <c r="A1285" s="22"/>
      <c r="B1285" s="8"/>
      <c r="C1285" s="62"/>
      <c r="D1285" s="8"/>
      <c r="E1285" s="8"/>
      <c r="J1285" s="37"/>
    </row>
    <row r="1286">
      <c r="A1286" s="22"/>
      <c r="B1286" s="8"/>
      <c r="C1286" s="62"/>
      <c r="D1286" s="8"/>
      <c r="E1286" s="8"/>
      <c r="J1286" s="37"/>
    </row>
    <row r="1287">
      <c r="A1287" s="22"/>
      <c r="B1287" s="8"/>
      <c r="C1287" s="62"/>
      <c r="D1287" s="8"/>
      <c r="E1287" s="8"/>
      <c r="J1287" s="37"/>
    </row>
    <row r="1288">
      <c r="A1288" s="22"/>
      <c r="B1288" s="8"/>
      <c r="C1288" s="62"/>
      <c r="D1288" s="8"/>
      <c r="E1288" s="8"/>
      <c r="J1288" s="37"/>
    </row>
    <row r="1289">
      <c r="A1289" s="22"/>
      <c r="B1289" s="8"/>
      <c r="C1289" s="62"/>
      <c r="D1289" s="8"/>
      <c r="E1289" s="8"/>
      <c r="J1289" s="37"/>
    </row>
    <row r="1290">
      <c r="A1290" s="22"/>
      <c r="B1290" s="8"/>
      <c r="C1290" s="62"/>
      <c r="D1290" s="8"/>
      <c r="E1290" s="8"/>
      <c r="J1290" s="37"/>
    </row>
    <row r="1291">
      <c r="A1291" s="22"/>
      <c r="B1291" s="8"/>
      <c r="C1291" s="62"/>
      <c r="D1291" s="8"/>
      <c r="E1291" s="8"/>
      <c r="J1291" s="37"/>
    </row>
    <row r="1292">
      <c r="A1292" s="22"/>
      <c r="B1292" s="8"/>
      <c r="C1292" s="62"/>
      <c r="D1292" s="8"/>
      <c r="E1292" s="8"/>
      <c r="J1292" s="37"/>
    </row>
    <row r="1293">
      <c r="A1293" s="22"/>
      <c r="B1293" s="8"/>
      <c r="C1293" s="62"/>
      <c r="D1293" s="8"/>
      <c r="E1293" s="8"/>
      <c r="J1293" s="37"/>
    </row>
    <row r="1294">
      <c r="A1294" s="22"/>
      <c r="B1294" s="8"/>
      <c r="C1294" s="62"/>
      <c r="D1294" s="8"/>
      <c r="E1294" s="8"/>
      <c r="J1294" s="37"/>
    </row>
    <row r="1295">
      <c r="A1295" s="22"/>
      <c r="B1295" s="8"/>
      <c r="C1295" s="62"/>
      <c r="D1295" s="8"/>
      <c r="E1295" s="8"/>
      <c r="J1295" s="37"/>
    </row>
    <row r="1296">
      <c r="A1296" s="22"/>
      <c r="B1296" s="8"/>
      <c r="C1296" s="62"/>
      <c r="D1296" s="8"/>
      <c r="E1296" s="8"/>
      <c r="J1296" s="37"/>
    </row>
    <row r="1297">
      <c r="A1297" s="22"/>
      <c r="B1297" s="8"/>
      <c r="C1297" s="62"/>
      <c r="D1297" s="8"/>
      <c r="E1297" s="8"/>
      <c r="J1297" s="37"/>
    </row>
    <row r="1298">
      <c r="A1298" s="22"/>
      <c r="B1298" s="8"/>
      <c r="C1298" s="62"/>
      <c r="D1298" s="8"/>
      <c r="E1298" s="8"/>
      <c r="J1298" s="37"/>
    </row>
    <row r="1299">
      <c r="A1299" s="22"/>
      <c r="B1299" s="8"/>
      <c r="C1299" s="62"/>
      <c r="D1299" s="8"/>
      <c r="E1299" s="8"/>
      <c r="J1299" s="37"/>
    </row>
    <row r="1300">
      <c r="A1300" s="22"/>
      <c r="B1300" s="8"/>
      <c r="C1300" s="62"/>
      <c r="D1300" s="8"/>
      <c r="E1300" s="8"/>
      <c r="J1300" s="37"/>
    </row>
    <row r="1301">
      <c r="A1301" s="22"/>
      <c r="B1301" s="8"/>
      <c r="C1301" s="62"/>
      <c r="D1301" s="8"/>
      <c r="E1301" s="8"/>
      <c r="J1301" s="37"/>
    </row>
    <row r="1302">
      <c r="A1302" s="22"/>
      <c r="B1302" s="8"/>
      <c r="C1302" s="62"/>
      <c r="D1302" s="8"/>
      <c r="E1302" s="8"/>
      <c r="J1302" s="37"/>
    </row>
    <row r="1303">
      <c r="A1303" s="22"/>
      <c r="B1303" s="8"/>
      <c r="C1303" s="62"/>
      <c r="D1303" s="8"/>
      <c r="E1303" s="8"/>
      <c r="J1303" s="37"/>
    </row>
    <row r="1304">
      <c r="A1304" s="22"/>
      <c r="B1304" s="8"/>
      <c r="C1304" s="62"/>
      <c r="D1304" s="8"/>
      <c r="E1304" s="8"/>
      <c r="J1304" s="37"/>
    </row>
    <row r="1305">
      <c r="A1305" s="22"/>
      <c r="B1305" s="8"/>
      <c r="C1305" s="62"/>
      <c r="D1305" s="8"/>
      <c r="E1305" s="8"/>
      <c r="J1305" s="37"/>
    </row>
    <row r="1306">
      <c r="A1306" s="22"/>
      <c r="B1306" s="8"/>
      <c r="C1306" s="62"/>
      <c r="D1306" s="8"/>
      <c r="E1306" s="8"/>
      <c r="J1306" s="37"/>
    </row>
    <row r="1307">
      <c r="A1307" s="22"/>
      <c r="B1307" s="8"/>
      <c r="C1307" s="62"/>
      <c r="D1307" s="8"/>
      <c r="E1307" s="8"/>
      <c r="J1307" s="37"/>
    </row>
    <row r="1308">
      <c r="A1308" s="22"/>
      <c r="B1308" s="8"/>
      <c r="C1308" s="62"/>
      <c r="D1308" s="8"/>
      <c r="E1308" s="8"/>
      <c r="J1308" s="37"/>
    </row>
    <row r="1309">
      <c r="A1309" s="22"/>
      <c r="B1309" s="8"/>
      <c r="C1309" s="62"/>
      <c r="D1309" s="8"/>
      <c r="E1309" s="8"/>
      <c r="J1309" s="37"/>
    </row>
    <row r="1310">
      <c r="A1310" s="22"/>
      <c r="B1310" s="8"/>
      <c r="C1310" s="62"/>
      <c r="D1310" s="8"/>
      <c r="E1310" s="8"/>
      <c r="J1310" s="37"/>
    </row>
    <row r="1311">
      <c r="A1311" s="22"/>
      <c r="B1311" s="8"/>
      <c r="C1311" s="62"/>
      <c r="D1311" s="8"/>
      <c r="E1311" s="8"/>
      <c r="J1311" s="37"/>
    </row>
    <row r="1312">
      <c r="A1312" s="22"/>
      <c r="B1312" s="8"/>
      <c r="C1312" s="62"/>
      <c r="D1312" s="8"/>
      <c r="E1312" s="8"/>
      <c r="J1312" s="37"/>
    </row>
    <row r="1313">
      <c r="A1313" s="22"/>
      <c r="B1313" s="8"/>
      <c r="C1313" s="62"/>
      <c r="D1313" s="8"/>
      <c r="E1313" s="8"/>
      <c r="J1313" s="37"/>
    </row>
    <row r="1314">
      <c r="A1314" s="22"/>
      <c r="B1314" s="8"/>
      <c r="C1314" s="62"/>
      <c r="D1314" s="8"/>
      <c r="E1314" s="8"/>
      <c r="J1314" s="37"/>
    </row>
    <row r="1315">
      <c r="A1315" s="22"/>
      <c r="B1315" s="8"/>
      <c r="C1315" s="62"/>
      <c r="D1315" s="8"/>
      <c r="E1315" s="8"/>
      <c r="J1315" s="37"/>
    </row>
    <row r="1316">
      <c r="A1316" s="22"/>
      <c r="B1316" s="8"/>
      <c r="C1316" s="62"/>
      <c r="D1316" s="8"/>
      <c r="E1316" s="8"/>
      <c r="J1316" s="37"/>
    </row>
    <row r="1317">
      <c r="A1317" s="22"/>
      <c r="B1317" s="8"/>
      <c r="C1317" s="62"/>
      <c r="D1317" s="8"/>
      <c r="E1317" s="8"/>
      <c r="J1317" s="37"/>
    </row>
    <row r="1318">
      <c r="A1318" s="22"/>
      <c r="B1318" s="8"/>
      <c r="C1318" s="62"/>
      <c r="D1318" s="8"/>
      <c r="E1318" s="8"/>
      <c r="J1318" s="37"/>
    </row>
    <row r="1319">
      <c r="A1319" s="22"/>
      <c r="B1319" s="8"/>
      <c r="C1319" s="62"/>
      <c r="D1319" s="8"/>
      <c r="E1319" s="8"/>
      <c r="J1319" s="37"/>
    </row>
    <row r="1320">
      <c r="A1320" s="22"/>
      <c r="B1320" s="8"/>
      <c r="C1320" s="62"/>
      <c r="D1320" s="8"/>
      <c r="E1320" s="8"/>
      <c r="J1320" s="37"/>
    </row>
    <row r="1321">
      <c r="A1321" s="22"/>
      <c r="B1321" s="8"/>
      <c r="C1321" s="62"/>
      <c r="D1321" s="8"/>
      <c r="E1321" s="8"/>
      <c r="J1321" s="37"/>
    </row>
    <row r="1322">
      <c r="A1322" s="22"/>
      <c r="B1322" s="8"/>
      <c r="C1322" s="62"/>
      <c r="D1322" s="8"/>
      <c r="E1322" s="8"/>
      <c r="J1322" s="37"/>
    </row>
    <row r="1323">
      <c r="A1323" s="22"/>
      <c r="B1323" s="8"/>
      <c r="C1323" s="62"/>
      <c r="D1323" s="8"/>
      <c r="E1323" s="8"/>
      <c r="J1323" s="37"/>
    </row>
    <row r="1324">
      <c r="A1324" s="22"/>
      <c r="B1324" s="8"/>
      <c r="C1324" s="62"/>
      <c r="D1324" s="8"/>
      <c r="E1324" s="8"/>
      <c r="J1324" s="37"/>
    </row>
    <row r="1325">
      <c r="A1325" s="22"/>
      <c r="B1325" s="8"/>
      <c r="C1325" s="62"/>
      <c r="D1325" s="8"/>
      <c r="E1325" s="8"/>
      <c r="J1325" s="37"/>
    </row>
    <row r="1326">
      <c r="A1326" s="22"/>
      <c r="B1326" s="8"/>
      <c r="C1326" s="62"/>
      <c r="D1326" s="8"/>
      <c r="E1326" s="8"/>
      <c r="J1326" s="37"/>
    </row>
    <row r="1327">
      <c r="A1327" s="22"/>
      <c r="B1327" s="8"/>
      <c r="C1327" s="62"/>
      <c r="D1327" s="8"/>
      <c r="E1327" s="8"/>
      <c r="J1327" s="37"/>
    </row>
    <row r="1328">
      <c r="A1328" s="22"/>
      <c r="B1328" s="8"/>
      <c r="C1328" s="62"/>
      <c r="D1328" s="8"/>
      <c r="E1328" s="8"/>
      <c r="J1328" s="37"/>
    </row>
    <row r="1329">
      <c r="A1329" s="22"/>
      <c r="B1329" s="8"/>
      <c r="C1329" s="62"/>
      <c r="D1329" s="8"/>
      <c r="E1329" s="8"/>
      <c r="J1329" s="37"/>
    </row>
    <row r="1330">
      <c r="A1330" s="22"/>
      <c r="B1330" s="8"/>
      <c r="C1330" s="62"/>
      <c r="D1330" s="8"/>
      <c r="E1330" s="8"/>
      <c r="J1330" s="37"/>
    </row>
    <row r="1331">
      <c r="A1331" s="22"/>
      <c r="B1331" s="8"/>
      <c r="C1331" s="62"/>
      <c r="D1331" s="8"/>
      <c r="E1331" s="8"/>
      <c r="J1331" s="37"/>
    </row>
    <row r="1332">
      <c r="A1332" s="22"/>
      <c r="B1332" s="8"/>
      <c r="C1332" s="62"/>
      <c r="D1332" s="8"/>
      <c r="E1332" s="8"/>
      <c r="J1332" s="37"/>
    </row>
    <row r="1333">
      <c r="A1333" s="22"/>
      <c r="B1333" s="8"/>
      <c r="C1333" s="62"/>
      <c r="D1333" s="8"/>
      <c r="E1333" s="8"/>
      <c r="J1333" s="37"/>
    </row>
    <row r="1334">
      <c r="A1334" s="22"/>
      <c r="B1334" s="8"/>
      <c r="C1334" s="62"/>
      <c r="D1334" s="8"/>
      <c r="E1334" s="8"/>
      <c r="J1334" s="37"/>
    </row>
    <row r="1335">
      <c r="A1335" s="22"/>
      <c r="B1335" s="8"/>
      <c r="C1335" s="62"/>
      <c r="D1335" s="8"/>
      <c r="E1335" s="8"/>
      <c r="J1335" s="37"/>
    </row>
    <row r="1336">
      <c r="A1336" s="22"/>
      <c r="B1336" s="8"/>
      <c r="C1336" s="62"/>
      <c r="D1336" s="8"/>
      <c r="E1336" s="8"/>
      <c r="J1336" s="37"/>
    </row>
    <row r="1337">
      <c r="A1337" s="22"/>
      <c r="B1337" s="8"/>
      <c r="C1337" s="62"/>
      <c r="D1337" s="8"/>
      <c r="E1337" s="8"/>
      <c r="J1337" s="37"/>
    </row>
    <row r="1338">
      <c r="A1338" s="22"/>
      <c r="B1338" s="8"/>
      <c r="C1338" s="62"/>
      <c r="D1338" s="8"/>
      <c r="E1338" s="8"/>
      <c r="J1338" s="37"/>
    </row>
    <row r="1339">
      <c r="A1339" s="22"/>
      <c r="B1339" s="8"/>
      <c r="C1339" s="62"/>
      <c r="D1339" s="8"/>
      <c r="E1339" s="8"/>
      <c r="J1339" s="37"/>
    </row>
    <row r="1340">
      <c r="A1340" s="22"/>
      <c r="B1340" s="8"/>
      <c r="C1340" s="62"/>
      <c r="D1340" s="8"/>
      <c r="E1340" s="8"/>
      <c r="J1340" s="37"/>
    </row>
    <row r="1341">
      <c r="A1341" s="22"/>
      <c r="B1341" s="8"/>
      <c r="C1341" s="62"/>
      <c r="D1341" s="8"/>
      <c r="E1341" s="8"/>
      <c r="J1341" s="37"/>
    </row>
    <row r="1342">
      <c r="A1342" s="22"/>
      <c r="B1342" s="8"/>
      <c r="C1342" s="62"/>
      <c r="D1342" s="8"/>
      <c r="E1342" s="8"/>
      <c r="J1342" s="37"/>
    </row>
    <row r="1343">
      <c r="A1343" s="22"/>
      <c r="B1343" s="8"/>
      <c r="C1343" s="62"/>
      <c r="D1343" s="8"/>
      <c r="E1343" s="8"/>
      <c r="J1343" s="37"/>
    </row>
    <row r="1344">
      <c r="A1344" s="22"/>
      <c r="B1344" s="8"/>
      <c r="C1344" s="62"/>
      <c r="D1344" s="8"/>
      <c r="E1344" s="8"/>
      <c r="J1344" s="37"/>
    </row>
    <row r="1345">
      <c r="A1345" s="22"/>
      <c r="B1345" s="8"/>
      <c r="C1345" s="62"/>
      <c r="D1345" s="8"/>
      <c r="E1345" s="8"/>
      <c r="J1345" s="37"/>
    </row>
    <row r="1346">
      <c r="A1346" s="22"/>
      <c r="B1346" s="8"/>
      <c r="C1346" s="62"/>
      <c r="D1346" s="8"/>
      <c r="E1346" s="8"/>
      <c r="J1346" s="37"/>
    </row>
    <row r="1347">
      <c r="A1347" s="22"/>
      <c r="B1347" s="8"/>
      <c r="C1347" s="62"/>
      <c r="D1347" s="8"/>
      <c r="E1347" s="8"/>
      <c r="J1347" s="37"/>
    </row>
  </sheetData>
  <conditionalFormatting sqref="A1:S1">
    <cfRule type="notContainsBlanks" dxfId="0" priority="1">
      <formula>LEN(TRIM(A1))&gt;0</formula>
    </cfRule>
  </conditionalFormatting>
  <hyperlinks>
    <hyperlink r:id="rId1" ref="H2"/>
    <hyperlink r:id="rId2" ref="I2"/>
    <hyperlink r:id="rId3" ref="H3"/>
    <hyperlink r:id="rId4" ref="H4"/>
    <hyperlink r:id="rId5" ref="H5"/>
    <hyperlink r:id="rId6" ref="H6"/>
    <hyperlink r:id="rId7" ref="H7"/>
    <hyperlink r:id="rId8" ref="J7"/>
    <hyperlink r:id="rId9" ref="H8"/>
    <hyperlink r:id="rId10" ref="J8"/>
    <hyperlink r:id="rId11" ref="H9"/>
    <hyperlink r:id="rId12" ref="J9"/>
    <hyperlink r:id="rId13" ref="H10"/>
    <hyperlink r:id="rId14" ref="H11"/>
    <hyperlink r:id="rId15" ref="I11"/>
    <hyperlink r:id="rId16" ref="H12"/>
    <hyperlink r:id="rId17" ref="H13"/>
    <hyperlink r:id="rId18" ref="H14"/>
    <hyperlink r:id="rId19" ref="H15"/>
    <hyperlink r:id="rId20" ref="H16"/>
    <hyperlink r:id="rId21" ref="I16"/>
    <hyperlink r:id="rId22" ref="H17"/>
    <hyperlink r:id="rId23" ref="H18"/>
    <hyperlink r:id="rId24" ref="H19"/>
    <hyperlink r:id="rId25" ref="H20"/>
    <hyperlink r:id="rId26" ref="H21"/>
    <hyperlink r:id="rId27" ref="H22"/>
    <hyperlink r:id="rId28" ref="J23"/>
    <hyperlink r:id="rId29" ref="H24"/>
    <hyperlink r:id="rId30" ref="H25"/>
    <hyperlink r:id="rId31" ref="H26"/>
    <hyperlink r:id="rId32" ref="H27"/>
    <hyperlink r:id="rId33" ref="H28"/>
    <hyperlink r:id="rId34" ref="H29"/>
    <hyperlink r:id="rId35" ref="H30"/>
    <hyperlink r:id="rId36" ref="H31"/>
    <hyperlink r:id="rId37" ref="J32"/>
    <hyperlink r:id="rId38" ref="H33"/>
    <hyperlink r:id="rId39" ref="H34"/>
    <hyperlink r:id="rId40" ref="J35"/>
    <hyperlink r:id="rId41" ref="H36"/>
    <hyperlink r:id="rId42" ref="H37"/>
    <hyperlink r:id="rId43" ref="H38"/>
    <hyperlink r:id="rId44" ref="H39"/>
    <hyperlink r:id="rId45" ref="H40"/>
    <hyperlink r:id="rId46" ref="I40"/>
    <hyperlink r:id="rId47" ref="H41"/>
    <hyperlink r:id="rId48" ref="J42"/>
    <hyperlink r:id="rId49" ref="J43"/>
    <hyperlink r:id="rId50" ref="H44"/>
    <hyperlink r:id="rId51" ref="H45"/>
    <hyperlink r:id="rId52" ref="J46"/>
    <hyperlink r:id="rId53" ref="H47"/>
    <hyperlink r:id="rId54" ref="H48"/>
    <hyperlink r:id="rId55" ref="I48"/>
    <hyperlink r:id="rId56" ref="H49"/>
    <hyperlink r:id="rId57" ref="H50"/>
    <hyperlink r:id="rId58" ref="H51"/>
    <hyperlink r:id="rId59" ref="I51"/>
    <hyperlink r:id="rId60" ref="H52"/>
    <hyperlink r:id="rId61" ref="I52"/>
    <hyperlink r:id="rId62" ref="J53"/>
    <hyperlink r:id="rId63" ref="H54"/>
    <hyperlink r:id="rId64" ref="J55"/>
    <hyperlink r:id="rId65" ref="J56"/>
    <hyperlink r:id="rId66" ref="H57"/>
    <hyperlink r:id="rId67" ref="H58"/>
    <hyperlink r:id="rId68" ref="H59"/>
    <hyperlink r:id="rId69" ref="H60"/>
    <hyperlink r:id="rId70" ref="J60"/>
    <hyperlink r:id="rId71" ref="H61"/>
    <hyperlink r:id="rId72" ref="H62"/>
    <hyperlink r:id="rId73" ref="H63"/>
    <hyperlink r:id="rId74" ref="I63"/>
    <hyperlink r:id="rId75" ref="H64"/>
    <hyperlink r:id="rId76" ref="H65"/>
    <hyperlink r:id="rId77" ref="H66"/>
    <hyperlink r:id="rId78" ref="J67"/>
    <hyperlink r:id="rId79" ref="J68"/>
    <hyperlink r:id="rId80" ref="H69"/>
    <hyperlink r:id="rId81" ref="H70"/>
    <hyperlink r:id="rId82" ref="I70"/>
    <hyperlink r:id="rId83" ref="H71"/>
    <hyperlink r:id="rId84" ref="H72"/>
    <hyperlink r:id="rId85" ref="H73"/>
    <hyperlink r:id="rId86" ref="J73"/>
    <hyperlink r:id="rId87" ref="H74"/>
    <hyperlink r:id="rId88" ref="H75"/>
    <hyperlink r:id="rId89" ref="H76"/>
    <hyperlink r:id="rId90" ref="I77"/>
    <hyperlink r:id="rId91" ref="J78"/>
    <hyperlink r:id="rId92" ref="H79"/>
    <hyperlink r:id="rId93" ref="H80"/>
    <hyperlink r:id="rId94" ref="H81"/>
    <hyperlink r:id="rId95" ref="J81"/>
    <hyperlink r:id="rId96" ref="H82"/>
    <hyperlink r:id="rId97" ref="I82"/>
    <hyperlink r:id="rId98" ref="H83"/>
    <hyperlink r:id="rId99" ref="H84"/>
    <hyperlink r:id="rId100" ref="I84"/>
    <hyperlink r:id="rId101" ref="H85"/>
    <hyperlink r:id="rId102" ref="J86"/>
    <hyperlink r:id="rId103" ref="J87"/>
    <hyperlink r:id="rId104" ref="H88"/>
    <hyperlink r:id="rId105" ref="H89"/>
    <hyperlink r:id="rId106" ref="I89"/>
    <hyperlink r:id="rId107" ref="H90"/>
    <hyperlink r:id="rId108" ref="H91"/>
    <hyperlink r:id="rId109" ref="H92"/>
    <hyperlink r:id="rId110" ref="H93"/>
    <hyperlink r:id="rId111" ref="J93"/>
    <hyperlink r:id="rId112" ref="H94"/>
    <hyperlink r:id="rId113" ref="I94"/>
    <hyperlink r:id="rId114" ref="H95"/>
    <hyperlink r:id="rId115" ref="H96"/>
    <hyperlink r:id="rId116" ref="J96"/>
    <hyperlink r:id="rId117" ref="H97"/>
    <hyperlink r:id="rId118" ref="J97"/>
    <hyperlink r:id="rId119" ref="H98"/>
    <hyperlink r:id="rId120" ref="J99"/>
    <hyperlink r:id="rId121" ref="H100"/>
    <hyperlink r:id="rId122" ref="H101"/>
    <hyperlink r:id="rId123" ref="H102"/>
    <hyperlink r:id="rId124" ref="H103"/>
    <hyperlink r:id="rId125" ref="H104"/>
    <hyperlink r:id="rId126" ref="I104"/>
    <hyperlink r:id="rId127" ref="H105"/>
    <hyperlink r:id="rId128" ref="I105"/>
    <hyperlink r:id="rId129" ref="H106"/>
    <hyperlink r:id="rId130" ref="H107"/>
    <hyperlink r:id="rId131" ref="I107"/>
    <hyperlink r:id="rId132" ref="J107"/>
    <hyperlink r:id="rId133" ref="H108"/>
    <hyperlink r:id="rId134" ref="J108"/>
    <hyperlink r:id="rId135" ref="J109"/>
    <hyperlink r:id="rId136" ref="H110"/>
    <hyperlink r:id="rId137" ref="J110"/>
    <hyperlink r:id="rId138" ref="H111"/>
    <hyperlink r:id="rId139" ref="I111"/>
    <hyperlink r:id="rId140" ref="J111"/>
    <hyperlink r:id="rId141" ref="H112"/>
    <hyperlink r:id="rId142" ref="I112"/>
    <hyperlink r:id="rId143" ref="H113"/>
    <hyperlink r:id="rId144" ref="I113"/>
    <hyperlink r:id="rId145" ref="J114"/>
    <hyperlink r:id="rId146" ref="H115"/>
    <hyperlink r:id="rId147" ref="H116"/>
    <hyperlink r:id="rId148" ref="J116"/>
    <hyperlink r:id="rId149" ref="H117"/>
    <hyperlink r:id="rId150" ref="H118"/>
    <hyperlink r:id="rId151" ref="H119"/>
    <hyperlink r:id="rId152" ref="J119"/>
    <hyperlink r:id="rId153" ref="H120"/>
    <hyperlink r:id="rId154" ref="H121"/>
    <hyperlink r:id="rId155" ref="H122"/>
    <hyperlink r:id="rId156" ref="H123"/>
    <hyperlink r:id="rId157" ref="I123"/>
    <hyperlink r:id="rId158" ref="H124"/>
    <hyperlink r:id="rId159" ref="I124"/>
    <hyperlink r:id="rId160" ref="H125"/>
    <hyperlink r:id="rId161" ref="H126"/>
    <hyperlink r:id="rId162" ref="J127"/>
    <hyperlink r:id="rId163" ref="H128"/>
    <hyperlink r:id="rId164" ref="H129"/>
    <hyperlink r:id="rId165" ref="I129"/>
    <hyperlink r:id="rId166" ref="H130"/>
    <hyperlink r:id="rId167" ref="H131"/>
    <hyperlink r:id="rId168" ref="H132"/>
    <hyperlink r:id="rId169" ref="H133"/>
    <hyperlink r:id="rId170" ref="H134"/>
    <hyperlink r:id="rId171" ref="H135"/>
    <hyperlink r:id="rId172" ref="J135"/>
    <hyperlink r:id="rId173" ref="H136"/>
    <hyperlink r:id="rId174" ref="H137"/>
    <hyperlink r:id="rId175" ref="J138"/>
    <hyperlink r:id="rId176" ref="H139"/>
    <hyperlink r:id="rId177" ref="J139"/>
    <hyperlink r:id="rId178" ref="H140"/>
    <hyperlink r:id="rId179" ref="H141"/>
    <hyperlink r:id="rId180" ref="H142"/>
    <hyperlink r:id="rId181" ref="H143"/>
    <hyperlink r:id="rId182" ref="H144"/>
    <hyperlink r:id="rId183" ref="I144"/>
    <hyperlink r:id="rId184" ref="H145"/>
    <hyperlink r:id="rId185" ref="J145"/>
    <hyperlink r:id="rId186" ref="H146"/>
    <hyperlink r:id="rId187" ref="I146"/>
    <hyperlink r:id="rId188" ref="H147"/>
    <hyperlink r:id="rId189" ref="H148"/>
    <hyperlink r:id="rId190" ref="I148"/>
    <hyperlink r:id="rId191" ref="J149"/>
    <hyperlink r:id="rId192" ref="H150"/>
    <hyperlink r:id="rId193" ref="H151"/>
    <hyperlink r:id="rId194" ref="I151"/>
    <hyperlink r:id="rId195" ref="H152"/>
    <hyperlink r:id="rId196" ref="H153"/>
    <hyperlink r:id="rId197" ref="H154"/>
    <hyperlink r:id="rId198" ref="J154"/>
    <hyperlink r:id="rId199" ref="H155"/>
    <hyperlink r:id="rId200" ref="J155"/>
    <hyperlink r:id="rId201" ref="H156"/>
    <hyperlink r:id="rId202" ref="H157"/>
    <hyperlink r:id="rId203" ref="H158"/>
    <hyperlink r:id="rId204" ref="H159"/>
    <hyperlink r:id="rId205" ref="H160"/>
    <hyperlink r:id="rId206" ref="I160"/>
    <hyperlink r:id="rId207" ref="J160"/>
    <hyperlink r:id="rId208" ref="H161"/>
    <hyperlink r:id="rId209" ref="J161"/>
    <hyperlink r:id="rId210" ref="J162"/>
    <hyperlink r:id="rId211" ref="H163"/>
    <hyperlink r:id="rId212" ref="H164"/>
    <hyperlink r:id="rId213" ref="H165"/>
    <hyperlink r:id="rId214" ref="H166"/>
    <hyperlink r:id="rId215" ref="J167"/>
    <hyperlink r:id="rId216" ref="H168"/>
    <hyperlink r:id="rId217" ref="H169"/>
    <hyperlink r:id="rId218" ref="J170"/>
    <hyperlink r:id="rId219" ref="H171"/>
    <hyperlink r:id="rId220" ref="H172"/>
    <hyperlink r:id="rId221" ref="J172"/>
    <hyperlink r:id="rId222" ref="H173"/>
    <hyperlink r:id="rId223" ref="J173"/>
    <hyperlink r:id="rId224" ref="H174"/>
    <hyperlink r:id="rId225" ref="H175"/>
    <hyperlink r:id="rId226" ref="H176"/>
    <hyperlink r:id="rId227" ref="H177"/>
    <hyperlink r:id="rId228" ref="H178"/>
    <hyperlink r:id="rId229" ref="H179"/>
    <hyperlink r:id="rId230" ref="H180"/>
    <hyperlink r:id="rId231" ref="H181"/>
    <hyperlink r:id="rId232" ref="I181"/>
    <hyperlink r:id="rId233" ref="H182"/>
    <hyperlink r:id="rId234" ref="H183"/>
    <hyperlink r:id="rId235" ref="H184"/>
    <hyperlink r:id="rId236" ref="I185"/>
    <hyperlink r:id="rId237" ref="H186"/>
    <hyperlink r:id="rId238" ref="H187"/>
    <hyperlink r:id="rId239" ref="H188"/>
    <hyperlink r:id="rId240" ref="H189"/>
    <hyperlink r:id="rId241" ref="H190"/>
    <hyperlink r:id="rId242" ref="J190"/>
    <hyperlink r:id="rId243" ref="H191"/>
    <hyperlink r:id="rId244" ref="H192"/>
    <hyperlink r:id="rId245" ref="J193"/>
    <hyperlink r:id="rId246" ref="H194"/>
    <hyperlink r:id="rId247" ref="H195"/>
    <hyperlink r:id="rId248" ref="H196"/>
    <hyperlink r:id="rId249" ref="I196"/>
    <hyperlink r:id="rId250" ref="H197"/>
    <hyperlink r:id="rId251" ref="I197"/>
    <hyperlink r:id="rId252" ref="H198"/>
    <hyperlink r:id="rId253" ref="H199"/>
    <hyperlink r:id="rId254" ref="I199"/>
    <hyperlink r:id="rId255" ref="J199"/>
    <hyperlink r:id="rId256" ref="H200"/>
    <hyperlink r:id="rId257" ref="H201"/>
    <hyperlink r:id="rId258" ref="I201"/>
    <hyperlink r:id="rId259" ref="H202"/>
    <hyperlink r:id="rId260" ref="I202"/>
    <hyperlink r:id="rId261" ref="H203"/>
    <hyperlink r:id="rId262" ref="H204"/>
    <hyperlink r:id="rId263" ref="H205"/>
    <hyperlink r:id="rId264" ref="H206"/>
    <hyperlink r:id="rId265" ref="H207"/>
    <hyperlink r:id="rId266" ref="H208"/>
    <hyperlink r:id="rId267" ref="H209"/>
    <hyperlink r:id="rId268" ref="H210"/>
    <hyperlink r:id="rId269" ref="H211"/>
    <hyperlink r:id="rId270" ref="H212"/>
    <hyperlink r:id="rId271" ref="I212"/>
    <hyperlink r:id="rId272" ref="I213"/>
    <hyperlink r:id="rId273" ref="J213"/>
    <hyperlink r:id="rId274" ref="H214"/>
    <hyperlink r:id="rId275" ref="H215"/>
    <hyperlink r:id="rId276" ref="I215"/>
    <hyperlink r:id="rId277" ref="H216"/>
    <hyperlink r:id="rId278" ref="I216"/>
    <hyperlink r:id="rId279" ref="H217"/>
    <hyperlink r:id="rId280" ref="J217"/>
    <hyperlink r:id="rId281" ref="K218"/>
    <hyperlink r:id="rId282" ref="H219"/>
    <hyperlink r:id="rId283" ref="H220"/>
    <hyperlink r:id="rId284" ref="H221"/>
    <hyperlink r:id="rId285" ref="J221"/>
    <hyperlink r:id="rId286" ref="H222"/>
    <hyperlink r:id="rId287" ref="H223"/>
    <hyperlink r:id="rId288" ref="J223"/>
    <hyperlink r:id="rId289" ref="H224"/>
    <hyperlink r:id="rId290" ref="H225"/>
    <hyperlink r:id="rId291" ref="H226"/>
    <hyperlink r:id="rId292" ref="H227"/>
    <hyperlink r:id="rId293" ref="I227"/>
    <hyperlink r:id="rId294" ref="H228"/>
    <hyperlink r:id="rId295" ref="H229"/>
    <hyperlink r:id="rId296" ref="H230"/>
    <hyperlink r:id="rId297" ref="I230"/>
    <hyperlink r:id="rId298" ref="H231"/>
    <hyperlink r:id="rId299" ref="J232"/>
    <hyperlink r:id="rId300" ref="H233"/>
    <hyperlink r:id="rId301" ref="H234"/>
    <hyperlink r:id="rId302" ref="H235"/>
    <hyperlink r:id="rId303" ref="H236"/>
    <hyperlink r:id="rId304" ref="H237"/>
    <hyperlink r:id="rId305" ref="I237"/>
    <hyperlink r:id="rId306" ref="H238"/>
    <hyperlink r:id="rId307" ref="H239"/>
    <hyperlink r:id="rId308" ref="H240"/>
    <hyperlink r:id="rId309" ref="H241"/>
    <hyperlink r:id="rId310" ref="H242"/>
    <hyperlink r:id="rId311" ref="H243"/>
    <hyperlink r:id="rId312" ref="J243"/>
    <hyperlink r:id="rId313" ref="H244"/>
    <hyperlink r:id="rId314" ref="I244"/>
    <hyperlink r:id="rId315" ref="H245"/>
    <hyperlink r:id="rId316" ref="J245"/>
    <hyperlink r:id="rId317" ref="H246"/>
    <hyperlink r:id="rId318" ref="H247"/>
    <hyperlink r:id="rId319" ref="H248"/>
    <hyperlink r:id="rId320" ref="H249"/>
    <hyperlink r:id="rId321" ref="I249"/>
    <hyperlink r:id="rId322" ref="J250"/>
    <hyperlink r:id="rId323" ref="H251"/>
    <hyperlink r:id="rId324" ref="J252"/>
    <hyperlink r:id="rId325" ref="J253"/>
    <hyperlink r:id="rId326" ref="H254"/>
    <hyperlink r:id="rId327" ref="H255"/>
    <hyperlink r:id="rId328" ref="H256"/>
    <hyperlink r:id="rId329" ref="J257"/>
    <hyperlink r:id="rId330" ref="H258"/>
    <hyperlink r:id="rId331" ref="H259"/>
    <hyperlink r:id="rId332" ref="J260"/>
    <hyperlink r:id="rId333" ref="H261"/>
    <hyperlink r:id="rId334" ref="H262"/>
    <hyperlink r:id="rId335" ref="I262"/>
    <hyperlink r:id="rId336" ref="H263"/>
    <hyperlink r:id="rId337" ref="H264"/>
    <hyperlink r:id="rId338" ref="H265"/>
    <hyperlink r:id="rId339" ref="J265"/>
    <hyperlink r:id="rId340" ref="J266"/>
    <hyperlink r:id="rId341" ref="I267"/>
    <hyperlink r:id="rId342" ref="H268"/>
    <hyperlink r:id="rId343" ref="H269"/>
    <hyperlink r:id="rId344" ref="I269"/>
    <hyperlink r:id="rId345" ref="H270"/>
    <hyperlink r:id="rId346" ref="H271"/>
    <hyperlink r:id="rId347" ref="I271"/>
    <hyperlink r:id="rId348" ref="H272"/>
    <hyperlink r:id="rId349" ref="J272"/>
    <hyperlink r:id="rId350" ref="H273"/>
    <hyperlink r:id="rId351" ref="I273"/>
    <hyperlink r:id="rId352" ref="H274"/>
    <hyperlink r:id="rId353" ref="I274"/>
    <hyperlink r:id="rId354" ref="H275"/>
    <hyperlink r:id="rId355" ref="I275"/>
    <hyperlink r:id="rId356" ref="H276"/>
    <hyperlink r:id="rId357" ref="H277"/>
    <hyperlink r:id="rId358" ref="J278"/>
    <hyperlink r:id="rId359" ref="H279"/>
    <hyperlink r:id="rId360" ref="H280"/>
    <hyperlink r:id="rId361" ref="H281"/>
    <hyperlink r:id="rId362" ref="I281"/>
    <hyperlink r:id="rId363" ref="H282"/>
    <hyperlink r:id="rId364" ref="H283"/>
    <hyperlink r:id="rId365" ref="H284"/>
    <hyperlink r:id="rId366" ref="H285"/>
    <hyperlink r:id="rId367" ref="H286"/>
    <hyperlink r:id="rId368" ref="I286"/>
    <hyperlink r:id="rId369" ref="H287"/>
    <hyperlink r:id="rId370" ref="J287"/>
    <hyperlink r:id="rId371" ref="J288"/>
    <hyperlink r:id="rId372" ref="H289"/>
    <hyperlink r:id="rId373" ref="I289"/>
    <hyperlink r:id="rId374" ref="J290"/>
    <hyperlink r:id="rId375" ref="J291"/>
    <hyperlink r:id="rId376" ref="H292"/>
    <hyperlink r:id="rId377" ref="H293"/>
    <hyperlink r:id="rId378" ref="H294"/>
    <hyperlink r:id="rId379" ref="H295"/>
    <hyperlink r:id="rId380" ref="I295"/>
    <hyperlink r:id="rId381" ref="H296"/>
    <hyperlink r:id="rId382" ref="H297"/>
    <hyperlink r:id="rId383" ref="H298"/>
    <hyperlink r:id="rId384" ref="I298"/>
    <hyperlink r:id="rId385" ref="H299"/>
    <hyperlink r:id="rId386" ref="J299"/>
    <hyperlink r:id="rId387" ref="H300"/>
    <hyperlink r:id="rId388" ref="J300"/>
    <hyperlink r:id="rId389" ref="H301"/>
    <hyperlink r:id="rId390" ref="H302"/>
    <hyperlink r:id="rId391" ref="H303"/>
    <hyperlink r:id="rId392" ref="I303"/>
    <hyperlink r:id="rId393" ref="J303"/>
    <hyperlink r:id="rId394" ref="H304"/>
    <hyperlink r:id="rId395" ref="H305"/>
    <hyperlink r:id="rId396" ref="H306"/>
    <hyperlink r:id="rId397" ref="H307"/>
    <hyperlink r:id="rId398" ref="H308"/>
    <hyperlink r:id="rId399" ref="I309"/>
    <hyperlink r:id="rId400" ref="H310"/>
    <hyperlink r:id="rId401" ref="H311"/>
    <hyperlink r:id="rId402" ref="H312"/>
    <hyperlink r:id="rId403" ref="H313"/>
    <hyperlink r:id="rId404" ref="J314"/>
    <hyperlink r:id="rId405" ref="H315"/>
    <hyperlink r:id="rId406" ref="H316"/>
    <hyperlink r:id="rId407" ref="H317"/>
    <hyperlink r:id="rId408" ref="I317"/>
    <hyperlink r:id="rId409" ref="J317"/>
    <hyperlink r:id="rId410" ref="H318"/>
    <hyperlink r:id="rId411" ref="J318"/>
    <hyperlink r:id="rId412" ref="H319"/>
    <hyperlink r:id="rId413" ref="J319"/>
    <hyperlink r:id="rId414" ref="H320"/>
    <hyperlink r:id="rId415" ref="J320"/>
    <hyperlink r:id="rId416" ref="H321"/>
    <hyperlink r:id="rId417" ref="I322"/>
    <hyperlink r:id="rId418" ref="J322"/>
    <hyperlink r:id="rId419" ref="H323"/>
    <hyperlink r:id="rId420" ref="H324"/>
    <hyperlink r:id="rId421" ref="J325"/>
    <hyperlink r:id="rId422" ref="H326"/>
    <hyperlink r:id="rId423" ref="H327"/>
    <hyperlink r:id="rId424" ref="H328"/>
    <hyperlink r:id="rId425" ref="H330"/>
    <hyperlink r:id="rId426" ref="H331"/>
    <hyperlink r:id="rId427" ref="H332"/>
    <hyperlink r:id="rId428" ref="J333"/>
    <hyperlink r:id="rId429" ref="H334"/>
    <hyperlink r:id="rId430" ref="H335"/>
    <hyperlink r:id="rId431" ref="J336"/>
    <hyperlink r:id="rId432" ref="H337"/>
    <hyperlink r:id="rId433" ref="H338"/>
    <hyperlink r:id="rId434" ref="H339"/>
    <hyperlink r:id="rId435" ref="I340"/>
    <hyperlink r:id="rId436" ref="J340"/>
    <hyperlink r:id="rId437" ref="H341"/>
    <hyperlink r:id="rId438" ref="H342"/>
    <hyperlink r:id="rId439" ref="J342"/>
    <hyperlink r:id="rId440" ref="I343"/>
    <hyperlink r:id="rId441" ref="J343"/>
    <hyperlink r:id="rId442" ref="H344"/>
    <hyperlink r:id="rId443" ref="J345"/>
    <hyperlink r:id="rId444" ref="J346"/>
    <hyperlink r:id="rId445" ref="J347"/>
    <hyperlink r:id="rId446" ref="J348"/>
    <hyperlink r:id="rId447" ref="J349"/>
    <hyperlink r:id="rId448" ref="J350"/>
  </hyperlinks>
  <drawing r:id="rId449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10.88"/>
    <col customWidth="1" min="3" max="3" width="18.13"/>
    <col customWidth="1" min="4" max="5" width="9.0"/>
    <col customWidth="1" min="6" max="7" width="4.13"/>
    <col customWidth="1" min="8" max="8" width="41.0"/>
    <col customWidth="1" min="9" max="9" width="25.5"/>
    <col customWidth="1" min="10" max="10" width="26.5"/>
    <col customWidth="1" min="11" max="11" width="4.88"/>
    <col customWidth="1" min="12" max="12" width="3.88"/>
    <col customWidth="1" min="13" max="13" width="7.25"/>
    <col customWidth="1" min="14" max="14" width="4.38"/>
    <col customWidth="1" min="15" max="15" width="4.5"/>
    <col customWidth="1" min="16" max="16" width="4.13"/>
    <col customWidth="1" min="17" max="17" width="5.13"/>
    <col customWidth="1" min="18" max="18" width="4.25"/>
    <col customWidth="1" min="19" max="19" width="4.5"/>
  </cols>
  <sheetData>
    <row r="1" ht="17.25" customHeight="1">
      <c r="A1" s="8" t="s">
        <v>19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>
      <c r="A2" s="269">
        <v>6890.0</v>
      </c>
      <c r="B2" s="269" t="s">
        <v>20</v>
      </c>
      <c r="C2" s="269" t="s">
        <v>760</v>
      </c>
      <c r="D2" s="269" t="s">
        <v>10996</v>
      </c>
      <c r="E2" s="269" t="s">
        <v>10997</v>
      </c>
      <c r="F2" s="270"/>
      <c r="G2" s="270"/>
      <c r="H2" s="271" t="s">
        <v>10998</v>
      </c>
      <c r="I2" s="271" t="s">
        <v>10999</v>
      </c>
      <c r="J2" s="270"/>
    </row>
    <row r="3">
      <c r="B3" s="8" t="s">
        <v>20</v>
      </c>
      <c r="C3" s="8" t="s">
        <v>763</v>
      </c>
      <c r="D3" s="8" t="s">
        <v>10996</v>
      </c>
      <c r="E3" s="8" t="s">
        <v>11000</v>
      </c>
      <c r="H3" s="9" t="s">
        <v>11001</v>
      </c>
      <c r="J3" s="9" t="s">
        <v>11002</v>
      </c>
    </row>
    <row r="4">
      <c r="B4" s="8" t="s">
        <v>20</v>
      </c>
      <c r="C4" s="8" t="s">
        <v>118</v>
      </c>
      <c r="D4" s="8" t="s">
        <v>10996</v>
      </c>
      <c r="E4" s="8" t="s">
        <v>11000</v>
      </c>
      <c r="H4" s="9" t="s">
        <v>11003</v>
      </c>
      <c r="J4" s="12" t="s">
        <v>11004</v>
      </c>
    </row>
    <row r="5">
      <c r="B5" s="8" t="s">
        <v>20</v>
      </c>
      <c r="C5" s="8" t="s">
        <v>11005</v>
      </c>
      <c r="D5" s="8" t="s">
        <v>10996</v>
      </c>
      <c r="E5" s="8" t="s">
        <v>11000</v>
      </c>
      <c r="H5" s="9" t="s">
        <v>11006</v>
      </c>
      <c r="I5" s="12" t="s">
        <v>11007</v>
      </c>
      <c r="J5" s="12" t="s">
        <v>11008</v>
      </c>
    </row>
    <row r="6">
      <c r="B6" s="8" t="s">
        <v>20</v>
      </c>
      <c r="C6" s="8" t="s">
        <v>11009</v>
      </c>
      <c r="D6" s="8" t="s">
        <v>10996</v>
      </c>
      <c r="E6" s="8" t="s">
        <v>11000</v>
      </c>
      <c r="H6" s="9" t="s">
        <v>11010</v>
      </c>
    </row>
    <row r="7">
      <c r="B7" s="8" t="s">
        <v>20</v>
      </c>
      <c r="C7" s="8" t="s">
        <v>1228</v>
      </c>
      <c r="D7" s="8" t="s">
        <v>10996</v>
      </c>
      <c r="E7" s="8" t="s">
        <v>11000</v>
      </c>
      <c r="H7" s="9" t="s">
        <v>11011</v>
      </c>
      <c r="I7" s="37" t="s">
        <v>11012</v>
      </c>
      <c r="J7" s="37" t="s">
        <v>11012</v>
      </c>
    </row>
    <row r="8">
      <c r="B8" s="8" t="s">
        <v>20</v>
      </c>
      <c r="C8" s="8" t="s">
        <v>11013</v>
      </c>
      <c r="D8" s="8" t="s">
        <v>10996</v>
      </c>
      <c r="E8" s="8" t="s">
        <v>11000</v>
      </c>
      <c r="H8" s="9" t="s">
        <v>11014</v>
      </c>
      <c r="I8" s="12" t="s">
        <v>11015</v>
      </c>
    </row>
    <row r="9">
      <c r="B9" s="8" t="s">
        <v>20</v>
      </c>
      <c r="C9" s="8" t="s">
        <v>11009</v>
      </c>
      <c r="D9" s="8" t="s">
        <v>10996</v>
      </c>
      <c r="E9" s="8" t="s">
        <v>11000</v>
      </c>
      <c r="H9" s="9" t="s">
        <v>11016</v>
      </c>
      <c r="I9" s="9" t="s">
        <v>11017</v>
      </c>
    </row>
    <row r="10">
      <c r="A10" s="269">
        <v>6928.0</v>
      </c>
      <c r="B10" s="269" t="s">
        <v>20</v>
      </c>
      <c r="C10" s="269" t="s">
        <v>10810</v>
      </c>
      <c r="D10" s="269" t="s">
        <v>10996</v>
      </c>
      <c r="E10" s="269" t="s">
        <v>11000</v>
      </c>
      <c r="F10" s="270"/>
      <c r="G10" s="270"/>
      <c r="H10" s="271" t="s">
        <v>11018</v>
      </c>
      <c r="I10" s="270"/>
      <c r="J10" s="271" t="s">
        <v>11019</v>
      </c>
    </row>
    <row r="11">
      <c r="A11" s="269">
        <v>7022.0</v>
      </c>
      <c r="B11" s="269" t="s">
        <v>20</v>
      </c>
      <c r="C11" s="269" t="s">
        <v>3209</v>
      </c>
      <c r="D11" s="269" t="s">
        <v>10996</v>
      </c>
      <c r="E11" s="269" t="s">
        <v>11000</v>
      </c>
      <c r="F11" s="270"/>
      <c r="G11" s="270"/>
      <c r="H11" s="270"/>
      <c r="I11" s="270"/>
      <c r="J11" s="271" t="s">
        <v>11020</v>
      </c>
    </row>
    <row r="12">
      <c r="A12" s="269">
        <v>7394.0</v>
      </c>
      <c r="B12" s="269" t="s">
        <v>20</v>
      </c>
      <c r="C12" s="269" t="s">
        <v>55</v>
      </c>
      <c r="D12" s="269" t="s">
        <v>10996</v>
      </c>
      <c r="E12" s="269" t="s">
        <v>11000</v>
      </c>
      <c r="F12" s="270"/>
      <c r="G12" s="270"/>
      <c r="H12" s="271" t="s">
        <v>11021</v>
      </c>
      <c r="I12" s="270"/>
      <c r="J12" s="270"/>
    </row>
    <row r="13">
      <c r="A13" s="269">
        <v>7412.0</v>
      </c>
      <c r="B13" s="269" t="s">
        <v>20</v>
      </c>
      <c r="C13" s="269" t="s">
        <v>1439</v>
      </c>
      <c r="D13" s="269" t="s">
        <v>10996</v>
      </c>
      <c r="E13" s="269" t="s">
        <v>11000</v>
      </c>
      <c r="F13" s="270"/>
      <c r="G13" s="270"/>
      <c r="H13" s="271" t="s">
        <v>11022</v>
      </c>
      <c r="I13" s="271" t="s">
        <v>11023</v>
      </c>
      <c r="J13" s="270"/>
    </row>
    <row r="14">
      <c r="B14" s="8" t="s">
        <v>20</v>
      </c>
      <c r="C14" s="8" t="s">
        <v>11024</v>
      </c>
      <c r="D14" s="8" t="s">
        <v>10996</v>
      </c>
      <c r="E14" s="8" t="s">
        <v>11025</v>
      </c>
      <c r="F14" s="8" t="s">
        <v>11026</v>
      </c>
      <c r="H14" s="9" t="s">
        <v>11027</v>
      </c>
      <c r="I14" s="12" t="s">
        <v>11028</v>
      </c>
    </row>
    <row r="15">
      <c r="B15" s="8" t="s">
        <v>34</v>
      </c>
      <c r="C15" s="8" t="s">
        <v>11029</v>
      </c>
      <c r="D15" s="8" t="s">
        <v>10996</v>
      </c>
      <c r="E15" s="8" t="s">
        <v>11030</v>
      </c>
      <c r="H15" s="9" t="s">
        <v>11031</v>
      </c>
    </row>
    <row r="16">
      <c r="B16" s="8" t="s">
        <v>720</v>
      </c>
      <c r="C16" s="8" t="s">
        <v>3415</v>
      </c>
      <c r="D16" s="8" t="s">
        <v>10996</v>
      </c>
      <c r="E16" s="8" t="s">
        <v>11030</v>
      </c>
      <c r="H16" s="9" t="s">
        <v>11032</v>
      </c>
    </row>
    <row r="17">
      <c r="B17" s="8" t="s">
        <v>145</v>
      </c>
      <c r="C17" s="8" t="s">
        <v>510</v>
      </c>
      <c r="D17" s="8" t="s">
        <v>10996</v>
      </c>
      <c r="E17" s="8" t="s">
        <v>11030</v>
      </c>
      <c r="H17" s="12" t="s">
        <v>11033</v>
      </c>
    </row>
    <row r="18">
      <c r="A18" s="8"/>
      <c r="B18" s="8" t="s">
        <v>20</v>
      </c>
      <c r="C18" s="8" t="s">
        <v>3209</v>
      </c>
      <c r="D18" s="8" t="s">
        <v>10996</v>
      </c>
      <c r="E18" s="8" t="s">
        <v>11030</v>
      </c>
      <c r="H18" s="12" t="s">
        <v>11034</v>
      </c>
      <c r="I18" s="12" t="s">
        <v>11035</v>
      </c>
      <c r="J18" s="12" t="s">
        <v>11036</v>
      </c>
    </row>
    <row r="19">
      <c r="B19" s="8" t="s">
        <v>20</v>
      </c>
      <c r="C19" s="8" t="s">
        <v>3881</v>
      </c>
      <c r="D19" s="8" t="s">
        <v>10996</v>
      </c>
      <c r="E19" s="8" t="s">
        <v>11030</v>
      </c>
      <c r="H19" s="12" t="s">
        <v>11018</v>
      </c>
      <c r="J19" s="12" t="s">
        <v>11037</v>
      </c>
    </row>
    <row r="20">
      <c r="B20" s="8" t="s">
        <v>20</v>
      </c>
      <c r="C20" s="8" t="s">
        <v>1221</v>
      </c>
      <c r="D20" s="8" t="s">
        <v>10996</v>
      </c>
      <c r="E20" s="8" t="s">
        <v>11030</v>
      </c>
      <c r="H20" s="9" t="s">
        <v>11038</v>
      </c>
      <c r="I20" s="9" t="s">
        <v>11039</v>
      </c>
    </row>
    <row r="21">
      <c r="B21" s="8" t="s">
        <v>20</v>
      </c>
      <c r="C21" s="8" t="s">
        <v>11040</v>
      </c>
      <c r="D21" s="8" t="s">
        <v>10996</v>
      </c>
      <c r="E21" s="8" t="s">
        <v>11030</v>
      </c>
      <c r="H21" s="9" t="s">
        <v>11041</v>
      </c>
    </row>
    <row r="22">
      <c r="B22" s="8" t="s">
        <v>20</v>
      </c>
      <c r="C22" s="8" t="s">
        <v>8779</v>
      </c>
      <c r="D22" s="8" t="s">
        <v>10996</v>
      </c>
      <c r="E22" s="8" t="s">
        <v>11030</v>
      </c>
      <c r="G22" s="37">
        <v>1.0</v>
      </c>
      <c r="H22" s="9" t="s">
        <v>11042</v>
      </c>
    </row>
    <row r="23">
      <c r="B23" s="8" t="s">
        <v>20</v>
      </c>
      <c r="C23" s="8" t="s">
        <v>113</v>
      </c>
      <c r="D23" s="8" t="s">
        <v>10996</v>
      </c>
      <c r="E23" s="8" t="s">
        <v>11030</v>
      </c>
      <c r="H23" s="9" t="s">
        <v>11043</v>
      </c>
      <c r="I23" s="12" t="s">
        <v>11044</v>
      </c>
    </row>
    <row r="24">
      <c r="B24" s="8" t="s">
        <v>20</v>
      </c>
      <c r="C24" s="8" t="s">
        <v>11045</v>
      </c>
      <c r="D24" s="8" t="s">
        <v>10996</v>
      </c>
      <c r="E24" s="8" t="s">
        <v>11030</v>
      </c>
      <c r="H24" s="12" t="s">
        <v>11046</v>
      </c>
      <c r="J24" s="12" t="s">
        <v>11047</v>
      </c>
    </row>
    <row r="25">
      <c r="B25" s="8" t="s">
        <v>20</v>
      </c>
      <c r="C25" s="8" t="s">
        <v>4001</v>
      </c>
      <c r="D25" s="8" t="s">
        <v>10996</v>
      </c>
      <c r="E25" s="8" t="s">
        <v>11030</v>
      </c>
      <c r="H25" s="9" t="s">
        <v>11048</v>
      </c>
      <c r="I25" s="12" t="s">
        <v>11049</v>
      </c>
    </row>
    <row r="26">
      <c r="B26" s="8" t="s">
        <v>20</v>
      </c>
      <c r="C26" s="8" t="s">
        <v>11050</v>
      </c>
      <c r="D26" s="8" t="s">
        <v>10996</v>
      </c>
      <c r="E26" s="8" t="s">
        <v>11030</v>
      </c>
      <c r="H26" s="9" t="s">
        <v>11051</v>
      </c>
    </row>
    <row r="27">
      <c r="B27" s="8" t="s">
        <v>20</v>
      </c>
      <c r="C27" s="8" t="s">
        <v>11052</v>
      </c>
      <c r="D27" s="8" t="s">
        <v>10996</v>
      </c>
      <c r="E27" s="8" t="s">
        <v>11030</v>
      </c>
      <c r="H27" s="9" t="s">
        <v>11053</v>
      </c>
      <c r="J27" s="12" t="s">
        <v>11054</v>
      </c>
    </row>
    <row r="28">
      <c r="B28" s="8" t="s">
        <v>20</v>
      </c>
      <c r="C28" s="8" t="s">
        <v>11055</v>
      </c>
      <c r="D28" s="8" t="s">
        <v>10996</v>
      </c>
      <c r="E28" s="8" t="s">
        <v>11030</v>
      </c>
      <c r="H28" s="9" t="s">
        <v>11056</v>
      </c>
      <c r="I28" s="9" t="s">
        <v>11057</v>
      </c>
    </row>
    <row r="29">
      <c r="B29" s="8" t="s">
        <v>20</v>
      </c>
      <c r="C29" s="8" t="s">
        <v>11058</v>
      </c>
      <c r="D29" s="8" t="s">
        <v>10996</v>
      </c>
      <c r="E29" s="8" t="s">
        <v>11030</v>
      </c>
      <c r="H29" s="9" t="s">
        <v>11059</v>
      </c>
    </row>
    <row r="30">
      <c r="B30" s="8" t="s">
        <v>20</v>
      </c>
      <c r="C30" s="8" t="s">
        <v>4697</v>
      </c>
      <c r="D30" s="8" t="s">
        <v>10996</v>
      </c>
      <c r="E30" s="8" t="s">
        <v>11030</v>
      </c>
      <c r="H30" s="9" t="s">
        <v>11060</v>
      </c>
      <c r="J30" s="9" t="s">
        <v>11061</v>
      </c>
    </row>
    <row r="31">
      <c r="B31" s="8" t="s">
        <v>20</v>
      </c>
      <c r="C31" s="8" t="s">
        <v>11062</v>
      </c>
      <c r="D31" s="8" t="s">
        <v>10996</v>
      </c>
      <c r="E31" s="8" t="s">
        <v>11030</v>
      </c>
      <c r="H31" s="9" t="s">
        <v>11063</v>
      </c>
    </row>
    <row r="32">
      <c r="B32" s="8" t="s">
        <v>20</v>
      </c>
      <c r="C32" s="8" t="s">
        <v>1420</v>
      </c>
      <c r="D32" s="8" t="s">
        <v>10996</v>
      </c>
      <c r="E32" s="8" t="s">
        <v>11030</v>
      </c>
      <c r="H32" s="9" t="s">
        <v>11064</v>
      </c>
    </row>
    <row r="33">
      <c r="B33" s="8" t="s">
        <v>20</v>
      </c>
      <c r="C33" s="8" t="s">
        <v>11065</v>
      </c>
      <c r="D33" s="8" t="s">
        <v>10996</v>
      </c>
      <c r="E33" s="8" t="s">
        <v>11030</v>
      </c>
      <c r="H33" s="12" t="s">
        <v>11066</v>
      </c>
      <c r="J33" s="9" t="s">
        <v>11067</v>
      </c>
    </row>
    <row r="34">
      <c r="B34" s="8" t="s">
        <v>20</v>
      </c>
      <c r="C34" s="8" t="s">
        <v>11068</v>
      </c>
      <c r="D34" s="8" t="s">
        <v>10996</v>
      </c>
      <c r="E34" s="8" t="s">
        <v>11030</v>
      </c>
      <c r="H34" s="9" t="s">
        <v>11069</v>
      </c>
      <c r="I34" s="12" t="s">
        <v>11070</v>
      </c>
      <c r="J34" s="9" t="s">
        <v>11071</v>
      </c>
    </row>
    <row r="35">
      <c r="B35" s="8" t="s">
        <v>20</v>
      </c>
      <c r="C35" s="8" t="s">
        <v>39</v>
      </c>
      <c r="D35" s="8" t="s">
        <v>10996</v>
      </c>
      <c r="E35" s="8" t="s">
        <v>11030</v>
      </c>
      <c r="H35" s="12" t="s">
        <v>11072</v>
      </c>
      <c r="I35" s="12" t="s">
        <v>11073</v>
      </c>
    </row>
    <row r="36">
      <c r="B36" s="8" t="s">
        <v>20</v>
      </c>
      <c r="C36" s="8" t="s">
        <v>3411</v>
      </c>
      <c r="D36" s="8" t="s">
        <v>10996</v>
      </c>
      <c r="E36" s="8" t="s">
        <v>11030</v>
      </c>
      <c r="G36" s="37">
        <v>1.0</v>
      </c>
      <c r="H36" s="9" t="s">
        <v>11074</v>
      </c>
    </row>
    <row r="37">
      <c r="B37" s="8" t="s">
        <v>20</v>
      </c>
      <c r="C37" s="8" t="s">
        <v>11075</v>
      </c>
      <c r="D37" s="8" t="s">
        <v>10996</v>
      </c>
      <c r="E37" s="8" t="s">
        <v>11030</v>
      </c>
      <c r="H37" s="9" t="s">
        <v>11076</v>
      </c>
    </row>
    <row r="38">
      <c r="B38" s="8" t="s">
        <v>20</v>
      </c>
      <c r="C38" s="8" t="s">
        <v>11077</v>
      </c>
      <c r="D38" s="8" t="s">
        <v>10996</v>
      </c>
      <c r="E38" s="8" t="s">
        <v>11030</v>
      </c>
      <c r="H38" s="9" t="s">
        <v>11078</v>
      </c>
      <c r="I38" s="12" t="s">
        <v>11079</v>
      </c>
    </row>
    <row r="39">
      <c r="B39" s="8" t="s">
        <v>20</v>
      </c>
      <c r="C39" s="8" t="s">
        <v>3415</v>
      </c>
      <c r="D39" s="8" t="s">
        <v>10996</v>
      </c>
      <c r="E39" s="8" t="s">
        <v>11030</v>
      </c>
      <c r="H39" s="9" t="s">
        <v>11080</v>
      </c>
      <c r="I39" s="9" t="s">
        <v>11081</v>
      </c>
    </row>
    <row r="40">
      <c r="B40" s="8" t="s">
        <v>20</v>
      </c>
      <c r="C40" s="8" t="s">
        <v>11082</v>
      </c>
      <c r="D40" s="8" t="s">
        <v>10996</v>
      </c>
      <c r="E40" s="8" t="s">
        <v>11030</v>
      </c>
      <c r="H40" s="9" t="s">
        <v>11083</v>
      </c>
      <c r="I40" s="12" t="s">
        <v>11084</v>
      </c>
    </row>
    <row r="41">
      <c r="B41" s="8" t="s">
        <v>20</v>
      </c>
      <c r="C41" s="8" t="s">
        <v>1473</v>
      </c>
      <c r="D41" s="8" t="s">
        <v>10996</v>
      </c>
      <c r="E41" s="8" t="s">
        <v>11030</v>
      </c>
      <c r="H41" s="12" t="s">
        <v>11085</v>
      </c>
    </row>
    <row r="42">
      <c r="B42" s="8" t="s">
        <v>20</v>
      </c>
      <c r="C42" s="8" t="s">
        <v>11086</v>
      </c>
      <c r="D42" s="8" t="s">
        <v>10996</v>
      </c>
      <c r="E42" s="8" t="s">
        <v>11030</v>
      </c>
      <c r="H42" s="9" t="s">
        <v>11087</v>
      </c>
    </row>
    <row r="43">
      <c r="B43" s="8" t="s">
        <v>20</v>
      </c>
      <c r="C43" s="8" t="s">
        <v>11088</v>
      </c>
      <c r="D43" s="8" t="s">
        <v>10996</v>
      </c>
      <c r="E43" s="8" t="s">
        <v>11030</v>
      </c>
      <c r="H43" s="12" t="s">
        <v>11089</v>
      </c>
      <c r="I43" s="12" t="s">
        <v>11090</v>
      </c>
    </row>
    <row r="44">
      <c r="B44" s="8" t="s">
        <v>20</v>
      </c>
      <c r="C44" s="8" t="s">
        <v>11091</v>
      </c>
      <c r="D44" s="8" t="s">
        <v>10996</v>
      </c>
      <c r="E44" s="8" t="s">
        <v>11030</v>
      </c>
      <c r="G44" s="37">
        <v>1.0</v>
      </c>
      <c r="H44" s="12" t="s">
        <v>11092</v>
      </c>
    </row>
    <row r="45">
      <c r="B45" s="8" t="s">
        <v>20</v>
      </c>
      <c r="C45" s="8" t="s">
        <v>11093</v>
      </c>
      <c r="D45" s="8" t="s">
        <v>10996</v>
      </c>
      <c r="E45" s="8" t="s">
        <v>11030</v>
      </c>
      <c r="H45" s="12" t="s">
        <v>11094</v>
      </c>
    </row>
    <row r="46">
      <c r="B46" s="8" t="s">
        <v>20</v>
      </c>
      <c r="C46" s="8" t="s">
        <v>11095</v>
      </c>
      <c r="D46" s="8" t="s">
        <v>10996</v>
      </c>
      <c r="E46" s="8" t="s">
        <v>11030</v>
      </c>
      <c r="H46" s="9" t="s">
        <v>11096</v>
      </c>
    </row>
    <row r="47">
      <c r="B47" s="8" t="s">
        <v>20</v>
      </c>
      <c r="C47" s="8" t="s">
        <v>11097</v>
      </c>
      <c r="D47" s="8" t="s">
        <v>10996</v>
      </c>
      <c r="E47" s="8" t="s">
        <v>11030</v>
      </c>
      <c r="H47" s="9" t="s">
        <v>11098</v>
      </c>
    </row>
    <row r="48">
      <c r="B48" s="8" t="s">
        <v>20</v>
      </c>
      <c r="C48" s="8" t="s">
        <v>11099</v>
      </c>
      <c r="D48" s="8" t="s">
        <v>10996</v>
      </c>
      <c r="E48" s="8" t="s">
        <v>11030</v>
      </c>
      <c r="H48" s="12" t="s">
        <v>11100</v>
      </c>
    </row>
    <row r="49">
      <c r="B49" s="8" t="s">
        <v>20</v>
      </c>
      <c r="C49" s="8" t="s">
        <v>2478</v>
      </c>
      <c r="D49" s="8" t="s">
        <v>10996</v>
      </c>
      <c r="E49" s="8" t="s">
        <v>11030</v>
      </c>
      <c r="H49" s="9" t="s">
        <v>11101</v>
      </c>
      <c r="I49" s="9" t="s">
        <v>11102</v>
      </c>
    </row>
    <row r="50">
      <c r="B50" s="8" t="s">
        <v>20</v>
      </c>
      <c r="C50" s="8" t="s">
        <v>11103</v>
      </c>
      <c r="D50" s="8" t="s">
        <v>10996</v>
      </c>
      <c r="E50" s="8" t="s">
        <v>11030</v>
      </c>
      <c r="G50" s="37">
        <v>1.0</v>
      </c>
      <c r="H50" s="9" t="s">
        <v>11104</v>
      </c>
      <c r="I50" s="9" t="s">
        <v>11105</v>
      </c>
    </row>
    <row r="51">
      <c r="B51" s="8" t="s">
        <v>20</v>
      </c>
      <c r="C51" s="8" t="s">
        <v>11106</v>
      </c>
      <c r="D51" s="8" t="s">
        <v>10996</v>
      </c>
      <c r="E51" s="8" t="s">
        <v>11030</v>
      </c>
      <c r="H51" s="9" t="s">
        <v>11107</v>
      </c>
    </row>
    <row r="52">
      <c r="B52" s="8" t="s">
        <v>20</v>
      </c>
      <c r="C52" s="8" t="s">
        <v>11108</v>
      </c>
      <c r="D52" s="8" t="s">
        <v>10996</v>
      </c>
      <c r="E52" s="8" t="s">
        <v>11030</v>
      </c>
      <c r="H52" s="12" t="s">
        <v>11109</v>
      </c>
    </row>
    <row r="53">
      <c r="B53" s="8" t="s">
        <v>20</v>
      </c>
      <c r="C53" s="8" t="s">
        <v>11110</v>
      </c>
      <c r="D53" s="8" t="s">
        <v>10996</v>
      </c>
      <c r="E53" s="8" t="s">
        <v>11030</v>
      </c>
      <c r="H53" s="9" t="s">
        <v>11111</v>
      </c>
      <c r="I53" s="9" t="s">
        <v>11112</v>
      </c>
      <c r="J53" s="9" t="s">
        <v>11113</v>
      </c>
    </row>
    <row r="54">
      <c r="B54" s="8" t="s">
        <v>20</v>
      </c>
      <c r="C54" s="8" t="s">
        <v>3411</v>
      </c>
      <c r="D54" s="8" t="s">
        <v>10996</v>
      </c>
      <c r="E54" s="8" t="s">
        <v>11030</v>
      </c>
      <c r="H54" s="9" t="s">
        <v>11114</v>
      </c>
    </row>
    <row r="55">
      <c r="B55" s="8" t="s">
        <v>20</v>
      </c>
      <c r="C55" s="8" t="s">
        <v>2120</v>
      </c>
      <c r="D55" s="8" t="s">
        <v>10996</v>
      </c>
      <c r="E55" s="8" t="s">
        <v>11030</v>
      </c>
      <c r="H55" s="9" t="s">
        <v>11115</v>
      </c>
    </row>
    <row r="56">
      <c r="B56" s="8" t="s">
        <v>20</v>
      </c>
      <c r="C56" s="8" t="s">
        <v>11116</v>
      </c>
      <c r="D56" s="8" t="s">
        <v>10996</v>
      </c>
      <c r="E56" s="8" t="s">
        <v>11030</v>
      </c>
      <c r="H56" s="9" t="s">
        <v>11117</v>
      </c>
    </row>
    <row r="57">
      <c r="B57" s="8" t="s">
        <v>20</v>
      </c>
      <c r="C57" s="8" t="s">
        <v>5649</v>
      </c>
      <c r="D57" s="8" t="s">
        <v>10996</v>
      </c>
      <c r="E57" s="8" t="s">
        <v>11030</v>
      </c>
      <c r="H57" s="9" t="s">
        <v>11118</v>
      </c>
    </row>
    <row r="58">
      <c r="B58" s="8" t="s">
        <v>20</v>
      </c>
      <c r="C58" s="8" t="s">
        <v>1434</v>
      </c>
      <c r="D58" s="8" t="s">
        <v>10996</v>
      </c>
      <c r="E58" s="8" t="s">
        <v>11030</v>
      </c>
      <c r="H58" s="9" t="s">
        <v>11119</v>
      </c>
      <c r="I58" s="9" t="s">
        <v>11120</v>
      </c>
    </row>
    <row r="59">
      <c r="B59" s="8" t="s">
        <v>20</v>
      </c>
      <c r="C59" s="8" t="s">
        <v>281</v>
      </c>
      <c r="D59" s="8" t="s">
        <v>10996</v>
      </c>
      <c r="E59" s="8" t="s">
        <v>11030</v>
      </c>
      <c r="H59" s="9" t="s">
        <v>11121</v>
      </c>
    </row>
    <row r="60">
      <c r="B60" s="8" t="s">
        <v>20</v>
      </c>
      <c r="C60" s="8" t="s">
        <v>1108</v>
      </c>
      <c r="D60" s="8" t="s">
        <v>10996</v>
      </c>
      <c r="E60" s="8" t="s">
        <v>11030</v>
      </c>
      <c r="H60" s="9" t="s">
        <v>11122</v>
      </c>
    </row>
    <row r="61">
      <c r="B61" s="8" t="s">
        <v>4322</v>
      </c>
      <c r="C61" s="8" t="s">
        <v>855</v>
      </c>
      <c r="D61" s="8" t="s">
        <v>10996</v>
      </c>
      <c r="E61" s="8" t="s">
        <v>11030</v>
      </c>
      <c r="H61" s="12" t="s">
        <v>11123</v>
      </c>
    </row>
    <row r="62">
      <c r="B62" s="8" t="s">
        <v>102</v>
      </c>
      <c r="C62" s="8" t="s">
        <v>778</v>
      </c>
      <c r="D62" s="8" t="s">
        <v>10996</v>
      </c>
      <c r="E62" s="8" t="s">
        <v>11030</v>
      </c>
      <c r="H62" s="9" t="s">
        <v>11124</v>
      </c>
    </row>
    <row r="63">
      <c r="B63" s="8" t="s">
        <v>102</v>
      </c>
      <c r="C63" s="8" t="s">
        <v>2229</v>
      </c>
      <c r="D63" s="8" t="s">
        <v>10996</v>
      </c>
      <c r="E63" s="8" t="s">
        <v>11030</v>
      </c>
      <c r="F63" s="8" t="s">
        <v>105</v>
      </c>
      <c r="H63" s="9" t="s">
        <v>11125</v>
      </c>
    </row>
    <row r="64">
      <c r="A64" s="269">
        <v>6886.0</v>
      </c>
      <c r="B64" s="269" t="s">
        <v>20</v>
      </c>
      <c r="C64" s="269" t="s">
        <v>10443</v>
      </c>
      <c r="D64" s="269" t="s">
        <v>10996</v>
      </c>
      <c r="E64" s="269" t="s">
        <v>11030</v>
      </c>
      <c r="F64" s="270"/>
      <c r="G64" s="270"/>
      <c r="H64" s="271" t="s">
        <v>11126</v>
      </c>
      <c r="I64" s="271" t="s">
        <v>11127</v>
      </c>
      <c r="J64" s="270"/>
    </row>
    <row r="65">
      <c r="A65" s="269">
        <v>6893.0</v>
      </c>
      <c r="B65" s="269" t="s">
        <v>20</v>
      </c>
      <c r="C65" s="269" t="s">
        <v>10766</v>
      </c>
      <c r="D65" s="269" t="s">
        <v>10996</v>
      </c>
      <c r="E65" s="269" t="s">
        <v>11030</v>
      </c>
      <c r="F65" s="270"/>
      <c r="G65" s="270"/>
      <c r="H65" s="271" t="s">
        <v>11128</v>
      </c>
      <c r="I65" s="270"/>
      <c r="J65" s="270"/>
    </row>
    <row r="66">
      <c r="A66" s="269">
        <v>6898.0</v>
      </c>
      <c r="B66" s="269" t="s">
        <v>20</v>
      </c>
      <c r="C66" s="269" t="s">
        <v>10825</v>
      </c>
      <c r="D66" s="269" t="s">
        <v>10996</v>
      </c>
      <c r="E66" s="269" t="s">
        <v>11030</v>
      </c>
      <c r="F66" s="270"/>
      <c r="G66" s="270"/>
      <c r="H66" s="271" t="s">
        <v>11083</v>
      </c>
      <c r="I66" s="271" t="s">
        <v>11084</v>
      </c>
      <c r="J66" s="270"/>
    </row>
    <row r="67">
      <c r="A67" s="269">
        <v>6915.0</v>
      </c>
      <c r="B67" s="269" t="s">
        <v>20</v>
      </c>
      <c r="C67" s="269" t="s">
        <v>11129</v>
      </c>
      <c r="D67" s="269" t="s">
        <v>10996</v>
      </c>
      <c r="E67" s="269" t="s">
        <v>11030</v>
      </c>
      <c r="F67" s="270"/>
      <c r="G67" s="270"/>
      <c r="H67" s="271" t="s">
        <v>11130</v>
      </c>
      <c r="I67" s="270"/>
      <c r="J67" s="270"/>
    </row>
    <row r="68">
      <c r="A68" s="269">
        <v>6935.0</v>
      </c>
      <c r="B68" s="269" t="s">
        <v>20</v>
      </c>
      <c r="C68" s="269" t="s">
        <v>4225</v>
      </c>
      <c r="D68" s="269" t="s">
        <v>10996</v>
      </c>
      <c r="E68" s="269" t="s">
        <v>11030</v>
      </c>
      <c r="F68" s="270"/>
      <c r="G68" s="270"/>
      <c r="H68" s="271" t="s">
        <v>11018</v>
      </c>
      <c r="I68" s="270"/>
      <c r="J68" s="270"/>
    </row>
    <row r="69">
      <c r="A69" s="269">
        <v>6936.0</v>
      </c>
      <c r="B69" s="269" t="s">
        <v>20</v>
      </c>
      <c r="C69" s="269" t="s">
        <v>11131</v>
      </c>
      <c r="D69" s="269" t="s">
        <v>10996</v>
      </c>
      <c r="E69" s="269" t="s">
        <v>11030</v>
      </c>
      <c r="F69" s="270"/>
      <c r="G69" s="270"/>
      <c r="H69" s="271" t="s">
        <v>11098</v>
      </c>
      <c r="I69" s="270"/>
      <c r="J69" s="270"/>
    </row>
    <row r="70">
      <c r="A70" s="269">
        <v>6938.0</v>
      </c>
      <c r="B70" s="269" t="s">
        <v>20</v>
      </c>
      <c r="C70" s="269" t="s">
        <v>11132</v>
      </c>
      <c r="D70" s="269" t="s">
        <v>10996</v>
      </c>
      <c r="E70" s="269" t="s">
        <v>11030</v>
      </c>
      <c r="F70" s="270"/>
      <c r="G70" s="270"/>
      <c r="H70" s="271" t="s">
        <v>11133</v>
      </c>
      <c r="I70" s="270"/>
      <c r="J70" s="270"/>
    </row>
    <row r="71">
      <c r="A71" s="269">
        <v>6943.0</v>
      </c>
      <c r="B71" s="269" t="s">
        <v>20</v>
      </c>
      <c r="C71" s="269" t="s">
        <v>10960</v>
      </c>
      <c r="D71" s="269" t="s">
        <v>10996</v>
      </c>
      <c r="E71" s="269" t="s">
        <v>11030</v>
      </c>
      <c r="F71" s="270"/>
      <c r="G71" s="270"/>
      <c r="H71" s="271" t="s">
        <v>11134</v>
      </c>
      <c r="I71" s="271" t="s">
        <v>11135</v>
      </c>
      <c r="J71" s="270"/>
    </row>
    <row r="72">
      <c r="A72" s="269">
        <v>6949.0</v>
      </c>
      <c r="B72" s="269" t="s">
        <v>20</v>
      </c>
      <c r="C72" s="269" t="s">
        <v>11136</v>
      </c>
      <c r="D72" s="269" t="s">
        <v>10996</v>
      </c>
      <c r="E72" s="269" t="s">
        <v>11030</v>
      </c>
      <c r="F72" s="270"/>
      <c r="G72" s="270"/>
      <c r="H72" s="270"/>
      <c r="I72" s="270"/>
      <c r="J72" s="271" t="s">
        <v>11137</v>
      </c>
    </row>
    <row r="73">
      <c r="A73" s="269">
        <v>6957.0</v>
      </c>
      <c r="B73" s="269" t="s">
        <v>20</v>
      </c>
      <c r="C73" s="269" t="s">
        <v>11138</v>
      </c>
      <c r="D73" s="269" t="s">
        <v>10996</v>
      </c>
      <c r="E73" s="269" t="s">
        <v>11030</v>
      </c>
      <c r="F73" s="270"/>
      <c r="G73" s="270"/>
      <c r="H73" s="271" t="s">
        <v>11053</v>
      </c>
      <c r="I73" s="270"/>
      <c r="J73" s="271" t="s">
        <v>11054</v>
      </c>
    </row>
    <row r="74">
      <c r="A74" s="269">
        <v>6961.0</v>
      </c>
      <c r="B74" s="269" t="s">
        <v>20</v>
      </c>
      <c r="C74" s="270"/>
      <c r="D74" s="269" t="s">
        <v>10996</v>
      </c>
      <c r="E74" s="269" t="s">
        <v>11030</v>
      </c>
      <c r="F74" s="270"/>
      <c r="G74" s="270"/>
      <c r="H74" s="271" t="s">
        <v>11042</v>
      </c>
      <c r="I74" s="270"/>
      <c r="J74" s="270"/>
    </row>
    <row r="75">
      <c r="A75" s="269">
        <v>6970.0</v>
      </c>
      <c r="B75" s="269" t="s">
        <v>20</v>
      </c>
      <c r="C75" s="269" t="s">
        <v>11139</v>
      </c>
      <c r="D75" s="269" t="s">
        <v>10996</v>
      </c>
      <c r="E75" s="269" t="s">
        <v>11030</v>
      </c>
      <c r="F75" s="270"/>
      <c r="G75" s="270"/>
      <c r="H75" s="271" t="s">
        <v>11119</v>
      </c>
      <c r="I75" s="270"/>
      <c r="J75" s="270"/>
    </row>
    <row r="76">
      <c r="A76" s="269">
        <v>6982.0</v>
      </c>
      <c r="B76" s="269" t="s">
        <v>20</v>
      </c>
      <c r="C76" s="269" t="s">
        <v>3693</v>
      </c>
      <c r="D76" s="269" t="s">
        <v>10996</v>
      </c>
      <c r="E76" s="269" t="s">
        <v>11030</v>
      </c>
      <c r="F76" s="270"/>
      <c r="G76" s="270"/>
      <c r="H76" s="271" t="s">
        <v>11046</v>
      </c>
      <c r="I76" s="270"/>
      <c r="J76" s="271" t="s">
        <v>11140</v>
      </c>
    </row>
    <row r="77">
      <c r="A77" s="269">
        <v>7039.0</v>
      </c>
      <c r="B77" s="269" t="s">
        <v>20</v>
      </c>
      <c r="C77" s="269" t="s">
        <v>7455</v>
      </c>
      <c r="D77" s="269" t="s">
        <v>10996</v>
      </c>
      <c r="E77" s="269" t="s">
        <v>11030</v>
      </c>
      <c r="F77" s="270"/>
      <c r="G77" s="270"/>
      <c r="H77" s="271" t="s">
        <v>11141</v>
      </c>
      <c r="I77" s="270"/>
      <c r="J77" s="270"/>
    </row>
    <row r="78">
      <c r="A78" s="269">
        <v>7044.0</v>
      </c>
      <c r="B78" s="269" t="s">
        <v>20</v>
      </c>
      <c r="C78" s="269" t="s">
        <v>1257</v>
      </c>
      <c r="D78" s="269" t="s">
        <v>10996</v>
      </c>
      <c r="E78" s="269" t="s">
        <v>11030</v>
      </c>
      <c r="F78" s="270"/>
      <c r="G78" s="270"/>
      <c r="H78" s="271" t="s">
        <v>11038</v>
      </c>
      <c r="I78" s="270"/>
      <c r="J78" s="270"/>
    </row>
    <row r="79">
      <c r="A79" s="269">
        <v>7048.0</v>
      </c>
      <c r="B79" s="269" t="s">
        <v>20</v>
      </c>
      <c r="C79" s="269" t="s">
        <v>11142</v>
      </c>
      <c r="D79" s="269" t="s">
        <v>10996</v>
      </c>
      <c r="E79" s="269" t="s">
        <v>11030</v>
      </c>
      <c r="F79" s="270"/>
      <c r="G79" s="270"/>
      <c r="H79" s="271" t="s">
        <v>11111</v>
      </c>
      <c r="I79" s="270"/>
      <c r="J79" s="270"/>
    </row>
    <row r="80">
      <c r="A80" s="269">
        <v>7130.0</v>
      </c>
      <c r="B80" s="269" t="s">
        <v>20</v>
      </c>
      <c r="C80" s="269" t="s">
        <v>11143</v>
      </c>
      <c r="D80" s="269" t="s">
        <v>10996</v>
      </c>
      <c r="E80" s="269" t="s">
        <v>11030</v>
      </c>
      <c r="F80" s="270"/>
      <c r="G80" s="270"/>
      <c r="H80" s="271" t="s">
        <v>11144</v>
      </c>
      <c r="I80" s="271" t="s">
        <v>11145</v>
      </c>
      <c r="J80" s="270"/>
    </row>
    <row r="81">
      <c r="A81" s="269">
        <v>7140.0</v>
      </c>
      <c r="B81" s="269" t="s">
        <v>20</v>
      </c>
      <c r="C81" s="269" t="s">
        <v>773</v>
      </c>
      <c r="D81" s="269" t="s">
        <v>10996</v>
      </c>
      <c r="E81" s="269" t="s">
        <v>11030</v>
      </c>
      <c r="F81" s="270"/>
      <c r="G81" s="270"/>
      <c r="H81" s="271" t="s">
        <v>11125</v>
      </c>
      <c r="I81" s="270"/>
      <c r="J81" s="270"/>
    </row>
    <row r="82">
      <c r="A82" s="269">
        <v>7141.0</v>
      </c>
      <c r="B82" s="269" t="s">
        <v>20</v>
      </c>
      <c r="C82" s="269" t="s">
        <v>1052</v>
      </c>
      <c r="D82" s="269" t="s">
        <v>10996</v>
      </c>
      <c r="E82" s="269" t="s">
        <v>11030</v>
      </c>
      <c r="F82" s="270"/>
      <c r="G82" s="270"/>
      <c r="H82" s="271" t="s">
        <v>11146</v>
      </c>
      <c r="I82" s="270"/>
      <c r="J82" s="270"/>
    </row>
    <row r="83">
      <c r="A83" s="269">
        <v>7210.0</v>
      </c>
      <c r="B83" s="269" t="s">
        <v>20</v>
      </c>
      <c r="C83" s="269" t="s">
        <v>281</v>
      </c>
      <c r="D83" s="269" t="s">
        <v>10996</v>
      </c>
      <c r="E83" s="269" t="s">
        <v>11030</v>
      </c>
      <c r="F83" s="270"/>
      <c r="G83" s="270"/>
      <c r="H83" s="271" t="s">
        <v>11147</v>
      </c>
      <c r="I83" s="270"/>
      <c r="J83" s="270"/>
    </row>
    <row r="84">
      <c r="A84" s="272">
        <v>33291.0</v>
      </c>
      <c r="B84" s="269" t="s">
        <v>20</v>
      </c>
      <c r="C84" s="272" t="s">
        <v>4225</v>
      </c>
      <c r="D84" s="269" t="s">
        <v>10996</v>
      </c>
      <c r="E84" s="269" t="s">
        <v>11030</v>
      </c>
      <c r="F84" s="270"/>
      <c r="G84" s="270"/>
      <c r="H84" s="271" t="s">
        <v>11018</v>
      </c>
      <c r="I84" s="270"/>
      <c r="J84" s="270"/>
    </row>
    <row r="85">
      <c r="A85" s="272">
        <v>32161.0</v>
      </c>
      <c r="B85" s="269" t="s">
        <v>20</v>
      </c>
      <c r="C85" s="269" t="s">
        <v>351</v>
      </c>
      <c r="D85" s="269" t="s">
        <v>10996</v>
      </c>
      <c r="E85" s="269" t="s">
        <v>11030</v>
      </c>
      <c r="F85" s="269" t="s">
        <v>11148</v>
      </c>
      <c r="G85" s="270"/>
      <c r="H85" s="271" t="s">
        <v>11149</v>
      </c>
      <c r="I85" s="270"/>
      <c r="J85" s="270"/>
    </row>
    <row r="86">
      <c r="A86" s="272">
        <v>30188.0</v>
      </c>
      <c r="B86" s="269" t="s">
        <v>20</v>
      </c>
      <c r="C86" s="269" t="s">
        <v>11150</v>
      </c>
      <c r="D86" s="269" t="s">
        <v>10996</v>
      </c>
      <c r="E86" s="269" t="s">
        <v>11030</v>
      </c>
      <c r="F86" s="270"/>
      <c r="G86" s="270"/>
      <c r="H86" s="271" t="s">
        <v>11046</v>
      </c>
      <c r="I86" s="270"/>
      <c r="J86" s="270"/>
    </row>
    <row r="87">
      <c r="A87" s="269">
        <v>30834.0</v>
      </c>
      <c r="B87" s="269" t="s">
        <v>20</v>
      </c>
      <c r="C87" s="272" t="s">
        <v>773</v>
      </c>
      <c r="D87" s="269" t="s">
        <v>10996</v>
      </c>
      <c r="E87" s="269" t="s">
        <v>11030</v>
      </c>
      <c r="F87" s="270"/>
      <c r="G87" s="270"/>
      <c r="H87" s="271" t="s">
        <v>11151</v>
      </c>
      <c r="I87" s="270"/>
      <c r="J87" s="270"/>
    </row>
    <row r="88">
      <c r="A88" s="269">
        <v>7234.0</v>
      </c>
      <c r="B88" s="269" t="s">
        <v>20</v>
      </c>
      <c r="C88" s="269" t="s">
        <v>3411</v>
      </c>
      <c r="D88" s="269" t="s">
        <v>10996</v>
      </c>
      <c r="E88" s="269" t="s">
        <v>11030</v>
      </c>
      <c r="F88" s="270"/>
      <c r="G88" s="270"/>
      <c r="H88" s="271" t="s">
        <v>11074</v>
      </c>
      <c r="I88" s="270"/>
      <c r="J88" s="270"/>
    </row>
    <row r="89">
      <c r="A89" s="269">
        <v>7237.0</v>
      </c>
      <c r="B89" s="269" t="s">
        <v>20</v>
      </c>
      <c r="C89" s="269" t="s">
        <v>11152</v>
      </c>
      <c r="D89" s="269" t="s">
        <v>10996</v>
      </c>
      <c r="E89" s="269" t="s">
        <v>11030</v>
      </c>
      <c r="F89" s="270"/>
      <c r="G89" s="270"/>
      <c r="H89" s="271" t="s">
        <v>11064</v>
      </c>
      <c r="I89" s="270"/>
      <c r="J89" s="270"/>
    </row>
    <row r="90">
      <c r="A90" s="269">
        <v>7238.0</v>
      </c>
      <c r="B90" s="269" t="s">
        <v>20</v>
      </c>
      <c r="C90" s="269" t="s">
        <v>11153</v>
      </c>
      <c r="D90" s="269" t="s">
        <v>10996</v>
      </c>
      <c r="E90" s="269" t="s">
        <v>11030</v>
      </c>
      <c r="F90" s="270"/>
      <c r="G90" s="270"/>
      <c r="H90" s="271" t="s">
        <v>11056</v>
      </c>
      <c r="I90" s="271" t="s">
        <v>11057</v>
      </c>
      <c r="J90" s="270"/>
    </row>
    <row r="91">
      <c r="A91" s="269">
        <v>30539.0</v>
      </c>
      <c r="B91" s="269" t="s">
        <v>20</v>
      </c>
      <c r="C91" s="272" t="s">
        <v>11154</v>
      </c>
      <c r="D91" s="269" t="s">
        <v>10996</v>
      </c>
      <c r="E91" s="269" t="s">
        <v>11030</v>
      </c>
      <c r="F91" s="270"/>
      <c r="G91" s="270"/>
      <c r="H91" s="271" t="s">
        <v>11155</v>
      </c>
      <c r="I91" s="270"/>
      <c r="J91" s="270"/>
    </row>
    <row r="92">
      <c r="A92" s="269">
        <v>7248.0</v>
      </c>
      <c r="B92" s="269" t="s">
        <v>20</v>
      </c>
      <c r="C92" s="269" t="s">
        <v>763</v>
      </c>
      <c r="D92" s="269" t="s">
        <v>10996</v>
      </c>
      <c r="E92" s="269" t="s">
        <v>11030</v>
      </c>
      <c r="F92" s="270"/>
      <c r="G92" s="270"/>
      <c r="H92" s="271" t="s">
        <v>11156</v>
      </c>
      <c r="I92" s="271" t="s">
        <v>11073</v>
      </c>
      <c r="J92" s="270"/>
    </row>
    <row r="93">
      <c r="A93" s="272">
        <v>29300.0</v>
      </c>
      <c r="B93" s="269" t="s">
        <v>20</v>
      </c>
      <c r="C93" s="272" t="s">
        <v>11157</v>
      </c>
      <c r="D93" s="269" t="s">
        <v>10996</v>
      </c>
      <c r="E93" s="269" t="s">
        <v>11030</v>
      </c>
      <c r="F93" s="270"/>
      <c r="G93" s="270"/>
      <c r="H93" s="271" t="s">
        <v>11158</v>
      </c>
      <c r="I93" s="270"/>
      <c r="J93" s="270"/>
    </row>
    <row r="94">
      <c r="A94" s="272">
        <v>25479.0</v>
      </c>
      <c r="B94" s="269" t="s">
        <v>20</v>
      </c>
      <c r="C94" s="272" t="s">
        <v>11159</v>
      </c>
      <c r="D94" s="269" t="s">
        <v>10996</v>
      </c>
      <c r="E94" s="269" t="s">
        <v>11030</v>
      </c>
      <c r="F94" s="270"/>
      <c r="G94" s="270"/>
      <c r="H94" s="271" t="s">
        <v>11160</v>
      </c>
      <c r="I94" s="270"/>
      <c r="J94" s="270"/>
    </row>
    <row r="95">
      <c r="A95" s="272">
        <v>29298.0</v>
      </c>
      <c r="B95" s="269" t="s">
        <v>20</v>
      </c>
      <c r="C95" s="272" t="s">
        <v>11161</v>
      </c>
      <c r="D95" s="269" t="s">
        <v>10996</v>
      </c>
      <c r="E95" s="269" t="s">
        <v>11030</v>
      </c>
      <c r="F95" s="270"/>
      <c r="G95" s="270"/>
      <c r="H95" s="271" t="s">
        <v>11162</v>
      </c>
      <c r="I95" s="270"/>
      <c r="J95" s="270"/>
    </row>
    <row r="96">
      <c r="A96" s="269">
        <v>7268.0</v>
      </c>
      <c r="B96" s="269" t="s">
        <v>20</v>
      </c>
      <c r="C96" s="269" t="s">
        <v>11163</v>
      </c>
      <c r="D96" s="269" t="s">
        <v>10996</v>
      </c>
      <c r="E96" s="269" t="s">
        <v>11030</v>
      </c>
      <c r="F96" s="270"/>
      <c r="G96" s="270"/>
      <c r="H96" s="271" t="s">
        <v>11080</v>
      </c>
      <c r="I96" s="270"/>
      <c r="J96" s="271" t="s">
        <v>11164</v>
      </c>
    </row>
    <row r="97">
      <c r="A97" s="269">
        <v>7279.0</v>
      </c>
      <c r="B97" s="269" t="s">
        <v>20</v>
      </c>
      <c r="C97" s="269" t="s">
        <v>11058</v>
      </c>
      <c r="D97" s="269" t="s">
        <v>10996</v>
      </c>
      <c r="E97" s="269" t="s">
        <v>11030</v>
      </c>
      <c r="F97" s="270"/>
      <c r="G97" s="270"/>
      <c r="H97" s="271" t="s">
        <v>11059</v>
      </c>
      <c r="I97" s="270"/>
      <c r="J97" s="271" t="s">
        <v>11165</v>
      </c>
    </row>
    <row r="98">
      <c r="A98" s="270"/>
      <c r="B98" s="269" t="s">
        <v>20</v>
      </c>
      <c r="C98" s="269" t="s">
        <v>11166</v>
      </c>
      <c r="D98" s="269" t="s">
        <v>10996</v>
      </c>
      <c r="E98" s="269" t="s">
        <v>11030</v>
      </c>
      <c r="F98" s="270"/>
      <c r="G98" s="270"/>
      <c r="H98" s="271" t="s">
        <v>11128</v>
      </c>
      <c r="I98" s="270"/>
      <c r="J98" s="270"/>
    </row>
    <row r="99">
      <c r="A99" s="272">
        <v>26476.0</v>
      </c>
      <c r="B99" s="269" t="s">
        <v>20</v>
      </c>
      <c r="C99" s="272" t="s">
        <v>4214</v>
      </c>
      <c r="D99" s="269" t="s">
        <v>10996</v>
      </c>
      <c r="E99" s="269" t="s">
        <v>11030</v>
      </c>
      <c r="F99" s="270"/>
      <c r="G99" s="270"/>
      <c r="H99" s="271" t="s">
        <v>11167</v>
      </c>
      <c r="I99" s="270"/>
      <c r="J99" s="270"/>
    </row>
    <row r="100">
      <c r="A100" s="269">
        <v>7316.0</v>
      </c>
      <c r="B100" s="269" t="s">
        <v>20</v>
      </c>
      <c r="C100" s="269" t="s">
        <v>11168</v>
      </c>
      <c r="D100" s="269" t="s">
        <v>10996</v>
      </c>
      <c r="E100" s="269" t="s">
        <v>11030</v>
      </c>
      <c r="F100" s="270"/>
      <c r="G100" s="270"/>
      <c r="H100" s="271" t="s">
        <v>11169</v>
      </c>
      <c r="I100" s="270"/>
      <c r="J100" s="270"/>
    </row>
    <row r="101">
      <c r="A101" s="269">
        <v>7375.0</v>
      </c>
      <c r="B101" s="269" t="s">
        <v>20</v>
      </c>
      <c r="C101" s="269" t="s">
        <v>6589</v>
      </c>
      <c r="D101" s="269" t="s">
        <v>10996</v>
      </c>
      <c r="E101" s="269" t="s">
        <v>11030</v>
      </c>
      <c r="F101" s="270"/>
      <c r="G101" s="270"/>
      <c r="H101" s="271" t="s">
        <v>11170</v>
      </c>
      <c r="I101" s="271" t="s">
        <v>11171</v>
      </c>
      <c r="J101" s="270"/>
    </row>
    <row r="102">
      <c r="A102" s="272">
        <v>24183.0</v>
      </c>
      <c r="B102" s="269" t="s">
        <v>20</v>
      </c>
      <c r="C102" s="272" t="s">
        <v>11172</v>
      </c>
      <c r="D102" s="269" t="s">
        <v>10996</v>
      </c>
      <c r="E102" s="269" t="s">
        <v>11030</v>
      </c>
      <c r="F102" s="270"/>
      <c r="G102" s="270"/>
      <c r="H102" s="271" t="s">
        <v>11173</v>
      </c>
      <c r="I102" s="270"/>
      <c r="J102" s="270"/>
    </row>
    <row r="103">
      <c r="A103" s="272">
        <v>23763.0</v>
      </c>
      <c r="B103" s="269" t="s">
        <v>20</v>
      </c>
      <c r="C103" s="272" t="s">
        <v>4139</v>
      </c>
      <c r="D103" s="269" t="s">
        <v>10996</v>
      </c>
      <c r="E103" s="269" t="s">
        <v>11030</v>
      </c>
      <c r="F103" s="270"/>
      <c r="G103" s="270"/>
      <c r="H103" s="271" t="s">
        <v>11063</v>
      </c>
      <c r="I103" s="270"/>
      <c r="J103" s="270"/>
    </row>
    <row r="104">
      <c r="A104" s="272">
        <v>22930.0</v>
      </c>
      <c r="B104" s="269" t="s">
        <v>20</v>
      </c>
      <c r="C104" s="269" t="s">
        <v>11174</v>
      </c>
      <c r="D104" s="269" t="s">
        <v>10996</v>
      </c>
      <c r="E104" s="269" t="s">
        <v>11030</v>
      </c>
      <c r="F104" s="270"/>
      <c r="G104" s="270"/>
      <c r="H104" s="271" t="s">
        <v>11175</v>
      </c>
      <c r="I104" s="270"/>
      <c r="J104" s="270"/>
    </row>
    <row r="105">
      <c r="A105" s="270"/>
      <c r="B105" s="269" t="s">
        <v>20</v>
      </c>
      <c r="C105" s="269" t="s">
        <v>11176</v>
      </c>
      <c r="D105" s="269" t="s">
        <v>10996</v>
      </c>
      <c r="E105" s="269" t="s">
        <v>11030</v>
      </c>
      <c r="F105" s="270"/>
      <c r="G105" s="270"/>
      <c r="H105" s="271" t="s">
        <v>11066</v>
      </c>
      <c r="I105" s="270"/>
      <c r="J105" s="270"/>
    </row>
    <row r="106">
      <c r="A106" s="270"/>
      <c r="B106" s="269" t="s">
        <v>20</v>
      </c>
      <c r="C106" s="269" t="s">
        <v>11177</v>
      </c>
      <c r="D106" s="269" t="s">
        <v>10996</v>
      </c>
      <c r="E106" s="269" t="s">
        <v>11030</v>
      </c>
      <c r="F106" s="270"/>
      <c r="G106" s="270"/>
      <c r="H106" s="271" t="s">
        <v>11178</v>
      </c>
      <c r="I106" s="270"/>
      <c r="J106" s="270"/>
    </row>
    <row r="107">
      <c r="A107" s="272">
        <v>20687.0</v>
      </c>
      <c r="B107" s="269" t="s">
        <v>20</v>
      </c>
      <c r="C107" s="272" t="s">
        <v>11179</v>
      </c>
      <c r="D107" s="269" t="s">
        <v>10996</v>
      </c>
      <c r="E107" s="269" t="s">
        <v>11030</v>
      </c>
      <c r="F107" s="270"/>
      <c r="G107" s="270"/>
      <c r="H107" s="271" t="s">
        <v>11180</v>
      </c>
      <c r="I107" s="270"/>
      <c r="J107" s="270"/>
    </row>
    <row r="108">
      <c r="A108" s="270"/>
      <c r="B108" s="269" t="s">
        <v>20</v>
      </c>
      <c r="C108" s="269" t="s">
        <v>11181</v>
      </c>
      <c r="D108" s="269" t="s">
        <v>10996</v>
      </c>
      <c r="E108" s="269" t="s">
        <v>11030</v>
      </c>
      <c r="F108" s="270"/>
      <c r="G108" s="270"/>
      <c r="H108" s="271" t="s">
        <v>11121</v>
      </c>
      <c r="I108" s="270"/>
      <c r="J108" s="270"/>
    </row>
    <row r="109">
      <c r="A109" s="272">
        <v>19213.0</v>
      </c>
      <c r="B109" s="269" t="s">
        <v>20</v>
      </c>
      <c r="C109" s="272" t="s">
        <v>11182</v>
      </c>
      <c r="D109" s="269" t="s">
        <v>10996</v>
      </c>
      <c r="E109" s="269" t="s">
        <v>11030</v>
      </c>
      <c r="F109" s="270"/>
      <c r="G109" s="270"/>
      <c r="H109" s="271" t="s">
        <v>11183</v>
      </c>
      <c r="I109" s="270"/>
      <c r="J109" s="270"/>
    </row>
    <row r="110">
      <c r="A110" s="272">
        <v>18099.0</v>
      </c>
      <c r="B110" s="269" t="s">
        <v>20</v>
      </c>
      <c r="C110" s="269" t="s">
        <v>11184</v>
      </c>
      <c r="D110" s="269" t="s">
        <v>10996</v>
      </c>
      <c r="E110" s="269" t="s">
        <v>11030</v>
      </c>
      <c r="F110" s="270"/>
      <c r="G110" s="270"/>
      <c r="H110" s="271" t="s">
        <v>11185</v>
      </c>
      <c r="I110" s="270"/>
      <c r="J110" s="270"/>
    </row>
    <row r="111">
      <c r="A111" s="272">
        <v>18096.0</v>
      </c>
      <c r="B111" s="269" t="s">
        <v>20</v>
      </c>
      <c r="C111" s="272" t="s">
        <v>11186</v>
      </c>
      <c r="D111" s="269" t="s">
        <v>10996</v>
      </c>
      <c r="E111" s="269" t="s">
        <v>11030</v>
      </c>
      <c r="F111" s="270"/>
      <c r="G111" s="270"/>
      <c r="H111" s="271" t="s">
        <v>11156</v>
      </c>
      <c r="I111" s="270"/>
      <c r="J111" s="270"/>
    </row>
    <row r="112">
      <c r="A112" s="270"/>
      <c r="B112" s="269" t="s">
        <v>20</v>
      </c>
      <c r="C112" s="269" t="s">
        <v>11187</v>
      </c>
      <c r="D112" s="269" t="s">
        <v>10996</v>
      </c>
      <c r="E112" s="269" t="s">
        <v>11030</v>
      </c>
      <c r="F112" s="270"/>
      <c r="G112" s="270"/>
      <c r="H112" s="271" t="s">
        <v>11188</v>
      </c>
      <c r="I112" s="270"/>
      <c r="J112" s="270"/>
    </row>
    <row r="113">
      <c r="A113" s="272">
        <v>7465.0</v>
      </c>
      <c r="B113" s="269" t="s">
        <v>20</v>
      </c>
      <c r="C113" s="272" t="s">
        <v>6808</v>
      </c>
      <c r="D113" s="269" t="s">
        <v>10996</v>
      </c>
      <c r="E113" s="269" t="s">
        <v>11030</v>
      </c>
      <c r="F113" s="270"/>
      <c r="G113" s="270"/>
      <c r="H113" s="271" t="s">
        <v>11189</v>
      </c>
      <c r="I113" s="270"/>
      <c r="J113" s="270"/>
    </row>
    <row r="114">
      <c r="B114" s="8" t="s">
        <v>20</v>
      </c>
      <c r="C114" s="8" t="s">
        <v>11190</v>
      </c>
      <c r="D114" s="8" t="s">
        <v>10996</v>
      </c>
      <c r="E114" s="8" t="s">
        <v>11191</v>
      </c>
      <c r="H114" s="9" t="s">
        <v>11192</v>
      </c>
      <c r="I114" s="9" t="s">
        <v>11193</v>
      </c>
    </row>
    <row r="115">
      <c r="B115" s="8" t="s">
        <v>20</v>
      </c>
      <c r="C115" s="8" t="s">
        <v>5682</v>
      </c>
      <c r="D115" s="8" t="s">
        <v>10996</v>
      </c>
      <c r="E115" s="8" t="s">
        <v>11191</v>
      </c>
      <c r="H115" s="9" t="s">
        <v>11194</v>
      </c>
    </row>
    <row r="116">
      <c r="B116" s="8" t="s">
        <v>20</v>
      </c>
      <c r="C116" s="8" t="s">
        <v>11195</v>
      </c>
      <c r="D116" s="8" t="s">
        <v>10996</v>
      </c>
      <c r="E116" s="8" t="s">
        <v>11191</v>
      </c>
      <c r="F116" s="8" t="s">
        <v>11196</v>
      </c>
      <c r="H116" s="9" t="s">
        <v>11197</v>
      </c>
    </row>
    <row r="117">
      <c r="A117" s="269">
        <v>7067.0</v>
      </c>
      <c r="B117" s="269" t="s">
        <v>20</v>
      </c>
      <c r="C117" s="269" t="s">
        <v>3209</v>
      </c>
      <c r="D117" s="269" t="s">
        <v>10996</v>
      </c>
      <c r="E117" s="269" t="s">
        <v>11191</v>
      </c>
      <c r="F117" s="270"/>
      <c r="G117" s="270"/>
      <c r="H117" s="271" t="s">
        <v>11198</v>
      </c>
      <c r="I117" s="270"/>
      <c r="J117" s="270"/>
    </row>
    <row r="118">
      <c r="A118" s="269">
        <v>7073.0</v>
      </c>
      <c r="B118" s="269" t="s">
        <v>20</v>
      </c>
      <c r="C118" s="269" t="s">
        <v>727</v>
      </c>
      <c r="D118" s="269" t="s">
        <v>10996</v>
      </c>
      <c r="E118" s="269" t="s">
        <v>11191</v>
      </c>
      <c r="F118" s="270"/>
      <c r="G118" s="270"/>
      <c r="H118" s="271" t="s">
        <v>11199</v>
      </c>
      <c r="I118" s="271" t="s">
        <v>11193</v>
      </c>
      <c r="J118" s="270"/>
    </row>
    <row r="119">
      <c r="A119" s="269">
        <v>7272.0</v>
      </c>
      <c r="B119" s="269" t="s">
        <v>20</v>
      </c>
      <c r="C119" s="269" t="s">
        <v>4084</v>
      </c>
      <c r="D119" s="269" t="s">
        <v>10996</v>
      </c>
      <c r="E119" s="269" t="s">
        <v>11191</v>
      </c>
      <c r="F119" s="270"/>
      <c r="G119" s="270"/>
      <c r="H119" s="271" t="s">
        <v>11200</v>
      </c>
      <c r="I119" s="270"/>
      <c r="J119" s="271" t="s">
        <v>11201</v>
      </c>
    </row>
    <row r="120">
      <c r="A120" s="269">
        <v>7382.0</v>
      </c>
      <c r="B120" s="269" t="s">
        <v>20</v>
      </c>
      <c r="C120" s="269" t="s">
        <v>1057</v>
      </c>
      <c r="D120" s="269" t="s">
        <v>10996</v>
      </c>
      <c r="E120" s="269" t="s">
        <v>11191</v>
      </c>
      <c r="F120" s="270"/>
      <c r="G120" s="270"/>
      <c r="H120" s="271" t="s">
        <v>11202</v>
      </c>
      <c r="I120" s="271" t="s">
        <v>11203</v>
      </c>
      <c r="J120" s="270"/>
    </row>
    <row r="121">
      <c r="A121" s="270"/>
      <c r="B121" s="269" t="s">
        <v>20</v>
      </c>
      <c r="C121" s="269" t="s">
        <v>11204</v>
      </c>
      <c r="D121" s="269" t="s">
        <v>10996</v>
      </c>
      <c r="E121" s="269" t="s">
        <v>11191</v>
      </c>
      <c r="F121" s="270"/>
      <c r="G121" s="270"/>
      <c r="H121" s="271" t="s">
        <v>11205</v>
      </c>
      <c r="I121" s="270"/>
      <c r="J121" s="270"/>
    </row>
    <row r="122">
      <c r="A122" s="269">
        <v>7060.0</v>
      </c>
      <c r="B122" s="269" t="s">
        <v>20</v>
      </c>
      <c r="C122" s="269" t="s">
        <v>7012</v>
      </c>
      <c r="D122" s="269" t="s">
        <v>10996</v>
      </c>
      <c r="E122" s="269" t="s">
        <v>11206</v>
      </c>
      <c r="F122" s="270"/>
      <c r="G122" s="270"/>
      <c r="H122" s="271" t="s">
        <v>11207</v>
      </c>
      <c r="I122" s="271" t="s">
        <v>11208</v>
      </c>
      <c r="J122" s="270"/>
    </row>
    <row r="123">
      <c r="A123" s="269">
        <v>7166.0</v>
      </c>
      <c r="B123" s="269" t="s">
        <v>20</v>
      </c>
      <c r="C123" s="269" t="s">
        <v>11209</v>
      </c>
      <c r="D123" s="269" t="s">
        <v>10996</v>
      </c>
      <c r="E123" s="269" t="s">
        <v>11206</v>
      </c>
      <c r="F123" s="270"/>
      <c r="G123" s="270"/>
      <c r="H123" s="270"/>
      <c r="I123" s="270"/>
      <c r="J123" s="271" t="s">
        <v>11210</v>
      </c>
    </row>
    <row r="124">
      <c r="B124" s="8" t="s">
        <v>20</v>
      </c>
      <c r="C124" s="8" t="s">
        <v>1925</v>
      </c>
      <c r="D124" s="8" t="s">
        <v>10996</v>
      </c>
      <c r="E124" s="8" t="s">
        <v>11211</v>
      </c>
      <c r="F124" s="8" t="s">
        <v>11212</v>
      </c>
      <c r="H124" s="9" t="s">
        <v>11213</v>
      </c>
    </row>
    <row r="125">
      <c r="A125" s="272">
        <v>21515.0</v>
      </c>
      <c r="B125" s="269" t="s">
        <v>20</v>
      </c>
      <c r="C125" s="272" t="s">
        <v>1420</v>
      </c>
      <c r="D125" s="269" t="s">
        <v>10996</v>
      </c>
      <c r="E125" s="269" t="s">
        <v>11214</v>
      </c>
      <c r="F125" s="270"/>
      <c r="G125" s="270"/>
      <c r="H125" s="271" t="s">
        <v>11215</v>
      </c>
      <c r="I125" s="270"/>
      <c r="J125" s="270"/>
    </row>
    <row r="126">
      <c r="B126" s="8" t="s">
        <v>720</v>
      </c>
      <c r="C126" s="8" t="s">
        <v>11216</v>
      </c>
      <c r="D126" s="8" t="s">
        <v>10996</v>
      </c>
      <c r="E126" s="8" t="s">
        <v>11217</v>
      </c>
      <c r="H126" s="9" t="s">
        <v>11218</v>
      </c>
    </row>
    <row r="127">
      <c r="B127" s="8" t="s">
        <v>20</v>
      </c>
      <c r="C127" s="8" t="s">
        <v>11219</v>
      </c>
      <c r="D127" s="8" t="s">
        <v>10996</v>
      </c>
      <c r="E127" s="8" t="s">
        <v>11217</v>
      </c>
      <c r="H127" s="9" t="s">
        <v>11220</v>
      </c>
      <c r="I127" s="12" t="s">
        <v>11221</v>
      </c>
      <c r="J127" s="12" t="s">
        <v>11222</v>
      </c>
    </row>
    <row r="128">
      <c r="B128" s="8" t="s">
        <v>20</v>
      </c>
      <c r="C128" s="8" t="s">
        <v>2155</v>
      </c>
      <c r="D128" s="8" t="s">
        <v>10996</v>
      </c>
      <c r="E128" s="8" t="s">
        <v>11217</v>
      </c>
      <c r="H128" s="9" t="s">
        <v>11223</v>
      </c>
    </row>
    <row r="129">
      <c r="B129" s="8" t="s">
        <v>20</v>
      </c>
      <c r="C129" s="8" t="s">
        <v>855</v>
      </c>
      <c r="D129" s="8" t="s">
        <v>10996</v>
      </c>
      <c r="E129" s="8" t="s">
        <v>11217</v>
      </c>
      <c r="H129" s="12" t="s">
        <v>11224</v>
      </c>
    </row>
    <row r="130">
      <c r="B130" s="8" t="s">
        <v>20</v>
      </c>
      <c r="C130" s="8" t="s">
        <v>5682</v>
      </c>
      <c r="D130" s="8" t="s">
        <v>10996</v>
      </c>
      <c r="E130" s="8" t="s">
        <v>11217</v>
      </c>
      <c r="H130" s="9" t="s">
        <v>11225</v>
      </c>
    </row>
    <row r="131">
      <c r="B131" s="8" t="s">
        <v>20</v>
      </c>
      <c r="C131" s="8" t="s">
        <v>347</v>
      </c>
      <c r="D131" s="8" t="s">
        <v>10996</v>
      </c>
      <c r="E131" s="8" t="s">
        <v>11217</v>
      </c>
      <c r="H131" s="9" t="s">
        <v>11226</v>
      </c>
    </row>
    <row r="132">
      <c r="B132" s="8" t="s">
        <v>20</v>
      </c>
      <c r="C132" s="8" t="s">
        <v>5682</v>
      </c>
      <c r="D132" s="8" t="s">
        <v>10996</v>
      </c>
      <c r="E132" s="8" t="s">
        <v>11217</v>
      </c>
      <c r="H132" s="9" t="s">
        <v>11227</v>
      </c>
    </row>
    <row r="133">
      <c r="B133" s="8" t="s">
        <v>20</v>
      </c>
      <c r="C133" s="8" t="s">
        <v>3415</v>
      </c>
      <c r="D133" s="8" t="s">
        <v>10996</v>
      </c>
      <c r="E133" s="8" t="s">
        <v>11217</v>
      </c>
      <c r="G133" s="37">
        <v>1.0</v>
      </c>
      <c r="H133" s="9" t="s">
        <v>11228</v>
      </c>
    </row>
    <row r="134">
      <c r="B134" s="8" t="s">
        <v>20</v>
      </c>
      <c r="C134" s="8" t="s">
        <v>8418</v>
      </c>
      <c r="D134" s="8" t="s">
        <v>10996</v>
      </c>
      <c r="E134" s="8" t="s">
        <v>11217</v>
      </c>
      <c r="H134" s="9" t="s">
        <v>11229</v>
      </c>
    </row>
    <row r="135">
      <c r="B135" s="8" t="s">
        <v>4322</v>
      </c>
      <c r="C135" s="8" t="s">
        <v>855</v>
      </c>
      <c r="D135" s="8" t="s">
        <v>10996</v>
      </c>
      <c r="E135" s="8" t="s">
        <v>11217</v>
      </c>
      <c r="H135" s="9" t="s">
        <v>11230</v>
      </c>
    </row>
    <row r="136">
      <c r="A136" s="269">
        <v>6892.0</v>
      </c>
      <c r="B136" s="269" t="s">
        <v>20</v>
      </c>
      <c r="C136" s="269" t="s">
        <v>11231</v>
      </c>
      <c r="D136" s="269" t="s">
        <v>10996</v>
      </c>
      <c r="E136" s="269" t="s">
        <v>11217</v>
      </c>
      <c r="F136" s="270"/>
      <c r="G136" s="270"/>
      <c r="H136" s="271" t="s">
        <v>11225</v>
      </c>
      <c r="I136" s="270"/>
      <c r="J136" s="271" t="s">
        <v>11232</v>
      </c>
    </row>
    <row r="137">
      <c r="A137" s="269">
        <v>6989.0</v>
      </c>
      <c r="B137" s="269" t="s">
        <v>20</v>
      </c>
      <c r="C137" s="269" t="s">
        <v>11233</v>
      </c>
      <c r="D137" s="269" t="s">
        <v>10996</v>
      </c>
      <c r="E137" s="269" t="s">
        <v>11217</v>
      </c>
      <c r="F137" s="270"/>
      <c r="G137" s="270"/>
      <c r="H137" s="271" t="s">
        <v>11234</v>
      </c>
      <c r="I137" s="270"/>
      <c r="J137" s="270"/>
    </row>
    <row r="138">
      <c r="A138" s="269">
        <v>7090.0</v>
      </c>
      <c r="B138" s="269" t="s">
        <v>20</v>
      </c>
      <c r="C138" s="269" t="s">
        <v>11235</v>
      </c>
      <c r="D138" s="269" t="s">
        <v>10996</v>
      </c>
      <c r="E138" s="269" t="s">
        <v>11217</v>
      </c>
      <c r="F138" s="270"/>
      <c r="G138" s="270"/>
      <c r="H138" s="270"/>
      <c r="I138" s="271" t="s">
        <v>11236</v>
      </c>
      <c r="J138" s="270"/>
    </row>
    <row r="139">
      <c r="A139" s="269">
        <v>30518.0</v>
      </c>
      <c r="B139" s="269" t="s">
        <v>20</v>
      </c>
      <c r="C139" s="272" t="s">
        <v>855</v>
      </c>
      <c r="D139" s="269" t="s">
        <v>10996</v>
      </c>
      <c r="E139" s="269" t="s">
        <v>11217</v>
      </c>
      <c r="F139" s="270"/>
      <c r="G139" s="270"/>
      <c r="H139" s="271" t="s">
        <v>11237</v>
      </c>
      <c r="I139" s="270"/>
      <c r="J139" s="270"/>
    </row>
    <row r="140">
      <c r="A140" s="270"/>
      <c r="B140" s="269" t="s">
        <v>20</v>
      </c>
      <c r="C140" s="269" t="s">
        <v>11238</v>
      </c>
      <c r="D140" s="269" t="s">
        <v>10996</v>
      </c>
      <c r="E140" s="269" t="s">
        <v>11217</v>
      </c>
      <c r="F140" s="270"/>
      <c r="G140" s="270"/>
      <c r="H140" s="271" t="s">
        <v>11239</v>
      </c>
      <c r="I140" s="270"/>
      <c r="J140" s="270"/>
    </row>
    <row r="141">
      <c r="A141" s="269">
        <v>7221.0</v>
      </c>
      <c r="B141" s="269" t="s">
        <v>20</v>
      </c>
      <c r="C141" s="269" t="s">
        <v>7974</v>
      </c>
      <c r="D141" s="269" t="s">
        <v>10996</v>
      </c>
      <c r="E141" s="269" t="s">
        <v>11217</v>
      </c>
      <c r="F141" s="270"/>
      <c r="G141" s="270"/>
      <c r="H141" s="271" t="s">
        <v>11240</v>
      </c>
      <c r="I141" s="270"/>
      <c r="J141" s="270"/>
    </row>
    <row r="142">
      <c r="A142" s="269">
        <v>7247.0</v>
      </c>
      <c r="B142" s="269" t="s">
        <v>20</v>
      </c>
      <c r="C142" s="269" t="s">
        <v>11241</v>
      </c>
      <c r="D142" s="269" t="s">
        <v>10996</v>
      </c>
      <c r="E142" s="269" t="s">
        <v>11217</v>
      </c>
      <c r="F142" s="270"/>
      <c r="G142" s="270"/>
      <c r="H142" s="271" t="s">
        <v>11242</v>
      </c>
      <c r="I142" s="270"/>
      <c r="J142" s="271" t="s">
        <v>11243</v>
      </c>
    </row>
    <row r="143">
      <c r="A143" s="269">
        <v>7296.0</v>
      </c>
      <c r="B143" s="269" t="s">
        <v>20</v>
      </c>
      <c r="C143" s="269" t="s">
        <v>4206</v>
      </c>
      <c r="D143" s="269" t="s">
        <v>10996</v>
      </c>
      <c r="E143" s="269" t="s">
        <v>11217</v>
      </c>
      <c r="F143" s="270"/>
      <c r="G143" s="270"/>
      <c r="H143" s="271" t="s">
        <v>11237</v>
      </c>
      <c r="I143" s="270"/>
      <c r="J143" s="270"/>
    </row>
    <row r="144">
      <c r="A144" s="272">
        <v>20616.0</v>
      </c>
      <c r="B144" s="269" t="s">
        <v>20</v>
      </c>
      <c r="C144" s="272" t="s">
        <v>5682</v>
      </c>
      <c r="D144" s="269" t="s">
        <v>10996</v>
      </c>
      <c r="E144" s="269" t="s">
        <v>11217</v>
      </c>
      <c r="F144" s="270"/>
      <c r="G144" s="270"/>
      <c r="H144" s="271" t="s">
        <v>11244</v>
      </c>
      <c r="I144" s="270"/>
      <c r="J144" s="270"/>
    </row>
    <row r="145">
      <c r="A145" s="272">
        <v>20061.0</v>
      </c>
      <c r="B145" s="269" t="s">
        <v>20</v>
      </c>
      <c r="C145" s="272" t="s">
        <v>7360</v>
      </c>
      <c r="D145" s="269" t="s">
        <v>10996</v>
      </c>
      <c r="E145" s="269" t="s">
        <v>11217</v>
      </c>
      <c r="F145" s="270"/>
      <c r="G145" s="270"/>
      <c r="H145" s="271" t="s">
        <v>11245</v>
      </c>
      <c r="I145" s="270"/>
      <c r="J145" s="270"/>
    </row>
    <row r="146">
      <c r="A146" s="272">
        <v>21519.0</v>
      </c>
      <c r="B146" s="269" t="s">
        <v>20</v>
      </c>
      <c r="C146" s="272" t="s">
        <v>11246</v>
      </c>
      <c r="D146" s="269" t="s">
        <v>10996</v>
      </c>
      <c r="E146" s="269" t="s">
        <v>11247</v>
      </c>
      <c r="F146" s="270"/>
      <c r="G146" s="270"/>
      <c r="H146" s="271" t="s">
        <v>11248</v>
      </c>
      <c r="I146" s="270"/>
      <c r="J146" s="270"/>
    </row>
    <row r="147">
      <c r="A147" s="270"/>
      <c r="B147" s="269" t="s">
        <v>20</v>
      </c>
      <c r="C147" s="269" t="s">
        <v>11249</v>
      </c>
      <c r="D147" s="269" t="s">
        <v>10996</v>
      </c>
      <c r="E147" s="269" t="s">
        <v>11250</v>
      </c>
      <c r="F147" s="270"/>
      <c r="G147" s="270"/>
      <c r="H147" s="271" t="s">
        <v>11251</v>
      </c>
      <c r="I147" s="270"/>
      <c r="J147" s="270"/>
    </row>
    <row r="148">
      <c r="A148" s="269">
        <v>7105.0</v>
      </c>
      <c r="B148" s="269" t="s">
        <v>20</v>
      </c>
      <c r="C148" s="269" t="s">
        <v>11252</v>
      </c>
      <c r="D148" s="269" t="s">
        <v>10996</v>
      </c>
      <c r="E148" s="269" t="s">
        <v>11253</v>
      </c>
      <c r="F148" s="270"/>
      <c r="G148" s="270"/>
      <c r="H148" s="271" t="s">
        <v>11254</v>
      </c>
      <c r="I148" s="271" t="s">
        <v>11255</v>
      </c>
      <c r="J148" s="270"/>
    </row>
    <row r="149">
      <c r="B149" s="8" t="s">
        <v>34</v>
      </c>
      <c r="C149" s="8" t="s">
        <v>11256</v>
      </c>
      <c r="D149" s="8" t="s">
        <v>10996</v>
      </c>
      <c r="E149" s="8" t="s">
        <v>11257</v>
      </c>
      <c r="H149" s="9" t="s">
        <v>11258</v>
      </c>
    </row>
    <row r="150">
      <c r="B150" s="8" t="s">
        <v>20</v>
      </c>
      <c r="C150" s="8" t="s">
        <v>11259</v>
      </c>
      <c r="D150" s="8" t="s">
        <v>10996</v>
      </c>
      <c r="E150" s="8" t="s">
        <v>11257</v>
      </c>
      <c r="H150" s="9" t="s">
        <v>11260</v>
      </c>
    </row>
    <row r="151">
      <c r="B151" s="8" t="s">
        <v>20</v>
      </c>
      <c r="C151" s="8" t="s">
        <v>74</v>
      </c>
      <c r="D151" s="8" t="s">
        <v>10996</v>
      </c>
      <c r="E151" s="8" t="s">
        <v>11257</v>
      </c>
      <c r="F151" s="8" t="s">
        <v>11206</v>
      </c>
      <c r="H151" s="9" t="s">
        <v>11261</v>
      </c>
    </row>
    <row r="152">
      <c r="B152" s="8" t="s">
        <v>20</v>
      </c>
      <c r="C152" s="8" t="s">
        <v>1925</v>
      </c>
      <c r="D152" s="8" t="s">
        <v>10996</v>
      </c>
      <c r="E152" s="8" t="s">
        <v>11257</v>
      </c>
      <c r="H152" s="9" t="s">
        <v>11262</v>
      </c>
      <c r="I152" s="12" t="s">
        <v>11263</v>
      </c>
    </row>
    <row r="153">
      <c r="B153" s="8" t="s">
        <v>20</v>
      </c>
      <c r="C153" s="8" t="s">
        <v>11264</v>
      </c>
      <c r="D153" s="8" t="s">
        <v>10996</v>
      </c>
      <c r="E153" s="8" t="s">
        <v>11257</v>
      </c>
      <c r="F153" s="8" t="s">
        <v>11206</v>
      </c>
      <c r="H153" s="9" t="s">
        <v>11265</v>
      </c>
      <c r="I153" s="12" t="s">
        <v>11208</v>
      </c>
    </row>
    <row r="154">
      <c r="B154" s="8" t="s">
        <v>20</v>
      </c>
      <c r="C154" s="8" t="s">
        <v>2155</v>
      </c>
      <c r="D154" s="8" t="s">
        <v>10996</v>
      </c>
      <c r="E154" s="8" t="s">
        <v>11257</v>
      </c>
      <c r="H154" s="9" t="s">
        <v>11266</v>
      </c>
    </row>
    <row r="155">
      <c r="B155" s="8" t="s">
        <v>20</v>
      </c>
      <c r="C155" s="8" t="s">
        <v>9648</v>
      </c>
      <c r="D155" s="8" t="s">
        <v>10996</v>
      </c>
      <c r="E155" s="8" t="s">
        <v>11257</v>
      </c>
      <c r="H155" s="9" t="s">
        <v>11267</v>
      </c>
      <c r="I155" s="12" t="s">
        <v>11268</v>
      </c>
    </row>
    <row r="156">
      <c r="A156" s="269">
        <v>6941.0</v>
      </c>
      <c r="B156" s="269" t="s">
        <v>20</v>
      </c>
      <c r="C156" s="269" t="s">
        <v>8151</v>
      </c>
      <c r="D156" s="269" t="s">
        <v>10996</v>
      </c>
      <c r="E156" s="269" t="s">
        <v>11257</v>
      </c>
      <c r="F156" s="270"/>
      <c r="G156" s="270"/>
      <c r="H156" s="271" t="s">
        <v>11262</v>
      </c>
      <c r="I156" s="271" t="s">
        <v>11263</v>
      </c>
      <c r="J156" s="270"/>
    </row>
    <row r="157">
      <c r="A157" s="269">
        <v>7064.0</v>
      </c>
      <c r="B157" s="269" t="s">
        <v>20</v>
      </c>
      <c r="C157" s="269" t="s">
        <v>11269</v>
      </c>
      <c r="D157" s="269" t="s">
        <v>10996</v>
      </c>
      <c r="E157" s="269" t="s">
        <v>11257</v>
      </c>
      <c r="F157" s="270"/>
      <c r="G157" s="270"/>
      <c r="H157" s="271" t="s">
        <v>11270</v>
      </c>
      <c r="I157" s="270"/>
      <c r="J157" s="270"/>
    </row>
    <row r="158">
      <c r="B158" s="8" t="s">
        <v>34</v>
      </c>
      <c r="C158" s="8" t="s">
        <v>11271</v>
      </c>
      <c r="D158" s="8" t="s">
        <v>10996</v>
      </c>
      <c r="H158" s="9" t="s">
        <v>11272</v>
      </c>
    </row>
    <row r="159">
      <c r="B159" s="8" t="s">
        <v>4322</v>
      </c>
      <c r="C159" s="8" t="s">
        <v>1952</v>
      </c>
      <c r="D159" s="8" t="s">
        <v>10996</v>
      </c>
      <c r="E159" s="8" t="s">
        <v>11030</v>
      </c>
      <c r="J159" s="12" t="s">
        <v>11273</v>
      </c>
    </row>
    <row r="160">
      <c r="B160" s="8" t="s">
        <v>276</v>
      </c>
      <c r="C160" s="8" t="s">
        <v>11274</v>
      </c>
      <c r="D160" s="8" t="s">
        <v>10996</v>
      </c>
      <c r="E160" s="8" t="s">
        <v>11030</v>
      </c>
      <c r="J160" s="12" t="s">
        <v>11275</v>
      </c>
    </row>
    <row r="161">
      <c r="B161" s="8" t="s">
        <v>20</v>
      </c>
      <c r="C161" s="8" t="s">
        <v>11276</v>
      </c>
      <c r="D161" s="8" t="s">
        <v>10996</v>
      </c>
      <c r="E161" s="8" t="s">
        <v>11030</v>
      </c>
      <c r="J161" s="12" t="s">
        <v>11047</v>
      </c>
    </row>
  </sheetData>
  <conditionalFormatting sqref="A1:V1">
    <cfRule type="notContainsBlanks" dxfId="0" priority="1">
      <formula>LEN(TRIM(A1))&gt;0</formula>
    </cfRule>
  </conditionalFormatting>
  <hyperlinks>
    <hyperlink r:id="rId1" ref="H2"/>
    <hyperlink r:id="rId2" ref="I2"/>
    <hyperlink r:id="rId3" ref="H3"/>
    <hyperlink r:id="rId4" ref="J3"/>
    <hyperlink r:id="rId5" ref="H4"/>
    <hyperlink r:id="rId6" ref="J4"/>
    <hyperlink r:id="rId7" ref="H5"/>
    <hyperlink r:id="rId8" ref="I5"/>
    <hyperlink r:id="rId9" ref="J5"/>
    <hyperlink r:id="rId10" ref="H6"/>
    <hyperlink r:id="rId11" ref="H7"/>
    <hyperlink r:id="rId12" ref="H8"/>
    <hyperlink r:id="rId13" ref="I8"/>
    <hyperlink r:id="rId14" ref="H9"/>
    <hyperlink r:id="rId15" ref="I9"/>
    <hyperlink r:id="rId16" ref="H10"/>
    <hyperlink r:id="rId17" ref="J10"/>
    <hyperlink r:id="rId18" ref="J11"/>
    <hyperlink r:id="rId19" ref="H12"/>
    <hyperlink r:id="rId20" ref="H13"/>
    <hyperlink r:id="rId21" ref="I13"/>
    <hyperlink r:id="rId22" ref="H14"/>
    <hyperlink r:id="rId23" ref="I14"/>
    <hyperlink r:id="rId24" ref="H15"/>
    <hyperlink r:id="rId25" ref="H16"/>
    <hyperlink r:id="rId26" ref="H17"/>
    <hyperlink r:id="rId27" ref="H18"/>
    <hyperlink r:id="rId28" ref="I18"/>
    <hyperlink r:id="rId29" ref="J18"/>
    <hyperlink r:id="rId30" ref="H19"/>
    <hyperlink r:id="rId31" ref="J19"/>
    <hyperlink r:id="rId32" ref="H20"/>
    <hyperlink r:id="rId33" ref="I20"/>
    <hyperlink r:id="rId34" ref="H21"/>
    <hyperlink r:id="rId35" ref="H22"/>
    <hyperlink r:id="rId36" ref="H23"/>
    <hyperlink r:id="rId37" ref="I23"/>
    <hyperlink r:id="rId38" ref="H24"/>
    <hyperlink r:id="rId39" ref="J24"/>
    <hyperlink r:id="rId40" ref="H25"/>
    <hyperlink r:id="rId41" ref="I25"/>
    <hyperlink r:id="rId42" ref="H26"/>
    <hyperlink r:id="rId43" ref="H27"/>
    <hyperlink r:id="rId44" ref="J27"/>
    <hyperlink r:id="rId45" ref="H28"/>
    <hyperlink r:id="rId46" ref="I28"/>
    <hyperlink r:id="rId47" ref="H29"/>
    <hyperlink r:id="rId48" ref="H30"/>
    <hyperlink r:id="rId49" ref="J30"/>
    <hyperlink r:id="rId50" ref="H31"/>
    <hyperlink r:id="rId51" ref="H32"/>
    <hyperlink r:id="rId52" ref="H33"/>
    <hyperlink r:id="rId53" ref="J33"/>
    <hyperlink r:id="rId54" ref="H34"/>
    <hyperlink r:id="rId55" ref="I34"/>
    <hyperlink r:id="rId56" ref="J34"/>
    <hyperlink r:id="rId57" ref="H35"/>
    <hyperlink r:id="rId58" ref="I35"/>
    <hyperlink r:id="rId59" ref="H36"/>
    <hyperlink r:id="rId60" ref="H37"/>
    <hyperlink r:id="rId61" ref="H38"/>
    <hyperlink r:id="rId62" ref="I38"/>
    <hyperlink r:id="rId63" ref="H39"/>
    <hyperlink r:id="rId64" ref="I39"/>
    <hyperlink r:id="rId65" ref="H40"/>
    <hyperlink r:id="rId66" ref="I40"/>
    <hyperlink r:id="rId67" ref="H41"/>
    <hyperlink r:id="rId68" ref="H42"/>
    <hyperlink r:id="rId69" ref="H43"/>
    <hyperlink r:id="rId70" ref="I43"/>
    <hyperlink r:id="rId71" ref="H44"/>
    <hyperlink r:id="rId72" ref="H45"/>
    <hyperlink r:id="rId73" ref="H46"/>
    <hyperlink r:id="rId74" ref="H47"/>
    <hyperlink r:id="rId75" ref="H48"/>
    <hyperlink r:id="rId76" ref="H49"/>
    <hyperlink r:id="rId77" ref="I49"/>
    <hyperlink r:id="rId78" ref="H50"/>
    <hyperlink r:id="rId79" ref="I50"/>
    <hyperlink r:id="rId80" ref="H51"/>
    <hyperlink r:id="rId81" ref="H52"/>
    <hyperlink r:id="rId82" ref="H53"/>
    <hyperlink r:id="rId83" ref="I53"/>
    <hyperlink r:id="rId84" ref="J53"/>
    <hyperlink r:id="rId85" ref="H54"/>
    <hyperlink r:id="rId86" ref="H55"/>
    <hyperlink r:id="rId87" ref="H56"/>
    <hyperlink r:id="rId88" ref="H57"/>
    <hyperlink r:id="rId89" ref="H58"/>
    <hyperlink r:id="rId90" ref="I58"/>
    <hyperlink r:id="rId91" ref="H59"/>
    <hyperlink r:id="rId92" ref="H60"/>
    <hyperlink r:id="rId93" ref="H61"/>
    <hyperlink r:id="rId94" ref="H62"/>
    <hyperlink r:id="rId95" ref="H63"/>
    <hyperlink r:id="rId96" ref="H64"/>
    <hyperlink r:id="rId97" ref="I64"/>
    <hyperlink r:id="rId98" ref="H65"/>
    <hyperlink r:id="rId99" ref="H66"/>
    <hyperlink r:id="rId100" ref="I66"/>
    <hyperlink r:id="rId101" ref="H67"/>
    <hyperlink r:id="rId102" ref="H68"/>
    <hyperlink r:id="rId103" ref="H69"/>
    <hyperlink r:id="rId104" ref="H70"/>
    <hyperlink r:id="rId105" ref="H71"/>
    <hyperlink r:id="rId106" ref="I71"/>
    <hyperlink r:id="rId107" ref="J72"/>
    <hyperlink r:id="rId108" ref="H73"/>
    <hyperlink r:id="rId109" ref="J73"/>
    <hyperlink r:id="rId110" ref="H74"/>
    <hyperlink r:id="rId111" ref="H75"/>
    <hyperlink r:id="rId112" ref="H76"/>
    <hyperlink r:id="rId113" ref="J76"/>
    <hyperlink r:id="rId114" ref="H77"/>
    <hyperlink r:id="rId115" ref="H78"/>
    <hyperlink r:id="rId116" ref="H79"/>
    <hyperlink r:id="rId117" ref="H80"/>
    <hyperlink r:id="rId118" ref="I80"/>
    <hyperlink r:id="rId119" ref="H81"/>
    <hyperlink r:id="rId120" ref="H82"/>
    <hyperlink r:id="rId121" ref="H83"/>
    <hyperlink r:id="rId122" ref="H84"/>
    <hyperlink r:id="rId123" ref="H85"/>
    <hyperlink r:id="rId124" ref="H86"/>
    <hyperlink r:id="rId125" ref="H87"/>
    <hyperlink r:id="rId126" ref="H88"/>
    <hyperlink r:id="rId127" ref="H89"/>
    <hyperlink r:id="rId128" ref="H90"/>
    <hyperlink r:id="rId129" ref="I90"/>
    <hyperlink r:id="rId130" ref="H91"/>
    <hyperlink r:id="rId131" ref="H92"/>
    <hyperlink r:id="rId132" ref="I92"/>
    <hyperlink r:id="rId133" ref="H93"/>
    <hyperlink r:id="rId134" ref="H94"/>
    <hyperlink r:id="rId135" ref="H95"/>
    <hyperlink r:id="rId136" ref="H96"/>
    <hyperlink r:id="rId137" ref="J96"/>
    <hyperlink r:id="rId138" ref="H97"/>
    <hyperlink r:id="rId139" ref="J97"/>
    <hyperlink r:id="rId140" ref="H98"/>
    <hyperlink r:id="rId141" ref="H99"/>
    <hyperlink r:id="rId142" ref="H100"/>
    <hyperlink r:id="rId143" ref="H101"/>
    <hyperlink r:id="rId144" ref="I101"/>
    <hyperlink r:id="rId145" ref="H102"/>
    <hyperlink r:id="rId146" ref="H103"/>
    <hyperlink r:id="rId147" ref="H104"/>
    <hyperlink r:id="rId148" ref="H105"/>
    <hyperlink r:id="rId149" ref="H106"/>
    <hyperlink r:id="rId150" ref="H107"/>
    <hyperlink r:id="rId151" ref="H108"/>
    <hyperlink r:id="rId152" ref="H109"/>
    <hyperlink r:id="rId153" ref="H110"/>
    <hyperlink r:id="rId154" ref="H111"/>
    <hyperlink r:id="rId155" ref="H112"/>
    <hyperlink r:id="rId156" ref="H113"/>
    <hyperlink r:id="rId157" ref="H114"/>
    <hyperlink r:id="rId158" ref="I114"/>
    <hyperlink r:id="rId159" ref="H115"/>
    <hyperlink r:id="rId160" ref="H116"/>
    <hyperlink r:id="rId161" ref="H117"/>
    <hyperlink r:id="rId162" ref="H118"/>
    <hyperlink r:id="rId163" ref="I118"/>
    <hyperlink r:id="rId164" ref="H119"/>
    <hyperlink r:id="rId165" ref="J119"/>
    <hyperlink r:id="rId166" ref="H120"/>
    <hyperlink r:id="rId167" ref="I120"/>
    <hyperlink r:id="rId168" ref="H121"/>
    <hyperlink r:id="rId169" ref="H122"/>
    <hyperlink r:id="rId170" ref="I122"/>
    <hyperlink r:id="rId171" ref="J123"/>
    <hyperlink r:id="rId172" ref="H124"/>
    <hyperlink r:id="rId173" ref="H125"/>
    <hyperlink r:id="rId174" ref="H126"/>
    <hyperlink r:id="rId175" ref="H127"/>
    <hyperlink r:id="rId176" ref="I127"/>
    <hyperlink r:id="rId177" ref="J127"/>
    <hyperlink r:id="rId178" ref="H128"/>
    <hyperlink r:id="rId179" ref="H129"/>
    <hyperlink r:id="rId180" ref="H130"/>
    <hyperlink r:id="rId181" ref="H131"/>
    <hyperlink r:id="rId182" ref="H132"/>
    <hyperlink r:id="rId183" ref="H133"/>
    <hyperlink r:id="rId184" ref="H134"/>
    <hyperlink r:id="rId185" ref="H135"/>
    <hyperlink r:id="rId186" ref="H136"/>
    <hyperlink r:id="rId187" ref="J136"/>
    <hyperlink r:id="rId188" ref="H137"/>
    <hyperlink r:id="rId189" ref="I138"/>
    <hyperlink r:id="rId190" ref="H139"/>
    <hyperlink r:id="rId191" ref="H140"/>
    <hyperlink r:id="rId192" ref="H141"/>
    <hyperlink r:id="rId193" ref="H142"/>
    <hyperlink r:id="rId194" ref="J142"/>
    <hyperlink r:id="rId195" ref="H143"/>
    <hyperlink r:id="rId196" ref="H144"/>
    <hyperlink r:id="rId197" ref="H145"/>
    <hyperlink r:id="rId198" ref="H146"/>
    <hyperlink r:id="rId199" ref="H147"/>
    <hyperlink r:id="rId200" ref="H148"/>
    <hyperlink r:id="rId201" ref="I148"/>
    <hyperlink r:id="rId202" ref="H149"/>
    <hyperlink r:id="rId203" ref="H150"/>
    <hyperlink r:id="rId204" ref="H151"/>
    <hyperlink r:id="rId205" ref="H152"/>
    <hyperlink r:id="rId206" ref="I152"/>
    <hyperlink r:id="rId207" ref="H153"/>
    <hyperlink r:id="rId208" ref="I153"/>
    <hyperlink r:id="rId209" ref="H154"/>
    <hyperlink r:id="rId210" ref="H155"/>
    <hyperlink r:id="rId211" ref="I155"/>
    <hyperlink r:id="rId212" ref="H156"/>
    <hyperlink r:id="rId213" ref="I156"/>
    <hyperlink r:id="rId214" ref="H157"/>
    <hyperlink r:id="rId215" ref="H158"/>
    <hyperlink r:id="rId216" ref="J159"/>
    <hyperlink r:id="rId217" ref="J160"/>
    <hyperlink r:id="rId218" ref="J161"/>
  </hyperlinks>
  <drawing r:id="rId219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7.38"/>
    <col customWidth="1" min="3" max="3" width="19.75"/>
    <col customWidth="1" min="4" max="4" width="4.0"/>
    <col customWidth="1" min="5" max="5" width="6.63"/>
    <col customWidth="1" min="6" max="6" width="10.25"/>
    <col customWidth="1" min="7" max="7" width="3.0"/>
    <col customWidth="1" min="8" max="8" width="47.0"/>
    <col customWidth="1" min="9" max="9" width="4.38"/>
    <col customWidth="1" min="10" max="10" width="34.13"/>
    <col customWidth="1" min="11" max="11" width="4.88"/>
    <col customWidth="1" min="12" max="12" width="4.5"/>
    <col customWidth="1" min="13" max="13" width="3.88"/>
    <col customWidth="1" min="14" max="14" width="7.25"/>
    <col customWidth="1" min="15" max="15" width="4.38"/>
    <col customWidth="1" min="16" max="16" width="4.5"/>
    <col customWidth="1" min="17" max="17" width="4.13"/>
    <col customWidth="1" min="18" max="18" width="5.13"/>
    <col customWidth="1" min="19" max="19" width="4.25"/>
    <col customWidth="1" min="20" max="20" width="4.5"/>
  </cols>
  <sheetData>
    <row r="1">
      <c r="A1" s="8" t="s">
        <v>19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3567</v>
      </c>
      <c r="K1" s="4" t="s">
        <v>10</v>
      </c>
      <c r="L1" s="4" t="s">
        <v>3568</v>
      </c>
      <c r="M1" s="4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</row>
    <row r="2">
      <c r="A2" s="7"/>
      <c r="B2" s="7" t="s">
        <v>2364</v>
      </c>
      <c r="C2" s="7" t="s">
        <v>11277</v>
      </c>
      <c r="D2" s="8" t="s">
        <v>11278</v>
      </c>
      <c r="E2" s="8" t="s">
        <v>11279</v>
      </c>
      <c r="F2" s="273" t="s">
        <v>11280</v>
      </c>
      <c r="H2" s="9" t="s">
        <v>11281</v>
      </c>
      <c r="J2" s="12" t="s">
        <v>11282</v>
      </c>
    </row>
    <row r="3">
      <c r="A3" s="269">
        <v>33307.0</v>
      </c>
      <c r="B3" s="269" t="s">
        <v>20</v>
      </c>
      <c r="C3" s="269" t="s">
        <v>11283</v>
      </c>
      <c r="D3" s="269" t="s">
        <v>11278</v>
      </c>
      <c r="E3" s="269" t="s">
        <v>11284</v>
      </c>
      <c r="F3" s="270"/>
      <c r="G3" s="270"/>
      <c r="H3" s="270"/>
      <c r="I3" s="270"/>
      <c r="J3" s="271" t="s">
        <v>11285</v>
      </c>
    </row>
    <row r="4">
      <c r="A4" s="272">
        <v>33142.0</v>
      </c>
      <c r="B4" s="269" t="s">
        <v>20</v>
      </c>
      <c r="C4" s="274" t="s">
        <v>11286</v>
      </c>
      <c r="D4" s="269" t="s">
        <v>11278</v>
      </c>
      <c r="E4" s="269" t="s">
        <v>11287</v>
      </c>
      <c r="F4" s="270"/>
      <c r="G4" s="270"/>
      <c r="H4" s="270"/>
      <c r="I4" s="270"/>
      <c r="J4" s="271" t="s">
        <v>11288</v>
      </c>
    </row>
    <row r="5">
      <c r="A5" s="272">
        <v>33115.0</v>
      </c>
      <c r="B5" s="269" t="s">
        <v>20</v>
      </c>
      <c r="C5" s="269" t="s">
        <v>1975</v>
      </c>
      <c r="D5" s="269" t="s">
        <v>11278</v>
      </c>
      <c r="E5" s="269" t="s">
        <v>11287</v>
      </c>
      <c r="F5" s="270"/>
      <c r="G5" s="270"/>
      <c r="H5" s="270"/>
      <c r="I5" s="270"/>
      <c r="J5" s="271" t="s">
        <v>11289</v>
      </c>
    </row>
    <row r="6">
      <c r="A6" s="272">
        <v>33101.0</v>
      </c>
      <c r="B6" s="269" t="s">
        <v>20</v>
      </c>
      <c r="C6" s="269" t="s">
        <v>11290</v>
      </c>
      <c r="D6" s="269" t="s">
        <v>11278</v>
      </c>
      <c r="E6" s="269" t="s">
        <v>11291</v>
      </c>
      <c r="F6" s="270"/>
      <c r="G6" s="270"/>
      <c r="H6" s="271" t="s">
        <v>11292</v>
      </c>
      <c r="I6" s="270"/>
      <c r="J6" s="270"/>
    </row>
    <row r="7">
      <c r="A7" s="272">
        <v>32893.0</v>
      </c>
      <c r="B7" s="269" t="s">
        <v>20</v>
      </c>
      <c r="C7" s="269" t="s">
        <v>11293</v>
      </c>
      <c r="D7" s="269" t="s">
        <v>11278</v>
      </c>
      <c r="E7" s="269" t="s">
        <v>11279</v>
      </c>
      <c r="F7" s="270"/>
      <c r="G7" s="270"/>
      <c r="H7" s="271" t="s">
        <v>11294</v>
      </c>
      <c r="I7" s="270"/>
      <c r="J7" s="270"/>
    </row>
    <row r="8">
      <c r="A8" s="272">
        <v>32861.0</v>
      </c>
      <c r="B8" s="269" t="s">
        <v>20</v>
      </c>
      <c r="C8" s="269" t="s">
        <v>11295</v>
      </c>
      <c r="D8" s="269" t="s">
        <v>11278</v>
      </c>
      <c r="E8" s="269" t="s">
        <v>11296</v>
      </c>
      <c r="F8" s="270"/>
      <c r="G8" s="270"/>
      <c r="H8" s="271" t="s">
        <v>11297</v>
      </c>
      <c r="I8" s="270"/>
      <c r="J8" s="271" t="s">
        <v>11298</v>
      </c>
    </row>
    <row r="9">
      <c r="A9" s="272">
        <v>32853.0</v>
      </c>
      <c r="B9" s="269" t="s">
        <v>20</v>
      </c>
      <c r="C9" s="269" t="s">
        <v>1378</v>
      </c>
      <c r="D9" s="269" t="s">
        <v>11278</v>
      </c>
      <c r="E9" s="269" t="s">
        <v>11299</v>
      </c>
      <c r="F9" s="270"/>
      <c r="G9" s="270"/>
      <c r="H9" s="271" t="s">
        <v>11300</v>
      </c>
      <c r="I9" s="270"/>
      <c r="J9" s="271" t="s">
        <v>11301</v>
      </c>
    </row>
    <row r="10">
      <c r="A10" s="272">
        <v>32841.0</v>
      </c>
      <c r="B10" s="269" t="s">
        <v>20</v>
      </c>
      <c r="C10" s="269" t="s">
        <v>3097</v>
      </c>
      <c r="D10" s="269" t="s">
        <v>11278</v>
      </c>
      <c r="E10" s="269" t="s">
        <v>11279</v>
      </c>
      <c r="F10" s="270"/>
      <c r="G10" s="270"/>
      <c r="H10" s="271" t="s">
        <v>11302</v>
      </c>
      <c r="I10" s="270"/>
      <c r="J10" s="271" t="s">
        <v>11303</v>
      </c>
    </row>
    <row r="11">
      <c r="A11" s="272">
        <v>9389.0</v>
      </c>
      <c r="B11" s="269" t="s">
        <v>20</v>
      </c>
      <c r="C11" s="269" t="s">
        <v>11304</v>
      </c>
      <c r="D11" s="269" t="s">
        <v>11278</v>
      </c>
      <c r="E11" s="272" t="s">
        <v>11305</v>
      </c>
      <c r="F11" s="270"/>
      <c r="G11" s="270"/>
      <c r="H11" s="271" t="s">
        <v>11306</v>
      </c>
      <c r="I11" s="270"/>
      <c r="J11" s="270"/>
    </row>
    <row r="12">
      <c r="A12" s="272">
        <v>9649.0</v>
      </c>
      <c r="B12" s="269" t="s">
        <v>20</v>
      </c>
      <c r="C12" s="269" t="s">
        <v>11307</v>
      </c>
      <c r="D12" s="269" t="s">
        <v>11278</v>
      </c>
      <c r="E12" s="269" t="s">
        <v>11308</v>
      </c>
      <c r="F12" s="270"/>
      <c r="G12" s="270"/>
      <c r="H12" s="271" t="s">
        <v>11309</v>
      </c>
      <c r="I12" s="270"/>
      <c r="J12" s="270"/>
    </row>
    <row r="13">
      <c r="A13" s="272">
        <v>9400.0</v>
      </c>
      <c r="B13" s="269" t="s">
        <v>20</v>
      </c>
      <c r="C13" s="272" t="s">
        <v>11310</v>
      </c>
      <c r="D13" s="269" t="s">
        <v>11278</v>
      </c>
      <c r="E13" s="269" t="s">
        <v>11308</v>
      </c>
      <c r="F13" s="270"/>
      <c r="G13" s="270"/>
      <c r="H13" s="271" t="s">
        <v>11311</v>
      </c>
      <c r="I13" s="270"/>
      <c r="J13" s="270"/>
    </row>
    <row r="14">
      <c r="A14" s="272">
        <v>9409.0</v>
      </c>
      <c r="B14" s="269" t="s">
        <v>20</v>
      </c>
      <c r="C14" s="272" t="s">
        <v>1052</v>
      </c>
      <c r="D14" s="269" t="s">
        <v>11278</v>
      </c>
      <c r="E14" s="269" t="s">
        <v>11308</v>
      </c>
      <c r="F14" s="270"/>
      <c r="G14" s="270"/>
      <c r="H14" s="271" t="s">
        <v>11312</v>
      </c>
      <c r="I14" s="270"/>
      <c r="J14" s="270"/>
    </row>
    <row r="15">
      <c r="A15" s="272">
        <v>9412.0</v>
      </c>
      <c r="B15" s="269" t="s">
        <v>20</v>
      </c>
      <c r="C15" s="272" t="s">
        <v>11313</v>
      </c>
      <c r="D15" s="269" t="s">
        <v>11278</v>
      </c>
      <c r="E15" s="269" t="s">
        <v>11308</v>
      </c>
      <c r="F15" s="270"/>
      <c r="G15" s="270"/>
      <c r="H15" s="275" t="s">
        <v>11314</v>
      </c>
      <c r="I15" s="270"/>
      <c r="J15" s="270"/>
    </row>
    <row r="16">
      <c r="A16" s="272">
        <v>9422.0</v>
      </c>
      <c r="B16" s="269" t="s">
        <v>20</v>
      </c>
      <c r="C16" s="272" t="s">
        <v>8598</v>
      </c>
      <c r="D16" s="269" t="s">
        <v>11278</v>
      </c>
      <c r="E16" s="269" t="s">
        <v>11308</v>
      </c>
      <c r="F16" s="269" t="s">
        <v>11315</v>
      </c>
      <c r="G16" s="270"/>
      <c r="H16" s="271" t="s">
        <v>11316</v>
      </c>
      <c r="I16" s="270"/>
      <c r="J16" s="270"/>
    </row>
    <row r="17">
      <c r="A17" s="272">
        <v>9423.0</v>
      </c>
      <c r="B17" s="269" t="s">
        <v>20</v>
      </c>
      <c r="C17" s="272" t="s">
        <v>11317</v>
      </c>
      <c r="D17" s="269" t="s">
        <v>11278</v>
      </c>
      <c r="E17" s="269" t="s">
        <v>11308</v>
      </c>
      <c r="F17" s="269" t="s">
        <v>11318</v>
      </c>
      <c r="G17" s="269">
        <v>1.0</v>
      </c>
      <c r="H17" s="271" t="s">
        <v>11319</v>
      </c>
      <c r="I17" s="270"/>
      <c r="J17" s="270"/>
    </row>
    <row r="18">
      <c r="A18" s="272">
        <v>9424.0</v>
      </c>
      <c r="B18" s="269" t="s">
        <v>20</v>
      </c>
      <c r="C18" s="272" t="s">
        <v>6597</v>
      </c>
      <c r="D18" s="269" t="s">
        <v>11278</v>
      </c>
      <c r="E18" s="269" t="s">
        <v>11320</v>
      </c>
      <c r="F18" s="270"/>
      <c r="G18" s="269">
        <v>1.0</v>
      </c>
      <c r="H18" s="271" t="s">
        <v>11321</v>
      </c>
      <c r="I18" s="270"/>
      <c r="J18" s="270"/>
    </row>
    <row r="19">
      <c r="A19" s="272">
        <v>9425.0</v>
      </c>
      <c r="B19" s="269" t="s">
        <v>20</v>
      </c>
      <c r="C19" s="272" t="s">
        <v>11322</v>
      </c>
      <c r="D19" s="269" t="s">
        <v>11278</v>
      </c>
      <c r="E19" s="269" t="s">
        <v>11323</v>
      </c>
      <c r="F19" s="270"/>
      <c r="G19" s="270"/>
      <c r="H19" s="271" t="s">
        <v>11324</v>
      </c>
      <c r="I19" s="270"/>
      <c r="J19" s="270"/>
    </row>
    <row r="20">
      <c r="A20" s="272">
        <v>9427.0</v>
      </c>
      <c r="B20" s="269" t="s">
        <v>20</v>
      </c>
      <c r="C20" s="272" t="s">
        <v>2889</v>
      </c>
      <c r="D20" s="269" t="s">
        <v>11278</v>
      </c>
      <c r="E20" s="269" t="s">
        <v>11291</v>
      </c>
      <c r="F20" s="270"/>
      <c r="G20" s="270"/>
      <c r="H20" s="271" t="s">
        <v>11325</v>
      </c>
      <c r="I20" s="270"/>
      <c r="J20" s="270"/>
    </row>
    <row r="21">
      <c r="A21" s="272">
        <v>9429.0</v>
      </c>
      <c r="B21" s="269" t="s">
        <v>20</v>
      </c>
      <c r="C21" s="272" t="s">
        <v>874</v>
      </c>
      <c r="D21" s="269" t="s">
        <v>11278</v>
      </c>
      <c r="E21" s="269" t="s">
        <v>11308</v>
      </c>
      <c r="F21" s="269" t="s">
        <v>11326</v>
      </c>
      <c r="G21" s="269">
        <v>1.0</v>
      </c>
      <c r="H21" s="271" t="s">
        <v>11327</v>
      </c>
      <c r="I21" s="270"/>
      <c r="J21" s="270"/>
    </row>
    <row r="22">
      <c r="A22" s="272">
        <v>9430.0</v>
      </c>
      <c r="B22" s="269" t="s">
        <v>20</v>
      </c>
      <c r="C22" s="272" t="s">
        <v>11328</v>
      </c>
      <c r="D22" s="269" t="s">
        <v>11278</v>
      </c>
      <c r="E22" s="269" t="s">
        <v>11308</v>
      </c>
      <c r="F22" s="270"/>
      <c r="G22" s="270"/>
      <c r="H22" s="271" t="s">
        <v>11329</v>
      </c>
      <c r="I22" s="270"/>
      <c r="J22" s="270"/>
    </row>
    <row r="23">
      <c r="A23" s="272">
        <v>9431.0</v>
      </c>
      <c r="B23" s="269" t="s">
        <v>20</v>
      </c>
      <c r="C23" s="272" t="s">
        <v>1432</v>
      </c>
      <c r="D23" s="269" t="s">
        <v>11278</v>
      </c>
      <c r="E23" s="269" t="s">
        <v>11308</v>
      </c>
      <c r="F23" s="269" t="s">
        <v>11330</v>
      </c>
      <c r="G23" s="270"/>
      <c r="H23" s="271" t="s">
        <v>11331</v>
      </c>
      <c r="I23" s="270"/>
      <c r="J23" s="270"/>
    </row>
    <row r="24">
      <c r="A24" s="272">
        <v>9433.0</v>
      </c>
      <c r="B24" s="269" t="s">
        <v>20</v>
      </c>
      <c r="C24" s="272" t="s">
        <v>5134</v>
      </c>
      <c r="D24" s="269" t="s">
        <v>11278</v>
      </c>
      <c r="E24" s="269" t="s">
        <v>11308</v>
      </c>
      <c r="F24" s="269" t="s">
        <v>11332</v>
      </c>
      <c r="G24" s="270"/>
      <c r="H24" s="271" t="s">
        <v>11333</v>
      </c>
      <c r="I24" s="270"/>
      <c r="J24" s="270"/>
    </row>
    <row r="25">
      <c r="A25" s="272">
        <v>9436.0</v>
      </c>
      <c r="B25" s="269" t="s">
        <v>20</v>
      </c>
      <c r="C25" s="272" t="s">
        <v>11334</v>
      </c>
      <c r="D25" s="269" t="s">
        <v>11278</v>
      </c>
      <c r="E25" s="269" t="s">
        <v>11335</v>
      </c>
      <c r="F25" s="270"/>
      <c r="G25" s="270"/>
      <c r="H25" s="271" t="s">
        <v>11336</v>
      </c>
      <c r="I25" s="270"/>
      <c r="J25" s="270"/>
    </row>
    <row r="26">
      <c r="A26" s="272">
        <v>9437.0</v>
      </c>
      <c r="B26" s="269" t="s">
        <v>20</v>
      </c>
      <c r="C26" s="272" t="s">
        <v>8244</v>
      </c>
      <c r="D26" s="269" t="s">
        <v>11278</v>
      </c>
      <c r="E26" s="269" t="s">
        <v>11308</v>
      </c>
      <c r="F26" s="269" t="s">
        <v>11337</v>
      </c>
      <c r="G26" s="270"/>
      <c r="H26" s="271" t="s">
        <v>11338</v>
      </c>
      <c r="I26" s="270"/>
      <c r="J26" s="270"/>
    </row>
    <row r="27">
      <c r="A27" s="272">
        <v>9439.0</v>
      </c>
      <c r="B27" s="269" t="s">
        <v>20</v>
      </c>
      <c r="C27" s="272" t="s">
        <v>1975</v>
      </c>
      <c r="D27" s="269" t="s">
        <v>11278</v>
      </c>
      <c r="E27" s="269" t="s">
        <v>11339</v>
      </c>
      <c r="F27" s="270"/>
      <c r="G27" s="270"/>
      <c r="H27" s="271" t="s">
        <v>11340</v>
      </c>
      <c r="I27" s="270"/>
      <c r="J27" s="270"/>
    </row>
    <row r="28">
      <c r="A28" s="272">
        <v>9450.0</v>
      </c>
      <c r="B28" s="269" t="s">
        <v>20</v>
      </c>
      <c r="C28" s="272" t="s">
        <v>11341</v>
      </c>
      <c r="D28" s="269" t="s">
        <v>11278</v>
      </c>
      <c r="E28" s="269" t="s">
        <v>11342</v>
      </c>
      <c r="F28" s="270"/>
      <c r="G28" s="270"/>
      <c r="H28" s="271" t="s">
        <v>11343</v>
      </c>
      <c r="I28" s="270"/>
      <c r="J28" s="270"/>
    </row>
    <row r="29">
      <c r="A29" s="272">
        <v>9483.0</v>
      </c>
      <c r="B29" s="269" t="s">
        <v>20</v>
      </c>
      <c r="C29" s="272" t="s">
        <v>11344</v>
      </c>
      <c r="D29" s="269" t="s">
        <v>11278</v>
      </c>
      <c r="E29" s="269" t="s">
        <v>11308</v>
      </c>
      <c r="F29" s="270"/>
      <c r="G29" s="270"/>
      <c r="H29" s="271" t="s">
        <v>11345</v>
      </c>
      <c r="I29" s="270"/>
      <c r="J29" s="270"/>
    </row>
    <row r="30">
      <c r="A30" s="272">
        <v>9470.0</v>
      </c>
      <c r="B30" s="269" t="s">
        <v>20</v>
      </c>
      <c r="C30" s="272" t="s">
        <v>11346</v>
      </c>
      <c r="D30" s="269" t="s">
        <v>11278</v>
      </c>
      <c r="E30" s="269" t="s">
        <v>11347</v>
      </c>
      <c r="F30" s="270"/>
      <c r="G30" s="270"/>
      <c r="H30" s="271" t="s">
        <v>11348</v>
      </c>
      <c r="I30" s="270"/>
      <c r="J30" s="270"/>
    </row>
    <row r="31">
      <c r="A31" s="272">
        <v>9475.0</v>
      </c>
      <c r="B31" s="269" t="s">
        <v>20</v>
      </c>
      <c r="C31" s="272" t="s">
        <v>1417</v>
      </c>
      <c r="D31" s="269" t="s">
        <v>11278</v>
      </c>
      <c r="E31" s="269" t="s">
        <v>11291</v>
      </c>
      <c r="F31" s="270"/>
      <c r="G31" s="270"/>
      <c r="H31" s="271" t="s">
        <v>11349</v>
      </c>
      <c r="I31" s="270"/>
      <c r="J31" s="270"/>
    </row>
    <row r="32">
      <c r="A32" s="272">
        <v>9481.0</v>
      </c>
      <c r="B32" s="269" t="s">
        <v>20</v>
      </c>
      <c r="C32" s="272" t="s">
        <v>4206</v>
      </c>
      <c r="D32" s="269" t="s">
        <v>11278</v>
      </c>
      <c r="E32" s="269" t="s">
        <v>11299</v>
      </c>
      <c r="F32" s="269" t="s">
        <v>11350</v>
      </c>
      <c r="G32" s="270"/>
      <c r="H32" s="271" t="s">
        <v>11351</v>
      </c>
      <c r="I32" s="270"/>
      <c r="J32" s="270"/>
    </row>
    <row r="33">
      <c r="A33" s="272">
        <v>9484.0</v>
      </c>
      <c r="B33" s="269" t="s">
        <v>20</v>
      </c>
      <c r="C33" s="272" t="s">
        <v>11352</v>
      </c>
      <c r="D33" s="269" t="s">
        <v>11278</v>
      </c>
      <c r="E33" s="269" t="s">
        <v>11320</v>
      </c>
      <c r="F33" s="270"/>
      <c r="G33" s="270"/>
      <c r="H33" s="271" t="s">
        <v>11353</v>
      </c>
      <c r="I33" s="270"/>
      <c r="J33" s="270"/>
    </row>
    <row r="34">
      <c r="A34" s="276">
        <v>9506.0</v>
      </c>
      <c r="B34" s="269" t="s">
        <v>20</v>
      </c>
      <c r="C34" s="272" t="s">
        <v>7303</v>
      </c>
      <c r="D34" s="269" t="s">
        <v>11278</v>
      </c>
      <c r="E34" s="269" t="s">
        <v>11354</v>
      </c>
      <c r="F34" s="270"/>
      <c r="G34" s="270"/>
      <c r="H34" s="271" t="s">
        <v>11355</v>
      </c>
      <c r="I34" s="270"/>
      <c r="J34" s="270"/>
    </row>
    <row r="35">
      <c r="A35" s="272">
        <v>9523.0</v>
      </c>
      <c r="B35" s="269" t="s">
        <v>20</v>
      </c>
      <c r="C35" s="272" t="s">
        <v>6913</v>
      </c>
      <c r="D35" s="269" t="s">
        <v>11278</v>
      </c>
      <c r="E35" s="269" t="s">
        <v>11356</v>
      </c>
      <c r="F35" s="270"/>
      <c r="G35" s="270"/>
      <c r="H35" s="271" t="s">
        <v>11357</v>
      </c>
      <c r="I35" s="270"/>
      <c r="J35" s="270"/>
    </row>
    <row r="36">
      <c r="A36" s="272">
        <v>9534.0</v>
      </c>
      <c r="B36" s="269" t="s">
        <v>20</v>
      </c>
      <c r="C36" s="272" t="s">
        <v>5699</v>
      </c>
      <c r="D36" s="269" t="s">
        <v>11278</v>
      </c>
      <c r="E36" s="269" t="s">
        <v>11358</v>
      </c>
      <c r="F36" s="269" t="s">
        <v>11359</v>
      </c>
      <c r="G36" s="270"/>
      <c r="H36" s="277" t="s">
        <v>11360</v>
      </c>
      <c r="I36" s="270"/>
      <c r="J36" s="270"/>
    </row>
    <row r="37">
      <c r="A37" s="272">
        <v>9536.0</v>
      </c>
      <c r="B37" s="269" t="s">
        <v>20</v>
      </c>
      <c r="C37" s="272" t="s">
        <v>963</v>
      </c>
      <c r="D37" s="269" t="s">
        <v>11278</v>
      </c>
      <c r="E37" s="270"/>
      <c r="F37" s="270"/>
      <c r="G37" s="270"/>
      <c r="H37" s="271" t="s">
        <v>11361</v>
      </c>
      <c r="I37" s="270"/>
      <c r="J37" s="270"/>
    </row>
    <row r="38">
      <c r="A38" s="272">
        <v>9539.0</v>
      </c>
      <c r="B38" s="269" t="s">
        <v>20</v>
      </c>
      <c r="C38" s="272" t="s">
        <v>3693</v>
      </c>
      <c r="D38" s="269" t="s">
        <v>11278</v>
      </c>
      <c r="E38" s="269" t="s">
        <v>11358</v>
      </c>
      <c r="F38" s="270"/>
      <c r="G38" s="270"/>
      <c r="H38" s="271" t="s">
        <v>11362</v>
      </c>
      <c r="I38" s="270"/>
      <c r="J38" s="270"/>
    </row>
    <row r="39">
      <c r="A39" s="272">
        <v>9540.0</v>
      </c>
      <c r="B39" s="269" t="s">
        <v>20</v>
      </c>
      <c r="C39" s="272" t="s">
        <v>7725</v>
      </c>
      <c r="D39" s="269" t="s">
        <v>11278</v>
      </c>
      <c r="E39" s="269" t="s">
        <v>11358</v>
      </c>
      <c r="F39" s="269" t="s">
        <v>11363</v>
      </c>
      <c r="G39" s="270"/>
      <c r="H39" s="271" t="s">
        <v>11364</v>
      </c>
      <c r="I39" s="270"/>
      <c r="J39" s="270"/>
    </row>
    <row r="40">
      <c r="A40" s="272">
        <v>9541.0</v>
      </c>
      <c r="B40" s="269" t="s">
        <v>20</v>
      </c>
      <c r="C40" s="272" t="s">
        <v>11365</v>
      </c>
      <c r="D40" s="269" t="s">
        <v>11278</v>
      </c>
      <c r="E40" s="269" t="s">
        <v>11358</v>
      </c>
      <c r="F40" s="270"/>
      <c r="G40" s="270"/>
      <c r="H40" s="271" t="s">
        <v>11366</v>
      </c>
      <c r="I40" s="270"/>
      <c r="J40" s="270"/>
    </row>
    <row r="41">
      <c r="A41" s="272">
        <v>9549.0</v>
      </c>
      <c r="B41" s="269" t="s">
        <v>20</v>
      </c>
      <c r="C41" s="272" t="s">
        <v>4084</v>
      </c>
      <c r="D41" s="269" t="s">
        <v>11278</v>
      </c>
      <c r="E41" s="269" t="s">
        <v>11358</v>
      </c>
      <c r="F41" s="270"/>
      <c r="G41" s="270"/>
      <c r="H41" s="271" t="s">
        <v>11367</v>
      </c>
      <c r="I41" s="270"/>
      <c r="J41" s="270"/>
    </row>
    <row r="42">
      <c r="A42" s="272">
        <v>9550.0</v>
      </c>
      <c r="B42" s="269" t="s">
        <v>20</v>
      </c>
      <c r="C42" s="272" t="s">
        <v>10511</v>
      </c>
      <c r="D42" s="269" t="s">
        <v>11278</v>
      </c>
      <c r="E42" s="269" t="s">
        <v>11358</v>
      </c>
      <c r="F42" s="270"/>
      <c r="G42" s="270"/>
      <c r="H42" s="271" t="s">
        <v>11368</v>
      </c>
      <c r="I42" s="270"/>
      <c r="J42" s="270"/>
    </row>
    <row r="43">
      <c r="A43" s="272">
        <v>9552.0</v>
      </c>
      <c r="B43" s="269" t="s">
        <v>20</v>
      </c>
      <c r="C43" s="272" t="s">
        <v>74</v>
      </c>
      <c r="D43" s="269" t="s">
        <v>11278</v>
      </c>
      <c r="E43" s="269" t="s">
        <v>11358</v>
      </c>
      <c r="F43" s="270"/>
      <c r="G43" s="270"/>
      <c r="H43" s="271" t="s">
        <v>11369</v>
      </c>
      <c r="I43" s="270"/>
      <c r="J43" s="270"/>
    </row>
    <row r="44">
      <c r="A44" s="272">
        <v>9573.0</v>
      </c>
      <c r="B44" s="269" t="s">
        <v>20</v>
      </c>
      <c r="C44" s="272" t="s">
        <v>11370</v>
      </c>
      <c r="D44" s="269" t="s">
        <v>11278</v>
      </c>
      <c r="E44" s="269" t="s">
        <v>11358</v>
      </c>
      <c r="F44" s="270"/>
      <c r="G44" s="270"/>
      <c r="H44" s="271" t="s">
        <v>11371</v>
      </c>
      <c r="I44" s="270"/>
      <c r="J44" s="270"/>
    </row>
    <row r="45">
      <c r="A45" s="272">
        <v>9579.0</v>
      </c>
      <c r="B45" s="269" t="s">
        <v>20</v>
      </c>
      <c r="C45" s="272" t="s">
        <v>3612</v>
      </c>
      <c r="D45" s="269" t="s">
        <v>11278</v>
      </c>
      <c r="E45" s="269" t="s">
        <v>11372</v>
      </c>
      <c r="F45" s="270"/>
      <c r="G45" s="270"/>
      <c r="H45" s="271" t="s">
        <v>11373</v>
      </c>
      <c r="I45" s="270"/>
      <c r="J45" s="270"/>
    </row>
    <row r="46">
      <c r="A46" s="272">
        <v>9594.0</v>
      </c>
      <c r="B46" s="269" t="s">
        <v>20</v>
      </c>
      <c r="C46" s="272" t="s">
        <v>11374</v>
      </c>
      <c r="D46" s="269" t="s">
        <v>11278</v>
      </c>
      <c r="E46" s="269" t="s">
        <v>11296</v>
      </c>
      <c r="F46" s="270"/>
      <c r="G46" s="270"/>
      <c r="H46" s="271" t="s">
        <v>11375</v>
      </c>
      <c r="I46" s="270"/>
      <c r="J46" s="270"/>
    </row>
    <row r="47">
      <c r="A47" s="272">
        <v>9614.0</v>
      </c>
      <c r="B47" s="269" t="s">
        <v>20</v>
      </c>
      <c r="C47" s="272" t="s">
        <v>5699</v>
      </c>
      <c r="D47" s="269" t="s">
        <v>11278</v>
      </c>
      <c r="E47" s="270"/>
      <c r="F47" s="270"/>
      <c r="G47" s="270"/>
      <c r="H47" s="271" t="s">
        <v>11376</v>
      </c>
      <c r="I47" s="270"/>
      <c r="J47" s="270"/>
    </row>
    <row r="48">
      <c r="A48" s="269">
        <v>9651.0</v>
      </c>
      <c r="B48" s="269" t="s">
        <v>20</v>
      </c>
      <c r="C48" s="269" t="s">
        <v>11377</v>
      </c>
      <c r="D48" s="269" t="s">
        <v>11278</v>
      </c>
      <c r="E48" s="269" t="s">
        <v>11279</v>
      </c>
      <c r="F48" s="270"/>
      <c r="G48" s="270"/>
      <c r="H48" s="271" t="s">
        <v>11378</v>
      </c>
      <c r="I48" s="270"/>
      <c r="J48" s="270"/>
    </row>
    <row r="49">
      <c r="A49" s="269">
        <v>9653.0</v>
      </c>
      <c r="B49" s="269" t="s">
        <v>20</v>
      </c>
      <c r="C49" s="269" t="s">
        <v>11379</v>
      </c>
      <c r="D49" s="269" t="s">
        <v>11278</v>
      </c>
      <c r="E49" s="269" t="s">
        <v>11279</v>
      </c>
      <c r="F49" s="270"/>
      <c r="G49" s="270"/>
      <c r="H49" s="271" t="s">
        <v>11380</v>
      </c>
      <c r="I49" s="270"/>
      <c r="J49" s="270"/>
    </row>
    <row r="50">
      <c r="A50" s="269">
        <v>9655.0</v>
      </c>
      <c r="B50" s="269" t="s">
        <v>20</v>
      </c>
      <c r="C50" s="269" t="s">
        <v>1150</v>
      </c>
      <c r="D50" s="269" t="s">
        <v>11278</v>
      </c>
      <c r="E50" s="269" t="s">
        <v>11279</v>
      </c>
      <c r="F50" s="270"/>
      <c r="G50" s="270"/>
      <c r="H50" s="271" t="s">
        <v>11381</v>
      </c>
      <c r="I50" s="270"/>
      <c r="J50" s="270"/>
    </row>
    <row r="51">
      <c r="A51" s="269">
        <v>9667.0</v>
      </c>
      <c r="B51" s="269" t="s">
        <v>20</v>
      </c>
      <c r="C51" s="269" t="s">
        <v>4206</v>
      </c>
      <c r="D51" s="269" t="s">
        <v>11278</v>
      </c>
      <c r="E51" s="269" t="s">
        <v>11279</v>
      </c>
      <c r="F51" s="270"/>
      <c r="G51" s="270"/>
      <c r="H51" s="271" t="s">
        <v>11382</v>
      </c>
      <c r="I51" s="270"/>
      <c r="J51" s="270"/>
    </row>
    <row r="52">
      <c r="A52" s="269">
        <v>9670.0</v>
      </c>
      <c r="B52" s="269" t="s">
        <v>20</v>
      </c>
      <c r="C52" s="269" t="s">
        <v>69</v>
      </c>
      <c r="D52" s="269" t="s">
        <v>11278</v>
      </c>
      <c r="E52" s="269" t="s">
        <v>11279</v>
      </c>
      <c r="F52" s="270"/>
      <c r="G52" s="270"/>
      <c r="H52" s="271" t="s">
        <v>11383</v>
      </c>
      <c r="I52" s="270"/>
      <c r="J52" s="270"/>
    </row>
    <row r="53">
      <c r="A53" s="269">
        <v>9671.0</v>
      </c>
      <c r="B53" s="269" t="s">
        <v>20</v>
      </c>
      <c r="C53" s="269" t="s">
        <v>11384</v>
      </c>
      <c r="D53" s="269" t="s">
        <v>11278</v>
      </c>
      <c r="E53" s="269" t="s">
        <v>11279</v>
      </c>
      <c r="F53" s="270"/>
      <c r="G53" s="270"/>
      <c r="H53" s="271" t="s">
        <v>11385</v>
      </c>
      <c r="I53" s="270"/>
      <c r="J53" s="270"/>
    </row>
    <row r="54">
      <c r="A54" s="269">
        <v>9672.0</v>
      </c>
      <c r="B54" s="269" t="s">
        <v>20</v>
      </c>
      <c r="C54" s="269" t="s">
        <v>698</v>
      </c>
      <c r="D54" s="269" t="s">
        <v>11278</v>
      </c>
      <c r="E54" s="269" t="s">
        <v>11279</v>
      </c>
      <c r="F54" s="270"/>
      <c r="G54" s="270"/>
      <c r="H54" s="271" t="s">
        <v>11386</v>
      </c>
      <c r="I54" s="270"/>
      <c r="J54" s="270"/>
    </row>
    <row r="55">
      <c r="A55" s="269">
        <v>9682.0</v>
      </c>
      <c r="B55" s="269" t="s">
        <v>20</v>
      </c>
      <c r="C55" s="269" t="s">
        <v>11387</v>
      </c>
      <c r="D55" s="269" t="s">
        <v>11278</v>
      </c>
      <c r="E55" s="269" t="s">
        <v>11279</v>
      </c>
      <c r="F55" s="270"/>
      <c r="G55" s="270"/>
      <c r="H55" s="271" t="s">
        <v>11388</v>
      </c>
      <c r="I55" s="270"/>
      <c r="J55" s="270"/>
    </row>
    <row r="56">
      <c r="A56" s="269">
        <v>9687.0</v>
      </c>
      <c r="B56" s="269" t="s">
        <v>20</v>
      </c>
      <c r="C56" s="269" t="s">
        <v>11389</v>
      </c>
      <c r="D56" s="269" t="s">
        <v>11278</v>
      </c>
      <c r="E56" s="269" t="s">
        <v>11279</v>
      </c>
      <c r="F56" s="270"/>
      <c r="G56" s="270"/>
      <c r="H56" s="271" t="s">
        <v>11390</v>
      </c>
      <c r="I56" s="270"/>
      <c r="J56" s="270"/>
    </row>
    <row r="57">
      <c r="A57" s="269">
        <v>9688.0</v>
      </c>
      <c r="B57" s="269" t="s">
        <v>20</v>
      </c>
      <c r="C57" s="269" t="s">
        <v>4517</v>
      </c>
      <c r="D57" s="269" t="s">
        <v>11278</v>
      </c>
      <c r="E57" s="269" t="s">
        <v>11279</v>
      </c>
      <c r="F57" s="270"/>
      <c r="G57" s="270"/>
      <c r="H57" s="271" t="s">
        <v>11391</v>
      </c>
      <c r="I57" s="270"/>
      <c r="J57" s="270"/>
    </row>
    <row r="58">
      <c r="A58" s="269">
        <v>9689.0</v>
      </c>
      <c r="B58" s="269" t="s">
        <v>20</v>
      </c>
      <c r="C58" s="269" t="s">
        <v>11392</v>
      </c>
      <c r="D58" s="269" t="s">
        <v>11278</v>
      </c>
      <c r="E58" s="269" t="s">
        <v>11279</v>
      </c>
      <c r="F58" s="270"/>
      <c r="G58" s="270"/>
      <c r="H58" s="271" t="s">
        <v>11348</v>
      </c>
      <c r="I58" s="270"/>
      <c r="J58" s="270"/>
    </row>
    <row r="59">
      <c r="A59" s="269">
        <v>9692.0</v>
      </c>
      <c r="B59" s="269" t="s">
        <v>20</v>
      </c>
      <c r="C59" s="269" t="s">
        <v>11393</v>
      </c>
      <c r="D59" s="269" t="s">
        <v>11278</v>
      </c>
      <c r="E59" s="269" t="s">
        <v>11279</v>
      </c>
      <c r="F59" s="270"/>
      <c r="G59" s="270"/>
      <c r="H59" s="271" t="s">
        <v>11394</v>
      </c>
      <c r="I59" s="270"/>
      <c r="J59" s="270"/>
    </row>
    <row r="60">
      <c r="A60" s="269">
        <v>9697.0</v>
      </c>
      <c r="B60" s="269" t="s">
        <v>20</v>
      </c>
      <c r="C60" s="269" t="s">
        <v>49</v>
      </c>
      <c r="D60" s="269" t="s">
        <v>11278</v>
      </c>
      <c r="E60" s="269" t="s">
        <v>11279</v>
      </c>
      <c r="F60" s="270"/>
      <c r="G60" s="270"/>
      <c r="H60" s="271" t="s">
        <v>11395</v>
      </c>
      <c r="I60" s="270"/>
      <c r="J60" s="270"/>
    </row>
    <row r="61">
      <c r="A61" s="269">
        <v>9700.0</v>
      </c>
      <c r="B61" s="269" t="s">
        <v>20</v>
      </c>
      <c r="C61" s="269" t="s">
        <v>6812</v>
      </c>
      <c r="D61" s="269" t="s">
        <v>11278</v>
      </c>
      <c r="E61" s="269" t="s">
        <v>11279</v>
      </c>
      <c r="F61" s="270"/>
      <c r="G61" s="270"/>
      <c r="H61" s="271" t="s">
        <v>11396</v>
      </c>
      <c r="I61" s="270"/>
      <c r="J61" s="270"/>
    </row>
    <row r="62">
      <c r="A62" s="269">
        <v>9701.0</v>
      </c>
      <c r="B62" s="269" t="s">
        <v>20</v>
      </c>
      <c r="C62" s="269" t="s">
        <v>6146</v>
      </c>
      <c r="D62" s="269" t="s">
        <v>11278</v>
      </c>
      <c r="E62" s="269" t="s">
        <v>11279</v>
      </c>
      <c r="F62" s="270"/>
      <c r="G62" s="270"/>
      <c r="H62" s="271" t="s">
        <v>11397</v>
      </c>
      <c r="I62" s="270"/>
      <c r="J62" s="270"/>
    </row>
    <row r="63">
      <c r="A63" s="269">
        <v>9709.0</v>
      </c>
      <c r="B63" s="269" t="s">
        <v>20</v>
      </c>
      <c r="C63" s="269" t="s">
        <v>11398</v>
      </c>
      <c r="D63" s="269" t="s">
        <v>11278</v>
      </c>
      <c r="E63" s="269" t="s">
        <v>11279</v>
      </c>
      <c r="F63" s="270"/>
      <c r="G63" s="270"/>
      <c r="H63" s="271" t="s">
        <v>11399</v>
      </c>
      <c r="I63" s="270"/>
      <c r="J63" s="270"/>
    </row>
    <row r="64">
      <c r="A64" s="269">
        <v>9715.0</v>
      </c>
      <c r="B64" s="269" t="s">
        <v>20</v>
      </c>
      <c r="C64" s="269" t="s">
        <v>11400</v>
      </c>
      <c r="D64" s="269" t="s">
        <v>11278</v>
      </c>
      <c r="E64" s="269" t="s">
        <v>11279</v>
      </c>
      <c r="F64" s="270"/>
      <c r="G64" s="270"/>
      <c r="H64" s="271" t="s">
        <v>11401</v>
      </c>
      <c r="I64" s="270"/>
      <c r="J64" s="270"/>
    </row>
    <row r="65">
      <c r="A65" s="269">
        <v>9720.0</v>
      </c>
      <c r="B65" s="269" t="s">
        <v>20</v>
      </c>
      <c r="C65" s="269" t="s">
        <v>905</v>
      </c>
      <c r="D65" s="269" t="s">
        <v>11278</v>
      </c>
      <c r="E65" s="269" t="s">
        <v>11279</v>
      </c>
      <c r="F65" s="270"/>
      <c r="G65" s="270"/>
      <c r="H65" s="271" t="s">
        <v>11402</v>
      </c>
      <c r="I65" s="270"/>
      <c r="J65" s="270"/>
    </row>
    <row r="66">
      <c r="A66" s="269">
        <v>9728.0</v>
      </c>
      <c r="B66" s="269" t="s">
        <v>20</v>
      </c>
      <c r="C66" s="269" t="s">
        <v>11403</v>
      </c>
      <c r="D66" s="269" t="s">
        <v>11278</v>
      </c>
      <c r="E66" s="269" t="s">
        <v>11279</v>
      </c>
      <c r="F66" s="270"/>
      <c r="G66" s="270"/>
      <c r="H66" s="271" t="s">
        <v>11404</v>
      </c>
      <c r="I66" s="270"/>
      <c r="J66" s="270"/>
    </row>
    <row r="67">
      <c r="A67" s="269">
        <v>9730.0</v>
      </c>
      <c r="B67" s="269" t="s">
        <v>20</v>
      </c>
      <c r="C67" s="269" t="s">
        <v>11405</v>
      </c>
      <c r="D67" s="269" t="s">
        <v>11278</v>
      </c>
      <c r="E67" s="269" t="s">
        <v>11279</v>
      </c>
      <c r="F67" s="270"/>
      <c r="G67" s="270"/>
      <c r="H67" s="271" t="s">
        <v>11406</v>
      </c>
      <c r="I67" s="270"/>
      <c r="J67" s="270"/>
    </row>
    <row r="68">
      <c r="A68" s="269">
        <v>9731.0</v>
      </c>
      <c r="B68" s="269" t="s">
        <v>20</v>
      </c>
      <c r="C68" s="269" t="s">
        <v>6554</v>
      </c>
      <c r="D68" s="269" t="s">
        <v>11278</v>
      </c>
      <c r="E68" s="269" t="s">
        <v>11279</v>
      </c>
      <c r="F68" s="270"/>
      <c r="G68" s="270"/>
      <c r="H68" s="271" t="s">
        <v>11407</v>
      </c>
      <c r="I68" s="270"/>
      <c r="J68" s="270"/>
    </row>
    <row r="69">
      <c r="A69" s="269">
        <v>9732.0</v>
      </c>
      <c r="B69" s="269" t="s">
        <v>20</v>
      </c>
      <c r="C69" s="269" t="s">
        <v>11408</v>
      </c>
      <c r="D69" s="269" t="s">
        <v>11278</v>
      </c>
      <c r="E69" s="269" t="s">
        <v>11279</v>
      </c>
      <c r="F69" s="270"/>
      <c r="G69" s="270"/>
      <c r="H69" s="271" t="s">
        <v>11409</v>
      </c>
      <c r="I69" s="270"/>
      <c r="J69" s="270"/>
    </row>
    <row r="70">
      <c r="A70" s="269">
        <v>9749.0</v>
      </c>
      <c r="B70" s="269" t="s">
        <v>20</v>
      </c>
      <c r="C70" s="269" t="s">
        <v>11410</v>
      </c>
      <c r="D70" s="269" t="s">
        <v>11278</v>
      </c>
      <c r="E70" s="269" t="s">
        <v>11279</v>
      </c>
      <c r="F70" s="270"/>
      <c r="G70" s="270"/>
      <c r="H70" s="271" t="s">
        <v>11411</v>
      </c>
      <c r="I70" s="270"/>
      <c r="J70" s="270"/>
    </row>
    <row r="71">
      <c r="A71" s="269">
        <v>9754.0</v>
      </c>
      <c r="B71" s="269" t="s">
        <v>20</v>
      </c>
      <c r="C71" s="269" t="s">
        <v>3612</v>
      </c>
      <c r="D71" s="269" t="s">
        <v>11278</v>
      </c>
      <c r="E71" s="269" t="s">
        <v>11279</v>
      </c>
      <c r="F71" s="270"/>
      <c r="G71" s="270"/>
      <c r="H71" s="271" t="s">
        <v>11412</v>
      </c>
      <c r="I71" s="270"/>
      <c r="J71" s="270"/>
    </row>
    <row r="72">
      <c r="A72" s="269">
        <v>9756.0</v>
      </c>
      <c r="B72" s="269" t="s">
        <v>20</v>
      </c>
      <c r="C72" s="269" t="s">
        <v>11413</v>
      </c>
      <c r="D72" s="269" t="s">
        <v>11278</v>
      </c>
      <c r="E72" s="269" t="s">
        <v>11279</v>
      </c>
      <c r="F72" s="270"/>
      <c r="G72" s="270"/>
      <c r="H72" s="271" t="s">
        <v>11414</v>
      </c>
      <c r="I72" s="270"/>
      <c r="J72" s="270"/>
    </row>
    <row r="73">
      <c r="A73" s="269">
        <v>9770.0</v>
      </c>
      <c r="B73" s="269" t="s">
        <v>20</v>
      </c>
      <c r="C73" s="269" t="s">
        <v>11415</v>
      </c>
      <c r="D73" s="269" t="s">
        <v>11278</v>
      </c>
      <c r="E73" s="269" t="s">
        <v>11279</v>
      </c>
      <c r="F73" s="270"/>
      <c r="G73" s="270"/>
      <c r="H73" s="271" t="s">
        <v>11416</v>
      </c>
      <c r="I73" s="270"/>
      <c r="J73" s="270"/>
    </row>
    <row r="74">
      <c r="A74" s="269">
        <v>9775.0</v>
      </c>
      <c r="B74" s="269" t="s">
        <v>20</v>
      </c>
      <c r="C74" s="269" t="s">
        <v>11417</v>
      </c>
      <c r="D74" s="269" t="s">
        <v>11278</v>
      </c>
      <c r="E74" s="269" t="s">
        <v>11279</v>
      </c>
      <c r="F74" s="270"/>
      <c r="G74" s="270"/>
      <c r="H74" s="271" t="s">
        <v>11418</v>
      </c>
      <c r="I74" s="270"/>
      <c r="J74" s="270"/>
    </row>
    <row r="75">
      <c r="A75" s="269">
        <v>9778.0</v>
      </c>
      <c r="B75" s="269" t="s">
        <v>20</v>
      </c>
      <c r="C75" s="269" t="s">
        <v>74</v>
      </c>
      <c r="D75" s="269" t="s">
        <v>11278</v>
      </c>
      <c r="E75" s="269" t="s">
        <v>11279</v>
      </c>
      <c r="F75" s="270"/>
      <c r="G75" s="270"/>
      <c r="H75" s="271" t="s">
        <v>11419</v>
      </c>
      <c r="I75" s="270"/>
      <c r="J75" s="270"/>
    </row>
    <row r="76">
      <c r="A76" s="269">
        <v>9779.0</v>
      </c>
      <c r="B76" s="269" t="s">
        <v>20</v>
      </c>
      <c r="C76" s="269" t="s">
        <v>6812</v>
      </c>
      <c r="D76" s="269" t="s">
        <v>11278</v>
      </c>
      <c r="E76" s="269" t="s">
        <v>11279</v>
      </c>
      <c r="F76" s="270"/>
      <c r="G76" s="270"/>
      <c r="H76" s="271" t="s">
        <v>11420</v>
      </c>
      <c r="I76" s="270"/>
      <c r="J76" s="270"/>
    </row>
    <row r="77">
      <c r="A77" s="269">
        <v>9793.0</v>
      </c>
      <c r="B77" s="269" t="s">
        <v>20</v>
      </c>
      <c r="C77" s="269" t="s">
        <v>49</v>
      </c>
      <c r="D77" s="269" t="s">
        <v>11278</v>
      </c>
      <c r="E77" s="278" t="s">
        <v>11421</v>
      </c>
      <c r="F77" s="270"/>
      <c r="G77" s="270"/>
      <c r="H77" s="271" t="s">
        <v>11422</v>
      </c>
      <c r="I77" s="270"/>
      <c r="J77" s="270"/>
    </row>
    <row r="78">
      <c r="A78" s="272">
        <v>32675.0</v>
      </c>
      <c r="B78" s="269" t="s">
        <v>20</v>
      </c>
      <c r="C78" s="272" t="s">
        <v>1108</v>
      </c>
      <c r="D78" s="269" t="s">
        <v>11278</v>
      </c>
      <c r="E78" s="269" t="s">
        <v>11279</v>
      </c>
      <c r="F78" s="270"/>
      <c r="G78" s="270"/>
      <c r="H78" s="271" t="s">
        <v>11423</v>
      </c>
      <c r="I78" s="270"/>
      <c r="J78" s="270"/>
    </row>
    <row r="79">
      <c r="A79" s="272">
        <v>32666.0</v>
      </c>
      <c r="B79" s="269" t="s">
        <v>20</v>
      </c>
      <c r="C79" s="272" t="s">
        <v>8507</v>
      </c>
      <c r="D79" s="269" t="s">
        <v>11278</v>
      </c>
      <c r="E79" s="269" t="s">
        <v>11279</v>
      </c>
      <c r="F79" s="270"/>
      <c r="G79" s="270"/>
      <c r="H79" s="271" t="s">
        <v>11424</v>
      </c>
      <c r="I79" s="270"/>
      <c r="J79" s="270"/>
    </row>
    <row r="80">
      <c r="A80" s="272">
        <v>32650.0</v>
      </c>
      <c r="B80" s="269" t="s">
        <v>20</v>
      </c>
      <c r="C80" s="272" t="s">
        <v>11425</v>
      </c>
      <c r="D80" s="269" t="s">
        <v>11278</v>
      </c>
      <c r="E80" s="269" t="s">
        <v>11279</v>
      </c>
      <c r="F80" s="270"/>
      <c r="G80" s="270"/>
      <c r="H80" s="271" t="s">
        <v>11426</v>
      </c>
      <c r="I80" s="270"/>
      <c r="J80" s="270"/>
    </row>
    <row r="81">
      <c r="A81" s="272">
        <v>32419.0</v>
      </c>
      <c r="B81" s="269" t="s">
        <v>20</v>
      </c>
      <c r="C81" s="272" t="s">
        <v>11427</v>
      </c>
      <c r="D81" s="269" t="s">
        <v>11278</v>
      </c>
      <c r="E81" s="269" t="s">
        <v>11279</v>
      </c>
      <c r="F81" s="270"/>
      <c r="G81" s="270"/>
      <c r="H81" s="271" t="s">
        <v>11428</v>
      </c>
      <c r="I81" s="270"/>
      <c r="J81" s="270"/>
    </row>
    <row r="82">
      <c r="A82" s="272">
        <v>32373.0</v>
      </c>
      <c r="B82" s="269" t="s">
        <v>20</v>
      </c>
      <c r="C82" s="272" t="s">
        <v>11429</v>
      </c>
      <c r="D82" s="269" t="s">
        <v>11278</v>
      </c>
      <c r="E82" s="269" t="s">
        <v>11279</v>
      </c>
      <c r="F82" s="270"/>
      <c r="G82" s="270"/>
      <c r="H82" s="271" t="s">
        <v>11430</v>
      </c>
      <c r="I82" s="270"/>
      <c r="J82" s="270"/>
    </row>
    <row r="83">
      <c r="A83" s="272">
        <v>32367.0</v>
      </c>
      <c r="B83" s="269" t="s">
        <v>20</v>
      </c>
      <c r="C83" s="272" t="s">
        <v>4139</v>
      </c>
      <c r="D83" s="269" t="s">
        <v>11278</v>
      </c>
      <c r="E83" s="269" t="s">
        <v>11279</v>
      </c>
      <c r="F83" s="270"/>
      <c r="G83" s="269">
        <v>1.0</v>
      </c>
      <c r="H83" s="271" t="s">
        <v>11431</v>
      </c>
      <c r="I83" s="270"/>
      <c r="J83" s="270"/>
    </row>
    <row r="84">
      <c r="A84" s="272">
        <v>32332.0</v>
      </c>
      <c r="B84" s="269" t="s">
        <v>20</v>
      </c>
      <c r="C84" s="272" t="s">
        <v>11432</v>
      </c>
      <c r="D84" s="269" t="s">
        <v>11278</v>
      </c>
      <c r="E84" s="269" t="s">
        <v>11291</v>
      </c>
      <c r="F84" s="270"/>
      <c r="G84" s="270"/>
      <c r="H84" s="271" t="s">
        <v>11433</v>
      </c>
      <c r="I84" s="270"/>
      <c r="J84" s="270"/>
    </row>
    <row r="85">
      <c r="A85" s="272">
        <v>32152.0</v>
      </c>
      <c r="B85" s="269" t="s">
        <v>20</v>
      </c>
      <c r="C85" s="272" t="s">
        <v>11434</v>
      </c>
      <c r="D85" s="269" t="s">
        <v>11278</v>
      </c>
      <c r="E85" s="269" t="s">
        <v>11435</v>
      </c>
      <c r="F85" s="270"/>
      <c r="G85" s="269">
        <v>1.0</v>
      </c>
      <c r="H85" s="271" t="s">
        <v>11436</v>
      </c>
      <c r="I85" s="270"/>
      <c r="J85" s="270"/>
    </row>
    <row r="86">
      <c r="A86" s="269">
        <v>9823.0</v>
      </c>
      <c r="B86" s="269" t="s">
        <v>20</v>
      </c>
      <c r="C86" s="269" t="s">
        <v>3209</v>
      </c>
      <c r="D86" s="269" t="s">
        <v>11278</v>
      </c>
      <c r="E86" s="269" t="s">
        <v>11437</v>
      </c>
      <c r="F86" s="270"/>
      <c r="G86" s="270"/>
      <c r="I86" s="270"/>
      <c r="J86" s="271" t="s">
        <v>11438</v>
      </c>
    </row>
    <row r="87">
      <c r="A87" s="269">
        <v>9824.0</v>
      </c>
      <c r="B87" s="269" t="s">
        <v>20</v>
      </c>
      <c r="C87" s="269" t="s">
        <v>11439</v>
      </c>
      <c r="D87" s="269" t="s">
        <v>11278</v>
      </c>
      <c r="E87" s="269" t="s">
        <v>11437</v>
      </c>
      <c r="F87" s="270"/>
      <c r="G87" s="270"/>
      <c r="H87" s="271" t="s">
        <v>11440</v>
      </c>
      <c r="I87" s="270"/>
      <c r="J87" s="270"/>
    </row>
    <row r="88">
      <c r="A88" s="269">
        <v>9829.0</v>
      </c>
      <c r="B88" s="269" t="s">
        <v>20</v>
      </c>
      <c r="C88" s="269" t="s">
        <v>7424</v>
      </c>
      <c r="D88" s="269" t="s">
        <v>11278</v>
      </c>
      <c r="E88" s="269" t="s">
        <v>11441</v>
      </c>
      <c r="F88" s="270"/>
      <c r="G88" s="270"/>
      <c r="H88" s="271" t="s">
        <v>11442</v>
      </c>
      <c r="I88" s="270"/>
      <c r="J88" s="270"/>
    </row>
    <row r="89">
      <c r="A89" s="269">
        <v>9830.0</v>
      </c>
      <c r="B89" s="269" t="s">
        <v>20</v>
      </c>
      <c r="C89" s="269" t="s">
        <v>760</v>
      </c>
      <c r="D89" s="269" t="s">
        <v>11278</v>
      </c>
      <c r="E89" s="269" t="s">
        <v>11279</v>
      </c>
      <c r="F89" s="270"/>
      <c r="G89" s="270"/>
      <c r="H89" s="271" t="s">
        <v>11443</v>
      </c>
      <c r="I89" s="270"/>
      <c r="J89" s="270"/>
    </row>
    <row r="90">
      <c r="A90" s="269">
        <v>9838.0</v>
      </c>
      <c r="B90" s="269" t="s">
        <v>20</v>
      </c>
      <c r="C90" s="269" t="s">
        <v>11444</v>
      </c>
      <c r="D90" s="269" t="s">
        <v>11278</v>
      </c>
      <c r="E90" s="269" t="s">
        <v>11279</v>
      </c>
      <c r="F90" s="270"/>
      <c r="G90" s="270"/>
      <c r="H90" s="271" t="s">
        <v>11445</v>
      </c>
      <c r="I90" s="270"/>
      <c r="J90" s="270"/>
    </row>
    <row r="91">
      <c r="A91" s="272">
        <v>32056.0</v>
      </c>
      <c r="B91" s="269" t="s">
        <v>20</v>
      </c>
      <c r="C91" s="269" t="s">
        <v>11446</v>
      </c>
      <c r="D91" s="269" t="s">
        <v>11278</v>
      </c>
      <c r="E91" s="269" t="s">
        <v>11279</v>
      </c>
      <c r="F91" s="270"/>
      <c r="G91" s="270"/>
      <c r="H91" s="271" t="s">
        <v>11447</v>
      </c>
      <c r="I91" s="270"/>
      <c r="J91" s="270"/>
    </row>
    <row r="92">
      <c r="A92" s="269">
        <v>9839.0</v>
      </c>
      <c r="B92" s="269" t="s">
        <v>20</v>
      </c>
      <c r="C92" s="269" t="s">
        <v>11448</v>
      </c>
      <c r="D92" s="269" t="s">
        <v>11278</v>
      </c>
      <c r="E92" s="269" t="s">
        <v>11279</v>
      </c>
      <c r="F92" s="270"/>
      <c r="G92" s="270"/>
      <c r="H92" s="271" t="s">
        <v>11449</v>
      </c>
      <c r="I92" s="270"/>
      <c r="J92" s="270"/>
    </row>
    <row r="93">
      <c r="A93" s="272">
        <v>31989.0</v>
      </c>
      <c r="B93" s="269" t="s">
        <v>20</v>
      </c>
      <c r="C93" s="274" t="s">
        <v>11450</v>
      </c>
      <c r="D93" s="269" t="s">
        <v>11278</v>
      </c>
      <c r="E93" s="269" t="s">
        <v>11358</v>
      </c>
      <c r="F93" s="270"/>
      <c r="G93" s="270"/>
      <c r="H93" s="271" t="s">
        <v>11451</v>
      </c>
      <c r="I93" s="270"/>
      <c r="J93" s="270"/>
    </row>
    <row r="94">
      <c r="A94" s="272">
        <v>31978.0</v>
      </c>
      <c r="B94" s="269" t="s">
        <v>20</v>
      </c>
      <c r="C94" s="272" t="s">
        <v>11452</v>
      </c>
      <c r="D94" s="269" t="s">
        <v>11278</v>
      </c>
      <c r="E94" s="269" t="s">
        <v>11323</v>
      </c>
      <c r="F94" s="270"/>
      <c r="G94" s="269">
        <v>1.0</v>
      </c>
      <c r="H94" s="271" t="s">
        <v>11453</v>
      </c>
      <c r="I94" s="270"/>
      <c r="J94" s="270"/>
    </row>
    <row r="95">
      <c r="A95" s="269">
        <v>9861.0</v>
      </c>
      <c r="B95" s="269" t="s">
        <v>20</v>
      </c>
      <c r="C95" s="269" t="s">
        <v>10833</v>
      </c>
      <c r="D95" s="269" t="s">
        <v>11278</v>
      </c>
      <c r="E95" s="269" t="s">
        <v>11454</v>
      </c>
      <c r="F95" s="270"/>
      <c r="G95" s="270"/>
      <c r="H95" s="271" t="s">
        <v>11455</v>
      </c>
      <c r="I95" s="270"/>
      <c r="J95" s="270"/>
    </row>
    <row r="96">
      <c r="A96" s="269">
        <v>9862.0</v>
      </c>
      <c r="B96" s="269" t="s">
        <v>20</v>
      </c>
      <c r="C96" s="269" t="s">
        <v>3209</v>
      </c>
      <c r="D96" s="269" t="s">
        <v>11278</v>
      </c>
      <c r="E96" s="269" t="s">
        <v>11454</v>
      </c>
      <c r="F96" s="270"/>
      <c r="G96" s="270"/>
      <c r="H96" s="271" t="s">
        <v>11456</v>
      </c>
      <c r="I96" s="270"/>
      <c r="J96" s="270"/>
    </row>
    <row r="97">
      <c r="A97" s="272">
        <v>31698.0</v>
      </c>
      <c r="B97" s="269" t="s">
        <v>20</v>
      </c>
      <c r="C97" s="272" t="s">
        <v>955</v>
      </c>
      <c r="D97" s="269" t="s">
        <v>11278</v>
      </c>
      <c r="E97" s="269" t="s">
        <v>11335</v>
      </c>
      <c r="F97" s="270"/>
      <c r="G97" s="270"/>
      <c r="H97" s="271" t="s">
        <v>11457</v>
      </c>
      <c r="I97" s="270"/>
      <c r="J97" s="270"/>
    </row>
    <row r="98">
      <c r="A98" s="272">
        <v>31546.0</v>
      </c>
      <c r="B98" s="269" t="s">
        <v>20</v>
      </c>
      <c r="C98" s="272" t="s">
        <v>4214</v>
      </c>
      <c r="D98" s="269" t="s">
        <v>11278</v>
      </c>
      <c r="E98" s="269" t="s">
        <v>11279</v>
      </c>
      <c r="F98" s="270"/>
      <c r="G98" s="269">
        <v>1.0</v>
      </c>
      <c r="H98" s="271" t="s">
        <v>11458</v>
      </c>
      <c r="I98" s="270"/>
      <c r="J98" s="270"/>
    </row>
    <row r="99">
      <c r="A99" s="269">
        <v>9872.0</v>
      </c>
      <c r="B99" s="269" t="s">
        <v>20</v>
      </c>
      <c r="C99" s="269" t="s">
        <v>11459</v>
      </c>
      <c r="D99" s="269" t="s">
        <v>11278</v>
      </c>
      <c r="E99" s="269" t="s">
        <v>11454</v>
      </c>
      <c r="F99" s="270"/>
      <c r="G99" s="270"/>
      <c r="H99" s="271" t="s">
        <v>11460</v>
      </c>
      <c r="I99" s="270"/>
      <c r="J99" s="270"/>
    </row>
    <row r="100">
      <c r="A100" s="272">
        <v>31543.0</v>
      </c>
      <c r="B100" s="269" t="s">
        <v>20</v>
      </c>
      <c r="C100" s="272" t="s">
        <v>11461</v>
      </c>
      <c r="D100" s="269" t="s">
        <v>11278</v>
      </c>
      <c r="E100" s="269" t="s">
        <v>11279</v>
      </c>
      <c r="F100" s="270"/>
      <c r="G100" s="269">
        <v>1.0</v>
      </c>
      <c r="H100" s="271" t="s">
        <v>11462</v>
      </c>
      <c r="I100" s="270"/>
      <c r="J100" s="270"/>
    </row>
    <row r="101">
      <c r="A101" s="272">
        <v>31542.0</v>
      </c>
      <c r="B101" s="269" t="s">
        <v>20</v>
      </c>
      <c r="C101" s="272" t="s">
        <v>1210</v>
      </c>
      <c r="D101" s="269" t="s">
        <v>11278</v>
      </c>
      <c r="E101" s="272" t="s">
        <v>11347</v>
      </c>
      <c r="F101" s="270"/>
      <c r="G101" s="270"/>
      <c r="H101" s="271" t="s">
        <v>11463</v>
      </c>
      <c r="I101" s="270"/>
      <c r="J101" s="270"/>
    </row>
    <row r="102">
      <c r="A102" s="269">
        <v>9876.0</v>
      </c>
      <c r="B102" s="269" t="s">
        <v>20</v>
      </c>
      <c r="C102" s="269" t="s">
        <v>11464</v>
      </c>
      <c r="D102" s="269" t="s">
        <v>11278</v>
      </c>
      <c r="E102" s="269" t="s">
        <v>11437</v>
      </c>
      <c r="F102" s="270"/>
      <c r="G102" s="270"/>
      <c r="I102" s="270"/>
      <c r="J102" s="271" t="s">
        <v>11465</v>
      </c>
    </row>
    <row r="103">
      <c r="A103" s="272">
        <v>31467.0</v>
      </c>
      <c r="B103" s="269" t="s">
        <v>20</v>
      </c>
      <c r="C103" s="272" t="s">
        <v>1975</v>
      </c>
      <c r="D103" s="269" t="s">
        <v>11278</v>
      </c>
      <c r="E103" s="269" t="s">
        <v>11466</v>
      </c>
      <c r="F103" s="270"/>
      <c r="G103" s="269">
        <v>1.0</v>
      </c>
      <c r="H103" s="271" t="s">
        <v>11467</v>
      </c>
      <c r="I103" s="270"/>
      <c r="J103" s="270"/>
    </row>
    <row r="104">
      <c r="A104" s="272">
        <v>31453.0</v>
      </c>
      <c r="B104" s="269" t="s">
        <v>20</v>
      </c>
      <c r="C104" s="272" t="s">
        <v>5779</v>
      </c>
      <c r="D104" s="269" t="s">
        <v>11278</v>
      </c>
      <c r="E104" s="272" t="s">
        <v>11347</v>
      </c>
      <c r="F104" s="270"/>
      <c r="G104" s="269">
        <v>1.0</v>
      </c>
      <c r="H104" s="271" t="s">
        <v>11468</v>
      </c>
      <c r="I104" s="270"/>
      <c r="J104" s="270"/>
    </row>
    <row r="105">
      <c r="A105" s="269">
        <v>9879.0</v>
      </c>
      <c r="B105" s="269" t="s">
        <v>20</v>
      </c>
      <c r="C105" s="269" t="s">
        <v>3612</v>
      </c>
      <c r="D105" s="269" t="s">
        <v>11278</v>
      </c>
      <c r="E105" s="269" t="s">
        <v>11320</v>
      </c>
      <c r="F105" s="270"/>
      <c r="G105" s="270"/>
      <c r="H105" s="271" t="s">
        <v>11469</v>
      </c>
      <c r="I105" s="270"/>
      <c r="J105" s="270"/>
    </row>
    <row r="106">
      <c r="A106" s="272">
        <v>31451.0</v>
      </c>
      <c r="B106" s="269" t="s">
        <v>20</v>
      </c>
      <c r="C106" s="272" t="s">
        <v>641</v>
      </c>
      <c r="D106" s="269" t="s">
        <v>11278</v>
      </c>
      <c r="E106" s="269" t="s">
        <v>11470</v>
      </c>
      <c r="F106" s="270"/>
      <c r="G106" s="270"/>
      <c r="H106" s="271" t="s">
        <v>11471</v>
      </c>
      <c r="I106" s="270"/>
      <c r="J106" s="270"/>
    </row>
    <row r="107">
      <c r="A107" s="272">
        <v>31435.0</v>
      </c>
      <c r="B107" s="269" t="s">
        <v>20</v>
      </c>
      <c r="C107" s="272" t="s">
        <v>4355</v>
      </c>
      <c r="D107" s="269" t="s">
        <v>11278</v>
      </c>
      <c r="E107" s="272" t="s">
        <v>11299</v>
      </c>
      <c r="F107" s="270"/>
      <c r="G107" s="269">
        <v>1.0</v>
      </c>
      <c r="H107" s="271" t="s">
        <v>11472</v>
      </c>
      <c r="I107" s="270"/>
      <c r="J107" s="270"/>
    </row>
    <row r="108">
      <c r="A108" s="269">
        <v>9885.0</v>
      </c>
      <c r="B108" s="269" t="s">
        <v>20</v>
      </c>
      <c r="C108" s="269" t="s">
        <v>11473</v>
      </c>
      <c r="D108" s="269" t="s">
        <v>11278</v>
      </c>
      <c r="E108" s="269" t="s">
        <v>11279</v>
      </c>
      <c r="F108" s="270"/>
      <c r="G108" s="270"/>
      <c r="H108" s="271" t="s">
        <v>11474</v>
      </c>
      <c r="I108" s="270"/>
      <c r="J108" s="270"/>
    </row>
    <row r="109">
      <c r="A109" s="272">
        <v>30827.0</v>
      </c>
      <c r="B109" s="269" t="s">
        <v>20</v>
      </c>
      <c r="C109" s="272" t="s">
        <v>11475</v>
      </c>
      <c r="D109" s="269" t="s">
        <v>11278</v>
      </c>
      <c r="E109" s="269" t="s">
        <v>11335</v>
      </c>
      <c r="F109" s="270"/>
      <c r="G109" s="270"/>
      <c r="H109" s="271" t="s">
        <v>11476</v>
      </c>
      <c r="I109" s="270"/>
      <c r="J109" s="270"/>
    </row>
    <row r="110">
      <c r="A110" s="269">
        <v>9891.0</v>
      </c>
      <c r="B110" s="269" t="s">
        <v>20</v>
      </c>
      <c r="C110" s="269" t="s">
        <v>11477</v>
      </c>
      <c r="D110" s="269" t="s">
        <v>11278</v>
      </c>
      <c r="E110" s="269" t="s">
        <v>11454</v>
      </c>
      <c r="F110" s="270"/>
      <c r="G110" s="270"/>
      <c r="H110" s="271" t="s">
        <v>11478</v>
      </c>
      <c r="I110" s="270"/>
      <c r="J110" s="270"/>
    </row>
    <row r="111">
      <c r="A111" s="272">
        <v>30586.0</v>
      </c>
      <c r="B111" s="269" t="s">
        <v>20</v>
      </c>
      <c r="C111" s="272" t="s">
        <v>11479</v>
      </c>
      <c r="D111" s="269" t="s">
        <v>11278</v>
      </c>
      <c r="E111" s="269" t="s">
        <v>11480</v>
      </c>
      <c r="F111" s="270"/>
      <c r="G111" s="270"/>
      <c r="H111" s="271" t="s">
        <v>11481</v>
      </c>
      <c r="I111" s="270"/>
      <c r="J111" s="270"/>
    </row>
    <row r="112">
      <c r="A112" s="269">
        <v>9892.0</v>
      </c>
      <c r="B112" s="269" t="s">
        <v>20</v>
      </c>
      <c r="C112" s="269" t="s">
        <v>4459</v>
      </c>
      <c r="D112" s="269" t="s">
        <v>11278</v>
      </c>
      <c r="E112" s="269" t="s">
        <v>11482</v>
      </c>
      <c r="F112" s="270"/>
      <c r="G112" s="270"/>
      <c r="H112" s="271" t="s">
        <v>11483</v>
      </c>
      <c r="I112" s="270"/>
      <c r="J112" s="270"/>
    </row>
    <row r="113">
      <c r="A113" s="269">
        <v>9896.0</v>
      </c>
      <c r="B113" s="269" t="s">
        <v>20</v>
      </c>
      <c r="C113" s="269" t="s">
        <v>74</v>
      </c>
      <c r="D113" s="269" t="s">
        <v>11278</v>
      </c>
      <c r="E113" s="269" t="s">
        <v>11484</v>
      </c>
      <c r="F113" s="270"/>
      <c r="G113" s="270"/>
      <c r="H113" s="271" t="s">
        <v>11485</v>
      </c>
      <c r="I113" s="270"/>
      <c r="J113" s="270"/>
    </row>
    <row r="114">
      <c r="A114" s="269">
        <v>9904.0</v>
      </c>
      <c r="B114" s="269" t="s">
        <v>20</v>
      </c>
      <c r="C114" s="269" t="s">
        <v>963</v>
      </c>
      <c r="D114" s="269" t="s">
        <v>11278</v>
      </c>
      <c r="E114" s="269" t="s">
        <v>11279</v>
      </c>
      <c r="F114" s="270"/>
      <c r="G114" s="270"/>
      <c r="H114" s="271" t="s">
        <v>11486</v>
      </c>
      <c r="I114" s="270"/>
      <c r="J114" s="270"/>
    </row>
    <row r="115">
      <c r="A115" s="272">
        <v>29112.0</v>
      </c>
      <c r="B115" s="269" t="s">
        <v>20</v>
      </c>
      <c r="C115" s="272" t="s">
        <v>11487</v>
      </c>
      <c r="D115" s="269" t="s">
        <v>11278</v>
      </c>
      <c r="E115" s="269" t="s">
        <v>11279</v>
      </c>
      <c r="F115" s="270"/>
      <c r="G115" s="270"/>
      <c r="H115" s="271" t="s">
        <v>11488</v>
      </c>
      <c r="I115" s="270"/>
      <c r="J115" s="270"/>
    </row>
    <row r="116">
      <c r="A116" s="269">
        <v>9909.0</v>
      </c>
      <c r="B116" s="269" t="s">
        <v>20</v>
      </c>
      <c r="C116" s="269" t="s">
        <v>11489</v>
      </c>
      <c r="D116" s="269" t="s">
        <v>11278</v>
      </c>
      <c r="E116" s="269" t="s">
        <v>11279</v>
      </c>
      <c r="F116" s="270"/>
      <c r="G116" s="270"/>
      <c r="H116" s="271" t="s">
        <v>11490</v>
      </c>
      <c r="I116" s="270"/>
      <c r="J116" s="270"/>
    </row>
    <row r="117">
      <c r="A117" s="269">
        <v>9910.0</v>
      </c>
      <c r="B117" s="269" t="s">
        <v>20</v>
      </c>
      <c r="C117" s="269" t="s">
        <v>5636</v>
      </c>
      <c r="D117" s="269" t="s">
        <v>11278</v>
      </c>
      <c r="E117" s="269" t="s">
        <v>11279</v>
      </c>
      <c r="F117" s="270"/>
      <c r="G117" s="270"/>
      <c r="H117" s="271" t="s">
        <v>11491</v>
      </c>
      <c r="I117" s="270"/>
      <c r="J117" s="270"/>
    </row>
    <row r="118">
      <c r="A118" s="269">
        <v>9912.0</v>
      </c>
      <c r="B118" s="269" t="s">
        <v>20</v>
      </c>
      <c r="C118" s="269" t="s">
        <v>1378</v>
      </c>
      <c r="D118" s="269" t="s">
        <v>11278</v>
      </c>
      <c r="E118" s="269" t="s">
        <v>11279</v>
      </c>
      <c r="F118" s="270"/>
      <c r="G118" s="270"/>
      <c r="H118" s="271" t="s">
        <v>11492</v>
      </c>
      <c r="I118" s="270"/>
      <c r="J118" s="270"/>
    </row>
    <row r="119">
      <c r="A119" s="269">
        <v>9927.0</v>
      </c>
      <c r="B119" s="269" t="s">
        <v>20</v>
      </c>
      <c r="C119" s="269" t="s">
        <v>74</v>
      </c>
      <c r="D119" s="269" t="s">
        <v>11278</v>
      </c>
      <c r="E119" s="269" t="s">
        <v>11279</v>
      </c>
      <c r="F119" s="270"/>
      <c r="G119" s="270"/>
      <c r="H119" s="271" t="s">
        <v>11493</v>
      </c>
      <c r="I119" s="270"/>
      <c r="J119" s="270"/>
    </row>
    <row r="120">
      <c r="A120" s="269">
        <v>9928.0</v>
      </c>
      <c r="B120" s="269" t="s">
        <v>20</v>
      </c>
      <c r="C120" s="269" t="s">
        <v>10693</v>
      </c>
      <c r="D120" s="269" t="s">
        <v>11278</v>
      </c>
      <c r="E120" s="269" t="s">
        <v>11279</v>
      </c>
      <c r="F120" s="270"/>
      <c r="G120" s="270"/>
      <c r="H120" s="271" t="s">
        <v>11494</v>
      </c>
      <c r="I120" s="270"/>
      <c r="J120" s="270"/>
    </row>
    <row r="121">
      <c r="A121" s="269">
        <v>9932.0</v>
      </c>
      <c r="B121" s="269" t="s">
        <v>20</v>
      </c>
      <c r="C121" s="269" t="s">
        <v>11495</v>
      </c>
      <c r="D121" s="269" t="s">
        <v>11278</v>
      </c>
      <c r="E121" s="269" t="s">
        <v>11279</v>
      </c>
      <c r="F121" s="270"/>
      <c r="G121" s="270"/>
      <c r="H121" s="271" t="s">
        <v>11496</v>
      </c>
      <c r="I121" s="270"/>
      <c r="J121" s="270"/>
    </row>
    <row r="122">
      <c r="A122" s="269">
        <v>9936.0</v>
      </c>
      <c r="B122" s="269" t="s">
        <v>20</v>
      </c>
      <c r="C122" s="269" t="s">
        <v>7346</v>
      </c>
      <c r="D122" s="269" t="s">
        <v>11278</v>
      </c>
      <c r="E122" s="269" t="s">
        <v>11279</v>
      </c>
      <c r="F122" s="270"/>
      <c r="G122" s="270"/>
      <c r="H122" s="271" t="s">
        <v>11497</v>
      </c>
      <c r="I122" s="270"/>
      <c r="J122" s="270"/>
    </row>
    <row r="123">
      <c r="A123" s="269">
        <v>9937.0</v>
      </c>
      <c r="B123" s="269" t="s">
        <v>20</v>
      </c>
      <c r="C123" s="269" t="s">
        <v>4033</v>
      </c>
      <c r="D123" s="269" t="s">
        <v>11278</v>
      </c>
      <c r="E123" s="269" t="s">
        <v>11279</v>
      </c>
      <c r="F123" s="270"/>
      <c r="G123" s="270"/>
      <c r="H123" s="271" t="s">
        <v>11345</v>
      </c>
      <c r="I123" s="270"/>
      <c r="J123" s="270"/>
    </row>
    <row r="124">
      <c r="A124" s="269">
        <v>9945.0</v>
      </c>
      <c r="B124" s="269" t="s">
        <v>20</v>
      </c>
      <c r="C124" s="269" t="s">
        <v>11498</v>
      </c>
      <c r="D124" s="269" t="s">
        <v>11278</v>
      </c>
      <c r="E124" s="269" t="s">
        <v>11279</v>
      </c>
      <c r="F124" s="270"/>
      <c r="G124" s="270"/>
      <c r="I124" s="270"/>
      <c r="J124" s="271" t="s">
        <v>11499</v>
      </c>
    </row>
    <row r="125">
      <c r="A125" s="269">
        <v>9948.0</v>
      </c>
      <c r="B125" s="269" t="s">
        <v>20</v>
      </c>
      <c r="C125" s="269" t="s">
        <v>8151</v>
      </c>
      <c r="D125" s="269" t="s">
        <v>11278</v>
      </c>
      <c r="E125" s="269" t="s">
        <v>11279</v>
      </c>
      <c r="F125" s="270"/>
      <c r="G125" s="270"/>
      <c r="H125" s="271" t="s">
        <v>11500</v>
      </c>
      <c r="I125" s="270"/>
      <c r="J125" s="270"/>
    </row>
    <row r="126">
      <c r="A126" s="269">
        <v>9957.0</v>
      </c>
      <c r="B126" s="269" t="s">
        <v>20</v>
      </c>
      <c r="C126" s="269" t="s">
        <v>11501</v>
      </c>
      <c r="D126" s="269" t="s">
        <v>11278</v>
      </c>
      <c r="E126" s="269" t="s">
        <v>11279</v>
      </c>
      <c r="F126" s="270"/>
      <c r="G126" s="270"/>
      <c r="H126" s="271" t="s">
        <v>11502</v>
      </c>
      <c r="I126" s="270"/>
      <c r="J126" s="270"/>
    </row>
    <row r="127">
      <c r="A127" s="269">
        <v>9958.0</v>
      </c>
      <c r="B127" s="269" t="s">
        <v>20</v>
      </c>
      <c r="C127" s="269" t="s">
        <v>10229</v>
      </c>
      <c r="D127" s="269" t="s">
        <v>11278</v>
      </c>
      <c r="E127" s="269" t="s">
        <v>11279</v>
      </c>
      <c r="F127" s="270"/>
      <c r="G127" s="270"/>
      <c r="H127" s="271" t="s">
        <v>11503</v>
      </c>
      <c r="I127" s="270"/>
      <c r="J127" s="270"/>
    </row>
    <row r="128">
      <c r="A128" s="269">
        <v>9961.0</v>
      </c>
      <c r="B128" s="269" t="s">
        <v>20</v>
      </c>
      <c r="C128" s="269" t="s">
        <v>11504</v>
      </c>
      <c r="D128" s="269" t="s">
        <v>11278</v>
      </c>
      <c r="E128" s="269" t="s">
        <v>11279</v>
      </c>
      <c r="F128" s="270"/>
      <c r="G128" s="270"/>
      <c r="H128" s="271" t="s">
        <v>8903</v>
      </c>
      <c r="I128" s="270"/>
      <c r="J128" s="270"/>
    </row>
    <row r="129">
      <c r="A129" s="272">
        <v>28760.0</v>
      </c>
      <c r="B129" s="269" t="s">
        <v>20</v>
      </c>
      <c r="C129" s="272" t="s">
        <v>3418</v>
      </c>
      <c r="D129" s="269" t="s">
        <v>11278</v>
      </c>
      <c r="E129" s="269" t="s">
        <v>11505</v>
      </c>
      <c r="F129" s="270"/>
      <c r="G129" s="270"/>
      <c r="H129" s="271" t="s">
        <v>11506</v>
      </c>
      <c r="I129" s="270"/>
      <c r="J129" s="270"/>
    </row>
    <row r="130">
      <c r="A130" s="269">
        <v>9977.0</v>
      </c>
      <c r="B130" s="269" t="s">
        <v>20</v>
      </c>
      <c r="C130" s="269" t="s">
        <v>11507</v>
      </c>
      <c r="D130" s="269" t="s">
        <v>11278</v>
      </c>
      <c r="E130" s="269" t="s">
        <v>11287</v>
      </c>
      <c r="F130" s="270"/>
      <c r="G130" s="270"/>
      <c r="H130" s="271" t="s">
        <v>11508</v>
      </c>
      <c r="I130" s="270"/>
      <c r="J130" s="270"/>
    </row>
    <row r="131">
      <c r="A131" s="272">
        <v>28244.0</v>
      </c>
      <c r="B131" s="269" t="s">
        <v>20</v>
      </c>
      <c r="C131" s="274" t="s">
        <v>11509</v>
      </c>
      <c r="D131" s="269" t="s">
        <v>11278</v>
      </c>
      <c r="E131" s="269" t="s">
        <v>11510</v>
      </c>
      <c r="F131" s="270"/>
      <c r="G131" s="270"/>
      <c r="H131" s="271" t="s">
        <v>11511</v>
      </c>
      <c r="I131" s="270"/>
      <c r="J131" s="270"/>
    </row>
    <row r="132">
      <c r="A132" s="269">
        <v>9978.0</v>
      </c>
      <c r="B132" s="269" t="s">
        <v>20</v>
      </c>
      <c r="C132" s="269" t="s">
        <v>11512</v>
      </c>
      <c r="D132" s="269" t="s">
        <v>11278</v>
      </c>
      <c r="E132" s="269" t="s">
        <v>11279</v>
      </c>
      <c r="F132" s="270"/>
      <c r="G132" s="270"/>
      <c r="H132" s="271" t="s">
        <v>11513</v>
      </c>
      <c r="I132" s="270"/>
      <c r="J132" s="270"/>
    </row>
    <row r="133">
      <c r="A133" s="272">
        <v>27483.0</v>
      </c>
      <c r="B133" s="269" t="s">
        <v>20</v>
      </c>
      <c r="C133" s="272" t="s">
        <v>797</v>
      </c>
      <c r="D133" s="269" t="s">
        <v>11278</v>
      </c>
      <c r="E133" s="269" t="s">
        <v>11514</v>
      </c>
      <c r="F133" s="270"/>
      <c r="G133" s="270"/>
      <c r="H133" s="271" t="s">
        <v>11515</v>
      </c>
      <c r="I133" s="270"/>
      <c r="J133" s="270"/>
    </row>
    <row r="134">
      <c r="A134" s="269">
        <v>9988.0</v>
      </c>
      <c r="B134" s="269" t="s">
        <v>20</v>
      </c>
      <c r="C134" s="269" t="s">
        <v>11516</v>
      </c>
      <c r="D134" s="269" t="s">
        <v>11278</v>
      </c>
      <c r="E134" s="269" t="s">
        <v>11279</v>
      </c>
      <c r="F134" s="270"/>
      <c r="G134" s="270"/>
      <c r="H134" s="271" t="s">
        <v>11517</v>
      </c>
      <c r="I134" s="270"/>
      <c r="J134" s="270"/>
    </row>
    <row r="135">
      <c r="A135" s="269">
        <v>9994.0</v>
      </c>
      <c r="B135" s="269" t="s">
        <v>20</v>
      </c>
      <c r="C135" s="269" t="s">
        <v>1417</v>
      </c>
      <c r="D135" s="269" t="s">
        <v>11278</v>
      </c>
      <c r="E135" s="269" t="s">
        <v>11279</v>
      </c>
      <c r="F135" s="270"/>
      <c r="G135" s="270"/>
      <c r="H135" s="271" t="s">
        <v>11518</v>
      </c>
      <c r="I135" s="270"/>
      <c r="J135" s="270"/>
    </row>
    <row r="136">
      <c r="A136" s="269">
        <v>9994.0</v>
      </c>
      <c r="B136" s="269" t="s">
        <v>20</v>
      </c>
      <c r="C136" s="269" t="s">
        <v>11519</v>
      </c>
      <c r="D136" s="269" t="s">
        <v>11278</v>
      </c>
      <c r="E136" s="269" t="s">
        <v>11279</v>
      </c>
      <c r="F136" s="270"/>
      <c r="G136" s="270"/>
      <c r="H136" s="271" t="s">
        <v>11520</v>
      </c>
      <c r="I136" s="270"/>
      <c r="J136" s="270"/>
    </row>
    <row r="137">
      <c r="A137" s="269">
        <v>10001.0</v>
      </c>
      <c r="B137" s="269" t="s">
        <v>20</v>
      </c>
      <c r="C137" s="269" t="s">
        <v>11521</v>
      </c>
      <c r="D137" s="269" t="s">
        <v>11278</v>
      </c>
      <c r="E137" s="269" t="s">
        <v>11279</v>
      </c>
      <c r="F137" s="270"/>
      <c r="G137" s="270"/>
      <c r="H137" s="271" t="s">
        <v>11314</v>
      </c>
      <c r="I137" s="270"/>
      <c r="J137" s="270"/>
    </row>
    <row r="138">
      <c r="A138" s="269">
        <v>10002.0</v>
      </c>
      <c r="B138" s="269" t="s">
        <v>20</v>
      </c>
      <c r="C138" s="269" t="s">
        <v>11522</v>
      </c>
      <c r="D138" s="269" t="s">
        <v>11278</v>
      </c>
      <c r="E138" s="269" t="s">
        <v>11279</v>
      </c>
      <c r="F138" s="270"/>
      <c r="G138" s="270"/>
      <c r="H138" s="271" t="s">
        <v>11523</v>
      </c>
      <c r="I138" s="270"/>
      <c r="J138" s="270"/>
    </row>
    <row r="139">
      <c r="A139" s="269">
        <v>10009.0</v>
      </c>
      <c r="B139" s="269" t="s">
        <v>20</v>
      </c>
      <c r="C139" s="269" t="s">
        <v>11524</v>
      </c>
      <c r="D139" s="269" t="s">
        <v>11278</v>
      </c>
      <c r="E139" s="269" t="s">
        <v>11279</v>
      </c>
      <c r="F139" s="270"/>
      <c r="G139" s="270"/>
      <c r="H139" s="271" t="s">
        <v>11525</v>
      </c>
      <c r="I139" s="270"/>
      <c r="J139" s="270"/>
    </row>
    <row r="140">
      <c r="A140" s="269">
        <v>10023.0</v>
      </c>
      <c r="B140" s="269" t="s">
        <v>20</v>
      </c>
      <c r="C140" s="269" t="s">
        <v>4478</v>
      </c>
      <c r="D140" s="269" t="s">
        <v>11278</v>
      </c>
      <c r="E140" s="269" t="s">
        <v>11279</v>
      </c>
      <c r="F140" s="270"/>
      <c r="G140" s="270"/>
      <c r="H140" s="271" t="s">
        <v>11391</v>
      </c>
      <c r="I140" s="270"/>
      <c r="J140" s="270"/>
    </row>
    <row r="141">
      <c r="A141" s="269">
        <v>10026.0</v>
      </c>
      <c r="B141" s="269" t="s">
        <v>20</v>
      </c>
      <c r="C141" s="269" t="s">
        <v>4106</v>
      </c>
      <c r="D141" s="269" t="s">
        <v>11278</v>
      </c>
      <c r="E141" s="269" t="s">
        <v>11279</v>
      </c>
      <c r="F141" s="270"/>
      <c r="G141" s="270"/>
      <c r="H141" s="271" t="s">
        <v>11526</v>
      </c>
      <c r="I141" s="270"/>
      <c r="J141" s="270"/>
    </row>
    <row r="142">
      <c r="A142" s="269">
        <v>10031.0</v>
      </c>
      <c r="B142" s="269" t="s">
        <v>20</v>
      </c>
      <c r="C142" s="269" t="s">
        <v>6913</v>
      </c>
      <c r="D142" s="269" t="s">
        <v>11278</v>
      </c>
      <c r="E142" s="269" t="s">
        <v>11279</v>
      </c>
      <c r="F142" s="270"/>
      <c r="G142" s="270"/>
      <c r="H142" s="271" t="s">
        <v>11527</v>
      </c>
      <c r="I142" s="270"/>
      <c r="J142" s="270"/>
    </row>
    <row r="143">
      <c r="A143" s="269">
        <v>10033.0</v>
      </c>
      <c r="B143" s="269" t="s">
        <v>20</v>
      </c>
      <c r="C143" s="269" t="s">
        <v>2782</v>
      </c>
      <c r="D143" s="269" t="s">
        <v>11278</v>
      </c>
      <c r="E143" s="269" t="s">
        <v>11279</v>
      </c>
      <c r="F143" s="270"/>
      <c r="G143" s="270"/>
      <c r="H143" s="271" t="s">
        <v>11528</v>
      </c>
      <c r="I143" s="270"/>
      <c r="J143" s="270"/>
    </row>
    <row r="144">
      <c r="A144" s="269">
        <v>10035.0</v>
      </c>
      <c r="B144" s="269" t="s">
        <v>20</v>
      </c>
      <c r="C144" s="269" t="s">
        <v>10825</v>
      </c>
      <c r="D144" s="269" t="s">
        <v>11278</v>
      </c>
      <c r="E144" s="269" t="s">
        <v>11279</v>
      </c>
      <c r="F144" s="270"/>
      <c r="G144" s="270"/>
      <c r="H144" s="271" t="s">
        <v>2431</v>
      </c>
      <c r="I144" s="270"/>
      <c r="J144" s="270"/>
    </row>
    <row r="145">
      <c r="A145" s="269">
        <v>10051.0</v>
      </c>
      <c r="B145" s="269" t="s">
        <v>20</v>
      </c>
      <c r="C145" s="269" t="s">
        <v>11529</v>
      </c>
      <c r="D145" s="269" t="s">
        <v>11278</v>
      </c>
      <c r="E145" s="269" t="s">
        <v>11279</v>
      </c>
      <c r="F145" s="270"/>
      <c r="G145" s="270"/>
      <c r="H145" s="271" t="s">
        <v>11530</v>
      </c>
      <c r="I145" s="270"/>
      <c r="J145" s="270"/>
    </row>
    <row r="146">
      <c r="A146" s="269">
        <v>10059.0</v>
      </c>
      <c r="B146" s="269" t="s">
        <v>20</v>
      </c>
      <c r="C146" s="269" t="s">
        <v>4055</v>
      </c>
      <c r="D146" s="269" t="s">
        <v>11278</v>
      </c>
      <c r="E146" s="269" t="s">
        <v>11279</v>
      </c>
      <c r="F146" s="270"/>
      <c r="G146" s="270"/>
      <c r="H146" s="271" t="s">
        <v>11531</v>
      </c>
      <c r="I146" s="270"/>
      <c r="J146" s="270"/>
    </row>
    <row r="147">
      <c r="A147" s="269">
        <v>10060.0</v>
      </c>
      <c r="B147" s="269" t="s">
        <v>20</v>
      </c>
      <c r="C147" s="269" t="s">
        <v>4240</v>
      </c>
      <c r="D147" s="269" t="s">
        <v>11278</v>
      </c>
      <c r="E147" s="269" t="s">
        <v>11279</v>
      </c>
      <c r="F147" s="270"/>
      <c r="G147" s="270"/>
      <c r="H147" s="271" t="s">
        <v>11532</v>
      </c>
      <c r="I147" s="270"/>
      <c r="J147" s="270"/>
    </row>
    <row r="148">
      <c r="A148" s="269">
        <v>10074.0</v>
      </c>
      <c r="B148" s="269" t="s">
        <v>20</v>
      </c>
      <c r="C148" s="269" t="s">
        <v>11533</v>
      </c>
      <c r="D148" s="269" t="s">
        <v>11278</v>
      </c>
      <c r="E148" s="269" t="s">
        <v>11279</v>
      </c>
      <c r="F148" s="270"/>
      <c r="G148" s="270"/>
      <c r="H148" s="271" t="s">
        <v>11534</v>
      </c>
      <c r="I148" s="270"/>
      <c r="J148" s="270"/>
    </row>
    <row r="149">
      <c r="A149" s="269">
        <v>10086.0</v>
      </c>
      <c r="B149" s="269" t="s">
        <v>20</v>
      </c>
      <c r="C149" s="269" t="s">
        <v>11535</v>
      </c>
      <c r="D149" s="269" t="s">
        <v>11278</v>
      </c>
      <c r="E149" s="269" t="s">
        <v>11299</v>
      </c>
      <c r="F149" s="270"/>
      <c r="G149" s="270"/>
      <c r="H149" s="271" t="s">
        <v>11536</v>
      </c>
      <c r="I149" s="270"/>
      <c r="J149" s="270"/>
    </row>
    <row r="150">
      <c r="A150" s="269">
        <v>10087.0</v>
      </c>
      <c r="B150" s="269" t="s">
        <v>20</v>
      </c>
      <c r="C150" s="269" t="s">
        <v>11537</v>
      </c>
      <c r="D150" s="269" t="s">
        <v>11278</v>
      </c>
      <c r="E150" s="269" t="s">
        <v>11323</v>
      </c>
      <c r="F150" s="270"/>
      <c r="G150" s="270"/>
      <c r="H150" s="271" t="s">
        <v>11538</v>
      </c>
      <c r="I150" s="270"/>
      <c r="J150" s="270"/>
    </row>
    <row r="151">
      <c r="A151" s="269">
        <v>18152.0</v>
      </c>
      <c r="B151" s="269" t="s">
        <v>20</v>
      </c>
      <c r="C151" s="269" t="s">
        <v>11539</v>
      </c>
      <c r="D151" s="269" t="s">
        <v>11278</v>
      </c>
      <c r="E151" s="269" t="s">
        <v>11540</v>
      </c>
      <c r="F151" s="270"/>
      <c r="G151" s="270"/>
      <c r="H151" s="279" t="s">
        <v>11541</v>
      </c>
      <c r="I151" s="270"/>
      <c r="J151" s="270"/>
    </row>
    <row r="152">
      <c r="A152" s="269">
        <v>18905.0</v>
      </c>
      <c r="B152" s="269" t="s">
        <v>20</v>
      </c>
      <c r="C152" s="269" t="s">
        <v>11542</v>
      </c>
      <c r="D152" s="269" t="s">
        <v>11278</v>
      </c>
      <c r="E152" s="269" t="s">
        <v>11279</v>
      </c>
      <c r="F152" s="270"/>
      <c r="G152" s="270"/>
      <c r="H152" s="271" t="s">
        <v>11543</v>
      </c>
      <c r="I152" s="270"/>
      <c r="J152" s="270"/>
    </row>
    <row r="153">
      <c r="A153" s="269">
        <v>19210.0</v>
      </c>
      <c r="B153" s="269" t="s">
        <v>20</v>
      </c>
      <c r="C153" s="269" t="s">
        <v>2707</v>
      </c>
      <c r="D153" s="269" t="s">
        <v>11278</v>
      </c>
      <c r="E153" s="269" t="s">
        <v>11514</v>
      </c>
      <c r="F153" s="270"/>
      <c r="G153" s="270"/>
      <c r="H153" s="271" t="s">
        <v>11544</v>
      </c>
      <c r="I153" s="270"/>
      <c r="J153" s="270"/>
    </row>
    <row r="154">
      <c r="A154" s="269">
        <v>19259.0</v>
      </c>
      <c r="B154" s="269" t="s">
        <v>20</v>
      </c>
      <c r="C154" s="269" t="s">
        <v>2889</v>
      </c>
      <c r="D154" s="269" t="s">
        <v>11278</v>
      </c>
      <c r="E154" s="269" t="s">
        <v>11437</v>
      </c>
      <c r="F154" s="270"/>
      <c r="G154" s="270"/>
      <c r="H154" s="271" t="s">
        <v>11545</v>
      </c>
      <c r="I154" s="270"/>
      <c r="J154" s="270"/>
    </row>
    <row r="155">
      <c r="A155" s="269">
        <v>19371.0</v>
      </c>
      <c r="B155" s="269" t="s">
        <v>20</v>
      </c>
      <c r="C155" s="269" t="s">
        <v>11546</v>
      </c>
      <c r="D155" s="269" t="s">
        <v>11278</v>
      </c>
      <c r="E155" s="269" t="s">
        <v>11279</v>
      </c>
      <c r="F155" s="270"/>
      <c r="G155" s="270"/>
      <c r="H155" s="271" t="s">
        <v>11547</v>
      </c>
      <c r="I155" s="270"/>
      <c r="J155" s="270"/>
    </row>
    <row r="156">
      <c r="A156" s="269">
        <v>19431.0</v>
      </c>
      <c r="B156" s="269" t="s">
        <v>20</v>
      </c>
      <c r="C156" s="269" t="s">
        <v>11548</v>
      </c>
      <c r="D156" s="269" t="s">
        <v>11278</v>
      </c>
      <c r="E156" s="269" t="s">
        <v>11279</v>
      </c>
      <c r="F156" s="270"/>
      <c r="G156" s="270"/>
      <c r="H156" s="280" t="s">
        <v>11549</v>
      </c>
      <c r="I156" s="270"/>
      <c r="J156" s="270"/>
    </row>
    <row r="157">
      <c r="A157" s="269">
        <v>19432.0</v>
      </c>
      <c r="B157" s="269" t="s">
        <v>20</v>
      </c>
      <c r="C157" s="269" t="s">
        <v>11550</v>
      </c>
      <c r="D157" s="269" t="s">
        <v>11278</v>
      </c>
      <c r="E157" s="269" t="s">
        <v>11279</v>
      </c>
      <c r="F157" s="270"/>
      <c r="G157" s="270"/>
      <c r="H157" s="271" t="s">
        <v>11551</v>
      </c>
      <c r="I157" s="270"/>
      <c r="J157" s="270"/>
    </row>
    <row r="158">
      <c r="A158" s="269">
        <v>19607.0</v>
      </c>
      <c r="B158" s="269" t="s">
        <v>20</v>
      </c>
      <c r="C158" s="269" t="s">
        <v>11552</v>
      </c>
      <c r="D158" s="269" t="s">
        <v>11278</v>
      </c>
      <c r="E158" s="269" t="s">
        <v>11553</v>
      </c>
      <c r="F158" s="270"/>
      <c r="G158" s="270"/>
      <c r="H158" s="271" t="s">
        <v>11554</v>
      </c>
      <c r="I158" s="270"/>
      <c r="J158" s="270"/>
    </row>
    <row r="159">
      <c r="A159" s="269">
        <v>19666.0</v>
      </c>
      <c r="B159" s="269" t="s">
        <v>20</v>
      </c>
      <c r="C159" s="269" t="s">
        <v>11555</v>
      </c>
      <c r="D159" s="269" t="s">
        <v>11278</v>
      </c>
      <c r="E159" s="269" t="s">
        <v>11556</v>
      </c>
      <c r="F159" s="270"/>
      <c r="G159" s="270"/>
      <c r="H159" s="271" t="s">
        <v>11557</v>
      </c>
      <c r="I159" s="270"/>
      <c r="J159" s="270"/>
    </row>
    <row r="160">
      <c r="A160" s="269">
        <v>19669.0</v>
      </c>
      <c r="B160" s="269" t="s">
        <v>20</v>
      </c>
      <c r="C160" s="269" t="s">
        <v>857</v>
      </c>
      <c r="D160" s="269" t="s">
        <v>11278</v>
      </c>
      <c r="E160" s="269" t="s">
        <v>11556</v>
      </c>
      <c r="F160" s="270"/>
      <c r="G160" s="270"/>
      <c r="H160" s="271" t="s">
        <v>11558</v>
      </c>
      <c r="I160" s="270"/>
      <c r="J160" s="270"/>
    </row>
    <row r="161">
      <c r="A161" s="269">
        <v>19900.0</v>
      </c>
      <c r="B161" s="269" t="s">
        <v>20</v>
      </c>
      <c r="C161" s="269" t="s">
        <v>11559</v>
      </c>
      <c r="D161" s="269" t="s">
        <v>11278</v>
      </c>
      <c r="E161" s="269" t="s">
        <v>11320</v>
      </c>
      <c r="F161" s="270"/>
      <c r="G161" s="270"/>
      <c r="H161" s="271" t="s">
        <v>11560</v>
      </c>
      <c r="I161" s="270"/>
      <c r="J161" s="270"/>
    </row>
    <row r="162">
      <c r="A162" s="269">
        <v>19901.0</v>
      </c>
      <c r="B162" s="269" t="s">
        <v>20</v>
      </c>
      <c r="C162" s="269" t="s">
        <v>11561</v>
      </c>
      <c r="D162" s="269" t="s">
        <v>11278</v>
      </c>
      <c r="E162" s="269" t="s">
        <v>11287</v>
      </c>
      <c r="F162" s="270"/>
      <c r="G162" s="270"/>
      <c r="H162" s="271" t="s">
        <v>11562</v>
      </c>
      <c r="I162" s="270"/>
      <c r="J162" s="270"/>
    </row>
    <row r="163">
      <c r="A163" s="269">
        <v>20103.0</v>
      </c>
      <c r="B163" s="269" t="s">
        <v>20</v>
      </c>
      <c r="C163" s="269" t="s">
        <v>3209</v>
      </c>
      <c r="D163" s="269" t="s">
        <v>11278</v>
      </c>
      <c r="E163" s="269" t="s">
        <v>11553</v>
      </c>
      <c r="F163" s="270"/>
      <c r="G163" s="270"/>
      <c r="H163" s="271" t="s">
        <v>11563</v>
      </c>
      <c r="I163" s="270"/>
      <c r="J163" s="270"/>
    </row>
    <row r="164">
      <c r="A164" s="269">
        <v>20142.0</v>
      </c>
      <c r="B164" s="269" t="s">
        <v>20</v>
      </c>
      <c r="C164" s="269" t="s">
        <v>11564</v>
      </c>
      <c r="D164" s="269" t="s">
        <v>11278</v>
      </c>
      <c r="E164" s="269" t="s">
        <v>11279</v>
      </c>
      <c r="F164" s="270"/>
      <c r="G164" s="270"/>
      <c r="H164" s="271" t="s">
        <v>11565</v>
      </c>
      <c r="I164" s="270"/>
      <c r="J164" s="270"/>
    </row>
    <row r="165">
      <c r="A165" s="269">
        <v>20405.0</v>
      </c>
      <c r="B165" s="269" t="s">
        <v>20</v>
      </c>
      <c r="C165" s="269" t="s">
        <v>11566</v>
      </c>
      <c r="D165" s="269" t="s">
        <v>11278</v>
      </c>
      <c r="E165" s="269" t="s">
        <v>11279</v>
      </c>
      <c r="F165" s="270"/>
      <c r="G165" s="270"/>
      <c r="H165" s="271" t="s">
        <v>11567</v>
      </c>
      <c r="I165" s="270"/>
      <c r="J165" s="270"/>
    </row>
    <row r="166">
      <c r="A166" s="269">
        <v>20502.0</v>
      </c>
      <c r="B166" s="269" t="s">
        <v>20</v>
      </c>
      <c r="C166" s="269" t="s">
        <v>3612</v>
      </c>
      <c r="D166" s="269" t="s">
        <v>11278</v>
      </c>
      <c r="E166" s="269" t="s">
        <v>11279</v>
      </c>
      <c r="F166" s="270"/>
      <c r="G166" s="270"/>
      <c r="H166" s="271" t="s">
        <v>11568</v>
      </c>
      <c r="I166" s="270"/>
      <c r="J166" s="270"/>
    </row>
    <row r="167">
      <c r="A167" s="269">
        <v>20881.0</v>
      </c>
      <c r="B167" s="269" t="s">
        <v>20</v>
      </c>
      <c r="C167" s="269" t="s">
        <v>11569</v>
      </c>
      <c r="D167" s="269" t="s">
        <v>11278</v>
      </c>
      <c r="E167" s="269" t="s">
        <v>11279</v>
      </c>
      <c r="F167" s="270"/>
      <c r="G167" s="270"/>
      <c r="H167" s="271" t="s">
        <v>11570</v>
      </c>
      <c r="I167" s="270"/>
      <c r="J167" s="270"/>
    </row>
    <row r="168">
      <c r="A168" s="269">
        <v>21294.0</v>
      </c>
      <c r="B168" s="269" t="s">
        <v>20</v>
      </c>
      <c r="C168" s="269" t="s">
        <v>698</v>
      </c>
      <c r="D168" s="269" t="s">
        <v>11278</v>
      </c>
      <c r="E168" s="269" t="s">
        <v>11279</v>
      </c>
      <c r="F168" s="270"/>
      <c r="G168" s="270"/>
      <c r="H168" s="271" t="s">
        <v>11386</v>
      </c>
      <c r="I168" s="270"/>
      <c r="J168" s="270"/>
    </row>
    <row r="169">
      <c r="A169" s="269">
        <v>21353.0</v>
      </c>
      <c r="B169" s="269" t="s">
        <v>20</v>
      </c>
      <c r="C169" s="269" t="s">
        <v>11571</v>
      </c>
      <c r="D169" s="269" t="s">
        <v>11278</v>
      </c>
      <c r="E169" s="269" t="s">
        <v>11441</v>
      </c>
      <c r="F169" s="270"/>
      <c r="G169" s="270"/>
      <c r="H169" s="271" t="s">
        <v>11572</v>
      </c>
      <c r="I169" s="270"/>
      <c r="J169" s="270"/>
    </row>
    <row r="170">
      <c r="A170" s="269">
        <v>21376.0</v>
      </c>
      <c r="B170" s="269" t="s">
        <v>20</v>
      </c>
      <c r="C170" s="269" t="s">
        <v>11573</v>
      </c>
      <c r="D170" s="269" t="s">
        <v>11278</v>
      </c>
      <c r="E170" s="269" t="s">
        <v>11279</v>
      </c>
      <c r="F170" s="270"/>
      <c r="G170" s="270"/>
      <c r="H170" s="271" t="s">
        <v>11574</v>
      </c>
      <c r="I170" s="270"/>
      <c r="J170" s="270"/>
    </row>
    <row r="171">
      <c r="A171" s="269">
        <v>21529.0</v>
      </c>
      <c r="B171" s="269" t="s">
        <v>20</v>
      </c>
      <c r="C171" s="269" t="s">
        <v>3625</v>
      </c>
      <c r="D171" s="269" t="s">
        <v>11278</v>
      </c>
      <c r="E171" s="269" t="s">
        <v>11347</v>
      </c>
      <c r="F171" s="270"/>
      <c r="G171" s="270"/>
      <c r="H171" s="271" t="s">
        <v>11575</v>
      </c>
      <c r="I171" s="270"/>
      <c r="J171" s="270"/>
    </row>
    <row r="172">
      <c r="A172" s="269">
        <v>21531.0</v>
      </c>
      <c r="B172" s="269" t="s">
        <v>20</v>
      </c>
      <c r="C172" s="269" t="s">
        <v>74</v>
      </c>
      <c r="D172" s="269" t="s">
        <v>11278</v>
      </c>
      <c r="E172" s="269" t="s">
        <v>74</v>
      </c>
      <c r="F172" s="270"/>
      <c r="G172" s="270"/>
      <c r="H172" s="271" t="s">
        <v>11576</v>
      </c>
      <c r="I172" s="270"/>
      <c r="J172" s="270"/>
    </row>
    <row r="173">
      <c r="A173" s="269">
        <v>21532.0</v>
      </c>
      <c r="B173" s="269" t="s">
        <v>20</v>
      </c>
      <c r="C173" s="269" t="s">
        <v>11577</v>
      </c>
      <c r="D173" s="269" t="s">
        <v>11278</v>
      </c>
      <c r="E173" s="269" t="s">
        <v>11578</v>
      </c>
      <c r="F173" s="270"/>
      <c r="G173" s="270"/>
      <c r="H173" s="271" t="s">
        <v>11579</v>
      </c>
      <c r="I173" s="270"/>
      <c r="J173" s="270"/>
    </row>
    <row r="174">
      <c r="A174" s="269">
        <v>21534.0</v>
      </c>
      <c r="B174" s="269" t="s">
        <v>20</v>
      </c>
      <c r="C174" s="269" t="s">
        <v>11580</v>
      </c>
      <c r="D174" s="269" t="s">
        <v>11278</v>
      </c>
      <c r="E174" s="269" t="s">
        <v>11296</v>
      </c>
      <c r="F174" s="270"/>
      <c r="G174" s="270"/>
      <c r="H174" s="271" t="s">
        <v>11375</v>
      </c>
      <c r="I174" s="270"/>
      <c r="J174" s="270"/>
    </row>
    <row r="175">
      <c r="A175" s="269">
        <v>21535.0</v>
      </c>
      <c r="B175" s="269" t="s">
        <v>20</v>
      </c>
      <c r="C175" s="269" t="s">
        <v>874</v>
      </c>
      <c r="D175" s="269" t="s">
        <v>11278</v>
      </c>
      <c r="E175" s="269" t="s">
        <v>11296</v>
      </c>
      <c r="F175" s="270"/>
      <c r="G175" s="270"/>
      <c r="H175" s="271" t="s">
        <v>11581</v>
      </c>
      <c r="I175" s="270"/>
      <c r="J175" s="270"/>
    </row>
    <row r="176">
      <c r="A176" s="269">
        <v>21562.0</v>
      </c>
      <c r="B176" s="269" t="s">
        <v>20</v>
      </c>
      <c r="C176" s="269" t="s">
        <v>11582</v>
      </c>
      <c r="D176" s="269" t="s">
        <v>11278</v>
      </c>
      <c r="E176" s="269" t="s">
        <v>11437</v>
      </c>
      <c r="F176" s="270"/>
      <c r="G176" s="270"/>
      <c r="H176" s="271" t="s">
        <v>11583</v>
      </c>
      <c r="I176" s="270"/>
      <c r="J176" s="270"/>
    </row>
    <row r="177">
      <c r="A177" s="269">
        <v>22087.0</v>
      </c>
      <c r="B177" s="269" t="s">
        <v>20</v>
      </c>
      <c r="C177" s="269" t="s">
        <v>74</v>
      </c>
      <c r="D177" s="269" t="s">
        <v>11278</v>
      </c>
      <c r="E177" s="269" t="s">
        <v>11296</v>
      </c>
      <c r="F177" s="270"/>
      <c r="G177" s="270"/>
      <c r="H177" s="271" t="s">
        <v>11584</v>
      </c>
      <c r="I177" s="270"/>
      <c r="J177" s="270"/>
    </row>
    <row r="178">
      <c r="A178" s="269">
        <v>22824.0</v>
      </c>
      <c r="B178" s="269" t="s">
        <v>20</v>
      </c>
      <c r="C178" s="269" t="s">
        <v>4084</v>
      </c>
      <c r="D178" s="269" t="s">
        <v>11278</v>
      </c>
      <c r="E178" s="269" t="s">
        <v>11320</v>
      </c>
      <c r="F178" s="270"/>
      <c r="G178" s="270"/>
      <c r="H178" s="270"/>
      <c r="I178" s="270"/>
      <c r="J178" s="271" t="s">
        <v>11585</v>
      </c>
    </row>
    <row r="179">
      <c r="A179" s="269">
        <v>22830.0</v>
      </c>
      <c r="B179" s="269" t="s">
        <v>20</v>
      </c>
      <c r="C179" s="269" t="s">
        <v>5461</v>
      </c>
      <c r="D179" s="269" t="s">
        <v>11278</v>
      </c>
      <c r="E179" s="269" t="s">
        <v>11279</v>
      </c>
      <c r="F179" s="270"/>
      <c r="G179" s="270"/>
      <c r="H179" s="271" t="s">
        <v>11518</v>
      </c>
      <c r="I179" s="270"/>
      <c r="J179" s="270"/>
    </row>
    <row r="180">
      <c r="A180" s="269">
        <v>22832.0</v>
      </c>
      <c r="B180" s="269" t="s">
        <v>20</v>
      </c>
      <c r="C180" s="269" t="s">
        <v>4139</v>
      </c>
      <c r="D180" s="269" t="s">
        <v>11278</v>
      </c>
      <c r="E180" s="269" t="s">
        <v>11279</v>
      </c>
      <c r="F180" s="270"/>
      <c r="G180" s="270"/>
      <c r="H180" s="271" t="s">
        <v>11586</v>
      </c>
      <c r="I180" s="270"/>
      <c r="J180" s="270"/>
    </row>
    <row r="181">
      <c r="A181" s="269">
        <v>22833.0</v>
      </c>
      <c r="B181" s="269" t="s">
        <v>20</v>
      </c>
      <c r="C181" s="269" t="s">
        <v>11587</v>
      </c>
      <c r="D181" s="269" t="s">
        <v>11278</v>
      </c>
      <c r="E181" s="269" t="s">
        <v>11299</v>
      </c>
      <c r="F181" s="270"/>
      <c r="G181" s="270"/>
      <c r="H181" s="271" t="s">
        <v>11588</v>
      </c>
      <c r="I181" s="270"/>
      <c r="J181" s="270"/>
    </row>
    <row r="182">
      <c r="A182" s="269">
        <v>22835.0</v>
      </c>
      <c r="B182" s="269" t="s">
        <v>20</v>
      </c>
      <c r="C182" s="269" t="s">
        <v>11589</v>
      </c>
      <c r="D182" s="269" t="s">
        <v>11278</v>
      </c>
      <c r="E182" s="269" t="s">
        <v>11279</v>
      </c>
      <c r="F182" s="270"/>
      <c r="G182" s="270"/>
      <c r="H182" s="271" t="s">
        <v>11590</v>
      </c>
      <c r="I182" s="270"/>
      <c r="J182" s="270"/>
    </row>
    <row r="183">
      <c r="A183" s="269">
        <v>23291.0</v>
      </c>
      <c r="B183" s="269" t="s">
        <v>20</v>
      </c>
      <c r="C183" s="269" t="s">
        <v>5525</v>
      </c>
      <c r="D183" s="269" t="s">
        <v>11278</v>
      </c>
      <c r="E183" s="269" t="s">
        <v>11296</v>
      </c>
      <c r="F183" s="270"/>
      <c r="G183" s="270"/>
      <c r="H183" s="271" t="s">
        <v>11591</v>
      </c>
      <c r="I183" s="270"/>
      <c r="J183" s="270"/>
    </row>
    <row r="184">
      <c r="A184" s="269">
        <v>23608.0</v>
      </c>
      <c r="B184" s="269" t="s">
        <v>20</v>
      </c>
      <c r="C184" s="269" t="s">
        <v>11592</v>
      </c>
      <c r="D184" s="269" t="s">
        <v>11278</v>
      </c>
      <c r="E184" s="269" t="s">
        <v>11279</v>
      </c>
      <c r="F184" s="270"/>
      <c r="G184" s="270"/>
      <c r="H184" s="271" t="s">
        <v>11549</v>
      </c>
      <c r="I184" s="270"/>
      <c r="J184" s="270"/>
    </row>
    <row r="185">
      <c r="A185" s="269">
        <v>23609.0</v>
      </c>
      <c r="B185" s="269" t="s">
        <v>20</v>
      </c>
      <c r="C185" s="269" t="s">
        <v>1257</v>
      </c>
      <c r="D185" s="269" t="s">
        <v>11278</v>
      </c>
      <c r="E185" s="269" t="s">
        <v>11279</v>
      </c>
      <c r="F185" s="270"/>
      <c r="G185" s="270"/>
      <c r="H185" s="271" t="s">
        <v>11593</v>
      </c>
      <c r="I185" s="270"/>
      <c r="J185" s="270"/>
    </row>
    <row r="186">
      <c r="A186" s="269">
        <v>23765.0</v>
      </c>
      <c r="B186" s="269" t="s">
        <v>20</v>
      </c>
      <c r="C186" s="269" t="s">
        <v>1473</v>
      </c>
      <c r="D186" s="269" t="s">
        <v>11278</v>
      </c>
      <c r="E186" s="269" t="s">
        <v>11279</v>
      </c>
      <c r="F186" s="270"/>
      <c r="G186" s="270"/>
      <c r="H186" s="271" t="s">
        <v>11594</v>
      </c>
      <c r="I186" s="270"/>
      <c r="J186" s="270"/>
    </row>
    <row r="187">
      <c r="A187" s="269">
        <v>23772.0</v>
      </c>
      <c r="B187" s="269" t="s">
        <v>20</v>
      </c>
      <c r="C187" s="269" t="s">
        <v>1420</v>
      </c>
      <c r="D187" s="269" t="s">
        <v>11278</v>
      </c>
      <c r="E187" s="269" t="s">
        <v>11279</v>
      </c>
      <c r="F187" s="270"/>
      <c r="G187" s="270"/>
      <c r="H187" s="271" t="s">
        <v>11458</v>
      </c>
      <c r="I187" s="270"/>
      <c r="J187" s="270"/>
    </row>
    <row r="188">
      <c r="A188" s="269">
        <v>23773.0</v>
      </c>
      <c r="B188" s="269" t="s">
        <v>20</v>
      </c>
      <c r="C188" s="269" t="s">
        <v>3592</v>
      </c>
      <c r="D188" s="269" t="s">
        <v>11278</v>
      </c>
      <c r="E188" s="269" t="s">
        <v>11279</v>
      </c>
      <c r="F188" s="270"/>
      <c r="G188" s="270"/>
      <c r="H188" s="271" t="s">
        <v>11595</v>
      </c>
      <c r="I188" s="270"/>
      <c r="J188" s="270"/>
    </row>
    <row r="189">
      <c r="A189" s="269">
        <v>23836.0</v>
      </c>
      <c r="B189" s="269" t="s">
        <v>20</v>
      </c>
      <c r="C189" s="269" t="s">
        <v>11596</v>
      </c>
      <c r="D189" s="269" t="s">
        <v>11278</v>
      </c>
      <c r="E189" s="269" t="s">
        <v>11556</v>
      </c>
      <c r="F189" s="270"/>
      <c r="G189" s="270"/>
      <c r="H189" s="271" t="s">
        <v>11597</v>
      </c>
      <c r="I189" s="270"/>
      <c r="J189" s="270"/>
    </row>
    <row r="190">
      <c r="A190" s="269">
        <v>23838.0</v>
      </c>
      <c r="B190" s="269" t="s">
        <v>20</v>
      </c>
      <c r="C190" s="269" t="s">
        <v>11598</v>
      </c>
      <c r="D190" s="269" t="s">
        <v>11278</v>
      </c>
      <c r="E190" s="269" t="s">
        <v>11279</v>
      </c>
      <c r="F190" s="270"/>
      <c r="G190" s="270"/>
      <c r="H190" s="271" t="s">
        <v>11599</v>
      </c>
      <c r="I190" s="270"/>
      <c r="J190" s="270"/>
    </row>
    <row r="191">
      <c r="A191" s="269">
        <v>24024.0</v>
      </c>
      <c r="B191" s="269" t="s">
        <v>20</v>
      </c>
      <c r="C191" s="269" t="s">
        <v>1975</v>
      </c>
      <c r="D191" s="269" t="s">
        <v>11278</v>
      </c>
      <c r="E191" s="269" t="s">
        <v>11600</v>
      </c>
      <c r="F191" s="270"/>
      <c r="G191" s="270"/>
      <c r="H191" s="271" t="s">
        <v>11467</v>
      </c>
      <c r="I191" s="270"/>
      <c r="J191" s="270"/>
    </row>
    <row r="192">
      <c r="A192" s="269">
        <v>24025.0</v>
      </c>
      <c r="B192" s="269" t="s">
        <v>20</v>
      </c>
      <c r="C192" s="269" t="s">
        <v>11601</v>
      </c>
      <c r="D192" s="269" t="s">
        <v>11278</v>
      </c>
      <c r="E192" s="269" t="s">
        <v>11279</v>
      </c>
      <c r="F192" s="270"/>
      <c r="G192" s="270"/>
      <c r="H192" s="271" t="s">
        <v>11520</v>
      </c>
      <c r="I192" s="270"/>
      <c r="J192" s="270"/>
    </row>
    <row r="193">
      <c r="A193" s="269">
        <v>24089.0</v>
      </c>
      <c r="B193" s="269" t="s">
        <v>20</v>
      </c>
      <c r="C193" s="269" t="s">
        <v>11602</v>
      </c>
      <c r="D193" s="269" t="s">
        <v>11278</v>
      </c>
      <c r="E193" s="269" t="s">
        <v>11437</v>
      </c>
      <c r="F193" s="270"/>
      <c r="G193" s="270"/>
      <c r="H193" s="271" t="s">
        <v>11603</v>
      </c>
      <c r="I193" s="270"/>
      <c r="J193" s="270"/>
    </row>
    <row r="194">
      <c r="A194" s="269">
        <v>24094.0</v>
      </c>
      <c r="B194" s="269" t="s">
        <v>20</v>
      </c>
      <c r="C194" s="269" t="s">
        <v>11604</v>
      </c>
      <c r="D194" s="269" t="s">
        <v>11278</v>
      </c>
      <c r="E194" s="269" t="s">
        <v>11605</v>
      </c>
      <c r="F194" s="270"/>
      <c r="G194" s="270"/>
      <c r="H194" s="271" t="s">
        <v>11606</v>
      </c>
      <c r="I194" s="270"/>
      <c r="J194" s="270"/>
    </row>
    <row r="195">
      <c r="A195" s="269">
        <v>24100.0</v>
      </c>
      <c r="B195" s="269" t="s">
        <v>20</v>
      </c>
      <c r="C195" s="269" t="s">
        <v>11607</v>
      </c>
      <c r="D195" s="269" t="s">
        <v>11278</v>
      </c>
      <c r="E195" s="269" t="s">
        <v>11284</v>
      </c>
      <c r="F195" s="270"/>
      <c r="G195" s="270"/>
      <c r="H195" s="271" t="s">
        <v>11608</v>
      </c>
      <c r="I195" s="270"/>
      <c r="J195" s="270"/>
    </row>
    <row r="196">
      <c r="A196" s="269">
        <v>24102.0</v>
      </c>
      <c r="B196" s="269" t="s">
        <v>20</v>
      </c>
      <c r="C196" s="269" t="s">
        <v>1417</v>
      </c>
      <c r="D196" s="269" t="s">
        <v>11278</v>
      </c>
      <c r="E196" s="278" t="s">
        <v>11284</v>
      </c>
      <c r="F196" s="270"/>
      <c r="G196" s="270"/>
      <c r="H196" s="271" t="s">
        <v>11609</v>
      </c>
      <c r="I196" s="270"/>
      <c r="J196" s="270"/>
    </row>
    <row r="197">
      <c r="A197" s="269">
        <v>24103.0</v>
      </c>
      <c r="B197" s="269" t="s">
        <v>20</v>
      </c>
      <c r="C197" s="269" t="s">
        <v>11610</v>
      </c>
      <c r="D197" s="269" t="s">
        <v>11278</v>
      </c>
      <c r="E197" s="269" t="s">
        <v>11279</v>
      </c>
      <c r="F197" s="270"/>
      <c r="G197" s="270"/>
      <c r="H197" s="271" t="s">
        <v>11611</v>
      </c>
      <c r="I197" s="270"/>
      <c r="J197" s="270"/>
    </row>
    <row r="198">
      <c r="A198" s="269">
        <v>24107.0</v>
      </c>
      <c r="B198" s="269" t="s">
        <v>20</v>
      </c>
      <c r="C198" s="269" t="s">
        <v>11612</v>
      </c>
      <c r="D198" s="269" t="s">
        <v>11278</v>
      </c>
      <c r="E198" s="269" t="s">
        <v>11482</v>
      </c>
      <c r="F198" s="270"/>
      <c r="G198" s="270"/>
      <c r="H198" s="271" t="s">
        <v>11613</v>
      </c>
      <c r="I198" s="270"/>
      <c r="J198" s="270"/>
    </row>
    <row r="199">
      <c r="A199" s="269">
        <v>24353.0</v>
      </c>
      <c r="B199" s="269" t="s">
        <v>20</v>
      </c>
      <c r="C199" s="269" t="s">
        <v>8611</v>
      </c>
      <c r="D199" s="269" t="s">
        <v>11278</v>
      </c>
      <c r="E199" s="269" t="s">
        <v>11514</v>
      </c>
      <c r="F199" s="270"/>
      <c r="G199" s="270"/>
      <c r="H199" s="271" t="s">
        <v>11614</v>
      </c>
      <c r="I199" s="270"/>
      <c r="J199" s="270"/>
    </row>
    <row r="200">
      <c r="A200" s="269">
        <v>24717.0</v>
      </c>
      <c r="B200" s="269" t="s">
        <v>20</v>
      </c>
      <c r="C200" s="269" t="s">
        <v>11615</v>
      </c>
      <c r="D200" s="269" t="s">
        <v>11278</v>
      </c>
      <c r="E200" s="269" t="s">
        <v>11616</v>
      </c>
      <c r="F200" s="270"/>
      <c r="G200" s="270"/>
      <c r="H200" s="271" t="s">
        <v>11617</v>
      </c>
      <c r="I200" s="270"/>
      <c r="J200" s="270"/>
    </row>
    <row r="201">
      <c r="A201" s="269">
        <v>24808.0</v>
      </c>
      <c r="B201" s="269" t="s">
        <v>20</v>
      </c>
      <c r="C201" s="269" t="s">
        <v>11618</v>
      </c>
      <c r="D201" s="269" t="s">
        <v>11278</v>
      </c>
      <c r="E201" s="269" t="s">
        <v>11279</v>
      </c>
      <c r="F201" s="270"/>
      <c r="G201" s="270"/>
      <c r="H201" s="271" t="s">
        <v>11619</v>
      </c>
      <c r="I201" s="270"/>
      <c r="J201" s="270"/>
    </row>
    <row r="202">
      <c r="A202" s="269">
        <v>25048.0</v>
      </c>
      <c r="B202" s="269" t="s">
        <v>20</v>
      </c>
      <c r="C202" s="269" t="s">
        <v>1378</v>
      </c>
      <c r="D202" s="269" t="s">
        <v>11278</v>
      </c>
      <c r="E202" s="269" t="s">
        <v>11454</v>
      </c>
      <c r="F202" s="270"/>
      <c r="G202" s="270"/>
      <c r="H202" s="271" t="s">
        <v>11620</v>
      </c>
      <c r="I202" s="270"/>
      <c r="J202" s="270"/>
    </row>
    <row r="203">
      <c r="A203" s="269">
        <v>26635.0</v>
      </c>
      <c r="B203" s="269" t="s">
        <v>20</v>
      </c>
      <c r="C203" s="269" t="s">
        <v>11621</v>
      </c>
      <c r="D203" s="269" t="s">
        <v>11278</v>
      </c>
      <c r="E203" s="269" t="s">
        <v>11622</v>
      </c>
      <c r="F203" s="270"/>
      <c r="G203" s="270"/>
      <c r="H203" s="271" t="s">
        <v>11623</v>
      </c>
      <c r="I203" s="270"/>
      <c r="J203" s="270"/>
    </row>
    <row r="204">
      <c r="A204" s="269">
        <v>26658.0</v>
      </c>
      <c r="B204" s="269" t="s">
        <v>20</v>
      </c>
      <c r="C204" s="269" t="s">
        <v>11624</v>
      </c>
      <c r="D204" s="269" t="s">
        <v>11278</v>
      </c>
      <c r="E204" s="269" t="s">
        <v>11279</v>
      </c>
      <c r="F204" s="270"/>
      <c r="G204" s="270"/>
      <c r="H204" s="271" t="s">
        <v>11625</v>
      </c>
      <c r="I204" s="270"/>
      <c r="J204" s="270"/>
    </row>
    <row r="205">
      <c r="A205" s="269">
        <v>27450.0</v>
      </c>
      <c r="B205" s="269" t="s">
        <v>20</v>
      </c>
      <c r="C205" s="269" t="s">
        <v>11626</v>
      </c>
      <c r="D205" s="269" t="s">
        <v>11278</v>
      </c>
      <c r="E205" s="269" t="s">
        <v>11600</v>
      </c>
      <c r="F205" s="270"/>
      <c r="G205" s="270"/>
      <c r="H205" s="271" t="s">
        <v>11627</v>
      </c>
      <c r="I205" s="270"/>
      <c r="J205" s="270"/>
    </row>
    <row r="206">
      <c r="A206" s="269">
        <v>27451.0</v>
      </c>
      <c r="B206" s="269" t="s">
        <v>20</v>
      </c>
      <c r="C206" s="269" t="s">
        <v>11628</v>
      </c>
      <c r="D206" s="269" t="s">
        <v>11278</v>
      </c>
      <c r="E206" s="269" t="s">
        <v>11600</v>
      </c>
      <c r="F206" s="270"/>
      <c r="G206" s="270"/>
      <c r="H206" s="271" t="s">
        <v>11629</v>
      </c>
      <c r="I206" s="270"/>
      <c r="J206" s="270"/>
    </row>
    <row r="207">
      <c r="A207" s="269">
        <v>27465.0</v>
      </c>
      <c r="B207" s="269" t="s">
        <v>20</v>
      </c>
      <c r="C207" s="269" t="s">
        <v>11630</v>
      </c>
      <c r="D207" s="269" t="s">
        <v>11278</v>
      </c>
      <c r="E207" s="269" t="s">
        <v>11600</v>
      </c>
      <c r="F207" s="270"/>
      <c r="G207" s="270"/>
      <c r="H207" s="271" t="s">
        <v>11631</v>
      </c>
      <c r="I207" s="270"/>
      <c r="J207" s="270"/>
    </row>
    <row r="208">
      <c r="A208" s="269">
        <v>27473.0</v>
      </c>
      <c r="B208" s="269" t="s">
        <v>20</v>
      </c>
      <c r="C208" s="269" t="s">
        <v>11632</v>
      </c>
      <c r="D208" s="269" t="s">
        <v>11278</v>
      </c>
      <c r="E208" s="269" t="s">
        <v>11616</v>
      </c>
      <c r="F208" s="270"/>
      <c r="G208" s="270"/>
      <c r="H208" s="271" t="s">
        <v>11633</v>
      </c>
      <c r="I208" s="270"/>
      <c r="J208" s="270"/>
    </row>
    <row r="209">
      <c r="C209" s="8" t="s">
        <v>11634</v>
      </c>
      <c r="D209" s="8" t="s">
        <v>11278</v>
      </c>
      <c r="E209" s="8" t="s">
        <v>11279</v>
      </c>
      <c r="J209" s="12" t="s">
        <v>11635</v>
      </c>
    </row>
    <row r="210">
      <c r="B210" s="8" t="s">
        <v>11636</v>
      </c>
      <c r="C210" s="21" t="s">
        <v>11637</v>
      </c>
      <c r="D210" s="8" t="s">
        <v>11278</v>
      </c>
      <c r="E210" s="8" t="s">
        <v>11279</v>
      </c>
      <c r="J210" s="12" t="s">
        <v>11638</v>
      </c>
    </row>
    <row r="211">
      <c r="B211" s="8" t="s">
        <v>17</v>
      </c>
      <c r="C211" s="8" t="s">
        <v>4733</v>
      </c>
      <c r="D211" s="8" t="s">
        <v>11278</v>
      </c>
      <c r="E211" s="8" t="s">
        <v>11279</v>
      </c>
      <c r="J211" s="12" t="s">
        <v>11639</v>
      </c>
    </row>
    <row r="212">
      <c r="B212" s="8" t="s">
        <v>301</v>
      </c>
      <c r="C212" s="118" t="s">
        <v>11640</v>
      </c>
      <c r="D212" s="8" t="s">
        <v>11641</v>
      </c>
      <c r="E212" s="8" t="s">
        <v>11279</v>
      </c>
      <c r="J212" s="12" t="s">
        <v>11642</v>
      </c>
    </row>
    <row r="213">
      <c r="B213" s="8" t="s">
        <v>20</v>
      </c>
      <c r="C213" s="8" t="s">
        <v>11643</v>
      </c>
      <c r="D213" s="8" t="s">
        <v>11278</v>
      </c>
      <c r="E213" s="8" t="s">
        <v>11279</v>
      </c>
      <c r="J213" s="12" t="s">
        <v>11644</v>
      </c>
    </row>
    <row r="214">
      <c r="B214" s="8" t="s">
        <v>20</v>
      </c>
      <c r="C214" s="8" t="s">
        <v>11645</v>
      </c>
      <c r="D214" s="8" t="s">
        <v>11278</v>
      </c>
      <c r="E214" s="8" t="s">
        <v>11279</v>
      </c>
      <c r="J214" s="12" t="s">
        <v>11646</v>
      </c>
    </row>
    <row r="215">
      <c r="B215" s="8" t="s">
        <v>102</v>
      </c>
      <c r="C215" s="8" t="s">
        <v>2052</v>
      </c>
      <c r="D215" s="8" t="s">
        <v>11278</v>
      </c>
      <c r="E215" s="8" t="s">
        <v>11279</v>
      </c>
      <c r="H215" s="9" t="s">
        <v>11345</v>
      </c>
      <c r="I215" s="12" t="s">
        <v>11647</v>
      </c>
      <c r="J215" s="12" t="s">
        <v>11648</v>
      </c>
    </row>
    <row r="216">
      <c r="B216" s="8" t="s">
        <v>17</v>
      </c>
      <c r="C216" s="8" t="s">
        <v>11649</v>
      </c>
      <c r="D216" s="8" t="s">
        <v>11278</v>
      </c>
      <c r="E216" s="8" t="s">
        <v>11279</v>
      </c>
      <c r="J216" s="12" t="s">
        <v>11650</v>
      </c>
    </row>
    <row r="217">
      <c r="B217" s="8" t="s">
        <v>20</v>
      </c>
      <c r="C217" s="8" t="s">
        <v>11651</v>
      </c>
      <c r="D217" s="8" t="s">
        <v>11278</v>
      </c>
      <c r="E217" s="8" t="s">
        <v>11279</v>
      </c>
      <c r="J217" s="12" t="s">
        <v>11652</v>
      </c>
    </row>
    <row r="218">
      <c r="B218" s="8" t="s">
        <v>20</v>
      </c>
      <c r="C218" s="8" t="s">
        <v>11653</v>
      </c>
      <c r="D218" s="8" t="s">
        <v>11278</v>
      </c>
      <c r="E218" s="8" t="s">
        <v>11279</v>
      </c>
      <c r="J218" s="12" t="s">
        <v>11654</v>
      </c>
    </row>
    <row r="219">
      <c r="B219" s="8" t="s">
        <v>276</v>
      </c>
      <c r="C219" s="8" t="s">
        <v>11655</v>
      </c>
      <c r="D219" s="8" t="s">
        <v>11641</v>
      </c>
      <c r="E219" s="8" t="s">
        <v>11510</v>
      </c>
      <c r="J219" s="12" t="s">
        <v>11656</v>
      </c>
    </row>
    <row r="220">
      <c r="B220" s="8" t="s">
        <v>17</v>
      </c>
      <c r="C220" s="8" t="s">
        <v>11657</v>
      </c>
      <c r="D220" s="8" t="s">
        <v>11278</v>
      </c>
      <c r="E220" s="8" t="s">
        <v>11279</v>
      </c>
      <c r="J220" s="12" t="s">
        <v>11658</v>
      </c>
    </row>
  </sheetData>
  <conditionalFormatting sqref="A1:T1">
    <cfRule type="notContainsBlanks" dxfId="0" priority="1">
      <formula>LEN(TRIM(A1))&gt;0</formula>
    </cfRule>
  </conditionalFormatting>
  <hyperlinks>
    <hyperlink r:id="rId1" ref="H2"/>
    <hyperlink r:id="rId2" ref="J2"/>
    <hyperlink r:id="rId3" ref="J3"/>
    <hyperlink r:id="rId4" ref="J4"/>
    <hyperlink r:id="rId5" ref="J5"/>
    <hyperlink r:id="rId6" ref="H6"/>
    <hyperlink r:id="rId7" ref="H7"/>
    <hyperlink r:id="rId8" ref="H8"/>
    <hyperlink r:id="rId9" ref="J8"/>
    <hyperlink r:id="rId10" ref="H9"/>
    <hyperlink r:id="rId11" ref="J9"/>
    <hyperlink r:id="rId12" ref="H10"/>
    <hyperlink r:id="rId13" ref="J10"/>
    <hyperlink r:id="rId14" ref="H11"/>
    <hyperlink r:id="rId15" ref="H12"/>
    <hyperlink r:id="rId16" ref="H13"/>
    <hyperlink r:id="rId17" ref="H14"/>
    <hyperlink r:id="rId18" ref="H15"/>
    <hyperlink r:id="rId19" ref="H16"/>
    <hyperlink r:id="rId20" ref="H17"/>
    <hyperlink r:id="rId21" ref="H18"/>
    <hyperlink r:id="rId22" ref="H19"/>
    <hyperlink r:id="rId23" ref="H20"/>
    <hyperlink r:id="rId24" ref="H21"/>
    <hyperlink r:id="rId25" ref="H22"/>
    <hyperlink r:id="rId26" ref="H23"/>
    <hyperlink r:id="rId27" ref="H24"/>
    <hyperlink r:id="rId28" ref="H25"/>
    <hyperlink r:id="rId29" ref="H26"/>
    <hyperlink r:id="rId30" ref="H27"/>
    <hyperlink r:id="rId31" ref="H28"/>
    <hyperlink r:id="rId32" ref="H29"/>
    <hyperlink r:id="rId33" ref="H30"/>
    <hyperlink r:id="rId34" ref="H31"/>
    <hyperlink r:id="rId35" ref="H32"/>
    <hyperlink r:id="rId36" ref="H33"/>
    <hyperlink r:id="rId37" ref="H34"/>
    <hyperlink r:id="rId38" ref="H35"/>
    <hyperlink r:id="rId39" ref="H36"/>
    <hyperlink r:id="rId40" ref="H37"/>
    <hyperlink r:id="rId41" ref="H38"/>
    <hyperlink r:id="rId42" ref="H39"/>
    <hyperlink r:id="rId43" ref="H40"/>
    <hyperlink r:id="rId44" ref="H41"/>
    <hyperlink r:id="rId45" ref="H42"/>
    <hyperlink r:id="rId46" ref="H43"/>
    <hyperlink r:id="rId47" ref="H44"/>
    <hyperlink r:id="rId48" ref="H45"/>
    <hyperlink r:id="rId49" ref="H46"/>
    <hyperlink r:id="rId50" ref="H47"/>
    <hyperlink r:id="rId51" ref="H48"/>
    <hyperlink r:id="rId52" ref="H49"/>
    <hyperlink r:id="rId53" ref="H50"/>
    <hyperlink r:id="rId54" ref="H51"/>
    <hyperlink r:id="rId55" ref="H52"/>
    <hyperlink r:id="rId56" ref="H53"/>
    <hyperlink r:id="rId57" ref="H54"/>
    <hyperlink r:id="rId58" ref="H55"/>
    <hyperlink r:id="rId59" ref="H56"/>
    <hyperlink r:id="rId60" ref="H57"/>
    <hyperlink r:id="rId61" ref="H58"/>
    <hyperlink r:id="rId62" ref="H59"/>
    <hyperlink r:id="rId63" ref="H60"/>
    <hyperlink r:id="rId64" ref="H61"/>
    <hyperlink r:id="rId65" ref="H62"/>
    <hyperlink r:id="rId66" ref="H63"/>
    <hyperlink r:id="rId67" ref="H64"/>
    <hyperlink r:id="rId68" ref="H65"/>
    <hyperlink r:id="rId69" ref="H66"/>
    <hyperlink r:id="rId70" ref="H67"/>
    <hyperlink r:id="rId71" ref="H68"/>
    <hyperlink r:id="rId72" ref="H69"/>
    <hyperlink r:id="rId73" ref="H70"/>
    <hyperlink r:id="rId74" ref="H71"/>
    <hyperlink r:id="rId75" ref="H72"/>
    <hyperlink r:id="rId76" ref="H73"/>
    <hyperlink r:id="rId77" ref="H74"/>
    <hyperlink r:id="rId78" ref="H75"/>
    <hyperlink r:id="rId79" ref="H76"/>
    <hyperlink r:id="rId80" ref="H77"/>
    <hyperlink r:id="rId81" ref="H78"/>
    <hyperlink r:id="rId82" ref="H79"/>
    <hyperlink r:id="rId83" ref="H80"/>
    <hyperlink r:id="rId84" ref="H81"/>
    <hyperlink r:id="rId85" ref="H82"/>
    <hyperlink r:id="rId86" ref="H83"/>
    <hyperlink r:id="rId87" ref="H84"/>
    <hyperlink r:id="rId88" ref="H85"/>
    <hyperlink r:id="rId89" ref="J86"/>
    <hyperlink r:id="rId90" ref="H87"/>
    <hyperlink r:id="rId91" ref="H88"/>
    <hyperlink r:id="rId92" ref="H89"/>
    <hyperlink r:id="rId93" ref="H90"/>
    <hyperlink r:id="rId94" ref="H91"/>
    <hyperlink r:id="rId95" ref="H92"/>
    <hyperlink r:id="rId96" ref="H93"/>
    <hyperlink r:id="rId97" ref="H94"/>
    <hyperlink r:id="rId98" ref="H95"/>
    <hyperlink r:id="rId99" ref="H96"/>
    <hyperlink r:id="rId100" ref="H97"/>
    <hyperlink r:id="rId101" ref="H98"/>
    <hyperlink r:id="rId102" ref="H99"/>
    <hyperlink r:id="rId103" ref="H100"/>
    <hyperlink r:id="rId104" ref="H101"/>
    <hyperlink r:id="rId105" ref="J102"/>
    <hyperlink r:id="rId106" ref="H103"/>
    <hyperlink r:id="rId107" ref="H104"/>
    <hyperlink r:id="rId108" ref="H105"/>
    <hyperlink r:id="rId109" ref="H106"/>
    <hyperlink r:id="rId110" ref="H107"/>
    <hyperlink r:id="rId111" ref="H108"/>
    <hyperlink r:id="rId112" ref="H109"/>
    <hyperlink r:id="rId113" ref="H110"/>
    <hyperlink r:id="rId114" ref="H111"/>
    <hyperlink r:id="rId115" ref="H112"/>
    <hyperlink r:id="rId116" ref="H113"/>
    <hyperlink r:id="rId117" ref="H114"/>
    <hyperlink r:id="rId118" ref="H115"/>
    <hyperlink r:id="rId119" ref="H116"/>
    <hyperlink r:id="rId120" ref="H117"/>
    <hyperlink r:id="rId121" ref="H118"/>
    <hyperlink r:id="rId122" ref="H119"/>
    <hyperlink r:id="rId123" ref="H120"/>
    <hyperlink r:id="rId124" ref="H121"/>
    <hyperlink r:id="rId125" ref="H122"/>
    <hyperlink r:id="rId126" ref="H123"/>
    <hyperlink r:id="rId127" ref="J124"/>
    <hyperlink r:id="rId128" ref="H125"/>
    <hyperlink r:id="rId129" ref="H126"/>
    <hyperlink r:id="rId130" ref="H127"/>
    <hyperlink r:id="rId131" ref="H128"/>
    <hyperlink r:id="rId132" ref="H129"/>
    <hyperlink r:id="rId133" ref="H130"/>
    <hyperlink r:id="rId134" ref="H131"/>
    <hyperlink r:id="rId135" ref="H132"/>
    <hyperlink r:id="rId136" ref="H133"/>
    <hyperlink r:id="rId137" ref="H134"/>
    <hyperlink r:id="rId138" ref="H135"/>
    <hyperlink r:id="rId139" ref="H136"/>
    <hyperlink r:id="rId140" ref="H137"/>
    <hyperlink r:id="rId141" ref="H138"/>
    <hyperlink r:id="rId142" ref="H139"/>
    <hyperlink r:id="rId143" ref="H140"/>
    <hyperlink r:id="rId144" ref="H141"/>
    <hyperlink r:id="rId145" ref="H142"/>
    <hyperlink r:id="rId146" ref="H143"/>
    <hyperlink r:id="rId147" ref="H144"/>
    <hyperlink r:id="rId148" ref="H145"/>
    <hyperlink r:id="rId149" ref="H146"/>
    <hyperlink r:id="rId150" ref="H147"/>
    <hyperlink r:id="rId151" ref="H148"/>
    <hyperlink r:id="rId152" ref="H149"/>
    <hyperlink r:id="rId153" ref="H150"/>
    <hyperlink r:id="rId154" ref="H151"/>
    <hyperlink r:id="rId155" ref="H152"/>
    <hyperlink r:id="rId156" ref="H153"/>
    <hyperlink r:id="rId157" ref="H154"/>
    <hyperlink r:id="rId158" ref="H155"/>
    <hyperlink r:id="rId159" ref="H156"/>
    <hyperlink r:id="rId160" ref="H157"/>
    <hyperlink r:id="rId161" ref="H158"/>
    <hyperlink r:id="rId162" ref="H159"/>
    <hyperlink r:id="rId163" ref="H160"/>
    <hyperlink r:id="rId164" ref="H161"/>
    <hyperlink r:id="rId165" ref="H162"/>
    <hyperlink r:id="rId166" ref="H163"/>
    <hyperlink r:id="rId167" ref="H164"/>
    <hyperlink r:id="rId168" ref="H165"/>
    <hyperlink r:id="rId169" ref="H166"/>
    <hyperlink r:id="rId170" ref="H167"/>
    <hyperlink r:id="rId171" ref="H168"/>
    <hyperlink r:id="rId172" ref="H169"/>
    <hyperlink r:id="rId173" ref="H170"/>
    <hyperlink r:id="rId174" ref="H171"/>
    <hyperlink r:id="rId175" ref="H172"/>
    <hyperlink r:id="rId176" ref="H173"/>
    <hyperlink r:id="rId177" ref="H174"/>
    <hyperlink r:id="rId178" ref="H175"/>
    <hyperlink r:id="rId179" ref="H176"/>
    <hyperlink r:id="rId180" ref="H177"/>
    <hyperlink r:id="rId181" ref="J178"/>
    <hyperlink r:id="rId182" ref="H179"/>
    <hyperlink r:id="rId183" ref="H180"/>
    <hyperlink r:id="rId184" ref="H181"/>
    <hyperlink r:id="rId185" ref="H182"/>
    <hyperlink r:id="rId186" ref="H183"/>
    <hyperlink r:id="rId187" ref="H184"/>
    <hyperlink r:id="rId188" ref="H185"/>
    <hyperlink r:id="rId189" ref="H186"/>
    <hyperlink r:id="rId190" ref="H187"/>
    <hyperlink r:id="rId191" ref="H188"/>
    <hyperlink r:id="rId192" ref="H189"/>
    <hyperlink r:id="rId193" ref="H190"/>
    <hyperlink r:id="rId194" ref="H191"/>
    <hyperlink r:id="rId195" ref="H192"/>
    <hyperlink r:id="rId196" ref="H193"/>
    <hyperlink r:id="rId197" ref="H194"/>
    <hyperlink r:id="rId198" ref="H195"/>
    <hyperlink r:id="rId199" ref="H196"/>
    <hyperlink r:id="rId200" ref="H197"/>
    <hyperlink r:id="rId201" ref="H198"/>
    <hyperlink r:id="rId202" ref="H199"/>
    <hyperlink r:id="rId203" ref="H200"/>
    <hyperlink r:id="rId204" ref="H201"/>
    <hyperlink r:id="rId205" ref="H202"/>
    <hyperlink r:id="rId206" ref="H203"/>
    <hyperlink r:id="rId207" ref="H204"/>
    <hyperlink r:id="rId208" ref="H205"/>
    <hyperlink r:id="rId209" ref="H206"/>
    <hyperlink r:id="rId210" ref="H207"/>
    <hyperlink r:id="rId211" ref="H208"/>
    <hyperlink r:id="rId212" ref="J209"/>
    <hyperlink r:id="rId213" ref="J210"/>
    <hyperlink r:id="rId214" ref="J211"/>
    <hyperlink r:id="rId215" ref="J212"/>
    <hyperlink r:id="rId216" ref="J213"/>
    <hyperlink r:id="rId217" ref="J214"/>
    <hyperlink r:id="rId218" ref="H215"/>
    <hyperlink r:id="rId219" ref="I215"/>
    <hyperlink r:id="rId220" ref="J215"/>
    <hyperlink r:id="rId221" ref="J216"/>
    <hyperlink r:id="rId222" ref="J217"/>
    <hyperlink r:id="rId223" ref="J218"/>
    <hyperlink r:id="rId224" ref="J219"/>
    <hyperlink r:id="rId225" ref="J220"/>
  </hyperlinks>
  <drawing r:id="rId22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4.63"/>
    <col customWidth="1" min="3" max="3" width="29.63"/>
    <col customWidth="1" min="4" max="4" width="4.5"/>
    <col customWidth="1" min="5" max="5" width="5.5"/>
    <col customWidth="1" min="6" max="6" width="4.13"/>
    <col customWidth="1" min="7" max="7" width="3.0"/>
    <col customWidth="1" min="8" max="8" width="46.5"/>
    <col customWidth="1" min="9" max="9" width="25.38"/>
    <col customWidth="1" min="10" max="10" width="32.0"/>
  </cols>
  <sheetData>
    <row r="1">
      <c r="A1" s="8" t="s">
        <v>19</v>
      </c>
      <c r="B1" s="4" t="s">
        <v>1</v>
      </c>
      <c r="C1" s="4" t="s">
        <v>2</v>
      </c>
      <c r="D1" s="4" t="s">
        <v>3</v>
      </c>
      <c r="E1" s="2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3567</v>
      </c>
      <c r="K1" s="4" t="s">
        <v>10</v>
      </c>
      <c r="L1" s="4" t="s">
        <v>3568</v>
      </c>
      <c r="M1" s="4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</row>
    <row r="2">
      <c r="A2" s="37">
        <v>8169.0</v>
      </c>
      <c r="B2" s="8" t="s">
        <v>20</v>
      </c>
      <c r="C2" s="11" t="s">
        <v>7424</v>
      </c>
      <c r="D2" s="11" t="s">
        <v>11659</v>
      </c>
      <c r="E2" s="49" t="s">
        <v>11660</v>
      </c>
      <c r="F2" s="8"/>
      <c r="G2" s="8"/>
      <c r="H2" s="12" t="s">
        <v>11661</v>
      </c>
      <c r="I2" s="281" t="s">
        <v>11662</v>
      </c>
      <c r="J2" s="12" t="s">
        <v>11663</v>
      </c>
    </row>
    <row r="3">
      <c r="A3" s="100">
        <v>8659.0</v>
      </c>
      <c r="B3" s="8" t="s">
        <v>20</v>
      </c>
      <c r="C3" s="11" t="s">
        <v>11664</v>
      </c>
      <c r="D3" s="11" t="s">
        <v>11659</v>
      </c>
      <c r="E3" s="49" t="s">
        <v>11660</v>
      </c>
      <c r="H3" s="258"/>
      <c r="J3" s="12" t="s">
        <v>11665</v>
      </c>
    </row>
    <row r="4">
      <c r="A4" s="37">
        <v>8659.0</v>
      </c>
      <c r="B4" s="8" t="s">
        <v>20</v>
      </c>
      <c r="C4" s="11" t="s">
        <v>11664</v>
      </c>
      <c r="D4" s="11" t="s">
        <v>11659</v>
      </c>
      <c r="E4" s="49" t="s">
        <v>11660</v>
      </c>
      <c r="J4" s="12" t="s">
        <v>11666</v>
      </c>
    </row>
    <row r="5">
      <c r="A5" s="37">
        <v>17765.0</v>
      </c>
      <c r="B5" s="8" t="s">
        <v>20</v>
      </c>
      <c r="C5" s="11" t="s">
        <v>1975</v>
      </c>
      <c r="D5" s="11" t="s">
        <v>11659</v>
      </c>
      <c r="E5" s="49" t="s">
        <v>11660</v>
      </c>
      <c r="F5" s="8"/>
      <c r="G5" s="8"/>
      <c r="J5" s="9" t="s">
        <v>11667</v>
      </c>
    </row>
    <row r="6">
      <c r="A6" s="37">
        <v>18275.0</v>
      </c>
      <c r="B6" s="8" t="s">
        <v>720</v>
      </c>
      <c r="C6" s="11" t="s">
        <v>7317</v>
      </c>
      <c r="D6" s="11" t="s">
        <v>11659</v>
      </c>
      <c r="E6" s="49" t="s">
        <v>11660</v>
      </c>
      <c r="F6" s="8"/>
      <c r="G6" s="8"/>
      <c r="H6" s="282" t="s">
        <v>11668</v>
      </c>
    </row>
    <row r="7">
      <c r="A7" s="37">
        <v>18648.0</v>
      </c>
      <c r="B7" s="8" t="s">
        <v>20</v>
      </c>
      <c r="C7" s="11" t="s">
        <v>11669</v>
      </c>
      <c r="D7" s="11" t="s">
        <v>11659</v>
      </c>
      <c r="E7" s="49" t="s">
        <v>11660</v>
      </c>
      <c r="F7" s="8"/>
      <c r="G7" s="8"/>
      <c r="H7" s="282" t="s">
        <v>11670</v>
      </c>
      <c r="I7" s="12" t="s">
        <v>11671</v>
      </c>
      <c r="J7" s="258"/>
    </row>
    <row r="8">
      <c r="A8" s="37">
        <v>18651.0</v>
      </c>
      <c r="B8" s="8" t="s">
        <v>20</v>
      </c>
      <c r="C8" s="11" t="s">
        <v>3592</v>
      </c>
      <c r="D8" s="11" t="s">
        <v>11659</v>
      </c>
      <c r="E8" s="49" t="s">
        <v>11660</v>
      </c>
      <c r="H8" s="283" t="s">
        <v>11672</v>
      </c>
      <c r="J8" s="258"/>
    </row>
    <row r="9">
      <c r="A9" s="37">
        <v>8324.0</v>
      </c>
      <c r="B9" s="8" t="s">
        <v>720</v>
      </c>
      <c r="C9" s="11" t="s">
        <v>11673</v>
      </c>
      <c r="D9" s="11" t="s">
        <v>11659</v>
      </c>
      <c r="E9" s="49" t="s">
        <v>11674</v>
      </c>
      <c r="F9" s="8"/>
      <c r="G9" s="8"/>
      <c r="H9" s="283" t="s">
        <v>11675</v>
      </c>
    </row>
    <row r="10">
      <c r="A10" s="37">
        <v>18646.0</v>
      </c>
      <c r="B10" s="8" t="s">
        <v>20</v>
      </c>
      <c r="C10" s="11" t="s">
        <v>1280</v>
      </c>
      <c r="D10" s="11" t="s">
        <v>11659</v>
      </c>
      <c r="E10" s="49" t="s">
        <v>11674</v>
      </c>
      <c r="F10" s="8"/>
      <c r="G10" s="8"/>
      <c r="H10" s="283" t="s">
        <v>11676</v>
      </c>
      <c r="I10" s="9" t="s">
        <v>11677</v>
      </c>
      <c r="J10" s="12" t="s">
        <v>11678</v>
      </c>
    </row>
    <row r="11">
      <c r="A11" s="37">
        <v>8141.0</v>
      </c>
      <c r="B11" s="8" t="s">
        <v>20</v>
      </c>
      <c r="C11" s="11" t="s">
        <v>11679</v>
      </c>
      <c r="D11" s="8" t="s">
        <v>11659</v>
      </c>
      <c r="E11" s="49" t="s">
        <v>11659</v>
      </c>
      <c r="H11" s="283" t="s">
        <v>11680</v>
      </c>
    </row>
    <row r="12">
      <c r="A12" s="37">
        <v>8159.0</v>
      </c>
      <c r="B12" s="8" t="s">
        <v>20</v>
      </c>
      <c r="C12" s="11" t="s">
        <v>4970</v>
      </c>
      <c r="D12" s="8" t="s">
        <v>11659</v>
      </c>
      <c r="E12" s="49" t="s">
        <v>11659</v>
      </c>
      <c r="H12" s="283" t="s">
        <v>11681</v>
      </c>
    </row>
    <row r="13">
      <c r="A13" s="37">
        <v>8166.0</v>
      </c>
      <c r="B13" s="8" t="s">
        <v>20</v>
      </c>
      <c r="C13" s="11" t="s">
        <v>11682</v>
      </c>
      <c r="D13" s="11" t="s">
        <v>11659</v>
      </c>
      <c r="E13" s="49" t="s">
        <v>11659</v>
      </c>
      <c r="H13" s="283" t="s">
        <v>11683</v>
      </c>
      <c r="I13" s="9" t="s">
        <v>11684</v>
      </c>
      <c r="J13" s="12" t="s">
        <v>11685</v>
      </c>
    </row>
    <row r="14">
      <c r="A14" s="37">
        <v>8198.0</v>
      </c>
      <c r="B14" s="8" t="s">
        <v>276</v>
      </c>
      <c r="C14" s="11" t="s">
        <v>11686</v>
      </c>
      <c r="D14" s="11" t="s">
        <v>11659</v>
      </c>
      <c r="E14" s="49" t="s">
        <v>11659</v>
      </c>
      <c r="H14" s="283" t="s">
        <v>11687</v>
      </c>
      <c r="I14" s="284" t="s">
        <v>11688</v>
      </c>
    </row>
    <row r="15">
      <c r="A15" s="37">
        <v>8301.0</v>
      </c>
      <c r="B15" s="8" t="s">
        <v>20</v>
      </c>
      <c r="C15" s="11" t="s">
        <v>11689</v>
      </c>
      <c r="D15" s="11" t="s">
        <v>11659</v>
      </c>
      <c r="E15" s="49" t="s">
        <v>11659</v>
      </c>
      <c r="J15" s="12" t="s">
        <v>11690</v>
      </c>
    </row>
    <row r="16">
      <c r="A16" s="100">
        <v>8333.0</v>
      </c>
      <c r="B16" s="8" t="s">
        <v>20</v>
      </c>
      <c r="C16" s="11" t="s">
        <v>1248</v>
      </c>
      <c r="D16" s="11" t="s">
        <v>11659</v>
      </c>
      <c r="E16" s="49" t="s">
        <v>11659</v>
      </c>
      <c r="F16" s="285"/>
      <c r="G16" s="285"/>
      <c r="H16" s="258"/>
      <c r="J16" s="9" t="s">
        <v>11691</v>
      </c>
    </row>
    <row r="17">
      <c r="A17" s="37">
        <v>8365.0</v>
      </c>
      <c r="B17" s="8" t="s">
        <v>20</v>
      </c>
      <c r="C17" s="11" t="s">
        <v>3662</v>
      </c>
      <c r="D17" s="11" t="s">
        <v>11659</v>
      </c>
      <c r="E17" s="49" t="s">
        <v>11659</v>
      </c>
      <c r="H17" s="283" t="s">
        <v>11692</v>
      </c>
    </row>
    <row r="18">
      <c r="A18" s="37">
        <v>8399.0</v>
      </c>
      <c r="B18" s="8" t="s">
        <v>20</v>
      </c>
      <c r="C18" s="11" t="s">
        <v>11693</v>
      </c>
      <c r="D18" s="11" t="s">
        <v>11659</v>
      </c>
      <c r="E18" s="49" t="s">
        <v>11659</v>
      </c>
      <c r="F18" s="8"/>
      <c r="G18" s="8"/>
      <c r="I18" s="9" t="s">
        <v>11694</v>
      </c>
    </row>
    <row r="19">
      <c r="A19" s="37">
        <v>8572.0</v>
      </c>
      <c r="B19" s="8" t="s">
        <v>20</v>
      </c>
      <c r="C19" s="11" t="s">
        <v>11695</v>
      </c>
      <c r="D19" s="11" t="s">
        <v>11659</v>
      </c>
      <c r="E19" s="49" t="s">
        <v>11659</v>
      </c>
      <c r="F19" s="8"/>
      <c r="G19" s="8"/>
      <c r="H19" s="258"/>
    </row>
    <row r="20">
      <c r="A20" s="37">
        <v>8572.0</v>
      </c>
      <c r="B20" s="8" t="s">
        <v>20</v>
      </c>
      <c r="C20" s="11" t="s">
        <v>11695</v>
      </c>
      <c r="D20" s="11" t="s">
        <v>11659</v>
      </c>
      <c r="E20" s="49" t="s">
        <v>11659</v>
      </c>
      <c r="F20" s="8"/>
      <c r="G20" s="8"/>
      <c r="H20" s="282" t="s">
        <v>11696</v>
      </c>
    </row>
    <row r="21">
      <c r="A21" s="37">
        <v>8650.0</v>
      </c>
      <c r="B21" s="8" t="s">
        <v>20</v>
      </c>
      <c r="C21" s="11" t="s">
        <v>11697</v>
      </c>
      <c r="D21" s="11" t="s">
        <v>11659</v>
      </c>
      <c r="E21" s="49" t="s">
        <v>11659</v>
      </c>
      <c r="H21" s="12" t="s">
        <v>11698</v>
      </c>
      <c r="J21" s="12" t="s">
        <v>11699</v>
      </c>
    </row>
    <row r="22">
      <c r="A22" s="37">
        <v>8683.0</v>
      </c>
      <c r="B22" s="8" t="s">
        <v>20</v>
      </c>
      <c r="C22" s="11" t="s">
        <v>11700</v>
      </c>
      <c r="D22" s="11" t="s">
        <v>11659</v>
      </c>
      <c r="E22" s="49" t="s">
        <v>11659</v>
      </c>
      <c r="H22" s="283" t="s">
        <v>11701</v>
      </c>
      <c r="I22" s="258"/>
      <c r="J22" s="12" t="s">
        <v>11702</v>
      </c>
    </row>
    <row r="23">
      <c r="A23" s="100">
        <v>8703.0</v>
      </c>
      <c r="B23" s="8" t="s">
        <v>20</v>
      </c>
      <c r="C23" s="11" t="s">
        <v>963</v>
      </c>
      <c r="D23" s="11" t="s">
        <v>11659</v>
      </c>
      <c r="E23" s="49" t="s">
        <v>11659</v>
      </c>
      <c r="H23" s="286" t="s">
        <v>11703</v>
      </c>
      <c r="I23" s="287"/>
      <c r="J23" s="12" t="s">
        <v>11704</v>
      </c>
    </row>
    <row r="24">
      <c r="A24" s="37">
        <v>8717.0</v>
      </c>
      <c r="B24" s="8"/>
      <c r="C24" s="11" t="s">
        <v>11705</v>
      </c>
      <c r="D24" s="11" t="s">
        <v>11659</v>
      </c>
      <c r="E24" s="49" t="s">
        <v>11659</v>
      </c>
      <c r="F24" s="8"/>
      <c r="G24" s="8"/>
      <c r="J24" s="281" t="s">
        <v>11706</v>
      </c>
    </row>
    <row r="25">
      <c r="A25" s="37">
        <v>8769.0</v>
      </c>
      <c r="B25" s="8" t="s">
        <v>20</v>
      </c>
      <c r="C25" s="11" t="s">
        <v>5653</v>
      </c>
      <c r="D25" s="11" t="s">
        <v>11659</v>
      </c>
      <c r="E25" s="49" t="s">
        <v>11659</v>
      </c>
      <c r="F25" s="8"/>
      <c r="G25" s="8"/>
      <c r="H25" s="283" t="s">
        <v>11707</v>
      </c>
      <c r="J25" s="243"/>
    </row>
    <row r="26">
      <c r="A26" s="37">
        <v>8774.0</v>
      </c>
      <c r="B26" s="8" t="s">
        <v>20</v>
      </c>
      <c r="C26" s="11" t="s">
        <v>11708</v>
      </c>
      <c r="D26" s="11" t="s">
        <v>11659</v>
      </c>
      <c r="E26" s="49" t="s">
        <v>11659</v>
      </c>
      <c r="H26" s="283" t="s">
        <v>11709</v>
      </c>
      <c r="J26" s="258"/>
    </row>
    <row r="27">
      <c r="A27" s="37">
        <v>17774.0</v>
      </c>
      <c r="B27" s="8" t="s">
        <v>20</v>
      </c>
      <c r="C27" s="11" t="s">
        <v>1189</v>
      </c>
      <c r="D27" s="11" t="s">
        <v>11659</v>
      </c>
      <c r="E27" s="49" t="s">
        <v>11659</v>
      </c>
      <c r="F27" s="8"/>
      <c r="G27" s="8"/>
      <c r="J27" s="12" t="s">
        <v>11710</v>
      </c>
      <c r="S27" s="37" t="s">
        <v>318</v>
      </c>
    </row>
    <row r="28">
      <c r="A28" s="37">
        <v>19132.0</v>
      </c>
      <c r="B28" s="8" t="s">
        <v>720</v>
      </c>
      <c r="C28" s="11" t="s">
        <v>11711</v>
      </c>
      <c r="D28" s="11" t="s">
        <v>11659</v>
      </c>
      <c r="E28" s="49" t="s">
        <v>11659</v>
      </c>
      <c r="H28" s="283" t="s">
        <v>11712</v>
      </c>
      <c r="I28" s="12" t="s">
        <v>11713</v>
      </c>
      <c r="J28" s="9" t="s">
        <v>11714</v>
      </c>
    </row>
    <row r="29">
      <c r="A29" s="37">
        <v>19133.0</v>
      </c>
      <c r="B29" s="8" t="s">
        <v>20</v>
      </c>
      <c r="C29" s="11" t="s">
        <v>8055</v>
      </c>
      <c r="D29" s="11" t="s">
        <v>11659</v>
      </c>
      <c r="E29" s="49" t="s">
        <v>11659</v>
      </c>
      <c r="H29" s="283" t="s">
        <v>11715</v>
      </c>
      <c r="I29" s="12" t="s">
        <v>11716</v>
      </c>
      <c r="J29" s="12" t="s">
        <v>11717</v>
      </c>
    </row>
    <row r="30">
      <c r="A30" s="100">
        <v>19136.0</v>
      </c>
      <c r="B30" s="8" t="s">
        <v>20</v>
      </c>
      <c r="C30" s="11" t="s">
        <v>11718</v>
      </c>
      <c r="D30" s="11" t="s">
        <v>11659</v>
      </c>
      <c r="E30" s="49" t="s">
        <v>11659</v>
      </c>
      <c r="H30" s="258"/>
      <c r="J30" s="12" t="s">
        <v>11719</v>
      </c>
    </row>
    <row r="31">
      <c r="A31" s="37">
        <v>19295.0</v>
      </c>
      <c r="B31" s="8" t="s">
        <v>20</v>
      </c>
      <c r="C31" s="11" t="s">
        <v>74</v>
      </c>
      <c r="D31" s="11" t="s">
        <v>11659</v>
      </c>
      <c r="E31" s="49" t="s">
        <v>11659</v>
      </c>
      <c r="H31" s="283" t="s">
        <v>11720</v>
      </c>
      <c r="J31" s="12" t="s">
        <v>11721</v>
      </c>
    </row>
    <row r="32">
      <c r="A32" s="100">
        <v>19422.0</v>
      </c>
      <c r="B32" s="8" t="s">
        <v>20</v>
      </c>
      <c r="C32" s="11" t="s">
        <v>11722</v>
      </c>
      <c r="D32" s="11" t="s">
        <v>11659</v>
      </c>
      <c r="E32" s="49" t="s">
        <v>11659</v>
      </c>
      <c r="H32" s="283" t="s">
        <v>11723</v>
      </c>
      <c r="I32" s="12" t="s">
        <v>11724</v>
      </c>
    </row>
    <row r="33">
      <c r="A33" s="37">
        <v>21332.0</v>
      </c>
      <c r="B33" s="8" t="s">
        <v>20</v>
      </c>
      <c r="C33" s="11" t="s">
        <v>11725</v>
      </c>
      <c r="D33" s="11" t="s">
        <v>11659</v>
      </c>
      <c r="E33" s="49" t="s">
        <v>11659</v>
      </c>
      <c r="J33" s="12" t="s">
        <v>11726</v>
      </c>
    </row>
    <row r="34">
      <c r="A34" s="100">
        <v>22109.0</v>
      </c>
      <c r="B34" s="8" t="s">
        <v>20</v>
      </c>
      <c r="C34" s="11" t="s">
        <v>11727</v>
      </c>
      <c r="D34" s="11" t="s">
        <v>11659</v>
      </c>
      <c r="E34" s="49" t="s">
        <v>11659</v>
      </c>
      <c r="H34" s="283" t="s">
        <v>11728</v>
      </c>
      <c r="I34" s="12" t="s">
        <v>11729</v>
      </c>
    </row>
    <row r="35">
      <c r="A35" s="37">
        <v>22110.0</v>
      </c>
      <c r="B35" s="8" t="s">
        <v>20</v>
      </c>
      <c r="C35" s="11" t="s">
        <v>735</v>
      </c>
      <c r="D35" s="11" t="s">
        <v>11659</v>
      </c>
      <c r="E35" s="49" t="s">
        <v>11659</v>
      </c>
      <c r="H35" s="283" t="s">
        <v>11730</v>
      </c>
      <c r="I35" s="284" t="s">
        <v>11731</v>
      </c>
    </row>
    <row r="36">
      <c r="A36" s="37">
        <v>23305.0</v>
      </c>
      <c r="B36" s="8" t="s">
        <v>20</v>
      </c>
      <c r="C36" s="11" t="s">
        <v>4055</v>
      </c>
      <c r="D36" s="11" t="s">
        <v>11659</v>
      </c>
      <c r="E36" s="49" t="s">
        <v>11659</v>
      </c>
      <c r="F36" s="8"/>
      <c r="G36" s="8"/>
      <c r="H36" s="283" t="s">
        <v>11732</v>
      </c>
      <c r="I36" s="258"/>
      <c r="J36" s="288"/>
    </row>
    <row r="37">
      <c r="A37" s="100">
        <v>23308.0</v>
      </c>
      <c r="B37" s="8" t="s">
        <v>20</v>
      </c>
      <c r="C37" s="11" t="s">
        <v>5407</v>
      </c>
      <c r="D37" s="11" t="s">
        <v>11659</v>
      </c>
      <c r="E37" s="49" t="s">
        <v>11659</v>
      </c>
      <c r="H37" s="289"/>
      <c r="J37" s="284" t="s">
        <v>11733</v>
      </c>
    </row>
    <row r="38">
      <c r="A38" s="100">
        <v>23442.0</v>
      </c>
      <c r="B38" s="8" t="s">
        <v>20</v>
      </c>
      <c r="C38" s="11" t="s">
        <v>5602</v>
      </c>
      <c r="D38" s="11" t="s">
        <v>11659</v>
      </c>
      <c r="E38" s="49" t="s">
        <v>11659</v>
      </c>
      <c r="H38" s="283" t="s">
        <v>4429</v>
      </c>
      <c r="J38" s="9" t="s">
        <v>11734</v>
      </c>
    </row>
    <row r="39">
      <c r="A39" s="37">
        <v>25346.0</v>
      </c>
      <c r="B39" s="8" t="s">
        <v>20</v>
      </c>
      <c r="C39" s="11" t="s">
        <v>11735</v>
      </c>
      <c r="D39" s="11" t="s">
        <v>11659</v>
      </c>
      <c r="E39" s="49" t="s">
        <v>11659</v>
      </c>
      <c r="I39" s="258"/>
      <c r="J39" s="12" t="s">
        <v>11736</v>
      </c>
    </row>
    <row r="40">
      <c r="A40" s="100">
        <v>25349.0</v>
      </c>
      <c r="B40" s="8" t="s">
        <v>20</v>
      </c>
      <c r="C40" s="11" t="s">
        <v>3172</v>
      </c>
      <c r="D40" s="11" t="s">
        <v>11659</v>
      </c>
      <c r="E40" s="11" t="s">
        <v>11659</v>
      </c>
      <c r="H40" s="258"/>
      <c r="J40" s="12" t="s">
        <v>11737</v>
      </c>
    </row>
    <row r="41">
      <c r="A41" s="100">
        <v>25354.0</v>
      </c>
      <c r="B41" s="8" t="s">
        <v>20</v>
      </c>
      <c r="C41" s="11" t="s">
        <v>3209</v>
      </c>
      <c r="D41" s="11" t="s">
        <v>11659</v>
      </c>
      <c r="E41" s="11" t="s">
        <v>11659</v>
      </c>
      <c r="J41" s="12" t="s">
        <v>11738</v>
      </c>
    </row>
    <row r="42">
      <c r="A42" s="100">
        <v>25360.0</v>
      </c>
      <c r="B42" s="8" t="s">
        <v>20</v>
      </c>
      <c r="C42" s="11" t="s">
        <v>11739</v>
      </c>
      <c r="D42" s="11" t="s">
        <v>11659</v>
      </c>
      <c r="E42" s="11" t="s">
        <v>11659</v>
      </c>
      <c r="H42" s="283" t="s">
        <v>11740</v>
      </c>
      <c r="I42" s="284" t="s">
        <v>11741</v>
      </c>
      <c r="J42" s="290" t="s">
        <v>11742</v>
      </c>
    </row>
    <row r="43">
      <c r="A43" s="100">
        <v>25362.0</v>
      </c>
      <c r="B43" s="8" t="s">
        <v>20</v>
      </c>
      <c r="C43" s="11" t="s">
        <v>3612</v>
      </c>
      <c r="D43" s="11" t="s">
        <v>11659</v>
      </c>
      <c r="E43" s="11" t="s">
        <v>11659</v>
      </c>
      <c r="F43" s="53"/>
      <c r="G43" s="53"/>
      <c r="H43" s="286" t="s">
        <v>11743</v>
      </c>
    </row>
    <row r="44">
      <c r="A44" s="100">
        <v>25364.0</v>
      </c>
      <c r="B44" s="8" t="s">
        <v>720</v>
      </c>
      <c r="C44" s="11" t="s">
        <v>11744</v>
      </c>
      <c r="D44" s="11" t="s">
        <v>11659</v>
      </c>
      <c r="E44" s="11" t="s">
        <v>11659</v>
      </c>
      <c r="H44" s="286" t="s">
        <v>11745</v>
      </c>
      <c r="I44" s="12" t="s">
        <v>11746</v>
      </c>
      <c r="J44" s="291" t="s">
        <v>11747</v>
      </c>
    </row>
    <row r="45">
      <c r="A45" s="100">
        <v>25366.0</v>
      </c>
      <c r="B45" s="8" t="s">
        <v>20</v>
      </c>
      <c r="C45" s="11" t="s">
        <v>871</v>
      </c>
      <c r="D45" s="11" t="s">
        <v>11659</v>
      </c>
      <c r="E45" s="11" t="s">
        <v>11659</v>
      </c>
      <c r="H45" s="286" t="s">
        <v>11748</v>
      </c>
      <c r="I45" s="258"/>
      <c r="J45" s="258"/>
    </row>
    <row r="46">
      <c r="A46" s="100">
        <v>25648.0</v>
      </c>
      <c r="B46" s="8" t="s">
        <v>20</v>
      </c>
      <c r="C46" s="11" t="s">
        <v>11749</v>
      </c>
      <c r="D46" s="11" t="s">
        <v>11659</v>
      </c>
      <c r="E46" s="11" t="s">
        <v>11659</v>
      </c>
      <c r="H46" s="283" t="s">
        <v>11750</v>
      </c>
      <c r="I46" s="12" t="s">
        <v>11751</v>
      </c>
      <c r="J46" s="56"/>
    </row>
    <row r="47">
      <c r="A47" s="100">
        <v>26342.0</v>
      </c>
      <c r="B47" s="8" t="s">
        <v>20</v>
      </c>
      <c r="C47" s="11" t="s">
        <v>11752</v>
      </c>
      <c r="D47" s="11" t="s">
        <v>11659</v>
      </c>
      <c r="E47" s="11" t="s">
        <v>11659</v>
      </c>
      <c r="H47" s="283" t="s">
        <v>11753</v>
      </c>
      <c r="J47" s="287"/>
    </row>
    <row r="48">
      <c r="A48" s="100">
        <v>26347.0</v>
      </c>
      <c r="B48" s="8" t="s">
        <v>20</v>
      </c>
      <c r="C48" s="11" t="s">
        <v>10079</v>
      </c>
      <c r="D48" s="11" t="s">
        <v>11659</v>
      </c>
      <c r="E48" s="11" t="s">
        <v>11659</v>
      </c>
      <c r="F48" s="8"/>
      <c r="G48" s="8"/>
      <c r="H48" s="286" t="s">
        <v>11754</v>
      </c>
      <c r="I48" s="9" t="s">
        <v>11755</v>
      </c>
      <c r="J48" s="258"/>
    </row>
    <row r="49">
      <c r="A49" s="100">
        <v>26357.0</v>
      </c>
      <c r="B49" s="8" t="s">
        <v>20</v>
      </c>
      <c r="C49" s="11" t="s">
        <v>4214</v>
      </c>
      <c r="D49" s="11" t="s">
        <v>11659</v>
      </c>
      <c r="E49" s="11" t="s">
        <v>11659</v>
      </c>
      <c r="H49" s="283" t="s">
        <v>11756</v>
      </c>
      <c r="I49" s="12" t="s">
        <v>11757</v>
      </c>
    </row>
    <row r="50">
      <c r="A50" s="100">
        <v>30402.0</v>
      </c>
      <c r="B50" s="8" t="s">
        <v>20</v>
      </c>
      <c r="C50" s="11" t="s">
        <v>8159</v>
      </c>
      <c r="D50" s="11" t="s">
        <v>11659</v>
      </c>
      <c r="E50" s="11" t="s">
        <v>11659</v>
      </c>
      <c r="I50" s="292"/>
      <c r="J50" s="9" t="s">
        <v>11758</v>
      </c>
    </row>
    <row r="51">
      <c r="A51" s="100"/>
      <c r="B51" s="8" t="s">
        <v>20</v>
      </c>
      <c r="C51" s="11" t="s">
        <v>3615</v>
      </c>
      <c r="D51" s="11" t="s">
        <v>11659</v>
      </c>
      <c r="E51" s="11" t="s">
        <v>11659</v>
      </c>
      <c r="H51" s="283" t="s">
        <v>11759</v>
      </c>
      <c r="I51" s="288"/>
    </row>
    <row r="52">
      <c r="A52" s="37">
        <v>18650.0</v>
      </c>
      <c r="B52" s="8" t="s">
        <v>20</v>
      </c>
      <c r="C52" s="11" t="s">
        <v>4084</v>
      </c>
      <c r="D52" s="11" t="s">
        <v>11659</v>
      </c>
      <c r="E52" s="49" t="s">
        <v>11760</v>
      </c>
      <c r="H52" s="283" t="s">
        <v>11761</v>
      </c>
    </row>
    <row r="53">
      <c r="B53" s="8" t="s">
        <v>20</v>
      </c>
      <c r="C53" s="11" t="s">
        <v>9079</v>
      </c>
      <c r="D53" s="11" t="s">
        <v>11659</v>
      </c>
      <c r="E53" s="49" t="s">
        <v>11659</v>
      </c>
      <c r="J53" s="12" t="s">
        <v>11762</v>
      </c>
    </row>
    <row r="54">
      <c r="B54" s="8" t="s">
        <v>20</v>
      </c>
      <c r="C54" s="11" t="s">
        <v>9130</v>
      </c>
      <c r="D54" s="11" t="s">
        <v>11659</v>
      </c>
      <c r="E54" s="49" t="s">
        <v>11659</v>
      </c>
      <c r="I54" s="258"/>
      <c r="J54" s="293" t="s">
        <v>11726</v>
      </c>
    </row>
    <row r="55">
      <c r="B55" s="8" t="s">
        <v>20</v>
      </c>
      <c r="C55" s="11" t="s">
        <v>2172</v>
      </c>
      <c r="D55" s="11" t="s">
        <v>11659</v>
      </c>
      <c r="E55" s="49" t="s">
        <v>11659</v>
      </c>
      <c r="H55" s="283" t="s">
        <v>11763</v>
      </c>
      <c r="J55" s="294"/>
    </row>
    <row r="56">
      <c r="B56" s="8" t="s">
        <v>20</v>
      </c>
      <c r="C56" s="11" t="s">
        <v>6579</v>
      </c>
      <c r="D56" s="11" t="s">
        <v>11659</v>
      </c>
      <c r="E56" s="49" t="s">
        <v>11659</v>
      </c>
      <c r="H56" s="283" t="s">
        <v>11764</v>
      </c>
    </row>
    <row r="57">
      <c r="A57" s="100"/>
      <c r="B57" s="8" t="s">
        <v>20</v>
      </c>
      <c r="C57" s="11" t="s">
        <v>11058</v>
      </c>
      <c r="D57" s="11" t="s">
        <v>11659</v>
      </c>
      <c r="E57" s="49" t="s">
        <v>11659</v>
      </c>
      <c r="H57" s="283" t="s">
        <v>11765</v>
      </c>
      <c r="J57" s="56"/>
    </row>
    <row r="58">
      <c r="A58" s="100"/>
      <c r="B58" s="8" t="s">
        <v>4161</v>
      </c>
      <c r="C58" s="11" t="s">
        <v>3009</v>
      </c>
      <c r="D58" s="11" t="s">
        <v>11659</v>
      </c>
      <c r="E58" s="49" t="s">
        <v>11659</v>
      </c>
      <c r="H58" s="283" t="s">
        <v>11766</v>
      </c>
      <c r="J58" s="288"/>
    </row>
    <row r="59">
      <c r="A59" s="100"/>
      <c r="B59" s="8" t="s">
        <v>720</v>
      </c>
      <c r="C59" s="11" t="s">
        <v>11767</v>
      </c>
      <c r="D59" s="11" t="s">
        <v>11659</v>
      </c>
      <c r="E59" s="49" t="s">
        <v>11674</v>
      </c>
      <c r="F59" s="287"/>
      <c r="G59" s="287"/>
      <c r="H59" s="283" t="s">
        <v>11768</v>
      </c>
    </row>
    <row r="60">
      <c r="A60" s="100"/>
      <c r="B60" s="8" t="s">
        <v>20</v>
      </c>
      <c r="C60" s="11" t="s">
        <v>74</v>
      </c>
      <c r="D60" s="11" t="s">
        <v>11659</v>
      </c>
      <c r="E60" s="49" t="s">
        <v>11769</v>
      </c>
      <c r="H60" s="283" t="s">
        <v>11770</v>
      </c>
      <c r="I60" s="12" t="s">
        <v>11771</v>
      </c>
    </row>
    <row r="61">
      <c r="B61" s="8" t="s">
        <v>20</v>
      </c>
      <c r="C61" s="11" t="s">
        <v>11772</v>
      </c>
      <c r="D61" s="11" t="s">
        <v>11659</v>
      </c>
      <c r="E61" s="49" t="s">
        <v>11659</v>
      </c>
      <c r="I61" s="12" t="s">
        <v>11773</v>
      </c>
    </row>
    <row r="62">
      <c r="A62" s="100"/>
      <c r="B62" s="8" t="s">
        <v>20</v>
      </c>
      <c r="C62" s="11" t="s">
        <v>11774</v>
      </c>
      <c r="D62" s="11" t="s">
        <v>11659</v>
      </c>
      <c r="E62" s="49" t="s">
        <v>11659</v>
      </c>
      <c r="H62" s="283" t="s">
        <v>11775</v>
      </c>
      <c r="I62" s="12" t="s">
        <v>11776</v>
      </c>
    </row>
    <row r="63">
      <c r="A63" s="100"/>
      <c r="B63" s="8" t="s">
        <v>20</v>
      </c>
      <c r="C63" s="11" t="s">
        <v>4478</v>
      </c>
      <c r="D63" s="11" t="s">
        <v>11659</v>
      </c>
      <c r="E63" s="11" t="s">
        <v>11660</v>
      </c>
      <c r="H63" s="283" t="s">
        <v>11777</v>
      </c>
      <c r="J63" s="12" t="s">
        <v>11778</v>
      </c>
    </row>
    <row r="64">
      <c r="B64" s="8" t="s">
        <v>20</v>
      </c>
      <c r="C64" s="11" t="s">
        <v>11779</v>
      </c>
      <c r="D64" s="11" t="s">
        <v>11659</v>
      </c>
      <c r="E64" s="49" t="s">
        <v>11769</v>
      </c>
      <c r="G64" s="37">
        <v>1.0</v>
      </c>
      <c r="H64" s="37" t="s">
        <v>11780</v>
      </c>
      <c r="I64" s="12" t="s">
        <v>11781</v>
      </c>
    </row>
    <row r="65">
      <c r="A65" s="100"/>
      <c r="B65" s="8" t="s">
        <v>20</v>
      </c>
      <c r="C65" s="11" t="s">
        <v>11782</v>
      </c>
      <c r="D65" s="11" t="s">
        <v>11659</v>
      </c>
      <c r="E65" s="49" t="s">
        <v>11659</v>
      </c>
      <c r="H65" s="286" t="s">
        <v>11783</v>
      </c>
    </row>
    <row r="66">
      <c r="B66" s="8" t="s">
        <v>20</v>
      </c>
      <c r="C66" s="8" t="s">
        <v>6769</v>
      </c>
      <c r="D66" s="11" t="s">
        <v>11659</v>
      </c>
      <c r="E66" s="49" t="s">
        <v>11659</v>
      </c>
      <c r="H66" s="283" t="s">
        <v>11784</v>
      </c>
    </row>
    <row r="67">
      <c r="A67" s="100"/>
      <c r="B67" s="8" t="s">
        <v>20</v>
      </c>
      <c r="C67" s="11" t="s">
        <v>11785</v>
      </c>
      <c r="D67" s="11" t="s">
        <v>11659</v>
      </c>
      <c r="E67" s="11" t="s">
        <v>11659</v>
      </c>
      <c r="G67" s="37">
        <v>1.0</v>
      </c>
      <c r="H67" s="258" t="s">
        <v>11786</v>
      </c>
      <c r="I67" s="12" t="s">
        <v>11787</v>
      </c>
    </row>
    <row r="68">
      <c r="B68" s="8" t="s">
        <v>276</v>
      </c>
      <c r="C68" s="8" t="s">
        <v>11788</v>
      </c>
      <c r="D68" s="11" t="s">
        <v>11659</v>
      </c>
      <c r="E68" s="49" t="s">
        <v>11659</v>
      </c>
      <c r="F68" s="8"/>
      <c r="G68" s="8"/>
      <c r="H68" s="283" t="s">
        <v>11789</v>
      </c>
    </row>
    <row r="69">
      <c r="B69" s="8" t="s">
        <v>20</v>
      </c>
      <c r="C69" s="11" t="s">
        <v>666</v>
      </c>
      <c r="D69" s="11" t="s">
        <v>11659</v>
      </c>
      <c r="E69" s="49" t="s">
        <v>11659</v>
      </c>
      <c r="J69" s="12" t="s">
        <v>11790</v>
      </c>
    </row>
    <row r="70">
      <c r="B70" s="8" t="s">
        <v>20</v>
      </c>
      <c r="C70" s="11" t="s">
        <v>8055</v>
      </c>
      <c r="D70" s="11" t="s">
        <v>11659</v>
      </c>
      <c r="E70" s="49" t="s">
        <v>11769</v>
      </c>
      <c r="H70" s="283" t="s">
        <v>11791</v>
      </c>
    </row>
    <row r="71">
      <c r="B71" s="8" t="s">
        <v>20</v>
      </c>
      <c r="C71" s="8" t="s">
        <v>1009</v>
      </c>
      <c r="D71" s="11" t="s">
        <v>11659</v>
      </c>
      <c r="E71" s="49" t="s">
        <v>11659</v>
      </c>
      <c r="H71" s="283" t="s">
        <v>11792</v>
      </c>
    </row>
    <row r="72">
      <c r="B72" s="8" t="s">
        <v>20</v>
      </c>
      <c r="C72" s="11" t="s">
        <v>11793</v>
      </c>
      <c r="D72" s="11" t="s">
        <v>11659</v>
      </c>
      <c r="E72" s="49" t="s">
        <v>11659</v>
      </c>
      <c r="H72" s="283" t="s">
        <v>11794</v>
      </c>
      <c r="J72" s="12" t="s">
        <v>11795</v>
      </c>
    </row>
    <row r="73">
      <c r="B73" s="8" t="s">
        <v>20</v>
      </c>
      <c r="C73" s="11" t="s">
        <v>11796</v>
      </c>
      <c r="D73" s="11" t="s">
        <v>11659</v>
      </c>
      <c r="E73" s="49" t="s">
        <v>11659</v>
      </c>
      <c r="G73" s="37">
        <v>1.0</v>
      </c>
      <c r="H73" s="283" t="s">
        <v>11797</v>
      </c>
    </row>
    <row r="74">
      <c r="B74" s="8" t="s">
        <v>20</v>
      </c>
      <c r="C74" s="11" t="s">
        <v>11798</v>
      </c>
      <c r="D74" s="11" t="s">
        <v>11659</v>
      </c>
      <c r="E74" s="49" t="s">
        <v>11659</v>
      </c>
      <c r="G74" s="37">
        <v>1.0</v>
      </c>
      <c r="H74" s="283" t="s">
        <v>11799</v>
      </c>
    </row>
    <row r="75">
      <c r="B75" s="8" t="s">
        <v>20</v>
      </c>
      <c r="C75" s="8" t="s">
        <v>11800</v>
      </c>
      <c r="D75" s="11" t="s">
        <v>11659</v>
      </c>
      <c r="E75" s="49" t="s">
        <v>11659</v>
      </c>
      <c r="H75" s="283" t="s">
        <v>11801</v>
      </c>
    </row>
    <row r="76">
      <c r="B76" s="8" t="s">
        <v>276</v>
      </c>
      <c r="C76" s="8" t="s">
        <v>5628</v>
      </c>
      <c r="D76" s="11" t="s">
        <v>11659</v>
      </c>
      <c r="E76" s="49" t="s">
        <v>11659</v>
      </c>
      <c r="H76" s="283" t="s">
        <v>11802</v>
      </c>
      <c r="I76" s="258"/>
      <c r="J76" s="258"/>
    </row>
    <row r="77">
      <c r="A77" s="100"/>
      <c r="B77" s="8" t="s">
        <v>20</v>
      </c>
      <c r="C77" s="11" t="s">
        <v>1234</v>
      </c>
      <c r="D77" s="11" t="s">
        <v>11659</v>
      </c>
      <c r="E77" s="11" t="s">
        <v>11659</v>
      </c>
      <c r="G77" s="37">
        <v>1.0</v>
      </c>
      <c r="H77" s="283" t="s">
        <v>11803</v>
      </c>
    </row>
    <row r="78">
      <c r="A78" s="100"/>
      <c r="B78" s="8" t="s">
        <v>20</v>
      </c>
      <c r="C78" s="11" t="s">
        <v>9659</v>
      </c>
      <c r="D78" s="11" t="s">
        <v>11659</v>
      </c>
      <c r="E78" s="49" t="s">
        <v>11659</v>
      </c>
      <c r="H78" s="283" t="s">
        <v>11804</v>
      </c>
    </row>
    <row r="79">
      <c r="A79" s="100"/>
      <c r="B79" s="8" t="s">
        <v>20</v>
      </c>
      <c r="C79" s="11" t="s">
        <v>11805</v>
      </c>
      <c r="D79" s="11" t="s">
        <v>11659</v>
      </c>
      <c r="E79" s="49" t="s">
        <v>11659</v>
      </c>
      <c r="H79" s="283" t="s">
        <v>11806</v>
      </c>
      <c r="I79" s="258"/>
    </row>
    <row r="80">
      <c r="B80" s="8" t="s">
        <v>20</v>
      </c>
      <c r="C80" s="8" t="s">
        <v>963</v>
      </c>
      <c r="D80" s="11" t="s">
        <v>11659</v>
      </c>
      <c r="E80" s="49" t="s">
        <v>11659</v>
      </c>
      <c r="H80" s="283" t="s">
        <v>11807</v>
      </c>
      <c r="I80" s="12" t="s">
        <v>11808</v>
      </c>
    </row>
    <row r="81">
      <c r="B81" s="8" t="s">
        <v>20</v>
      </c>
      <c r="C81" s="11" t="s">
        <v>11809</v>
      </c>
      <c r="D81" s="11" t="s">
        <v>11659</v>
      </c>
      <c r="E81" s="49" t="s">
        <v>11659</v>
      </c>
      <c r="F81" s="53" t="s">
        <v>11810</v>
      </c>
      <c r="G81" s="53"/>
      <c r="H81" s="283" t="s">
        <v>11811</v>
      </c>
      <c r="J81" s="259" t="s">
        <v>11812</v>
      </c>
      <c r="L81" s="258"/>
    </row>
    <row r="82">
      <c r="A82" s="100"/>
      <c r="B82" s="8" t="s">
        <v>20</v>
      </c>
      <c r="C82" s="11" t="s">
        <v>11813</v>
      </c>
      <c r="D82" s="11" t="s">
        <v>11659</v>
      </c>
      <c r="E82" s="11" t="s">
        <v>11769</v>
      </c>
      <c r="I82" s="12" t="s">
        <v>11814</v>
      </c>
      <c r="J82" s="262"/>
    </row>
    <row r="83">
      <c r="A83" s="100"/>
      <c r="B83" s="8" t="s">
        <v>20</v>
      </c>
      <c r="C83" s="11" t="s">
        <v>11815</v>
      </c>
      <c r="D83" s="11" t="s">
        <v>11659</v>
      </c>
      <c r="E83" s="11" t="s">
        <v>11659</v>
      </c>
      <c r="J83" s="12" t="s">
        <v>11816</v>
      </c>
    </row>
    <row r="84">
      <c r="B84" s="8" t="s">
        <v>20</v>
      </c>
      <c r="C84" s="8" t="s">
        <v>11817</v>
      </c>
      <c r="D84" s="11" t="s">
        <v>11659</v>
      </c>
      <c r="E84" s="49" t="s">
        <v>11659</v>
      </c>
      <c r="H84" s="283" t="s">
        <v>11818</v>
      </c>
      <c r="I84" s="12" t="s">
        <v>11819</v>
      </c>
      <c r="J84" s="12" t="s">
        <v>11820</v>
      </c>
    </row>
    <row r="85">
      <c r="A85" s="100"/>
      <c r="B85" s="8" t="s">
        <v>20</v>
      </c>
      <c r="C85" s="11" t="s">
        <v>11821</v>
      </c>
      <c r="D85" s="11" t="s">
        <v>11659</v>
      </c>
      <c r="E85" s="11" t="s">
        <v>11769</v>
      </c>
      <c r="J85" s="12" t="s">
        <v>11822</v>
      </c>
    </row>
    <row r="86">
      <c r="A86" s="100"/>
      <c r="B86" s="8" t="s">
        <v>17</v>
      </c>
      <c r="C86" s="11" t="s">
        <v>1189</v>
      </c>
      <c r="D86" s="11" t="s">
        <v>11659</v>
      </c>
      <c r="E86" s="11" t="s">
        <v>11659</v>
      </c>
      <c r="H86" s="283" t="s">
        <v>11823</v>
      </c>
    </row>
    <row r="87">
      <c r="B87" s="8" t="s">
        <v>20</v>
      </c>
      <c r="C87" s="8" t="s">
        <v>11824</v>
      </c>
      <c r="D87" s="11" t="s">
        <v>11659</v>
      </c>
      <c r="E87" s="49" t="s">
        <v>11659</v>
      </c>
      <c r="H87" s="283" t="s">
        <v>11825</v>
      </c>
    </row>
    <row r="88">
      <c r="B88" s="8" t="s">
        <v>4161</v>
      </c>
      <c r="C88" s="11" t="s">
        <v>11826</v>
      </c>
      <c r="D88" s="11" t="s">
        <v>11659</v>
      </c>
      <c r="E88" s="49" t="s">
        <v>11659</v>
      </c>
      <c r="J88" s="12" t="s">
        <v>11827</v>
      </c>
    </row>
    <row r="89">
      <c r="B89" s="8" t="s">
        <v>20</v>
      </c>
      <c r="C89" s="11" t="s">
        <v>8352</v>
      </c>
      <c r="D89" s="11" t="s">
        <v>11659</v>
      </c>
      <c r="E89" s="49" t="s">
        <v>11659</v>
      </c>
      <c r="H89" s="283" t="s">
        <v>11828</v>
      </c>
    </row>
    <row r="90">
      <c r="B90" s="8" t="s">
        <v>20</v>
      </c>
      <c r="C90" s="11" t="s">
        <v>74</v>
      </c>
      <c r="D90" s="11" t="s">
        <v>11659</v>
      </c>
      <c r="E90" s="49" t="s">
        <v>11659</v>
      </c>
      <c r="F90" s="8" t="s">
        <v>11829</v>
      </c>
      <c r="I90" s="12" t="s">
        <v>11830</v>
      </c>
    </row>
    <row r="91">
      <c r="B91" s="8" t="s">
        <v>720</v>
      </c>
      <c r="C91" s="8" t="s">
        <v>4060</v>
      </c>
      <c r="D91" s="11" t="s">
        <v>11659</v>
      </c>
      <c r="E91" s="49" t="s">
        <v>11660</v>
      </c>
      <c r="H91" s="12" t="s">
        <v>11831</v>
      </c>
      <c r="I91" s="12" t="s">
        <v>11832</v>
      </c>
    </row>
    <row r="92">
      <c r="B92" s="8" t="s">
        <v>20</v>
      </c>
      <c r="C92" s="11" t="s">
        <v>74</v>
      </c>
      <c r="D92" s="11" t="s">
        <v>11659</v>
      </c>
      <c r="E92" s="49" t="s">
        <v>11833</v>
      </c>
      <c r="J92" s="12" t="s">
        <v>11834</v>
      </c>
    </row>
    <row r="93">
      <c r="B93" s="8" t="s">
        <v>20</v>
      </c>
      <c r="C93" s="11" t="s">
        <v>6913</v>
      </c>
      <c r="D93" s="11" t="s">
        <v>11659</v>
      </c>
      <c r="E93" s="49" t="s">
        <v>11659</v>
      </c>
      <c r="H93" s="12" t="s">
        <v>11835</v>
      </c>
      <c r="I93" s="12" t="s">
        <v>11836</v>
      </c>
    </row>
    <row r="94">
      <c r="B94" s="8" t="s">
        <v>720</v>
      </c>
      <c r="C94" s="8" t="s">
        <v>4331</v>
      </c>
      <c r="D94" s="11" t="s">
        <v>11659</v>
      </c>
      <c r="E94" s="49" t="s">
        <v>11659</v>
      </c>
      <c r="H94" s="12" t="s">
        <v>11837</v>
      </c>
      <c r="I94" s="12" t="s">
        <v>11838</v>
      </c>
    </row>
    <row r="95">
      <c r="B95" s="8" t="s">
        <v>20</v>
      </c>
      <c r="C95" s="8" t="s">
        <v>11839</v>
      </c>
      <c r="D95" s="11" t="s">
        <v>11659</v>
      </c>
      <c r="E95" s="49" t="s">
        <v>11659</v>
      </c>
      <c r="H95" s="12" t="s">
        <v>11840</v>
      </c>
      <c r="I95" s="12" t="s">
        <v>11841</v>
      </c>
    </row>
    <row r="96">
      <c r="B96" s="8" t="s">
        <v>20</v>
      </c>
      <c r="C96" s="8" t="s">
        <v>1280</v>
      </c>
      <c r="D96" s="11" t="s">
        <v>11659</v>
      </c>
      <c r="E96" s="49" t="s">
        <v>11674</v>
      </c>
      <c r="H96" s="12" t="s">
        <v>11842</v>
      </c>
    </row>
    <row r="97">
      <c r="B97" s="8" t="s">
        <v>20</v>
      </c>
      <c r="C97" s="8" t="s">
        <v>11843</v>
      </c>
      <c r="D97" s="11" t="s">
        <v>11659</v>
      </c>
      <c r="E97" s="49" t="s">
        <v>11659</v>
      </c>
      <c r="J97" s="12" t="s">
        <v>11844</v>
      </c>
    </row>
    <row r="98">
      <c r="B98" s="8" t="s">
        <v>20</v>
      </c>
      <c r="C98" s="11" t="s">
        <v>11693</v>
      </c>
      <c r="D98" s="11" t="s">
        <v>11659</v>
      </c>
      <c r="E98" s="49" t="s">
        <v>11659</v>
      </c>
      <c r="H98" s="12" t="s">
        <v>11845</v>
      </c>
      <c r="I98" s="12" t="s">
        <v>11846</v>
      </c>
    </row>
    <row r="99">
      <c r="B99" s="8" t="s">
        <v>20</v>
      </c>
      <c r="C99" s="8" t="s">
        <v>3612</v>
      </c>
      <c r="D99" s="11" t="s">
        <v>11659</v>
      </c>
      <c r="E99" s="49" t="s">
        <v>11659</v>
      </c>
      <c r="H99" s="12" t="s">
        <v>11847</v>
      </c>
      <c r="I99" s="295" t="s">
        <v>11848</v>
      </c>
    </row>
    <row r="100">
      <c r="B100" s="8" t="s">
        <v>20</v>
      </c>
      <c r="C100" s="8" t="s">
        <v>11849</v>
      </c>
      <c r="D100" s="11" t="s">
        <v>11659</v>
      </c>
      <c r="E100" s="49" t="s">
        <v>11659</v>
      </c>
      <c r="H100" s="12" t="s">
        <v>11850</v>
      </c>
      <c r="I100" s="12" t="s">
        <v>11851</v>
      </c>
    </row>
    <row r="101">
      <c r="B101" s="8" t="s">
        <v>20</v>
      </c>
      <c r="C101" s="8" t="s">
        <v>2260</v>
      </c>
      <c r="D101" s="11" t="s">
        <v>11659</v>
      </c>
      <c r="E101" s="49" t="s">
        <v>11659</v>
      </c>
      <c r="G101" s="37">
        <v>1.0</v>
      </c>
      <c r="H101" s="12" t="s">
        <v>11852</v>
      </c>
    </row>
    <row r="102">
      <c r="B102" s="8" t="s">
        <v>20</v>
      </c>
      <c r="C102" s="11" t="s">
        <v>11679</v>
      </c>
      <c r="D102" s="11" t="s">
        <v>11659</v>
      </c>
      <c r="E102" s="49" t="s">
        <v>11659</v>
      </c>
      <c r="I102" s="12" t="s">
        <v>11853</v>
      </c>
    </row>
    <row r="103">
      <c r="B103" s="8" t="s">
        <v>20</v>
      </c>
      <c r="C103" s="8" t="s">
        <v>11854</v>
      </c>
      <c r="D103" s="11" t="s">
        <v>11659</v>
      </c>
      <c r="E103" s="49" t="s">
        <v>11659</v>
      </c>
      <c r="H103" s="12" t="s">
        <v>11855</v>
      </c>
    </row>
    <row r="104">
      <c r="A104" s="111">
        <v>8335.0</v>
      </c>
      <c r="B104" s="8" t="s">
        <v>220</v>
      </c>
      <c r="C104" s="8" t="s">
        <v>11856</v>
      </c>
      <c r="D104" s="11" t="s">
        <v>11659</v>
      </c>
      <c r="E104" s="49" t="s">
        <v>11659</v>
      </c>
      <c r="H104" s="9" t="s">
        <v>11857</v>
      </c>
      <c r="I104" s="12" t="s">
        <v>11858</v>
      </c>
      <c r="J104" s="12" t="s">
        <v>11859</v>
      </c>
    </row>
    <row r="105">
      <c r="B105" s="8" t="s">
        <v>276</v>
      </c>
      <c r="C105" s="8" t="s">
        <v>11860</v>
      </c>
      <c r="D105" s="11" t="s">
        <v>11659</v>
      </c>
      <c r="E105" s="49" t="s">
        <v>11659</v>
      </c>
      <c r="J105" s="12" t="s">
        <v>11861</v>
      </c>
    </row>
    <row r="106">
      <c r="B106" s="8" t="s">
        <v>20</v>
      </c>
      <c r="D106" s="11" t="s">
        <v>11659</v>
      </c>
      <c r="E106" s="48"/>
    </row>
    <row r="107">
      <c r="E107" s="48"/>
    </row>
    <row r="108">
      <c r="E108" s="48"/>
    </row>
    <row r="109">
      <c r="E109" s="48"/>
    </row>
    <row r="110">
      <c r="E110" s="48"/>
    </row>
    <row r="111">
      <c r="E111" s="48"/>
    </row>
    <row r="112">
      <c r="E112" s="48"/>
    </row>
    <row r="113">
      <c r="E113" s="48"/>
    </row>
    <row r="114">
      <c r="E114" s="48"/>
    </row>
    <row r="115">
      <c r="E115" s="48"/>
    </row>
    <row r="116">
      <c r="E116" s="48"/>
    </row>
    <row r="117">
      <c r="E117" s="48"/>
    </row>
    <row r="118">
      <c r="E118" s="48"/>
    </row>
    <row r="119">
      <c r="E119" s="48"/>
    </row>
    <row r="120">
      <c r="E120" s="48"/>
    </row>
    <row r="121">
      <c r="E121" s="48"/>
    </row>
    <row r="122">
      <c r="E122" s="48"/>
    </row>
    <row r="123">
      <c r="E123" s="48"/>
    </row>
    <row r="124">
      <c r="E124" s="48"/>
    </row>
    <row r="125">
      <c r="E125" s="48"/>
    </row>
    <row r="126">
      <c r="E126" s="48"/>
    </row>
    <row r="127">
      <c r="E127" s="48"/>
    </row>
    <row r="128">
      <c r="E128" s="48"/>
    </row>
    <row r="129">
      <c r="E129" s="48"/>
    </row>
    <row r="130">
      <c r="E130" s="48"/>
    </row>
    <row r="131">
      <c r="E131" s="48"/>
    </row>
    <row r="132">
      <c r="E132" s="48"/>
    </row>
    <row r="133">
      <c r="E133" s="48"/>
    </row>
    <row r="134">
      <c r="E134" s="48"/>
    </row>
    <row r="135">
      <c r="E135" s="48"/>
    </row>
    <row r="136">
      <c r="E136" s="48"/>
    </row>
    <row r="137">
      <c r="E137" s="48"/>
    </row>
    <row r="138">
      <c r="E138" s="48"/>
    </row>
    <row r="139">
      <c r="E139" s="48"/>
    </row>
    <row r="140">
      <c r="E140" s="48"/>
    </row>
    <row r="141">
      <c r="E141" s="48"/>
    </row>
    <row r="142">
      <c r="E142" s="48"/>
    </row>
    <row r="143">
      <c r="E143" s="48"/>
    </row>
    <row r="144">
      <c r="E144" s="48"/>
    </row>
    <row r="145">
      <c r="E145" s="48"/>
    </row>
    <row r="146">
      <c r="E146" s="48"/>
    </row>
    <row r="147">
      <c r="E147" s="48"/>
    </row>
    <row r="148">
      <c r="E148" s="48"/>
    </row>
    <row r="149">
      <c r="E149" s="48"/>
    </row>
    <row r="150">
      <c r="E150" s="48"/>
    </row>
    <row r="151">
      <c r="E151" s="48"/>
    </row>
    <row r="152">
      <c r="E152" s="48"/>
    </row>
    <row r="153">
      <c r="E153" s="48"/>
    </row>
    <row r="154">
      <c r="E154" s="48"/>
    </row>
    <row r="155">
      <c r="E155" s="48"/>
    </row>
    <row r="156">
      <c r="E156" s="48"/>
    </row>
    <row r="157">
      <c r="E157" s="48"/>
    </row>
    <row r="158">
      <c r="E158" s="48"/>
    </row>
    <row r="159">
      <c r="E159" s="48"/>
    </row>
    <row r="160">
      <c r="E160" s="48"/>
    </row>
    <row r="161">
      <c r="E161" s="48"/>
    </row>
    <row r="162">
      <c r="E162" s="48"/>
    </row>
    <row r="163">
      <c r="E163" s="48"/>
    </row>
    <row r="164">
      <c r="E164" s="48"/>
    </row>
    <row r="165">
      <c r="E165" s="48"/>
    </row>
    <row r="166">
      <c r="E166" s="48"/>
    </row>
    <row r="167">
      <c r="E167" s="48"/>
    </row>
    <row r="168">
      <c r="E168" s="48"/>
    </row>
    <row r="169">
      <c r="E169" s="48"/>
    </row>
    <row r="170">
      <c r="E170" s="48"/>
    </row>
    <row r="171">
      <c r="E171" s="48"/>
    </row>
    <row r="172">
      <c r="E172" s="48"/>
    </row>
    <row r="173">
      <c r="E173" s="48"/>
    </row>
    <row r="174">
      <c r="E174" s="48"/>
    </row>
    <row r="175">
      <c r="E175" s="48"/>
    </row>
    <row r="176">
      <c r="E176" s="48"/>
    </row>
    <row r="177">
      <c r="E177" s="48"/>
    </row>
    <row r="178">
      <c r="E178" s="48"/>
    </row>
    <row r="179">
      <c r="E179" s="48"/>
    </row>
    <row r="180">
      <c r="E180" s="48"/>
    </row>
    <row r="181">
      <c r="E181" s="48"/>
    </row>
    <row r="182">
      <c r="E182" s="48"/>
    </row>
    <row r="183">
      <c r="E183" s="48"/>
    </row>
    <row r="184">
      <c r="E184" s="48"/>
    </row>
    <row r="185">
      <c r="E185" s="48"/>
    </row>
    <row r="186">
      <c r="E186" s="48"/>
    </row>
    <row r="187">
      <c r="E187" s="48"/>
    </row>
    <row r="188">
      <c r="E188" s="48"/>
    </row>
    <row r="189">
      <c r="E189" s="48"/>
    </row>
    <row r="190">
      <c r="E190" s="48"/>
    </row>
    <row r="191">
      <c r="E191" s="48"/>
    </row>
    <row r="192">
      <c r="E192" s="48"/>
    </row>
    <row r="193">
      <c r="E193" s="48"/>
    </row>
    <row r="194">
      <c r="E194" s="48"/>
    </row>
    <row r="195">
      <c r="E195" s="48"/>
    </row>
    <row r="196">
      <c r="E196" s="48"/>
    </row>
    <row r="197">
      <c r="E197" s="48"/>
    </row>
    <row r="198">
      <c r="E198" s="48"/>
    </row>
    <row r="199">
      <c r="E199" s="48"/>
    </row>
    <row r="200">
      <c r="E200" s="48"/>
    </row>
    <row r="201">
      <c r="E201" s="48"/>
    </row>
    <row r="202">
      <c r="E202" s="48"/>
    </row>
    <row r="203">
      <c r="E203" s="48"/>
    </row>
    <row r="204">
      <c r="E204" s="48"/>
    </row>
    <row r="205">
      <c r="E205" s="48"/>
    </row>
    <row r="206">
      <c r="E206" s="48"/>
    </row>
    <row r="207">
      <c r="E207" s="48"/>
    </row>
    <row r="208">
      <c r="E208" s="48"/>
    </row>
    <row r="209">
      <c r="E209" s="48"/>
    </row>
    <row r="210">
      <c r="E210" s="48"/>
    </row>
    <row r="211">
      <c r="E211" s="48"/>
    </row>
    <row r="212">
      <c r="E212" s="48"/>
    </row>
    <row r="213">
      <c r="E213" s="48"/>
    </row>
    <row r="214">
      <c r="E214" s="48"/>
    </row>
    <row r="215">
      <c r="E215" s="48"/>
    </row>
    <row r="216">
      <c r="E216" s="48"/>
    </row>
    <row r="217">
      <c r="E217" s="48"/>
    </row>
    <row r="218">
      <c r="E218" s="48"/>
    </row>
    <row r="219">
      <c r="E219" s="48"/>
    </row>
    <row r="220">
      <c r="E220" s="48"/>
    </row>
    <row r="221">
      <c r="E221" s="48"/>
    </row>
    <row r="222">
      <c r="E222" s="48"/>
    </row>
    <row r="223">
      <c r="E223" s="48"/>
    </row>
    <row r="224">
      <c r="E224" s="48"/>
    </row>
    <row r="225">
      <c r="E225" s="48"/>
    </row>
    <row r="226">
      <c r="E226" s="48"/>
    </row>
    <row r="227">
      <c r="E227" s="48"/>
    </row>
    <row r="228">
      <c r="E228" s="48"/>
    </row>
    <row r="229">
      <c r="E229" s="48"/>
    </row>
    <row r="230">
      <c r="E230" s="48"/>
    </row>
    <row r="231">
      <c r="E231" s="48"/>
    </row>
    <row r="232">
      <c r="E232" s="48"/>
    </row>
    <row r="233">
      <c r="E233" s="48"/>
    </row>
    <row r="234">
      <c r="E234" s="48"/>
    </row>
    <row r="235">
      <c r="E235" s="48"/>
    </row>
    <row r="236">
      <c r="E236" s="48"/>
    </row>
    <row r="237">
      <c r="E237" s="48"/>
    </row>
    <row r="238">
      <c r="E238" s="48"/>
    </row>
    <row r="239">
      <c r="E239" s="48"/>
    </row>
    <row r="240">
      <c r="E240" s="48"/>
    </row>
    <row r="241">
      <c r="E241" s="48"/>
    </row>
    <row r="242">
      <c r="E242" s="48"/>
    </row>
    <row r="243">
      <c r="E243" s="48"/>
    </row>
    <row r="244">
      <c r="E244" s="48"/>
    </row>
    <row r="245">
      <c r="E245" s="48"/>
    </row>
    <row r="246">
      <c r="E246" s="48"/>
    </row>
    <row r="247">
      <c r="E247" s="48"/>
    </row>
    <row r="248">
      <c r="E248" s="48"/>
    </row>
    <row r="249">
      <c r="E249" s="48"/>
    </row>
    <row r="250">
      <c r="E250" s="48"/>
    </row>
    <row r="251">
      <c r="E251" s="48"/>
    </row>
    <row r="252">
      <c r="E252" s="48"/>
    </row>
    <row r="253">
      <c r="E253" s="48"/>
    </row>
    <row r="254">
      <c r="E254" s="48"/>
    </row>
    <row r="255">
      <c r="E255" s="48"/>
    </row>
    <row r="256">
      <c r="E256" s="48"/>
    </row>
    <row r="257">
      <c r="E257" s="48"/>
    </row>
    <row r="258">
      <c r="E258" s="48"/>
    </row>
    <row r="259">
      <c r="E259" s="48"/>
    </row>
    <row r="260">
      <c r="E260" s="48"/>
    </row>
    <row r="261">
      <c r="E261" s="48"/>
    </row>
    <row r="262">
      <c r="E262" s="48"/>
    </row>
    <row r="263">
      <c r="E263" s="48"/>
    </row>
    <row r="264">
      <c r="E264" s="48"/>
    </row>
    <row r="265">
      <c r="E265" s="48"/>
    </row>
    <row r="266">
      <c r="E266" s="48"/>
    </row>
    <row r="267">
      <c r="E267" s="48"/>
    </row>
    <row r="268">
      <c r="E268" s="48"/>
    </row>
    <row r="269">
      <c r="E269" s="48"/>
    </row>
    <row r="270">
      <c r="E270" s="48"/>
    </row>
    <row r="271">
      <c r="E271" s="48"/>
    </row>
    <row r="272">
      <c r="E272" s="48"/>
    </row>
    <row r="273">
      <c r="E273" s="48"/>
    </row>
    <row r="274">
      <c r="E274" s="48"/>
    </row>
    <row r="275">
      <c r="E275" s="48"/>
    </row>
    <row r="276">
      <c r="E276" s="48"/>
    </row>
    <row r="277">
      <c r="E277" s="48"/>
    </row>
    <row r="278">
      <c r="E278" s="48"/>
    </row>
    <row r="279">
      <c r="E279" s="48"/>
    </row>
    <row r="280">
      <c r="E280" s="48"/>
    </row>
    <row r="281">
      <c r="E281" s="48"/>
    </row>
    <row r="282">
      <c r="E282" s="48"/>
    </row>
    <row r="283">
      <c r="E283" s="48"/>
    </row>
    <row r="284">
      <c r="E284" s="48"/>
    </row>
    <row r="285">
      <c r="E285" s="48"/>
    </row>
    <row r="286">
      <c r="E286" s="48"/>
    </row>
    <row r="287">
      <c r="E287" s="48"/>
    </row>
    <row r="288">
      <c r="E288" s="48"/>
    </row>
    <row r="289">
      <c r="E289" s="48"/>
    </row>
    <row r="290">
      <c r="E290" s="48"/>
    </row>
    <row r="291">
      <c r="E291" s="48"/>
    </row>
    <row r="292">
      <c r="E292" s="48"/>
    </row>
    <row r="293">
      <c r="E293" s="48"/>
    </row>
    <row r="294">
      <c r="E294" s="48"/>
    </row>
    <row r="295">
      <c r="E295" s="48"/>
    </row>
    <row r="296">
      <c r="E296" s="48"/>
    </row>
    <row r="297">
      <c r="E297" s="48"/>
    </row>
    <row r="298">
      <c r="E298" s="48"/>
    </row>
    <row r="299">
      <c r="E299" s="48"/>
    </row>
    <row r="300">
      <c r="E300" s="48"/>
    </row>
    <row r="301">
      <c r="E301" s="48"/>
    </row>
    <row r="302">
      <c r="E302" s="48"/>
    </row>
    <row r="303">
      <c r="E303" s="48"/>
    </row>
    <row r="304">
      <c r="E304" s="48"/>
    </row>
    <row r="305">
      <c r="E305" s="48"/>
    </row>
    <row r="306">
      <c r="E306" s="48"/>
    </row>
    <row r="307">
      <c r="E307" s="48"/>
    </row>
    <row r="308">
      <c r="E308" s="48"/>
    </row>
    <row r="309">
      <c r="E309" s="48"/>
    </row>
    <row r="310">
      <c r="E310" s="48"/>
    </row>
    <row r="311">
      <c r="E311" s="48"/>
    </row>
    <row r="312">
      <c r="E312" s="48"/>
    </row>
    <row r="313">
      <c r="E313" s="48"/>
    </row>
    <row r="314">
      <c r="E314" s="48"/>
    </row>
    <row r="315">
      <c r="E315" s="48"/>
    </row>
    <row r="316">
      <c r="E316" s="48"/>
    </row>
    <row r="317">
      <c r="E317" s="48"/>
    </row>
    <row r="318">
      <c r="E318" s="48"/>
    </row>
    <row r="319">
      <c r="E319" s="48"/>
    </row>
    <row r="320">
      <c r="E320" s="48"/>
    </row>
    <row r="321">
      <c r="E321" s="48"/>
    </row>
    <row r="322">
      <c r="E322" s="48"/>
    </row>
    <row r="323">
      <c r="E323" s="48"/>
    </row>
    <row r="324">
      <c r="E324" s="48"/>
    </row>
    <row r="325">
      <c r="E325" s="48"/>
    </row>
    <row r="326">
      <c r="E326" s="48"/>
    </row>
    <row r="327">
      <c r="E327" s="48"/>
    </row>
    <row r="328">
      <c r="E328" s="48"/>
    </row>
    <row r="329">
      <c r="E329" s="48"/>
    </row>
    <row r="330">
      <c r="E330" s="48"/>
    </row>
    <row r="331">
      <c r="E331" s="48"/>
    </row>
    <row r="332">
      <c r="E332" s="48"/>
    </row>
    <row r="333">
      <c r="E333" s="48"/>
    </row>
    <row r="334">
      <c r="E334" s="48"/>
    </row>
    <row r="335">
      <c r="E335" s="48"/>
    </row>
    <row r="336">
      <c r="E336" s="48"/>
    </row>
    <row r="337">
      <c r="E337" s="48"/>
    </row>
    <row r="338">
      <c r="E338" s="48"/>
    </row>
    <row r="339">
      <c r="E339" s="48"/>
    </row>
    <row r="340">
      <c r="E340" s="48"/>
    </row>
    <row r="341">
      <c r="E341" s="48"/>
    </row>
    <row r="342">
      <c r="E342" s="48"/>
    </row>
    <row r="343">
      <c r="E343" s="48"/>
    </row>
    <row r="344">
      <c r="E344" s="48"/>
    </row>
    <row r="345">
      <c r="E345" s="48"/>
    </row>
    <row r="346">
      <c r="E346" s="48"/>
    </row>
    <row r="347">
      <c r="E347" s="48"/>
    </row>
    <row r="348">
      <c r="E348" s="48"/>
    </row>
    <row r="349">
      <c r="E349" s="48"/>
    </row>
    <row r="350">
      <c r="E350" s="48"/>
    </row>
    <row r="351">
      <c r="E351" s="48"/>
    </row>
    <row r="352">
      <c r="E352" s="48"/>
    </row>
    <row r="353">
      <c r="E353" s="48"/>
    </row>
    <row r="354">
      <c r="E354" s="48"/>
    </row>
    <row r="355">
      <c r="E355" s="48"/>
    </row>
    <row r="356">
      <c r="E356" s="48"/>
    </row>
    <row r="357">
      <c r="E357" s="48"/>
    </row>
    <row r="358">
      <c r="E358" s="48"/>
    </row>
    <row r="359">
      <c r="E359" s="48"/>
    </row>
    <row r="360">
      <c r="E360" s="48"/>
    </row>
    <row r="361">
      <c r="E361" s="48"/>
    </row>
    <row r="362">
      <c r="E362" s="48"/>
    </row>
    <row r="363">
      <c r="E363" s="48"/>
    </row>
    <row r="364">
      <c r="E364" s="48"/>
    </row>
    <row r="365">
      <c r="E365" s="48"/>
    </row>
    <row r="366">
      <c r="E366" s="48"/>
    </row>
    <row r="367">
      <c r="E367" s="48"/>
    </row>
    <row r="368">
      <c r="E368" s="48"/>
    </row>
    <row r="369">
      <c r="E369" s="48"/>
    </row>
    <row r="370">
      <c r="E370" s="48"/>
    </row>
    <row r="371">
      <c r="E371" s="48"/>
    </row>
    <row r="372">
      <c r="E372" s="48"/>
    </row>
    <row r="373">
      <c r="E373" s="48"/>
    </row>
    <row r="374">
      <c r="E374" s="48"/>
    </row>
    <row r="375">
      <c r="E375" s="48"/>
    </row>
    <row r="376">
      <c r="E376" s="48"/>
    </row>
    <row r="377">
      <c r="E377" s="48"/>
    </row>
    <row r="378">
      <c r="E378" s="48"/>
    </row>
    <row r="379">
      <c r="E379" s="48"/>
    </row>
    <row r="380">
      <c r="E380" s="48"/>
    </row>
    <row r="381">
      <c r="E381" s="48"/>
    </row>
    <row r="382">
      <c r="E382" s="48"/>
    </row>
    <row r="383">
      <c r="E383" s="48"/>
    </row>
    <row r="384">
      <c r="E384" s="48"/>
    </row>
    <row r="385">
      <c r="E385" s="48"/>
    </row>
    <row r="386">
      <c r="E386" s="48"/>
    </row>
    <row r="387">
      <c r="E387" s="48"/>
    </row>
    <row r="388">
      <c r="E388" s="48"/>
    </row>
    <row r="389">
      <c r="E389" s="48"/>
    </row>
    <row r="390">
      <c r="E390" s="48"/>
    </row>
    <row r="391">
      <c r="E391" s="48"/>
    </row>
    <row r="392">
      <c r="E392" s="48"/>
    </row>
    <row r="393">
      <c r="E393" s="48"/>
    </row>
    <row r="394">
      <c r="E394" s="48"/>
    </row>
    <row r="395">
      <c r="E395" s="48"/>
    </row>
    <row r="396">
      <c r="E396" s="48"/>
    </row>
    <row r="397">
      <c r="E397" s="48"/>
    </row>
    <row r="398">
      <c r="E398" s="48"/>
    </row>
    <row r="399">
      <c r="E399" s="48"/>
    </row>
    <row r="400">
      <c r="E400" s="48"/>
    </row>
    <row r="401">
      <c r="E401" s="48"/>
    </row>
    <row r="402">
      <c r="E402" s="48"/>
    </row>
    <row r="403">
      <c r="E403" s="48"/>
    </row>
    <row r="404">
      <c r="E404" s="48"/>
    </row>
    <row r="405">
      <c r="E405" s="48"/>
    </row>
    <row r="406">
      <c r="E406" s="48"/>
    </row>
    <row r="407">
      <c r="E407" s="48"/>
    </row>
    <row r="408">
      <c r="E408" s="48"/>
    </row>
    <row r="409">
      <c r="E409" s="48"/>
    </row>
    <row r="410">
      <c r="E410" s="48"/>
    </row>
    <row r="411">
      <c r="E411" s="48"/>
    </row>
    <row r="412">
      <c r="E412" s="48"/>
    </row>
    <row r="413">
      <c r="E413" s="48"/>
    </row>
    <row r="414">
      <c r="E414" s="48"/>
    </row>
    <row r="415">
      <c r="E415" s="48"/>
    </row>
    <row r="416">
      <c r="E416" s="48"/>
    </row>
    <row r="417">
      <c r="E417" s="48"/>
    </row>
    <row r="418">
      <c r="E418" s="48"/>
    </row>
    <row r="419">
      <c r="E419" s="48"/>
    </row>
    <row r="420">
      <c r="E420" s="48"/>
    </row>
    <row r="421">
      <c r="E421" s="48"/>
    </row>
    <row r="422">
      <c r="E422" s="48"/>
    </row>
    <row r="423">
      <c r="E423" s="48"/>
    </row>
    <row r="424">
      <c r="E424" s="48"/>
    </row>
    <row r="425">
      <c r="E425" s="48"/>
    </row>
    <row r="426">
      <c r="E426" s="48"/>
    </row>
    <row r="427">
      <c r="E427" s="48"/>
    </row>
    <row r="428">
      <c r="E428" s="48"/>
    </row>
    <row r="429">
      <c r="E429" s="48"/>
    </row>
    <row r="430">
      <c r="E430" s="48"/>
    </row>
    <row r="431">
      <c r="E431" s="48"/>
    </row>
    <row r="432">
      <c r="E432" s="48"/>
    </row>
    <row r="433">
      <c r="E433" s="48"/>
    </row>
    <row r="434">
      <c r="E434" s="48"/>
    </row>
    <row r="435">
      <c r="E435" s="48"/>
    </row>
    <row r="436">
      <c r="E436" s="48"/>
    </row>
    <row r="437">
      <c r="E437" s="48"/>
    </row>
    <row r="438">
      <c r="E438" s="48"/>
    </row>
    <row r="439">
      <c r="E439" s="48"/>
    </row>
    <row r="440">
      <c r="E440" s="48"/>
    </row>
    <row r="441">
      <c r="E441" s="48"/>
    </row>
    <row r="442">
      <c r="E442" s="48"/>
    </row>
    <row r="443">
      <c r="E443" s="48"/>
    </row>
    <row r="444">
      <c r="E444" s="48"/>
    </row>
    <row r="445">
      <c r="E445" s="48"/>
    </row>
    <row r="446">
      <c r="E446" s="48"/>
    </row>
    <row r="447">
      <c r="E447" s="48"/>
    </row>
    <row r="448">
      <c r="E448" s="48"/>
    </row>
    <row r="449">
      <c r="E449" s="48"/>
    </row>
    <row r="450">
      <c r="E450" s="48"/>
    </row>
    <row r="451">
      <c r="E451" s="48"/>
    </row>
    <row r="452">
      <c r="E452" s="48"/>
    </row>
    <row r="453">
      <c r="E453" s="48"/>
    </row>
    <row r="454">
      <c r="E454" s="48"/>
    </row>
    <row r="455">
      <c r="E455" s="48"/>
    </row>
    <row r="456">
      <c r="E456" s="48"/>
    </row>
    <row r="457">
      <c r="E457" s="48"/>
    </row>
    <row r="458">
      <c r="E458" s="48"/>
    </row>
    <row r="459">
      <c r="E459" s="48"/>
    </row>
    <row r="460">
      <c r="E460" s="48"/>
    </row>
    <row r="461">
      <c r="E461" s="48"/>
    </row>
    <row r="462">
      <c r="E462" s="48"/>
    </row>
    <row r="463">
      <c r="E463" s="48"/>
    </row>
    <row r="464">
      <c r="E464" s="48"/>
    </row>
    <row r="465">
      <c r="E465" s="48"/>
    </row>
    <row r="466">
      <c r="E466" s="48"/>
    </row>
    <row r="467">
      <c r="E467" s="48"/>
    </row>
    <row r="468">
      <c r="E468" s="48"/>
    </row>
    <row r="469">
      <c r="E469" s="48"/>
    </row>
    <row r="470">
      <c r="E470" s="48"/>
    </row>
    <row r="471">
      <c r="E471" s="48"/>
    </row>
    <row r="472">
      <c r="E472" s="48"/>
    </row>
    <row r="473">
      <c r="E473" s="48"/>
    </row>
    <row r="474">
      <c r="E474" s="48"/>
    </row>
    <row r="475">
      <c r="E475" s="48"/>
    </row>
    <row r="476">
      <c r="E476" s="48"/>
    </row>
    <row r="477">
      <c r="E477" s="48"/>
    </row>
    <row r="478">
      <c r="E478" s="48"/>
    </row>
    <row r="479">
      <c r="E479" s="48"/>
    </row>
    <row r="480">
      <c r="E480" s="48"/>
    </row>
    <row r="481">
      <c r="E481" s="48"/>
    </row>
    <row r="482">
      <c r="E482" s="48"/>
    </row>
    <row r="483">
      <c r="E483" s="48"/>
    </row>
    <row r="484">
      <c r="E484" s="48"/>
    </row>
    <row r="485">
      <c r="E485" s="48"/>
    </row>
    <row r="486">
      <c r="E486" s="48"/>
    </row>
    <row r="487">
      <c r="E487" s="48"/>
    </row>
    <row r="488">
      <c r="E488" s="48"/>
    </row>
    <row r="489">
      <c r="E489" s="48"/>
    </row>
    <row r="490">
      <c r="E490" s="48"/>
    </row>
    <row r="491">
      <c r="E491" s="48"/>
    </row>
    <row r="492">
      <c r="E492" s="48"/>
    </row>
    <row r="493">
      <c r="E493" s="48"/>
    </row>
    <row r="494">
      <c r="E494" s="48"/>
    </row>
    <row r="495">
      <c r="E495" s="48"/>
    </row>
    <row r="496">
      <c r="E496" s="48"/>
    </row>
    <row r="497">
      <c r="E497" s="48"/>
    </row>
    <row r="498">
      <c r="E498" s="48"/>
    </row>
    <row r="499">
      <c r="E499" s="48"/>
    </row>
    <row r="500">
      <c r="E500" s="48"/>
    </row>
    <row r="501">
      <c r="E501" s="48"/>
    </row>
    <row r="502">
      <c r="E502" s="48"/>
    </row>
    <row r="503">
      <c r="E503" s="48"/>
    </row>
    <row r="504">
      <c r="E504" s="48"/>
    </row>
    <row r="505">
      <c r="E505" s="48"/>
    </row>
    <row r="506">
      <c r="E506" s="48"/>
    </row>
    <row r="507">
      <c r="E507" s="48"/>
    </row>
    <row r="508">
      <c r="E508" s="48"/>
    </row>
    <row r="509">
      <c r="E509" s="48"/>
    </row>
    <row r="510">
      <c r="E510" s="48"/>
    </row>
    <row r="511">
      <c r="E511" s="48"/>
    </row>
    <row r="512">
      <c r="E512" s="48"/>
    </row>
    <row r="513">
      <c r="E513" s="48"/>
    </row>
    <row r="514">
      <c r="E514" s="48"/>
    </row>
    <row r="515">
      <c r="E515" s="48"/>
    </row>
    <row r="516">
      <c r="E516" s="48"/>
    </row>
    <row r="517">
      <c r="E517" s="48"/>
    </row>
    <row r="518">
      <c r="E518" s="48"/>
    </row>
    <row r="519">
      <c r="E519" s="48"/>
    </row>
    <row r="520">
      <c r="E520" s="48"/>
    </row>
    <row r="521">
      <c r="E521" s="48"/>
    </row>
    <row r="522">
      <c r="E522" s="48"/>
    </row>
    <row r="523">
      <c r="E523" s="48"/>
    </row>
    <row r="524">
      <c r="E524" s="48"/>
    </row>
    <row r="525">
      <c r="E525" s="48"/>
    </row>
    <row r="526">
      <c r="E526" s="48"/>
    </row>
    <row r="527">
      <c r="E527" s="48"/>
    </row>
    <row r="528">
      <c r="E528" s="48"/>
    </row>
    <row r="529">
      <c r="E529" s="48"/>
    </row>
    <row r="530">
      <c r="E530" s="48"/>
    </row>
    <row r="531">
      <c r="E531" s="48"/>
    </row>
    <row r="532">
      <c r="E532" s="48"/>
    </row>
    <row r="533">
      <c r="E533" s="48"/>
    </row>
    <row r="534">
      <c r="E534" s="48"/>
    </row>
    <row r="535">
      <c r="E535" s="48"/>
    </row>
    <row r="536">
      <c r="E536" s="48"/>
    </row>
    <row r="537">
      <c r="E537" s="48"/>
    </row>
    <row r="538">
      <c r="E538" s="48"/>
    </row>
    <row r="539">
      <c r="E539" s="48"/>
    </row>
    <row r="540">
      <c r="E540" s="48"/>
    </row>
    <row r="541">
      <c r="E541" s="48"/>
    </row>
    <row r="542">
      <c r="E542" s="48"/>
    </row>
    <row r="543">
      <c r="E543" s="48"/>
    </row>
    <row r="544">
      <c r="E544" s="48"/>
    </row>
    <row r="545">
      <c r="E545" s="48"/>
    </row>
    <row r="546">
      <c r="E546" s="48"/>
    </row>
    <row r="547">
      <c r="E547" s="48"/>
    </row>
    <row r="548">
      <c r="E548" s="48"/>
    </row>
    <row r="549">
      <c r="E549" s="48"/>
    </row>
    <row r="550">
      <c r="E550" s="48"/>
    </row>
    <row r="551">
      <c r="E551" s="48"/>
    </row>
    <row r="552">
      <c r="E552" s="48"/>
    </row>
    <row r="553">
      <c r="E553" s="48"/>
    </row>
    <row r="554">
      <c r="E554" s="48"/>
    </row>
    <row r="555">
      <c r="E555" s="48"/>
    </row>
    <row r="556">
      <c r="E556" s="48"/>
    </row>
    <row r="557">
      <c r="E557" s="48"/>
    </row>
    <row r="558">
      <c r="E558" s="48"/>
    </row>
    <row r="559">
      <c r="E559" s="48"/>
    </row>
    <row r="560">
      <c r="E560" s="48"/>
    </row>
    <row r="561">
      <c r="E561" s="48"/>
    </row>
    <row r="562">
      <c r="E562" s="48"/>
    </row>
    <row r="563">
      <c r="E563" s="48"/>
    </row>
    <row r="564">
      <c r="E564" s="48"/>
    </row>
    <row r="565">
      <c r="E565" s="48"/>
    </row>
    <row r="566">
      <c r="E566" s="48"/>
    </row>
    <row r="567">
      <c r="E567" s="48"/>
    </row>
    <row r="568">
      <c r="E568" s="48"/>
    </row>
    <row r="569">
      <c r="E569" s="48"/>
    </row>
    <row r="570">
      <c r="E570" s="48"/>
    </row>
    <row r="571">
      <c r="E571" s="48"/>
    </row>
    <row r="572">
      <c r="E572" s="48"/>
    </row>
    <row r="573">
      <c r="E573" s="48"/>
    </row>
    <row r="574">
      <c r="E574" s="48"/>
    </row>
    <row r="575">
      <c r="E575" s="48"/>
    </row>
    <row r="576">
      <c r="E576" s="48"/>
    </row>
    <row r="577">
      <c r="E577" s="48"/>
    </row>
    <row r="578">
      <c r="E578" s="48"/>
    </row>
    <row r="579">
      <c r="E579" s="48"/>
    </row>
    <row r="580">
      <c r="E580" s="48"/>
    </row>
    <row r="581">
      <c r="E581" s="48"/>
    </row>
    <row r="582">
      <c r="E582" s="48"/>
    </row>
    <row r="583">
      <c r="E583" s="48"/>
    </row>
    <row r="584">
      <c r="E584" s="48"/>
    </row>
    <row r="585">
      <c r="E585" s="48"/>
    </row>
    <row r="586">
      <c r="E586" s="48"/>
    </row>
    <row r="587">
      <c r="E587" s="48"/>
    </row>
    <row r="588">
      <c r="E588" s="48"/>
    </row>
    <row r="589">
      <c r="E589" s="48"/>
    </row>
    <row r="590">
      <c r="E590" s="48"/>
    </row>
    <row r="591">
      <c r="E591" s="48"/>
    </row>
    <row r="592">
      <c r="E592" s="48"/>
    </row>
    <row r="593">
      <c r="E593" s="48"/>
    </row>
    <row r="594">
      <c r="E594" s="48"/>
    </row>
    <row r="595">
      <c r="E595" s="48"/>
    </row>
    <row r="596">
      <c r="E596" s="48"/>
    </row>
    <row r="597">
      <c r="E597" s="48"/>
    </row>
    <row r="598">
      <c r="E598" s="48"/>
    </row>
    <row r="599">
      <c r="E599" s="48"/>
    </row>
    <row r="600">
      <c r="E600" s="48"/>
    </row>
    <row r="601">
      <c r="E601" s="48"/>
    </row>
    <row r="602">
      <c r="E602" s="48"/>
    </row>
    <row r="603">
      <c r="E603" s="48"/>
    </row>
    <row r="604">
      <c r="E604" s="48"/>
    </row>
    <row r="605">
      <c r="E605" s="48"/>
    </row>
    <row r="606">
      <c r="E606" s="48"/>
    </row>
    <row r="607">
      <c r="E607" s="48"/>
    </row>
    <row r="608">
      <c r="E608" s="48"/>
    </row>
    <row r="609">
      <c r="E609" s="48"/>
    </row>
    <row r="610">
      <c r="E610" s="48"/>
    </row>
    <row r="611">
      <c r="E611" s="48"/>
    </row>
    <row r="612">
      <c r="E612" s="48"/>
    </row>
    <row r="613">
      <c r="E613" s="48"/>
    </row>
    <row r="614">
      <c r="E614" s="48"/>
    </row>
    <row r="615">
      <c r="E615" s="48"/>
    </row>
    <row r="616">
      <c r="E616" s="48"/>
    </row>
    <row r="617">
      <c r="E617" s="48"/>
    </row>
    <row r="618">
      <c r="E618" s="48"/>
    </row>
    <row r="619">
      <c r="E619" s="48"/>
    </row>
    <row r="620">
      <c r="E620" s="48"/>
    </row>
    <row r="621">
      <c r="E621" s="48"/>
    </row>
    <row r="622">
      <c r="E622" s="48"/>
    </row>
    <row r="623">
      <c r="E623" s="48"/>
    </row>
    <row r="624">
      <c r="E624" s="48"/>
    </row>
    <row r="625">
      <c r="E625" s="48"/>
    </row>
    <row r="626">
      <c r="E626" s="48"/>
    </row>
    <row r="627">
      <c r="E627" s="48"/>
    </row>
    <row r="628">
      <c r="E628" s="48"/>
    </row>
    <row r="629">
      <c r="E629" s="48"/>
    </row>
    <row r="630">
      <c r="E630" s="48"/>
    </row>
    <row r="631">
      <c r="E631" s="48"/>
    </row>
    <row r="632">
      <c r="E632" s="48"/>
    </row>
    <row r="633">
      <c r="E633" s="48"/>
    </row>
    <row r="634">
      <c r="E634" s="48"/>
    </row>
    <row r="635">
      <c r="E635" s="48"/>
    </row>
    <row r="636">
      <c r="E636" s="48"/>
    </row>
    <row r="637">
      <c r="E637" s="48"/>
    </row>
    <row r="638">
      <c r="E638" s="48"/>
    </row>
    <row r="639">
      <c r="E639" s="48"/>
    </row>
    <row r="640">
      <c r="E640" s="48"/>
    </row>
    <row r="641">
      <c r="E641" s="48"/>
    </row>
    <row r="642">
      <c r="E642" s="48"/>
    </row>
    <row r="643">
      <c r="E643" s="48"/>
    </row>
    <row r="644">
      <c r="E644" s="48"/>
    </row>
    <row r="645">
      <c r="E645" s="48"/>
    </row>
    <row r="646">
      <c r="E646" s="48"/>
    </row>
    <row r="647">
      <c r="E647" s="48"/>
    </row>
    <row r="648">
      <c r="E648" s="48"/>
    </row>
    <row r="649">
      <c r="E649" s="48"/>
    </row>
    <row r="650">
      <c r="E650" s="48"/>
    </row>
    <row r="651">
      <c r="E651" s="48"/>
    </row>
    <row r="652">
      <c r="E652" s="48"/>
    </row>
    <row r="653">
      <c r="E653" s="48"/>
    </row>
    <row r="654">
      <c r="E654" s="48"/>
    </row>
    <row r="655">
      <c r="E655" s="48"/>
    </row>
    <row r="656">
      <c r="E656" s="48"/>
    </row>
    <row r="657">
      <c r="E657" s="48"/>
    </row>
    <row r="658">
      <c r="E658" s="48"/>
    </row>
    <row r="659">
      <c r="E659" s="48"/>
    </row>
    <row r="660">
      <c r="E660" s="48"/>
    </row>
    <row r="661">
      <c r="E661" s="48"/>
    </row>
    <row r="662">
      <c r="E662" s="48"/>
    </row>
    <row r="663">
      <c r="E663" s="48"/>
    </row>
    <row r="664">
      <c r="E664" s="48"/>
    </row>
    <row r="665">
      <c r="E665" s="48"/>
    </row>
    <row r="666">
      <c r="E666" s="48"/>
    </row>
    <row r="667">
      <c r="E667" s="48"/>
    </row>
    <row r="668">
      <c r="E668" s="48"/>
    </row>
    <row r="669">
      <c r="E669" s="48"/>
    </row>
    <row r="670">
      <c r="E670" s="48"/>
    </row>
    <row r="671">
      <c r="E671" s="48"/>
    </row>
    <row r="672">
      <c r="E672" s="48"/>
    </row>
    <row r="673">
      <c r="E673" s="48"/>
    </row>
    <row r="674">
      <c r="E674" s="48"/>
    </row>
    <row r="675">
      <c r="E675" s="48"/>
    </row>
    <row r="676">
      <c r="E676" s="48"/>
    </row>
    <row r="677">
      <c r="E677" s="48"/>
    </row>
    <row r="678">
      <c r="E678" s="48"/>
    </row>
    <row r="679">
      <c r="E679" s="48"/>
    </row>
    <row r="680">
      <c r="E680" s="48"/>
    </row>
    <row r="681">
      <c r="E681" s="48"/>
    </row>
    <row r="682">
      <c r="E682" s="48"/>
    </row>
    <row r="683">
      <c r="E683" s="48"/>
    </row>
    <row r="684">
      <c r="E684" s="48"/>
    </row>
    <row r="685">
      <c r="E685" s="48"/>
    </row>
    <row r="686">
      <c r="E686" s="48"/>
    </row>
    <row r="687">
      <c r="E687" s="48"/>
    </row>
    <row r="688">
      <c r="E688" s="48"/>
    </row>
    <row r="689">
      <c r="E689" s="48"/>
    </row>
    <row r="690">
      <c r="E690" s="48"/>
    </row>
    <row r="691">
      <c r="E691" s="48"/>
    </row>
    <row r="692">
      <c r="E692" s="48"/>
    </row>
    <row r="693">
      <c r="E693" s="48"/>
    </row>
    <row r="694">
      <c r="E694" s="48"/>
    </row>
    <row r="695">
      <c r="E695" s="48"/>
    </row>
    <row r="696">
      <c r="E696" s="48"/>
    </row>
    <row r="697">
      <c r="E697" s="48"/>
    </row>
    <row r="698">
      <c r="E698" s="48"/>
    </row>
    <row r="699">
      <c r="E699" s="48"/>
    </row>
    <row r="700">
      <c r="E700" s="48"/>
    </row>
    <row r="701">
      <c r="E701" s="48"/>
    </row>
    <row r="702">
      <c r="E702" s="48"/>
    </row>
    <row r="703">
      <c r="E703" s="48"/>
    </row>
    <row r="704">
      <c r="E704" s="48"/>
    </row>
    <row r="705">
      <c r="E705" s="48"/>
    </row>
    <row r="706">
      <c r="E706" s="48"/>
    </row>
    <row r="707">
      <c r="E707" s="48"/>
    </row>
    <row r="708">
      <c r="E708" s="48"/>
    </row>
    <row r="709">
      <c r="E709" s="48"/>
    </row>
    <row r="710">
      <c r="E710" s="48"/>
    </row>
    <row r="711">
      <c r="E711" s="48"/>
    </row>
    <row r="712">
      <c r="E712" s="48"/>
    </row>
    <row r="713">
      <c r="E713" s="48"/>
    </row>
    <row r="714">
      <c r="E714" s="48"/>
    </row>
    <row r="715">
      <c r="E715" s="48"/>
    </row>
    <row r="716">
      <c r="E716" s="48"/>
    </row>
    <row r="717">
      <c r="E717" s="48"/>
    </row>
    <row r="718">
      <c r="E718" s="48"/>
    </row>
    <row r="719">
      <c r="E719" s="48"/>
    </row>
    <row r="720">
      <c r="E720" s="48"/>
    </row>
    <row r="721">
      <c r="E721" s="48"/>
    </row>
    <row r="722">
      <c r="E722" s="48"/>
    </row>
    <row r="723">
      <c r="E723" s="48"/>
    </row>
    <row r="724">
      <c r="E724" s="48"/>
    </row>
    <row r="725">
      <c r="E725" s="48"/>
    </row>
    <row r="726">
      <c r="E726" s="48"/>
    </row>
    <row r="727">
      <c r="E727" s="48"/>
    </row>
    <row r="728">
      <c r="E728" s="48"/>
    </row>
    <row r="729">
      <c r="E729" s="48"/>
    </row>
    <row r="730">
      <c r="E730" s="48"/>
    </row>
    <row r="731">
      <c r="E731" s="48"/>
    </row>
    <row r="732">
      <c r="E732" s="48"/>
    </row>
    <row r="733">
      <c r="E733" s="48"/>
    </row>
    <row r="734">
      <c r="E734" s="48"/>
    </row>
    <row r="735">
      <c r="E735" s="48"/>
    </row>
    <row r="736">
      <c r="E736" s="48"/>
    </row>
    <row r="737">
      <c r="E737" s="48"/>
    </row>
    <row r="738">
      <c r="E738" s="48"/>
    </row>
    <row r="739">
      <c r="E739" s="48"/>
    </row>
    <row r="740">
      <c r="E740" s="48"/>
    </row>
    <row r="741">
      <c r="E741" s="48"/>
    </row>
    <row r="742">
      <c r="E742" s="48"/>
    </row>
    <row r="743">
      <c r="E743" s="48"/>
    </row>
    <row r="744">
      <c r="E744" s="48"/>
    </row>
    <row r="745">
      <c r="E745" s="48"/>
    </row>
    <row r="746">
      <c r="E746" s="48"/>
    </row>
    <row r="747">
      <c r="E747" s="48"/>
    </row>
    <row r="748">
      <c r="E748" s="48"/>
    </row>
    <row r="749">
      <c r="E749" s="48"/>
    </row>
    <row r="750">
      <c r="E750" s="48"/>
    </row>
    <row r="751">
      <c r="E751" s="48"/>
    </row>
    <row r="752">
      <c r="E752" s="48"/>
    </row>
    <row r="753">
      <c r="E753" s="48"/>
    </row>
    <row r="754">
      <c r="E754" s="48"/>
    </row>
    <row r="755">
      <c r="E755" s="48"/>
    </row>
    <row r="756">
      <c r="E756" s="48"/>
    </row>
    <row r="757">
      <c r="E757" s="48"/>
    </row>
    <row r="758">
      <c r="E758" s="48"/>
    </row>
    <row r="759">
      <c r="E759" s="48"/>
    </row>
    <row r="760">
      <c r="E760" s="48"/>
    </row>
    <row r="761">
      <c r="E761" s="48"/>
    </row>
    <row r="762">
      <c r="E762" s="48"/>
    </row>
    <row r="763">
      <c r="E763" s="48"/>
    </row>
    <row r="764">
      <c r="E764" s="48"/>
    </row>
    <row r="765">
      <c r="E765" s="48"/>
    </row>
    <row r="766">
      <c r="E766" s="48"/>
    </row>
    <row r="767">
      <c r="E767" s="48"/>
    </row>
    <row r="768">
      <c r="E768" s="48"/>
    </row>
    <row r="769">
      <c r="E769" s="48"/>
    </row>
    <row r="770">
      <c r="E770" s="48"/>
    </row>
    <row r="771">
      <c r="E771" s="48"/>
    </row>
    <row r="772">
      <c r="E772" s="48"/>
    </row>
    <row r="773">
      <c r="E773" s="48"/>
    </row>
    <row r="774">
      <c r="E774" s="48"/>
    </row>
    <row r="775">
      <c r="E775" s="48"/>
    </row>
    <row r="776">
      <c r="E776" s="48"/>
    </row>
    <row r="777">
      <c r="E777" s="48"/>
    </row>
    <row r="778">
      <c r="E778" s="48"/>
    </row>
    <row r="779">
      <c r="E779" s="48"/>
    </row>
    <row r="780">
      <c r="E780" s="48"/>
    </row>
    <row r="781">
      <c r="E781" s="48"/>
    </row>
    <row r="782">
      <c r="E782" s="48"/>
    </row>
    <row r="783">
      <c r="E783" s="48"/>
    </row>
    <row r="784">
      <c r="E784" s="48"/>
    </row>
    <row r="785">
      <c r="E785" s="48"/>
    </row>
    <row r="786">
      <c r="E786" s="48"/>
    </row>
    <row r="787">
      <c r="E787" s="48"/>
    </row>
    <row r="788">
      <c r="E788" s="48"/>
    </row>
    <row r="789">
      <c r="E789" s="48"/>
    </row>
    <row r="790">
      <c r="E790" s="48"/>
    </row>
    <row r="791">
      <c r="E791" s="48"/>
    </row>
    <row r="792">
      <c r="E792" s="48"/>
    </row>
    <row r="793">
      <c r="E793" s="48"/>
    </row>
    <row r="794">
      <c r="E794" s="48"/>
    </row>
    <row r="795">
      <c r="E795" s="48"/>
    </row>
    <row r="796">
      <c r="E796" s="48"/>
    </row>
    <row r="797">
      <c r="E797" s="48"/>
    </row>
    <row r="798">
      <c r="E798" s="48"/>
    </row>
    <row r="799">
      <c r="E799" s="48"/>
    </row>
    <row r="800">
      <c r="E800" s="48"/>
    </row>
    <row r="801">
      <c r="E801" s="48"/>
    </row>
    <row r="802">
      <c r="E802" s="48"/>
    </row>
    <row r="803">
      <c r="E803" s="48"/>
    </row>
    <row r="804">
      <c r="E804" s="48"/>
    </row>
    <row r="805">
      <c r="E805" s="48"/>
    </row>
    <row r="806">
      <c r="E806" s="48"/>
    </row>
    <row r="807">
      <c r="E807" s="48"/>
    </row>
    <row r="808">
      <c r="E808" s="48"/>
    </row>
    <row r="809">
      <c r="E809" s="48"/>
    </row>
    <row r="810">
      <c r="E810" s="48"/>
    </row>
    <row r="811">
      <c r="E811" s="48"/>
    </row>
    <row r="812">
      <c r="E812" s="48"/>
    </row>
    <row r="813">
      <c r="E813" s="48"/>
    </row>
    <row r="814">
      <c r="E814" s="48"/>
    </row>
    <row r="815">
      <c r="E815" s="48"/>
    </row>
    <row r="816">
      <c r="E816" s="48"/>
    </row>
    <row r="817">
      <c r="E817" s="48"/>
    </row>
    <row r="818">
      <c r="E818" s="48"/>
    </row>
    <row r="819">
      <c r="E819" s="48"/>
    </row>
    <row r="820">
      <c r="E820" s="48"/>
    </row>
    <row r="821">
      <c r="E821" s="48"/>
    </row>
    <row r="822">
      <c r="E822" s="48"/>
    </row>
    <row r="823">
      <c r="E823" s="48"/>
    </row>
    <row r="824">
      <c r="E824" s="48"/>
    </row>
    <row r="825">
      <c r="E825" s="48"/>
    </row>
    <row r="826">
      <c r="E826" s="48"/>
    </row>
    <row r="827">
      <c r="E827" s="48"/>
    </row>
    <row r="828">
      <c r="E828" s="48"/>
    </row>
    <row r="829">
      <c r="E829" s="48"/>
    </row>
    <row r="830">
      <c r="E830" s="48"/>
    </row>
    <row r="831">
      <c r="E831" s="48"/>
    </row>
    <row r="832">
      <c r="E832" s="48"/>
    </row>
    <row r="833">
      <c r="E833" s="48"/>
    </row>
    <row r="834">
      <c r="E834" s="48"/>
    </row>
    <row r="835">
      <c r="E835" s="48"/>
    </row>
    <row r="836">
      <c r="E836" s="48"/>
    </row>
    <row r="837">
      <c r="E837" s="48"/>
    </row>
    <row r="838">
      <c r="E838" s="48"/>
    </row>
    <row r="839">
      <c r="E839" s="48"/>
    </row>
    <row r="840">
      <c r="E840" s="48"/>
    </row>
    <row r="841">
      <c r="E841" s="48"/>
    </row>
    <row r="842">
      <c r="E842" s="48"/>
    </row>
    <row r="843">
      <c r="E843" s="48"/>
    </row>
    <row r="844">
      <c r="E844" s="48"/>
    </row>
    <row r="845">
      <c r="E845" s="48"/>
    </row>
    <row r="846">
      <c r="E846" s="48"/>
    </row>
    <row r="847">
      <c r="E847" s="48"/>
    </row>
    <row r="848">
      <c r="E848" s="48"/>
    </row>
    <row r="849">
      <c r="E849" s="48"/>
    </row>
    <row r="850">
      <c r="E850" s="48"/>
    </row>
    <row r="851">
      <c r="E851" s="48"/>
    </row>
    <row r="852">
      <c r="E852" s="48"/>
    </row>
    <row r="853">
      <c r="E853" s="48"/>
    </row>
    <row r="854">
      <c r="E854" s="48"/>
    </row>
    <row r="855">
      <c r="E855" s="48"/>
    </row>
    <row r="856">
      <c r="E856" s="48"/>
    </row>
    <row r="857">
      <c r="E857" s="48"/>
    </row>
    <row r="858">
      <c r="E858" s="48"/>
    </row>
    <row r="859">
      <c r="E859" s="48"/>
    </row>
    <row r="860">
      <c r="E860" s="48"/>
    </row>
    <row r="861">
      <c r="E861" s="48"/>
    </row>
    <row r="862">
      <c r="E862" s="48"/>
    </row>
    <row r="863">
      <c r="E863" s="48"/>
    </row>
    <row r="864">
      <c r="E864" s="48"/>
    </row>
    <row r="865">
      <c r="E865" s="48"/>
    </row>
    <row r="866">
      <c r="E866" s="48"/>
    </row>
    <row r="867">
      <c r="E867" s="48"/>
    </row>
    <row r="868">
      <c r="E868" s="48"/>
    </row>
    <row r="869">
      <c r="E869" s="48"/>
    </row>
    <row r="870">
      <c r="E870" s="48"/>
    </row>
    <row r="871">
      <c r="E871" s="48"/>
    </row>
    <row r="872">
      <c r="E872" s="48"/>
    </row>
    <row r="873">
      <c r="E873" s="48"/>
    </row>
    <row r="874">
      <c r="E874" s="48"/>
    </row>
    <row r="875">
      <c r="E875" s="48"/>
    </row>
    <row r="876">
      <c r="E876" s="48"/>
    </row>
    <row r="877">
      <c r="E877" s="48"/>
    </row>
    <row r="878">
      <c r="E878" s="48"/>
    </row>
    <row r="879">
      <c r="E879" s="48"/>
    </row>
    <row r="880">
      <c r="E880" s="48"/>
    </row>
    <row r="881">
      <c r="E881" s="48"/>
    </row>
    <row r="882">
      <c r="E882" s="48"/>
    </row>
    <row r="883">
      <c r="E883" s="48"/>
    </row>
    <row r="884">
      <c r="E884" s="48"/>
    </row>
    <row r="885">
      <c r="E885" s="48"/>
    </row>
    <row r="886">
      <c r="E886" s="48"/>
    </row>
    <row r="887">
      <c r="E887" s="48"/>
    </row>
    <row r="888">
      <c r="E888" s="48"/>
    </row>
    <row r="889">
      <c r="E889" s="48"/>
    </row>
    <row r="890">
      <c r="E890" s="48"/>
    </row>
    <row r="891">
      <c r="E891" s="48"/>
    </row>
    <row r="892">
      <c r="E892" s="48"/>
    </row>
    <row r="893">
      <c r="E893" s="48"/>
    </row>
    <row r="894">
      <c r="E894" s="48"/>
    </row>
    <row r="895">
      <c r="E895" s="48"/>
    </row>
    <row r="896">
      <c r="E896" s="48"/>
    </row>
    <row r="897">
      <c r="E897" s="48"/>
    </row>
    <row r="898">
      <c r="E898" s="48"/>
    </row>
    <row r="899">
      <c r="E899" s="48"/>
    </row>
    <row r="900">
      <c r="E900" s="48"/>
    </row>
    <row r="901">
      <c r="E901" s="48"/>
    </row>
    <row r="902">
      <c r="E902" s="48"/>
    </row>
    <row r="903">
      <c r="E903" s="48"/>
    </row>
    <row r="904">
      <c r="E904" s="48"/>
    </row>
    <row r="905">
      <c r="E905" s="48"/>
    </row>
    <row r="906">
      <c r="E906" s="48"/>
    </row>
    <row r="907">
      <c r="E907" s="48"/>
    </row>
    <row r="908">
      <c r="E908" s="48"/>
    </row>
    <row r="909">
      <c r="E909" s="48"/>
    </row>
    <row r="910">
      <c r="E910" s="48"/>
    </row>
    <row r="911">
      <c r="E911" s="48"/>
    </row>
    <row r="912">
      <c r="E912" s="48"/>
    </row>
    <row r="913">
      <c r="E913" s="48"/>
    </row>
    <row r="914">
      <c r="E914" s="48"/>
    </row>
    <row r="915">
      <c r="E915" s="48"/>
    </row>
    <row r="916">
      <c r="E916" s="48"/>
    </row>
    <row r="917">
      <c r="E917" s="48"/>
    </row>
    <row r="918">
      <c r="E918" s="48"/>
    </row>
    <row r="919">
      <c r="E919" s="48"/>
    </row>
    <row r="920">
      <c r="E920" s="48"/>
    </row>
    <row r="921">
      <c r="E921" s="48"/>
    </row>
    <row r="922">
      <c r="E922" s="48"/>
    </row>
    <row r="923">
      <c r="E923" s="48"/>
    </row>
    <row r="924">
      <c r="E924" s="48"/>
    </row>
    <row r="925">
      <c r="E925" s="48"/>
    </row>
    <row r="926">
      <c r="E926" s="48"/>
    </row>
    <row r="927">
      <c r="E927" s="48"/>
    </row>
    <row r="928">
      <c r="E928" s="48"/>
    </row>
    <row r="929">
      <c r="E929" s="48"/>
    </row>
    <row r="930">
      <c r="E930" s="48"/>
    </row>
    <row r="931">
      <c r="E931" s="48"/>
    </row>
    <row r="932">
      <c r="E932" s="48"/>
    </row>
    <row r="933">
      <c r="E933" s="48"/>
    </row>
    <row r="934">
      <c r="E934" s="48"/>
    </row>
    <row r="935">
      <c r="E935" s="48"/>
    </row>
    <row r="936">
      <c r="E936" s="48"/>
    </row>
    <row r="937">
      <c r="E937" s="48"/>
    </row>
    <row r="938">
      <c r="E938" s="48"/>
    </row>
    <row r="939">
      <c r="E939" s="48"/>
    </row>
    <row r="940">
      <c r="E940" s="48"/>
    </row>
    <row r="941">
      <c r="E941" s="48"/>
    </row>
    <row r="942">
      <c r="E942" s="48"/>
    </row>
    <row r="943">
      <c r="E943" s="48"/>
    </row>
    <row r="944">
      <c r="E944" s="48"/>
    </row>
    <row r="945">
      <c r="E945" s="48"/>
    </row>
    <row r="946">
      <c r="E946" s="48"/>
    </row>
    <row r="947">
      <c r="E947" s="48"/>
    </row>
    <row r="948">
      <c r="E948" s="48"/>
    </row>
    <row r="949">
      <c r="E949" s="48"/>
    </row>
    <row r="950">
      <c r="E950" s="48"/>
    </row>
    <row r="951">
      <c r="E951" s="48"/>
    </row>
    <row r="952">
      <c r="E952" s="48"/>
    </row>
    <row r="953">
      <c r="E953" s="48"/>
    </row>
    <row r="954">
      <c r="E954" s="48"/>
    </row>
    <row r="955">
      <c r="E955" s="48"/>
    </row>
    <row r="956">
      <c r="E956" s="48"/>
    </row>
    <row r="957">
      <c r="E957" s="48"/>
    </row>
    <row r="958">
      <c r="E958" s="48"/>
    </row>
    <row r="959">
      <c r="E959" s="48"/>
    </row>
    <row r="960">
      <c r="E960" s="48"/>
    </row>
    <row r="961">
      <c r="E961" s="48"/>
    </row>
    <row r="962">
      <c r="E962" s="48"/>
    </row>
    <row r="963">
      <c r="E963" s="48"/>
    </row>
    <row r="964">
      <c r="E964" s="48"/>
    </row>
    <row r="965">
      <c r="E965" s="48"/>
    </row>
    <row r="966">
      <c r="E966" s="48"/>
    </row>
    <row r="967">
      <c r="E967" s="48"/>
    </row>
    <row r="968">
      <c r="E968" s="48"/>
    </row>
    <row r="969">
      <c r="E969" s="48"/>
    </row>
    <row r="970">
      <c r="E970" s="48"/>
    </row>
    <row r="971">
      <c r="E971" s="48"/>
    </row>
    <row r="972">
      <c r="E972" s="48"/>
    </row>
    <row r="973">
      <c r="E973" s="48"/>
    </row>
    <row r="974">
      <c r="E974" s="48"/>
    </row>
    <row r="975">
      <c r="E975" s="48"/>
    </row>
    <row r="976">
      <c r="E976" s="48"/>
    </row>
    <row r="977">
      <c r="E977" s="48"/>
    </row>
    <row r="978">
      <c r="E978" s="48"/>
    </row>
    <row r="979">
      <c r="E979" s="48"/>
    </row>
    <row r="980">
      <c r="E980" s="48"/>
    </row>
    <row r="981">
      <c r="E981" s="48"/>
    </row>
    <row r="982">
      <c r="E982" s="48"/>
    </row>
    <row r="983">
      <c r="E983" s="48"/>
    </row>
    <row r="984">
      <c r="E984" s="48"/>
    </row>
    <row r="985">
      <c r="E985" s="48"/>
    </row>
    <row r="986">
      <c r="E986" s="48"/>
    </row>
    <row r="987">
      <c r="E987" s="48"/>
    </row>
    <row r="988">
      <c r="E988" s="48"/>
    </row>
    <row r="989">
      <c r="E989" s="48"/>
    </row>
    <row r="990">
      <c r="E990" s="48"/>
    </row>
    <row r="991">
      <c r="E991" s="48"/>
    </row>
    <row r="992">
      <c r="E992" s="48"/>
    </row>
    <row r="993">
      <c r="E993" s="48"/>
    </row>
    <row r="994">
      <c r="E994" s="48"/>
    </row>
    <row r="995">
      <c r="E995" s="48"/>
    </row>
    <row r="996">
      <c r="E996" s="48"/>
    </row>
    <row r="997">
      <c r="E997" s="48"/>
    </row>
    <row r="998">
      <c r="E998" s="48"/>
    </row>
    <row r="999">
      <c r="E999" s="48"/>
    </row>
  </sheetData>
  <conditionalFormatting sqref="A1:T1">
    <cfRule type="notContainsBlanks" dxfId="0" priority="1">
      <formula>LEN(TRIM(A1))&gt;0</formula>
    </cfRule>
  </conditionalFormatting>
  <hyperlinks>
    <hyperlink r:id="rId1" ref="H2"/>
    <hyperlink r:id="rId2" ref="I2"/>
    <hyperlink r:id="rId3" ref="J2"/>
    <hyperlink r:id="rId4" ref="J3"/>
    <hyperlink r:id="rId5" ref="J4"/>
    <hyperlink r:id="rId6" ref="J5"/>
    <hyperlink r:id="rId7" ref="H6"/>
    <hyperlink r:id="rId8" ref="H7"/>
    <hyperlink r:id="rId9" ref="I7"/>
    <hyperlink r:id="rId10" ref="H8"/>
    <hyperlink r:id="rId11" ref="H9"/>
    <hyperlink r:id="rId12" ref="H10"/>
    <hyperlink r:id="rId13" ref="I10"/>
    <hyperlink r:id="rId14" ref="J10"/>
    <hyperlink r:id="rId15" ref="H11"/>
    <hyperlink r:id="rId16" ref="H12"/>
    <hyperlink r:id="rId17" ref="H13"/>
    <hyperlink r:id="rId18" ref="I13"/>
    <hyperlink r:id="rId19" ref="J13"/>
    <hyperlink r:id="rId20" ref="H14"/>
    <hyperlink r:id="rId21" ref="I14"/>
    <hyperlink r:id="rId22" ref="J15"/>
    <hyperlink r:id="rId23" ref="J16"/>
    <hyperlink r:id="rId24" ref="H17"/>
    <hyperlink r:id="rId25" ref="I18"/>
    <hyperlink r:id="rId26" ref="H20"/>
    <hyperlink r:id="rId27" ref="H21"/>
    <hyperlink r:id="rId28" ref="J21"/>
    <hyperlink r:id="rId29" ref="H22"/>
    <hyperlink r:id="rId30" ref="J22"/>
    <hyperlink r:id="rId31" ref="H23"/>
    <hyperlink r:id="rId32" ref="J23"/>
    <hyperlink r:id="rId33" ref="J24"/>
    <hyperlink r:id="rId34" ref="H25"/>
    <hyperlink r:id="rId35" ref="H26"/>
    <hyperlink r:id="rId36" ref="J27"/>
    <hyperlink r:id="rId37" ref="H28"/>
    <hyperlink r:id="rId38" ref="I28"/>
    <hyperlink r:id="rId39" ref="J28"/>
    <hyperlink r:id="rId40" ref="H29"/>
    <hyperlink r:id="rId41" ref="I29"/>
    <hyperlink r:id="rId42" ref="J29"/>
    <hyperlink r:id="rId43" ref="J30"/>
    <hyperlink r:id="rId44" ref="H31"/>
    <hyperlink r:id="rId45" ref="J31"/>
    <hyperlink r:id="rId46" ref="H32"/>
    <hyperlink r:id="rId47" ref="I32"/>
    <hyperlink r:id="rId48" ref="J33"/>
    <hyperlink r:id="rId49" ref="H34"/>
    <hyperlink r:id="rId50" ref="I34"/>
    <hyperlink r:id="rId51" ref="H35"/>
    <hyperlink r:id="rId52" ref="I35"/>
    <hyperlink r:id="rId53" ref="H36"/>
    <hyperlink r:id="rId54" ref="J37"/>
    <hyperlink r:id="rId55" ref="H38"/>
    <hyperlink r:id="rId56" ref="J38"/>
    <hyperlink r:id="rId57" ref="J39"/>
    <hyperlink r:id="rId58" ref="J40"/>
    <hyperlink r:id="rId59" ref="J41"/>
    <hyperlink r:id="rId60" ref="H42"/>
    <hyperlink r:id="rId61" ref="I42"/>
    <hyperlink r:id="rId62" ref="J42"/>
    <hyperlink r:id="rId63" ref="H43"/>
    <hyperlink r:id="rId64" ref="H44"/>
    <hyperlink r:id="rId65" ref="I44"/>
    <hyperlink r:id="rId66" ref="J44"/>
    <hyperlink r:id="rId67" ref="H45"/>
    <hyperlink r:id="rId68" ref="H46"/>
    <hyperlink r:id="rId69" ref="I46"/>
    <hyperlink r:id="rId70" ref="H47"/>
    <hyperlink r:id="rId71" ref="H48"/>
    <hyperlink r:id="rId72" ref="I48"/>
    <hyperlink r:id="rId73" ref="H49"/>
    <hyperlink r:id="rId74" ref="I49"/>
    <hyperlink r:id="rId75" ref="J50"/>
    <hyperlink r:id="rId76" ref="H51"/>
    <hyperlink r:id="rId77" ref="H52"/>
    <hyperlink r:id="rId78" ref="J53"/>
    <hyperlink r:id="rId79" ref="J54"/>
    <hyperlink r:id="rId80" ref="H55"/>
    <hyperlink r:id="rId81" ref="H56"/>
    <hyperlink r:id="rId82" ref="H57"/>
    <hyperlink r:id="rId83" ref="H58"/>
    <hyperlink r:id="rId84" ref="H59"/>
    <hyperlink r:id="rId85" ref="H60"/>
    <hyperlink r:id="rId86" ref="I60"/>
    <hyperlink r:id="rId87" ref="I61"/>
    <hyperlink r:id="rId88" ref="H62"/>
    <hyperlink r:id="rId89" ref="I62"/>
    <hyperlink r:id="rId90" ref="H63"/>
    <hyperlink r:id="rId91" ref="J63"/>
    <hyperlink r:id="rId92" ref="I64"/>
    <hyperlink r:id="rId93" ref="H65"/>
    <hyperlink r:id="rId94" ref="H66"/>
    <hyperlink r:id="rId95" ref="I67"/>
    <hyperlink r:id="rId96" ref="H68"/>
    <hyperlink r:id="rId97" ref="J69"/>
    <hyperlink r:id="rId98" ref="H70"/>
    <hyperlink r:id="rId99" ref="H71"/>
    <hyperlink r:id="rId100" ref="H72"/>
    <hyperlink r:id="rId101" ref="J72"/>
    <hyperlink r:id="rId102" ref="H73"/>
    <hyperlink r:id="rId103" ref="H74"/>
    <hyperlink r:id="rId104" ref="H75"/>
    <hyperlink r:id="rId105" ref="H76"/>
    <hyperlink r:id="rId106" ref="H77"/>
    <hyperlink r:id="rId107" ref="H78"/>
    <hyperlink r:id="rId108" ref="H79"/>
    <hyperlink r:id="rId109" ref="H80"/>
    <hyperlink r:id="rId110" ref="I80"/>
    <hyperlink r:id="rId111" ref="H81"/>
    <hyperlink r:id="rId112" ref="J81"/>
    <hyperlink r:id="rId113" ref="I82"/>
    <hyperlink r:id="rId114" ref="J83"/>
    <hyperlink r:id="rId115" ref="H84"/>
    <hyperlink r:id="rId116" ref="I84"/>
    <hyperlink r:id="rId117" ref="J84"/>
    <hyperlink r:id="rId118" ref="J85"/>
    <hyperlink r:id="rId119" ref="H86"/>
    <hyperlink r:id="rId120" ref="H87"/>
    <hyperlink r:id="rId121" ref="J88"/>
    <hyperlink r:id="rId122" ref="H89"/>
    <hyperlink r:id="rId123" ref="I90"/>
    <hyperlink r:id="rId124" ref="H91"/>
    <hyperlink r:id="rId125" ref="I91"/>
    <hyperlink r:id="rId126" ref="J92"/>
    <hyperlink r:id="rId127" ref="H93"/>
    <hyperlink r:id="rId128" ref="I93"/>
    <hyperlink r:id="rId129" ref="H94"/>
    <hyperlink r:id="rId130" ref="I94"/>
    <hyperlink r:id="rId131" ref="H95"/>
    <hyperlink r:id="rId132" ref="I95"/>
    <hyperlink r:id="rId133" ref="H96"/>
    <hyperlink r:id="rId134" ref="J97"/>
    <hyperlink r:id="rId135" ref="H98"/>
    <hyperlink r:id="rId136" ref="I98"/>
    <hyperlink r:id="rId137" ref="H99"/>
    <hyperlink r:id="rId138" ref="I99"/>
    <hyperlink r:id="rId139" ref="H100"/>
    <hyperlink r:id="rId140" ref="I100"/>
    <hyperlink r:id="rId141" ref="H101"/>
    <hyperlink r:id="rId142" ref="I102"/>
    <hyperlink r:id="rId143" ref="H103"/>
    <hyperlink r:id="rId144" ref="H104"/>
    <hyperlink r:id="rId145" ref="I104"/>
    <hyperlink r:id="rId146" ref="J104"/>
    <hyperlink r:id="rId147" ref="J105"/>
  </hyperlinks>
  <drawing r:id="rId148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4.0"/>
    <col customWidth="1" min="3" max="3" width="36.88"/>
    <col customWidth="1" min="4" max="4" width="4.75"/>
    <col customWidth="1" min="5" max="5" width="5.88"/>
    <col customWidth="1" min="6" max="6" width="4.13"/>
    <col customWidth="1" min="7" max="7" width="3.0"/>
    <col customWidth="1" min="8" max="8" width="48.38"/>
    <col customWidth="1" min="9" max="9" width="37.63"/>
    <col customWidth="1" min="10" max="10" width="40.63"/>
    <col customWidth="1" min="11" max="11" width="4.88"/>
    <col customWidth="1" min="12" max="12" width="3.88"/>
    <col customWidth="1" min="13" max="13" width="7.25"/>
    <col customWidth="1" min="14" max="14" width="4.38"/>
    <col customWidth="1" min="15" max="15" width="4.5"/>
    <col customWidth="1" min="16" max="16" width="4.13"/>
    <col customWidth="1" min="17" max="17" width="5.13"/>
    <col customWidth="1" min="18" max="18" width="4.25"/>
    <col customWidth="1" min="19" max="19" width="4.5"/>
  </cols>
  <sheetData>
    <row r="1">
      <c r="A1" s="8" t="s">
        <v>19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>
      <c r="A2" s="37">
        <v>30096.0</v>
      </c>
      <c r="B2" s="8" t="s">
        <v>20</v>
      </c>
      <c r="C2" s="11" t="s">
        <v>8418</v>
      </c>
      <c r="D2" s="8" t="s">
        <v>11862</v>
      </c>
      <c r="E2" s="8" t="s">
        <v>11863</v>
      </c>
      <c r="H2" s="12" t="s">
        <v>11864</v>
      </c>
      <c r="J2" s="258"/>
    </row>
    <row r="3">
      <c r="A3" s="37">
        <v>29853.0</v>
      </c>
      <c r="B3" s="8" t="s">
        <v>20</v>
      </c>
      <c r="C3" s="11" t="s">
        <v>11413</v>
      </c>
      <c r="D3" s="8" t="s">
        <v>11862</v>
      </c>
      <c r="E3" s="8" t="s">
        <v>11865</v>
      </c>
      <c r="J3" s="9" t="s">
        <v>11866</v>
      </c>
    </row>
    <row r="4">
      <c r="A4" s="37">
        <v>29852.0</v>
      </c>
      <c r="B4" s="8" t="s">
        <v>20</v>
      </c>
      <c r="C4" s="11" t="s">
        <v>9040</v>
      </c>
      <c r="D4" s="8" t="s">
        <v>11862</v>
      </c>
      <c r="E4" s="8" t="s">
        <v>11865</v>
      </c>
      <c r="J4" s="12" t="s">
        <v>11867</v>
      </c>
    </row>
    <row r="5">
      <c r="A5" s="37">
        <v>29848.0</v>
      </c>
      <c r="B5" s="8" t="s">
        <v>20</v>
      </c>
      <c r="C5" s="11" t="s">
        <v>4724</v>
      </c>
      <c r="D5" s="8" t="s">
        <v>11862</v>
      </c>
      <c r="E5" s="8" t="s">
        <v>11868</v>
      </c>
      <c r="H5" s="257"/>
      <c r="J5" s="12" t="s">
        <v>11869</v>
      </c>
    </row>
    <row r="6">
      <c r="A6" s="37">
        <v>29850.0</v>
      </c>
      <c r="B6" s="8" t="s">
        <v>20</v>
      </c>
      <c r="C6" s="11" t="s">
        <v>11870</v>
      </c>
      <c r="D6" s="8" t="s">
        <v>11862</v>
      </c>
      <c r="E6" s="8" t="s">
        <v>11871</v>
      </c>
      <c r="H6" s="12" t="s">
        <v>11872</v>
      </c>
      <c r="I6" s="258"/>
    </row>
    <row r="7">
      <c r="A7" s="37">
        <v>29772.0</v>
      </c>
      <c r="B7" s="8" t="s">
        <v>20</v>
      </c>
      <c r="C7" s="11" t="s">
        <v>3418</v>
      </c>
      <c r="D7" s="8" t="s">
        <v>11862</v>
      </c>
      <c r="E7" s="8" t="s">
        <v>11871</v>
      </c>
      <c r="J7" s="12" t="s">
        <v>11873</v>
      </c>
    </row>
    <row r="8">
      <c r="A8" s="37">
        <v>26423.0</v>
      </c>
      <c r="B8" s="8" t="s">
        <v>20</v>
      </c>
      <c r="C8" s="11" t="s">
        <v>49</v>
      </c>
      <c r="D8" s="8" t="s">
        <v>11862</v>
      </c>
      <c r="E8" s="8" t="s">
        <v>11863</v>
      </c>
      <c r="H8" s="12" t="s">
        <v>11874</v>
      </c>
      <c r="J8" s="12" t="s">
        <v>11875</v>
      </c>
    </row>
    <row r="9">
      <c r="A9" s="37">
        <v>26055.0</v>
      </c>
      <c r="B9" s="8" t="s">
        <v>20</v>
      </c>
      <c r="C9" s="11" t="s">
        <v>189</v>
      </c>
      <c r="D9" s="8" t="s">
        <v>11862</v>
      </c>
      <c r="E9" s="8" t="s">
        <v>11863</v>
      </c>
      <c r="H9" s="12" t="s">
        <v>11876</v>
      </c>
      <c r="J9" s="12" t="s">
        <v>11877</v>
      </c>
    </row>
    <row r="10">
      <c r="A10" s="37">
        <v>24941.0</v>
      </c>
      <c r="B10" s="8" t="s">
        <v>20</v>
      </c>
      <c r="C10" s="11" t="s">
        <v>11870</v>
      </c>
      <c r="D10" s="8" t="s">
        <v>11862</v>
      </c>
      <c r="E10" s="8"/>
      <c r="H10" s="12" t="s">
        <v>11878</v>
      </c>
      <c r="I10" s="12" t="s">
        <v>11879</v>
      </c>
    </row>
    <row r="11">
      <c r="A11" s="37">
        <v>22336.0</v>
      </c>
      <c r="B11" s="8" t="s">
        <v>20</v>
      </c>
      <c r="C11" s="11" t="s">
        <v>11880</v>
      </c>
      <c r="D11" s="8" t="s">
        <v>11862</v>
      </c>
      <c r="E11" s="8" t="s">
        <v>11868</v>
      </c>
      <c r="J11" s="12" t="s">
        <v>11881</v>
      </c>
    </row>
    <row r="12">
      <c r="A12" s="37">
        <v>19931.0</v>
      </c>
      <c r="B12" s="8" t="s">
        <v>20</v>
      </c>
      <c r="C12" s="11" t="s">
        <v>74</v>
      </c>
      <c r="D12" s="8" t="s">
        <v>11862</v>
      </c>
      <c r="E12" s="8" t="s">
        <v>11871</v>
      </c>
      <c r="H12" s="12" t="s">
        <v>11882</v>
      </c>
      <c r="I12" s="12" t="s">
        <v>11883</v>
      </c>
    </row>
    <row r="13">
      <c r="A13" s="37">
        <v>19929.0</v>
      </c>
      <c r="B13" s="8" t="s">
        <v>20</v>
      </c>
      <c r="C13" s="11" t="s">
        <v>1975</v>
      </c>
      <c r="D13" s="8" t="s">
        <v>11862</v>
      </c>
      <c r="E13" s="8" t="s">
        <v>11871</v>
      </c>
      <c r="J13" s="12" t="s">
        <v>11884</v>
      </c>
    </row>
    <row r="14">
      <c r="A14" s="37">
        <v>19907.0</v>
      </c>
      <c r="B14" s="8" t="s">
        <v>20</v>
      </c>
      <c r="C14" s="11" t="s">
        <v>11885</v>
      </c>
      <c r="D14" s="8" t="s">
        <v>11862</v>
      </c>
      <c r="E14" s="8" t="s">
        <v>11871</v>
      </c>
      <c r="J14" s="12" t="s">
        <v>11886</v>
      </c>
    </row>
    <row r="15">
      <c r="A15" s="37">
        <v>18239.0</v>
      </c>
      <c r="B15" s="8" t="s">
        <v>20</v>
      </c>
      <c r="C15" s="11" t="s">
        <v>871</v>
      </c>
      <c r="D15" s="8" t="s">
        <v>11862</v>
      </c>
      <c r="E15" s="8" t="s">
        <v>11871</v>
      </c>
      <c r="J15" s="12" t="s">
        <v>11887</v>
      </c>
    </row>
    <row r="16">
      <c r="A16" s="37">
        <v>18237.0</v>
      </c>
      <c r="B16" s="8" t="s">
        <v>20</v>
      </c>
      <c r="C16" s="11" t="s">
        <v>11888</v>
      </c>
      <c r="D16" s="8" t="s">
        <v>11862</v>
      </c>
      <c r="E16" s="8" t="s">
        <v>11889</v>
      </c>
      <c r="J16" s="12" t="s">
        <v>11890</v>
      </c>
    </row>
    <row r="17">
      <c r="A17" s="37">
        <v>1823.0</v>
      </c>
      <c r="B17" s="8" t="s">
        <v>20</v>
      </c>
      <c r="C17" s="11" t="s">
        <v>8055</v>
      </c>
      <c r="D17" s="8" t="s">
        <v>11862</v>
      </c>
      <c r="E17" s="8" t="s">
        <v>11889</v>
      </c>
      <c r="H17" s="12" t="s">
        <v>11891</v>
      </c>
    </row>
    <row r="18">
      <c r="A18" s="37">
        <v>18235.0</v>
      </c>
      <c r="B18" s="8" t="s">
        <v>20</v>
      </c>
      <c r="C18" s="11" t="s">
        <v>11892</v>
      </c>
      <c r="D18" s="8" t="s">
        <v>11862</v>
      </c>
      <c r="E18" s="8" t="s">
        <v>11893</v>
      </c>
      <c r="H18" s="12" t="s">
        <v>11894</v>
      </c>
    </row>
    <row r="19">
      <c r="A19" s="37">
        <v>18230.0</v>
      </c>
      <c r="B19" s="8" t="s">
        <v>20</v>
      </c>
      <c r="C19" s="11" t="s">
        <v>11895</v>
      </c>
      <c r="D19" s="8" t="s">
        <v>11862</v>
      </c>
      <c r="E19" s="8" t="s">
        <v>11863</v>
      </c>
      <c r="H19" s="12" t="s">
        <v>11896</v>
      </c>
    </row>
    <row r="20">
      <c r="A20" s="37">
        <v>18229.0</v>
      </c>
      <c r="B20" s="8" t="s">
        <v>20</v>
      </c>
      <c r="C20" s="11" t="s">
        <v>773</v>
      </c>
      <c r="D20" s="8" t="s">
        <v>11862</v>
      </c>
      <c r="E20" s="8" t="s">
        <v>11868</v>
      </c>
      <c r="H20" s="12" t="s">
        <v>11897</v>
      </c>
    </row>
    <row r="21">
      <c r="A21" s="37">
        <v>18228.0</v>
      </c>
      <c r="B21" s="8" t="s">
        <v>20</v>
      </c>
      <c r="C21" s="11" t="s">
        <v>189</v>
      </c>
      <c r="D21" s="8" t="s">
        <v>11862</v>
      </c>
      <c r="E21" s="8" t="s">
        <v>11868</v>
      </c>
      <c r="H21" s="12" t="s">
        <v>11898</v>
      </c>
    </row>
    <row r="22">
      <c r="A22" s="37">
        <v>18224.0</v>
      </c>
      <c r="B22" s="8" t="s">
        <v>20</v>
      </c>
      <c r="C22" s="11" t="s">
        <v>11899</v>
      </c>
      <c r="D22" s="8" t="s">
        <v>11862</v>
      </c>
      <c r="E22" s="8" t="s">
        <v>11900</v>
      </c>
      <c r="H22" s="12" t="s">
        <v>11901</v>
      </c>
    </row>
    <row r="23">
      <c r="A23" s="37">
        <v>14475.0</v>
      </c>
      <c r="B23" s="8" t="s">
        <v>20</v>
      </c>
      <c r="C23" s="11" t="s">
        <v>855</v>
      </c>
      <c r="D23" s="8" t="s">
        <v>11862</v>
      </c>
      <c r="E23" s="8" t="s">
        <v>11902</v>
      </c>
      <c r="J23" s="12" t="s">
        <v>11903</v>
      </c>
    </row>
    <row r="24">
      <c r="A24" s="37">
        <v>14384.0</v>
      </c>
      <c r="B24" s="8" t="s">
        <v>20</v>
      </c>
      <c r="C24" s="11" t="s">
        <v>3209</v>
      </c>
      <c r="D24" s="8" t="s">
        <v>11862</v>
      </c>
      <c r="E24" s="8" t="s">
        <v>11900</v>
      </c>
      <c r="H24" s="296" t="s">
        <v>11904</v>
      </c>
    </row>
    <row r="25">
      <c r="A25" s="37">
        <v>14290.0</v>
      </c>
      <c r="B25" s="8" t="s">
        <v>20</v>
      </c>
      <c r="C25" s="11" t="s">
        <v>9928</v>
      </c>
      <c r="D25" s="8" t="s">
        <v>11862</v>
      </c>
      <c r="E25" s="8" t="s">
        <v>11871</v>
      </c>
      <c r="H25" s="12" t="s">
        <v>11905</v>
      </c>
    </row>
    <row r="26">
      <c r="A26" s="37">
        <v>14247.0</v>
      </c>
      <c r="B26" s="8" t="s">
        <v>20</v>
      </c>
      <c r="C26" s="11" t="s">
        <v>11906</v>
      </c>
      <c r="D26" s="8" t="s">
        <v>11862</v>
      </c>
      <c r="E26" s="8" t="s">
        <v>11863</v>
      </c>
      <c r="J26" s="12" t="s">
        <v>11907</v>
      </c>
    </row>
    <row r="27">
      <c r="A27" s="37">
        <v>14189.0</v>
      </c>
      <c r="B27" s="8" t="s">
        <v>20</v>
      </c>
      <c r="C27" s="11" t="s">
        <v>11434</v>
      </c>
      <c r="D27" s="8" t="s">
        <v>11862</v>
      </c>
      <c r="E27" s="8" t="s">
        <v>11902</v>
      </c>
      <c r="H27" s="12" t="s">
        <v>11908</v>
      </c>
    </row>
    <row r="28">
      <c r="A28" s="37">
        <v>14127.0</v>
      </c>
      <c r="B28" s="8" t="s">
        <v>20</v>
      </c>
      <c r="C28" s="11" t="s">
        <v>3693</v>
      </c>
      <c r="D28" s="8" t="s">
        <v>11862</v>
      </c>
      <c r="E28" s="8" t="s">
        <v>11871</v>
      </c>
      <c r="H28" s="12" t="s">
        <v>11909</v>
      </c>
    </row>
    <row r="29">
      <c r="A29" s="37">
        <v>14118.0</v>
      </c>
      <c r="B29" s="8" t="s">
        <v>20</v>
      </c>
      <c r="C29" s="11" t="s">
        <v>11910</v>
      </c>
      <c r="D29" s="8" t="s">
        <v>11862</v>
      </c>
      <c r="E29" s="8" t="s">
        <v>11863</v>
      </c>
      <c r="H29" s="12" t="s">
        <v>11911</v>
      </c>
    </row>
    <row r="30">
      <c r="A30" s="37">
        <v>14115.0</v>
      </c>
      <c r="B30" s="8" t="s">
        <v>20</v>
      </c>
      <c r="C30" s="11" t="s">
        <v>5602</v>
      </c>
      <c r="D30" s="8" t="s">
        <v>11862</v>
      </c>
      <c r="E30" s="8" t="s">
        <v>11889</v>
      </c>
      <c r="H30" s="12" t="s">
        <v>11912</v>
      </c>
      <c r="J30" s="258"/>
    </row>
    <row r="31">
      <c r="A31" s="37">
        <v>14084.0</v>
      </c>
      <c r="B31" s="8" t="s">
        <v>20</v>
      </c>
      <c r="C31" s="11" t="s">
        <v>763</v>
      </c>
      <c r="D31" s="8" t="s">
        <v>11862</v>
      </c>
      <c r="E31" s="8" t="s">
        <v>11868</v>
      </c>
      <c r="H31" s="12" t="s">
        <v>11913</v>
      </c>
      <c r="I31" s="12" t="s">
        <v>11914</v>
      </c>
    </row>
    <row r="32">
      <c r="A32" s="37">
        <v>14083.0</v>
      </c>
      <c r="B32" s="8" t="s">
        <v>20</v>
      </c>
      <c r="C32" s="11" t="s">
        <v>11915</v>
      </c>
      <c r="D32" s="8" t="s">
        <v>11862</v>
      </c>
      <c r="E32" s="8" t="s">
        <v>11916</v>
      </c>
      <c r="J32" s="12" t="s">
        <v>11917</v>
      </c>
    </row>
    <row r="33">
      <c r="A33" s="37">
        <v>14066.0</v>
      </c>
      <c r="B33" s="8" t="s">
        <v>20</v>
      </c>
      <c r="C33" s="11" t="s">
        <v>11918</v>
      </c>
      <c r="D33" s="8" t="s">
        <v>11862</v>
      </c>
      <c r="E33" s="8" t="s">
        <v>11871</v>
      </c>
      <c r="H33" s="9" t="s">
        <v>11919</v>
      </c>
    </row>
    <row r="34">
      <c r="A34" s="37">
        <v>14064.0</v>
      </c>
      <c r="B34" s="8" t="s">
        <v>20</v>
      </c>
      <c r="C34" s="11" t="s">
        <v>11920</v>
      </c>
      <c r="D34" s="8" t="s">
        <v>11862</v>
      </c>
      <c r="E34" s="8" t="s">
        <v>11871</v>
      </c>
      <c r="J34" s="296" t="s">
        <v>11921</v>
      </c>
    </row>
    <row r="35">
      <c r="A35" s="37">
        <v>14063.0</v>
      </c>
      <c r="B35" s="8" t="s">
        <v>20</v>
      </c>
      <c r="C35" s="11" t="s">
        <v>7495</v>
      </c>
      <c r="D35" s="8" t="s">
        <v>11862</v>
      </c>
      <c r="E35" s="8" t="s">
        <v>11871</v>
      </c>
      <c r="H35" s="12" t="s">
        <v>11922</v>
      </c>
    </row>
    <row r="36">
      <c r="A36" s="37">
        <v>14058.0</v>
      </c>
      <c r="B36" s="8" t="s">
        <v>20</v>
      </c>
      <c r="C36" s="11" t="s">
        <v>11923</v>
      </c>
      <c r="D36" s="8" t="s">
        <v>11862</v>
      </c>
      <c r="E36" s="8" t="s">
        <v>11871</v>
      </c>
      <c r="H36" s="12" t="s">
        <v>11924</v>
      </c>
    </row>
    <row r="37">
      <c r="A37" s="37">
        <v>14050.0</v>
      </c>
      <c r="B37" s="8" t="s">
        <v>20</v>
      </c>
      <c r="C37" s="11" t="s">
        <v>11925</v>
      </c>
      <c r="D37" s="8" t="s">
        <v>11862</v>
      </c>
      <c r="E37" s="8" t="s">
        <v>11865</v>
      </c>
      <c r="J37" s="12" t="s">
        <v>11926</v>
      </c>
    </row>
    <row r="38">
      <c r="A38" s="37">
        <v>14037.0</v>
      </c>
      <c r="B38" s="8" t="s">
        <v>20</v>
      </c>
      <c r="C38" s="11" t="s">
        <v>7484</v>
      </c>
      <c r="D38" s="8" t="s">
        <v>11862</v>
      </c>
      <c r="E38" s="8" t="s">
        <v>11916</v>
      </c>
      <c r="H38" s="12" t="s">
        <v>11927</v>
      </c>
    </row>
    <row r="39">
      <c r="A39" s="37">
        <v>14014.0</v>
      </c>
      <c r="B39" s="8" t="s">
        <v>20</v>
      </c>
      <c r="C39" s="11" t="s">
        <v>11928</v>
      </c>
      <c r="D39" s="8" t="s">
        <v>11862</v>
      </c>
      <c r="E39" s="8" t="s">
        <v>11868</v>
      </c>
      <c r="H39" s="12" t="s">
        <v>11929</v>
      </c>
    </row>
    <row r="40">
      <c r="A40" s="37">
        <v>14013.0</v>
      </c>
      <c r="B40" s="8" t="s">
        <v>20</v>
      </c>
      <c r="C40" s="11" t="s">
        <v>1108</v>
      </c>
      <c r="D40" s="8" t="s">
        <v>11862</v>
      </c>
      <c r="E40" s="8" t="s">
        <v>11868</v>
      </c>
      <c r="H40" s="12" t="s">
        <v>11930</v>
      </c>
      <c r="I40" s="12" t="s">
        <v>11931</v>
      </c>
    </row>
    <row r="41">
      <c r="A41" s="37">
        <v>14007.0</v>
      </c>
      <c r="B41" s="8" t="s">
        <v>20</v>
      </c>
      <c r="C41" s="11" t="s">
        <v>11932</v>
      </c>
      <c r="D41" s="8" t="s">
        <v>11862</v>
      </c>
      <c r="E41" s="8" t="s">
        <v>11863</v>
      </c>
      <c r="J41" s="12" t="s">
        <v>11933</v>
      </c>
    </row>
    <row r="42">
      <c r="A42" s="37">
        <v>13996.0</v>
      </c>
      <c r="B42" s="8" t="s">
        <v>20</v>
      </c>
      <c r="C42" s="11" t="s">
        <v>11934</v>
      </c>
      <c r="D42" s="8" t="s">
        <v>11862</v>
      </c>
      <c r="E42" s="8" t="s">
        <v>11863</v>
      </c>
      <c r="H42" s="12" t="s">
        <v>11935</v>
      </c>
    </row>
    <row r="43">
      <c r="A43" s="37">
        <v>13985.0</v>
      </c>
      <c r="B43" s="8" t="s">
        <v>20</v>
      </c>
      <c r="C43" s="11" t="s">
        <v>74</v>
      </c>
      <c r="D43" s="8" t="s">
        <v>11862</v>
      </c>
      <c r="E43" s="8" t="s">
        <v>11900</v>
      </c>
      <c r="H43" s="12" t="s">
        <v>11936</v>
      </c>
    </row>
    <row r="44">
      <c r="A44" s="37">
        <v>13984.0</v>
      </c>
      <c r="B44" s="8" t="s">
        <v>20</v>
      </c>
      <c r="C44" s="11" t="s">
        <v>11937</v>
      </c>
      <c r="D44" s="8" t="s">
        <v>11862</v>
      </c>
      <c r="E44" s="8" t="s">
        <v>11900</v>
      </c>
      <c r="J44" s="12" t="s">
        <v>11938</v>
      </c>
    </row>
    <row r="45">
      <c r="B45" s="8" t="s">
        <v>20</v>
      </c>
      <c r="C45" s="11" t="s">
        <v>11939</v>
      </c>
      <c r="D45" s="8" t="s">
        <v>11862</v>
      </c>
      <c r="E45" s="8" t="s">
        <v>11863</v>
      </c>
      <c r="H45" s="12" t="s">
        <v>11940</v>
      </c>
    </row>
    <row r="46">
      <c r="B46" s="8" t="s">
        <v>20</v>
      </c>
      <c r="C46" s="11" t="s">
        <v>11941</v>
      </c>
      <c r="D46" s="8" t="s">
        <v>11862</v>
      </c>
      <c r="E46" s="8" t="s">
        <v>11863</v>
      </c>
      <c r="H46" s="12" t="s">
        <v>11942</v>
      </c>
    </row>
    <row r="47">
      <c r="B47" s="8" t="s">
        <v>20</v>
      </c>
      <c r="C47" s="11" t="s">
        <v>3770</v>
      </c>
      <c r="D47" s="8" t="s">
        <v>11862</v>
      </c>
      <c r="E47" s="8" t="s">
        <v>11863</v>
      </c>
      <c r="H47" s="12" t="s">
        <v>11943</v>
      </c>
      <c r="J47" s="12" t="s">
        <v>11944</v>
      </c>
    </row>
    <row r="48">
      <c r="B48" s="8" t="s">
        <v>20</v>
      </c>
      <c r="C48" s="11" t="s">
        <v>11945</v>
      </c>
      <c r="D48" s="8" t="s">
        <v>11862</v>
      </c>
      <c r="E48" s="8" t="s">
        <v>11868</v>
      </c>
      <c r="H48" s="12" t="s">
        <v>11946</v>
      </c>
    </row>
    <row r="49">
      <c r="B49" s="8" t="s">
        <v>20</v>
      </c>
      <c r="C49" s="11" t="s">
        <v>396</v>
      </c>
      <c r="D49" s="8" t="s">
        <v>11862</v>
      </c>
      <c r="E49" s="8" t="s">
        <v>11947</v>
      </c>
      <c r="H49" s="12" t="s">
        <v>11948</v>
      </c>
      <c r="I49" s="12" t="s">
        <v>11949</v>
      </c>
    </row>
    <row r="50">
      <c r="B50" s="8" t="s">
        <v>20</v>
      </c>
      <c r="C50" s="8" t="s">
        <v>3643</v>
      </c>
      <c r="D50" s="8" t="s">
        <v>11862</v>
      </c>
      <c r="E50" s="8" t="s">
        <v>11871</v>
      </c>
      <c r="H50" s="12" t="s">
        <v>11950</v>
      </c>
      <c r="I50" s="259" t="s">
        <v>11951</v>
      </c>
    </row>
    <row r="51">
      <c r="B51" s="8" t="s">
        <v>720</v>
      </c>
      <c r="C51" s="8" t="s">
        <v>11885</v>
      </c>
      <c r="D51" s="8" t="s">
        <v>11862</v>
      </c>
      <c r="E51" s="8" t="s">
        <v>11868</v>
      </c>
      <c r="I51" s="297" t="s">
        <v>11952</v>
      </c>
    </row>
    <row r="52">
      <c r="B52" s="8" t="s">
        <v>20</v>
      </c>
      <c r="C52" s="8" t="s">
        <v>11953</v>
      </c>
      <c r="D52" s="8" t="s">
        <v>11862</v>
      </c>
      <c r="E52" s="8" t="s">
        <v>11871</v>
      </c>
      <c r="H52" s="9" t="s">
        <v>11954</v>
      </c>
    </row>
    <row r="53">
      <c r="B53" s="8" t="s">
        <v>20</v>
      </c>
      <c r="C53" s="8" t="s">
        <v>5997</v>
      </c>
      <c r="D53" s="8" t="s">
        <v>11862</v>
      </c>
      <c r="E53" s="8" t="s">
        <v>11871</v>
      </c>
      <c r="H53" s="12" t="s">
        <v>11955</v>
      </c>
      <c r="I53" s="9" t="s">
        <v>11956</v>
      </c>
    </row>
    <row r="54">
      <c r="B54" s="8" t="s">
        <v>20</v>
      </c>
      <c r="C54" s="11" t="s">
        <v>4348</v>
      </c>
      <c r="D54" s="8" t="s">
        <v>11862</v>
      </c>
      <c r="E54" s="8" t="s">
        <v>11871</v>
      </c>
      <c r="H54" s="12" t="s">
        <v>11957</v>
      </c>
      <c r="L54" s="12" t="s">
        <v>11958</v>
      </c>
    </row>
    <row r="55">
      <c r="B55" s="8" t="s">
        <v>20</v>
      </c>
      <c r="C55" s="8" t="s">
        <v>3479</v>
      </c>
      <c r="D55" s="8" t="s">
        <v>11862</v>
      </c>
      <c r="E55" s="8" t="s">
        <v>11889</v>
      </c>
      <c r="H55" s="12" t="s">
        <v>11959</v>
      </c>
      <c r="I55" s="12" t="s">
        <v>11960</v>
      </c>
    </row>
    <row r="56">
      <c r="B56" s="8" t="s">
        <v>20</v>
      </c>
      <c r="C56" s="8" t="s">
        <v>5602</v>
      </c>
      <c r="D56" s="8" t="s">
        <v>11862</v>
      </c>
      <c r="E56" s="8" t="s">
        <v>11889</v>
      </c>
      <c r="I56" s="12" t="s">
        <v>11961</v>
      </c>
    </row>
    <row r="57">
      <c r="B57" s="8" t="s">
        <v>20</v>
      </c>
      <c r="C57" s="8" t="s">
        <v>11962</v>
      </c>
      <c r="D57" s="8" t="s">
        <v>11862</v>
      </c>
      <c r="E57" s="8" t="s">
        <v>11871</v>
      </c>
      <c r="H57" s="12" t="s">
        <v>11963</v>
      </c>
    </row>
    <row r="58">
      <c r="B58" s="8" t="s">
        <v>20</v>
      </c>
      <c r="C58" s="8" t="s">
        <v>11964</v>
      </c>
      <c r="D58" s="8" t="s">
        <v>11862</v>
      </c>
      <c r="E58" s="8" t="s">
        <v>11871</v>
      </c>
      <c r="H58" s="12" t="s">
        <v>11922</v>
      </c>
      <c r="J58" s="12" t="s">
        <v>11965</v>
      </c>
    </row>
    <row r="59">
      <c r="B59" s="8" t="s">
        <v>20</v>
      </c>
      <c r="C59" s="11" t="s">
        <v>11966</v>
      </c>
      <c r="D59" s="8" t="s">
        <v>11862</v>
      </c>
      <c r="E59" s="8" t="s">
        <v>11863</v>
      </c>
      <c r="J59" s="12" t="s">
        <v>11967</v>
      </c>
    </row>
    <row r="60">
      <c r="B60" s="8" t="s">
        <v>20</v>
      </c>
      <c r="C60" s="11" t="s">
        <v>11968</v>
      </c>
      <c r="D60" s="8" t="s">
        <v>11862</v>
      </c>
      <c r="E60" s="8" t="s">
        <v>11871</v>
      </c>
      <c r="H60" s="12" t="s">
        <v>11969</v>
      </c>
      <c r="I60" s="12" t="s">
        <v>11970</v>
      </c>
    </row>
    <row r="61">
      <c r="B61" s="8" t="s">
        <v>17</v>
      </c>
      <c r="C61" s="11" t="s">
        <v>11971</v>
      </c>
      <c r="D61" s="8" t="s">
        <v>11862</v>
      </c>
      <c r="E61" s="8" t="s">
        <v>11902</v>
      </c>
      <c r="J61" s="12" t="s">
        <v>11972</v>
      </c>
    </row>
    <row r="62">
      <c r="B62" s="8" t="s">
        <v>20</v>
      </c>
      <c r="C62" s="11" t="s">
        <v>11973</v>
      </c>
      <c r="D62" s="8" t="s">
        <v>11862</v>
      </c>
      <c r="E62" s="8" t="s">
        <v>11947</v>
      </c>
      <c r="H62" s="12" t="s">
        <v>11974</v>
      </c>
      <c r="I62" s="12" t="s">
        <v>11975</v>
      </c>
      <c r="J62" s="12" t="s">
        <v>11976</v>
      </c>
    </row>
    <row r="63">
      <c r="B63" s="8" t="s">
        <v>20</v>
      </c>
      <c r="C63" s="11" t="s">
        <v>11977</v>
      </c>
      <c r="D63" s="8" t="s">
        <v>11862</v>
      </c>
      <c r="E63" s="8" t="s">
        <v>11865</v>
      </c>
      <c r="J63" s="12" t="s">
        <v>11978</v>
      </c>
    </row>
    <row r="64">
      <c r="B64" s="8" t="s">
        <v>20</v>
      </c>
      <c r="C64" s="11" t="s">
        <v>11870</v>
      </c>
      <c r="D64" s="8" t="s">
        <v>11862</v>
      </c>
      <c r="E64" s="8" t="s">
        <v>11979</v>
      </c>
      <c r="H64" s="12" t="s">
        <v>11980</v>
      </c>
    </row>
    <row r="65">
      <c r="B65" s="8" t="s">
        <v>20</v>
      </c>
      <c r="C65" s="11" t="s">
        <v>396</v>
      </c>
      <c r="D65" s="8" t="s">
        <v>11862</v>
      </c>
      <c r="E65" s="8" t="s">
        <v>11947</v>
      </c>
      <c r="J65" s="12" t="s">
        <v>11981</v>
      </c>
    </row>
    <row r="66">
      <c r="B66" s="8" t="s">
        <v>276</v>
      </c>
      <c r="C66" s="8" t="s">
        <v>55</v>
      </c>
      <c r="D66" s="8" t="s">
        <v>11862</v>
      </c>
      <c r="E66" s="8" t="s">
        <v>11947</v>
      </c>
      <c r="J66" s="12" t="s">
        <v>11982</v>
      </c>
    </row>
    <row r="67">
      <c r="B67" s="8" t="s">
        <v>20</v>
      </c>
      <c r="C67" s="8" t="s">
        <v>11937</v>
      </c>
      <c r="D67" s="8" t="s">
        <v>11862</v>
      </c>
      <c r="E67" s="8" t="s">
        <v>11947</v>
      </c>
      <c r="H67" s="12" t="s">
        <v>11983</v>
      </c>
      <c r="I67" s="12" t="s">
        <v>11984</v>
      </c>
    </row>
    <row r="68">
      <c r="B68" s="8" t="s">
        <v>20</v>
      </c>
      <c r="C68" s="8" t="s">
        <v>11985</v>
      </c>
      <c r="D68" s="8" t="s">
        <v>11862</v>
      </c>
      <c r="E68" s="8" t="s">
        <v>11871</v>
      </c>
      <c r="H68" s="9" t="s">
        <v>11986</v>
      </c>
      <c r="I68" s="9" t="s">
        <v>11987</v>
      </c>
    </row>
    <row r="69">
      <c r="B69" s="8" t="s">
        <v>20</v>
      </c>
      <c r="C69" s="8" t="s">
        <v>11988</v>
      </c>
      <c r="D69" s="8" t="s">
        <v>11862</v>
      </c>
      <c r="E69" s="8" t="s">
        <v>11871</v>
      </c>
      <c r="G69" s="298" t="s">
        <v>11989</v>
      </c>
      <c r="H69" s="9" t="s">
        <v>11990</v>
      </c>
      <c r="I69" s="12" t="s">
        <v>11991</v>
      </c>
      <c r="J69" s="9" t="s">
        <v>11921</v>
      </c>
    </row>
    <row r="70">
      <c r="B70" s="8" t="s">
        <v>20</v>
      </c>
      <c r="C70" s="8" t="s">
        <v>11992</v>
      </c>
      <c r="D70" s="8" t="s">
        <v>11862</v>
      </c>
      <c r="E70" s="8" t="s">
        <v>11871</v>
      </c>
      <c r="H70" s="9" t="s">
        <v>11993</v>
      </c>
      <c r="I70" s="12" t="s">
        <v>11994</v>
      </c>
    </row>
    <row r="71">
      <c r="B71" s="8" t="s">
        <v>20</v>
      </c>
      <c r="C71" s="8" t="s">
        <v>11995</v>
      </c>
      <c r="D71" s="8" t="s">
        <v>11862</v>
      </c>
      <c r="E71" s="8" t="s">
        <v>11947</v>
      </c>
      <c r="H71" s="12" t="s">
        <v>11996</v>
      </c>
    </row>
    <row r="72">
      <c r="B72" s="8" t="s">
        <v>20</v>
      </c>
      <c r="C72" s="8" t="s">
        <v>1952</v>
      </c>
      <c r="D72" s="8" t="s">
        <v>11862</v>
      </c>
      <c r="E72" s="8" t="s">
        <v>11893</v>
      </c>
      <c r="H72" s="12" t="s">
        <v>11997</v>
      </c>
      <c r="I72" s="12" t="s">
        <v>11998</v>
      </c>
    </row>
    <row r="73">
      <c r="B73" s="8" t="s">
        <v>20</v>
      </c>
      <c r="C73" s="8" t="s">
        <v>4578</v>
      </c>
      <c r="D73" s="8" t="s">
        <v>11862</v>
      </c>
      <c r="E73" s="8" t="s">
        <v>11871</v>
      </c>
      <c r="H73" s="9" t="s">
        <v>11999</v>
      </c>
      <c r="J73" s="9" t="s">
        <v>12000</v>
      </c>
    </row>
    <row r="74">
      <c r="B74" s="8" t="s">
        <v>20</v>
      </c>
      <c r="C74" s="8" t="s">
        <v>12001</v>
      </c>
      <c r="D74" s="8" t="s">
        <v>11862</v>
      </c>
      <c r="E74" s="8" t="s">
        <v>11871</v>
      </c>
      <c r="H74" s="9" t="s">
        <v>12002</v>
      </c>
      <c r="I74" s="37" t="s">
        <v>318</v>
      </c>
      <c r="J74" s="37" t="s">
        <v>318</v>
      </c>
    </row>
    <row r="75">
      <c r="B75" s="8" t="s">
        <v>20</v>
      </c>
      <c r="C75" s="8" t="s">
        <v>1108</v>
      </c>
      <c r="D75" s="8" t="s">
        <v>11862</v>
      </c>
      <c r="E75" s="8" t="s">
        <v>11871</v>
      </c>
      <c r="H75" s="12" t="s">
        <v>12003</v>
      </c>
      <c r="I75" s="12" t="s">
        <v>12004</v>
      </c>
    </row>
    <row r="76">
      <c r="B76" s="8" t="s">
        <v>20</v>
      </c>
      <c r="C76" s="11" t="s">
        <v>3418</v>
      </c>
      <c r="D76" s="8" t="s">
        <v>11862</v>
      </c>
      <c r="E76" s="8" t="s">
        <v>11947</v>
      </c>
      <c r="H76" s="12" t="s">
        <v>12005</v>
      </c>
      <c r="I76" s="12" t="s">
        <v>12006</v>
      </c>
    </row>
    <row r="77">
      <c r="B77" s="8" t="s">
        <v>20</v>
      </c>
      <c r="C77" s="8" t="s">
        <v>12007</v>
      </c>
      <c r="D77" s="8" t="s">
        <v>11862</v>
      </c>
      <c r="E77" s="8" t="s">
        <v>11902</v>
      </c>
      <c r="H77" s="12" t="s">
        <v>12008</v>
      </c>
    </row>
    <row r="78">
      <c r="B78" s="8" t="s">
        <v>20</v>
      </c>
      <c r="C78" s="8" t="s">
        <v>12009</v>
      </c>
      <c r="D78" s="8" t="s">
        <v>11862</v>
      </c>
      <c r="E78" s="8" t="s">
        <v>11863</v>
      </c>
      <c r="G78" s="37">
        <v>1.0</v>
      </c>
      <c r="I78" s="12" t="s">
        <v>12010</v>
      </c>
    </row>
    <row r="79">
      <c r="B79" s="8" t="s">
        <v>20</v>
      </c>
      <c r="C79" s="11" t="s">
        <v>12011</v>
      </c>
      <c r="D79" s="8" t="s">
        <v>11862</v>
      </c>
      <c r="E79" s="8" t="s">
        <v>11863</v>
      </c>
      <c r="J79" s="12" t="s">
        <v>12012</v>
      </c>
    </row>
    <row r="80">
      <c r="B80" s="8" t="s">
        <v>20</v>
      </c>
      <c r="C80" s="8" t="s">
        <v>6913</v>
      </c>
      <c r="D80" s="8" t="s">
        <v>11862</v>
      </c>
      <c r="E80" s="8" t="s">
        <v>11871</v>
      </c>
      <c r="H80" s="9" t="s">
        <v>12013</v>
      </c>
      <c r="I80" s="12" t="s">
        <v>12014</v>
      </c>
      <c r="J80" s="9" t="s">
        <v>12015</v>
      </c>
    </row>
    <row r="81">
      <c r="B81" s="8" t="s">
        <v>20</v>
      </c>
      <c r="C81" s="8" t="s">
        <v>773</v>
      </c>
      <c r="D81" s="8" t="s">
        <v>11862</v>
      </c>
      <c r="E81" s="8" t="s">
        <v>11868</v>
      </c>
      <c r="H81" s="12" t="s">
        <v>11897</v>
      </c>
    </row>
    <row r="82">
      <c r="B82" s="8" t="s">
        <v>20</v>
      </c>
      <c r="C82" s="11" t="s">
        <v>12016</v>
      </c>
      <c r="D82" s="8" t="s">
        <v>11862</v>
      </c>
      <c r="E82" s="8" t="s">
        <v>11871</v>
      </c>
      <c r="H82" s="12" t="s">
        <v>12017</v>
      </c>
    </row>
    <row r="83">
      <c r="B83" s="8" t="s">
        <v>20</v>
      </c>
      <c r="C83" s="11" t="s">
        <v>12018</v>
      </c>
      <c r="D83" s="8" t="s">
        <v>11862</v>
      </c>
      <c r="E83" s="8" t="s">
        <v>11902</v>
      </c>
      <c r="H83" s="12" t="s">
        <v>12019</v>
      </c>
    </row>
    <row r="84">
      <c r="B84" s="8" t="s">
        <v>20</v>
      </c>
      <c r="C84" s="8" t="s">
        <v>641</v>
      </c>
      <c r="D84" s="8" t="s">
        <v>11862</v>
      </c>
      <c r="E84" s="8" t="s">
        <v>11871</v>
      </c>
      <c r="H84" s="8" t="s">
        <v>7817</v>
      </c>
      <c r="J84" s="12" t="s">
        <v>12020</v>
      </c>
    </row>
    <row r="85">
      <c r="B85" s="8" t="s">
        <v>20</v>
      </c>
      <c r="C85" s="11" t="s">
        <v>3622</v>
      </c>
      <c r="D85" s="8" t="s">
        <v>11862</v>
      </c>
      <c r="E85" s="8" t="s">
        <v>11871</v>
      </c>
      <c r="J85" s="12" t="s">
        <v>12021</v>
      </c>
    </row>
    <row r="86">
      <c r="B86" s="8" t="s">
        <v>20</v>
      </c>
      <c r="C86" s="8" t="s">
        <v>1952</v>
      </c>
      <c r="D86" s="8" t="s">
        <v>11862</v>
      </c>
      <c r="E86" s="8" t="s">
        <v>11871</v>
      </c>
      <c r="H86" s="12" t="s">
        <v>12022</v>
      </c>
      <c r="I86" s="12" t="s">
        <v>12023</v>
      </c>
    </row>
    <row r="87">
      <c r="B87" s="8" t="s">
        <v>20</v>
      </c>
      <c r="C87" s="8" t="s">
        <v>12024</v>
      </c>
      <c r="D87" s="8" t="s">
        <v>11862</v>
      </c>
      <c r="E87" s="8" t="s">
        <v>11863</v>
      </c>
      <c r="H87" s="12" t="s">
        <v>12025</v>
      </c>
    </row>
    <row r="88">
      <c r="B88" s="8" t="s">
        <v>20</v>
      </c>
      <c r="C88" s="11" t="s">
        <v>12026</v>
      </c>
      <c r="D88" s="8" t="s">
        <v>11862</v>
      </c>
      <c r="E88" s="8" t="s">
        <v>11863</v>
      </c>
      <c r="H88" s="12" t="s">
        <v>12027</v>
      </c>
    </row>
    <row r="89">
      <c r="B89" s="8" t="s">
        <v>20</v>
      </c>
      <c r="C89" s="11" t="s">
        <v>2267</v>
      </c>
      <c r="D89" s="8" t="s">
        <v>11862</v>
      </c>
      <c r="E89" s="8" t="s">
        <v>11868</v>
      </c>
      <c r="H89" s="12" t="s">
        <v>12028</v>
      </c>
    </row>
    <row r="90">
      <c r="B90" s="8" t="s">
        <v>20</v>
      </c>
      <c r="C90" s="8" t="s">
        <v>143</v>
      </c>
      <c r="D90" s="8" t="s">
        <v>11862</v>
      </c>
      <c r="E90" s="8" t="s">
        <v>11868</v>
      </c>
      <c r="J90" s="12" t="s">
        <v>12029</v>
      </c>
    </row>
    <row r="91">
      <c r="B91" s="8" t="s">
        <v>20</v>
      </c>
      <c r="C91" s="11" t="s">
        <v>3808</v>
      </c>
      <c r="D91" s="8" t="s">
        <v>11862</v>
      </c>
      <c r="E91" s="8" t="s">
        <v>11868</v>
      </c>
      <c r="H91" s="12" t="s">
        <v>12030</v>
      </c>
      <c r="I91" s="12" t="s">
        <v>12031</v>
      </c>
    </row>
    <row r="92">
      <c r="B92" s="8" t="s">
        <v>20</v>
      </c>
      <c r="C92" s="11" t="s">
        <v>8055</v>
      </c>
      <c r="D92" s="8" t="s">
        <v>11862</v>
      </c>
      <c r="E92" s="8" t="s">
        <v>11889</v>
      </c>
      <c r="H92" s="12" t="s">
        <v>11891</v>
      </c>
    </row>
    <row r="93">
      <c r="B93" s="8" t="s">
        <v>20</v>
      </c>
      <c r="C93" s="8" t="s">
        <v>1150</v>
      </c>
      <c r="D93" s="8" t="s">
        <v>11862</v>
      </c>
      <c r="E93" s="8" t="s">
        <v>11868</v>
      </c>
      <c r="H93" s="12" t="s">
        <v>11898</v>
      </c>
      <c r="I93" s="12" t="s">
        <v>12032</v>
      </c>
    </row>
    <row r="94">
      <c r="B94" s="8" t="s">
        <v>20</v>
      </c>
      <c r="C94" s="11" t="s">
        <v>11403</v>
      </c>
      <c r="D94" s="8" t="s">
        <v>11862</v>
      </c>
      <c r="E94" s="8" t="s">
        <v>11863</v>
      </c>
      <c r="H94" s="9" t="s">
        <v>12033</v>
      </c>
      <c r="L94" s="12" t="s">
        <v>12034</v>
      </c>
    </row>
    <row r="95">
      <c r="B95" s="8" t="s">
        <v>20</v>
      </c>
      <c r="C95" s="8" t="s">
        <v>12035</v>
      </c>
      <c r="D95" s="8" t="s">
        <v>11862</v>
      </c>
      <c r="E95" s="8" t="s">
        <v>11871</v>
      </c>
      <c r="J95" s="12" t="s">
        <v>12036</v>
      </c>
    </row>
    <row r="96">
      <c r="B96" s="8" t="s">
        <v>20</v>
      </c>
      <c r="C96" s="8" t="s">
        <v>685</v>
      </c>
      <c r="D96" s="8" t="s">
        <v>11862</v>
      </c>
      <c r="E96" s="8" t="s">
        <v>11871</v>
      </c>
      <c r="H96" s="12" t="s">
        <v>12037</v>
      </c>
    </row>
    <row r="97">
      <c r="B97" s="8" t="s">
        <v>20</v>
      </c>
      <c r="C97" s="8" t="s">
        <v>12038</v>
      </c>
      <c r="D97" s="8" t="s">
        <v>11862</v>
      </c>
      <c r="E97" s="8" t="s">
        <v>11871</v>
      </c>
      <c r="H97" s="12" t="s">
        <v>12039</v>
      </c>
    </row>
    <row r="98">
      <c r="B98" s="8" t="s">
        <v>20</v>
      </c>
      <c r="C98" s="11" t="s">
        <v>12040</v>
      </c>
      <c r="D98" s="8" t="s">
        <v>11862</v>
      </c>
      <c r="E98" s="8" t="s">
        <v>11865</v>
      </c>
      <c r="H98" s="12" t="s">
        <v>12041</v>
      </c>
      <c r="I98" s="12" t="s">
        <v>12042</v>
      </c>
    </row>
    <row r="99">
      <c r="B99" s="8" t="s">
        <v>20</v>
      </c>
      <c r="C99" s="8" t="s">
        <v>12043</v>
      </c>
      <c r="D99" s="8" t="s">
        <v>11862</v>
      </c>
      <c r="E99" s="8" t="s">
        <v>12044</v>
      </c>
      <c r="H99" s="12" t="s">
        <v>12045</v>
      </c>
    </row>
    <row r="100">
      <c r="B100" s="8" t="s">
        <v>20</v>
      </c>
      <c r="C100" s="8" t="s">
        <v>12046</v>
      </c>
      <c r="D100" s="8" t="s">
        <v>11862</v>
      </c>
      <c r="E100" s="8" t="s">
        <v>11889</v>
      </c>
      <c r="H100" s="12" t="s">
        <v>12047</v>
      </c>
    </row>
    <row r="101">
      <c r="B101" s="8" t="s">
        <v>20</v>
      </c>
      <c r="C101" s="8" t="s">
        <v>12048</v>
      </c>
      <c r="D101" s="8" t="s">
        <v>11862</v>
      </c>
      <c r="E101" s="8" t="s">
        <v>11902</v>
      </c>
      <c r="H101" s="12" t="s">
        <v>12049</v>
      </c>
    </row>
    <row r="102">
      <c r="B102" s="8" t="s">
        <v>20</v>
      </c>
      <c r="C102" s="8" t="s">
        <v>763</v>
      </c>
      <c r="D102" s="8" t="s">
        <v>11862</v>
      </c>
      <c r="E102" s="8" t="s">
        <v>11863</v>
      </c>
      <c r="H102" s="12" t="s">
        <v>12050</v>
      </c>
    </row>
    <row r="103">
      <c r="B103" s="8" t="s">
        <v>20</v>
      </c>
      <c r="C103" s="11" t="s">
        <v>3209</v>
      </c>
      <c r="D103" s="8" t="s">
        <v>11862</v>
      </c>
      <c r="E103" s="8" t="s">
        <v>11862</v>
      </c>
      <c r="J103" s="12" t="s">
        <v>12051</v>
      </c>
    </row>
    <row r="104">
      <c r="B104" s="8" t="s">
        <v>20</v>
      </c>
      <c r="C104" s="11" t="s">
        <v>11434</v>
      </c>
      <c r="D104" s="8" t="s">
        <v>11862</v>
      </c>
      <c r="E104" s="8" t="s">
        <v>11902</v>
      </c>
      <c r="H104" s="12" t="s">
        <v>11908</v>
      </c>
    </row>
    <row r="105">
      <c r="B105" s="8" t="s">
        <v>20</v>
      </c>
      <c r="C105" s="8" t="s">
        <v>3303</v>
      </c>
      <c r="D105" s="8" t="s">
        <v>11862</v>
      </c>
      <c r="E105" s="8" t="s">
        <v>11902</v>
      </c>
      <c r="J105" s="12" t="s">
        <v>12052</v>
      </c>
    </row>
    <row r="106">
      <c r="B106" s="8" t="s">
        <v>20</v>
      </c>
      <c r="C106" s="11" t="s">
        <v>2889</v>
      </c>
      <c r="D106" s="8" t="s">
        <v>11862</v>
      </c>
      <c r="E106" s="8" t="s">
        <v>11900</v>
      </c>
      <c r="H106" s="12" t="s">
        <v>12053</v>
      </c>
    </row>
    <row r="107">
      <c r="B107" s="8" t="s">
        <v>20</v>
      </c>
      <c r="C107" s="11" t="s">
        <v>3209</v>
      </c>
      <c r="D107" s="8" t="s">
        <v>11862</v>
      </c>
      <c r="E107" s="8" t="s">
        <v>11902</v>
      </c>
      <c r="H107" s="12" t="s">
        <v>12054</v>
      </c>
    </row>
    <row r="108">
      <c r="B108" s="8" t="s">
        <v>20</v>
      </c>
      <c r="C108" s="11" t="s">
        <v>763</v>
      </c>
      <c r="D108" s="8" t="s">
        <v>11862</v>
      </c>
      <c r="E108" s="8" t="s">
        <v>11868</v>
      </c>
      <c r="H108" s="12" t="s">
        <v>11913</v>
      </c>
      <c r="I108" s="12" t="s">
        <v>12055</v>
      </c>
    </row>
    <row r="109">
      <c r="B109" s="8" t="s">
        <v>20</v>
      </c>
      <c r="C109" s="11" t="s">
        <v>1027</v>
      </c>
      <c r="D109" s="8" t="s">
        <v>11862</v>
      </c>
      <c r="E109" s="8" t="s">
        <v>11871</v>
      </c>
      <c r="H109" s="12" t="s">
        <v>12056</v>
      </c>
    </row>
    <row r="110">
      <c r="B110" s="8" t="s">
        <v>102</v>
      </c>
      <c r="C110" s="11" t="s">
        <v>1223</v>
      </c>
      <c r="D110" s="8" t="s">
        <v>11862</v>
      </c>
      <c r="E110" s="8" t="s">
        <v>11862</v>
      </c>
      <c r="H110" s="12" t="s">
        <v>12057</v>
      </c>
    </row>
    <row r="111">
      <c r="B111" s="8" t="s">
        <v>20</v>
      </c>
      <c r="C111" s="11" t="s">
        <v>12058</v>
      </c>
      <c r="D111" s="8" t="s">
        <v>11862</v>
      </c>
      <c r="E111" s="8" t="s">
        <v>11871</v>
      </c>
      <c r="H111" s="12" t="s">
        <v>12059</v>
      </c>
      <c r="I111" s="12" t="s">
        <v>12060</v>
      </c>
    </row>
    <row r="112">
      <c r="B112" s="8" t="s">
        <v>20</v>
      </c>
      <c r="C112" s="8" t="s">
        <v>5461</v>
      </c>
      <c r="D112" s="8" t="s">
        <v>11862</v>
      </c>
      <c r="E112" s="8" t="s">
        <v>11900</v>
      </c>
      <c r="H112" s="12" t="s">
        <v>12061</v>
      </c>
    </row>
    <row r="113">
      <c r="B113" s="8" t="s">
        <v>20</v>
      </c>
      <c r="C113" s="11" t="s">
        <v>12062</v>
      </c>
      <c r="D113" s="8" t="s">
        <v>11862</v>
      </c>
      <c r="E113" s="8" t="s">
        <v>11871</v>
      </c>
      <c r="H113" s="12" t="s">
        <v>12063</v>
      </c>
      <c r="J113" s="12" t="s">
        <v>12064</v>
      </c>
    </row>
    <row r="114">
      <c r="B114" s="8" t="s">
        <v>20</v>
      </c>
      <c r="C114" s="11" t="s">
        <v>12065</v>
      </c>
      <c r="D114" s="8" t="s">
        <v>11862</v>
      </c>
      <c r="E114" s="8" t="s">
        <v>11871</v>
      </c>
      <c r="H114" s="12" t="s">
        <v>12066</v>
      </c>
    </row>
    <row r="115">
      <c r="B115" s="8" t="s">
        <v>20</v>
      </c>
      <c r="C115" s="8" t="s">
        <v>871</v>
      </c>
      <c r="D115" s="8" t="s">
        <v>11862</v>
      </c>
      <c r="E115" s="8" t="s">
        <v>11863</v>
      </c>
      <c r="J115" s="12" t="s">
        <v>12067</v>
      </c>
    </row>
    <row r="116">
      <c r="B116" s="8" t="s">
        <v>20</v>
      </c>
      <c r="C116" s="11" t="s">
        <v>1289</v>
      </c>
      <c r="D116" s="8" t="s">
        <v>11862</v>
      </c>
      <c r="E116" s="8" t="s">
        <v>11871</v>
      </c>
      <c r="H116" s="12" t="s">
        <v>12068</v>
      </c>
    </row>
    <row r="117">
      <c r="B117" s="8" t="s">
        <v>20</v>
      </c>
      <c r="C117" s="11" t="s">
        <v>7484</v>
      </c>
      <c r="D117" s="8" t="s">
        <v>11862</v>
      </c>
      <c r="E117" s="8" t="s">
        <v>11871</v>
      </c>
      <c r="H117" s="12" t="s">
        <v>11927</v>
      </c>
    </row>
    <row r="118">
      <c r="B118" s="8" t="s">
        <v>20</v>
      </c>
      <c r="C118" s="8" t="s">
        <v>12069</v>
      </c>
      <c r="D118" s="8" t="s">
        <v>11862</v>
      </c>
      <c r="E118" s="8" t="s">
        <v>11889</v>
      </c>
      <c r="H118" s="12" t="s">
        <v>12070</v>
      </c>
    </row>
    <row r="119">
      <c r="B119" s="8" t="s">
        <v>20</v>
      </c>
      <c r="C119" s="11" t="s">
        <v>1289</v>
      </c>
      <c r="D119" s="8" t="s">
        <v>11862</v>
      </c>
      <c r="E119" s="8" t="s">
        <v>11889</v>
      </c>
      <c r="H119" s="12" t="s">
        <v>12071</v>
      </c>
    </row>
    <row r="120">
      <c r="B120" s="8" t="s">
        <v>20</v>
      </c>
      <c r="C120" s="11" t="s">
        <v>1234</v>
      </c>
      <c r="D120" s="8" t="s">
        <v>11862</v>
      </c>
      <c r="E120" s="8" t="s">
        <v>11889</v>
      </c>
      <c r="H120" s="12" t="s">
        <v>12072</v>
      </c>
    </row>
    <row r="121">
      <c r="B121" s="8" t="s">
        <v>20</v>
      </c>
      <c r="C121" s="11" t="s">
        <v>11928</v>
      </c>
      <c r="D121" s="8" t="s">
        <v>11862</v>
      </c>
      <c r="E121" s="8" t="s">
        <v>11868</v>
      </c>
      <c r="H121" s="12" t="s">
        <v>11929</v>
      </c>
    </row>
    <row r="122">
      <c r="B122" s="8" t="s">
        <v>20</v>
      </c>
      <c r="C122" s="11" t="s">
        <v>1108</v>
      </c>
      <c r="D122" s="8" t="s">
        <v>11862</v>
      </c>
      <c r="E122" s="8" t="s">
        <v>11868</v>
      </c>
      <c r="H122" s="12" t="s">
        <v>11930</v>
      </c>
      <c r="I122" s="12" t="s">
        <v>12073</v>
      </c>
    </row>
    <row r="123">
      <c r="B123" s="8" t="s">
        <v>20</v>
      </c>
      <c r="C123" s="11" t="s">
        <v>11932</v>
      </c>
      <c r="D123" s="8" t="s">
        <v>11862</v>
      </c>
      <c r="E123" s="8" t="s">
        <v>11863</v>
      </c>
      <c r="H123" s="12" t="s">
        <v>12074</v>
      </c>
    </row>
    <row r="124">
      <c r="B124" s="8" t="s">
        <v>20</v>
      </c>
      <c r="C124" s="11" t="s">
        <v>12075</v>
      </c>
      <c r="D124" s="8" t="s">
        <v>11862</v>
      </c>
      <c r="E124" s="8" t="s">
        <v>11863</v>
      </c>
      <c r="H124" s="12" t="s">
        <v>12076</v>
      </c>
    </row>
    <row r="125">
      <c r="B125" s="8" t="s">
        <v>20</v>
      </c>
      <c r="C125" s="11" t="s">
        <v>12077</v>
      </c>
      <c r="D125" s="8" t="s">
        <v>11862</v>
      </c>
      <c r="E125" s="8" t="s">
        <v>11863</v>
      </c>
      <c r="J125" s="12" t="s">
        <v>12078</v>
      </c>
    </row>
    <row r="126">
      <c r="B126" s="8" t="s">
        <v>20</v>
      </c>
      <c r="C126" s="11" t="s">
        <v>1975</v>
      </c>
      <c r="D126" s="8" t="s">
        <v>11862</v>
      </c>
      <c r="E126" s="8" t="s">
        <v>11863</v>
      </c>
      <c r="H126" s="12" t="s">
        <v>12079</v>
      </c>
    </row>
    <row r="127">
      <c r="B127" s="8" t="s">
        <v>20</v>
      </c>
      <c r="C127" s="11" t="s">
        <v>7360</v>
      </c>
      <c r="D127" s="8" t="s">
        <v>11862</v>
      </c>
      <c r="E127" s="8" t="s">
        <v>11863</v>
      </c>
      <c r="H127" s="12" t="s">
        <v>12080</v>
      </c>
    </row>
    <row r="128">
      <c r="B128" s="8" t="s">
        <v>20</v>
      </c>
      <c r="C128" s="11" t="s">
        <v>4283</v>
      </c>
      <c r="D128" s="8" t="s">
        <v>11862</v>
      </c>
      <c r="E128" s="8" t="s">
        <v>11863</v>
      </c>
      <c r="J128" s="12" t="s">
        <v>12081</v>
      </c>
    </row>
    <row r="129">
      <c r="B129" s="8" t="s">
        <v>20</v>
      </c>
      <c r="C129" s="11" t="s">
        <v>1975</v>
      </c>
      <c r="D129" s="8" t="s">
        <v>11862</v>
      </c>
      <c r="E129" s="8" t="s">
        <v>11863</v>
      </c>
      <c r="F129" s="8" t="s">
        <v>12082</v>
      </c>
      <c r="H129" s="12" t="s">
        <v>12083</v>
      </c>
    </row>
    <row r="130">
      <c r="B130" s="8" t="s">
        <v>720</v>
      </c>
      <c r="C130" s="11" t="s">
        <v>12084</v>
      </c>
      <c r="D130" s="8" t="s">
        <v>11862</v>
      </c>
      <c r="E130" s="8" t="s">
        <v>11863</v>
      </c>
      <c r="H130" s="12" t="s">
        <v>12085</v>
      </c>
    </row>
    <row r="131">
      <c r="B131" s="8" t="s">
        <v>20</v>
      </c>
      <c r="C131" s="11" t="s">
        <v>11934</v>
      </c>
      <c r="D131" s="8" t="s">
        <v>11862</v>
      </c>
      <c r="E131" s="8" t="s">
        <v>11863</v>
      </c>
      <c r="H131" s="12" t="s">
        <v>11935</v>
      </c>
    </row>
    <row r="132">
      <c r="B132" s="8" t="s">
        <v>20</v>
      </c>
      <c r="C132" s="11" t="s">
        <v>12086</v>
      </c>
      <c r="D132" s="8" t="s">
        <v>11862</v>
      </c>
      <c r="E132" s="8" t="s">
        <v>11871</v>
      </c>
      <c r="H132" s="12" t="s">
        <v>12087</v>
      </c>
    </row>
    <row r="133">
      <c r="B133" s="8" t="s">
        <v>20</v>
      </c>
      <c r="C133" s="8" t="s">
        <v>3806</v>
      </c>
      <c r="D133" s="8" t="s">
        <v>11862</v>
      </c>
      <c r="E133" s="8" t="s">
        <v>11979</v>
      </c>
      <c r="H133" s="12" t="s">
        <v>12088</v>
      </c>
    </row>
    <row r="134">
      <c r="B134" s="8" t="s">
        <v>20</v>
      </c>
      <c r="C134" s="11" t="s">
        <v>74</v>
      </c>
      <c r="D134" s="8" t="s">
        <v>11862</v>
      </c>
      <c r="E134" s="8" t="s">
        <v>11900</v>
      </c>
      <c r="H134" s="12" t="s">
        <v>12089</v>
      </c>
    </row>
    <row r="135">
      <c r="B135" s="8" t="s">
        <v>20</v>
      </c>
      <c r="C135" s="8" t="s">
        <v>12090</v>
      </c>
      <c r="D135" s="8" t="s">
        <v>11862</v>
      </c>
      <c r="E135" s="8" t="s">
        <v>11902</v>
      </c>
      <c r="J135" s="12" t="s">
        <v>12091</v>
      </c>
    </row>
    <row r="136">
      <c r="B136" s="8" t="s">
        <v>20</v>
      </c>
      <c r="C136" s="8" t="s">
        <v>1463</v>
      </c>
      <c r="D136" s="8" t="s">
        <v>11862</v>
      </c>
      <c r="J136" s="12" t="s">
        <v>12092</v>
      </c>
    </row>
  </sheetData>
  <conditionalFormatting sqref="A1:S1">
    <cfRule type="notContainsBlanks" dxfId="0" priority="1">
      <formula>LEN(TRIM(A1))&gt;0</formula>
    </cfRule>
  </conditionalFormatting>
  <hyperlinks>
    <hyperlink r:id="rId1" ref="H2"/>
    <hyperlink r:id="rId2" ref="J3"/>
    <hyperlink r:id="rId3" ref="J4"/>
    <hyperlink r:id="rId4" ref="J5"/>
    <hyperlink r:id="rId5" ref="H6"/>
    <hyperlink r:id="rId6" ref="J7"/>
    <hyperlink r:id="rId7" ref="H8"/>
    <hyperlink r:id="rId8" ref="J8"/>
    <hyperlink r:id="rId9" ref="H9"/>
    <hyperlink r:id="rId10" ref="J9"/>
    <hyperlink r:id="rId11" ref="H10"/>
    <hyperlink r:id="rId12" ref="I10"/>
    <hyperlink r:id="rId13" ref="J11"/>
    <hyperlink r:id="rId14" ref="H12"/>
    <hyperlink r:id="rId15" ref="I12"/>
    <hyperlink r:id="rId16" ref="J13"/>
    <hyperlink r:id="rId17" ref="J14"/>
    <hyperlink r:id="rId18" ref="J15"/>
    <hyperlink r:id="rId19" ref="J16"/>
    <hyperlink r:id="rId20" ref="H17"/>
    <hyperlink r:id="rId21" ref="H18"/>
    <hyperlink r:id="rId22" ref="H19"/>
    <hyperlink r:id="rId23" ref="H20"/>
    <hyperlink r:id="rId24" ref="H21"/>
    <hyperlink r:id="rId25" ref="H22"/>
    <hyperlink r:id="rId26" ref="J23"/>
    <hyperlink r:id="rId27" ref="H24"/>
    <hyperlink r:id="rId28" ref="H25"/>
    <hyperlink r:id="rId29" ref="J26"/>
    <hyperlink r:id="rId30" ref="H27"/>
    <hyperlink r:id="rId31" ref="H28"/>
    <hyperlink r:id="rId32" ref="H29"/>
    <hyperlink r:id="rId33" ref="H30"/>
    <hyperlink r:id="rId34" ref="H31"/>
    <hyperlink r:id="rId35" ref="I31"/>
    <hyperlink r:id="rId36" ref="J32"/>
    <hyperlink r:id="rId37" ref="H33"/>
    <hyperlink r:id="rId38" ref="J34"/>
    <hyperlink r:id="rId39" ref="H35"/>
    <hyperlink r:id="rId40" ref="H36"/>
    <hyperlink r:id="rId41" ref="J37"/>
    <hyperlink r:id="rId42" ref="H38"/>
    <hyperlink r:id="rId43" ref="H39"/>
    <hyperlink r:id="rId44" ref="H40"/>
    <hyperlink r:id="rId45" ref="I40"/>
    <hyperlink r:id="rId46" ref="J41"/>
    <hyperlink r:id="rId47" ref="H42"/>
    <hyperlink r:id="rId48" ref="H43"/>
    <hyperlink r:id="rId49" ref="J44"/>
    <hyperlink r:id="rId50" ref="H45"/>
    <hyperlink r:id="rId51" ref="H46"/>
    <hyperlink r:id="rId52" ref="H47"/>
    <hyperlink r:id="rId53" ref="J47"/>
    <hyperlink r:id="rId54" ref="H48"/>
    <hyperlink r:id="rId55" ref="H49"/>
    <hyperlink r:id="rId56" ref="I49"/>
    <hyperlink r:id="rId57" ref="H50"/>
    <hyperlink r:id="rId58" ref="I50"/>
    <hyperlink r:id="rId59" ref="I51"/>
    <hyperlink r:id="rId60" ref="H52"/>
    <hyperlink r:id="rId61" ref="H53"/>
    <hyperlink r:id="rId62" ref="I53"/>
    <hyperlink r:id="rId63" ref="H54"/>
    <hyperlink r:id="rId64" ref="L54"/>
    <hyperlink r:id="rId65" ref="H55"/>
    <hyperlink r:id="rId66" ref="I55"/>
    <hyperlink r:id="rId67" ref="I56"/>
    <hyperlink r:id="rId68" ref="H57"/>
    <hyperlink r:id="rId69" ref="H58"/>
    <hyperlink r:id="rId70" ref="J58"/>
    <hyperlink r:id="rId71" ref="J59"/>
    <hyperlink r:id="rId72" ref="H60"/>
    <hyperlink r:id="rId73" ref="I60"/>
    <hyperlink r:id="rId74" ref="J61"/>
    <hyperlink r:id="rId75" ref="H62"/>
    <hyperlink r:id="rId76" ref="I62"/>
    <hyperlink r:id="rId77" ref="J62"/>
    <hyperlink r:id="rId78" ref="J63"/>
    <hyperlink r:id="rId79" ref="H64"/>
    <hyperlink r:id="rId80" ref="J65"/>
    <hyperlink r:id="rId81" ref="J66"/>
    <hyperlink r:id="rId82" ref="H67"/>
    <hyperlink r:id="rId83" ref="I67"/>
    <hyperlink r:id="rId84" ref="H68"/>
    <hyperlink r:id="rId85" ref="I68"/>
    <hyperlink r:id="rId86" ref="H69"/>
    <hyperlink r:id="rId87" ref="I69"/>
    <hyperlink r:id="rId88" ref="J69"/>
    <hyperlink r:id="rId89" ref="H70"/>
    <hyperlink r:id="rId90" ref="I70"/>
    <hyperlink r:id="rId91" ref="H71"/>
    <hyperlink r:id="rId92" ref="H72"/>
    <hyperlink r:id="rId93" ref="I72"/>
    <hyperlink r:id="rId94" ref="H73"/>
    <hyperlink r:id="rId95" ref="J73"/>
    <hyperlink r:id="rId96" ref="H74"/>
    <hyperlink r:id="rId97" ref="H75"/>
    <hyperlink r:id="rId98" ref="I75"/>
    <hyperlink r:id="rId99" ref="H76"/>
    <hyperlink r:id="rId100" ref="I76"/>
    <hyperlink r:id="rId101" ref="H77"/>
    <hyperlink r:id="rId102" ref="I78"/>
    <hyperlink r:id="rId103" ref="J79"/>
    <hyperlink r:id="rId104" ref="H80"/>
    <hyperlink r:id="rId105" ref="I80"/>
    <hyperlink r:id="rId106" ref="J80"/>
    <hyperlink r:id="rId107" ref="H81"/>
    <hyperlink r:id="rId108" ref="H82"/>
    <hyperlink r:id="rId109" ref="H83"/>
    <hyperlink r:id="rId110" ref="J84"/>
    <hyperlink r:id="rId111" ref="J85"/>
    <hyperlink r:id="rId112" ref="H86"/>
    <hyperlink r:id="rId113" ref="I86"/>
    <hyperlink r:id="rId114" ref="H87"/>
    <hyperlink r:id="rId115" ref="H88"/>
    <hyperlink r:id="rId116" ref="H89"/>
    <hyperlink r:id="rId117" ref="J90"/>
    <hyperlink r:id="rId118" ref="H91"/>
    <hyperlink r:id="rId119" ref="I91"/>
    <hyperlink r:id="rId120" ref="H92"/>
    <hyperlink r:id="rId121" ref="H93"/>
    <hyperlink r:id="rId122" ref="I93"/>
    <hyperlink r:id="rId123" ref="H94"/>
    <hyperlink r:id="rId124" ref="L94"/>
    <hyperlink r:id="rId125" ref="J95"/>
    <hyperlink r:id="rId126" ref="H96"/>
    <hyperlink r:id="rId127" ref="H97"/>
    <hyperlink r:id="rId128" ref="H98"/>
    <hyperlink r:id="rId129" ref="I98"/>
    <hyperlink r:id="rId130" ref="H99"/>
    <hyperlink r:id="rId131" ref="H100"/>
    <hyperlink r:id="rId132" ref="H101"/>
    <hyperlink r:id="rId133" ref="H102"/>
    <hyperlink r:id="rId134" ref="J103"/>
    <hyperlink r:id="rId135" ref="H104"/>
    <hyperlink r:id="rId136" ref="J105"/>
    <hyperlink r:id="rId137" ref="H106"/>
    <hyperlink r:id="rId138" ref="H107"/>
    <hyperlink r:id="rId139" ref="H108"/>
    <hyperlink r:id="rId140" ref="I108"/>
    <hyperlink r:id="rId141" ref="H109"/>
    <hyperlink r:id="rId142" ref="H110"/>
    <hyperlink r:id="rId143" ref="H111"/>
    <hyperlink r:id="rId144" ref="I111"/>
    <hyperlink r:id="rId145" ref="H112"/>
    <hyperlink r:id="rId146" ref="H113"/>
    <hyperlink r:id="rId147" ref="J113"/>
    <hyperlink r:id="rId148" ref="H114"/>
    <hyperlink r:id="rId149" ref="J115"/>
    <hyperlink r:id="rId150" ref="H116"/>
    <hyperlink r:id="rId151" ref="H117"/>
    <hyperlink r:id="rId152" ref="H118"/>
    <hyperlink r:id="rId153" ref="H119"/>
    <hyperlink r:id="rId154" ref="H120"/>
    <hyperlink r:id="rId155" ref="H121"/>
    <hyperlink r:id="rId156" ref="H122"/>
    <hyperlink r:id="rId157" ref="I122"/>
    <hyperlink r:id="rId158" ref="H123"/>
    <hyperlink r:id="rId159" ref="H124"/>
    <hyperlink r:id="rId160" ref="J125"/>
    <hyperlink r:id="rId161" ref="H126"/>
    <hyperlink r:id="rId162" ref="H127"/>
    <hyperlink r:id="rId163" ref="J128"/>
    <hyperlink r:id="rId164" ref="H129"/>
    <hyperlink r:id="rId165" ref="H130"/>
    <hyperlink r:id="rId166" ref="H131"/>
    <hyperlink r:id="rId167" ref="H132"/>
    <hyperlink r:id="rId168" ref="H133"/>
    <hyperlink r:id="rId169" ref="H134"/>
    <hyperlink r:id="rId170" ref="J135"/>
    <hyperlink r:id="rId171" ref="J136"/>
  </hyperlinks>
  <drawing r:id="rId17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0.88"/>
    <col customWidth="1" min="3" max="3" width="29.5"/>
    <col customWidth="1" min="4" max="4" width="3.88"/>
    <col customWidth="1" min="5" max="5" width="7.75"/>
    <col customWidth="1" min="6" max="6" width="4.13"/>
    <col customWidth="1" min="7" max="7" width="3.0"/>
    <col customWidth="1" min="8" max="8" width="52.13"/>
    <col customWidth="1" min="9" max="9" width="26.63"/>
    <col customWidth="1" min="10" max="10" width="32.88"/>
    <col customWidth="1" min="11" max="11" width="4.88"/>
    <col customWidth="1" min="12" max="12" width="3.88"/>
    <col customWidth="1" min="13" max="13" width="7.25"/>
    <col customWidth="1" min="14" max="14" width="4.38"/>
    <col customWidth="1" min="15" max="15" width="4.5"/>
    <col customWidth="1" min="16" max="16" width="4.13"/>
    <col customWidth="1" min="17" max="17" width="5.13"/>
    <col customWidth="1" min="18" max="18" width="4.25"/>
    <col customWidth="1" min="19" max="19" width="4.5"/>
  </cols>
  <sheetData>
    <row r="1" ht="17.25" customHeight="1">
      <c r="A1" s="8" t="s">
        <v>19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>
      <c r="A2" s="37">
        <v>2337.0</v>
      </c>
      <c r="B2" s="299" t="s">
        <v>12093</v>
      </c>
      <c r="C2" s="11" t="s">
        <v>4148</v>
      </c>
      <c r="D2" s="272" t="s">
        <v>26</v>
      </c>
      <c r="E2" s="11" t="s">
        <v>31</v>
      </c>
      <c r="F2" s="11" t="s">
        <v>12094</v>
      </c>
      <c r="H2" s="9" t="s">
        <v>12095</v>
      </c>
    </row>
    <row r="3">
      <c r="A3" s="100">
        <v>31599.0</v>
      </c>
      <c r="B3" s="300" t="s">
        <v>12096</v>
      </c>
      <c r="C3" s="14" t="s">
        <v>4459</v>
      </c>
      <c r="D3" s="11" t="s">
        <v>26</v>
      </c>
      <c r="E3" s="8" t="s">
        <v>31</v>
      </c>
      <c r="H3" s="12" t="s">
        <v>12097</v>
      </c>
    </row>
    <row r="4">
      <c r="A4" s="100">
        <v>28087.0</v>
      </c>
      <c r="B4" s="300" t="s">
        <v>12098</v>
      </c>
      <c r="C4" s="300" t="s">
        <v>12099</v>
      </c>
      <c r="D4" s="11" t="s">
        <v>26</v>
      </c>
      <c r="E4" s="8" t="s">
        <v>31</v>
      </c>
      <c r="F4" s="8" t="s">
        <v>12100</v>
      </c>
      <c r="H4" s="12" t="s">
        <v>12101</v>
      </c>
      <c r="I4" s="12" t="s">
        <v>12102</v>
      </c>
    </row>
    <row r="5">
      <c r="A5" s="100">
        <v>30905.0</v>
      </c>
      <c r="B5" s="14" t="s">
        <v>12093</v>
      </c>
      <c r="C5" s="14" t="s">
        <v>12103</v>
      </c>
      <c r="D5" s="11" t="s">
        <v>26</v>
      </c>
      <c r="E5" s="8" t="s">
        <v>31</v>
      </c>
      <c r="H5" s="12" t="s">
        <v>12104</v>
      </c>
    </row>
    <row r="6">
      <c r="A6" s="100">
        <v>28116.0</v>
      </c>
      <c r="B6" s="14" t="s">
        <v>12093</v>
      </c>
      <c r="C6" s="8" t="s">
        <v>763</v>
      </c>
      <c r="D6" s="11" t="s">
        <v>26</v>
      </c>
      <c r="E6" s="8" t="s">
        <v>31</v>
      </c>
      <c r="H6" s="12" t="s">
        <v>12105</v>
      </c>
      <c r="J6" s="12" t="s">
        <v>12106</v>
      </c>
    </row>
    <row r="7">
      <c r="A7" s="37">
        <v>25136.0</v>
      </c>
      <c r="B7" s="14" t="s">
        <v>12093</v>
      </c>
      <c r="C7" s="11" t="s">
        <v>763</v>
      </c>
      <c r="D7" s="8" t="s">
        <v>26</v>
      </c>
      <c r="E7" s="8" t="s">
        <v>12107</v>
      </c>
      <c r="H7" s="12" t="s">
        <v>12108</v>
      </c>
    </row>
    <row r="8">
      <c r="A8" s="37">
        <v>18040.0</v>
      </c>
      <c r="B8" s="14" t="s">
        <v>12093</v>
      </c>
      <c r="C8" s="11" t="s">
        <v>12109</v>
      </c>
      <c r="D8" s="8" t="s">
        <v>26</v>
      </c>
      <c r="E8" s="8" t="s">
        <v>31</v>
      </c>
      <c r="H8" s="12" t="s">
        <v>12110</v>
      </c>
    </row>
    <row r="9">
      <c r="A9" s="100">
        <v>2413.0</v>
      </c>
      <c r="B9" s="299" t="s">
        <v>12093</v>
      </c>
      <c r="C9" s="14" t="s">
        <v>223</v>
      </c>
      <c r="D9" s="272" t="s">
        <v>26</v>
      </c>
      <c r="E9" s="8" t="s">
        <v>12107</v>
      </c>
      <c r="F9" s="8" t="s">
        <v>12111</v>
      </c>
      <c r="H9" s="9" t="s">
        <v>12112</v>
      </c>
    </row>
    <row r="10">
      <c r="A10" s="37">
        <v>2482.0</v>
      </c>
      <c r="B10" s="299" t="s">
        <v>12093</v>
      </c>
      <c r="C10" s="8" t="s">
        <v>8642</v>
      </c>
      <c r="D10" s="272" t="s">
        <v>26</v>
      </c>
      <c r="E10" s="269" t="s">
        <v>31</v>
      </c>
      <c r="H10" s="9" t="s">
        <v>12113</v>
      </c>
      <c r="J10" s="12" t="s">
        <v>12114</v>
      </c>
    </row>
    <row r="11">
      <c r="A11" s="269">
        <v>20479.0</v>
      </c>
      <c r="B11" s="301" t="s">
        <v>12093</v>
      </c>
      <c r="C11" s="269" t="s">
        <v>3186</v>
      </c>
      <c r="D11" s="302" t="s">
        <v>26</v>
      </c>
      <c r="E11" s="269" t="s">
        <v>31</v>
      </c>
      <c r="F11" s="270"/>
      <c r="G11" s="269">
        <v>1.0</v>
      </c>
      <c r="H11" s="271" t="s">
        <v>12115</v>
      </c>
      <c r="I11" s="270"/>
      <c r="J11" s="270"/>
      <c r="K11" s="270"/>
      <c r="L11" s="270"/>
    </row>
    <row r="12">
      <c r="A12" s="100">
        <v>30250.0</v>
      </c>
      <c r="B12" s="14" t="s">
        <v>12093</v>
      </c>
      <c r="C12" s="8" t="s">
        <v>458</v>
      </c>
      <c r="D12" s="11" t="s">
        <v>26</v>
      </c>
      <c r="E12" s="8" t="s">
        <v>12116</v>
      </c>
      <c r="F12" s="8" t="s">
        <v>12117</v>
      </c>
      <c r="H12" s="12" t="s">
        <v>12118</v>
      </c>
    </row>
    <row r="13">
      <c r="A13" s="37">
        <v>18352.0</v>
      </c>
      <c r="B13" s="14" t="s">
        <v>12093</v>
      </c>
      <c r="C13" s="11" t="s">
        <v>855</v>
      </c>
      <c r="D13" s="8" t="s">
        <v>26</v>
      </c>
      <c r="E13" s="8" t="s">
        <v>226</v>
      </c>
      <c r="H13" s="303" t="s">
        <v>8148</v>
      </c>
      <c r="J13" s="12" t="s">
        <v>12119</v>
      </c>
    </row>
    <row r="14">
      <c r="A14" s="37">
        <v>2192.0</v>
      </c>
      <c r="B14" s="299" t="s">
        <v>12093</v>
      </c>
      <c r="C14" s="14" t="s">
        <v>473</v>
      </c>
      <c r="D14" s="272" t="s">
        <v>26</v>
      </c>
      <c r="E14" s="300" t="s">
        <v>31</v>
      </c>
      <c r="H14" s="12" t="s">
        <v>12120</v>
      </c>
      <c r="I14" s="12" t="s">
        <v>12121</v>
      </c>
    </row>
    <row r="15">
      <c r="A15" s="37">
        <v>2520.0</v>
      </c>
      <c r="B15" s="299" t="s">
        <v>12093</v>
      </c>
      <c r="C15" s="8" t="s">
        <v>12122</v>
      </c>
      <c r="D15" s="272" t="s">
        <v>26</v>
      </c>
      <c r="E15" s="269" t="s">
        <v>31</v>
      </c>
      <c r="G15" s="37">
        <v>1.0</v>
      </c>
      <c r="H15" s="9" t="s">
        <v>12123</v>
      </c>
      <c r="I15" s="12" t="s">
        <v>12124</v>
      </c>
    </row>
    <row r="16">
      <c r="A16" s="269">
        <v>20272.0</v>
      </c>
      <c r="B16" s="299" t="s">
        <v>12093</v>
      </c>
      <c r="C16" s="269" t="s">
        <v>855</v>
      </c>
      <c r="D16" s="272" t="s">
        <v>26</v>
      </c>
      <c r="E16" s="269" t="s">
        <v>31</v>
      </c>
      <c r="F16" s="270"/>
      <c r="G16" s="270"/>
      <c r="H16" s="271" t="s">
        <v>12125</v>
      </c>
      <c r="I16" s="270"/>
      <c r="J16" s="270"/>
      <c r="K16" s="270"/>
      <c r="L16" s="270"/>
    </row>
    <row r="17">
      <c r="A17" s="37">
        <v>2153.0</v>
      </c>
      <c r="B17" s="14" t="s">
        <v>12093</v>
      </c>
      <c r="C17" s="11" t="s">
        <v>12126</v>
      </c>
      <c r="D17" s="8" t="s">
        <v>26</v>
      </c>
      <c r="E17" s="8" t="s">
        <v>31</v>
      </c>
      <c r="H17" s="12" t="s">
        <v>12127</v>
      </c>
      <c r="I17" s="12" t="s">
        <v>12128</v>
      </c>
      <c r="J17" s="12" t="s">
        <v>12129</v>
      </c>
    </row>
    <row r="18">
      <c r="A18" s="37">
        <v>2516.0</v>
      </c>
      <c r="B18" s="299" t="s">
        <v>12093</v>
      </c>
      <c r="C18" s="8" t="s">
        <v>5909</v>
      </c>
      <c r="D18" s="272" t="s">
        <v>26</v>
      </c>
      <c r="E18" s="269" t="s">
        <v>31</v>
      </c>
      <c r="H18" s="9" t="s">
        <v>12130</v>
      </c>
    </row>
    <row r="19">
      <c r="A19" s="100">
        <v>2465.0</v>
      </c>
      <c r="B19" s="299" t="s">
        <v>12093</v>
      </c>
      <c r="C19" s="11" t="s">
        <v>855</v>
      </c>
      <c r="D19" s="272" t="s">
        <v>26</v>
      </c>
      <c r="E19" s="8" t="s">
        <v>31</v>
      </c>
      <c r="H19" s="9" t="s">
        <v>12131</v>
      </c>
      <c r="I19" s="12" t="s">
        <v>12132</v>
      </c>
      <c r="J19" s="9" t="s">
        <v>12133</v>
      </c>
    </row>
    <row r="20">
      <c r="A20" s="37">
        <v>2358.0</v>
      </c>
      <c r="B20" s="14" t="s">
        <v>12093</v>
      </c>
      <c r="C20" s="11" t="s">
        <v>855</v>
      </c>
      <c r="D20" s="8" t="s">
        <v>26</v>
      </c>
      <c r="E20" s="8" t="s">
        <v>31</v>
      </c>
      <c r="F20" s="8" t="s">
        <v>264</v>
      </c>
      <c r="H20" s="12" t="s">
        <v>12134</v>
      </c>
      <c r="I20" s="12" t="s">
        <v>12135</v>
      </c>
    </row>
    <row r="21">
      <c r="A21" s="269">
        <v>20276.0</v>
      </c>
      <c r="B21" s="299" t="s">
        <v>12093</v>
      </c>
      <c r="C21" s="269" t="s">
        <v>855</v>
      </c>
      <c r="D21" s="272" t="s">
        <v>26</v>
      </c>
      <c r="E21" s="269" t="s">
        <v>31</v>
      </c>
      <c r="F21" s="270"/>
      <c r="G21" s="269">
        <v>1.0</v>
      </c>
      <c r="H21" s="271" t="s">
        <v>12136</v>
      </c>
      <c r="I21" s="271" t="s">
        <v>12137</v>
      </c>
      <c r="J21" s="270"/>
      <c r="K21" s="270"/>
      <c r="L21" s="270"/>
    </row>
    <row r="22">
      <c r="A22" s="100">
        <v>20235.0</v>
      </c>
      <c r="B22" s="14" t="s">
        <v>12093</v>
      </c>
      <c r="C22" s="11" t="s">
        <v>4088</v>
      </c>
      <c r="D22" s="11" t="s">
        <v>26</v>
      </c>
      <c r="E22" s="8" t="s">
        <v>31</v>
      </c>
      <c r="H22" s="9" t="s">
        <v>12138</v>
      </c>
    </row>
    <row r="23">
      <c r="A23" s="100">
        <v>24801.0</v>
      </c>
      <c r="B23" s="14" t="s">
        <v>12093</v>
      </c>
      <c r="C23" s="8" t="s">
        <v>9857</v>
      </c>
      <c r="D23" s="11" t="s">
        <v>26</v>
      </c>
      <c r="E23" s="8" t="s">
        <v>31</v>
      </c>
      <c r="H23" s="9" t="s">
        <v>12139</v>
      </c>
    </row>
    <row r="24">
      <c r="A24" s="100">
        <v>2229.0</v>
      </c>
      <c r="B24" s="299" t="s">
        <v>12093</v>
      </c>
      <c r="C24" s="11" t="s">
        <v>12140</v>
      </c>
      <c r="D24" s="272" t="s">
        <v>26</v>
      </c>
      <c r="E24" s="300" t="s">
        <v>31</v>
      </c>
      <c r="H24" s="9" t="s">
        <v>12141</v>
      </c>
    </row>
    <row r="25">
      <c r="A25" s="100">
        <v>32492.0</v>
      </c>
      <c r="B25" s="14" t="s">
        <v>12093</v>
      </c>
      <c r="C25" s="11" t="s">
        <v>12142</v>
      </c>
      <c r="D25" s="11" t="s">
        <v>26</v>
      </c>
      <c r="E25" s="8" t="s">
        <v>31</v>
      </c>
      <c r="H25" s="12" t="s">
        <v>258</v>
      </c>
      <c r="I25" s="12" t="s">
        <v>12143</v>
      </c>
    </row>
    <row r="26">
      <c r="A26" s="100">
        <v>25453.0</v>
      </c>
      <c r="B26" s="300" t="s">
        <v>12144</v>
      </c>
      <c r="C26" s="11" t="s">
        <v>7005</v>
      </c>
      <c r="D26" s="11" t="s">
        <v>26</v>
      </c>
      <c r="E26" s="8" t="s">
        <v>31</v>
      </c>
      <c r="H26" s="9" t="s">
        <v>12145</v>
      </c>
      <c r="J26" s="12" t="s">
        <v>12146</v>
      </c>
    </row>
    <row r="27">
      <c r="A27" s="37">
        <v>19968.0</v>
      </c>
      <c r="B27" s="299" t="s">
        <v>12093</v>
      </c>
      <c r="C27" s="8" t="s">
        <v>12147</v>
      </c>
      <c r="D27" s="272" t="s">
        <v>26</v>
      </c>
      <c r="E27" s="269" t="s">
        <v>31</v>
      </c>
      <c r="H27" s="9" t="s">
        <v>12148</v>
      </c>
      <c r="I27" s="12" t="s">
        <v>12149</v>
      </c>
      <c r="J27" s="12" t="s">
        <v>12150</v>
      </c>
    </row>
    <row r="28">
      <c r="A28" s="100">
        <v>29211.0</v>
      </c>
      <c r="B28" s="14" t="s">
        <v>12093</v>
      </c>
      <c r="C28" s="304" t="s">
        <v>12151</v>
      </c>
      <c r="D28" s="11" t="s">
        <v>26</v>
      </c>
      <c r="E28" s="8" t="s">
        <v>12116</v>
      </c>
      <c r="H28" s="9" t="s">
        <v>12152</v>
      </c>
    </row>
    <row r="29">
      <c r="A29" s="37">
        <v>18556.0</v>
      </c>
      <c r="B29" s="299" t="s">
        <v>12093</v>
      </c>
      <c r="C29" s="8" t="s">
        <v>12153</v>
      </c>
      <c r="D29" s="272" t="s">
        <v>26</v>
      </c>
      <c r="E29" s="269" t="s">
        <v>31</v>
      </c>
      <c r="G29" s="37">
        <v>1.0</v>
      </c>
      <c r="H29" s="9" t="s">
        <v>12154</v>
      </c>
    </row>
    <row r="30">
      <c r="A30" s="37">
        <v>18350.0</v>
      </c>
      <c r="B30" s="14" t="s">
        <v>12093</v>
      </c>
      <c r="C30" s="11" t="s">
        <v>12155</v>
      </c>
      <c r="D30" s="8" t="s">
        <v>26</v>
      </c>
      <c r="E30" s="8" t="s">
        <v>12156</v>
      </c>
      <c r="H30" s="12" t="s">
        <v>12157</v>
      </c>
    </row>
    <row r="31">
      <c r="A31" s="37">
        <v>2493.0</v>
      </c>
      <c r="B31" s="299" t="s">
        <v>12093</v>
      </c>
      <c r="C31" s="8" t="s">
        <v>12158</v>
      </c>
      <c r="D31" s="272" t="s">
        <v>26</v>
      </c>
      <c r="E31" s="269" t="s">
        <v>31</v>
      </c>
      <c r="H31" s="9" t="s">
        <v>12159</v>
      </c>
      <c r="J31" s="12" t="s">
        <v>12160</v>
      </c>
    </row>
    <row r="32">
      <c r="A32" s="37">
        <v>18552.0</v>
      </c>
      <c r="B32" s="299" t="s">
        <v>12093</v>
      </c>
      <c r="C32" s="8" t="s">
        <v>12161</v>
      </c>
      <c r="D32" s="272" t="s">
        <v>26</v>
      </c>
      <c r="E32" s="305" t="s">
        <v>12107</v>
      </c>
      <c r="H32" s="9" t="s">
        <v>12162</v>
      </c>
      <c r="J32" s="12" t="s">
        <v>12163</v>
      </c>
    </row>
    <row r="33">
      <c r="A33" s="100">
        <v>2479.0</v>
      </c>
      <c r="B33" s="299" t="s">
        <v>12093</v>
      </c>
      <c r="C33" s="14" t="s">
        <v>49</v>
      </c>
      <c r="D33" s="272" t="s">
        <v>26</v>
      </c>
      <c r="E33" s="8" t="s">
        <v>31</v>
      </c>
      <c r="H33" s="12" t="s">
        <v>12164</v>
      </c>
    </row>
    <row r="34">
      <c r="A34" s="37">
        <v>19885.0</v>
      </c>
      <c r="B34" s="14" t="s">
        <v>12093</v>
      </c>
      <c r="C34" s="11" t="s">
        <v>12165</v>
      </c>
      <c r="D34" s="8" t="s">
        <v>26</v>
      </c>
      <c r="E34" s="8" t="s">
        <v>31</v>
      </c>
      <c r="H34" s="12" t="s">
        <v>12166</v>
      </c>
      <c r="I34" s="12" t="s">
        <v>12167</v>
      </c>
    </row>
    <row r="35">
      <c r="A35" s="37">
        <v>2318.0</v>
      </c>
      <c r="B35" s="299" t="s">
        <v>12093</v>
      </c>
      <c r="C35" s="8" t="s">
        <v>12168</v>
      </c>
      <c r="D35" s="272" t="s">
        <v>26</v>
      </c>
      <c r="E35" s="11" t="s">
        <v>12107</v>
      </c>
      <c r="F35" s="11" t="s">
        <v>12169</v>
      </c>
      <c r="H35" s="9" t="s">
        <v>12170</v>
      </c>
    </row>
    <row r="36">
      <c r="A36" s="37">
        <v>18566.0</v>
      </c>
      <c r="B36" s="299" t="s">
        <v>12093</v>
      </c>
      <c r="C36" s="8" t="s">
        <v>4137</v>
      </c>
      <c r="D36" s="272" t="s">
        <v>26</v>
      </c>
      <c r="E36" s="269" t="s">
        <v>31</v>
      </c>
      <c r="H36" s="9" t="s">
        <v>12171</v>
      </c>
      <c r="I36" s="12" t="s">
        <v>12172</v>
      </c>
    </row>
    <row r="37">
      <c r="A37" s="100">
        <v>2332.0</v>
      </c>
      <c r="B37" s="299" t="s">
        <v>12093</v>
      </c>
      <c r="C37" s="11" t="s">
        <v>12173</v>
      </c>
      <c r="D37" s="272" t="s">
        <v>26</v>
      </c>
      <c r="E37" s="11" t="s">
        <v>31</v>
      </c>
      <c r="H37" s="9" t="s">
        <v>12174</v>
      </c>
    </row>
    <row r="38">
      <c r="A38" s="100">
        <v>2393.0</v>
      </c>
      <c r="B38" s="299" t="s">
        <v>12093</v>
      </c>
      <c r="C38" s="11" t="s">
        <v>6426</v>
      </c>
      <c r="D38" s="272" t="s">
        <v>26</v>
      </c>
      <c r="E38" s="8" t="s">
        <v>31</v>
      </c>
      <c r="H38" s="12" t="s">
        <v>12175</v>
      </c>
    </row>
    <row r="39">
      <c r="A39" s="100">
        <v>26824.0</v>
      </c>
      <c r="B39" s="14" t="s">
        <v>12093</v>
      </c>
      <c r="C39" s="14" t="s">
        <v>12176</v>
      </c>
      <c r="D39" s="11" t="s">
        <v>26</v>
      </c>
      <c r="E39" s="8" t="s">
        <v>31</v>
      </c>
      <c r="G39" s="37" t="s">
        <v>318</v>
      </c>
      <c r="H39" s="9" t="s">
        <v>12177</v>
      </c>
      <c r="I39" s="12" t="s">
        <v>12178</v>
      </c>
    </row>
    <row r="40">
      <c r="A40" s="100">
        <v>30084.0</v>
      </c>
      <c r="B40" s="14" t="s">
        <v>12093</v>
      </c>
      <c r="C40" s="11" t="s">
        <v>12179</v>
      </c>
      <c r="D40" s="11" t="s">
        <v>26</v>
      </c>
      <c r="E40" s="8" t="s">
        <v>12116</v>
      </c>
      <c r="H40" s="9" t="s">
        <v>12180</v>
      </c>
      <c r="I40" s="12" t="s">
        <v>12181</v>
      </c>
      <c r="J40" s="12" t="s">
        <v>12182</v>
      </c>
    </row>
    <row r="41">
      <c r="A41" s="100">
        <v>24306.0</v>
      </c>
      <c r="B41" s="14" t="s">
        <v>12093</v>
      </c>
      <c r="C41" s="8" t="s">
        <v>3482</v>
      </c>
      <c r="D41" s="11" t="s">
        <v>26</v>
      </c>
      <c r="E41" s="8" t="s">
        <v>31</v>
      </c>
      <c r="H41" s="9" t="s">
        <v>12183</v>
      </c>
      <c r="J41" s="12" t="s">
        <v>12184</v>
      </c>
    </row>
    <row r="42">
      <c r="A42" s="100">
        <v>2316.0</v>
      </c>
      <c r="B42" s="299" t="s">
        <v>12093</v>
      </c>
      <c r="C42" s="11" t="s">
        <v>12185</v>
      </c>
      <c r="D42" s="272" t="s">
        <v>26</v>
      </c>
      <c r="E42" s="11" t="s">
        <v>31</v>
      </c>
      <c r="F42" s="11" t="s">
        <v>12186</v>
      </c>
      <c r="H42" s="12" t="s">
        <v>12187</v>
      </c>
    </row>
    <row r="43">
      <c r="A43" s="37">
        <v>18046.0</v>
      </c>
      <c r="B43" s="299" t="s">
        <v>12093</v>
      </c>
      <c r="C43" s="8" t="s">
        <v>12188</v>
      </c>
      <c r="D43" s="272" t="s">
        <v>26</v>
      </c>
      <c r="E43" s="269" t="s">
        <v>31</v>
      </c>
      <c r="H43" s="9" t="s">
        <v>12189</v>
      </c>
      <c r="I43" s="12" t="s">
        <v>12190</v>
      </c>
      <c r="J43" s="12" t="s">
        <v>12191</v>
      </c>
    </row>
    <row r="44">
      <c r="A44" s="100">
        <v>2246.0</v>
      </c>
      <c r="B44" s="299" t="s">
        <v>12093</v>
      </c>
      <c r="C44" s="11" t="s">
        <v>12192</v>
      </c>
      <c r="D44" s="272" t="s">
        <v>26</v>
      </c>
      <c r="E44" s="300" t="s">
        <v>31</v>
      </c>
      <c r="H44" s="12" t="s">
        <v>12193</v>
      </c>
    </row>
    <row r="45">
      <c r="A45" s="37">
        <v>18558.0</v>
      </c>
      <c r="B45" s="299" t="s">
        <v>12093</v>
      </c>
      <c r="C45" s="8" t="s">
        <v>12194</v>
      </c>
      <c r="D45" s="272" t="s">
        <v>26</v>
      </c>
      <c r="E45" s="305" t="s">
        <v>12107</v>
      </c>
      <c r="H45" s="9" t="s">
        <v>12195</v>
      </c>
      <c r="J45" s="12" t="s">
        <v>229</v>
      </c>
    </row>
    <row r="46">
      <c r="A46" s="37">
        <v>19142.0</v>
      </c>
      <c r="B46" s="299" t="s">
        <v>12093</v>
      </c>
      <c r="C46" s="8" t="s">
        <v>12196</v>
      </c>
      <c r="D46" s="272" t="s">
        <v>26</v>
      </c>
      <c r="E46" s="305" t="s">
        <v>226</v>
      </c>
      <c r="H46" s="9" t="s">
        <v>12197</v>
      </c>
      <c r="I46" s="12" t="s">
        <v>12198</v>
      </c>
    </row>
    <row r="47">
      <c r="A47" s="100">
        <v>31027.0</v>
      </c>
      <c r="B47" s="14" t="s">
        <v>12093</v>
      </c>
      <c r="C47" s="11" t="s">
        <v>760</v>
      </c>
      <c r="D47" s="11" t="s">
        <v>26</v>
      </c>
      <c r="E47" s="8" t="s">
        <v>31</v>
      </c>
      <c r="H47" s="12" t="s">
        <v>12199</v>
      </c>
      <c r="I47" s="12" t="s">
        <v>12200</v>
      </c>
    </row>
    <row r="48">
      <c r="A48" s="37">
        <v>2278.0</v>
      </c>
      <c r="B48" s="299" t="s">
        <v>12093</v>
      </c>
      <c r="C48" s="14" t="s">
        <v>7903</v>
      </c>
      <c r="D48" s="272" t="s">
        <v>26</v>
      </c>
      <c r="E48" s="300" t="s">
        <v>31</v>
      </c>
      <c r="H48" s="9" t="s">
        <v>12201</v>
      </c>
    </row>
    <row r="49">
      <c r="A49" s="37">
        <v>19492.0</v>
      </c>
      <c r="B49" s="299" t="s">
        <v>12093</v>
      </c>
      <c r="C49" s="8" t="s">
        <v>10229</v>
      </c>
      <c r="D49" s="272" t="s">
        <v>26</v>
      </c>
      <c r="E49" s="269" t="s">
        <v>31</v>
      </c>
      <c r="G49" s="37">
        <v>1.0</v>
      </c>
      <c r="H49" s="9" t="s">
        <v>12202</v>
      </c>
    </row>
    <row r="50">
      <c r="A50" s="100">
        <v>31776.0</v>
      </c>
      <c r="B50" s="14" t="s">
        <v>12093</v>
      </c>
      <c r="C50" s="8" t="s">
        <v>3615</v>
      </c>
      <c r="D50" s="11" t="s">
        <v>26</v>
      </c>
      <c r="E50" s="8" t="s">
        <v>31</v>
      </c>
      <c r="H50" s="12" t="s">
        <v>12203</v>
      </c>
      <c r="I50" s="12" t="s">
        <v>12204</v>
      </c>
    </row>
    <row r="51">
      <c r="A51" s="37">
        <v>19881.0</v>
      </c>
      <c r="B51" s="14" t="s">
        <v>12093</v>
      </c>
      <c r="C51" s="11" t="s">
        <v>12205</v>
      </c>
      <c r="D51" s="8" t="s">
        <v>26</v>
      </c>
      <c r="E51" s="8" t="s">
        <v>31</v>
      </c>
      <c r="H51" s="12" t="s">
        <v>12206</v>
      </c>
      <c r="I51" s="12" t="s">
        <v>12207</v>
      </c>
      <c r="J51" s="12" t="s">
        <v>12208</v>
      </c>
    </row>
    <row r="52">
      <c r="A52" s="37">
        <v>2478.0</v>
      </c>
      <c r="B52" s="14" t="s">
        <v>12093</v>
      </c>
      <c r="C52" s="11" t="s">
        <v>3635</v>
      </c>
      <c r="D52" s="8" t="s">
        <v>26</v>
      </c>
      <c r="E52" s="8" t="s">
        <v>12107</v>
      </c>
      <c r="F52" s="8" t="s">
        <v>12107</v>
      </c>
      <c r="H52" s="9" t="s">
        <v>12209</v>
      </c>
      <c r="I52" s="12" t="s">
        <v>12210</v>
      </c>
    </row>
    <row r="53">
      <c r="A53" s="100">
        <v>2357.0</v>
      </c>
      <c r="B53" s="299" t="s">
        <v>12093</v>
      </c>
      <c r="C53" s="14" t="s">
        <v>10825</v>
      </c>
      <c r="D53" s="272" t="s">
        <v>26</v>
      </c>
      <c r="E53" s="11" t="s">
        <v>31</v>
      </c>
      <c r="F53" s="11" t="s">
        <v>264</v>
      </c>
      <c r="H53" s="12" t="s">
        <v>12211</v>
      </c>
    </row>
    <row r="54">
      <c r="A54" s="100">
        <v>26819.0</v>
      </c>
      <c r="B54" s="300" t="s">
        <v>12212</v>
      </c>
      <c r="C54" s="8" t="s">
        <v>12213</v>
      </c>
      <c r="D54" s="11" t="s">
        <v>26</v>
      </c>
      <c r="E54" s="8" t="s">
        <v>31</v>
      </c>
      <c r="H54" s="12" t="s">
        <v>12214</v>
      </c>
    </row>
    <row r="55">
      <c r="A55" s="100">
        <v>2388.0</v>
      </c>
      <c r="B55" s="299" t="s">
        <v>12093</v>
      </c>
      <c r="C55" s="11" t="s">
        <v>5281</v>
      </c>
      <c r="D55" s="272" t="s">
        <v>26</v>
      </c>
      <c r="E55" s="11" t="s">
        <v>31</v>
      </c>
      <c r="H55" s="12" t="s">
        <v>12215</v>
      </c>
      <c r="I55" s="12" t="s">
        <v>12216</v>
      </c>
    </row>
    <row r="56">
      <c r="A56" s="100">
        <v>2319.0</v>
      </c>
      <c r="B56" s="299" t="s">
        <v>12093</v>
      </c>
      <c r="C56" s="11" t="s">
        <v>7725</v>
      </c>
      <c r="D56" s="272" t="s">
        <v>26</v>
      </c>
      <c r="E56" s="11" t="s">
        <v>12107</v>
      </c>
      <c r="F56" s="11" t="s">
        <v>12169</v>
      </c>
      <c r="H56" s="12" t="s">
        <v>12217</v>
      </c>
    </row>
    <row r="57">
      <c r="A57" s="100">
        <v>2473.0</v>
      </c>
      <c r="B57" s="299" t="s">
        <v>12093</v>
      </c>
      <c r="C57" s="8" t="s">
        <v>855</v>
      </c>
      <c r="D57" s="272" t="s">
        <v>26</v>
      </c>
      <c r="E57" s="8" t="s">
        <v>12218</v>
      </c>
      <c r="H57" s="12" t="s">
        <v>12219</v>
      </c>
      <c r="I57" s="12" t="s">
        <v>12220</v>
      </c>
    </row>
    <row r="58">
      <c r="A58" s="37">
        <v>18370.0</v>
      </c>
      <c r="B58" s="299" t="s">
        <v>12093</v>
      </c>
      <c r="C58" s="8" t="s">
        <v>12221</v>
      </c>
      <c r="D58" s="272" t="s">
        <v>26</v>
      </c>
      <c r="E58" s="305" t="s">
        <v>264</v>
      </c>
      <c r="G58" s="37">
        <v>1.0</v>
      </c>
      <c r="H58" s="9" t="s">
        <v>7421</v>
      </c>
    </row>
    <row r="59">
      <c r="A59" s="269">
        <v>22365.0</v>
      </c>
      <c r="B59" s="299" t="s">
        <v>12093</v>
      </c>
      <c r="C59" s="269" t="s">
        <v>1068</v>
      </c>
      <c r="D59" s="272" t="s">
        <v>26</v>
      </c>
      <c r="E59" s="269" t="s">
        <v>31</v>
      </c>
      <c r="F59" s="270"/>
      <c r="G59" s="270"/>
      <c r="H59" s="271" t="s">
        <v>12222</v>
      </c>
      <c r="I59" s="270"/>
      <c r="J59" s="270"/>
      <c r="K59" s="270"/>
      <c r="L59" s="270"/>
    </row>
    <row r="60">
      <c r="A60" s="37">
        <v>2336.0</v>
      </c>
      <c r="B60" s="299" t="s">
        <v>12093</v>
      </c>
      <c r="C60" s="8" t="s">
        <v>5653</v>
      </c>
      <c r="D60" s="272" t="s">
        <v>26</v>
      </c>
      <c r="E60" s="11" t="s">
        <v>31</v>
      </c>
      <c r="H60" s="9" t="s">
        <v>12223</v>
      </c>
    </row>
    <row r="61">
      <c r="A61" s="100">
        <v>20226.0</v>
      </c>
      <c r="B61" s="14" t="s">
        <v>12093</v>
      </c>
      <c r="C61" s="8" t="s">
        <v>12224</v>
      </c>
      <c r="D61" s="11" t="s">
        <v>26</v>
      </c>
      <c r="E61" s="8" t="s">
        <v>31</v>
      </c>
      <c r="H61" s="12" t="s">
        <v>12223</v>
      </c>
    </row>
    <row r="62">
      <c r="A62" s="100">
        <v>29209.0</v>
      </c>
      <c r="B62" s="14" t="s">
        <v>12093</v>
      </c>
      <c r="C62" s="14" t="s">
        <v>8341</v>
      </c>
      <c r="D62" s="11" t="s">
        <v>26</v>
      </c>
      <c r="E62" s="8" t="s">
        <v>12116</v>
      </c>
      <c r="H62" s="12" t="s">
        <v>12225</v>
      </c>
    </row>
    <row r="63">
      <c r="A63" s="37">
        <v>19886.0</v>
      </c>
      <c r="B63" s="299" t="s">
        <v>12093</v>
      </c>
      <c r="C63" s="8" t="s">
        <v>8415</v>
      </c>
      <c r="D63" s="272" t="s">
        <v>26</v>
      </c>
      <c r="E63" s="269" t="s">
        <v>31</v>
      </c>
      <c r="H63" s="9" t="s">
        <v>12226</v>
      </c>
    </row>
    <row r="64">
      <c r="A64" s="37">
        <v>18557.0</v>
      </c>
      <c r="B64" s="299" t="s">
        <v>12093</v>
      </c>
      <c r="C64" s="8" t="s">
        <v>12227</v>
      </c>
      <c r="D64" s="272" t="s">
        <v>26</v>
      </c>
      <c r="E64" s="305" t="s">
        <v>12107</v>
      </c>
      <c r="H64" s="9" t="s">
        <v>12228</v>
      </c>
    </row>
    <row r="65">
      <c r="A65" s="100">
        <v>33005.0</v>
      </c>
      <c r="B65" s="14" t="s">
        <v>12093</v>
      </c>
      <c r="C65" s="11" t="s">
        <v>12229</v>
      </c>
      <c r="D65" s="11" t="s">
        <v>26</v>
      </c>
      <c r="E65" s="8" t="s">
        <v>31</v>
      </c>
      <c r="H65" s="12" t="s">
        <v>12230</v>
      </c>
      <c r="J65" s="12" t="s">
        <v>12231</v>
      </c>
    </row>
    <row r="66">
      <c r="A66" s="269">
        <v>20279.0</v>
      </c>
      <c r="B66" s="299" t="s">
        <v>12093</v>
      </c>
      <c r="C66" s="269" t="s">
        <v>12232</v>
      </c>
      <c r="D66" s="272" t="s">
        <v>26</v>
      </c>
      <c r="E66" s="269" t="s">
        <v>31</v>
      </c>
      <c r="F66" s="270"/>
      <c r="G66" s="270"/>
      <c r="H66" s="271" t="s">
        <v>12233</v>
      </c>
      <c r="I66" s="271" t="s">
        <v>12234</v>
      </c>
      <c r="J66" s="270"/>
      <c r="K66" s="270"/>
      <c r="L66" s="270"/>
    </row>
    <row r="67">
      <c r="A67" s="100">
        <v>26821.0</v>
      </c>
      <c r="B67" s="14" t="s">
        <v>12093</v>
      </c>
      <c r="C67" s="14" t="s">
        <v>12235</v>
      </c>
      <c r="D67" s="11" t="s">
        <v>26</v>
      </c>
      <c r="E67" s="8" t="s">
        <v>31</v>
      </c>
      <c r="G67" s="37">
        <v>1.0</v>
      </c>
      <c r="H67" s="12" t="s">
        <v>12236</v>
      </c>
      <c r="I67" s="8"/>
    </row>
    <row r="68">
      <c r="A68" s="269">
        <v>20267.0</v>
      </c>
      <c r="B68" s="299" t="s">
        <v>12093</v>
      </c>
      <c r="C68" s="269" t="s">
        <v>755</v>
      </c>
      <c r="D68" s="272" t="s">
        <v>26</v>
      </c>
      <c r="E68" s="269" t="s">
        <v>31</v>
      </c>
      <c r="F68" s="270"/>
      <c r="G68" s="269">
        <v>1.0</v>
      </c>
      <c r="H68" s="271" t="s">
        <v>12237</v>
      </c>
      <c r="I68" s="270"/>
      <c r="J68" s="270"/>
      <c r="K68" s="270"/>
      <c r="L68" s="270"/>
    </row>
    <row r="69">
      <c r="A69" s="37">
        <v>17768.0</v>
      </c>
      <c r="B69" s="8" t="s">
        <v>4322</v>
      </c>
      <c r="D69" s="8" t="s">
        <v>26</v>
      </c>
      <c r="E69" s="8" t="s">
        <v>31</v>
      </c>
      <c r="H69" s="12" t="s">
        <v>12238</v>
      </c>
      <c r="J69" s="12" t="s">
        <v>12239</v>
      </c>
    </row>
    <row r="70">
      <c r="A70" s="100">
        <v>24847.0</v>
      </c>
      <c r="B70" s="14" t="s">
        <v>12093</v>
      </c>
      <c r="C70" s="300" t="s">
        <v>739</v>
      </c>
      <c r="D70" s="11" t="s">
        <v>26</v>
      </c>
      <c r="E70" s="11" t="s">
        <v>12107</v>
      </c>
      <c r="H70" s="12" t="s">
        <v>12240</v>
      </c>
    </row>
    <row r="71">
      <c r="A71" s="100">
        <v>26818.0</v>
      </c>
      <c r="B71" s="14" t="s">
        <v>12093</v>
      </c>
      <c r="C71" s="11" t="s">
        <v>12241</v>
      </c>
      <c r="D71" s="11" t="s">
        <v>26</v>
      </c>
      <c r="E71" s="8" t="s">
        <v>31</v>
      </c>
      <c r="H71" s="12" t="s">
        <v>12242</v>
      </c>
    </row>
    <row r="72">
      <c r="A72" s="37">
        <v>2144.0</v>
      </c>
      <c r="B72" s="299" t="s">
        <v>12093</v>
      </c>
      <c r="C72" s="11" t="s">
        <v>12243</v>
      </c>
      <c r="D72" s="272" t="s">
        <v>26</v>
      </c>
      <c r="E72" s="300" t="s">
        <v>31</v>
      </c>
      <c r="H72" s="12" t="s">
        <v>12244</v>
      </c>
      <c r="I72" s="12" t="s">
        <v>12245</v>
      </c>
    </row>
    <row r="73">
      <c r="A73" s="100">
        <v>31824.0</v>
      </c>
      <c r="B73" s="14" t="s">
        <v>12093</v>
      </c>
      <c r="C73" s="8" t="s">
        <v>4478</v>
      </c>
      <c r="D73" s="11" t="s">
        <v>26</v>
      </c>
      <c r="E73" s="8" t="s">
        <v>31</v>
      </c>
      <c r="H73" s="12" t="s">
        <v>12246</v>
      </c>
    </row>
    <row r="74">
      <c r="A74" s="100">
        <v>25456.0</v>
      </c>
      <c r="B74" s="14" t="s">
        <v>12093</v>
      </c>
      <c r="C74" s="14" t="s">
        <v>12247</v>
      </c>
      <c r="D74" s="11" t="s">
        <v>26</v>
      </c>
      <c r="E74" s="8" t="s">
        <v>31</v>
      </c>
      <c r="H74" s="9" t="s">
        <v>12248</v>
      </c>
    </row>
    <row r="75">
      <c r="A75" s="100">
        <v>2456.0</v>
      </c>
      <c r="B75" s="299" t="s">
        <v>12093</v>
      </c>
      <c r="C75" s="11" t="s">
        <v>12249</v>
      </c>
      <c r="D75" s="272" t="s">
        <v>26</v>
      </c>
      <c r="E75" s="8" t="s">
        <v>31</v>
      </c>
      <c r="H75" s="12" t="s">
        <v>12250</v>
      </c>
    </row>
    <row r="76">
      <c r="A76" s="37">
        <v>19331.0</v>
      </c>
      <c r="B76" s="299" t="s">
        <v>12093</v>
      </c>
      <c r="C76" s="8" t="s">
        <v>1417</v>
      </c>
      <c r="D76" s="272" t="s">
        <v>26</v>
      </c>
      <c r="E76" s="269" t="s">
        <v>31</v>
      </c>
      <c r="G76" s="37">
        <v>1.0</v>
      </c>
      <c r="H76" s="9" t="s">
        <v>12251</v>
      </c>
    </row>
    <row r="77">
      <c r="A77" s="100">
        <v>2280.0</v>
      </c>
      <c r="B77" s="299" t="s">
        <v>12093</v>
      </c>
      <c r="C77" s="11" t="s">
        <v>10362</v>
      </c>
      <c r="D77" s="272" t="s">
        <v>26</v>
      </c>
      <c r="E77" s="300" t="s">
        <v>31</v>
      </c>
      <c r="H77" s="9" t="s">
        <v>12252</v>
      </c>
    </row>
    <row r="78">
      <c r="A78" s="100">
        <v>2461.0</v>
      </c>
      <c r="B78" s="14" t="s">
        <v>12096</v>
      </c>
      <c r="C78" s="14" t="s">
        <v>3640</v>
      </c>
      <c r="D78" s="272" t="s">
        <v>26</v>
      </c>
      <c r="E78" s="8" t="s">
        <v>31</v>
      </c>
      <c r="F78" s="8" t="s">
        <v>12253</v>
      </c>
      <c r="H78" s="9" t="s">
        <v>12254</v>
      </c>
    </row>
    <row r="79">
      <c r="A79" s="100">
        <v>30588.0</v>
      </c>
      <c r="B79" s="14" t="s">
        <v>12093</v>
      </c>
      <c r="C79" s="14" t="s">
        <v>12255</v>
      </c>
      <c r="D79" s="11" t="s">
        <v>26</v>
      </c>
      <c r="E79" s="8" t="s">
        <v>31</v>
      </c>
      <c r="H79" s="9" t="s">
        <v>12256</v>
      </c>
      <c r="I79" s="12" t="s">
        <v>12257</v>
      </c>
    </row>
    <row r="80">
      <c r="A80" s="37">
        <v>18353.0</v>
      </c>
      <c r="B80" s="299" t="s">
        <v>12093</v>
      </c>
      <c r="C80" s="8" t="s">
        <v>6792</v>
      </c>
      <c r="D80" s="272" t="s">
        <v>26</v>
      </c>
      <c r="E80" s="305" t="s">
        <v>12258</v>
      </c>
      <c r="G80" s="37">
        <v>1.0</v>
      </c>
      <c r="H80" s="9" t="s">
        <v>12259</v>
      </c>
    </row>
    <row r="81">
      <c r="A81" s="100">
        <v>25930.0</v>
      </c>
      <c r="B81" s="14" t="s">
        <v>12093</v>
      </c>
      <c r="C81" s="8" t="s">
        <v>12260</v>
      </c>
      <c r="D81" s="11" t="s">
        <v>26</v>
      </c>
      <c r="E81" s="8" t="s">
        <v>31</v>
      </c>
      <c r="F81" s="8" t="s">
        <v>12261</v>
      </c>
      <c r="H81" s="12" t="s">
        <v>12262</v>
      </c>
      <c r="I81" s="12" t="s">
        <v>12263</v>
      </c>
    </row>
    <row r="82">
      <c r="A82" s="100">
        <v>2398.0</v>
      </c>
      <c r="B82" s="299" t="s">
        <v>12093</v>
      </c>
      <c r="C82" s="14" t="s">
        <v>12264</v>
      </c>
      <c r="D82" s="272" t="s">
        <v>26</v>
      </c>
      <c r="E82" s="11" t="s">
        <v>264</v>
      </c>
      <c r="H82" s="12" t="s">
        <v>12265</v>
      </c>
      <c r="I82" s="12" t="s">
        <v>12266</v>
      </c>
    </row>
    <row r="83">
      <c r="A83" s="37">
        <v>2504.0</v>
      </c>
      <c r="B83" s="299" t="s">
        <v>12093</v>
      </c>
      <c r="C83" s="8" t="s">
        <v>12267</v>
      </c>
      <c r="D83" s="272" t="s">
        <v>26</v>
      </c>
      <c r="E83" s="269" t="s">
        <v>31</v>
      </c>
      <c r="G83" s="37">
        <v>1.0</v>
      </c>
      <c r="H83" s="9" t="s">
        <v>12268</v>
      </c>
    </row>
    <row r="84">
      <c r="A84" s="37">
        <v>2483.0</v>
      </c>
      <c r="B84" s="299" t="s">
        <v>12093</v>
      </c>
      <c r="C84" s="8" t="s">
        <v>1420</v>
      </c>
      <c r="D84" s="272" t="s">
        <v>26</v>
      </c>
      <c r="E84" s="269" t="s">
        <v>31</v>
      </c>
      <c r="H84" s="9" t="s">
        <v>12269</v>
      </c>
    </row>
    <row r="85">
      <c r="A85" s="100">
        <v>2365.0</v>
      </c>
      <c r="B85" s="299" t="s">
        <v>12093</v>
      </c>
      <c r="C85" s="14" t="s">
        <v>12270</v>
      </c>
      <c r="D85" s="272" t="s">
        <v>26</v>
      </c>
      <c r="E85" s="11" t="s">
        <v>31</v>
      </c>
      <c r="F85" s="11" t="s">
        <v>264</v>
      </c>
      <c r="H85" s="12" t="s">
        <v>12271</v>
      </c>
    </row>
    <row r="86">
      <c r="A86" s="100">
        <v>31765.0</v>
      </c>
      <c r="B86" s="14" t="s">
        <v>12093</v>
      </c>
      <c r="C86" s="8" t="s">
        <v>176</v>
      </c>
      <c r="D86" s="11" t="s">
        <v>26</v>
      </c>
      <c r="E86" s="8" t="s">
        <v>31</v>
      </c>
      <c r="H86" s="12" t="s">
        <v>12272</v>
      </c>
    </row>
    <row r="87">
      <c r="A87" s="100">
        <v>22439.0</v>
      </c>
      <c r="B87" s="14" t="s">
        <v>12093</v>
      </c>
      <c r="C87" s="306" t="s">
        <v>12273</v>
      </c>
      <c r="D87" s="11" t="s">
        <v>26</v>
      </c>
      <c r="E87" s="8" t="s">
        <v>31</v>
      </c>
      <c r="H87" s="9" t="s">
        <v>12274</v>
      </c>
      <c r="I87" s="12" t="s">
        <v>12275</v>
      </c>
    </row>
    <row r="88">
      <c r="A88" s="100">
        <v>20227.0</v>
      </c>
      <c r="B88" s="14" t="s">
        <v>12093</v>
      </c>
      <c r="C88" s="8" t="s">
        <v>2267</v>
      </c>
      <c r="D88" s="11" t="s">
        <v>26</v>
      </c>
      <c r="E88" s="8" t="s">
        <v>31</v>
      </c>
      <c r="H88" s="12" t="s">
        <v>12276</v>
      </c>
    </row>
    <row r="89">
      <c r="A89" s="100">
        <v>2164.0</v>
      </c>
      <c r="B89" s="299" t="s">
        <v>12093</v>
      </c>
      <c r="C89" s="11" t="s">
        <v>12277</v>
      </c>
      <c r="D89" s="272" t="s">
        <v>26</v>
      </c>
      <c r="E89" s="300" t="s">
        <v>31</v>
      </c>
      <c r="H89" s="12" t="s">
        <v>12278</v>
      </c>
    </row>
    <row r="90">
      <c r="A90" s="37">
        <v>18043.0</v>
      </c>
      <c r="B90" s="299" t="s">
        <v>12093</v>
      </c>
      <c r="C90" s="8" t="s">
        <v>8253</v>
      </c>
      <c r="D90" s="272" t="s">
        <v>26</v>
      </c>
      <c r="E90" s="269" t="s">
        <v>31</v>
      </c>
      <c r="G90" s="37">
        <v>1.0</v>
      </c>
      <c r="H90" s="9" t="s">
        <v>12279</v>
      </c>
    </row>
    <row r="91">
      <c r="A91" s="37">
        <v>2317.0</v>
      </c>
      <c r="B91" s="14" t="s">
        <v>12096</v>
      </c>
      <c r="C91" s="14" t="s">
        <v>176</v>
      </c>
      <c r="D91" s="272" t="s">
        <v>26</v>
      </c>
      <c r="E91" s="8" t="s">
        <v>31</v>
      </c>
      <c r="H91" s="12" t="s">
        <v>12280</v>
      </c>
    </row>
    <row r="92">
      <c r="A92" s="100">
        <v>20236.0</v>
      </c>
      <c r="B92" s="14" t="s">
        <v>12093</v>
      </c>
      <c r="C92" s="11" t="s">
        <v>12281</v>
      </c>
      <c r="D92" s="11" t="s">
        <v>26</v>
      </c>
      <c r="E92" s="8" t="s">
        <v>31</v>
      </c>
      <c r="H92" s="9" t="s">
        <v>12282</v>
      </c>
    </row>
    <row r="93">
      <c r="A93" s="100">
        <v>2383.0</v>
      </c>
      <c r="B93" s="299" t="s">
        <v>12093</v>
      </c>
      <c r="C93" s="14" t="s">
        <v>12283</v>
      </c>
      <c r="D93" s="272" t="s">
        <v>26</v>
      </c>
      <c r="E93" s="11" t="s">
        <v>31</v>
      </c>
      <c r="H93" s="12" t="s">
        <v>12284</v>
      </c>
      <c r="I93" s="12" t="s">
        <v>12285</v>
      </c>
      <c r="J93" s="12" t="s">
        <v>12286</v>
      </c>
    </row>
    <row r="94">
      <c r="A94" s="269">
        <v>21804.0</v>
      </c>
      <c r="B94" s="301" t="s">
        <v>12093</v>
      </c>
      <c r="C94" s="269" t="s">
        <v>12287</v>
      </c>
      <c r="D94" s="302" t="s">
        <v>26</v>
      </c>
      <c r="E94" s="204" t="s">
        <v>31</v>
      </c>
      <c r="F94" s="270"/>
      <c r="G94" s="270"/>
      <c r="H94" s="277" t="s">
        <v>12288</v>
      </c>
      <c r="I94" s="271" t="s">
        <v>12289</v>
      </c>
      <c r="J94" s="270"/>
      <c r="K94" s="270"/>
      <c r="L94" s="270"/>
    </row>
    <row r="95">
      <c r="A95" s="100">
        <v>25458.0</v>
      </c>
      <c r="B95" s="14" t="s">
        <v>12093</v>
      </c>
      <c r="C95" s="14" t="s">
        <v>12290</v>
      </c>
      <c r="D95" s="11" t="s">
        <v>26</v>
      </c>
      <c r="E95" s="8" t="s">
        <v>31</v>
      </c>
      <c r="H95" s="12" t="s">
        <v>12291</v>
      </c>
      <c r="I95" s="9" t="s">
        <v>12292</v>
      </c>
    </row>
    <row r="96">
      <c r="A96" s="100">
        <v>31858.0</v>
      </c>
      <c r="B96" s="14" t="s">
        <v>12093</v>
      </c>
      <c r="C96" s="11" t="s">
        <v>12293</v>
      </c>
      <c r="D96" s="11" t="s">
        <v>26</v>
      </c>
      <c r="E96" s="8" t="s">
        <v>31</v>
      </c>
      <c r="H96" s="9" t="s">
        <v>12294</v>
      </c>
    </row>
    <row r="97">
      <c r="A97" s="37">
        <v>2252.0</v>
      </c>
      <c r="B97" s="299" t="s">
        <v>12093</v>
      </c>
      <c r="C97" s="14" t="s">
        <v>12295</v>
      </c>
      <c r="D97" s="272" t="s">
        <v>26</v>
      </c>
      <c r="E97" s="300" t="s">
        <v>31</v>
      </c>
      <c r="H97" s="12" t="s">
        <v>12296</v>
      </c>
    </row>
    <row r="98">
      <c r="A98" s="100">
        <v>23495.0</v>
      </c>
      <c r="B98" s="14" t="s">
        <v>12093</v>
      </c>
      <c r="C98" s="11" t="s">
        <v>942</v>
      </c>
      <c r="D98" s="11" t="s">
        <v>26</v>
      </c>
      <c r="E98" s="8" t="s">
        <v>31</v>
      </c>
      <c r="H98" s="9" t="s">
        <v>943</v>
      </c>
    </row>
    <row r="99">
      <c r="A99" s="100">
        <v>2274.0</v>
      </c>
      <c r="B99" s="299" t="s">
        <v>12093</v>
      </c>
      <c r="C99" s="11" t="s">
        <v>5894</v>
      </c>
      <c r="D99" s="272" t="s">
        <v>26</v>
      </c>
      <c r="E99" s="300" t="s">
        <v>31</v>
      </c>
      <c r="H99" s="9" t="s">
        <v>12297</v>
      </c>
    </row>
    <row r="100">
      <c r="A100" s="100">
        <v>23490.0</v>
      </c>
      <c r="B100" s="300" t="s">
        <v>12298</v>
      </c>
      <c r="C100" s="11" t="s">
        <v>3479</v>
      </c>
      <c r="D100" s="11" t="s">
        <v>26</v>
      </c>
      <c r="E100" s="8" t="s">
        <v>31</v>
      </c>
      <c r="H100" s="12" t="s">
        <v>12299</v>
      </c>
    </row>
    <row r="101">
      <c r="A101" s="100">
        <v>2439.0</v>
      </c>
      <c r="B101" s="299" t="s">
        <v>12093</v>
      </c>
      <c r="C101" s="11" t="s">
        <v>12300</v>
      </c>
      <c r="D101" s="272" t="s">
        <v>26</v>
      </c>
      <c r="E101" s="8" t="s">
        <v>31</v>
      </c>
      <c r="H101" s="12" t="s">
        <v>12301</v>
      </c>
      <c r="I101" s="12" t="s">
        <v>12257</v>
      </c>
    </row>
    <row r="102">
      <c r="A102" s="100">
        <v>31841.0</v>
      </c>
      <c r="B102" s="14" t="s">
        <v>12093</v>
      </c>
      <c r="C102" s="11" t="s">
        <v>12302</v>
      </c>
      <c r="D102" s="11" t="s">
        <v>26</v>
      </c>
      <c r="E102" s="8" t="s">
        <v>12303</v>
      </c>
      <c r="H102" s="12" t="s">
        <v>12304</v>
      </c>
    </row>
    <row r="103">
      <c r="A103" s="100">
        <v>33112.0</v>
      </c>
      <c r="B103" s="14" t="s">
        <v>12093</v>
      </c>
      <c r="C103" s="11" t="s">
        <v>841</v>
      </c>
      <c r="D103" s="11" t="s">
        <v>26</v>
      </c>
      <c r="E103" s="8" t="s">
        <v>31</v>
      </c>
      <c r="H103" s="12" t="s">
        <v>12305</v>
      </c>
      <c r="I103" s="12" t="s">
        <v>12306</v>
      </c>
    </row>
    <row r="104">
      <c r="A104" s="100">
        <v>2455.0</v>
      </c>
      <c r="B104" s="299" t="s">
        <v>12093</v>
      </c>
      <c r="C104" s="11" t="s">
        <v>3770</v>
      </c>
      <c r="D104" s="272" t="s">
        <v>26</v>
      </c>
      <c r="E104" s="8" t="s">
        <v>31</v>
      </c>
      <c r="H104" s="9" t="s">
        <v>12307</v>
      </c>
    </row>
    <row r="105">
      <c r="A105" s="100">
        <v>32914.0</v>
      </c>
      <c r="B105" s="14" t="s">
        <v>12093</v>
      </c>
      <c r="C105" s="11" t="s">
        <v>8830</v>
      </c>
      <c r="D105" s="11" t="s">
        <v>26</v>
      </c>
      <c r="E105" s="8" t="s">
        <v>31</v>
      </c>
      <c r="H105" s="12" t="s">
        <v>12308</v>
      </c>
    </row>
    <row r="106">
      <c r="A106" s="269">
        <v>21818.0</v>
      </c>
      <c r="B106" s="299" t="s">
        <v>12093</v>
      </c>
      <c r="C106" s="269" t="s">
        <v>3625</v>
      </c>
      <c r="D106" s="272" t="s">
        <v>26</v>
      </c>
      <c r="E106" s="269" t="s">
        <v>12094</v>
      </c>
      <c r="F106" s="270"/>
      <c r="G106" s="270"/>
      <c r="H106" s="271" t="s">
        <v>12309</v>
      </c>
      <c r="I106" s="270"/>
      <c r="J106" s="270"/>
      <c r="K106" s="270"/>
      <c r="L106" s="270"/>
    </row>
    <row r="107">
      <c r="A107" s="269">
        <v>20275.0</v>
      </c>
      <c r="B107" s="299" t="s">
        <v>12093</v>
      </c>
      <c r="C107" s="269" t="s">
        <v>4560</v>
      </c>
      <c r="D107" s="272" t="s">
        <v>26</v>
      </c>
      <c r="E107" s="269" t="s">
        <v>31</v>
      </c>
      <c r="F107" s="270"/>
      <c r="G107" s="270"/>
      <c r="H107" s="271" t="s">
        <v>12310</v>
      </c>
      <c r="I107" s="271" t="s">
        <v>12311</v>
      </c>
      <c r="J107" s="270"/>
      <c r="K107" s="270"/>
      <c r="L107" s="270"/>
    </row>
    <row r="108">
      <c r="A108" s="37">
        <v>2488.0</v>
      </c>
      <c r="B108" s="299" t="s">
        <v>12093</v>
      </c>
      <c r="C108" s="8" t="s">
        <v>12312</v>
      </c>
      <c r="D108" s="272" t="s">
        <v>26</v>
      </c>
      <c r="E108" s="269" t="s">
        <v>31</v>
      </c>
      <c r="H108" s="9" t="s">
        <v>12313</v>
      </c>
    </row>
    <row r="109">
      <c r="A109" s="100">
        <v>2464.0</v>
      </c>
      <c r="B109" s="299" t="s">
        <v>12093</v>
      </c>
      <c r="C109" s="14" t="s">
        <v>4139</v>
      </c>
      <c r="D109" s="272" t="s">
        <v>26</v>
      </c>
      <c r="E109" s="8" t="s">
        <v>31</v>
      </c>
      <c r="H109" s="12" t="s">
        <v>12314</v>
      </c>
      <c r="I109" s="12" t="s">
        <v>12315</v>
      </c>
    </row>
    <row r="110">
      <c r="A110" s="100">
        <v>2148.0</v>
      </c>
      <c r="B110" s="299" t="s">
        <v>12093</v>
      </c>
      <c r="C110" s="14" t="s">
        <v>3881</v>
      </c>
      <c r="D110" s="272" t="s">
        <v>26</v>
      </c>
      <c r="E110" s="300" t="s">
        <v>31</v>
      </c>
      <c r="H110" s="12" t="s">
        <v>12316</v>
      </c>
    </row>
    <row r="111">
      <c r="A111" s="37">
        <v>2235.0</v>
      </c>
      <c r="B111" s="299" t="s">
        <v>12093</v>
      </c>
      <c r="C111" s="14" t="s">
        <v>12317</v>
      </c>
      <c r="D111" s="272" t="s">
        <v>26</v>
      </c>
      <c r="E111" s="300" t="s">
        <v>31</v>
      </c>
      <c r="H111" s="12" t="s">
        <v>12318</v>
      </c>
      <c r="J111" s="12" t="s">
        <v>12319</v>
      </c>
    </row>
    <row r="112">
      <c r="A112" s="100">
        <v>29034.0</v>
      </c>
      <c r="B112" s="14" t="s">
        <v>12093</v>
      </c>
      <c r="C112" s="8" t="s">
        <v>10706</v>
      </c>
      <c r="D112" s="11" t="s">
        <v>26</v>
      </c>
      <c r="E112" s="8" t="s">
        <v>31</v>
      </c>
      <c r="H112" s="12" t="s">
        <v>12320</v>
      </c>
    </row>
    <row r="113">
      <c r="A113" s="37">
        <v>2261.0</v>
      </c>
      <c r="B113" s="299" t="s">
        <v>12093</v>
      </c>
      <c r="C113" s="14" t="s">
        <v>724</v>
      </c>
      <c r="D113" s="272" t="s">
        <v>26</v>
      </c>
      <c r="E113" s="300" t="s">
        <v>31</v>
      </c>
      <c r="H113" s="12" t="s">
        <v>12321</v>
      </c>
    </row>
    <row r="114">
      <c r="A114" s="269">
        <v>20484.0</v>
      </c>
      <c r="B114" s="301" t="s">
        <v>12093</v>
      </c>
      <c r="C114" s="269" t="s">
        <v>3808</v>
      </c>
      <c r="D114" s="302" t="s">
        <v>26</v>
      </c>
      <c r="E114" s="269" t="s">
        <v>31</v>
      </c>
      <c r="F114" s="270"/>
      <c r="G114" s="270"/>
      <c r="H114" s="271" t="s">
        <v>12322</v>
      </c>
      <c r="I114" s="270"/>
      <c r="J114" s="270"/>
      <c r="K114" s="270"/>
      <c r="L114" s="270"/>
    </row>
    <row r="115">
      <c r="A115" s="37">
        <v>2449.0</v>
      </c>
      <c r="B115" s="299" t="s">
        <v>12093</v>
      </c>
      <c r="C115" s="14" t="s">
        <v>7173</v>
      </c>
      <c r="D115" s="272" t="s">
        <v>26</v>
      </c>
      <c r="E115" s="8" t="s">
        <v>31</v>
      </c>
      <c r="H115" s="9" t="s">
        <v>12323</v>
      </c>
      <c r="I115" s="12" t="s">
        <v>12324</v>
      </c>
    </row>
    <row r="116">
      <c r="A116" s="100">
        <v>23984.0</v>
      </c>
      <c r="B116" s="14" t="s">
        <v>12093</v>
      </c>
      <c r="C116" s="11" t="s">
        <v>724</v>
      </c>
      <c r="D116" s="11" t="s">
        <v>26</v>
      </c>
      <c r="E116" s="11" t="s">
        <v>12325</v>
      </c>
      <c r="H116" s="12" t="s">
        <v>12326</v>
      </c>
    </row>
    <row r="117">
      <c r="A117" s="100">
        <v>31779.0</v>
      </c>
      <c r="B117" s="14" t="s">
        <v>12093</v>
      </c>
      <c r="C117" s="8" t="s">
        <v>760</v>
      </c>
      <c r="D117" s="11" t="s">
        <v>26</v>
      </c>
      <c r="E117" s="8" t="s">
        <v>12327</v>
      </c>
      <c r="F117" s="8" t="s">
        <v>12327</v>
      </c>
      <c r="H117" s="12" t="s">
        <v>12328</v>
      </c>
      <c r="I117" s="12" t="s">
        <v>12329</v>
      </c>
    </row>
    <row r="118">
      <c r="A118" s="100">
        <v>19973.0</v>
      </c>
      <c r="B118" s="14" t="s">
        <v>12093</v>
      </c>
      <c r="C118" s="14" t="s">
        <v>12330</v>
      </c>
      <c r="D118" s="11" t="s">
        <v>26</v>
      </c>
      <c r="E118" s="8" t="s">
        <v>31</v>
      </c>
      <c r="H118" s="12" t="s">
        <v>12331</v>
      </c>
    </row>
    <row r="119">
      <c r="A119" s="100">
        <v>23489.0</v>
      </c>
      <c r="B119" s="14" t="s">
        <v>12093</v>
      </c>
      <c r="C119" s="11" t="s">
        <v>12332</v>
      </c>
      <c r="D119" s="11" t="s">
        <v>26</v>
      </c>
      <c r="E119" s="8" t="s">
        <v>31</v>
      </c>
      <c r="H119" s="9" t="s">
        <v>12333</v>
      </c>
      <c r="I119" s="12" t="s">
        <v>12334</v>
      </c>
    </row>
    <row r="120">
      <c r="A120" s="100">
        <v>19968.0</v>
      </c>
      <c r="B120" s="301" t="s">
        <v>12093</v>
      </c>
      <c r="C120" s="305" t="s">
        <v>12147</v>
      </c>
      <c r="D120" s="302" t="s">
        <v>26</v>
      </c>
      <c r="E120" s="204" t="s">
        <v>31</v>
      </c>
      <c r="F120" s="270"/>
      <c r="G120" s="270"/>
      <c r="H120" s="277" t="s">
        <v>12335</v>
      </c>
      <c r="I120" s="270"/>
      <c r="J120" s="271"/>
      <c r="K120" s="270"/>
      <c r="L120" s="270"/>
    </row>
    <row r="121">
      <c r="A121" s="37">
        <v>2380.0</v>
      </c>
      <c r="B121" s="299" t="s">
        <v>12093</v>
      </c>
      <c r="C121" s="11" t="s">
        <v>4478</v>
      </c>
      <c r="D121" s="272" t="s">
        <v>26</v>
      </c>
      <c r="E121" s="11" t="s">
        <v>31</v>
      </c>
      <c r="H121" s="12" t="s">
        <v>12336</v>
      </c>
      <c r="I121" s="12" t="s">
        <v>12337</v>
      </c>
    </row>
    <row r="122">
      <c r="A122" s="37">
        <v>2250.0</v>
      </c>
      <c r="B122" s="299" t="s">
        <v>12093</v>
      </c>
      <c r="C122" s="14" t="s">
        <v>10229</v>
      </c>
      <c r="D122" s="272" t="s">
        <v>26</v>
      </c>
      <c r="E122" s="300" t="s">
        <v>31</v>
      </c>
      <c r="H122" s="12" t="s">
        <v>12338</v>
      </c>
    </row>
    <row r="123">
      <c r="A123" s="37">
        <v>2321.0</v>
      </c>
      <c r="B123" s="299" t="s">
        <v>12093</v>
      </c>
      <c r="C123" s="11" t="s">
        <v>12339</v>
      </c>
      <c r="D123" s="272" t="s">
        <v>26</v>
      </c>
      <c r="E123" s="11" t="s">
        <v>31</v>
      </c>
      <c r="H123" s="9" t="s">
        <v>12340</v>
      </c>
    </row>
    <row r="124">
      <c r="A124" s="37">
        <v>26820.0</v>
      </c>
      <c r="B124" s="14" t="s">
        <v>12093</v>
      </c>
      <c r="C124" s="11" t="s">
        <v>1816</v>
      </c>
      <c r="D124" s="11" t="s">
        <v>26</v>
      </c>
      <c r="E124" s="8" t="s">
        <v>31</v>
      </c>
      <c r="H124" s="9" t="s">
        <v>12341</v>
      </c>
      <c r="I124" s="12" t="s">
        <v>12342</v>
      </c>
    </row>
    <row r="125">
      <c r="A125" s="100">
        <v>31308.0</v>
      </c>
      <c r="B125" s="14" t="s">
        <v>12093</v>
      </c>
      <c r="C125" s="300" t="s">
        <v>12343</v>
      </c>
      <c r="D125" s="11" t="s">
        <v>26</v>
      </c>
      <c r="E125" s="8" t="s">
        <v>31</v>
      </c>
      <c r="H125" s="9" t="s">
        <v>12344</v>
      </c>
      <c r="I125" s="12" t="s">
        <v>12345</v>
      </c>
    </row>
    <row r="126">
      <c r="A126" s="37">
        <v>2272.0</v>
      </c>
      <c r="B126" s="299" t="s">
        <v>12093</v>
      </c>
      <c r="C126" s="8" t="s">
        <v>12346</v>
      </c>
      <c r="D126" s="272" t="s">
        <v>26</v>
      </c>
      <c r="E126" s="300" t="s">
        <v>31</v>
      </c>
      <c r="H126" s="12" t="s">
        <v>12347</v>
      </c>
      <c r="J126" s="12" t="s">
        <v>12348</v>
      </c>
    </row>
    <row r="127">
      <c r="A127" s="37">
        <v>18035.0</v>
      </c>
      <c r="B127" s="14" t="s">
        <v>12093</v>
      </c>
      <c r="C127" s="11" t="s">
        <v>145</v>
      </c>
      <c r="D127" s="8" t="s">
        <v>26</v>
      </c>
      <c r="E127" s="8" t="s">
        <v>31</v>
      </c>
      <c r="H127" s="12" t="s">
        <v>12349</v>
      </c>
    </row>
    <row r="128">
      <c r="A128" s="100">
        <v>23118.0</v>
      </c>
      <c r="B128" s="14" t="s">
        <v>12093</v>
      </c>
      <c r="C128" s="8" t="s">
        <v>3097</v>
      </c>
      <c r="D128" s="11" t="s">
        <v>26</v>
      </c>
      <c r="E128" s="8" t="s">
        <v>31</v>
      </c>
      <c r="F128" s="8" t="s">
        <v>12350</v>
      </c>
      <c r="H128" s="9" t="s">
        <v>12351</v>
      </c>
    </row>
    <row r="129">
      <c r="A129" s="100">
        <v>2361.0</v>
      </c>
      <c r="B129" s="299" t="s">
        <v>12093</v>
      </c>
      <c r="C129" s="14" t="s">
        <v>12352</v>
      </c>
      <c r="D129" s="272" t="s">
        <v>26</v>
      </c>
      <c r="E129" s="11" t="s">
        <v>31</v>
      </c>
      <c r="F129" s="11" t="s">
        <v>264</v>
      </c>
      <c r="H129" s="12" t="s">
        <v>12353</v>
      </c>
      <c r="J129" s="12" t="s">
        <v>12354</v>
      </c>
    </row>
    <row r="130">
      <c r="A130" s="37">
        <v>2467.0</v>
      </c>
      <c r="B130" s="14" t="s">
        <v>12093</v>
      </c>
      <c r="C130" s="11" t="s">
        <v>12355</v>
      </c>
      <c r="D130" s="8" t="s">
        <v>26</v>
      </c>
      <c r="E130" s="8" t="s">
        <v>31</v>
      </c>
      <c r="H130" s="12" t="s">
        <v>12356</v>
      </c>
    </row>
    <row r="131">
      <c r="A131" s="100">
        <v>2161.0</v>
      </c>
      <c r="B131" s="299" t="s">
        <v>12093</v>
      </c>
      <c r="C131" s="11" t="s">
        <v>74</v>
      </c>
      <c r="D131" s="272" t="s">
        <v>26</v>
      </c>
      <c r="E131" s="300" t="s">
        <v>31</v>
      </c>
      <c r="H131" s="12" t="s">
        <v>12357</v>
      </c>
    </row>
    <row r="132">
      <c r="A132" s="100">
        <v>31943.0</v>
      </c>
      <c r="B132" s="14" t="s">
        <v>12093</v>
      </c>
      <c r="C132" s="11" t="s">
        <v>3612</v>
      </c>
      <c r="D132" s="11" t="s">
        <v>26</v>
      </c>
      <c r="E132" s="8" t="s">
        <v>31</v>
      </c>
      <c r="H132" s="9" t="s">
        <v>12358</v>
      </c>
    </row>
    <row r="133">
      <c r="A133" s="37">
        <v>2510.0</v>
      </c>
      <c r="B133" s="14" t="s">
        <v>12093</v>
      </c>
      <c r="C133" s="11" t="s">
        <v>963</v>
      </c>
      <c r="D133" s="8" t="s">
        <v>26</v>
      </c>
      <c r="E133" s="8" t="s">
        <v>12107</v>
      </c>
      <c r="F133" s="8" t="s">
        <v>12107</v>
      </c>
      <c r="H133" s="12" t="s">
        <v>12359</v>
      </c>
    </row>
    <row r="134">
      <c r="A134" s="100">
        <v>32098.0</v>
      </c>
      <c r="B134" s="14" t="s">
        <v>12093</v>
      </c>
      <c r="C134" s="11" t="s">
        <v>2066</v>
      </c>
      <c r="D134" s="11" t="s">
        <v>26</v>
      </c>
      <c r="E134" s="8" t="s">
        <v>31</v>
      </c>
      <c r="F134" s="11" t="s">
        <v>12360</v>
      </c>
      <c r="H134" s="12" t="s">
        <v>12361</v>
      </c>
    </row>
    <row r="135">
      <c r="A135" s="100">
        <v>2475.0</v>
      </c>
      <c r="B135" s="299" t="s">
        <v>12093</v>
      </c>
      <c r="C135" s="14" t="s">
        <v>1280</v>
      </c>
      <c r="D135" s="272" t="s">
        <v>26</v>
      </c>
      <c r="E135" s="8" t="s">
        <v>31</v>
      </c>
      <c r="H135" s="12" t="s">
        <v>12362</v>
      </c>
    </row>
    <row r="136">
      <c r="A136" s="37">
        <v>2485.0</v>
      </c>
      <c r="B136" s="299" t="s">
        <v>12093</v>
      </c>
      <c r="C136" s="8" t="s">
        <v>12363</v>
      </c>
      <c r="D136" s="272" t="s">
        <v>26</v>
      </c>
      <c r="E136" s="305" t="s">
        <v>12364</v>
      </c>
      <c r="H136" s="9" t="s">
        <v>12365</v>
      </c>
    </row>
    <row r="137">
      <c r="A137" s="100">
        <v>2208.0</v>
      </c>
      <c r="B137" s="299" t="s">
        <v>12093</v>
      </c>
      <c r="C137" s="11" t="s">
        <v>6933</v>
      </c>
      <c r="D137" s="272" t="s">
        <v>26</v>
      </c>
      <c r="E137" s="300" t="s">
        <v>31</v>
      </c>
      <c r="H137" s="9" t="s">
        <v>12366</v>
      </c>
    </row>
    <row r="138">
      <c r="A138" s="100">
        <v>31752.0</v>
      </c>
      <c r="B138" s="14" t="s">
        <v>12093</v>
      </c>
      <c r="C138" s="8" t="s">
        <v>12367</v>
      </c>
      <c r="D138" s="11" t="s">
        <v>26</v>
      </c>
      <c r="E138" s="8" t="s">
        <v>31</v>
      </c>
      <c r="F138" s="8" t="s">
        <v>12368</v>
      </c>
      <c r="H138" s="9" t="s">
        <v>12369</v>
      </c>
      <c r="J138" s="12" t="s">
        <v>12370</v>
      </c>
    </row>
    <row r="139">
      <c r="A139" s="37">
        <v>18567.0</v>
      </c>
      <c r="B139" s="299" t="s">
        <v>12093</v>
      </c>
      <c r="C139" s="8" t="s">
        <v>12371</v>
      </c>
      <c r="D139" s="272" t="s">
        <v>26</v>
      </c>
      <c r="E139" s="269" t="s">
        <v>31</v>
      </c>
      <c r="H139" s="9" t="s">
        <v>12372</v>
      </c>
    </row>
    <row r="140">
      <c r="A140" s="37">
        <v>2345.0</v>
      </c>
      <c r="B140" s="299" t="s">
        <v>12093</v>
      </c>
      <c r="C140" s="11" t="s">
        <v>10857</v>
      </c>
      <c r="D140" s="272" t="s">
        <v>26</v>
      </c>
      <c r="E140" s="11" t="s">
        <v>31</v>
      </c>
      <c r="F140" s="11" t="s">
        <v>12156</v>
      </c>
      <c r="H140" s="9" t="s">
        <v>12373</v>
      </c>
    </row>
    <row r="141">
      <c r="A141" s="37">
        <v>2487.0</v>
      </c>
      <c r="B141" s="307" t="s">
        <v>720</v>
      </c>
      <c r="C141" s="8" t="s">
        <v>12374</v>
      </c>
      <c r="D141" s="272" t="s">
        <v>26</v>
      </c>
      <c r="E141" s="269" t="s">
        <v>31</v>
      </c>
      <c r="G141" s="37">
        <v>1.0</v>
      </c>
      <c r="H141" s="9" t="s">
        <v>12375</v>
      </c>
    </row>
    <row r="142">
      <c r="A142" s="100">
        <v>2355.0</v>
      </c>
      <c r="B142" s="299" t="s">
        <v>12093</v>
      </c>
      <c r="C142" s="11" t="s">
        <v>12376</v>
      </c>
      <c r="D142" s="272" t="s">
        <v>26</v>
      </c>
      <c r="E142" s="11" t="s">
        <v>31</v>
      </c>
      <c r="F142" s="11" t="s">
        <v>264</v>
      </c>
      <c r="H142" s="9" t="s">
        <v>12377</v>
      </c>
    </row>
    <row r="143">
      <c r="A143" s="37">
        <v>19884.0</v>
      </c>
      <c r="B143" s="14" t="s">
        <v>12093</v>
      </c>
      <c r="C143" s="11" t="s">
        <v>12378</v>
      </c>
      <c r="D143" s="8" t="s">
        <v>26</v>
      </c>
      <c r="E143" s="8" t="s">
        <v>31</v>
      </c>
      <c r="H143" s="12" t="s">
        <v>12379</v>
      </c>
    </row>
    <row r="144">
      <c r="A144" s="37">
        <v>2444.0</v>
      </c>
      <c r="B144" s="14" t="s">
        <v>12093</v>
      </c>
      <c r="C144" s="11" t="s">
        <v>1106</v>
      </c>
      <c r="D144" s="8" t="s">
        <v>26</v>
      </c>
      <c r="E144" s="8" t="s">
        <v>31</v>
      </c>
      <c r="H144" s="12" t="s">
        <v>12380</v>
      </c>
      <c r="I144" s="12" t="s">
        <v>12381</v>
      </c>
    </row>
    <row r="145">
      <c r="A145" s="100">
        <v>2476.0</v>
      </c>
      <c r="B145" s="299" t="s">
        <v>12093</v>
      </c>
      <c r="C145" s="8" t="s">
        <v>12382</v>
      </c>
      <c r="D145" s="272" t="s">
        <v>26</v>
      </c>
      <c r="E145" s="8" t="s">
        <v>31</v>
      </c>
      <c r="F145" s="8" t="s">
        <v>12383</v>
      </c>
      <c r="H145" s="12" t="s">
        <v>12384</v>
      </c>
      <c r="J145" s="12" t="s">
        <v>12384</v>
      </c>
    </row>
    <row r="146">
      <c r="A146" s="269">
        <v>21071.0</v>
      </c>
      <c r="B146" s="301" t="s">
        <v>12093</v>
      </c>
      <c r="C146" s="269" t="s">
        <v>2361</v>
      </c>
      <c r="D146" s="302" t="s">
        <v>26</v>
      </c>
      <c r="E146" s="269" t="s">
        <v>31</v>
      </c>
      <c r="F146" s="270"/>
      <c r="G146" s="270"/>
      <c r="H146" s="271" t="s">
        <v>12385</v>
      </c>
      <c r="I146" s="271" t="s">
        <v>12386</v>
      </c>
      <c r="J146" s="270"/>
      <c r="K146" s="270"/>
      <c r="L146" s="270"/>
    </row>
    <row r="147">
      <c r="A147" s="37">
        <v>17890.0</v>
      </c>
      <c r="B147" s="299" t="s">
        <v>12093</v>
      </c>
      <c r="C147" s="8" t="s">
        <v>4114</v>
      </c>
      <c r="D147" s="272" t="s">
        <v>26</v>
      </c>
      <c r="E147" s="305" t="s">
        <v>12387</v>
      </c>
      <c r="H147" s="9" t="s">
        <v>12388</v>
      </c>
      <c r="J147" s="12" t="s">
        <v>12389</v>
      </c>
    </row>
    <row r="148">
      <c r="A148" s="269">
        <v>21801.0</v>
      </c>
      <c r="B148" s="301" t="s">
        <v>12093</v>
      </c>
      <c r="C148" s="269" t="s">
        <v>12390</v>
      </c>
      <c r="D148" s="302" t="s">
        <v>26</v>
      </c>
      <c r="E148" s="269" t="s">
        <v>31</v>
      </c>
      <c r="F148" s="270"/>
      <c r="G148" s="270"/>
      <c r="H148" s="271" t="s">
        <v>12391</v>
      </c>
      <c r="I148" s="270"/>
      <c r="J148" s="270"/>
      <c r="K148" s="270"/>
      <c r="L148" s="270"/>
    </row>
    <row r="149">
      <c r="A149" s="37">
        <v>2422.0</v>
      </c>
      <c r="B149" s="299" t="s">
        <v>12093</v>
      </c>
      <c r="C149" s="14" t="s">
        <v>234</v>
      </c>
      <c r="D149" s="272" t="s">
        <v>26</v>
      </c>
      <c r="E149" s="8" t="s">
        <v>31</v>
      </c>
      <c r="H149" s="12" t="s">
        <v>235</v>
      </c>
      <c r="I149" s="12" t="s">
        <v>236</v>
      </c>
    </row>
    <row r="150">
      <c r="A150" s="37">
        <v>211816.0</v>
      </c>
      <c r="B150" s="14" t="s">
        <v>12093</v>
      </c>
      <c r="C150" s="11" t="s">
        <v>874</v>
      </c>
      <c r="D150" s="8" t="s">
        <v>26</v>
      </c>
      <c r="E150" s="8" t="s">
        <v>31</v>
      </c>
      <c r="H150" s="12" t="s">
        <v>12392</v>
      </c>
      <c r="I150" s="12" t="s">
        <v>12393</v>
      </c>
      <c r="J150" s="12" t="s">
        <v>12394</v>
      </c>
    </row>
    <row r="151">
      <c r="A151" s="269">
        <v>20268.0</v>
      </c>
      <c r="B151" s="299" t="s">
        <v>12093</v>
      </c>
      <c r="C151" s="269" t="s">
        <v>1057</v>
      </c>
      <c r="D151" s="272" t="s">
        <v>26</v>
      </c>
      <c r="E151" s="269" t="s">
        <v>31</v>
      </c>
      <c r="F151" s="270"/>
      <c r="G151" s="269">
        <v>1.0</v>
      </c>
      <c r="H151" s="271" t="s">
        <v>12395</v>
      </c>
      <c r="I151" s="270"/>
      <c r="J151" s="270"/>
      <c r="K151" s="270"/>
      <c r="L151" s="270"/>
    </row>
    <row r="152">
      <c r="A152" s="37">
        <v>20228.0</v>
      </c>
      <c r="B152" s="299" t="s">
        <v>12093</v>
      </c>
      <c r="C152" s="8" t="s">
        <v>12396</v>
      </c>
      <c r="D152" s="272" t="s">
        <v>26</v>
      </c>
      <c r="E152" s="269" t="s">
        <v>31</v>
      </c>
      <c r="H152" s="9" t="s">
        <v>12397</v>
      </c>
    </row>
    <row r="153">
      <c r="A153" s="37">
        <v>2508.0</v>
      </c>
      <c r="B153" s="299" t="s">
        <v>12093</v>
      </c>
      <c r="C153" s="8" t="s">
        <v>7424</v>
      </c>
      <c r="D153" s="272" t="s">
        <v>26</v>
      </c>
      <c r="E153" s="269" t="s">
        <v>31</v>
      </c>
      <c r="G153" s="37">
        <v>1.0</v>
      </c>
      <c r="H153" s="9" t="s">
        <v>12398</v>
      </c>
    </row>
    <row r="154">
      <c r="A154" s="100">
        <v>2142.0</v>
      </c>
      <c r="B154" s="299" t="s">
        <v>12093</v>
      </c>
      <c r="C154" s="11" t="s">
        <v>12399</v>
      </c>
      <c r="D154" s="272" t="s">
        <v>26</v>
      </c>
      <c r="E154" s="300" t="s">
        <v>31</v>
      </c>
      <c r="H154" s="12" t="s">
        <v>12400</v>
      </c>
      <c r="I154" s="12" t="s">
        <v>12401</v>
      </c>
    </row>
    <row r="155">
      <c r="A155" s="37">
        <v>18041.0</v>
      </c>
      <c r="B155" s="14" t="s">
        <v>12093</v>
      </c>
      <c r="C155" s="11" t="s">
        <v>4707</v>
      </c>
      <c r="D155" s="8" t="s">
        <v>26</v>
      </c>
      <c r="E155" s="8" t="s">
        <v>31</v>
      </c>
      <c r="H155" s="12" t="s">
        <v>12402</v>
      </c>
      <c r="I155" s="12" t="s">
        <v>12403</v>
      </c>
    </row>
    <row r="156">
      <c r="A156" s="37">
        <v>2445.0</v>
      </c>
      <c r="B156" s="299" t="s">
        <v>12093</v>
      </c>
      <c r="C156" s="11" t="s">
        <v>12404</v>
      </c>
      <c r="D156" s="272" t="s">
        <v>26</v>
      </c>
      <c r="E156" s="8" t="s">
        <v>31</v>
      </c>
      <c r="H156" s="12" t="s">
        <v>12405</v>
      </c>
      <c r="I156" s="12" t="s">
        <v>12406</v>
      </c>
    </row>
    <row r="157">
      <c r="A157" s="100">
        <v>2242.0</v>
      </c>
      <c r="B157" s="299" t="s">
        <v>12093</v>
      </c>
      <c r="C157" s="11" t="s">
        <v>4856</v>
      </c>
      <c r="D157" s="272" t="s">
        <v>26</v>
      </c>
      <c r="E157" s="300" t="s">
        <v>31</v>
      </c>
      <c r="H157" s="12" t="s">
        <v>12407</v>
      </c>
      <c r="I157" s="12" t="s">
        <v>12408</v>
      </c>
    </row>
    <row r="158">
      <c r="A158" s="37">
        <v>20226.0</v>
      </c>
      <c r="B158" s="299" t="s">
        <v>12093</v>
      </c>
      <c r="C158" s="8" t="s">
        <v>12224</v>
      </c>
      <c r="D158" s="272" t="s">
        <v>26</v>
      </c>
      <c r="E158" s="269" t="s">
        <v>31</v>
      </c>
      <c r="G158" s="37">
        <v>1.0</v>
      </c>
      <c r="H158" s="9" t="s">
        <v>12409</v>
      </c>
      <c r="I158" s="12" t="s">
        <v>12410</v>
      </c>
    </row>
    <row r="159">
      <c r="A159" s="37">
        <v>2277.0</v>
      </c>
      <c r="B159" s="299" t="s">
        <v>12093</v>
      </c>
      <c r="C159" s="11" t="s">
        <v>12411</v>
      </c>
      <c r="D159" s="272" t="s">
        <v>26</v>
      </c>
      <c r="E159" s="300" t="s">
        <v>31</v>
      </c>
      <c r="H159" s="12" t="s">
        <v>12412</v>
      </c>
    </row>
    <row r="160">
      <c r="A160" s="37">
        <v>19023.0</v>
      </c>
      <c r="B160" s="14" t="s">
        <v>12093</v>
      </c>
      <c r="C160" s="11" t="s">
        <v>12413</v>
      </c>
      <c r="D160" s="8" t="s">
        <v>26</v>
      </c>
      <c r="E160" s="8" t="s">
        <v>12169</v>
      </c>
      <c r="H160" s="12" t="s">
        <v>12414</v>
      </c>
      <c r="I160" s="12" t="s">
        <v>12415</v>
      </c>
      <c r="J160" s="12" t="s">
        <v>12416</v>
      </c>
    </row>
    <row r="161">
      <c r="A161" s="100">
        <v>2224.0</v>
      </c>
      <c r="B161" s="299" t="s">
        <v>12093</v>
      </c>
      <c r="C161" s="11" t="s">
        <v>12417</v>
      </c>
      <c r="D161" s="272" t="s">
        <v>26</v>
      </c>
      <c r="E161" s="300" t="s">
        <v>31</v>
      </c>
      <c r="H161" s="12" t="s">
        <v>12418</v>
      </c>
    </row>
    <row r="162">
      <c r="A162" s="37">
        <v>2212.0</v>
      </c>
      <c r="B162" s="299" t="s">
        <v>12093</v>
      </c>
      <c r="C162" s="11" t="s">
        <v>7974</v>
      </c>
      <c r="D162" s="272" t="s">
        <v>26</v>
      </c>
      <c r="E162" s="300" t="s">
        <v>31</v>
      </c>
      <c r="H162" s="12" t="s">
        <v>12419</v>
      </c>
    </row>
    <row r="163">
      <c r="A163" s="37">
        <v>2240.0</v>
      </c>
      <c r="B163" s="299" t="s">
        <v>12093</v>
      </c>
      <c r="C163" s="14" t="s">
        <v>12420</v>
      </c>
      <c r="D163" s="272" t="s">
        <v>26</v>
      </c>
      <c r="E163" s="300" t="s">
        <v>31</v>
      </c>
      <c r="H163" s="12" t="s">
        <v>12421</v>
      </c>
    </row>
    <row r="164">
      <c r="A164" s="100">
        <v>2222.0</v>
      </c>
      <c r="B164" s="299" t="s">
        <v>12093</v>
      </c>
      <c r="C164" s="14" t="s">
        <v>12422</v>
      </c>
      <c r="D164" s="272" t="s">
        <v>26</v>
      </c>
      <c r="E164" s="300" t="s">
        <v>31</v>
      </c>
      <c r="H164" s="12" t="s">
        <v>12423</v>
      </c>
      <c r="I164" s="12" t="s">
        <v>12424</v>
      </c>
    </row>
    <row r="165">
      <c r="A165" s="37">
        <v>24806.0</v>
      </c>
      <c r="B165" s="14" t="s">
        <v>12093</v>
      </c>
      <c r="C165" s="11" t="s">
        <v>1355</v>
      </c>
      <c r="D165" s="11" t="s">
        <v>26</v>
      </c>
      <c r="E165" s="8" t="s">
        <v>31</v>
      </c>
      <c r="H165" s="12" t="s">
        <v>12425</v>
      </c>
    </row>
    <row r="166">
      <c r="A166" s="269">
        <v>21798.0</v>
      </c>
      <c r="B166" s="308" t="s">
        <v>12426</v>
      </c>
      <c r="C166" s="269" t="s">
        <v>10766</v>
      </c>
      <c r="D166" s="302" t="s">
        <v>26</v>
      </c>
      <c r="E166" s="269" t="s">
        <v>31</v>
      </c>
      <c r="F166" s="270"/>
      <c r="G166" s="270"/>
      <c r="H166" s="271" t="s">
        <v>12427</v>
      </c>
      <c r="I166" s="270"/>
      <c r="J166" s="270"/>
      <c r="K166" s="270"/>
      <c r="L166" s="270"/>
    </row>
    <row r="167">
      <c r="A167" s="37">
        <v>2500.0</v>
      </c>
      <c r="B167" s="299" t="s">
        <v>12093</v>
      </c>
      <c r="C167" s="8" t="s">
        <v>12428</v>
      </c>
      <c r="D167" s="272" t="s">
        <v>26</v>
      </c>
      <c r="E167" s="269" t="s">
        <v>31</v>
      </c>
      <c r="H167" s="9" t="s">
        <v>12429</v>
      </c>
    </row>
    <row r="168">
      <c r="A168" s="100">
        <v>24809.0</v>
      </c>
      <c r="B168" s="14" t="s">
        <v>12093</v>
      </c>
      <c r="C168" s="8" t="s">
        <v>12430</v>
      </c>
      <c r="D168" s="11" t="s">
        <v>26</v>
      </c>
      <c r="E168" s="8" t="s">
        <v>31</v>
      </c>
      <c r="H168" s="12" t="s">
        <v>12431</v>
      </c>
    </row>
    <row r="169">
      <c r="A169" s="100">
        <v>2154.0</v>
      </c>
      <c r="B169" s="299" t="s">
        <v>12093</v>
      </c>
      <c r="C169" s="11" t="s">
        <v>12432</v>
      </c>
      <c r="D169" s="272" t="s">
        <v>26</v>
      </c>
      <c r="E169" s="300" t="s">
        <v>31</v>
      </c>
      <c r="H169" s="12" t="s">
        <v>12433</v>
      </c>
      <c r="I169" s="12" t="s">
        <v>12434</v>
      </c>
    </row>
    <row r="170">
      <c r="A170" s="269">
        <v>20264.0</v>
      </c>
      <c r="B170" s="299" t="s">
        <v>12093</v>
      </c>
      <c r="C170" s="269" t="s">
        <v>3097</v>
      </c>
      <c r="D170" s="272" t="s">
        <v>26</v>
      </c>
      <c r="E170" s="269" t="s">
        <v>31</v>
      </c>
      <c r="F170" s="270"/>
      <c r="G170" s="270"/>
      <c r="H170" s="271" t="s">
        <v>12435</v>
      </c>
      <c r="I170" s="270"/>
      <c r="J170" s="271" t="s">
        <v>12436</v>
      </c>
      <c r="K170" s="270"/>
      <c r="L170" s="270"/>
    </row>
    <row r="171">
      <c r="A171" s="37">
        <v>2275.0</v>
      </c>
      <c r="B171" s="299" t="s">
        <v>12093</v>
      </c>
      <c r="C171" s="11" t="s">
        <v>11448</v>
      </c>
      <c r="D171" s="272" t="s">
        <v>26</v>
      </c>
      <c r="E171" s="300" t="s">
        <v>31</v>
      </c>
      <c r="H171" s="12" t="s">
        <v>12437</v>
      </c>
    </row>
    <row r="172">
      <c r="A172" s="100">
        <v>23694.0</v>
      </c>
      <c r="B172" s="14" t="s">
        <v>12093</v>
      </c>
      <c r="C172" s="11" t="s">
        <v>7346</v>
      </c>
      <c r="D172" s="11" t="s">
        <v>26</v>
      </c>
      <c r="E172" s="8" t="s">
        <v>31</v>
      </c>
      <c r="H172" s="9" t="s">
        <v>12438</v>
      </c>
      <c r="I172" s="12" t="s">
        <v>12439</v>
      </c>
    </row>
    <row r="173">
      <c r="A173" s="100">
        <v>2220.0</v>
      </c>
      <c r="B173" s="299" t="s">
        <v>12093</v>
      </c>
      <c r="C173" s="14" t="s">
        <v>5513</v>
      </c>
      <c r="D173" s="272" t="s">
        <v>26</v>
      </c>
      <c r="E173" s="300" t="s">
        <v>31</v>
      </c>
      <c r="H173" s="12" t="s">
        <v>12440</v>
      </c>
      <c r="J173" s="12" t="s">
        <v>12441</v>
      </c>
    </row>
    <row r="174">
      <c r="A174" s="37">
        <v>17939.0</v>
      </c>
      <c r="B174" s="14" t="s">
        <v>12093</v>
      </c>
      <c r="C174" s="11" t="s">
        <v>3209</v>
      </c>
      <c r="D174" s="8" t="s">
        <v>26</v>
      </c>
      <c r="E174" s="8" t="s">
        <v>12107</v>
      </c>
      <c r="H174" s="12" t="s">
        <v>12442</v>
      </c>
      <c r="I174" s="12" t="s">
        <v>12443</v>
      </c>
    </row>
    <row r="175">
      <c r="A175" s="100">
        <v>24618.0</v>
      </c>
      <c r="B175" s="14" t="s">
        <v>12093</v>
      </c>
      <c r="C175" s="304" t="s">
        <v>12444</v>
      </c>
      <c r="D175" s="11" t="s">
        <v>26</v>
      </c>
      <c r="E175" s="8" t="s">
        <v>31</v>
      </c>
      <c r="H175" s="9" t="s">
        <v>12445</v>
      </c>
    </row>
    <row r="176">
      <c r="A176" s="100">
        <v>24596.0</v>
      </c>
      <c r="B176" s="14" t="s">
        <v>12093</v>
      </c>
      <c r="C176" s="309" t="s">
        <v>12446</v>
      </c>
      <c r="D176" s="11" t="s">
        <v>26</v>
      </c>
      <c r="E176" s="8" t="s">
        <v>12327</v>
      </c>
      <c r="H176" s="9" t="s">
        <v>12447</v>
      </c>
      <c r="I176" s="12" t="s">
        <v>12448</v>
      </c>
    </row>
    <row r="177">
      <c r="A177" s="100">
        <v>29708.0</v>
      </c>
      <c r="B177" s="14" t="s">
        <v>12093</v>
      </c>
      <c r="C177" s="14" t="s">
        <v>12449</v>
      </c>
      <c r="D177" s="11" t="s">
        <v>26</v>
      </c>
      <c r="E177" s="8" t="s">
        <v>12116</v>
      </c>
      <c r="H177" s="12" t="s">
        <v>12450</v>
      </c>
    </row>
    <row r="178">
      <c r="A178" s="100">
        <v>28084.0</v>
      </c>
      <c r="B178" s="14" t="s">
        <v>12093</v>
      </c>
      <c r="C178" s="11" t="s">
        <v>1239</v>
      </c>
      <c r="D178" s="11" t="s">
        <v>26</v>
      </c>
      <c r="E178" s="11" t="s">
        <v>12258</v>
      </c>
      <c r="H178" s="9" t="s">
        <v>12451</v>
      </c>
    </row>
    <row r="179">
      <c r="A179" s="269">
        <v>21800.0</v>
      </c>
      <c r="B179" s="301" t="s">
        <v>12093</v>
      </c>
      <c r="C179" s="269" t="s">
        <v>12452</v>
      </c>
      <c r="D179" s="302" t="s">
        <v>26</v>
      </c>
      <c r="E179" s="269" t="s">
        <v>31</v>
      </c>
      <c r="F179" s="270"/>
      <c r="G179" s="270"/>
      <c r="H179" s="271" t="s">
        <v>12453</v>
      </c>
      <c r="I179" s="271" t="s">
        <v>12454</v>
      </c>
      <c r="J179" s="270"/>
      <c r="K179" s="270"/>
      <c r="L179" s="270"/>
    </row>
    <row r="180">
      <c r="A180" s="100">
        <v>32347.0</v>
      </c>
      <c r="B180" s="14" t="s">
        <v>12093</v>
      </c>
      <c r="C180" s="11" t="s">
        <v>4222</v>
      </c>
      <c r="D180" s="11" t="s">
        <v>26</v>
      </c>
      <c r="E180" s="8" t="s">
        <v>31</v>
      </c>
      <c r="H180" s="9" t="s">
        <v>12455</v>
      </c>
      <c r="I180" s="12" t="s">
        <v>12456</v>
      </c>
    </row>
    <row r="181">
      <c r="A181" s="37">
        <v>18847.0</v>
      </c>
      <c r="B181" s="307" t="s">
        <v>720</v>
      </c>
      <c r="C181" s="8" t="s">
        <v>1420</v>
      </c>
      <c r="D181" s="272" t="s">
        <v>26</v>
      </c>
      <c r="E181" s="269" t="s">
        <v>31</v>
      </c>
      <c r="G181" s="37">
        <v>1.0</v>
      </c>
      <c r="H181" s="9" t="s">
        <v>12457</v>
      </c>
    </row>
    <row r="182">
      <c r="A182" s="100">
        <v>2437.0</v>
      </c>
      <c r="B182" s="299" t="s">
        <v>12093</v>
      </c>
      <c r="C182" s="304" t="s">
        <v>12458</v>
      </c>
      <c r="D182" s="272" t="s">
        <v>26</v>
      </c>
      <c r="E182" s="8" t="s">
        <v>31</v>
      </c>
      <c r="H182" s="9" t="s">
        <v>12459</v>
      </c>
    </row>
    <row r="183">
      <c r="A183" s="37">
        <v>19282.0</v>
      </c>
      <c r="B183" s="14" t="s">
        <v>12093</v>
      </c>
      <c r="C183" s="11" t="s">
        <v>1445</v>
      </c>
      <c r="D183" s="8" t="s">
        <v>26</v>
      </c>
      <c r="E183" s="8" t="s">
        <v>31</v>
      </c>
      <c r="H183" s="12" t="s">
        <v>12460</v>
      </c>
    </row>
    <row r="184">
      <c r="A184" s="37">
        <v>18562.0</v>
      </c>
      <c r="B184" s="299" t="s">
        <v>12093</v>
      </c>
      <c r="C184" s="8" t="s">
        <v>2889</v>
      </c>
      <c r="D184" s="272" t="s">
        <v>26</v>
      </c>
      <c r="E184" s="269" t="s">
        <v>31</v>
      </c>
      <c r="H184" s="9" t="s">
        <v>12461</v>
      </c>
    </row>
    <row r="185">
      <c r="A185" s="37">
        <v>18563.0</v>
      </c>
      <c r="B185" s="299" t="s">
        <v>12093</v>
      </c>
      <c r="C185" s="8" t="s">
        <v>12462</v>
      </c>
      <c r="D185" s="272" t="s">
        <v>26</v>
      </c>
      <c r="E185" s="269" t="s">
        <v>31</v>
      </c>
      <c r="G185" s="37">
        <v>1.0</v>
      </c>
      <c r="H185" s="9" t="s">
        <v>12463</v>
      </c>
    </row>
    <row r="186">
      <c r="A186" s="100">
        <v>30133.0</v>
      </c>
      <c r="B186" s="14" t="s">
        <v>12093</v>
      </c>
      <c r="C186" s="14" t="s">
        <v>12464</v>
      </c>
      <c r="D186" s="11" t="s">
        <v>26</v>
      </c>
      <c r="E186" s="8" t="s">
        <v>12116</v>
      </c>
      <c r="F186" s="14" t="s">
        <v>12465</v>
      </c>
      <c r="H186" s="9" t="s">
        <v>12466</v>
      </c>
      <c r="J186" s="12" t="s">
        <v>12467</v>
      </c>
    </row>
    <row r="187">
      <c r="A187" s="100">
        <v>26829.0</v>
      </c>
      <c r="B187" s="14" t="s">
        <v>12093</v>
      </c>
      <c r="C187" s="8" t="s">
        <v>12468</v>
      </c>
      <c r="D187" s="11" t="s">
        <v>26</v>
      </c>
      <c r="E187" s="8" t="s">
        <v>31</v>
      </c>
      <c r="H187" s="12" t="s">
        <v>12469</v>
      </c>
      <c r="J187" s="12" t="s">
        <v>12470</v>
      </c>
    </row>
    <row r="188">
      <c r="A188" s="100">
        <v>26831.0</v>
      </c>
      <c r="B188" s="14" t="s">
        <v>12093</v>
      </c>
      <c r="C188" s="310" t="s">
        <v>12471</v>
      </c>
      <c r="D188" s="11" t="s">
        <v>26</v>
      </c>
      <c r="E188" s="11" t="s">
        <v>12258</v>
      </c>
      <c r="J188" s="12" t="s">
        <v>8559</v>
      </c>
    </row>
    <row r="189">
      <c r="A189" s="37">
        <v>2311.0</v>
      </c>
      <c r="B189" s="299" t="s">
        <v>12093</v>
      </c>
      <c r="C189" s="8" t="s">
        <v>2671</v>
      </c>
      <c r="D189" s="272" t="s">
        <v>26</v>
      </c>
      <c r="E189" s="11" t="s">
        <v>31</v>
      </c>
      <c r="F189" s="11" t="s">
        <v>12156</v>
      </c>
      <c r="J189" s="12" t="s">
        <v>12472</v>
      </c>
    </row>
    <row r="190">
      <c r="A190" s="37">
        <v>18049.0</v>
      </c>
      <c r="B190" s="14" t="s">
        <v>12093</v>
      </c>
      <c r="C190" s="11" t="s">
        <v>12473</v>
      </c>
      <c r="D190" s="8" t="s">
        <v>26</v>
      </c>
      <c r="E190" s="8" t="s">
        <v>31</v>
      </c>
      <c r="J190" s="12" t="s">
        <v>12474</v>
      </c>
    </row>
    <row r="191">
      <c r="B191" s="307" t="s">
        <v>276</v>
      </c>
      <c r="C191" s="8" t="s">
        <v>26</v>
      </c>
      <c r="D191" s="311" t="s">
        <v>26</v>
      </c>
      <c r="E191" s="300" t="s">
        <v>31</v>
      </c>
      <c r="J191" s="12" t="s">
        <v>12475</v>
      </c>
    </row>
    <row r="192">
      <c r="A192" s="100">
        <v>2389.0</v>
      </c>
      <c r="B192" s="299" t="s">
        <v>12093</v>
      </c>
      <c r="C192" s="8" t="s">
        <v>12476</v>
      </c>
      <c r="D192" s="272" t="s">
        <v>26</v>
      </c>
      <c r="E192" s="11" t="s">
        <v>31</v>
      </c>
      <c r="F192" s="11" t="s">
        <v>12094</v>
      </c>
      <c r="J192" s="12" t="s">
        <v>12477</v>
      </c>
    </row>
    <row r="193">
      <c r="A193" s="100">
        <v>2414.0</v>
      </c>
      <c r="B193" s="299" t="s">
        <v>12093</v>
      </c>
      <c r="C193" s="8" t="s">
        <v>2707</v>
      </c>
      <c r="D193" s="272" t="s">
        <v>26</v>
      </c>
      <c r="E193" s="8" t="s">
        <v>31</v>
      </c>
      <c r="F193" s="8" t="s">
        <v>12478</v>
      </c>
      <c r="J193" s="12" t="s">
        <v>12479</v>
      </c>
    </row>
    <row r="194">
      <c r="A194" s="100">
        <v>33131.0</v>
      </c>
      <c r="B194" s="14" t="s">
        <v>12093</v>
      </c>
      <c r="C194" s="11" t="s">
        <v>4088</v>
      </c>
      <c r="D194" s="8" t="s">
        <v>26</v>
      </c>
      <c r="E194" s="11" t="s">
        <v>12325</v>
      </c>
      <c r="F194" s="11" t="s">
        <v>12364</v>
      </c>
      <c r="J194" s="12" t="s">
        <v>12480</v>
      </c>
    </row>
    <row r="195">
      <c r="A195" s="37">
        <v>19890.0</v>
      </c>
      <c r="B195" s="8" t="s">
        <v>12481</v>
      </c>
      <c r="C195" s="11" t="s">
        <v>855</v>
      </c>
      <c r="D195" s="8" t="s">
        <v>26</v>
      </c>
      <c r="E195" s="8" t="s">
        <v>31</v>
      </c>
      <c r="J195" s="12" t="s">
        <v>12482</v>
      </c>
    </row>
    <row r="196">
      <c r="A196" s="269">
        <v>20274.0</v>
      </c>
      <c r="B196" s="299" t="s">
        <v>12093</v>
      </c>
      <c r="C196" s="269" t="s">
        <v>855</v>
      </c>
      <c r="D196" s="272" t="s">
        <v>26</v>
      </c>
      <c r="E196" s="269" t="s">
        <v>31</v>
      </c>
      <c r="F196" s="270"/>
      <c r="G196" s="270"/>
      <c r="H196" s="270"/>
      <c r="I196" s="270"/>
      <c r="J196" s="271" t="s">
        <v>12482</v>
      </c>
      <c r="K196" s="270"/>
      <c r="L196" s="270"/>
    </row>
    <row r="197">
      <c r="A197" s="269">
        <v>20270.0</v>
      </c>
      <c r="B197" s="299" t="s">
        <v>12093</v>
      </c>
      <c r="C197" s="269" t="s">
        <v>855</v>
      </c>
      <c r="D197" s="272" t="s">
        <v>26</v>
      </c>
      <c r="E197" s="269" t="s">
        <v>31</v>
      </c>
      <c r="F197" s="270"/>
      <c r="G197" s="269">
        <v>1.0</v>
      </c>
      <c r="H197" s="270"/>
      <c r="I197" s="270"/>
      <c r="J197" s="271" t="s">
        <v>12483</v>
      </c>
      <c r="K197" s="270"/>
      <c r="L197" s="270"/>
    </row>
    <row r="198">
      <c r="A198" s="100">
        <v>2420.0</v>
      </c>
      <c r="B198" s="299" t="s">
        <v>12093</v>
      </c>
      <c r="C198" s="11" t="s">
        <v>855</v>
      </c>
      <c r="D198" s="272" t="s">
        <v>26</v>
      </c>
      <c r="E198" s="8" t="s">
        <v>31</v>
      </c>
      <c r="J198" s="312" t="s">
        <v>12482</v>
      </c>
    </row>
    <row r="199">
      <c r="A199" s="100">
        <v>2427.0</v>
      </c>
      <c r="B199" s="299" t="s">
        <v>12093</v>
      </c>
      <c r="C199" s="304" t="s">
        <v>4206</v>
      </c>
      <c r="D199" s="272" t="s">
        <v>26</v>
      </c>
      <c r="E199" s="8" t="s">
        <v>31</v>
      </c>
      <c r="J199" s="12" t="s">
        <v>12482</v>
      </c>
    </row>
    <row r="200">
      <c r="A200" s="100">
        <v>26827.0</v>
      </c>
      <c r="B200" s="14" t="s">
        <v>12093</v>
      </c>
      <c r="C200" s="11" t="s">
        <v>12484</v>
      </c>
      <c r="D200" s="11" t="s">
        <v>26</v>
      </c>
      <c r="E200" s="8" t="s">
        <v>31</v>
      </c>
      <c r="I200" s="8"/>
      <c r="J200" s="12" t="s">
        <v>12485</v>
      </c>
    </row>
    <row r="201">
      <c r="A201" s="100">
        <v>30590.0</v>
      </c>
      <c r="B201" s="14" t="s">
        <v>12093</v>
      </c>
      <c r="C201" s="8" t="s">
        <v>12486</v>
      </c>
      <c r="D201" s="11" t="s">
        <v>26</v>
      </c>
      <c r="E201" s="8" t="s">
        <v>31</v>
      </c>
      <c r="I201" s="12" t="s">
        <v>12487</v>
      </c>
    </row>
    <row r="202">
      <c r="A202" s="37">
        <v>19982.0</v>
      </c>
      <c r="B202" s="299" t="s">
        <v>12093</v>
      </c>
      <c r="C202" s="8" t="s">
        <v>12488</v>
      </c>
      <c r="D202" s="272" t="s">
        <v>26</v>
      </c>
      <c r="E202" s="269" t="s">
        <v>31</v>
      </c>
      <c r="I202" s="12" t="s">
        <v>12489</v>
      </c>
      <c r="J202" s="12" t="s">
        <v>12490</v>
      </c>
    </row>
    <row r="203">
      <c r="A203" s="100">
        <v>19982.0</v>
      </c>
      <c r="B203" s="14" t="s">
        <v>12093</v>
      </c>
      <c r="C203" s="8" t="s">
        <v>12491</v>
      </c>
      <c r="D203" s="11" t="s">
        <v>26</v>
      </c>
      <c r="E203" s="8" t="s">
        <v>31</v>
      </c>
      <c r="I203" s="12" t="s">
        <v>12489</v>
      </c>
      <c r="J203" s="12" t="s">
        <v>12490</v>
      </c>
    </row>
    <row r="204">
      <c r="A204" s="37">
        <v>2489.0</v>
      </c>
      <c r="B204" s="299" t="s">
        <v>12093</v>
      </c>
      <c r="C204" s="8" t="s">
        <v>3658</v>
      </c>
      <c r="D204" s="272" t="s">
        <v>26</v>
      </c>
      <c r="E204" s="269" t="s">
        <v>31</v>
      </c>
      <c r="J204" s="12" t="s">
        <v>12492</v>
      </c>
    </row>
    <row r="205">
      <c r="A205" s="100">
        <v>23695.0</v>
      </c>
      <c r="B205" s="14" t="s">
        <v>12093</v>
      </c>
      <c r="C205" s="11" t="s">
        <v>12493</v>
      </c>
      <c r="D205" s="11" t="s">
        <v>26</v>
      </c>
      <c r="E205" s="8" t="s">
        <v>31</v>
      </c>
      <c r="H205" s="11"/>
      <c r="I205" s="12" t="s">
        <v>12494</v>
      </c>
      <c r="J205" s="12" t="s">
        <v>12495</v>
      </c>
    </row>
    <row r="206">
      <c r="A206" s="37">
        <v>18036.0</v>
      </c>
      <c r="B206" s="14" t="s">
        <v>12093</v>
      </c>
      <c r="C206" s="11" t="s">
        <v>12496</v>
      </c>
      <c r="D206" s="8" t="s">
        <v>26</v>
      </c>
      <c r="E206" s="8" t="s">
        <v>31</v>
      </c>
      <c r="I206" s="12" t="s">
        <v>12497</v>
      </c>
    </row>
    <row r="207">
      <c r="A207" s="100">
        <v>29157.0</v>
      </c>
      <c r="B207" s="14" t="s">
        <v>12093</v>
      </c>
      <c r="C207" s="8" t="s">
        <v>3009</v>
      </c>
      <c r="D207" s="11" t="s">
        <v>26</v>
      </c>
      <c r="E207" s="8" t="s">
        <v>12498</v>
      </c>
      <c r="I207" s="12" t="s">
        <v>12499</v>
      </c>
    </row>
    <row r="208">
      <c r="A208" s="100">
        <v>26816.0</v>
      </c>
      <c r="B208" s="14" t="s">
        <v>12093</v>
      </c>
      <c r="C208" s="8" t="s">
        <v>3615</v>
      </c>
      <c r="D208" s="11" t="s">
        <v>26</v>
      </c>
      <c r="E208" s="8" t="s">
        <v>12500</v>
      </c>
      <c r="F208" s="8" t="s">
        <v>12501</v>
      </c>
      <c r="I208" s="12" t="s">
        <v>12499</v>
      </c>
    </row>
    <row r="209">
      <c r="A209" s="37">
        <v>26616.0</v>
      </c>
      <c r="B209" s="8" t="s">
        <v>3779</v>
      </c>
      <c r="C209" s="11" t="s">
        <v>4724</v>
      </c>
      <c r="D209" s="8" t="s">
        <v>26</v>
      </c>
      <c r="E209" s="8" t="s">
        <v>12169</v>
      </c>
      <c r="J209" s="12" t="s">
        <v>12502</v>
      </c>
    </row>
    <row r="210">
      <c r="A210" s="100">
        <v>2397.0</v>
      </c>
      <c r="B210" s="299" t="s">
        <v>12093</v>
      </c>
      <c r="C210" s="11" t="s">
        <v>12503</v>
      </c>
      <c r="D210" s="272" t="s">
        <v>26</v>
      </c>
      <c r="E210" s="8" t="s">
        <v>31</v>
      </c>
      <c r="J210" s="12" t="s">
        <v>12504</v>
      </c>
    </row>
    <row r="211">
      <c r="A211" s="100">
        <v>2470.0</v>
      </c>
      <c r="B211" s="299" t="s">
        <v>12093</v>
      </c>
      <c r="C211" s="8" t="s">
        <v>3209</v>
      </c>
      <c r="D211" s="272" t="s">
        <v>26</v>
      </c>
      <c r="E211" s="8" t="s">
        <v>12505</v>
      </c>
      <c r="F211" s="8" t="s">
        <v>12506</v>
      </c>
      <c r="J211" s="12" t="s">
        <v>12507</v>
      </c>
    </row>
    <row r="212">
      <c r="A212" s="37">
        <v>2155.0</v>
      </c>
      <c r="B212" s="14" t="s">
        <v>12093</v>
      </c>
      <c r="C212" s="11" t="s">
        <v>12508</v>
      </c>
      <c r="D212" s="8" t="s">
        <v>26</v>
      </c>
      <c r="E212" s="8" t="s">
        <v>31</v>
      </c>
      <c r="J212" s="12" t="s">
        <v>12436</v>
      </c>
    </row>
    <row r="213">
      <c r="A213" s="37">
        <v>2210.0</v>
      </c>
      <c r="B213" s="14" t="s">
        <v>12093</v>
      </c>
      <c r="C213" s="11" t="s">
        <v>12509</v>
      </c>
      <c r="D213" s="8" t="s">
        <v>26</v>
      </c>
      <c r="E213" s="8" t="s">
        <v>31</v>
      </c>
      <c r="J213" s="12" t="s">
        <v>12239</v>
      </c>
    </row>
    <row r="214">
      <c r="A214" s="37">
        <v>2517.0</v>
      </c>
      <c r="B214" s="299" t="s">
        <v>12093</v>
      </c>
      <c r="C214" s="8" t="s">
        <v>735</v>
      </c>
      <c r="D214" s="272" t="s">
        <v>26</v>
      </c>
      <c r="E214" s="269" t="s">
        <v>31</v>
      </c>
      <c r="J214" s="12" t="s">
        <v>12510</v>
      </c>
    </row>
    <row r="215">
      <c r="A215" s="100">
        <v>23116.0</v>
      </c>
      <c r="B215" s="14" t="s">
        <v>12093</v>
      </c>
      <c r="C215" s="11" t="s">
        <v>12511</v>
      </c>
      <c r="D215" s="11" t="s">
        <v>26</v>
      </c>
      <c r="E215" s="8" t="s">
        <v>31</v>
      </c>
      <c r="F215" s="8" t="s">
        <v>12350</v>
      </c>
      <c r="H215" s="258"/>
      <c r="J215" s="12" t="s">
        <v>247</v>
      </c>
    </row>
    <row r="216">
      <c r="A216" s="37">
        <v>19974.0</v>
      </c>
      <c r="B216" s="307" t="s">
        <v>12512</v>
      </c>
      <c r="C216" s="8" t="s">
        <v>8055</v>
      </c>
      <c r="D216" s="272" t="s">
        <v>26</v>
      </c>
      <c r="E216" s="269" t="s">
        <v>31</v>
      </c>
      <c r="J216" s="12" t="s">
        <v>12513</v>
      </c>
    </row>
    <row r="217">
      <c r="A217" s="100">
        <v>25454.0</v>
      </c>
      <c r="B217" s="14" t="s">
        <v>12093</v>
      </c>
      <c r="C217" s="8" t="s">
        <v>12514</v>
      </c>
      <c r="D217" s="11" t="s">
        <v>26</v>
      </c>
      <c r="E217" s="11" t="s">
        <v>12325</v>
      </c>
      <c r="F217" s="11" t="s">
        <v>226</v>
      </c>
      <c r="H217" s="100"/>
      <c r="J217" s="12" t="s">
        <v>12515</v>
      </c>
    </row>
    <row r="218">
      <c r="A218" s="37">
        <v>2494.0</v>
      </c>
      <c r="B218" s="299" t="s">
        <v>12093</v>
      </c>
      <c r="C218" s="8" t="s">
        <v>4208</v>
      </c>
      <c r="D218" s="272" t="s">
        <v>26</v>
      </c>
      <c r="E218" s="269" t="s">
        <v>31</v>
      </c>
      <c r="I218" s="12" t="s">
        <v>12516</v>
      </c>
      <c r="J218" s="12" t="s">
        <v>12517</v>
      </c>
    </row>
    <row r="219">
      <c r="A219" s="37">
        <v>2515.0</v>
      </c>
      <c r="B219" s="14" t="s">
        <v>12093</v>
      </c>
      <c r="C219" s="11" t="s">
        <v>12518</v>
      </c>
      <c r="D219" s="8" t="s">
        <v>26</v>
      </c>
      <c r="E219" s="8" t="s">
        <v>12519</v>
      </c>
      <c r="F219" s="8" t="s">
        <v>12519</v>
      </c>
      <c r="J219" s="12" t="s">
        <v>12520</v>
      </c>
    </row>
    <row r="220">
      <c r="A220" s="37">
        <v>2390.0</v>
      </c>
      <c r="B220" s="14" t="s">
        <v>12093</v>
      </c>
      <c r="C220" s="11" t="s">
        <v>12521</v>
      </c>
      <c r="D220" s="8" t="s">
        <v>26</v>
      </c>
      <c r="E220" s="8" t="s">
        <v>31</v>
      </c>
      <c r="J220" s="12" t="s">
        <v>12522</v>
      </c>
    </row>
    <row r="221">
      <c r="A221" s="100">
        <v>28232.0</v>
      </c>
      <c r="B221" s="14" t="s">
        <v>12093</v>
      </c>
      <c r="C221" s="14" t="s">
        <v>12523</v>
      </c>
      <c r="D221" s="11" t="s">
        <v>26</v>
      </c>
      <c r="E221" s="8" t="s">
        <v>31</v>
      </c>
      <c r="I221" s="12" t="s">
        <v>12524</v>
      </c>
      <c r="J221" s="12" t="s">
        <v>12184</v>
      </c>
    </row>
    <row r="222">
      <c r="A222" s="100">
        <v>30166.0</v>
      </c>
      <c r="B222" s="300" t="s">
        <v>12096</v>
      </c>
      <c r="C222" s="8" t="s">
        <v>12525</v>
      </c>
      <c r="D222" s="11" t="s">
        <v>26</v>
      </c>
      <c r="E222" s="8" t="s">
        <v>12116</v>
      </c>
      <c r="I222" s="12" t="s">
        <v>12526</v>
      </c>
    </row>
    <row r="223">
      <c r="A223" s="269">
        <v>20314.0</v>
      </c>
      <c r="B223" s="301" t="s">
        <v>12093</v>
      </c>
      <c r="C223" s="269" t="s">
        <v>1360</v>
      </c>
      <c r="D223" s="302" t="s">
        <v>26</v>
      </c>
      <c r="E223" s="269" t="s">
        <v>31</v>
      </c>
      <c r="F223" s="270"/>
      <c r="G223" s="269">
        <v>1.0</v>
      </c>
      <c r="H223" s="270"/>
      <c r="I223" s="271" t="s">
        <v>12527</v>
      </c>
      <c r="J223" s="270"/>
      <c r="K223" s="270"/>
      <c r="L223" s="270"/>
    </row>
    <row r="224">
      <c r="A224" s="269">
        <v>20518.0</v>
      </c>
      <c r="B224" s="301" t="s">
        <v>12093</v>
      </c>
      <c r="C224" s="269" t="s">
        <v>12528</v>
      </c>
      <c r="D224" s="302" t="s">
        <v>26</v>
      </c>
      <c r="E224" s="269" t="s">
        <v>31</v>
      </c>
      <c r="F224" s="270"/>
      <c r="G224" s="270"/>
      <c r="H224" s="270"/>
      <c r="I224" s="270"/>
      <c r="J224" s="271" t="s">
        <v>12529</v>
      </c>
      <c r="K224" s="270"/>
      <c r="L224" s="270"/>
    </row>
    <row r="225">
      <c r="A225" s="100">
        <v>2356.0</v>
      </c>
      <c r="B225" s="299" t="s">
        <v>12093</v>
      </c>
      <c r="C225" s="11" t="s">
        <v>6412</v>
      </c>
      <c r="D225" s="272" t="s">
        <v>26</v>
      </c>
      <c r="E225" s="11" t="s">
        <v>31</v>
      </c>
      <c r="F225" s="11" t="s">
        <v>264</v>
      </c>
      <c r="J225" s="12" t="s">
        <v>12530</v>
      </c>
    </row>
    <row r="226">
      <c r="A226" s="37">
        <v>19973.0</v>
      </c>
      <c r="B226" s="299" t="s">
        <v>12093</v>
      </c>
      <c r="C226" s="8" t="s">
        <v>12531</v>
      </c>
      <c r="D226" s="272" t="s">
        <v>26</v>
      </c>
      <c r="E226" s="269" t="s">
        <v>31</v>
      </c>
      <c r="J226" s="12" t="s">
        <v>12532</v>
      </c>
    </row>
    <row r="227">
      <c r="A227" s="100">
        <v>2175.0</v>
      </c>
      <c r="B227" s="299" t="s">
        <v>12093</v>
      </c>
      <c r="C227" s="11" t="s">
        <v>12533</v>
      </c>
      <c r="D227" s="272" t="s">
        <v>26</v>
      </c>
      <c r="E227" s="300" t="s">
        <v>31</v>
      </c>
      <c r="J227" s="12" t="s">
        <v>12534</v>
      </c>
    </row>
    <row r="228">
      <c r="A228" s="37">
        <v>18356.0</v>
      </c>
      <c r="B228" s="14" t="s">
        <v>12093</v>
      </c>
      <c r="C228" s="11" t="s">
        <v>12535</v>
      </c>
      <c r="D228" s="8" t="s">
        <v>26</v>
      </c>
      <c r="E228" s="8" t="s">
        <v>12107</v>
      </c>
      <c r="J228" s="12" t="s">
        <v>12536</v>
      </c>
    </row>
    <row r="229">
      <c r="A229" s="269">
        <v>20277.0</v>
      </c>
      <c r="B229" s="299" t="s">
        <v>12093</v>
      </c>
      <c r="C229" s="269" t="s">
        <v>12396</v>
      </c>
      <c r="D229" s="272" t="s">
        <v>26</v>
      </c>
      <c r="E229" s="269" t="s">
        <v>31</v>
      </c>
      <c r="F229" s="270"/>
      <c r="G229" s="270"/>
      <c r="H229" s="270"/>
      <c r="I229" s="270"/>
      <c r="J229" s="271" t="s">
        <v>12536</v>
      </c>
      <c r="K229" s="270"/>
      <c r="L229" s="270"/>
    </row>
    <row r="230">
      <c r="A230" s="269">
        <v>21816.0</v>
      </c>
      <c r="B230" s="301" t="s">
        <v>12093</v>
      </c>
      <c r="C230" s="269" t="s">
        <v>874</v>
      </c>
      <c r="D230" s="302" t="s">
        <v>26</v>
      </c>
      <c r="E230" s="269" t="s">
        <v>31</v>
      </c>
      <c r="F230" s="270"/>
      <c r="G230" s="270"/>
      <c r="H230" s="270"/>
      <c r="I230" s="270"/>
      <c r="J230" s="271" t="s">
        <v>12537</v>
      </c>
      <c r="K230" s="270"/>
      <c r="L230" s="270"/>
    </row>
    <row r="231">
      <c r="A231" s="37">
        <v>18355.0</v>
      </c>
      <c r="B231" s="8" t="s">
        <v>3779</v>
      </c>
      <c r="C231" s="11" t="s">
        <v>4114</v>
      </c>
      <c r="D231" s="8" t="s">
        <v>26</v>
      </c>
      <c r="E231" s="8" t="s">
        <v>12387</v>
      </c>
      <c r="J231" s="12" t="s">
        <v>12538</v>
      </c>
    </row>
    <row r="232">
      <c r="A232" s="269">
        <v>20258.0</v>
      </c>
      <c r="B232" s="299" t="s">
        <v>12093</v>
      </c>
      <c r="C232" s="269" t="s">
        <v>12539</v>
      </c>
      <c r="D232" s="272" t="s">
        <v>26</v>
      </c>
      <c r="E232" s="269" t="s">
        <v>31</v>
      </c>
      <c r="F232" s="270"/>
      <c r="G232" s="270"/>
      <c r="H232" s="270"/>
      <c r="I232" s="270"/>
      <c r="J232" s="271" t="s">
        <v>12540</v>
      </c>
      <c r="K232" s="270"/>
      <c r="L232" s="270"/>
    </row>
    <row r="233">
      <c r="A233" s="37">
        <v>30132.0</v>
      </c>
      <c r="B233" s="14" t="s">
        <v>12093</v>
      </c>
      <c r="C233" s="11" t="s">
        <v>3175</v>
      </c>
      <c r="D233" s="11" t="s">
        <v>26</v>
      </c>
      <c r="E233" s="8" t="s">
        <v>12116</v>
      </c>
      <c r="I233" s="12" t="s">
        <v>12541</v>
      </c>
    </row>
    <row r="234">
      <c r="A234" s="37">
        <v>2364.0</v>
      </c>
      <c r="B234" s="299" t="s">
        <v>12093</v>
      </c>
      <c r="C234" s="8" t="s">
        <v>12542</v>
      </c>
      <c r="D234" s="272" t="s">
        <v>26</v>
      </c>
      <c r="E234" s="11" t="s">
        <v>31</v>
      </c>
      <c r="F234" s="11" t="s">
        <v>264</v>
      </c>
      <c r="J234" s="12" t="s">
        <v>12543</v>
      </c>
    </row>
    <row r="235">
      <c r="A235" s="100">
        <v>26665.0</v>
      </c>
      <c r="B235" s="14" t="s">
        <v>12093</v>
      </c>
      <c r="C235" s="11" t="s">
        <v>11432</v>
      </c>
      <c r="D235" s="11" t="s">
        <v>26</v>
      </c>
      <c r="E235" s="8" t="s">
        <v>31</v>
      </c>
      <c r="J235" s="12" t="s">
        <v>12394</v>
      </c>
    </row>
    <row r="236">
      <c r="A236" s="100">
        <v>2381.0</v>
      </c>
      <c r="B236" s="299" t="s">
        <v>12093</v>
      </c>
      <c r="C236" s="11" t="s">
        <v>7424</v>
      </c>
      <c r="D236" s="272" t="s">
        <v>26</v>
      </c>
      <c r="E236" s="11" t="s">
        <v>31</v>
      </c>
      <c r="J236" s="12" t="s">
        <v>5128</v>
      </c>
    </row>
    <row r="237">
      <c r="A237" s="37">
        <v>2300.0</v>
      </c>
      <c r="B237" s="299" t="s">
        <v>12093</v>
      </c>
      <c r="C237" s="8" t="s">
        <v>8162</v>
      </c>
      <c r="D237" s="272" t="s">
        <v>26</v>
      </c>
      <c r="E237" s="11" t="s">
        <v>31</v>
      </c>
      <c r="J237" s="12" t="s">
        <v>12544</v>
      </c>
    </row>
    <row r="238">
      <c r="A238" s="269">
        <v>20261.0</v>
      </c>
      <c r="B238" s="299" t="s">
        <v>12093</v>
      </c>
      <c r="C238" s="269" t="s">
        <v>12545</v>
      </c>
      <c r="D238" s="272" t="s">
        <v>26</v>
      </c>
      <c r="E238" s="269" t="s">
        <v>31</v>
      </c>
      <c r="F238" s="270"/>
      <c r="G238" s="270"/>
      <c r="H238" s="270"/>
      <c r="I238" s="270"/>
      <c r="J238" s="271" t="s">
        <v>12544</v>
      </c>
      <c r="K238" s="270"/>
      <c r="L238" s="270"/>
    </row>
    <row r="239">
      <c r="A239" s="100">
        <v>2203.0</v>
      </c>
      <c r="B239" s="299" t="s">
        <v>12093</v>
      </c>
      <c r="C239" s="11" t="s">
        <v>12546</v>
      </c>
      <c r="D239" s="272" t="s">
        <v>26</v>
      </c>
      <c r="E239" s="300" t="s">
        <v>31</v>
      </c>
      <c r="J239" s="12" t="s">
        <v>12547</v>
      </c>
    </row>
    <row r="240">
      <c r="A240" s="37">
        <v>18575.0</v>
      </c>
      <c r="B240" s="299" t="s">
        <v>12093</v>
      </c>
      <c r="C240" s="8" t="s">
        <v>12548</v>
      </c>
      <c r="D240" s="272" t="s">
        <v>26</v>
      </c>
      <c r="E240" s="269" t="s">
        <v>31</v>
      </c>
      <c r="J240" s="12" t="s">
        <v>12549</v>
      </c>
    </row>
    <row r="241">
      <c r="A241" s="100">
        <v>20233.0</v>
      </c>
      <c r="B241" s="14" t="s">
        <v>12093</v>
      </c>
      <c r="C241" s="11" t="s">
        <v>12550</v>
      </c>
      <c r="D241" s="11" t="s">
        <v>26</v>
      </c>
      <c r="E241" s="8" t="s">
        <v>31</v>
      </c>
      <c r="H241" s="258"/>
      <c r="J241" s="12" t="s">
        <v>12551</v>
      </c>
    </row>
    <row r="242">
      <c r="A242" s="37">
        <v>20233.0</v>
      </c>
      <c r="B242" s="299" t="s">
        <v>12093</v>
      </c>
      <c r="C242" s="8" t="s">
        <v>12550</v>
      </c>
      <c r="D242" s="272" t="s">
        <v>26</v>
      </c>
      <c r="E242" s="269" t="s">
        <v>31</v>
      </c>
      <c r="J242" s="12" t="s">
        <v>12551</v>
      </c>
    </row>
    <row r="243">
      <c r="A243" s="100">
        <v>33125.0</v>
      </c>
      <c r="B243" s="14" t="s">
        <v>12093</v>
      </c>
      <c r="C243" s="11" t="s">
        <v>3999</v>
      </c>
      <c r="D243" s="11" t="s">
        <v>26</v>
      </c>
      <c r="E243" s="8" t="s">
        <v>31</v>
      </c>
      <c r="F243" s="11" t="s">
        <v>12552</v>
      </c>
      <c r="J243" s="12" t="s">
        <v>12553</v>
      </c>
    </row>
    <row r="244">
      <c r="A244" s="37">
        <v>32670.0</v>
      </c>
      <c r="B244" s="8" t="s">
        <v>301</v>
      </c>
      <c r="C244" s="11" t="s">
        <v>12554</v>
      </c>
      <c r="D244" s="8" t="s">
        <v>26</v>
      </c>
      <c r="E244" s="8" t="s">
        <v>31</v>
      </c>
      <c r="J244" s="12" t="s">
        <v>12146</v>
      </c>
    </row>
    <row r="245">
      <c r="A245" s="37">
        <v>21569.0</v>
      </c>
      <c r="B245" s="8" t="s">
        <v>3779</v>
      </c>
      <c r="C245" s="11" t="s">
        <v>4121</v>
      </c>
      <c r="D245" s="8" t="s">
        <v>26</v>
      </c>
      <c r="E245" s="8" t="s">
        <v>12107</v>
      </c>
      <c r="J245" s="12" t="s">
        <v>12555</v>
      </c>
    </row>
    <row r="246">
      <c r="A246" s="37">
        <v>2320.0</v>
      </c>
      <c r="B246" s="299" t="s">
        <v>12093</v>
      </c>
      <c r="C246" s="8" t="s">
        <v>12556</v>
      </c>
      <c r="D246" s="272" t="s">
        <v>26</v>
      </c>
      <c r="E246" s="11" t="s">
        <v>31</v>
      </c>
      <c r="J246" s="12" t="s">
        <v>12557</v>
      </c>
    </row>
    <row r="247">
      <c r="A247" s="100">
        <v>2399.0</v>
      </c>
      <c r="B247" s="299" t="s">
        <v>12093</v>
      </c>
      <c r="C247" s="11" t="s">
        <v>12558</v>
      </c>
      <c r="D247" s="272" t="s">
        <v>26</v>
      </c>
      <c r="E247" s="8" t="s">
        <v>31</v>
      </c>
      <c r="J247" s="12" t="s">
        <v>12559</v>
      </c>
    </row>
    <row r="248">
      <c r="B248" s="307" t="s">
        <v>17</v>
      </c>
      <c r="C248" s="21" t="s">
        <v>12560</v>
      </c>
      <c r="D248" s="311" t="s">
        <v>26</v>
      </c>
      <c r="E248" s="300" t="s">
        <v>26</v>
      </c>
      <c r="J248" s="12" t="s">
        <v>12561</v>
      </c>
    </row>
    <row r="249">
      <c r="B249" s="8" t="s">
        <v>20</v>
      </c>
      <c r="C249" s="8" t="s">
        <v>12562</v>
      </c>
      <c r="D249" s="8" t="s">
        <v>26</v>
      </c>
      <c r="E249" s="300" t="s">
        <v>31</v>
      </c>
      <c r="H249" s="9" t="s">
        <v>12563</v>
      </c>
      <c r="I249" s="12" t="s">
        <v>12564</v>
      </c>
      <c r="J249" s="12" t="s">
        <v>12416</v>
      </c>
    </row>
    <row r="250">
      <c r="B250" s="8" t="s">
        <v>20</v>
      </c>
      <c r="C250" s="8" t="s">
        <v>341</v>
      </c>
      <c r="D250" s="8" t="s">
        <v>26</v>
      </c>
      <c r="E250" s="8" t="s">
        <v>31</v>
      </c>
      <c r="J250" s="12" t="s">
        <v>12565</v>
      </c>
    </row>
    <row r="251">
      <c r="B251" s="8" t="s">
        <v>3023</v>
      </c>
      <c r="C251" s="8" t="s">
        <v>12566</v>
      </c>
      <c r="D251" s="8" t="s">
        <v>26</v>
      </c>
      <c r="E251" s="8" t="s">
        <v>31</v>
      </c>
      <c r="J251" s="12" t="s">
        <v>12567</v>
      </c>
    </row>
    <row r="252">
      <c r="B252" s="8" t="s">
        <v>276</v>
      </c>
      <c r="C252" s="8" t="s">
        <v>2889</v>
      </c>
      <c r="D252" s="8" t="s">
        <v>26</v>
      </c>
      <c r="E252" s="8" t="s">
        <v>31</v>
      </c>
      <c r="J252" s="12" t="s">
        <v>12568</v>
      </c>
    </row>
  </sheetData>
  <conditionalFormatting sqref="A1:AD1">
    <cfRule type="notContainsBlanks" dxfId="0" priority="1">
      <formula>LEN(TRIM(A1))&gt;0</formula>
    </cfRule>
  </conditionalFormatting>
  <hyperlinks>
    <hyperlink r:id="rId1" ref="H2"/>
    <hyperlink r:id="rId2" ref="H3"/>
    <hyperlink r:id="rId3" ref="H4"/>
    <hyperlink r:id="rId4" ref="I4"/>
    <hyperlink r:id="rId5" ref="H5"/>
    <hyperlink r:id="rId6" ref="H6"/>
    <hyperlink r:id="rId7" ref="J6"/>
    <hyperlink r:id="rId8" ref="H7"/>
    <hyperlink r:id="rId9" ref="H8"/>
    <hyperlink r:id="rId10" ref="H9"/>
    <hyperlink r:id="rId11" ref="H10"/>
    <hyperlink r:id="rId12" ref="J10"/>
    <hyperlink r:id="rId13" ref="H11"/>
    <hyperlink r:id="rId14" ref="H12"/>
    <hyperlink r:id="rId15" ref="H13"/>
    <hyperlink r:id="rId16" ref="J13"/>
    <hyperlink r:id="rId17" ref="H14"/>
    <hyperlink r:id="rId18" ref="I14"/>
    <hyperlink r:id="rId19" ref="H15"/>
    <hyperlink r:id="rId20" ref="I15"/>
    <hyperlink r:id="rId21" ref="H16"/>
    <hyperlink r:id="rId22" ref="H17"/>
    <hyperlink r:id="rId23" ref="I17"/>
    <hyperlink r:id="rId24" ref="J17"/>
    <hyperlink r:id="rId25" ref="H18"/>
    <hyperlink r:id="rId26" ref="H19"/>
    <hyperlink r:id="rId27" ref="I19"/>
    <hyperlink r:id="rId28" ref="J19"/>
    <hyperlink r:id="rId29" ref="H20"/>
    <hyperlink r:id="rId30" ref="I20"/>
    <hyperlink r:id="rId31" ref="H21"/>
    <hyperlink r:id="rId32" ref="I21"/>
    <hyperlink r:id="rId33" ref="H22"/>
    <hyperlink r:id="rId34" ref="H23"/>
    <hyperlink r:id="rId35" ref="H24"/>
    <hyperlink r:id="rId36" ref="H25"/>
    <hyperlink r:id="rId37" ref="I25"/>
    <hyperlink r:id="rId38" ref="H26"/>
    <hyperlink r:id="rId39" ref="J26"/>
    <hyperlink r:id="rId40" ref="H27"/>
    <hyperlink r:id="rId41" ref="I27"/>
    <hyperlink r:id="rId42" ref="J27"/>
    <hyperlink r:id="rId43" ref="H28"/>
    <hyperlink r:id="rId44" ref="H29"/>
    <hyperlink r:id="rId45" ref="H30"/>
    <hyperlink r:id="rId46" ref="H31"/>
    <hyperlink r:id="rId47" ref="J31"/>
    <hyperlink r:id="rId48" ref="H32"/>
    <hyperlink r:id="rId49" ref="J32"/>
    <hyperlink r:id="rId50" ref="H33"/>
    <hyperlink r:id="rId51" ref="H34"/>
    <hyperlink r:id="rId52" ref="I34"/>
    <hyperlink r:id="rId53" ref="H35"/>
    <hyperlink r:id="rId54" ref="H36"/>
    <hyperlink r:id="rId55" ref="I36"/>
    <hyperlink r:id="rId56" ref="H37"/>
    <hyperlink r:id="rId57" ref="H38"/>
    <hyperlink r:id="rId58" ref="H39"/>
    <hyperlink r:id="rId59" ref="I39"/>
    <hyperlink r:id="rId60" ref="H40"/>
    <hyperlink r:id="rId61" ref="I40"/>
    <hyperlink r:id="rId62" ref="J40"/>
    <hyperlink r:id="rId63" ref="H41"/>
    <hyperlink r:id="rId64" ref="J41"/>
    <hyperlink r:id="rId65" ref="H42"/>
    <hyperlink r:id="rId66" ref="H43"/>
    <hyperlink r:id="rId67" ref="I43"/>
    <hyperlink r:id="rId68" ref="J43"/>
    <hyperlink r:id="rId69" ref="H44"/>
    <hyperlink r:id="rId70" ref="H45"/>
    <hyperlink r:id="rId71" ref="J45"/>
    <hyperlink r:id="rId72" ref="H46"/>
    <hyperlink r:id="rId73" ref="I46"/>
    <hyperlink r:id="rId74" ref="H47"/>
    <hyperlink r:id="rId75" ref="I47"/>
    <hyperlink r:id="rId76" ref="H48"/>
    <hyperlink r:id="rId77" ref="H49"/>
    <hyperlink r:id="rId78" ref="H50"/>
    <hyperlink r:id="rId79" ref="I50"/>
    <hyperlink r:id="rId80" ref="H51"/>
    <hyperlink r:id="rId81" ref="I51"/>
    <hyperlink r:id="rId82" ref="J51"/>
    <hyperlink r:id="rId83" ref="H52"/>
    <hyperlink r:id="rId84" ref="I52"/>
    <hyperlink r:id="rId85" ref="H53"/>
    <hyperlink r:id="rId86" ref="H54"/>
    <hyperlink r:id="rId87" ref="H55"/>
    <hyperlink r:id="rId88" ref="I55"/>
    <hyperlink r:id="rId89" ref="H56"/>
    <hyperlink r:id="rId90" ref="H57"/>
    <hyperlink r:id="rId91" ref="I57"/>
    <hyperlink r:id="rId92" ref="H58"/>
    <hyperlink r:id="rId93" ref="H59"/>
    <hyperlink r:id="rId94" ref="H60"/>
    <hyperlink r:id="rId95" ref="H61"/>
    <hyperlink r:id="rId96" ref="H62"/>
    <hyperlink r:id="rId97" ref="H63"/>
    <hyperlink r:id="rId98" ref="H64"/>
    <hyperlink r:id="rId99" ref="H65"/>
    <hyperlink r:id="rId100" ref="J65"/>
    <hyperlink r:id="rId101" ref="H66"/>
    <hyperlink r:id="rId102" ref="I66"/>
    <hyperlink r:id="rId103" ref="H67"/>
    <hyperlink r:id="rId104" ref="H68"/>
    <hyperlink r:id="rId105" ref="H69"/>
    <hyperlink r:id="rId106" ref="J69"/>
    <hyperlink r:id="rId107" ref="H70"/>
    <hyperlink r:id="rId108" ref="H71"/>
    <hyperlink r:id="rId109" ref="H72"/>
    <hyperlink r:id="rId110" ref="I72"/>
    <hyperlink r:id="rId111" ref="H73"/>
    <hyperlink r:id="rId112" ref="H74"/>
    <hyperlink r:id="rId113" ref="H75"/>
    <hyperlink r:id="rId114" ref="H76"/>
    <hyperlink r:id="rId115" ref="H77"/>
    <hyperlink r:id="rId116" ref="H78"/>
    <hyperlink r:id="rId117" ref="H79"/>
    <hyperlink r:id="rId118" ref="I79"/>
    <hyperlink r:id="rId119" ref="H80"/>
    <hyperlink r:id="rId120" ref="H81"/>
    <hyperlink r:id="rId121" ref="I81"/>
    <hyperlink r:id="rId122" ref="H82"/>
    <hyperlink r:id="rId123" ref="I82"/>
    <hyperlink r:id="rId124" ref="H83"/>
    <hyperlink r:id="rId125" ref="H84"/>
    <hyperlink r:id="rId126" ref="H85"/>
    <hyperlink r:id="rId127" ref="H86"/>
    <hyperlink r:id="rId128" ref="H87"/>
    <hyperlink r:id="rId129" ref="I87"/>
    <hyperlink r:id="rId130" ref="H88"/>
    <hyperlink r:id="rId131" ref="H89"/>
    <hyperlink r:id="rId132" ref="H90"/>
    <hyperlink r:id="rId133" ref="H91"/>
    <hyperlink r:id="rId134" ref="H92"/>
    <hyperlink r:id="rId135" ref="H93"/>
    <hyperlink r:id="rId136" ref="I93"/>
    <hyperlink r:id="rId137" ref="J93"/>
    <hyperlink r:id="rId138" ref="H94"/>
    <hyperlink r:id="rId139" ref="I94"/>
    <hyperlink r:id="rId140" ref="H95"/>
    <hyperlink r:id="rId141" ref="I95"/>
    <hyperlink r:id="rId142" ref="H96"/>
    <hyperlink r:id="rId143" ref="H97"/>
    <hyperlink r:id="rId144" ref="H98"/>
    <hyperlink r:id="rId145" ref="H99"/>
    <hyperlink r:id="rId146" ref="H100"/>
    <hyperlink r:id="rId147" ref="H101"/>
    <hyperlink r:id="rId148" ref="I101"/>
    <hyperlink r:id="rId149" ref="H102"/>
    <hyperlink r:id="rId150" ref="H103"/>
    <hyperlink r:id="rId151" ref="I103"/>
    <hyperlink r:id="rId152" ref="H104"/>
    <hyperlink r:id="rId153" ref="H105"/>
    <hyperlink r:id="rId154" ref="H106"/>
    <hyperlink r:id="rId155" ref="H107"/>
    <hyperlink r:id="rId156" ref="I107"/>
    <hyperlink r:id="rId157" ref="H108"/>
    <hyperlink r:id="rId158" ref="H109"/>
    <hyperlink r:id="rId159" ref="I109"/>
    <hyperlink r:id="rId160" ref="H110"/>
    <hyperlink r:id="rId161" ref="H111"/>
    <hyperlink r:id="rId162" ref="J111"/>
    <hyperlink r:id="rId163" ref="H112"/>
    <hyperlink r:id="rId164" ref="H113"/>
    <hyperlink r:id="rId165" ref="H114"/>
    <hyperlink r:id="rId166" ref="H115"/>
    <hyperlink r:id="rId167" ref="I115"/>
    <hyperlink r:id="rId168" ref="H116"/>
    <hyperlink r:id="rId169" ref="H117"/>
    <hyperlink r:id="rId170" ref="I117"/>
    <hyperlink r:id="rId171" ref="H118"/>
    <hyperlink r:id="rId172" ref="H119"/>
    <hyperlink r:id="rId173" ref="I119"/>
    <hyperlink r:id="rId174" ref="H120"/>
    <hyperlink r:id="rId175" ref="H121"/>
    <hyperlink r:id="rId176" ref="I121"/>
    <hyperlink r:id="rId177" ref="H122"/>
    <hyperlink r:id="rId178" ref="H123"/>
    <hyperlink r:id="rId179" ref="H124"/>
    <hyperlink r:id="rId180" ref="I124"/>
    <hyperlink r:id="rId181" ref="H125"/>
    <hyperlink r:id="rId182" ref="I125"/>
    <hyperlink r:id="rId183" ref="H126"/>
    <hyperlink r:id="rId184" ref="J126"/>
    <hyperlink r:id="rId185" ref="H127"/>
    <hyperlink r:id="rId186" ref="H128"/>
    <hyperlink r:id="rId187" ref="H129"/>
    <hyperlink r:id="rId188" ref="J129"/>
    <hyperlink r:id="rId189" ref="H130"/>
    <hyperlink r:id="rId190" ref="H131"/>
    <hyperlink r:id="rId191" ref="H132"/>
    <hyperlink r:id="rId192" ref="H133"/>
    <hyperlink r:id="rId193" ref="H134"/>
    <hyperlink r:id="rId194" ref="H135"/>
    <hyperlink r:id="rId195" ref="H136"/>
    <hyperlink r:id="rId196" ref="H137"/>
    <hyperlink r:id="rId197" ref="H138"/>
    <hyperlink r:id="rId198" ref="J138"/>
    <hyperlink r:id="rId199" ref="H139"/>
    <hyperlink r:id="rId200" ref="H140"/>
    <hyperlink r:id="rId201" ref="H141"/>
    <hyperlink r:id="rId202" ref="H142"/>
    <hyperlink r:id="rId203" ref="H143"/>
    <hyperlink r:id="rId204" ref="H144"/>
    <hyperlink r:id="rId205" ref="I144"/>
    <hyperlink r:id="rId206" ref="H145"/>
    <hyperlink r:id="rId207" ref="J145"/>
    <hyperlink r:id="rId208" ref="H146"/>
    <hyperlink r:id="rId209" ref="I146"/>
    <hyperlink r:id="rId210" ref="H147"/>
    <hyperlink r:id="rId211" ref="J147"/>
    <hyperlink r:id="rId212" ref="H148"/>
    <hyperlink r:id="rId213" ref="H149"/>
    <hyperlink r:id="rId214" ref="I149"/>
    <hyperlink r:id="rId215" ref="H150"/>
    <hyperlink r:id="rId216" ref="I150"/>
    <hyperlink r:id="rId217" ref="J150"/>
    <hyperlink r:id="rId218" ref="H151"/>
    <hyperlink r:id="rId219" ref="H152"/>
    <hyperlink r:id="rId220" ref="H153"/>
    <hyperlink r:id="rId221" ref="H154"/>
    <hyperlink r:id="rId222" ref="I154"/>
    <hyperlink r:id="rId223" ref="H155"/>
    <hyperlink r:id="rId224" ref="I155"/>
    <hyperlink r:id="rId225" ref="H156"/>
    <hyperlink r:id="rId226" ref="I156"/>
    <hyperlink r:id="rId227" ref="H157"/>
    <hyperlink r:id="rId228" ref="I157"/>
    <hyperlink r:id="rId229" ref="H158"/>
    <hyperlink r:id="rId230" ref="I158"/>
    <hyperlink r:id="rId231" ref="H159"/>
    <hyperlink r:id="rId232" ref="H160"/>
    <hyperlink r:id="rId233" ref="I160"/>
    <hyperlink r:id="rId234" ref="J160"/>
    <hyperlink r:id="rId235" ref="H161"/>
    <hyperlink r:id="rId236" ref="H162"/>
    <hyperlink r:id="rId237" ref="H163"/>
    <hyperlink r:id="rId238" ref="H164"/>
    <hyperlink r:id="rId239" ref="I164"/>
    <hyperlink r:id="rId240" ref="H165"/>
    <hyperlink r:id="rId241" ref="H166"/>
    <hyperlink r:id="rId242" ref="H167"/>
    <hyperlink r:id="rId243" ref="H168"/>
    <hyperlink r:id="rId244" ref="H169"/>
    <hyperlink r:id="rId245" ref="I169"/>
    <hyperlink r:id="rId246" ref="H170"/>
    <hyperlink r:id="rId247" ref="J170"/>
    <hyperlink r:id="rId248" ref="H171"/>
    <hyperlink r:id="rId249" ref="H172"/>
    <hyperlink r:id="rId250" ref="I172"/>
    <hyperlink r:id="rId251" ref="H173"/>
    <hyperlink r:id="rId252" ref="J173"/>
    <hyperlink r:id="rId253" ref="H174"/>
    <hyperlink r:id="rId254" ref="I174"/>
    <hyperlink r:id="rId255" ref="H175"/>
    <hyperlink r:id="rId256" ref="H176"/>
    <hyperlink r:id="rId257" ref="I176"/>
    <hyperlink r:id="rId258" ref="H177"/>
    <hyperlink r:id="rId259" ref="H178"/>
    <hyperlink r:id="rId260" ref="H179"/>
    <hyperlink r:id="rId261" ref="I179"/>
    <hyperlink r:id="rId262" ref="H180"/>
    <hyperlink r:id="rId263" ref="I180"/>
    <hyperlink r:id="rId264" ref="H181"/>
    <hyperlink r:id="rId265" ref="H182"/>
    <hyperlink r:id="rId266" ref="H183"/>
    <hyperlink r:id="rId267" ref="H184"/>
    <hyperlink r:id="rId268" ref="H185"/>
    <hyperlink r:id="rId269" ref="H186"/>
    <hyperlink r:id="rId270" ref="J186"/>
    <hyperlink r:id="rId271" ref="H187"/>
    <hyperlink r:id="rId272" ref="J187"/>
    <hyperlink r:id="rId273" ref="J188"/>
    <hyperlink r:id="rId274" ref="J189"/>
    <hyperlink r:id="rId275" ref="J190"/>
    <hyperlink r:id="rId276" ref="J191"/>
    <hyperlink r:id="rId277" ref="J192"/>
    <hyperlink r:id="rId278" ref="J193"/>
    <hyperlink r:id="rId279" ref="J194"/>
    <hyperlink r:id="rId280" ref="J195"/>
    <hyperlink r:id="rId281" ref="J196"/>
    <hyperlink r:id="rId282" ref="J197"/>
    <hyperlink r:id="rId283" ref="J198"/>
    <hyperlink r:id="rId284" ref="J199"/>
    <hyperlink r:id="rId285" ref="J200"/>
    <hyperlink r:id="rId286" ref="I201"/>
    <hyperlink r:id="rId287" ref="I202"/>
    <hyperlink r:id="rId288" ref="J202"/>
    <hyperlink r:id="rId289" ref="I203"/>
    <hyperlink r:id="rId290" ref="J203"/>
    <hyperlink r:id="rId291" ref="J204"/>
    <hyperlink r:id="rId292" ref="I205"/>
    <hyperlink r:id="rId293" ref="J205"/>
    <hyperlink r:id="rId294" ref="I206"/>
    <hyperlink r:id="rId295" ref="I207"/>
    <hyperlink r:id="rId296" ref="I208"/>
    <hyperlink r:id="rId297" ref="J209"/>
    <hyperlink r:id="rId298" ref="J210"/>
    <hyperlink r:id="rId299" ref="J211"/>
    <hyperlink r:id="rId300" ref="J212"/>
    <hyperlink r:id="rId301" ref="J213"/>
    <hyperlink r:id="rId302" ref="J214"/>
    <hyperlink r:id="rId303" ref="J215"/>
    <hyperlink r:id="rId304" ref="J216"/>
    <hyperlink r:id="rId305" ref="J217"/>
    <hyperlink r:id="rId306" ref="I218"/>
    <hyperlink r:id="rId307" ref="J218"/>
    <hyperlink r:id="rId308" ref="J219"/>
    <hyperlink r:id="rId309" ref="J220"/>
    <hyperlink r:id="rId310" ref="I221"/>
    <hyperlink r:id="rId311" ref="J221"/>
    <hyperlink r:id="rId312" ref="I222"/>
    <hyperlink r:id="rId313" ref="I223"/>
    <hyperlink r:id="rId314" ref="J224"/>
    <hyperlink r:id="rId315" ref="J225"/>
    <hyperlink r:id="rId316" ref="J226"/>
    <hyperlink r:id="rId317" ref="J227"/>
    <hyperlink r:id="rId318" ref="J228"/>
    <hyperlink r:id="rId319" ref="J229"/>
    <hyperlink r:id="rId320" ref="J230"/>
    <hyperlink r:id="rId321" ref="J231"/>
    <hyperlink r:id="rId322" ref="J232"/>
    <hyperlink r:id="rId323" ref="I233"/>
    <hyperlink r:id="rId324" ref="J234"/>
    <hyperlink r:id="rId325" ref="J235"/>
    <hyperlink r:id="rId326" ref="J236"/>
    <hyperlink r:id="rId327" ref="J237"/>
    <hyperlink r:id="rId328" ref="J238"/>
    <hyperlink r:id="rId329" ref="J239"/>
    <hyperlink r:id="rId330" ref="J240"/>
    <hyperlink r:id="rId331" ref="J241"/>
    <hyperlink r:id="rId332" ref="J242"/>
    <hyperlink r:id="rId333" ref="J243"/>
    <hyperlink r:id="rId334" ref="J244"/>
    <hyperlink r:id="rId335" ref="J245"/>
    <hyperlink r:id="rId336" ref="J246"/>
    <hyperlink r:id="rId337" ref="J247"/>
    <hyperlink r:id="rId338" ref="J248"/>
    <hyperlink r:id="rId339" ref="H249"/>
    <hyperlink r:id="rId340" ref="I249"/>
    <hyperlink r:id="rId341" ref="J249"/>
    <hyperlink r:id="rId342" ref="J250"/>
    <hyperlink r:id="rId343" ref="J251"/>
    <hyperlink r:id="rId344" ref="J252"/>
  </hyperlinks>
  <drawing r:id="rId34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5.0"/>
    <col customWidth="1" min="3" max="3" width="27.13"/>
    <col customWidth="1" min="4" max="4" width="5.5"/>
    <col customWidth="1" min="5" max="5" width="11.13"/>
    <col customWidth="1" min="6" max="7" width="4.13"/>
    <col customWidth="1" min="8" max="8" width="44.88"/>
    <col customWidth="1" min="9" max="9" width="30.75"/>
    <col customWidth="1" min="10" max="10" width="32.88"/>
    <col customWidth="1" min="11" max="11" width="4.88"/>
    <col customWidth="1" min="12" max="12" width="3.88"/>
    <col customWidth="1" min="13" max="13" width="11.75"/>
    <col customWidth="1" min="14" max="14" width="8.88"/>
    <col customWidth="1" min="15" max="15" width="4.5"/>
    <col customWidth="1" min="16" max="16" width="4.13"/>
    <col customWidth="1" min="17" max="17" width="5.13"/>
    <col customWidth="1" min="18" max="18" width="4.25"/>
    <col customWidth="1" min="19" max="19" width="4.5"/>
  </cols>
  <sheetData>
    <row r="1" ht="17.25" customHeight="1">
      <c r="A1" s="8" t="s">
        <v>19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>
      <c r="B2" s="8" t="s">
        <v>102</v>
      </c>
      <c r="C2" s="8" t="s">
        <v>6432</v>
      </c>
      <c r="D2" s="8" t="s">
        <v>75</v>
      </c>
      <c r="E2" s="8" t="s">
        <v>75</v>
      </c>
      <c r="F2" s="8" t="s">
        <v>12569</v>
      </c>
      <c r="H2" s="9" t="s">
        <v>12570</v>
      </c>
      <c r="J2" s="12" t="s">
        <v>12571</v>
      </c>
    </row>
    <row r="3">
      <c r="A3" s="100">
        <v>32234.0</v>
      </c>
      <c r="B3" s="8" t="s">
        <v>20</v>
      </c>
      <c r="C3" s="11" t="s">
        <v>12572</v>
      </c>
      <c r="D3" s="11" t="s">
        <v>75</v>
      </c>
      <c r="E3" s="11" t="s">
        <v>75</v>
      </c>
      <c r="F3" s="5"/>
      <c r="J3" s="12" t="s">
        <v>12571</v>
      </c>
    </row>
    <row r="4">
      <c r="B4" s="5"/>
      <c r="C4" s="8" t="s">
        <v>12573</v>
      </c>
      <c r="D4" s="8" t="s">
        <v>75</v>
      </c>
      <c r="E4" s="8" t="s">
        <v>12574</v>
      </c>
      <c r="F4" s="5"/>
      <c r="H4" s="9" t="s">
        <v>12575</v>
      </c>
      <c r="I4" s="9" t="s">
        <v>12576</v>
      </c>
      <c r="J4" s="12" t="s">
        <v>12577</v>
      </c>
    </row>
    <row r="5">
      <c r="A5" s="313">
        <v>21461.0</v>
      </c>
      <c r="B5" s="5"/>
      <c r="C5" s="8" t="s">
        <v>3770</v>
      </c>
      <c r="D5" s="8" t="s">
        <v>75</v>
      </c>
      <c r="E5" s="8" t="s">
        <v>76</v>
      </c>
      <c r="F5" s="5"/>
      <c r="J5" s="12" t="s">
        <v>12578</v>
      </c>
    </row>
    <row r="6">
      <c r="B6" s="5"/>
      <c r="C6" s="8" t="s">
        <v>7073</v>
      </c>
      <c r="D6" s="8" t="s">
        <v>75</v>
      </c>
      <c r="E6" s="8" t="s">
        <v>76</v>
      </c>
      <c r="F6" s="5"/>
      <c r="H6" s="12" t="s">
        <v>12579</v>
      </c>
      <c r="J6" s="12" t="s">
        <v>12580</v>
      </c>
    </row>
    <row r="7">
      <c r="A7" s="313">
        <v>30415.0</v>
      </c>
      <c r="B7" s="5"/>
      <c r="C7" s="11" t="s">
        <v>3482</v>
      </c>
      <c r="D7" s="8" t="s">
        <v>75</v>
      </c>
      <c r="E7" s="8" t="s">
        <v>75</v>
      </c>
      <c r="F7" s="5"/>
      <c r="J7" s="12" t="s">
        <v>12581</v>
      </c>
    </row>
    <row r="8">
      <c r="A8" s="313">
        <v>18145.0</v>
      </c>
      <c r="B8" s="5"/>
      <c r="C8" s="11" t="s">
        <v>871</v>
      </c>
      <c r="D8" s="8" t="s">
        <v>75</v>
      </c>
      <c r="E8" s="8" t="s">
        <v>12582</v>
      </c>
      <c r="F8" s="5"/>
      <c r="J8" s="12" t="s">
        <v>12583</v>
      </c>
    </row>
    <row r="9">
      <c r="A9" s="313">
        <v>18135.0</v>
      </c>
      <c r="B9" s="5"/>
      <c r="C9" s="11" t="s">
        <v>12584</v>
      </c>
      <c r="D9" s="8" t="s">
        <v>75</v>
      </c>
      <c r="E9" s="8" t="s">
        <v>12585</v>
      </c>
      <c r="F9" s="5"/>
      <c r="J9" s="12" t="s">
        <v>12586</v>
      </c>
    </row>
    <row r="10">
      <c r="A10" s="100">
        <v>32852.0</v>
      </c>
      <c r="B10" s="8" t="s">
        <v>20</v>
      </c>
      <c r="C10" s="11" t="s">
        <v>4478</v>
      </c>
      <c r="D10" s="11" t="s">
        <v>75</v>
      </c>
      <c r="E10" s="11" t="s">
        <v>12587</v>
      </c>
      <c r="F10" s="5"/>
      <c r="J10" s="12" t="s">
        <v>12588</v>
      </c>
    </row>
    <row r="11">
      <c r="B11" s="5"/>
      <c r="C11" s="8" t="s">
        <v>12589</v>
      </c>
      <c r="D11" s="8" t="s">
        <v>75</v>
      </c>
      <c r="E11" s="8" t="s">
        <v>75</v>
      </c>
      <c r="F11" s="5"/>
      <c r="H11" s="9" t="s">
        <v>12590</v>
      </c>
      <c r="J11" s="12" t="s">
        <v>12591</v>
      </c>
    </row>
    <row r="12">
      <c r="A12" s="313">
        <v>19892.0</v>
      </c>
      <c r="B12" s="5"/>
      <c r="C12" s="11" t="s">
        <v>74</v>
      </c>
      <c r="D12" s="8" t="s">
        <v>75</v>
      </c>
      <c r="E12" s="8" t="s">
        <v>75</v>
      </c>
      <c r="F12" s="5"/>
      <c r="J12" s="9" t="s">
        <v>12592</v>
      </c>
    </row>
    <row r="13">
      <c r="A13" s="100">
        <v>31628.0</v>
      </c>
      <c r="B13" s="8" t="s">
        <v>20</v>
      </c>
      <c r="C13" s="11" t="s">
        <v>12593</v>
      </c>
      <c r="D13" s="11" t="s">
        <v>75</v>
      </c>
      <c r="E13" s="11" t="s">
        <v>76</v>
      </c>
      <c r="F13" s="5"/>
      <c r="H13" s="9" t="s">
        <v>12594</v>
      </c>
      <c r="J13" s="12" t="s">
        <v>79</v>
      </c>
    </row>
    <row r="14">
      <c r="B14" s="5"/>
      <c r="C14" s="8" t="s">
        <v>1925</v>
      </c>
      <c r="D14" s="8" t="s">
        <v>75</v>
      </c>
      <c r="E14" s="8" t="s">
        <v>75</v>
      </c>
      <c r="F14" s="5"/>
      <c r="G14" s="37">
        <v>1.0</v>
      </c>
      <c r="H14" s="9" t="s">
        <v>12595</v>
      </c>
      <c r="J14" s="9" t="s">
        <v>12596</v>
      </c>
    </row>
    <row r="15">
      <c r="B15" s="5"/>
      <c r="C15" s="8" t="s">
        <v>2797</v>
      </c>
      <c r="D15" s="8" t="s">
        <v>75</v>
      </c>
      <c r="E15" s="8" t="s">
        <v>75</v>
      </c>
      <c r="F15" s="5"/>
      <c r="H15" s="9" t="s">
        <v>12597</v>
      </c>
      <c r="J15" s="12" t="s">
        <v>12598</v>
      </c>
    </row>
    <row r="16">
      <c r="A16" s="100">
        <v>32657.0</v>
      </c>
      <c r="B16" s="8" t="s">
        <v>20</v>
      </c>
      <c r="C16" s="11" t="s">
        <v>12599</v>
      </c>
      <c r="D16" s="11" t="s">
        <v>75</v>
      </c>
      <c r="E16" s="11" t="s">
        <v>76</v>
      </c>
      <c r="F16" s="5"/>
      <c r="J16" s="12" t="s">
        <v>12600</v>
      </c>
    </row>
    <row r="17">
      <c r="A17" s="313">
        <v>21459.0</v>
      </c>
      <c r="B17" s="5"/>
      <c r="C17" s="314" t="s">
        <v>804</v>
      </c>
      <c r="D17" s="8" t="s">
        <v>75</v>
      </c>
      <c r="E17" s="8" t="s">
        <v>12601</v>
      </c>
      <c r="F17" s="5"/>
      <c r="J17" s="12" t="s">
        <v>12602</v>
      </c>
    </row>
    <row r="18">
      <c r="B18" s="5"/>
      <c r="C18" s="8" t="s">
        <v>3039</v>
      </c>
      <c r="D18" s="8" t="s">
        <v>75</v>
      </c>
      <c r="E18" s="8" t="s">
        <v>75</v>
      </c>
      <c r="F18" s="5"/>
      <c r="H18" s="9" t="s">
        <v>12603</v>
      </c>
      <c r="J18" s="12" t="s">
        <v>12604</v>
      </c>
    </row>
    <row r="19">
      <c r="B19" s="5"/>
      <c r="C19" s="8" t="s">
        <v>12605</v>
      </c>
      <c r="D19" s="8" t="s">
        <v>75</v>
      </c>
      <c r="E19" s="8" t="s">
        <v>12574</v>
      </c>
      <c r="F19" s="5"/>
      <c r="H19" s="9" t="s">
        <v>12606</v>
      </c>
      <c r="I19" s="12" t="s">
        <v>12607</v>
      </c>
      <c r="J19" s="12" t="s">
        <v>12608</v>
      </c>
    </row>
    <row r="20">
      <c r="A20" s="100">
        <v>33180.0</v>
      </c>
      <c r="B20" s="8" t="s">
        <v>20</v>
      </c>
      <c r="C20" s="11" t="s">
        <v>10511</v>
      </c>
      <c r="D20" s="11" t="s">
        <v>75</v>
      </c>
      <c r="E20" s="11" t="s">
        <v>75</v>
      </c>
      <c r="F20" s="5"/>
      <c r="H20" s="9" t="s">
        <v>12609</v>
      </c>
      <c r="I20" s="12" t="s">
        <v>12610</v>
      </c>
      <c r="J20" s="12" t="s">
        <v>12611</v>
      </c>
    </row>
    <row r="21">
      <c r="B21" s="5"/>
      <c r="C21" s="8" t="s">
        <v>2981</v>
      </c>
      <c r="D21" s="8" t="s">
        <v>75</v>
      </c>
      <c r="E21" s="8" t="s">
        <v>76</v>
      </c>
      <c r="F21" s="5"/>
      <c r="H21" s="9" t="s">
        <v>12612</v>
      </c>
      <c r="I21" s="12" t="s">
        <v>12613</v>
      </c>
      <c r="J21" s="12" t="s">
        <v>12614</v>
      </c>
    </row>
    <row r="22">
      <c r="A22" s="313">
        <v>23272.0</v>
      </c>
      <c r="B22" s="5"/>
      <c r="C22" s="11" t="s">
        <v>1417</v>
      </c>
      <c r="D22" s="8" t="s">
        <v>75</v>
      </c>
      <c r="E22" s="8" t="s">
        <v>12587</v>
      </c>
      <c r="F22" s="5"/>
      <c r="H22" s="12" t="s">
        <v>12615</v>
      </c>
      <c r="I22" s="315" t="s">
        <v>12616</v>
      </c>
      <c r="J22" s="12" t="s">
        <v>12617</v>
      </c>
    </row>
    <row r="23">
      <c r="B23" s="5"/>
      <c r="C23" s="8" t="s">
        <v>1228</v>
      </c>
      <c r="D23" s="8" t="s">
        <v>75</v>
      </c>
      <c r="E23" s="8" t="s">
        <v>75</v>
      </c>
      <c r="F23" s="5"/>
      <c r="H23" s="9" t="s">
        <v>12618</v>
      </c>
      <c r="J23" s="12" t="s">
        <v>12619</v>
      </c>
    </row>
    <row r="24">
      <c r="A24" s="313">
        <v>18134.0</v>
      </c>
      <c r="B24" s="5"/>
      <c r="C24" s="11" t="s">
        <v>12620</v>
      </c>
      <c r="D24" s="8" t="s">
        <v>75</v>
      </c>
      <c r="E24" s="8" t="s">
        <v>12621</v>
      </c>
      <c r="F24" s="5"/>
      <c r="J24" s="12" t="s">
        <v>12622</v>
      </c>
    </row>
    <row r="25">
      <c r="A25" s="313">
        <v>21469.0</v>
      </c>
      <c r="B25" s="5"/>
      <c r="C25" s="11" t="s">
        <v>12623</v>
      </c>
      <c r="D25" s="8" t="s">
        <v>75</v>
      </c>
      <c r="E25" s="8" t="s">
        <v>76</v>
      </c>
      <c r="F25" s="5"/>
      <c r="J25" s="12" t="s">
        <v>12624</v>
      </c>
    </row>
    <row r="26">
      <c r="A26" s="316"/>
      <c r="B26" s="8" t="s">
        <v>20</v>
      </c>
      <c r="C26" s="8" t="s">
        <v>12625</v>
      </c>
      <c r="D26" s="8" t="s">
        <v>75</v>
      </c>
      <c r="E26" s="8" t="s">
        <v>75</v>
      </c>
      <c r="F26" s="5"/>
      <c r="H26" s="12" t="s">
        <v>12626</v>
      </c>
      <c r="I26" s="12" t="s">
        <v>12627</v>
      </c>
      <c r="J26" s="12" t="s">
        <v>12628</v>
      </c>
      <c r="N26" s="8" t="s">
        <v>9513</v>
      </c>
    </row>
    <row r="27">
      <c r="A27" s="100">
        <v>30830.0</v>
      </c>
      <c r="B27" s="8" t="s">
        <v>17</v>
      </c>
      <c r="C27" s="11" t="s">
        <v>8600</v>
      </c>
      <c r="D27" s="11" t="s">
        <v>75</v>
      </c>
      <c r="E27" s="11" t="s">
        <v>12621</v>
      </c>
      <c r="F27" s="5"/>
      <c r="H27" s="9" t="s">
        <v>12629</v>
      </c>
      <c r="I27" s="12" t="s">
        <v>12630</v>
      </c>
      <c r="J27" s="12" t="s">
        <v>12631</v>
      </c>
    </row>
    <row r="28">
      <c r="B28" s="5"/>
      <c r="C28" s="8" t="s">
        <v>12632</v>
      </c>
      <c r="D28" s="8" t="s">
        <v>75</v>
      </c>
      <c r="E28" s="8" t="s">
        <v>75</v>
      </c>
      <c r="F28" s="5"/>
      <c r="H28" s="9" t="s">
        <v>12633</v>
      </c>
      <c r="J28" s="9" t="s">
        <v>12634</v>
      </c>
    </row>
    <row r="29">
      <c r="A29" s="100">
        <v>30271.0</v>
      </c>
      <c r="B29" s="8" t="s">
        <v>20</v>
      </c>
      <c r="C29" s="11" t="s">
        <v>12635</v>
      </c>
      <c r="D29" s="11" t="s">
        <v>75</v>
      </c>
      <c r="E29" s="11" t="s">
        <v>76</v>
      </c>
      <c r="F29" s="5"/>
      <c r="J29" s="12" t="s">
        <v>12636</v>
      </c>
    </row>
    <row r="30">
      <c r="A30" s="317"/>
      <c r="B30" s="5"/>
      <c r="C30" s="11" t="s">
        <v>4348</v>
      </c>
      <c r="D30" s="8" t="s">
        <v>75</v>
      </c>
      <c r="E30" s="8" t="s">
        <v>12585</v>
      </c>
      <c r="F30" s="5"/>
      <c r="J30" s="12" t="s">
        <v>12637</v>
      </c>
    </row>
    <row r="31">
      <c r="A31" s="100">
        <v>32221.0</v>
      </c>
      <c r="B31" s="8" t="s">
        <v>20</v>
      </c>
      <c r="C31" s="11" t="s">
        <v>2542</v>
      </c>
      <c r="D31" s="11" t="s">
        <v>75</v>
      </c>
      <c r="E31" s="11" t="s">
        <v>76</v>
      </c>
      <c r="F31" s="5"/>
      <c r="J31" s="12" t="s">
        <v>12638</v>
      </c>
    </row>
    <row r="32">
      <c r="A32" s="317"/>
      <c r="B32" s="5"/>
      <c r="C32" s="8" t="s">
        <v>12639</v>
      </c>
      <c r="D32" s="8" t="s">
        <v>75</v>
      </c>
      <c r="E32" s="8" t="s">
        <v>75</v>
      </c>
      <c r="F32" s="5"/>
      <c r="H32" s="9" t="s">
        <v>12640</v>
      </c>
      <c r="I32" s="12" t="s">
        <v>12641</v>
      </c>
      <c r="J32" s="12" t="s">
        <v>12642</v>
      </c>
    </row>
    <row r="33">
      <c r="A33" s="313">
        <v>29919.0</v>
      </c>
      <c r="B33" s="5"/>
      <c r="C33" s="11" t="s">
        <v>12643</v>
      </c>
      <c r="D33" s="8" t="s">
        <v>75</v>
      </c>
      <c r="E33" s="8" t="s">
        <v>12644</v>
      </c>
      <c r="F33" s="5"/>
      <c r="H33" s="12" t="s">
        <v>12645</v>
      </c>
      <c r="I33" s="318" t="s">
        <v>12646</v>
      </c>
      <c r="J33" s="12" t="s">
        <v>12647</v>
      </c>
    </row>
    <row r="34">
      <c r="A34" s="316"/>
      <c r="B34" s="8" t="s">
        <v>20</v>
      </c>
      <c r="C34" s="8" t="s">
        <v>12648</v>
      </c>
      <c r="D34" s="8" t="s">
        <v>75</v>
      </c>
      <c r="E34" s="8" t="s">
        <v>12621</v>
      </c>
      <c r="F34" s="5"/>
      <c r="H34" s="12" t="s">
        <v>12649</v>
      </c>
      <c r="I34" s="12" t="s">
        <v>12650</v>
      </c>
      <c r="J34" s="12" t="s">
        <v>12651</v>
      </c>
    </row>
    <row r="35">
      <c r="A35" s="313">
        <v>21471.0</v>
      </c>
      <c r="B35" s="5"/>
      <c r="C35" s="11" t="s">
        <v>5784</v>
      </c>
      <c r="D35" s="8" t="s">
        <v>75</v>
      </c>
      <c r="E35" s="8" t="s">
        <v>76</v>
      </c>
      <c r="F35" s="5"/>
      <c r="J35" s="12" t="s">
        <v>12652</v>
      </c>
    </row>
    <row r="36">
      <c r="A36" s="313">
        <v>214666.0</v>
      </c>
      <c r="B36" s="5"/>
      <c r="C36" s="11" t="s">
        <v>3635</v>
      </c>
      <c r="D36" s="8" t="s">
        <v>75</v>
      </c>
      <c r="E36" s="8" t="s">
        <v>75</v>
      </c>
      <c r="F36" s="5"/>
      <c r="J36" s="12" t="s">
        <v>12653</v>
      </c>
    </row>
    <row r="37">
      <c r="A37" s="313">
        <v>29046.0</v>
      </c>
      <c r="B37" s="5"/>
      <c r="C37" s="11" t="s">
        <v>850</v>
      </c>
      <c r="D37" s="8" t="s">
        <v>75</v>
      </c>
      <c r="E37" s="8" t="s">
        <v>12587</v>
      </c>
      <c r="F37" s="5"/>
      <c r="J37" s="12" t="s">
        <v>12654</v>
      </c>
    </row>
    <row r="38">
      <c r="A38" s="100">
        <v>30415.0</v>
      </c>
      <c r="B38" s="8" t="s">
        <v>20</v>
      </c>
      <c r="C38" s="11" t="s">
        <v>3482</v>
      </c>
      <c r="D38" s="11" t="s">
        <v>75</v>
      </c>
      <c r="E38" s="11" t="s">
        <v>75</v>
      </c>
      <c r="F38" s="5"/>
      <c r="H38" s="9" t="s">
        <v>12655</v>
      </c>
      <c r="J38" s="12" t="s">
        <v>12656</v>
      </c>
    </row>
    <row r="39">
      <c r="B39" s="5"/>
      <c r="C39" s="8" t="s">
        <v>12657</v>
      </c>
      <c r="D39" s="8" t="s">
        <v>75</v>
      </c>
      <c r="E39" s="8" t="s">
        <v>75</v>
      </c>
      <c r="F39" s="5"/>
      <c r="H39" s="9" t="s">
        <v>12658</v>
      </c>
      <c r="I39" s="12" t="s">
        <v>12659</v>
      </c>
      <c r="J39" s="12" t="s">
        <v>12660</v>
      </c>
    </row>
    <row r="40">
      <c r="B40" s="5"/>
      <c r="C40" s="8" t="s">
        <v>386</v>
      </c>
      <c r="D40" s="8" t="s">
        <v>75</v>
      </c>
      <c r="E40" s="8" t="s">
        <v>12574</v>
      </c>
      <c r="F40" s="5"/>
      <c r="H40" s="9" t="s">
        <v>12661</v>
      </c>
    </row>
    <row r="41">
      <c r="B41" s="5"/>
      <c r="C41" s="8" t="s">
        <v>2052</v>
      </c>
      <c r="D41" s="8" t="s">
        <v>75</v>
      </c>
      <c r="E41" s="8" t="s">
        <v>76</v>
      </c>
      <c r="F41" s="5"/>
      <c r="H41" s="9" t="s">
        <v>12662</v>
      </c>
      <c r="I41" s="12" t="s">
        <v>12663</v>
      </c>
    </row>
    <row r="42">
      <c r="A42" s="313">
        <v>23274.0</v>
      </c>
      <c r="B42" s="5"/>
      <c r="C42" s="8" t="s">
        <v>12573</v>
      </c>
      <c r="D42" s="8" t="s">
        <v>75</v>
      </c>
      <c r="E42" s="8" t="s">
        <v>12664</v>
      </c>
      <c r="F42" s="5"/>
      <c r="H42" s="12" t="s">
        <v>12665</v>
      </c>
      <c r="I42" s="284" t="s">
        <v>12666</v>
      </c>
    </row>
    <row r="43">
      <c r="B43" s="5"/>
      <c r="C43" s="8" t="s">
        <v>12573</v>
      </c>
      <c r="D43" s="8" t="s">
        <v>75</v>
      </c>
      <c r="E43" s="8" t="s">
        <v>12621</v>
      </c>
      <c r="F43" s="5"/>
      <c r="H43" s="9" t="s">
        <v>12667</v>
      </c>
    </row>
    <row r="44">
      <c r="A44" s="313">
        <v>32599.0</v>
      </c>
      <c r="B44" s="5"/>
      <c r="C44" s="11" t="s">
        <v>763</v>
      </c>
      <c r="D44" s="8" t="s">
        <v>75</v>
      </c>
      <c r="E44" s="8" t="s">
        <v>12621</v>
      </c>
      <c r="F44" s="5"/>
      <c r="H44" s="12" t="s">
        <v>12668</v>
      </c>
      <c r="I44" s="12" t="s">
        <v>12669</v>
      </c>
    </row>
    <row r="45">
      <c r="B45" s="5"/>
      <c r="C45" s="8" t="s">
        <v>763</v>
      </c>
      <c r="D45" s="8" t="s">
        <v>75</v>
      </c>
      <c r="E45" s="8" t="s">
        <v>76</v>
      </c>
      <c r="F45" s="5"/>
      <c r="H45" s="9" t="s">
        <v>12670</v>
      </c>
      <c r="I45" s="12" t="s">
        <v>12671</v>
      </c>
    </row>
    <row r="46">
      <c r="B46" s="5"/>
      <c r="C46" s="8" t="s">
        <v>3186</v>
      </c>
      <c r="D46" s="8" t="s">
        <v>75</v>
      </c>
      <c r="E46" s="8" t="s">
        <v>12574</v>
      </c>
      <c r="F46" s="5"/>
      <c r="H46" s="9" t="s">
        <v>12672</v>
      </c>
    </row>
    <row r="47">
      <c r="A47" s="313">
        <v>23271.0</v>
      </c>
      <c r="B47" s="5"/>
      <c r="C47" s="11" t="s">
        <v>4030</v>
      </c>
      <c r="D47" s="8" t="s">
        <v>75</v>
      </c>
      <c r="E47" s="8" t="s">
        <v>12621</v>
      </c>
      <c r="F47" s="5"/>
      <c r="H47" s="12" t="s">
        <v>12673</v>
      </c>
      <c r="I47" s="12" t="s">
        <v>12674</v>
      </c>
    </row>
    <row r="48">
      <c r="B48" s="5"/>
      <c r="C48" s="8" t="s">
        <v>12675</v>
      </c>
      <c r="D48" s="8" t="s">
        <v>75</v>
      </c>
      <c r="E48" s="8" t="s">
        <v>75</v>
      </c>
      <c r="F48" s="5"/>
      <c r="H48" s="9" t="s">
        <v>12676</v>
      </c>
      <c r="I48" s="12" t="s">
        <v>12677</v>
      </c>
    </row>
    <row r="49">
      <c r="A49" s="313">
        <v>24995.0</v>
      </c>
      <c r="B49" s="5"/>
      <c r="C49" s="11" t="s">
        <v>1106</v>
      </c>
      <c r="D49" s="8" t="s">
        <v>75</v>
      </c>
      <c r="E49" s="8" t="s">
        <v>12621</v>
      </c>
      <c r="F49" s="5"/>
      <c r="H49" s="12" t="s">
        <v>12678</v>
      </c>
    </row>
    <row r="50">
      <c r="A50" s="313">
        <v>18132.0</v>
      </c>
      <c r="B50" s="5"/>
      <c r="C50" s="11" t="s">
        <v>289</v>
      </c>
      <c r="D50" s="8" t="s">
        <v>75</v>
      </c>
      <c r="E50" s="8" t="s">
        <v>12621</v>
      </c>
      <c r="F50" s="5"/>
      <c r="H50" s="12" t="s">
        <v>12679</v>
      </c>
      <c r="I50" s="12" t="s">
        <v>12680</v>
      </c>
    </row>
    <row r="51">
      <c r="B51" s="5"/>
      <c r="C51" s="8" t="s">
        <v>3172</v>
      </c>
      <c r="D51" s="8" t="s">
        <v>75</v>
      </c>
      <c r="E51" s="8" t="s">
        <v>12681</v>
      </c>
      <c r="F51" s="5"/>
      <c r="H51" s="9" t="s">
        <v>12682</v>
      </c>
    </row>
    <row r="52">
      <c r="B52" s="5"/>
      <c r="C52" s="8" t="s">
        <v>12683</v>
      </c>
      <c r="D52" s="8" t="s">
        <v>75</v>
      </c>
      <c r="E52" s="8" t="s">
        <v>12684</v>
      </c>
      <c r="F52" s="5"/>
      <c r="H52" s="9" t="s">
        <v>12685</v>
      </c>
    </row>
    <row r="53">
      <c r="B53" s="5"/>
      <c r="C53" s="8" t="s">
        <v>386</v>
      </c>
      <c r="D53" s="8" t="s">
        <v>75</v>
      </c>
      <c r="E53" s="8" t="s">
        <v>75</v>
      </c>
      <c r="F53" s="5"/>
      <c r="H53" s="9" t="s">
        <v>12686</v>
      </c>
      <c r="I53" s="12" t="s">
        <v>12687</v>
      </c>
    </row>
    <row r="54">
      <c r="A54" s="313">
        <v>23374.0</v>
      </c>
      <c r="B54" s="5"/>
      <c r="C54" s="11" t="s">
        <v>10229</v>
      </c>
      <c r="D54" s="8" t="s">
        <v>75</v>
      </c>
      <c r="E54" s="8" t="s">
        <v>75</v>
      </c>
      <c r="F54" s="5"/>
      <c r="H54" s="12" t="s">
        <v>12688</v>
      </c>
      <c r="I54" s="12" t="s">
        <v>12689</v>
      </c>
    </row>
    <row r="55">
      <c r="B55" s="5"/>
      <c r="C55" s="8" t="s">
        <v>12690</v>
      </c>
      <c r="D55" s="8" t="s">
        <v>75</v>
      </c>
      <c r="E55" s="8" t="s">
        <v>76</v>
      </c>
      <c r="F55" s="5"/>
      <c r="H55" s="9" t="s">
        <v>12691</v>
      </c>
    </row>
    <row r="56">
      <c r="A56" s="100">
        <v>33171.0</v>
      </c>
      <c r="B56" s="8" t="s">
        <v>276</v>
      </c>
      <c r="C56" s="11" t="s">
        <v>773</v>
      </c>
      <c r="D56" s="11" t="s">
        <v>75</v>
      </c>
      <c r="E56" s="11" t="s">
        <v>12621</v>
      </c>
      <c r="F56" s="5"/>
      <c r="H56" s="9" t="s">
        <v>12692</v>
      </c>
    </row>
    <row r="57">
      <c r="B57" s="5"/>
      <c r="C57" s="8" t="s">
        <v>2795</v>
      </c>
      <c r="D57" s="8" t="s">
        <v>75</v>
      </c>
      <c r="E57" s="8" t="s">
        <v>75</v>
      </c>
      <c r="F57" s="5"/>
      <c r="H57" s="9" t="s">
        <v>12693</v>
      </c>
    </row>
    <row r="58">
      <c r="A58" s="313">
        <v>29843.0</v>
      </c>
      <c r="B58" s="5"/>
      <c r="C58" s="11" t="s">
        <v>6488</v>
      </c>
      <c r="D58" s="8" t="s">
        <v>75</v>
      </c>
      <c r="E58" s="8" t="s">
        <v>75</v>
      </c>
      <c r="F58" s="5"/>
      <c r="H58" s="12" t="s">
        <v>12694</v>
      </c>
      <c r="I58" s="12" t="s">
        <v>12695</v>
      </c>
    </row>
    <row r="59">
      <c r="B59" s="5"/>
      <c r="C59" s="8" t="s">
        <v>74</v>
      </c>
      <c r="D59" s="8" t="s">
        <v>75</v>
      </c>
      <c r="E59" s="8" t="s">
        <v>75</v>
      </c>
      <c r="F59" s="5"/>
      <c r="H59" s="9" t="s">
        <v>12696</v>
      </c>
      <c r="I59" s="12" t="s">
        <v>12697</v>
      </c>
    </row>
    <row r="60">
      <c r="B60" s="5"/>
      <c r="C60" s="8" t="s">
        <v>12698</v>
      </c>
      <c r="D60" s="8" t="s">
        <v>75</v>
      </c>
      <c r="E60" s="8" t="s">
        <v>75</v>
      </c>
      <c r="F60" s="5"/>
      <c r="H60" s="9" t="s">
        <v>12699</v>
      </c>
      <c r="I60" s="12" t="s">
        <v>12700</v>
      </c>
    </row>
    <row r="61">
      <c r="A61" s="313">
        <v>29975.0</v>
      </c>
      <c r="B61" s="5"/>
      <c r="C61" s="11" t="s">
        <v>12701</v>
      </c>
      <c r="D61" s="8" t="s">
        <v>75</v>
      </c>
      <c r="E61" s="8" t="s">
        <v>75</v>
      </c>
      <c r="F61" s="5"/>
      <c r="H61" s="12" t="s">
        <v>12702</v>
      </c>
    </row>
    <row r="62">
      <c r="B62" s="5"/>
      <c r="C62" s="8" t="s">
        <v>12703</v>
      </c>
      <c r="D62" s="8" t="s">
        <v>75</v>
      </c>
      <c r="E62" s="8" t="s">
        <v>12704</v>
      </c>
      <c r="F62" s="5"/>
      <c r="H62" s="9" t="s">
        <v>12705</v>
      </c>
    </row>
    <row r="63">
      <c r="A63" s="313">
        <v>18125.0</v>
      </c>
      <c r="B63" s="5"/>
      <c r="C63" s="11" t="s">
        <v>3770</v>
      </c>
      <c r="D63" s="8" t="s">
        <v>75</v>
      </c>
      <c r="E63" s="8" t="s">
        <v>12664</v>
      </c>
      <c r="F63" s="5"/>
      <c r="H63" s="12" t="s">
        <v>12706</v>
      </c>
      <c r="I63" s="12" t="s">
        <v>12707</v>
      </c>
    </row>
    <row r="64">
      <c r="B64" s="5"/>
      <c r="C64" s="8" t="s">
        <v>1137</v>
      </c>
      <c r="D64" s="8" t="s">
        <v>75</v>
      </c>
      <c r="E64" s="8" t="s">
        <v>12664</v>
      </c>
      <c r="F64" s="5"/>
      <c r="H64" s="9" t="s">
        <v>12708</v>
      </c>
    </row>
    <row r="65">
      <c r="A65" s="313">
        <v>29820.0</v>
      </c>
      <c r="B65" s="5"/>
      <c r="C65" s="11" t="s">
        <v>4072</v>
      </c>
      <c r="D65" s="8" t="s">
        <v>75</v>
      </c>
      <c r="E65" s="8" t="s">
        <v>12621</v>
      </c>
      <c r="F65" s="5"/>
      <c r="H65" s="12" t="s">
        <v>12709</v>
      </c>
    </row>
    <row r="66">
      <c r="B66" s="5"/>
      <c r="C66" s="8" t="s">
        <v>12710</v>
      </c>
      <c r="D66" s="8" t="s">
        <v>75</v>
      </c>
      <c r="E66" s="8" t="s">
        <v>75</v>
      </c>
      <c r="F66" s="5"/>
      <c r="H66" s="9" t="s">
        <v>12711</v>
      </c>
    </row>
    <row r="67">
      <c r="A67" s="317"/>
      <c r="B67" s="5"/>
      <c r="C67" s="8" t="s">
        <v>12712</v>
      </c>
      <c r="D67" s="8" t="s">
        <v>75</v>
      </c>
      <c r="E67" s="8" t="s">
        <v>75</v>
      </c>
      <c r="F67" s="5"/>
      <c r="H67" s="9" t="s">
        <v>12713</v>
      </c>
    </row>
    <row r="68">
      <c r="B68" s="5"/>
      <c r="C68" s="8" t="s">
        <v>12714</v>
      </c>
      <c r="D68" s="8" t="s">
        <v>75</v>
      </c>
      <c r="E68" s="8" t="s">
        <v>12664</v>
      </c>
      <c r="F68" s="5"/>
      <c r="H68" s="9" t="s">
        <v>12715</v>
      </c>
    </row>
    <row r="69">
      <c r="A69" s="37" t="s">
        <v>12716</v>
      </c>
      <c r="B69" s="5"/>
      <c r="C69" s="11" t="s">
        <v>847</v>
      </c>
      <c r="D69" s="8" t="s">
        <v>75</v>
      </c>
      <c r="E69" s="8" t="s">
        <v>12585</v>
      </c>
      <c r="F69" s="5"/>
      <c r="H69" s="12" t="s">
        <v>12717</v>
      </c>
      <c r="I69" s="12" t="s">
        <v>12718</v>
      </c>
    </row>
    <row r="70">
      <c r="B70" s="5"/>
      <c r="C70" s="8" t="s">
        <v>2889</v>
      </c>
      <c r="D70" s="8" t="s">
        <v>75</v>
      </c>
      <c r="E70" s="8" t="s">
        <v>75</v>
      </c>
      <c r="F70" s="5"/>
      <c r="H70" s="9" t="s">
        <v>12719</v>
      </c>
      <c r="I70" s="12" t="s">
        <v>12720</v>
      </c>
    </row>
    <row r="71">
      <c r="B71" s="5"/>
      <c r="C71" s="8" t="s">
        <v>12721</v>
      </c>
      <c r="D71" s="8" t="s">
        <v>75</v>
      </c>
      <c r="E71" s="8" t="s">
        <v>75</v>
      </c>
      <c r="F71" s="5"/>
      <c r="G71" s="37">
        <v>1.0</v>
      </c>
      <c r="H71" s="12" t="s">
        <v>12722</v>
      </c>
      <c r="I71" s="12" t="s">
        <v>12723</v>
      </c>
    </row>
    <row r="72">
      <c r="A72" s="100">
        <v>32015.0</v>
      </c>
      <c r="B72" s="8" t="s">
        <v>20</v>
      </c>
      <c r="C72" s="11" t="s">
        <v>12724</v>
      </c>
      <c r="D72" s="11" t="s">
        <v>75</v>
      </c>
      <c r="E72" s="11" t="s">
        <v>12664</v>
      </c>
      <c r="F72" s="5"/>
      <c r="H72" s="9" t="s">
        <v>12725</v>
      </c>
    </row>
    <row r="73">
      <c r="B73" s="5"/>
      <c r="C73" s="8" t="s">
        <v>12726</v>
      </c>
      <c r="D73" s="8" t="s">
        <v>75</v>
      </c>
      <c r="E73" s="8" t="s">
        <v>12574</v>
      </c>
      <c r="F73" s="5"/>
      <c r="H73" s="9" t="s">
        <v>12727</v>
      </c>
    </row>
    <row r="74">
      <c r="A74" s="37" t="s">
        <v>12728</v>
      </c>
      <c r="B74" s="5"/>
      <c r="C74" s="11" t="s">
        <v>12729</v>
      </c>
      <c r="D74" s="8" t="s">
        <v>75</v>
      </c>
      <c r="E74" s="8" t="s">
        <v>12684</v>
      </c>
      <c r="F74" s="5"/>
      <c r="H74" s="12" t="s">
        <v>12730</v>
      </c>
    </row>
    <row r="75">
      <c r="A75" s="317"/>
      <c r="B75" s="5"/>
      <c r="C75" s="8" t="s">
        <v>1088</v>
      </c>
      <c r="D75" s="8" t="s">
        <v>75</v>
      </c>
      <c r="E75" s="8" t="s">
        <v>75</v>
      </c>
      <c r="F75" s="5"/>
      <c r="H75" s="12" t="s">
        <v>12731</v>
      </c>
      <c r="I75" s="12" t="s">
        <v>12732</v>
      </c>
    </row>
    <row r="76">
      <c r="A76" s="313">
        <v>18435.0</v>
      </c>
      <c r="B76" s="5"/>
      <c r="C76" s="11" t="s">
        <v>1088</v>
      </c>
      <c r="D76" s="8" t="s">
        <v>75</v>
      </c>
      <c r="E76" s="8" t="s">
        <v>75</v>
      </c>
      <c r="F76" s="5"/>
      <c r="H76" s="12" t="s">
        <v>12733</v>
      </c>
      <c r="I76" s="12" t="s">
        <v>12732</v>
      </c>
    </row>
    <row r="77">
      <c r="B77" s="5"/>
      <c r="C77" s="8" t="s">
        <v>12734</v>
      </c>
      <c r="D77" s="8" t="s">
        <v>75</v>
      </c>
      <c r="E77" s="8" t="s">
        <v>75</v>
      </c>
      <c r="F77" s="5"/>
      <c r="H77" s="9" t="s">
        <v>12735</v>
      </c>
    </row>
    <row r="78">
      <c r="B78" s="5"/>
      <c r="C78" s="8" t="s">
        <v>4376</v>
      </c>
      <c r="D78" s="8" t="s">
        <v>75</v>
      </c>
      <c r="E78" s="8" t="s">
        <v>75</v>
      </c>
      <c r="F78" s="5"/>
      <c r="H78" s="9" t="s">
        <v>12736</v>
      </c>
    </row>
    <row r="79">
      <c r="A79" s="317"/>
      <c r="B79" s="5"/>
      <c r="C79" s="8" t="s">
        <v>12737</v>
      </c>
      <c r="D79" s="8" t="s">
        <v>75</v>
      </c>
      <c r="E79" s="8" t="s">
        <v>75</v>
      </c>
      <c r="F79" s="5"/>
      <c r="H79" s="12" t="s">
        <v>12738</v>
      </c>
      <c r="I79" s="12" t="s">
        <v>12739</v>
      </c>
    </row>
    <row r="80">
      <c r="B80" s="5"/>
      <c r="C80" s="8" t="s">
        <v>9774</v>
      </c>
      <c r="D80" s="8" t="s">
        <v>75</v>
      </c>
      <c r="E80" s="8" t="s">
        <v>12621</v>
      </c>
      <c r="F80" s="5"/>
      <c r="H80" s="12" t="s">
        <v>12740</v>
      </c>
    </row>
    <row r="81">
      <c r="B81" s="8" t="s">
        <v>276</v>
      </c>
      <c r="C81" s="8" t="s">
        <v>5628</v>
      </c>
      <c r="D81" s="8" t="s">
        <v>75</v>
      </c>
      <c r="E81" s="8" t="s">
        <v>75</v>
      </c>
      <c r="F81" s="5"/>
      <c r="H81" s="9" t="s">
        <v>12741</v>
      </c>
      <c r="I81" s="12" t="s">
        <v>12659</v>
      </c>
    </row>
    <row r="82">
      <c r="B82" s="5"/>
      <c r="C82" s="8" t="s">
        <v>2284</v>
      </c>
      <c r="D82" s="8" t="s">
        <v>75</v>
      </c>
      <c r="E82" s="8" t="s">
        <v>75</v>
      </c>
      <c r="F82" s="5"/>
      <c r="H82" s="9" t="s">
        <v>12742</v>
      </c>
      <c r="I82" s="12" t="s">
        <v>12743</v>
      </c>
    </row>
    <row r="83">
      <c r="B83" s="5"/>
      <c r="C83" s="8" t="s">
        <v>12744</v>
      </c>
      <c r="D83" s="8" t="s">
        <v>75</v>
      </c>
      <c r="E83" s="8" t="s">
        <v>12574</v>
      </c>
      <c r="F83" s="5"/>
      <c r="H83" s="9" t="s">
        <v>12745</v>
      </c>
    </row>
    <row r="84">
      <c r="B84" s="5"/>
      <c r="C84" s="8" t="s">
        <v>12746</v>
      </c>
      <c r="D84" s="8" t="s">
        <v>75</v>
      </c>
      <c r="E84" s="8" t="s">
        <v>75</v>
      </c>
      <c r="F84" s="5"/>
      <c r="H84" s="9" t="s">
        <v>12747</v>
      </c>
    </row>
    <row r="85">
      <c r="B85" s="5"/>
      <c r="C85" s="8" t="s">
        <v>3617</v>
      </c>
      <c r="D85" s="8" t="s">
        <v>75</v>
      </c>
      <c r="E85" s="8" t="s">
        <v>75</v>
      </c>
      <c r="F85" s="5"/>
      <c r="H85" s="9" t="s">
        <v>12748</v>
      </c>
      <c r="I85" s="12" t="s">
        <v>12610</v>
      </c>
    </row>
    <row r="86">
      <c r="B86" s="8" t="s">
        <v>145</v>
      </c>
      <c r="C86" s="8" t="s">
        <v>5628</v>
      </c>
      <c r="D86" s="8" t="s">
        <v>75</v>
      </c>
      <c r="E86" s="8" t="s">
        <v>75</v>
      </c>
      <c r="F86" s="5"/>
      <c r="H86" s="12" t="s">
        <v>12749</v>
      </c>
    </row>
    <row r="87">
      <c r="A87" s="313">
        <v>29841.0</v>
      </c>
      <c r="B87" s="5"/>
      <c r="C87" s="11" t="s">
        <v>12750</v>
      </c>
      <c r="D87" s="8" t="s">
        <v>75</v>
      </c>
      <c r="E87" s="8" t="s">
        <v>12621</v>
      </c>
      <c r="F87" s="5"/>
      <c r="H87" s="12" t="s">
        <v>12751</v>
      </c>
    </row>
    <row r="88">
      <c r="B88" s="5"/>
      <c r="C88" s="8" t="s">
        <v>2478</v>
      </c>
      <c r="D88" s="8" t="s">
        <v>75</v>
      </c>
      <c r="E88" s="8" t="s">
        <v>75</v>
      </c>
      <c r="F88" s="5"/>
      <c r="H88" s="9" t="s">
        <v>12752</v>
      </c>
    </row>
    <row r="89">
      <c r="B89" s="5"/>
      <c r="C89" s="8" t="s">
        <v>707</v>
      </c>
      <c r="D89" s="8" t="s">
        <v>75</v>
      </c>
      <c r="E89" s="8" t="s">
        <v>75</v>
      </c>
      <c r="F89" s="5"/>
      <c r="H89" s="9" t="s">
        <v>12753</v>
      </c>
      <c r="I89" s="12" t="s">
        <v>12754</v>
      </c>
    </row>
    <row r="90">
      <c r="A90" s="313">
        <v>21463.0</v>
      </c>
      <c r="B90" s="5"/>
      <c r="C90" s="11" t="s">
        <v>963</v>
      </c>
      <c r="D90" s="8" t="s">
        <v>75</v>
      </c>
      <c r="E90" s="8" t="s">
        <v>12585</v>
      </c>
      <c r="F90" s="5"/>
      <c r="H90" s="12" t="s">
        <v>12755</v>
      </c>
      <c r="I90" s="12" t="s">
        <v>12756</v>
      </c>
    </row>
    <row r="91">
      <c r="B91" s="5"/>
      <c r="C91" s="8" t="s">
        <v>446</v>
      </c>
      <c r="D91" s="8" t="s">
        <v>75</v>
      </c>
      <c r="E91" s="8" t="s">
        <v>75</v>
      </c>
      <c r="F91" s="5"/>
      <c r="H91" s="9" t="s">
        <v>12757</v>
      </c>
    </row>
    <row r="92">
      <c r="B92" s="5"/>
      <c r="C92" s="8" t="s">
        <v>2981</v>
      </c>
      <c r="D92" s="8" t="s">
        <v>75</v>
      </c>
      <c r="E92" s="8" t="s">
        <v>76</v>
      </c>
      <c r="F92" s="5"/>
      <c r="H92" s="9" t="s">
        <v>12758</v>
      </c>
      <c r="I92" s="12" t="s">
        <v>12759</v>
      </c>
    </row>
    <row r="93">
      <c r="A93" s="317"/>
      <c r="B93" s="8" t="s">
        <v>102</v>
      </c>
      <c r="C93" s="8" t="s">
        <v>12760</v>
      </c>
      <c r="D93" s="8" t="s">
        <v>75</v>
      </c>
      <c r="E93" s="8" t="s">
        <v>75</v>
      </c>
      <c r="F93" s="8" t="s">
        <v>12569</v>
      </c>
      <c r="H93" s="9" t="s">
        <v>12761</v>
      </c>
      <c r="I93" s="319" t="s">
        <v>12762</v>
      </c>
    </row>
    <row r="94">
      <c r="B94" s="5"/>
      <c r="C94" s="8" t="s">
        <v>3175</v>
      </c>
      <c r="D94" s="8" t="s">
        <v>75</v>
      </c>
      <c r="E94" s="8" t="s">
        <v>76</v>
      </c>
      <c r="F94" s="5"/>
      <c r="H94" s="9" t="s">
        <v>12763</v>
      </c>
    </row>
    <row r="95">
      <c r="B95" s="5"/>
      <c r="C95" s="8" t="s">
        <v>12764</v>
      </c>
      <c r="D95" s="8" t="s">
        <v>75</v>
      </c>
      <c r="E95" s="8" t="s">
        <v>12621</v>
      </c>
      <c r="F95" s="5"/>
      <c r="H95" s="9" t="s">
        <v>12765</v>
      </c>
    </row>
    <row r="96">
      <c r="B96" s="5"/>
      <c r="C96" s="8" t="s">
        <v>12766</v>
      </c>
      <c r="D96" s="8" t="s">
        <v>75</v>
      </c>
      <c r="E96" s="8" t="s">
        <v>75</v>
      </c>
      <c r="F96" s="8" t="s">
        <v>12767</v>
      </c>
      <c r="H96" s="9" t="s">
        <v>12768</v>
      </c>
    </row>
    <row r="97">
      <c r="B97" s="5"/>
      <c r="C97" s="8" t="s">
        <v>2587</v>
      </c>
      <c r="D97" s="8" t="s">
        <v>75</v>
      </c>
      <c r="E97" s="8" t="s">
        <v>75</v>
      </c>
      <c r="F97" s="5"/>
      <c r="H97" s="9" t="s">
        <v>12769</v>
      </c>
    </row>
    <row r="98">
      <c r="A98" s="313">
        <v>23942.0</v>
      </c>
      <c r="B98" s="5"/>
      <c r="C98" s="11" t="s">
        <v>12770</v>
      </c>
      <c r="D98" s="8" t="s">
        <v>75</v>
      </c>
      <c r="E98" s="8" t="s">
        <v>12621</v>
      </c>
      <c r="F98" s="5"/>
      <c r="H98" s="12" t="s">
        <v>12771</v>
      </c>
    </row>
    <row r="99">
      <c r="B99" s="5"/>
      <c r="C99" s="8" t="s">
        <v>11727</v>
      </c>
      <c r="D99" s="8" t="s">
        <v>75</v>
      </c>
      <c r="E99" s="8" t="s">
        <v>75</v>
      </c>
      <c r="F99" s="5"/>
      <c r="H99" s="9" t="s">
        <v>12772</v>
      </c>
    </row>
    <row r="100">
      <c r="B100" s="5"/>
      <c r="C100" s="8" t="s">
        <v>2861</v>
      </c>
      <c r="D100" s="8" t="s">
        <v>75</v>
      </c>
      <c r="E100" s="8" t="s">
        <v>12574</v>
      </c>
      <c r="F100" s="5"/>
      <c r="H100" s="9" t="s">
        <v>12773</v>
      </c>
    </row>
    <row r="101">
      <c r="B101" s="5"/>
      <c r="C101" s="8" t="s">
        <v>2241</v>
      </c>
      <c r="D101" s="8" t="s">
        <v>75</v>
      </c>
      <c r="E101" s="8" t="s">
        <v>75</v>
      </c>
      <c r="F101" s="5"/>
      <c r="H101" s="9" t="s">
        <v>12774</v>
      </c>
    </row>
    <row r="102">
      <c r="A102" s="313">
        <v>21464.0</v>
      </c>
      <c r="B102" s="5"/>
      <c r="C102" s="11" t="s">
        <v>49</v>
      </c>
      <c r="D102" s="8" t="s">
        <v>75</v>
      </c>
      <c r="E102" s="8" t="s">
        <v>75</v>
      </c>
      <c r="F102" s="5"/>
      <c r="H102" s="12" t="s">
        <v>12775</v>
      </c>
    </row>
    <row r="103">
      <c r="A103" s="317"/>
      <c r="B103" s="5"/>
      <c r="C103" s="8" t="s">
        <v>4348</v>
      </c>
      <c r="D103" s="8" t="s">
        <v>75</v>
      </c>
      <c r="E103" s="8" t="s">
        <v>76</v>
      </c>
      <c r="F103" s="8" t="s">
        <v>12776</v>
      </c>
      <c r="H103" s="12" t="s">
        <v>12777</v>
      </c>
      <c r="I103" s="12" t="s">
        <v>12778</v>
      </c>
    </row>
    <row r="104">
      <c r="A104" s="100">
        <v>33300.0</v>
      </c>
      <c r="B104" s="8" t="s">
        <v>276</v>
      </c>
      <c r="C104" s="11" t="s">
        <v>3615</v>
      </c>
      <c r="D104" s="11" t="s">
        <v>75</v>
      </c>
      <c r="E104" s="11" t="s">
        <v>76</v>
      </c>
      <c r="F104" s="5"/>
      <c r="H104" s="9" t="s">
        <v>12779</v>
      </c>
    </row>
    <row r="105">
      <c r="B105" s="5"/>
      <c r="C105" s="8" t="s">
        <v>12643</v>
      </c>
      <c r="D105" s="8" t="s">
        <v>75</v>
      </c>
      <c r="E105" s="8" t="s">
        <v>75</v>
      </c>
      <c r="F105" s="5"/>
      <c r="H105" s="9" t="s">
        <v>12780</v>
      </c>
    </row>
    <row r="106">
      <c r="B106" s="5"/>
      <c r="C106" s="8" t="s">
        <v>12781</v>
      </c>
      <c r="D106" s="8" t="s">
        <v>75</v>
      </c>
      <c r="E106" s="8" t="s">
        <v>75</v>
      </c>
      <c r="F106" s="5"/>
      <c r="H106" s="9" t="s">
        <v>12782</v>
      </c>
      <c r="I106" s="12" t="s">
        <v>12783</v>
      </c>
    </row>
    <row r="107">
      <c r="B107" s="5"/>
      <c r="C107" s="8" t="s">
        <v>2120</v>
      </c>
      <c r="D107" s="8" t="s">
        <v>75</v>
      </c>
      <c r="E107" s="8" t="s">
        <v>12664</v>
      </c>
      <c r="F107" s="5"/>
      <c r="G107" s="37">
        <v>1.0</v>
      </c>
      <c r="H107" s="9" t="s">
        <v>12784</v>
      </c>
    </row>
    <row r="108">
      <c r="B108" s="5"/>
      <c r="C108" s="8" t="s">
        <v>2260</v>
      </c>
      <c r="D108" s="8" t="s">
        <v>75</v>
      </c>
      <c r="E108" s="8" t="s">
        <v>75</v>
      </c>
      <c r="F108" s="5"/>
      <c r="H108" s="9" t="s">
        <v>12785</v>
      </c>
      <c r="I108" s="12" t="s">
        <v>12786</v>
      </c>
    </row>
    <row r="109">
      <c r="A109" s="100">
        <v>32304.0</v>
      </c>
      <c r="B109" s="8" t="s">
        <v>20</v>
      </c>
      <c r="C109" s="11" t="s">
        <v>12787</v>
      </c>
      <c r="D109" s="11" t="s">
        <v>75</v>
      </c>
      <c r="E109" s="11" t="s">
        <v>12664</v>
      </c>
      <c r="F109" s="5"/>
      <c r="H109" s="9" t="s">
        <v>12788</v>
      </c>
      <c r="I109" s="12" t="s">
        <v>12789</v>
      </c>
    </row>
    <row r="110">
      <c r="A110" s="317"/>
      <c r="B110" s="5"/>
      <c r="C110" s="8" t="s">
        <v>12790</v>
      </c>
      <c r="D110" s="8" t="s">
        <v>75</v>
      </c>
      <c r="E110" s="8" t="s">
        <v>76</v>
      </c>
      <c r="F110" s="5"/>
      <c r="H110" s="12" t="s">
        <v>12791</v>
      </c>
    </row>
    <row r="111">
      <c r="A111" s="313">
        <v>29842.0</v>
      </c>
      <c r="B111" s="5"/>
      <c r="C111" s="11" t="s">
        <v>12792</v>
      </c>
      <c r="D111" s="8" t="s">
        <v>75</v>
      </c>
      <c r="E111" s="8" t="s">
        <v>75</v>
      </c>
      <c r="F111" s="5"/>
      <c r="H111" s="12" t="s">
        <v>12793</v>
      </c>
    </row>
    <row r="112">
      <c r="B112" s="5"/>
      <c r="C112" s="8" t="s">
        <v>2229</v>
      </c>
      <c r="D112" s="8" t="s">
        <v>75</v>
      </c>
      <c r="E112" s="8" t="s">
        <v>75</v>
      </c>
      <c r="F112" s="5"/>
      <c r="H112" s="9" t="s">
        <v>12794</v>
      </c>
    </row>
    <row r="113">
      <c r="B113" s="5"/>
      <c r="C113" s="8" t="s">
        <v>936</v>
      </c>
      <c r="D113" s="8" t="s">
        <v>75</v>
      </c>
      <c r="E113" s="8" t="s">
        <v>12587</v>
      </c>
      <c r="F113" s="5"/>
      <c r="H113" s="9" t="s">
        <v>12795</v>
      </c>
      <c r="I113" s="12" t="s">
        <v>12796</v>
      </c>
    </row>
    <row r="114">
      <c r="A114" s="313">
        <v>29840.0</v>
      </c>
      <c r="B114" s="5"/>
      <c r="C114" s="11" t="s">
        <v>12797</v>
      </c>
      <c r="D114" s="8" t="s">
        <v>75</v>
      </c>
      <c r="E114" s="8" t="s">
        <v>75</v>
      </c>
      <c r="F114" s="5"/>
      <c r="H114" s="12" t="s">
        <v>12798</v>
      </c>
    </row>
    <row r="115">
      <c r="B115" s="5"/>
      <c r="C115" s="8" t="s">
        <v>2604</v>
      </c>
      <c r="D115" s="8" t="s">
        <v>75</v>
      </c>
      <c r="E115" s="8" t="s">
        <v>12681</v>
      </c>
      <c r="F115" s="5"/>
      <c r="H115" s="9" t="s">
        <v>12799</v>
      </c>
    </row>
    <row r="116">
      <c r="A116" s="313">
        <v>19891.0</v>
      </c>
      <c r="B116" s="5"/>
      <c r="C116" s="11" t="s">
        <v>1975</v>
      </c>
      <c r="D116" s="8" t="s">
        <v>75</v>
      </c>
      <c r="E116" s="8" t="s">
        <v>12621</v>
      </c>
      <c r="F116" s="5"/>
      <c r="I116" s="12" t="s">
        <v>12800</v>
      </c>
    </row>
    <row r="117">
      <c r="A117" s="100">
        <v>18143.0</v>
      </c>
      <c r="B117" s="8" t="s">
        <v>20</v>
      </c>
      <c r="C117" s="11" t="s">
        <v>6146</v>
      </c>
      <c r="D117" s="11" t="s">
        <v>75</v>
      </c>
      <c r="E117" s="11" t="s">
        <v>12644</v>
      </c>
      <c r="F117" s="5"/>
      <c r="H117" s="9" t="s">
        <v>12801</v>
      </c>
    </row>
    <row r="118">
      <c r="A118" s="100">
        <v>9082.0</v>
      </c>
      <c r="B118" s="8" t="s">
        <v>20</v>
      </c>
      <c r="C118" s="11" t="s">
        <v>847</v>
      </c>
      <c r="D118" s="11" t="s">
        <v>75</v>
      </c>
      <c r="E118" s="11" t="s">
        <v>6585</v>
      </c>
      <c r="F118" s="5"/>
      <c r="J118" s="12" t="s">
        <v>12802</v>
      </c>
    </row>
    <row r="119">
      <c r="A119" s="100">
        <v>9075.0</v>
      </c>
      <c r="B119" s="8" t="s">
        <v>20</v>
      </c>
      <c r="C119" s="11" t="s">
        <v>10848</v>
      </c>
      <c r="D119" s="11" t="s">
        <v>75</v>
      </c>
      <c r="E119" s="11" t="s">
        <v>6585</v>
      </c>
      <c r="F119" s="5"/>
      <c r="J119" s="12" t="s">
        <v>12803</v>
      </c>
    </row>
    <row r="120">
      <c r="A120" s="100">
        <v>9071.0</v>
      </c>
      <c r="B120" s="8" t="s">
        <v>20</v>
      </c>
      <c r="C120" s="11" t="s">
        <v>12804</v>
      </c>
      <c r="D120" s="11" t="s">
        <v>75</v>
      </c>
      <c r="E120" s="11" t="s">
        <v>6585</v>
      </c>
      <c r="F120" s="5"/>
      <c r="H120" s="9" t="s">
        <v>12805</v>
      </c>
      <c r="J120" s="12" t="s">
        <v>12806</v>
      </c>
    </row>
    <row r="121">
      <c r="A121" s="100">
        <v>8920.0</v>
      </c>
      <c r="B121" s="8" t="s">
        <v>20</v>
      </c>
      <c r="C121" s="11" t="s">
        <v>11495</v>
      </c>
      <c r="D121" s="11" t="s">
        <v>75</v>
      </c>
      <c r="E121" s="11" t="s">
        <v>6585</v>
      </c>
      <c r="F121" s="5"/>
      <c r="H121" s="9" t="s">
        <v>12807</v>
      </c>
      <c r="J121" s="12" t="s">
        <v>12808</v>
      </c>
    </row>
    <row r="122">
      <c r="A122" s="100">
        <v>8909.0</v>
      </c>
      <c r="B122" s="8" t="s">
        <v>20</v>
      </c>
      <c r="C122" s="11" t="s">
        <v>4206</v>
      </c>
      <c r="D122" s="11" t="s">
        <v>75</v>
      </c>
      <c r="E122" s="11" t="s">
        <v>6585</v>
      </c>
      <c r="F122" s="5"/>
      <c r="H122" s="9" t="s">
        <v>12809</v>
      </c>
    </row>
    <row r="123">
      <c r="A123" s="100">
        <v>8905.0</v>
      </c>
      <c r="B123" s="8" t="s">
        <v>20</v>
      </c>
      <c r="C123" s="11" t="s">
        <v>4055</v>
      </c>
      <c r="D123" s="11" t="s">
        <v>75</v>
      </c>
      <c r="E123" s="11" t="s">
        <v>6585</v>
      </c>
      <c r="F123" s="5"/>
      <c r="H123" s="9" t="s">
        <v>12810</v>
      </c>
      <c r="J123" s="12" t="s">
        <v>12598</v>
      </c>
    </row>
    <row r="124">
      <c r="A124" s="100">
        <v>26121.0</v>
      </c>
      <c r="B124" s="8" t="s">
        <v>102</v>
      </c>
      <c r="C124" s="11" t="s">
        <v>3592</v>
      </c>
      <c r="D124" s="11" t="s">
        <v>75</v>
      </c>
      <c r="E124" s="11" t="s">
        <v>12621</v>
      </c>
      <c r="F124" s="5"/>
      <c r="H124" s="9" t="s">
        <v>12811</v>
      </c>
      <c r="J124" s="12" t="s">
        <v>12812</v>
      </c>
    </row>
    <row r="125">
      <c r="A125" s="100">
        <v>18134.0</v>
      </c>
      <c r="B125" s="8" t="s">
        <v>20</v>
      </c>
      <c r="C125" s="11" t="s">
        <v>12620</v>
      </c>
      <c r="D125" s="11" t="s">
        <v>75</v>
      </c>
      <c r="E125" s="11" t="s">
        <v>12621</v>
      </c>
      <c r="F125" s="5"/>
      <c r="J125" s="12" t="s">
        <v>12622</v>
      </c>
    </row>
    <row r="126">
      <c r="A126" s="100">
        <v>18132.0</v>
      </c>
      <c r="B126" s="8" t="s">
        <v>20</v>
      </c>
      <c r="C126" s="11" t="s">
        <v>11772</v>
      </c>
      <c r="D126" s="11" t="s">
        <v>75</v>
      </c>
      <c r="E126" s="11" t="s">
        <v>12621</v>
      </c>
      <c r="F126" s="5"/>
      <c r="H126" s="9" t="s">
        <v>12813</v>
      </c>
      <c r="J126" s="12" t="s">
        <v>12814</v>
      </c>
    </row>
    <row r="127">
      <c r="A127" s="100">
        <v>18130.0</v>
      </c>
      <c r="B127" s="8" t="s">
        <v>20</v>
      </c>
      <c r="C127" s="11" t="s">
        <v>717</v>
      </c>
      <c r="D127" s="11" t="s">
        <v>75</v>
      </c>
      <c r="E127" s="11" t="s">
        <v>12621</v>
      </c>
      <c r="F127" s="5"/>
      <c r="H127" s="9" t="s">
        <v>12815</v>
      </c>
    </row>
    <row r="128">
      <c r="A128" s="100">
        <v>17864.0</v>
      </c>
      <c r="B128" s="8" t="s">
        <v>276</v>
      </c>
      <c r="C128" s="11" t="s">
        <v>12816</v>
      </c>
      <c r="D128" s="11" t="s">
        <v>75</v>
      </c>
      <c r="E128" s="11" t="s">
        <v>12621</v>
      </c>
      <c r="F128" s="5"/>
      <c r="J128" s="12" t="s">
        <v>12817</v>
      </c>
    </row>
    <row r="129">
      <c r="A129" s="100">
        <v>9198.0</v>
      </c>
      <c r="B129" s="8" t="s">
        <v>20</v>
      </c>
      <c r="C129" s="11" t="s">
        <v>12818</v>
      </c>
      <c r="D129" s="11" t="s">
        <v>75</v>
      </c>
      <c r="E129" s="11" t="s">
        <v>12621</v>
      </c>
      <c r="F129" s="5"/>
      <c r="H129" s="9" t="s">
        <v>12819</v>
      </c>
      <c r="J129" s="12" t="s">
        <v>12820</v>
      </c>
    </row>
    <row r="130">
      <c r="A130" s="100">
        <v>9123.0</v>
      </c>
      <c r="B130" s="8" t="s">
        <v>20</v>
      </c>
      <c r="C130" s="11" t="s">
        <v>8341</v>
      </c>
      <c r="D130" s="11" t="s">
        <v>75</v>
      </c>
      <c r="E130" s="11" t="s">
        <v>12621</v>
      </c>
      <c r="F130" s="5"/>
      <c r="H130" s="9" t="s">
        <v>12821</v>
      </c>
    </row>
    <row r="131">
      <c r="A131" s="100">
        <v>9117.0</v>
      </c>
      <c r="B131" s="8" t="s">
        <v>20</v>
      </c>
      <c r="C131" s="11" t="s">
        <v>890</v>
      </c>
      <c r="D131" s="11" t="s">
        <v>75</v>
      </c>
      <c r="E131" s="11" t="s">
        <v>12621</v>
      </c>
      <c r="F131" s="5"/>
      <c r="H131" s="9" t="s">
        <v>12822</v>
      </c>
    </row>
    <row r="132">
      <c r="A132" s="100">
        <v>9113.0</v>
      </c>
      <c r="B132" s="8" t="s">
        <v>20</v>
      </c>
      <c r="C132" s="11" t="s">
        <v>379</v>
      </c>
      <c r="D132" s="11" t="s">
        <v>75</v>
      </c>
      <c r="E132" s="11" t="s">
        <v>12621</v>
      </c>
      <c r="F132" s="5"/>
      <c r="I132" s="12" t="s">
        <v>12823</v>
      </c>
    </row>
    <row r="133">
      <c r="A133" s="100">
        <v>8940.0</v>
      </c>
      <c r="B133" s="8" t="s">
        <v>720</v>
      </c>
      <c r="C133" s="11" t="s">
        <v>12824</v>
      </c>
      <c r="D133" s="11" t="s">
        <v>75</v>
      </c>
      <c r="E133" s="11" t="s">
        <v>12621</v>
      </c>
      <c r="F133" s="5"/>
      <c r="J133" s="12" t="s">
        <v>12825</v>
      </c>
    </row>
    <row r="134">
      <c r="A134" s="100">
        <v>8934.0</v>
      </c>
      <c r="B134" s="8" t="s">
        <v>20</v>
      </c>
      <c r="C134" s="11" t="s">
        <v>49</v>
      </c>
      <c r="D134" s="11" t="s">
        <v>75</v>
      </c>
      <c r="E134" s="11" t="s">
        <v>12621</v>
      </c>
      <c r="F134" s="5"/>
      <c r="H134" s="9" t="s">
        <v>12826</v>
      </c>
    </row>
    <row r="135">
      <c r="A135" s="100"/>
      <c r="B135" s="8" t="s">
        <v>20</v>
      </c>
      <c r="C135" s="11" t="s">
        <v>49</v>
      </c>
      <c r="D135" s="11" t="s">
        <v>75</v>
      </c>
      <c r="E135" s="11" t="s">
        <v>12621</v>
      </c>
      <c r="F135" s="5"/>
      <c r="H135" s="9" t="s">
        <v>12827</v>
      </c>
    </row>
    <row r="136">
      <c r="A136" s="100">
        <v>8928.0</v>
      </c>
      <c r="B136" s="8" t="s">
        <v>5200</v>
      </c>
      <c r="C136" s="11" t="s">
        <v>1417</v>
      </c>
      <c r="D136" s="11" t="s">
        <v>75</v>
      </c>
      <c r="E136" s="11" t="s">
        <v>12621</v>
      </c>
      <c r="F136" s="5"/>
      <c r="H136" s="9" t="s">
        <v>12819</v>
      </c>
      <c r="J136" s="12" t="s">
        <v>12820</v>
      </c>
    </row>
    <row r="137">
      <c r="A137" s="100">
        <v>8859.0</v>
      </c>
      <c r="B137" s="8" t="s">
        <v>20</v>
      </c>
      <c r="C137" s="11" t="s">
        <v>12828</v>
      </c>
      <c r="D137" s="11" t="s">
        <v>75</v>
      </c>
      <c r="E137" s="11" t="s">
        <v>12621</v>
      </c>
      <c r="F137" s="5"/>
      <c r="I137" s="12" t="s">
        <v>12829</v>
      </c>
      <c r="J137" s="12" t="s">
        <v>12830</v>
      </c>
    </row>
    <row r="138">
      <c r="A138" s="100">
        <v>8847.0</v>
      </c>
      <c r="B138" s="8" t="s">
        <v>20</v>
      </c>
      <c r="C138" s="11" t="s">
        <v>3209</v>
      </c>
      <c r="D138" s="11" t="s">
        <v>75</v>
      </c>
      <c r="E138" s="11" t="s">
        <v>12621</v>
      </c>
      <c r="F138" s="5"/>
      <c r="J138" s="312" t="s">
        <v>12831</v>
      </c>
    </row>
    <row r="139">
      <c r="A139" s="100">
        <v>8844.0</v>
      </c>
      <c r="B139" s="8" t="s">
        <v>20</v>
      </c>
      <c r="C139" s="11" t="s">
        <v>6550</v>
      </c>
      <c r="D139" s="11" t="s">
        <v>75</v>
      </c>
      <c r="E139" s="11" t="s">
        <v>12621</v>
      </c>
      <c r="F139" s="5"/>
      <c r="H139" s="9" t="s">
        <v>12832</v>
      </c>
      <c r="I139" s="12" t="s">
        <v>12833</v>
      </c>
    </row>
    <row r="140">
      <c r="A140" s="100">
        <v>8824.0</v>
      </c>
      <c r="B140" s="8" t="s">
        <v>20</v>
      </c>
      <c r="C140" s="11" t="s">
        <v>855</v>
      </c>
      <c r="D140" s="11" t="s">
        <v>75</v>
      </c>
      <c r="E140" s="11" t="s">
        <v>12621</v>
      </c>
      <c r="F140" s="5"/>
      <c r="H140" s="9" t="s">
        <v>12834</v>
      </c>
    </row>
    <row r="141">
      <c r="A141" s="100">
        <v>17849.0</v>
      </c>
      <c r="B141" s="8" t="s">
        <v>20</v>
      </c>
      <c r="C141" s="11" t="s">
        <v>12835</v>
      </c>
      <c r="D141" s="11" t="s">
        <v>75</v>
      </c>
      <c r="E141" s="11" t="s">
        <v>12587</v>
      </c>
      <c r="F141" s="5"/>
      <c r="H141" s="9" t="s">
        <v>12836</v>
      </c>
      <c r="J141" s="12" t="s">
        <v>12837</v>
      </c>
    </row>
    <row r="142">
      <c r="A142" s="100">
        <v>8957.0</v>
      </c>
      <c r="B142" s="8" t="s">
        <v>720</v>
      </c>
      <c r="C142" s="11" t="s">
        <v>3580</v>
      </c>
      <c r="D142" s="11" t="s">
        <v>75</v>
      </c>
      <c r="E142" s="11" t="s">
        <v>12587</v>
      </c>
      <c r="F142" s="5"/>
      <c r="H142" s="9" t="s">
        <v>12838</v>
      </c>
    </row>
    <row r="143">
      <c r="A143" s="100">
        <v>8956.0</v>
      </c>
      <c r="B143" s="8" t="s">
        <v>20</v>
      </c>
      <c r="C143" s="11" t="s">
        <v>205</v>
      </c>
      <c r="D143" s="11" t="s">
        <v>75</v>
      </c>
      <c r="E143" s="11" t="s">
        <v>12587</v>
      </c>
      <c r="F143" s="5"/>
      <c r="I143" s="12" t="s">
        <v>12654</v>
      </c>
    </row>
    <row r="144">
      <c r="A144" s="100">
        <v>8955.0</v>
      </c>
      <c r="B144" s="8" t="s">
        <v>20</v>
      </c>
      <c r="C144" s="11" t="s">
        <v>4348</v>
      </c>
      <c r="D144" s="11" t="s">
        <v>75</v>
      </c>
      <c r="E144" s="11" t="s">
        <v>12587</v>
      </c>
      <c r="F144" s="5"/>
      <c r="H144" s="9" t="s">
        <v>12839</v>
      </c>
      <c r="I144" s="12" t="s">
        <v>12840</v>
      </c>
      <c r="J144" s="12" t="s">
        <v>12841</v>
      </c>
    </row>
    <row r="145">
      <c r="A145" s="100">
        <v>8954.0</v>
      </c>
      <c r="B145" s="8" t="s">
        <v>20</v>
      </c>
      <c r="C145" s="11" t="s">
        <v>12842</v>
      </c>
      <c r="D145" s="11" t="s">
        <v>75</v>
      </c>
      <c r="E145" s="11" t="s">
        <v>12587</v>
      </c>
      <c r="F145" s="5"/>
      <c r="H145" s="9" t="s">
        <v>12843</v>
      </c>
      <c r="I145" s="12" t="s">
        <v>12844</v>
      </c>
      <c r="J145" s="12" t="s">
        <v>12845</v>
      </c>
    </row>
    <row r="146">
      <c r="A146" s="100">
        <v>29843.0</v>
      </c>
      <c r="B146" s="8" t="s">
        <v>20</v>
      </c>
      <c r="C146" s="11" t="s">
        <v>6488</v>
      </c>
      <c r="D146" s="11" t="s">
        <v>75</v>
      </c>
      <c r="E146" s="11" t="s">
        <v>75</v>
      </c>
      <c r="F146" s="5"/>
      <c r="H146" s="9" t="s">
        <v>12846</v>
      </c>
    </row>
    <row r="147">
      <c r="A147" s="100">
        <v>29840.0</v>
      </c>
      <c r="B147" s="8" t="s">
        <v>20</v>
      </c>
      <c r="C147" s="11" t="s">
        <v>12797</v>
      </c>
      <c r="D147" s="11" t="s">
        <v>75</v>
      </c>
      <c r="E147" s="11" t="s">
        <v>75</v>
      </c>
      <c r="F147" s="5"/>
      <c r="H147" s="9" t="s">
        <v>12847</v>
      </c>
      <c r="J147" s="12" t="s">
        <v>12848</v>
      </c>
    </row>
    <row r="148">
      <c r="A148" s="100">
        <v>29521.0</v>
      </c>
      <c r="B148" s="8" t="s">
        <v>4322</v>
      </c>
      <c r="C148" s="11" t="s">
        <v>12849</v>
      </c>
      <c r="D148" s="11" t="s">
        <v>75</v>
      </c>
      <c r="E148" s="11" t="s">
        <v>75</v>
      </c>
      <c r="F148" s="5"/>
      <c r="I148" s="12" t="s">
        <v>12850</v>
      </c>
      <c r="J148" s="12" t="s">
        <v>12851</v>
      </c>
    </row>
    <row r="149">
      <c r="A149" s="100">
        <v>26404.0</v>
      </c>
      <c r="B149" s="8" t="s">
        <v>20</v>
      </c>
      <c r="C149" s="11" t="s">
        <v>12852</v>
      </c>
      <c r="D149" s="11" t="s">
        <v>75</v>
      </c>
      <c r="E149" s="11" t="s">
        <v>75</v>
      </c>
      <c r="F149" s="5"/>
      <c r="H149" s="9" t="s">
        <v>12853</v>
      </c>
    </row>
    <row r="150">
      <c r="A150" s="100">
        <v>24849.0</v>
      </c>
      <c r="B150" s="8" t="s">
        <v>17</v>
      </c>
      <c r="C150" s="11" t="s">
        <v>912</v>
      </c>
      <c r="D150" s="11" t="s">
        <v>75</v>
      </c>
      <c r="E150" s="11" t="s">
        <v>75</v>
      </c>
      <c r="F150" s="5"/>
      <c r="I150" s="12" t="s">
        <v>12854</v>
      </c>
    </row>
    <row r="151">
      <c r="A151" s="100">
        <v>24324.0</v>
      </c>
      <c r="B151" s="8" t="s">
        <v>12855</v>
      </c>
      <c r="C151" s="11" t="s">
        <v>5712</v>
      </c>
      <c r="D151" s="11" t="s">
        <v>75</v>
      </c>
      <c r="E151" s="11" t="s">
        <v>75</v>
      </c>
      <c r="F151" s="5"/>
      <c r="J151" s="12" t="s">
        <v>12856</v>
      </c>
    </row>
    <row r="152">
      <c r="A152" s="100">
        <v>22861.0</v>
      </c>
      <c r="B152" s="8" t="s">
        <v>276</v>
      </c>
      <c r="C152" s="11" t="s">
        <v>4001</v>
      </c>
      <c r="D152" s="11" t="s">
        <v>75</v>
      </c>
      <c r="E152" s="11" t="s">
        <v>75</v>
      </c>
      <c r="F152" s="5"/>
      <c r="H152" s="9" t="s">
        <v>12857</v>
      </c>
      <c r="J152" s="12" t="s">
        <v>12858</v>
      </c>
    </row>
    <row r="153">
      <c r="A153" s="100">
        <v>22860.0</v>
      </c>
      <c r="B153" s="8" t="s">
        <v>20</v>
      </c>
      <c r="C153" s="11" t="s">
        <v>12859</v>
      </c>
      <c r="D153" s="11" t="s">
        <v>75</v>
      </c>
      <c r="E153" s="11" t="s">
        <v>75</v>
      </c>
      <c r="F153" s="5"/>
      <c r="H153" s="9" t="s">
        <v>12860</v>
      </c>
    </row>
    <row r="154">
      <c r="A154" s="100">
        <v>22121.0</v>
      </c>
      <c r="B154" s="8" t="s">
        <v>20</v>
      </c>
      <c r="C154" s="11" t="s">
        <v>6562</v>
      </c>
      <c r="D154" s="11" t="s">
        <v>75</v>
      </c>
      <c r="E154" s="11" t="s">
        <v>75</v>
      </c>
      <c r="F154" s="5"/>
      <c r="H154" s="9" t="s">
        <v>12861</v>
      </c>
      <c r="J154" s="12" t="s">
        <v>12808</v>
      </c>
    </row>
    <row r="155">
      <c r="A155" s="100">
        <v>22114.0</v>
      </c>
      <c r="B155" s="8" t="s">
        <v>20</v>
      </c>
      <c r="C155" s="11" t="s">
        <v>12862</v>
      </c>
      <c r="D155" s="11" t="s">
        <v>75</v>
      </c>
      <c r="E155" s="11" t="s">
        <v>75</v>
      </c>
      <c r="F155" s="5"/>
      <c r="J155" s="12" t="s">
        <v>12863</v>
      </c>
    </row>
    <row r="156">
      <c r="A156" s="100">
        <v>18123.0</v>
      </c>
      <c r="B156" s="8" t="s">
        <v>20</v>
      </c>
      <c r="C156" s="11" t="s">
        <v>1223</v>
      </c>
      <c r="D156" s="11" t="s">
        <v>75</v>
      </c>
      <c r="E156" s="11" t="s">
        <v>75</v>
      </c>
      <c r="F156" s="5"/>
      <c r="H156" s="9" t="s">
        <v>12864</v>
      </c>
      <c r="I156" s="12" t="s">
        <v>12641</v>
      </c>
      <c r="J156" s="12" t="s">
        <v>12642</v>
      </c>
    </row>
    <row r="157">
      <c r="A157" s="100">
        <v>18122.0</v>
      </c>
      <c r="B157" s="8" t="s">
        <v>20</v>
      </c>
      <c r="C157" s="11" t="s">
        <v>12865</v>
      </c>
      <c r="D157" s="11" t="s">
        <v>75</v>
      </c>
      <c r="E157" s="11" t="s">
        <v>75</v>
      </c>
      <c r="F157" s="5"/>
      <c r="I157" s="12" t="s">
        <v>12866</v>
      </c>
      <c r="J157" s="12" t="s">
        <v>12867</v>
      </c>
    </row>
    <row r="158">
      <c r="A158" s="100">
        <v>9121.0</v>
      </c>
      <c r="B158" s="8" t="s">
        <v>20</v>
      </c>
      <c r="C158" s="11" t="s">
        <v>8454</v>
      </c>
      <c r="D158" s="11" t="s">
        <v>75</v>
      </c>
      <c r="E158" s="11" t="s">
        <v>75</v>
      </c>
      <c r="F158" s="5"/>
      <c r="H158" s="9" t="s">
        <v>12868</v>
      </c>
    </row>
    <row r="159">
      <c r="A159" s="100">
        <v>8969.0</v>
      </c>
      <c r="B159" s="8" t="s">
        <v>20</v>
      </c>
      <c r="C159" s="11" t="s">
        <v>1450</v>
      </c>
      <c r="D159" s="11" t="s">
        <v>75</v>
      </c>
      <c r="E159" s="11" t="s">
        <v>75</v>
      </c>
      <c r="F159" s="5"/>
      <c r="H159" s="9" t="s">
        <v>12869</v>
      </c>
      <c r="I159" s="12" t="s">
        <v>12870</v>
      </c>
    </row>
    <row r="160">
      <c r="A160" s="100">
        <v>8965.0</v>
      </c>
      <c r="B160" s="8" t="s">
        <v>20</v>
      </c>
      <c r="C160" s="11" t="s">
        <v>12871</v>
      </c>
      <c r="D160" s="11" t="s">
        <v>75</v>
      </c>
      <c r="E160" s="11" t="s">
        <v>75</v>
      </c>
      <c r="F160" s="5"/>
      <c r="H160" s="9" t="s">
        <v>12872</v>
      </c>
    </row>
    <row r="161">
      <c r="A161" s="100">
        <v>8902.0</v>
      </c>
      <c r="B161" s="8" t="s">
        <v>20</v>
      </c>
      <c r="C161" s="11" t="s">
        <v>12873</v>
      </c>
      <c r="D161" s="11" t="s">
        <v>75</v>
      </c>
      <c r="E161" s="11" t="s">
        <v>75</v>
      </c>
      <c r="F161" s="5"/>
      <c r="I161" s="12" t="s">
        <v>12874</v>
      </c>
      <c r="J161" s="12" t="s">
        <v>12875</v>
      </c>
    </row>
    <row r="162">
      <c r="A162" s="100">
        <v>8858.0</v>
      </c>
      <c r="B162" s="8" t="s">
        <v>20</v>
      </c>
      <c r="C162" s="11" t="s">
        <v>12876</v>
      </c>
      <c r="D162" s="11" t="s">
        <v>75</v>
      </c>
      <c r="E162" s="11" t="s">
        <v>75</v>
      </c>
      <c r="F162" s="5"/>
      <c r="I162" s="12" t="s">
        <v>12877</v>
      </c>
    </row>
    <row r="163">
      <c r="A163" s="100">
        <v>8788.0</v>
      </c>
      <c r="B163" s="8" t="s">
        <v>5200</v>
      </c>
      <c r="C163" s="11" t="s">
        <v>10205</v>
      </c>
      <c r="D163" s="11" t="s">
        <v>75</v>
      </c>
      <c r="E163" s="11" t="s">
        <v>75</v>
      </c>
      <c r="F163" s="5"/>
      <c r="H163" s="9" t="s">
        <v>12878</v>
      </c>
    </row>
    <row r="164">
      <c r="A164" s="100">
        <v>29730.0</v>
      </c>
      <c r="B164" s="8" t="s">
        <v>20</v>
      </c>
      <c r="C164" s="11" t="s">
        <v>8055</v>
      </c>
      <c r="D164" s="11" t="s">
        <v>75</v>
      </c>
      <c r="E164" s="11" t="s">
        <v>76</v>
      </c>
      <c r="F164" s="5"/>
      <c r="H164" s="9" t="s">
        <v>12879</v>
      </c>
      <c r="J164" s="9" t="s">
        <v>12880</v>
      </c>
    </row>
    <row r="165">
      <c r="A165" s="100">
        <v>29442.0</v>
      </c>
      <c r="B165" s="8" t="s">
        <v>20</v>
      </c>
      <c r="C165" s="11" t="s">
        <v>12881</v>
      </c>
      <c r="D165" s="11" t="s">
        <v>75</v>
      </c>
      <c r="E165" s="11" t="s">
        <v>76</v>
      </c>
      <c r="F165" s="5"/>
      <c r="H165" s="9" t="s">
        <v>12882</v>
      </c>
    </row>
    <row r="166">
      <c r="A166" s="100">
        <v>29329.0</v>
      </c>
      <c r="B166" s="8" t="s">
        <v>20</v>
      </c>
      <c r="C166" s="11" t="s">
        <v>12883</v>
      </c>
      <c r="D166" s="11" t="s">
        <v>75</v>
      </c>
      <c r="E166" s="11" t="s">
        <v>76</v>
      </c>
      <c r="F166" s="5"/>
      <c r="H166" s="9" t="s">
        <v>12884</v>
      </c>
      <c r="I166" s="12" t="s">
        <v>12885</v>
      </c>
    </row>
    <row r="167">
      <c r="A167" s="100">
        <v>28094.0</v>
      </c>
      <c r="B167" s="8" t="s">
        <v>20</v>
      </c>
      <c r="C167" s="11" t="s">
        <v>12886</v>
      </c>
      <c r="D167" s="11" t="s">
        <v>75</v>
      </c>
      <c r="E167" s="11" t="s">
        <v>76</v>
      </c>
      <c r="F167" s="5"/>
      <c r="H167" s="9" t="s">
        <v>12887</v>
      </c>
      <c r="I167" s="12" t="s">
        <v>12888</v>
      </c>
    </row>
    <row r="168">
      <c r="A168" s="100">
        <v>27412.0</v>
      </c>
      <c r="B168" s="8" t="s">
        <v>20</v>
      </c>
      <c r="C168" s="11" t="s">
        <v>8507</v>
      </c>
      <c r="D168" s="11" t="s">
        <v>75</v>
      </c>
      <c r="E168" s="11" t="s">
        <v>76</v>
      </c>
      <c r="F168" s="5"/>
      <c r="J168" s="12" t="s">
        <v>12578</v>
      </c>
    </row>
    <row r="169">
      <c r="A169" s="100">
        <v>27411.0</v>
      </c>
      <c r="B169" s="8" t="s">
        <v>20</v>
      </c>
      <c r="C169" s="11" t="s">
        <v>12889</v>
      </c>
      <c r="D169" s="11" t="s">
        <v>75</v>
      </c>
      <c r="E169" s="11" t="s">
        <v>76</v>
      </c>
      <c r="F169" s="5"/>
      <c r="J169" s="12" t="s">
        <v>12890</v>
      </c>
    </row>
    <row r="170">
      <c r="A170" s="100">
        <v>26728.0</v>
      </c>
      <c r="B170" s="8" t="s">
        <v>20</v>
      </c>
      <c r="C170" s="11" t="s">
        <v>1088</v>
      </c>
      <c r="D170" s="11" t="s">
        <v>75</v>
      </c>
      <c r="E170" s="11" t="s">
        <v>76</v>
      </c>
      <c r="F170" s="5"/>
      <c r="H170" s="9" t="s">
        <v>12891</v>
      </c>
    </row>
    <row r="171">
      <c r="A171" s="100">
        <v>26369.0</v>
      </c>
      <c r="B171" s="8" t="s">
        <v>20</v>
      </c>
      <c r="C171" s="11" t="s">
        <v>12892</v>
      </c>
      <c r="D171" s="11" t="s">
        <v>75</v>
      </c>
      <c r="E171" s="11" t="s">
        <v>76</v>
      </c>
      <c r="F171" s="5"/>
      <c r="H171" s="9" t="s">
        <v>12893</v>
      </c>
      <c r="J171" s="12" t="s">
        <v>12894</v>
      </c>
    </row>
    <row r="172">
      <c r="A172" s="100">
        <v>26129.0</v>
      </c>
      <c r="B172" s="8" t="s">
        <v>20</v>
      </c>
      <c r="C172" s="11" t="s">
        <v>12895</v>
      </c>
      <c r="D172" s="11" t="s">
        <v>75</v>
      </c>
      <c r="E172" s="11" t="s">
        <v>76</v>
      </c>
      <c r="F172" s="5"/>
      <c r="H172" s="9" t="s">
        <v>12896</v>
      </c>
      <c r="J172" s="12" t="s">
        <v>12897</v>
      </c>
    </row>
    <row r="173">
      <c r="A173" s="100">
        <v>24323.0</v>
      </c>
      <c r="B173" s="8" t="s">
        <v>20</v>
      </c>
      <c r="C173" s="11" t="s">
        <v>5226</v>
      </c>
      <c r="D173" s="11" t="s">
        <v>75</v>
      </c>
      <c r="E173" s="11" t="s">
        <v>76</v>
      </c>
      <c r="F173" s="5"/>
      <c r="H173" s="9" t="s">
        <v>12898</v>
      </c>
    </row>
    <row r="174">
      <c r="A174" s="100">
        <v>24321.0</v>
      </c>
      <c r="B174" s="8" t="s">
        <v>720</v>
      </c>
      <c r="C174" s="11" t="s">
        <v>12899</v>
      </c>
      <c r="D174" s="11" t="s">
        <v>75</v>
      </c>
      <c r="E174" s="11" t="s">
        <v>76</v>
      </c>
      <c r="F174" s="5"/>
      <c r="H174" s="9" t="s">
        <v>12900</v>
      </c>
      <c r="J174" s="12" t="s">
        <v>12901</v>
      </c>
    </row>
    <row r="175">
      <c r="A175" s="100">
        <v>24319.0</v>
      </c>
      <c r="B175" s="8" t="s">
        <v>1206</v>
      </c>
      <c r="C175" s="11" t="s">
        <v>922</v>
      </c>
      <c r="D175" s="11" t="s">
        <v>75</v>
      </c>
      <c r="E175" s="11" t="s">
        <v>76</v>
      </c>
      <c r="F175" s="5"/>
      <c r="J175" s="12" t="s">
        <v>12902</v>
      </c>
    </row>
    <row r="176">
      <c r="A176" s="100">
        <v>23943.0</v>
      </c>
      <c r="B176" s="8" t="s">
        <v>20</v>
      </c>
      <c r="C176" s="11" t="s">
        <v>12903</v>
      </c>
      <c r="D176" s="11" t="s">
        <v>75</v>
      </c>
      <c r="E176" s="11" t="s">
        <v>76</v>
      </c>
      <c r="F176" s="5"/>
      <c r="H176" s="9" t="s">
        <v>12904</v>
      </c>
      <c r="J176" s="12" t="s">
        <v>12905</v>
      </c>
    </row>
    <row r="177">
      <c r="A177" s="100">
        <v>23268.0</v>
      </c>
      <c r="B177" s="8" t="s">
        <v>20</v>
      </c>
      <c r="C177" s="11" t="s">
        <v>773</v>
      </c>
      <c r="D177" s="11" t="s">
        <v>75</v>
      </c>
      <c r="E177" s="11" t="s">
        <v>76</v>
      </c>
      <c r="F177" s="5"/>
      <c r="H177" s="9" t="s">
        <v>12906</v>
      </c>
      <c r="J177" s="12" t="s">
        <v>12907</v>
      </c>
    </row>
    <row r="178">
      <c r="A178" s="100">
        <v>23190.0</v>
      </c>
      <c r="B178" s="8" t="s">
        <v>20</v>
      </c>
      <c r="C178" s="11" t="s">
        <v>3629</v>
      </c>
      <c r="D178" s="11" t="s">
        <v>75</v>
      </c>
      <c r="E178" s="11" t="s">
        <v>76</v>
      </c>
      <c r="F178" s="5"/>
      <c r="H178" s="9" t="s">
        <v>12908</v>
      </c>
    </row>
    <row r="179">
      <c r="A179" s="100">
        <v>22878.0</v>
      </c>
      <c r="B179" s="8" t="s">
        <v>20</v>
      </c>
      <c r="C179" s="11" t="s">
        <v>3479</v>
      </c>
      <c r="D179" s="11" t="s">
        <v>75</v>
      </c>
      <c r="E179" s="11" t="s">
        <v>76</v>
      </c>
      <c r="F179" s="5"/>
      <c r="H179" s="9" t="s">
        <v>12909</v>
      </c>
    </row>
    <row r="180">
      <c r="A180" s="100">
        <v>22875.0</v>
      </c>
      <c r="B180" s="8" t="s">
        <v>20</v>
      </c>
      <c r="C180" s="11" t="s">
        <v>12910</v>
      </c>
      <c r="D180" s="11" t="s">
        <v>75</v>
      </c>
      <c r="E180" s="11" t="s">
        <v>76</v>
      </c>
      <c r="F180" s="5"/>
      <c r="J180" s="12" t="s">
        <v>12905</v>
      </c>
    </row>
    <row r="181">
      <c r="A181" s="100">
        <v>22873.0</v>
      </c>
      <c r="B181" s="8" t="s">
        <v>20</v>
      </c>
      <c r="C181" s="11" t="s">
        <v>4182</v>
      </c>
      <c r="D181" s="11" t="s">
        <v>75</v>
      </c>
      <c r="E181" s="11" t="s">
        <v>76</v>
      </c>
      <c r="F181" s="5"/>
      <c r="H181" s="9" t="s">
        <v>12911</v>
      </c>
    </row>
    <row r="182">
      <c r="A182" s="100">
        <v>22870.0</v>
      </c>
      <c r="B182" s="8" t="s">
        <v>20</v>
      </c>
      <c r="C182" s="11" t="s">
        <v>12912</v>
      </c>
      <c r="D182" s="11" t="s">
        <v>75</v>
      </c>
      <c r="E182" s="11" t="s">
        <v>76</v>
      </c>
      <c r="F182" s="5"/>
      <c r="H182" s="9" t="s">
        <v>12913</v>
      </c>
      <c r="J182" s="12" t="s">
        <v>12600</v>
      </c>
    </row>
    <row r="183">
      <c r="A183" s="100">
        <v>22120.0</v>
      </c>
      <c r="B183" s="8" t="s">
        <v>20</v>
      </c>
      <c r="C183" s="11" t="s">
        <v>12914</v>
      </c>
      <c r="D183" s="11" t="s">
        <v>75</v>
      </c>
      <c r="E183" s="11" t="s">
        <v>76</v>
      </c>
      <c r="F183" s="5"/>
      <c r="J183" s="12" t="s">
        <v>12915</v>
      </c>
    </row>
    <row r="184">
      <c r="A184" s="100">
        <v>21881.0</v>
      </c>
      <c r="B184" s="8" t="s">
        <v>102</v>
      </c>
      <c r="C184" s="11" t="s">
        <v>12916</v>
      </c>
      <c r="D184" s="11" t="s">
        <v>75</v>
      </c>
      <c r="E184" s="11" t="s">
        <v>76</v>
      </c>
      <c r="F184" s="5"/>
      <c r="H184" s="9" t="s">
        <v>12917</v>
      </c>
      <c r="I184" s="12" t="s">
        <v>12918</v>
      </c>
      <c r="J184" s="12" t="s">
        <v>12919</v>
      </c>
    </row>
    <row r="185">
      <c r="A185" s="100">
        <v>21852.0</v>
      </c>
      <c r="B185" s="8" t="s">
        <v>20</v>
      </c>
      <c r="C185" s="11" t="s">
        <v>1975</v>
      </c>
      <c r="D185" s="11" t="s">
        <v>75</v>
      </c>
      <c r="E185" s="11" t="s">
        <v>76</v>
      </c>
      <c r="F185" s="5"/>
      <c r="H185" s="9" t="s">
        <v>12920</v>
      </c>
      <c r="J185" s="12" t="s">
        <v>12921</v>
      </c>
    </row>
    <row r="186">
      <c r="A186" s="100">
        <v>21462.0</v>
      </c>
      <c r="B186" s="8" t="s">
        <v>720</v>
      </c>
      <c r="C186" s="11" t="s">
        <v>8600</v>
      </c>
      <c r="D186" s="11" t="s">
        <v>75</v>
      </c>
      <c r="E186" s="11" t="s">
        <v>76</v>
      </c>
      <c r="F186" s="5"/>
      <c r="H186" s="9" t="s">
        <v>12922</v>
      </c>
    </row>
    <row r="187">
      <c r="A187" s="100">
        <v>21461.0</v>
      </c>
      <c r="B187" s="8" t="s">
        <v>20</v>
      </c>
      <c r="C187" s="11" t="s">
        <v>3635</v>
      </c>
      <c r="D187" s="11" t="s">
        <v>75</v>
      </c>
      <c r="E187" s="11" t="s">
        <v>76</v>
      </c>
      <c r="F187" s="5"/>
      <c r="H187" s="9" t="s">
        <v>12923</v>
      </c>
    </row>
    <row r="188">
      <c r="A188" s="100">
        <v>20420.0</v>
      </c>
      <c r="B188" s="8" t="s">
        <v>102</v>
      </c>
      <c r="C188" s="11" t="s">
        <v>12924</v>
      </c>
      <c r="D188" s="11" t="s">
        <v>75</v>
      </c>
      <c r="E188" s="11" t="s">
        <v>76</v>
      </c>
      <c r="F188" s="5"/>
      <c r="H188" s="9" t="s">
        <v>12925</v>
      </c>
    </row>
    <row r="189">
      <c r="A189" s="100">
        <v>18998.0</v>
      </c>
      <c r="B189" s="8" t="s">
        <v>20</v>
      </c>
      <c r="C189" s="11" t="s">
        <v>145</v>
      </c>
      <c r="D189" s="11" t="s">
        <v>75</v>
      </c>
      <c r="E189" s="11" t="s">
        <v>76</v>
      </c>
      <c r="F189" s="5"/>
      <c r="H189" s="9" t="s">
        <v>12926</v>
      </c>
      <c r="I189" s="12" t="s">
        <v>12927</v>
      </c>
    </row>
    <row r="190">
      <c r="A190" s="100">
        <v>9177.0</v>
      </c>
      <c r="B190" s="8" t="s">
        <v>20</v>
      </c>
      <c r="C190" s="11" t="s">
        <v>3662</v>
      </c>
      <c r="D190" s="11" t="s">
        <v>75</v>
      </c>
      <c r="E190" s="11" t="s">
        <v>76</v>
      </c>
      <c r="F190" s="5"/>
      <c r="H190" s="9" t="s">
        <v>12928</v>
      </c>
    </row>
    <row r="191">
      <c r="A191" s="100">
        <v>9160.0</v>
      </c>
      <c r="B191" s="8" t="s">
        <v>20</v>
      </c>
      <c r="C191" s="11" t="s">
        <v>3612</v>
      </c>
      <c r="D191" s="11" t="s">
        <v>75</v>
      </c>
      <c r="E191" s="11" t="s">
        <v>76</v>
      </c>
      <c r="F191" s="5"/>
      <c r="H191" s="9" t="s">
        <v>12929</v>
      </c>
    </row>
    <row r="192">
      <c r="A192" s="100">
        <v>9158.0</v>
      </c>
      <c r="B192" s="8" t="s">
        <v>20</v>
      </c>
      <c r="C192" s="11" t="s">
        <v>3209</v>
      </c>
      <c r="D192" s="11" t="s">
        <v>75</v>
      </c>
      <c r="E192" s="11" t="s">
        <v>76</v>
      </c>
      <c r="F192" s="5"/>
      <c r="J192" s="12" t="s">
        <v>12930</v>
      </c>
    </row>
    <row r="193">
      <c r="A193" s="100">
        <v>9157.0</v>
      </c>
      <c r="B193" s="8" t="s">
        <v>20</v>
      </c>
      <c r="C193" s="11" t="s">
        <v>12931</v>
      </c>
      <c r="D193" s="11" t="s">
        <v>75</v>
      </c>
      <c r="E193" s="11" t="s">
        <v>76</v>
      </c>
      <c r="F193" s="5"/>
      <c r="H193" s="9" t="s">
        <v>12932</v>
      </c>
    </row>
    <row r="194">
      <c r="A194" s="100">
        <v>9156.0</v>
      </c>
      <c r="B194" s="8" t="s">
        <v>20</v>
      </c>
      <c r="C194" s="11" t="s">
        <v>7974</v>
      </c>
      <c r="D194" s="11" t="s">
        <v>75</v>
      </c>
      <c r="E194" s="11" t="s">
        <v>76</v>
      </c>
      <c r="F194" s="5"/>
      <c r="H194" s="9" t="s">
        <v>12933</v>
      </c>
    </row>
    <row r="195">
      <c r="A195" s="100">
        <v>9114.0</v>
      </c>
      <c r="B195" s="8" t="s">
        <v>20</v>
      </c>
      <c r="C195" s="11" t="s">
        <v>8744</v>
      </c>
      <c r="D195" s="11" t="s">
        <v>75</v>
      </c>
      <c r="E195" s="11" t="s">
        <v>76</v>
      </c>
      <c r="F195" s="5"/>
      <c r="H195" s="9" t="s">
        <v>12934</v>
      </c>
    </row>
    <row r="196">
      <c r="A196" s="100">
        <v>9036.0</v>
      </c>
      <c r="B196" s="8" t="s">
        <v>20</v>
      </c>
      <c r="C196" s="11" t="s">
        <v>12935</v>
      </c>
      <c r="D196" s="11" t="s">
        <v>75</v>
      </c>
      <c r="E196" s="11" t="s">
        <v>76</v>
      </c>
      <c r="F196" s="5"/>
      <c r="J196" s="12" t="s">
        <v>12936</v>
      </c>
    </row>
    <row r="197">
      <c r="A197" s="100">
        <v>9021.0</v>
      </c>
      <c r="B197" s="8" t="s">
        <v>20</v>
      </c>
      <c r="C197" s="11" t="s">
        <v>735</v>
      </c>
      <c r="D197" s="11" t="s">
        <v>75</v>
      </c>
      <c r="E197" s="11" t="s">
        <v>76</v>
      </c>
      <c r="F197" s="5"/>
      <c r="H197" s="9" t="s">
        <v>12937</v>
      </c>
    </row>
    <row r="198">
      <c r="A198" s="100">
        <v>8995.0</v>
      </c>
      <c r="B198" s="8" t="s">
        <v>20</v>
      </c>
      <c r="C198" s="11" t="s">
        <v>12938</v>
      </c>
      <c r="D198" s="11" t="s">
        <v>75</v>
      </c>
      <c r="E198" s="11" t="s">
        <v>76</v>
      </c>
      <c r="F198" s="5"/>
      <c r="J198" s="12" t="s">
        <v>12939</v>
      </c>
    </row>
    <row r="199">
      <c r="A199" s="100">
        <v>8989.0</v>
      </c>
      <c r="B199" s="8" t="s">
        <v>20</v>
      </c>
      <c r="C199" s="11" t="s">
        <v>12940</v>
      </c>
      <c r="D199" s="11" t="s">
        <v>75</v>
      </c>
      <c r="E199" s="11" t="s">
        <v>76</v>
      </c>
      <c r="F199" s="5"/>
      <c r="H199" s="9" t="s">
        <v>12941</v>
      </c>
      <c r="J199" s="12" t="s">
        <v>12942</v>
      </c>
    </row>
    <row r="200">
      <c r="A200" s="100">
        <v>8987.0</v>
      </c>
      <c r="B200" s="8" t="s">
        <v>720</v>
      </c>
      <c r="C200" s="11" t="s">
        <v>6428</v>
      </c>
      <c r="D200" s="11" t="s">
        <v>75</v>
      </c>
      <c r="E200" s="11" t="s">
        <v>76</v>
      </c>
      <c r="F200" s="5"/>
      <c r="J200" s="12" t="s">
        <v>12943</v>
      </c>
    </row>
    <row r="201">
      <c r="A201" s="100">
        <v>8871.0</v>
      </c>
      <c r="B201" s="8" t="s">
        <v>20</v>
      </c>
      <c r="C201" s="11" t="s">
        <v>680</v>
      </c>
      <c r="D201" s="11" t="s">
        <v>75</v>
      </c>
      <c r="E201" s="11" t="s">
        <v>76</v>
      </c>
      <c r="F201" s="5"/>
      <c r="H201" s="9" t="s">
        <v>12944</v>
      </c>
      <c r="J201" s="12" t="s">
        <v>12945</v>
      </c>
    </row>
    <row r="202">
      <c r="A202" s="100">
        <v>8870.0</v>
      </c>
      <c r="B202" s="8" t="s">
        <v>20</v>
      </c>
      <c r="C202" s="11" t="s">
        <v>12946</v>
      </c>
      <c r="D202" s="11" t="s">
        <v>75</v>
      </c>
      <c r="E202" s="11" t="s">
        <v>76</v>
      </c>
      <c r="F202" s="5"/>
      <c r="H202" s="9" t="s">
        <v>12947</v>
      </c>
    </row>
    <row r="203">
      <c r="A203" s="100">
        <v>8866.0</v>
      </c>
      <c r="B203" s="8" t="s">
        <v>20</v>
      </c>
      <c r="C203" s="11" t="s">
        <v>6597</v>
      </c>
      <c r="D203" s="11" t="s">
        <v>75</v>
      </c>
      <c r="E203" s="11" t="s">
        <v>76</v>
      </c>
      <c r="F203" s="5"/>
      <c r="H203" s="9" t="s">
        <v>12948</v>
      </c>
      <c r="I203" s="9" t="s">
        <v>12949</v>
      </c>
      <c r="J203" s="12" t="s">
        <v>12950</v>
      </c>
    </row>
    <row r="204">
      <c r="A204" s="100">
        <v>8865.0</v>
      </c>
      <c r="B204" s="8" t="s">
        <v>20</v>
      </c>
      <c r="C204" s="11" t="s">
        <v>12951</v>
      </c>
      <c r="D204" s="11" t="s">
        <v>75</v>
      </c>
      <c r="E204" s="11" t="s">
        <v>76</v>
      </c>
      <c r="F204" s="5"/>
      <c r="I204" s="12" t="s">
        <v>12952</v>
      </c>
      <c r="J204" s="12" t="s">
        <v>12953</v>
      </c>
    </row>
    <row r="205">
      <c r="A205" s="100">
        <v>8862.0</v>
      </c>
      <c r="B205" s="8" t="s">
        <v>20</v>
      </c>
      <c r="C205" s="11" t="s">
        <v>11058</v>
      </c>
      <c r="D205" s="11" t="s">
        <v>75</v>
      </c>
      <c r="E205" s="11" t="s">
        <v>76</v>
      </c>
      <c r="F205" s="5"/>
      <c r="J205" s="12" t="s">
        <v>12954</v>
      </c>
    </row>
    <row r="206">
      <c r="A206" s="100">
        <v>8791.0</v>
      </c>
      <c r="B206" s="8" t="s">
        <v>20</v>
      </c>
      <c r="C206" s="11" t="s">
        <v>4106</v>
      </c>
      <c r="D206" s="11" t="s">
        <v>75</v>
      </c>
      <c r="E206" s="11" t="s">
        <v>76</v>
      </c>
      <c r="F206" s="5"/>
      <c r="H206" s="9" t="s">
        <v>12896</v>
      </c>
      <c r="J206" s="12" t="s">
        <v>12897</v>
      </c>
    </row>
    <row r="207">
      <c r="A207" s="100">
        <v>18125.0</v>
      </c>
      <c r="B207" s="8" t="s">
        <v>20</v>
      </c>
      <c r="C207" s="11" t="s">
        <v>8507</v>
      </c>
      <c r="D207" s="11" t="s">
        <v>75</v>
      </c>
      <c r="E207" s="11" t="s">
        <v>12664</v>
      </c>
      <c r="F207" s="5"/>
      <c r="H207" s="9" t="s">
        <v>12955</v>
      </c>
    </row>
    <row r="208">
      <c r="A208" s="100">
        <v>9065.0</v>
      </c>
      <c r="B208" s="8" t="s">
        <v>20</v>
      </c>
      <c r="C208" s="11" t="s">
        <v>1420</v>
      </c>
      <c r="D208" s="11" t="s">
        <v>75</v>
      </c>
      <c r="E208" s="11" t="s">
        <v>12664</v>
      </c>
      <c r="F208" s="5"/>
      <c r="H208" s="9" t="s">
        <v>12956</v>
      </c>
    </row>
    <row r="209">
      <c r="A209" s="100">
        <v>9057.0</v>
      </c>
      <c r="B209" s="8" t="s">
        <v>20</v>
      </c>
      <c r="C209" s="11" t="s">
        <v>12957</v>
      </c>
      <c r="D209" s="11" t="s">
        <v>75</v>
      </c>
      <c r="E209" s="11" t="s">
        <v>12664</v>
      </c>
      <c r="F209" s="5"/>
      <c r="H209" s="9" t="s">
        <v>12958</v>
      </c>
    </row>
    <row r="210">
      <c r="A210" s="100">
        <v>9052.0</v>
      </c>
      <c r="B210" s="8" t="s">
        <v>276</v>
      </c>
      <c r="C210" s="11" t="s">
        <v>3482</v>
      </c>
      <c r="D210" s="11" t="s">
        <v>75</v>
      </c>
      <c r="E210" s="11" t="s">
        <v>12664</v>
      </c>
      <c r="F210" s="5"/>
      <c r="H210" s="9" t="s">
        <v>12959</v>
      </c>
      <c r="J210" s="12" t="s">
        <v>12960</v>
      </c>
    </row>
    <row r="211">
      <c r="A211" s="100">
        <v>9051.0</v>
      </c>
      <c r="B211" s="8" t="s">
        <v>20</v>
      </c>
      <c r="C211" s="11" t="s">
        <v>6550</v>
      </c>
      <c r="D211" s="11" t="s">
        <v>75</v>
      </c>
      <c r="E211" s="11" t="s">
        <v>12664</v>
      </c>
      <c r="F211" s="5"/>
      <c r="H211" s="9" t="s">
        <v>12961</v>
      </c>
    </row>
    <row r="212">
      <c r="A212" s="100">
        <v>8863.0</v>
      </c>
      <c r="B212" s="8" t="s">
        <v>20</v>
      </c>
      <c r="C212" s="11" t="s">
        <v>12962</v>
      </c>
      <c r="D212" s="11" t="s">
        <v>75</v>
      </c>
      <c r="E212" s="11" t="s">
        <v>12664</v>
      </c>
      <c r="F212" s="5"/>
      <c r="H212" s="9" t="s">
        <v>12963</v>
      </c>
    </row>
    <row r="213">
      <c r="A213" s="100">
        <v>8861.0</v>
      </c>
      <c r="B213" s="8" t="s">
        <v>20</v>
      </c>
      <c r="C213" s="11" t="s">
        <v>7173</v>
      </c>
      <c r="D213" s="11" t="s">
        <v>75</v>
      </c>
      <c r="E213" s="11" t="s">
        <v>12664</v>
      </c>
      <c r="F213" s="5"/>
      <c r="H213" s="9" t="s">
        <v>12725</v>
      </c>
    </row>
    <row r="214">
      <c r="A214" s="100">
        <v>8854.0</v>
      </c>
      <c r="B214" s="8" t="s">
        <v>20</v>
      </c>
      <c r="C214" s="11" t="s">
        <v>12964</v>
      </c>
      <c r="D214" s="11" t="s">
        <v>75</v>
      </c>
      <c r="E214" s="11" t="s">
        <v>12664</v>
      </c>
      <c r="F214" s="5"/>
      <c r="H214" s="267" t="s">
        <v>12965</v>
      </c>
    </row>
    <row r="215">
      <c r="A215" s="100">
        <v>8833.0</v>
      </c>
      <c r="B215" s="8" t="s">
        <v>20</v>
      </c>
      <c r="C215" s="11" t="s">
        <v>10790</v>
      </c>
      <c r="D215" s="11" t="s">
        <v>75</v>
      </c>
      <c r="E215" s="11" t="s">
        <v>12664</v>
      </c>
      <c r="F215" s="5"/>
      <c r="H215" s="9" t="s">
        <v>12966</v>
      </c>
    </row>
    <row r="216">
      <c r="A216" s="100">
        <v>8829.0</v>
      </c>
      <c r="B216" s="8" t="s">
        <v>20</v>
      </c>
      <c r="C216" s="11" t="s">
        <v>12967</v>
      </c>
      <c r="D216" s="11" t="s">
        <v>75</v>
      </c>
      <c r="E216" s="11" t="s">
        <v>12664</v>
      </c>
      <c r="F216" s="5"/>
      <c r="H216" s="9" t="s">
        <v>12956</v>
      </c>
    </row>
    <row r="217">
      <c r="A217" s="100">
        <v>8826.0</v>
      </c>
      <c r="B217" s="8" t="s">
        <v>20</v>
      </c>
      <c r="C217" s="11" t="s">
        <v>1378</v>
      </c>
      <c r="D217" s="11" t="s">
        <v>75</v>
      </c>
      <c r="E217" s="11" t="s">
        <v>12664</v>
      </c>
      <c r="F217" s="5"/>
      <c r="H217" s="9" t="s">
        <v>12784</v>
      </c>
    </row>
    <row r="218">
      <c r="A218" s="100">
        <v>8816.0</v>
      </c>
      <c r="B218" s="8" t="s">
        <v>20</v>
      </c>
      <c r="C218" s="11" t="s">
        <v>12968</v>
      </c>
      <c r="D218" s="11" t="s">
        <v>75</v>
      </c>
      <c r="E218" s="11" t="s">
        <v>12664</v>
      </c>
      <c r="F218" s="5"/>
      <c r="H218" s="9" t="s">
        <v>12969</v>
      </c>
    </row>
    <row r="219">
      <c r="A219" s="100">
        <v>8800.0</v>
      </c>
      <c r="B219" s="8" t="s">
        <v>20</v>
      </c>
      <c r="C219" s="11" t="s">
        <v>1417</v>
      </c>
      <c r="D219" s="11" t="s">
        <v>75</v>
      </c>
      <c r="E219" s="11" t="s">
        <v>12664</v>
      </c>
      <c r="F219" s="5"/>
      <c r="H219" s="9" t="s">
        <v>12970</v>
      </c>
    </row>
    <row r="220">
      <c r="A220" s="100">
        <v>22886.0</v>
      </c>
      <c r="B220" s="8" t="s">
        <v>20</v>
      </c>
      <c r="C220" s="11" t="s">
        <v>1975</v>
      </c>
      <c r="D220" s="11" t="s">
        <v>75</v>
      </c>
      <c r="E220" s="11" t="s">
        <v>12585</v>
      </c>
      <c r="F220" s="5"/>
      <c r="J220" s="12" t="s">
        <v>12971</v>
      </c>
    </row>
    <row r="221">
      <c r="A221" s="100">
        <v>18135.0</v>
      </c>
      <c r="B221" s="8" t="s">
        <v>20</v>
      </c>
      <c r="C221" s="11" t="s">
        <v>12584</v>
      </c>
      <c r="D221" s="11" t="s">
        <v>75</v>
      </c>
      <c r="E221" s="11" t="s">
        <v>12585</v>
      </c>
      <c r="F221" s="5"/>
      <c r="J221" s="12" t="s">
        <v>12586</v>
      </c>
    </row>
    <row r="222">
      <c r="A222" s="100">
        <v>9196.0</v>
      </c>
      <c r="B222" s="8" t="s">
        <v>20</v>
      </c>
      <c r="C222" s="11" t="s">
        <v>4348</v>
      </c>
      <c r="D222" s="11" t="s">
        <v>75</v>
      </c>
      <c r="E222" s="11" t="s">
        <v>12585</v>
      </c>
      <c r="F222" s="5"/>
      <c r="J222" s="12" t="s">
        <v>12637</v>
      </c>
    </row>
    <row r="223">
      <c r="A223" s="100">
        <v>9129.0</v>
      </c>
      <c r="B223" s="8" t="s">
        <v>20</v>
      </c>
      <c r="C223" s="11" t="s">
        <v>12972</v>
      </c>
      <c r="D223" s="11" t="s">
        <v>75</v>
      </c>
      <c r="E223" s="11" t="s">
        <v>12585</v>
      </c>
      <c r="F223" s="5"/>
      <c r="H223" s="9" t="s">
        <v>12973</v>
      </c>
      <c r="J223" s="12" t="s">
        <v>12608</v>
      </c>
    </row>
    <row r="224">
      <c r="A224" s="100">
        <v>8903.0</v>
      </c>
      <c r="B224" s="8" t="s">
        <v>20</v>
      </c>
      <c r="C224" s="11" t="s">
        <v>12974</v>
      </c>
      <c r="D224" s="11" t="s">
        <v>75</v>
      </c>
      <c r="E224" s="11" t="s">
        <v>12585</v>
      </c>
      <c r="F224" s="5"/>
      <c r="J224" s="12" t="s">
        <v>12975</v>
      </c>
    </row>
    <row r="225">
      <c r="A225" s="100">
        <v>12972.0</v>
      </c>
      <c r="B225" s="8" t="s">
        <v>20</v>
      </c>
      <c r="C225" s="11" t="s">
        <v>12976</v>
      </c>
      <c r="D225" s="11" t="s">
        <v>75</v>
      </c>
      <c r="E225" s="11" t="s">
        <v>12977</v>
      </c>
      <c r="F225" s="5"/>
      <c r="H225" s="9" t="s">
        <v>12978</v>
      </c>
    </row>
    <row r="226">
      <c r="A226" s="100">
        <v>9091.0</v>
      </c>
      <c r="B226" s="8" t="s">
        <v>20</v>
      </c>
      <c r="C226" s="11" t="s">
        <v>12979</v>
      </c>
      <c r="D226" s="11" t="s">
        <v>75</v>
      </c>
      <c r="E226" s="11" t="s">
        <v>12977</v>
      </c>
      <c r="F226" s="5"/>
      <c r="J226" s="12" t="s">
        <v>12980</v>
      </c>
    </row>
    <row r="227">
      <c r="B227" s="8" t="s">
        <v>20</v>
      </c>
      <c r="C227" s="8" t="s">
        <v>12981</v>
      </c>
      <c r="D227" s="8" t="s">
        <v>75</v>
      </c>
      <c r="E227" s="8" t="s">
        <v>76</v>
      </c>
      <c r="J227" s="12" t="s">
        <v>12982</v>
      </c>
    </row>
  </sheetData>
  <conditionalFormatting sqref="A1:V1">
    <cfRule type="notContainsBlanks" dxfId="0" priority="1">
      <formula>LEN(TRIM(A1))&gt;0</formula>
    </cfRule>
  </conditionalFormatting>
  <dataValidations>
    <dataValidation type="list" allowBlank="1" showErrorMessage="1" sqref="E2:E226">
      <formula1>"سمنان,مهدیشهر,شاهرود,کهن اباد,مهدی شهر,سرخه,ایوانکی,دامغان,آرادان,گرمسار,شهمیرزاد,درجزین,بسطام,بدون شهرستان,میامی"</formula1>
    </dataValidation>
    <dataValidation type="list" allowBlank="1" showErrorMessage="1" sqref="F2:F226">
      <formula1>"دانشگاه سمنان,شهرک گلستان,روستای گرمن"</formula1>
    </dataValidation>
    <dataValidation type="list" allowBlank="1" showErrorMessage="1" sqref="B2:B226">
      <formula1>"هیأت دانشجویی,هیأت,موکب,حسینیه,مهدیه,مسجد,تکیه,هیأت دانش آموزی,پایگاه,هیأت نوجوانان"</formula1>
    </dataValidation>
  </dataValidations>
  <hyperlinks>
    <hyperlink r:id="rId1" ref="H2"/>
    <hyperlink r:id="rId2" ref="J2"/>
    <hyperlink r:id="rId3" ref="J3"/>
    <hyperlink r:id="rId4" ref="H4"/>
    <hyperlink r:id="rId5" ref="I4"/>
    <hyperlink r:id="rId6" ref="J4"/>
    <hyperlink r:id="rId7" ref="J5"/>
    <hyperlink r:id="rId8" ref="H6"/>
    <hyperlink r:id="rId9" ref="J6"/>
    <hyperlink r:id="rId10" ref="J7"/>
    <hyperlink r:id="rId11" ref="J8"/>
    <hyperlink r:id="rId12" ref="J9"/>
    <hyperlink r:id="rId13" ref="J10"/>
    <hyperlink r:id="rId14" ref="H11"/>
    <hyperlink r:id="rId15" ref="J11"/>
    <hyperlink r:id="rId16" ref="J12"/>
    <hyperlink r:id="rId17" ref="H13"/>
    <hyperlink r:id="rId18" ref="J13"/>
    <hyperlink r:id="rId19" ref="H14"/>
    <hyperlink r:id="rId20" ref="J14"/>
    <hyperlink r:id="rId21" ref="H15"/>
    <hyperlink r:id="rId22" ref="J15"/>
    <hyperlink r:id="rId23" ref="J16"/>
    <hyperlink r:id="rId24" ref="J17"/>
    <hyperlink r:id="rId25" ref="H18"/>
    <hyperlink r:id="rId26" ref="J18"/>
    <hyperlink r:id="rId27" ref="H19"/>
    <hyperlink r:id="rId28" ref="I19"/>
    <hyperlink r:id="rId29" ref="J19"/>
    <hyperlink r:id="rId30" ref="H20"/>
    <hyperlink r:id="rId31" ref="I20"/>
    <hyperlink r:id="rId32" ref="J20"/>
    <hyperlink r:id="rId33" ref="H21"/>
    <hyperlink r:id="rId34" ref="I21"/>
    <hyperlink r:id="rId35" ref="J21"/>
    <hyperlink r:id="rId36" ref="H22"/>
    <hyperlink r:id="rId37" ref="I22"/>
    <hyperlink r:id="rId38" ref="J22"/>
    <hyperlink r:id="rId39" ref="H23"/>
    <hyperlink r:id="rId40" ref="J23"/>
    <hyperlink r:id="rId41" ref="J24"/>
    <hyperlink r:id="rId42" ref="J25"/>
    <hyperlink r:id="rId43" ref="H26"/>
    <hyperlink r:id="rId44" ref="I26"/>
    <hyperlink r:id="rId45" ref="J26"/>
    <hyperlink r:id="rId46" ref="H27"/>
    <hyperlink r:id="rId47" ref="I27"/>
    <hyperlink r:id="rId48" ref="J27"/>
    <hyperlink r:id="rId49" ref="H28"/>
    <hyperlink r:id="rId50" ref="J28"/>
    <hyperlink r:id="rId51" ref="J29"/>
    <hyperlink r:id="rId52" ref="J30"/>
    <hyperlink r:id="rId53" ref="J31"/>
    <hyperlink r:id="rId54" ref="H32"/>
    <hyperlink r:id="rId55" ref="I32"/>
    <hyperlink r:id="rId56" ref="J32"/>
    <hyperlink r:id="rId57" ref="H33"/>
    <hyperlink r:id="rId58" ref="I33"/>
    <hyperlink r:id="rId59" ref="J33"/>
    <hyperlink r:id="rId60" ref="H34"/>
    <hyperlink r:id="rId61" ref="I34"/>
    <hyperlink r:id="rId62" ref="J34"/>
    <hyperlink r:id="rId63" ref="J35"/>
    <hyperlink r:id="rId64" ref="J36"/>
    <hyperlink r:id="rId65" ref="J37"/>
    <hyperlink r:id="rId66" ref="H38"/>
    <hyperlink r:id="rId67" ref="J38"/>
    <hyperlink r:id="rId68" ref="H39"/>
    <hyperlink r:id="rId69" ref="I39"/>
    <hyperlink r:id="rId70" ref="J39"/>
    <hyperlink r:id="rId71" ref="H40"/>
    <hyperlink r:id="rId72" ref="H41"/>
    <hyperlink r:id="rId73" ref="I41"/>
    <hyperlink r:id="rId74" ref="H42"/>
    <hyperlink r:id="rId75" ref="I42"/>
    <hyperlink r:id="rId76" ref="H43"/>
    <hyperlink r:id="rId77" ref="H44"/>
    <hyperlink r:id="rId78" ref="I44"/>
    <hyperlink r:id="rId79" ref="H45"/>
    <hyperlink r:id="rId80" ref="I45"/>
    <hyperlink r:id="rId81" ref="H46"/>
    <hyperlink r:id="rId82" ref="H47"/>
    <hyperlink r:id="rId83" ref="I47"/>
    <hyperlink r:id="rId84" ref="H48"/>
    <hyperlink r:id="rId85" ref="I48"/>
    <hyperlink r:id="rId86" ref="H49"/>
    <hyperlink r:id="rId87" ref="H50"/>
    <hyperlink r:id="rId88" ref="I50"/>
    <hyperlink r:id="rId89" ref="H51"/>
    <hyperlink r:id="rId90" ref="H52"/>
    <hyperlink r:id="rId91" ref="H53"/>
    <hyperlink r:id="rId92" ref="I53"/>
    <hyperlink r:id="rId93" ref="H54"/>
    <hyperlink r:id="rId94" ref="I54"/>
    <hyperlink r:id="rId95" ref="H55"/>
    <hyperlink r:id="rId96" ref="H56"/>
    <hyperlink r:id="rId97" ref="H57"/>
    <hyperlink r:id="rId98" ref="H58"/>
    <hyperlink r:id="rId99" ref="I58"/>
    <hyperlink r:id="rId100" ref="H59"/>
    <hyperlink r:id="rId101" ref="I59"/>
    <hyperlink r:id="rId102" ref="H60"/>
    <hyperlink r:id="rId103" ref="I60"/>
    <hyperlink r:id="rId104" ref="H61"/>
    <hyperlink r:id="rId105" ref="H62"/>
    <hyperlink r:id="rId106" ref="H63"/>
    <hyperlink r:id="rId107" ref="I63"/>
    <hyperlink r:id="rId108" ref="H64"/>
    <hyperlink r:id="rId109" ref="H65"/>
    <hyperlink r:id="rId110" ref="H66"/>
    <hyperlink r:id="rId111" ref="H67"/>
    <hyperlink r:id="rId112" ref="H68"/>
    <hyperlink r:id="rId113" ref="H69"/>
    <hyperlink r:id="rId114" ref="I69"/>
    <hyperlink r:id="rId115" ref="H70"/>
    <hyperlink r:id="rId116" ref="I70"/>
    <hyperlink r:id="rId117" ref="H71"/>
    <hyperlink r:id="rId118" ref="I71"/>
    <hyperlink r:id="rId119" ref="H72"/>
    <hyperlink r:id="rId120" ref="H73"/>
    <hyperlink r:id="rId121" ref="H74"/>
    <hyperlink r:id="rId122" ref="H75"/>
    <hyperlink r:id="rId123" ref="I75"/>
    <hyperlink r:id="rId124" ref="H76"/>
    <hyperlink r:id="rId125" ref="I76"/>
    <hyperlink r:id="rId126" ref="H77"/>
    <hyperlink r:id="rId127" ref="H78"/>
    <hyperlink r:id="rId128" ref="H79"/>
    <hyperlink r:id="rId129" ref="I79"/>
    <hyperlink r:id="rId130" ref="H80"/>
    <hyperlink r:id="rId131" ref="H81"/>
    <hyperlink r:id="rId132" ref="I81"/>
    <hyperlink r:id="rId133" ref="H82"/>
    <hyperlink r:id="rId134" ref="I82"/>
    <hyperlink r:id="rId135" ref="H83"/>
    <hyperlink r:id="rId136" ref="H84"/>
    <hyperlink r:id="rId137" ref="H85"/>
    <hyperlink r:id="rId138" ref="I85"/>
    <hyperlink r:id="rId139" ref="H86"/>
    <hyperlink r:id="rId140" ref="H87"/>
    <hyperlink r:id="rId141" ref="H88"/>
    <hyperlink r:id="rId142" ref="H89"/>
    <hyperlink r:id="rId143" ref="I89"/>
    <hyperlink r:id="rId144" ref="H90"/>
    <hyperlink r:id="rId145" ref="I90"/>
    <hyperlink r:id="rId146" ref="H91"/>
    <hyperlink r:id="rId147" ref="H92"/>
    <hyperlink r:id="rId148" ref="I92"/>
    <hyperlink r:id="rId149" ref="H93"/>
    <hyperlink r:id="rId150" ref="I93"/>
    <hyperlink r:id="rId151" ref="H94"/>
    <hyperlink r:id="rId152" ref="H95"/>
    <hyperlink r:id="rId153" ref="H96"/>
    <hyperlink r:id="rId154" ref="H97"/>
    <hyperlink r:id="rId155" ref="H98"/>
    <hyperlink r:id="rId156" ref="H99"/>
    <hyperlink r:id="rId157" ref="H100"/>
    <hyperlink r:id="rId158" ref="H101"/>
    <hyperlink r:id="rId159" ref="H102"/>
    <hyperlink r:id="rId160" ref="H103"/>
    <hyperlink r:id="rId161" ref="I103"/>
    <hyperlink r:id="rId162" ref="H104"/>
    <hyperlink r:id="rId163" ref="H105"/>
    <hyperlink r:id="rId164" ref="H106"/>
    <hyperlink r:id="rId165" ref="I106"/>
    <hyperlink r:id="rId166" ref="H107"/>
    <hyperlink r:id="rId167" ref="H108"/>
    <hyperlink r:id="rId168" ref="I108"/>
    <hyperlink r:id="rId169" ref="H109"/>
    <hyperlink r:id="rId170" ref="I109"/>
    <hyperlink r:id="rId171" ref="H110"/>
    <hyperlink r:id="rId172" ref="H111"/>
    <hyperlink r:id="rId173" ref="H112"/>
    <hyperlink r:id="rId174" ref="H113"/>
    <hyperlink r:id="rId175" ref="I113"/>
    <hyperlink r:id="rId176" ref="H114"/>
    <hyperlink r:id="rId177" ref="H115"/>
    <hyperlink r:id="rId178" ref="I116"/>
    <hyperlink r:id="rId179" ref="H117"/>
    <hyperlink r:id="rId180" ref="J118"/>
    <hyperlink r:id="rId181" ref="J119"/>
    <hyperlink r:id="rId182" ref="H120"/>
    <hyperlink r:id="rId183" ref="J120"/>
    <hyperlink r:id="rId184" ref="H121"/>
    <hyperlink r:id="rId185" ref="J121"/>
    <hyperlink r:id="rId186" ref="H122"/>
    <hyperlink r:id="rId187" ref="H123"/>
    <hyperlink r:id="rId188" ref="J123"/>
    <hyperlink r:id="rId189" ref="H124"/>
    <hyperlink r:id="rId190" ref="J124"/>
    <hyperlink r:id="rId191" ref="J125"/>
    <hyperlink r:id="rId192" ref="H126"/>
    <hyperlink r:id="rId193" ref="J126"/>
    <hyperlink r:id="rId194" ref="H127"/>
    <hyperlink r:id="rId195" ref="J128"/>
    <hyperlink r:id="rId196" ref="H129"/>
    <hyperlink r:id="rId197" ref="J129"/>
    <hyperlink r:id="rId198" ref="H130"/>
    <hyperlink r:id="rId199" ref="H131"/>
    <hyperlink r:id="rId200" ref="I132"/>
    <hyperlink r:id="rId201" ref="J133"/>
    <hyperlink r:id="rId202" ref="H134"/>
    <hyperlink r:id="rId203" ref="H135"/>
    <hyperlink r:id="rId204" ref="H136"/>
    <hyperlink r:id="rId205" ref="J136"/>
    <hyperlink r:id="rId206" ref="I137"/>
    <hyperlink r:id="rId207" ref="J137"/>
    <hyperlink r:id="rId208" ref="J138"/>
    <hyperlink r:id="rId209" ref="H139"/>
    <hyperlink r:id="rId210" ref="I139"/>
    <hyperlink r:id="rId211" ref="H140"/>
    <hyperlink r:id="rId212" ref="H141"/>
    <hyperlink r:id="rId213" ref="J141"/>
    <hyperlink r:id="rId214" ref="H142"/>
    <hyperlink r:id="rId215" ref="I143"/>
    <hyperlink r:id="rId216" ref="H144"/>
    <hyperlink r:id="rId217" ref="I144"/>
    <hyperlink r:id="rId218" ref="J144"/>
    <hyperlink r:id="rId219" ref="H145"/>
    <hyperlink r:id="rId220" ref="I145"/>
    <hyperlink r:id="rId221" ref="J145"/>
    <hyperlink r:id="rId222" ref="H146"/>
    <hyperlink r:id="rId223" ref="H147"/>
    <hyperlink r:id="rId224" ref="J147"/>
    <hyperlink r:id="rId225" ref="I148"/>
    <hyperlink r:id="rId226" ref="J148"/>
    <hyperlink r:id="rId227" ref="H149"/>
    <hyperlink r:id="rId228" ref="I150"/>
    <hyperlink r:id="rId229" ref="J151"/>
    <hyperlink r:id="rId230" ref="H152"/>
    <hyperlink r:id="rId231" ref="J152"/>
    <hyperlink r:id="rId232" ref="H153"/>
    <hyperlink r:id="rId233" ref="H154"/>
    <hyperlink r:id="rId234" ref="J154"/>
    <hyperlink r:id="rId235" ref="J155"/>
    <hyperlink r:id="rId236" ref="H156"/>
    <hyperlink r:id="rId237" ref="I156"/>
    <hyperlink r:id="rId238" ref="J156"/>
    <hyperlink r:id="rId239" ref="I157"/>
    <hyperlink r:id="rId240" ref="J157"/>
    <hyperlink r:id="rId241" ref="H158"/>
    <hyperlink r:id="rId242" ref="H159"/>
    <hyperlink r:id="rId243" ref="I159"/>
    <hyperlink r:id="rId244" ref="H160"/>
    <hyperlink r:id="rId245" ref="I161"/>
    <hyperlink r:id="rId246" ref="J161"/>
    <hyperlink r:id="rId247" ref="I162"/>
    <hyperlink r:id="rId248" ref="H163"/>
    <hyperlink r:id="rId249" ref="H164"/>
    <hyperlink r:id="rId250" ref="J164"/>
    <hyperlink r:id="rId251" ref="H165"/>
    <hyperlink r:id="rId252" ref="H166"/>
    <hyperlink r:id="rId253" ref="I166"/>
    <hyperlink r:id="rId254" ref="H167"/>
    <hyperlink r:id="rId255" ref="I167"/>
    <hyperlink r:id="rId256" ref="J168"/>
    <hyperlink r:id="rId257" ref="J169"/>
    <hyperlink r:id="rId258" ref="H170"/>
    <hyperlink r:id="rId259" ref="H171"/>
    <hyperlink r:id="rId260" ref="J171"/>
    <hyperlink r:id="rId261" ref="H172"/>
    <hyperlink r:id="rId262" ref="J172"/>
    <hyperlink r:id="rId263" ref="H173"/>
    <hyperlink r:id="rId264" ref="H174"/>
    <hyperlink r:id="rId265" ref="J174"/>
    <hyperlink r:id="rId266" ref="J175"/>
    <hyperlink r:id="rId267" ref="H176"/>
    <hyperlink r:id="rId268" ref="J176"/>
    <hyperlink r:id="rId269" ref="H177"/>
    <hyperlink r:id="rId270" ref="J177"/>
    <hyperlink r:id="rId271" ref="H178"/>
    <hyperlink r:id="rId272" ref="H179"/>
    <hyperlink r:id="rId273" ref="J180"/>
    <hyperlink r:id="rId274" ref="H181"/>
    <hyperlink r:id="rId275" ref="H182"/>
    <hyperlink r:id="rId276" ref="J182"/>
    <hyperlink r:id="rId277" ref="J183"/>
    <hyperlink r:id="rId278" ref="H184"/>
    <hyperlink r:id="rId279" ref="I184"/>
    <hyperlink r:id="rId280" ref="J184"/>
    <hyperlink r:id="rId281" ref="H185"/>
    <hyperlink r:id="rId282" ref="J185"/>
    <hyperlink r:id="rId283" ref="H186"/>
    <hyperlink r:id="rId284" ref="H187"/>
    <hyperlink r:id="rId285" ref="H188"/>
    <hyperlink r:id="rId286" ref="H189"/>
    <hyperlink r:id="rId287" ref="I189"/>
    <hyperlink r:id="rId288" ref="H190"/>
    <hyperlink r:id="rId289" ref="H191"/>
    <hyperlink r:id="rId290" ref="J192"/>
    <hyperlink r:id="rId291" ref="H193"/>
    <hyperlink r:id="rId292" ref="H194"/>
    <hyperlink r:id="rId293" ref="H195"/>
    <hyperlink r:id="rId294" ref="J196"/>
    <hyperlink r:id="rId295" ref="H197"/>
    <hyperlink r:id="rId296" ref="J198"/>
    <hyperlink r:id="rId297" ref="H199"/>
    <hyperlink r:id="rId298" ref="J199"/>
    <hyperlink r:id="rId299" ref="J200"/>
    <hyperlink r:id="rId300" ref="H201"/>
    <hyperlink r:id="rId301" ref="J201"/>
    <hyperlink r:id="rId302" ref="H202"/>
    <hyperlink r:id="rId303" ref="H203"/>
    <hyperlink r:id="rId304" ref="I203"/>
    <hyperlink r:id="rId305" ref="J203"/>
    <hyperlink r:id="rId306" ref="I204"/>
    <hyperlink r:id="rId307" ref="J204"/>
    <hyperlink r:id="rId308" ref="J205"/>
    <hyperlink r:id="rId309" ref="H206"/>
    <hyperlink r:id="rId310" ref="J206"/>
    <hyperlink r:id="rId311" ref="H207"/>
    <hyperlink r:id="rId312" ref="H208"/>
    <hyperlink r:id="rId313" ref="H209"/>
    <hyperlink r:id="rId314" ref="H210"/>
    <hyperlink r:id="rId315" ref="J210"/>
    <hyperlink r:id="rId316" ref="H211"/>
    <hyperlink r:id="rId317" ref="H212"/>
    <hyperlink r:id="rId318" ref="H213"/>
    <hyperlink r:id="rId319" ref="H214"/>
    <hyperlink r:id="rId320" ref="H215"/>
    <hyperlink r:id="rId321" ref="H216"/>
    <hyperlink r:id="rId322" ref="H217"/>
    <hyperlink r:id="rId323" ref="H218"/>
    <hyperlink r:id="rId324" ref="H219"/>
    <hyperlink r:id="rId325" ref="J220"/>
    <hyperlink r:id="rId326" ref="J221"/>
    <hyperlink r:id="rId327" ref="J222"/>
    <hyperlink r:id="rId328" ref="H223"/>
    <hyperlink r:id="rId329" ref="J223"/>
    <hyperlink r:id="rId330" ref="J224"/>
    <hyperlink r:id="rId331" ref="H225"/>
    <hyperlink r:id="rId332" ref="J226"/>
    <hyperlink r:id="rId333" ref="J227"/>
  </hyperlinks>
  <drawing r:id="rId334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6.5"/>
    <col customWidth="1" min="2" max="2" width="3.75"/>
    <col customWidth="1" min="3" max="3" width="54.25"/>
    <col customWidth="1" min="4" max="4" width="6.0"/>
    <col customWidth="1" min="5" max="5" width="10.0"/>
    <col customWidth="1" min="6" max="7" width="4.13"/>
    <col customWidth="1" min="8" max="8" width="38.25"/>
    <col customWidth="1" min="9" max="9" width="20.13"/>
    <col customWidth="1" min="10" max="10" width="33.38"/>
    <col customWidth="1" min="11" max="11" width="4.88"/>
    <col customWidth="1" min="12" max="12" width="3.88"/>
    <col customWidth="1" min="13" max="13" width="7.25"/>
    <col customWidth="1" min="14" max="14" width="4.38"/>
    <col customWidth="1" min="15" max="15" width="4.5"/>
    <col customWidth="1" min="16" max="16" width="4.13"/>
    <col customWidth="1" min="17" max="17" width="5.13"/>
    <col customWidth="1" min="18" max="18" width="4.25"/>
    <col customWidth="1" min="19" max="19" width="4.5"/>
  </cols>
  <sheetData>
    <row r="1">
      <c r="A1" s="8" t="s">
        <v>19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>
      <c r="A2" s="37">
        <v>32653.0</v>
      </c>
      <c r="B2" s="8" t="s">
        <v>2364</v>
      </c>
      <c r="C2" s="11" t="s">
        <v>1150</v>
      </c>
      <c r="D2" s="8" t="s">
        <v>12983</v>
      </c>
      <c r="E2" s="8" t="s">
        <v>12984</v>
      </c>
      <c r="H2" s="12" t="s">
        <v>12985</v>
      </c>
      <c r="I2" s="12" t="s">
        <v>12986</v>
      </c>
      <c r="J2" s="258"/>
    </row>
    <row r="3">
      <c r="A3" s="37">
        <v>24998.0</v>
      </c>
      <c r="B3" s="8"/>
      <c r="C3" s="11" t="s">
        <v>5649</v>
      </c>
      <c r="D3" s="8" t="s">
        <v>12983</v>
      </c>
      <c r="E3" s="8" t="s">
        <v>12984</v>
      </c>
      <c r="H3" s="12" t="s">
        <v>12987</v>
      </c>
    </row>
    <row r="4">
      <c r="A4" s="37">
        <v>24715.0</v>
      </c>
      <c r="B4" s="8" t="s">
        <v>3779</v>
      </c>
      <c r="C4" s="11" t="s">
        <v>8289</v>
      </c>
      <c r="D4" s="8" t="s">
        <v>12983</v>
      </c>
      <c r="E4" s="8" t="s">
        <v>12984</v>
      </c>
      <c r="H4" s="12" t="s">
        <v>12988</v>
      </c>
      <c r="I4" s="12" t="s">
        <v>12989</v>
      </c>
    </row>
    <row r="5">
      <c r="A5" s="37">
        <v>23809.0</v>
      </c>
      <c r="C5" s="11" t="s">
        <v>12990</v>
      </c>
      <c r="D5" s="8" t="s">
        <v>12983</v>
      </c>
      <c r="E5" s="8" t="s">
        <v>12984</v>
      </c>
      <c r="H5" s="296" t="s">
        <v>12991</v>
      </c>
    </row>
    <row r="6">
      <c r="A6" s="37">
        <v>23253.0</v>
      </c>
      <c r="B6" s="8"/>
      <c r="C6" s="11" t="s">
        <v>12992</v>
      </c>
      <c r="D6" s="8" t="s">
        <v>12983</v>
      </c>
      <c r="E6" s="8" t="s">
        <v>12993</v>
      </c>
      <c r="H6" s="12" t="s">
        <v>12994</v>
      </c>
      <c r="I6" s="9" t="s">
        <v>12995</v>
      </c>
    </row>
    <row r="7">
      <c r="A7" s="37">
        <v>23250.0</v>
      </c>
      <c r="C7" s="11" t="s">
        <v>1074</v>
      </c>
      <c r="D7" s="8" t="s">
        <v>12983</v>
      </c>
      <c r="E7" s="8" t="s">
        <v>12984</v>
      </c>
      <c r="H7" s="12" t="s">
        <v>12996</v>
      </c>
    </row>
    <row r="8">
      <c r="A8" s="37">
        <v>23248.0</v>
      </c>
      <c r="C8" s="11" t="s">
        <v>1439</v>
      </c>
      <c r="D8" s="8" t="s">
        <v>12983</v>
      </c>
      <c r="E8" s="8" t="s">
        <v>12984</v>
      </c>
      <c r="J8" s="12" t="s">
        <v>12997</v>
      </c>
    </row>
    <row r="9">
      <c r="A9" s="37">
        <v>23247.0</v>
      </c>
      <c r="B9" s="8" t="s">
        <v>3779</v>
      </c>
      <c r="C9" s="11" t="s">
        <v>8289</v>
      </c>
      <c r="D9" s="8" t="s">
        <v>12983</v>
      </c>
      <c r="E9" s="8" t="s">
        <v>12984</v>
      </c>
      <c r="H9" s="12" t="s">
        <v>12988</v>
      </c>
      <c r="I9" s="284" t="s">
        <v>12998</v>
      </c>
    </row>
    <row r="10">
      <c r="A10" s="37">
        <v>23246.0</v>
      </c>
      <c r="B10" s="8"/>
      <c r="C10" s="11" t="s">
        <v>874</v>
      </c>
      <c r="D10" s="8" t="s">
        <v>12983</v>
      </c>
      <c r="E10" s="8" t="s">
        <v>12984</v>
      </c>
      <c r="H10" s="12" t="s">
        <v>12999</v>
      </c>
      <c r="I10" s="244"/>
    </row>
    <row r="11">
      <c r="A11" s="37">
        <v>22610.0</v>
      </c>
      <c r="B11" s="8"/>
      <c r="C11" s="11" t="s">
        <v>13000</v>
      </c>
      <c r="D11" s="8" t="s">
        <v>12983</v>
      </c>
      <c r="E11" s="8" t="s">
        <v>13001</v>
      </c>
      <c r="J11" s="12" t="s">
        <v>13002</v>
      </c>
    </row>
    <row r="12">
      <c r="A12" s="37">
        <v>22382.0</v>
      </c>
      <c r="C12" s="11" t="s">
        <v>3209</v>
      </c>
      <c r="D12" s="8" t="s">
        <v>12983</v>
      </c>
      <c r="E12" s="8" t="s">
        <v>13003</v>
      </c>
      <c r="H12" s="12" t="s">
        <v>13004</v>
      </c>
      <c r="J12" s="12" t="s">
        <v>13005</v>
      </c>
    </row>
    <row r="13">
      <c r="A13" s="37">
        <v>22367.0</v>
      </c>
      <c r="C13" s="11" t="s">
        <v>5584</v>
      </c>
      <c r="D13" s="8" t="s">
        <v>12983</v>
      </c>
      <c r="E13" s="8" t="s">
        <v>12984</v>
      </c>
      <c r="H13" s="12" t="s">
        <v>13006</v>
      </c>
    </row>
    <row r="14">
      <c r="A14" s="37">
        <v>21678.0</v>
      </c>
      <c r="C14" s="11" t="s">
        <v>4079</v>
      </c>
      <c r="D14" s="8" t="s">
        <v>12983</v>
      </c>
      <c r="E14" s="8" t="s">
        <v>13007</v>
      </c>
      <c r="H14" s="12" t="s">
        <v>13008</v>
      </c>
    </row>
    <row r="15">
      <c r="A15" s="37">
        <v>21623.0</v>
      </c>
      <c r="B15" s="8"/>
      <c r="C15" s="11" t="s">
        <v>13009</v>
      </c>
      <c r="D15" s="8" t="s">
        <v>12983</v>
      </c>
      <c r="E15" s="8" t="s">
        <v>12993</v>
      </c>
      <c r="H15" s="12" t="s">
        <v>13010</v>
      </c>
    </row>
    <row r="16">
      <c r="A16" s="37">
        <v>20855.0</v>
      </c>
      <c r="B16" s="8"/>
      <c r="C16" s="11" t="s">
        <v>13011</v>
      </c>
      <c r="D16" s="8" t="s">
        <v>12983</v>
      </c>
      <c r="E16" s="8" t="s">
        <v>13012</v>
      </c>
      <c r="H16" s="12" t="s">
        <v>13013</v>
      </c>
    </row>
    <row r="17">
      <c r="A17" s="37">
        <v>18253.0</v>
      </c>
      <c r="B17" s="8"/>
      <c r="C17" s="11" t="s">
        <v>74</v>
      </c>
      <c r="D17" s="8" t="s">
        <v>12983</v>
      </c>
      <c r="E17" s="8" t="s">
        <v>13014</v>
      </c>
      <c r="H17" s="12" t="s">
        <v>13015</v>
      </c>
    </row>
    <row r="18">
      <c r="A18" s="37">
        <v>177988.0</v>
      </c>
      <c r="C18" s="11" t="s">
        <v>963</v>
      </c>
      <c r="D18" s="8" t="s">
        <v>12983</v>
      </c>
      <c r="E18" s="8" t="s">
        <v>13016</v>
      </c>
      <c r="H18" s="12" t="s">
        <v>13017</v>
      </c>
    </row>
    <row r="19">
      <c r="A19" s="37" t="s">
        <v>13018</v>
      </c>
      <c r="C19" s="11" t="s">
        <v>3479</v>
      </c>
      <c r="D19" s="8" t="s">
        <v>12983</v>
      </c>
      <c r="E19" s="8" t="s">
        <v>13019</v>
      </c>
      <c r="J19" s="12" t="s">
        <v>13020</v>
      </c>
    </row>
    <row r="20">
      <c r="A20" s="37">
        <v>16015.0</v>
      </c>
      <c r="C20" s="11" t="s">
        <v>13021</v>
      </c>
      <c r="D20" s="8" t="s">
        <v>12983</v>
      </c>
      <c r="E20" s="8" t="s">
        <v>12984</v>
      </c>
      <c r="J20" s="12" t="s">
        <v>13022</v>
      </c>
    </row>
    <row r="21">
      <c r="A21" s="37">
        <v>16005.0</v>
      </c>
      <c r="C21" s="11" t="s">
        <v>13023</v>
      </c>
      <c r="D21" s="8" t="s">
        <v>12983</v>
      </c>
      <c r="E21" s="8" t="s">
        <v>13024</v>
      </c>
      <c r="J21" s="12" t="s">
        <v>13025</v>
      </c>
    </row>
    <row r="22">
      <c r="A22" s="37">
        <v>15946.0</v>
      </c>
      <c r="C22" s="11" t="s">
        <v>12816</v>
      </c>
      <c r="D22" s="8" t="s">
        <v>12983</v>
      </c>
      <c r="E22" s="8" t="s">
        <v>13003</v>
      </c>
      <c r="H22" s="12" t="s">
        <v>13026</v>
      </c>
      <c r="J22" s="12" t="s">
        <v>13027</v>
      </c>
    </row>
    <row r="23">
      <c r="A23" s="37">
        <v>15884.0</v>
      </c>
      <c r="B23" s="8"/>
      <c r="C23" s="11" t="s">
        <v>13028</v>
      </c>
      <c r="D23" s="8" t="s">
        <v>12983</v>
      </c>
      <c r="E23" s="8" t="s">
        <v>13014</v>
      </c>
      <c r="H23" s="12" t="s">
        <v>13029</v>
      </c>
    </row>
    <row r="24">
      <c r="A24" s="37">
        <v>15773.0</v>
      </c>
      <c r="C24" s="11" t="s">
        <v>4214</v>
      </c>
      <c r="D24" s="8" t="s">
        <v>12983</v>
      </c>
      <c r="E24" s="8" t="s">
        <v>12984</v>
      </c>
      <c r="F24" s="37" t="s">
        <v>4926</v>
      </c>
      <c r="G24" s="37"/>
      <c r="H24" s="296" t="s">
        <v>13030</v>
      </c>
    </row>
    <row r="25">
      <c r="A25" s="37">
        <v>15753.0</v>
      </c>
      <c r="C25" s="11" t="s">
        <v>3592</v>
      </c>
      <c r="D25" s="8" t="s">
        <v>12983</v>
      </c>
      <c r="E25" s="8" t="s">
        <v>12984</v>
      </c>
      <c r="H25" s="12" t="s">
        <v>13031</v>
      </c>
    </row>
    <row r="26">
      <c r="A26" s="37">
        <v>15747.0</v>
      </c>
      <c r="C26" s="11" t="s">
        <v>963</v>
      </c>
      <c r="D26" s="8" t="s">
        <v>12983</v>
      </c>
      <c r="E26" s="8" t="s">
        <v>12984</v>
      </c>
      <c r="H26" s="12" t="s">
        <v>13032</v>
      </c>
    </row>
    <row r="27">
      <c r="A27" s="37">
        <v>15726.0</v>
      </c>
      <c r="C27" s="11" t="s">
        <v>5427</v>
      </c>
      <c r="D27" s="8" t="s">
        <v>12983</v>
      </c>
      <c r="E27" s="8" t="s">
        <v>12984</v>
      </c>
      <c r="H27" s="12" t="s">
        <v>13033</v>
      </c>
    </row>
    <row r="28">
      <c r="C28" s="285" t="s">
        <v>4572</v>
      </c>
      <c r="D28" s="8" t="s">
        <v>12983</v>
      </c>
      <c r="E28" s="8" t="s">
        <v>12984</v>
      </c>
      <c r="H28" s="12" t="s">
        <v>13034</v>
      </c>
    </row>
    <row r="29">
      <c r="C29" s="11" t="s">
        <v>13035</v>
      </c>
      <c r="D29" s="8" t="s">
        <v>12983</v>
      </c>
      <c r="E29" s="8" t="s">
        <v>13014</v>
      </c>
      <c r="H29" s="12" t="s">
        <v>13036</v>
      </c>
      <c r="J29" s="12" t="s">
        <v>13037</v>
      </c>
    </row>
    <row r="30">
      <c r="A30" s="100">
        <v>32353.0</v>
      </c>
      <c r="B30" s="8" t="s">
        <v>3779</v>
      </c>
      <c r="C30" s="11" t="s">
        <v>13038</v>
      </c>
      <c r="D30" s="8" t="s">
        <v>12983</v>
      </c>
      <c r="E30" s="11" t="s">
        <v>12993</v>
      </c>
      <c r="H30" s="9" t="s">
        <v>13039</v>
      </c>
      <c r="I30" s="12" t="s">
        <v>13040</v>
      </c>
    </row>
    <row r="31">
      <c r="A31" s="100">
        <v>32299.0</v>
      </c>
      <c r="B31" s="8" t="s">
        <v>3779</v>
      </c>
      <c r="C31" s="11" t="s">
        <v>13041</v>
      </c>
      <c r="D31" s="8" t="s">
        <v>12983</v>
      </c>
      <c r="E31" s="11" t="s">
        <v>12993</v>
      </c>
      <c r="H31" s="9" t="s">
        <v>13042</v>
      </c>
    </row>
    <row r="32">
      <c r="A32" s="100">
        <v>32272.0</v>
      </c>
      <c r="B32" s="8" t="s">
        <v>3779</v>
      </c>
      <c r="C32" s="11" t="s">
        <v>963</v>
      </c>
      <c r="D32" s="8" t="s">
        <v>12983</v>
      </c>
      <c r="E32" s="11" t="s">
        <v>12993</v>
      </c>
      <c r="H32" s="9" t="s">
        <v>13043</v>
      </c>
    </row>
    <row r="33">
      <c r="A33" s="100">
        <v>31380.0</v>
      </c>
      <c r="B33" s="8" t="s">
        <v>3779</v>
      </c>
      <c r="C33" s="11" t="s">
        <v>13044</v>
      </c>
      <c r="D33" s="8" t="s">
        <v>12983</v>
      </c>
      <c r="E33" s="11" t="s">
        <v>13045</v>
      </c>
      <c r="H33" s="9" t="s">
        <v>13046</v>
      </c>
    </row>
    <row r="34">
      <c r="A34" s="100">
        <v>30448.0</v>
      </c>
      <c r="B34" s="8" t="s">
        <v>3779</v>
      </c>
      <c r="C34" s="11" t="s">
        <v>13047</v>
      </c>
      <c r="D34" s="8" t="s">
        <v>12983</v>
      </c>
      <c r="E34" s="11" t="s">
        <v>12993</v>
      </c>
      <c r="H34" s="9" t="s">
        <v>13048</v>
      </c>
    </row>
    <row r="35">
      <c r="A35" s="100">
        <v>30206.0</v>
      </c>
      <c r="B35" s="8" t="s">
        <v>276</v>
      </c>
      <c r="C35" s="11" t="s">
        <v>13049</v>
      </c>
      <c r="D35" s="8" t="s">
        <v>12983</v>
      </c>
      <c r="E35" s="11" t="s">
        <v>13001</v>
      </c>
      <c r="H35" s="9" t="s">
        <v>13050</v>
      </c>
      <c r="J35" s="12" t="s">
        <v>13051</v>
      </c>
    </row>
    <row r="36">
      <c r="A36" s="100">
        <v>29743.0</v>
      </c>
      <c r="B36" s="8" t="s">
        <v>3779</v>
      </c>
      <c r="C36" s="11" t="s">
        <v>13052</v>
      </c>
      <c r="D36" s="8" t="s">
        <v>12983</v>
      </c>
      <c r="E36" s="11" t="s">
        <v>12984</v>
      </c>
      <c r="J36" s="12" t="s">
        <v>13053</v>
      </c>
    </row>
    <row r="37">
      <c r="A37" s="100">
        <v>29434.0</v>
      </c>
      <c r="B37" s="8" t="s">
        <v>3779</v>
      </c>
      <c r="C37" s="11" t="s">
        <v>13054</v>
      </c>
      <c r="D37" s="8" t="s">
        <v>12983</v>
      </c>
      <c r="E37" s="11" t="s">
        <v>13045</v>
      </c>
      <c r="H37" s="9" t="s">
        <v>13055</v>
      </c>
    </row>
    <row r="38">
      <c r="A38" s="100">
        <v>29234.0</v>
      </c>
      <c r="B38" s="8" t="s">
        <v>3779</v>
      </c>
      <c r="C38" s="11" t="s">
        <v>10177</v>
      </c>
      <c r="D38" s="8" t="s">
        <v>12983</v>
      </c>
      <c r="E38" s="11" t="s">
        <v>13003</v>
      </c>
      <c r="H38" s="9" t="s">
        <v>13056</v>
      </c>
    </row>
    <row r="39">
      <c r="A39" s="100">
        <v>28403.0</v>
      </c>
      <c r="B39" s="8" t="s">
        <v>3779</v>
      </c>
      <c r="C39" s="11" t="s">
        <v>13057</v>
      </c>
      <c r="D39" s="8" t="s">
        <v>12983</v>
      </c>
      <c r="E39" s="11" t="s">
        <v>12984</v>
      </c>
      <c r="H39" s="9" t="s">
        <v>13058</v>
      </c>
      <c r="I39" s="12" t="s">
        <v>13059</v>
      </c>
    </row>
    <row r="40">
      <c r="A40" s="100">
        <v>27962.0</v>
      </c>
      <c r="B40" s="8" t="s">
        <v>3779</v>
      </c>
      <c r="C40" s="11" t="s">
        <v>13060</v>
      </c>
      <c r="D40" s="8" t="s">
        <v>12983</v>
      </c>
      <c r="E40" s="11" t="s">
        <v>13014</v>
      </c>
      <c r="H40" s="9" t="s">
        <v>13061</v>
      </c>
      <c r="J40" s="12" t="s">
        <v>13062</v>
      </c>
    </row>
    <row r="41">
      <c r="A41" s="100">
        <v>27961.0</v>
      </c>
      <c r="B41" s="8" t="s">
        <v>3779</v>
      </c>
      <c r="C41" s="11" t="s">
        <v>1057</v>
      </c>
      <c r="D41" s="8" t="s">
        <v>12983</v>
      </c>
      <c r="E41" s="11" t="s">
        <v>13003</v>
      </c>
      <c r="H41" s="9" t="s">
        <v>13063</v>
      </c>
    </row>
    <row r="42">
      <c r="A42" s="100">
        <v>25526.0</v>
      </c>
      <c r="B42" s="8" t="s">
        <v>720</v>
      </c>
      <c r="C42" s="11" t="s">
        <v>3615</v>
      </c>
      <c r="D42" s="8" t="s">
        <v>12983</v>
      </c>
      <c r="E42" s="11" t="s">
        <v>12993</v>
      </c>
      <c r="H42" s="9" t="s">
        <v>13064</v>
      </c>
    </row>
    <row r="43">
      <c r="A43" s="100">
        <v>25376.0</v>
      </c>
      <c r="B43" s="8" t="s">
        <v>3779</v>
      </c>
      <c r="C43" s="11" t="s">
        <v>5649</v>
      </c>
      <c r="D43" s="8" t="s">
        <v>12983</v>
      </c>
      <c r="E43" s="11" t="s">
        <v>12984</v>
      </c>
      <c r="H43" s="9" t="s">
        <v>13065</v>
      </c>
    </row>
    <row r="44">
      <c r="A44" s="100">
        <v>24578.0</v>
      </c>
      <c r="B44" s="8" t="s">
        <v>276</v>
      </c>
      <c r="C44" s="11" t="s">
        <v>1420</v>
      </c>
      <c r="D44" s="8" t="s">
        <v>12983</v>
      </c>
      <c r="E44" s="11" t="s">
        <v>12984</v>
      </c>
      <c r="H44" s="9" t="s">
        <v>13066</v>
      </c>
    </row>
    <row r="45">
      <c r="A45" s="100">
        <v>24527.0</v>
      </c>
      <c r="B45" s="8" t="s">
        <v>720</v>
      </c>
      <c r="C45" s="11" t="s">
        <v>13067</v>
      </c>
      <c r="D45" s="8" t="s">
        <v>12983</v>
      </c>
      <c r="E45" s="11" t="s">
        <v>12984</v>
      </c>
      <c r="H45" s="9" t="s">
        <v>13068</v>
      </c>
      <c r="J45" s="12" t="s">
        <v>13069</v>
      </c>
    </row>
    <row r="46">
      <c r="A46" s="100">
        <v>24524.0</v>
      </c>
      <c r="B46" s="8" t="s">
        <v>3779</v>
      </c>
      <c r="C46" s="11" t="s">
        <v>2811</v>
      </c>
      <c r="D46" s="8" t="s">
        <v>12983</v>
      </c>
      <c r="E46" s="11" t="s">
        <v>12984</v>
      </c>
      <c r="H46" s="9" t="s">
        <v>13070</v>
      </c>
      <c r="I46" s="12" t="s">
        <v>13071</v>
      </c>
    </row>
    <row r="47">
      <c r="A47" s="100">
        <v>24521.0</v>
      </c>
      <c r="B47" s="8" t="s">
        <v>3779</v>
      </c>
      <c r="C47" s="11" t="s">
        <v>3032</v>
      </c>
      <c r="D47" s="8" t="s">
        <v>12983</v>
      </c>
      <c r="E47" s="11" t="s">
        <v>12984</v>
      </c>
      <c r="H47" s="9" t="s">
        <v>13072</v>
      </c>
    </row>
    <row r="48">
      <c r="A48" s="100">
        <v>24513.0</v>
      </c>
      <c r="B48" s="8" t="s">
        <v>720</v>
      </c>
      <c r="C48" s="11" t="s">
        <v>13073</v>
      </c>
      <c r="D48" s="8" t="s">
        <v>12983</v>
      </c>
      <c r="E48" s="11" t="s">
        <v>12984</v>
      </c>
      <c r="H48" s="9" t="s">
        <v>13074</v>
      </c>
    </row>
    <row r="49">
      <c r="A49" s="100">
        <v>24512.0</v>
      </c>
      <c r="B49" s="8" t="s">
        <v>3779</v>
      </c>
      <c r="C49" s="11" t="s">
        <v>4084</v>
      </c>
      <c r="D49" s="8" t="s">
        <v>12983</v>
      </c>
      <c r="E49" s="11" t="s">
        <v>12984</v>
      </c>
      <c r="H49" s="9" t="s">
        <v>13075</v>
      </c>
    </row>
    <row r="50">
      <c r="A50" s="100">
        <v>24510.0</v>
      </c>
      <c r="B50" s="8" t="s">
        <v>3779</v>
      </c>
      <c r="C50" s="11" t="s">
        <v>1439</v>
      </c>
      <c r="D50" s="8" t="s">
        <v>12983</v>
      </c>
      <c r="E50" s="11" t="s">
        <v>12984</v>
      </c>
      <c r="J50" s="12" t="s">
        <v>12997</v>
      </c>
    </row>
    <row r="51">
      <c r="A51" s="100">
        <v>24419.0</v>
      </c>
      <c r="B51" s="8" t="s">
        <v>3779</v>
      </c>
      <c r="C51" s="11" t="s">
        <v>13076</v>
      </c>
      <c r="D51" s="8" t="s">
        <v>12983</v>
      </c>
      <c r="E51" s="11" t="s">
        <v>12993</v>
      </c>
      <c r="H51" s="9" t="s">
        <v>13077</v>
      </c>
    </row>
    <row r="52">
      <c r="A52" s="100">
        <v>24390.0</v>
      </c>
      <c r="B52" s="8" t="s">
        <v>3779</v>
      </c>
      <c r="C52" s="11" t="s">
        <v>13078</v>
      </c>
      <c r="D52" s="8" t="s">
        <v>12983</v>
      </c>
      <c r="E52" s="11" t="s">
        <v>12984</v>
      </c>
      <c r="H52" s="9" t="s">
        <v>13079</v>
      </c>
    </row>
    <row r="53">
      <c r="A53" s="100">
        <v>24170.0</v>
      </c>
      <c r="B53" s="8" t="s">
        <v>3779</v>
      </c>
      <c r="C53" s="11" t="s">
        <v>13080</v>
      </c>
      <c r="D53" s="8" t="s">
        <v>12983</v>
      </c>
      <c r="E53" s="11" t="s">
        <v>12993</v>
      </c>
      <c r="H53" s="9" t="s">
        <v>13081</v>
      </c>
      <c r="J53" s="12" t="s">
        <v>13082</v>
      </c>
    </row>
    <row r="54">
      <c r="A54" s="100">
        <v>23256.0</v>
      </c>
      <c r="B54" s="8" t="s">
        <v>3779</v>
      </c>
      <c r="C54" s="11" t="s">
        <v>13083</v>
      </c>
      <c r="D54" s="8" t="s">
        <v>12983</v>
      </c>
      <c r="E54" s="11" t="s">
        <v>13084</v>
      </c>
      <c r="H54" s="9" t="s">
        <v>13085</v>
      </c>
    </row>
    <row r="55">
      <c r="A55" s="100">
        <v>23246.0</v>
      </c>
      <c r="B55" s="8" t="s">
        <v>3779</v>
      </c>
      <c r="C55" s="11" t="s">
        <v>874</v>
      </c>
      <c r="D55" s="8" t="s">
        <v>12983</v>
      </c>
      <c r="E55" s="11" t="s">
        <v>12984</v>
      </c>
      <c r="H55" s="9" t="s">
        <v>13070</v>
      </c>
      <c r="I55" s="9" t="s">
        <v>13071</v>
      </c>
    </row>
    <row r="56">
      <c r="A56" s="100">
        <v>22616.0</v>
      </c>
      <c r="B56" s="8" t="s">
        <v>3779</v>
      </c>
      <c r="C56" s="11" t="s">
        <v>13086</v>
      </c>
      <c r="D56" s="8" t="s">
        <v>12983</v>
      </c>
      <c r="E56" s="11" t="s">
        <v>12993</v>
      </c>
      <c r="H56" s="9" t="s">
        <v>13087</v>
      </c>
    </row>
    <row r="57">
      <c r="A57" s="100">
        <v>22614.0</v>
      </c>
      <c r="B57" s="8" t="s">
        <v>3779</v>
      </c>
      <c r="C57" s="11" t="s">
        <v>1083</v>
      </c>
      <c r="D57" s="8" t="s">
        <v>12983</v>
      </c>
      <c r="E57" s="11" t="s">
        <v>13003</v>
      </c>
      <c r="J57" s="12" t="s">
        <v>13088</v>
      </c>
    </row>
    <row r="58">
      <c r="A58" s="100">
        <v>22608.0</v>
      </c>
      <c r="B58" s="8" t="s">
        <v>3779</v>
      </c>
      <c r="C58" s="11" t="s">
        <v>13089</v>
      </c>
      <c r="D58" s="8" t="s">
        <v>12983</v>
      </c>
      <c r="E58" s="11" t="s">
        <v>13001</v>
      </c>
      <c r="H58" s="9" t="s">
        <v>13090</v>
      </c>
      <c r="J58" s="12" t="s">
        <v>13002</v>
      </c>
    </row>
    <row r="59">
      <c r="A59" s="100">
        <v>22413.0</v>
      </c>
      <c r="B59" s="8" t="s">
        <v>3779</v>
      </c>
      <c r="C59" s="11" t="s">
        <v>5236</v>
      </c>
      <c r="D59" s="8" t="s">
        <v>12983</v>
      </c>
      <c r="E59" s="11" t="s">
        <v>12984</v>
      </c>
      <c r="H59" s="9" t="s">
        <v>13091</v>
      </c>
      <c r="I59" s="12" t="s">
        <v>13092</v>
      </c>
      <c r="J59" s="12" t="s">
        <v>13093</v>
      </c>
    </row>
    <row r="60">
      <c r="A60" s="100">
        <v>22382.0</v>
      </c>
      <c r="B60" s="8" t="s">
        <v>3779</v>
      </c>
      <c r="C60" s="11" t="s">
        <v>3209</v>
      </c>
      <c r="D60" s="8" t="s">
        <v>12983</v>
      </c>
      <c r="E60" s="11" t="s">
        <v>13003</v>
      </c>
      <c r="H60" s="9" t="s">
        <v>13094</v>
      </c>
      <c r="J60" s="12" t="s">
        <v>13095</v>
      </c>
    </row>
    <row r="61">
      <c r="A61" s="100">
        <v>22381.0</v>
      </c>
      <c r="B61" s="8" t="s">
        <v>3779</v>
      </c>
      <c r="C61" s="11" t="s">
        <v>1350</v>
      </c>
      <c r="D61" s="8" t="s">
        <v>12983</v>
      </c>
      <c r="E61" s="11" t="s">
        <v>12984</v>
      </c>
      <c r="H61" s="9" t="s">
        <v>13096</v>
      </c>
    </row>
    <row r="62">
      <c r="A62" s="100">
        <v>22368.0</v>
      </c>
      <c r="B62" s="8" t="s">
        <v>3779</v>
      </c>
      <c r="C62" s="11" t="s">
        <v>12371</v>
      </c>
      <c r="D62" s="8" t="s">
        <v>12983</v>
      </c>
      <c r="E62" s="11" t="s">
        <v>12984</v>
      </c>
      <c r="H62" s="9" t="s">
        <v>13074</v>
      </c>
    </row>
    <row r="63">
      <c r="A63" s="100">
        <v>22362.0</v>
      </c>
      <c r="B63" s="8" t="s">
        <v>3779</v>
      </c>
      <c r="C63" s="14" t="s">
        <v>13097</v>
      </c>
      <c r="D63" s="8" t="s">
        <v>12983</v>
      </c>
      <c r="E63" s="11" t="s">
        <v>12984</v>
      </c>
      <c r="H63" s="9" t="s">
        <v>13098</v>
      </c>
    </row>
    <row r="64">
      <c r="A64" s="100">
        <v>21994.0</v>
      </c>
      <c r="B64" s="8" t="s">
        <v>3779</v>
      </c>
      <c r="C64" s="11" t="s">
        <v>13099</v>
      </c>
      <c r="D64" s="8" t="s">
        <v>12983</v>
      </c>
      <c r="E64" s="11" t="s">
        <v>12984</v>
      </c>
      <c r="J64" s="12" t="s">
        <v>13100</v>
      </c>
    </row>
    <row r="65">
      <c r="A65" s="100">
        <v>21989.0</v>
      </c>
      <c r="B65" s="8" t="s">
        <v>720</v>
      </c>
      <c r="C65" s="11" t="s">
        <v>4331</v>
      </c>
      <c r="D65" s="8" t="s">
        <v>12983</v>
      </c>
      <c r="E65" s="11" t="s">
        <v>13045</v>
      </c>
      <c r="H65" s="9" t="s">
        <v>13101</v>
      </c>
    </row>
    <row r="66">
      <c r="A66" s="100">
        <v>21987.0</v>
      </c>
      <c r="B66" s="8" t="s">
        <v>3779</v>
      </c>
      <c r="C66" s="11" t="s">
        <v>3209</v>
      </c>
      <c r="D66" s="8" t="s">
        <v>12983</v>
      </c>
      <c r="E66" s="11" t="s">
        <v>12984</v>
      </c>
      <c r="H66" s="9" t="s">
        <v>13102</v>
      </c>
      <c r="J66" s="12" t="s">
        <v>13103</v>
      </c>
    </row>
    <row r="67">
      <c r="A67" s="100">
        <v>21900.0</v>
      </c>
      <c r="B67" s="8" t="s">
        <v>3779</v>
      </c>
      <c r="C67" s="11" t="s">
        <v>13104</v>
      </c>
      <c r="D67" s="8" t="s">
        <v>12983</v>
      </c>
      <c r="E67" s="11" t="s">
        <v>13014</v>
      </c>
      <c r="J67" s="12" t="s">
        <v>13105</v>
      </c>
    </row>
    <row r="68">
      <c r="A68" s="100">
        <v>21674.0</v>
      </c>
      <c r="B68" s="8" t="s">
        <v>3779</v>
      </c>
      <c r="C68" s="11" t="s">
        <v>13106</v>
      </c>
      <c r="D68" s="8" t="s">
        <v>12983</v>
      </c>
      <c r="E68" s="11" t="s">
        <v>13003</v>
      </c>
      <c r="H68" s="9" t="s">
        <v>13107</v>
      </c>
    </row>
    <row r="69">
      <c r="A69" s="100">
        <v>21668.0</v>
      </c>
      <c r="B69" s="8" t="s">
        <v>3779</v>
      </c>
      <c r="C69" s="11" t="s">
        <v>13108</v>
      </c>
      <c r="D69" s="8" t="s">
        <v>12983</v>
      </c>
      <c r="E69" s="11" t="s">
        <v>13109</v>
      </c>
      <c r="H69" s="9" t="s">
        <v>13110</v>
      </c>
    </row>
    <row r="70">
      <c r="A70" s="100">
        <v>20623.0</v>
      </c>
      <c r="B70" s="8" t="s">
        <v>3779</v>
      </c>
      <c r="C70" s="11" t="s">
        <v>13111</v>
      </c>
      <c r="D70" s="8" t="s">
        <v>12983</v>
      </c>
      <c r="E70" s="11" t="s">
        <v>12984</v>
      </c>
      <c r="J70" s="12" t="s">
        <v>13112</v>
      </c>
    </row>
    <row r="71">
      <c r="A71" s="100">
        <v>20223.0</v>
      </c>
      <c r="B71" s="8" t="s">
        <v>3779</v>
      </c>
      <c r="C71" s="11" t="s">
        <v>13113</v>
      </c>
      <c r="D71" s="8" t="s">
        <v>12983</v>
      </c>
      <c r="E71" s="11" t="s">
        <v>12984</v>
      </c>
      <c r="H71" s="9" t="s">
        <v>13114</v>
      </c>
      <c r="I71" s="12" t="s">
        <v>13115</v>
      </c>
    </row>
    <row r="72">
      <c r="A72" s="100">
        <v>20182.0</v>
      </c>
      <c r="B72" s="8" t="s">
        <v>3779</v>
      </c>
      <c r="C72" s="11" t="s">
        <v>6430</v>
      </c>
      <c r="D72" s="8" t="s">
        <v>12983</v>
      </c>
      <c r="E72" s="11" t="s">
        <v>12984</v>
      </c>
      <c r="H72" s="9" t="s">
        <v>13116</v>
      </c>
    </row>
    <row r="73">
      <c r="A73" s="100">
        <v>19131.0</v>
      </c>
      <c r="B73" s="8" t="s">
        <v>3779</v>
      </c>
      <c r="C73" s="11" t="s">
        <v>7346</v>
      </c>
      <c r="D73" s="8" t="s">
        <v>12983</v>
      </c>
      <c r="E73" s="11" t="s">
        <v>12993</v>
      </c>
      <c r="H73" s="9" t="s">
        <v>13117</v>
      </c>
    </row>
    <row r="74">
      <c r="A74" s="100">
        <v>18253.0</v>
      </c>
      <c r="B74" s="8" t="s">
        <v>3779</v>
      </c>
      <c r="C74" s="11" t="s">
        <v>74</v>
      </c>
      <c r="D74" s="8" t="s">
        <v>12983</v>
      </c>
      <c r="E74" s="11" t="s">
        <v>13014</v>
      </c>
      <c r="J74" s="12" t="s">
        <v>13118</v>
      </c>
    </row>
    <row r="75">
      <c r="A75" s="100">
        <v>16035.0</v>
      </c>
      <c r="B75" s="8" t="s">
        <v>3779</v>
      </c>
      <c r="C75" s="11" t="s">
        <v>1417</v>
      </c>
      <c r="D75" s="8" t="s">
        <v>12983</v>
      </c>
      <c r="E75" s="11" t="s">
        <v>6585</v>
      </c>
      <c r="H75" s="9" t="s">
        <v>13119</v>
      </c>
    </row>
    <row r="76">
      <c r="A76" s="100">
        <v>16016.0</v>
      </c>
      <c r="B76" s="8" t="s">
        <v>276</v>
      </c>
      <c r="C76" s="11" t="s">
        <v>4459</v>
      </c>
      <c r="D76" s="8" t="s">
        <v>12983</v>
      </c>
      <c r="E76" s="11" t="s">
        <v>12984</v>
      </c>
      <c r="H76" s="9" t="s">
        <v>13120</v>
      </c>
    </row>
    <row r="77">
      <c r="A77" s="100">
        <v>16015.0</v>
      </c>
      <c r="B77" s="8" t="s">
        <v>3779</v>
      </c>
      <c r="C77" s="11" t="s">
        <v>13021</v>
      </c>
      <c r="D77" s="8" t="s">
        <v>12983</v>
      </c>
      <c r="E77" s="11" t="s">
        <v>12984</v>
      </c>
      <c r="J77" s="12" t="s">
        <v>13022</v>
      </c>
    </row>
    <row r="78">
      <c r="A78" s="100">
        <v>16011.0</v>
      </c>
      <c r="B78" s="8" t="s">
        <v>3779</v>
      </c>
      <c r="C78" s="11" t="s">
        <v>2889</v>
      </c>
      <c r="D78" s="8" t="s">
        <v>12983</v>
      </c>
      <c r="E78" s="11" t="s">
        <v>12984</v>
      </c>
      <c r="H78" s="9" t="s">
        <v>13121</v>
      </c>
      <c r="J78" s="12" t="s">
        <v>13122</v>
      </c>
    </row>
    <row r="79">
      <c r="A79" s="100">
        <v>16006.0</v>
      </c>
      <c r="B79" s="8" t="s">
        <v>3779</v>
      </c>
      <c r="C79" s="11" t="s">
        <v>3479</v>
      </c>
      <c r="D79" s="8" t="s">
        <v>12983</v>
      </c>
      <c r="E79" s="11" t="s">
        <v>12993</v>
      </c>
      <c r="H79" s="9" t="s">
        <v>13123</v>
      </c>
    </row>
    <row r="80">
      <c r="A80" s="100">
        <v>16005.0</v>
      </c>
      <c r="B80" s="8" t="s">
        <v>3779</v>
      </c>
      <c r="C80" s="11" t="s">
        <v>13124</v>
      </c>
      <c r="D80" s="8" t="s">
        <v>12983</v>
      </c>
      <c r="E80" s="11" t="s">
        <v>12993</v>
      </c>
      <c r="J80" s="12" t="s">
        <v>13025</v>
      </c>
    </row>
    <row r="81">
      <c r="A81" s="100">
        <v>16000.0</v>
      </c>
      <c r="B81" s="8" t="s">
        <v>3779</v>
      </c>
      <c r="C81" s="11" t="s">
        <v>13125</v>
      </c>
      <c r="D81" s="8" t="s">
        <v>12983</v>
      </c>
      <c r="E81" s="11" t="s">
        <v>12984</v>
      </c>
      <c r="J81" s="12" t="s">
        <v>13126</v>
      </c>
    </row>
    <row r="82">
      <c r="A82" s="100">
        <v>15992.0</v>
      </c>
      <c r="B82" s="8" t="s">
        <v>3779</v>
      </c>
      <c r="C82" s="11" t="s">
        <v>13127</v>
      </c>
      <c r="D82" s="8" t="s">
        <v>12983</v>
      </c>
      <c r="E82" s="11" t="s">
        <v>6585</v>
      </c>
      <c r="H82" s="9" t="s">
        <v>13128</v>
      </c>
    </row>
    <row r="83">
      <c r="A83" s="100">
        <v>15985.0</v>
      </c>
      <c r="B83" s="8" t="s">
        <v>3779</v>
      </c>
      <c r="C83" s="11" t="s">
        <v>4055</v>
      </c>
      <c r="D83" s="8" t="s">
        <v>12983</v>
      </c>
      <c r="E83" s="11" t="s">
        <v>6585</v>
      </c>
      <c r="H83" s="9" t="s">
        <v>13129</v>
      </c>
    </row>
    <row r="84">
      <c r="A84" s="100">
        <v>15948.0</v>
      </c>
      <c r="B84" s="8" t="s">
        <v>3779</v>
      </c>
      <c r="C84" s="11" t="s">
        <v>13130</v>
      </c>
      <c r="D84" s="8" t="s">
        <v>12983</v>
      </c>
      <c r="E84" s="11" t="s">
        <v>13003</v>
      </c>
      <c r="H84" s="9" t="s">
        <v>13131</v>
      </c>
    </row>
    <row r="85">
      <c r="A85" s="100">
        <v>15946.0</v>
      </c>
      <c r="B85" s="8" t="s">
        <v>3779</v>
      </c>
      <c r="C85" s="11" t="s">
        <v>12816</v>
      </c>
      <c r="D85" s="8" t="s">
        <v>12983</v>
      </c>
      <c r="E85" s="11" t="s">
        <v>13003</v>
      </c>
      <c r="H85" s="9" t="s">
        <v>13132</v>
      </c>
    </row>
    <row r="86">
      <c r="A86" s="100">
        <v>15932.0</v>
      </c>
      <c r="B86" s="8" t="s">
        <v>3779</v>
      </c>
      <c r="C86" s="11" t="s">
        <v>13133</v>
      </c>
      <c r="D86" s="8" t="s">
        <v>12983</v>
      </c>
      <c r="E86" s="11" t="s">
        <v>13045</v>
      </c>
      <c r="H86" s="9" t="s">
        <v>13134</v>
      </c>
    </row>
    <row r="87">
      <c r="A87" s="100">
        <v>15930.0</v>
      </c>
      <c r="B87" s="8" t="s">
        <v>3779</v>
      </c>
      <c r="C87" s="11" t="s">
        <v>7317</v>
      </c>
      <c r="D87" s="8" t="s">
        <v>12983</v>
      </c>
      <c r="E87" s="11" t="s">
        <v>13045</v>
      </c>
      <c r="H87" s="9" t="s">
        <v>13135</v>
      </c>
    </row>
    <row r="88">
      <c r="A88" s="100">
        <v>15926.0</v>
      </c>
      <c r="B88" s="8" t="s">
        <v>102</v>
      </c>
      <c r="C88" s="11" t="s">
        <v>4459</v>
      </c>
      <c r="D88" s="8" t="s">
        <v>12983</v>
      </c>
      <c r="E88" s="11" t="s">
        <v>6585</v>
      </c>
      <c r="H88" s="9" t="s">
        <v>13136</v>
      </c>
      <c r="J88" s="12" t="s">
        <v>13137</v>
      </c>
    </row>
    <row r="89">
      <c r="A89" s="100">
        <v>15925.0</v>
      </c>
      <c r="B89" s="8" t="s">
        <v>720</v>
      </c>
      <c r="C89" s="11" t="s">
        <v>7455</v>
      </c>
      <c r="D89" s="8" t="s">
        <v>12983</v>
      </c>
      <c r="E89" s="11" t="s">
        <v>13045</v>
      </c>
      <c r="H89" s="9" t="s">
        <v>13138</v>
      </c>
    </row>
    <row r="90">
      <c r="A90" s="100">
        <v>15902.0</v>
      </c>
      <c r="B90" s="8" t="s">
        <v>3779</v>
      </c>
      <c r="C90" s="11" t="s">
        <v>3479</v>
      </c>
      <c r="D90" s="8" t="s">
        <v>12983</v>
      </c>
      <c r="E90" s="11" t="s">
        <v>13109</v>
      </c>
      <c r="H90" s="9" t="s">
        <v>13139</v>
      </c>
    </row>
    <row r="91">
      <c r="A91" s="100">
        <v>15884.0</v>
      </c>
      <c r="B91" s="8" t="s">
        <v>276</v>
      </c>
      <c r="C91" s="11" t="s">
        <v>13028</v>
      </c>
      <c r="D91" s="8" t="s">
        <v>12983</v>
      </c>
      <c r="E91" s="11" t="s">
        <v>13014</v>
      </c>
      <c r="H91" s="9" t="s">
        <v>13140</v>
      </c>
    </row>
    <row r="92">
      <c r="A92" s="100">
        <v>15879.0</v>
      </c>
      <c r="B92" s="8" t="s">
        <v>720</v>
      </c>
      <c r="C92" s="11" t="s">
        <v>13141</v>
      </c>
      <c r="D92" s="8" t="s">
        <v>12983</v>
      </c>
      <c r="E92" s="11" t="s">
        <v>13014</v>
      </c>
      <c r="H92" s="9" t="s">
        <v>13142</v>
      </c>
    </row>
    <row r="93">
      <c r="A93" s="100">
        <v>15853.0</v>
      </c>
      <c r="B93" s="8" t="s">
        <v>720</v>
      </c>
      <c r="C93" s="11" t="s">
        <v>13143</v>
      </c>
      <c r="D93" s="8" t="s">
        <v>12983</v>
      </c>
      <c r="E93" s="11" t="s">
        <v>12984</v>
      </c>
      <c r="H93" s="9" t="s">
        <v>13144</v>
      </c>
      <c r="J93" s="12" t="s">
        <v>13145</v>
      </c>
    </row>
    <row r="94">
      <c r="A94" s="100">
        <v>15846.0</v>
      </c>
      <c r="B94" s="8" t="s">
        <v>720</v>
      </c>
      <c r="C94" s="11" t="s">
        <v>10845</v>
      </c>
      <c r="D94" s="8" t="s">
        <v>12983</v>
      </c>
      <c r="E94" s="11" t="s">
        <v>12984</v>
      </c>
      <c r="H94" s="9" t="s">
        <v>13146</v>
      </c>
      <c r="J94" s="12" t="s">
        <v>13147</v>
      </c>
    </row>
    <row r="95">
      <c r="A95" s="100">
        <v>15841.0</v>
      </c>
      <c r="B95" s="8" t="s">
        <v>720</v>
      </c>
      <c r="C95" s="11" t="s">
        <v>13148</v>
      </c>
      <c r="D95" s="8" t="s">
        <v>12983</v>
      </c>
      <c r="E95" s="11" t="s">
        <v>12984</v>
      </c>
      <c r="H95" s="9" t="s">
        <v>13149</v>
      </c>
    </row>
    <row r="96">
      <c r="A96" s="100">
        <v>15838.0</v>
      </c>
      <c r="B96" s="8" t="s">
        <v>3779</v>
      </c>
      <c r="C96" s="11" t="s">
        <v>7735</v>
      </c>
      <c r="D96" s="8" t="s">
        <v>12983</v>
      </c>
      <c r="E96" s="11" t="s">
        <v>12984</v>
      </c>
      <c r="H96" s="9" t="s">
        <v>13150</v>
      </c>
    </row>
    <row r="97">
      <c r="A97" s="100">
        <v>15837.0</v>
      </c>
      <c r="B97" s="8" t="s">
        <v>3779</v>
      </c>
      <c r="C97" s="11" t="s">
        <v>13151</v>
      </c>
      <c r="D97" s="8" t="s">
        <v>12983</v>
      </c>
      <c r="E97" s="11" t="s">
        <v>12993</v>
      </c>
      <c r="J97" s="12" t="s">
        <v>13152</v>
      </c>
    </row>
    <row r="98">
      <c r="A98" s="100">
        <v>15830.0</v>
      </c>
      <c r="B98" s="8" t="s">
        <v>3779</v>
      </c>
      <c r="C98" s="11" t="s">
        <v>4995</v>
      </c>
      <c r="D98" s="8" t="s">
        <v>12983</v>
      </c>
      <c r="E98" s="11" t="s">
        <v>6585</v>
      </c>
      <c r="H98" s="320" t="s">
        <v>13153</v>
      </c>
    </row>
    <row r="99">
      <c r="A99" s="100">
        <v>15829.0</v>
      </c>
      <c r="B99" s="8" t="s">
        <v>766</v>
      </c>
      <c r="C99" s="11" t="s">
        <v>4125</v>
      </c>
      <c r="D99" s="8" t="s">
        <v>12983</v>
      </c>
      <c r="E99" s="11" t="s">
        <v>6585</v>
      </c>
      <c r="H99" s="9" t="s">
        <v>13154</v>
      </c>
    </row>
    <row r="100">
      <c r="A100" s="100">
        <v>15808.0</v>
      </c>
      <c r="B100" s="8" t="s">
        <v>3779</v>
      </c>
      <c r="C100" s="11" t="s">
        <v>13155</v>
      </c>
      <c r="D100" s="8" t="s">
        <v>12983</v>
      </c>
      <c r="E100" s="11" t="s">
        <v>12984</v>
      </c>
      <c r="H100" s="9" t="s">
        <v>13156</v>
      </c>
    </row>
    <row r="101">
      <c r="A101" s="100">
        <v>15804.0</v>
      </c>
      <c r="B101" s="8" t="s">
        <v>3779</v>
      </c>
      <c r="C101" s="11" t="s">
        <v>8440</v>
      </c>
      <c r="D101" s="8" t="s">
        <v>12983</v>
      </c>
      <c r="E101" s="11" t="s">
        <v>6585</v>
      </c>
      <c r="H101" s="9" t="s">
        <v>13157</v>
      </c>
      <c r="I101" s="12" t="s">
        <v>13158</v>
      </c>
    </row>
    <row r="102">
      <c r="A102" s="100">
        <v>15801.0</v>
      </c>
      <c r="B102" s="8" t="s">
        <v>3779</v>
      </c>
      <c r="C102" s="11" t="s">
        <v>13159</v>
      </c>
      <c r="D102" s="8" t="s">
        <v>12983</v>
      </c>
      <c r="E102" s="11" t="s">
        <v>6585</v>
      </c>
      <c r="J102" s="12" t="s">
        <v>13160</v>
      </c>
    </row>
    <row r="103">
      <c r="A103" s="100">
        <v>15800.0</v>
      </c>
      <c r="B103" s="8" t="s">
        <v>3779</v>
      </c>
      <c r="C103" s="11" t="s">
        <v>13161</v>
      </c>
      <c r="D103" s="8" t="s">
        <v>12983</v>
      </c>
      <c r="E103" s="11" t="s">
        <v>6585</v>
      </c>
      <c r="H103" s="9" t="s">
        <v>13162</v>
      </c>
    </row>
    <row r="104">
      <c r="A104" s="100">
        <v>15797.0</v>
      </c>
      <c r="B104" s="8" t="s">
        <v>3779</v>
      </c>
      <c r="C104" s="11" t="s">
        <v>3612</v>
      </c>
      <c r="D104" s="8" t="s">
        <v>12983</v>
      </c>
      <c r="E104" s="11" t="s">
        <v>6585</v>
      </c>
      <c r="H104" s="9" t="s">
        <v>13163</v>
      </c>
      <c r="J104" s="12" t="s">
        <v>13164</v>
      </c>
    </row>
    <row r="105">
      <c r="A105" s="100">
        <v>15796.0</v>
      </c>
      <c r="B105" s="8" t="s">
        <v>3779</v>
      </c>
      <c r="C105" s="11" t="s">
        <v>707</v>
      </c>
      <c r="D105" s="8" t="s">
        <v>12983</v>
      </c>
      <c r="E105" s="11" t="s">
        <v>6585</v>
      </c>
      <c r="H105" s="9" t="s">
        <v>13165</v>
      </c>
    </row>
    <row r="106">
      <c r="A106" s="100">
        <v>15774.0</v>
      </c>
      <c r="B106" s="8" t="s">
        <v>3779</v>
      </c>
      <c r="C106" s="11" t="s">
        <v>13166</v>
      </c>
      <c r="D106" s="8" t="s">
        <v>12983</v>
      </c>
      <c r="E106" s="11" t="s">
        <v>6585</v>
      </c>
      <c r="H106" s="9" t="s">
        <v>13167</v>
      </c>
    </row>
    <row r="107">
      <c r="A107" s="100">
        <v>15769.0</v>
      </c>
      <c r="B107" s="8" t="s">
        <v>3779</v>
      </c>
      <c r="C107" s="11" t="s">
        <v>13168</v>
      </c>
      <c r="D107" s="8" t="s">
        <v>12983</v>
      </c>
      <c r="E107" s="11" t="s">
        <v>6585</v>
      </c>
      <c r="H107" s="9" t="s">
        <v>13169</v>
      </c>
    </row>
    <row r="108">
      <c r="A108" s="100">
        <v>15768.0</v>
      </c>
      <c r="B108" s="8" t="s">
        <v>3779</v>
      </c>
      <c r="C108" s="11" t="s">
        <v>13170</v>
      </c>
      <c r="D108" s="8" t="s">
        <v>12983</v>
      </c>
      <c r="E108" s="11" t="s">
        <v>6585</v>
      </c>
      <c r="H108" s="9" t="s">
        <v>13171</v>
      </c>
    </row>
    <row r="109">
      <c r="A109" s="100">
        <v>15743.0</v>
      </c>
      <c r="B109" s="8" t="s">
        <v>3779</v>
      </c>
      <c r="C109" s="11" t="s">
        <v>13172</v>
      </c>
      <c r="D109" s="8" t="s">
        <v>12983</v>
      </c>
      <c r="E109" s="11" t="s">
        <v>12984</v>
      </c>
      <c r="H109" s="9" t="s">
        <v>13173</v>
      </c>
    </row>
    <row r="110">
      <c r="A110" s="100">
        <v>15741.0</v>
      </c>
      <c r="B110" s="8" t="s">
        <v>720</v>
      </c>
      <c r="C110" s="11" t="s">
        <v>13174</v>
      </c>
      <c r="D110" s="8" t="s">
        <v>12983</v>
      </c>
      <c r="E110" s="11" t="s">
        <v>12984</v>
      </c>
      <c r="H110" s="9" t="s">
        <v>13175</v>
      </c>
    </row>
    <row r="111">
      <c r="A111" s="100">
        <v>15729.0</v>
      </c>
      <c r="B111" s="8" t="s">
        <v>3779</v>
      </c>
      <c r="C111" s="11" t="s">
        <v>13176</v>
      </c>
      <c r="D111" s="8" t="s">
        <v>12983</v>
      </c>
      <c r="E111" s="11" t="s">
        <v>13012</v>
      </c>
      <c r="H111" s="9" t="s">
        <v>13177</v>
      </c>
    </row>
    <row r="112">
      <c r="A112" s="100">
        <v>15728.0</v>
      </c>
      <c r="B112" s="8" t="s">
        <v>276</v>
      </c>
      <c r="C112" s="11" t="s">
        <v>13178</v>
      </c>
      <c r="D112" s="8" t="s">
        <v>12983</v>
      </c>
      <c r="E112" s="11" t="s">
        <v>12984</v>
      </c>
      <c r="H112" s="9" t="s">
        <v>13179</v>
      </c>
    </row>
    <row r="113">
      <c r="A113" s="100">
        <v>15726.0</v>
      </c>
      <c r="B113" s="8" t="s">
        <v>3779</v>
      </c>
      <c r="C113" s="11" t="s">
        <v>5427</v>
      </c>
      <c r="D113" s="8" t="s">
        <v>12983</v>
      </c>
      <c r="E113" s="11" t="s">
        <v>12984</v>
      </c>
      <c r="H113" s="9" t="s">
        <v>13180</v>
      </c>
      <c r="I113" s="9" t="s">
        <v>13181</v>
      </c>
      <c r="J113" s="12" t="s">
        <v>13182</v>
      </c>
    </row>
    <row r="114">
      <c r="A114" s="100">
        <v>15720.0</v>
      </c>
      <c r="B114" s="8" t="s">
        <v>720</v>
      </c>
      <c r="C114" s="11" t="s">
        <v>4170</v>
      </c>
      <c r="D114" s="8" t="s">
        <v>12983</v>
      </c>
      <c r="E114" s="11" t="s">
        <v>13045</v>
      </c>
      <c r="H114" s="9" t="s">
        <v>13183</v>
      </c>
    </row>
    <row r="115">
      <c r="A115" s="100">
        <v>15717.0</v>
      </c>
      <c r="B115" s="8" t="s">
        <v>720</v>
      </c>
      <c r="C115" s="11" t="s">
        <v>1420</v>
      </c>
      <c r="D115" s="8" t="s">
        <v>12983</v>
      </c>
      <c r="E115" s="11" t="s">
        <v>13045</v>
      </c>
      <c r="H115" s="9" t="s">
        <v>13184</v>
      </c>
    </row>
    <row r="116">
      <c r="A116" s="100">
        <v>15702.0</v>
      </c>
      <c r="B116" s="8" t="s">
        <v>720</v>
      </c>
      <c r="C116" s="14" t="s">
        <v>13185</v>
      </c>
      <c r="D116" s="8" t="s">
        <v>12983</v>
      </c>
      <c r="E116" s="11" t="s">
        <v>13003</v>
      </c>
      <c r="H116" s="9" t="s">
        <v>13186</v>
      </c>
    </row>
    <row r="117">
      <c r="A117" s="100">
        <v>15698.0</v>
      </c>
      <c r="B117" s="8" t="s">
        <v>3779</v>
      </c>
      <c r="C117" s="11" t="s">
        <v>13187</v>
      </c>
      <c r="D117" s="8" t="s">
        <v>12983</v>
      </c>
      <c r="E117" s="11" t="s">
        <v>13003</v>
      </c>
      <c r="H117" s="9" t="s">
        <v>13188</v>
      </c>
    </row>
    <row r="118">
      <c r="A118" s="100">
        <v>15682.0</v>
      </c>
      <c r="B118" s="8" t="s">
        <v>720</v>
      </c>
      <c r="C118" s="11" t="s">
        <v>13189</v>
      </c>
      <c r="D118" s="8" t="s">
        <v>12983</v>
      </c>
      <c r="E118" s="11" t="s">
        <v>12993</v>
      </c>
      <c r="H118" s="9" t="s">
        <v>13190</v>
      </c>
    </row>
    <row r="119">
      <c r="A119" s="100">
        <v>15671.0</v>
      </c>
      <c r="B119" s="8" t="s">
        <v>720</v>
      </c>
      <c r="C119" s="11" t="s">
        <v>7328</v>
      </c>
      <c r="D119" s="8" t="s">
        <v>12983</v>
      </c>
      <c r="E119" s="11" t="s">
        <v>12993</v>
      </c>
      <c r="H119" s="9" t="s">
        <v>13191</v>
      </c>
    </row>
    <row r="120">
      <c r="A120" s="100">
        <v>15649.0</v>
      </c>
      <c r="B120" s="8" t="s">
        <v>3779</v>
      </c>
      <c r="C120" s="11" t="s">
        <v>6697</v>
      </c>
      <c r="D120" s="8" t="s">
        <v>12983</v>
      </c>
      <c r="E120" s="11" t="s">
        <v>13109</v>
      </c>
      <c r="I120" s="12" t="s">
        <v>13192</v>
      </c>
    </row>
    <row r="121">
      <c r="A121" s="100">
        <v>15648.0</v>
      </c>
      <c r="B121" s="8" t="s">
        <v>720</v>
      </c>
      <c r="C121" s="11" t="s">
        <v>10857</v>
      </c>
      <c r="D121" s="8" t="s">
        <v>12983</v>
      </c>
      <c r="E121" s="11" t="s">
        <v>12984</v>
      </c>
      <c r="H121" s="9" t="s">
        <v>13193</v>
      </c>
    </row>
    <row r="122">
      <c r="A122" s="100">
        <v>15622.0</v>
      </c>
      <c r="B122" s="8" t="s">
        <v>720</v>
      </c>
      <c r="C122" s="11" t="s">
        <v>1420</v>
      </c>
      <c r="D122" s="8" t="s">
        <v>12983</v>
      </c>
      <c r="E122" s="11" t="s">
        <v>13109</v>
      </c>
      <c r="H122" s="9" t="s">
        <v>13194</v>
      </c>
    </row>
    <row r="123">
      <c r="A123" s="100">
        <v>15607.0</v>
      </c>
      <c r="B123" s="8" t="s">
        <v>3779</v>
      </c>
      <c r="C123" s="11" t="s">
        <v>6412</v>
      </c>
      <c r="D123" s="8" t="s">
        <v>12983</v>
      </c>
      <c r="E123" s="11" t="s">
        <v>13109</v>
      </c>
      <c r="H123" s="9" t="s">
        <v>13195</v>
      </c>
    </row>
    <row r="124">
      <c r="B124" s="8" t="s">
        <v>4322</v>
      </c>
      <c r="C124" s="8" t="s">
        <v>1952</v>
      </c>
      <c r="D124" s="8" t="s">
        <v>12983</v>
      </c>
      <c r="E124" s="8" t="s">
        <v>12984</v>
      </c>
      <c r="J124" s="12" t="s">
        <v>13196</v>
      </c>
    </row>
  </sheetData>
  <conditionalFormatting sqref="A1:S1">
    <cfRule type="notContainsBlanks" dxfId="0" priority="1">
      <formula>LEN(TRIM(A1))&gt;0</formula>
    </cfRule>
  </conditionalFormatting>
  <hyperlinks>
    <hyperlink r:id="rId1" ref="H2"/>
    <hyperlink r:id="rId2" ref="I2"/>
    <hyperlink r:id="rId3" ref="H3"/>
    <hyperlink r:id="rId4" ref="H4"/>
    <hyperlink r:id="rId5" ref="I4"/>
    <hyperlink r:id="rId6" ref="H5"/>
    <hyperlink r:id="rId7" ref="H6"/>
    <hyperlink r:id="rId8" ref="I6"/>
    <hyperlink r:id="rId9" ref="H7"/>
    <hyperlink r:id="rId10" ref="J8"/>
    <hyperlink r:id="rId11" ref="H9"/>
    <hyperlink r:id="rId12" ref="I9"/>
    <hyperlink r:id="rId13" ref="H10"/>
    <hyperlink r:id="rId14" ref="J11"/>
    <hyperlink r:id="rId15" ref="H12"/>
    <hyperlink r:id="rId16" ref="J12"/>
    <hyperlink r:id="rId17" ref="H13"/>
    <hyperlink r:id="rId18" ref="H14"/>
    <hyperlink r:id="rId19" ref="H15"/>
    <hyperlink r:id="rId20" ref="H16"/>
    <hyperlink r:id="rId21" ref="H17"/>
    <hyperlink r:id="rId22" ref="H18"/>
    <hyperlink r:id="rId23" ref="J19"/>
    <hyperlink r:id="rId24" ref="J20"/>
    <hyperlink r:id="rId25" ref="J21"/>
    <hyperlink r:id="rId26" ref="H22"/>
    <hyperlink r:id="rId27" ref="J22"/>
    <hyperlink r:id="rId28" ref="H23"/>
    <hyperlink r:id="rId29" ref="H24"/>
    <hyperlink r:id="rId30" ref="H25"/>
    <hyperlink r:id="rId31" ref="H26"/>
    <hyperlink r:id="rId32" ref="H27"/>
    <hyperlink r:id="rId33" ref="H28"/>
    <hyperlink r:id="rId34" ref="H29"/>
    <hyperlink r:id="rId35" ref="J29"/>
    <hyperlink r:id="rId36" ref="H30"/>
    <hyperlink r:id="rId37" ref="I30"/>
    <hyperlink r:id="rId38" ref="H31"/>
    <hyperlink r:id="rId39" ref="H32"/>
    <hyperlink r:id="rId40" ref="H33"/>
    <hyperlink r:id="rId41" ref="H34"/>
    <hyperlink r:id="rId42" ref="H35"/>
    <hyperlink r:id="rId43" ref="J35"/>
    <hyperlink r:id="rId44" ref="J36"/>
    <hyperlink r:id="rId45" ref="H37"/>
    <hyperlink r:id="rId46" ref="H38"/>
    <hyperlink r:id="rId47" ref="H39"/>
    <hyperlink r:id="rId48" ref="I39"/>
    <hyperlink r:id="rId49" ref="H40"/>
    <hyperlink r:id="rId50" ref="J40"/>
    <hyperlink r:id="rId51" ref="H41"/>
    <hyperlink r:id="rId52" ref="H42"/>
    <hyperlink r:id="rId53" ref="H43"/>
    <hyperlink r:id="rId54" ref="H44"/>
    <hyperlink r:id="rId55" ref="H45"/>
    <hyperlink r:id="rId56" ref="J45"/>
    <hyperlink r:id="rId57" ref="H46"/>
    <hyperlink r:id="rId58" ref="I46"/>
    <hyperlink r:id="rId59" ref="H47"/>
    <hyperlink r:id="rId60" ref="H48"/>
    <hyperlink r:id="rId61" ref="H49"/>
    <hyperlink r:id="rId62" ref="J50"/>
    <hyperlink r:id="rId63" ref="H51"/>
    <hyperlink r:id="rId64" ref="H52"/>
    <hyperlink r:id="rId65" ref="H53"/>
    <hyperlink r:id="rId66" ref="J53"/>
    <hyperlink r:id="rId67" ref="H54"/>
    <hyperlink r:id="rId68" ref="H55"/>
    <hyperlink r:id="rId69" ref="I55"/>
    <hyperlink r:id="rId70" ref="H56"/>
    <hyperlink r:id="rId71" ref="J57"/>
    <hyperlink r:id="rId72" ref="H58"/>
    <hyperlink r:id="rId73" ref="J58"/>
    <hyperlink r:id="rId74" ref="H59"/>
    <hyperlink r:id="rId75" ref="I59"/>
    <hyperlink r:id="rId76" ref="J59"/>
    <hyperlink r:id="rId77" ref="H60"/>
    <hyperlink r:id="rId78" ref="J60"/>
    <hyperlink r:id="rId79" ref="H61"/>
    <hyperlink r:id="rId80" ref="H62"/>
    <hyperlink r:id="rId81" ref="H63"/>
    <hyperlink r:id="rId82" ref="J64"/>
    <hyperlink r:id="rId83" ref="H65"/>
    <hyperlink r:id="rId84" ref="H66"/>
    <hyperlink r:id="rId85" ref="J66"/>
    <hyperlink r:id="rId86" ref="J67"/>
    <hyperlink r:id="rId87" ref="H68"/>
    <hyperlink r:id="rId88" ref="H69"/>
    <hyperlink r:id="rId89" ref="J70"/>
    <hyperlink r:id="rId90" ref="H71"/>
    <hyperlink r:id="rId91" ref="I71"/>
    <hyperlink r:id="rId92" ref="H72"/>
    <hyperlink r:id="rId93" ref="H73"/>
    <hyperlink r:id="rId94" ref="J74"/>
    <hyperlink r:id="rId95" ref="H75"/>
    <hyperlink r:id="rId96" ref="H76"/>
    <hyperlink r:id="rId97" ref="J77"/>
    <hyperlink r:id="rId98" ref="H78"/>
    <hyperlink r:id="rId99" ref="J78"/>
    <hyperlink r:id="rId100" ref="H79"/>
    <hyperlink r:id="rId101" ref="J80"/>
    <hyperlink r:id="rId102" ref="J81"/>
    <hyperlink r:id="rId103" ref="H82"/>
    <hyperlink r:id="rId104" ref="H83"/>
    <hyperlink r:id="rId105" ref="H84"/>
    <hyperlink r:id="rId106" ref="H85"/>
    <hyperlink r:id="rId107" ref="H86"/>
    <hyperlink r:id="rId108" ref="H87"/>
    <hyperlink r:id="rId109" ref="H88"/>
    <hyperlink r:id="rId110" ref="J88"/>
    <hyperlink r:id="rId111" ref="H89"/>
    <hyperlink r:id="rId112" ref="H90"/>
    <hyperlink r:id="rId113" ref="H91"/>
    <hyperlink r:id="rId114" ref="H92"/>
    <hyperlink r:id="rId115" ref="H93"/>
    <hyperlink r:id="rId116" ref="J93"/>
    <hyperlink r:id="rId117" ref="H94"/>
    <hyperlink r:id="rId118" ref="J94"/>
    <hyperlink r:id="rId119" ref="H95"/>
    <hyperlink r:id="rId120" ref="H96"/>
    <hyperlink r:id="rId121" ref="J97"/>
    <hyperlink r:id="rId122" ref="H98"/>
    <hyperlink r:id="rId123" ref="H99"/>
    <hyperlink r:id="rId124" ref="H100"/>
    <hyperlink r:id="rId125" ref="H101"/>
    <hyperlink r:id="rId126" ref="I101"/>
    <hyperlink r:id="rId127" ref="J102"/>
    <hyperlink r:id="rId128" ref="H103"/>
    <hyperlink r:id="rId129" ref="H104"/>
    <hyperlink r:id="rId130" ref="J104"/>
    <hyperlink r:id="rId131" ref="H105"/>
    <hyperlink r:id="rId132" ref="H106"/>
    <hyperlink r:id="rId133" ref="H107"/>
    <hyperlink r:id="rId134" ref="H108"/>
    <hyperlink r:id="rId135" ref="H109"/>
    <hyperlink r:id="rId136" ref="H110"/>
    <hyperlink r:id="rId137" ref="H111"/>
    <hyperlink r:id="rId138" ref="H112"/>
    <hyperlink r:id="rId139" ref="H113"/>
    <hyperlink r:id="rId140" ref="I113"/>
    <hyperlink r:id="rId141" ref="J113"/>
    <hyperlink r:id="rId142" ref="H114"/>
    <hyperlink r:id="rId143" ref="H115"/>
    <hyperlink r:id="rId144" ref="H116"/>
    <hyperlink r:id="rId145" ref="H117"/>
    <hyperlink r:id="rId146" ref="H118"/>
    <hyperlink r:id="rId147" ref="H119"/>
    <hyperlink r:id="rId148" ref="I120"/>
    <hyperlink r:id="rId149" ref="H121"/>
    <hyperlink r:id="rId150" ref="H122"/>
    <hyperlink r:id="rId151" ref="H123"/>
    <hyperlink r:id="rId152" ref="J124"/>
  </hyperlinks>
  <drawing r:id="rId15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3.63"/>
    <col customWidth="1" min="2" max="2" width="5.63"/>
    <col customWidth="1" min="3" max="3" width="16.0"/>
    <col customWidth="1" min="4" max="4" width="9.63"/>
    <col customWidth="1" min="5" max="5" width="3.75"/>
    <col customWidth="1" min="6" max="6" width="11.63"/>
    <col customWidth="1" min="7" max="7" width="3.0"/>
    <col customWidth="1" min="8" max="8" width="66.13"/>
    <col customWidth="1" min="9" max="9" width="31.5"/>
    <col customWidth="1" min="10" max="10" width="31.75"/>
    <col customWidth="1" min="11" max="11" width="33.0"/>
    <col customWidth="1" min="12" max="12" width="21.63"/>
    <col customWidth="1" min="13" max="13" width="7.25"/>
    <col customWidth="1" min="14" max="14" width="4.38"/>
    <col customWidth="1" min="15" max="15" width="4.5"/>
    <col customWidth="1" min="16" max="16" width="4.13"/>
    <col customWidth="1" min="17" max="17" width="5.13"/>
    <col customWidth="1" min="18" max="18" width="4.25"/>
    <col customWidth="1" min="19" max="19" width="4.5"/>
  </cols>
  <sheetData>
    <row r="1" ht="17.25" customHeight="1">
      <c r="A1" s="321" t="s">
        <v>19</v>
      </c>
      <c r="B1" s="322" t="s">
        <v>1</v>
      </c>
      <c r="C1" s="322" t="s">
        <v>2</v>
      </c>
      <c r="D1" s="322" t="s">
        <v>3</v>
      </c>
      <c r="E1" s="322" t="s">
        <v>4</v>
      </c>
      <c r="F1" s="322" t="s">
        <v>5</v>
      </c>
      <c r="G1" s="322" t="s">
        <v>6</v>
      </c>
      <c r="H1" s="322" t="s">
        <v>7</v>
      </c>
      <c r="I1" s="322" t="s">
        <v>8</v>
      </c>
      <c r="J1" s="322" t="s">
        <v>9</v>
      </c>
      <c r="K1" s="322" t="s">
        <v>10</v>
      </c>
      <c r="L1" s="323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>
      <c r="A2" s="272"/>
      <c r="B2" s="272" t="s">
        <v>20</v>
      </c>
      <c r="C2" s="272" t="s">
        <v>272</v>
      </c>
      <c r="D2" s="272" t="s">
        <v>61</v>
      </c>
      <c r="E2" s="302" t="s">
        <v>62</v>
      </c>
      <c r="F2" s="324"/>
      <c r="G2" s="272">
        <v>1.0</v>
      </c>
      <c r="H2" s="325" t="s">
        <v>13197</v>
      </c>
      <c r="I2" s="325" t="s">
        <v>13198</v>
      </c>
      <c r="J2" s="324"/>
      <c r="K2" s="324"/>
      <c r="L2" s="270"/>
    </row>
    <row r="3">
      <c r="A3" s="272"/>
      <c r="B3" s="272" t="s">
        <v>20</v>
      </c>
      <c r="C3" s="272" t="s">
        <v>113</v>
      </c>
      <c r="D3" s="272" t="s">
        <v>61</v>
      </c>
      <c r="E3" s="302" t="s">
        <v>62</v>
      </c>
      <c r="F3" s="326"/>
      <c r="G3" s="272">
        <v>1.0</v>
      </c>
      <c r="H3" s="327" t="s">
        <v>13199</v>
      </c>
      <c r="I3" s="324"/>
      <c r="J3" s="324"/>
      <c r="K3" s="324"/>
      <c r="L3" s="270"/>
    </row>
    <row r="4">
      <c r="A4" s="302"/>
      <c r="B4" s="302" t="s">
        <v>20</v>
      </c>
      <c r="C4" s="302" t="s">
        <v>13200</v>
      </c>
      <c r="D4" s="302" t="s">
        <v>13201</v>
      </c>
      <c r="E4" s="302" t="s">
        <v>62</v>
      </c>
      <c r="F4" s="326"/>
      <c r="G4" s="272">
        <v>1.0</v>
      </c>
      <c r="H4" s="327" t="s">
        <v>13202</v>
      </c>
      <c r="I4" s="326"/>
      <c r="J4" s="326"/>
      <c r="K4" s="324"/>
      <c r="L4" s="328"/>
    </row>
    <row r="5">
      <c r="A5" s="272"/>
      <c r="B5" s="272" t="s">
        <v>20</v>
      </c>
      <c r="C5" s="272" t="s">
        <v>13203</v>
      </c>
      <c r="D5" s="272" t="s">
        <v>61</v>
      </c>
      <c r="E5" s="302" t="s">
        <v>62</v>
      </c>
      <c r="F5" s="324"/>
      <c r="G5" s="272">
        <v>1.0</v>
      </c>
      <c r="H5" s="327" t="s">
        <v>13204</v>
      </c>
      <c r="I5" s="324"/>
      <c r="J5" s="324"/>
      <c r="K5" s="324"/>
      <c r="L5" s="270"/>
    </row>
    <row r="6">
      <c r="A6" s="272"/>
      <c r="B6" s="272" t="s">
        <v>20</v>
      </c>
      <c r="C6" s="272" t="s">
        <v>13205</v>
      </c>
      <c r="D6" s="272" t="s">
        <v>61</v>
      </c>
      <c r="E6" s="302" t="s">
        <v>62</v>
      </c>
      <c r="F6" s="324"/>
      <c r="G6" s="272">
        <v>1.0</v>
      </c>
      <c r="H6" s="327" t="s">
        <v>13206</v>
      </c>
      <c r="I6" s="324"/>
      <c r="J6" s="324"/>
      <c r="K6" s="324"/>
      <c r="L6" s="270"/>
    </row>
    <row r="7">
      <c r="A7" s="272"/>
      <c r="B7" s="272" t="s">
        <v>20</v>
      </c>
      <c r="C7" s="272" t="s">
        <v>13207</v>
      </c>
      <c r="D7" s="272" t="s">
        <v>61</v>
      </c>
      <c r="E7" s="302" t="s">
        <v>62</v>
      </c>
      <c r="F7" s="324"/>
      <c r="G7" s="272">
        <v>1.0</v>
      </c>
      <c r="H7" s="327" t="s">
        <v>13208</v>
      </c>
      <c r="I7" s="324"/>
      <c r="J7" s="324"/>
      <c r="K7" s="324"/>
      <c r="L7" s="270"/>
    </row>
    <row r="8">
      <c r="A8" s="272"/>
      <c r="B8" s="272" t="s">
        <v>20</v>
      </c>
      <c r="C8" s="272" t="s">
        <v>13209</v>
      </c>
      <c r="D8" s="272" t="s">
        <v>61</v>
      </c>
      <c r="E8" s="302" t="s">
        <v>62</v>
      </c>
      <c r="F8" s="324"/>
      <c r="G8" s="272">
        <v>1.0</v>
      </c>
      <c r="H8" s="327" t="s">
        <v>13210</v>
      </c>
      <c r="I8" s="325" t="s">
        <v>13211</v>
      </c>
      <c r="J8" s="325" t="s">
        <v>13212</v>
      </c>
      <c r="K8" s="324"/>
      <c r="L8" s="270"/>
    </row>
    <row r="9">
      <c r="A9" s="272"/>
      <c r="B9" s="272" t="s">
        <v>102</v>
      </c>
      <c r="C9" s="272" t="s">
        <v>13213</v>
      </c>
      <c r="D9" s="272" t="s">
        <v>61</v>
      </c>
      <c r="E9" s="302" t="s">
        <v>62</v>
      </c>
      <c r="F9" s="272" t="s">
        <v>13214</v>
      </c>
      <c r="G9" s="272">
        <v>1.0</v>
      </c>
      <c r="H9" s="327" t="s">
        <v>13215</v>
      </c>
      <c r="I9" s="324"/>
      <c r="J9" s="324"/>
      <c r="K9" s="324"/>
      <c r="L9" s="270"/>
    </row>
    <row r="10">
      <c r="A10" s="272"/>
      <c r="B10" s="272" t="s">
        <v>20</v>
      </c>
      <c r="C10" s="272" t="s">
        <v>13216</v>
      </c>
      <c r="D10" s="272" t="s">
        <v>61</v>
      </c>
      <c r="E10" s="302" t="s">
        <v>62</v>
      </c>
      <c r="F10" s="324"/>
      <c r="G10" s="272">
        <v>1.0</v>
      </c>
      <c r="H10" s="327" t="s">
        <v>13217</v>
      </c>
      <c r="I10" s="325" t="s">
        <v>13218</v>
      </c>
      <c r="J10" s="324"/>
      <c r="K10" s="324"/>
      <c r="L10" s="270"/>
    </row>
    <row r="11">
      <c r="A11" s="272"/>
      <c r="B11" s="272" t="s">
        <v>20</v>
      </c>
      <c r="C11" s="272" t="s">
        <v>13219</v>
      </c>
      <c r="D11" s="272" t="s">
        <v>61</v>
      </c>
      <c r="E11" s="302" t="s">
        <v>62</v>
      </c>
      <c r="F11" s="324"/>
      <c r="G11" s="272">
        <v>1.0</v>
      </c>
      <c r="H11" s="327" t="s">
        <v>13220</v>
      </c>
      <c r="I11" s="325" t="s">
        <v>13221</v>
      </c>
      <c r="J11" s="324"/>
      <c r="K11" s="324"/>
      <c r="L11" s="270"/>
    </row>
    <row r="12">
      <c r="A12" s="272"/>
      <c r="B12" s="272" t="s">
        <v>20</v>
      </c>
      <c r="C12" s="272" t="s">
        <v>13222</v>
      </c>
      <c r="D12" s="272" t="s">
        <v>61</v>
      </c>
      <c r="E12" s="302" t="s">
        <v>62</v>
      </c>
      <c r="F12" s="324"/>
      <c r="G12" s="272">
        <v>9.0</v>
      </c>
      <c r="H12" s="327" t="s">
        <v>13223</v>
      </c>
      <c r="I12" s="324"/>
      <c r="J12" s="324"/>
      <c r="K12" s="324"/>
      <c r="L12" s="270"/>
    </row>
    <row r="13">
      <c r="A13" s="272"/>
      <c r="B13" s="272" t="s">
        <v>20</v>
      </c>
      <c r="C13" s="272" t="s">
        <v>1274</v>
      </c>
      <c r="D13" s="272" t="s">
        <v>61</v>
      </c>
      <c r="E13" s="302" t="s">
        <v>62</v>
      </c>
      <c r="F13" s="326"/>
      <c r="G13" s="324"/>
      <c r="H13" s="327" t="s">
        <v>13224</v>
      </c>
      <c r="I13" s="325" t="s">
        <v>13225</v>
      </c>
      <c r="J13" s="325" t="s">
        <v>13226</v>
      </c>
      <c r="K13" s="324"/>
      <c r="L13" s="271" t="s">
        <v>13227</v>
      </c>
    </row>
    <row r="14">
      <c r="A14" s="272"/>
      <c r="B14" s="272" t="s">
        <v>276</v>
      </c>
      <c r="C14" s="272" t="s">
        <v>1108</v>
      </c>
      <c r="D14" s="272" t="s">
        <v>61</v>
      </c>
      <c r="E14" s="272" t="s">
        <v>62</v>
      </c>
      <c r="F14" s="324"/>
      <c r="G14" s="324"/>
      <c r="H14" s="325" t="s">
        <v>13228</v>
      </c>
      <c r="I14" s="325" t="s">
        <v>13229</v>
      </c>
      <c r="J14" s="325" t="s">
        <v>13230</v>
      </c>
      <c r="K14" s="324"/>
      <c r="L14" s="270"/>
    </row>
    <row r="15">
      <c r="A15" s="272"/>
      <c r="B15" s="272" t="s">
        <v>20</v>
      </c>
      <c r="C15" s="272" t="s">
        <v>13231</v>
      </c>
      <c r="D15" s="272" t="s">
        <v>61</v>
      </c>
      <c r="E15" s="272" t="s">
        <v>62</v>
      </c>
      <c r="F15" s="324"/>
      <c r="G15" s="324"/>
      <c r="H15" s="325" t="s">
        <v>13232</v>
      </c>
      <c r="I15" s="325" t="s">
        <v>13233</v>
      </c>
      <c r="J15" s="325" t="s">
        <v>13234</v>
      </c>
      <c r="K15" s="324"/>
      <c r="L15" s="270"/>
    </row>
    <row r="16">
      <c r="A16" s="272"/>
      <c r="B16" s="272" t="s">
        <v>20</v>
      </c>
      <c r="C16" s="272" t="s">
        <v>13235</v>
      </c>
      <c r="D16" s="272" t="s">
        <v>61</v>
      </c>
      <c r="E16" s="272" t="s">
        <v>62</v>
      </c>
      <c r="F16" s="324"/>
      <c r="G16" s="324"/>
      <c r="H16" s="325" t="s">
        <v>13236</v>
      </c>
      <c r="I16" s="325" t="s">
        <v>13237</v>
      </c>
      <c r="J16" s="324"/>
      <c r="K16" s="324"/>
      <c r="L16" s="270"/>
    </row>
    <row r="17">
      <c r="A17" s="272"/>
      <c r="B17" s="272" t="s">
        <v>20</v>
      </c>
      <c r="C17" s="272" t="s">
        <v>2478</v>
      </c>
      <c r="D17" s="272" t="s">
        <v>61</v>
      </c>
      <c r="E17" s="272" t="s">
        <v>62</v>
      </c>
      <c r="F17" s="324"/>
      <c r="G17" s="324"/>
      <c r="H17" s="325" t="s">
        <v>13238</v>
      </c>
      <c r="I17" s="325" t="s">
        <v>13239</v>
      </c>
      <c r="J17" s="324"/>
      <c r="K17" s="324"/>
      <c r="L17" s="270"/>
    </row>
    <row r="18">
      <c r="A18" s="272"/>
      <c r="B18" s="272" t="s">
        <v>20</v>
      </c>
      <c r="C18" s="272" t="s">
        <v>2066</v>
      </c>
      <c r="D18" s="272" t="s">
        <v>61</v>
      </c>
      <c r="E18" s="272" t="s">
        <v>62</v>
      </c>
      <c r="F18" s="324"/>
      <c r="G18" s="324"/>
      <c r="H18" s="325" t="s">
        <v>13240</v>
      </c>
      <c r="I18" s="325" t="s">
        <v>13241</v>
      </c>
      <c r="J18" s="324"/>
      <c r="K18" s="324"/>
      <c r="L18" s="270"/>
    </row>
    <row r="19">
      <c r="A19" s="272"/>
      <c r="B19" s="272" t="s">
        <v>20</v>
      </c>
      <c r="C19" s="272" t="s">
        <v>13242</v>
      </c>
      <c r="D19" s="272" t="s">
        <v>61</v>
      </c>
      <c r="E19" s="272" t="s">
        <v>62</v>
      </c>
      <c r="F19" s="324"/>
      <c r="G19" s="324"/>
      <c r="H19" s="325" t="s">
        <v>13243</v>
      </c>
      <c r="I19" s="325" t="s">
        <v>13244</v>
      </c>
      <c r="J19" s="324"/>
      <c r="K19" s="324"/>
      <c r="L19" s="270"/>
    </row>
    <row r="20">
      <c r="A20" s="272"/>
      <c r="B20" s="272" t="s">
        <v>20</v>
      </c>
      <c r="C20" s="272" t="s">
        <v>13245</v>
      </c>
      <c r="D20" s="272" t="s">
        <v>61</v>
      </c>
      <c r="E20" s="272" t="s">
        <v>62</v>
      </c>
      <c r="F20" s="324"/>
      <c r="G20" s="324"/>
      <c r="H20" s="325" t="s">
        <v>13246</v>
      </c>
      <c r="I20" s="325" t="s">
        <v>13247</v>
      </c>
      <c r="J20" s="324"/>
      <c r="K20" s="324"/>
      <c r="L20" s="270"/>
    </row>
    <row r="21">
      <c r="A21" s="272"/>
      <c r="B21" s="272" t="s">
        <v>20</v>
      </c>
      <c r="C21" s="272" t="s">
        <v>13248</v>
      </c>
      <c r="D21" s="272" t="s">
        <v>61</v>
      </c>
      <c r="E21" s="272" t="s">
        <v>62</v>
      </c>
      <c r="F21" s="324"/>
      <c r="G21" s="324"/>
      <c r="H21" s="325" t="s">
        <v>13249</v>
      </c>
      <c r="I21" s="325" t="s">
        <v>13250</v>
      </c>
      <c r="J21" s="325" t="s">
        <v>13251</v>
      </c>
      <c r="K21" s="324"/>
      <c r="L21" s="270"/>
    </row>
    <row r="22">
      <c r="A22" s="272"/>
      <c r="B22" s="272" t="s">
        <v>20</v>
      </c>
      <c r="C22" s="272" t="s">
        <v>13252</v>
      </c>
      <c r="D22" s="272" t="s">
        <v>61</v>
      </c>
      <c r="E22" s="272" t="s">
        <v>62</v>
      </c>
      <c r="F22" s="324"/>
      <c r="G22" s="324"/>
      <c r="H22" s="325" t="s">
        <v>13253</v>
      </c>
      <c r="I22" s="325" t="s">
        <v>13254</v>
      </c>
      <c r="J22" s="324"/>
      <c r="K22" s="324"/>
      <c r="L22" s="270"/>
    </row>
    <row r="23">
      <c r="A23" s="272"/>
      <c r="B23" s="272" t="s">
        <v>20</v>
      </c>
      <c r="C23" s="272" t="s">
        <v>13255</v>
      </c>
      <c r="D23" s="272" t="s">
        <v>61</v>
      </c>
      <c r="E23" s="272" t="s">
        <v>62</v>
      </c>
      <c r="F23" s="324"/>
      <c r="G23" s="324"/>
      <c r="H23" s="325" t="s">
        <v>13256</v>
      </c>
      <c r="I23" s="325" t="s">
        <v>13257</v>
      </c>
      <c r="J23" s="324"/>
      <c r="K23" s="324"/>
      <c r="L23" s="270"/>
    </row>
    <row r="24">
      <c r="A24" s="272"/>
      <c r="B24" s="272" t="s">
        <v>20</v>
      </c>
      <c r="C24" s="272" t="s">
        <v>13258</v>
      </c>
      <c r="D24" s="272" t="s">
        <v>61</v>
      </c>
      <c r="E24" s="272" t="s">
        <v>13259</v>
      </c>
      <c r="F24" s="324"/>
      <c r="G24" s="324"/>
      <c r="H24" s="325" t="s">
        <v>13260</v>
      </c>
      <c r="I24" s="324"/>
      <c r="J24" s="324"/>
      <c r="K24" s="324"/>
      <c r="L24" s="270"/>
    </row>
    <row r="25">
      <c r="A25" s="272"/>
      <c r="B25" s="272" t="s">
        <v>20</v>
      </c>
      <c r="C25" s="272" t="s">
        <v>13261</v>
      </c>
      <c r="D25" s="272" t="s">
        <v>61</v>
      </c>
      <c r="E25" s="272" t="s">
        <v>62</v>
      </c>
      <c r="F25" s="324"/>
      <c r="G25" s="324"/>
      <c r="H25" s="325" t="s">
        <v>13262</v>
      </c>
      <c r="I25" s="324"/>
      <c r="J25" s="324"/>
      <c r="K25" s="324"/>
      <c r="L25" s="270"/>
    </row>
    <row r="26">
      <c r="A26" s="272"/>
      <c r="B26" s="272" t="s">
        <v>20</v>
      </c>
      <c r="C26" s="272" t="s">
        <v>4974</v>
      </c>
      <c r="D26" s="272" t="s">
        <v>61</v>
      </c>
      <c r="E26" s="272" t="s">
        <v>62</v>
      </c>
      <c r="F26" s="324"/>
      <c r="G26" s="324"/>
      <c r="H26" s="325" t="s">
        <v>13263</v>
      </c>
      <c r="I26" s="324"/>
      <c r="J26" s="324"/>
      <c r="K26" s="324"/>
      <c r="L26" s="270"/>
    </row>
    <row r="27">
      <c r="A27" s="272"/>
      <c r="B27" s="272" t="s">
        <v>20</v>
      </c>
      <c r="C27" s="272" t="s">
        <v>2542</v>
      </c>
      <c r="D27" s="272" t="s">
        <v>61</v>
      </c>
      <c r="E27" s="272" t="s">
        <v>62</v>
      </c>
      <c r="F27" s="324"/>
      <c r="G27" s="324"/>
      <c r="H27" s="325" t="s">
        <v>13264</v>
      </c>
      <c r="I27" s="325" t="s">
        <v>13265</v>
      </c>
      <c r="J27" s="324"/>
      <c r="K27" s="324"/>
      <c r="L27" s="270"/>
    </row>
    <row r="28">
      <c r="A28" s="272"/>
      <c r="B28" s="272" t="s">
        <v>20</v>
      </c>
      <c r="C28" s="272" t="s">
        <v>49</v>
      </c>
      <c r="D28" s="272" t="s">
        <v>61</v>
      </c>
      <c r="E28" s="272" t="s">
        <v>13259</v>
      </c>
      <c r="F28" s="324"/>
      <c r="G28" s="324"/>
      <c r="H28" s="325" t="s">
        <v>13266</v>
      </c>
      <c r="I28" s="324"/>
      <c r="J28" s="324"/>
      <c r="K28" s="324"/>
      <c r="L28" s="270"/>
    </row>
    <row r="29">
      <c r="A29" s="272"/>
      <c r="B29" s="272" t="s">
        <v>20</v>
      </c>
      <c r="C29" s="272" t="s">
        <v>13267</v>
      </c>
      <c r="D29" s="272" t="s">
        <v>61</v>
      </c>
      <c r="E29" s="272" t="s">
        <v>62</v>
      </c>
      <c r="F29" s="324"/>
      <c r="G29" s="324"/>
      <c r="H29" s="325" t="s">
        <v>13268</v>
      </c>
      <c r="I29" s="324"/>
      <c r="J29" s="324"/>
      <c r="K29" s="324"/>
      <c r="L29" s="270"/>
    </row>
    <row r="30">
      <c r="A30" s="272"/>
      <c r="B30" s="272" t="s">
        <v>20</v>
      </c>
      <c r="C30" s="272" t="s">
        <v>13269</v>
      </c>
      <c r="D30" s="272" t="s">
        <v>61</v>
      </c>
      <c r="E30" s="272" t="s">
        <v>62</v>
      </c>
      <c r="F30" s="324"/>
      <c r="G30" s="324"/>
      <c r="H30" s="325"/>
      <c r="I30" s="324"/>
      <c r="J30" s="325" t="s">
        <v>13270</v>
      </c>
      <c r="K30" s="324"/>
      <c r="L30" s="270"/>
    </row>
    <row r="31">
      <c r="A31" s="272"/>
      <c r="B31" s="272" t="s">
        <v>20</v>
      </c>
      <c r="C31" s="272" t="s">
        <v>13271</v>
      </c>
      <c r="D31" s="272" t="s">
        <v>13201</v>
      </c>
      <c r="E31" s="272" t="s">
        <v>62</v>
      </c>
      <c r="F31" s="324"/>
      <c r="G31" s="324"/>
      <c r="H31" s="325" t="s">
        <v>13272</v>
      </c>
      <c r="I31" s="325" t="s">
        <v>13273</v>
      </c>
      <c r="J31" s="324"/>
      <c r="K31" s="324"/>
      <c r="L31" s="270"/>
    </row>
    <row r="32">
      <c r="A32" s="272"/>
      <c r="B32" s="272" t="s">
        <v>20</v>
      </c>
      <c r="C32" s="272" t="s">
        <v>13274</v>
      </c>
      <c r="D32" s="272" t="s">
        <v>61</v>
      </c>
      <c r="E32" s="272" t="s">
        <v>62</v>
      </c>
      <c r="F32" s="324"/>
      <c r="G32" s="324"/>
      <c r="H32" s="325" t="s">
        <v>13275</v>
      </c>
      <c r="I32" s="324"/>
      <c r="J32" s="324"/>
      <c r="K32" s="324"/>
      <c r="L32" s="270"/>
    </row>
    <row r="33">
      <c r="A33" s="272"/>
      <c r="B33" s="272" t="s">
        <v>20</v>
      </c>
      <c r="C33" s="272" t="s">
        <v>74</v>
      </c>
      <c r="D33" s="272" t="s">
        <v>61</v>
      </c>
      <c r="E33" s="272" t="s">
        <v>62</v>
      </c>
      <c r="F33" s="324"/>
      <c r="G33" s="324"/>
      <c r="H33" s="325" t="s">
        <v>13276</v>
      </c>
      <c r="I33" s="325" t="s">
        <v>13277</v>
      </c>
      <c r="J33" s="324"/>
      <c r="K33" s="324"/>
      <c r="L33" s="270"/>
    </row>
    <row r="34">
      <c r="A34" s="272"/>
      <c r="B34" s="272" t="s">
        <v>20</v>
      </c>
      <c r="C34" s="272" t="s">
        <v>13278</v>
      </c>
      <c r="D34" s="272" t="s">
        <v>61</v>
      </c>
      <c r="E34" s="272" t="s">
        <v>62</v>
      </c>
      <c r="F34" s="324"/>
      <c r="G34" s="324"/>
      <c r="H34" s="325" t="s">
        <v>13279</v>
      </c>
      <c r="I34" s="325" t="s">
        <v>13280</v>
      </c>
      <c r="J34" s="324"/>
      <c r="K34" s="324"/>
      <c r="L34" s="270"/>
    </row>
    <row r="35">
      <c r="A35" s="272"/>
      <c r="B35" s="272" t="s">
        <v>20</v>
      </c>
      <c r="C35" s="272" t="s">
        <v>13281</v>
      </c>
      <c r="D35" s="272" t="s">
        <v>61</v>
      </c>
      <c r="E35" s="272" t="s">
        <v>13259</v>
      </c>
      <c r="F35" s="324"/>
      <c r="G35" s="324"/>
      <c r="H35" s="325" t="s">
        <v>13282</v>
      </c>
      <c r="I35" s="325" t="s">
        <v>13283</v>
      </c>
      <c r="J35" s="325" t="s">
        <v>13284</v>
      </c>
      <c r="K35" s="324"/>
      <c r="L35" s="270"/>
    </row>
    <row r="36">
      <c r="A36" s="272"/>
      <c r="B36" s="272" t="s">
        <v>20</v>
      </c>
      <c r="C36" s="272" t="s">
        <v>13285</v>
      </c>
      <c r="D36" s="272" t="s">
        <v>61</v>
      </c>
      <c r="E36" s="272" t="s">
        <v>62</v>
      </c>
      <c r="F36" s="324"/>
      <c r="G36" s="324"/>
      <c r="H36" s="329" t="s">
        <v>13286</v>
      </c>
      <c r="I36" s="325" t="s">
        <v>13287</v>
      </c>
      <c r="J36" s="324"/>
      <c r="K36" s="324"/>
      <c r="L36" s="270"/>
    </row>
    <row r="37">
      <c r="A37" s="272"/>
      <c r="B37" s="272" t="s">
        <v>20</v>
      </c>
      <c r="C37" s="272" t="s">
        <v>13288</v>
      </c>
      <c r="D37" s="272" t="s">
        <v>61</v>
      </c>
      <c r="E37" s="272" t="s">
        <v>62</v>
      </c>
      <c r="F37" s="324"/>
      <c r="G37" s="324"/>
      <c r="H37" s="324"/>
      <c r="I37" s="325" t="s">
        <v>13289</v>
      </c>
      <c r="J37" s="325" t="s">
        <v>13290</v>
      </c>
      <c r="K37" s="324"/>
      <c r="L37" s="270"/>
    </row>
    <row r="38">
      <c r="A38" s="272"/>
      <c r="B38" s="272" t="s">
        <v>20</v>
      </c>
      <c r="C38" s="272" t="s">
        <v>13291</v>
      </c>
      <c r="D38" s="272" t="s">
        <v>61</v>
      </c>
      <c r="E38" s="272" t="s">
        <v>62</v>
      </c>
      <c r="F38" s="324"/>
      <c r="G38" s="324"/>
      <c r="H38" s="325" t="s">
        <v>13292</v>
      </c>
      <c r="I38" s="325" t="s">
        <v>13293</v>
      </c>
      <c r="J38" s="325" t="s">
        <v>13294</v>
      </c>
      <c r="K38" s="324"/>
      <c r="L38" s="270"/>
    </row>
    <row r="39">
      <c r="A39" s="272"/>
      <c r="B39" s="272" t="s">
        <v>102</v>
      </c>
      <c r="C39" s="272" t="s">
        <v>13295</v>
      </c>
      <c r="D39" s="272" t="s">
        <v>61</v>
      </c>
      <c r="E39" s="272" t="s">
        <v>62</v>
      </c>
      <c r="F39" s="324"/>
      <c r="G39" s="324"/>
      <c r="H39" s="325" t="s">
        <v>13296</v>
      </c>
      <c r="I39" s="325" t="s">
        <v>13297</v>
      </c>
      <c r="J39" s="325" t="s">
        <v>13298</v>
      </c>
      <c r="K39" s="324"/>
      <c r="L39" s="270"/>
    </row>
    <row r="40">
      <c r="A40" s="272"/>
      <c r="B40" s="272" t="s">
        <v>20</v>
      </c>
      <c r="C40" s="272" t="s">
        <v>13299</v>
      </c>
      <c r="D40" s="272" t="s">
        <v>61</v>
      </c>
      <c r="E40" s="272" t="s">
        <v>62</v>
      </c>
      <c r="F40" s="324"/>
      <c r="G40" s="324"/>
      <c r="H40" s="325" t="s">
        <v>13300</v>
      </c>
      <c r="I40" s="324"/>
      <c r="J40" s="324"/>
      <c r="K40" s="324"/>
      <c r="L40" s="270"/>
    </row>
    <row r="41">
      <c r="A41" s="272"/>
      <c r="B41" s="272" t="s">
        <v>20</v>
      </c>
      <c r="C41" s="272" t="s">
        <v>13301</v>
      </c>
      <c r="D41" s="272" t="s">
        <v>61</v>
      </c>
      <c r="E41" s="272" t="s">
        <v>62</v>
      </c>
      <c r="F41" s="324"/>
      <c r="G41" s="324"/>
      <c r="H41" s="324"/>
      <c r="I41" s="324"/>
      <c r="J41" s="325" t="s">
        <v>13302</v>
      </c>
      <c r="K41" s="324"/>
      <c r="L41" s="271" t="s">
        <v>13303</v>
      </c>
    </row>
    <row r="42">
      <c r="A42" s="272"/>
      <c r="B42" s="272" t="s">
        <v>20</v>
      </c>
      <c r="C42" s="272" t="s">
        <v>13304</v>
      </c>
      <c r="D42" s="272" t="s">
        <v>61</v>
      </c>
      <c r="E42" s="272" t="s">
        <v>62</v>
      </c>
      <c r="F42" s="324"/>
      <c r="G42" s="324"/>
      <c r="H42" s="325" t="s">
        <v>13305</v>
      </c>
      <c r="I42" s="325" t="s">
        <v>13306</v>
      </c>
      <c r="J42" s="324"/>
      <c r="K42" s="324"/>
      <c r="L42" s="270"/>
    </row>
    <row r="43">
      <c r="A43" s="272"/>
      <c r="B43" s="272" t="s">
        <v>20</v>
      </c>
      <c r="C43" s="272" t="s">
        <v>13307</v>
      </c>
      <c r="D43" s="272" t="s">
        <v>61</v>
      </c>
      <c r="E43" s="272" t="s">
        <v>62</v>
      </c>
      <c r="F43" s="324"/>
      <c r="G43" s="324"/>
      <c r="H43" s="325" t="s">
        <v>13308</v>
      </c>
      <c r="I43" s="325" t="s">
        <v>13309</v>
      </c>
      <c r="J43" s="325" t="s">
        <v>13310</v>
      </c>
      <c r="K43" s="324"/>
      <c r="L43" s="270"/>
    </row>
    <row r="44">
      <c r="A44" s="272"/>
      <c r="B44" s="272" t="s">
        <v>20</v>
      </c>
      <c r="C44" s="272" t="s">
        <v>13311</v>
      </c>
      <c r="D44" s="272" t="s">
        <v>61</v>
      </c>
      <c r="E44" s="272" t="s">
        <v>62</v>
      </c>
      <c r="F44" s="324"/>
      <c r="G44" s="324"/>
      <c r="H44" s="325" t="s">
        <v>13312</v>
      </c>
      <c r="I44" s="325" t="s">
        <v>13313</v>
      </c>
      <c r="J44" s="324"/>
      <c r="K44" s="324"/>
      <c r="L44" s="270"/>
    </row>
    <row r="45">
      <c r="A45" s="272"/>
      <c r="B45" s="272" t="s">
        <v>20</v>
      </c>
      <c r="C45" s="272" t="s">
        <v>13314</v>
      </c>
      <c r="D45" s="272" t="s">
        <v>61</v>
      </c>
      <c r="E45" s="272" t="s">
        <v>62</v>
      </c>
      <c r="F45" s="324"/>
      <c r="G45" s="324"/>
      <c r="H45" s="324"/>
      <c r="I45" s="325" t="s">
        <v>13315</v>
      </c>
      <c r="J45" s="324"/>
      <c r="K45" s="324"/>
      <c r="L45" s="270"/>
    </row>
    <row r="46">
      <c r="A46" s="272"/>
      <c r="B46" s="272" t="s">
        <v>687</v>
      </c>
      <c r="C46" s="272" t="s">
        <v>13316</v>
      </c>
      <c r="D46" s="272" t="s">
        <v>61</v>
      </c>
      <c r="E46" s="272" t="s">
        <v>62</v>
      </c>
      <c r="F46" s="324"/>
      <c r="G46" s="324"/>
      <c r="H46" s="324"/>
      <c r="I46" s="324"/>
      <c r="J46" s="325" t="s">
        <v>13317</v>
      </c>
      <c r="K46" s="324"/>
      <c r="L46" s="270"/>
    </row>
    <row r="47">
      <c r="A47" s="272"/>
      <c r="B47" s="272" t="s">
        <v>20</v>
      </c>
      <c r="C47" s="272" t="s">
        <v>13318</v>
      </c>
      <c r="D47" s="272" t="s">
        <v>13201</v>
      </c>
      <c r="E47" s="272" t="s">
        <v>62</v>
      </c>
      <c r="F47" s="324"/>
      <c r="G47" s="324"/>
      <c r="H47" s="325" t="s">
        <v>13319</v>
      </c>
      <c r="I47" s="324"/>
      <c r="J47" s="324"/>
      <c r="K47" s="324"/>
      <c r="L47" s="270"/>
    </row>
    <row r="48">
      <c r="A48" s="272"/>
      <c r="B48" s="272" t="s">
        <v>20</v>
      </c>
      <c r="C48" s="272" t="s">
        <v>2742</v>
      </c>
      <c r="D48" s="272" t="s">
        <v>61</v>
      </c>
      <c r="E48" s="272" t="s">
        <v>62</v>
      </c>
      <c r="F48" s="324"/>
      <c r="G48" s="324"/>
      <c r="H48" s="324"/>
      <c r="I48" s="324"/>
      <c r="J48" s="325" t="s">
        <v>13320</v>
      </c>
      <c r="K48" s="324"/>
      <c r="L48" s="270"/>
    </row>
    <row r="49">
      <c r="A49" s="272"/>
      <c r="B49" s="272" t="s">
        <v>20</v>
      </c>
      <c r="C49" s="272" t="s">
        <v>13321</v>
      </c>
      <c r="D49" s="272" t="s">
        <v>13201</v>
      </c>
      <c r="E49" s="272" t="s">
        <v>62</v>
      </c>
      <c r="F49" s="324"/>
      <c r="G49" s="324"/>
      <c r="H49" s="324"/>
      <c r="I49" s="324"/>
      <c r="J49" s="325" t="s">
        <v>13322</v>
      </c>
      <c r="K49" s="324"/>
      <c r="L49" s="270"/>
    </row>
    <row r="50">
      <c r="A50" s="272"/>
      <c r="B50" s="272" t="s">
        <v>20</v>
      </c>
      <c r="C50" s="272" t="s">
        <v>13323</v>
      </c>
      <c r="D50" s="272" t="s">
        <v>61</v>
      </c>
      <c r="E50" s="272" t="s">
        <v>62</v>
      </c>
      <c r="F50" s="324"/>
      <c r="G50" s="324"/>
      <c r="H50" s="324"/>
      <c r="I50" s="324"/>
      <c r="J50" s="325" t="s">
        <v>13324</v>
      </c>
      <c r="K50" s="324"/>
      <c r="L50" s="270"/>
    </row>
    <row r="51">
      <c r="A51" s="272"/>
      <c r="B51" s="272" t="s">
        <v>20</v>
      </c>
      <c r="C51" s="272" t="s">
        <v>13325</v>
      </c>
      <c r="D51" s="272" t="s">
        <v>61</v>
      </c>
      <c r="E51" s="272" t="s">
        <v>62</v>
      </c>
      <c r="F51" s="324"/>
      <c r="G51" s="324"/>
      <c r="H51" s="324"/>
      <c r="I51" s="324"/>
      <c r="J51" s="325" t="s">
        <v>13326</v>
      </c>
      <c r="K51" s="324"/>
      <c r="L51" s="270"/>
    </row>
    <row r="52">
      <c r="A52" s="272"/>
      <c r="B52" s="272" t="s">
        <v>20</v>
      </c>
      <c r="C52" s="272" t="s">
        <v>13327</v>
      </c>
      <c r="D52" s="272" t="s">
        <v>61</v>
      </c>
      <c r="E52" s="272" t="s">
        <v>62</v>
      </c>
      <c r="F52" s="324"/>
      <c r="G52" s="324"/>
      <c r="H52" s="325" t="s">
        <v>13328</v>
      </c>
      <c r="I52" s="325" t="s">
        <v>13329</v>
      </c>
      <c r="J52" s="324"/>
      <c r="K52" s="324"/>
      <c r="L52" s="270"/>
    </row>
    <row r="53">
      <c r="A53" s="272"/>
      <c r="B53" s="272" t="s">
        <v>20</v>
      </c>
      <c r="C53" s="272" t="s">
        <v>13330</v>
      </c>
      <c r="D53" s="272" t="s">
        <v>61</v>
      </c>
      <c r="E53" s="272" t="s">
        <v>62</v>
      </c>
      <c r="F53" s="324"/>
      <c r="G53" s="324"/>
      <c r="H53" s="325" t="s">
        <v>13331</v>
      </c>
      <c r="I53" s="325" t="s">
        <v>13332</v>
      </c>
      <c r="J53" s="324"/>
      <c r="K53" s="324"/>
      <c r="L53" s="270"/>
    </row>
    <row r="54">
      <c r="A54" s="272"/>
      <c r="B54" s="272" t="s">
        <v>20</v>
      </c>
      <c r="C54" s="272" t="s">
        <v>13333</v>
      </c>
      <c r="D54" s="272" t="s">
        <v>61</v>
      </c>
      <c r="E54" s="272" t="s">
        <v>62</v>
      </c>
      <c r="F54" s="324"/>
      <c r="G54" s="324"/>
      <c r="H54" s="325" t="s">
        <v>13334</v>
      </c>
      <c r="I54" s="324"/>
      <c r="J54" s="324"/>
      <c r="K54" s="324"/>
      <c r="L54" s="270"/>
    </row>
    <row r="55">
      <c r="A55" s="272"/>
      <c r="B55" s="272" t="s">
        <v>20</v>
      </c>
      <c r="C55" s="272" t="s">
        <v>13335</v>
      </c>
      <c r="D55" s="272" t="s">
        <v>13201</v>
      </c>
      <c r="E55" s="272" t="s">
        <v>62</v>
      </c>
      <c r="F55" s="324"/>
      <c r="G55" s="324"/>
      <c r="H55" s="324"/>
      <c r="I55" s="324"/>
      <c r="J55" s="325" t="s">
        <v>13336</v>
      </c>
      <c r="K55" s="324"/>
      <c r="L55" s="270"/>
    </row>
    <row r="56">
      <c r="A56" s="272"/>
      <c r="B56" s="272" t="s">
        <v>20</v>
      </c>
      <c r="C56" s="272" t="s">
        <v>6662</v>
      </c>
      <c r="D56" s="272" t="s">
        <v>61</v>
      </c>
      <c r="E56" s="272" t="s">
        <v>62</v>
      </c>
      <c r="F56" s="324"/>
      <c r="G56" s="324"/>
      <c r="H56" s="325" t="s">
        <v>13337</v>
      </c>
      <c r="I56" s="325" t="s">
        <v>13338</v>
      </c>
      <c r="J56" s="324"/>
      <c r="K56" s="325" t="s">
        <v>13339</v>
      </c>
      <c r="L56" s="270"/>
    </row>
    <row r="57">
      <c r="A57" s="272"/>
      <c r="B57" s="272" t="s">
        <v>20</v>
      </c>
      <c r="C57" s="272" t="s">
        <v>49</v>
      </c>
      <c r="D57" s="272" t="s">
        <v>61</v>
      </c>
      <c r="E57" s="272" t="s">
        <v>62</v>
      </c>
      <c r="F57" s="324"/>
      <c r="G57" s="324"/>
      <c r="H57" s="325" t="s">
        <v>13339</v>
      </c>
      <c r="I57" s="325" t="s">
        <v>13340</v>
      </c>
      <c r="J57" s="325" t="s">
        <v>13341</v>
      </c>
      <c r="K57" s="324"/>
      <c r="L57" s="270"/>
    </row>
    <row r="58">
      <c r="A58" s="272"/>
      <c r="B58" s="272" t="s">
        <v>20</v>
      </c>
      <c r="C58" s="272" t="s">
        <v>2229</v>
      </c>
      <c r="D58" s="272" t="s">
        <v>61</v>
      </c>
      <c r="E58" s="272" t="s">
        <v>62</v>
      </c>
      <c r="F58" s="324"/>
      <c r="G58" s="324"/>
      <c r="H58" s="325" t="s">
        <v>13342</v>
      </c>
      <c r="I58" s="325" t="s">
        <v>13343</v>
      </c>
      <c r="J58" s="324"/>
      <c r="K58" s="324"/>
      <c r="L58" s="270"/>
    </row>
    <row r="59">
      <c r="A59" s="272"/>
      <c r="B59" s="272" t="s">
        <v>102</v>
      </c>
      <c r="C59" s="272" t="s">
        <v>13344</v>
      </c>
      <c r="D59" s="272" t="s">
        <v>61</v>
      </c>
      <c r="E59" s="272" t="s">
        <v>62</v>
      </c>
      <c r="F59" s="272" t="s">
        <v>13345</v>
      </c>
      <c r="G59" s="324"/>
      <c r="H59" s="325" t="s">
        <v>13346</v>
      </c>
      <c r="I59" s="324"/>
      <c r="J59" s="330" t="s">
        <v>13347</v>
      </c>
      <c r="K59" s="324"/>
      <c r="L59" s="270"/>
    </row>
    <row r="60">
      <c r="A60" s="272"/>
      <c r="B60" s="272" t="s">
        <v>20</v>
      </c>
      <c r="C60" s="272" t="s">
        <v>2267</v>
      </c>
      <c r="D60" s="272" t="s">
        <v>61</v>
      </c>
      <c r="E60" s="272" t="s">
        <v>62</v>
      </c>
      <c r="F60" s="272" t="s">
        <v>13348</v>
      </c>
      <c r="G60" s="324"/>
      <c r="H60" s="325" t="s">
        <v>13349</v>
      </c>
      <c r="I60" s="324"/>
      <c r="J60" s="324"/>
      <c r="K60" s="324"/>
      <c r="L60" s="270"/>
    </row>
    <row r="61">
      <c r="A61" s="272"/>
      <c r="B61" s="272" t="s">
        <v>20</v>
      </c>
      <c r="C61" s="272" t="s">
        <v>13350</v>
      </c>
      <c r="D61" s="272" t="s">
        <v>61</v>
      </c>
      <c r="E61" s="272" t="s">
        <v>62</v>
      </c>
      <c r="F61" s="324"/>
      <c r="G61" s="324"/>
      <c r="H61" s="325" t="s">
        <v>13351</v>
      </c>
      <c r="I61" s="325" t="s">
        <v>13352</v>
      </c>
      <c r="J61" s="324"/>
      <c r="K61" s="324"/>
      <c r="L61" s="270"/>
    </row>
    <row r="62">
      <c r="A62" s="272"/>
      <c r="B62" s="272" t="s">
        <v>20</v>
      </c>
      <c r="C62" s="272" t="s">
        <v>13353</v>
      </c>
      <c r="D62" s="272" t="s">
        <v>61</v>
      </c>
      <c r="E62" s="272" t="s">
        <v>62</v>
      </c>
      <c r="F62" s="324"/>
      <c r="G62" s="324"/>
      <c r="H62" s="325" t="s">
        <v>13354</v>
      </c>
      <c r="I62" s="325" t="s">
        <v>13355</v>
      </c>
      <c r="J62" s="325" t="s">
        <v>13356</v>
      </c>
      <c r="K62" s="324"/>
      <c r="L62" s="270"/>
    </row>
    <row r="63">
      <c r="A63" s="272"/>
      <c r="B63" s="272" t="s">
        <v>20</v>
      </c>
      <c r="C63" s="272" t="s">
        <v>13357</v>
      </c>
      <c r="D63" s="272" t="s">
        <v>61</v>
      </c>
      <c r="E63" s="272" t="s">
        <v>62</v>
      </c>
      <c r="F63" s="324"/>
      <c r="G63" s="324"/>
      <c r="H63" s="325" t="s">
        <v>13358</v>
      </c>
      <c r="I63" s="325" t="s">
        <v>13359</v>
      </c>
      <c r="J63" s="324"/>
      <c r="K63" s="324"/>
      <c r="L63" s="270"/>
    </row>
    <row r="64">
      <c r="A64" s="272"/>
      <c r="B64" s="272" t="s">
        <v>720</v>
      </c>
      <c r="C64" s="272" t="s">
        <v>2229</v>
      </c>
      <c r="D64" s="272" t="s">
        <v>61</v>
      </c>
      <c r="E64" s="272" t="s">
        <v>62</v>
      </c>
      <c r="F64" s="324"/>
      <c r="G64" s="324"/>
      <c r="H64" s="325" t="s">
        <v>13360</v>
      </c>
      <c r="I64" s="325" t="s">
        <v>13361</v>
      </c>
      <c r="J64" s="325" t="s">
        <v>13362</v>
      </c>
      <c r="K64" s="324"/>
      <c r="L64" s="270"/>
    </row>
    <row r="65">
      <c r="A65" s="272"/>
      <c r="B65" s="272" t="s">
        <v>20</v>
      </c>
      <c r="C65" s="272" t="s">
        <v>526</v>
      </c>
      <c r="D65" s="272" t="s">
        <v>61</v>
      </c>
      <c r="E65" s="272" t="s">
        <v>62</v>
      </c>
      <c r="F65" s="324"/>
      <c r="G65" s="324"/>
      <c r="H65" s="325" t="s">
        <v>13363</v>
      </c>
      <c r="I65" s="324"/>
      <c r="J65" s="324"/>
      <c r="K65" s="324"/>
      <c r="L65" s="270"/>
    </row>
    <row r="66">
      <c r="A66" s="272"/>
      <c r="B66" s="272" t="s">
        <v>20</v>
      </c>
      <c r="C66" s="272" t="s">
        <v>13364</v>
      </c>
      <c r="D66" s="272" t="s">
        <v>61</v>
      </c>
      <c r="E66" s="272" t="s">
        <v>62</v>
      </c>
      <c r="F66" s="324"/>
      <c r="G66" s="324"/>
      <c r="H66" s="325" t="s">
        <v>13365</v>
      </c>
      <c r="I66" s="325" t="s">
        <v>13366</v>
      </c>
      <c r="J66" s="325" t="s">
        <v>13367</v>
      </c>
      <c r="K66" s="324"/>
      <c r="L66" s="270"/>
    </row>
    <row r="67">
      <c r="A67" s="272"/>
      <c r="B67" s="272" t="s">
        <v>20</v>
      </c>
      <c r="C67" s="272" t="s">
        <v>13368</v>
      </c>
      <c r="D67" s="272" t="s">
        <v>61</v>
      </c>
      <c r="E67" s="272" t="s">
        <v>62</v>
      </c>
      <c r="F67" s="324"/>
      <c r="G67" s="324"/>
      <c r="H67" s="325" t="s">
        <v>13369</v>
      </c>
      <c r="I67" s="325" t="s">
        <v>13370</v>
      </c>
      <c r="J67" s="324"/>
      <c r="K67" s="324"/>
      <c r="L67" s="270"/>
    </row>
    <row r="68">
      <c r="A68" s="272"/>
      <c r="B68" s="272" t="s">
        <v>20</v>
      </c>
      <c r="C68" s="272" t="s">
        <v>3081</v>
      </c>
      <c r="D68" s="272" t="s">
        <v>61</v>
      </c>
      <c r="E68" s="272" t="s">
        <v>62</v>
      </c>
      <c r="F68" s="324"/>
      <c r="G68" s="324"/>
      <c r="H68" s="325" t="s">
        <v>13371</v>
      </c>
      <c r="I68" s="325" t="s">
        <v>13372</v>
      </c>
      <c r="J68" s="324"/>
      <c r="K68" s="324"/>
      <c r="L68" s="270"/>
    </row>
    <row r="69">
      <c r="A69" s="272"/>
      <c r="B69" s="272" t="s">
        <v>20</v>
      </c>
      <c r="C69" s="272" t="s">
        <v>13373</v>
      </c>
      <c r="D69" s="272" t="s">
        <v>61</v>
      </c>
      <c r="E69" s="272" t="s">
        <v>62</v>
      </c>
      <c r="F69" s="324"/>
      <c r="G69" s="324"/>
      <c r="H69" s="325" t="s">
        <v>13374</v>
      </c>
      <c r="I69" s="325" t="s">
        <v>13375</v>
      </c>
      <c r="J69" s="324"/>
      <c r="K69" s="324"/>
      <c r="L69" s="270"/>
    </row>
    <row r="70">
      <c r="A70" s="272"/>
      <c r="B70" s="272" t="s">
        <v>20</v>
      </c>
      <c r="C70" s="272" t="s">
        <v>794</v>
      </c>
      <c r="D70" s="272" t="s">
        <v>61</v>
      </c>
      <c r="E70" s="272" t="s">
        <v>62</v>
      </c>
      <c r="F70" s="324"/>
      <c r="G70" s="324"/>
      <c r="H70" s="325" t="s">
        <v>13376</v>
      </c>
      <c r="I70" s="324"/>
      <c r="J70" s="324"/>
      <c r="K70" s="324"/>
      <c r="L70" s="270"/>
    </row>
    <row r="71">
      <c r="A71" s="272"/>
      <c r="B71" s="272" t="s">
        <v>20</v>
      </c>
      <c r="C71" s="272" t="s">
        <v>12043</v>
      </c>
      <c r="D71" s="272" t="s">
        <v>61</v>
      </c>
      <c r="E71" s="272" t="s">
        <v>62</v>
      </c>
      <c r="F71" s="324"/>
      <c r="G71" s="324"/>
      <c r="H71" s="325" t="s">
        <v>13377</v>
      </c>
      <c r="I71" s="324"/>
      <c r="J71" s="325" t="s">
        <v>13378</v>
      </c>
      <c r="K71" s="324"/>
      <c r="L71" s="270"/>
    </row>
    <row r="72">
      <c r="A72" s="272"/>
      <c r="B72" s="272" t="s">
        <v>20</v>
      </c>
      <c r="C72" s="272" t="s">
        <v>310</v>
      </c>
      <c r="D72" s="272" t="s">
        <v>61</v>
      </c>
      <c r="E72" s="272" t="s">
        <v>62</v>
      </c>
      <c r="F72" s="324"/>
      <c r="G72" s="324"/>
      <c r="H72" s="325" t="s">
        <v>13379</v>
      </c>
      <c r="I72" s="325" t="s">
        <v>13380</v>
      </c>
      <c r="J72" s="325" t="s">
        <v>13381</v>
      </c>
      <c r="K72" s="324"/>
      <c r="L72" s="270"/>
    </row>
    <row r="73">
      <c r="A73" s="272"/>
      <c r="B73" s="272" t="s">
        <v>20</v>
      </c>
      <c r="C73" s="272" t="s">
        <v>13382</v>
      </c>
      <c r="D73" s="272" t="s">
        <v>61</v>
      </c>
      <c r="E73" s="272" t="s">
        <v>62</v>
      </c>
      <c r="F73" s="324"/>
      <c r="G73" s="324"/>
      <c r="H73" s="325" t="s">
        <v>13383</v>
      </c>
      <c r="I73" s="324"/>
      <c r="J73" s="324"/>
      <c r="K73" s="324"/>
      <c r="L73" s="270"/>
    </row>
    <row r="74">
      <c r="A74" s="272"/>
      <c r="B74" s="272" t="s">
        <v>20</v>
      </c>
      <c r="C74" s="272" t="s">
        <v>3104</v>
      </c>
      <c r="D74" s="272" t="s">
        <v>61</v>
      </c>
      <c r="E74" s="272" t="s">
        <v>62</v>
      </c>
      <c r="F74" s="324"/>
      <c r="G74" s="324"/>
      <c r="H74" s="325" t="s">
        <v>13384</v>
      </c>
      <c r="I74" s="325" t="s">
        <v>13385</v>
      </c>
      <c r="J74" s="325" t="s">
        <v>13386</v>
      </c>
      <c r="K74" s="324"/>
      <c r="L74" s="270"/>
    </row>
    <row r="75">
      <c r="A75" s="272"/>
      <c r="B75" s="272" t="s">
        <v>20</v>
      </c>
      <c r="C75" s="272" t="s">
        <v>1399</v>
      </c>
      <c r="D75" s="272" t="s">
        <v>61</v>
      </c>
      <c r="E75" s="272" t="s">
        <v>62</v>
      </c>
      <c r="F75" s="324"/>
      <c r="G75" s="324"/>
      <c r="H75" s="325" t="s">
        <v>13387</v>
      </c>
      <c r="I75" s="325" t="s">
        <v>13388</v>
      </c>
      <c r="J75" s="324"/>
      <c r="K75" s="324"/>
      <c r="L75" s="270"/>
    </row>
    <row r="76">
      <c r="A76" s="272"/>
      <c r="B76" s="272" t="s">
        <v>276</v>
      </c>
      <c r="C76" s="272" t="s">
        <v>13389</v>
      </c>
      <c r="D76" s="272" t="s">
        <v>61</v>
      </c>
      <c r="E76" s="272" t="s">
        <v>62</v>
      </c>
      <c r="F76" s="324"/>
      <c r="G76" s="324"/>
      <c r="H76" s="329" t="s">
        <v>13390</v>
      </c>
      <c r="I76" s="329" t="s">
        <v>13391</v>
      </c>
      <c r="J76" s="325" t="s">
        <v>13392</v>
      </c>
      <c r="K76" s="324"/>
      <c r="L76" s="270"/>
    </row>
    <row r="77">
      <c r="A77" s="272"/>
      <c r="B77" s="272" t="s">
        <v>20</v>
      </c>
      <c r="C77" s="272" t="s">
        <v>13393</v>
      </c>
      <c r="D77" s="272" t="s">
        <v>61</v>
      </c>
      <c r="E77" s="272" t="s">
        <v>62</v>
      </c>
      <c r="F77" s="324"/>
      <c r="G77" s="324"/>
      <c r="H77" s="325" t="s">
        <v>13394</v>
      </c>
      <c r="I77" s="325" t="s">
        <v>13395</v>
      </c>
      <c r="J77" s="324"/>
      <c r="K77" s="324"/>
      <c r="L77" s="270"/>
    </row>
    <row r="78">
      <c r="A78" s="272"/>
      <c r="B78" s="272" t="s">
        <v>20</v>
      </c>
      <c r="C78" s="272" t="s">
        <v>13396</v>
      </c>
      <c r="D78" s="272" t="s">
        <v>61</v>
      </c>
      <c r="E78" s="272" t="s">
        <v>62</v>
      </c>
      <c r="F78" s="324"/>
      <c r="G78" s="324"/>
      <c r="H78" s="329" t="s">
        <v>13397</v>
      </c>
      <c r="I78" s="325" t="s">
        <v>13398</v>
      </c>
      <c r="J78" s="324"/>
      <c r="K78" s="324"/>
      <c r="L78" s="270"/>
    </row>
    <row r="79">
      <c r="A79" s="272"/>
      <c r="B79" s="272" t="s">
        <v>20</v>
      </c>
      <c r="C79" s="272" t="s">
        <v>13399</v>
      </c>
      <c r="D79" s="272" t="s">
        <v>61</v>
      </c>
      <c r="E79" s="272" t="s">
        <v>62</v>
      </c>
      <c r="F79" s="272" t="s">
        <v>13400</v>
      </c>
      <c r="G79" s="324"/>
      <c r="H79" s="325" t="s">
        <v>13401</v>
      </c>
      <c r="I79" s="325" t="s">
        <v>13402</v>
      </c>
      <c r="J79" s="324"/>
      <c r="K79" s="324"/>
      <c r="L79" s="270"/>
    </row>
    <row r="80">
      <c r="A80" s="272"/>
      <c r="B80" s="272" t="s">
        <v>20</v>
      </c>
      <c r="C80" s="272" t="s">
        <v>13403</v>
      </c>
      <c r="D80" s="272" t="s">
        <v>61</v>
      </c>
      <c r="E80" s="272" t="s">
        <v>62</v>
      </c>
      <c r="F80" s="324"/>
      <c r="G80" s="324"/>
      <c r="H80" s="325" t="s">
        <v>13404</v>
      </c>
      <c r="I80" s="325" t="s">
        <v>13405</v>
      </c>
      <c r="J80" s="325" t="s">
        <v>13406</v>
      </c>
      <c r="K80" s="324"/>
      <c r="L80" s="270"/>
    </row>
    <row r="81">
      <c r="A81" s="272"/>
      <c r="B81" s="272" t="s">
        <v>20</v>
      </c>
      <c r="C81" s="272" t="s">
        <v>13407</v>
      </c>
      <c r="D81" s="272" t="s">
        <v>61</v>
      </c>
      <c r="E81" s="272" t="s">
        <v>13259</v>
      </c>
      <c r="F81" s="324"/>
      <c r="G81" s="324"/>
      <c r="H81" s="325" t="s">
        <v>13408</v>
      </c>
      <c r="I81" s="324"/>
      <c r="J81" s="324"/>
      <c r="K81" s="324"/>
      <c r="L81" s="270"/>
    </row>
    <row r="82">
      <c r="A82" s="272"/>
      <c r="B82" s="272" t="s">
        <v>20</v>
      </c>
      <c r="C82" s="272" t="s">
        <v>4030</v>
      </c>
      <c r="D82" s="272" t="s">
        <v>61</v>
      </c>
      <c r="E82" s="272" t="s">
        <v>13259</v>
      </c>
      <c r="F82" s="324"/>
      <c r="G82" s="324"/>
      <c r="H82" s="325" t="s">
        <v>13409</v>
      </c>
      <c r="I82" s="325" t="s">
        <v>13410</v>
      </c>
      <c r="J82" s="324"/>
      <c r="K82" s="324"/>
      <c r="L82" s="270"/>
    </row>
    <row r="83">
      <c r="A83" s="272"/>
      <c r="B83" s="272" t="s">
        <v>20</v>
      </c>
      <c r="C83" s="272" t="s">
        <v>763</v>
      </c>
      <c r="D83" s="272" t="s">
        <v>61</v>
      </c>
      <c r="E83" s="272" t="s">
        <v>13259</v>
      </c>
      <c r="F83" s="324"/>
      <c r="G83" s="324"/>
      <c r="H83" s="325" t="s">
        <v>13411</v>
      </c>
      <c r="I83" s="325" t="s">
        <v>13412</v>
      </c>
      <c r="J83" s="325" t="s">
        <v>13413</v>
      </c>
      <c r="K83" s="325" t="s">
        <v>13414</v>
      </c>
      <c r="L83" s="270"/>
    </row>
    <row r="84">
      <c r="A84" s="272"/>
      <c r="B84" s="272" t="s">
        <v>20</v>
      </c>
      <c r="C84" s="272" t="s">
        <v>1959</v>
      </c>
      <c r="D84" s="272" t="s">
        <v>61</v>
      </c>
      <c r="E84" s="272" t="s">
        <v>13259</v>
      </c>
      <c r="F84" s="324"/>
      <c r="G84" s="324"/>
      <c r="H84" s="325" t="s">
        <v>13415</v>
      </c>
      <c r="I84" s="324"/>
      <c r="J84" s="324"/>
      <c r="K84" s="324"/>
      <c r="L84" s="270"/>
    </row>
    <row r="85">
      <c r="A85" s="272"/>
      <c r="B85" s="272" t="s">
        <v>20</v>
      </c>
      <c r="C85" s="272" t="s">
        <v>13416</v>
      </c>
      <c r="D85" s="272" t="s">
        <v>61</v>
      </c>
      <c r="E85" s="272" t="s">
        <v>13259</v>
      </c>
      <c r="F85" s="324"/>
      <c r="G85" s="324"/>
      <c r="H85" s="325" t="s">
        <v>13417</v>
      </c>
      <c r="I85" s="324"/>
      <c r="J85" s="324"/>
      <c r="K85" s="324"/>
      <c r="L85" s="270"/>
    </row>
    <row r="86">
      <c r="A86" s="272"/>
      <c r="B86" s="272" t="s">
        <v>20</v>
      </c>
      <c r="C86" s="272" t="s">
        <v>2587</v>
      </c>
      <c r="D86" s="272" t="s">
        <v>61</v>
      </c>
      <c r="E86" s="272" t="s">
        <v>13259</v>
      </c>
      <c r="F86" s="324"/>
      <c r="G86" s="324"/>
      <c r="H86" s="325" t="s">
        <v>13418</v>
      </c>
      <c r="I86" s="325" t="s">
        <v>13419</v>
      </c>
      <c r="J86" s="324"/>
      <c r="K86" s="324"/>
      <c r="L86" s="270"/>
    </row>
    <row r="87">
      <c r="A87" s="272"/>
      <c r="B87" s="272" t="s">
        <v>20</v>
      </c>
      <c r="C87" s="272" t="s">
        <v>2969</v>
      </c>
      <c r="D87" s="272" t="s">
        <v>61</v>
      </c>
      <c r="E87" s="272" t="s">
        <v>13259</v>
      </c>
      <c r="F87" s="324"/>
      <c r="G87" s="324"/>
      <c r="H87" s="325" t="s">
        <v>13420</v>
      </c>
      <c r="I87" s="325" t="s">
        <v>13421</v>
      </c>
      <c r="J87" s="324"/>
      <c r="K87" s="324"/>
      <c r="L87" s="270"/>
    </row>
    <row r="88">
      <c r="A88" s="272"/>
      <c r="B88" s="272" t="s">
        <v>20</v>
      </c>
      <c r="C88" s="272" t="s">
        <v>13422</v>
      </c>
      <c r="D88" s="272" t="s">
        <v>61</v>
      </c>
      <c r="E88" s="272" t="s">
        <v>13259</v>
      </c>
      <c r="F88" s="324"/>
      <c r="G88" s="324"/>
      <c r="H88" s="325" t="s">
        <v>13423</v>
      </c>
      <c r="I88" s="324"/>
      <c r="J88" s="324"/>
      <c r="K88" s="324"/>
      <c r="L88" s="270"/>
    </row>
    <row r="89">
      <c r="A89" s="272"/>
      <c r="B89" s="272" t="s">
        <v>20</v>
      </c>
      <c r="C89" s="272" t="s">
        <v>2460</v>
      </c>
      <c r="D89" s="272" t="s">
        <v>61</v>
      </c>
      <c r="E89" s="272" t="s">
        <v>13259</v>
      </c>
      <c r="F89" s="324"/>
      <c r="G89" s="324"/>
      <c r="H89" s="325" t="s">
        <v>13424</v>
      </c>
      <c r="I89" s="325" t="s">
        <v>1826</v>
      </c>
      <c r="J89" s="324"/>
      <c r="K89" s="324"/>
      <c r="L89" s="270"/>
    </row>
    <row r="90">
      <c r="A90" s="48"/>
      <c r="B90" s="272" t="s">
        <v>20</v>
      </c>
      <c r="C90" s="272" t="s">
        <v>4636</v>
      </c>
      <c r="D90" s="272" t="s">
        <v>61</v>
      </c>
      <c r="E90" s="272" t="s">
        <v>13259</v>
      </c>
      <c r="F90" s="324"/>
      <c r="G90" s="324"/>
      <c r="H90" s="329" t="s">
        <v>13425</v>
      </c>
      <c r="I90" s="324"/>
      <c r="J90" s="324"/>
      <c r="K90" s="324"/>
      <c r="L90" s="270"/>
      <c r="M90" s="270"/>
      <c r="N90" s="270"/>
      <c r="O90" s="270"/>
      <c r="P90" s="270"/>
      <c r="Q90" s="270"/>
      <c r="R90" s="270"/>
      <c r="S90" s="270"/>
      <c r="T90" s="270"/>
      <c r="U90" s="270"/>
      <c r="V90" s="270"/>
      <c r="W90" s="270"/>
    </row>
    <row r="91">
      <c r="A91" s="48"/>
      <c r="B91" s="272" t="s">
        <v>20</v>
      </c>
      <c r="C91" s="272" t="s">
        <v>13426</v>
      </c>
      <c r="D91" s="272" t="s">
        <v>13201</v>
      </c>
      <c r="E91" s="272" t="s">
        <v>62</v>
      </c>
      <c r="F91" s="324"/>
      <c r="G91" s="331">
        <v>1.0</v>
      </c>
      <c r="H91" s="329" t="s">
        <v>13427</v>
      </c>
      <c r="I91" s="324"/>
      <c r="J91" s="324"/>
      <c r="K91" s="324"/>
      <c r="L91" s="270"/>
      <c r="M91" s="270"/>
      <c r="N91" s="270"/>
      <c r="O91" s="270"/>
      <c r="P91" s="270"/>
      <c r="Q91" s="270"/>
      <c r="R91" s="270"/>
      <c r="S91" s="270"/>
      <c r="T91" s="270"/>
      <c r="U91" s="270"/>
      <c r="V91" s="270"/>
      <c r="W91" s="270"/>
    </row>
    <row r="92">
      <c r="A92" s="48"/>
      <c r="B92" s="272" t="s">
        <v>13428</v>
      </c>
      <c r="C92" s="272" t="s">
        <v>13429</v>
      </c>
      <c r="D92" s="272" t="s">
        <v>61</v>
      </c>
      <c r="E92" s="272" t="s">
        <v>62</v>
      </c>
      <c r="F92" s="324"/>
      <c r="G92" s="331">
        <v>3.0</v>
      </c>
      <c r="H92" s="329" t="s">
        <v>13430</v>
      </c>
      <c r="I92" s="324"/>
      <c r="J92" s="324"/>
      <c r="K92" s="324"/>
      <c r="L92" s="270"/>
      <c r="M92" s="270"/>
      <c r="N92" s="270"/>
      <c r="O92" s="270"/>
      <c r="P92" s="270"/>
      <c r="Q92" s="270"/>
      <c r="R92" s="270"/>
      <c r="S92" s="270"/>
      <c r="T92" s="270"/>
      <c r="U92" s="270"/>
      <c r="V92" s="270"/>
      <c r="W92" s="270"/>
    </row>
    <row r="93">
      <c r="A93" s="48"/>
      <c r="B93" s="272" t="s">
        <v>20</v>
      </c>
      <c r="C93" s="272" t="s">
        <v>13431</v>
      </c>
      <c r="D93" s="272" t="s">
        <v>61</v>
      </c>
      <c r="E93" s="272" t="s">
        <v>62</v>
      </c>
      <c r="F93" s="324"/>
      <c r="G93" s="331">
        <v>4.0</v>
      </c>
      <c r="H93" s="329" t="s">
        <v>13432</v>
      </c>
      <c r="I93" s="324"/>
      <c r="J93" s="324"/>
      <c r="K93" s="324"/>
      <c r="L93" s="270"/>
      <c r="M93" s="270"/>
      <c r="N93" s="270"/>
      <c r="O93" s="270"/>
      <c r="P93" s="270"/>
      <c r="Q93" s="270"/>
      <c r="R93" s="270"/>
      <c r="S93" s="270"/>
      <c r="T93" s="270"/>
      <c r="U93" s="270"/>
      <c r="V93" s="270"/>
      <c r="W93" s="270"/>
    </row>
    <row r="94">
      <c r="A94" s="48"/>
      <c r="B94" s="272" t="s">
        <v>20</v>
      </c>
      <c r="C94" s="272" t="s">
        <v>13433</v>
      </c>
      <c r="D94" s="272" t="s">
        <v>61</v>
      </c>
      <c r="E94" s="272" t="s">
        <v>62</v>
      </c>
      <c r="F94" s="324"/>
      <c r="G94" s="331">
        <v>5.0</v>
      </c>
      <c r="H94" s="329" t="s">
        <v>13434</v>
      </c>
      <c r="I94" s="325" t="s">
        <v>13435</v>
      </c>
      <c r="J94" s="324"/>
      <c r="K94" s="324"/>
      <c r="L94" s="270"/>
      <c r="M94" s="270"/>
      <c r="N94" s="270"/>
      <c r="O94" s="270"/>
      <c r="P94" s="270"/>
      <c r="Q94" s="270"/>
      <c r="R94" s="270"/>
      <c r="S94" s="270"/>
      <c r="T94" s="270"/>
      <c r="U94" s="270"/>
      <c r="V94" s="270"/>
      <c r="W94" s="270"/>
    </row>
    <row r="95">
      <c r="A95" s="48"/>
      <c r="B95" s="272" t="s">
        <v>20</v>
      </c>
      <c r="C95" s="272" t="s">
        <v>13436</v>
      </c>
      <c r="D95" s="272" t="s">
        <v>61</v>
      </c>
      <c r="E95" s="272" t="s">
        <v>62</v>
      </c>
      <c r="F95" s="324"/>
      <c r="G95" s="331">
        <v>5.0</v>
      </c>
      <c r="H95" s="329" t="s">
        <v>13437</v>
      </c>
      <c r="I95" s="324"/>
      <c r="J95" s="325" t="s">
        <v>13438</v>
      </c>
      <c r="K95" s="324"/>
      <c r="L95" s="270"/>
      <c r="M95" s="270"/>
      <c r="N95" s="270"/>
      <c r="O95" s="270"/>
      <c r="P95" s="270"/>
      <c r="Q95" s="270"/>
      <c r="R95" s="270"/>
      <c r="S95" s="270"/>
      <c r="T95" s="270"/>
      <c r="U95" s="270"/>
      <c r="V95" s="270"/>
      <c r="W95" s="270"/>
    </row>
    <row r="96">
      <c r="A96" s="48"/>
      <c r="B96" s="272" t="s">
        <v>20</v>
      </c>
      <c r="C96" s="272" t="s">
        <v>13439</v>
      </c>
      <c r="D96" s="272" t="s">
        <v>61</v>
      </c>
      <c r="E96" s="272" t="s">
        <v>62</v>
      </c>
      <c r="F96" s="48"/>
      <c r="G96" s="331">
        <v>5.0</v>
      </c>
      <c r="H96" s="332" t="s">
        <v>13440</v>
      </c>
      <c r="I96" s="329" t="s">
        <v>13441</v>
      </c>
      <c r="J96" s="324"/>
      <c r="K96" s="324"/>
      <c r="L96" s="270"/>
      <c r="M96" s="270"/>
      <c r="N96" s="270"/>
      <c r="O96" s="270"/>
      <c r="P96" s="270"/>
      <c r="Q96" s="270"/>
      <c r="R96" s="270"/>
      <c r="S96" s="270"/>
      <c r="T96" s="270"/>
      <c r="U96" s="270"/>
      <c r="V96" s="270"/>
      <c r="W96" s="270"/>
    </row>
    <row r="97">
      <c r="A97" s="48"/>
      <c r="B97" s="272" t="s">
        <v>20</v>
      </c>
      <c r="C97" s="272" t="s">
        <v>13442</v>
      </c>
      <c r="D97" s="272" t="s">
        <v>61</v>
      </c>
      <c r="E97" s="272" t="s">
        <v>62</v>
      </c>
      <c r="F97" s="324"/>
      <c r="G97" s="331">
        <v>5.0</v>
      </c>
      <c r="H97" s="329" t="s">
        <v>13443</v>
      </c>
      <c r="I97" s="324"/>
      <c r="J97" s="324"/>
      <c r="K97" s="324"/>
      <c r="L97" s="270"/>
      <c r="M97" s="270"/>
      <c r="N97" s="270"/>
      <c r="O97" s="270"/>
      <c r="P97" s="270"/>
      <c r="Q97" s="270"/>
      <c r="R97" s="270"/>
      <c r="S97" s="270"/>
      <c r="T97" s="270"/>
      <c r="U97" s="270"/>
      <c r="V97" s="270"/>
      <c r="W97" s="270"/>
    </row>
    <row r="98">
      <c r="A98" s="48"/>
      <c r="B98" s="272" t="s">
        <v>20</v>
      </c>
      <c r="C98" s="272" t="s">
        <v>13444</v>
      </c>
      <c r="D98" s="272" t="s">
        <v>61</v>
      </c>
      <c r="E98" s="272" t="s">
        <v>62</v>
      </c>
      <c r="F98" s="324"/>
      <c r="G98" s="331">
        <v>1.0</v>
      </c>
      <c r="H98" s="329" t="s">
        <v>13445</v>
      </c>
      <c r="I98" s="325" t="s">
        <v>13446</v>
      </c>
      <c r="J98" s="324"/>
      <c r="K98" s="324"/>
      <c r="L98" s="270"/>
      <c r="M98" s="270"/>
      <c r="N98" s="270"/>
      <c r="O98" s="270"/>
      <c r="P98" s="270"/>
      <c r="Q98" s="270"/>
      <c r="R98" s="270"/>
      <c r="S98" s="270"/>
      <c r="T98" s="270"/>
      <c r="U98" s="270"/>
      <c r="V98" s="270"/>
      <c r="W98" s="270"/>
    </row>
    <row r="99">
      <c r="A99" s="48"/>
      <c r="B99" s="272" t="s">
        <v>20</v>
      </c>
      <c r="C99" s="272" t="s">
        <v>3612</v>
      </c>
      <c r="D99" s="272" t="s">
        <v>61</v>
      </c>
      <c r="E99" s="272" t="s">
        <v>62</v>
      </c>
      <c r="F99" s="324"/>
      <c r="G99" s="331">
        <v>5.0</v>
      </c>
      <c r="H99" s="329" t="s">
        <v>13447</v>
      </c>
      <c r="I99" s="324"/>
      <c r="J99" s="324"/>
      <c r="K99" s="324"/>
      <c r="L99" s="270"/>
      <c r="M99" s="270"/>
      <c r="N99" s="270"/>
      <c r="O99" s="270"/>
      <c r="P99" s="270"/>
      <c r="Q99" s="270"/>
      <c r="R99" s="270"/>
      <c r="S99" s="270"/>
      <c r="T99" s="270"/>
      <c r="U99" s="270"/>
      <c r="V99" s="270"/>
      <c r="W99" s="270"/>
    </row>
    <row r="100">
      <c r="A100" s="48"/>
      <c r="B100" s="272" t="s">
        <v>20</v>
      </c>
      <c r="C100" s="272" t="s">
        <v>13448</v>
      </c>
      <c r="D100" s="272" t="s">
        <v>61</v>
      </c>
      <c r="E100" s="272" t="s">
        <v>62</v>
      </c>
      <c r="F100" s="324"/>
      <c r="G100" s="331">
        <v>1.0</v>
      </c>
      <c r="H100" s="329" t="s">
        <v>13449</v>
      </c>
      <c r="I100" s="325" t="s">
        <v>13450</v>
      </c>
      <c r="J100" s="324"/>
      <c r="K100" s="324"/>
      <c r="L100" s="270"/>
      <c r="M100" s="270"/>
      <c r="N100" s="270"/>
      <c r="O100" s="270"/>
      <c r="P100" s="270"/>
      <c r="Q100" s="270"/>
      <c r="R100" s="270"/>
      <c r="S100" s="270"/>
      <c r="T100" s="270"/>
      <c r="U100" s="270"/>
      <c r="V100" s="270"/>
      <c r="W100" s="270"/>
    </row>
    <row r="101">
      <c r="A101" s="48"/>
      <c r="B101" s="272" t="s">
        <v>20</v>
      </c>
      <c r="C101" s="272" t="s">
        <v>13451</v>
      </c>
      <c r="D101" s="272" t="s">
        <v>61</v>
      </c>
      <c r="E101" s="272" t="s">
        <v>62</v>
      </c>
      <c r="F101" s="324"/>
      <c r="G101" s="331">
        <v>3.0</v>
      </c>
      <c r="H101" s="329" t="s">
        <v>13452</v>
      </c>
      <c r="I101" s="324"/>
      <c r="J101" s="325" t="s">
        <v>13453</v>
      </c>
      <c r="K101" s="324"/>
      <c r="L101" s="270"/>
      <c r="M101" s="271" t="s">
        <v>13454</v>
      </c>
      <c r="N101" s="270"/>
      <c r="O101" s="270"/>
      <c r="P101" s="270"/>
      <c r="Q101" s="270"/>
      <c r="R101" s="270"/>
      <c r="S101" s="270"/>
      <c r="T101" s="270"/>
      <c r="U101" s="270"/>
      <c r="V101" s="270"/>
      <c r="W101" s="270"/>
    </row>
    <row r="102">
      <c r="A102" s="48"/>
      <c r="B102" s="272" t="s">
        <v>20</v>
      </c>
      <c r="C102" s="272" t="s">
        <v>13455</v>
      </c>
      <c r="D102" s="272" t="s">
        <v>61</v>
      </c>
      <c r="E102" s="272" t="s">
        <v>62</v>
      </c>
      <c r="F102" s="324"/>
      <c r="G102" s="324"/>
      <c r="H102" s="324"/>
      <c r="I102" s="325" t="s">
        <v>13456</v>
      </c>
      <c r="J102" s="324"/>
      <c r="K102" s="324"/>
      <c r="L102" s="270"/>
      <c r="M102" s="270"/>
      <c r="N102" s="270"/>
      <c r="O102" s="270"/>
      <c r="P102" s="270"/>
      <c r="Q102" s="270"/>
      <c r="R102" s="270"/>
      <c r="S102" s="270"/>
      <c r="T102" s="270"/>
      <c r="U102" s="270"/>
      <c r="V102" s="270"/>
      <c r="W102" s="270"/>
    </row>
    <row r="103">
      <c r="A103" s="48"/>
      <c r="B103" s="272" t="s">
        <v>20</v>
      </c>
      <c r="C103" s="272" t="s">
        <v>55</v>
      </c>
      <c r="D103" s="272" t="s">
        <v>61</v>
      </c>
      <c r="E103" s="272" t="s">
        <v>62</v>
      </c>
      <c r="F103" s="324"/>
      <c r="G103" s="324"/>
      <c r="H103" s="324"/>
      <c r="I103" s="324"/>
      <c r="J103" s="324"/>
      <c r="K103" s="324"/>
      <c r="L103" s="271" t="s">
        <v>13457</v>
      </c>
      <c r="M103" s="270"/>
      <c r="N103" s="270"/>
      <c r="O103" s="270"/>
      <c r="P103" s="270"/>
      <c r="Q103" s="270"/>
      <c r="R103" s="270"/>
      <c r="S103" s="270"/>
      <c r="T103" s="270"/>
      <c r="U103" s="270"/>
      <c r="V103" s="270"/>
      <c r="W103" s="270"/>
    </row>
    <row r="104">
      <c r="A104" s="48"/>
      <c r="B104" s="272" t="s">
        <v>20</v>
      </c>
      <c r="C104" s="272" t="s">
        <v>13458</v>
      </c>
      <c r="D104" s="272" t="s">
        <v>61</v>
      </c>
      <c r="E104" s="272" t="s">
        <v>62</v>
      </c>
      <c r="F104" s="324"/>
      <c r="G104" s="331">
        <v>1.0</v>
      </c>
      <c r="H104" s="329" t="s">
        <v>13459</v>
      </c>
      <c r="I104" s="324"/>
      <c r="J104" s="324"/>
      <c r="K104" s="324"/>
      <c r="L104" s="270"/>
      <c r="M104" s="270"/>
      <c r="N104" s="270"/>
      <c r="O104" s="270"/>
      <c r="P104" s="270"/>
      <c r="Q104" s="270"/>
      <c r="R104" s="270"/>
      <c r="S104" s="270"/>
      <c r="T104" s="270"/>
      <c r="U104" s="270"/>
      <c r="V104" s="270"/>
      <c r="W104" s="270"/>
    </row>
    <row r="105">
      <c r="A105" s="48"/>
      <c r="B105" s="272" t="s">
        <v>20</v>
      </c>
      <c r="C105" s="272" t="s">
        <v>13460</v>
      </c>
      <c r="D105" s="272" t="s">
        <v>61</v>
      </c>
      <c r="E105" s="272" t="s">
        <v>62</v>
      </c>
      <c r="F105" s="324"/>
      <c r="G105" s="333">
        <v>45660.0</v>
      </c>
      <c r="H105" s="329" t="s">
        <v>13461</v>
      </c>
      <c r="I105" s="324"/>
      <c r="J105" s="324"/>
      <c r="K105" s="324"/>
      <c r="L105" s="270"/>
      <c r="M105" s="270"/>
      <c r="N105" s="270"/>
      <c r="O105" s="270"/>
      <c r="P105" s="270"/>
      <c r="Q105" s="270"/>
      <c r="R105" s="270"/>
      <c r="S105" s="270"/>
      <c r="T105" s="270"/>
      <c r="U105" s="270"/>
      <c r="V105" s="270"/>
      <c r="W105" s="270"/>
    </row>
    <row r="106">
      <c r="A106" s="48"/>
      <c r="B106" s="272" t="s">
        <v>20</v>
      </c>
      <c r="C106" s="272" t="s">
        <v>13462</v>
      </c>
      <c r="D106" s="272" t="s">
        <v>61</v>
      </c>
      <c r="E106" s="272" t="s">
        <v>62</v>
      </c>
      <c r="F106" s="324"/>
      <c r="G106" s="333">
        <v>45660.0</v>
      </c>
      <c r="H106" s="329" t="s">
        <v>13463</v>
      </c>
      <c r="I106" s="324"/>
      <c r="J106" s="325" t="s">
        <v>13464</v>
      </c>
      <c r="K106" s="324"/>
      <c r="L106" s="270"/>
      <c r="M106" s="270"/>
      <c r="N106" s="270"/>
      <c r="O106" s="270"/>
      <c r="P106" s="270"/>
      <c r="Q106" s="270"/>
      <c r="R106" s="270"/>
      <c r="S106" s="270"/>
      <c r="T106" s="270"/>
      <c r="U106" s="270"/>
      <c r="V106" s="270"/>
      <c r="W106" s="270"/>
    </row>
    <row r="107">
      <c r="A107" s="48"/>
      <c r="B107" s="272" t="s">
        <v>20</v>
      </c>
      <c r="C107" s="272" t="s">
        <v>13465</v>
      </c>
      <c r="D107" s="272" t="s">
        <v>61</v>
      </c>
      <c r="E107" s="272" t="s">
        <v>62</v>
      </c>
      <c r="F107" s="324"/>
      <c r="G107" s="331">
        <v>3.0</v>
      </c>
      <c r="H107" s="329" t="s">
        <v>13466</v>
      </c>
      <c r="I107" s="325" t="s">
        <v>13467</v>
      </c>
      <c r="J107" s="325" t="s">
        <v>13468</v>
      </c>
      <c r="K107" s="324"/>
      <c r="L107" s="270"/>
      <c r="M107" s="270"/>
      <c r="N107" s="270"/>
      <c r="O107" s="270"/>
      <c r="P107" s="270"/>
      <c r="Q107" s="270"/>
      <c r="R107" s="270"/>
      <c r="S107" s="270"/>
      <c r="T107" s="270"/>
      <c r="U107" s="270"/>
      <c r="V107" s="270"/>
      <c r="W107" s="270"/>
    </row>
    <row r="108">
      <c r="A108" s="48"/>
      <c r="B108" s="272" t="s">
        <v>20</v>
      </c>
      <c r="C108" s="272" t="s">
        <v>13469</v>
      </c>
      <c r="D108" s="272" t="s">
        <v>61</v>
      </c>
      <c r="E108" s="272" t="s">
        <v>62</v>
      </c>
      <c r="F108" s="331"/>
      <c r="G108" s="331">
        <v>5.0</v>
      </c>
      <c r="H108" s="329" t="s">
        <v>13470</v>
      </c>
      <c r="I108" s="325" t="s">
        <v>13471</v>
      </c>
      <c r="J108" s="324"/>
      <c r="K108" s="324"/>
      <c r="L108" s="270"/>
      <c r="M108" s="270"/>
      <c r="N108" s="270"/>
      <c r="O108" s="270"/>
      <c r="P108" s="270"/>
      <c r="Q108" s="270"/>
      <c r="R108" s="270"/>
      <c r="S108" s="270"/>
      <c r="T108" s="270"/>
      <c r="U108" s="270"/>
      <c r="V108" s="270"/>
      <c r="W108" s="270"/>
    </row>
    <row r="109">
      <c r="A109" s="48"/>
      <c r="B109" s="272" t="s">
        <v>20</v>
      </c>
      <c r="C109" s="272" t="s">
        <v>13472</v>
      </c>
      <c r="D109" s="272" t="s">
        <v>61</v>
      </c>
      <c r="E109" s="272" t="s">
        <v>62</v>
      </c>
      <c r="F109" s="324"/>
      <c r="G109" s="331">
        <v>5.0</v>
      </c>
      <c r="H109" s="329" t="s">
        <v>13473</v>
      </c>
      <c r="I109" s="324"/>
      <c r="J109" s="324"/>
      <c r="K109" s="324"/>
      <c r="L109" s="270"/>
      <c r="M109" s="270"/>
      <c r="N109" s="270"/>
      <c r="O109" s="270"/>
      <c r="P109" s="270"/>
      <c r="Q109" s="270"/>
      <c r="R109" s="270"/>
      <c r="S109" s="270"/>
      <c r="T109" s="270"/>
      <c r="U109" s="270"/>
      <c r="V109" s="270"/>
      <c r="W109" s="270"/>
    </row>
    <row r="110">
      <c r="A110" s="48"/>
      <c r="B110" s="272" t="s">
        <v>20</v>
      </c>
      <c r="C110" s="272" t="s">
        <v>13474</v>
      </c>
      <c r="D110" s="272" t="s">
        <v>13201</v>
      </c>
      <c r="E110" s="272" t="s">
        <v>62</v>
      </c>
      <c r="F110" s="324"/>
      <c r="G110" s="331">
        <v>7.0</v>
      </c>
      <c r="H110" s="329" t="s">
        <v>13475</v>
      </c>
      <c r="I110" s="325" t="s">
        <v>13476</v>
      </c>
      <c r="J110" s="325" t="s">
        <v>13477</v>
      </c>
      <c r="K110" s="324"/>
      <c r="L110" s="270"/>
      <c r="M110" s="270"/>
      <c r="N110" s="270"/>
      <c r="O110" s="270"/>
      <c r="P110" s="270"/>
      <c r="Q110" s="270"/>
      <c r="R110" s="270"/>
      <c r="S110" s="270"/>
      <c r="T110" s="270"/>
      <c r="U110" s="270"/>
      <c r="V110" s="270"/>
      <c r="W110" s="270"/>
    </row>
    <row r="111">
      <c r="A111" s="48"/>
      <c r="B111" s="272" t="s">
        <v>20</v>
      </c>
      <c r="C111" s="272" t="s">
        <v>13478</v>
      </c>
      <c r="D111" s="272" t="s">
        <v>13201</v>
      </c>
      <c r="E111" s="272" t="s">
        <v>62</v>
      </c>
      <c r="F111" s="324"/>
      <c r="G111" s="331">
        <v>3.0</v>
      </c>
      <c r="H111" s="329" t="s">
        <v>13479</v>
      </c>
      <c r="I111" s="324"/>
      <c r="J111" s="324"/>
      <c r="K111" s="324"/>
      <c r="L111" s="270"/>
      <c r="M111" s="270"/>
      <c r="N111" s="270"/>
      <c r="O111" s="270"/>
      <c r="P111" s="270"/>
      <c r="Q111" s="270"/>
      <c r="R111" s="270"/>
      <c r="S111" s="270"/>
      <c r="T111" s="270"/>
      <c r="U111" s="270"/>
      <c r="V111" s="270"/>
      <c r="W111" s="270"/>
    </row>
    <row r="112">
      <c r="A112" s="48"/>
      <c r="B112" s="272" t="s">
        <v>20</v>
      </c>
      <c r="C112" s="272" t="s">
        <v>13480</v>
      </c>
      <c r="D112" s="272" t="s">
        <v>61</v>
      </c>
      <c r="E112" s="272" t="s">
        <v>13259</v>
      </c>
      <c r="F112" s="324"/>
      <c r="G112" s="331">
        <v>3.0</v>
      </c>
      <c r="H112" s="329" t="s">
        <v>13481</v>
      </c>
      <c r="I112" s="325" t="s">
        <v>13482</v>
      </c>
      <c r="J112" s="325" t="s">
        <v>13483</v>
      </c>
      <c r="K112" s="324"/>
      <c r="L112" s="270"/>
      <c r="M112" s="270"/>
      <c r="N112" s="270"/>
      <c r="O112" s="270"/>
      <c r="P112" s="270"/>
      <c r="Q112" s="270"/>
      <c r="R112" s="270"/>
      <c r="S112" s="270"/>
      <c r="T112" s="270"/>
      <c r="U112" s="270"/>
      <c r="V112" s="270"/>
      <c r="W112" s="270"/>
    </row>
    <row r="113">
      <c r="A113" s="48"/>
      <c r="B113" s="272" t="s">
        <v>20</v>
      </c>
      <c r="C113" s="272" t="s">
        <v>13484</v>
      </c>
      <c r="D113" s="272" t="s">
        <v>61</v>
      </c>
      <c r="E113" s="272" t="s">
        <v>62</v>
      </c>
      <c r="F113" s="324"/>
      <c r="G113" s="324"/>
      <c r="H113" s="329" t="s">
        <v>13485</v>
      </c>
      <c r="I113" s="325" t="s">
        <v>13486</v>
      </c>
      <c r="J113" s="324"/>
      <c r="K113" s="324"/>
      <c r="L113" s="270"/>
      <c r="M113" s="270"/>
      <c r="N113" s="270"/>
      <c r="O113" s="270"/>
      <c r="P113" s="270"/>
      <c r="Q113" s="270"/>
      <c r="R113" s="270"/>
      <c r="S113" s="270"/>
      <c r="T113" s="270"/>
      <c r="U113" s="270"/>
      <c r="V113" s="270"/>
      <c r="W113" s="270"/>
    </row>
    <row r="114">
      <c r="A114" s="48"/>
      <c r="B114" s="272" t="s">
        <v>20</v>
      </c>
      <c r="C114" s="272" t="s">
        <v>13487</v>
      </c>
      <c r="D114" s="272" t="s">
        <v>13201</v>
      </c>
      <c r="E114" s="272" t="s">
        <v>62</v>
      </c>
      <c r="F114" s="324"/>
      <c r="G114" s="324"/>
      <c r="H114" s="324"/>
      <c r="I114" s="324"/>
      <c r="J114" s="325" t="s">
        <v>13488</v>
      </c>
      <c r="K114" s="324"/>
      <c r="L114" s="270"/>
      <c r="M114" s="270"/>
      <c r="N114" s="270"/>
      <c r="O114" s="270"/>
      <c r="P114" s="270"/>
      <c r="Q114" s="270"/>
      <c r="R114" s="270"/>
      <c r="S114" s="270"/>
      <c r="T114" s="270"/>
      <c r="U114" s="270"/>
      <c r="V114" s="270"/>
      <c r="W114" s="270"/>
    </row>
    <row r="115">
      <c r="A115" s="48"/>
      <c r="B115" s="272" t="s">
        <v>20</v>
      </c>
      <c r="C115" s="272" t="s">
        <v>13489</v>
      </c>
      <c r="D115" s="272" t="s">
        <v>13201</v>
      </c>
      <c r="E115" s="272" t="s">
        <v>62</v>
      </c>
      <c r="F115" s="324"/>
      <c r="G115" s="333">
        <v>45659.0</v>
      </c>
      <c r="H115" s="329" t="s">
        <v>13490</v>
      </c>
      <c r="I115" s="324"/>
      <c r="J115" s="324"/>
      <c r="K115" s="324"/>
      <c r="L115" s="270"/>
      <c r="M115" s="270"/>
      <c r="N115" s="270"/>
      <c r="O115" s="270"/>
      <c r="P115" s="270"/>
      <c r="Q115" s="270"/>
      <c r="R115" s="270"/>
      <c r="S115" s="270"/>
      <c r="T115" s="270"/>
      <c r="U115" s="270"/>
      <c r="V115" s="270"/>
      <c r="W115" s="270"/>
    </row>
    <row r="116">
      <c r="A116" s="48"/>
      <c r="B116" s="272" t="s">
        <v>13491</v>
      </c>
      <c r="C116" s="272" t="s">
        <v>13492</v>
      </c>
      <c r="D116" s="272" t="s">
        <v>13201</v>
      </c>
      <c r="E116" s="272" t="s">
        <v>62</v>
      </c>
      <c r="F116" s="324"/>
      <c r="G116" s="331">
        <v>3.0</v>
      </c>
      <c r="H116" s="329" t="s">
        <v>13493</v>
      </c>
      <c r="I116" s="324"/>
      <c r="J116" s="324"/>
      <c r="K116" s="324"/>
      <c r="L116" s="271" t="s">
        <v>13494</v>
      </c>
      <c r="M116" s="270"/>
      <c r="N116" s="270"/>
      <c r="O116" s="270"/>
      <c r="P116" s="270"/>
      <c r="Q116" s="270"/>
      <c r="R116" s="270"/>
      <c r="S116" s="270"/>
      <c r="T116" s="270"/>
      <c r="U116" s="270"/>
      <c r="V116" s="270"/>
      <c r="W116" s="270"/>
    </row>
    <row r="117">
      <c r="A117" s="48"/>
      <c r="B117" s="311" t="s">
        <v>5443</v>
      </c>
      <c r="C117" s="311" t="s">
        <v>13495</v>
      </c>
      <c r="D117" s="272" t="s">
        <v>61</v>
      </c>
      <c r="E117" s="272" t="s">
        <v>62</v>
      </c>
      <c r="F117" s="324"/>
      <c r="G117" s="324"/>
      <c r="H117" s="329" t="s">
        <v>13496</v>
      </c>
      <c r="I117" s="324" t="s">
        <v>13497</v>
      </c>
      <c r="J117" s="325" t="s">
        <v>13498</v>
      </c>
      <c r="K117" s="324"/>
      <c r="L117" s="271" t="s">
        <v>13499</v>
      </c>
      <c r="M117" s="270"/>
      <c r="N117" s="270"/>
      <c r="O117" s="270"/>
      <c r="P117" s="270"/>
      <c r="Q117" s="270"/>
      <c r="R117" s="270"/>
      <c r="S117" s="270"/>
      <c r="T117" s="270"/>
      <c r="U117" s="270"/>
      <c r="V117" s="270"/>
      <c r="W117" s="270"/>
    </row>
    <row r="118">
      <c r="A118" s="48"/>
      <c r="B118" s="272" t="s">
        <v>20</v>
      </c>
      <c r="C118" s="272" t="s">
        <v>13500</v>
      </c>
      <c r="D118" s="272" t="s">
        <v>13201</v>
      </c>
      <c r="E118" s="272" t="s">
        <v>62</v>
      </c>
      <c r="F118" s="324"/>
      <c r="G118" s="324"/>
      <c r="H118" s="324"/>
      <c r="I118" s="324"/>
      <c r="J118" s="325" t="s">
        <v>13501</v>
      </c>
      <c r="K118" s="324"/>
      <c r="L118" s="270"/>
      <c r="M118" s="270"/>
      <c r="N118" s="270"/>
      <c r="O118" s="270"/>
      <c r="P118" s="270"/>
      <c r="Q118" s="270"/>
      <c r="R118" s="270"/>
      <c r="S118" s="270"/>
      <c r="T118" s="270"/>
      <c r="U118" s="270"/>
      <c r="V118" s="270"/>
      <c r="W118" s="270"/>
    </row>
    <row r="119">
      <c r="A119" s="48"/>
      <c r="B119" s="272" t="s">
        <v>20</v>
      </c>
      <c r="C119" s="272" t="s">
        <v>13502</v>
      </c>
      <c r="D119" s="272" t="s">
        <v>61</v>
      </c>
      <c r="E119" s="272" t="s">
        <v>62</v>
      </c>
      <c r="F119" s="324"/>
      <c r="G119" s="331">
        <v>3.0</v>
      </c>
      <c r="H119" s="329" t="s">
        <v>13503</v>
      </c>
      <c r="I119" s="324"/>
      <c r="J119" s="325" t="s">
        <v>13504</v>
      </c>
      <c r="K119" s="324"/>
      <c r="L119" s="270"/>
      <c r="M119" s="270"/>
      <c r="N119" s="270"/>
      <c r="O119" s="270"/>
      <c r="P119" s="270"/>
      <c r="Q119" s="270"/>
      <c r="R119" s="270"/>
      <c r="S119" s="270"/>
      <c r="T119" s="270"/>
      <c r="U119" s="270"/>
      <c r="V119" s="270"/>
      <c r="W119" s="270"/>
    </row>
    <row r="120">
      <c r="A120" s="48"/>
      <c r="B120" s="49" t="s">
        <v>34</v>
      </c>
      <c r="C120" s="49" t="s">
        <v>13505</v>
      </c>
      <c r="D120" s="272" t="s">
        <v>61</v>
      </c>
      <c r="E120" s="272" t="s">
        <v>62</v>
      </c>
      <c r="F120" s="48"/>
      <c r="G120" s="48"/>
      <c r="H120" s="50" t="s">
        <v>13506</v>
      </c>
      <c r="I120" s="48"/>
      <c r="J120" s="48"/>
      <c r="K120" s="48"/>
    </row>
    <row r="121">
      <c r="A121" s="48"/>
      <c r="B121" s="49" t="s">
        <v>20</v>
      </c>
      <c r="C121" s="11" t="s">
        <v>1975</v>
      </c>
      <c r="D121" s="49" t="s">
        <v>13507</v>
      </c>
      <c r="E121" s="49" t="s">
        <v>62</v>
      </c>
      <c r="F121" s="48"/>
      <c r="G121" s="48"/>
      <c r="H121" s="50" t="s">
        <v>13508</v>
      </c>
      <c r="I121" s="48"/>
      <c r="J121" s="48"/>
      <c r="K121" s="48"/>
    </row>
    <row r="122">
      <c r="A122" s="48"/>
      <c r="B122" s="49" t="s">
        <v>20</v>
      </c>
      <c r="C122" s="49" t="s">
        <v>6102</v>
      </c>
      <c r="D122" s="49" t="s">
        <v>13507</v>
      </c>
      <c r="E122" s="49" t="s">
        <v>13509</v>
      </c>
      <c r="F122" s="48"/>
      <c r="G122" s="48"/>
      <c r="H122" s="50" t="s">
        <v>13510</v>
      </c>
      <c r="I122" s="48"/>
      <c r="J122" s="48"/>
      <c r="K122" s="48"/>
    </row>
    <row r="123">
      <c r="A123" s="48"/>
      <c r="B123" s="49" t="s">
        <v>20</v>
      </c>
      <c r="C123" s="11" t="s">
        <v>13511</v>
      </c>
      <c r="D123" s="49" t="s">
        <v>13507</v>
      </c>
      <c r="E123" s="49" t="s">
        <v>13512</v>
      </c>
      <c r="F123" s="48"/>
      <c r="G123" s="48"/>
      <c r="H123" s="50" t="s">
        <v>13513</v>
      </c>
      <c r="I123" s="50" t="s">
        <v>13514</v>
      </c>
      <c r="J123" s="48"/>
      <c r="K123" s="48"/>
    </row>
    <row r="124">
      <c r="A124" s="48"/>
      <c r="B124" s="49" t="s">
        <v>20</v>
      </c>
      <c r="C124" s="11" t="s">
        <v>13515</v>
      </c>
      <c r="D124" s="49" t="s">
        <v>13507</v>
      </c>
      <c r="E124" s="49" t="s">
        <v>66</v>
      </c>
      <c r="F124" s="48"/>
      <c r="G124" s="48"/>
      <c r="H124" s="50" t="s">
        <v>13516</v>
      </c>
      <c r="I124" s="48"/>
      <c r="J124" s="48"/>
      <c r="K124" s="48"/>
    </row>
    <row r="125">
      <c r="A125" s="48"/>
      <c r="B125" s="49" t="s">
        <v>20</v>
      </c>
      <c r="C125" s="11" t="s">
        <v>8172</v>
      </c>
      <c r="D125" s="49" t="s">
        <v>13507</v>
      </c>
      <c r="E125" s="49" t="s">
        <v>13517</v>
      </c>
      <c r="F125" s="48"/>
      <c r="G125" s="48"/>
      <c r="H125" s="50" t="s">
        <v>13518</v>
      </c>
      <c r="I125" s="48"/>
      <c r="J125" s="48"/>
      <c r="K125" s="48"/>
    </row>
    <row r="126">
      <c r="A126" s="48"/>
      <c r="B126" s="49" t="s">
        <v>20</v>
      </c>
      <c r="C126" s="49" t="s">
        <v>13519</v>
      </c>
      <c r="D126" s="49" t="s">
        <v>13507</v>
      </c>
      <c r="E126" s="49" t="s">
        <v>62</v>
      </c>
      <c r="F126" s="48"/>
      <c r="G126" s="48"/>
      <c r="H126" s="48"/>
      <c r="I126" s="48"/>
      <c r="J126" s="50" t="s">
        <v>13520</v>
      </c>
      <c r="K126" s="48"/>
    </row>
    <row r="127">
      <c r="A127" s="48"/>
      <c r="B127" s="49" t="s">
        <v>20</v>
      </c>
      <c r="C127" s="49" t="s">
        <v>9197</v>
      </c>
      <c r="D127" s="49" t="s">
        <v>13507</v>
      </c>
      <c r="E127" s="49" t="s">
        <v>62</v>
      </c>
      <c r="F127" s="48"/>
      <c r="G127" s="48"/>
      <c r="H127" s="48"/>
      <c r="I127" s="48"/>
      <c r="J127" s="50" t="s">
        <v>9200</v>
      </c>
      <c r="K127" s="48"/>
    </row>
    <row r="128">
      <c r="A128" s="48"/>
      <c r="B128" s="49" t="s">
        <v>20</v>
      </c>
      <c r="C128" s="11" t="s">
        <v>13521</v>
      </c>
      <c r="D128" s="49" t="s">
        <v>13507</v>
      </c>
      <c r="E128" s="49" t="s">
        <v>62</v>
      </c>
      <c r="F128" s="48"/>
      <c r="G128" s="48"/>
      <c r="H128" s="50" t="s">
        <v>13522</v>
      </c>
      <c r="I128" s="48"/>
      <c r="J128" s="50" t="s">
        <v>13523</v>
      </c>
      <c r="K128" s="48"/>
    </row>
    <row r="129">
      <c r="A129" s="48"/>
      <c r="B129" s="49" t="s">
        <v>20</v>
      </c>
      <c r="C129" s="49" t="s">
        <v>2981</v>
      </c>
      <c r="D129" s="49" t="s">
        <v>13507</v>
      </c>
      <c r="E129" s="49" t="s">
        <v>13524</v>
      </c>
      <c r="F129" s="48"/>
      <c r="G129" s="48"/>
      <c r="H129" s="50" t="s">
        <v>13525</v>
      </c>
      <c r="I129" s="48"/>
      <c r="J129" s="48"/>
      <c r="K129" s="48"/>
    </row>
    <row r="130">
      <c r="A130" s="48"/>
      <c r="B130" s="49" t="s">
        <v>20</v>
      </c>
      <c r="C130" s="49" t="s">
        <v>13526</v>
      </c>
      <c r="D130" s="49" t="s">
        <v>13507</v>
      </c>
      <c r="E130" s="49" t="s">
        <v>13512</v>
      </c>
      <c r="F130" s="48"/>
      <c r="G130" s="48"/>
      <c r="H130" s="50" t="s">
        <v>13527</v>
      </c>
      <c r="I130" s="50" t="s">
        <v>13528</v>
      </c>
      <c r="J130" s="48"/>
      <c r="K130" s="48"/>
    </row>
    <row r="131">
      <c r="A131" s="48"/>
      <c r="B131" s="49" t="s">
        <v>20</v>
      </c>
      <c r="C131" s="49" t="s">
        <v>10970</v>
      </c>
      <c r="D131" s="49" t="s">
        <v>13507</v>
      </c>
      <c r="E131" s="49" t="s">
        <v>13509</v>
      </c>
      <c r="F131" s="48"/>
      <c r="G131" s="48"/>
      <c r="H131" s="48"/>
      <c r="I131" s="50" t="s">
        <v>13529</v>
      </c>
      <c r="J131" s="48"/>
      <c r="K131" s="48"/>
    </row>
    <row r="132">
      <c r="A132" s="48"/>
      <c r="B132" s="49" t="s">
        <v>20</v>
      </c>
      <c r="C132" s="11" t="s">
        <v>13530</v>
      </c>
      <c r="D132" s="49" t="s">
        <v>13507</v>
      </c>
      <c r="E132" s="49" t="s">
        <v>13509</v>
      </c>
      <c r="F132" s="48"/>
      <c r="G132" s="48"/>
      <c r="H132" s="50" t="s">
        <v>13531</v>
      </c>
      <c r="I132" s="48"/>
      <c r="J132" s="48"/>
      <c r="K132" s="48"/>
    </row>
    <row r="133">
      <c r="A133" s="48"/>
      <c r="B133" s="49" t="s">
        <v>20</v>
      </c>
      <c r="C133" s="11" t="s">
        <v>13532</v>
      </c>
      <c r="D133" s="49" t="s">
        <v>13507</v>
      </c>
      <c r="E133" s="49" t="s">
        <v>62</v>
      </c>
      <c r="F133" s="48"/>
      <c r="G133" s="48"/>
      <c r="H133" s="50" t="s">
        <v>13533</v>
      </c>
      <c r="I133" s="48"/>
      <c r="J133" s="48"/>
      <c r="K133" s="48"/>
    </row>
    <row r="134">
      <c r="A134" s="48"/>
      <c r="B134" s="49" t="s">
        <v>20</v>
      </c>
      <c r="C134" s="49" t="s">
        <v>49</v>
      </c>
      <c r="D134" s="49" t="s">
        <v>13507</v>
      </c>
      <c r="E134" s="49" t="s">
        <v>62</v>
      </c>
      <c r="F134" s="48"/>
      <c r="G134" s="48"/>
      <c r="H134" s="50" t="s">
        <v>13534</v>
      </c>
      <c r="I134" s="48"/>
      <c r="J134" s="48"/>
      <c r="K134" s="48"/>
    </row>
    <row r="135">
      <c r="A135" s="334"/>
      <c r="B135" s="49" t="s">
        <v>20</v>
      </c>
      <c r="C135" s="49" t="s">
        <v>13535</v>
      </c>
      <c r="D135" s="49" t="s">
        <v>13507</v>
      </c>
      <c r="E135" s="49" t="s">
        <v>62</v>
      </c>
      <c r="F135" s="48"/>
      <c r="G135" s="48"/>
      <c r="H135" s="55" t="s">
        <v>13536</v>
      </c>
      <c r="I135" s="48"/>
      <c r="J135" s="50" t="s">
        <v>13537</v>
      </c>
      <c r="K135" s="48"/>
    </row>
    <row r="136">
      <c r="A136" s="48"/>
      <c r="B136" s="49" t="s">
        <v>20</v>
      </c>
      <c r="C136" s="49" t="s">
        <v>13538</v>
      </c>
      <c r="D136" s="49" t="s">
        <v>13507</v>
      </c>
      <c r="E136" s="49" t="s">
        <v>62</v>
      </c>
      <c r="F136" s="48"/>
      <c r="G136" s="48"/>
      <c r="H136" s="48"/>
      <c r="I136" s="48"/>
      <c r="J136" s="50" t="s">
        <v>13539</v>
      </c>
      <c r="K136" s="48"/>
    </row>
    <row r="137">
      <c r="A137" s="48"/>
      <c r="B137" s="49" t="s">
        <v>20</v>
      </c>
      <c r="C137" s="335" t="s">
        <v>13540</v>
      </c>
      <c r="D137" s="49" t="s">
        <v>13507</v>
      </c>
      <c r="E137" s="49" t="s">
        <v>62</v>
      </c>
      <c r="F137" s="48"/>
      <c r="G137" s="48"/>
      <c r="H137" s="48"/>
      <c r="I137" s="48"/>
      <c r="J137" s="50" t="s">
        <v>13541</v>
      </c>
      <c r="K137" s="48"/>
    </row>
    <row r="138">
      <c r="A138" s="48"/>
      <c r="B138" s="49" t="s">
        <v>20</v>
      </c>
      <c r="C138" s="49" t="s">
        <v>13542</v>
      </c>
      <c r="D138" s="49" t="s">
        <v>13507</v>
      </c>
      <c r="E138" s="49" t="s">
        <v>62</v>
      </c>
      <c r="F138" s="48"/>
      <c r="G138" s="48"/>
      <c r="H138" s="50" t="s">
        <v>13543</v>
      </c>
      <c r="I138" s="336" t="s">
        <v>13544</v>
      </c>
      <c r="J138" s="48"/>
      <c r="K138" s="48"/>
    </row>
    <row r="139">
      <c r="A139" s="48"/>
      <c r="B139" s="49" t="s">
        <v>720</v>
      </c>
      <c r="C139" s="49" t="s">
        <v>249</v>
      </c>
      <c r="D139" s="49" t="s">
        <v>13507</v>
      </c>
      <c r="E139" s="49" t="s">
        <v>13517</v>
      </c>
      <c r="F139" s="48"/>
      <c r="G139" s="48"/>
      <c r="H139" s="50" t="s">
        <v>13545</v>
      </c>
      <c r="I139" s="50" t="s">
        <v>13546</v>
      </c>
      <c r="J139" s="48"/>
      <c r="K139" s="48"/>
    </row>
    <row r="140">
      <c r="A140" s="48"/>
      <c r="B140" s="49" t="s">
        <v>20</v>
      </c>
      <c r="C140" s="49" t="s">
        <v>4365</v>
      </c>
      <c r="D140" s="49" t="s">
        <v>13507</v>
      </c>
      <c r="E140" s="49" t="s">
        <v>13517</v>
      </c>
      <c r="F140" s="48"/>
      <c r="G140" s="48"/>
      <c r="H140" s="50" t="s">
        <v>13547</v>
      </c>
      <c r="I140" s="50" t="s">
        <v>13548</v>
      </c>
      <c r="J140" s="48"/>
      <c r="K140" s="48"/>
    </row>
    <row r="141">
      <c r="A141" s="48"/>
      <c r="B141" s="49" t="s">
        <v>20</v>
      </c>
      <c r="C141" s="11" t="s">
        <v>272</v>
      </c>
      <c r="D141" s="49" t="s">
        <v>13507</v>
      </c>
      <c r="E141" s="49" t="s">
        <v>62</v>
      </c>
      <c r="F141" s="48"/>
      <c r="G141" s="48"/>
      <c r="H141" s="50" t="s">
        <v>13549</v>
      </c>
      <c r="I141" s="337"/>
      <c r="J141" s="48"/>
      <c r="K141" s="48"/>
    </row>
    <row r="142">
      <c r="A142" s="48"/>
      <c r="B142" s="49" t="s">
        <v>20</v>
      </c>
      <c r="C142" s="49" t="s">
        <v>3209</v>
      </c>
      <c r="D142" s="49" t="s">
        <v>13507</v>
      </c>
      <c r="E142" s="49" t="s">
        <v>13550</v>
      </c>
      <c r="F142" s="48"/>
      <c r="G142" s="48"/>
      <c r="H142" s="50" t="s">
        <v>13551</v>
      </c>
      <c r="I142" s="338"/>
      <c r="J142" s="48"/>
      <c r="K142" s="48"/>
    </row>
    <row r="143">
      <c r="A143" s="59">
        <v>32253.0</v>
      </c>
      <c r="B143" s="49" t="s">
        <v>20</v>
      </c>
      <c r="C143" s="49" t="s">
        <v>13552</v>
      </c>
      <c r="D143" s="49" t="s">
        <v>13507</v>
      </c>
      <c r="E143" s="49" t="s">
        <v>13553</v>
      </c>
      <c r="F143" s="48"/>
      <c r="G143" s="48"/>
      <c r="H143" s="50" t="s">
        <v>13554</v>
      </c>
      <c r="I143" s="336" t="s">
        <v>13555</v>
      </c>
      <c r="J143" s="48"/>
      <c r="K143" s="48"/>
    </row>
    <row r="144">
      <c r="A144" s="48"/>
      <c r="B144" s="49" t="s">
        <v>720</v>
      </c>
      <c r="C144" s="49" t="s">
        <v>341</v>
      </c>
      <c r="D144" s="49" t="s">
        <v>13507</v>
      </c>
      <c r="E144" s="49" t="s">
        <v>62</v>
      </c>
      <c r="F144" s="48"/>
      <c r="G144" s="48"/>
      <c r="H144" s="50" t="s">
        <v>13556</v>
      </c>
      <c r="I144" s="339"/>
      <c r="J144" s="55" t="s">
        <v>13557</v>
      </c>
      <c r="K144" s="48"/>
    </row>
    <row r="145">
      <c r="A145" s="59">
        <v>32153.0</v>
      </c>
      <c r="B145" s="49" t="s">
        <v>102</v>
      </c>
      <c r="C145" s="49" t="s">
        <v>585</v>
      </c>
      <c r="D145" s="49" t="s">
        <v>13507</v>
      </c>
      <c r="E145" s="49" t="s">
        <v>62</v>
      </c>
      <c r="F145" s="48"/>
      <c r="G145" s="48"/>
      <c r="H145" s="50" t="s">
        <v>13558</v>
      </c>
      <c r="I145" s="339"/>
      <c r="J145" s="48"/>
      <c r="K145" s="48"/>
    </row>
    <row r="146">
      <c r="A146" s="48"/>
      <c r="B146" s="49" t="s">
        <v>20</v>
      </c>
      <c r="C146" s="49" t="s">
        <v>13559</v>
      </c>
      <c r="D146" s="49" t="s">
        <v>13507</v>
      </c>
      <c r="E146" s="49" t="s">
        <v>7772</v>
      </c>
      <c r="F146" s="48"/>
      <c r="G146" s="48"/>
      <c r="H146" s="48"/>
      <c r="I146" s="340" t="s">
        <v>13560</v>
      </c>
      <c r="J146" s="48"/>
      <c r="K146" s="48"/>
    </row>
    <row r="147">
      <c r="A147" s="48"/>
      <c r="B147" s="49" t="s">
        <v>20</v>
      </c>
      <c r="C147" s="11" t="s">
        <v>5471</v>
      </c>
      <c r="D147" s="49" t="s">
        <v>13507</v>
      </c>
      <c r="E147" s="49" t="s">
        <v>62</v>
      </c>
      <c r="F147" s="48"/>
      <c r="G147" s="48"/>
      <c r="H147" s="50" t="s">
        <v>13561</v>
      </c>
      <c r="I147" s="48"/>
      <c r="J147" s="48"/>
      <c r="K147" s="48"/>
    </row>
    <row r="148">
      <c r="A148" s="48"/>
      <c r="B148" s="49" t="s">
        <v>20</v>
      </c>
      <c r="C148" s="49" t="s">
        <v>841</v>
      </c>
      <c r="D148" s="49" t="s">
        <v>13507</v>
      </c>
      <c r="E148" s="49" t="s">
        <v>62</v>
      </c>
      <c r="F148" s="48"/>
      <c r="G148" s="48"/>
      <c r="H148" s="50" t="s">
        <v>13562</v>
      </c>
      <c r="I148" s="48"/>
      <c r="J148" s="48"/>
      <c r="K148" s="48"/>
    </row>
    <row r="149">
      <c r="A149" s="59">
        <v>31437.0</v>
      </c>
      <c r="B149" s="49" t="s">
        <v>20</v>
      </c>
      <c r="C149" s="11" t="s">
        <v>13563</v>
      </c>
      <c r="D149" s="49" t="s">
        <v>13507</v>
      </c>
      <c r="E149" s="49" t="s">
        <v>62</v>
      </c>
      <c r="F149" s="48"/>
      <c r="G149" s="48"/>
      <c r="H149" s="50" t="s">
        <v>13564</v>
      </c>
      <c r="I149" s="50" t="s">
        <v>13565</v>
      </c>
      <c r="J149" s="48"/>
      <c r="K149" s="48"/>
    </row>
    <row r="150">
      <c r="A150" s="59">
        <v>31208.0</v>
      </c>
      <c r="B150" s="49" t="s">
        <v>20</v>
      </c>
      <c r="C150" s="11" t="s">
        <v>8656</v>
      </c>
      <c r="D150" s="49" t="s">
        <v>13507</v>
      </c>
      <c r="E150" s="49" t="s">
        <v>62</v>
      </c>
      <c r="F150" s="48"/>
      <c r="G150" s="48"/>
      <c r="H150" s="50" t="s">
        <v>13566</v>
      </c>
      <c r="I150" s="50" t="s">
        <v>13567</v>
      </c>
      <c r="J150" s="48"/>
      <c r="K150" s="48"/>
    </row>
    <row r="151">
      <c r="A151" s="48"/>
      <c r="B151" s="49" t="s">
        <v>20</v>
      </c>
      <c r="C151" s="49" t="s">
        <v>13568</v>
      </c>
      <c r="D151" s="49" t="s">
        <v>13507</v>
      </c>
      <c r="E151" s="49" t="s">
        <v>62</v>
      </c>
      <c r="F151" s="48"/>
      <c r="G151" s="48"/>
      <c r="H151" s="50" t="s">
        <v>13569</v>
      </c>
      <c r="I151" s="48"/>
      <c r="J151" s="48"/>
      <c r="K151" s="48"/>
    </row>
    <row r="152">
      <c r="A152" s="48"/>
      <c r="B152" s="49" t="s">
        <v>20</v>
      </c>
      <c r="C152" s="49" t="s">
        <v>755</v>
      </c>
      <c r="D152" s="49" t="s">
        <v>13507</v>
      </c>
      <c r="E152" s="49" t="s">
        <v>13570</v>
      </c>
      <c r="F152" s="48"/>
      <c r="G152" s="48"/>
      <c r="H152" s="48"/>
      <c r="I152" s="48"/>
      <c r="J152" s="50" t="s">
        <v>13571</v>
      </c>
      <c r="K152" s="48"/>
    </row>
    <row r="153">
      <c r="A153" s="48"/>
      <c r="B153" s="49" t="s">
        <v>20</v>
      </c>
      <c r="C153" s="49" t="s">
        <v>13542</v>
      </c>
      <c r="D153" s="49" t="s">
        <v>13507</v>
      </c>
      <c r="E153" s="49" t="s">
        <v>62</v>
      </c>
      <c r="F153" s="48"/>
      <c r="G153" s="48"/>
      <c r="H153" s="50" t="s">
        <v>13572</v>
      </c>
      <c r="I153" s="50" t="s">
        <v>13573</v>
      </c>
      <c r="J153" s="48"/>
      <c r="K153" s="48"/>
    </row>
    <row r="154">
      <c r="A154" s="48"/>
      <c r="B154" s="49" t="s">
        <v>20</v>
      </c>
      <c r="C154" s="49" t="s">
        <v>74</v>
      </c>
      <c r="D154" s="49" t="s">
        <v>13507</v>
      </c>
      <c r="E154" s="49" t="s">
        <v>13509</v>
      </c>
      <c r="F154" s="48"/>
      <c r="G154" s="48"/>
      <c r="H154" s="50" t="s">
        <v>13574</v>
      </c>
      <c r="I154" s="48"/>
      <c r="J154" s="48"/>
      <c r="K154" s="48"/>
    </row>
    <row r="155">
      <c r="A155" s="48"/>
      <c r="B155" s="49" t="s">
        <v>20</v>
      </c>
      <c r="C155" s="11" t="s">
        <v>2999</v>
      </c>
      <c r="D155" s="49" t="s">
        <v>13507</v>
      </c>
      <c r="E155" s="49" t="s">
        <v>62</v>
      </c>
      <c r="F155" s="48"/>
      <c r="G155" s="48"/>
      <c r="H155" s="50" t="s">
        <v>13575</v>
      </c>
      <c r="I155" s="50" t="s">
        <v>13576</v>
      </c>
      <c r="J155" s="48"/>
      <c r="K155" s="48"/>
    </row>
    <row r="156">
      <c r="A156" s="48"/>
      <c r="B156" s="49" t="s">
        <v>20</v>
      </c>
      <c r="C156" s="11" t="s">
        <v>13577</v>
      </c>
      <c r="D156" s="49" t="s">
        <v>13507</v>
      </c>
      <c r="E156" s="49" t="s">
        <v>66</v>
      </c>
      <c r="F156" s="48"/>
      <c r="G156" s="48"/>
      <c r="H156" s="50" t="s">
        <v>13578</v>
      </c>
      <c r="I156" s="50" t="s">
        <v>13579</v>
      </c>
      <c r="J156" s="48"/>
      <c r="K156" s="48"/>
    </row>
    <row r="157">
      <c r="A157" s="48"/>
      <c r="B157" s="49" t="s">
        <v>20</v>
      </c>
      <c r="C157" s="49" t="s">
        <v>13580</v>
      </c>
      <c r="D157" s="49" t="s">
        <v>13507</v>
      </c>
      <c r="E157" s="49" t="s">
        <v>62</v>
      </c>
      <c r="F157" s="48"/>
      <c r="G157" s="48"/>
      <c r="H157" s="48"/>
      <c r="I157" s="48"/>
      <c r="J157" s="50" t="s">
        <v>13581</v>
      </c>
      <c r="K157" s="48"/>
    </row>
    <row r="158">
      <c r="A158" s="48"/>
      <c r="B158" s="49" t="s">
        <v>276</v>
      </c>
      <c r="C158" s="49" t="s">
        <v>13582</v>
      </c>
      <c r="D158" s="49" t="s">
        <v>13507</v>
      </c>
      <c r="E158" s="49" t="s">
        <v>62</v>
      </c>
      <c r="F158" s="48"/>
      <c r="G158" s="48"/>
      <c r="H158" s="48"/>
      <c r="I158" s="48"/>
      <c r="J158" s="50" t="s">
        <v>13583</v>
      </c>
      <c r="K158" s="48"/>
    </row>
    <row r="159">
      <c r="A159" s="48"/>
      <c r="B159" s="49" t="s">
        <v>720</v>
      </c>
      <c r="C159" s="11" t="s">
        <v>4478</v>
      </c>
      <c r="D159" s="49" t="s">
        <v>13507</v>
      </c>
      <c r="E159" s="49" t="s">
        <v>13509</v>
      </c>
      <c r="F159" s="48"/>
      <c r="G159" s="48"/>
      <c r="H159" s="50" t="s">
        <v>13584</v>
      </c>
      <c r="I159" s="48"/>
      <c r="J159" s="48"/>
      <c r="K159" s="48"/>
    </row>
    <row r="160">
      <c r="A160" s="48"/>
      <c r="B160" s="49" t="s">
        <v>20</v>
      </c>
      <c r="C160" s="11" t="s">
        <v>4222</v>
      </c>
      <c r="D160" s="49" t="s">
        <v>13507</v>
      </c>
      <c r="E160" s="49" t="s">
        <v>13517</v>
      </c>
      <c r="F160" s="48"/>
      <c r="G160" s="48"/>
      <c r="H160" s="50" t="s">
        <v>13585</v>
      </c>
      <c r="I160" s="48"/>
      <c r="J160" s="48"/>
      <c r="K160" s="48"/>
    </row>
    <row r="161">
      <c r="A161" s="48"/>
      <c r="B161" s="49" t="s">
        <v>20</v>
      </c>
      <c r="C161" s="335" t="s">
        <v>13586</v>
      </c>
      <c r="D161" s="49" t="s">
        <v>13507</v>
      </c>
      <c r="E161" s="49" t="s">
        <v>62</v>
      </c>
      <c r="F161" s="48"/>
      <c r="G161" s="48"/>
      <c r="H161" s="48"/>
      <c r="I161" s="48"/>
      <c r="J161" s="50" t="s">
        <v>13587</v>
      </c>
      <c r="K161" s="48"/>
    </row>
    <row r="162">
      <c r="A162" s="48"/>
      <c r="B162" s="49" t="s">
        <v>20</v>
      </c>
      <c r="C162" s="335" t="s">
        <v>13588</v>
      </c>
      <c r="D162" s="49" t="s">
        <v>13507</v>
      </c>
      <c r="E162" s="49" t="s">
        <v>62</v>
      </c>
      <c r="F162" s="48"/>
      <c r="G162" s="48"/>
      <c r="H162" s="48"/>
      <c r="I162" s="48"/>
      <c r="J162" s="50" t="s">
        <v>13589</v>
      </c>
      <c r="K162" s="48"/>
    </row>
    <row r="163">
      <c r="A163" s="48"/>
      <c r="B163" s="49" t="s">
        <v>20</v>
      </c>
      <c r="C163" s="49" t="s">
        <v>13590</v>
      </c>
      <c r="D163" s="49" t="s">
        <v>13507</v>
      </c>
      <c r="E163" s="49" t="s">
        <v>62</v>
      </c>
      <c r="F163" s="48"/>
      <c r="G163" s="48"/>
      <c r="H163" s="50" t="s">
        <v>13591</v>
      </c>
      <c r="I163" s="50" t="s">
        <v>13592</v>
      </c>
      <c r="J163" s="48"/>
      <c r="K163" s="48"/>
    </row>
    <row r="164">
      <c r="A164" s="48"/>
      <c r="B164" s="49" t="s">
        <v>20</v>
      </c>
      <c r="C164" s="49" t="s">
        <v>13593</v>
      </c>
      <c r="D164" s="49" t="s">
        <v>13507</v>
      </c>
      <c r="E164" s="49" t="s">
        <v>62</v>
      </c>
      <c r="F164" s="48"/>
      <c r="G164" s="48"/>
      <c r="H164" s="50" t="s">
        <v>13594</v>
      </c>
      <c r="I164" s="50" t="s">
        <v>13595</v>
      </c>
      <c r="J164" s="48"/>
      <c r="K164" s="48"/>
    </row>
    <row r="165">
      <c r="A165" s="48"/>
      <c r="B165" s="49" t="s">
        <v>1573</v>
      </c>
      <c r="C165" s="49" t="s">
        <v>804</v>
      </c>
      <c r="D165" s="49" t="s">
        <v>13507</v>
      </c>
      <c r="E165" s="49" t="s">
        <v>62</v>
      </c>
      <c r="F165" s="48"/>
      <c r="G165" s="48"/>
      <c r="H165" s="50" t="s">
        <v>13596</v>
      </c>
      <c r="I165" s="48"/>
      <c r="J165" s="48"/>
      <c r="K165" s="48"/>
    </row>
    <row r="166">
      <c r="A166" s="48"/>
      <c r="B166" s="49" t="s">
        <v>20</v>
      </c>
      <c r="C166" s="11" t="s">
        <v>13597</v>
      </c>
      <c r="D166" s="49" t="s">
        <v>13507</v>
      </c>
      <c r="E166" s="49" t="s">
        <v>62</v>
      </c>
      <c r="F166" s="48"/>
      <c r="G166" s="48"/>
      <c r="H166" s="50" t="s">
        <v>13598</v>
      </c>
      <c r="I166" s="48"/>
      <c r="J166" s="48"/>
      <c r="K166" s="48"/>
    </row>
    <row r="167">
      <c r="A167" s="48"/>
      <c r="B167" s="49" t="s">
        <v>276</v>
      </c>
      <c r="C167" s="49" t="s">
        <v>55</v>
      </c>
      <c r="D167" s="49" t="s">
        <v>13507</v>
      </c>
      <c r="E167" s="49" t="s">
        <v>62</v>
      </c>
      <c r="F167" s="48"/>
      <c r="G167" s="48"/>
      <c r="H167" s="50" t="s">
        <v>13599</v>
      </c>
      <c r="I167" s="50" t="s">
        <v>13600</v>
      </c>
      <c r="J167" s="48"/>
      <c r="K167" s="48"/>
    </row>
    <row r="168">
      <c r="A168" s="48"/>
      <c r="B168" s="49" t="s">
        <v>20</v>
      </c>
      <c r="C168" s="11" t="s">
        <v>13601</v>
      </c>
      <c r="D168" s="49" t="s">
        <v>13507</v>
      </c>
      <c r="E168" s="49" t="s">
        <v>62</v>
      </c>
      <c r="F168" s="48"/>
      <c r="G168" s="48"/>
      <c r="H168" s="50" t="s">
        <v>13602</v>
      </c>
      <c r="I168" s="48"/>
      <c r="J168" s="48"/>
      <c r="K168" s="48"/>
    </row>
    <row r="169">
      <c r="A169" s="48"/>
      <c r="B169" s="49" t="s">
        <v>20</v>
      </c>
      <c r="C169" s="49" t="s">
        <v>11767</v>
      </c>
      <c r="D169" s="49" t="s">
        <v>13507</v>
      </c>
      <c r="E169" s="49" t="s">
        <v>62</v>
      </c>
      <c r="F169" s="48"/>
      <c r="G169" s="48"/>
      <c r="H169" s="50" t="s">
        <v>13603</v>
      </c>
      <c r="I169" s="50" t="s">
        <v>13604</v>
      </c>
      <c r="J169" s="48"/>
      <c r="K169" s="48"/>
    </row>
    <row r="170">
      <c r="A170" s="48"/>
      <c r="B170" s="49" t="s">
        <v>20</v>
      </c>
      <c r="C170" s="49" t="s">
        <v>13605</v>
      </c>
      <c r="D170" s="49" t="s">
        <v>13507</v>
      </c>
      <c r="E170" s="49" t="s">
        <v>13606</v>
      </c>
      <c r="F170" s="48"/>
      <c r="G170" s="48"/>
      <c r="H170" s="50" t="s">
        <v>13607</v>
      </c>
      <c r="I170" s="48"/>
      <c r="J170" s="48"/>
      <c r="K170" s="48"/>
    </row>
    <row r="171">
      <c r="A171" s="48"/>
      <c r="B171" s="49" t="s">
        <v>20</v>
      </c>
      <c r="C171" s="49" t="s">
        <v>13608</v>
      </c>
      <c r="D171" s="49" t="s">
        <v>13507</v>
      </c>
      <c r="E171" s="49" t="s">
        <v>13609</v>
      </c>
      <c r="F171" s="48"/>
      <c r="G171" s="48"/>
      <c r="H171" s="50" t="s">
        <v>13610</v>
      </c>
      <c r="I171" s="48"/>
      <c r="J171" s="48"/>
      <c r="K171" s="48"/>
    </row>
    <row r="172">
      <c r="A172" s="48"/>
      <c r="B172" s="49" t="s">
        <v>20</v>
      </c>
      <c r="C172" s="11" t="s">
        <v>3192</v>
      </c>
      <c r="D172" s="49" t="s">
        <v>13507</v>
      </c>
      <c r="E172" s="49" t="s">
        <v>62</v>
      </c>
      <c r="F172" s="48"/>
      <c r="G172" s="48"/>
      <c r="H172" s="50" t="s">
        <v>13611</v>
      </c>
      <c r="I172" s="12" t="s">
        <v>13612</v>
      </c>
      <c r="J172" s="48"/>
      <c r="K172" s="48"/>
    </row>
    <row r="173">
      <c r="A173" s="48"/>
      <c r="B173" s="49" t="s">
        <v>20</v>
      </c>
      <c r="C173" s="49" t="s">
        <v>13613</v>
      </c>
      <c r="D173" s="49" t="s">
        <v>13507</v>
      </c>
      <c r="E173" s="49" t="s">
        <v>62</v>
      </c>
      <c r="F173" s="48"/>
      <c r="G173" s="48"/>
      <c r="H173" s="48"/>
      <c r="I173" s="48"/>
      <c r="J173" s="50" t="s">
        <v>13614</v>
      </c>
      <c r="K173" s="48"/>
    </row>
    <row r="174">
      <c r="A174" s="48"/>
      <c r="B174" s="49" t="s">
        <v>20</v>
      </c>
      <c r="C174" s="49" t="s">
        <v>13615</v>
      </c>
      <c r="D174" s="49" t="s">
        <v>13507</v>
      </c>
      <c r="E174" s="49" t="s">
        <v>62</v>
      </c>
      <c r="F174" s="48"/>
      <c r="G174" s="48"/>
      <c r="H174" s="55" t="s">
        <v>13616</v>
      </c>
      <c r="I174" s="48"/>
      <c r="J174" s="50" t="s">
        <v>13617</v>
      </c>
      <c r="K174" s="48"/>
    </row>
    <row r="175">
      <c r="A175" s="48"/>
      <c r="B175" s="49" t="s">
        <v>17</v>
      </c>
      <c r="C175" s="49" t="s">
        <v>13618</v>
      </c>
      <c r="D175" s="49" t="s">
        <v>13507</v>
      </c>
      <c r="E175" s="49" t="s">
        <v>62</v>
      </c>
      <c r="F175" s="48"/>
      <c r="G175" s="48"/>
      <c r="H175" s="48"/>
      <c r="I175" s="48"/>
      <c r="J175" s="50" t="s">
        <v>13619</v>
      </c>
      <c r="K175" s="48"/>
    </row>
    <row r="176">
      <c r="A176" s="48"/>
      <c r="B176" s="49" t="s">
        <v>720</v>
      </c>
      <c r="C176" s="49" t="s">
        <v>13620</v>
      </c>
      <c r="D176" s="49" t="s">
        <v>13507</v>
      </c>
      <c r="E176" s="49" t="s">
        <v>62</v>
      </c>
      <c r="F176" s="48"/>
      <c r="G176" s="48"/>
      <c r="H176" s="48"/>
      <c r="I176" s="48"/>
      <c r="J176" s="50" t="s">
        <v>13621</v>
      </c>
      <c r="K176" s="48"/>
    </row>
    <row r="177">
      <c r="A177" s="48"/>
      <c r="B177" s="49" t="s">
        <v>20</v>
      </c>
      <c r="C177" s="49" t="s">
        <v>13622</v>
      </c>
      <c r="D177" s="49" t="s">
        <v>13507</v>
      </c>
      <c r="E177" s="49" t="s">
        <v>62</v>
      </c>
      <c r="F177" s="48"/>
      <c r="G177" s="48"/>
      <c r="H177" s="48"/>
      <c r="I177" s="48"/>
      <c r="J177" s="50" t="s">
        <v>13623</v>
      </c>
      <c r="K177" s="48"/>
    </row>
    <row r="178">
      <c r="A178" s="48"/>
      <c r="B178" s="49" t="s">
        <v>20</v>
      </c>
      <c r="C178" s="49" t="s">
        <v>13624</v>
      </c>
      <c r="D178" s="49" t="s">
        <v>13507</v>
      </c>
      <c r="E178" s="49" t="s">
        <v>62</v>
      </c>
      <c r="F178" s="48"/>
      <c r="G178" s="48"/>
      <c r="H178" s="48"/>
      <c r="I178" s="48"/>
      <c r="J178" s="50" t="s">
        <v>13625</v>
      </c>
      <c r="K178" s="48"/>
    </row>
    <row r="179">
      <c r="A179" s="48"/>
      <c r="B179" s="49" t="s">
        <v>20</v>
      </c>
      <c r="C179" s="49" t="s">
        <v>3612</v>
      </c>
      <c r="D179" s="49" t="s">
        <v>13507</v>
      </c>
      <c r="E179" s="49" t="s">
        <v>13517</v>
      </c>
      <c r="F179" s="48"/>
      <c r="G179" s="48"/>
      <c r="H179" s="48"/>
      <c r="I179" s="48"/>
      <c r="J179" s="50" t="s">
        <v>13626</v>
      </c>
      <c r="K179" s="48"/>
    </row>
    <row r="180">
      <c r="A180" s="48"/>
      <c r="B180" s="49" t="s">
        <v>20</v>
      </c>
      <c r="C180" s="49" t="s">
        <v>755</v>
      </c>
      <c r="D180" s="49" t="s">
        <v>13507</v>
      </c>
      <c r="E180" s="49" t="s">
        <v>62</v>
      </c>
      <c r="F180" s="48"/>
      <c r="G180" s="48"/>
      <c r="H180" s="48"/>
      <c r="I180" s="48"/>
      <c r="J180" s="50" t="s">
        <v>13627</v>
      </c>
      <c r="K180" s="48"/>
    </row>
    <row r="181">
      <c r="A181" s="48"/>
      <c r="B181" s="49" t="s">
        <v>276</v>
      </c>
      <c r="C181" s="49" t="s">
        <v>13628</v>
      </c>
      <c r="D181" s="49" t="s">
        <v>13507</v>
      </c>
      <c r="E181" s="49" t="s">
        <v>62</v>
      </c>
      <c r="F181" s="48"/>
      <c r="G181" s="48"/>
      <c r="H181" s="48"/>
      <c r="I181" s="48"/>
      <c r="J181" s="50" t="s">
        <v>13629</v>
      </c>
      <c r="K181" s="48"/>
    </row>
    <row r="182">
      <c r="A182" s="48"/>
      <c r="B182" s="49" t="s">
        <v>20</v>
      </c>
      <c r="C182" s="49" t="s">
        <v>13318</v>
      </c>
      <c r="D182" s="49" t="s">
        <v>13507</v>
      </c>
      <c r="E182" s="49" t="s">
        <v>13630</v>
      </c>
      <c r="F182" s="48"/>
      <c r="G182" s="48"/>
      <c r="H182" s="48"/>
      <c r="I182" s="48"/>
      <c r="J182" s="50" t="s">
        <v>13631</v>
      </c>
      <c r="K182" s="48"/>
    </row>
    <row r="183">
      <c r="A183" s="48"/>
      <c r="B183" s="49" t="s">
        <v>20</v>
      </c>
      <c r="C183" s="49" t="s">
        <v>13632</v>
      </c>
      <c r="D183" s="49" t="s">
        <v>13507</v>
      </c>
      <c r="E183" s="49" t="s">
        <v>13517</v>
      </c>
      <c r="F183" s="48"/>
      <c r="G183" s="48"/>
      <c r="H183" s="48"/>
      <c r="I183" s="48"/>
      <c r="J183" s="55" t="s">
        <v>13633</v>
      </c>
      <c r="K183" s="48"/>
    </row>
    <row r="184">
      <c r="A184" s="48"/>
      <c r="B184" s="49" t="s">
        <v>20</v>
      </c>
      <c r="C184" s="11" t="s">
        <v>3178</v>
      </c>
      <c r="D184" s="49" t="s">
        <v>13507</v>
      </c>
      <c r="E184" s="49" t="s">
        <v>13606</v>
      </c>
      <c r="F184" s="48"/>
      <c r="G184" s="48"/>
      <c r="H184" s="50" t="s">
        <v>13634</v>
      </c>
      <c r="I184" s="48"/>
      <c r="J184" s="48"/>
      <c r="K184" s="48"/>
    </row>
    <row r="185">
      <c r="A185" s="48"/>
      <c r="B185" s="49" t="s">
        <v>20</v>
      </c>
      <c r="C185" s="49" t="s">
        <v>13635</v>
      </c>
      <c r="D185" s="49" t="s">
        <v>13507</v>
      </c>
      <c r="E185" s="49" t="s">
        <v>62</v>
      </c>
      <c r="F185" s="48"/>
      <c r="G185" s="48"/>
      <c r="H185" s="50" t="s">
        <v>13636</v>
      </c>
      <c r="I185" s="48"/>
      <c r="J185" s="48"/>
      <c r="K185" s="48"/>
    </row>
    <row r="186">
      <c r="A186" s="48"/>
      <c r="B186" s="49" t="s">
        <v>20</v>
      </c>
      <c r="C186" s="49" t="s">
        <v>13393</v>
      </c>
      <c r="D186" s="49" t="s">
        <v>13507</v>
      </c>
      <c r="E186" s="49" t="s">
        <v>62</v>
      </c>
      <c r="F186" s="48"/>
      <c r="G186" s="48"/>
      <c r="H186" s="50" t="s">
        <v>13637</v>
      </c>
      <c r="I186" s="51" t="s">
        <v>13638</v>
      </c>
      <c r="J186" s="48"/>
      <c r="K186" s="48"/>
    </row>
    <row r="187">
      <c r="A187" s="48"/>
      <c r="B187" s="49" t="s">
        <v>20</v>
      </c>
      <c r="C187" s="49" t="s">
        <v>356</v>
      </c>
      <c r="D187" s="49" t="s">
        <v>13507</v>
      </c>
      <c r="E187" s="49" t="s">
        <v>62</v>
      </c>
      <c r="F187" s="48"/>
      <c r="G187" s="48"/>
      <c r="H187" s="50" t="s">
        <v>13639</v>
      </c>
      <c r="I187" s="52"/>
      <c r="J187" s="48"/>
      <c r="K187" s="48"/>
    </row>
    <row r="188">
      <c r="A188" s="48"/>
      <c r="B188" s="49" t="s">
        <v>20</v>
      </c>
      <c r="C188" s="49" t="s">
        <v>3097</v>
      </c>
      <c r="D188" s="49" t="s">
        <v>13507</v>
      </c>
      <c r="E188" s="49" t="s">
        <v>13640</v>
      </c>
      <c r="F188" s="48"/>
      <c r="G188" s="48"/>
      <c r="H188" s="50" t="s">
        <v>13641</v>
      </c>
      <c r="I188" s="52"/>
      <c r="J188" s="48"/>
      <c r="K188" s="48"/>
    </row>
    <row r="189">
      <c r="A189" s="48"/>
      <c r="B189" s="49" t="s">
        <v>20</v>
      </c>
      <c r="C189" s="11" t="s">
        <v>13642</v>
      </c>
      <c r="D189" s="49" t="s">
        <v>13507</v>
      </c>
      <c r="E189" s="49" t="s">
        <v>13524</v>
      </c>
      <c r="F189" s="48"/>
      <c r="G189" s="48"/>
      <c r="H189" s="50" t="s">
        <v>13643</v>
      </c>
      <c r="I189" s="341"/>
      <c r="J189" s="12" t="s">
        <v>13644</v>
      </c>
      <c r="K189" s="48"/>
    </row>
    <row r="190">
      <c r="A190" s="48"/>
      <c r="B190" s="49" t="s">
        <v>20</v>
      </c>
      <c r="C190" s="49" t="s">
        <v>49</v>
      </c>
      <c r="D190" s="49" t="s">
        <v>13507</v>
      </c>
      <c r="E190" s="49" t="s">
        <v>13517</v>
      </c>
      <c r="F190" s="48"/>
      <c r="G190" s="48"/>
      <c r="H190" s="50" t="s">
        <v>13645</v>
      </c>
      <c r="I190" s="48"/>
      <c r="J190" s="48"/>
      <c r="K190" s="48"/>
    </row>
    <row r="191">
      <c r="A191" s="48"/>
      <c r="B191" s="49" t="s">
        <v>20</v>
      </c>
      <c r="C191" s="49" t="s">
        <v>13646</v>
      </c>
      <c r="D191" s="49" t="s">
        <v>13507</v>
      </c>
      <c r="E191" s="49" t="s">
        <v>13517</v>
      </c>
      <c r="F191" s="48"/>
      <c r="G191" s="48"/>
      <c r="H191" s="48"/>
      <c r="I191" s="48"/>
      <c r="J191" s="48"/>
      <c r="K191" s="48"/>
    </row>
    <row r="192">
      <c r="A192" s="48"/>
      <c r="B192" s="49" t="s">
        <v>20</v>
      </c>
      <c r="C192" s="11" t="s">
        <v>2267</v>
      </c>
      <c r="D192" s="49" t="s">
        <v>13507</v>
      </c>
      <c r="E192" s="49" t="s">
        <v>62</v>
      </c>
      <c r="F192" s="48"/>
      <c r="G192" s="48"/>
      <c r="H192" s="50" t="s">
        <v>13647</v>
      </c>
      <c r="I192" s="48"/>
      <c r="J192" s="48"/>
      <c r="K192" s="48"/>
    </row>
    <row r="193">
      <c r="A193" s="48"/>
      <c r="B193" s="49" t="s">
        <v>20</v>
      </c>
      <c r="C193" s="11" t="s">
        <v>13648</v>
      </c>
      <c r="D193" s="49" t="s">
        <v>13507</v>
      </c>
      <c r="E193" s="49" t="s">
        <v>62</v>
      </c>
      <c r="F193" s="48"/>
      <c r="G193" s="48"/>
      <c r="H193" s="50" t="s">
        <v>13649</v>
      </c>
      <c r="I193" s="48"/>
      <c r="J193" s="48"/>
      <c r="K193" s="48"/>
    </row>
    <row r="194">
      <c r="A194" s="48"/>
      <c r="B194" s="49" t="s">
        <v>20</v>
      </c>
      <c r="C194" s="49" t="s">
        <v>13511</v>
      </c>
      <c r="D194" s="49" t="s">
        <v>13507</v>
      </c>
      <c r="E194" s="49" t="s">
        <v>13512</v>
      </c>
      <c r="F194" s="48"/>
      <c r="G194" s="48"/>
      <c r="H194" s="50" t="s">
        <v>13650</v>
      </c>
      <c r="I194" s="48"/>
      <c r="J194" s="48"/>
      <c r="K194" s="48"/>
    </row>
    <row r="195">
      <c r="A195" s="48"/>
      <c r="B195" s="49" t="s">
        <v>20</v>
      </c>
      <c r="C195" s="49" t="s">
        <v>13651</v>
      </c>
      <c r="D195" s="49" t="s">
        <v>13507</v>
      </c>
      <c r="E195" s="49" t="s">
        <v>62</v>
      </c>
      <c r="F195" s="48"/>
      <c r="G195" s="48"/>
      <c r="H195" s="50" t="s">
        <v>13652</v>
      </c>
      <c r="I195" s="48"/>
      <c r="J195" s="50" t="s">
        <v>13653</v>
      </c>
      <c r="K195" s="48"/>
    </row>
    <row r="196">
      <c r="A196" s="48"/>
      <c r="B196" s="49" t="s">
        <v>20</v>
      </c>
      <c r="C196" s="49" t="s">
        <v>13654</v>
      </c>
      <c r="D196" s="49" t="s">
        <v>13507</v>
      </c>
      <c r="E196" s="49" t="s">
        <v>13655</v>
      </c>
      <c r="F196" s="48"/>
      <c r="G196" s="48"/>
      <c r="H196" s="50" t="s">
        <v>13656</v>
      </c>
      <c r="I196" s="12" t="s">
        <v>13657</v>
      </c>
      <c r="J196" s="48"/>
      <c r="K196" s="48"/>
    </row>
    <row r="197">
      <c r="A197" s="48"/>
      <c r="B197" s="49" t="s">
        <v>20</v>
      </c>
      <c r="C197" s="49" t="s">
        <v>13658</v>
      </c>
      <c r="D197" s="49" t="s">
        <v>13507</v>
      </c>
      <c r="E197" s="49" t="s">
        <v>13509</v>
      </c>
      <c r="F197" s="48"/>
      <c r="G197" s="48"/>
      <c r="H197" s="50" t="s">
        <v>13659</v>
      </c>
      <c r="I197" s="48"/>
      <c r="J197" s="48"/>
      <c r="K197" s="48"/>
    </row>
    <row r="198">
      <c r="A198" s="48"/>
      <c r="B198" s="49" t="s">
        <v>20</v>
      </c>
      <c r="C198" s="49" t="s">
        <v>794</v>
      </c>
      <c r="D198" s="49" t="s">
        <v>13507</v>
      </c>
      <c r="E198" s="49" t="s">
        <v>13660</v>
      </c>
      <c r="F198" s="48"/>
      <c r="G198" s="48"/>
      <c r="H198" s="50" t="s">
        <v>13661</v>
      </c>
      <c r="I198" s="48"/>
      <c r="J198" s="48"/>
      <c r="K198" s="48"/>
    </row>
    <row r="199">
      <c r="A199" s="48"/>
      <c r="B199" s="49" t="s">
        <v>20</v>
      </c>
      <c r="C199" s="49" t="s">
        <v>1015</v>
      </c>
      <c r="D199" s="49" t="s">
        <v>13507</v>
      </c>
      <c r="E199" s="49" t="s">
        <v>13640</v>
      </c>
      <c r="F199" s="48"/>
      <c r="G199" s="48"/>
      <c r="H199" s="50" t="s">
        <v>13662</v>
      </c>
      <c r="I199" s="48"/>
      <c r="J199" s="48"/>
      <c r="K199" s="48"/>
    </row>
    <row r="200">
      <c r="A200" s="48"/>
      <c r="B200" s="49" t="s">
        <v>20</v>
      </c>
      <c r="C200" s="49" t="s">
        <v>804</v>
      </c>
      <c r="D200" s="49" t="s">
        <v>13507</v>
      </c>
      <c r="E200" s="49" t="s">
        <v>66</v>
      </c>
      <c r="F200" s="48"/>
      <c r="G200" s="48"/>
      <c r="H200" s="50" t="s">
        <v>13663</v>
      </c>
      <c r="I200" s="51" t="s">
        <v>13664</v>
      </c>
      <c r="J200" s="48"/>
      <c r="K200" s="48"/>
    </row>
    <row r="201">
      <c r="A201" s="48"/>
      <c r="B201" s="49" t="s">
        <v>20</v>
      </c>
      <c r="C201" s="49" t="s">
        <v>755</v>
      </c>
      <c r="D201" s="49" t="s">
        <v>13507</v>
      </c>
      <c r="E201" s="49" t="s">
        <v>13660</v>
      </c>
      <c r="F201" s="48"/>
      <c r="G201" s="48"/>
      <c r="H201" s="50" t="s">
        <v>13665</v>
      </c>
      <c r="I201" s="12" t="s">
        <v>13666</v>
      </c>
      <c r="J201" s="48"/>
      <c r="K201" s="48"/>
    </row>
    <row r="202">
      <c r="A202" s="48"/>
      <c r="B202" s="49" t="s">
        <v>20</v>
      </c>
      <c r="C202" s="49" t="s">
        <v>1015</v>
      </c>
      <c r="D202" s="49" t="s">
        <v>13507</v>
      </c>
      <c r="E202" s="49" t="s">
        <v>13512</v>
      </c>
      <c r="F202" s="48"/>
      <c r="G202" s="48"/>
      <c r="H202" s="50" t="s">
        <v>13667</v>
      </c>
      <c r="I202" s="52"/>
      <c r="J202" s="48"/>
      <c r="K202" s="48"/>
    </row>
    <row r="203">
      <c r="A203" s="48"/>
      <c r="B203" s="49" t="s">
        <v>20</v>
      </c>
      <c r="C203" s="49" t="s">
        <v>49</v>
      </c>
      <c r="D203" s="49" t="s">
        <v>13507</v>
      </c>
      <c r="E203" s="49" t="s">
        <v>66</v>
      </c>
      <c r="F203" s="48"/>
      <c r="G203" s="48"/>
      <c r="H203" s="48"/>
      <c r="I203" s="244"/>
      <c r="J203" s="50" t="s">
        <v>13668</v>
      </c>
      <c r="K203" s="48"/>
    </row>
    <row r="204">
      <c r="A204" s="48"/>
      <c r="B204" s="49" t="s">
        <v>20</v>
      </c>
      <c r="C204" s="49" t="s">
        <v>13669</v>
      </c>
      <c r="D204" s="49" t="s">
        <v>13507</v>
      </c>
      <c r="E204" s="49" t="s">
        <v>13517</v>
      </c>
      <c r="F204" s="48"/>
      <c r="G204" s="48"/>
      <c r="H204" s="48"/>
      <c r="I204" s="48"/>
      <c r="J204" s="50" t="s">
        <v>13670</v>
      </c>
      <c r="K204" s="48"/>
    </row>
    <row r="205">
      <c r="A205" s="48"/>
      <c r="B205" s="49" t="s">
        <v>20</v>
      </c>
      <c r="C205" s="49" t="s">
        <v>13671</v>
      </c>
      <c r="D205" s="49" t="s">
        <v>13507</v>
      </c>
      <c r="E205" s="49" t="s">
        <v>62</v>
      </c>
      <c r="F205" s="48"/>
      <c r="G205" s="48"/>
      <c r="H205" s="50" t="s">
        <v>13672</v>
      </c>
      <c r="I205" s="12" t="s">
        <v>13673</v>
      </c>
      <c r="J205" s="48"/>
      <c r="K205" s="48"/>
    </row>
    <row r="206">
      <c r="A206" s="48"/>
      <c r="B206" s="49" t="s">
        <v>720</v>
      </c>
      <c r="C206" s="49" t="s">
        <v>176</v>
      </c>
      <c r="D206" s="49" t="s">
        <v>13507</v>
      </c>
      <c r="E206" s="49" t="s">
        <v>13660</v>
      </c>
      <c r="F206" s="48"/>
      <c r="G206" s="48"/>
      <c r="H206" s="50" t="s">
        <v>13674</v>
      </c>
      <c r="I206" s="48"/>
      <c r="J206" s="48"/>
      <c r="K206" s="48"/>
    </row>
    <row r="207">
      <c r="A207" s="48"/>
      <c r="B207" s="49" t="s">
        <v>20</v>
      </c>
      <c r="C207" s="49" t="s">
        <v>13675</v>
      </c>
      <c r="D207" s="49" t="s">
        <v>13507</v>
      </c>
      <c r="E207" s="49" t="s">
        <v>13676</v>
      </c>
      <c r="F207" s="48"/>
      <c r="G207" s="48"/>
      <c r="H207" s="50" t="s">
        <v>13677</v>
      </c>
      <c r="I207" s="12" t="s">
        <v>13678</v>
      </c>
      <c r="J207" s="48"/>
      <c r="K207" s="48"/>
    </row>
    <row r="208">
      <c r="A208" s="48"/>
      <c r="B208" s="49" t="s">
        <v>720</v>
      </c>
      <c r="C208" s="49" t="s">
        <v>4478</v>
      </c>
      <c r="D208" s="49" t="s">
        <v>13507</v>
      </c>
      <c r="E208" s="49" t="s">
        <v>6629</v>
      </c>
      <c r="F208" s="48"/>
      <c r="G208" s="48"/>
      <c r="H208" s="50" t="s">
        <v>13679</v>
      </c>
      <c r="I208" s="48"/>
      <c r="J208" s="48"/>
      <c r="K208" s="48"/>
    </row>
    <row r="209">
      <c r="A209" s="48"/>
      <c r="B209" s="49" t="s">
        <v>20</v>
      </c>
      <c r="C209" s="49" t="s">
        <v>13680</v>
      </c>
      <c r="D209" s="49" t="s">
        <v>13507</v>
      </c>
      <c r="E209" s="49" t="s">
        <v>62</v>
      </c>
      <c r="F209" s="48"/>
      <c r="G209" s="48"/>
      <c r="H209" s="50" t="s">
        <v>13681</v>
      </c>
      <c r="I209" s="48"/>
      <c r="J209" s="48"/>
      <c r="K209" s="48"/>
    </row>
    <row r="210">
      <c r="A210" s="48"/>
      <c r="B210" s="49" t="s">
        <v>20</v>
      </c>
      <c r="C210" s="11" t="s">
        <v>7360</v>
      </c>
      <c r="D210" s="49" t="s">
        <v>13507</v>
      </c>
      <c r="E210" s="49" t="s">
        <v>13509</v>
      </c>
      <c r="F210" s="48"/>
      <c r="G210" s="48"/>
      <c r="H210" s="50" t="s">
        <v>13682</v>
      </c>
      <c r="I210" s="48"/>
      <c r="J210" s="48"/>
      <c r="K210" s="48"/>
    </row>
    <row r="211">
      <c r="A211" s="48"/>
      <c r="B211" s="49" t="s">
        <v>20</v>
      </c>
      <c r="C211" s="49" t="s">
        <v>13683</v>
      </c>
      <c r="D211" s="49" t="s">
        <v>13507</v>
      </c>
      <c r="E211" s="49" t="s">
        <v>62</v>
      </c>
      <c r="F211" s="48"/>
      <c r="G211" s="48"/>
      <c r="H211" s="50" t="s">
        <v>13684</v>
      </c>
      <c r="I211" s="48"/>
      <c r="J211" s="48"/>
      <c r="K211" s="48"/>
    </row>
    <row r="212">
      <c r="A212" s="48"/>
      <c r="B212" s="49" t="s">
        <v>20</v>
      </c>
      <c r="C212" s="11" t="s">
        <v>13685</v>
      </c>
      <c r="D212" s="49" t="s">
        <v>13507</v>
      </c>
      <c r="E212" s="49" t="s">
        <v>62</v>
      </c>
      <c r="F212" s="48"/>
      <c r="G212" s="48"/>
      <c r="H212" s="50" t="s">
        <v>13686</v>
      </c>
      <c r="I212" s="48"/>
      <c r="J212" s="48"/>
      <c r="K212" s="48"/>
    </row>
    <row r="213">
      <c r="A213" s="48"/>
      <c r="B213" s="49" t="s">
        <v>20</v>
      </c>
      <c r="C213" s="49" t="s">
        <v>951</v>
      </c>
      <c r="D213" s="49" t="s">
        <v>13507</v>
      </c>
      <c r="E213" s="49" t="s">
        <v>13687</v>
      </c>
      <c r="F213" s="48"/>
      <c r="G213" s="48"/>
      <c r="H213" s="48"/>
      <c r="I213" s="48"/>
      <c r="J213" s="50" t="s">
        <v>13688</v>
      </c>
      <c r="K213" s="48"/>
    </row>
    <row r="214">
      <c r="A214" s="48"/>
      <c r="B214" s="49" t="s">
        <v>20</v>
      </c>
      <c r="C214" s="49" t="s">
        <v>13344</v>
      </c>
      <c r="D214" s="49" t="s">
        <v>13507</v>
      </c>
      <c r="E214" s="49" t="s">
        <v>62</v>
      </c>
      <c r="F214" s="48"/>
      <c r="G214" s="48"/>
      <c r="H214" s="50" t="s">
        <v>13689</v>
      </c>
      <c r="I214" s="48"/>
      <c r="J214" s="48"/>
      <c r="K214" s="48"/>
    </row>
    <row r="215">
      <c r="A215" s="48"/>
      <c r="B215" s="49" t="s">
        <v>20</v>
      </c>
      <c r="C215" s="49" t="s">
        <v>13690</v>
      </c>
      <c r="D215" s="49" t="s">
        <v>13507</v>
      </c>
      <c r="E215" s="49" t="s">
        <v>13570</v>
      </c>
      <c r="F215" s="48"/>
      <c r="G215" s="48"/>
      <c r="H215" s="50" t="s">
        <v>13691</v>
      </c>
      <c r="I215" s="48"/>
      <c r="J215" s="48"/>
      <c r="K215" s="48"/>
    </row>
    <row r="216">
      <c r="A216" s="48"/>
      <c r="B216" s="49" t="s">
        <v>20</v>
      </c>
      <c r="C216" s="11" t="s">
        <v>13692</v>
      </c>
      <c r="D216" s="49" t="s">
        <v>13507</v>
      </c>
      <c r="E216" s="49" t="s">
        <v>13512</v>
      </c>
      <c r="F216" s="48"/>
      <c r="G216" s="48"/>
      <c r="H216" s="50" t="s">
        <v>13693</v>
      </c>
      <c r="I216" s="12" t="s">
        <v>13694</v>
      </c>
      <c r="J216" s="48"/>
      <c r="K216" s="48"/>
    </row>
    <row r="217">
      <c r="A217" s="48"/>
      <c r="B217" s="49" t="s">
        <v>20</v>
      </c>
      <c r="C217" s="11" t="s">
        <v>727</v>
      </c>
      <c r="D217" s="49" t="s">
        <v>13507</v>
      </c>
      <c r="E217" s="49" t="s">
        <v>62</v>
      </c>
      <c r="F217" s="48"/>
      <c r="G217" s="48"/>
      <c r="H217" s="50" t="s">
        <v>13695</v>
      </c>
      <c r="I217" s="12" t="s">
        <v>13696</v>
      </c>
      <c r="J217" s="48"/>
      <c r="K217" s="48"/>
    </row>
    <row r="218">
      <c r="A218" s="48"/>
      <c r="B218" s="49" t="s">
        <v>20</v>
      </c>
      <c r="C218" s="49" t="s">
        <v>763</v>
      </c>
      <c r="D218" s="49" t="s">
        <v>13507</v>
      </c>
      <c r="E218" s="49" t="s">
        <v>13697</v>
      </c>
      <c r="F218" s="48"/>
      <c r="G218" s="48"/>
      <c r="H218" s="48"/>
      <c r="I218" s="48"/>
      <c r="J218" s="50" t="s">
        <v>13698</v>
      </c>
      <c r="K218" s="48"/>
    </row>
    <row r="219">
      <c r="A219" s="48"/>
      <c r="B219" s="49" t="s">
        <v>20</v>
      </c>
      <c r="C219" s="11" t="s">
        <v>3612</v>
      </c>
      <c r="D219" s="49" t="s">
        <v>13507</v>
      </c>
      <c r="E219" s="49" t="s">
        <v>13517</v>
      </c>
      <c r="F219" s="48"/>
      <c r="G219" s="48"/>
      <c r="H219" s="50" t="s">
        <v>13699</v>
      </c>
      <c r="I219" s="12" t="s">
        <v>13700</v>
      </c>
      <c r="J219" s="48"/>
      <c r="K219" s="48"/>
    </row>
    <row r="220">
      <c r="A220" s="48"/>
      <c r="B220" s="49" t="s">
        <v>20</v>
      </c>
      <c r="C220" s="11" t="s">
        <v>13701</v>
      </c>
      <c r="D220" s="49" t="s">
        <v>13507</v>
      </c>
      <c r="E220" s="49" t="s">
        <v>62</v>
      </c>
      <c r="F220" s="48"/>
      <c r="G220" s="48"/>
      <c r="H220" s="50" t="s">
        <v>13702</v>
      </c>
      <c r="I220" s="12" t="s">
        <v>13703</v>
      </c>
      <c r="J220" s="48"/>
      <c r="K220" s="48"/>
    </row>
    <row r="221">
      <c r="A221" s="48"/>
      <c r="B221" s="49" t="s">
        <v>20</v>
      </c>
      <c r="C221" s="11" t="s">
        <v>4263</v>
      </c>
      <c r="D221" s="49" t="s">
        <v>13507</v>
      </c>
      <c r="E221" s="49" t="s">
        <v>66</v>
      </c>
      <c r="F221" s="48"/>
      <c r="G221" s="48"/>
      <c r="H221" s="50" t="s">
        <v>13704</v>
      </c>
      <c r="I221" s="12" t="s">
        <v>13705</v>
      </c>
      <c r="J221" s="48"/>
      <c r="K221" s="48"/>
    </row>
    <row r="222">
      <c r="A222" s="48"/>
      <c r="B222" s="49" t="s">
        <v>20</v>
      </c>
      <c r="C222" s="49" t="s">
        <v>13706</v>
      </c>
      <c r="D222" s="49" t="s">
        <v>13507</v>
      </c>
      <c r="E222" s="49" t="s">
        <v>13517</v>
      </c>
      <c r="F222" s="48"/>
      <c r="G222" s="48"/>
      <c r="H222" s="48"/>
      <c r="I222" s="48"/>
      <c r="J222" s="50" t="s">
        <v>13707</v>
      </c>
      <c r="K222" s="48"/>
    </row>
    <row r="223">
      <c r="A223" s="48"/>
      <c r="B223" s="49" t="s">
        <v>20</v>
      </c>
      <c r="C223" s="49" t="s">
        <v>13708</v>
      </c>
      <c r="D223" s="49" t="s">
        <v>13507</v>
      </c>
      <c r="E223" s="49" t="s">
        <v>62</v>
      </c>
      <c r="F223" s="48"/>
      <c r="G223" s="48"/>
      <c r="H223" s="50" t="s">
        <v>13709</v>
      </c>
      <c r="I223" s="48"/>
      <c r="J223" s="48"/>
      <c r="K223" s="48"/>
    </row>
    <row r="224">
      <c r="A224" s="48"/>
      <c r="B224" s="49" t="s">
        <v>20</v>
      </c>
      <c r="C224" s="49" t="s">
        <v>3942</v>
      </c>
      <c r="D224" s="49" t="s">
        <v>13507</v>
      </c>
      <c r="E224" s="49" t="s">
        <v>13550</v>
      </c>
      <c r="F224" s="48"/>
      <c r="G224" s="48"/>
      <c r="H224" s="50" t="s">
        <v>13710</v>
      </c>
      <c r="I224" s="48"/>
      <c r="J224" s="48"/>
      <c r="K224" s="48"/>
    </row>
    <row r="225">
      <c r="A225" s="48"/>
      <c r="B225" s="49" t="s">
        <v>20</v>
      </c>
      <c r="C225" s="49" t="s">
        <v>3640</v>
      </c>
      <c r="D225" s="49" t="s">
        <v>13507</v>
      </c>
      <c r="E225" s="49" t="s">
        <v>66</v>
      </c>
      <c r="F225" s="48"/>
      <c r="G225" s="48"/>
      <c r="H225" s="50" t="s">
        <v>13711</v>
      </c>
      <c r="I225" s="12" t="s">
        <v>13712</v>
      </c>
      <c r="J225" s="48"/>
      <c r="K225" s="48"/>
    </row>
    <row r="226">
      <c r="A226" s="48"/>
      <c r="B226" s="49" t="s">
        <v>20</v>
      </c>
      <c r="C226" s="49" t="s">
        <v>13713</v>
      </c>
      <c r="D226" s="49" t="s">
        <v>13507</v>
      </c>
      <c r="E226" s="49" t="s">
        <v>62</v>
      </c>
      <c r="F226" s="48"/>
      <c r="G226" s="48"/>
      <c r="H226" s="50" t="s">
        <v>13714</v>
      </c>
      <c r="I226" s="48"/>
      <c r="J226" s="48"/>
      <c r="K226" s="48"/>
    </row>
    <row r="227">
      <c r="A227" s="48"/>
      <c r="B227" s="49" t="s">
        <v>20</v>
      </c>
      <c r="C227" s="11" t="s">
        <v>13715</v>
      </c>
      <c r="D227" s="49" t="s">
        <v>13507</v>
      </c>
      <c r="E227" s="49" t="s">
        <v>13509</v>
      </c>
      <c r="F227" s="48"/>
      <c r="G227" s="48"/>
      <c r="H227" s="48"/>
      <c r="I227" s="48"/>
      <c r="J227" s="50" t="s">
        <v>13716</v>
      </c>
      <c r="K227" s="48"/>
    </row>
    <row r="228">
      <c r="A228" s="48"/>
      <c r="B228" s="49" t="s">
        <v>20</v>
      </c>
      <c r="C228" s="11" t="s">
        <v>4084</v>
      </c>
      <c r="D228" s="49" t="s">
        <v>13507</v>
      </c>
      <c r="E228" s="49" t="s">
        <v>13509</v>
      </c>
      <c r="F228" s="48"/>
      <c r="G228" s="48"/>
      <c r="H228" s="50" t="s">
        <v>13717</v>
      </c>
      <c r="I228" s="48"/>
      <c r="J228" s="12" t="s">
        <v>13718</v>
      </c>
      <c r="K228" s="48"/>
    </row>
    <row r="229">
      <c r="A229" s="48"/>
      <c r="B229" s="49" t="s">
        <v>20</v>
      </c>
      <c r="C229" s="11" t="s">
        <v>13719</v>
      </c>
      <c r="D229" s="49" t="s">
        <v>13507</v>
      </c>
      <c r="E229" s="49" t="s">
        <v>13720</v>
      </c>
      <c r="F229" s="48"/>
      <c r="G229" s="48"/>
      <c r="H229" s="50" t="s">
        <v>13721</v>
      </c>
      <c r="I229" s="48"/>
      <c r="J229" s="48"/>
      <c r="K229" s="48"/>
    </row>
    <row r="230">
      <c r="A230" s="48"/>
      <c r="B230" s="49" t="s">
        <v>20</v>
      </c>
      <c r="C230" s="11" t="s">
        <v>3172</v>
      </c>
      <c r="D230" s="49" t="s">
        <v>13507</v>
      </c>
      <c r="E230" s="49" t="s">
        <v>13722</v>
      </c>
      <c r="F230" s="59" t="s">
        <v>13723</v>
      </c>
      <c r="G230" s="48"/>
      <c r="H230" s="50" t="s">
        <v>13724</v>
      </c>
      <c r="I230" s="48"/>
      <c r="J230" s="48"/>
      <c r="K230" s="48"/>
    </row>
    <row r="231">
      <c r="A231" s="48"/>
      <c r="B231" s="49" t="s">
        <v>20</v>
      </c>
      <c r="C231" s="49" t="s">
        <v>729</v>
      </c>
      <c r="D231" s="49" t="s">
        <v>13507</v>
      </c>
      <c r="E231" s="49" t="s">
        <v>13660</v>
      </c>
      <c r="F231" s="48"/>
      <c r="G231" s="48"/>
      <c r="H231" s="50" t="s">
        <v>13725</v>
      </c>
      <c r="I231" s="48"/>
      <c r="J231" s="48"/>
      <c r="K231" s="48"/>
    </row>
    <row r="232">
      <c r="A232" s="48"/>
      <c r="B232" s="49" t="s">
        <v>20</v>
      </c>
      <c r="C232" s="49" t="s">
        <v>1262</v>
      </c>
      <c r="D232" s="49" t="s">
        <v>13507</v>
      </c>
      <c r="E232" s="49" t="s">
        <v>62</v>
      </c>
      <c r="F232" s="48"/>
      <c r="G232" s="48"/>
      <c r="H232" s="50" t="s">
        <v>13726</v>
      </c>
      <c r="I232" s="48"/>
      <c r="J232" s="48"/>
      <c r="K232" s="48"/>
    </row>
    <row r="233">
      <c r="A233" s="48"/>
      <c r="B233" s="49" t="s">
        <v>20</v>
      </c>
      <c r="C233" s="49" t="s">
        <v>841</v>
      </c>
      <c r="D233" s="49" t="s">
        <v>13507</v>
      </c>
      <c r="E233" s="49" t="s">
        <v>13517</v>
      </c>
      <c r="F233" s="48"/>
      <c r="G233" s="48"/>
      <c r="H233" s="50" t="s">
        <v>13727</v>
      </c>
      <c r="I233" s="48"/>
      <c r="J233" s="48"/>
      <c r="K233" s="48"/>
    </row>
    <row r="234">
      <c r="A234" s="48"/>
      <c r="B234" s="49" t="s">
        <v>20</v>
      </c>
      <c r="C234" s="49" t="s">
        <v>4797</v>
      </c>
      <c r="D234" s="49" t="s">
        <v>13507</v>
      </c>
      <c r="E234" s="49" t="s">
        <v>66</v>
      </c>
      <c r="F234" s="48"/>
      <c r="G234" s="48"/>
      <c r="H234" s="48"/>
      <c r="I234" s="48"/>
      <c r="J234" s="50" t="s">
        <v>13728</v>
      </c>
      <c r="K234" s="48"/>
    </row>
    <row r="235">
      <c r="A235" s="48"/>
      <c r="B235" s="49" t="s">
        <v>276</v>
      </c>
      <c r="C235" s="49" t="s">
        <v>13729</v>
      </c>
      <c r="D235" s="49" t="s">
        <v>13507</v>
      </c>
      <c r="E235" s="49" t="s">
        <v>13550</v>
      </c>
      <c r="F235" s="48"/>
      <c r="G235" s="48"/>
      <c r="H235" s="50" t="s">
        <v>13730</v>
      </c>
      <c r="I235" s="48"/>
      <c r="J235" s="48"/>
      <c r="K235" s="48"/>
    </row>
    <row r="236">
      <c r="A236" s="48"/>
      <c r="B236" s="49" t="s">
        <v>20</v>
      </c>
      <c r="C236" s="11" t="s">
        <v>3808</v>
      </c>
      <c r="D236" s="49" t="s">
        <v>13507</v>
      </c>
      <c r="E236" s="49" t="s">
        <v>13553</v>
      </c>
      <c r="F236" s="48"/>
      <c r="G236" s="48"/>
      <c r="H236" s="50" t="s">
        <v>13731</v>
      </c>
      <c r="I236" s="12" t="s">
        <v>13732</v>
      </c>
      <c r="J236" s="48"/>
      <c r="K236" s="48"/>
    </row>
    <row r="237">
      <c r="A237" s="48"/>
      <c r="B237" s="49" t="s">
        <v>102</v>
      </c>
      <c r="C237" s="49" t="s">
        <v>13733</v>
      </c>
      <c r="D237" s="49" t="s">
        <v>13507</v>
      </c>
      <c r="E237" s="49" t="s">
        <v>13509</v>
      </c>
      <c r="F237" s="48"/>
      <c r="G237" s="48"/>
      <c r="H237" s="50" t="s">
        <v>13734</v>
      </c>
      <c r="I237" s="48"/>
      <c r="J237" s="48"/>
      <c r="K237" s="48"/>
    </row>
    <row r="238">
      <c r="A238" s="48"/>
      <c r="B238" s="49" t="s">
        <v>20</v>
      </c>
      <c r="C238" s="49" t="s">
        <v>2999</v>
      </c>
      <c r="D238" s="49" t="s">
        <v>13507</v>
      </c>
      <c r="E238" s="49" t="s">
        <v>13512</v>
      </c>
      <c r="F238" s="48"/>
      <c r="G238" s="48"/>
      <c r="H238" s="48"/>
      <c r="I238" s="50" t="s">
        <v>13735</v>
      </c>
      <c r="J238" s="48"/>
      <c r="K238" s="48"/>
    </row>
    <row r="239">
      <c r="A239" s="48"/>
      <c r="B239" s="49" t="s">
        <v>20</v>
      </c>
      <c r="C239" s="11" t="s">
        <v>13736</v>
      </c>
      <c r="D239" s="49" t="s">
        <v>13507</v>
      </c>
      <c r="E239" s="49" t="s">
        <v>62</v>
      </c>
      <c r="F239" s="48"/>
      <c r="G239" s="48"/>
      <c r="H239" s="50" t="s">
        <v>13737</v>
      </c>
      <c r="I239" s="50" t="s">
        <v>13738</v>
      </c>
      <c r="J239" s="48"/>
      <c r="K239" s="48"/>
    </row>
    <row r="240">
      <c r="A240" s="48"/>
      <c r="B240" s="49" t="s">
        <v>276</v>
      </c>
      <c r="C240" s="49" t="s">
        <v>55</v>
      </c>
      <c r="D240" s="49" t="s">
        <v>13507</v>
      </c>
      <c r="E240" s="49" t="s">
        <v>66</v>
      </c>
      <c r="F240" s="48"/>
      <c r="G240" s="48"/>
      <c r="H240" s="50" t="s">
        <v>13739</v>
      </c>
      <c r="I240" s="12" t="s">
        <v>13740</v>
      </c>
      <c r="J240" s="48"/>
      <c r="K240" s="48"/>
    </row>
    <row r="241">
      <c r="A241" s="48"/>
      <c r="B241" s="49" t="s">
        <v>20</v>
      </c>
      <c r="C241" s="11" t="s">
        <v>13741</v>
      </c>
      <c r="D241" s="49" t="s">
        <v>13507</v>
      </c>
      <c r="E241" s="49" t="s">
        <v>62</v>
      </c>
      <c r="F241" s="48"/>
      <c r="G241" s="48"/>
      <c r="H241" s="50" t="s">
        <v>13742</v>
      </c>
      <c r="I241" s="48"/>
      <c r="J241" s="48"/>
      <c r="K241" s="48"/>
    </row>
    <row r="242">
      <c r="A242" s="48"/>
      <c r="B242" s="49" t="s">
        <v>20</v>
      </c>
      <c r="C242" s="11" t="s">
        <v>1057</v>
      </c>
      <c r="D242" s="49" t="s">
        <v>13507</v>
      </c>
      <c r="E242" s="49" t="s">
        <v>13606</v>
      </c>
      <c r="F242" s="48"/>
      <c r="G242" s="48"/>
      <c r="H242" s="50" t="s">
        <v>13743</v>
      </c>
      <c r="I242" s="12" t="s">
        <v>13744</v>
      </c>
      <c r="J242" s="48"/>
      <c r="K242" s="48"/>
    </row>
    <row r="243">
      <c r="A243" s="48"/>
      <c r="B243" s="49" t="s">
        <v>20</v>
      </c>
      <c r="C243" s="49" t="s">
        <v>13745</v>
      </c>
      <c r="D243" s="49" t="s">
        <v>13507</v>
      </c>
      <c r="E243" s="49" t="s">
        <v>62</v>
      </c>
      <c r="F243" s="48"/>
      <c r="G243" s="48"/>
      <c r="H243" s="50" t="s">
        <v>13746</v>
      </c>
      <c r="I243" s="48"/>
      <c r="J243" s="48"/>
      <c r="K243" s="48"/>
    </row>
    <row r="244">
      <c r="A244" s="48"/>
      <c r="B244" s="49" t="s">
        <v>20</v>
      </c>
      <c r="C244" s="11" t="s">
        <v>1975</v>
      </c>
      <c r="D244" s="49" t="s">
        <v>13507</v>
      </c>
      <c r="E244" s="49" t="s">
        <v>62</v>
      </c>
      <c r="F244" s="48"/>
      <c r="G244" s="48"/>
      <c r="H244" s="50" t="s">
        <v>13747</v>
      </c>
      <c r="I244" s="12" t="s">
        <v>13748</v>
      </c>
      <c r="J244" s="48"/>
      <c r="K244" s="48"/>
    </row>
    <row r="245">
      <c r="A245" s="48"/>
      <c r="B245" s="49" t="s">
        <v>20</v>
      </c>
      <c r="C245" s="11" t="s">
        <v>11341</v>
      </c>
      <c r="D245" s="49" t="s">
        <v>13507</v>
      </c>
      <c r="E245" s="49" t="s">
        <v>62</v>
      </c>
      <c r="F245" s="48"/>
      <c r="G245" s="48"/>
      <c r="H245" s="50" t="s">
        <v>13749</v>
      </c>
      <c r="I245" s="12" t="s">
        <v>13750</v>
      </c>
      <c r="J245" s="48"/>
      <c r="K245" s="48"/>
    </row>
    <row r="246">
      <c r="A246" s="48"/>
      <c r="B246" s="49" t="s">
        <v>20</v>
      </c>
      <c r="C246" s="11" t="s">
        <v>13318</v>
      </c>
      <c r="D246" s="49" t="s">
        <v>13507</v>
      </c>
      <c r="E246" s="49" t="s">
        <v>66</v>
      </c>
      <c r="F246" s="48"/>
      <c r="G246" s="48"/>
      <c r="H246" s="50" t="s">
        <v>13751</v>
      </c>
      <c r="I246" s="12" t="s">
        <v>13752</v>
      </c>
      <c r="J246" s="48"/>
      <c r="K246" s="48"/>
    </row>
    <row r="247">
      <c r="A247" s="48"/>
      <c r="B247" s="49" t="s">
        <v>20</v>
      </c>
      <c r="C247" s="11" t="s">
        <v>13753</v>
      </c>
      <c r="D247" s="49" t="s">
        <v>13507</v>
      </c>
      <c r="E247" s="49" t="s">
        <v>62</v>
      </c>
      <c r="F247" s="48"/>
      <c r="G247" s="48"/>
      <c r="H247" s="50" t="s">
        <v>13754</v>
      </c>
      <c r="I247" s="12" t="s">
        <v>13755</v>
      </c>
      <c r="J247" s="48"/>
      <c r="K247" s="48"/>
    </row>
    <row r="248">
      <c r="A248" s="48"/>
      <c r="B248" s="49" t="s">
        <v>20</v>
      </c>
      <c r="C248" s="285" t="s">
        <v>13756</v>
      </c>
      <c r="D248" s="49" t="s">
        <v>13507</v>
      </c>
      <c r="E248" s="49" t="s">
        <v>13509</v>
      </c>
      <c r="F248" s="48"/>
      <c r="G248" s="48"/>
      <c r="H248" s="50" t="s">
        <v>13757</v>
      </c>
      <c r="I248" s="48"/>
      <c r="J248" s="48"/>
      <c r="K248" s="48"/>
    </row>
    <row r="249">
      <c r="A249" s="48"/>
      <c r="B249" s="49" t="s">
        <v>20</v>
      </c>
      <c r="C249" s="11" t="s">
        <v>7529</v>
      </c>
      <c r="D249" s="49" t="s">
        <v>13507</v>
      </c>
      <c r="E249" s="49" t="s">
        <v>13524</v>
      </c>
      <c r="F249" s="48"/>
      <c r="G249" s="48"/>
      <c r="H249" s="50" t="s">
        <v>13758</v>
      </c>
      <c r="I249" s="48"/>
      <c r="J249" s="48"/>
      <c r="K249" s="48"/>
    </row>
    <row r="250">
      <c r="A250" s="48"/>
      <c r="B250" s="49" t="s">
        <v>20</v>
      </c>
      <c r="C250" s="11" t="s">
        <v>13759</v>
      </c>
      <c r="D250" s="49" t="s">
        <v>13507</v>
      </c>
      <c r="E250" s="49" t="s">
        <v>62</v>
      </c>
      <c r="F250" s="48"/>
      <c r="G250" s="48"/>
      <c r="H250" s="50" t="s">
        <v>13760</v>
      </c>
      <c r="I250" s="12" t="s">
        <v>13761</v>
      </c>
      <c r="J250" s="48"/>
      <c r="K250" s="48"/>
    </row>
    <row r="251">
      <c r="A251" s="48"/>
      <c r="B251" s="49" t="s">
        <v>20</v>
      </c>
      <c r="C251" s="49" t="s">
        <v>9155</v>
      </c>
      <c r="D251" s="49" t="s">
        <v>13507</v>
      </c>
      <c r="E251" s="49" t="s">
        <v>62</v>
      </c>
      <c r="F251" s="48"/>
      <c r="G251" s="48"/>
      <c r="H251" s="50" t="s">
        <v>13762</v>
      </c>
      <c r="I251" s="12" t="s">
        <v>13763</v>
      </c>
      <c r="J251" s="48"/>
      <c r="K251" s="48"/>
    </row>
    <row r="252">
      <c r="A252" s="48"/>
      <c r="B252" s="49" t="s">
        <v>20</v>
      </c>
      <c r="C252" s="49" t="s">
        <v>13764</v>
      </c>
      <c r="D252" s="49" t="s">
        <v>13507</v>
      </c>
      <c r="E252" s="49" t="s">
        <v>62</v>
      </c>
      <c r="F252" s="48"/>
      <c r="G252" s="48"/>
      <c r="H252" s="50" t="s">
        <v>13765</v>
      </c>
      <c r="I252" s="48"/>
      <c r="J252" s="48"/>
      <c r="K252" s="48"/>
    </row>
    <row r="253">
      <c r="A253" s="48"/>
      <c r="B253" s="49" t="s">
        <v>20</v>
      </c>
      <c r="C253" s="11" t="s">
        <v>13766</v>
      </c>
      <c r="D253" s="49" t="s">
        <v>13507</v>
      </c>
      <c r="E253" s="49" t="s">
        <v>62</v>
      </c>
      <c r="F253" s="48"/>
      <c r="G253" s="48"/>
      <c r="H253" s="50" t="s">
        <v>13767</v>
      </c>
      <c r="I253" s="48"/>
      <c r="J253" s="48"/>
      <c r="K253" s="48"/>
    </row>
    <row r="254">
      <c r="A254" s="48"/>
      <c r="B254" s="49" t="s">
        <v>276</v>
      </c>
      <c r="C254" s="49" t="s">
        <v>13768</v>
      </c>
      <c r="D254" s="49" t="s">
        <v>13507</v>
      </c>
      <c r="E254" s="49" t="s">
        <v>62</v>
      </c>
      <c r="F254" s="48"/>
      <c r="G254" s="48"/>
      <c r="H254" s="50" t="s">
        <v>13769</v>
      </c>
      <c r="I254" s="12" t="s">
        <v>13770</v>
      </c>
      <c r="J254" s="48"/>
      <c r="K254" s="48"/>
    </row>
    <row r="255">
      <c r="A255" s="48"/>
      <c r="B255" s="49" t="s">
        <v>276</v>
      </c>
      <c r="C255" s="11" t="s">
        <v>7872</v>
      </c>
      <c r="D255" s="49" t="s">
        <v>13507</v>
      </c>
      <c r="E255" s="49" t="s">
        <v>13509</v>
      </c>
      <c r="F255" s="48"/>
      <c r="G255" s="48"/>
      <c r="H255" s="50" t="s">
        <v>13771</v>
      </c>
      <c r="I255" s="48"/>
      <c r="J255" s="48"/>
      <c r="K255" s="48"/>
    </row>
    <row r="256">
      <c r="A256" s="48"/>
      <c r="B256" s="49" t="s">
        <v>20</v>
      </c>
      <c r="C256" s="49" t="s">
        <v>39</v>
      </c>
      <c r="D256" s="49" t="s">
        <v>13507</v>
      </c>
      <c r="E256" s="49" t="s">
        <v>13606</v>
      </c>
      <c r="F256" s="48"/>
      <c r="G256" s="48"/>
      <c r="H256" s="50" t="s">
        <v>13772</v>
      </c>
      <c r="I256" s="50" t="s">
        <v>13773</v>
      </c>
      <c r="J256" s="48"/>
      <c r="K256" s="48"/>
    </row>
    <row r="257">
      <c r="A257" s="48"/>
      <c r="B257" s="147" t="s">
        <v>1573</v>
      </c>
      <c r="C257" s="49" t="s">
        <v>794</v>
      </c>
      <c r="D257" s="49" t="s">
        <v>13507</v>
      </c>
      <c r="E257" s="49" t="s">
        <v>62</v>
      </c>
      <c r="F257" s="48"/>
      <c r="G257" s="48"/>
      <c r="H257" s="50" t="s">
        <v>13774</v>
      </c>
      <c r="I257" s="48"/>
      <c r="J257" s="48"/>
      <c r="K257" s="48"/>
    </row>
    <row r="258">
      <c r="A258" s="48"/>
      <c r="B258" s="49" t="s">
        <v>20</v>
      </c>
      <c r="C258" s="11" t="s">
        <v>7346</v>
      </c>
      <c r="D258" s="49" t="s">
        <v>13507</v>
      </c>
      <c r="E258" s="49" t="s">
        <v>62</v>
      </c>
      <c r="F258" s="48"/>
      <c r="G258" s="48"/>
      <c r="H258" s="50" t="s">
        <v>13775</v>
      </c>
      <c r="I258" s="48"/>
      <c r="J258" s="48"/>
      <c r="K258" s="48"/>
    </row>
    <row r="259">
      <c r="A259" s="48"/>
      <c r="B259" s="49" t="s">
        <v>20</v>
      </c>
      <c r="C259" s="49" t="s">
        <v>13776</v>
      </c>
      <c r="D259" s="49" t="s">
        <v>13507</v>
      </c>
      <c r="E259" s="49" t="s">
        <v>62</v>
      </c>
      <c r="F259" s="48"/>
      <c r="G259" s="48"/>
      <c r="H259" s="50" t="s">
        <v>13777</v>
      </c>
      <c r="I259" s="12" t="s">
        <v>13778</v>
      </c>
      <c r="J259" s="48"/>
      <c r="K259" s="48"/>
    </row>
    <row r="260">
      <c r="A260" s="48"/>
      <c r="B260" s="49" t="s">
        <v>20</v>
      </c>
      <c r="C260" s="11" t="s">
        <v>13779</v>
      </c>
      <c r="D260" s="49" t="s">
        <v>13507</v>
      </c>
      <c r="E260" s="49" t="s">
        <v>62</v>
      </c>
      <c r="F260" s="48"/>
      <c r="G260" s="48"/>
      <c r="H260" s="50" t="s">
        <v>13780</v>
      </c>
      <c r="I260" s="12" t="s">
        <v>13781</v>
      </c>
      <c r="J260" s="48"/>
      <c r="K260" s="48"/>
    </row>
    <row r="261">
      <c r="A261" s="48"/>
      <c r="B261" s="49" t="s">
        <v>20</v>
      </c>
      <c r="C261" s="11" t="s">
        <v>13782</v>
      </c>
      <c r="D261" s="49" t="s">
        <v>13507</v>
      </c>
      <c r="E261" s="49" t="s">
        <v>62</v>
      </c>
      <c r="F261" s="48"/>
      <c r="G261" s="48"/>
      <c r="H261" s="50" t="s">
        <v>13783</v>
      </c>
      <c r="I261" s="48"/>
      <c r="J261" s="48"/>
      <c r="K261" s="48"/>
    </row>
    <row r="262">
      <c r="A262" s="48"/>
      <c r="B262" s="49" t="s">
        <v>20</v>
      </c>
      <c r="C262" s="11" t="s">
        <v>13207</v>
      </c>
      <c r="D262" s="49" t="s">
        <v>13507</v>
      </c>
      <c r="E262" s="49" t="s">
        <v>62</v>
      </c>
      <c r="F262" s="48"/>
      <c r="G262" s="48"/>
      <c r="H262" s="50" t="s">
        <v>13784</v>
      </c>
      <c r="I262" s="48"/>
      <c r="J262" s="48"/>
      <c r="K262" s="48"/>
    </row>
    <row r="263">
      <c r="A263" s="48"/>
      <c r="B263" s="49" t="s">
        <v>20</v>
      </c>
      <c r="C263" s="11" t="s">
        <v>13766</v>
      </c>
      <c r="D263" s="49" t="s">
        <v>13507</v>
      </c>
      <c r="E263" s="49" t="s">
        <v>62</v>
      </c>
      <c r="F263" s="48"/>
      <c r="G263" s="48"/>
      <c r="H263" s="50" t="s">
        <v>13785</v>
      </c>
      <c r="I263" s="48"/>
      <c r="J263" s="48"/>
      <c r="K263" s="48"/>
    </row>
    <row r="264">
      <c r="A264" s="48"/>
      <c r="B264" s="49" t="s">
        <v>20</v>
      </c>
      <c r="C264" s="49" t="s">
        <v>13786</v>
      </c>
      <c r="D264" s="49" t="s">
        <v>13507</v>
      </c>
      <c r="E264" s="49" t="s">
        <v>13550</v>
      </c>
      <c r="F264" s="48"/>
      <c r="G264" s="48"/>
      <c r="H264" s="48"/>
      <c r="I264" s="48"/>
      <c r="J264" s="50" t="s">
        <v>13787</v>
      </c>
      <c r="K264" s="48"/>
    </row>
    <row r="265">
      <c r="A265" s="48"/>
      <c r="B265" s="49" t="s">
        <v>20</v>
      </c>
      <c r="C265" s="49" t="s">
        <v>13788</v>
      </c>
      <c r="D265" s="49" t="s">
        <v>13507</v>
      </c>
      <c r="E265" s="49" t="s">
        <v>66</v>
      </c>
      <c r="F265" s="48"/>
      <c r="G265" s="48"/>
      <c r="H265" s="50" t="s">
        <v>13789</v>
      </c>
      <c r="I265" s="12" t="s">
        <v>13790</v>
      </c>
      <c r="J265" s="48"/>
      <c r="K265" s="48"/>
    </row>
    <row r="266">
      <c r="A266" s="48"/>
      <c r="B266" s="49" t="s">
        <v>20</v>
      </c>
      <c r="C266" s="11" t="s">
        <v>13768</v>
      </c>
      <c r="D266" s="49" t="s">
        <v>13507</v>
      </c>
      <c r="E266" s="49" t="s">
        <v>66</v>
      </c>
      <c r="F266" s="48"/>
      <c r="G266" s="48"/>
      <c r="H266" s="50" t="s">
        <v>13791</v>
      </c>
      <c r="I266" s="12" t="s">
        <v>13792</v>
      </c>
      <c r="J266" s="48"/>
      <c r="K266" s="48"/>
    </row>
    <row r="267">
      <c r="A267" s="48"/>
      <c r="B267" s="49" t="s">
        <v>4322</v>
      </c>
      <c r="C267" s="49" t="s">
        <v>8970</v>
      </c>
      <c r="D267" s="49" t="s">
        <v>13507</v>
      </c>
      <c r="E267" s="49" t="s">
        <v>62</v>
      </c>
      <c r="F267" s="48"/>
      <c r="G267" s="48"/>
      <c r="H267" s="48"/>
      <c r="I267" s="48"/>
      <c r="J267" s="50" t="s">
        <v>13793</v>
      </c>
      <c r="K267" s="48"/>
    </row>
    <row r="268">
      <c r="A268" s="48"/>
      <c r="B268" s="49" t="s">
        <v>102</v>
      </c>
      <c r="C268" s="49" t="s">
        <v>13368</v>
      </c>
      <c r="D268" s="49" t="s">
        <v>13507</v>
      </c>
      <c r="E268" s="49" t="s">
        <v>13509</v>
      </c>
      <c r="F268" s="48"/>
      <c r="G268" s="48"/>
      <c r="H268" s="50" t="s">
        <v>13794</v>
      </c>
      <c r="I268" s="48"/>
      <c r="J268" s="48"/>
      <c r="K268" s="48"/>
    </row>
    <row r="269">
      <c r="A269" s="48"/>
      <c r="B269" s="49" t="s">
        <v>720</v>
      </c>
      <c r="C269" s="49" t="s">
        <v>145</v>
      </c>
      <c r="D269" s="49" t="s">
        <v>13507</v>
      </c>
      <c r="E269" s="49" t="s">
        <v>13512</v>
      </c>
      <c r="F269" s="48"/>
      <c r="G269" s="48"/>
      <c r="H269" s="50" t="s">
        <v>13795</v>
      </c>
      <c r="I269" s="48"/>
      <c r="J269" s="48"/>
      <c r="K269" s="48"/>
    </row>
    <row r="270">
      <c r="A270" s="48"/>
      <c r="B270" s="49" t="s">
        <v>687</v>
      </c>
      <c r="C270" s="49" t="s">
        <v>2889</v>
      </c>
      <c r="D270" s="49" t="s">
        <v>13507</v>
      </c>
      <c r="E270" s="49" t="s">
        <v>62</v>
      </c>
      <c r="F270" s="48"/>
      <c r="G270" s="48"/>
      <c r="H270" s="50" t="s">
        <v>13796</v>
      </c>
      <c r="I270" s="12" t="s">
        <v>13797</v>
      </c>
      <c r="J270" s="48"/>
      <c r="K270" s="48"/>
    </row>
    <row r="271">
      <c r="A271" s="48"/>
      <c r="B271" s="49" t="s">
        <v>687</v>
      </c>
      <c r="C271" s="11" t="s">
        <v>13798</v>
      </c>
      <c r="D271" s="49" t="s">
        <v>13507</v>
      </c>
      <c r="E271" s="49" t="s">
        <v>13517</v>
      </c>
      <c r="F271" s="48"/>
      <c r="G271" s="48"/>
      <c r="H271" s="50" t="s">
        <v>13799</v>
      </c>
      <c r="I271" s="48"/>
      <c r="J271" s="48"/>
      <c r="K271" s="48"/>
    </row>
    <row r="272">
      <c r="A272" s="48"/>
      <c r="B272" s="49" t="s">
        <v>687</v>
      </c>
      <c r="C272" s="11" t="s">
        <v>1360</v>
      </c>
      <c r="D272" s="49" t="s">
        <v>13507</v>
      </c>
      <c r="E272" s="49" t="s">
        <v>62</v>
      </c>
      <c r="F272" s="48"/>
      <c r="G272" s="48"/>
      <c r="H272" s="50" t="s">
        <v>13800</v>
      </c>
      <c r="I272" s="51" t="s">
        <v>13801</v>
      </c>
      <c r="J272" s="48"/>
      <c r="K272" s="48"/>
    </row>
    <row r="273">
      <c r="A273" s="48"/>
      <c r="B273" s="49" t="s">
        <v>687</v>
      </c>
      <c r="C273" s="11" t="s">
        <v>13802</v>
      </c>
      <c r="D273" s="49" t="s">
        <v>13507</v>
      </c>
      <c r="E273" s="49" t="s">
        <v>13803</v>
      </c>
      <c r="F273" s="48"/>
      <c r="G273" s="48"/>
      <c r="H273" s="50" t="s">
        <v>13804</v>
      </c>
      <c r="I273" s="52"/>
      <c r="J273" s="48"/>
      <c r="K273" s="48"/>
    </row>
    <row r="274">
      <c r="A274" s="48"/>
      <c r="B274" s="49" t="s">
        <v>687</v>
      </c>
      <c r="C274" s="11" t="s">
        <v>13805</v>
      </c>
      <c r="D274" s="49" t="s">
        <v>13507</v>
      </c>
      <c r="E274" s="49" t="s">
        <v>62</v>
      </c>
      <c r="F274" s="48"/>
      <c r="G274" s="48"/>
      <c r="H274" s="50" t="s">
        <v>13806</v>
      </c>
      <c r="I274" s="52"/>
      <c r="J274" s="48"/>
      <c r="K274" s="48"/>
    </row>
    <row r="275">
      <c r="A275" s="48"/>
      <c r="B275" s="49" t="s">
        <v>687</v>
      </c>
      <c r="C275" s="49" t="s">
        <v>13807</v>
      </c>
      <c r="D275" s="49" t="s">
        <v>13507</v>
      </c>
      <c r="E275" s="49" t="s">
        <v>7815</v>
      </c>
      <c r="F275" s="48"/>
      <c r="G275" s="48"/>
      <c r="H275" s="48"/>
      <c r="I275" s="244"/>
      <c r="J275" s="50" t="s">
        <v>8194</v>
      </c>
      <c r="K275" s="48"/>
    </row>
    <row r="276">
      <c r="A276" s="48"/>
      <c r="B276" s="49" t="s">
        <v>687</v>
      </c>
      <c r="C276" s="49" t="s">
        <v>13808</v>
      </c>
      <c r="D276" s="49" t="s">
        <v>13507</v>
      </c>
      <c r="E276" s="49" t="s">
        <v>62</v>
      </c>
      <c r="F276" s="48"/>
      <c r="G276" s="48"/>
      <c r="H276" s="48"/>
      <c r="I276" s="48"/>
      <c r="J276" s="50" t="s">
        <v>13809</v>
      </c>
      <c r="K276" s="48"/>
    </row>
    <row r="277">
      <c r="A277" s="48"/>
      <c r="B277" s="49" t="s">
        <v>687</v>
      </c>
      <c r="C277" s="49" t="s">
        <v>13810</v>
      </c>
      <c r="D277" s="49" t="s">
        <v>13507</v>
      </c>
      <c r="E277" s="49" t="s">
        <v>62</v>
      </c>
      <c r="F277" s="48"/>
      <c r="G277" s="48"/>
      <c r="H277" s="48"/>
      <c r="I277" s="48"/>
      <c r="J277" s="50" t="s">
        <v>13811</v>
      </c>
      <c r="K277" s="48"/>
    </row>
    <row r="278">
      <c r="A278" s="48"/>
      <c r="B278" s="49" t="s">
        <v>687</v>
      </c>
      <c r="C278" s="118" t="s">
        <v>13812</v>
      </c>
      <c r="D278" s="49" t="s">
        <v>13507</v>
      </c>
      <c r="E278" s="49" t="s">
        <v>62</v>
      </c>
      <c r="F278" s="48"/>
      <c r="G278" s="48"/>
      <c r="H278" s="48"/>
      <c r="I278" s="48"/>
      <c r="J278" s="50" t="s">
        <v>13813</v>
      </c>
      <c r="K278" s="48"/>
    </row>
    <row r="279">
      <c r="A279" s="48"/>
      <c r="B279" s="49" t="s">
        <v>687</v>
      </c>
      <c r="C279" s="49" t="s">
        <v>13814</v>
      </c>
      <c r="D279" s="49" t="s">
        <v>13507</v>
      </c>
      <c r="E279" s="49" t="s">
        <v>62</v>
      </c>
      <c r="F279" s="48"/>
      <c r="G279" s="48"/>
      <c r="H279" s="48"/>
      <c r="I279" s="48"/>
      <c r="J279" s="50" t="s">
        <v>13815</v>
      </c>
      <c r="K279" s="48"/>
    </row>
    <row r="280">
      <c r="A280" s="48"/>
      <c r="B280" s="49" t="s">
        <v>687</v>
      </c>
      <c r="C280" s="49" t="s">
        <v>13816</v>
      </c>
      <c r="D280" s="49" t="s">
        <v>13507</v>
      </c>
      <c r="E280" s="49" t="s">
        <v>62</v>
      </c>
      <c r="F280" s="48"/>
      <c r="G280" s="48"/>
      <c r="H280" s="48"/>
      <c r="I280" s="48"/>
      <c r="J280" s="50" t="s">
        <v>13817</v>
      </c>
      <c r="K280" s="48"/>
    </row>
    <row r="281">
      <c r="A281" s="48"/>
      <c r="B281" s="49" t="s">
        <v>20</v>
      </c>
      <c r="C281" s="49" t="s">
        <v>13818</v>
      </c>
      <c r="D281" s="49" t="s">
        <v>61</v>
      </c>
      <c r="E281" s="49" t="s">
        <v>62</v>
      </c>
      <c r="F281" s="48"/>
      <c r="G281" s="48"/>
      <c r="H281" s="48"/>
      <c r="I281" s="48"/>
      <c r="J281" s="50" t="s">
        <v>13819</v>
      </c>
      <c r="K281" s="48"/>
    </row>
    <row r="282">
      <c r="A282" s="48"/>
      <c r="B282" s="49" t="s">
        <v>20</v>
      </c>
      <c r="C282" s="49" t="s">
        <v>13820</v>
      </c>
      <c r="D282" s="49" t="s">
        <v>61</v>
      </c>
      <c r="E282" s="49" t="s">
        <v>62</v>
      </c>
      <c r="F282" s="48"/>
      <c r="G282" s="48"/>
      <c r="H282" s="48"/>
      <c r="I282" s="48"/>
      <c r="J282" s="50" t="s">
        <v>13821</v>
      </c>
      <c r="K282" s="48"/>
    </row>
    <row r="283">
      <c r="A283" s="48"/>
      <c r="B283" s="49" t="s">
        <v>17</v>
      </c>
      <c r="C283" s="49" t="s">
        <v>4478</v>
      </c>
      <c r="D283" s="49" t="s">
        <v>61</v>
      </c>
      <c r="E283" s="49" t="s">
        <v>62</v>
      </c>
      <c r="F283" s="48"/>
      <c r="G283" s="48"/>
      <c r="H283" s="48"/>
      <c r="I283" s="48"/>
      <c r="J283" s="50" t="s">
        <v>13822</v>
      </c>
      <c r="K283" s="48"/>
    </row>
    <row r="284">
      <c r="A284" s="48"/>
      <c r="B284" s="49" t="s">
        <v>720</v>
      </c>
      <c r="C284" s="21" t="s">
        <v>13823</v>
      </c>
      <c r="D284" s="49" t="s">
        <v>61</v>
      </c>
      <c r="E284" s="49" t="s">
        <v>62</v>
      </c>
      <c r="F284" s="48"/>
      <c r="G284" s="48"/>
      <c r="H284" s="48"/>
      <c r="I284" s="48"/>
      <c r="J284" s="50" t="s">
        <v>13824</v>
      </c>
      <c r="K284" s="48"/>
    </row>
    <row r="285">
      <c r="A285" s="48"/>
      <c r="B285" s="49" t="s">
        <v>20</v>
      </c>
      <c r="C285" s="49" t="s">
        <v>13825</v>
      </c>
      <c r="D285" s="49" t="s">
        <v>61</v>
      </c>
      <c r="E285" s="49" t="s">
        <v>62</v>
      </c>
      <c r="F285" s="48"/>
      <c r="G285" s="48"/>
      <c r="H285" s="48"/>
      <c r="I285" s="48"/>
      <c r="J285" s="50" t="s">
        <v>13826</v>
      </c>
      <c r="K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</row>
  </sheetData>
  <conditionalFormatting sqref="A1:AC1">
    <cfRule type="notContainsBlanks" dxfId="0" priority="1">
      <formula>LEN(TRIM(A1))&gt;0</formula>
    </cfRule>
  </conditionalFormatting>
  <hyperlinks>
    <hyperlink r:id="rId1" ref="H2"/>
    <hyperlink r:id="rId2" ref="I2"/>
    <hyperlink r:id="rId3" ref="H3"/>
    <hyperlink r:id="rId4" ref="H4"/>
    <hyperlink r:id="rId5" ref="H5"/>
    <hyperlink r:id="rId6" ref="H6"/>
    <hyperlink r:id="rId7" ref="H7"/>
    <hyperlink r:id="rId8" ref="H8"/>
    <hyperlink r:id="rId9" ref="I8"/>
    <hyperlink r:id="rId10" ref="J8"/>
    <hyperlink r:id="rId11" ref="H9"/>
    <hyperlink r:id="rId12" ref="H10"/>
    <hyperlink r:id="rId13" ref="I10"/>
    <hyperlink r:id="rId14" ref="H11"/>
    <hyperlink r:id="rId15" ref="I11"/>
    <hyperlink r:id="rId16" ref="H12"/>
    <hyperlink r:id="rId17" ref="H13"/>
    <hyperlink r:id="rId18" ref="I13"/>
    <hyperlink r:id="rId19" ref="J13"/>
    <hyperlink r:id="rId20" ref="L13"/>
    <hyperlink r:id="rId21" ref="H14"/>
    <hyperlink r:id="rId22" ref="I14"/>
    <hyperlink r:id="rId23" ref="J14"/>
    <hyperlink r:id="rId24" ref="H15"/>
    <hyperlink r:id="rId25" ref="I15"/>
    <hyperlink r:id="rId26" ref="J15"/>
    <hyperlink r:id="rId27" ref="H16"/>
    <hyperlink r:id="rId28" ref="I16"/>
    <hyperlink r:id="rId29" ref="H17"/>
    <hyperlink r:id="rId30" ref="I17"/>
    <hyperlink r:id="rId31" ref="H18"/>
    <hyperlink r:id="rId32" ref="I18"/>
    <hyperlink r:id="rId33" ref="H19"/>
    <hyperlink r:id="rId34" ref="I19"/>
    <hyperlink r:id="rId35" ref="H20"/>
    <hyperlink r:id="rId36" ref="I20"/>
    <hyperlink r:id="rId37" ref="H21"/>
    <hyperlink r:id="rId38" ref="I21"/>
    <hyperlink r:id="rId39" ref="J21"/>
    <hyperlink r:id="rId40" ref="H22"/>
    <hyperlink r:id="rId41" ref="I22"/>
    <hyperlink r:id="rId42" ref="H23"/>
    <hyperlink r:id="rId43" ref="I23"/>
    <hyperlink r:id="rId44" ref="H24"/>
    <hyperlink r:id="rId45" ref="H25"/>
    <hyperlink r:id="rId46" ref="H26"/>
    <hyperlink r:id="rId47" ref="H27"/>
    <hyperlink r:id="rId48" ref="I27"/>
    <hyperlink r:id="rId49" ref="H28"/>
    <hyperlink r:id="rId50" ref="H29"/>
    <hyperlink r:id="rId51" ref="J30"/>
    <hyperlink r:id="rId52" ref="H31"/>
    <hyperlink r:id="rId53" ref="I31"/>
    <hyperlink r:id="rId54" ref="H32"/>
    <hyperlink r:id="rId55" ref="H33"/>
    <hyperlink r:id="rId56" ref="I33"/>
    <hyperlink r:id="rId57" ref="H34"/>
    <hyperlink r:id="rId58" ref="I34"/>
    <hyperlink r:id="rId59" ref="H35"/>
    <hyperlink r:id="rId60" ref="I35"/>
    <hyperlink r:id="rId61" ref="J35"/>
    <hyperlink r:id="rId62" ref="H36"/>
    <hyperlink r:id="rId63" ref="I36"/>
    <hyperlink r:id="rId64" ref="I37"/>
    <hyperlink r:id="rId65" ref="J37"/>
    <hyperlink r:id="rId66" ref="H38"/>
    <hyperlink r:id="rId67" ref="I38"/>
    <hyperlink r:id="rId68" ref="J38"/>
    <hyperlink r:id="rId69" ref="H39"/>
    <hyperlink r:id="rId70" ref="I39"/>
    <hyperlink r:id="rId71" ref="J39"/>
    <hyperlink r:id="rId72" ref="H40"/>
    <hyperlink r:id="rId73" ref="J41"/>
    <hyperlink r:id="rId74" ref="L41"/>
    <hyperlink r:id="rId75" ref="H42"/>
    <hyperlink r:id="rId76" ref="I42"/>
    <hyperlink r:id="rId77" ref="H43"/>
    <hyperlink r:id="rId78" ref="I43"/>
    <hyperlink r:id="rId79" ref="J43"/>
    <hyperlink r:id="rId80" ref="H44"/>
    <hyperlink r:id="rId81" ref="I44"/>
    <hyperlink r:id="rId82" ref="I45"/>
    <hyperlink r:id="rId83" ref="J46"/>
    <hyperlink r:id="rId84" ref="H47"/>
    <hyperlink r:id="rId85" ref="J48"/>
    <hyperlink r:id="rId86" ref="J49"/>
    <hyperlink r:id="rId87" ref="J50"/>
    <hyperlink r:id="rId88" ref="J51"/>
    <hyperlink r:id="rId89" ref="H52"/>
    <hyperlink r:id="rId90" ref="I52"/>
    <hyperlink r:id="rId91" ref="H53"/>
    <hyperlink r:id="rId92" ref="I53"/>
    <hyperlink r:id="rId93" ref="H54"/>
    <hyperlink r:id="rId94" ref="J55"/>
    <hyperlink r:id="rId95" ref="H56"/>
    <hyperlink r:id="rId96" ref="I56"/>
    <hyperlink r:id="rId97" ref="K56"/>
    <hyperlink r:id="rId98" ref="H57"/>
    <hyperlink r:id="rId99" ref="I57"/>
    <hyperlink r:id="rId100" ref="J57"/>
    <hyperlink r:id="rId101" ref="H58"/>
    <hyperlink r:id="rId102" ref="I58"/>
    <hyperlink r:id="rId103" ref="H59"/>
    <hyperlink r:id="rId104" ref="J59"/>
    <hyperlink r:id="rId105" ref="H60"/>
    <hyperlink r:id="rId106" ref="H61"/>
    <hyperlink r:id="rId107" ref="I61"/>
    <hyperlink r:id="rId108" ref="H62"/>
    <hyperlink r:id="rId109" ref="I62"/>
    <hyperlink r:id="rId110" ref="J62"/>
    <hyperlink r:id="rId111" ref="H63"/>
    <hyperlink r:id="rId112" ref="I63"/>
    <hyperlink r:id="rId113" ref="H64"/>
    <hyperlink r:id="rId114" ref="I64"/>
    <hyperlink r:id="rId115" ref="J64"/>
    <hyperlink r:id="rId116" ref="H65"/>
    <hyperlink r:id="rId117" ref="H66"/>
    <hyperlink r:id="rId118" ref="I66"/>
    <hyperlink r:id="rId119" ref="J66"/>
    <hyperlink r:id="rId120" ref="H67"/>
    <hyperlink r:id="rId121" ref="I67"/>
    <hyperlink r:id="rId122" ref="H68"/>
    <hyperlink r:id="rId123" ref="I68"/>
    <hyperlink r:id="rId124" ref="H69"/>
    <hyperlink r:id="rId125" ref="I69"/>
    <hyperlink r:id="rId126" ref="H70"/>
    <hyperlink r:id="rId127" ref="H71"/>
    <hyperlink r:id="rId128" ref="J71"/>
    <hyperlink r:id="rId129" ref="H72"/>
    <hyperlink r:id="rId130" ref="I72"/>
    <hyperlink r:id="rId131" ref="J72"/>
    <hyperlink r:id="rId132" ref="H73"/>
    <hyperlink r:id="rId133" ref="H74"/>
    <hyperlink r:id="rId134" ref="I74"/>
    <hyperlink r:id="rId135" ref="J74"/>
    <hyperlink r:id="rId136" ref="H75"/>
    <hyperlink r:id="rId137" ref="I75"/>
    <hyperlink r:id="rId138" ref="H76"/>
    <hyperlink r:id="rId139" ref="I76"/>
    <hyperlink r:id="rId140" ref="J76"/>
    <hyperlink r:id="rId141" ref="H77"/>
    <hyperlink r:id="rId142" ref="I77"/>
    <hyperlink r:id="rId143" ref="H78"/>
    <hyperlink r:id="rId144" ref="I78"/>
    <hyperlink r:id="rId145" ref="H79"/>
    <hyperlink r:id="rId146" ref="I79"/>
    <hyperlink r:id="rId147" ref="H80"/>
    <hyperlink r:id="rId148" ref="I80"/>
    <hyperlink r:id="rId149" ref="J80"/>
    <hyperlink r:id="rId150" ref="H81"/>
    <hyperlink r:id="rId151" ref="H82"/>
    <hyperlink r:id="rId152" ref="I82"/>
    <hyperlink r:id="rId153" ref="H83"/>
    <hyperlink r:id="rId154" ref="I83"/>
    <hyperlink r:id="rId155" ref="J83"/>
    <hyperlink r:id="rId156" ref="K83"/>
    <hyperlink r:id="rId157" ref="H84"/>
    <hyperlink r:id="rId158" ref="H85"/>
    <hyperlink r:id="rId159" ref="H86"/>
    <hyperlink r:id="rId160" ref="I86"/>
    <hyperlink r:id="rId161" ref="H87"/>
    <hyperlink r:id="rId162" ref="I87"/>
    <hyperlink r:id="rId163" ref="H88"/>
    <hyperlink r:id="rId164" ref="H89"/>
    <hyperlink r:id="rId165" ref="I89"/>
    <hyperlink r:id="rId166" ref="H90"/>
    <hyperlink r:id="rId167" ref="H91"/>
    <hyperlink r:id="rId168" ref="H92"/>
    <hyperlink r:id="rId169" ref="H93"/>
    <hyperlink r:id="rId170" ref="H94"/>
    <hyperlink r:id="rId171" ref="I94"/>
    <hyperlink r:id="rId172" ref="H95"/>
    <hyperlink r:id="rId173" ref="J95"/>
    <hyperlink r:id="rId174" ref="H96"/>
    <hyperlink r:id="rId175" ref="I96"/>
    <hyperlink r:id="rId176" ref="H97"/>
    <hyperlink r:id="rId177" ref="H98"/>
    <hyperlink r:id="rId178" ref="I98"/>
    <hyperlink r:id="rId179" ref="H99"/>
    <hyperlink r:id="rId180" ref="H100"/>
    <hyperlink r:id="rId181" ref="I100"/>
    <hyperlink r:id="rId182" ref="H101"/>
    <hyperlink r:id="rId183" ref="J101"/>
    <hyperlink r:id="rId184" ref="M101"/>
    <hyperlink r:id="rId185" ref="I102"/>
    <hyperlink r:id="rId186" ref="L103"/>
    <hyperlink r:id="rId187" ref="H104"/>
    <hyperlink r:id="rId188" ref="H105"/>
    <hyperlink r:id="rId189" ref="H106"/>
    <hyperlink r:id="rId190" ref="J106"/>
    <hyperlink r:id="rId191" ref="H107"/>
    <hyperlink r:id="rId192" ref="I107"/>
    <hyperlink r:id="rId193" ref="J107"/>
    <hyperlink r:id="rId194" ref="H108"/>
    <hyperlink r:id="rId195" ref="I108"/>
    <hyperlink r:id="rId196" ref="H109"/>
    <hyperlink r:id="rId197" ref="H110"/>
    <hyperlink r:id="rId198" ref="I110"/>
    <hyperlink r:id="rId199" ref="J110"/>
    <hyperlink r:id="rId200" ref="H111"/>
    <hyperlink r:id="rId201" ref="H112"/>
    <hyperlink r:id="rId202" ref="I112"/>
    <hyperlink r:id="rId203" ref="J112"/>
    <hyperlink r:id="rId204" ref="H113"/>
    <hyperlink r:id="rId205" ref="I113"/>
    <hyperlink r:id="rId206" ref="J114"/>
    <hyperlink r:id="rId207" ref="H115"/>
    <hyperlink r:id="rId208" ref="H116"/>
    <hyperlink r:id="rId209" ref="L116"/>
    <hyperlink r:id="rId210" ref="H117"/>
    <hyperlink r:id="rId211" ref="J117"/>
    <hyperlink r:id="rId212" ref="L117"/>
    <hyperlink r:id="rId213" ref="J118"/>
    <hyperlink r:id="rId214" ref="H119"/>
    <hyperlink r:id="rId215" ref="J119"/>
    <hyperlink r:id="rId216" ref="H120"/>
    <hyperlink r:id="rId217" ref="H121"/>
    <hyperlink r:id="rId218" ref="H122"/>
    <hyperlink r:id="rId219" ref="H123"/>
    <hyperlink r:id="rId220" ref="I123"/>
    <hyperlink r:id="rId221" ref="H124"/>
    <hyperlink r:id="rId222" ref="H125"/>
    <hyperlink r:id="rId223" ref="J126"/>
    <hyperlink r:id="rId224" ref="J127"/>
    <hyperlink r:id="rId225" ref="H128"/>
    <hyperlink r:id="rId226" ref="J128"/>
    <hyperlink r:id="rId227" ref="H129"/>
    <hyperlink r:id="rId228" ref="H130"/>
    <hyperlink r:id="rId229" ref="I130"/>
    <hyperlink r:id="rId230" ref="I131"/>
    <hyperlink r:id="rId231" ref="H132"/>
    <hyperlink r:id="rId232" ref="H133"/>
    <hyperlink r:id="rId233" ref="H134"/>
    <hyperlink r:id="rId234" ref="H135"/>
    <hyperlink r:id="rId235" ref="J135"/>
    <hyperlink r:id="rId236" ref="J136"/>
    <hyperlink r:id="rId237" ref="J137"/>
    <hyperlink r:id="rId238" ref="H138"/>
    <hyperlink r:id="rId239" ref="I138"/>
    <hyperlink r:id="rId240" ref="H139"/>
    <hyperlink r:id="rId241" ref="I139"/>
    <hyperlink r:id="rId242" ref="H140"/>
    <hyperlink r:id="rId243" ref="I140"/>
    <hyperlink r:id="rId244" ref="H141"/>
    <hyperlink r:id="rId245" ref="H142"/>
    <hyperlink r:id="rId246" ref="H143"/>
    <hyperlink r:id="rId247" ref="I143"/>
    <hyperlink r:id="rId248" ref="H144"/>
    <hyperlink r:id="rId249" ref="J144"/>
    <hyperlink r:id="rId250" ref="H145"/>
    <hyperlink r:id="rId251" ref="I146"/>
    <hyperlink r:id="rId252" ref="H147"/>
    <hyperlink r:id="rId253" ref="H148"/>
    <hyperlink r:id="rId254" ref="H149"/>
    <hyperlink r:id="rId255" ref="I149"/>
    <hyperlink r:id="rId256" ref="H150"/>
    <hyperlink r:id="rId257" ref="I150"/>
    <hyperlink r:id="rId258" ref="H151"/>
    <hyperlink r:id="rId259" ref="J152"/>
    <hyperlink r:id="rId260" ref="H153"/>
    <hyperlink r:id="rId261" ref="I153"/>
    <hyperlink r:id="rId262" ref="H154"/>
    <hyperlink r:id="rId263" ref="H155"/>
    <hyperlink r:id="rId264" ref="I155"/>
    <hyperlink r:id="rId265" ref="H156"/>
    <hyperlink r:id="rId266" ref="I156"/>
    <hyperlink r:id="rId267" ref="J157"/>
    <hyperlink r:id="rId268" ref="J158"/>
    <hyperlink r:id="rId269" ref="H159"/>
    <hyperlink r:id="rId270" ref="H160"/>
    <hyperlink r:id="rId271" ref="J161"/>
    <hyperlink r:id="rId272" ref="J162"/>
    <hyperlink r:id="rId273" ref="H163"/>
    <hyperlink r:id="rId274" ref="I163"/>
    <hyperlink r:id="rId275" ref="H164"/>
    <hyperlink r:id="rId276" ref="I164"/>
    <hyperlink r:id="rId277" ref="H165"/>
    <hyperlink r:id="rId278" ref="H166"/>
    <hyperlink r:id="rId279" ref="H167"/>
    <hyperlink r:id="rId280" ref="I167"/>
    <hyperlink r:id="rId281" ref="H168"/>
    <hyperlink r:id="rId282" ref="H169"/>
    <hyperlink r:id="rId283" ref="I169"/>
    <hyperlink r:id="rId284" ref="H170"/>
    <hyperlink r:id="rId285" ref="H171"/>
    <hyperlink r:id="rId286" ref="H172"/>
    <hyperlink r:id="rId287" ref="I172"/>
    <hyperlink r:id="rId288" ref="J173"/>
    <hyperlink r:id="rId289" ref="H174"/>
    <hyperlink r:id="rId290" ref="J174"/>
    <hyperlink r:id="rId291" ref="J175"/>
    <hyperlink r:id="rId292" ref="J176"/>
    <hyperlink r:id="rId293" ref="J177"/>
    <hyperlink r:id="rId294" ref="J178"/>
    <hyperlink r:id="rId295" ref="J179"/>
    <hyperlink r:id="rId296" ref="J180"/>
    <hyperlink r:id="rId297" ref="J181"/>
    <hyperlink r:id="rId298" ref="J182"/>
    <hyperlink r:id="rId299" ref="J183"/>
    <hyperlink r:id="rId300" ref="H184"/>
    <hyperlink r:id="rId301" ref="H185"/>
    <hyperlink r:id="rId302" ref="H186"/>
    <hyperlink r:id="rId303" ref="I186"/>
    <hyperlink r:id="rId304" ref="H187"/>
    <hyperlink r:id="rId305" ref="H188"/>
    <hyperlink r:id="rId306" ref="H189"/>
    <hyperlink r:id="rId307" ref="J189"/>
    <hyperlink r:id="rId308" ref="H190"/>
    <hyperlink r:id="rId309" ref="H192"/>
    <hyperlink r:id="rId310" ref="H193"/>
    <hyperlink r:id="rId311" ref="H194"/>
    <hyperlink r:id="rId312" ref="H195"/>
    <hyperlink r:id="rId313" ref="J195"/>
    <hyperlink r:id="rId314" ref="H196"/>
    <hyperlink r:id="rId315" ref="I196"/>
    <hyperlink r:id="rId316" ref="H197"/>
    <hyperlink r:id="rId317" ref="H198"/>
    <hyperlink r:id="rId318" ref="H199"/>
    <hyperlink r:id="rId319" ref="H200"/>
    <hyperlink r:id="rId320" ref="I200"/>
    <hyperlink r:id="rId321" ref="H201"/>
    <hyperlink r:id="rId322" ref="I201"/>
    <hyperlink r:id="rId323" ref="H202"/>
    <hyperlink r:id="rId324" ref="J203"/>
    <hyperlink r:id="rId325" ref="J204"/>
    <hyperlink r:id="rId326" ref="H205"/>
    <hyperlink r:id="rId327" ref="I205"/>
    <hyperlink r:id="rId328" ref="H206"/>
    <hyperlink r:id="rId329" ref="H207"/>
    <hyperlink r:id="rId330" ref="I207"/>
    <hyperlink r:id="rId331" ref="H208"/>
    <hyperlink r:id="rId332" ref="H209"/>
    <hyperlink r:id="rId333" ref="H210"/>
    <hyperlink r:id="rId334" ref="H211"/>
    <hyperlink r:id="rId335" ref="H212"/>
    <hyperlink r:id="rId336" ref="J213"/>
    <hyperlink r:id="rId337" ref="H214"/>
    <hyperlink r:id="rId338" ref="H215"/>
    <hyperlink r:id="rId339" ref="H216"/>
    <hyperlink r:id="rId340" ref="I216"/>
    <hyperlink r:id="rId341" ref="H217"/>
    <hyperlink r:id="rId342" ref="I217"/>
    <hyperlink r:id="rId343" ref="J218"/>
    <hyperlink r:id="rId344" ref="H219"/>
    <hyperlink r:id="rId345" ref="I219"/>
    <hyperlink r:id="rId346" ref="H220"/>
    <hyperlink r:id="rId347" ref="I220"/>
    <hyperlink r:id="rId348" ref="H221"/>
    <hyperlink r:id="rId349" ref="I221"/>
    <hyperlink r:id="rId350" ref="J222"/>
    <hyperlink r:id="rId351" ref="H223"/>
    <hyperlink r:id="rId352" ref="H224"/>
    <hyperlink r:id="rId353" ref="H225"/>
    <hyperlink r:id="rId354" ref="I225"/>
    <hyperlink r:id="rId355" ref="H226"/>
    <hyperlink r:id="rId356" ref="J227"/>
    <hyperlink r:id="rId357" ref="H228"/>
    <hyperlink r:id="rId358" ref="J228"/>
    <hyperlink r:id="rId359" ref="H229"/>
    <hyperlink r:id="rId360" ref="H230"/>
    <hyperlink r:id="rId361" ref="H231"/>
    <hyperlink r:id="rId362" ref="H232"/>
    <hyperlink r:id="rId363" ref="H233"/>
    <hyperlink r:id="rId364" ref="J234"/>
    <hyperlink r:id="rId365" ref="H235"/>
    <hyperlink r:id="rId366" ref="H236"/>
    <hyperlink r:id="rId367" ref="I236"/>
    <hyperlink r:id="rId368" ref="H237"/>
    <hyperlink r:id="rId369" ref="I238"/>
    <hyperlink r:id="rId370" ref="H239"/>
    <hyperlink r:id="rId371" ref="I239"/>
    <hyperlink r:id="rId372" ref="H240"/>
    <hyperlink r:id="rId373" ref="I240"/>
    <hyperlink r:id="rId374" ref="H241"/>
    <hyperlink r:id="rId375" ref="H242"/>
    <hyperlink r:id="rId376" ref="I242"/>
    <hyperlink r:id="rId377" ref="H243"/>
    <hyperlink r:id="rId378" ref="H244"/>
    <hyperlink r:id="rId379" ref="I244"/>
    <hyperlink r:id="rId380" ref="H245"/>
    <hyperlink r:id="rId381" ref="I245"/>
    <hyperlink r:id="rId382" ref="H246"/>
    <hyperlink r:id="rId383" ref="I246"/>
    <hyperlink r:id="rId384" ref="H247"/>
    <hyperlink r:id="rId385" ref="I247"/>
    <hyperlink r:id="rId386" ref="H248"/>
    <hyperlink r:id="rId387" ref="H249"/>
    <hyperlink r:id="rId388" ref="H250"/>
    <hyperlink r:id="rId389" ref="I250"/>
    <hyperlink r:id="rId390" ref="H251"/>
    <hyperlink r:id="rId391" ref="I251"/>
    <hyperlink r:id="rId392" ref="H252"/>
    <hyperlink r:id="rId393" ref="H253"/>
    <hyperlink r:id="rId394" ref="H254"/>
    <hyperlink r:id="rId395" ref="I254"/>
    <hyperlink r:id="rId396" ref="H255"/>
    <hyperlink r:id="rId397" ref="H256"/>
    <hyperlink r:id="rId398" ref="I256"/>
    <hyperlink r:id="rId399" ref="H257"/>
    <hyperlink r:id="rId400" ref="H258"/>
    <hyperlink r:id="rId401" ref="H259"/>
    <hyperlink r:id="rId402" ref="I259"/>
    <hyperlink r:id="rId403" ref="H260"/>
    <hyperlink r:id="rId404" ref="I260"/>
    <hyperlink r:id="rId405" ref="H261"/>
    <hyperlink r:id="rId406" ref="H262"/>
    <hyperlink r:id="rId407" ref="H263"/>
    <hyperlink r:id="rId408" ref="J264"/>
    <hyperlink r:id="rId409" ref="H265"/>
    <hyperlink r:id="rId410" ref="I265"/>
    <hyperlink r:id="rId411" ref="H266"/>
    <hyperlink r:id="rId412" ref="I266"/>
    <hyperlink r:id="rId413" ref="J267"/>
    <hyperlink r:id="rId414" ref="H268"/>
    <hyperlink r:id="rId415" ref="H269"/>
    <hyperlink r:id="rId416" ref="H270"/>
    <hyperlink r:id="rId417" ref="I270"/>
    <hyperlink r:id="rId418" ref="H271"/>
    <hyperlink r:id="rId419" ref="H272"/>
    <hyperlink r:id="rId420" ref="I272"/>
    <hyperlink r:id="rId421" ref="H273"/>
    <hyperlink r:id="rId422" ref="H274"/>
    <hyperlink r:id="rId423" ref="J275"/>
    <hyperlink r:id="rId424" ref="J276"/>
    <hyperlink r:id="rId425" ref="J277"/>
    <hyperlink r:id="rId426" ref="J278"/>
    <hyperlink r:id="rId427" ref="J279"/>
    <hyperlink r:id="rId428" ref="J280"/>
    <hyperlink r:id="rId429" ref="J281"/>
    <hyperlink r:id="rId430" ref="J282"/>
    <hyperlink r:id="rId431" ref="J283"/>
    <hyperlink r:id="rId432" ref="J284"/>
    <hyperlink r:id="rId433" ref="J285"/>
  </hyperlinks>
  <drawing r:id="rId434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5.63"/>
    <col customWidth="1" min="2" max="2" width="8.38"/>
    <col customWidth="1" min="3" max="3" width="32.88"/>
    <col customWidth="1" min="4" max="4" width="10.25"/>
    <col customWidth="1" min="5" max="5" width="6.75"/>
    <col customWidth="1" min="6" max="6" width="4.13"/>
    <col customWidth="1" min="7" max="7" width="3.0"/>
    <col customWidth="1" min="8" max="8" width="47.5"/>
    <col customWidth="1" min="9" max="9" width="32.25"/>
    <col customWidth="1" min="10" max="10" width="34.25"/>
    <col customWidth="1" min="11" max="11" width="4.88"/>
    <col customWidth="1" min="12" max="12" width="26.88"/>
    <col customWidth="1" min="13" max="13" width="270.13"/>
    <col customWidth="1" min="14" max="14" width="7.25"/>
    <col customWidth="1" min="15" max="15" width="4.38"/>
    <col customWidth="1" min="16" max="16" width="4.5"/>
    <col customWidth="1" min="17" max="17" width="4.13"/>
    <col customWidth="1" min="18" max="18" width="5.13"/>
    <col customWidth="1" min="19" max="19" width="4.25"/>
    <col customWidth="1" min="20" max="20" width="4.5"/>
  </cols>
  <sheetData>
    <row r="1">
      <c r="A1" s="49" t="s">
        <v>19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3567</v>
      </c>
      <c r="K1" s="8" t="s">
        <v>10</v>
      </c>
      <c r="L1" s="8" t="s">
        <v>3568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</row>
    <row r="2">
      <c r="A2" s="49">
        <v>72.0</v>
      </c>
      <c r="B2" s="49" t="s">
        <v>3779</v>
      </c>
      <c r="C2" s="49" t="s">
        <v>13827</v>
      </c>
      <c r="D2" s="49" t="s">
        <v>13828</v>
      </c>
      <c r="E2" s="49" t="s">
        <v>13829</v>
      </c>
      <c r="F2" s="49"/>
      <c r="G2" s="49"/>
      <c r="H2" s="67" t="s">
        <v>13830</v>
      </c>
      <c r="I2" s="49"/>
      <c r="J2" s="342"/>
      <c r="K2" s="343"/>
      <c r="L2" s="343"/>
      <c r="M2" s="343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  <c r="AA2" s="344"/>
    </row>
    <row r="3">
      <c r="A3" s="59">
        <v>61.0</v>
      </c>
      <c r="B3" s="49" t="s">
        <v>3779</v>
      </c>
      <c r="C3" s="11" t="s">
        <v>3209</v>
      </c>
      <c r="D3" s="49" t="s">
        <v>13828</v>
      </c>
      <c r="E3" s="49" t="s">
        <v>13831</v>
      </c>
      <c r="F3" s="48"/>
      <c r="G3" s="59"/>
      <c r="H3" s="50" t="s">
        <v>13832</v>
      </c>
      <c r="I3" s="48"/>
      <c r="J3" s="50" t="s">
        <v>13833</v>
      </c>
    </row>
    <row r="4">
      <c r="A4" s="100">
        <v>32802.0</v>
      </c>
      <c r="B4" s="49" t="s">
        <v>12481</v>
      </c>
      <c r="C4" s="11" t="s">
        <v>786</v>
      </c>
      <c r="D4" s="11" t="s">
        <v>13828</v>
      </c>
      <c r="E4" s="11" t="s">
        <v>13834</v>
      </c>
      <c r="F4" s="48"/>
      <c r="G4" s="59"/>
      <c r="H4" s="50" t="s">
        <v>13835</v>
      </c>
      <c r="I4" s="48"/>
      <c r="J4" s="65"/>
    </row>
    <row r="5">
      <c r="A5" s="100">
        <v>29806.0</v>
      </c>
      <c r="B5" s="49" t="s">
        <v>3779</v>
      </c>
      <c r="C5" s="11" t="s">
        <v>963</v>
      </c>
      <c r="D5" s="11" t="s">
        <v>13828</v>
      </c>
      <c r="E5" s="11" t="s">
        <v>13834</v>
      </c>
      <c r="F5" s="49"/>
      <c r="G5" s="65"/>
      <c r="H5" s="55" t="s">
        <v>13836</v>
      </c>
      <c r="I5" s="48"/>
      <c r="J5" s="48"/>
    </row>
    <row r="6">
      <c r="A6" s="100">
        <v>26662.0</v>
      </c>
      <c r="B6" s="49" t="s">
        <v>12481</v>
      </c>
      <c r="C6" s="11" t="s">
        <v>4139</v>
      </c>
      <c r="D6" s="49" t="s">
        <v>13828</v>
      </c>
      <c r="E6" s="49" t="s">
        <v>13834</v>
      </c>
      <c r="F6" s="48"/>
      <c r="G6" s="59"/>
      <c r="H6" s="50" t="s">
        <v>13837</v>
      </c>
      <c r="I6" s="48"/>
      <c r="J6" s="48"/>
    </row>
    <row r="7">
      <c r="A7" s="100">
        <v>26636.0</v>
      </c>
      <c r="B7" s="49" t="s">
        <v>3779</v>
      </c>
      <c r="C7" s="11" t="s">
        <v>13838</v>
      </c>
      <c r="D7" s="49" t="s">
        <v>13828</v>
      </c>
      <c r="E7" s="49" t="s">
        <v>13834</v>
      </c>
      <c r="F7" s="48"/>
      <c r="G7" s="59"/>
      <c r="H7" s="50" t="s">
        <v>13839</v>
      </c>
      <c r="I7" s="48"/>
      <c r="J7" s="48"/>
    </row>
    <row r="8">
      <c r="A8" s="100">
        <v>26389.0</v>
      </c>
      <c r="B8" s="49" t="s">
        <v>3779</v>
      </c>
      <c r="C8" s="11" t="s">
        <v>3635</v>
      </c>
      <c r="D8" s="49" t="s">
        <v>13828</v>
      </c>
      <c r="E8" s="49" t="s">
        <v>13834</v>
      </c>
      <c r="F8" s="48"/>
      <c r="G8" s="65"/>
      <c r="H8" s="55" t="s">
        <v>13840</v>
      </c>
      <c r="I8" s="48"/>
      <c r="J8" s="48"/>
    </row>
    <row r="9">
      <c r="A9" s="100">
        <v>26388.0</v>
      </c>
      <c r="B9" s="49" t="s">
        <v>3779</v>
      </c>
      <c r="C9" s="11" t="s">
        <v>9079</v>
      </c>
      <c r="D9" s="49" t="s">
        <v>13828</v>
      </c>
      <c r="E9" s="49" t="s">
        <v>13834</v>
      </c>
      <c r="F9" s="48"/>
      <c r="G9" s="65"/>
      <c r="H9" s="55" t="s">
        <v>13841</v>
      </c>
      <c r="I9" s="48"/>
      <c r="J9" s="345"/>
    </row>
    <row r="10">
      <c r="A10" s="100">
        <v>26323.0</v>
      </c>
      <c r="B10" s="49" t="s">
        <v>12481</v>
      </c>
      <c r="C10" s="11" t="s">
        <v>13842</v>
      </c>
      <c r="D10" s="49" t="s">
        <v>13828</v>
      </c>
      <c r="E10" s="49" t="s">
        <v>13834</v>
      </c>
      <c r="F10" s="346"/>
      <c r="G10" s="65"/>
      <c r="H10" s="55" t="s">
        <v>13843</v>
      </c>
      <c r="I10" s="48"/>
      <c r="J10" s="50" t="s">
        <v>13844</v>
      </c>
    </row>
    <row r="11">
      <c r="A11" s="100">
        <v>25238.0</v>
      </c>
      <c r="B11" s="49" t="s">
        <v>12481</v>
      </c>
      <c r="C11" s="11" t="s">
        <v>13845</v>
      </c>
      <c r="D11" s="49" t="s">
        <v>13828</v>
      </c>
      <c r="E11" s="49" t="s">
        <v>13834</v>
      </c>
      <c r="F11" s="48"/>
      <c r="G11" s="59"/>
      <c r="H11" s="50" t="s">
        <v>13846</v>
      </c>
      <c r="I11" s="48"/>
      <c r="J11" s="347"/>
    </row>
    <row r="12">
      <c r="A12" s="100">
        <v>25211.0</v>
      </c>
      <c r="B12" s="49" t="s">
        <v>12481</v>
      </c>
      <c r="C12" s="11" t="s">
        <v>13847</v>
      </c>
      <c r="D12" s="49" t="s">
        <v>13828</v>
      </c>
      <c r="E12" s="49" t="s">
        <v>13834</v>
      </c>
      <c r="F12" s="48"/>
      <c r="G12" s="59"/>
      <c r="H12" s="50" t="s">
        <v>13848</v>
      </c>
      <c r="I12" s="48"/>
      <c r="J12" s="48"/>
    </row>
    <row r="13">
      <c r="A13" s="100">
        <v>25116.0</v>
      </c>
      <c r="B13" s="49" t="s">
        <v>3779</v>
      </c>
      <c r="C13" s="11" t="s">
        <v>13849</v>
      </c>
      <c r="D13" s="49" t="s">
        <v>13828</v>
      </c>
      <c r="E13" s="49" t="s">
        <v>13834</v>
      </c>
      <c r="F13" s="48"/>
      <c r="G13" s="59"/>
      <c r="H13" s="50" t="s">
        <v>13850</v>
      </c>
      <c r="I13" s="48"/>
      <c r="J13" s="48"/>
    </row>
    <row r="14">
      <c r="A14" s="100">
        <v>25049.0</v>
      </c>
      <c r="B14" s="49" t="s">
        <v>766</v>
      </c>
      <c r="C14" s="11" t="s">
        <v>13851</v>
      </c>
      <c r="D14" s="49" t="s">
        <v>13828</v>
      </c>
      <c r="E14" s="49" t="s">
        <v>13834</v>
      </c>
      <c r="F14" s="48"/>
      <c r="G14" s="59"/>
      <c r="H14" s="50" t="s">
        <v>13852</v>
      </c>
      <c r="I14" s="48"/>
      <c r="J14" s="48"/>
    </row>
    <row r="15">
      <c r="A15" s="100">
        <v>25047.0</v>
      </c>
      <c r="B15" s="49" t="s">
        <v>3779</v>
      </c>
      <c r="C15" s="11" t="s">
        <v>13853</v>
      </c>
      <c r="D15" s="49" t="s">
        <v>13828</v>
      </c>
      <c r="E15" s="11" t="s">
        <v>13834</v>
      </c>
      <c r="F15" s="48"/>
      <c r="G15" s="65"/>
      <c r="H15" s="55" t="s">
        <v>13854</v>
      </c>
      <c r="I15" s="48"/>
      <c r="J15" s="50" t="s">
        <v>13855</v>
      </c>
    </row>
    <row r="16">
      <c r="A16" s="100">
        <v>23419.0</v>
      </c>
      <c r="B16" s="49" t="s">
        <v>3779</v>
      </c>
      <c r="C16" s="11" t="s">
        <v>13856</v>
      </c>
      <c r="D16" s="49" t="s">
        <v>13828</v>
      </c>
      <c r="E16" s="49" t="s">
        <v>13834</v>
      </c>
      <c r="F16" s="48"/>
      <c r="G16" s="59"/>
      <c r="H16" s="50" t="s">
        <v>13857</v>
      </c>
      <c r="I16" s="48"/>
      <c r="J16" s="55" t="s">
        <v>13858</v>
      </c>
    </row>
    <row r="17">
      <c r="A17" s="100">
        <v>23216.0</v>
      </c>
      <c r="B17" s="49" t="s">
        <v>3779</v>
      </c>
      <c r="C17" s="11" t="s">
        <v>4724</v>
      </c>
      <c r="D17" s="49" t="s">
        <v>13828</v>
      </c>
      <c r="E17" s="49" t="s">
        <v>13834</v>
      </c>
      <c r="F17" s="48"/>
      <c r="G17" s="59"/>
      <c r="H17" s="50" t="s">
        <v>13859</v>
      </c>
      <c r="I17" s="48"/>
      <c r="J17" s="50" t="s">
        <v>13860</v>
      </c>
    </row>
    <row r="18">
      <c r="A18" s="59">
        <v>23215.0</v>
      </c>
      <c r="B18" s="49" t="s">
        <v>12481</v>
      </c>
      <c r="C18" s="11" t="s">
        <v>4759</v>
      </c>
      <c r="D18" s="49" t="s">
        <v>13828</v>
      </c>
      <c r="E18" s="49" t="s">
        <v>13834</v>
      </c>
      <c r="F18" s="49"/>
      <c r="G18" s="59"/>
      <c r="H18" s="50" t="s">
        <v>13861</v>
      </c>
      <c r="I18" s="48"/>
      <c r="J18" s="50" t="s">
        <v>13862</v>
      </c>
    </row>
    <row r="19">
      <c r="A19" s="59">
        <v>23201.0</v>
      </c>
      <c r="B19" s="49" t="s">
        <v>12481</v>
      </c>
      <c r="C19" s="11" t="s">
        <v>13863</v>
      </c>
      <c r="D19" s="49" t="s">
        <v>13828</v>
      </c>
      <c r="E19" s="49" t="s">
        <v>13834</v>
      </c>
      <c r="F19" s="48"/>
      <c r="G19" s="59"/>
      <c r="H19" s="50" t="s">
        <v>13864</v>
      </c>
      <c r="I19" s="48"/>
      <c r="J19" s="48"/>
    </row>
    <row r="20">
      <c r="A20" s="59">
        <v>21454.0</v>
      </c>
      <c r="B20" s="49" t="s">
        <v>12481</v>
      </c>
      <c r="C20" s="11" t="s">
        <v>13865</v>
      </c>
      <c r="D20" s="49" t="s">
        <v>13828</v>
      </c>
      <c r="E20" s="49" t="s">
        <v>13834</v>
      </c>
      <c r="F20" s="48"/>
      <c r="G20" s="59"/>
      <c r="H20" s="50" t="s">
        <v>13866</v>
      </c>
      <c r="I20" s="48"/>
      <c r="J20" s="48"/>
    </row>
    <row r="21">
      <c r="A21" s="100">
        <v>21132.0</v>
      </c>
      <c r="B21" s="49" t="s">
        <v>3779</v>
      </c>
      <c r="C21" s="11" t="s">
        <v>3658</v>
      </c>
      <c r="D21" s="49" t="s">
        <v>13828</v>
      </c>
      <c r="E21" s="49" t="s">
        <v>13834</v>
      </c>
      <c r="F21" s="48"/>
      <c r="G21" s="59"/>
      <c r="H21" s="50" t="s">
        <v>13867</v>
      </c>
      <c r="I21" s="48"/>
      <c r="J21" s="50" t="s">
        <v>13868</v>
      </c>
    </row>
    <row r="22">
      <c r="A22" s="59">
        <v>20721.0</v>
      </c>
      <c r="B22" s="49" t="s">
        <v>3779</v>
      </c>
      <c r="C22" s="49" t="s">
        <v>6349</v>
      </c>
      <c r="D22" s="49" t="s">
        <v>13828</v>
      </c>
      <c r="E22" s="49" t="s">
        <v>13834</v>
      </c>
      <c r="F22" s="48"/>
      <c r="G22" s="59"/>
      <c r="H22" s="50" t="s">
        <v>13869</v>
      </c>
      <c r="I22" s="48"/>
      <c r="J22" s="48"/>
    </row>
    <row r="23">
      <c r="A23" s="100">
        <v>20720.0</v>
      </c>
      <c r="B23" s="49" t="s">
        <v>7396</v>
      </c>
      <c r="C23" s="11" t="s">
        <v>13870</v>
      </c>
      <c r="D23" s="49" t="s">
        <v>13828</v>
      </c>
      <c r="E23" s="49" t="s">
        <v>13834</v>
      </c>
      <c r="F23" s="48"/>
      <c r="G23" s="65"/>
      <c r="H23" s="55" t="s">
        <v>13871</v>
      </c>
      <c r="I23" s="48"/>
      <c r="J23" s="48"/>
    </row>
    <row r="24">
      <c r="A24" s="59">
        <v>20719.0</v>
      </c>
      <c r="B24" s="49" t="s">
        <v>7396</v>
      </c>
      <c r="C24" s="11" t="s">
        <v>13872</v>
      </c>
      <c r="D24" s="49" t="s">
        <v>13828</v>
      </c>
      <c r="E24" s="49" t="s">
        <v>13834</v>
      </c>
      <c r="F24" s="48"/>
      <c r="G24" s="59"/>
      <c r="H24" s="50" t="s">
        <v>13873</v>
      </c>
      <c r="I24" s="48"/>
      <c r="J24" s="50" t="s">
        <v>13874</v>
      </c>
    </row>
    <row r="25">
      <c r="A25" s="59">
        <v>20414.0</v>
      </c>
      <c r="B25" s="49" t="s">
        <v>7396</v>
      </c>
      <c r="C25" s="11" t="s">
        <v>13875</v>
      </c>
      <c r="D25" s="49" t="s">
        <v>13828</v>
      </c>
      <c r="E25" s="49" t="s">
        <v>13834</v>
      </c>
      <c r="F25" s="48"/>
      <c r="G25" s="59"/>
      <c r="H25" s="50" t="s">
        <v>13876</v>
      </c>
      <c r="I25" s="48"/>
      <c r="J25" s="48"/>
    </row>
    <row r="26">
      <c r="A26" s="59">
        <v>20134.0</v>
      </c>
      <c r="B26" s="49" t="s">
        <v>7396</v>
      </c>
      <c r="C26" s="11" t="s">
        <v>12417</v>
      </c>
      <c r="D26" s="49" t="s">
        <v>13828</v>
      </c>
      <c r="E26" s="49" t="s">
        <v>13834</v>
      </c>
      <c r="F26" s="48"/>
      <c r="G26" s="59"/>
      <c r="H26" s="50" t="s">
        <v>13877</v>
      </c>
      <c r="I26" s="48"/>
      <c r="J26" s="50" t="s">
        <v>13878</v>
      </c>
    </row>
    <row r="27">
      <c r="A27" s="59">
        <v>19770.0</v>
      </c>
      <c r="B27" s="49" t="s">
        <v>3779</v>
      </c>
      <c r="C27" s="11" t="s">
        <v>12473</v>
      </c>
      <c r="D27" s="49" t="s">
        <v>13828</v>
      </c>
      <c r="E27" s="49" t="s">
        <v>13834</v>
      </c>
      <c r="F27" s="48"/>
      <c r="G27" s="59">
        <v>7.0</v>
      </c>
      <c r="H27" s="50" t="s">
        <v>13879</v>
      </c>
      <c r="I27" s="48"/>
      <c r="J27" s="50" t="s">
        <v>13880</v>
      </c>
    </row>
    <row r="28">
      <c r="A28" s="59">
        <v>19769.0</v>
      </c>
      <c r="B28" s="49" t="s">
        <v>3779</v>
      </c>
      <c r="C28" s="49" t="s">
        <v>12302</v>
      </c>
      <c r="D28" s="49" t="s">
        <v>13828</v>
      </c>
      <c r="E28" s="49" t="s">
        <v>13834</v>
      </c>
      <c r="F28" s="49"/>
      <c r="G28" s="59"/>
      <c r="H28" s="50" t="s">
        <v>13881</v>
      </c>
      <c r="I28" s="48"/>
      <c r="J28" s="50" t="s">
        <v>13882</v>
      </c>
    </row>
    <row r="29">
      <c r="A29" s="59">
        <v>19766.0</v>
      </c>
      <c r="B29" s="49" t="s">
        <v>13883</v>
      </c>
      <c r="C29" s="11" t="s">
        <v>13884</v>
      </c>
      <c r="D29" s="49" t="s">
        <v>13828</v>
      </c>
      <c r="E29" s="49" t="s">
        <v>13834</v>
      </c>
      <c r="F29" s="49"/>
      <c r="G29" s="59"/>
      <c r="H29" s="50" t="s">
        <v>13885</v>
      </c>
      <c r="I29" s="48"/>
      <c r="J29" s="55" t="s">
        <v>13886</v>
      </c>
    </row>
    <row r="30">
      <c r="A30" s="59">
        <v>19765.0</v>
      </c>
      <c r="B30" s="49" t="s">
        <v>12481</v>
      </c>
      <c r="C30" s="11" t="s">
        <v>13887</v>
      </c>
      <c r="D30" s="49" t="s">
        <v>13828</v>
      </c>
      <c r="E30" s="49" t="s">
        <v>13834</v>
      </c>
      <c r="F30" s="49"/>
      <c r="G30" s="59"/>
      <c r="H30" s="50" t="s">
        <v>13888</v>
      </c>
      <c r="I30" s="48"/>
      <c r="J30" s="48"/>
    </row>
    <row r="31">
      <c r="A31" s="59">
        <v>19764.0</v>
      </c>
      <c r="B31" s="49" t="s">
        <v>3779</v>
      </c>
      <c r="C31" s="11" t="s">
        <v>13889</v>
      </c>
      <c r="D31" s="49" t="s">
        <v>13828</v>
      </c>
      <c r="E31" s="49" t="s">
        <v>13834</v>
      </c>
      <c r="F31" s="49"/>
      <c r="G31" s="59"/>
      <c r="H31" s="50" t="s">
        <v>13890</v>
      </c>
      <c r="I31" s="48"/>
      <c r="J31" s="48"/>
    </row>
    <row r="32">
      <c r="A32" s="59">
        <v>19597.0</v>
      </c>
      <c r="B32" s="49" t="s">
        <v>3779</v>
      </c>
      <c r="C32" s="11" t="s">
        <v>13891</v>
      </c>
      <c r="D32" s="49" t="s">
        <v>13828</v>
      </c>
      <c r="E32" s="49" t="s">
        <v>13834</v>
      </c>
      <c r="F32" s="49"/>
      <c r="G32" s="59"/>
      <c r="H32" s="50" t="s">
        <v>13892</v>
      </c>
      <c r="I32" s="48"/>
      <c r="J32" s="48"/>
    </row>
    <row r="33">
      <c r="A33" s="100">
        <v>18979.0</v>
      </c>
      <c r="B33" s="49" t="s">
        <v>3779</v>
      </c>
      <c r="C33" s="11" t="s">
        <v>3625</v>
      </c>
      <c r="D33" s="49" t="s">
        <v>13828</v>
      </c>
      <c r="E33" s="49" t="s">
        <v>13834</v>
      </c>
      <c r="F33" s="48"/>
      <c r="G33" s="59"/>
      <c r="H33" s="50" t="s">
        <v>13893</v>
      </c>
      <c r="I33" s="48"/>
      <c r="J33" s="48"/>
    </row>
    <row r="34">
      <c r="A34" s="59">
        <v>18588.0</v>
      </c>
      <c r="B34" s="49" t="s">
        <v>12481</v>
      </c>
      <c r="C34" s="11" t="s">
        <v>8312</v>
      </c>
      <c r="D34" s="49" t="s">
        <v>13828</v>
      </c>
      <c r="E34" s="49" t="s">
        <v>13834</v>
      </c>
      <c r="F34" s="49"/>
      <c r="G34" s="59"/>
      <c r="H34" s="50" t="s">
        <v>13894</v>
      </c>
      <c r="I34" s="48"/>
      <c r="J34" s="48"/>
    </row>
    <row r="35">
      <c r="A35" s="59">
        <v>18381.0</v>
      </c>
      <c r="B35" s="49" t="s">
        <v>3779</v>
      </c>
      <c r="C35" s="11" t="s">
        <v>13895</v>
      </c>
      <c r="D35" s="49" t="s">
        <v>13828</v>
      </c>
      <c r="E35" s="49" t="s">
        <v>13834</v>
      </c>
      <c r="F35" s="49"/>
      <c r="G35" s="59"/>
      <c r="H35" s="50" t="s">
        <v>13896</v>
      </c>
      <c r="I35" s="48"/>
      <c r="J35" s="50" t="s">
        <v>13897</v>
      </c>
    </row>
    <row r="36">
      <c r="A36" s="100">
        <v>18004.0</v>
      </c>
      <c r="B36" s="49" t="s">
        <v>3779</v>
      </c>
      <c r="C36" s="11" t="s">
        <v>13898</v>
      </c>
      <c r="D36" s="49" t="s">
        <v>13828</v>
      </c>
      <c r="E36" s="49" t="s">
        <v>13834</v>
      </c>
      <c r="F36" s="48"/>
      <c r="G36" s="65"/>
      <c r="H36" s="55" t="s">
        <v>13899</v>
      </c>
      <c r="I36" s="48"/>
      <c r="J36" s="48"/>
    </row>
    <row r="37">
      <c r="A37" s="59">
        <v>18002.0</v>
      </c>
      <c r="B37" s="49" t="s">
        <v>12481</v>
      </c>
      <c r="C37" s="11" t="s">
        <v>13900</v>
      </c>
      <c r="D37" s="49" t="s">
        <v>13828</v>
      </c>
      <c r="E37" s="49" t="s">
        <v>13834</v>
      </c>
      <c r="F37" s="48"/>
      <c r="G37" s="59"/>
      <c r="H37" s="50" t="s">
        <v>13901</v>
      </c>
      <c r="I37" s="48"/>
      <c r="J37" s="48"/>
    </row>
    <row r="38">
      <c r="A38" s="100">
        <v>18001.0</v>
      </c>
      <c r="B38" s="49" t="s">
        <v>3779</v>
      </c>
      <c r="C38" s="11" t="s">
        <v>10766</v>
      </c>
      <c r="D38" s="49" t="s">
        <v>13828</v>
      </c>
      <c r="E38" s="49" t="s">
        <v>13834</v>
      </c>
      <c r="F38" s="48"/>
      <c r="G38" s="65"/>
      <c r="H38" s="55" t="s">
        <v>13902</v>
      </c>
      <c r="I38" s="48"/>
      <c r="J38" s="50" t="s">
        <v>13903</v>
      </c>
    </row>
    <row r="39">
      <c r="A39" s="59">
        <v>17994.0</v>
      </c>
      <c r="B39" s="49" t="s">
        <v>3779</v>
      </c>
      <c r="C39" s="11" t="s">
        <v>13904</v>
      </c>
      <c r="D39" s="49" t="s">
        <v>13828</v>
      </c>
      <c r="E39" s="49" t="s">
        <v>13834</v>
      </c>
      <c r="F39" s="48"/>
      <c r="G39" s="59"/>
      <c r="H39" s="50" t="s">
        <v>13905</v>
      </c>
      <c r="I39" s="48"/>
      <c r="J39" s="48"/>
    </row>
    <row r="40">
      <c r="A40" s="59">
        <v>431.0</v>
      </c>
      <c r="B40" s="49" t="s">
        <v>3779</v>
      </c>
      <c r="C40" s="11" t="s">
        <v>13906</v>
      </c>
      <c r="D40" s="49" t="s">
        <v>13828</v>
      </c>
      <c r="E40" s="49" t="s">
        <v>13834</v>
      </c>
      <c r="F40" s="48"/>
      <c r="G40" s="59"/>
      <c r="H40" s="50" t="s">
        <v>13907</v>
      </c>
      <c r="I40" s="48"/>
      <c r="J40" s="48"/>
    </row>
    <row r="41">
      <c r="A41" s="59">
        <v>420.0</v>
      </c>
      <c r="B41" s="49" t="s">
        <v>3779</v>
      </c>
      <c r="C41" s="11" t="s">
        <v>4970</v>
      </c>
      <c r="D41" s="49" t="s">
        <v>13828</v>
      </c>
      <c r="E41" s="49" t="s">
        <v>13834</v>
      </c>
      <c r="F41" s="49"/>
      <c r="G41" s="65"/>
      <c r="H41" s="55" t="s">
        <v>13908</v>
      </c>
      <c r="I41" s="48"/>
      <c r="J41" s="48"/>
    </row>
    <row r="42">
      <c r="A42" s="59">
        <v>409.0</v>
      </c>
      <c r="B42" s="49" t="s">
        <v>3779</v>
      </c>
      <c r="C42" s="11" t="s">
        <v>13909</v>
      </c>
      <c r="D42" s="49" t="s">
        <v>13828</v>
      </c>
      <c r="E42" s="49" t="s">
        <v>13834</v>
      </c>
      <c r="F42" s="49"/>
      <c r="G42" s="59"/>
      <c r="H42" s="50" t="s">
        <v>13910</v>
      </c>
      <c r="I42" s="48"/>
      <c r="J42" s="48"/>
    </row>
    <row r="43">
      <c r="A43" s="59">
        <v>407.0</v>
      </c>
      <c r="B43" s="49" t="s">
        <v>3779</v>
      </c>
      <c r="C43" s="11" t="s">
        <v>13911</v>
      </c>
      <c r="D43" s="49" t="s">
        <v>13828</v>
      </c>
      <c r="E43" s="49" t="s">
        <v>13834</v>
      </c>
      <c r="F43" s="49"/>
      <c r="G43" s="59"/>
      <c r="H43" s="50" t="s">
        <v>13912</v>
      </c>
      <c r="I43" s="48"/>
      <c r="J43" s="48"/>
    </row>
    <row r="44">
      <c r="A44" s="59">
        <v>402.0</v>
      </c>
      <c r="B44" s="49" t="s">
        <v>3779</v>
      </c>
      <c r="C44" s="11" t="s">
        <v>4380</v>
      </c>
      <c r="D44" s="49" t="s">
        <v>13828</v>
      </c>
      <c r="E44" s="49" t="s">
        <v>13834</v>
      </c>
      <c r="F44" s="48"/>
      <c r="G44" s="59"/>
      <c r="H44" s="50" t="s">
        <v>13913</v>
      </c>
      <c r="I44" s="48"/>
      <c r="J44" s="48"/>
    </row>
    <row r="45">
      <c r="A45" s="100">
        <v>395.0</v>
      </c>
      <c r="B45" s="49" t="s">
        <v>12481</v>
      </c>
      <c r="C45" s="11" t="s">
        <v>13914</v>
      </c>
      <c r="D45" s="49" t="s">
        <v>13828</v>
      </c>
      <c r="E45" s="49" t="s">
        <v>13834</v>
      </c>
      <c r="F45" s="346"/>
      <c r="G45" s="65"/>
      <c r="H45" s="55" t="s">
        <v>13915</v>
      </c>
      <c r="I45" s="48"/>
      <c r="J45" s="48"/>
    </row>
    <row r="46">
      <c r="A46" s="59">
        <v>341.0</v>
      </c>
      <c r="B46" s="49" t="s">
        <v>12481</v>
      </c>
      <c r="C46" s="11" t="s">
        <v>13916</v>
      </c>
      <c r="D46" s="49" t="s">
        <v>13828</v>
      </c>
      <c r="E46" s="49" t="s">
        <v>13834</v>
      </c>
      <c r="F46" s="49"/>
      <c r="G46" s="59"/>
      <c r="H46" s="50" t="s">
        <v>13917</v>
      </c>
      <c r="I46" s="48"/>
      <c r="J46" s="48"/>
    </row>
    <row r="47">
      <c r="A47" s="59">
        <v>329.0</v>
      </c>
      <c r="B47" s="49" t="s">
        <v>7396</v>
      </c>
      <c r="C47" s="11" t="s">
        <v>13918</v>
      </c>
      <c r="D47" s="49" t="s">
        <v>13828</v>
      </c>
      <c r="E47" s="49" t="s">
        <v>13834</v>
      </c>
      <c r="F47" s="48"/>
      <c r="G47" s="59"/>
      <c r="H47" s="50" t="s">
        <v>13919</v>
      </c>
      <c r="I47" s="48"/>
      <c r="J47" s="50" t="s">
        <v>13920</v>
      </c>
    </row>
    <row r="48">
      <c r="A48" s="59">
        <v>301.0</v>
      </c>
      <c r="B48" s="49" t="s">
        <v>7396</v>
      </c>
      <c r="C48" s="11" t="s">
        <v>13921</v>
      </c>
      <c r="D48" s="49" t="s">
        <v>13828</v>
      </c>
      <c r="E48" s="49" t="s">
        <v>13834</v>
      </c>
      <c r="F48" s="48"/>
      <c r="G48" s="59"/>
      <c r="H48" s="50" t="s">
        <v>13922</v>
      </c>
      <c r="I48" s="48"/>
      <c r="J48" s="48"/>
    </row>
    <row r="49">
      <c r="A49" s="59">
        <v>268.0</v>
      </c>
      <c r="B49" s="49" t="s">
        <v>3779</v>
      </c>
      <c r="C49" s="11" t="s">
        <v>1088</v>
      </c>
      <c r="D49" s="49" t="s">
        <v>13828</v>
      </c>
      <c r="E49" s="49" t="s">
        <v>13834</v>
      </c>
      <c r="F49" s="49"/>
      <c r="G49" s="59"/>
      <c r="H49" s="50" t="s">
        <v>13923</v>
      </c>
      <c r="I49" s="48"/>
      <c r="J49" s="48"/>
    </row>
    <row r="50">
      <c r="A50" s="59">
        <v>172.0</v>
      </c>
      <c r="B50" s="49" t="s">
        <v>3779</v>
      </c>
      <c r="C50" s="11" t="s">
        <v>3629</v>
      </c>
      <c r="D50" s="49" t="s">
        <v>13828</v>
      </c>
      <c r="E50" s="49" t="s">
        <v>13834</v>
      </c>
      <c r="F50" s="48"/>
      <c r="G50" s="59"/>
      <c r="H50" s="50" t="s">
        <v>13924</v>
      </c>
      <c r="I50" s="48"/>
      <c r="J50" s="48"/>
    </row>
    <row r="51">
      <c r="A51" s="59">
        <v>120.0</v>
      </c>
      <c r="B51" s="49" t="s">
        <v>3779</v>
      </c>
      <c r="C51" s="11" t="s">
        <v>13925</v>
      </c>
      <c r="D51" s="49" t="s">
        <v>13828</v>
      </c>
      <c r="E51" s="49" t="s">
        <v>13834</v>
      </c>
      <c r="F51" s="48"/>
      <c r="G51" s="59"/>
      <c r="H51" s="50" t="s">
        <v>13926</v>
      </c>
      <c r="I51" s="48"/>
      <c r="J51" s="48"/>
    </row>
    <row r="52">
      <c r="A52" s="59">
        <v>113.0</v>
      </c>
      <c r="B52" s="49" t="s">
        <v>766</v>
      </c>
      <c r="C52" s="11" t="s">
        <v>3209</v>
      </c>
      <c r="D52" s="49" t="s">
        <v>13828</v>
      </c>
      <c r="E52" s="49" t="s">
        <v>13834</v>
      </c>
      <c r="F52" s="48"/>
      <c r="G52" s="59"/>
      <c r="H52" s="50" t="s">
        <v>13927</v>
      </c>
      <c r="I52" s="48"/>
      <c r="J52" s="48"/>
    </row>
    <row r="53">
      <c r="A53" s="59">
        <v>107.0</v>
      </c>
      <c r="B53" s="49" t="s">
        <v>3779</v>
      </c>
      <c r="C53" s="11" t="s">
        <v>760</v>
      </c>
      <c r="D53" s="49" t="s">
        <v>13828</v>
      </c>
      <c r="E53" s="49" t="s">
        <v>13834</v>
      </c>
      <c r="F53" s="48"/>
      <c r="G53" s="59"/>
      <c r="H53" s="50" t="s">
        <v>13928</v>
      </c>
      <c r="I53" s="48"/>
      <c r="J53" s="48"/>
    </row>
    <row r="54">
      <c r="A54" s="59">
        <v>92.0</v>
      </c>
      <c r="B54" s="49" t="s">
        <v>12481</v>
      </c>
      <c r="C54" s="11" t="s">
        <v>13929</v>
      </c>
      <c r="D54" s="49" t="s">
        <v>13828</v>
      </c>
      <c r="E54" s="49" t="s">
        <v>13834</v>
      </c>
      <c r="F54" s="48"/>
      <c r="G54" s="59"/>
      <c r="H54" s="50" t="s">
        <v>13930</v>
      </c>
      <c r="I54" s="348" t="s">
        <v>13931</v>
      </c>
      <c r="J54" s="48"/>
    </row>
    <row r="55">
      <c r="A55" s="100">
        <v>33.0</v>
      </c>
      <c r="B55" s="49" t="s">
        <v>12481</v>
      </c>
      <c r="C55" s="11" t="s">
        <v>1975</v>
      </c>
      <c r="D55" s="49" t="s">
        <v>13828</v>
      </c>
      <c r="E55" s="49" t="s">
        <v>13834</v>
      </c>
      <c r="F55" s="48"/>
      <c r="G55" s="59"/>
      <c r="H55" s="50" t="s">
        <v>13932</v>
      </c>
      <c r="I55" s="48"/>
      <c r="J55" s="349" t="s">
        <v>13933</v>
      </c>
    </row>
    <row r="56">
      <c r="A56" s="100">
        <v>28.0</v>
      </c>
      <c r="B56" s="49" t="s">
        <v>12481</v>
      </c>
      <c r="C56" s="11" t="s">
        <v>13934</v>
      </c>
      <c r="D56" s="49" t="s">
        <v>13828</v>
      </c>
      <c r="E56" s="49" t="s">
        <v>13834</v>
      </c>
      <c r="F56" s="48"/>
      <c r="G56" s="59"/>
      <c r="H56" s="50" t="s">
        <v>13935</v>
      </c>
      <c r="I56" s="48"/>
      <c r="J56" s="350"/>
    </row>
    <row r="57">
      <c r="A57" s="100">
        <v>5.0</v>
      </c>
      <c r="B57" s="49" t="s">
        <v>12481</v>
      </c>
      <c r="C57" s="11" t="s">
        <v>13936</v>
      </c>
      <c r="D57" s="49" t="s">
        <v>13828</v>
      </c>
      <c r="E57" s="49" t="s">
        <v>13834</v>
      </c>
      <c r="F57" s="347"/>
      <c r="G57" s="59"/>
      <c r="H57" s="50" t="s">
        <v>13937</v>
      </c>
      <c r="I57" s="50" t="s">
        <v>13938</v>
      </c>
      <c r="J57" s="48"/>
    </row>
    <row r="58">
      <c r="A58" s="100"/>
      <c r="B58" s="49" t="s">
        <v>3779</v>
      </c>
      <c r="C58" s="49" t="s">
        <v>13939</v>
      </c>
      <c r="D58" s="49" t="s">
        <v>13828</v>
      </c>
      <c r="E58" s="49" t="s">
        <v>13834</v>
      </c>
      <c r="F58" s="48"/>
      <c r="G58" s="59"/>
      <c r="H58" s="50" t="s">
        <v>13940</v>
      </c>
      <c r="I58" s="50" t="s">
        <v>13941</v>
      </c>
      <c r="J58" s="50" t="s">
        <v>13942</v>
      </c>
    </row>
    <row r="59">
      <c r="A59" s="48"/>
      <c r="B59" s="49" t="s">
        <v>3779</v>
      </c>
      <c r="C59" s="346" t="s">
        <v>13943</v>
      </c>
      <c r="D59" s="49" t="s">
        <v>13828</v>
      </c>
      <c r="E59" s="49" t="s">
        <v>13834</v>
      </c>
      <c r="F59" s="48"/>
      <c r="G59" s="59"/>
      <c r="H59" s="50" t="s">
        <v>13944</v>
      </c>
      <c r="I59" s="48"/>
      <c r="J59" s="50" t="s">
        <v>13945</v>
      </c>
    </row>
    <row r="60">
      <c r="A60" s="100"/>
      <c r="B60" s="49" t="s">
        <v>3779</v>
      </c>
      <c r="C60" s="346" t="s">
        <v>1228</v>
      </c>
      <c r="D60" s="49" t="s">
        <v>13828</v>
      </c>
      <c r="E60" s="49" t="s">
        <v>13834</v>
      </c>
      <c r="F60" s="48"/>
      <c r="G60" s="59"/>
      <c r="H60" s="50" t="s">
        <v>13946</v>
      </c>
      <c r="I60" s="48"/>
      <c r="J60" s="55" t="s">
        <v>13947</v>
      </c>
    </row>
    <row r="61">
      <c r="A61" s="100"/>
      <c r="B61" s="49" t="s">
        <v>3779</v>
      </c>
      <c r="C61" s="346" t="s">
        <v>13948</v>
      </c>
      <c r="D61" s="11" t="s">
        <v>13828</v>
      </c>
      <c r="E61" s="11" t="s">
        <v>13834</v>
      </c>
      <c r="F61" s="48"/>
      <c r="G61" s="48"/>
      <c r="H61" s="50" t="s">
        <v>13949</v>
      </c>
      <c r="I61" s="48"/>
      <c r="J61" s="48"/>
    </row>
    <row r="62">
      <c r="A62" s="100">
        <v>30471.0</v>
      </c>
      <c r="B62" s="49" t="s">
        <v>12481</v>
      </c>
      <c r="C62" s="11" t="s">
        <v>13950</v>
      </c>
      <c r="D62" s="11" t="s">
        <v>13828</v>
      </c>
      <c r="E62" s="11" t="s">
        <v>13951</v>
      </c>
      <c r="F62" s="48"/>
      <c r="G62" s="59"/>
      <c r="H62" s="50" t="s">
        <v>13952</v>
      </c>
      <c r="I62" s="48"/>
      <c r="J62" s="48"/>
    </row>
    <row r="63">
      <c r="A63" s="59">
        <v>24997.0</v>
      </c>
      <c r="B63" s="49" t="s">
        <v>12481</v>
      </c>
      <c r="C63" s="49" t="s">
        <v>3770</v>
      </c>
      <c r="D63" s="49" t="s">
        <v>13828</v>
      </c>
      <c r="E63" s="49" t="s">
        <v>13953</v>
      </c>
      <c r="F63" s="48"/>
      <c r="G63" s="59"/>
      <c r="H63" s="50" t="s">
        <v>13954</v>
      </c>
      <c r="I63" s="48"/>
      <c r="J63" s="50" t="s">
        <v>13955</v>
      </c>
    </row>
    <row r="64">
      <c r="A64" s="100">
        <v>23019.0</v>
      </c>
      <c r="B64" s="49" t="s">
        <v>3779</v>
      </c>
      <c r="C64" s="11" t="s">
        <v>13956</v>
      </c>
      <c r="D64" s="49" t="s">
        <v>13828</v>
      </c>
      <c r="E64" s="49" t="s">
        <v>13953</v>
      </c>
      <c r="F64" s="48"/>
      <c r="G64" s="59"/>
      <c r="H64" s="50" t="s">
        <v>13957</v>
      </c>
      <c r="I64" s="48"/>
      <c r="J64" s="48"/>
    </row>
    <row r="65">
      <c r="A65" s="48"/>
      <c r="B65" s="49" t="s">
        <v>20</v>
      </c>
      <c r="C65" s="49" t="s">
        <v>13958</v>
      </c>
      <c r="D65" s="49" t="s">
        <v>13828</v>
      </c>
      <c r="E65" s="49" t="s">
        <v>13834</v>
      </c>
      <c r="F65" s="48"/>
      <c r="G65" s="48"/>
      <c r="H65" s="50" t="s">
        <v>13959</v>
      </c>
      <c r="I65" s="48"/>
      <c r="J65" s="48"/>
    </row>
    <row r="66">
      <c r="A66" s="100">
        <v>33250.0</v>
      </c>
      <c r="B66" s="49" t="s">
        <v>20</v>
      </c>
      <c r="C66" s="11" t="s">
        <v>3209</v>
      </c>
      <c r="D66" s="49" t="s">
        <v>13828</v>
      </c>
      <c r="E66" s="11" t="s">
        <v>13831</v>
      </c>
      <c r="F66" s="48"/>
      <c r="G66" s="65"/>
      <c r="H66" s="65"/>
      <c r="I66" s="48"/>
      <c r="J66" s="50" t="s">
        <v>13833</v>
      </c>
    </row>
    <row r="67">
      <c r="A67" s="100">
        <v>30711.0</v>
      </c>
      <c r="B67" s="49" t="s">
        <v>20</v>
      </c>
      <c r="C67" s="11" t="s">
        <v>74</v>
      </c>
      <c r="D67" s="49" t="s">
        <v>13828</v>
      </c>
      <c r="E67" s="11" t="s">
        <v>13831</v>
      </c>
      <c r="F67" s="48"/>
      <c r="G67" s="48"/>
      <c r="H67" s="55" t="s">
        <v>13960</v>
      </c>
      <c r="I67" s="50" t="s">
        <v>13961</v>
      </c>
      <c r="J67" s="48"/>
    </row>
    <row r="68">
      <c r="A68" s="100">
        <v>23173.0</v>
      </c>
      <c r="B68" s="49" t="s">
        <v>20</v>
      </c>
      <c r="C68" s="11" t="s">
        <v>13962</v>
      </c>
      <c r="D68" s="49" t="s">
        <v>13828</v>
      </c>
      <c r="E68" s="11" t="s">
        <v>13831</v>
      </c>
      <c r="F68" s="49"/>
      <c r="G68" s="48"/>
      <c r="H68" s="55" t="s">
        <v>13963</v>
      </c>
      <c r="I68" s="48"/>
      <c r="J68" s="48"/>
    </row>
    <row r="69">
      <c r="A69" s="100">
        <v>19653.0</v>
      </c>
      <c r="B69" s="49" t="s">
        <v>20</v>
      </c>
      <c r="C69" s="11" t="s">
        <v>13964</v>
      </c>
      <c r="D69" s="49" t="s">
        <v>13828</v>
      </c>
      <c r="E69" s="11" t="s">
        <v>13831</v>
      </c>
      <c r="F69" s="48"/>
      <c r="G69" s="48"/>
      <c r="H69" s="55" t="s">
        <v>13965</v>
      </c>
      <c r="I69" s="48"/>
      <c r="J69" s="48"/>
    </row>
    <row r="70">
      <c r="A70" s="100">
        <v>326.0</v>
      </c>
      <c r="B70" s="49" t="s">
        <v>20</v>
      </c>
      <c r="C70" s="11" t="s">
        <v>13966</v>
      </c>
      <c r="D70" s="49" t="s">
        <v>13828</v>
      </c>
      <c r="E70" s="11" t="s">
        <v>13831</v>
      </c>
      <c r="F70" s="48"/>
      <c r="G70" s="48"/>
      <c r="H70" s="48"/>
      <c r="I70" s="50" t="s">
        <v>13967</v>
      </c>
      <c r="J70" s="48"/>
    </row>
    <row r="71">
      <c r="A71" s="100">
        <v>279.0</v>
      </c>
      <c r="B71" s="49" t="s">
        <v>20</v>
      </c>
      <c r="C71" s="11" t="s">
        <v>13968</v>
      </c>
      <c r="D71" s="49" t="s">
        <v>13828</v>
      </c>
      <c r="E71" s="11" t="s">
        <v>13831</v>
      </c>
      <c r="F71" s="48"/>
      <c r="G71" s="48"/>
      <c r="H71" s="55" t="s">
        <v>13969</v>
      </c>
      <c r="I71" s="55" t="s">
        <v>13970</v>
      </c>
      <c r="J71" s="65"/>
    </row>
    <row r="72">
      <c r="A72" s="100">
        <v>60.0</v>
      </c>
      <c r="B72" s="49" t="s">
        <v>20</v>
      </c>
      <c r="C72" s="11" t="s">
        <v>13971</v>
      </c>
      <c r="D72" s="49" t="s">
        <v>13828</v>
      </c>
      <c r="E72" s="11" t="s">
        <v>13831</v>
      </c>
      <c r="F72" s="48"/>
      <c r="G72" s="48"/>
      <c r="H72" s="12" t="s">
        <v>13972</v>
      </c>
      <c r="I72" s="65"/>
      <c r="J72" s="48"/>
    </row>
    <row r="73">
      <c r="A73" s="100">
        <v>17.0</v>
      </c>
      <c r="B73" s="49" t="s">
        <v>20</v>
      </c>
      <c r="C73" s="11" t="s">
        <v>4033</v>
      </c>
      <c r="D73" s="49" t="s">
        <v>13828</v>
      </c>
      <c r="E73" s="11" t="s">
        <v>13831</v>
      </c>
      <c r="F73" s="48"/>
      <c r="G73" s="48"/>
      <c r="H73" s="12" t="s">
        <v>13973</v>
      </c>
      <c r="I73" s="48"/>
      <c r="J73" s="48"/>
    </row>
    <row r="74">
      <c r="A74" s="100">
        <v>30671.0</v>
      </c>
      <c r="B74" s="49" t="s">
        <v>20</v>
      </c>
      <c r="C74" s="11" t="s">
        <v>13974</v>
      </c>
      <c r="D74" s="49" t="s">
        <v>13828</v>
      </c>
      <c r="E74" s="11" t="s">
        <v>13975</v>
      </c>
      <c r="F74" s="48"/>
      <c r="G74" s="48"/>
      <c r="H74" s="55" t="s">
        <v>13976</v>
      </c>
      <c r="I74" s="48"/>
      <c r="J74" s="48"/>
      <c r="M74" s="258"/>
    </row>
    <row r="75">
      <c r="A75" s="100">
        <v>26853.0</v>
      </c>
      <c r="B75" s="49" t="s">
        <v>20</v>
      </c>
      <c r="C75" s="11" t="s">
        <v>3612</v>
      </c>
      <c r="D75" s="49" t="s">
        <v>13828</v>
      </c>
      <c r="E75" s="11" t="s">
        <v>13975</v>
      </c>
      <c r="F75" s="48"/>
      <c r="G75" s="48"/>
      <c r="H75" s="55" t="s">
        <v>13977</v>
      </c>
      <c r="I75" s="48"/>
      <c r="J75" s="48"/>
    </row>
    <row r="76">
      <c r="A76" s="100">
        <v>26852.0</v>
      </c>
      <c r="B76" s="49" t="s">
        <v>20</v>
      </c>
      <c r="C76" s="11" t="s">
        <v>13978</v>
      </c>
      <c r="D76" s="49" t="s">
        <v>13828</v>
      </c>
      <c r="E76" s="11" t="s">
        <v>13975</v>
      </c>
      <c r="F76" s="48"/>
      <c r="G76" s="48"/>
      <c r="H76" s="55" t="s">
        <v>13979</v>
      </c>
      <c r="I76" s="50" t="s">
        <v>13980</v>
      </c>
      <c r="J76" s="48"/>
    </row>
    <row r="77">
      <c r="A77" s="100">
        <v>21131.0</v>
      </c>
      <c r="B77" s="49" t="s">
        <v>766</v>
      </c>
      <c r="C77" s="11" t="s">
        <v>13981</v>
      </c>
      <c r="D77" s="49" t="s">
        <v>13828</v>
      </c>
      <c r="E77" s="11" t="s">
        <v>13975</v>
      </c>
      <c r="F77" s="48"/>
      <c r="G77" s="48"/>
      <c r="H77" s="55" t="s">
        <v>13982</v>
      </c>
      <c r="I77" s="48"/>
      <c r="J77" s="48"/>
    </row>
    <row r="78">
      <c r="A78" s="100">
        <v>21129.0</v>
      </c>
      <c r="B78" s="49" t="s">
        <v>20</v>
      </c>
      <c r="C78" s="11" t="s">
        <v>13983</v>
      </c>
      <c r="D78" s="49" t="s">
        <v>13828</v>
      </c>
      <c r="E78" s="11" t="s">
        <v>13975</v>
      </c>
      <c r="F78" s="48"/>
      <c r="G78" s="48"/>
      <c r="H78" s="55" t="s">
        <v>13984</v>
      </c>
      <c r="I78" s="48"/>
      <c r="J78" s="48"/>
    </row>
    <row r="79">
      <c r="A79" s="100">
        <v>20472.0</v>
      </c>
      <c r="B79" s="49" t="s">
        <v>20</v>
      </c>
      <c r="C79" s="11" t="s">
        <v>2066</v>
      </c>
      <c r="D79" s="49" t="s">
        <v>13828</v>
      </c>
      <c r="E79" s="11" t="s">
        <v>13975</v>
      </c>
      <c r="F79" s="350"/>
      <c r="G79" s="48"/>
      <c r="H79" s="55" t="s">
        <v>13985</v>
      </c>
      <c r="I79" s="50" t="s">
        <v>13986</v>
      </c>
      <c r="J79" s="48"/>
    </row>
    <row r="80">
      <c r="A80" s="100">
        <v>19638.0</v>
      </c>
      <c r="B80" s="49" t="s">
        <v>276</v>
      </c>
      <c r="C80" s="11" t="s">
        <v>13987</v>
      </c>
      <c r="D80" s="49" t="s">
        <v>13828</v>
      </c>
      <c r="E80" s="11" t="s">
        <v>13975</v>
      </c>
      <c r="F80" s="48"/>
      <c r="G80" s="48"/>
      <c r="H80" s="55" t="s">
        <v>13988</v>
      </c>
      <c r="I80" s="48"/>
      <c r="J80" s="48"/>
    </row>
    <row r="81">
      <c r="A81" s="100">
        <v>19637.0</v>
      </c>
      <c r="B81" s="49" t="s">
        <v>20</v>
      </c>
      <c r="C81" s="11" t="s">
        <v>13989</v>
      </c>
      <c r="D81" s="49" t="s">
        <v>13828</v>
      </c>
      <c r="E81" s="11" t="s">
        <v>13975</v>
      </c>
      <c r="F81" s="48"/>
      <c r="G81" s="48"/>
      <c r="H81" s="55" t="s">
        <v>13990</v>
      </c>
      <c r="I81" s="48"/>
      <c r="J81" s="48"/>
    </row>
    <row r="82">
      <c r="A82" s="100">
        <v>19634.0</v>
      </c>
      <c r="B82" s="49" t="s">
        <v>20</v>
      </c>
      <c r="C82" s="11" t="s">
        <v>1027</v>
      </c>
      <c r="D82" s="49" t="s">
        <v>13828</v>
      </c>
      <c r="E82" s="11" t="s">
        <v>13975</v>
      </c>
      <c r="F82" s="48"/>
      <c r="G82" s="48"/>
      <c r="H82" s="55" t="s">
        <v>13991</v>
      </c>
      <c r="I82" s="48"/>
      <c r="J82" s="48"/>
    </row>
    <row r="83">
      <c r="A83" s="100">
        <v>19633.0</v>
      </c>
      <c r="B83" s="49" t="s">
        <v>20</v>
      </c>
      <c r="C83" s="11" t="s">
        <v>13992</v>
      </c>
      <c r="D83" s="49" t="s">
        <v>13828</v>
      </c>
      <c r="E83" s="11" t="s">
        <v>13975</v>
      </c>
      <c r="F83" s="48"/>
      <c r="G83" s="48"/>
      <c r="H83" s="55" t="s">
        <v>13993</v>
      </c>
      <c r="I83" s="50" t="s">
        <v>13994</v>
      </c>
      <c r="J83" s="48"/>
    </row>
    <row r="84">
      <c r="A84" s="100">
        <v>19632.0</v>
      </c>
      <c r="B84" s="49" t="s">
        <v>20</v>
      </c>
      <c r="C84" s="11" t="s">
        <v>13995</v>
      </c>
      <c r="D84" s="49" t="s">
        <v>13828</v>
      </c>
      <c r="E84" s="11" t="s">
        <v>13975</v>
      </c>
      <c r="F84" s="48"/>
      <c r="G84" s="48"/>
      <c r="H84" s="55" t="s">
        <v>13996</v>
      </c>
      <c r="I84" s="48"/>
      <c r="J84" s="48"/>
    </row>
    <row r="85">
      <c r="A85" s="100">
        <v>19631.0</v>
      </c>
      <c r="B85" s="49" t="s">
        <v>20</v>
      </c>
      <c r="C85" s="11" t="s">
        <v>12816</v>
      </c>
      <c r="D85" s="49" t="s">
        <v>13828</v>
      </c>
      <c r="E85" s="11" t="s">
        <v>13975</v>
      </c>
      <c r="F85" s="48"/>
      <c r="G85" s="48"/>
      <c r="H85" s="55" t="s">
        <v>13997</v>
      </c>
      <c r="I85" s="48"/>
      <c r="J85" s="48"/>
    </row>
    <row r="86">
      <c r="A86" s="100">
        <v>19629.0</v>
      </c>
      <c r="B86" s="49" t="s">
        <v>20</v>
      </c>
      <c r="C86" s="11" t="s">
        <v>1420</v>
      </c>
      <c r="D86" s="49" t="s">
        <v>13828</v>
      </c>
      <c r="E86" s="11" t="s">
        <v>13975</v>
      </c>
      <c r="F86" s="48"/>
      <c r="G86" s="48"/>
      <c r="H86" s="55" t="s">
        <v>13998</v>
      </c>
      <c r="I86" s="48"/>
      <c r="J86" s="48"/>
    </row>
    <row r="87">
      <c r="A87" s="100">
        <v>310.0</v>
      </c>
      <c r="B87" s="49" t="s">
        <v>276</v>
      </c>
      <c r="C87" s="11" t="s">
        <v>13999</v>
      </c>
      <c r="D87" s="49" t="s">
        <v>13828</v>
      </c>
      <c r="E87" s="11" t="s">
        <v>13975</v>
      </c>
      <c r="F87" s="48"/>
      <c r="G87" s="48"/>
      <c r="H87" s="55" t="s">
        <v>14000</v>
      </c>
      <c r="I87" s="48"/>
      <c r="J87" s="48"/>
    </row>
    <row r="88">
      <c r="A88" s="100">
        <v>309.0</v>
      </c>
      <c r="B88" s="49" t="s">
        <v>20</v>
      </c>
      <c r="C88" s="11" t="s">
        <v>14001</v>
      </c>
      <c r="D88" s="49" t="s">
        <v>13828</v>
      </c>
      <c r="E88" s="11" t="s">
        <v>13975</v>
      </c>
      <c r="F88" s="48"/>
      <c r="G88" s="48"/>
      <c r="H88" s="55" t="s">
        <v>14002</v>
      </c>
      <c r="I88" s="48"/>
      <c r="J88" s="48"/>
    </row>
    <row r="89">
      <c r="A89" s="100">
        <v>307.0</v>
      </c>
      <c r="B89" s="49" t="s">
        <v>20</v>
      </c>
      <c r="C89" s="11" t="s">
        <v>69</v>
      </c>
      <c r="D89" s="49" t="s">
        <v>13828</v>
      </c>
      <c r="E89" s="11" t="s">
        <v>13975</v>
      </c>
      <c r="F89" s="48"/>
      <c r="G89" s="48"/>
      <c r="H89" s="55" t="s">
        <v>14003</v>
      </c>
      <c r="I89" s="48"/>
      <c r="J89" s="48"/>
    </row>
    <row r="90">
      <c r="A90" s="100">
        <v>286.0</v>
      </c>
      <c r="B90" s="49" t="s">
        <v>20</v>
      </c>
      <c r="C90" s="11" t="s">
        <v>14004</v>
      </c>
      <c r="D90" s="49" t="s">
        <v>13828</v>
      </c>
      <c r="E90" s="11" t="s">
        <v>13975</v>
      </c>
      <c r="F90" s="48"/>
      <c r="G90" s="48"/>
      <c r="H90" s="55" t="s">
        <v>14005</v>
      </c>
      <c r="I90" s="50" t="s">
        <v>14006</v>
      </c>
      <c r="J90" s="48"/>
    </row>
    <row r="91">
      <c r="A91" s="100">
        <v>64.0</v>
      </c>
      <c r="B91" s="49" t="s">
        <v>20</v>
      </c>
      <c r="C91" s="11" t="s">
        <v>3592</v>
      </c>
      <c r="D91" s="49" t="s">
        <v>13828</v>
      </c>
      <c r="E91" s="11" t="s">
        <v>13975</v>
      </c>
      <c r="F91" s="48"/>
      <c r="G91" s="48"/>
      <c r="H91" s="12" t="s">
        <v>14007</v>
      </c>
      <c r="I91" s="48"/>
      <c r="J91" s="48"/>
    </row>
    <row r="92">
      <c r="A92" s="100">
        <v>62.0</v>
      </c>
      <c r="B92" s="49" t="s">
        <v>20</v>
      </c>
      <c r="C92" s="14" t="s">
        <v>14008</v>
      </c>
      <c r="D92" s="49" t="s">
        <v>13828</v>
      </c>
      <c r="E92" s="11" t="s">
        <v>13975</v>
      </c>
      <c r="F92" s="48"/>
      <c r="G92" s="48"/>
      <c r="H92" s="55" t="s">
        <v>14009</v>
      </c>
      <c r="I92" s="48"/>
      <c r="J92" s="48"/>
    </row>
    <row r="93">
      <c r="A93" s="100">
        <v>30708.0</v>
      </c>
      <c r="B93" s="49" t="s">
        <v>20</v>
      </c>
      <c r="C93" s="11" t="s">
        <v>773</v>
      </c>
      <c r="D93" s="49" t="s">
        <v>13828</v>
      </c>
      <c r="E93" s="11" t="s">
        <v>13829</v>
      </c>
      <c r="F93" s="48"/>
      <c r="G93" s="48"/>
      <c r="H93" s="55" t="s">
        <v>14010</v>
      </c>
      <c r="I93" s="48"/>
      <c r="J93" s="48"/>
    </row>
    <row r="94">
      <c r="A94" s="100">
        <v>19644.0</v>
      </c>
      <c r="B94" s="49" t="s">
        <v>20</v>
      </c>
      <c r="C94" s="11" t="s">
        <v>963</v>
      </c>
      <c r="D94" s="49" t="s">
        <v>13828</v>
      </c>
      <c r="E94" s="11" t="s">
        <v>13829</v>
      </c>
      <c r="F94" s="48"/>
      <c r="G94" s="48"/>
      <c r="H94" s="55" t="s">
        <v>14011</v>
      </c>
      <c r="I94" s="50" t="s">
        <v>14012</v>
      </c>
      <c r="J94" s="48"/>
    </row>
    <row r="95">
      <c r="A95" s="100">
        <v>339.0</v>
      </c>
      <c r="B95" s="49" t="s">
        <v>20</v>
      </c>
      <c r="C95" s="11" t="s">
        <v>14013</v>
      </c>
      <c r="D95" s="49" t="s">
        <v>13828</v>
      </c>
      <c r="E95" s="11" t="s">
        <v>13829</v>
      </c>
      <c r="F95" s="48"/>
      <c r="G95" s="48"/>
      <c r="H95" s="55" t="s">
        <v>14014</v>
      </c>
      <c r="I95" s="48"/>
      <c r="J95" s="48"/>
    </row>
    <row r="96">
      <c r="A96" s="100">
        <v>317.0</v>
      </c>
      <c r="B96" s="49" t="s">
        <v>20</v>
      </c>
      <c r="C96" s="11" t="s">
        <v>13021</v>
      </c>
      <c r="D96" s="49" t="s">
        <v>13828</v>
      </c>
      <c r="E96" s="11" t="s">
        <v>13829</v>
      </c>
      <c r="F96" s="48"/>
      <c r="G96" s="48"/>
      <c r="H96" s="55" t="s">
        <v>14015</v>
      </c>
      <c r="I96" s="48"/>
      <c r="J96" s="48"/>
    </row>
    <row r="97">
      <c r="A97" s="100">
        <v>271.0</v>
      </c>
      <c r="B97" s="49" t="s">
        <v>20</v>
      </c>
      <c r="C97" s="11" t="s">
        <v>14016</v>
      </c>
      <c r="D97" s="49" t="s">
        <v>13828</v>
      </c>
      <c r="E97" s="11" t="s">
        <v>13829</v>
      </c>
      <c r="F97" s="48"/>
      <c r="G97" s="48"/>
      <c r="H97" s="55" t="s">
        <v>14017</v>
      </c>
      <c r="I97" s="50" t="s">
        <v>14018</v>
      </c>
      <c r="J97" s="50" t="s">
        <v>14019</v>
      </c>
      <c r="K97" s="12" t="s">
        <v>14020</v>
      </c>
    </row>
    <row r="98">
      <c r="A98" s="100">
        <v>74.0</v>
      </c>
      <c r="B98" s="49" t="s">
        <v>20</v>
      </c>
      <c r="C98" s="11" t="s">
        <v>6988</v>
      </c>
      <c r="D98" s="49" t="s">
        <v>13828</v>
      </c>
      <c r="E98" s="11" t="s">
        <v>13829</v>
      </c>
      <c r="F98" s="48"/>
      <c r="G98" s="48"/>
      <c r="H98" s="12" t="s">
        <v>14021</v>
      </c>
      <c r="I98" s="12" t="s">
        <v>14022</v>
      </c>
      <c r="J98" s="48"/>
    </row>
    <row r="99">
      <c r="A99" s="100">
        <v>51.0</v>
      </c>
      <c r="B99" s="49" t="s">
        <v>20</v>
      </c>
      <c r="C99" s="11" t="s">
        <v>14023</v>
      </c>
      <c r="D99" s="49" t="s">
        <v>13828</v>
      </c>
      <c r="E99" s="11" t="s">
        <v>13829</v>
      </c>
      <c r="F99" s="48"/>
      <c r="G99" s="48"/>
      <c r="H99" s="12" t="s">
        <v>14024</v>
      </c>
      <c r="I99" s="48"/>
      <c r="J99" s="48"/>
    </row>
    <row r="100">
      <c r="A100" s="100">
        <v>48.0</v>
      </c>
      <c r="B100" s="49" t="s">
        <v>20</v>
      </c>
      <c r="C100" s="11" t="s">
        <v>14025</v>
      </c>
      <c r="D100" s="49" t="s">
        <v>13828</v>
      </c>
      <c r="E100" s="11" t="s">
        <v>6585</v>
      </c>
      <c r="F100" s="48"/>
      <c r="G100" s="48"/>
      <c r="H100" s="55" t="s">
        <v>14026</v>
      </c>
      <c r="I100" s="48"/>
      <c r="J100" s="48"/>
    </row>
    <row r="101">
      <c r="A101" s="100">
        <v>45.0</v>
      </c>
      <c r="B101" s="49" t="s">
        <v>720</v>
      </c>
      <c r="C101" s="11" t="s">
        <v>14027</v>
      </c>
      <c r="D101" s="49" t="s">
        <v>13828</v>
      </c>
      <c r="E101" s="11" t="s">
        <v>6585</v>
      </c>
      <c r="F101" s="48"/>
      <c r="G101" s="48"/>
      <c r="H101" s="55" t="s">
        <v>14028</v>
      </c>
      <c r="I101" s="48"/>
      <c r="J101" s="48"/>
    </row>
    <row r="102">
      <c r="A102" s="100">
        <v>40.0</v>
      </c>
      <c r="B102" s="49" t="s">
        <v>20</v>
      </c>
      <c r="C102" s="11" t="s">
        <v>3209</v>
      </c>
      <c r="D102" s="49" t="s">
        <v>13828</v>
      </c>
      <c r="E102" s="11" t="s">
        <v>6585</v>
      </c>
      <c r="F102" s="48"/>
      <c r="G102" s="48"/>
      <c r="H102" s="12" t="s">
        <v>13927</v>
      </c>
      <c r="I102" s="48"/>
      <c r="J102" s="48"/>
    </row>
    <row r="103">
      <c r="A103" s="100">
        <v>39.0</v>
      </c>
      <c r="B103" s="49" t="s">
        <v>20</v>
      </c>
      <c r="C103" s="11" t="s">
        <v>14029</v>
      </c>
      <c r="D103" s="49" t="s">
        <v>13828</v>
      </c>
      <c r="E103" s="11" t="s">
        <v>6585</v>
      </c>
      <c r="F103" s="48"/>
      <c r="G103" s="48"/>
      <c r="H103" s="55" t="s">
        <v>14030</v>
      </c>
      <c r="I103" s="48"/>
      <c r="J103" s="48"/>
    </row>
    <row r="104">
      <c r="A104" s="100">
        <v>30.0</v>
      </c>
      <c r="B104" s="49" t="s">
        <v>20</v>
      </c>
      <c r="C104" s="11" t="s">
        <v>698</v>
      </c>
      <c r="D104" s="49" t="s">
        <v>13828</v>
      </c>
      <c r="E104" s="11" t="s">
        <v>6585</v>
      </c>
      <c r="F104" s="48"/>
      <c r="G104" s="48"/>
      <c r="H104" s="12" t="s">
        <v>14031</v>
      </c>
      <c r="I104" s="48"/>
      <c r="J104" s="12" t="s">
        <v>14032</v>
      </c>
    </row>
    <row r="105">
      <c r="A105" s="100">
        <v>24.0</v>
      </c>
      <c r="B105" s="49" t="s">
        <v>20</v>
      </c>
      <c r="C105" s="11" t="s">
        <v>14033</v>
      </c>
      <c r="D105" s="49" t="s">
        <v>13828</v>
      </c>
      <c r="E105" s="11" t="s">
        <v>6585</v>
      </c>
      <c r="F105" s="48"/>
      <c r="G105" s="48"/>
      <c r="H105" s="12" t="s">
        <v>14034</v>
      </c>
      <c r="I105" s="12" t="s">
        <v>14035</v>
      </c>
      <c r="J105" s="48"/>
    </row>
    <row r="106">
      <c r="A106" s="100">
        <v>22.0</v>
      </c>
      <c r="B106" s="49" t="s">
        <v>20</v>
      </c>
      <c r="C106" s="11" t="s">
        <v>14036</v>
      </c>
      <c r="D106" s="49" t="s">
        <v>13828</v>
      </c>
      <c r="E106" s="11" t="s">
        <v>6585</v>
      </c>
      <c r="F106" s="48"/>
      <c r="G106" s="48"/>
      <c r="H106" s="12" t="s">
        <v>14037</v>
      </c>
      <c r="I106" s="12" t="s">
        <v>14038</v>
      </c>
      <c r="J106" s="48"/>
    </row>
    <row r="107">
      <c r="A107" s="100">
        <v>80.0</v>
      </c>
      <c r="B107" s="49" t="s">
        <v>20</v>
      </c>
      <c r="C107" s="11" t="s">
        <v>7317</v>
      </c>
      <c r="D107" s="49" t="s">
        <v>13828</v>
      </c>
      <c r="E107" s="11" t="s">
        <v>14039</v>
      </c>
      <c r="F107" s="48"/>
      <c r="G107" s="48"/>
      <c r="H107" s="55" t="s">
        <v>14040</v>
      </c>
      <c r="I107" s="48"/>
      <c r="J107" s="48"/>
    </row>
    <row r="108">
      <c r="A108" s="100">
        <v>78.0</v>
      </c>
      <c r="B108" s="49" t="s">
        <v>720</v>
      </c>
      <c r="C108" s="11" t="s">
        <v>14041</v>
      </c>
      <c r="D108" s="49" t="s">
        <v>13828</v>
      </c>
      <c r="E108" s="11" t="s">
        <v>14039</v>
      </c>
      <c r="F108" s="48"/>
      <c r="G108" s="48"/>
      <c r="H108" s="12" t="s">
        <v>14042</v>
      </c>
      <c r="I108" s="48"/>
      <c r="J108" s="48"/>
    </row>
    <row r="109">
      <c r="A109" s="100">
        <v>12.0</v>
      </c>
      <c r="B109" s="49" t="s">
        <v>20</v>
      </c>
      <c r="C109" s="11" t="s">
        <v>11805</v>
      </c>
      <c r="D109" s="49" t="s">
        <v>13828</v>
      </c>
      <c r="E109" s="11" t="s">
        <v>14039</v>
      </c>
      <c r="F109" s="48"/>
      <c r="G109" s="48"/>
      <c r="H109" s="12" t="s">
        <v>14043</v>
      </c>
      <c r="I109" s="48"/>
      <c r="J109" s="48"/>
    </row>
    <row r="110">
      <c r="A110" s="100">
        <v>31755.0</v>
      </c>
      <c r="B110" s="49" t="s">
        <v>20</v>
      </c>
      <c r="C110" s="11" t="s">
        <v>4139</v>
      </c>
      <c r="D110" s="49" t="s">
        <v>13828</v>
      </c>
      <c r="E110" s="11" t="s">
        <v>14044</v>
      </c>
      <c r="F110" s="48"/>
      <c r="G110" s="48"/>
      <c r="H110" s="55" t="s">
        <v>14045</v>
      </c>
      <c r="I110" s="48"/>
      <c r="J110" s="48"/>
    </row>
    <row r="111">
      <c r="A111" s="100">
        <v>30973.0</v>
      </c>
      <c r="B111" s="49" t="s">
        <v>20</v>
      </c>
      <c r="C111" s="11" t="s">
        <v>74</v>
      </c>
      <c r="D111" s="49" t="s">
        <v>13828</v>
      </c>
      <c r="E111" s="11" t="s">
        <v>14044</v>
      </c>
      <c r="F111" s="48"/>
      <c r="G111" s="48"/>
      <c r="H111" s="55" t="s">
        <v>14046</v>
      </c>
      <c r="I111" s="50" t="s">
        <v>14047</v>
      </c>
      <c r="J111" s="48"/>
    </row>
    <row r="112">
      <c r="A112" s="100">
        <v>26814.0</v>
      </c>
      <c r="B112" s="49" t="s">
        <v>20</v>
      </c>
      <c r="C112" s="11" t="s">
        <v>14048</v>
      </c>
      <c r="D112" s="49" t="s">
        <v>13828</v>
      </c>
      <c r="E112" s="11" t="s">
        <v>14044</v>
      </c>
      <c r="F112" s="48"/>
      <c r="G112" s="48"/>
      <c r="H112" s="55" t="s">
        <v>14049</v>
      </c>
      <c r="I112" s="48"/>
      <c r="J112" s="50" t="s">
        <v>14050</v>
      </c>
    </row>
    <row r="113">
      <c r="A113" s="100">
        <v>26207.0</v>
      </c>
      <c r="B113" s="49" t="s">
        <v>20</v>
      </c>
      <c r="C113" s="11" t="s">
        <v>14051</v>
      </c>
      <c r="D113" s="49" t="s">
        <v>13828</v>
      </c>
      <c r="E113" s="11" t="s">
        <v>14044</v>
      </c>
      <c r="F113" s="48"/>
      <c r="G113" s="48"/>
      <c r="H113" s="48"/>
      <c r="I113" s="50" t="s">
        <v>14052</v>
      </c>
      <c r="J113" s="48"/>
    </row>
    <row r="114">
      <c r="A114" s="100">
        <v>23008.0</v>
      </c>
      <c r="B114" s="49" t="s">
        <v>20</v>
      </c>
      <c r="C114" s="11" t="s">
        <v>4222</v>
      </c>
      <c r="D114" s="49" t="s">
        <v>13828</v>
      </c>
      <c r="E114" s="11" t="s">
        <v>14044</v>
      </c>
      <c r="F114" s="48"/>
      <c r="G114" s="48"/>
      <c r="H114" s="55" t="s">
        <v>14053</v>
      </c>
      <c r="I114" s="48"/>
      <c r="J114" s="48"/>
    </row>
    <row r="115">
      <c r="A115" s="100">
        <v>20634.0</v>
      </c>
      <c r="B115" s="49" t="s">
        <v>20</v>
      </c>
      <c r="C115" s="11" t="s">
        <v>3808</v>
      </c>
      <c r="D115" s="49" t="s">
        <v>13828</v>
      </c>
      <c r="E115" s="11" t="s">
        <v>14044</v>
      </c>
      <c r="F115" s="48"/>
      <c r="G115" s="48"/>
      <c r="H115" s="55" t="s">
        <v>14054</v>
      </c>
      <c r="I115" s="48"/>
      <c r="J115" s="50" t="s">
        <v>14055</v>
      </c>
    </row>
    <row r="116">
      <c r="A116" s="100">
        <v>19081.0</v>
      </c>
      <c r="B116" s="49" t="s">
        <v>20</v>
      </c>
      <c r="C116" s="11" t="s">
        <v>14056</v>
      </c>
      <c r="D116" s="49" t="s">
        <v>13828</v>
      </c>
      <c r="E116" s="11" t="s">
        <v>14044</v>
      </c>
      <c r="F116" s="48"/>
      <c r="G116" s="48"/>
      <c r="H116" s="55" t="s">
        <v>14057</v>
      </c>
      <c r="I116" s="48"/>
      <c r="J116" s="48"/>
    </row>
    <row r="117">
      <c r="A117" s="100">
        <v>81.0</v>
      </c>
      <c r="B117" s="49" t="s">
        <v>20</v>
      </c>
      <c r="C117" s="11" t="s">
        <v>14058</v>
      </c>
      <c r="D117" s="49" t="s">
        <v>13828</v>
      </c>
      <c r="E117" s="11" t="s">
        <v>14044</v>
      </c>
      <c r="F117" s="48"/>
      <c r="G117" s="48"/>
      <c r="H117" s="12" t="s">
        <v>14059</v>
      </c>
      <c r="I117" s="48"/>
      <c r="J117" s="48"/>
    </row>
    <row r="118">
      <c r="A118" s="100">
        <v>33251.0</v>
      </c>
      <c r="B118" s="49" t="s">
        <v>20</v>
      </c>
      <c r="C118" s="11" t="s">
        <v>8055</v>
      </c>
      <c r="D118" s="49" t="s">
        <v>13828</v>
      </c>
      <c r="E118" s="11" t="s">
        <v>13834</v>
      </c>
      <c r="F118" s="48"/>
      <c r="G118" s="48"/>
      <c r="H118" s="55" t="s">
        <v>14060</v>
      </c>
      <c r="I118" s="48"/>
      <c r="J118" s="48"/>
    </row>
    <row r="119">
      <c r="A119" s="100">
        <v>32765.0</v>
      </c>
      <c r="B119" s="49" t="s">
        <v>20</v>
      </c>
      <c r="C119" s="11" t="s">
        <v>14061</v>
      </c>
      <c r="D119" s="49" t="s">
        <v>13828</v>
      </c>
      <c r="E119" s="11" t="s">
        <v>13834</v>
      </c>
      <c r="F119" s="48"/>
      <c r="G119" s="48"/>
      <c r="H119" s="55" t="s">
        <v>14062</v>
      </c>
      <c r="I119" s="48"/>
      <c r="J119" s="48"/>
    </row>
    <row r="120">
      <c r="A120" s="100">
        <v>32092.0</v>
      </c>
      <c r="B120" s="49" t="s">
        <v>20</v>
      </c>
      <c r="C120" s="11" t="s">
        <v>14063</v>
      </c>
      <c r="D120" s="49" t="s">
        <v>13828</v>
      </c>
      <c r="E120" s="11" t="s">
        <v>13834</v>
      </c>
      <c r="F120" s="48"/>
      <c r="G120" s="48"/>
      <c r="H120" s="55" t="s">
        <v>14064</v>
      </c>
      <c r="I120" s="48"/>
      <c r="J120" s="48"/>
    </row>
    <row r="121">
      <c r="A121" s="100">
        <v>31993.0</v>
      </c>
      <c r="B121" s="49" t="s">
        <v>20</v>
      </c>
      <c r="C121" s="11" t="s">
        <v>3615</v>
      </c>
      <c r="D121" s="49" t="s">
        <v>13828</v>
      </c>
      <c r="E121" s="11" t="s">
        <v>13834</v>
      </c>
      <c r="F121" s="48"/>
      <c r="G121" s="48"/>
      <c r="H121" s="55" t="s">
        <v>14065</v>
      </c>
      <c r="I121" s="48"/>
      <c r="J121" s="48"/>
    </row>
    <row r="122">
      <c r="A122" s="100">
        <v>31968.0</v>
      </c>
      <c r="B122" s="49" t="s">
        <v>20</v>
      </c>
      <c r="C122" s="11" t="s">
        <v>14066</v>
      </c>
      <c r="D122" s="49" t="s">
        <v>13828</v>
      </c>
      <c r="E122" s="11" t="s">
        <v>13834</v>
      </c>
      <c r="F122" s="48"/>
      <c r="G122" s="48"/>
      <c r="H122" s="55" t="s">
        <v>14067</v>
      </c>
      <c r="I122" s="50" t="s">
        <v>14068</v>
      </c>
      <c r="J122" s="48"/>
    </row>
    <row r="123">
      <c r="A123" s="100">
        <v>31718.0</v>
      </c>
      <c r="B123" s="49" t="s">
        <v>20</v>
      </c>
      <c r="C123" s="11" t="s">
        <v>11727</v>
      </c>
      <c r="D123" s="49" t="s">
        <v>13828</v>
      </c>
      <c r="E123" s="11" t="s">
        <v>13834</v>
      </c>
      <c r="F123" s="48"/>
      <c r="G123" s="48"/>
      <c r="H123" s="55" t="s">
        <v>14069</v>
      </c>
      <c r="I123" s="50" t="s">
        <v>14070</v>
      </c>
      <c r="J123" s="48"/>
    </row>
    <row r="124">
      <c r="A124" s="100">
        <v>30717.0</v>
      </c>
      <c r="B124" s="49" t="s">
        <v>20</v>
      </c>
      <c r="C124" s="11" t="s">
        <v>8598</v>
      </c>
      <c r="D124" s="49" t="s">
        <v>13828</v>
      </c>
      <c r="E124" s="11" t="s">
        <v>13834</v>
      </c>
      <c r="F124" s="48"/>
      <c r="G124" s="48"/>
      <c r="H124" s="55" t="s">
        <v>14071</v>
      </c>
      <c r="I124" s="50" t="s">
        <v>14072</v>
      </c>
      <c r="J124" s="48"/>
    </row>
    <row r="125">
      <c r="A125" s="100">
        <v>30713.0</v>
      </c>
      <c r="B125" s="49" t="s">
        <v>20</v>
      </c>
      <c r="C125" s="11" t="s">
        <v>14073</v>
      </c>
      <c r="D125" s="49" t="s">
        <v>13828</v>
      </c>
      <c r="E125" s="11" t="s">
        <v>13834</v>
      </c>
      <c r="F125" s="48"/>
      <c r="G125" s="48"/>
      <c r="H125" s="55" t="s">
        <v>14074</v>
      </c>
      <c r="I125" s="50" t="s">
        <v>14075</v>
      </c>
      <c r="J125" s="48"/>
    </row>
    <row r="126">
      <c r="A126" s="100">
        <v>30712.0</v>
      </c>
      <c r="B126" s="49" t="s">
        <v>20</v>
      </c>
      <c r="C126" s="11" t="s">
        <v>14076</v>
      </c>
      <c r="D126" s="49" t="s">
        <v>13828</v>
      </c>
      <c r="E126" s="11" t="s">
        <v>13834</v>
      </c>
      <c r="F126" s="48"/>
      <c r="G126" s="48"/>
      <c r="H126" s="55" t="s">
        <v>14077</v>
      </c>
      <c r="I126" s="48"/>
      <c r="J126" s="50" t="s">
        <v>14078</v>
      </c>
    </row>
    <row r="127">
      <c r="A127" s="100">
        <v>30675.0</v>
      </c>
      <c r="B127" s="49" t="s">
        <v>20</v>
      </c>
      <c r="C127" s="11" t="s">
        <v>14079</v>
      </c>
      <c r="D127" s="49" t="s">
        <v>13828</v>
      </c>
      <c r="E127" s="11" t="s">
        <v>13834</v>
      </c>
      <c r="F127" s="48"/>
      <c r="G127" s="48"/>
      <c r="H127" s="55" t="s">
        <v>14080</v>
      </c>
      <c r="I127" s="48"/>
      <c r="J127" s="48"/>
    </row>
    <row r="128">
      <c r="A128" s="100">
        <v>30670.0</v>
      </c>
      <c r="B128" s="49" t="s">
        <v>20</v>
      </c>
      <c r="C128" s="11" t="s">
        <v>14081</v>
      </c>
      <c r="D128" s="49" t="s">
        <v>13828</v>
      </c>
      <c r="E128" s="11" t="s">
        <v>13834</v>
      </c>
      <c r="F128" s="48"/>
      <c r="G128" s="48"/>
      <c r="H128" s="55" t="s">
        <v>14082</v>
      </c>
      <c r="J128" s="50" t="s">
        <v>14083</v>
      </c>
    </row>
    <row r="129">
      <c r="A129" s="100">
        <v>30472.0</v>
      </c>
      <c r="B129" s="49" t="s">
        <v>20</v>
      </c>
      <c r="C129" s="11" t="s">
        <v>14084</v>
      </c>
      <c r="D129" s="49" t="s">
        <v>13828</v>
      </c>
      <c r="E129" s="11" t="s">
        <v>13834</v>
      </c>
      <c r="F129" s="48"/>
      <c r="G129" s="48"/>
      <c r="H129" s="55" t="s">
        <v>14085</v>
      </c>
      <c r="I129" s="48"/>
      <c r="J129" s="50" t="s">
        <v>14086</v>
      </c>
    </row>
    <row r="130">
      <c r="A130" s="100">
        <v>30350.0</v>
      </c>
      <c r="B130" s="49" t="s">
        <v>20</v>
      </c>
      <c r="C130" s="11" t="s">
        <v>1342</v>
      </c>
      <c r="D130" s="49" t="s">
        <v>13828</v>
      </c>
      <c r="E130" s="11" t="s">
        <v>13834</v>
      </c>
      <c r="F130" s="48"/>
      <c r="G130" s="48"/>
      <c r="H130" s="55" t="s">
        <v>14087</v>
      </c>
      <c r="I130" s="48"/>
      <c r="J130" s="48"/>
    </row>
    <row r="131">
      <c r="A131" s="100">
        <v>30349.0</v>
      </c>
      <c r="B131" s="49" t="s">
        <v>20</v>
      </c>
      <c r="C131" s="11" t="s">
        <v>14088</v>
      </c>
      <c r="D131" s="49" t="s">
        <v>13828</v>
      </c>
      <c r="E131" s="11" t="s">
        <v>13834</v>
      </c>
      <c r="F131" s="48"/>
      <c r="G131" s="48"/>
      <c r="H131" s="351" t="s">
        <v>14089</v>
      </c>
      <c r="I131" s="50" t="s">
        <v>14090</v>
      </c>
      <c r="J131" s="48"/>
    </row>
    <row r="132">
      <c r="A132" s="100">
        <v>30344.0</v>
      </c>
      <c r="B132" s="49" t="s">
        <v>20</v>
      </c>
      <c r="C132" s="11" t="s">
        <v>659</v>
      </c>
      <c r="D132" s="49" t="s">
        <v>13828</v>
      </c>
      <c r="E132" s="11" t="s">
        <v>13834</v>
      </c>
      <c r="F132" s="48"/>
      <c r="G132" s="48"/>
      <c r="H132" s="55" t="s">
        <v>14091</v>
      </c>
      <c r="I132" s="50" t="s">
        <v>14092</v>
      </c>
      <c r="J132" s="48"/>
    </row>
    <row r="133">
      <c r="A133" s="100">
        <v>30343.0</v>
      </c>
      <c r="B133" s="49" t="s">
        <v>20</v>
      </c>
      <c r="C133" s="11" t="s">
        <v>14093</v>
      </c>
      <c r="D133" s="49" t="s">
        <v>13828</v>
      </c>
      <c r="E133" s="11" t="s">
        <v>13834</v>
      </c>
      <c r="F133" s="48"/>
      <c r="G133" s="48"/>
      <c r="H133" s="55" t="s">
        <v>14094</v>
      </c>
      <c r="I133" s="48"/>
      <c r="J133" s="48"/>
    </row>
    <row r="134">
      <c r="A134" s="100">
        <v>30342.0</v>
      </c>
      <c r="B134" s="49" t="s">
        <v>20</v>
      </c>
      <c r="C134" s="11" t="s">
        <v>5477</v>
      </c>
      <c r="D134" s="49" t="s">
        <v>13828</v>
      </c>
      <c r="E134" s="11" t="s">
        <v>13834</v>
      </c>
      <c r="F134" s="48"/>
      <c r="G134" s="48"/>
      <c r="H134" s="55" t="s">
        <v>14095</v>
      </c>
      <c r="I134" s="50" t="s">
        <v>14096</v>
      </c>
      <c r="J134" s="48"/>
    </row>
    <row r="135">
      <c r="A135" s="100">
        <v>30341.0</v>
      </c>
      <c r="B135" s="49" t="s">
        <v>20</v>
      </c>
      <c r="C135" s="11" t="s">
        <v>14097</v>
      </c>
      <c r="D135" s="49" t="s">
        <v>13828</v>
      </c>
      <c r="E135" s="11" t="s">
        <v>13834</v>
      </c>
      <c r="F135" s="48"/>
      <c r="G135" s="48"/>
      <c r="H135" s="55" t="s">
        <v>14098</v>
      </c>
      <c r="I135" s="48"/>
      <c r="J135" s="48"/>
    </row>
    <row r="136">
      <c r="A136" s="100">
        <v>30334.0</v>
      </c>
      <c r="B136" s="49" t="s">
        <v>20</v>
      </c>
      <c r="C136" s="11" t="s">
        <v>5826</v>
      </c>
      <c r="D136" s="49" t="s">
        <v>13828</v>
      </c>
      <c r="E136" s="11" t="s">
        <v>13834</v>
      </c>
      <c r="F136" s="48"/>
      <c r="G136" s="48"/>
      <c r="H136" s="55" t="s">
        <v>14099</v>
      </c>
      <c r="I136" s="50" t="s">
        <v>14100</v>
      </c>
      <c r="J136" s="50" t="s">
        <v>14101</v>
      </c>
    </row>
    <row r="137">
      <c r="A137" s="100"/>
      <c r="B137" s="49" t="s">
        <v>20</v>
      </c>
      <c r="C137" s="11" t="s">
        <v>14102</v>
      </c>
      <c r="D137" s="49" t="s">
        <v>13828</v>
      </c>
      <c r="E137" s="11" t="s">
        <v>13834</v>
      </c>
      <c r="F137" s="48"/>
      <c r="G137" s="48"/>
      <c r="H137" s="55" t="s">
        <v>14103</v>
      </c>
      <c r="I137" s="48"/>
      <c r="J137" s="48"/>
    </row>
    <row r="138">
      <c r="A138" s="100">
        <v>29661.0</v>
      </c>
      <c r="B138" s="49" t="s">
        <v>20</v>
      </c>
      <c r="C138" s="11" t="s">
        <v>14102</v>
      </c>
      <c r="D138" s="49" t="s">
        <v>13828</v>
      </c>
      <c r="E138" s="11" t="s">
        <v>13834</v>
      </c>
      <c r="F138" s="48"/>
      <c r="G138" s="48"/>
      <c r="H138" s="55" t="s">
        <v>14104</v>
      </c>
      <c r="I138" s="48"/>
      <c r="J138" s="50" t="s">
        <v>14105</v>
      </c>
    </row>
    <row r="139">
      <c r="A139" s="100">
        <v>29214.0</v>
      </c>
      <c r="B139" s="49" t="s">
        <v>20</v>
      </c>
      <c r="C139" s="11" t="s">
        <v>1106</v>
      </c>
      <c r="D139" s="49" t="s">
        <v>13828</v>
      </c>
      <c r="E139" s="11" t="s">
        <v>13834</v>
      </c>
      <c r="F139" s="48"/>
      <c r="G139" s="48"/>
      <c r="H139" s="48"/>
      <c r="I139" s="48"/>
      <c r="J139" s="50" t="s">
        <v>14106</v>
      </c>
    </row>
    <row r="140">
      <c r="A140" s="100">
        <v>26836.0</v>
      </c>
      <c r="B140" s="49" t="s">
        <v>20</v>
      </c>
      <c r="C140" s="11" t="s">
        <v>14107</v>
      </c>
      <c r="D140" s="49" t="s">
        <v>13828</v>
      </c>
      <c r="E140" s="11" t="s">
        <v>13834</v>
      </c>
      <c r="F140" s="48"/>
      <c r="G140" s="48"/>
      <c r="H140" s="352" t="s">
        <v>14108</v>
      </c>
      <c r="I140" s="48"/>
      <c r="J140" s="48"/>
    </row>
    <row r="141">
      <c r="A141" s="100"/>
      <c r="B141" s="49" t="s">
        <v>687</v>
      </c>
      <c r="C141" s="11" t="s">
        <v>14109</v>
      </c>
      <c r="D141" s="49" t="s">
        <v>13828</v>
      </c>
      <c r="E141" s="11" t="s">
        <v>13834</v>
      </c>
      <c r="F141" s="48"/>
      <c r="G141" s="48"/>
      <c r="H141" s="353" t="s">
        <v>14110</v>
      </c>
      <c r="I141" s="48"/>
      <c r="J141" s="48"/>
    </row>
    <row r="142">
      <c r="A142" s="100">
        <v>26835.0</v>
      </c>
      <c r="B142" s="49" t="s">
        <v>20</v>
      </c>
      <c r="C142" s="11" t="s">
        <v>14111</v>
      </c>
      <c r="D142" s="49" t="s">
        <v>13828</v>
      </c>
      <c r="E142" s="11" t="s">
        <v>13834</v>
      </c>
      <c r="F142" s="48"/>
      <c r="G142" s="48"/>
      <c r="H142" s="352" t="s">
        <v>14112</v>
      </c>
      <c r="I142" s="48"/>
      <c r="J142" s="48"/>
    </row>
    <row r="143">
      <c r="A143" s="100">
        <v>26834.0</v>
      </c>
      <c r="B143" s="49" t="s">
        <v>20</v>
      </c>
      <c r="C143" s="11" t="s">
        <v>14113</v>
      </c>
      <c r="D143" s="49" t="s">
        <v>13828</v>
      </c>
      <c r="E143" s="11" t="s">
        <v>13834</v>
      </c>
      <c r="F143" s="48"/>
      <c r="G143" s="48"/>
      <c r="H143" s="55" t="s">
        <v>14114</v>
      </c>
      <c r="I143" s="48"/>
      <c r="J143" s="48"/>
    </row>
    <row r="144">
      <c r="A144" s="100">
        <v>26638.0</v>
      </c>
      <c r="B144" s="49" t="s">
        <v>20</v>
      </c>
      <c r="C144" s="11" t="s">
        <v>8151</v>
      </c>
      <c r="D144" s="49" t="s">
        <v>13828</v>
      </c>
      <c r="E144" s="11" t="s">
        <v>13834</v>
      </c>
      <c r="F144" s="48"/>
      <c r="G144" s="59"/>
      <c r="H144" s="55" t="s">
        <v>14115</v>
      </c>
      <c r="I144" s="48"/>
      <c r="J144" s="50" t="s">
        <v>14116</v>
      </c>
    </row>
    <row r="145">
      <c r="A145" s="100">
        <v>26387.0</v>
      </c>
      <c r="B145" s="49" t="s">
        <v>20</v>
      </c>
      <c r="C145" s="11" t="s">
        <v>14117</v>
      </c>
      <c r="D145" s="49" t="s">
        <v>13828</v>
      </c>
      <c r="E145" s="11" t="s">
        <v>13834</v>
      </c>
      <c r="F145" s="48"/>
      <c r="G145" s="48"/>
      <c r="H145" s="55" t="s">
        <v>14118</v>
      </c>
      <c r="I145" s="48"/>
      <c r="J145" s="48"/>
    </row>
    <row r="146">
      <c r="A146" s="100">
        <v>25633.0</v>
      </c>
      <c r="B146" s="49" t="s">
        <v>301</v>
      </c>
      <c r="C146" s="11" t="s">
        <v>14119</v>
      </c>
      <c r="D146" s="49" t="s">
        <v>13828</v>
      </c>
      <c r="E146" s="11" t="s">
        <v>13834</v>
      </c>
      <c r="F146" s="48"/>
      <c r="G146" s="48"/>
      <c r="H146" s="55" t="s">
        <v>14120</v>
      </c>
      <c r="I146" s="48"/>
      <c r="J146" s="50" t="s">
        <v>14121</v>
      </c>
    </row>
    <row r="147">
      <c r="A147" s="100">
        <v>24313.0</v>
      </c>
      <c r="B147" s="49" t="s">
        <v>20</v>
      </c>
      <c r="C147" s="11" t="s">
        <v>14122</v>
      </c>
      <c r="D147" s="49" t="s">
        <v>13828</v>
      </c>
      <c r="E147" s="11" t="s">
        <v>13834</v>
      </c>
      <c r="F147" s="48"/>
      <c r="G147" s="48"/>
      <c r="H147" s="55" t="s">
        <v>14123</v>
      </c>
      <c r="I147" s="48"/>
      <c r="J147" s="48"/>
    </row>
    <row r="148">
      <c r="A148" s="100">
        <v>24310.0</v>
      </c>
      <c r="B148" s="49" t="s">
        <v>20</v>
      </c>
      <c r="C148" s="11" t="s">
        <v>14124</v>
      </c>
      <c r="D148" s="49" t="s">
        <v>13828</v>
      </c>
      <c r="E148" s="11" t="s">
        <v>13834</v>
      </c>
      <c r="F148" s="48"/>
      <c r="G148" s="48"/>
      <c r="H148" s="55" t="s">
        <v>14125</v>
      </c>
      <c r="I148" s="48"/>
      <c r="J148" s="48"/>
    </row>
    <row r="149">
      <c r="A149" s="100">
        <v>24309.0</v>
      </c>
      <c r="B149" s="49" t="s">
        <v>20</v>
      </c>
      <c r="C149" s="11" t="s">
        <v>14126</v>
      </c>
      <c r="D149" s="49" t="s">
        <v>13828</v>
      </c>
      <c r="E149" s="11" t="s">
        <v>13834</v>
      </c>
      <c r="F149" s="48"/>
      <c r="G149" s="48"/>
      <c r="H149" s="55" t="s">
        <v>14127</v>
      </c>
      <c r="I149" s="50" t="s">
        <v>14128</v>
      </c>
      <c r="J149" s="48"/>
    </row>
    <row r="150">
      <c r="A150" s="100">
        <v>23972.0</v>
      </c>
      <c r="B150" s="49" t="s">
        <v>20</v>
      </c>
      <c r="C150" s="11" t="s">
        <v>13782</v>
      </c>
      <c r="D150" s="49" t="s">
        <v>13828</v>
      </c>
      <c r="E150" s="11" t="s">
        <v>13834</v>
      </c>
      <c r="F150" s="48"/>
      <c r="G150" s="48"/>
      <c r="H150" s="55" t="s">
        <v>14129</v>
      </c>
      <c r="I150" s="50" t="s">
        <v>14130</v>
      </c>
      <c r="J150" s="50" t="s">
        <v>14131</v>
      </c>
    </row>
    <row r="151">
      <c r="A151" s="100">
        <v>23970.0</v>
      </c>
      <c r="B151" s="49" t="s">
        <v>20</v>
      </c>
      <c r="C151" s="11" t="s">
        <v>11058</v>
      </c>
      <c r="D151" s="49" t="s">
        <v>13828</v>
      </c>
      <c r="E151" s="11" t="s">
        <v>13834</v>
      </c>
      <c r="F151" s="48"/>
      <c r="G151" s="48"/>
      <c r="H151" s="55" t="s">
        <v>14132</v>
      </c>
      <c r="I151" s="48"/>
      <c r="J151" s="50" t="s">
        <v>14133</v>
      </c>
    </row>
    <row r="152">
      <c r="A152" s="100">
        <v>23839.0</v>
      </c>
      <c r="B152" s="49" t="s">
        <v>20</v>
      </c>
      <c r="C152" s="11" t="s">
        <v>6680</v>
      </c>
      <c r="D152" s="49" t="s">
        <v>13828</v>
      </c>
      <c r="E152" s="11" t="s">
        <v>13834</v>
      </c>
      <c r="F152" s="48"/>
      <c r="G152" s="48"/>
      <c r="H152" s="55" t="s">
        <v>14134</v>
      </c>
      <c r="I152" s="50" t="s">
        <v>14135</v>
      </c>
      <c r="J152" s="48"/>
    </row>
    <row r="153">
      <c r="A153" s="100"/>
      <c r="B153" s="49" t="s">
        <v>20</v>
      </c>
      <c r="C153" s="11" t="s">
        <v>6680</v>
      </c>
      <c r="D153" s="49" t="s">
        <v>13828</v>
      </c>
      <c r="E153" s="11" t="s">
        <v>13834</v>
      </c>
      <c r="F153" s="48"/>
      <c r="G153" s="48"/>
      <c r="H153" s="55" t="s">
        <v>14136</v>
      </c>
      <c r="I153" s="59"/>
      <c r="J153" s="48"/>
    </row>
    <row r="154">
      <c r="A154" s="100">
        <v>23820.0</v>
      </c>
      <c r="B154" s="49" t="s">
        <v>20</v>
      </c>
      <c r="C154" s="11" t="s">
        <v>14137</v>
      </c>
      <c r="D154" s="49" t="s">
        <v>13828</v>
      </c>
      <c r="E154" s="11" t="s">
        <v>13834</v>
      </c>
      <c r="F154" s="48"/>
      <c r="G154" s="48"/>
      <c r="H154" s="48"/>
      <c r="I154" s="48"/>
      <c r="J154" s="50" t="s">
        <v>14138</v>
      </c>
    </row>
    <row r="155">
      <c r="A155" s="100">
        <v>23503.0</v>
      </c>
      <c r="B155" s="49" t="s">
        <v>301</v>
      </c>
      <c r="C155" s="11" t="s">
        <v>4208</v>
      </c>
      <c r="D155" s="49" t="s">
        <v>13828</v>
      </c>
      <c r="E155" s="11" t="s">
        <v>13834</v>
      </c>
      <c r="F155" s="48"/>
      <c r="G155" s="48"/>
      <c r="H155" s="55" t="s">
        <v>14139</v>
      </c>
      <c r="I155" s="50" t="s">
        <v>14140</v>
      </c>
      <c r="J155" s="48"/>
    </row>
    <row r="156">
      <c r="A156" s="100">
        <v>23481.0</v>
      </c>
      <c r="B156" s="49" t="s">
        <v>2364</v>
      </c>
      <c r="C156" s="11" t="s">
        <v>3629</v>
      </c>
      <c r="D156" s="49" t="s">
        <v>13828</v>
      </c>
      <c r="E156" s="11" t="s">
        <v>13834</v>
      </c>
      <c r="F156" s="48"/>
      <c r="G156" s="48"/>
      <c r="H156" s="55" t="s">
        <v>14141</v>
      </c>
      <c r="I156" s="50" t="s">
        <v>14142</v>
      </c>
      <c r="J156" s="50" t="s">
        <v>14143</v>
      </c>
    </row>
    <row r="157">
      <c r="A157" s="100">
        <v>23014.0</v>
      </c>
      <c r="B157" s="49" t="s">
        <v>20</v>
      </c>
      <c r="C157" s="11" t="s">
        <v>14144</v>
      </c>
      <c r="D157" s="49" t="s">
        <v>13828</v>
      </c>
      <c r="E157" s="11" t="s">
        <v>13834</v>
      </c>
      <c r="F157" s="48"/>
      <c r="G157" s="48"/>
      <c r="H157" s="55" t="s">
        <v>14145</v>
      </c>
      <c r="I157" s="48"/>
      <c r="J157" s="48"/>
    </row>
    <row r="158">
      <c r="A158" s="100"/>
      <c r="B158" s="49" t="s">
        <v>20</v>
      </c>
      <c r="C158" s="11" t="s">
        <v>14144</v>
      </c>
      <c r="D158" s="49" t="s">
        <v>13828</v>
      </c>
      <c r="E158" s="11" t="s">
        <v>13834</v>
      </c>
      <c r="F158" s="48"/>
      <c r="G158" s="48"/>
      <c r="H158" s="55" t="s">
        <v>14146</v>
      </c>
      <c r="I158" s="48"/>
      <c r="J158" s="48"/>
    </row>
    <row r="159">
      <c r="A159" s="100">
        <v>23012.0</v>
      </c>
      <c r="B159" s="49" t="s">
        <v>20</v>
      </c>
      <c r="C159" s="11" t="s">
        <v>1027</v>
      </c>
      <c r="D159" s="49" t="s">
        <v>13828</v>
      </c>
      <c r="E159" s="11" t="s">
        <v>13834</v>
      </c>
      <c r="F159" s="48"/>
      <c r="G159" s="48"/>
      <c r="H159" s="55" t="s">
        <v>14147</v>
      </c>
      <c r="I159" s="48"/>
      <c r="J159" s="48"/>
    </row>
    <row r="160">
      <c r="A160" s="100">
        <v>22524.0</v>
      </c>
      <c r="B160" s="49" t="s">
        <v>20</v>
      </c>
      <c r="C160" s="11" t="s">
        <v>14148</v>
      </c>
      <c r="D160" s="49" t="s">
        <v>13828</v>
      </c>
      <c r="E160" s="11" t="s">
        <v>13834</v>
      </c>
      <c r="F160" s="48"/>
      <c r="G160" s="48"/>
      <c r="H160" s="351" t="s">
        <v>14149</v>
      </c>
      <c r="I160" s="50" t="s">
        <v>14150</v>
      </c>
      <c r="J160" s="48"/>
    </row>
    <row r="161">
      <c r="A161" s="100">
        <v>21968.0</v>
      </c>
      <c r="B161" s="49" t="s">
        <v>20</v>
      </c>
      <c r="C161" s="11" t="s">
        <v>69</v>
      </c>
      <c r="D161" s="49" t="s">
        <v>13828</v>
      </c>
      <c r="E161" s="11" t="s">
        <v>13834</v>
      </c>
      <c r="F161" s="48"/>
      <c r="G161" s="48"/>
      <c r="H161" s="55" t="s">
        <v>14151</v>
      </c>
      <c r="I161" s="48"/>
      <c r="J161" s="50" t="s">
        <v>14152</v>
      </c>
    </row>
    <row r="162">
      <c r="A162" s="100">
        <v>21849.0</v>
      </c>
      <c r="B162" s="49" t="s">
        <v>20</v>
      </c>
      <c r="C162" s="11" t="s">
        <v>1052</v>
      </c>
      <c r="D162" s="49" t="s">
        <v>13828</v>
      </c>
      <c r="E162" s="11" t="s">
        <v>13834</v>
      </c>
      <c r="F162" s="48"/>
      <c r="G162" s="48"/>
      <c r="H162" s="55" t="s">
        <v>14153</v>
      </c>
      <c r="I162" s="50" t="s">
        <v>14154</v>
      </c>
      <c r="J162" s="48"/>
    </row>
    <row r="163">
      <c r="A163" s="100">
        <v>21847.0</v>
      </c>
      <c r="B163" s="49" t="s">
        <v>20</v>
      </c>
      <c r="C163" s="11" t="s">
        <v>14155</v>
      </c>
      <c r="D163" s="49" t="s">
        <v>13828</v>
      </c>
      <c r="E163" s="11" t="s">
        <v>13834</v>
      </c>
      <c r="F163" s="48"/>
      <c r="G163" s="48"/>
      <c r="H163" s="55" t="s">
        <v>14156</v>
      </c>
      <c r="I163" s="48"/>
      <c r="J163" s="48"/>
    </row>
    <row r="164">
      <c r="A164" s="100">
        <v>21846.0</v>
      </c>
      <c r="B164" s="49" t="s">
        <v>20</v>
      </c>
      <c r="C164" s="11" t="s">
        <v>14157</v>
      </c>
      <c r="D164" s="49" t="s">
        <v>13828</v>
      </c>
      <c r="E164" s="11" t="s">
        <v>13834</v>
      </c>
      <c r="F164" s="48"/>
      <c r="G164" s="48"/>
      <c r="H164" s="55" t="s">
        <v>14158</v>
      </c>
      <c r="I164" s="48"/>
      <c r="J164" s="48"/>
    </row>
    <row r="165">
      <c r="A165" s="100">
        <v>21840.0</v>
      </c>
      <c r="B165" s="49" t="s">
        <v>20</v>
      </c>
      <c r="C165" s="11" t="s">
        <v>14159</v>
      </c>
      <c r="D165" s="49" t="s">
        <v>13828</v>
      </c>
      <c r="E165" s="11" t="s">
        <v>13834</v>
      </c>
      <c r="F165" s="48"/>
      <c r="G165" s="48"/>
      <c r="H165" s="55" t="s">
        <v>14160</v>
      </c>
      <c r="I165" s="50" t="s">
        <v>14161</v>
      </c>
      <c r="J165" s="48"/>
    </row>
    <row r="166">
      <c r="A166" s="100">
        <v>21839.0</v>
      </c>
      <c r="B166" s="49" t="s">
        <v>20</v>
      </c>
      <c r="C166" s="11" t="s">
        <v>14162</v>
      </c>
      <c r="D166" s="49" t="s">
        <v>13828</v>
      </c>
      <c r="E166" s="11" t="s">
        <v>13834</v>
      </c>
      <c r="F166" s="48"/>
      <c r="G166" s="48"/>
      <c r="H166" s="55" t="s">
        <v>14163</v>
      </c>
      <c r="I166" s="50" t="s">
        <v>14164</v>
      </c>
      <c r="J166" s="48"/>
    </row>
    <row r="167">
      <c r="A167" s="100">
        <v>21833.0</v>
      </c>
      <c r="B167" s="49" t="s">
        <v>20</v>
      </c>
      <c r="C167" s="11" t="s">
        <v>14165</v>
      </c>
      <c r="D167" s="49" t="s">
        <v>13828</v>
      </c>
      <c r="E167" s="11" t="s">
        <v>13834</v>
      </c>
      <c r="F167" s="48"/>
      <c r="G167" s="48"/>
      <c r="H167" s="55" t="s">
        <v>14166</v>
      </c>
      <c r="I167" s="48"/>
      <c r="J167" s="48"/>
    </row>
    <row r="168">
      <c r="A168" s="100">
        <v>21643.0</v>
      </c>
      <c r="B168" s="49" t="s">
        <v>20</v>
      </c>
      <c r="C168" s="11" t="s">
        <v>14119</v>
      </c>
      <c r="D168" s="49" t="s">
        <v>13828</v>
      </c>
      <c r="E168" s="11" t="s">
        <v>13834</v>
      </c>
      <c r="F168" s="48"/>
      <c r="G168" s="48"/>
      <c r="H168" s="55" t="s">
        <v>14167</v>
      </c>
      <c r="I168" s="48"/>
      <c r="J168" s="48"/>
    </row>
    <row r="169">
      <c r="A169" s="100">
        <v>21128.0</v>
      </c>
      <c r="B169" s="49" t="s">
        <v>20</v>
      </c>
      <c r="C169" s="11" t="s">
        <v>14168</v>
      </c>
      <c r="D169" s="49" t="s">
        <v>13828</v>
      </c>
      <c r="E169" s="11" t="s">
        <v>13834</v>
      </c>
      <c r="F169" s="48"/>
      <c r="G169" s="48"/>
      <c r="H169" s="55" t="s">
        <v>14169</v>
      </c>
      <c r="I169" s="50" t="s">
        <v>14170</v>
      </c>
      <c r="J169" s="50" t="s">
        <v>14171</v>
      </c>
    </row>
    <row r="170">
      <c r="A170" s="100">
        <v>21123.0</v>
      </c>
      <c r="B170" s="49" t="s">
        <v>20</v>
      </c>
      <c r="C170" s="11" t="s">
        <v>14172</v>
      </c>
      <c r="D170" s="49" t="s">
        <v>13828</v>
      </c>
      <c r="E170" s="11" t="s">
        <v>13834</v>
      </c>
      <c r="F170" s="48"/>
      <c r="G170" s="48"/>
      <c r="H170" s="55" t="s">
        <v>14173</v>
      </c>
      <c r="I170" s="48"/>
      <c r="J170" s="48"/>
    </row>
    <row r="171">
      <c r="A171" s="100">
        <v>21122.0</v>
      </c>
      <c r="B171" s="49" t="s">
        <v>766</v>
      </c>
      <c r="C171" s="11" t="s">
        <v>14174</v>
      </c>
      <c r="D171" s="49" t="s">
        <v>13828</v>
      </c>
      <c r="E171" s="11" t="s">
        <v>13834</v>
      </c>
      <c r="F171" s="48"/>
      <c r="G171" s="48"/>
      <c r="H171" s="55" t="s">
        <v>14175</v>
      </c>
      <c r="I171" s="48"/>
      <c r="J171" s="48"/>
    </row>
    <row r="172">
      <c r="A172" s="100">
        <v>21004.0</v>
      </c>
      <c r="B172" s="49" t="s">
        <v>20</v>
      </c>
      <c r="C172" s="11" t="s">
        <v>14176</v>
      </c>
      <c r="D172" s="49" t="s">
        <v>13828</v>
      </c>
      <c r="E172" s="11" t="s">
        <v>13834</v>
      </c>
      <c r="F172" s="48"/>
      <c r="G172" s="48"/>
      <c r="H172" s="55" t="s">
        <v>14177</v>
      </c>
      <c r="I172" s="48"/>
      <c r="J172" s="48"/>
    </row>
    <row r="173">
      <c r="A173" s="100"/>
      <c r="B173" s="49" t="s">
        <v>20</v>
      </c>
      <c r="C173" s="11" t="s">
        <v>3617</v>
      </c>
      <c r="D173" s="49" t="s">
        <v>13828</v>
      </c>
      <c r="E173" s="11" t="s">
        <v>13834</v>
      </c>
      <c r="F173" s="48"/>
      <c r="G173" s="48"/>
      <c r="H173" s="351" t="s">
        <v>14178</v>
      </c>
      <c r="I173" s="48"/>
      <c r="J173" s="48"/>
    </row>
    <row r="174">
      <c r="A174" s="100">
        <v>21002.0</v>
      </c>
      <c r="B174" s="49" t="s">
        <v>20</v>
      </c>
      <c r="C174" s="11" t="s">
        <v>14179</v>
      </c>
      <c r="D174" s="49" t="s">
        <v>13828</v>
      </c>
      <c r="E174" s="11" t="s">
        <v>13834</v>
      </c>
      <c r="F174" s="48"/>
      <c r="G174" s="48"/>
      <c r="H174" s="55" t="s">
        <v>14180</v>
      </c>
      <c r="I174" s="50" t="s">
        <v>14181</v>
      </c>
      <c r="J174" s="48"/>
    </row>
    <row r="175">
      <c r="A175" s="100">
        <v>20999.0</v>
      </c>
      <c r="B175" s="49" t="s">
        <v>20</v>
      </c>
      <c r="C175" s="11" t="s">
        <v>10237</v>
      </c>
      <c r="D175" s="49" t="s">
        <v>13828</v>
      </c>
      <c r="E175" s="11" t="s">
        <v>13834</v>
      </c>
      <c r="F175" s="48"/>
      <c r="G175" s="48"/>
      <c r="H175" s="48"/>
      <c r="I175" s="48"/>
      <c r="J175" s="50" t="s">
        <v>14182</v>
      </c>
    </row>
    <row r="176">
      <c r="A176" s="100">
        <v>20757.0</v>
      </c>
      <c r="B176" s="49" t="s">
        <v>20</v>
      </c>
      <c r="C176" s="11" t="s">
        <v>14183</v>
      </c>
      <c r="D176" s="49" t="s">
        <v>13828</v>
      </c>
      <c r="E176" s="11" t="s">
        <v>13834</v>
      </c>
      <c r="F176" s="48"/>
      <c r="G176" s="48"/>
      <c r="H176" s="55" t="s">
        <v>14184</v>
      </c>
      <c r="I176" s="50" t="s">
        <v>14185</v>
      </c>
      <c r="J176" s="48"/>
    </row>
    <row r="177">
      <c r="A177" s="100">
        <v>20690.0</v>
      </c>
      <c r="B177" s="49" t="s">
        <v>20</v>
      </c>
      <c r="C177" s="11" t="s">
        <v>14186</v>
      </c>
      <c r="D177" s="49" t="s">
        <v>13828</v>
      </c>
      <c r="E177" s="11" t="s">
        <v>13834</v>
      </c>
      <c r="F177" s="48"/>
      <c r="G177" s="48"/>
      <c r="H177" s="55" t="s">
        <v>14187</v>
      </c>
      <c r="I177" s="50" t="s">
        <v>14188</v>
      </c>
      <c r="J177" s="48"/>
    </row>
    <row r="178">
      <c r="A178" s="100">
        <v>20478.0</v>
      </c>
      <c r="B178" s="49" t="s">
        <v>20</v>
      </c>
      <c r="C178" s="11" t="s">
        <v>14189</v>
      </c>
      <c r="D178" s="49" t="s">
        <v>13828</v>
      </c>
      <c r="E178" s="11" t="s">
        <v>13834</v>
      </c>
      <c r="F178" s="48"/>
      <c r="G178" s="48"/>
      <c r="H178" s="55" t="s">
        <v>14190</v>
      </c>
      <c r="I178" s="50" t="s">
        <v>14191</v>
      </c>
      <c r="J178" s="48"/>
    </row>
    <row r="179">
      <c r="A179" s="100">
        <v>20452.0</v>
      </c>
      <c r="B179" s="49" t="s">
        <v>20</v>
      </c>
      <c r="C179" s="11" t="s">
        <v>14192</v>
      </c>
      <c r="D179" s="49" t="s">
        <v>13828</v>
      </c>
      <c r="E179" s="11" t="s">
        <v>13834</v>
      </c>
      <c r="F179" s="48"/>
      <c r="G179" s="48"/>
      <c r="H179" s="55" t="s">
        <v>14193</v>
      </c>
      <c r="I179" s="50" t="s">
        <v>14194</v>
      </c>
      <c r="J179" s="48"/>
    </row>
    <row r="180">
      <c r="A180" s="100">
        <v>20319.0</v>
      </c>
      <c r="B180" s="49" t="s">
        <v>20</v>
      </c>
      <c r="C180" s="11" t="s">
        <v>963</v>
      </c>
      <c r="D180" s="49" t="s">
        <v>13828</v>
      </c>
      <c r="E180" s="11" t="s">
        <v>13834</v>
      </c>
      <c r="F180" s="48"/>
      <c r="G180" s="48"/>
      <c r="H180" s="55" t="s">
        <v>14195</v>
      </c>
      <c r="I180" s="48"/>
      <c r="J180" s="50" t="s">
        <v>14196</v>
      </c>
    </row>
    <row r="181">
      <c r="A181" s="100">
        <v>20317.0</v>
      </c>
      <c r="B181" s="49" t="s">
        <v>20</v>
      </c>
      <c r="C181" s="11" t="s">
        <v>14197</v>
      </c>
      <c r="D181" s="49" t="s">
        <v>13828</v>
      </c>
      <c r="E181" s="11" t="s">
        <v>13834</v>
      </c>
      <c r="F181" s="48"/>
      <c r="G181" s="48"/>
      <c r="H181" s="55" t="s">
        <v>14198</v>
      </c>
      <c r="I181" s="50" t="s">
        <v>14199</v>
      </c>
      <c r="J181" s="48"/>
    </row>
    <row r="182">
      <c r="A182" s="100">
        <v>20316.0</v>
      </c>
      <c r="B182" s="49" t="s">
        <v>20</v>
      </c>
      <c r="C182" s="11" t="s">
        <v>14200</v>
      </c>
      <c r="D182" s="49" t="s">
        <v>13828</v>
      </c>
      <c r="E182" s="11" t="s">
        <v>13834</v>
      </c>
      <c r="F182" s="48"/>
      <c r="G182" s="48"/>
      <c r="H182" s="48"/>
      <c r="I182" s="48"/>
      <c r="J182" s="50" t="s">
        <v>14201</v>
      </c>
    </row>
    <row r="183">
      <c r="A183" s="100">
        <v>20308.0</v>
      </c>
      <c r="B183" s="49" t="s">
        <v>20</v>
      </c>
      <c r="C183" s="11" t="s">
        <v>14202</v>
      </c>
      <c r="D183" s="49" t="s">
        <v>13828</v>
      </c>
      <c r="E183" s="11" t="s">
        <v>13834</v>
      </c>
      <c r="F183" s="48"/>
      <c r="G183" s="48"/>
      <c r="H183" s="55" t="s">
        <v>14203</v>
      </c>
      <c r="I183" s="50" t="s">
        <v>14204</v>
      </c>
      <c r="J183" s="48"/>
    </row>
    <row r="184">
      <c r="A184" s="100">
        <v>20306.0</v>
      </c>
      <c r="B184" s="49" t="s">
        <v>20</v>
      </c>
      <c r="C184" s="11" t="s">
        <v>14205</v>
      </c>
      <c r="D184" s="49" t="s">
        <v>13828</v>
      </c>
      <c r="E184" s="11" t="s">
        <v>13834</v>
      </c>
      <c r="F184" s="48"/>
      <c r="G184" s="48"/>
      <c r="H184" s="55" t="s">
        <v>14206</v>
      </c>
      <c r="I184" s="48"/>
      <c r="J184" s="48"/>
    </row>
    <row r="185">
      <c r="A185" s="100">
        <v>20303.0</v>
      </c>
      <c r="B185" s="49" t="s">
        <v>20</v>
      </c>
      <c r="C185" s="11" t="s">
        <v>14207</v>
      </c>
      <c r="D185" s="49" t="s">
        <v>13828</v>
      </c>
      <c r="E185" s="11" t="s">
        <v>13834</v>
      </c>
      <c r="F185" s="48"/>
      <c r="G185" s="48"/>
      <c r="H185" s="55" t="s">
        <v>14208</v>
      </c>
      <c r="I185" s="48"/>
      <c r="J185" s="48"/>
    </row>
    <row r="186">
      <c r="A186" s="100">
        <v>20301.0</v>
      </c>
      <c r="B186" s="49" t="s">
        <v>20</v>
      </c>
      <c r="C186" s="11" t="s">
        <v>14209</v>
      </c>
      <c r="D186" s="49" t="s">
        <v>13828</v>
      </c>
      <c r="E186" s="11" t="s">
        <v>13834</v>
      </c>
      <c r="F186" s="48"/>
      <c r="G186" s="48"/>
      <c r="H186" s="48"/>
      <c r="I186" s="48"/>
      <c r="J186" s="50" t="s">
        <v>14210</v>
      </c>
    </row>
    <row r="187">
      <c r="A187" s="100">
        <v>20299.0</v>
      </c>
      <c r="B187" s="49" t="s">
        <v>20</v>
      </c>
      <c r="C187" s="11" t="s">
        <v>14211</v>
      </c>
      <c r="D187" s="49" t="s">
        <v>13828</v>
      </c>
      <c r="E187" s="11" t="s">
        <v>13834</v>
      </c>
      <c r="F187" s="48"/>
      <c r="G187" s="48"/>
      <c r="H187" s="55" t="s">
        <v>14212</v>
      </c>
      <c r="I187" s="50" t="s">
        <v>14213</v>
      </c>
      <c r="J187" s="50" t="s">
        <v>14214</v>
      </c>
    </row>
    <row r="188">
      <c r="A188" s="100">
        <v>20201.0</v>
      </c>
      <c r="B188" s="49" t="s">
        <v>20</v>
      </c>
      <c r="C188" s="11" t="s">
        <v>14215</v>
      </c>
      <c r="D188" s="49" t="s">
        <v>13828</v>
      </c>
      <c r="E188" s="11" t="s">
        <v>13834</v>
      </c>
      <c r="F188" s="48"/>
      <c r="G188" s="48"/>
      <c r="H188" s="55" t="s">
        <v>14216</v>
      </c>
      <c r="I188" s="48"/>
      <c r="J188" s="48"/>
    </row>
    <row r="189">
      <c r="A189" s="100">
        <v>19768.0</v>
      </c>
      <c r="B189" s="49" t="s">
        <v>20</v>
      </c>
      <c r="C189" s="11" t="s">
        <v>14217</v>
      </c>
      <c r="D189" s="49" t="s">
        <v>13828</v>
      </c>
      <c r="E189" s="11" t="s">
        <v>13834</v>
      </c>
      <c r="F189" s="48"/>
      <c r="G189" s="48"/>
      <c r="H189" s="55" t="s">
        <v>14218</v>
      </c>
      <c r="I189" s="48"/>
      <c r="J189" s="48"/>
    </row>
    <row r="190">
      <c r="A190" s="100">
        <v>18949.0</v>
      </c>
      <c r="B190" s="49" t="s">
        <v>20</v>
      </c>
      <c r="C190" s="11" t="s">
        <v>14219</v>
      </c>
      <c r="D190" s="49" t="s">
        <v>13828</v>
      </c>
      <c r="E190" s="11" t="s">
        <v>13834</v>
      </c>
      <c r="F190" s="48"/>
      <c r="G190" s="48"/>
      <c r="H190" s="55" t="s">
        <v>14220</v>
      </c>
      <c r="I190" s="50" t="s">
        <v>14221</v>
      </c>
      <c r="J190" s="48"/>
    </row>
    <row r="191">
      <c r="A191" s="100"/>
      <c r="B191" s="49" t="s">
        <v>20</v>
      </c>
      <c r="C191" s="11" t="s">
        <v>14219</v>
      </c>
      <c r="D191" s="49" t="s">
        <v>13828</v>
      </c>
      <c r="E191" s="11" t="s">
        <v>13834</v>
      </c>
      <c r="F191" s="48"/>
      <c r="G191" s="48"/>
      <c r="H191" s="55" t="s">
        <v>14222</v>
      </c>
      <c r="I191" s="59"/>
      <c r="J191" s="48"/>
    </row>
    <row r="192">
      <c r="A192" s="100"/>
      <c r="B192" s="49" t="s">
        <v>20</v>
      </c>
      <c r="C192" s="11" t="s">
        <v>14223</v>
      </c>
      <c r="D192" s="49" t="s">
        <v>13828</v>
      </c>
      <c r="E192" s="11" t="s">
        <v>13834</v>
      </c>
      <c r="F192" s="48"/>
      <c r="G192" s="48"/>
      <c r="H192" s="65"/>
      <c r="I192" s="50" t="s">
        <v>14224</v>
      </c>
      <c r="J192" s="48"/>
    </row>
    <row r="193">
      <c r="A193" s="100"/>
      <c r="B193" s="49" t="s">
        <v>20</v>
      </c>
      <c r="C193" s="11" t="s">
        <v>14225</v>
      </c>
      <c r="D193" s="49" t="s">
        <v>13828</v>
      </c>
      <c r="E193" s="11" t="s">
        <v>13834</v>
      </c>
      <c r="F193" s="48"/>
      <c r="G193" s="48"/>
      <c r="H193" s="55" t="s">
        <v>14226</v>
      </c>
      <c r="I193" s="59"/>
      <c r="J193" s="48"/>
    </row>
    <row r="194">
      <c r="A194" s="100">
        <v>18585.0</v>
      </c>
      <c r="B194" s="49" t="s">
        <v>20</v>
      </c>
      <c r="C194" s="11" t="s">
        <v>14227</v>
      </c>
      <c r="D194" s="49" t="s">
        <v>13828</v>
      </c>
      <c r="E194" s="11" t="s">
        <v>13834</v>
      </c>
      <c r="F194" s="48"/>
      <c r="G194" s="48"/>
      <c r="H194" s="55" t="s">
        <v>14228</v>
      </c>
      <c r="I194" s="48"/>
      <c r="J194" s="50" t="s">
        <v>14229</v>
      </c>
    </row>
    <row r="195">
      <c r="A195" s="100">
        <v>18380.0</v>
      </c>
      <c r="B195" s="49" t="s">
        <v>20</v>
      </c>
      <c r="C195" s="11" t="s">
        <v>12910</v>
      </c>
      <c r="D195" s="49" t="s">
        <v>13828</v>
      </c>
      <c r="E195" s="11" t="s">
        <v>13834</v>
      </c>
      <c r="F195" s="48"/>
      <c r="G195" s="48"/>
      <c r="H195" s="55" t="s">
        <v>14230</v>
      </c>
      <c r="I195" s="50" t="s">
        <v>14231</v>
      </c>
      <c r="J195" s="48"/>
    </row>
    <row r="196">
      <c r="A196" s="100">
        <v>17779.0</v>
      </c>
      <c r="B196" s="49" t="s">
        <v>20</v>
      </c>
      <c r="C196" s="11" t="s">
        <v>14232</v>
      </c>
      <c r="D196" s="49" t="s">
        <v>13828</v>
      </c>
      <c r="E196" s="11" t="s">
        <v>13834</v>
      </c>
      <c r="F196" s="48"/>
      <c r="G196" s="48"/>
      <c r="H196" s="55" t="s">
        <v>14233</v>
      </c>
      <c r="I196" s="48"/>
      <c r="J196" s="50" t="s">
        <v>14234</v>
      </c>
    </row>
    <row r="197">
      <c r="A197" s="100">
        <v>432.0</v>
      </c>
      <c r="B197" s="49" t="s">
        <v>20</v>
      </c>
      <c r="C197" s="11" t="s">
        <v>3898</v>
      </c>
      <c r="D197" s="49" t="s">
        <v>13828</v>
      </c>
      <c r="E197" s="11" t="s">
        <v>13834</v>
      </c>
      <c r="F197" s="48"/>
      <c r="G197" s="48"/>
      <c r="H197" s="55" t="s">
        <v>14235</v>
      </c>
      <c r="I197" s="48"/>
      <c r="J197" s="48"/>
    </row>
    <row r="198">
      <c r="A198" s="100">
        <v>419.0</v>
      </c>
      <c r="B198" s="49" t="s">
        <v>20</v>
      </c>
      <c r="C198" s="11" t="s">
        <v>14236</v>
      </c>
      <c r="D198" s="49" t="s">
        <v>13828</v>
      </c>
      <c r="E198" s="11" t="s">
        <v>13834</v>
      </c>
      <c r="F198" s="48"/>
      <c r="G198" s="48"/>
      <c r="H198" s="55" t="s">
        <v>6615</v>
      </c>
      <c r="I198" s="50" t="s">
        <v>14237</v>
      </c>
      <c r="J198" s="48"/>
    </row>
    <row r="199">
      <c r="A199" s="100">
        <v>417.0</v>
      </c>
      <c r="B199" s="49" t="s">
        <v>20</v>
      </c>
      <c r="C199" s="11" t="s">
        <v>14238</v>
      </c>
      <c r="D199" s="49" t="s">
        <v>13828</v>
      </c>
      <c r="E199" s="11" t="s">
        <v>13834</v>
      </c>
      <c r="F199" s="48"/>
      <c r="G199" s="48"/>
      <c r="H199" s="55" t="s">
        <v>14239</v>
      </c>
      <c r="I199" s="48"/>
      <c r="J199" s="50" t="s">
        <v>14240</v>
      </c>
    </row>
    <row r="200">
      <c r="A200" s="100">
        <v>398.0</v>
      </c>
      <c r="B200" s="49" t="s">
        <v>20</v>
      </c>
      <c r="C200" s="11" t="s">
        <v>14241</v>
      </c>
      <c r="D200" s="49" t="s">
        <v>13828</v>
      </c>
      <c r="E200" s="11" t="s">
        <v>13834</v>
      </c>
      <c r="F200" s="48"/>
      <c r="G200" s="48"/>
      <c r="H200" s="55" t="s">
        <v>14242</v>
      </c>
      <c r="I200" s="48"/>
      <c r="J200" s="48"/>
    </row>
    <row r="201">
      <c r="A201" s="100">
        <v>389.0</v>
      </c>
      <c r="B201" s="49" t="s">
        <v>20</v>
      </c>
      <c r="C201" s="11" t="s">
        <v>14243</v>
      </c>
      <c r="D201" s="49" t="s">
        <v>13828</v>
      </c>
      <c r="E201" s="11" t="s">
        <v>13834</v>
      </c>
      <c r="F201" s="48"/>
      <c r="G201" s="48"/>
      <c r="H201" s="55" t="s">
        <v>14244</v>
      </c>
      <c r="I201" s="48"/>
      <c r="J201" s="48"/>
    </row>
    <row r="202">
      <c r="A202" s="100">
        <v>388.0</v>
      </c>
      <c r="B202" s="49" t="s">
        <v>20</v>
      </c>
      <c r="C202" s="11" t="s">
        <v>14245</v>
      </c>
      <c r="D202" s="49" t="s">
        <v>13828</v>
      </c>
      <c r="E202" s="11" t="s">
        <v>13834</v>
      </c>
      <c r="F202" s="48"/>
      <c r="G202" s="48"/>
      <c r="H202" s="55" t="s">
        <v>14246</v>
      </c>
      <c r="I202" s="50" t="s">
        <v>14247</v>
      </c>
      <c r="J202" s="48"/>
    </row>
    <row r="203">
      <c r="A203" s="100">
        <v>387.0</v>
      </c>
      <c r="B203" s="49" t="s">
        <v>20</v>
      </c>
      <c r="C203" s="11" t="s">
        <v>8289</v>
      </c>
      <c r="D203" s="49" t="s">
        <v>13828</v>
      </c>
      <c r="E203" s="11" t="s">
        <v>13834</v>
      </c>
      <c r="F203" s="48"/>
      <c r="G203" s="48"/>
      <c r="H203" s="55" t="s">
        <v>14248</v>
      </c>
      <c r="I203" s="50" t="s">
        <v>14249</v>
      </c>
      <c r="J203" s="48"/>
    </row>
    <row r="204">
      <c r="A204" s="100">
        <v>386.0</v>
      </c>
      <c r="B204" s="49" t="s">
        <v>20</v>
      </c>
      <c r="C204" s="11" t="s">
        <v>14250</v>
      </c>
      <c r="D204" s="49" t="s">
        <v>13828</v>
      </c>
      <c r="E204" s="11" t="s">
        <v>13834</v>
      </c>
      <c r="F204" s="48"/>
      <c r="G204" s="48"/>
      <c r="H204" s="48"/>
      <c r="I204" s="48"/>
      <c r="J204" s="50" t="s">
        <v>14251</v>
      </c>
    </row>
    <row r="205">
      <c r="A205" s="100">
        <v>378.0</v>
      </c>
      <c r="B205" s="49" t="s">
        <v>20</v>
      </c>
      <c r="C205" s="11" t="s">
        <v>14252</v>
      </c>
      <c r="D205" s="49" t="s">
        <v>13828</v>
      </c>
      <c r="E205" s="11" t="s">
        <v>13834</v>
      </c>
      <c r="F205" s="48"/>
      <c r="G205" s="48"/>
      <c r="H205" s="55" t="s">
        <v>14253</v>
      </c>
      <c r="I205" s="48"/>
      <c r="J205" s="48"/>
    </row>
    <row r="206">
      <c r="A206" s="100"/>
      <c r="B206" s="49" t="s">
        <v>20</v>
      </c>
      <c r="C206" s="14" t="s">
        <v>14254</v>
      </c>
      <c r="D206" s="49" t="s">
        <v>13828</v>
      </c>
      <c r="E206" s="11" t="s">
        <v>13834</v>
      </c>
      <c r="F206" s="48"/>
      <c r="G206" s="48"/>
      <c r="H206" s="55" t="s">
        <v>14255</v>
      </c>
      <c r="I206" s="48"/>
      <c r="J206" s="48"/>
    </row>
    <row r="207">
      <c r="A207" s="100">
        <v>367.0</v>
      </c>
      <c r="B207" s="49" t="s">
        <v>20</v>
      </c>
      <c r="C207" s="11" t="s">
        <v>8652</v>
      </c>
      <c r="D207" s="49" t="s">
        <v>13828</v>
      </c>
      <c r="E207" s="11" t="s">
        <v>13834</v>
      </c>
      <c r="F207" s="48"/>
      <c r="G207" s="48"/>
      <c r="H207" s="48"/>
      <c r="I207" s="48"/>
      <c r="J207" s="50" t="s">
        <v>14256</v>
      </c>
    </row>
    <row r="208">
      <c r="A208" s="100">
        <v>362.0</v>
      </c>
      <c r="B208" s="49" t="s">
        <v>20</v>
      </c>
      <c r="C208" s="11" t="s">
        <v>14257</v>
      </c>
      <c r="D208" s="49" t="s">
        <v>13828</v>
      </c>
      <c r="E208" s="11" t="s">
        <v>13834</v>
      </c>
      <c r="F208" s="48"/>
      <c r="G208" s="48"/>
      <c r="H208" s="55" t="s">
        <v>14258</v>
      </c>
      <c r="I208" s="48"/>
      <c r="J208" s="48"/>
    </row>
    <row r="209">
      <c r="A209" s="100"/>
      <c r="B209" s="49" t="s">
        <v>20</v>
      </c>
      <c r="C209" s="11" t="s">
        <v>74</v>
      </c>
      <c r="D209" s="49" t="s">
        <v>13828</v>
      </c>
      <c r="E209" s="11" t="s">
        <v>13834</v>
      </c>
      <c r="F209" s="48"/>
      <c r="G209" s="48"/>
      <c r="H209" s="55" t="s">
        <v>14259</v>
      </c>
      <c r="I209" s="48"/>
      <c r="J209" s="50" t="s">
        <v>14260</v>
      </c>
    </row>
    <row r="210">
      <c r="A210" s="100">
        <v>357.0</v>
      </c>
      <c r="B210" s="49" t="s">
        <v>20</v>
      </c>
      <c r="C210" s="11" t="s">
        <v>14261</v>
      </c>
      <c r="D210" s="49" t="s">
        <v>13828</v>
      </c>
      <c r="E210" s="11" t="s">
        <v>13834</v>
      </c>
      <c r="F210" s="48"/>
      <c r="G210" s="48"/>
      <c r="H210" s="55" t="s">
        <v>14262</v>
      </c>
      <c r="I210" s="48"/>
      <c r="J210" s="48"/>
    </row>
    <row r="211">
      <c r="A211" s="100">
        <v>350.0</v>
      </c>
      <c r="B211" s="49" t="s">
        <v>20</v>
      </c>
      <c r="C211" s="11" t="s">
        <v>14263</v>
      </c>
      <c r="D211" s="49" t="s">
        <v>13828</v>
      </c>
      <c r="E211" s="11" t="s">
        <v>13834</v>
      </c>
      <c r="F211" s="48"/>
      <c r="G211" s="48"/>
      <c r="H211" s="55" t="s">
        <v>14264</v>
      </c>
      <c r="I211" s="48"/>
      <c r="J211" s="48"/>
    </row>
    <row r="212">
      <c r="A212" s="100">
        <v>349.0</v>
      </c>
      <c r="B212" s="49" t="s">
        <v>20</v>
      </c>
      <c r="C212" s="11" t="s">
        <v>14265</v>
      </c>
      <c r="D212" s="49" t="s">
        <v>13828</v>
      </c>
      <c r="E212" s="11" t="s">
        <v>13834</v>
      </c>
      <c r="F212" s="48"/>
      <c r="G212" s="48"/>
      <c r="H212" s="55" t="s">
        <v>14266</v>
      </c>
      <c r="I212" s="50" t="s">
        <v>14267</v>
      </c>
      <c r="J212" s="48"/>
    </row>
    <row r="213">
      <c r="A213" s="100">
        <v>346.0</v>
      </c>
      <c r="B213" s="49" t="s">
        <v>20</v>
      </c>
      <c r="C213" s="11" t="s">
        <v>14268</v>
      </c>
      <c r="D213" s="49" t="s">
        <v>13828</v>
      </c>
      <c r="E213" s="11" t="s">
        <v>13834</v>
      </c>
      <c r="F213" s="48"/>
      <c r="G213" s="48"/>
      <c r="H213" s="55" t="s">
        <v>14269</v>
      </c>
      <c r="I213" s="48"/>
      <c r="J213" s="48"/>
    </row>
    <row r="214">
      <c r="A214" s="100">
        <v>345.0</v>
      </c>
      <c r="B214" s="49" t="s">
        <v>20</v>
      </c>
      <c r="C214" s="11" t="s">
        <v>14270</v>
      </c>
      <c r="D214" s="49" t="s">
        <v>13828</v>
      </c>
      <c r="E214" s="11" t="s">
        <v>13834</v>
      </c>
      <c r="F214" s="48"/>
      <c r="G214" s="48"/>
      <c r="H214" s="55" t="s">
        <v>14271</v>
      </c>
      <c r="I214" s="48"/>
      <c r="J214" s="48"/>
    </row>
    <row r="215">
      <c r="A215" s="100">
        <v>344.0</v>
      </c>
      <c r="B215" s="49" t="s">
        <v>20</v>
      </c>
      <c r="C215" s="11" t="s">
        <v>14272</v>
      </c>
      <c r="D215" s="49" t="s">
        <v>13828</v>
      </c>
      <c r="E215" s="11" t="s">
        <v>13834</v>
      </c>
      <c r="F215" s="48"/>
      <c r="G215" s="48"/>
      <c r="H215" s="55" t="s">
        <v>14273</v>
      </c>
      <c r="I215" s="48"/>
      <c r="J215" s="48"/>
    </row>
    <row r="216">
      <c r="A216" s="100">
        <v>320.0</v>
      </c>
      <c r="B216" s="49" t="s">
        <v>20</v>
      </c>
      <c r="C216" s="11" t="s">
        <v>14274</v>
      </c>
      <c r="D216" s="49" t="s">
        <v>13828</v>
      </c>
      <c r="E216" s="11" t="s">
        <v>13834</v>
      </c>
      <c r="F216" s="48"/>
      <c r="G216" s="48"/>
      <c r="H216" s="55" t="s">
        <v>14275</v>
      </c>
      <c r="I216" s="48"/>
      <c r="J216" s="48"/>
    </row>
    <row r="217">
      <c r="A217" s="100">
        <v>304.0</v>
      </c>
      <c r="B217" s="49" t="s">
        <v>20</v>
      </c>
      <c r="C217" s="11" t="s">
        <v>14276</v>
      </c>
      <c r="D217" s="49" t="s">
        <v>13828</v>
      </c>
      <c r="E217" s="11" t="s">
        <v>13834</v>
      </c>
      <c r="F217" s="48"/>
      <c r="G217" s="48"/>
      <c r="H217" s="55" t="s">
        <v>14277</v>
      </c>
      <c r="I217" s="48"/>
      <c r="J217" s="48"/>
    </row>
    <row r="218">
      <c r="A218" s="100">
        <v>298.0</v>
      </c>
      <c r="B218" s="49" t="s">
        <v>20</v>
      </c>
      <c r="C218" s="11" t="s">
        <v>8507</v>
      </c>
      <c r="D218" s="49" t="s">
        <v>13828</v>
      </c>
      <c r="E218" s="11" t="s">
        <v>13834</v>
      </c>
      <c r="F218" s="48"/>
      <c r="G218" s="48"/>
      <c r="H218" s="55" t="s">
        <v>14278</v>
      </c>
      <c r="I218" s="48"/>
      <c r="J218" s="48"/>
    </row>
    <row r="219">
      <c r="A219" s="100">
        <v>293.0</v>
      </c>
      <c r="B219" s="49" t="s">
        <v>20</v>
      </c>
      <c r="C219" s="11" t="s">
        <v>855</v>
      </c>
      <c r="D219" s="49" t="s">
        <v>13828</v>
      </c>
      <c r="E219" s="11" t="s">
        <v>13834</v>
      </c>
      <c r="F219" s="48"/>
      <c r="G219" s="48"/>
      <c r="H219" s="55" t="s">
        <v>14279</v>
      </c>
      <c r="I219" s="50" t="s">
        <v>14280</v>
      </c>
      <c r="J219" s="50" t="s">
        <v>14281</v>
      </c>
    </row>
    <row r="220">
      <c r="A220" s="100">
        <v>291.0</v>
      </c>
      <c r="B220" s="49" t="s">
        <v>20</v>
      </c>
      <c r="C220" s="11" t="s">
        <v>14282</v>
      </c>
      <c r="D220" s="49" t="s">
        <v>13828</v>
      </c>
      <c r="E220" s="11" t="s">
        <v>13834</v>
      </c>
      <c r="F220" s="48"/>
      <c r="G220" s="48"/>
      <c r="H220" s="55" t="s">
        <v>14283</v>
      </c>
      <c r="I220" s="50" t="s">
        <v>14284</v>
      </c>
      <c r="J220" s="48"/>
    </row>
    <row r="221">
      <c r="A221" s="100">
        <v>276.0</v>
      </c>
      <c r="B221" s="49" t="s">
        <v>20</v>
      </c>
      <c r="C221" s="11" t="s">
        <v>14285</v>
      </c>
      <c r="D221" s="49" t="s">
        <v>13828</v>
      </c>
      <c r="E221" s="11" t="s">
        <v>13834</v>
      </c>
      <c r="F221" s="48"/>
      <c r="G221" s="48"/>
      <c r="H221" s="55" t="s">
        <v>14286</v>
      </c>
      <c r="I221" s="48"/>
      <c r="J221" s="48"/>
    </row>
    <row r="222">
      <c r="A222" s="100">
        <v>210.0</v>
      </c>
      <c r="B222" s="49" t="s">
        <v>20</v>
      </c>
      <c r="C222" s="11" t="s">
        <v>10003</v>
      </c>
      <c r="D222" s="49" t="s">
        <v>13828</v>
      </c>
      <c r="E222" s="11" t="s">
        <v>13834</v>
      </c>
      <c r="F222" s="48"/>
      <c r="G222" s="48"/>
      <c r="H222" s="48"/>
      <c r="I222" s="48"/>
      <c r="J222" s="50" t="s">
        <v>14287</v>
      </c>
    </row>
    <row r="223">
      <c r="A223" s="100">
        <v>206.0</v>
      </c>
      <c r="B223" s="49" t="s">
        <v>20</v>
      </c>
      <c r="C223" s="11" t="s">
        <v>14288</v>
      </c>
      <c r="D223" s="49" t="s">
        <v>13828</v>
      </c>
      <c r="E223" s="11" t="s">
        <v>13834</v>
      </c>
      <c r="F223" s="48"/>
      <c r="G223" s="48"/>
      <c r="H223" s="55" t="s">
        <v>14289</v>
      </c>
      <c r="I223" s="50" t="s">
        <v>14290</v>
      </c>
      <c r="J223" s="48"/>
    </row>
    <row r="224">
      <c r="A224" s="100">
        <v>182.0</v>
      </c>
      <c r="B224" s="49" t="s">
        <v>20</v>
      </c>
      <c r="C224" s="11" t="s">
        <v>14291</v>
      </c>
      <c r="D224" s="49" t="s">
        <v>13828</v>
      </c>
      <c r="E224" s="11" t="s">
        <v>13834</v>
      </c>
      <c r="F224" s="48"/>
      <c r="G224" s="48"/>
      <c r="H224" s="55" t="s">
        <v>14292</v>
      </c>
      <c r="I224" s="48"/>
      <c r="J224" s="48"/>
    </row>
    <row r="225">
      <c r="A225" s="100">
        <v>178.0</v>
      </c>
      <c r="B225" s="49" t="s">
        <v>20</v>
      </c>
      <c r="C225" s="11" t="s">
        <v>14293</v>
      </c>
      <c r="D225" s="49" t="s">
        <v>13828</v>
      </c>
      <c r="E225" s="11" t="s">
        <v>13834</v>
      </c>
      <c r="F225" s="48"/>
      <c r="G225" s="48"/>
      <c r="H225" s="55" t="s">
        <v>14294</v>
      </c>
      <c r="I225" s="50" t="s">
        <v>14295</v>
      </c>
      <c r="J225" s="50" t="s">
        <v>14296</v>
      </c>
    </row>
    <row r="226">
      <c r="A226" s="100">
        <v>176.0</v>
      </c>
      <c r="B226" s="49" t="s">
        <v>20</v>
      </c>
      <c r="C226" s="11" t="s">
        <v>14297</v>
      </c>
      <c r="D226" s="49" t="s">
        <v>13828</v>
      </c>
      <c r="E226" s="11" t="s">
        <v>13834</v>
      </c>
      <c r="F226" s="48"/>
      <c r="G226" s="48"/>
      <c r="H226" s="55" t="s">
        <v>14298</v>
      </c>
      <c r="I226" s="48"/>
      <c r="J226" s="48"/>
    </row>
    <row r="227">
      <c r="A227" s="100">
        <v>175.0</v>
      </c>
      <c r="B227" s="49" t="s">
        <v>20</v>
      </c>
      <c r="C227" s="11" t="s">
        <v>14299</v>
      </c>
      <c r="D227" s="49" t="s">
        <v>13828</v>
      </c>
      <c r="E227" s="11" t="s">
        <v>13834</v>
      </c>
      <c r="F227" s="48"/>
      <c r="G227" s="48"/>
      <c r="H227" s="55" t="s">
        <v>14300</v>
      </c>
      <c r="I227" s="48"/>
      <c r="J227" s="50" t="s">
        <v>14301</v>
      </c>
    </row>
    <row r="228">
      <c r="A228" s="100">
        <v>173.0</v>
      </c>
      <c r="B228" s="49" t="s">
        <v>20</v>
      </c>
      <c r="C228" s="11" t="s">
        <v>14302</v>
      </c>
      <c r="D228" s="49" t="s">
        <v>13828</v>
      </c>
      <c r="E228" s="11" t="s">
        <v>13834</v>
      </c>
      <c r="F228" s="48"/>
      <c r="G228" s="48"/>
      <c r="H228" s="55" t="s">
        <v>14303</v>
      </c>
      <c r="I228" s="50" t="s">
        <v>14304</v>
      </c>
      <c r="J228" s="48"/>
    </row>
    <row r="229">
      <c r="A229" s="100">
        <v>171.0</v>
      </c>
      <c r="B229" s="49" t="s">
        <v>20</v>
      </c>
      <c r="C229" s="11" t="s">
        <v>14305</v>
      </c>
      <c r="D229" s="49" t="s">
        <v>13828</v>
      </c>
      <c r="E229" s="11" t="s">
        <v>13834</v>
      </c>
      <c r="F229" s="48"/>
      <c r="G229" s="48"/>
      <c r="H229" s="48"/>
      <c r="I229" s="48"/>
      <c r="J229" s="50" t="s">
        <v>14306</v>
      </c>
    </row>
    <row r="230">
      <c r="A230" s="100">
        <v>167.0</v>
      </c>
      <c r="B230" s="49" t="s">
        <v>20</v>
      </c>
      <c r="C230" s="11" t="s">
        <v>281</v>
      </c>
      <c r="D230" s="49" t="s">
        <v>13828</v>
      </c>
      <c r="E230" s="11" t="s">
        <v>13834</v>
      </c>
      <c r="F230" s="48"/>
      <c r="G230" s="48"/>
      <c r="H230" s="55" t="s">
        <v>14307</v>
      </c>
      <c r="I230" s="48"/>
      <c r="J230" s="48"/>
    </row>
    <row r="231">
      <c r="A231" s="100">
        <v>165.0</v>
      </c>
      <c r="B231" s="49" t="s">
        <v>20</v>
      </c>
      <c r="C231" s="11" t="s">
        <v>14308</v>
      </c>
      <c r="D231" s="49" t="s">
        <v>13828</v>
      </c>
      <c r="E231" s="11" t="s">
        <v>13834</v>
      </c>
      <c r="F231" s="48"/>
      <c r="G231" s="48"/>
      <c r="H231" s="55" t="s">
        <v>14309</v>
      </c>
      <c r="I231" s="50" t="s">
        <v>14310</v>
      </c>
      <c r="J231" s="48"/>
    </row>
    <row r="232">
      <c r="A232" s="100">
        <v>164.0</v>
      </c>
      <c r="B232" s="49" t="s">
        <v>20</v>
      </c>
      <c r="C232" s="11" t="s">
        <v>14236</v>
      </c>
      <c r="D232" s="49" t="s">
        <v>13828</v>
      </c>
      <c r="E232" s="11" t="s">
        <v>13834</v>
      </c>
      <c r="F232" s="48"/>
      <c r="G232" s="48"/>
      <c r="H232" s="55" t="s">
        <v>14311</v>
      </c>
      <c r="I232" s="48"/>
      <c r="J232" s="48"/>
    </row>
    <row r="233">
      <c r="A233" s="100">
        <v>162.0</v>
      </c>
      <c r="B233" s="49" t="s">
        <v>20</v>
      </c>
      <c r="C233" s="11" t="s">
        <v>9125</v>
      </c>
      <c r="D233" s="49" t="s">
        <v>13828</v>
      </c>
      <c r="E233" s="11" t="s">
        <v>13834</v>
      </c>
      <c r="F233" s="48"/>
      <c r="G233" s="48"/>
      <c r="H233" s="55" t="s">
        <v>14312</v>
      </c>
      <c r="I233" s="48"/>
      <c r="J233" s="48"/>
    </row>
    <row r="234">
      <c r="A234" s="100">
        <v>159.0</v>
      </c>
      <c r="B234" s="49" t="s">
        <v>20</v>
      </c>
      <c r="C234" s="11" t="s">
        <v>1439</v>
      </c>
      <c r="D234" s="49" t="s">
        <v>13828</v>
      </c>
      <c r="E234" s="11" t="s">
        <v>13834</v>
      </c>
      <c r="F234" s="48"/>
      <c r="G234" s="48"/>
      <c r="H234" s="55" t="s">
        <v>14313</v>
      </c>
      <c r="I234" s="50" t="s">
        <v>14314</v>
      </c>
      <c r="J234" s="48"/>
    </row>
    <row r="235">
      <c r="A235" s="100">
        <v>148.0</v>
      </c>
      <c r="B235" s="49" t="s">
        <v>20</v>
      </c>
      <c r="C235" s="11" t="s">
        <v>14315</v>
      </c>
      <c r="D235" s="49" t="s">
        <v>13828</v>
      </c>
      <c r="E235" s="11" t="s">
        <v>13834</v>
      </c>
      <c r="F235" s="48"/>
      <c r="G235" s="48"/>
      <c r="H235" s="55" t="s">
        <v>14316</v>
      </c>
      <c r="I235" s="48"/>
      <c r="J235" s="48"/>
    </row>
    <row r="236">
      <c r="A236" s="100">
        <v>146.0</v>
      </c>
      <c r="B236" s="49" t="s">
        <v>20</v>
      </c>
      <c r="C236" s="11" t="s">
        <v>14317</v>
      </c>
      <c r="D236" s="49" t="s">
        <v>13828</v>
      </c>
      <c r="E236" s="11" t="s">
        <v>13834</v>
      </c>
      <c r="F236" s="48"/>
      <c r="G236" s="48"/>
      <c r="H236" s="55" t="s">
        <v>14318</v>
      </c>
      <c r="I236" s="48"/>
      <c r="J236" s="48"/>
    </row>
    <row r="237">
      <c r="A237" s="100"/>
      <c r="B237" s="49" t="s">
        <v>20</v>
      </c>
      <c r="C237" s="11" t="s">
        <v>14317</v>
      </c>
      <c r="D237" s="49" t="s">
        <v>13828</v>
      </c>
      <c r="E237" s="11" t="s">
        <v>13834</v>
      </c>
      <c r="F237" s="48"/>
      <c r="G237" s="48"/>
      <c r="H237" s="55" t="s">
        <v>14319</v>
      </c>
      <c r="I237" s="48"/>
      <c r="J237" s="48"/>
    </row>
    <row r="238">
      <c r="A238" s="100">
        <v>141.0</v>
      </c>
      <c r="B238" s="49" t="s">
        <v>20</v>
      </c>
      <c r="C238" s="11" t="s">
        <v>14320</v>
      </c>
      <c r="D238" s="49" t="s">
        <v>13828</v>
      </c>
      <c r="E238" s="11" t="s">
        <v>13834</v>
      </c>
      <c r="F238" s="48"/>
      <c r="G238" s="48"/>
      <c r="H238" s="12" t="s">
        <v>14321</v>
      </c>
      <c r="I238" s="48"/>
      <c r="J238" s="48"/>
    </row>
    <row r="239">
      <c r="A239" s="100">
        <v>133.0</v>
      </c>
      <c r="B239" s="49" t="s">
        <v>20</v>
      </c>
      <c r="C239" s="11" t="s">
        <v>14322</v>
      </c>
      <c r="D239" s="49" t="s">
        <v>13828</v>
      </c>
      <c r="E239" s="11" t="s">
        <v>13834</v>
      </c>
      <c r="F239" s="48"/>
      <c r="G239" s="48"/>
      <c r="H239" s="12" t="s">
        <v>14030</v>
      </c>
      <c r="I239" s="48"/>
      <c r="J239" s="48"/>
    </row>
    <row r="240">
      <c r="A240" s="100">
        <v>132.0</v>
      </c>
      <c r="B240" s="49" t="s">
        <v>20</v>
      </c>
      <c r="C240" s="11" t="s">
        <v>14323</v>
      </c>
      <c r="D240" s="49" t="s">
        <v>13828</v>
      </c>
      <c r="E240" s="11" t="s">
        <v>13834</v>
      </c>
      <c r="F240" s="48"/>
      <c r="G240" s="48"/>
      <c r="H240" s="12" t="s">
        <v>14233</v>
      </c>
      <c r="I240" s="48"/>
      <c r="J240" s="48"/>
    </row>
    <row r="241">
      <c r="A241" s="100">
        <v>130.0</v>
      </c>
      <c r="B241" s="49" t="s">
        <v>20</v>
      </c>
      <c r="C241" s="11" t="s">
        <v>14324</v>
      </c>
      <c r="D241" s="49" t="s">
        <v>13828</v>
      </c>
      <c r="E241" s="11" t="s">
        <v>13834</v>
      </c>
      <c r="F241" s="48"/>
      <c r="G241" s="48"/>
      <c r="H241" s="55" t="s">
        <v>14325</v>
      </c>
      <c r="I241" s="48"/>
      <c r="J241" s="48"/>
    </row>
    <row r="242">
      <c r="A242" s="100">
        <v>127.0</v>
      </c>
      <c r="B242" s="49" t="s">
        <v>20</v>
      </c>
      <c r="C242" s="11" t="s">
        <v>4331</v>
      </c>
      <c r="D242" s="49" t="s">
        <v>13828</v>
      </c>
      <c r="E242" s="11" t="s">
        <v>13834</v>
      </c>
      <c r="F242" s="48"/>
      <c r="G242" s="48"/>
      <c r="H242" s="9" t="s">
        <v>14326</v>
      </c>
      <c r="I242" s="48"/>
      <c r="J242" s="48"/>
    </row>
    <row r="243">
      <c r="A243" s="100">
        <v>117.0</v>
      </c>
      <c r="B243" s="49" t="s">
        <v>20</v>
      </c>
      <c r="C243" s="11" t="s">
        <v>14327</v>
      </c>
      <c r="D243" s="49" t="s">
        <v>13828</v>
      </c>
      <c r="E243" s="11" t="s">
        <v>13834</v>
      </c>
      <c r="F243" s="48"/>
      <c r="G243" s="48"/>
      <c r="H243" s="12" t="s">
        <v>14328</v>
      </c>
      <c r="I243" s="48"/>
      <c r="J243" s="48"/>
    </row>
    <row r="244">
      <c r="A244" s="100">
        <v>116.0</v>
      </c>
      <c r="B244" s="49" t="s">
        <v>20</v>
      </c>
      <c r="C244" s="11" t="s">
        <v>14329</v>
      </c>
      <c r="D244" s="49" t="s">
        <v>13828</v>
      </c>
      <c r="E244" s="11" t="s">
        <v>13834</v>
      </c>
      <c r="F244" s="48"/>
      <c r="G244" s="48"/>
      <c r="H244" s="55" t="s">
        <v>14330</v>
      </c>
      <c r="I244" s="48"/>
      <c r="J244" s="48"/>
    </row>
    <row r="245">
      <c r="A245" s="100">
        <v>112.0</v>
      </c>
      <c r="B245" s="49" t="s">
        <v>20</v>
      </c>
      <c r="C245" s="11" t="s">
        <v>14331</v>
      </c>
      <c r="D245" s="49" t="s">
        <v>13828</v>
      </c>
      <c r="E245" s="11" t="s">
        <v>13834</v>
      </c>
      <c r="F245" s="48"/>
      <c r="G245" s="48"/>
      <c r="H245" s="55" t="s">
        <v>14332</v>
      </c>
      <c r="I245" s="48"/>
      <c r="J245" s="50" t="s">
        <v>14333</v>
      </c>
    </row>
    <row r="246">
      <c r="A246" s="100">
        <v>110.0</v>
      </c>
      <c r="B246" s="49" t="s">
        <v>20</v>
      </c>
      <c r="C246" s="11" t="s">
        <v>14334</v>
      </c>
      <c r="D246" s="49" t="s">
        <v>13828</v>
      </c>
      <c r="E246" s="11" t="s">
        <v>13834</v>
      </c>
      <c r="F246" s="48"/>
      <c r="G246" s="48"/>
      <c r="H246" s="12" t="s">
        <v>14335</v>
      </c>
      <c r="I246" s="48"/>
      <c r="J246" s="48"/>
    </row>
    <row r="247">
      <c r="A247" s="100">
        <v>105.0</v>
      </c>
      <c r="B247" s="49" t="s">
        <v>20</v>
      </c>
      <c r="C247" s="11" t="s">
        <v>14336</v>
      </c>
      <c r="D247" s="49" t="s">
        <v>13828</v>
      </c>
      <c r="E247" s="11" t="s">
        <v>13834</v>
      </c>
      <c r="F247" s="48"/>
      <c r="G247" s="48"/>
      <c r="H247" s="55" t="s">
        <v>14337</v>
      </c>
      <c r="I247" s="50" t="s">
        <v>14338</v>
      </c>
      <c r="J247" s="48"/>
    </row>
    <row r="248">
      <c r="A248" s="100">
        <v>104.0</v>
      </c>
      <c r="B248" s="49" t="s">
        <v>20</v>
      </c>
      <c r="C248" s="11" t="s">
        <v>14339</v>
      </c>
      <c r="D248" s="49" t="s">
        <v>13828</v>
      </c>
      <c r="E248" s="11" t="s">
        <v>13834</v>
      </c>
      <c r="F248" s="48"/>
      <c r="G248" s="48"/>
      <c r="H248" s="12" t="s">
        <v>14340</v>
      </c>
      <c r="I248" s="48"/>
      <c r="J248" s="48"/>
    </row>
    <row r="249">
      <c r="A249" s="100">
        <v>102.0</v>
      </c>
      <c r="B249" s="49" t="s">
        <v>20</v>
      </c>
      <c r="C249" s="11" t="s">
        <v>14341</v>
      </c>
      <c r="D249" s="49" t="s">
        <v>13828</v>
      </c>
      <c r="E249" s="11" t="s">
        <v>13834</v>
      </c>
      <c r="F249" s="48"/>
      <c r="G249" s="48"/>
      <c r="H249" s="55" t="s">
        <v>14342</v>
      </c>
      <c r="I249" s="48"/>
      <c r="J249" s="50" t="s">
        <v>14343</v>
      </c>
    </row>
    <row r="250">
      <c r="A250" s="100">
        <v>99.0</v>
      </c>
      <c r="B250" s="49" t="s">
        <v>20</v>
      </c>
      <c r="C250" s="11" t="s">
        <v>14344</v>
      </c>
      <c r="D250" s="49" t="s">
        <v>13828</v>
      </c>
      <c r="E250" s="11" t="s">
        <v>13834</v>
      </c>
      <c r="F250" s="48"/>
      <c r="G250" s="48"/>
      <c r="H250" s="12" t="s">
        <v>14345</v>
      </c>
      <c r="I250" s="12" t="s">
        <v>14072</v>
      </c>
      <c r="J250" s="48"/>
    </row>
    <row r="251">
      <c r="A251" s="100">
        <v>98.0</v>
      </c>
      <c r="B251" s="49" t="s">
        <v>20</v>
      </c>
      <c r="C251" s="11" t="s">
        <v>14346</v>
      </c>
      <c r="D251" s="49" t="s">
        <v>13828</v>
      </c>
      <c r="E251" s="11" t="s">
        <v>13834</v>
      </c>
      <c r="F251" s="48"/>
      <c r="G251" s="48"/>
      <c r="H251" s="55" t="s">
        <v>14347</v>
      </c>
      <c r="I251" s="50" t="s">
        <v>14348</v>
      </c>
      <c r="J251" s="48"/>
    </row>
    <row r="252">
      <c r="A252" s="100">
        <v>95.0</v>
      </c>
      <c r="B252" s="49" t="s">
        <v>20</v>
      </c>
      <c r="C252" s="11" t="s">
        <v>8598</v>
      </c>
      <c r="D252" s="49" t="s">
        <v>13828</v>
      </c>
      <c r="E252" s="11" t="s">
        <v>13834</v>
      </c>
      <c r="F252" s="48"/>
      <c r="G252" s="48"/>
      <c r="H252" s="12" t="s">
        <v>14349</v>
      </c>
      <c r="I252" s="12" t="s">
        <v>14072</v>
      </c>
      <c r="J252" s="48"/>
    </row>
    <row r="253">
      <c r="A253" s="100">
        <v>94.0</v>
      </c>
      <c r="B253" s="49" t="s">
        <v>20</v>
      </c>
      <c r="C253" s="11" t="s">
        <v>14350</v>
      </c>
      <c r="D253" s="49" t="s">
        <v>13828</v>
      </c>
      <c r="E253" s="11" t="s">
        <v>13834</v>
      </c>
      <c r="F253" s="48"/>
      <c r="G253" s="48"/>
      <c r="H253" s="12" t="s">
        <v>14351</v>
      </c>
      <c r="I253" s="48"/>
      <c r="J253" s="48"/>
    </row>
    <row r="254">
      <c r="A254" s="100">
        <v>89.0</v>
      </c>
      <c r="B254" s="49" t="s">
        <v>20</v>
      </c>
      <c r="C254" s="11" t="s">
        <v>14352</v>
      </c>
      <c r="D254" s="49" t="s">
        <v>13828</v>
      </c>
      <c r="E254" s="11" t="s">
        <v>13834</v>
      </c>
      <c r="F254" s="48"/>
      <c r="G254" s="48"/>
      <c r="H254" s="12" t="s">
        <v>14353</v>
      </c>
      <c r="I254" s="48"/>
      <c r="J254" s="48"/>
    </row>
    <row r="255">
      <c r="A255" s="100">
        <v>86.0</v>
      </c>
      <c r="B255" s="49" t="s">
        <v>20</v>
      </c>
      <c r="C255" s="11" t="s">
        <v>5448</v>
      </c>
      <c r="D255" s="49" t="s">
        <v>13828</v>
      </c>
      <c r="E255" s="11" t="s">
        <v>13834</v>
      </c>
      <c r="F255" s="48"/>
      <c r="G255" s="48"/>
      <c r="H255" s="12" t="s">
        <v>14354</v>
      </c>
      <c r="I255" s="48"/>
      <c r="J255" s="48"/>
    </row>
    <row r="256">
      <c r="A256" s="100">
        <v>31.0</v>
      </c>
      <c r="B256" s="49" t="s">
        <v>20</v>
      </c>
      <c r="C256" s="14" t="s">
        <v>14355</v>
      </c>
      <c r="D256" s="49" t="s">
        <v>13828</v>
      </c>
      <c r="E256" s="11" t="s">
        <v>13834</v>
      </c>
      <c r="F256" s="48"/>
      <c r="G256" s="48"/>
      <c r="H256" s="55" t="s">
        <v>14356</v>
      </c>
      <c r="I256" s="48"/>
      <c r="J256" s="48"/>
    </row>
    <row r="257">
      <c r="A257" s="100">
        <v>23.0</v>
      </c>
      <c r="B257" s="49" t="s">
        <v>20</v>
      </c>
      <c r="C257" s="11" t="s">
        <v>14223</v>
      </c>
      <c r="D257" s="49" t="s">
        <v>13828</v>
      </c>
      <c r="E257" s="11" t="s">
        <v>13834</v>
      </c>
      <c r="F257" s="48"/>
      <c r="G257" s="48"/>
      <c r="H257" s="12" t="s">
        <v>14357</v>
      </c>
      <c r="I257" s="48"/>
      <c r="J257" s="48"/>
    </row>
    <row r="258">
      <c r="A258" s="100">
        <v>13.0</v>
      </c>
      <c r="B258" s="49" t="s">
        <v>20</v>
      </c>
      <c r="C258" s="11" t="s">
        <v>14358</v>
      </c>
      <c r="D258" s="49" t="s">
        <v>13828</v>
      </c>
      <c r="E258" s="11" t="s">
        <v>13834</v>
      </c>
      <c r="F258" s="48"/>
      <c r="G258" s="48"/>
      <c r="H258" s="12" t="s">
        <v>14359</v>
      </c>
      <c r="I258" s="48"/>
      <c r="J258" s="48"/>
    </row>
    <row r="259">
      <c r="A259" s="100">
        <v>4.0</v>
      </c>
      <c r="B259" s="49" t="s">
        <v>20</v>
      </c>
      <c r="C259" s="11" t="s">
        <v>14360</v>
      </c>
      <c r="D259" s="49" t="s">
        <v>13828</v>
      </c>
      <c r="E259" s="11" t="s">
        <v>13834</v>
      </c>
      <c r="F259" s="48"/>
      <c r="G259" s="48"/>
      <c r="H259" s="12" t="s">
        <v>14361</v>
      </c>
      <c r="I259" s="48"/>
      <c r="J259" s="48"/>
    </row>
    <row r="260">
      <c r="A260" s="100">
        <v>26639.0</v>
      </c>
      <c r="B260" s="49" t="s">
        <v>20</v>
      </c>
      <c r="C260" s="11" t="s">
        <v>14362</v>
      </c>
      <c r="D260" s="49" t="s">
        <v>13828</v>
      </c>
      <c r="E260" s="11" t="s">
        <v>14363</v>
      </c>
      <c r="F260" s="48"/>
      <c r="G260" s="48"/>
      <c r="H260" s="55" t="s">
        <v>14364</v>
      </c>
      <c r="I260" s="48"/>
      <c r="J260" s="50" t="s">
        <v>14365</v>
      </c>
    </row>
    <row r="261">
      <c r="A261" s="100">
        <v>18368.0</v>
      </c>
      <c r="B261" s="49" t="s">
        <v>20</v>
      </c>
      <c r="C261" s="11" t="s">
        <v>14366</v>
      </c>
      <c r="D261" s="49" t="s">
        <v>13828</v>
      </c>
      <c r="E261" s="11" t="s">
        <v>14363</v>
      </c>
      <c r="F261" s="48"/>
      <c r="G261" s="48"/>
      <c r="H261" s="55" t="s">
        <v>14367</v>
      </c>
      <c r="I261" s="48"/>
      <c r="J261" s="48"/>
    </row>
    <row r="262">
      <c r="A262" s="100">
        <v>17918.0</v>
      </c>
      <c r="B262" s="49" t="s">
        <v>20</v>
      </c>
      <c r="C262" s="11" t="s">
        <v>14368</v>
      </c>
      <c r="D262" s="49" t="s">
        <v>13828</v>
      </c>
      <c r="E262" s="11" t="s">
        <v>14369</v>
      </c>
      <c r="F262" s="48"/>
      <c r="G262" s="48"/>
      <c r="H262" s="55" t="s">
        <v>14370</v>
      </c>
      <c r="I262" s="50" t="s">
        <v>14371</v>
      </c>
      <c r="J262" s="48"/>
    </row>
    <row r="263">
      <c r="A263" s="100"/>
      <c r="B263" s="49" t="s">
        <v>20</v>
      </c>
      <c r="C263" s="11" t="s">
        <v>14372</v>
      </c>
      <c r="D263" s="49" t="s">
        <v>13828</v>
      </c>
      <c r="E263" s="11" t="s">
        <v>14369</v>
      </c>
      <c r="F263" s="48"/>
      <c r="G263" s="48"/>
      <c r="H263" s="65"/>
      <c r="I263" s="59"/>
      <c r="J263" s="50" t="s">
        <v>14373</v>
      </c>
    </row>
    <row r="264">
      <c r="A264" s="100">
        <v>26844.0</v>
      </c>
      <c r="B264" s="49" t="s">
        <v>20</v>
      </c>
      <c r="C264" s="11" t="s">
        <v>14374</v>
      </c>
      <c r="D264" s="49" t="s">
        <v>13828</v>
      </c>
      <c r="E264" s="11" t="s">
        <v>14375</v>
      </c>
      <c r="F264" s="48"/>
      <c r="G264" s="48"/>
      <c r="H264" s="55" t="s">
        <v>14376</v>
      </c>
      <c r="I264" s="48"/>
      <c r="J264" s="48"/>
    </row>
    <row r="265">
      <c r="A265" s="100">
        <v>17783.0</v>
      </c>
      <c r="B265" s="49" t="s">
        <v>20</v>
      </c>
      <c r="C265" s="11" t="s">
        <v>4125</v>
      </c>
      <c r="D265" s="49" t="s">
        <v>13828</v>
      </c>
      <c r="E265" s="11" t="s">
        <v>14375</v>
      </c>
      <c r="F265" s="48"/>
      <c r="G265" s="48"/>
      <c r="H265" s="55" t="s">
        <v>14377</v>
      </c>
      <c r="I265" s="48"/>
      <c r="J265" s="48"/>
    </row>
    <row r="266">
      <c r="A266" s="100">
        <v>31741.0</v>
      </c>
      <c r="B266" s="49" t="s">
        <v>20</v>
      </c>
      <c r="C266" s="11" t="s">
        <v>3615</v>
      </c>
      <c r="D266" s="49" t="s">
        <v>13828</v>
      </c>
      <c r="E266" s="11" t="s">
        <v>14378</v>
      </c>
      <c r="F266" s="48"/>
      <c r="G266" s="48"/>
      <c r="H266" s="55" t="s">
        <v>14379</v>
      </c>
      <c r="I266" s="50" t="s">
        <v>14380</v>
      </c>
      <c r="J266" s="48"/>
    </row>
    <row r="267">
      <c r="A267" s="100">
        <v>313.0</v>
      </c>
      <c r="B267" s="49" t="s">
        <v>20</v>
      </c>
      <c r="C267" s="11" t="s">
        <v>14381</v>
      </c>
      <c r="D267" s="49" t="s">
        <v>13828</v>
      </c>
      <c r="E267" s="11" t="s">
        <v>14382</v>
      </c>
      <c r="F267" s="48"/>
      <c r="G267" s="48"/>
      <c r="H267" s="55" t="s">
        <v>14383</v>
      </c>
      <c r="I267" s="50" t="s">
        <v>14384</v>
      </c>
      <c r="J267" s="48"/>
    </row>
    <row r="268">
      <c r="A268" s="100">
        <v>215.0</v>
      </c>
      <c r="B268" s="49" t="s">
        <v>720</v>
      </c>
      <c r="C268" s="11" t="s">
        <v>14385</v>
      </c>
      <c r="D268" s="49" t="s">
        <v>13828</v>
      </c>
      <c r="E268" s="11" t="s">
        <v>14382</v>
      </c>
      <c r="F268" s="48"/>
      <c r="G268" s="48"/>
      <c r="H268" s="55" t="s">
        <v>14386</v>
      </c>
      <c r="I268" s="50" t="s">
        <v>14387</v>
      </c>
      <c r="J268" s="48"/>
    </row>
    <row r="269">
      <c r="A269" s="100">
        <v>31802.0</v>
      </c>
      <c r="B269" s="49" t="s">
        <v>20</v>
      </c>
      <c r="C269" s="11" t="s">
        <v>14388</v>
      </c>
      <c r="D269" s="49" t="s">
        <v>13828</v>
      </c>
      <c r="E269" s="11" t="s">
        <v>13953</v>
      </c>
      <c r="F269" s="48"/>
      <c r="G269" s="48"/>
      <c r="H269" s="48"/>
      <c r="I269" s="50" t="s">
        <v>14389</v>
      </c>
      <c r="J269" s="50" t="s">
        <v>14390</v>
      </c>
    </row>
    <row r="270">
      <c r="A270" s="100">
        <v>31736.0</v>
      </c>
      <c r="B270" s="49" t="s">
        <v>20</v>
      </c>
      <c r="C270" s="11" t="s">
        <v>922</v>
      </c>
      <c r="D270" s="49" t="s">
        <v>13828</v>
      </c>
      <c r="E270" s="11" t="s">
        <v>13953</v>
      </c>
      <c r="F270" s="48"/>
      <c r="G270" s="48"/>
      <c r="H270" s="55" t="s">
        <v>14391</v>
      </c>
      <c r="I270" s="48"/>
      <c r="J270" s="48"/>
    </row>
    <row r="271">
      <c r="A271" s="100">
        <v>30335.0</v>
      </c>
      <c r="B271" s="49" t="s">
        <v>20</v>
      </c>
      <c r="C271" s="11" t="s">
        <v>8507</v>
      </c>
      <c r="D271" s="49" t="s">
        <v>13828</v>
      </c>
      <c r="E271" s="11" t="s">
        <v>13953</v>
      </c>
      <c r="F271" s="48"/>
      <c r="G271" s="48"/>
      <c r="H271" s="55" t="s">
        <v>14392</v>
      </c>
      <c r="I271" s="48"/>
      <c r="J271" s="48"/>
    </row>
    <row r="272">
      <c r="A272" s="100">
        <v>28002.0</v>
      </c>
      <c r="B272" s="49" t="s">
        <v>20</v>
      </c>
      <c r="C272" s="11" t="s">
        <v>14393</v>
      </c>
      <c r="D272" s="49" t="s">
        <v>13828</v>
      </c>
      <c r="E272" s="11" t="s">
        <v>13953</v>
      </c>
      <c r="F272" s="48"/>
      <c r="G272" s="48"/>
      <c r="H272" s="55" t="s">
        <v>14394</v>
      </c>
      <c r="I272" s="48"/>
      <c r="J272" s="48"/>
    </row>
    <row r="273">
      <c r="A273" s="100">
        <v>26840.0</v>
      </c>
      <c r="B273" s="49" t="s">
        <v>20</v>
      </c>
      <c r="C273" s="11" t="s">
        <v>3615</v>
      </c>
      <c r="D273" s="49" t="s">
        <v>13828</v>
      </c>
      <c r="E273" s="11" t="s">
        <v>13953</v>
      </c>
      <c r="F273" s="48"/>
      <c r="G273" s="48"/>
      <c r="H273" s="55" t="s">
        <v>14395</v>
      </c>
      <c r="I273" s="48"/>
      <c r="J273" s="48"/>
    </row>
    <row r="274">
      <c r="A274" s="100">
        <v>23018.0</v>
      </c>
      <c r="B274" s="49" t="s">
        <v>20</v>
      </c>
      <c r="C274" s="11" t="s">
        <v>14396</v>
      </c>
      <c r="D274" s="49" t="s">
        <v>13828</v>
      </c>
      <c r="E274" s="11" t="s">
        <v>13953</v>
      </c>
      <c r="F274" s="48"/>
      <c r="G274" s="48"/>
      <c r="H274" s="55" t="s">
        <v>14397</v>
      </c>
      <c r="I274" s="50" t="s">
        <v>14398</v>
      </c>
      <c r="J274" s="48"/>
    </row>
    <row r="275">
      <c r="A275" s="100">
        <v>23017.0</v>
      </c>
      <c r="B275" s="49" t="s">
        <v>20</v>
      </c>
      <c r="C275" s="11" t="s">
        <v>14162</v>
      </c>
      <c r="D275" s="49" t="s">
        <v>13828</v>
      </c>
      <c r="E275" s="11" t="s">
        <v>13953</v>
      </c>
      <c r="F275" s="48"/>
      <c r="G275" s="48"/>
      <c r="H275" s="55" t="s">
        <v>14163</v>
      </c>
      <c r="I275" s="50" t="s">
        <v>14164</v>
      </c>
      <c r="J275" s="48"/>
    </row>
    <row r="276">
      <c r="A276" s="100">
        <v>21117.0</v>
      </c>
      <c r="B276" s="49" t="s">
        <v>20</v>
      </c>
      <c r="C276" s="11" t="s">
        <v>1027</v>
      </c>
      <c r="D276" s="49" t="s">
        <v>13828</v>
      </c>
      <c r="E276" s="11" t="s">
        <v>13953</v>
      </c>
      <c r="F276" s="48"/>
      <c r="G276" s="48"/>
      <c r="H276" s="55" t="s">
        <v>14399</v>
      </c>
      <c r="I276" s="50" t="s">
        <v>14400</v>
      </c>
      <c r="J276" s="48"/>
    </row>
    <row r="277">
      <c r="A277" s="100">
        <v>20668.0</v>
      </c>
      <c r="B277" s="49" t="s">
        <v>20</v>
      </c>
      <c r="C277" s="11" t="s">
        <v>14401</v>
      </c>
      <c r="D277" s="49" t="s">
        <v>13828</v>
      </c>
      <c r="E277" s="11" t="s">
        <v>13953</v>
      </c>
      <c r="F277" s="48"/>
      <c r="G277" s="48"/>
      <c r="H277" s="55" t="s">
        <v>14402</v>
      </c>
      <c r="I277" s="48"/>
      <c r="J277" s="48"/>
    </row>
    <row r="278">
      <c r="A278" s="100">
        <v>20667.0</v>
      </c>
      <c r="B278" s="49" t="s">
        <v>20</v>
      </c>
      <c r="C278" s="11" t="s">
        <v>14403</v>
      </c>
      <c r="D278" s="49" t="s">
        <v>13828</v>
      </c>
      <c r="E278" s="11" t="s">
        <v>13953</v>
      </c>
      <c r="F278" s="48"/>
      <c r="G278" s="48"/>
      <c r="H278" s="55" t="s">
        <v>14404</v>
      </c>
      <c r="I278" s="50" t="s">
        <v>14405</v>
      </c>
      <c r="J278" s="48"/>
    </row>
    <row r="279">
      <c r="A279" s="100">
        <v>20413.0</v>
      </c>
      <c r="B279" s="49" t="s">
        <v>20</v>
      </c>
      <c r="C279" s="11" t="s">
        <v>10357</v>
      </c>
      <c r="D279" s="49" t="s">
        <v>13828</v>
      </c>
      <c r="E279" s="11" t="s">
        <v>13953</v>
      </c>
      <c r="F279" s="48"/>
      <c r="G279" s="48"/>
      <c r="H279" s="55" t="s">
        <v>14406</v>
      </c>
      <c r="I279" s="48"/>
      <c r="J279" s="50" t="s">
        <v>14407</v>
      </c>
    </row>
    <row r="280">
      <c r="A280" s="100">
        <v>671.0</v>
      </c>
      <c r="B280" s="49" t="s">
        <v>20</v>
      </c>
      <c r="C280" s="11" t="s">
        <v>13073</v>
      </c>
      <c r="D280" s="49" t="s">
        <v>13828</v>
      </c>
      <c r="E280" s="11" t="s">
        <v>13953</v>
      </c>
      <c r="F280" s="48"/>
      <c r="G280" s="48"/>
      <c r="H280" s="55" t="s">
        <v>14408</v>
      </c>
      <c r="I280" s="50" t="s">
        <v>14409</v>
      </c>
      <c r="J280" s="48"/>
    </row>
    <row r="281">
      <c r="A281" s="100">
        <v>334.0</v>
      </c>
      <c r="B281" s="49" t="s">
        <v>20</v>
      </c>
      <c r="C281" s="11" t="s">
        <v>14410</v>
      </c>
      <c r="D281" s="49" t="s">
        <v>13828</v>
      </c>
      <c r="E281" s="11" t="s">
        <v>13953</v>
      </c>
      <c r="F281" s="48"/>
      <c r="G281" s="48"/>
      <c r="H281" s="55" t="s">
        <v>14411</v>
      </c>
      <c r="I281" s="50" t="s">
        <v>14412</v>
      </c>
      <c r="J281" s="50" t="s">
        <v>14413</v>
      </c>
    </row>
    <row r="282">
      <c r="A282" s="100">
        <v>333.0</v>
      </c>
      <c r="B282" s="49" t="s">
        <v>20</v>
      </c>
      <c r="C282" s="11" t="s">
        <v>14414</v>
      </c>
      <c r="D282" s="49" t="s">
        <v>13828</v>
      </c>
      <c r="E282" s="11" t="s">
        <v>13953</v>
      </c>
      <c r="F282" s="48"/>
      <c r="G282" s="48"/>
      <c r="H282" s="55" t="s">
        <v>14415</v>
      </c>
      <c r="I282" s="48"/>
      <c r="J282" s="48"/>
    </row>
    <row r="283">
      <c r="A283" s="100">
        <v>284.0</v>
      </c>
      <c r="B283" s="49" t="s">
        <v>20</v>
      </c>
      <c r="C283" s="11" t="s">
        <v>14416</v>
      </c>
      <c r="D283" s="49" t="s">
        <v>13828</v>
      </c>
      <c r="E283" s="11" t="s">
        <v>13953</v>
      </c>
      <c r="F283" s="48"/>
      <c r="G283" s="48"/>
      <c r="H283" s="48"/>
      <c r="I283" s="48"/>
      <c r="J283" s="50" t="s">
        <v>14417</v>
      </c>
    </row>
    <row r="284">
      <c r="A284" s="100">
        <v>272.0</v>
      </c>
      <c r="B284" s="49" t="s">
        <v>20</v>
      </c>
      <c r="C284" s="11" t="s">
        <v>14418</v>
      </c>
      <c r="D284" s="49" t="s">
        <v>13828</v>
      </c>
      <c r="E284" s="11" t="s">
        <v>13953</v>
      </c>
      <c r="F284" s="48"/>
      <c r="G284" s="48"/>
      <c r="H284" s="48"/>
      <c r="I284" s="48"/>
      <c r="J284" s="50" t="s">
        <v>14419</v>
      </c>
    </row>
    <row r="285">
      <c r="A285" s="100">
        <v>244.0</v>
      </c>
      <c r="B285" s="49" t="s">
        <v>20</v>
      </c>
      <c r="C285" s="11" t="s">
        <v>14420</v>
      </c>
      <c r="D285" s="49" t="s">
        <v>13828</v>
      </c>
      <c r="E285" s="11" t="s">
        <v>13953</v>
      </c>
      <c r="F285" s="48"/>
      <c r="G285" s="48"/>
      <c r="H285" s="55" t="s">
        <v>14421</v>
      </c>
      <c r="I285" s="48"/>
      <c r="J285" s="48"/>
    </row>
    <row r="286">
      <c r="A286" s="100">
        <v>232.0</v>
      </c>
      <c r="B286" s="49" t="s">
        <v>20</v>
      </c>
      <c r="C286" s="11" t="s">
        <v>14422</v>
      </c>
      <c r="D286" s="49" t="s">
        <v>13828</v>
      </c>
      <c r="E286" s="11" t="s">
        <v>13953</v>
      </c>
      <c r="F286" s="48"/>
      <c r="G286" s="48"/>
      <c r="H286" s="55" t="s">
        <v>14423</v>
      </c>
      <c r="I286" s="48"/>
      <c r="J286" s="48"/>
    </row>
    <row r="287">
      <c r="A287" s="100">
        <v>228.0</v>
      </c>
      <c r="B287" s="49" t="s">
        <v>3023</v>
      </c>
      <c r="C287" s="11" t="s">
        <v>3192</v>
      </c>
      <c r="D287" s="49" t="s">
        <v>13828</v>
      </c>
      <c r="E287" s="11" t="s">
        <v>13953</v>
      </c>
      <c r="F287" s="48"/>
      <c r="G287" s="48"/>
      <c r="H287" s="55" t="s">
        <v>14424</v>
      </c>
      <c r="I287" s="48"/>
      <c r="J287" s="48"/>
    </row>
    <row r="288">
      <c r="A288" s="100">
        <v>222.0</v>
      </c>
      <c r="B288" s="49" t="s">
        <v>20</v>
      </c>
      <c r="C288" s="11" t="s">
        <v>4331</v>
      </c>
      <c r="D288" s="49" t="s">
        <v>13828</v>
      </c>
      <c r="E288" s="11" t="s">
        <v>13953</v>
      </c>
      <c r="F288" s="48"/>
      <c r="G288" s="48"/>
      <c r="H288" s="48"/>
      <c r="I288" s="50" t="s">
        <v>14425</v>
      </c>
      <c r="J288" s="48"/>
    </row>
    <row r="289">
      <c r="A289" s="100">
        <v>26848.0</v>
      </c>
      <c r="B289" s="49" t="s">
        <v>20</v>
      </c>
      <c r="C289" s="11" t="s">
        <v>14426</v>
      </c>
      <c r="D289" s="49" t="s">
        <v>13828</v>
      </c>
      <c r="E289" s="11" t="s">
        <v>14427</v>
      </c>
      <c r="F289" s="48"/>
      <c r="G289" s="48"/>
      <c r="H289" s="55" t="s">
        <v>14428</v>
      </c>
      <c r="I289" s="48"/>
      <c r="J289" s="48"/>
    </row>
    <row r="290">
      <c r="A290" s="100">
        <v>26847.0</v>
      </c>
      <c r="B290" s="49" t="s">
        <v>20</v>
      </c>
      <c r="C290" s="11" t="s">
        <v>4072</v>
      </c>
      <c r="D290" s="49" t="s">
        <v>13828</v>
      </c>
      <c r="E290" s="11" t="s">
        <v>14427</v>
      </c>
      <c r="F290" s="48"/>
      <c r="G290" s="48"/>
      <c r="H290" s="55" t="s">
        <v>14429</v>
      </c>
      <c r="I290" s="50" t="s">
        <v>14430</v>
      </c>
      <c r="J290" s="50" t="s">
        <v>14431</v>
      </c>
    </row>
    <row r="291">
      <c r="A291" s="100">
        <v>21974.0</v>
      </c>
      <c r="B291" s="49" t="s">
        <v>20</v>
      </c>
      <c r="C291" s="11" t="s">
        <v>14432</v>
      </c>
      <c r="D291" s="49" t="s">
        <v>13828</v>
      </c>
      <c r="E291" s="11" t="s">
        <v>14427</v>
      </c>
      <c r="F291" s="48"/>
      <c r="G291" s="48"/>
      <c r="H291" s="55" t="s">
        <v>14433</v>
      </c>
      <c r="I291" s="50" t="s">
        <v>14434</v>
      </c>
      <c r="J291" s="48"/>
    </row>
    <row r="292">
      <c r="A292" s="100">
        <v>21127.0</v>
      </c>
      <c r="B292" s="49" t="s">
        <v>20</v>
      </c>
      <c r="C292" s="11" t="s">
        <v>14435</v>
      </c>
      <c r="D292" s="49" t="s">
        <v>13828</v>
      </c>
      <c r="E292" s="11" t="s">
        <v>14427</v>
      </c>
      <c r="F292" s="48"/>
      <c r="G292" s="48"/>
      <c r="H292" s="55" t="s">
        <v>14436</v>
      </c>
      <c r="I292" s="48"/>
      <c r="J292" s="48"/>
    </row>
    <row r="293">
      <c r="A293" s="100">
        <v>21125.0</v>
      </c>
      <c r="B293" s="49" t="s">
        <v>20</v>
      </c>
      <c r="C293" s="11" t="s">
        <v>14437</v>
      </c>
      <c r="D293" s="49" t="s">
        <v>13828</v>
      </c>
      <c r="E293" s="11" t="s">
        <v>14427</v>
      </c>
      <c r="F293" s="48"/>
      <c r="G293" s="48"/>
      <c r="H293" s="55" t="s">
        <v>14438</v>
      </c>
      <c r="I293" s="48"/>
      <c r="J293" s="48"/>
    </row>
    <row r="294">
      <c r="A294" s="100">
        <v>21124.0</v>
      </c>
      <c r="B294" s="49" t="s">
        <v>20</v>
      </c>
      <c r="C294" s="11" t="s">
        <v>760</v>
      </c>
      <c r="D294" s="49" t="s">
        <v>13828</v>
      </c>
      <c r="E294" s="11" t="s">
        <v>14427</v>
      </c>
      <c r="F294" s="48"/>
      <c r="G294" s="48"/>
      <c r="H294" s="55" t="s">
        <v>14439</v>
      </c>
      <c r="I294" s="50" t="s">
        <v>14440</v>
      </c>
      <c r="J294" s="48"/>
    </row>
    <row r="295">
      <c r="A295" s="100">
        <v>21118.0</v>
      </c>
      <c r="B295" s="49" t="s">
        <v>20</v>
      </c>
      <c r="C295" s="11" t="s">
        <v>14441</v>
      </c>
      <c r="D295" s="49" t="s">
        <v>13828</v>
      </c>
      <c r="E295" s="11" t="s">
        <v>14427</v>
      </c>
      <c r="F295" s="48"/>
      <c r="G295" s="48"/>
      <c r="H295" s="55" t="s">
        <v>14442</v>
      </c>
      <c r="I295" s="50" t="s">
        <v>14443</v>
      </c>
      <c r="J295" s="48"/>
    </row>
    <row r="296">
      <c r="A296" s="100">
        <v>356.0</v>
      </c>
      <c r="B296" s="49" t="s">
        <v>20</v>
      </c>
      <c r="C296" s="11" t="s">
        <v>14444</v>
      </c>
      <c r="D296" s="49" t="s">
        <v>13828</v>
      </c>
      <c r="E296" s="11" t="s">
        <v>14427</v>
      </c>
      <c r="F296" s="48"/>
      <c r="G296" s="48"/>
      <c r="H296" s="55" t="s">
        <v>14445</v>
      </c>
      <c r="I296" s="48"/>
      <c r="J296" s="48"/>
    </row>
    <row r="297">
      <c r="A297" s="100">
        <v>250.0</v>
      </c>
      <c r="B297" s="49" t="s">
        <v>20</v>
      </c>
      <c r="C297" s="11" t="s">
        <v>14446</v>
      </c>
      <c r="D297" s="49" t="s">
        <v>13828</v>
      </c>
      <c r="E297" s="11" t="s">
        <v>14427</v>
      </c>
      <c r="F297" s="48"/>
      <c r="G297" s="48"/>
      <c r="H297" s="55" t="s">
        <v>14447</v>
      </c>
      <c r="I297" s="50" t="s">
        <v>14448</v>
      </c>
      <c r="J297" s="48"/>
    </row>
    <row r="298">
      <c r="A298" s="100">
        <v>24548.0</v>
      </c>
      <c r="B298" s="49" t="s">
        <v>20</v>
      </c>
      <c r="C298" s="11" t="s">
        <v>14449</v>
      </c>
      <c r="D298" s="49" t="s">
        <v>13828</v>
      </c>
      <c r="E298" s="11" t="s">
        <v>14450</v>
      </c>
      <c r="F298" s="48"/>
      <c r="G298" s="48"/>
      <c r="H298" s="55" t="s">
        <v>14451</v>
      </c>
      <c r="I298" s="48"/>
      <c r="J298" s="48"/>
    </row>
    <row r="299">
      <c r="A299" s="100">
        <v>26843.0</v>
      </c>
      <c r="B299" s="49" t="s">
        <v>20</v>
      </c>
      <c r="C299" s="11" t="s">
        <v>14452</v>
      </c>
      <c r="D299" s="49" t="s">
        <v>13828</v>
      </c>
      <c r="E299" s="11" t="s">
        <v>14453</v>
      </c>
      <c r="F299" s="48"/>
      <c r="G299" s="48"/>
      <c r="H299" s="55" t="s">
        <v>14454</v>
      </c>
      <c r="I299" s="48"/>
      <c r="J299" s="48"/>
    </row>
    <row r="300">
      <c r="A300" s="100">
        <v>17923.0</v>
      </c>
      <c r="B300" s="49" t="s">
        <v>20</v>
      </c>
      <c r="C300" s="11" t="s">
        <v>707</v>
      </c>
      <c r="D300" s="49" t="s">
        <v>13828</v>
      </c>
      <c r="E300" s="11" t="s">
        <v>14453</v>
      </c>
      <c r="F300" s="48"/>
      <c r="G300" s="48"/>
      <c r="H300" s="55" t="s">
        <v>14455</v>
      </c>
      <c r="I300" s="50" t="s">
        <v>14456</v>
      </c>
      <c r="J300" s="48"/>
    </row>
    <row r="301">
      <c r="A301" s="100">
        <v>360.0</v>
      </c>
      <c r="B301" s="49" t="s">
        <v>20</v>
      </c>
      <c r="C301" s="11" t="s">
        <v>14036</v>
      </c>
      <c r="D301" s="49" t="s">
        <v>13828</v>
      </c>
      <c r="E301" s="11" t="s">
        <v>14453</v>
      </c>
      <c r="F301" s="48"/>
      <c r="G301" s="48"/>
      <c r="H301" s="55" t="s">
        <v>14457</v>
      </c>
      <c r="I301" s="48"/>
      <c r="J301" s="48"/>
    </row>
    <row r="302">
      <c r="A302" s="100">
        <v>338.0</v>
      </c>
      <c r="B302" s="49" t="s">
        <v>276</v>
      </c>
      <c r="C302" s="11" t="s">
        <v>14029</v>
      </c>
      <c r="D302" s="49" t="s">
        <v>13828</v>
      </c>
      <c r="E302" s="11" t="s">
        <v>14453</v>
      </c>
      <c r="F302" s="48"/>
      <c r="G302" s="48"/>
      <c r="H302" s="55" t="s">
        <v>14458</v>
      </c>
      <c r="I302" s="50" t="s">
        <v>14459</v>
      </c>
      <c r="J302" s="48"/>
    </row>
    <row r="303">
      <c r="A303" s="100">
        <v>336.0</v>
      </c>
      <c r="B303" s="49" t="s">
        <v>20</v>
      </c>
      <c r="C303" s="11" t="s">
        <v>3209</v>
      </c>
      <c r="D303" s="49" t="s">
        <v>13828</v>
      </c>
      <c r="E303" s="11" t="s">
        <v>14453</v>
      </c>
      <c r="F303" s="48"/>
      <c r="G303" s="48"/>
      <c r="H303" s="55" t="s">
        <v>14460</v>
      </c>
      <c r="I303" s="48"/>
      <c r="J303" s="48"/>
    </row>
    <row r="304">
      <c r="A304" s="100">
        <v>361.0</v>
      </c>
      <c r="B304" s="49" t="s">
        <v>20</v>
      </c>
      <c r="C304" s="11" t="s">
        <v>14461</v>
      </c>
      <c r="D304" s="49" t="s">
        <v>13828</v>
      </c>
      <c r="E304" s="11" t="s">
        <v>14462</v>
      </c>
      <c r="F304" s="48"/>
      <c r="G304" s="48"/>
      <c r="H304" s="55" t="s">
        <v>14463</v>
      </c>
      <c r="I304" s="48"/>
      <c r="J304" s="48"/>
    </row>
    <row r="305">
      <c r="A305" s="48"/>
      <c r="B305" s="49" t="s">
        <v>17</v>
      </c>
      <c r="C305" s="49" t="s">
        <v>14464</v>
      </c>
      <c r="D305" s="49" t="s">
        <v>13828</v>
      </c>
      <c r="E305" s="49" t="s">
        <v>13834</v>
      </c>
      <c r="F305" s="48"/>
      <c r="G305" s="48"/>
      <c r="H305" s="48"/>
      <c r="I305" s="48"/>
      <c r="J305" s="50" t="s">
        <v>14465</v>
      </c>
    </row>
    <row r="306">
      <c r="A306" s="48"/>
      <c r="B306" s="49" t="s">
        <v>20</v>
      </c>
      <c r="C306" s="49" t="s">
        <v>14466</v>
      </c>
      <c r="D306" s="49" t="s">
        <v>13828</v>
      </c>
      <c r="E306" s="49" t="s">
        <v>13834</v>
      </c>
      <c r="F306" s="48"/>
      <c r="G306" s="48"/>
      <c r="H306" s="48"/>
      <c r="I306" s="48"/>
      <c r="J306" s="50" t="s">
        <v>14467</v>
      </c>
    </row>
    <row r="307">
      <c r="A307" s="48"/>
      <c r="B307" s="49" t="s">
        <v>20</v>
      </c>
      <c r="C307" s="49" t="s">
        <v>14468</v>
      </c>
      <c r="D307" s="49" t="s">
        <v>13828</v>
      </c>
      <c r="E307" s="49" t="s">
        <v>13953</v>
      </c>
      <c r="F307" s="48"/>
      <c r="G307" s="48"/>
      <c r="H307" s="48"/>
      <c r="I307" s="48"/>
      <c r="J307" s="50" t="s">
        <v>14469</v>
      </c>
    </row>
    <row r="308">
      <c r="A308" s="48"/>
      <c r="B308" s="49" t="s">
        <v>20</v>
      </c>
      <c r="C308" s="49" t="s">
        <v>1925</v>
      </c>
      <c r="D308" s="49" t="s">
        <v>13828</v>
      </c>
      <c r="E308" s="49" t="s">
        <v>13834</v>
      </c>
      <c r="F308" s="48"/>
      <c r="G308" s="48"/>
      <c r="H308" s="48"/>
      <c r="I308" s="48"/>
      <c r="J308" s="50" t="s">
        <v>14470</v>
      </c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</row>
  </sheetData>
  <conditionalFormatting sqref="J2:T2">
    <cfRule type="notContainsBlanks" dxfId="0" priority="1">
      <formula>LEN(TRIM(J2))&gt;0</formula>
    </cfRule>
  </conditionalFormatting>
  <hyperlinks>
    <hyperlink r:id="rId1" ref="H2"/>
    <hyperlink r:id="rId2" ref="H3"/>
    <hyperlink r:id="rId3" ref="J3"/>
    <hyperlink r:id="rId4" ref="H4"/>
    <hyperlink r:id="rId5" ref="H5"/>
    <hyperlink r:id="rId6" ref="H6"/>
    <hyperlink r:id="rId7" ref="H7"/>
    <hyperlink r:id="rId8" ref="H8"/>
    <hyperlink r:id="rId9" ref="H9"/>
    <hyperlink r:id="rId10" ref="H10"/>
    <hyperlink r:id="rId11" ref="J10"/>
    <hyperlink r:id="rId12" ref="H11"/>
    <hyperlink r:id="rId13" ref="H12"/>
    <hyperlink r:id="rId14" ref="H13"/>
    <hyperlink r:id="rId15" ref="H14"/>
    <hyperlink r:id="rId16" ref="H15"/>
    <hyperlink r:id="rId17" ref="J15"/>
    <hyperlink r:id="rId18" ref="H16"/>
    <hyperlink r:id="rId19" ref="J16"/>
    <hyperlink r:id="rId20" ref="H17"/>
    <hyperlink r:id="rId21" ref="J17"/>
    <hyperlink r:id="rId22" ref="H18"/>
    <hyperlink r:id="rId23" ref="J18"/>
    <hyperlink r:id="rId24" ref="H19"/>
    <hyperlink r:id="rId25" ref="H20"/>
    <hyperlink r:id="rId26" ref="H21"/>
    <hyperlink r:id="rId27" ref="J21"/>
    <hyperlink r:id="rId28" ref="H22"/>
    <hyperlink r:id="rId29" ref="H23"/>
    <hyperlink r:id="rId30" ref="H24"/>
    <hyperlink r:id="rId31" ref="J24"/>
    <hyperlink r:id="rId32" ref="H25"/>
    <hyperlink r:id="rId33" ref="H26"/>
    <hyperlink r:id="rId34" ref="J26"/>
    <hyperlink r:id="rId35" ref="H27"/>
    <hyperlink r:id="rId36" ref="J27"/>
    <hyperlink r:id="rId37" ref="H28"/>
    <hyperlink r:id="rId38" ref="J28"/>
    <hyperlink r:id="rId39" ref="H29"/>
    <hyperlink r:id="rId40" ref="J29"/>
    <hyperlink r:id="rId41" ref="H30"/>
    <hyperlink r:id="rId42" ref="H31"/>
    <hyperlink r:id="rId43" ref="H32"/>
    <hyperlink r:id="rId44" ref="H33"/>
    <hyperlink r:id="rId45" ref="H34"/>
    <hyperlink r:id="rId46" ref="H35"/>
    <hyperlink r:id="rId47" ref="J35"/>
    <hyperlink r:id="rId48" ref="H36"/>
    <hyperlink r:id="rId49" ref="H37"/>
    <hyperlink r:id="rId50" ref="H38"/>
    <hyperlink r:id="rId51" ref="J38"/>
    <hyperlink r:id="rId52" ref="H39"/>
    <hyperlink r:id="rId53" ref="H40"/>
    <hyperlink r:id="rId54" ref="H41"/>
    <hyperlink r:id="rId55" ref="H42"/>
    <hyperlink r:id="rId56" ref="H43"/>
    <hyperlink r:id="rId57" ref="H44"/>
    <hyperlink r:id="rId58" ref="H45"/>
    <hyperlink r:id="rId59" ref="H46"/>
    <hyperlink r:id="rId60" ref="H47"/>
    <hyperlink r:id="rId61" ref="J47"/>
    <hyperlink r:id="rId62" ref="H48"/>
    <hyperlink r:id="rId63" ref="H49"/>
    <hyperlink r:id="rId64" ref="H50"/>
    <hyperlink r:id="rId65" ref="H51"/>
    <hyperlink r:id="rId66" ref="H52"/>
    <hyperlink r:id="rId67" ref="H53"/>
    <hyperlink r:id="rId68" ref="H54"/>
    <hyperlink r:id="rId69" ref="I54"/>
    <hyperlink r:id="rId70" ref="H55"/>
    <hyperlink r:id="rId71" ref="J55"/>
    <hyperlink r:id="rId72" ref="H56"/>
    <hyperlink r:id="rId73" ref="H57"/>
    <hyperlink r:id="rId74" ref="I57"/>
    <hyperlink r:id="rId75" ref="H58"/>
    <hyperlink r:id="rId76" ref="I58"/>
    <hyperlink r:id="rId77" ref="J58"/>
    <hyperlink r:id="rId78" ref="H59"/>
    <hyperlink r:id="rId79" ref="J59"/>
    <hyperlink r:id="rId80" ref="H60"/>
    <hyperlink r:id="rId81" ref="J60"/>
    <hyperlink r:id="rId82" ref="H61"/>
    <hyperlink r:id="rId83" ref="H62"/>
    <hyperlink r:id="rId84" ref="H63"/>
    <hyperlink r:id="rId85" ref="J63"/>
    <hyperlink r:id="rId86" ref="H64"/>
    <hyperlink r:id="rId87" ref="H65"/>
    <hyperlink r:id="rId88" ref="J66"/>
    <hyperlink r:id="rId89" ref="H67"/>
    <hyperlink r:id="rId90" ref="I67"/>
    <hyperlink r:id="rId91" ref="H68"/>
    <hyperlink r:id="rId92" ref="H69"/>
    <hyperlink r:id="rId93" ref="I70"/>
    <hyperlink r:id="rId94" ref="H71"/>
    <hyperlink r:id="rId95" ref="I71"/>
    <hyperlink r:id="rId96" ref="H72"/>
    <hyperlink r:id="rId97" ref="H73"/>
    <hyperlink r:id="rId98" ref="H74"/>
    <hyperlink r:id="rId99" ref="H75"/>
    <hyperlink r:id="rId100" ref="H76"/>
    <hyperlink r:id="rId101" ref="I76"/>
    <hyperlink r:id="rId102" ref="H77"/>
    <hyperlink r:id="rId103" ref="H78"/>
    <hyperlink r:id="rId104" ref="H79"/>
    <hyperlink r:id="rId105" ref="I79"/>
    <hyperlink r:id="rId106" ref="H80"/>
    <hyperlink r:id="rId107" ref="H81"/>
    <hyperlink r:id="rId108" ref="H82"/>
    <hyperlink r:id="rId109" ref="H83"/>
    <hyperlink r:id="rId110" ref="I83"/>
    <hyperlink r:id="rId111" ref="H84"/>
    <hyperlink r:id="rId112" ref="H85"/>
    <hyperlink r:id="rId113" ref="H86"/>
    <hyperlink r:id="rId114" ref="H87"/>
    <hyperlink r:id="rId115" ref="H88"/>
    <hyperlink r:id="rId116" ref="H89"/>
    <hyperlink r:id="rId117" ref="H90"/>
    <hyperlink r:id="rId118" ref="I90"/>
    <hyperlink r:id="rId119" ref="H91"/>
    <hyperlink r:id="rId120" ref="H92"/>
    <hyperlink r:id="rId121" ref="H93"/>
    <hyperlink r:id="rId122" ref="H94"/>
    <hyperlink r:id="rId123" ref="I94"/>
    <hyperlink r:id="rId124" ref="H95"/>
    <hyperlink r:id="rId125" ref="H96"/>
    <hyperlink r:id="rId126" ref="H97"/>
    <hyperlink r:id="rId127" ref="I97"/>
    <hyperlink r:id="rId128" ref="J97"/>
    <hyperlink r:id="rId129" ref="K97"/>
    <hyperlink r:id="rId130" ref="H98"/>
    <hyperlink r:id="rId131" ref="I98"/>
    <hyperlink r:id="rId132" ref="H99"/>
    <hyperlink r:id="rId133" ref="H100"/>
    <hyperlink r:id="rId134" ref="H101"/>
    <hyperlink r:id="rId135" ref="H102"/>
    <hyperlink r:id="rId136" ref="H103"/>
    <hyperlink r:id="rId137" ref="H104"/>
    <hyperlink r:id="rId138" ref="J104"/>
    <hyperlink r:id="rId139" ref="H105"/>
    <hyperlink r:id="rId140" ref="I105"/>
    <hyperlink r:id="rId141" ref="H106"/>
    <hyperlink r:id="rId142" ref="I106"/>
    <hyperlink r:id="rId143" ref="H107"/>
    <hyperlink r:id="rId144" ref="H108"/>
    <hyperlink r:id="rId145" ref="H109"/>
    <hyperlink r:id="rId146" ref="H110"/>
    <hyperlink r:id="rId147" ref="H111"/>
    <hyperlink r:id="rId148" ref="I111"/>
    <hyperlink r:id="rId149" ref="H112"/>
    <hyperlink r:id="rId150" ref="J112"/>
    <hyperlink r:id="rId151" ref="I113"/>
    <hyperlink r:id="rId152" ref="H114"/>
    <hyperlink r:id="rId153" ref="H115"/>
    <hyperlink r:id="rId154" ref="J115"/>
    <hyperlink r:id="rId155" ref="H116"/>
    <hyperlink r:id="rId156" ref="H117"/>
    <hyperlink r:id="rId157" ref="H118"/>
    <hyperlink r:id="rId158" ref="H119"/>
    <hyperlink r:id="rId159" ref="H120"/>
    <hyperlink r:id="rId160" ref="H121"/>
    <hyperlink r:id="rId161" ref="H122"/>
    <hyperlink r:id="rId162" ref="I122"/>
    <hyperlink r:id="rId163" ref="H123"/>
    <hyperlink r:id="rId164" ref="I123"/>
    <hyperlink r:id="rId165" ref="H124"/>
    <hyperlink r:id="rId166" ref="I124"/>
    <hyperlink r:id="rId167" ref="H125"/>
    <hyperlink r:id="rId168" ref="I125"/>
    <hyperlink r:id="rId169" ref="H126"/>
    <hyperlink r:id="rId170" ref="J126"/>
    <hyperlink r:id="rId171" ref="H127"/>
    <hyperlink r:id="rId172" ref="H128"/>
    <hyperlink r:id="rId173" ref="J128"/>
    <hyperlink r:id="rId174" ref="H129"/>
    <hyperlink r:id="rId175" ref="J129"/>
    <hyperlink r:id="rId176" ref="H130"/>
    <hyperlink r:id="rId177" ref="I131"/>
    <hyperlink r:id="rId178" ref="H132"/>
    <hyperlink r:id="rId179" ref="I132"/>
    <hyperlink r:id="rId180" ref="H133"/>
    <hyperlink r:id="rId181" ref="H134"/>
    <hyperlink r:id="rId182" ref="I134"/>
    <hyperlink r:id="rId183" ref="H135"/>
    <hyperlink r:id="rId184" ref="H136"/>
    <hyperlink r:id="rId185" ref="I136"/>
    <hyperlink r:id="rId186" ref="J136"/>
    <hyperlink r:id="rId187" ref="H137"/>
    <hyperlink r:id="rId188" ref="H138"/>
    <hyperlink r:id="rId189" ref="J138"/>
    <hyperlink r:id="rId190" ref="J139"/>
    <hyperlink r:id="rId191" ref="H140"/>
    <hyperlink r:id="rId192" ref="H141"/>
    <hyperlink r:id="rId193" ref="H142"/>
    <hyperlink r:id="rId194" ref="H143"/>
    <hyperlink r:id="rId195" ref="H144"/>
    <hyperlink r:id="rId196" ref="J144"/>
    <hyperlink r:id="rId197" ref="H145"/>
    <hyperlink r:id="rId198" ref="H146"/>
    <hyperlink r:id="rId199" ref="J146"/>
    <hyperlink r:id="rId200" ref="H147"/>
    <hyperlink r:id="rId201" ref="H148"/>
    <hyperlink r:id="rId202" ref="H149"/>
    <hyperlink r:id="rId203" ref="I149"/>
    <hyperlink r:id="rId204" ref="H150"/>
    <hyperlink r:id="rId205" ref="I150"/>
    <hyperlink r:id="rId206" ref="J150"/>
    <hyperlink r:id="rId207" ref="H151"/>
    <hyperlink r:id="rId208" ref="J151"/>
    <hyperlink r:id="rId209" ref="H152"/>
    <hyperlink r:id="rId210" ref="I152"/>
    <hyperlink r:id="rId211" ref="H153"/>
    <hyperlink r:id="rId212" ref="J154"/>
    <hyperlink r:id="rId213" ref="H155"/>
    <hyperlink r:id="rId214" ref="I155"/>
    <hyperlink r:id="rId215" ref="H156"/>
    <hyperlink r:id="rId216" ref="I156"/>
    <hyperlink r:id="rId217" ref="J156"/>
    <hyperlink r:id="rId218" ref="H157"/>
    <hyperlink r:id="rId219" ref="H158"/>
    <hyperlink r:id="rId220" ref="H159"/>
    <hyperlink r:id="rId221" ref="I160"/>
    <hyperlink r:id="rId222" ref="H161"/>
    <hyperlink r:id="rId223" ref="J161"/>
    <hyperlink r:id="rId224" ref="H162"/>
    <hyperlink r:id="rId225" ref="I162"/>
    <hyperlink r:id="rId226" ref="H163"/>
    <hyperlink r:id="rId227" ref="H164"/>
    <hyperlink r:id="rId228" ref="H165"/>
    <hyperlink r:id="rId229" ref="I165"/>
    <hyperlink r:id="rId230" ref="H166"/>
    <hyperlink r:id="rId231" ref="I166"/>
    <hyperlink r:id="rId232" ref="H167"/>
    <hyperlink r:id="rId233" ref="H168"/>
    <hyperlink r:id="rId234" ref="H169"/>
    <hyperlink r:id="rId235" ref="I169"/>
    <hyperlink r:id="rId236" ref="J169"/>
    <hyperlink r:id="rId237" ref="H170"/>
    <hyperlink r:id="rId238" ref="H171"/>
    <hyperlink r:id="rId239" ref="H172"/>
    <hyperlink r:id="rId240" ref="H174"/>
    <hyperlink r:id="rId241" ref="I174"/>
    <hyperlink r:id="rId242" ref="J175"/>
    <hyperlink r:id="rId243" ref="H176"/>
    <hyperlink r:id="rId244" ref="I176"/>
    <hyperlink r:id="rId245" ref="H177"/>
    <hyperlink r:id="rId246" ref="I177"/>
    <hyperlink r:id="rId247" ref="H178"/>
    <hyperlink r:id="rId248" ref="I178"/>
    <hyperlink r:id="rId249" ref="H179"/>
    <hyperlink r:id="rId250" ref="I179"/>
    <hyperlink r:id="rId251" ref="H180"/>
    <hyperlink r:id="rId252" ref="J180"/>
    <hyperlink r:id="rId253" ref="H181"/>
    <hyperlink r:id="rId254" ref="I181"/>
    <hyperlink r:id="rId255" ref="J182"/>
    <hyperlink r:id="rId256" ref="H183"/>
    <hyperlink r:id="rId257" ref="I183"/>
    <hyperlink r:id="rId258" ref="H184"/>
    <hyperlink r:id="rId259" ref="H185"/>
    <hyperlink r:id="rId260" ref="J186"/>
    <hyperlink r:id="rId261" ref="H187"/>
    <hyperlink r:id="rId262" ref="I187"/>
    <hyperlink r:id="rId263" ref="J187"/>
    <hyperlink r:id="rId264" ref="H188"/>
    <hyperlink r:id="rId265" ref="H189"/>
    <hyperlink r:id="rId266" ref="H190"/>
    <hyperlink r:id="rId267" ref="I190"/>
    <hyperlink r:id="rId268" ref="H191"/>
    <hyperlink r:id="rId269" ref="I192"/>
    <hyperlink r:id="rId270" ref="H193"/>
    <hyperlink r:id="rId271" ref="H194"/>
    <hyperlink r:id="rId272" ref="J194"/>
    <hyperlink r:id="rId273" ref="H195"/>
    <hyperlink r:id="rId274" ref="I195"/>
    <hyperlink r:id="rId275" ref="H196"/>
    <hyperlink r:id="rId276" ref="J196"/>
    <hyperlink r:id="rId277" ref="H197"/>
    <hyperlink r:id="rId278" ref="H198"/>
    <hyperlink r:id="rId279" ref="I198"/>
    <hyperlink r:id="rId280" ref="H199"/>
    <hyperlink r:id="rId281" ref="J199"/>
    <hyperlink r:id="rId282" ref="H200"/>
    <hyperlink r:id="rId283" ref="H201"/>
    <hyperlink r:id="rId284" ref="H202"/>
    <hyperlink r:id="rId285" ref="I202"/>
    <hyperlink r:id="rId286" ref="H203"/>
    <hyperlink r:id="rId287" ref="I203"/>
    <hyperlink r:id="rId288" ref="J204"/>
    <hyperlink r:id="rId289" ref="H205"/>
    <hyperlink r:id="rId290" ref="H206"/>
    <hyperlink r:id="rId291" ref="J207"/>
    <hyperlink r:id="rId292" ref="H208"/>
    <hyperlink r:id="rId293" ref="H209"/>
    <hyperlink r:id="rId294" ref="J209"/>
    <hyperlink r:id="rId295" ref="H210"/>
    <hyperlink r:id="rId296" ref="H211"/>
    <hyperlink r:id="rId297" ref="H212"/>
    <hyperlink r:id="rId298" ref="I212"/>
    <hyperlink r:id="rId299" ref="H213"/>
    <hyperlink r:id="rId300" ref="H214"/>
    <hyperlink r:id="rId301" ref="H215"/>
    <hyperlink r:id="rId302" ref="H216"/>
    <hyperlink r:id="rId303" ref="H217"/>
    <hyperlink r:id="rId304" ref="H218"/>
    <hyperlink r:id="rId305" ref="H219"/>
    <hyperlink r:id="rId306" ref="I219"/>
    <hyperlink r:id="rId307" ref="J219"/>
    <hyperlink r:id="rId308" ref="H220"/>
    <hyperlink r:id="rId309" ref="I220"/>
    <hyperlink r:id="rId310" ref="H221"/>
    <hyperlink r:id="rId311" ref="J222"/>
    <hyperlink r:id="rId312" ref="H223"/>
    <hyperlink r:id="rId313" ref="I223"/>
    <hyperlink r:id="rId314" ref="H224"/>
    <hyperlink r:id="rId315" ref="H225"/>
    <hyperlink r:id="rId316" ref="I225"/>
    <hyperlink r:id="rId317" ref="J225"/>
    <hyperlink r:id="rId318" ref="H226"/>
    <hyperlink r:id="rId319" ref="H227"/>
    <hyperlink r:id="rId320" ref="J227"/>
    <hyperlink r:id="rId321" ref="H228"/>
    <hyperlink r:id="rId322" ref="I228"/>
    <hyperlink r:id="rId323" ref="J229"/>
    <hyperlink r:id="rId324" ref="H230"/>
    <hyperlink r:id="rId325" ref="H231"/>
    <hyperlink r:id="rId326" ref="I231"/>
    <hyperlink r:id="rId327" ref="H232"/>
    <hyperlink r:id="rId328" ref="H233"/>
    <hyperlink r:id="rId329" ref="H234"/>
    <hyperlink r:id="rId330" ref="I234"/>
    <hyperlink r:id="rId331" ref="H235"/>
    <hyperlink r:id="rId332" ref="H236"/>
    <hyperlink r:id="rId333" ref="H237"/>
    <hyperlink r:id="rId334" ref="H238"/>
    <hyperlink r:id="rId335" ref="H239"/>
    <hyperlink r:id="rId336" ref="H240"/>
    <hyperlink r:id="rId337" ref="H241"/>
    <hyperlink r:id="rId338" ref="H242"/>
    <hyperlink r:id="rId339" ref="H243"/>
    <hyperlink r:id="rId340" ref="H244"/>
    <hyperlink r:id="rId341" ref="H245"/>
    <hyperlink r:id="rId342" ref="J245"/>
    <hyperlink r:id="rId343" ref="H246"/>
    <hyperlink r:id="rId344" ref="H247"/>
    <hyperlink r:id="rId345" ref="I247"/>
    <hyperlink r:id="rId346" ref="H248"/>
    <hyperlink r:id="rId347" ref="H249"/>
    <hyperlink r:id="rId348" ref="J249"/>
    <hyperlink r:id="rId349" ref="H250"/>
    <hyperlink r:id="rId350" ref="I250"/>
    <hyperlink r:id="rId351" ref="H251"/>
    <hyperlink r:id="rId352" ref="I251"/>
    <hyperlink r:id="rId353" ref="H252"/>
    <hyperlink r:id="rId354" ref="I252"/>
    <hyperlink r:id="rId355" ref="H253"/>
    <hyperlink r:id="rId356" ref="H254"/>
    <hyperlink r:id="rId357" ref="H255"/>
    <hyperlink r:id="rId358" ref="H256"/>
    <hyperlink r:id="rId359" ref="H257"/>
    <hyperlink r:id="rId360" ref="H258"/>
    <hyperlink r:id="rId361" ref="H259"/>
    <hyperlink r:id="rId362" ref="H260"/>
    <hyperlink r:id="rId363" ref="J260"/>
    <hyperlink r:id="rId364" ref="H261"/>
    <hyperlink r:id="rId365" ref="H262"/>
    <hyperlink r:id="rId366" ref="I262"/>
    <hyperlink r:id="rId367" ref="J263"/>
    <hyperlink r:id="rId368" ref="H264"/>
    <hyperlink r:id="rId369" ref="H265"/>
    <hyperlink r:id="rId370" ref="H266"/>
    <hyperlink r:id="rId371" ref="I266"/>
    <hyperlink r:id="rId372" ref="H267"/>
    <hyperlink r:id="rId373" ref="I267"/>
    <hyperlink r:id="rId374" ref="H268"/>
    <hyperlink r:id="rId375" ref="I268"/>
    <hyperlink r:id="rId376" ref="I269"/>
    <hyperlink r:id="rId377" ref="J269"/>
    <hyperlink r:id="rId378" ref="H270"/>
    <hyperlink r:id="rId379" ref="H271"/>
    <hyperlink r:id="rId380" ref="H272"/>
    <hyperlink r:id="rId381" ref="H273"/>
    <hyperlink r:id="rId382" ref="H274"/>
    <hyperlink r:id="rId383" ref="I274"/>
    <hyperlink r:id="rId384" ref="H275"/>
    <hyperlink r:id="rId385" ref="I275"/>
    <hyperlink r:id="rId386" ref="H276"/>
    <hyperlink r:id="rId387" ref="I276"/>
    <hyperlink r:id="rId388" ref="H277"/>
    <hyperlink r:id="rId389" ref="H278"/>
    <hyperlink r:id="rId390" ref="I278"/>
    <hyperlink r:id="rId391" ref="H279"/>
    <hyperlink r:id="rId392" ref="J279"/>
    <hyperlink r:id="rId393" ref="H280"/>
    <hyperlink r:id="rId394" ref="I280"/>
    <hyperlink r:id="rId395" ref="H281"/>
    <hyperlink r:id="rId396" ref="I281"/>
    <hyperlink r:id="rId397" ref="J281"/>
    <hyperlink r:id="rId398" ref="H282"/>
    <hyperlink r:id="rId399" ref="J283"/>
    <hyperlink r:id="rId400" ref="J284"/>
    <hyperlink r:id="rId401" ref="H285"/>
    <hyperlink r:id="rId402" ref="H286"/>
    <hyperlink r:id="rId403" ref="H287"/>
    <hyperlink r:id="rId404" ref="I288"/>
    <hyperlink r:id="rId405" ref="H289"/>
    <hyperlink r:id="rId406" ref="H290"/>
    <hyperlink r:id="rId407" ref="I290"/>
    <hyperlink r:id="rId408" ref="J290"/>
    <hyperlink r:id="rId409" ref="H291"/>
    <hyperlink r:id="rId410" ref="I291"/>
    <hyperlink r:id="rId411" ref="H292"/>
    <hyperlink r:id="rId412" ref="H293"/>
    <hyperlink r:id="rId413" ref="H294"/>
    <hyperlink r:id="rId414" ref="I294"/>
    <hyperlink r:id="rId415" ref="H295"/>
    <hyperlink r:id="rId416" ref="I295"/>
    <hyperlink r:id="rId417" ref="H296"/>
    <hyperlink r:id="rId418" ref="H297"/>
    <hyperlink r:id="rId419" ref="I297"/>
    <hyperlink r:id="rId420" ref="H298"/>
    <hyperlink r:id="rId421" ref="H299"/>
    <hyperlink r:id="rId422" ref="H300"/>
    <hyperlink r:id="rId423" ref="I300"/>
    <hyperlink r:id="rId424" ref="H301"/>
    <hyperlink r:id="rId425" ref="H302"/>
    <hyperlink r:id="rId426" ref="I302"/>
    <hyperlink r:id="rId427" ref="H303"/>
    <hyperlink r:id="rId428" ref="H304"/>
    <hyperlink r:id="rId429" ref="J305"/>
    <hyperlink r:id="rId430" ref="J306"/>
    <hyperlink r:id="rId431" ref="J307"/>
    <hyperlink r:id="rId432" ref="J308"/>
  </hyperlinks>
  <drawing r:id="rId43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50.75"/>
    <col customWidth="1" min="9" max="9" width="30.0"/>
  </cols>
  <sheetData>
    <row r="1">
      <c r="A1" s="8" t="s">
        <v>19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3567</v>
      </c>
      <c r="K1" s="4" t="s">
        <v>10</v>
      </c>
      <c r="L1" s="4" t="s">
        <v>3568</v>
      </c>
      <c r="M1" s="4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</row>
    <row r="2">
      <c r="A2" s="100">
        <v>32803.0</v>
      </c>
      <c r="B2" s="8" t="s">
        <v>12481</v>
      </c>
      <c r="C2" s="11" t="s">
        <v>8289</v>
      </c>
      <c r="D2" s="11" t="s">
        <v>14471</v>
      </c>
      <c r="E2" s="11" t="s">
        <v>14472</v>
      </c>
      <c r="H2" s="12" t="s">
        <v>14473</v>
      </c>
      <c r="I2" s="354" t="s">
        <v>14474</v>
      </c>
      <c r="J2" s="258"/>
    </row>
    <row r="3">
      <c r="A3" s="100">
        <v>30500.0</v>
      </c>
      <c r="B3" s="8" t="s">
        <v>3779</v>
      </c>
      <c r="C3" s="11" t="s">
        <v>4225</v>
      </c>
      <c r="D3" s="11" t="s">
        <v>14471</v>
      </c>
      <c r="E3" s="11" t="s">
        <v>14472</v>
      </c>
      <c r="H3" s="12" t="s">
        <v>14475</v>
      </c>
      <c r="I3" s="12" t="s">
        <v>14476</v>
      </c>
    </row>
    <row r="4">
      <c r="A4" s="100">
        <v>25219.0</v>
      </c>
      <c r="B4" s="8" t="s">
        <v>12481</v>
      </c>
      <c r="C4" s="11" t="s">
        <v>14477</v>
      </c>
      <c r="D4" s="11" t="s">
        <v>14471</v>
      </c>
      <c r="E4" s="11" t="s">
        <v>14472</v>
      </c>
      <c r="F4" s="8"/>
      <c r="G4" s="8"/>
      <c r="H4" s="9" t="s">
        <v>14478</v>
      </c>
    </row>
    <row r="5">
      <c r="A5" s="100">
        <v>25206.0</v>
      </c>
      <c r="B5" s="8" t="s">
        <v>12481</v>
      </c>
      <c r="C5" s="11" t="s">
        <v>6808</v>
      </c>
      <c r="D5" s="11" t="s">
        <v>14471</v>
      </c>
      <c r="E5" s="8" t="s">
        <v>14472</v>
      </c>
      <c r="H5" s="9" t="s">
        <v>14479</v>
      </c>
      <c r="J5" s="355"/>
    </row>
    <row r="6">
      <c r="A6" s="100">
        <v>25114.0</v>
      </c>
      <c r="B6" s="8" t="s">
        <v>3779</v>
      </c>
      <c r="C6" s="11" t="s">
        <v>14480</v>
      </c>
      <c r="D6" s="11" t="s">
        <v>14471</v>
      </c>
      <c r="E6" s="8" t="s">
        <v>14472</v>
      </c>
      <c r="F6" s="53"/>
      <c r="G6" s="53"/>
      <c r="H6" s="356" t="s">
        <v>14481</v>
      </c>
    </row>
    <row r="7">
      <c r="A7" s="100">
        <v>25078.0</v>
      </c>
      <c r="B7" s="8" t="s">
        <v>3779</v>
      </c>
      <c r="C7" s="11" t="s">
        <v>14482</v>
      </c>
      <c r="D7" s="11" t="s">
        <v>14471</v>
      </c>
      <c r="E7" s="8" t="s">
        <v>14472</v>
      </c>
      <c r="H7" s="12" t="s">
        <v>14483</v>
      </c>
    </row>
    <row r="8">
      <c r="A8" s="37">
        <v>23214.0</v>
      </c>
      <c r="B8" s="8" t="s">
        <v>3779</v>
      </c>
      <c r="C8" s="11" t="s">
        <v>14484</v>
      </c>
      <c r="D8" s="11" t="s">
        <v>14471</v>
      </c>
      <c r="E8" s="8" t="s">
        <v>14472</v>
      </c>
      <c r="H8" s="12" t="s">
        <v>14485</v>
      </c>
    </row>
    <row r="9">
      <c r="A9" s="100">
        <v>23211.0</v>
      </c>
      <c r="B9" s="8" t="s">
        <v>12481</v>
      </c>
      <c r="C9" s="11" t="s">
        <v>14486</v>
      </c>
      <c r="D9" s="11" t="s">
        <v>14471</v>
      </c>
      <c r="E9" s="8" t="s">
        <v>14472</v>
      </c>
      <c r="H9" s="12" t="s">
        <v>14487</v>
      </c>
      <c r="J9" s="258"/>
    </row>
    <row r="10">
      <c r="A10" s="100">
        <v>23210.0</v>
      </c>
      <c r="B10" s="8" t="s">
        <v>3779</v>
      </c>
      <c r="C10" s="11" t="s">
        <v>14488</v>
      </c>
      <c r="D10" s="11" t="s">
        <v>14471</v>
      </c>
      <c r="E10" s="8" t="s">
        <v>14472</v>
      </c>
      <c r="H10" s="357" t="s">
        <v>14489</v>
      </c>
    </row>
    <row r="11">
      <c r="A11" s="37">
        <v>21628.0</v>
      </c>
      <c r="B11" s="8" t="s">
        <v>3779</v>
      </c>
      <c r="C11" s="11" t="s">
        <v>804</v>
      </c>
      <c r="D11" s="11" t="s">
        <v>14471</v>
      </c>
      <c r="E11" s="8" t="s">
        <v>14472</v>
      </c>
      <c r="F11" s="8"/>
      <c r="G11" s="8"/>
      <c r="I11" s="9" t="s">
        <v>14490</v>
      </c>
    </row>
    <row r="12">
      <c r="A12" s="37">
        <v>21499.0</v>
      </c>
      <c r="B12" s="8" t="s">
        <v>3779</v>
      </c>
      <c r="C12" s="11" t="s">
        <v>14491</v>
      </c>
      <c r="D12" s="11" t="s">
        <v>14471</v>
      </c>
      <c r="E12" s="8" t="s">
        <v>14472</v>
      </c>
      <c r="H12" s="12" t="s">
        <v>14492</v>
      </c>
    </row>
    <row r="13">
      <c r="A13" s="100">
        <v>20459.0</v>
      </c>
      <c r="B13" s="8" t="s">
        <v>3779</v>
      </c>
      <c r="C13" s="11" t="s">
        <v>3592</v>
      </c>
      <c r="D13" s="11" t="s">
        <v>14471</v>
      </c>
      <c r="E13" s="8" t="s">
        <v>14472</v>
      </c>
      <c r="H13" s="12" t="s">
        <v>14493</v>
      </c>
    </row>
    <row r="14">
      <c r="A14" s="37">
        <v>20292.0</v>
      </c>
      <c r="B14" s="8" t="s">
        <v>3779</v>
      </c>
      <c r="C14" s="11" t="s">
        <v>14494</v>
      </c>
      <c r="D14" s="11" t="s">
        <v>14471</v>
      </c>
      <c r="E14" s="8" t="s">
        <v>14472</v>
      </c>
      <c r="H14" s="12" t="s">
        <v>14495</v>
      </c>
    </row>
    <row r="15">
      <c r="A15" s="100">
        <v>19887.0</v>
      </c>
      <c r="B15" s="8" t="s">
        <v>3779</v>
      </c>
      <c r="C15" s="11" t="s">
        <v>14496</v>
      </c>
      <c r="D15" s="11" t="s">
        <v>14471</v>
      </c>
      <c r="E15" s="8" t="s">
        <v>14472</v>
      </c>
      <c r="H15" s="258"/>
      <c r="I15" s="37" t="s">
        <v>4926</v>
      </c>
      <c r="J15" s="12" t="s">
        <v>14497</v>
      </c>
    </row>
    <row r="16">
      <c r="A16" s="37">
        <v>19849.0</v>
      </c>
      <c r="B16" s="8" t="s">
        <v>3779</v>
      </c>
      <c r="C16" s="11" t="s">
        <v>14498</v>
      </c>
      <c r="D16" s="11" t="s">
        <v>14471</v>
      </c>
      <c r="E16" s="8" t="s">
        <v>14472</v>
      </c>
      <c r="H16" s="12" t="s">
        <v>14499</v>
      </c>
    </row>
    <row r="17">
      <c r="A17" s="37">
        <v>19847.0</v>
      </c>
      <c r="B17" s="8" t="s">
        <v>12481</v>
      </c>
      <c r="C17" s="11" t="s">
        <v>14500</v>
      </c>
      <c r="D17" s="11" t="s">
        <v>14471</v>
      </c>
      <c r="E17" s="8" t="s">
        <v>14472</v>
      </c>
      <c r="H17" s="12" t="s">
        <v>14501</v>
      </c>
    </row>
    <row r="18">
      <c r="A18" s="37">
        <v>18015.0</v>
      </c>
      <c r="B18" s="8" t="s">
        <v>3779</v>
      </c>
      <c r="C18" s="11" t="s">
        <v>14502</v>
      </c>
      <c r="D18" s="11" t="s">
        <v>14471</v>
      </c>
      <c r="E18" s="8" t="s">
        <v>14472</v>
      </c>
      <c r="F18" s="8"/>
      <c r="G18" s="8"/>
      <c r="H18" s="12" t="s">
        <v>14503</v>
      </c>
      <c r="J18" s="258"/>
    </row>
    <row r="19">
      <c r="A19" s="37">
        <v>18014.0</v>
      </c>
      <c r="B19" s="8" t="s">
        <v>12481</v>
      </c>
      <c r="C19" s="11" t="s">
        <v>14504</v>
      </c>
      <c r="D19" s="11" t="s">
        <v>14471</v>
      </c>
      <c r="E19" s="8" t="s">
        <v>14472</v>
      </c>
      <c r="F19" s="8"/>
      <c r="G19" s="8"/>
      <c r="H19" s="12" t="s">
        <v>14505</v>
      </c>
    </row>
    <row r="20">
      <c r="A20" s="37">
        <v>18013.0</v>
      </c>
      <c r="B20" s="8" t="s">
        <v>3779</v>
      </c>
      <c r="C20" s="11" t="s">
        <v>14506</v>
      </c>
      <c r="D20" s="11" t="s">
        <v>14471</v>
      </c>
      <c r="E20" s="8" t="s">
        <v>14472</v>
      </c>
      <c r="F20" s="8"/>
      <c r="G20" s="8"/>
      <c r="H20" s="12" t="s">
        <v>14507</v>
      </c>
    </row>
    <row r="21">
      <c r="A21" s="37">
        <v>18011.0</v>
      </c>
      <c r="B21" s="8" t="s">
        <v>12481</v>
      </c>
      <c r="C21" s="11" t="s">
        <v>3209</v>
      </c>
      <c r="D21" s="11" t="s">
        <v>14471</v>
      </c>
      <c r="E21" s="8" t="s">
        <v>14472</v>
      </c>
      <c r="F21" s="8"/>
      <c r="G21" s="8"/>
      <c r="H21" s="12" t="s">
        <v>14508</v>
      </c>
      <c r="I21" s="12" t="s">
        <v>14509</v>
      </c>
    </row>
    <row r="22">
      <c r="A22" s="100">
        <v>18010.0</v>
      </c>
      <c r="B22" s="8" t="s">
        <v>12481</v>
      </c>
      <c r="C22" s="11" t="s">
        <v>14510</v>
      </c>
      <c r="D22" s="11" t="s">
        <v>14471</v>
      </c>
      <c r="E22" s="8" t="s">
        <v>14472</v>
      </c>
      <c r="H22" s="12" t="s">
        <v>14511</v>
      </c>
      <c r="I22" s="12" t="s">
        <v>14512</v>
      </c>
    </row>
    <row r="23">
      <c r="A23" s="37">
        <v>18009.0</v>
      </c>
      <c r="B23" s="8" t="s">
        <v>3779</v>
      </c>
      <c r="C23" s="11" t="s">
        <v>14513</v>
      </c>
      <c r="D23" s="11" t="s">
        <v>14471</v>
      </c>
      <c r="E23" s="8" t="s">
        <v>14472</v>
      </c>
      <c r="F23" s="8"/>
      <c r="G23" s="8"/>
      <c r="H23" s="12" t="s">
        <v>14514</v>
      </c>
    </row>
    <row r="24">
      <c r="A24" s="37">
        <v>18008.0</v>
      </c>
      <c r="B24" s="8" t="s">
        <v>3779</v>
      </c>
      <c r="C24" s="11" t="s">
        <v>14480</v>
      </c>
      <c r="D24" s="11" t="s">
        <v>14471</v>
      </c>
      <c r="E24" s="8" t="s">
        <v>14472</v>
      </c>
      <c r="F24" s="8"/>
      <c r="G24" s="8"/>
      <c r="H24" s="12" t="s">
        <v>14481</v>
      </c>
    </row>
    <row r="25">
      <c r="A25" s="100">
        <v>18006.0</v>
      </c>
      <c r="B25" s="8" t="s">
        <v>12481</v>
      </c>
      <c r="C25" s="11" t="s">
        <v>14515</v>
      </c>
      <c r="D25" s="11" t="s">
        <v>14471</v>
      </c>
      <c r="E25" s="8" t="s">
        <v>14472</v>
      </c>
      <c r="H25" s="9" t="s">
        <v>14516</v>
      </c>
      <c r="I25" s="293" t="s">
        <v>14517</v>
      </c>
    </row>
    <row r="26">
      <c r="A26" s="37">
        <v>18005.0</v>
      </c>
      <c r="B26" s="8" t="s">
        <v>3779</v>
      </c>
      <c r="C26" s="11" t="s">
        <v>14518</v>
      </c>
      <c r="D26" s="11" t="s">
        <v>14471</v>
      </c>
      <c r="E26" s="8" t="s">
        <v>14472</v>
      </c>
      <c r="H26" s="12" t="s">
        <v>14519</v>
      </c>
    </row>
    <row r="27">
      <c r="A27" s="37">
        <v>17875.0</v>
      </c>
      <c r="B27" s="8" t="s">
        <v>12481</v>
      </c>
      <c r="C27" s="11" t="s">
        <v>74</v>
      </c>
      <c r="D27" s="11" t="s">
        <v>14471</v>
      </c>
      <c r="E27" s="8" t="s">
        <v>14472</v>
      </c>
      <c r="H27" s="12" t="s">
        <v>14520</v>
      </c>
      <c r="I27" s="37" t="s">
        <v>4926</v>
      </c>
      <c r="J27" s="12" t="s">
        <v>14521</v>
      </c>
    </row>
    <row r="28">
      <c r="A28" s="37">
        <v>764.0</v>
      </c>
      <c r="B28" s="8" t="s">
        <v>3779</v>
      </c>
      <c r="C28" s="11" t="s">
        <v>69</v>
      </c>
      <c r="D28" s="11" t="s">
        <v>14471</v>
      </c>
      <c r="E28" s="8" t="s">
        <v>14472</v>
      </c>
      <c r="F28" s="8"/>
      <c r="G28" s="8"/>
      <c r="H28" s="9" t="s">
        <v>14522</v>
      </c>
    </row>
    <row r="29">
      <c r="A29" s="37">
        <v>762.0</v>
      </c>
      <c r="B29" s="8" t="s">
        <v>12481</v>
      </c>
      <c r="C29" s="11" t="s">
        <v>14523</v>
      </c>
      <c r="D29" s="11" t="s">
        <v>14471</v>
      </c>
      <c r="E29" s="8" t="s">
        <v>14472</v>
      </c>
      <c r="F29" s="8"/>
      <c r="G29" s="8"/>
      <c r="H29" s="12" t="s">
        <v>14524</v>
      </c>
    </row>
    <row r="30">
      <c r="A30" s="37">
        <v>761.0</v>
      </c>
      <c r="B30" s="8" t="s">
        <v>3779</v>
      </c>
      <c r="C30" s="11" t="s">
        <v>8566</v>
      </c>
      <c r="D30" s="11" t="s">
        <v>14471</v>
      </c>
      <c r="E30" s="8" t="s">
        <v>14472</v>
      </c>
      <c r="F30" s="8"/>
      <c r="G30" s="8"/>
      <c r="H30" s="12" t="s">
        <v>14525</v>
      </c>
      <c r="J30" s="12" t="s">
        <v>14526</v>
      </c>
    </row>
    <row r="31">
      <c r="A31" s="37">
        <v>509.0</v>
      </c>
      <c r="B31" s="8" t="s">
        <v>3779</v>
      </c>
      <c r="C31" s="11" t="s">
        <v>14498</v>
      </c>
      <c r="D31" s="11" t="s">
        <v>14471</v>
      </c>
      <c r="E31" s="8" t="s">
        <v>14472</v>
      </c>
      <c r="H31" s="12" t="s">
        <v>14499</v>
      </c>
      <c r="I31" s="12" t="s">
        <v>14527</v>
      </c>
    </row>
    <row r="32">
      <c r="A32" s="37">
        <v>500.0</v>
      </c>
      <c r="B32" s="8" t="s">
        <v>12481</v>
      </c>
      <c r="C32" s="11" t="s">
        <v>14528</v>
      </c>
      <c r="D32" s="11" t="s">
        <v>14471</v>
      </c>
      <c r="E32" s="8" t="s">
        <v>14472</v>
      </c>
      <c r="H32" s="12" t="s">
        <v>14529</v>
      </c>
    </row>
    <row r="33">
      <c r="A33" s="37">
        <v>474.0</v>
      </c>
      <c r="B33" s="8" t="s">
        <v>3779</v>
      </c>
      <c r="C33" s="11" t="s">
        <v>1088</v>
      </c>
      <c r="D33" s="11" t="s">
        <v>14471</v>
      </c>
      <c r="E33" s="8" t="s">
        <v>14472</v>
      </c>
      <c r="F33" s="8"/>
      <c r="G33" s="8"/>
      <c r="I33" s="9" t="s">
        <v>14530</v>
      </c>
    </row>
    <row r="34">
      <c r="A34" s="37">
        <v>465.0</v>
      </c>
      <c r="B34" s="8" t="s">
        <v>12481</v>
      </c>
      <c r="C34" s="11" t="s">
        <v>11334</v>
      </c>
      <c r="D34" s="11" t="s">
        <v>14471</v>
      </c>
      <c r="E34" s="8" t="s">
        <v>14472</v>
      </c>
      <c r="H34" s="12" t="s">
        <v>14531</v>
      </c>
    </row>
    <row r="35">
      <c r="A35" s="37">
        <v>464.0</v>
      </c>
      <c r="B35" s="8" t="s">
        <v>12481</v>
      </c>
      <c r="C35" s="11" t="s">
        <v>14532</v>
      </c>
      <c r="D35" s="8" t="s">
        <v>14471</v>
      </c>
      <c r="E35" s="8" t="s">
        <v>14472</v>
      </c>
      <c r="H35" s="12" t="s">
        <v>14533</v>
      </c>
    </row>
    <row r="36">
      <c r="A36" s="37">
        <v>456.0</v>
      </c>
      <c r="B36" s="8" t="s">
        <v>3779</v>
      </c>
      <c r="C36" s="11" t="s">
        <v>5448</v>
      </c>
      <c r="D36" s="8" t="s">
        <v>14471</v>
      </c>
      <c r="E36" s="8" t="s">
        <v>14472</v>
      </c>
      <c r="H36" s="12" t="s">
        <v>14534</v>
      </c>
    </row>
    <row r="37">
      <c r="A37" s="100">
        <v>25215.0</v>
      </c>
      <c r="B37" s="8" t="s">
        <v>12481</v>
      </c>
      <c r="C37" s="11" t="s">
        <v>14535</v>
      </c>
      <c r="D37" s="11" t="s">
        <v>14471</v>
      </c>
      <c r="E37" s="8" t="s">
        <v>14536</v>
      </c>
      <c r="H37" s="12" t="s">
        <v>14537</v>
      </c>
    </row>
    <row r="38">
      <c r="A38" s="100">
        <v>25214.0</v>
      </c>
      <c r="B38" s="8" t="s">
        <v>3779</v>
      </c>
      <c r="C38" s="11" t="s">
        <v>39</v>
      </c>
      <c r="D38" s="11" t="s">
        <v>14471</v>
      </c>
      <c r="E38" s="8" t="s">
        <v>14536</v>
      </c>
      <c r="H38" s="12" t="s">
        <v>14538</v>
      </c>
      <c r="I38" s="12" t="s">
        <v>14539</v>
      </c>
    </row>
    <row r="39">
      <c r="A39" s="100">
        <v>25212.0</v>
      </c>
      <c r="B39" s="8" t="s">
        <v>3779</v>
      </c>
      <c r="C39" s="11" t="s">
        <v>14540</v>
      </c>
      <c r="D39" s="11" t="s">
        <v>14471</v>
      </c>
      <c r="E39" s="8" t="s">
        <v>14536</v>
      </c>
      <c r="H39" s="9" t="s">
        <v>14541</v>
      </c>
      <c r="I39" s="12" t="s">
        <v>14542</v>
      </c>
    </row>
    <row r="40">
      <c r="A40" s="100">
        <v>619.0</v>
      </c>
      <c r="B40" s="8" t="s">
        <v>3779</v>
      </c>
      <c r="C40" s="11" t="s">
        <v>14543</v>
      </c>
      <c r="D40" s="11" t="s">
        <v>14471</v>
      </c>
      <c r="E40" s="8" t="s">
        <v>14536</v>
      </c>
      <c r="F40" s="285"/>
      <c r="G40" s="285"/>
      <c r="H40" s="9" t="s">
        <v>14544</v>
      </c>
    </row>
    <row r="41">
      <c r="A41" s="37">
        <v>611.0</v>
      </c>
      <c r="B41" s="8" t="s">
        <v>3779</v>
      </c>
      <c r="C41" s="11" t="s">
        <v>707</v>
      </c>
      <c r="D41" s="11" t="s">
        <v>14471</v>
      </c>
      <c r="E41" s="8" t="s">
        <v>14536</v>
      </c>
      <c r="F41" s="8"/>
      <c r="G41" s="8"/>
      <c r="H41" s="12" t="s">
        <v>14545</v>
      </c>
    </row>
    <row r="42">
      <c r="A42" s="37">
        <v>452.0</v>
      </c>
      <c r="B42" s="8" t="s">
        <v>3779</v>
      </c>
      <c r="C42" s="11" t="s">
        <v>5602</v>
      </c>
      <c r="D42" s="8" t="s">
        <v>14471</v>
      </c>
      <c r="E42" s="8" t="s">
        <v>14536</v>
      </c>
      <c r="H42" s="12" t="s">
        <v>14546</v>
      </c>
      <c r="I42" s="258"/>
      <c r="J42" s="287"/>
    </row>
    <row r="43">
      <c r="A43" s="37">
        <v>19851.0</v>
      </c>
      <c r="B43" s="8" t="s">
        <v>12481</v>
      </c>
      <c r="C43" s="11" t="s">
        <v>14547</v>
      </c>
      <c r="D43" s="11" t="s">
        <v>14471</v>
      </c>
      <c r="E43" s="8" t="s">
        <v>14548</v>
      </c>
      <c r="H43" s="12" t="s">
        <v>14549</v>
      </c>
    </row>
    <row r="44">
      <c r="A44" s="37">
        <v>19580.0</v>
      </c>
      <c r="B44" s="8" t="s">
        <v>3779</v>
      </c>
      <c r="C44" s="11" t="s">
        <v>14550</v>
      </c>
      <c r="D44" s="11" t="s">
        <v>14471</v>
      </c>
      <c r="E44" s="8" t="s">
        <v>14548</v>
      </c>
      <c r="F44" s="8"/>
      <c r="G44" s="8"/>
      <c r="H44" s="12" t="s">
        <v>14551</v>
      </c>
      <c r="I44" s="12" t="s">
        <v>14552</v>
      </c>
    </row>
    <row r="45">
      <c r="A45" s="100">
        <v>17928.0</v>
      </c>
      <c r="B45" s="8" t="s">
        <v>3779</v>
      </c>
      <c r="C45" s="11" t="s">
        <v>1460</v>
      </c>
      <c r="D45" s="11" t="s">
        <v>14471</v>
      </c>
      <c r="E45" s="8" t="s">
        <v>14548</v>
      </c>
      <c r="H45" s="258"/>
      <c r="I45" s="12" t="s">
        <v>14553</v>
      </c>
    </row>
    <row r="46">
      <c r="A46" s="37">
        <v>782.0</v>
      </c>
      <c r="B46" s="8" t="s">
        <v>3779</v>
      </c>
      <c r="C46" s="11" t="s">
        <v>8172</v>
      </c>
      <c r="D46" s="11" t="s">
        <v>14471</v>
      </c>
      <c r="E46" s="8" t="s">
        <v>14554</v>
      </c>
      <c r="H46" s="12" t="s">
        <v>14555</v>
      </c>
    </row>
    <row r="47">
      <c r="A47" s="100">
        <v>25079.0</v>
      </c>
      <c r="B47" s="8" t="s">
        <v>12481</v>
      </c>
      <c r="C47" s="11" t="s">
        <v>14556</v>
      </c>
      <c r="D47" s="11" t="s">
        <v>14471</v>
      </c>
      <c r="E47" s="8" t="s">
        <v>14557</v>
      </c>
      <c r="H47" s="12" t="s">
        <v>14558</v>
      </c>
      <c r="I47" s="12" t="s">
        <v>14559</v>
      </c>
    </row>
    <row r="48">
      <c r="A48" s="100">
        <v>23818.0</v>
      </c>
      <c r="B48" s="8" t="s">
        <v>12481</v>
      </c>
      <c r="C48" s="11" t="s">
        <v>14560</v>
      </c>
      <c r="D48" s="11" t="s">
        <v>14471</v>
      </c>
      <c r="E48" s="8" t="s">
        <v>14557</v>
      </c>
      <c r="H48" s="12" t="s">
        <v>14561</v>
      </c>
    </row>
    <row r="49">
      <c r="A49" s="100">
        <v>21133.0</v>
      </c>
      <c r="B49" s="8" t="s">
        <v>12481</v>
      </c>
      <c r="C49" s="11" t="s">
        <v>724</v>
      </c>
      <c r="D49" s="11" t="s">
        <v>14471</v>
      </c>
      <c r="E49" s="8" t="s">
        <v>14557</v>
      </c>
      <c r="H49" s="12" t="s">
        <v>14562</v>
      </c>
    </row>
    <row r="50">
      <c r="A50" s="37">
        <v>19852.0</v>
      </c>
      <c r="B50" s="8" t="s">
        <v>12481</v>
      </c>
      <c r="C50" s="11" t="s">
        <v>3625</v>
      </c>
      <c r="D50" s="11" t="s">
        <v>14471</v>
      </c>
      <c r="E50" s="8" t="s">
        <v>14557</v>
      </c>
      <c r="H50" s="12" t="s">
        <v>14563</v>
      </c>
    </row>
    <row r="51">
      <c r="A51" s="37">
        <v>451.0</v>
      </c>
      <c r="B51" s="8" t="s">
        <v>12481</v>
      </c>
      <c r="C51" s="11" t="s">
        <v>14564</v>
      </c>
      <c r="D51" s="8" t="s">
        <v>14471</v>
      </c>
      <c r="E51" s="8" t="s">
        <v>14557</v>
      </c>
      <c r="H51" s="12" t="s">
        <v>14565</v>
      </c>
      <c r="J51" s="294"/>
    </row>
    <row r="52">
      <c r="A52" s="37">
        <v>449.0</v>
      </c>
      <c r="B52" s="8" t="s">
        <v>12481</v>
      </c>
      <c r="C52" s="11" t="s">
        <v>1052</v>
      </c>
      <c r="D52" s="8" t="s">
        <v>14471</v>
      </c>
      <c r="E52" s="8" t="s">
        <v>14557</v>
      </c>
      <c r="H52" s="12" t="s">
        <v>14566</v>
      </c>
    </row>
    <row r="53">
      <c r="A53" s="100">
        <v>25080.0</v>
      </c>
      <c r="B53" s="8"/>
      <c r="C53" s="11" t="s">
        <v>14567</v>
      </c>
      <c r="D53" s="11" t="s">
        <v>14471</v>
      </c>
      <c r="E53" s="8" t="s">
        <v>14568</v>
      </c>
      <c r="J53" s="290" t="s">
        <v>14569</v>
      </c>
    </row>
    <row r="54">
      <c r="A54" s="100">
        <v>23412.0</v>
      </c>
      <c r="B54" s="8" t="s">
        <v>12481</v>
      </c>
      <c r="C54" s="11" t="s">
        <v>1399</v>
      </c>
      <c r="D54" s="11" t="s">
        <v>14471</v>
      </c>
      <c r="E54" s="8" t="s">
        <v>14568</v>
      </c>
      <c r="H54" s="9" t="s">
        <v>14570</v>
      </c>
    </row>
    <row r="55">
      <c r="A55" s="37">
        <v>20809.0</v>
      </c>
      <c r="B55" s="8" t="s">
        <v>3779</v>
      </c>
      <c r="C55" s="11" t="s">
        <v>14571</v>
      </c>
      <c r="D55" s="11" t="s">
        <v>14471</v>
      </c>
      <c r="E55" s="8" t="s">
        <v>14568</v>
      </c>
      <c r="H55" s="12" t="s">
        <v>14572</v>
      </c>
      <c r="I55" s="37" t="s">
        <v>4926</v>
      </c>
      <c r="J55" s="12" t="s">
        <v>14573</v>
      </c>
    </row>
    <row r="56">
      <c r="A56" s="37">
        <v>678.0</v>
      </c>
      <c r="B56" s="8" t="s">
        <v>3779</v>
      </c>
      <c r="C56" s="11" t="s">
        <v>4062</v>
      </c>
      <c r="D56" s="11" t="s">
        <v>14471</v>
      </c>
      <c r="E56" s="8" t="s">
        <v>14568</v>
      </c>
      <c r="H56" s="12" t="s">
        <v>14574</v>
      </c>
    </row>
    <row r="57">
      <c r="A57" s="37">
        <v>463.0</v>
      </c>
      <c r="B57" s="8" t="s">
        <v>12481</v>
      </c>
      <c r="C57" s="11" t="s">
        <v>306</v>
      </c>
      <c r="D57" s="8" t="s">
        <v>14471</v>
      </c>
      <c r="E57" s="8" t="s">
        <v>14575</v>
      </c>
      <c r="H57" s="12" t="s">
        <v>14576</v>
      </c>
    </row>
    <row r="58">
      <c r="A58" s="100">
        <v>32899.0</v>
      </c>
      <c r="B58" s="8" t="s">
        <v>20</v>
      </c>
      <c r="C58" s="11" t="s">
        <v>14577</v>
      </c>
      <c r="D58" s="8" t="s">
        <v>14471</v>
      </c>
      <c r="E58" s="11" t="s">
        <v>14472</v>
      </c>
      <c r="F58" s="287"/>
      <c r="G58" s="287"/>
      <c r="H58" s="9" t="s">
        <v>14578</v>
      </c>
    </row>
    <row r="59">
      <c r="A59" s="100"/>
      <c r="B59" s="8" t="s">
        <v>20</v>
      </c>
      <c r="C59" s="11" t="s">
        <v>14577</v>
      </c>
      <c r="D59" s="8" t="s">
        <v>14471</v>
      </c>
      <c r="E59" s="11" t="s">
        <v>14472</v>
      </c>
      <c r="F59" s="287"/>
      <c r="G59" s="287"/>
      <c r="H59" s="9" t="s">
        <v>14579</v>
      </c>
    </row>
    <row r="60">
      <c r="A60" s="100">
        <v>32427.0</v>
      </c>
      <c r="B60" s="8" t="s">
        <v>20</v>
      </c>
      <c r="C60" s="11" t="s">
        <v>14580</v>
      </c>
      <c r="D60" s="8" t="s">
        <v>14471</v>
      </c>
      <c r="E60" s="11" t="s">
        <v>14472</v>
      </c>
      <c r="J60" s="12" t="s">
        <v>14581</v>
      </c>
    </row>
    <row r="61">
      <c r="A61" s="100">
        <v>31945.0</v>
      </c>
      <c r="B61" s="8" t="s">
        <v>20</v>
      </c>
      <c r="C61" s="11" t="s">
        <v>14582</v>
      </c>
      <c r="D61" s="8" t="s">
        <v>14471</v>
      </c>
      <c r="E61" s="11" t="s">
        <v>14472</v>
      </c>
      <c r="H61" s="9" t="s">
        <v>14583</v>
      </c>
    </row>
    <row r="62">
      <c r="A62" s="100"/>
      <c r="B62" s="8" t="s">
        <v>20</v>
      </c>
      <c r="C62" s="11" t="s">
        <v>4225</v>
      </c>
      <c r="D62" s="8" t="s">
        <v>14471</v>
      </c>
      <c r="E62" s="11" t="s">
        <v>14472</v>
      </c>
      <c r="H62" s="258"/>
      <c r="I62" s="12" t="s">
        <v>14584</v>
      </c>
      <c r="J62" s="12" t="s">
        <v>14585</v>
      </c>
    </row>
    <row r="63">
      <c r="A63" s="100">
        <v>31788.0</v>
      </c>
      <c r="B63" s="8" t="s">
        <v>720</v>
      </c>
      <c r="C63" s="11" t="s">
        <v>4158</v>
      </c>
      <c r="D63" s="8" t="s">
        <v>14471</v>
      </c>
      <c r="E63" s="11" t="s">
        <v>14472</v>
      </c>
      <c r="H63" s="9" t="s">
        <v>14586</v>
      </c>
    </row>
    <row r="64">
      <c r="A64" s="100">
        <v>31740.0</v>
      </c>
      <c r="B64" s="8" t="s">
        <v>20</v>
      </c>
      <c r="C64" s="11" t="s">
        <v>14587</v>
      </c>
      <c r="D64" s="8" t="s">
        <v>14471</v>
      </c>
      <c r="E64" s="11" t="s">
        <v>14472</v>
      </c>
      <c r="H64" s="9" t="s">
        <v>14588</v>
      </c>
    </row>
    <row r="65">
      <c r="A65" s="100">
        <v>30962.0</v>
      </c>
      <c r="B65" s="8" t="s">
        <v>20</v>
      </c>
      <c r="C65" s="11" t="s">
        <v>1350</v>
      </c>
      <c r="D65" s="8" t="s">
        <v>14471</v>
      </c>
      <c r="E65" s="11" t="s">
        <v>14472</v>
      </c>
      <c r="H65" s="9" t="s">
        <v>14589</v>
      </c>
    </row>
    <row r="66">
      <c r="A66" s="100">
        <v>30761.0</v>
      </c>
      <c r="B66" s="8" t="s">
        <v>20</v>
      </c>
      <c r="C66" s="358" t="s">
        <v>14590</v>
      </c>
      <c r="D66" s="8" t="s">
        <v>14471</v>
      </c>
      <c r="E66" s="11" t="s">
        <v>14472</v>
      </c>
      <c r="J66" s="12" t="s">
        <v>14591</v>
      </c>
    </row>
    <row r="67">
      <c r="A67" s="100">
        <v>30728.0</v>
      </c>
      <c r="B67" s="8" t="s">
        <v>20</v>
      </c>
      <c r="C67" s="11" t="s">
        <v>327</v>
      </c>
      <c r="D67" s="8" t="s">
        <v>14471</v>
      </c>
      <c r="E67" s="11" t="s">
        <v>14472</v>
      </c>
      <c r="J67" s="12" t="s">
        <v>14497</v>
      </c>
    </row>
    <row r="68">
      <c r="A68" s="100">
        <v>30177.0</v>
      </c>
      <c r="B68" s="8" t="s">
        <v>20</v>
      </c>
      <c r="C68" s="11" t="s">
        <v>14592</v>
      </c>
      <c r="D68" s="8" t="s">
        <v>14471</v>
      </c>
      <c r="E68" s="11" t="s">
        <v>14472</v>
      </c>
      <c r="H68" s="9" t="s">
        <v>14593</v>
      </c>
      <c r="J68" s="12" t="s">
        <v>14594</v>
      </c>
    </row>
    <row r="69">
      <c r="A69" s="100">
        <v>30176.0</v>
      </c>
      <c r="B69" s="8" t="s">
        <v>20</v>
      </c>
      <c r="C69" s="11" t="s">
        <v>14595</v>
      </c>
      <c r="D69" s="8" t="s">
        <v>14471</v>
      </c>
      <c r="E69" s="11" t="s">
        <v>14472</v>
      </c>
      <c r="J69" s="12" t="s">
        <v>14596</v>
      </c>
    </row>
    <row r="70">
      <c r="A70" s="100">
        <v>29619.0</v>
      </c>
      <c r="B70" s="8" t="s">
        <v>20</v>
      </c>
      <c r="C70" s="11" t="s">
        <v>14597</v>
      </c>
      <c r="D70" s="8" t="s">
        <v>14471</v>
      </c>
      <c r="E70" s="11" t="s">
        <v>14472</v>
      </c>
      <c r="H70" s="9" t="s">
        <v>14598</v>
      </c>
      <c r="I70" s="258"/>
      <c r="J70" s="12" t="s">
        <v>14599</v>
      </c>
    </row>
    <row r="71">
      <c r="A71" s="100">
        <v>27111.0</v>
      </c>
      <c r="B71" s="8" t="s">
        <v>20</v>
      </c>
      <c r="C71" s="11" t="s">
        <v>14600</v>
      </c>
      <c r="D71" s="8" t="s">
        <v>14471</v>
      </c>
      <c r="E71" s="11" t="s">
        <v>14472</v>
      </c>
      <c r="F71" s="53"/>
      <c r="G71" s="53"/>
      <c r="H71" s="9" t="s">
        <v>14601</v>
      </c>
      <c r="J71" s="12" t="s">
        <v>14602</v>
      </c>
      <c r="L71" s="258"/>
    </row>
    <row r="72">
      <c r="A72" s="100">
        <v>27109.0</v>
      </c>
      <c r="B72" s="8" t="s">
        <v>20</v>
      </c>
      <c r="C72" s="11" t="s">
        <v>14603</v>
      </c>
      <c r="D72" s="8" t="s">
        <v>14471</v>
      </c>
      <c r="E72" s="11" t="s">
        <v>14472</v>
      </c>
      <c r="H72" s="9" t="s">
        <v>14604</v>
      </c>
    </row>
    <row r="73">
      <c r="A73" s="100">
        <v>27107.0</v>
      </c>
      <c r="B73" s="8" t="s">
        <v>20</v>
      </c>
      <c r="C73" s="11" t="s">
        <v>14605</v>
      </c>
      <c r="D73" s="8" t="s">
        <v>14471</v>
      </c>
      <c r="E73" s="11" t="s">
        <v>14472</v>
      </c>
      <c r="H73" s="9" t="s">
        <v>14606</v>
      </c>
    </row>
    <row r="74">
      <c r="A74" s="100">
        <v>27105.0</v>
      </c>
      <c r="B74" s="8" t="s">
        <v>20</v>
      </c>
      <c r="C74" s="11" t="s">
        <v>14607</v>
      </c>
      <c r="D74" s="8" t="s">
        <v>14471</v>
      </c>
      <c r="E74" s="11" t="s">
        <v>14472</v>
      </c>
      <c r="H74" s="9" t="s">
        <v>14608</v>
      </c>
      <c r="I74" s="12" t="s">
        <v>14609</v>
      </c>
      <c r="J74" s="12" t="s">
        <v>14610</v>
      </c>
    </row>
    <row r="75">
      <c r="A75" s="100">
        <v>23520.0</v>
      </c>
      <c r="B75" s="8" t="s">
        <v>14611</v>
      </c>
      <c r="C75" s="11" t="s">
        <v>14612</v>
      </c>
      <c r="D75" s="8" t="s">
        <v>14471</v>
      </c>
      <c r="E75" s="11" t="s">
        <v>14472</v>
      </c>
      <c r="J75" s="12" t="s">
        <v>14613</v>
      </c>
    </row>
    <row r="76">
      <c r="A76" s="100">
        <v>23504.0</v>
      </c>
      <c r="B76" s="8" t="s">
        <v>20</v>
      </c>
      <c r="C76" s="11" t="s">
        <v>14614</v>
      </c>
      <c r="D76" s="8" t="s">
        <v>14471</v>
      </c>
      <c r="E76" s="11" t="s">
        <v>14472</v>
      </c>
      <c r="H76" s="9" t="s">
        <v>14615</v>
      </c>
    </row>
    <row r="77">
      <c r="A77" s="100">
        <v>23388.0</v>
      </c>
      <c r="B77" s="8" t="s">
        <v>20</v>
      </c>
      <c r="C77" s="11" t="s">
        <v>855</v>
      </c>
      <c r="D77" s="8" t="s">
        <v>14471</v>
      </c>
      <c r="E77" s="11" t="s">
        <v>14472</v>
      </c>
      <c r="H77" s="9" t="s">
        <v>14616</v>
      </c>
    </row>
    <row r="78">
      <c r="A78" s="100">
        <v>23209.0</v>
      </c>
      <c r="B78" s="8" t="s">
        <v>20</v>
      </c>
      <c r="C78" s="11" t="s">
        <v>4530</v>
      </c>
      <c r="D78" s="8" t="s">
        <v>14471</v>
      </c>
      <c r="E78" s="11" t="s">
        <v>14472</v>
      </c>
      <c r="H78" s="9" t="s">
        <v>14617</v>
      </c>
    </row>
    <row r="79">
      <c r="A79" s="100">
        <v>23022.0</v>
      </c>
      <c r="B79" s="8" t="s">
        <v>20</v>
      </c>
      <c r="C79" s="11" t="s">
        <v>3625</v>
      </c>
      <c r="D79" s="8" t="s">
        <v>14471</v>
      </c>
      <c r="E79" s="11" t="s">
        <v>14472</v>
      </c>
      <c r="H79" s="9" t="s">
        <v>14618</v>
      </c>
      <c r="J79" s="12" t="s">
        <v>14619</v>
      </c>
    </row>
    <row r="80">
      <c r="A80" s="100">
        <v>22000.0</v>
      </c>
      <c r="B80" s="8" t="s">
        <v>20</v>
      </c>
      <c r="C80" s="11" t="s">
        <v>767</v>
      </c>
      <c r="D80" s="8" t="s">
        <v>14471</v>
      </c>
      <c r="E80" s="11" t="s">
        <v>14472</v>
      </c>
      <c r="I80" s="12" t="s">
        <v>14620</v>
      </c>
      <c r="J80" s="12" t="s">
        <v>14621</v>
      </c>
    </row>
    <row r="81">
      <c r="A81" s="100"/>
      <c r="B81" s="8" t="s">
        <v>20</v>
      </c>
      <c r="C81" s="11" t="s">
        <v>850</v>
      </c>
      <c r="D81" s="8" t="s">
        <v>14471</v>
      </c>
      <c r="E81" s="11" t="s">
        <v>14472</v>
      </c>
      <c r="H81" s="9" t="s">
        <v>14622</v>
      </c>
    </row>
    <row r="82">
      <c r="A82" s="100">
        <v>21996.0</v>
      </c>
      <c r="B82" s="8" t="s">
        <v>20</v>
      </c>
      <c r="C82" s="11" t="s">
        <v>4084</v>
      </c>
      <c r="D82" s="8" t="s">
        <v>14471</v>
      </c>
      <c r="E82" s="11" t="s">
        <v>14472</v>
      </c>
      <c r="H82" s="9" t="s">
        <v>14623</v>
      </c>
    </row>
    <row r="83">
      <c r="A83" s="100"/>
      <c r="B83" s="8" t="s">
        <v>276</v>
      </c>
      <c r="C83" s="11" t="s">
        <v>14624</v>
      </c>
      <c r="D83" s="8" t="s">
        <v>14471</v>
      </c>
      <c r="E83" s="11" t="s">
        <v>14472</v>
      </c>
      <c r="H83" s="9" t="s">
        <v>14625</v>
      </c>
    </row>
    <row r="84">
      <c r="A84" s="100">
        <v>21976.0</v>
      </c>
      <c r="B84" s="8" t="s">
        <v>720</v>
      </c>
      <c r="C84" s="11" t="s">
        <v>14626</v>
      </c>
      <c r="D84" s="8" t="s">
        <v>14471</v>
      </c>
      <c r="E84" s="11" t="s">
        <v>14472</v>
      </c>
      <c r="I84" s="12" t="s">
        <v>14627</v>
      </c>
    </row>
    <row r="85">
      <c r="A85" s="100">
        <v>21670.0</v>
      </c>
      <c r="B85" s="8" t="s">
        <v>20</v>
      </c>
      <c r="C85" s="11" t="s">
        <v>14628</v>
      </c>
      <c r="D85" s="8" t="s">
        <v>14471</v>
      </c>
      <c r="E85" s="11" t="s">
        <v>14472</v>
      </c>
      <c r="H85" s="9" t="s">
        <v>14629</v>
      </c>
      <c r="I85" s="12" t="s">
        <v>14630</v>
      </c>
    </row>
    <row r="86">
      <c r="A86" s="100">
        <v>21176.0</v>
      </c>
      <c r="B86" s="8" t="s">
        <v>20</v>
      </c>
      <c r="C86" s="11" t="s">
        <v>14631</v>
      </c>
      <c r="D86" s="8" t="s">
        <v>14471</v>
      </c>
      <c r="E86" s="11" t="s">
        <v>14472</v>
      </c>
      <c r="H86" s="9" t="s">
        <v>14632</v>
      </c>
    </row>
    <row r="87">
      <c r="A87" s="100">
        <v>21170.0</v>
      </c>
      <c r="B87" s="8" t="s">
        <v>20</v>
      </c>
      <c r="C87" s="11" t="s">
        <v>8289</v>
      </c>
      <c r="D87" s="8" t="s">
        <v>14471</v>
      </c>
      <c r="E87" s="11" t="s">
        <v>14472</v>
      </c>
      <c r="H87" s="9" t="s">
        <v>14633</v>
      </c>
    </row>
    <row r="88">
      <c r="A88" s="100">
        <v>21167.0</v>
      </c>
      <c r="B88" s="8" t="s">
        <v>720</v>
      </c>
      <c r="C88" s="11" t="s">
        <v>14634</v>
      </c>
      <c r="D88" s="8" t="s">
        <v>14471</v>
      </c>
      <c r="E88" s="11" t="s">
        <v>14472</v>
      </c>
      <c r="H88" s="9" t="s">
        <v>14635</v>
      </c>
      <c r="I88" s="12" t="s">
        <v>14636</v>
      </c>
      <c r="J88" s="12" t="s">
        <v>14637</v>
      </c>
    </row>
    <row r="89">
      <c r="A89" s="100">
        <v>21162.0</v>
      </c>
      <c r="B89" s="8" t="s">
        <v>20</v>
      </c>
      <c r="C89" s="11" t="s">
        <v>5602</v>
      </c>
      <c r="D89" s="8" t="s">
        <v>14471</v>
      </c>
      <c r="E89" s="11" t="s">
        <v>14472</v>
      </c>
      <c r="H89" s="9" t="s">
        <v>14638</v>
      </c>
    </row>
    <row r="90">
      <c r="A90" s="100">
        <v>21161.0</v>
      </c>
      <c r="B90" s="8" t="s">
        <v>20</v>
      </c>
      <c r="C90" s="11" t="s">
        <v>8507</v>
      </c>
      <c r="D90" s="8" t="s">
        <v>14471</v>
      </c>
      <c r="E90" s="11" t="s">
        <v>14472</v>
      </c>
      <c r="H90" s="9" t="s">
        <v>14639</v>
      </c>
    </row>
    <row r="91">
      <c r="A91" s="100">
        <v>21146.0</v>
      </c>
      <c r="B91" s="8" t="s">
        <v>17</v>
      </c>
      <c r="C91" s="11" t="s">
        <v>14640</v>
      </c>
      <c r="D91" s="8" t="s">
        <v>14471</v>
      </c>
      <c r="E91" s="11" t="s">
        <v>14472</v>
      </c>
      <c r="H91" s="9" t="s">
        <v>14641</v>
      </c>
    </row>
    <row r="92">
      <c r="A92" s="100">
        <v>21143.0</v>
      </c>
      <c r="B92" s="8" t="s">
        <v>766</v>
      </c>
      <c r="C92" s="11" t="s">
        <v>14642</v>
      </c>
      <c r="D92" s="8" t="s">
        <v>14471</v>
      </c>
      <c r="E92" s="11" t="s">
        <v>14472</v>
      </c>
      <c r="H92" s="9" t="s">
        <v>14643</v>
      </c>
      <c r="I92" s="12" t="s">
        <v>14644</v>
      </c>
    </row>
    <row r="93">
      <c r="A93" s="100">
        <v>21137.0</v>
      </c>
      <c r="B93" s="8" t="s">
        <v>20</v>
      </c>
      <c r="C93" s="11" t="s">
        <v>14645</v>
      </c>
      <c r="D93" s="8" t="s">
        <v>14471</v>
      </c>
      <c r="E93" s="11" t="s">
        <v>14472</v>
      </c>
      <c r="H93" s="9" t="s">
        <v>14646</v>
      </c>
      <c r="J93" s="12" t="s">
        <v>14647</v>
      </c>
    </row>
    <row r="94">
      <c r="A94" s="100">
        <v>20464.0</v>
      </c>
      <c r="B94" s="8" t="s">
        <v>20</v>
      </c>
      <c r="C94" s="11" t="s">
        <v>14648</v>
      </c>
      <c r="D94" s="8" t="s">
        <v>14471</v>
      </c>
      <c r="E94" s="11" t="s">
        <v>14472</v>
      </c>
      <c r="J94" s="12" t="s">
        <v>14649</v>
      </c>
    </row>
    <row r="95">
      <c r="A95" s="100">
        <v>17676.0</v>
      </c>
      <c r="B95" s="8" t="s">
        <v>20</v>
      </c>
      <c r="C95" s="11" t="s">
        <v>14650</v>
      </c>
      <c r="D95" s="8" t="s">
        <v>14471</v>
      </c>
      <c r="E95" s="11" t="s">
        <v>14472</v>
      </c>
    </row>
    <row r="96">
      <c r="A96" s="100">
        <v>768.0</v>
      </c>
      <c r="B96" s="8" t="s">
        <v>20</v>
      </c>
      <c r="C96" s="11" t="s">
        <v>14651</v>
      </c>
      <c r="D96" s="8" t="s">
        <v>14471</v>
      </c>
      <c r="E96" s="11" t="s">
        <v>14472</v>
      </c>
    </row>
    <row r="97">
      <c r="A97" s="100">
        <v>756.0</v>
      </c>
      <c r="B97" s="8" t="s">
        <v>20</v>
      </c>
      <c r="C97" s="11" t="s">
        <v>14652</v>
      </c>
      <c r="D97" s="8" t="s">
        <v>14471</v>
      </c>
      <c r="E97" s="11" t="s">
        <v>14472</v>
      </c>
    </row>
    <row r="98">
      <c r="A98" s="100">
        <v>755.0</v>
      </c>
      <c r="B98" s="8" t="s">
        <v>20</v>
      </c>
      <c r="C98" s="11" t="s">
        <v>14626</v>
      </c>
      <c r="D98" s="8" t="s">
        <v>14471</v>
      </c>
      <c r="E98" s="11" t="s">
        <v>14472</v>
      </c>
    </row>
    <row r="99">
      <c r="A99" s="100">
        <v>751.0</v>
      </c>
      <c r="B99" s="8" t="s">
        <v>20</v>
      </c>
      <c r="C99" s="11" t="s">
        <v>14653</v>
      </c>
      <c r="D99" s="8" t="s">
        <v>14471</v>
      </c>
      <c r="E99" s="11" t="s">
        <v>14472</v>
      </c>
    </row>
    <row r="100">
      <c r="A100" s="100">
        <v>747.0</v>
      </c>
      <c r="B100" s="8" t="s">
        <v>20</v>
      </c>
      <c r="C100" s="11" t="s">
        <v>14472</v>
      </c>
      <c r="D100" s="8" t="s">
        <v>14471</v>
      </c>
      <c r="E100" s="11" t="s">
        <v>14472</v>
      </c>
    </row>
    <row r="101">
      <c r="A101" s="100">
        <v>746.0</v>
      </c>
      <c r="B101" s="8" t="s">
        <v>20</v>
      </c>
      <c r="C101" s="11" t="s">
        <v>1439</v>
      </c>
      <c r="D101" s="8" t="s">
        <v>14471</v>
      </c>
      <c r="E101" s="11" t="s">
        <v>14472</v>
      </c>
    </row>
    <row r="102">
      <c r="A102" s="100">
        <v>745.0</v>
      </c>
      <c r="B102" s="8" t="s">
        <v>20</v>
      </c>
      <c r="C102" s="11" t="s">
        <v>14654</v>
      </c>
      <c r="D102" s="8" t="s">
        <v>14471</v>
      </c>
      <c r="E102" s="11" t="s">
        <v>14472</v>
      </c>
    </row>
    <row r="103">
      <c r="A103" s="100">
        <v>744.0</v>
      </c>
      <c r="B103" s="8" t="s">
        <v>20</v>
      </c>
      <c r="C103" s="11" t="s">
        <v>14655</v>
      </c>
      <c r="D103" s="8" t="s">
        <v>14471</v>
      </c>
      <c r="E103" s="11" t="s">
        <v>14472</v>
      </c>
    </row>
    <row r="104">
      <c r="A104" s="100">
        <v>743.0</v>
      </c>
      <c r="B104" s="8" t="s">
        <v>20</v>
      </c>
      <c r="C104" s="11" t="s">
        <v>14656</v>
      </c>
      <c r="D104" s="8" t="s">
        <v>14471</v>
      </c>
      <c r="E104" s="11" t="s">
        <v>14472</v>
      </c>
    </row>
    <row r="105">
      <c r="A105" s="100">
        <v>740.0</v>
      </c>
      <c r="B105" s="8" t="s">
        <v>20</v>
      </c>
      <c r="C105" s="11" t="s">
        <v>3192</v>
      </c>
      <c r="D105" s="8" t="s">
        <v>14471</v>
      </c>
      <c r="E105" s="11" t="s">
        <v>14472</v>
      </c>
    </row>
    <row r="106">
      <c r="A106" s="100">
        <v>736.0</v>
      </c>
      <c r="B106" s="8" t="s">
        <v>20</v>
      </c>
      <c r="C106" s="11" t="s">
        <v>3020</v>
      </c>
      <c r="D106" s="8" t="s">
        <v>14471</v>
      </c>
      <c r="E106" s="11" t="s">
        <v>14472</v>
      </c>
    </row>
    <row r="107">
      <c r="A107" s="100">
        <v>735.0</v>
      </c>
      <c r="B107" s="8" t="s">
        <v>20</v>
      </c>
      <c r="C107" s="11" t="s">
        <v>14657</v>
      </c>
      <c r="D107" s="8" t="s">
        <v>14471</v>
      </c>
      <c r="E107" s="11" t="s">
        <v>14472</v>
      </c>
    </row>
    <row r="108">
      <c r="A108" s="100">
        <v>724.0</v>
      </c>
      <c r="B108" s="8" t="s">
        <v>20</v>
      </c>
      <c r="C108" s="11" t="s">
        <v>14658</v>
      </c>
      <c r="D108" s="8" t="s">
        <v>14471</v>
      </c>
      <c r="E108" s="11" t="s">
        <v>14472</v>
      </c>
    </row>
    <row r="109">
      <c r="A109" s="100">
        <v>723.0</v>
      </c>
      <c r="B109" s="8" t="s">
        <v>20</v>
      </c>
      <c r="C109" s="11" t="s">
        <v>3768</v>
      </c>
      <c r="D109" s="8" t="s">
        <v>14471</v>
      </c>
      <c r="E109" s="11" t="s">
        <v>14472</v>
      </c>
    </row>
    <row r="110">
      <c r="A110" s="100">
        <v>555.0</v>
      </c>
      <c r="B110" s="8" t="s">
        <v>20</v>
      </c>
      <c r="C110" s="11" t="s">
        <v>14659</v>
      </c>
      <c r="D110" s="8" t="s">
        <v>14471</v>
      </c>
      <c r="E110" s="11" t="s">
        <v>14472</v>
      </c>
    </row>
    <row r="111">
      <c r="A111" s="100">
        <v>554.0</v>
      </c>
      <c r="B111" s="8" t="s">
        <v>20</v>
      </c>
      <c r="C111" s="11" t="s">
        <v>14660</v>
      </c>
      <c r="D111" s="8" t="s">
        <v>14471</v>
      </c>
      <c r="E111" s="11" t="s">
        <v>14472</v>
      </c>
    </row>
    <row r="112">
      <c r="A112" s="100">
        <v>553.0</v>
      </c>
      <c r="B112" s="8" t="s">
        <v>20</v>
      </c>
      <c r="C112" s="11" t="s">
        <v>14661</v>
      </c>
      <c r="D112" s="8" t="s">
        <v>14471</v>
      </c>
      <c r="E112" s="11" t="s">
        <v>14472</v>
      </c>
    </row>
    <row r="113">
      <c r="A113" s="100">
        <v>545.0</v>
      </c>
      <c r="B113" s="8" t="s">
        <v>20</v>
      </c>
      <c r="C113" s="11" t="s">
        <v>14662</v>
      </c>
      <c r="D113" s="8" t="s">
        <v>14471</v>
      </c>
      <c r="E113" s="11" t="s">
        <v>14472</v>
      </c>
    </row>
    <row r="114">
      <c r="A114" s="100">
        <v>543.0</v>
      </c>
      <c r="B114" s="8" t="s">
        <v>20</v>
      </c>
      <c r="C114" s="11" t="s">
        <v>14663</v>
      </c>
      <c r="D114" s="8" t="s">
        <v>14471</v>
      </c>
      <c r="E114" s="11" t="s">
        <v>14472</v>
      </c>
    </row>
    <row r="115">
      <c r="A115" s="100">
        <v>542.0</v>
      </c>
      <c r="B115" s="8" t="s">
        <v>20</v>
      </c>
      <c r="C115" s="11" t="s">
        <v>14664</v>
      </c>
      <c r="D115" s="8" t="s">
        <v>14471</v>
      </c>
      <c r="E115" s="11" t="s">
        <v>14472</v>
      </c>
    </row>
    <row r="116">
      <c r="A116" s="100">
        <v>540.0</v>
      </c>
      <c r="B116" s="8" t="s">
        <v>20</v>
      </c>
      <c r="C116" s="11" t="s">
        <v>4724</v>
      </c>
      <c r="D116" s="8" t="s">
        <v>14471</v>
      </c>
      <c r="E116" s="11" t="s">
        <v>14472</v>
      </c>
    </row>
    <row r="117">
      <c r="A117" s="100">
        <v>538.0</v>
      </c>
      <c r="B117" s="8" t="s">
        <v>20</v>
      </c>
      <c r="C117" s="11" t="s">
        <v>14665</v>
      </c>
      <c r="D117" s="8" t="s">
        <v>14471</v>
      </c>
      <c r="E117" s="11" t="s">
        <v>14472</v>
      </c>
    </row>
    <row r="118">
      <c r="A118" s="100">
        <v>536.0</v>
      </c>
      <c r="B118" s="8" t="s">
        <v>20</v>
      </c>
      <c r="C118" s="11" t="s">
        <v>14666</v>
      </c>
      <c r="D118" s="8" t="s">
        <v>14471</v>
      </c>
      <c r="E118" s="11" t="s">
        <v>14472</v>
      </c>
    </row>
    <row r="119">
      <c r="A119" s="100">
        <v>535.0</v>
      </c>
      <c r="B119" s="8" t="s">
        <v>20</v>
      </c>
      <c r="C119" s="11" t="s">
        <v>5543</v>
      </c>
      <c r="D119" s="8" t="s">
        <v>14471</v>
      </c>
      <c r="E119" s="11" t="s">
        <v>14472</v>
      </c>
    </row>
    <row r="120">
      <c r="A120" s="100">
        <v>534.0</v>
      </c>
      <c r="B120" s="8" t="s">
        <v>20</v>
      </c>
      <c r="C120" s="11" t="s">
        <v>14667</v>
      </c>
      <c r="D120" s="8" t="s">
        <v>14471</v>
      </c>
      <c r="E120" s="11" t="s">
        <v>14472</v>
      </c>
    </row>
    <row r="121">
      <c r="A121" s="100">
        <v>532.0</v>
      </c>
      <c r="B121" s="8" t="s">
        <v>20</v>
      </c>
      <c r="C121" s="11" t="s">
        <v>14668</v>
      </c>
      <c r="D121" s="8" t="s">
        <v>14471</v>
      </c>
      <c r="E121" s="11" t="s">
        <v>14472</v>
      </c>
    </row>
    <row r="122">
      <c r="A122" s="100">
        <v>531.0</v>
      </c>
      <c r="B122" s="8" t="s">
        <v>20</v>
      </c>
      <c r="C122" s="11" t="s">
        <v>14669</v>
      </c>
      <c r="D122" s="8" t="s">
        <v>14471</v>
      </c>
      <c r="E122" s="11" t="s">
        <v>14472</v>
      </c>
    </row>
    <row r="123">
      <c r="A123" s="100">
        <v>529.0</v>
      </c>
      <c r="B123" s="8" t="s">
        <v>20</v>
      </c>
      <c r="C123" s="11" t="s">
        <v>14670</v>
      </c>
      <c r="D123" s="8" t="s">
        <v>14471</v>
      </c>
      <c r="E123" s="11" t="s">
        <v>14472</v>
      </c>
    </row>
    <row r="124">
      <c r="A124" s="100">
        <v>527.0</v>
      </c>
      <c r="B124" s="8" t="s">
        <v>20</v>
      </c>
      <c r="C124" s="11" t="s">
        <v>4139</v>
      </c>
      <c r="D124" s="8" t="s">
        <v>14471</v>
      </c>
      <c r="E124" s="11" t="s">
        <v>14472</v>
      </c>
    </row>
    <row r="125">
      <c r="A125" s="100">
        <v>526.0</v>
      </c>
      <c r="B125" s="8" t="s">
        <v>20</v>
      </c>
      <c r="C125" s="11" t="s">
        <v>14671</v>
      </c>
      <c r="D125" s="8" t="s">
        <v>14471</v>
      </c>
      <c r="E125" s="11" t="s">
        <v>14472</v>
      </c>
    </row>
    <row r="126">
      <c r="A126" s="100">
        <v>525.0</v>
      </c>
      <c r="B126" s="8" t="s">
        <v>20</v>
      </c>
      <c r="C126" s="11" t="s">
        <v>14672</v>
      </c>
      <c r="D126" s="8" t="s">
        <v>14471</v>
      </c>
      <c r="E126" s="11" t="s">
        <v>14472</v>
      </c>
    </row>
    <row r="127">
      <c r="A127" s="100">
        <v>520.0</v>
      </c>
      <c r="B127" s="8" t="s">
        <v>20</v>
      </c>
      <c r="C127" s="11" t="s">
        <v>14673</v>
      </c>
      <c r="D127" s="8" t="s">
        <v>14471</v>
      </c>
      <c r="E127" s="11" t="s">
        <v>14472</v>
      </c>
    </row>
    <row r="128">
      <c r="A128" s="100">
        <v>519.0</v>
      </c>
      <c r="B128" s="8" t="s">
        <v>20</v>
      </c>
      <c r="C128" s="11" t="s">
        <v>14674</v>
      </c>
      <c r="D128" s="8" t="s">
        <v>14471</v>
      </c>
      <c r="E128" s="11" t="s">
        <v>14472</v>
      </c>
    </row>
    <row r="129">
      <c r="A129" s="100">
        <v>518.0</v>
      </c>
      <c r="B129" s="8" t="s">
        <v>20</v>
      </c>
      <c r="C129" s="11" t="s">
        <v>767</v>
      </c>
      <c r="D129" s="8" t="s">
        <v>14471</v>
      </c>
      <c r="E129" s="11" t="s">
        <v>14472</v>
      </c>
    </row>
    <row r="130">
      <c r="A130" s="100">
        <v>517.0</v>
      </c>
      <c r="B130" s="8" t="s">
        <v>20</v>
      </c>
      <c r="C130" s="11" t="s">
        <v>14675</v>
      </c>
      <c r="D130" s="8" t="s">
        <v>14471</v>
      </c>
      <c r="E130" s="11" t="s">
        <v>14472</v>
      </c>
    </row>
    <row r="131">
      <c r="A131" s="100">
        <v>516.0</v>
      </c>
      <c r="B131" s="8" t="s">
        <v>20</v>
      </c>
      <c r="C131" s="11" t="s">
        <v>14676</v>
      </c>
      <c r="D131" s="8" t="s">
        <v>14471</v>
      </c>
      <c r="E131" s="11" t="s">
        <v>14472</v>
      </c>
    </row>
    <row r="132">
      <c r="A132" s="100">
        <v>515.0</v>
      </c>
      <c r="B132" s="8" t="s">
        <v>20</v>
      </c>
      <c r="C132" s="11" t="s">
        <v>14677</v>
      </c>
      <c r="D132" s="8" t="s">
        <v>14471</v>
      </c>
      <c r="E132" s="11" t="s">
        <v>14472</v>
      </c>
    </row>
    <row r="133">
      <c r="A133" s="100">
        <v>514.0</v>
      </c>
      <c r="B133" s="8" t="s">
        <v>20</v>
      </c>
      <c r="C133" s="11" t="s">
        <v>14678</v>
      </c>
      <c r="D133" s="8" t="s">
        <v>14471</v>
      </c>
      <c r="E133" s="11" t="s">
        <v>14472</v>
      </c>
    </row>
    <row r="134">
      <c r="A134" s="100">
        <v>513.0</v>
      </c>
      <c r="B134" s="8" t="s">
        <v>20</v>
      </c>
      <c r="C134" s="11" t="s">
        <v>3662</v>
      </c>
      <c r="D134" s="8" t="s">
        <v>14471</v>
      </c>
      <c r="E134" s="11" t="s">
        <v>14472</v>
      </c>
    </row>
    <row r="135">
      <c r="A135" s="100">
        <v>512.0</v>
      </c>
      <c r="B135" s="8" t="s">
        <v>20</v>
      </c>
      <c r="C135" s="11" t="s">
        <v>14679</v>
      </c>
      <c r="D135" s="8" t="s">
        <v>14471</v>
      </c>
      <c r="E135" s="11" t="s">
        <v>14472</v>
      </c>
    </row>
    <row r="136">
      <c r="A136" s="100">
        <v>510.0</v>
      </c>
      <c r="B136" s="8" t="s">
        <v>20</v>
      </c>
      <c r="C136" s="11" t="s">
        <v>3810</v>
      </c>
      <c r="D136" s="8" t="s">
        <v>14471</v>
      </c>
      <c r="E136" s="11" t="s">
        <v>14472</v>
      </c>
    </row>
    <row r="137">
      <c r="A137" s="100">
        <v>506.0</v>
      </c>
      <c r="B137" s="8" t="s">
        <v>20</v>
      </c>
      <c r="C137" s="11" t="s">
        <v>14680</v>
      </c>
      <c r="D137" s="8" t="s">
        <v>14471</v>
      </c>
      <c r="E137" s="11" t="s">
        <v>14472</v>
      </c>
    </row>
    <row r="138">
      <c r="A138" s="100">
        <v>502.0</v>
      </c>
      <c r="B138" s="8" t="s">
        <v>20</v>
      </c>
      <c r="C138" s="11" t="s">
        <v>14681</v>
      </c>
      <c r="D138" s="8" t="s">
        <v>14471</v>
      </c>
      <c r="E138" s="11" t="s">
        <v>14472</v>
      </c>
    </row>
    <row r="139">
      <c r="A139" s="100">
        <v>498.0</v>
      </c>
      <c r="B139" s="8" t="s">
        <v>20</v>
      </c>
      <c r="C139" s="11" t="s">
        <v>760</v>
      </c>
      <c r="D139" s="8" t="s">
        <v>14471</v>
      </c>
      <c r="E139" s="11" t="s">
        <v>14472</v>
      </c>
    </row>
    <row r="140">
      <c r="A140" s="100">
        <v>496.0</v>
      </c>
      <c r="B140" s="8" t="s">
        <v>20</v>
      </c>
      <c r="C140" s="11" t="s">
        <v>14682</v>
      </c>
      <c r="D140" s="8" t="s">
        <v>14471</v>
      </c>
      <c r="E140" s="11" t="s">
        <v>14472</v>
      </c>
    </row>
    <row r="141">
      <c r="A141" s="100">
        <v>495.0</v>
      </c>
      <c r="B141" s="8" t="s">
        <v>20</v>
      </c>
      <c r="C141" s="11" t="s">
        <v>11854</v>
      </c>
      <c r="D141" s="8" t="s">
        <v>14471</v>
      </c>
      <c r="E141" s="11" t="s">
        <v>14472</v>
      </c>
    </row>
    <row r="142">
      <c r="A142" s="100">
        <v>493.0</v>
      </c>
      <c r="B142" s="8" t="s">
        <v>20</v>
      </c>
      <c r="C142" s="11" t="s">
        <v>847</v>
      </c>
      <c r="D142" s="8" t="s">
        <v>14471</v>
      </c>
      <c r="E142" s="11" t="s">
        <v>14472</v>
      </c>
    </row>
    <row r="143">
      <c r="A143" s="100">
        <v>491.0</v>
      </c>
      <c r="B143" s="8" t="s">
        <v>20</v>
      </c>
      <c r="C143" s="11" t="s">
        <v>14683</v>
      </c>
      <c r="D143" s="8" t="s">
        <v>14471</v>
      </c>
      <c r="E143" s="11" t="s">
        <v>14472</v>
      </c>
    </row>
    <row r="144">
      <c r="A144" s="100">
        <v>490.0</v>
      </c>
      <c r="B144" s="8" t="s">
        <v>20</v>
      </c>
      <c r="C144" s="11" t="s">
        <v>14684</v>
      </c>
      <c r="D144" s="8" t="s">
        <v>14471</v>
      </c>
      <c r="E144" s="11" t="s">
        <v>14472</v>
      </c>
    </row>
    <row r="145">
      <c r="A145" s="100">
        <v>489.0</v>
      </c>
      <c r="B145" s="8" t="s">
        <v>20</v>
      </c>
      <c r="C145" s="11" t="s">
        <v>14685</v>
      </c>
      <c r="D145" s="8" t="s">
        <v>14471</v>
      </c>
      <c r="E145" s="11" t="s">
        <v>14472</v>
      </c>
    </row>
    <row r="146">
      <c r="A146" s="100">
        <v>488.0</v>
      </c>
      <c r="B146" s="8" t="s">
        <v>20</v>
      </c>
      <c r="C146" s="11" t="s">
        <v>14686</v>
      </c>
      <c r="D146" s="8" t="s">
        <v>14471</v>
      </c>
      <c r="E146" s="11" t="s">
        <v>14472</v>
      </c>
    </row>
    <row r="147">
      <c r="A147" s="100">
        <v>486.0</v>
      </c>
      <c r="B147" s="8" t="s">
        <v>20</v>
      </c>
      <c r="C147" s="11" t="s">
        <v>8172</v>
      </c>
      <c r="D147" s="8" t="s">
        <v>14471</v>
      </c>
      <c r="E147" s="11" t="s">
        <v>14472</v>
      </c>
    </row>
    <row r="148">
      <c r="A148" s="100">
        <v>485.0</v>
      </c>
      <c r="B148" s="8" t="s">
        <v>20</v>
      </c>
      <c r="C148" s="11" t="s">
        <v>14687</v>
      </c>
      <c r="D148" s="8" t="s">
        <v>14471</v>
      </c>
      <c r="E148" s="11" t="s">
        <v>14472</v>
      </c>
    </row>
    <row r="149">
      <c r="A149" s="100">
        <v>484.0</v>
      </c>
      <c r="B149" s="8" t="s">
        <v>20</v>
      </c>
      <c r="C149" s="11" t="s">
        <v>14688</v>
      </c>
      <c r="D149" s="8" t="s">
        <v>14471</v>
      </c>
      <c r="E149" s="11" t="s">
        <v>14472</v>
      </c>
    </row>
    <row r="150">
      <c r="A150" s="100">
        <v>483.0</v>
      </c>
      <c r="B150" s="8" t="s">
        <v>20</v>
      </c>
      <c r="C150" s="11" t="s">
        <v>14689</v>
      </c>
      <c r="D150" s="8" t="s">
        <v>14471</v>
      </c>
      <c r="E150" s="11" t="s">
        <v>14472</v>
      </c>
    </row>
    <row r="151">
      <c r="A151" s="100">
        <v>482.0</v>
      </c>
      <c r="B151" s="8" t="s">
        <v>20</v>
      </c>
      <c r="C151" s="11" t="s">
        <v>14690</v>
      </c>
      <c r="D151" s="8" t="s">
        <v>14471</v>
      </c>
      <c r="E151" s="11" t="s">
        <v>14472</v>
      </c>
    </row>
    <row r="152">
      <c r="A152" s="100">
        <v>479.0</v>
      </c>
      <c r="B152" s="8" t="s">
        <v>20</v>
      </c>
      <c r="C152" s="11" t="s">
        <v>4189</v>
      </c>
      <c r="D152" s="8" t="s">
        <v>14471</v>
      </c>
      <c r="E152" s="11" t="s">
        <v>14472</v>
      </c>
    </row>
    <row r="153">
      <c r="A153" s="100">
        <v>478.0</v>
      </c>
      <c r="B153" s="8" t="s">
        <v>20</v>
      </c>
      <c r="C153" s="11" t="s">
        <v>7480</v>
      </c>
      <c r="D153" s="8" t="s">
        <v>14471</v>
      </c>
      <c r="E153" s="11" t="s">
        <v>14472</v>
      </c>
    </row>
    <row r="154">
      <c r="A154" s="100">
        <v>477.0</v>
      </c>
      <c r="B154" s="8" t="s">
        <v>20</v>
      </c>
      <c r="C154" s="11" t="s">
        <v>8583</v>
      </c>
      <c r="D154" s="8" t="s">
        <v>14471</v>
      </c>
      <c r="E154" s="11" t="s">
        <v>14472</v>
      </c>
    </row>
    <row r="155">
      <c r="A155" s="100">
        <v>476.0</v>
      </c>
      <c r="B155" s="8" t="s">
        <v>20</v>
      </c>
      <c r="C155" s="11" t="s">
        <v>14691</v>
      </c>
      <c r="D155" s="8" t="s">
        <v>14471</v>
      </c>
      <c r="E155" s="11" t="s">
        <v>14472</v>
      </c>
    </row>
    <row r="156">
      <c r="A156" s="100">
        <v>472.0</v>
      </c>
      <c r="B156" s="8" t="s">
        <v>20</v>
      </c>
      <c r="C156" s="11" t="s">
        <v>14692</v>
      </c>
      <c r="D156" s="8" t="s">
        <v>14471</v>
      </c>
      <c r="E156" s="11" t="s">
        <v>14472</v>
      </c>
    </row>
    <row r="157">
      <c r="A157" s="100">
        <v>470.0</v>
      </c>
      <c r="B157" s="8" t="s">
        <v>20</v>
      </c>
      <c r="C157" s="11" t="s">
        <v>14693</v>
      </c>
      <c r="D157" s="8" t="s">
        <v>14471</v>
      </c>
      <c r="E157" s="11" t="s">
        <v>14472</v>
      </c>
    </row>
    <row r="158">
      <c r="A158" s="100">
        <v>462.0</v>
      </c>
      <c r="B158" s="8" t="s">
        <v>20</v>
      </c>
      <c r="C158" s="11" t="s">
        <v>14694</v>
      </c>
      <c r="D158" s="8" t="s">
        <v>14471</v>
      </c>
      <c r="E158" s="11" t="s">
        <v>14472</v>
      </c>
    </row>
    <row r="159">
      <c r="A159" s="100">
        <v>460.0</v>
      </c>
      <c r="B159" s="8" t="s">
        <v>20</v>
      </c>
      <c r="C159" s="11" t="s">
        <v>14695</v>
      </c>
      <c r="D159" s="8" t="s">
        <v>14471</v>
      </c>
      <c r="E159" s="11" t="s">
        <v>14472</v>
      </c>
    </row>
    <row r="160">
      <c r="A160" s="100">
        <v>457.0</v>
      </c>
      <c r="B160" s="8" t="s">
        <v>20</v>
      </c>
      <c r="C160" s="11" t="s">
        <v>14696</v>
      </c>
      <c r="D160" s="8" t="s">
        <v>14471</v>
      </c>
      <c r="E160" s="11" t="s">
        <v>14472</v>
      </c>
    </row>
    <row r="161">
      <c r="A161" s="100">
        <v>453.0</v>
      </c>
      <c r="B161" s="8" t="s">
        <v>20</v>
      </c>
      <c r="C161" s="11" t="s">
        <v>14693</v>
      </c>
      <c r="D161" s="8" t="s">
        <v>14471</v>
      </c>
      <c r="E161" s="11" t="s">
        <v>14472</v>
      </c>
    </row>
    <row r="162">
      <c r="A162" s="100">
        <v>437.0</v>
      </c>
      <c r="B162" s="8" t="s">
        <v>20</v>
      </c>
      <c r="C162" s="11" t="s">
        <v>14697</v>
      </c>
      <c r="D162" s="8" t="s">
        <v>14471</v>
      </c>
      <c r="E162" s="11" t="s">
        <v>14472</v>
      </c>
    </row>
    <row r="163">
      <c r="A163" s="100">
        <v>436.0</v>
      </c>
      <c r="B163" s="8" t="s">
        <v>20</v>
      </c>
      <c r="C163" s="11" t="s">
        <v>1207</v>
      </c>
      <c r="D163" s="8" t="s">
        <v>14471</v>
      </c>
      <c r="E163" s="11" t="s">
        <v>14472</v>
      </c>
    </row>
    <row r="164">
      <c r="A164" s="100">
        <v>56.0</v>
      </c>
      <c r="B164" s="8" t="s">
        <v>20</v>
      </c>
      <c r="C164" s="11" t="s">
        <v>14698</v>
      </c>
      <c r="D164" s="8" t="s">
        <v>14471</v>
      </c>
      <c r="E164" s="11" t="s">
        <v>14472</v>
      </c>
    </row>
    <row r="165">
      <c r="A165" s="100">
        <v>687.0</v>
      </c>
      <c r="B165" s="8" t="s">
        <v>20</v>
      </c>
      <c r="C165" s="11" t="s">
        <v>14699</v>
      </c>
      <c r="D165" s="8" t="s">
        <v>14471</v>
      </c>
      <c r="E165" s="11" t="s">
        <v>14700</v>
      </c>
    </row>
    <row r="166">
      <c r="A166" s="100">
        <v>25301.0</v>
      </c>
      <c r="B166" s="8" t="s">
        <v>20</v>
      </c>
      <c r="C166" s="11" t="s">
        <v>804</v>
      </c>
      <c r="D166" s="8" t="s">
        <v>14471</v>
      </c>
      <c r="E166" s="11" t="s">
        <v>6585</v>
      </c>
    </row>
    <row r="167">
      <c r="A167" s="100">
        <v>25300.0</v>
      </c>
      <c r="B167" s="8" t="s">
        <v>20</v>
      </c>
      <c r="C167" s="11" t="s">
        <v>14701</v>
      </c>
      <c r="D167" s="8" t="s">
        <v>14471</v>
      </c>
      <c r="E167" s="11" t="s">
        <v>6585</v>
      </c>
    </row>
    <row r="168">
      <c r="A168" s="100">
        <v>25299.0</v>
      </c>
      <c r="B168" s="8" t="s">
        <v>20</v>
      </c>
      <c r="C168" s="11" t="s">
        <v>14702</v>
      </c>
      <c r="D168" s="8" t="s">
        <v>14471</v>
      </c>
      <c r="E168" s="11" t="s">
        <v>6585</v>
      </c>
    </row>
    <row r="169">
      <c r="A169" s="100">
        <v>25298.0</v>
      </c>
      <c r="B169" s="8" t="s">
        <v>20</v>
      </c>
      <c r="C169" s="11" t="s">
        <v>306</v>
      </c>
      <c r="D169" s="8" t="s">
        <v>14471</v>
      </c>
      <c r="E169" s="11" t="s">
        <v>6585</v>
      </c>
    </row>
    <row r="170">
      <c r="A170" s="100">
        <v>20298.0</v>
      </c>
      <c r="B170" s="8" t="s">
        <v>20</v>
      </c>
      <c r="C170" s="11" t="s">
        <v>14703</v>
      </c>
      <c r="D170" s="8" t="s">
        <v>14471</v>
      </c>
      <c r="E170" s="11" t="s">
        <v>6585</v>
      </c>
    </row>
    <row r="171">
      <c r="A171" s="100">
        <v>781.0</v>
      </c>
      <c r="B171" s="8" t="s">
        <v>20</v>
      </c>
      <c r="C171" s="11" t="s">
        <v>7317</v>
      </c>
      <c r="D171" s="8" t="s">
        <v>14471</v>
      </c>
      <c r="E171" s="11" t="s">
        <v>6585</v>
      </c>
    </row>
    <row r="172">
      <c r="A172" s="100">
        <v>778.0</v>
      </c>
      <c r="B172" s="8" t="s">
        <v>20</v>
      </c>
      <c r="C172" s="11" t="s">
        <v>14704</v>
      </c>
      <c r="D172" s="8" t="s">
        <v>14471</v>
      </c>
      <c r="E172" s="11" t="s">
        <v>6585</v>
      </c>
    </row>
    <row r="173">
      <c r="A173" s="100">
        <v>670.0</v>
      </c>
      <c r="B173" s="8" t="s">
        <v>20</v>
      </c>
      <c r="C173" s="11" t="s">
        <v>760</v>
      </c>
      <c r="D173" s="8" t="s">
        <v>14471</v>
      </c>
      <c r="E173" s="11" t="s">
        <v>6585</v>
      </c>
    </row>
    <row r="174">
      <c r="A174" s="100">
        <v>638.0</v>
      </c>
      <c r="B174" s="8" t="s">
        <v>20</v>
      </c>
      <c r="C174" s="11" t="s">
        <v>14705</v>
      </c>
      <c r="D174" s="8" t="s">
        <v>14471</v>
      </c>
      <c r="E174" s="11" t="s">
        <v>6585</v>
      </c>
    </row>
    <row r="175">
      <c r="A175" s="100">
        <v>598.0</v>
      </c>
      <c r="B175" s="8" t="s">
        <v>20</v>
      </c>
      <c r="C175" s="11" t="s">
        <v>14706</v>
      </c>
      <c r="D175" s="8" t="s">
        <v>14471</v>
      </c>
      <c r="E175" s="11" t="s">
        <v>6585</v>
      </c>
    </row>
    <row r="176">
      <c r="A176" s="100">
        <v>592.0</v>
      </c>
      <c r="B176" s="8" t="s">
        <v>20</v>
      </c>
      <c r="C176" s="11" t="s">
        <v>3638</v>
      </c>
      <c r="D176" s="8" t="s">
        <v>14471</v>
      </c>
      <c r="E176" s="11" t="s">
        <v>6585</v>
      </c>
    </row>
    <row r="177">
      <c r="A177" s="100">
        <v>591.0</v>
      </c>
      <c r="B177" s="8" t="s">
        <v>20</v>
      </c>
      <c r="C177" s="11" t="s">
        <v>4293</v>
      </c>
      <c r="D177" s="8" t="s">
        <v>14471</v>
      </c>
      <c r="E177" s="11" t="s">
        <v>6585</v>
      </c>
    </row>
    <row r="178">
      <c r="A178" s="100">
        <v>586.0</v>
      </c>
      <c r="B178" s="8" t="s">
        <v>20</v>
      </c>
      <c r="C178" s="11" t="s">
        <v>7317</v>
      </c>
      <c r="D178" s="8" t="s">
        <v>14471</v>
      </c>
      <c r="E178" s="11" t="s">
        <v>6585</v>
      </c>
    </row>
    <row r="179">
      <c r="A179" s="100">
        <v>585.0</v>
      </c>
      <c r="B179" s="8" t="s">
        <v>20</v>
      </c>
      <c r="C179" s="11" t="s">
        <v>3192</v>
      </c>
      <c r="D179" s="8" t="s">
        <v>14471</v>
      </c>
      <c r="E179" s="11" t="s">
        <v>6585</v>
      </c>
    </row>
    <row r="180">
      <c r="A180" s="100">
        <v>584.0</v>
      </c>
      <c r="B180" s="8" t="s">
        <v>20</v>
      </c>
      <c r="C180" s="11" t="s">
        <v>1439</v>
      </c>
      <c r="D180" s="8" t="s">
        <v>14471</v>
      </c>
      <c r="E180" s="11" t="s">
        <v>6585</v>
      </c>
    </row>
    <row r="181">
      <c r="A181" s="100">
        <v>580.0</v>
      </c>
      <c r="B181" s="8" t="s">
        <v>20</v>
      </c>
      <c r="C181" s="11" t="s">
        <v>871</v>
      </c>
      <c r="D181" s="8" t="s">
        <v>14471</v>
      </c>
      <c r="E181" s="11" t="s">
        <v>6585</v>
      </c>
    </row>
    <row r="182">
      <c r="A182" s="100">
        <v>579.0</v>
      </c>
      <c r="B182" s="8" t="s">
        <v>20</v>
      </c>
      <c r="C182" s="11" t="s">
        <v>1616</v>
      </c>
      <c r="D182" s="8" t="s">
        <v>14471</v>
      </c>
      <c r="E182" s="11" t="s">
        <v>6585</v>
      </c>
    </row>
    <row r="183">
      <c r="A183" s="100">
        <v>558.0</v>
      </c>
      <c r="B183" s="8" t="s">
        <v>20</v>
      </c>
      <c r="C183" s="11" t="s">
        <v>14707</v>
      </c>
      <c r="D183" s="8" t="s">
        <v>14471</v>
      </c>
      <c r="E183" s="11" t="s">
        <v>6585</v>
      </c>
    </row>
    <row r="184">
      <c r="A184" s="100">
        <v>468.0</v>
      </c>
      <c r="B184" s="8" t="s">
        <v>20</v>
      </c>
      <c r="C184" s="11" t="s">
        <v>14236</v>
      </c>
      <c r="D184" s="8" t="s">
        <v>14471</v>
      </c>
      <c r="E184" s="11" t="s">
        <v>6585</v>
      </c>
    </row>
    <row r="185">
      <c r="A185" s="100">
        <v>467.0</v>
      </c>
      <c r="B185" s="8" t="s">
        <v>20</v>
      </c>
      <c r="C185" s="11" t="s">
        <v>14708</v>
      </c>
      <c r="D185" s="8" t="s">
        <v>14471</v>
      </c>
      <c r="E185" s="11" t="s">
        <v>6585</v>
      </c>
    </row>
    <row r="186">
      <c r="A186" s="100">
        <v>466.0</v>
      </c>
      <c r="B186" s="8" t="s">
        <v>20</v>
      </c>
      <c r="C186" s="11" t="s">
        <v>4724</v>
      </c>
      <c r="D186" s="8" t="s">
        <v>14471</v>
      </c>
      <c r="E186" s="11" t="s">
        <v>6585</v>
      </c>
    </row>
    <row r="187">
      <c r="A187" s="100">
        <v>446.0</v>
      </c>
      <c r="B187" s="8" t="s">
        <v>20</v>
      </c>
      <c r="C187" s="11" t="s">
        <v>4724</v>
      </c>
      <c r="D187" s="8" t="s">
        <v>14471</v>
      </c>
      <c r="E187" s="11" t="s">
        <v>6585</v>
      </c>
    </row>
    <row r="188">
      <c r="A188" s="100">
        <v>440.0</v>
      </c>
      <c r="B188" s="8" t="s">
        <v>20</v>
      </c>
      <c r="C188" s="11" t="s">
        <v>8289</v>
      </c>
      <c r="D188" s="8" t="s">
        <v>14471</v>
      </c>
      <c r="E188" s="11" t="s">
        <v>6585</v>
      </c>
    </row>
    <row r="189">
      <c r="A189" s="100">
        <v>32460.0</v>
      </c>
      <c r="B189" s="8" t="s">
        <v>20</v>
      </c>
      <c r="C189" s="11" t="s">
        <v>14709</v>
      </c>
      <c r="D189" s="8" t="s">
        <v>14471</v>
      </c>
      <c r="E189" s="11" t="s">
        <v>14710</v>
      </c>
    </row>
    <row r="190">
      <c r="A190" s="100">
        <v>20651.0</v>
      </c>
      <c r="B190" s="8" t="s">
        <v>20</v>
      </c>
      <c r="C190" s="11" t="s">
        <v>14711</v>
      </c>
      <c r="D190" s="8" t="s">
        <v>14471</v>
      </c>
      <c r="E190" s="11" t="s">
        <v>14710</v>
      </c>
    </row>
    <row r="191">
      <c r="A191" s="100">
        <v>732.0</v>
      </c>
      <c r="B191" s="8" t="s">
        <v>20</v>
      </c>
      <c r="C191" s="11" t="s">
        <v>14712</v>
      </c>
      <c r="D191" s="8" t="s">
        <v>14471</v>
      </c>
      <c r="E191" s="11" t="s">
        <v>14710</v>
      </c>
    </row>
    <row r="192">
      <c r="A192" s="100">
        <v>25511.0</v>
      </c>
      <c r="B192" s="8" t="s">
        <v>20</v>
      </c>
      <c r="C192" s="11" t="s">
        <v>11139</v>
      </c>
      <c r="D192" s="8" t="s">
        <v>14471</v>
      </c>
      <c r="E192" s="11" t="s">
        <v>14713</v>
      </c>
    </row>
    <row r="193">
      <c r="A193" s="100">
        <v>17926.0</v>
      </c>
      <c r="B193" s="8" t="s">
        <v>20</v>
      </c>
      <c r="C193" s="11" t="s">
        <v>3209</v>
      </c>
      <c r="D193" s="8" t="s">
        <v>14471</v>
      </c>
      <c r="E193" s="11" t="s">
        <v>14713</v>
      </c>
    </row>
    <row r="194">
      <c r="A194" s="100">
        <v>784.0</v>
      </c>
      <c r="B194" s="8" t="s">
        <v>20</v>
      </c>
      <c r="C194" s="11" t="s">
        <v>4970</v>
      </c>
      <c r="D194" s="8" t="s">
        <v>14471</v>
      </c>
      <c r="E194" s="11" t="s">
        <v>14713</v>
      </c>
    </row>
    <row r="195">
      <c r="A195" s="100">
        <v>777.0</v>
      </c>
      <c r="B195" s="8" t="s">
        <v>20</v>
      </c>
      <c r="C195" s="11" t="s">
        <v>14236</v>
      </c>
      <c r="D195" s="8" t="s">
        <v>14471</v>
      </c>
      <c r="E195" s="11" t="s">
        <v>14713</v>
      </c>
    </row>
    <row r="196">
      <c r="A196" s="100">
        <v>31773.0</v>
      </c>
      <c r="B196" s="8" t="s">
        <v>20</v>
      </c>
      <c r="C196" s="11" t="s">
        <v>14714</v>
      </c>
      <c r="D196" s="8" t="s">
        <v>14471</v>
      </c>
      <c r="E196" s="11" t="s">
        <v>14715</v>
      </c>
    </row>
    <row r="197">
      <c r="A197" s="100">
        <v>30748.0</v>
      </c>
      <c r="B197" s="8" t="s">
        <v>20</v>
      </c>
      <c r="C197" s="11" t="s">
        <v>14716</v>
      </c>
      <c r="D197" s="8" t="s">
        <v>14471</v>
      </c>
      <c r="E197" s="11" t="s">
        <v>14715</v>
      </c>
    </row>
    <row r="198">
      <c r="A198" s="100">
        <v>30726.0</v>
      </c>
      <c r="B198" s="8" t="s">
        <v>20</v>
      </c>
      <c r="C198" s="11" t="s">
        <v>14717</v>
      </c>
      <c r="D198" s="8" t="s">
        <v>14471</v>
      </c>
      <c r="E198" s="11" t="s">
        <v>14715</v>
      </c>
    </row>
    <row r="199">
      <c r="A199" s="100">
        <v>30725.0</v>
      </c>
      <c r="B199" s="8" t="s">
        <v>20</v>
      </c>
      <c r="C199" s="11" t="s">
        <v>14718</v>
      </c>
      <c r="D199" s="8" t="s">
        <v>14471</v>
      </c>
      <c r="E199" s="11" t="s">
        <v>14715</v>
      </c>
    </row>
    <row r="200">
      <c r="A200" s="100">
        <v>29259.0</v>
      </c>
      <c r="B200" s="8" t="s">
        <v>20</v>
      </c>
      <c r="C200" s="11" t="s">
        <v>14719</v>
      </c>
      <c r="D200" s="8" t="s">
        <v>14471</v>
      </c>
      <c r="E200" s="11" t="s">
        <v>14715</v>
      </c>
    </row>
    <row r="201">
      <c r="A201" s="100">
        <v>26766.0</v>
      </c>
      <c r="B201" s="8" t="s">
        <v>20</v>
      </c>
      <c r="C201" s="11" t="s">
        <v>14720</v>
      </c>
      <c r="D201" s="8" t="s">
        <v>14471</v>
      </c>
      <c r="E201" s="11" t="s">
        <v>14715</v>
      </c>
    </row>
    <row r="202">
      <c r="A202" s="100">
        <v>26128.0</v>
      </c>
      <c r="B202" s="8" t="s">
        <v>20</v>
      </c>
      <c r="C202" s="11" t="s">
        <v>4380</v>
      </c>
      <c r="D202" s="8" t="s">
        <v>14471</v>
      </c>
      <c r="E202" s="11" t="s">
        <v>14715</v>
      </c>
    </row>
    <row r="203">
      <c r="A203" s="100">
        <v>20288.0</v>
      </c>
      <c r="B203" s="8" t="s">
        <v>20</v>
      </c>
      <c r="C203" s="11" t="s">
        <v>4084</v>
      </c>
      <c r="D203" s="8" t="s">
        <v>14471</v>
      </c>
      <c r="E203" s="11" t="s">
        <v>14715</v>
      </c>
    </row>
    <row r="204">
      <c r="A204" s="100">
        <v>20286.0</v>
      </c>
      <c r="B204" s="8" t="s">
        <v>20</v>
      </c>
      <c r="C204" s="11" t="s">
        <v>3209</v>
      </c>
      <c r="D204" s="8" t="s">
        <v>14471</v>
      </c>
      <c r="E204" s="11" t="s">
        <v>14715</v>
      </c>
    </row>
    <row r="205">
      <c r="A205" s="100">
        <v>776.0</v>
      </c>
      <c r="B205" s="8" t="s">
        <v>20</v>
      </c>
      <c r="C205" s="11" t="s">
        <v>14721</v>
      </c>
      <c r="D205" s="8" t="s">
        <v>14471</v>
      </c>
      <c r="E205" s="11" t="s">
        <v>14715</v>
      </c>
    </row>
    <row r="206">
      <c r="A206" s="100">
        <v>748.0</v>
      </c>
      <c r="B206" s="8" t="s">
        <v>20</v>
      </c>
      <c r="C206" s="11" t="s">
        <v>14722</v>
      </c>
      <c r="D206" s="8" t="s">
        <v>14471</v>
      </c>
      <c r="E206" s="11" t="s">
        <v>14715</v>
      </c>
    </row>
    <row r="207">
      <c r="A207" s="100">
        <v>726.0</v>
      </c>
      <c r="B207" s="8" t="s">
        <v>20</v>
      </c>
      <c r="C207" s="11" t="s">
        <v>8289</v>
      </c>
      <c r="D207" s="8" t="s">
        <v>14471</v>
      </c>
      <c r="E207" s="11" t="s">
        <v>14715</v>
      </c>
    </row>
    <row r="208">
      <c r="A208" s="100">
        <v>655.0</v>
      </c>
      <c r="B208" s="8" t="s">
        <v>20</v>
      </c>
      <c r="C208" s="11" t="s">
        <v>9079</v>
      </c>
      <c r="D208" s="8" t="s">
        <v>14471</v>
      </c>
      <c r="E208" s="11" t="s">
        <v>14715</v>
      </c>
    </row>
    <row r="209">
      <c r="A209" s="100">
        <v>654.0</v>
      </c>
      <c r="B209" s="8" t="s">
        <v>20</v>
      </c>
      <c r="C209" s="11" t="s">
        <v>11139</v>
      </c>
      <c r="D209" s="8" t="s">
        <v>14471</v>
      </c>
      <c r="E209" s="11" t="s">
        <v>14715</v>
      </c>
    </row>
    <row r="210">
      <c r="A210" s="100">
        <v>581.0</v>
      </c>
      <c r="B210" s="8" t="s">
        <v>20</v>
      </c>
      <c r="C210" s="11" t="s">
        <v>14723</v>
      </c>
      <c r="D210" s="8" t="s">
        <v>14471</v>
      </c>
      <c r="E210" s="11" t="s">
        <v>14715</v>
      </c>
    </row>
    <row r="211">
      <c r="A211" s="100">
        <v>578.0</v>
      </c>
      <c r="B211" s="8" t="s">
        <v>20</v>
      </c>
      <c r="C211" s="11" t="s">
        <v>1234</v>
      </c>
      <c r="D211" s="8" t="s">
        <v>14471</v>
      </c>
      <c r="E211" s="11" t="s">
        <v>14715</v>
      </c>
    </row>
    <row r="212">
      <c r="A212" s="100">
        <v>576.0</v>
      </c>
      <c r="B212" s="8" t="s">
        <v>20</v>
      </c>
      <c r="C212" s="11" t="s">
        <v>6320</v>
      </c>
      <c r="D212" s="8" t="s">
        <v>14471</v>
      </c>
      <c r="E212" s="11" t="s">
        <v>14715</v>
      </c>
    </row>
    <row r="213">
      <c r="A213" s="100">
        <v>575.0</v>
      </c>
      <c r="B213" s="8" t="s">
        <v>20</v>
      </c>
      <c r="C213" s="11" t="s">
        <v>14724</v>
      </c>
      <c r="D213" s="8" t="s">
        <v>14471</v>
      </c>
      <c r="E213" s="11" t="s">
        <v>14715</v>
      </c>
    </row>
    <row r="214">
      <c r="A214" s="100">
        <v>574.0</v>
      </c>
      <c r="B214" s="8" t="s">
        <v>20</v>
      </c>
      <c r="C214" s="11" t="s">
        <v>763</v>
      </c>
      <c r="D214" s="8" t="s">
        <v>14471</v>
      </c>
      <c r="E214" s="11" t="s">
        <v>14715</v>
      </c>
    </row>
    <row r="215">
      <c r="A215" s="100">
        <v>573.0</v>
      </c>
      <c r="B215" s="8" t="s">
        <v>20</v>
      </c>
      <c r="C215" s="11" t="s">
        <v>8418</v>
      </c>
      <c r="D215" s="8" t="s">
        <v>14471</v>
      </c>
      <c r="E215" s="11" t="s">
        <v>14715</v>
      </c>
    </row>
    <row r="216">
      <c r="A216" s="100">
        <v>572.0</v>
      </c>
      <c r="B216" s="8" t="s">
        <v>20</v>
      </c>
      <c r="C216" s="11" t="s">
        <v>14725</v>
      </c>
      <c r="D216" s="8" t="s">
        <v>14471</v>
      </c>
      <c r="E216" s="11" t="s">
        <v>14715</v>
      </c>
    </row>
    <row r="217">
      <c r="A217" s="100">
        <v>570.0</v>
      </c>
      <c r="B217" s="8" t="s">
        <v>20</v>
      </c>
      <c r="C217" s="11" t="s">
        <v>14726</v>
      </c>
      <c r="D217" s="8" t="s">
        <v>14471</v>
      </c>
      <c r="E217" s="11" t="s">
        <v>14715</v>
      </c>
    </row>
    <row r="218">
      <c r="A218" s="100">
        <v>569.0</v>
      </c>
      <c r="B218" s="8" t="s">
        <v>20</v>
      </c>
      <c r="C218" s="11" t="s">
        <v>14727</v>
      </c>
      <c r="D218" s="8" t="s">
        <v>14471</v>
      </c>
      <c r="E218" s="11" t="s">
        <v>14715</v>
      </c>
    </row>
    <row r="219">
      <c r="A219" s="100">
        <v>568.0</v>
      </c>
      <c r="B219" s="8" t="s">
        <v>20</v>
      </c>
      <c r="C219" s="11" t="s">
        <v>8289</v>
      </c>
      <c r="D219" s="8" t="s">
        <v>14471</v>
      </c>
      <c r="E219" s="11" t="s">
        <v>14715</v>
      </c>
    </row>
    <row r="220">
      <c r="A220" s="100">
        <v>567.0</v>
      </c>
      <c r="B220" s="8" t="s">
        <v>20</v>
      </c>
      <c r="C220" s="11" t="s">
        <v>4139</v>
      </c>
      <c r="D220" s="8" t="s">
        <v>14471</v>
      </c>
      <c r="E220" s="11" t="s">
        <v>14715</v>
      </c>
    </row>
    <row r="221">
      <c r="A221" s="100">
        <v>566.0</v>
      </c>
      <c r="B221" s="8" t="s">
        <v>20</v>
      </c>
      <c r="C221" s="11" t="s">
        <v>3592</v>
      </c>
      <c r="D221" s="8" t="s">
        <v>14471</v>
      </c>
      <c r="E221" s="11" t="s">
        <v>14715</v>
      </c>
    </row>
    <row r="222">
      <c r="A222" s="100">
        <v>563.0</v>
      </c>
      <c r="B222" s="8" t="s">
        <v>20</v>
      </c>
      <c r="C222" s="11" t="s">
        <v>14728</v>
      </c>
      <c r="D222" s="8" t="s">
        <v>14471</v>
      </c>
      <c r="E222" s="11" t="s">
        <v>14715</v>
      </c>
    </row>
    <row r="223">
      <c r="A223" s="100">
        <v>30727.0</v>
      </c>
      <c r="B223" s="8" t="s">
        <v>20</v>
      </c>
      <c r="C223" s="11" t="s">
        <v>4293</v>
      </c>
      <c r="D223" s="8" t="s">
        <v>14471</v>
      </c>
      <c r="E223" s="11" t="s">
        <v>14729</v>
      </c>
    </row>
    <row r="224">
      <c r="A224" s="100">
        <v>29260.0</v>
      </c>
      <c r="B224" s="8" t="s">
        <v>20</v>
      </c>
      <c r="C224" s="11" t="s">
        <v>14730</v>
      </c>
      <c r="D224" s="8" t="s">
        <v>14471</v>
      </c>
      <c r="E224" s="11" t="s">
        <v>14729</v>
      </c>
    </row>
    <row r="225">
      <c r="A225" s="100">
        <v>27117.0</v>
      </c>
      <c r="B225" s="8" t="s">
        <v>20</v>
      </c>
      <c r="C225" s="11" t="s">
        <v>802</v>
      </c>
      <c r="D225" s="8" t="s">
        <v>14471</v>
      </c>
      <c r="E225" s="11" t="s">
        <v>14729</v>
      </c>
    </row>
    <row r="226">
      <c r="A226" s="100">
        <v>24843.0</v>
      </c>
      <c r="B226" s="8" t="s">
        <v>20</v>
      </c>
      <c r="C226" s="11" t="s">
        <v>14066</v>
      </c>
      <c r="D226" s="8" t="s">
        <v>14471</v>
      </c>
      <c r="E226" s="11" t="s">
        <v>14729</v>
      </c>
    </row>
    <row r="227">
      <c r="A227" s="100">
        <v>21224.0</v>
      </c>
      <c r="B227" s="8" t="s">
        <v>20</v>
      </c>
      <c r="C227" s="11" t="s">
        <v>14731</v>
      </c>
      <c r="D227" s="8" t="s">
        <v>14471</v>
      </c>
      <c r="E227" s="11" t="s">
        <v>14729</v>
      </c>
    </row>
    <row r="228">
      <c r="A228" s="100">
        <v>21173.0</v>
      </c>
      <c r="B228" s="8" t="s">
        <v>20</v>
      </c>
      <c r="C228" s="11" t="s">
        <v>9125</v>
      </c>
      <c r="D228" s="8" t="s">
        <v>14471</v>
      </c>
      <c r="E228" s="11" t="s">
        <v>14729</v>
      </c>
    </row>
    <row r="229">
      <c r="A229" s="100">
        <v>21171.0</v>
      </c>
      <c r="B229" s="8" t="s">
        <v>20</v>
      </c>
      <c r="C229" s="11" t="s">
        <v>8507</v>
      </c>
      <c r="D229" s="8" t="s">
        <v>14471</v>
      </c>
      <c r="E229" s="11" t="s">
        <v>14729</v>
      </c>
    </row>
    <row r="230">
      <c r="A230" s="100">
        <v>21144.0</v>
      </c>
      <c r="B230" s="8" t="s">
        <v>20</v>
      </c>
      <c r="C230" s="11" t="s">
        <v>3615</v>
      </c>
      <c r="D230" s="8" t="s">
        <v>14471</v>
      </c>
      <c r="E230" s="11" t="s">
        <v>14729</v>
      </c>
    </row>
    <row r="231">
      <c r="A231" s="100">
        <v>20295.0</v>
      </c>
      <c r="B231" s="8" t="s">
        <v>20</v>
      </c>
      <c r="C231" s="11" t="s">
        <v>14732</v>
      </c>
      <c r="D231" s="8" t="s">
        <v>14471</v>
      </c>
      <c r="E231" s="11" t="s">
        <v>14729</v>
      </c>
    </row>
    <row r="232">
      <c r="A232" s="100">
        <v>17927.0</v>
      </c>
      <c r="B232" s="8" t="s">
        <v>20</v>
      </c>
      <c r="C232" s="11" t="s">
        <v>3209</v>
      </c>
      <c r="D232" s="8" t="s">
        <v>14471</v>
      </c>
      <c r="E232" s="11" t="s">
        <v>14729</v>
      </c>
    </row>
    <row r="233">
      <c r="A233" s="100">
        <v>634.0</v>
      </c>
      <c r="B233" s="8" t="s">
        <v>20</v>
      </c>
      <c r="C233" s="11" t="s">
        <v>3638</v>
      </c>
      <c r="D233" s="8" t="s">
        <v>14471</v>
      </c>
      <c r="E233" s="11" t="s">
        <v>14729</v>
      </c>
    </row>
    <row r="234">
      <c r="A234" s="100">
        <v>604.0</v>
      </c>
      <c r="B234" s="8" t="s">
        <v>20</v>
      </c>
      <c r="C234" s="11" t="s">
        <v>14733</v>
      </c>
      <c r="D234" s="8" t="s">
        <v>14471</v>
      </c>
      <c r="E234" s="11" t="s">
        <v>14729</v>
      </c>
    </row>
    <row r="235">
      <c r="A235" s="100">
        <v>602.0</v>
      </c>
      <c r="B235" s="8" t="s">
        <v>20</v>
      </c>
      <c r="C235" s="11" t="s">
        <v>14734</v>
      </c>
      <c r="D235" s="8" t="s">
        <v>14471</v>
      </c>
      <c r="E235" s="11" t="s">
        <v>14729</v>
      </c>
    </row>
    <row r="236">
      <c r="A236" s="100">
        <v>601.0</v>
      </c>
      <c r="B236" s="8" t="s">
        <v>20</v>
      </c>
      <c r="C236" s="11" t="s">
        <v>14735</v>
      </c>
      <c r="D236" s="8" t="s">
        <v>14471</v>
      </c>
      <c r="E236" s="11" t="s">
        <v>14729</v>
      </c>
    </row>
    <row r="237">
      <c r="A237" s="100">
        <v>600.0</v>
      </c>
      <c r="B237" s="8" t="s">
        <v>20</v>
      </c>
      <c r="C237" s="11" t="s">
        <v>14735</v>
      </c>
      <c r="D237" s="8" t="s">
        <v>14471</v>
      </c>
      <c r="E237" s="11" t="s">
        <v>14729</v>
      </c>
    </row>
    <row r="238">
      <c r="A238" s="100">
        <v>595.0</v>
      </c>
      <c r="B238" s="8" t="s">
        <v>20</v>
      </c>
      <c r="C238" s="11" t="s">
        <v>14736</v>
      </c>
      <c r="D238" s="8" t="s">
        <v>14471</v>
      </c>
      <c r="E238" s="11" t="s">
        <v>14729</v>
      </c>
    </row>
    <row r="239">
      <c r="A239" s="100">
        <v>594.0</v>
      </c>
      <c r="B239" s="8" t="s">
        <v>20</v>
      </c>
      <c r="C239" s="11" t="s">
        <v>14737</v>
      </c>
      <c r="D239" s="8" t="s">
        <v>14471</v>
      </c>
      <c r="E239" s="11" t="s">
        <v>14729</v>
      </c>
    </row>
    <row r="240">
      <c r="A240" s="100">
        <v>593.0</v>
      </c>
      <c r="B240" s="8" t="s">
        <v>20</v>
      </c>
      <c r="C240" s="11" t="s">
        <v>14738</v>
      </c>
      <c r="D240" s="8" t="s">
        <v>14471</v>
      </c>
      <c r="E240" s="11" t="s">
        <v>14729</v>
      </c>
    </row>
    <row r="241">
      <c r="A241" s="100">
        <v>590.0</v>
      </c>
      <c r="B241" s="8" t="s">
        <v>20</v>
      </c>
      <c r="C241" s="11" t="s">
        <v>14739</v>
      </c>
      <c r="D241" s="8" t="s">
        <v>14471</v>
      </c>
      <c r="E241" s="11" t="s">
        <v>14729</v>
      </c>
    </row>
    <row r="242">
      <c r="A242" s="100">
        <v>589.0</v>
      </c>
      <c r="B242" s="8" t="s">
        <v>20</v>
      </c>
      <c r="C242" s="11" t="s">
        <v>7317</v>
      </c>
      <c r="D242" s="8" t="s">
        <v>14471</v>
      </c>
      <c r="E242" s="11" t="s">
        <v>14729</v>
      </c>
    </row>
    <row r="243">
      <c r="A243" s="100">
        <v>444.0</v>
      </c>
      <c r="B243" s="8" t="s">
        <v>20</v>
      </c>
      <c r="C243" s="11" t="s">
        <v>14740</v>
      </c>
      <c r="D243" s="8" t="s">
        <v>14471</v>
      </c>
      <c r="E243" s="11" t="s">
        <v>14729</v>
      </c>
    </row>
    <row r="244">
      <c r="A244" s="100">
        <v>442.0</v>
      </c>
      <c r="B244" s="8" t="s">
        <v>20</v>
      </c>
      <c r="C244" s="11" t="s">
        <v>11139</v>
      </c>
      <c r="D244" s="8" t="s">
        <v>14471</v>
      </c>
      <c r="E244" s="11" t="s">
        <v>14729</v>
      </c>
    </row>
    <row r="245">
      <c r="A245" s="100">
        <v>441.0</v>
      </c>
      <c r="B245" s="8" t="s">
        <v>20</v>
      </c>
      <c r="C245" s="11" t="s">
        <v>14741</v>
      </c>
      <c r="D245" s="8" t="s">
        <v>14471</v>
      </c>
      <c r="E245" s="11" t="s">
        <v>14729</v>
      </c>
    </row>
    <row r="246">
      <c r="A246" s="100">
        <v>30760.0</v>
      </c>
      <c r="B246" s="8" t="s">
        <v>20</v>
      </c>
      <c r="C246" s="11" t="s">
        <v>14742</v>
      </c>
      <c r="D246" s="8" t="s">
        <v>14471</v>
      </c>
      <c r="E246" s="11" t="s">
        <v>14743</v>
      </c>
    </row>
    <row r="247">
      <c r="A247" s="100">
        <v>30751.0</v>
      </c>
      <c r="B247" s="8" t="s">
        <v>20</v>
      </c>
      <c r="C247" s="11" t="s">
        <v>4478</v>
      </c>
      <c r="D247" s="8" t="s">
        <v>14471</v>
      </c>
      <c r="E247" s="11" t="s">
        <v>14743</v>
      </c>
    </row>
    <row r="248">
      <c r="A248" s="100">
        <v>30745.0</v>
      </c>
      <c r="B248" s="8" t="s">
        <v>20</v>
      </c>
      <c r="C248" s="11" t="s">
        <v>3192</v>
      </c>
      <c r="D248" s="8" t="s">
        <v>14471</v>
      </c>
      <c r="E248" s="11" t="s">
        <v>14743</v>
      </c>
    </row>
    <row r="249">
      <c r="A249" s="100">
        <v>27127.0</v>
      </c>
      <c r="B249" s="8" t="s">
        <v>20</v>
      </c>
      <c r="C249" s="11" t="s">
        <v>10079</v>
      </c>
      <c r="D249" s="8" t="s">
        <v>14471</v>
      </c>
      <c r="E249" s="11" t="s">
        <v>14743</v>
      </c>
    </row>
    <row r="250">
      <c r="A250" s="100">
        <v>27126.0</v>
      </c>
      <c r="B250" s="8" t="s">
        <v>20</v>
      </c>
      <c r="C250" s="11" t="s">
        <v>14744</v>
      </c>
      <c r="D250" s="8" t="s">
        <v>14471</v>
      </c>
      <c r="E250" s="11" t="s">
        <v>14743</v>
      </c>
    </row>
    <row r="251">
      <c r="A251" s="100">
        <v>27119.0</v>
      </c>
      <c r="B251" s="8" t="s">
        <v>20</v>
      </c>
      <c r="C251" s="11" t="s">
        <v>11870</v>
      </c>
      <c r="D251" s="8" t="s">
        <v>14471</v>
      </c>
      <c r="E251" s="11" t="s">
        <v>14743</v>
      </c>
    </row>
    <row r="252">
      <c r="A252" s="100">
        <v>20663.0</v>
      </c>
      <c r="B252" s="8" t="s">
        <v>20</v>
      </c>
      <c r="C252" s="11" t="s">
        <v>14745</v>
      </c>
      <c r="D252" s="8" t="s">
        <v>14471</v>
      </c>
      <c r="E252" s="11" t="s">
        <v>14743</v>
      </c>
    </row>
    <row r="253">
      <c r="A253" s="100">
        <v>20662.0</v>
      </c>
      <c r="B253" s="8" t="s">
        <v>20</v>
      </c>
      <c r="C253" s="11" t="s">
        <v>1420</v>
      </c>
      <c r="D253" s="8" t="s">
        <v>14471</v>
      </c>
      <c r="E253" s="11" t="s">
        <v>14743</v>
      </c>
    </row>
    <row r="254">
      <c r="A254" s="100">
        <v>20661.0</v>
      </c>
      <c r="B254" s="8" t="s">
        <v>20</v>
      </c>
      <c r="C254" s="11" t="s">
        <v>4517</v>
      </c>
      <c r="D254" s="8" t="s">
        <v>14471</v>
      </c>
      <c r="E254" s="11" t="s">
        <v>14743</v>
      </c>
    </row>
    <row r="255">
      <c r="A255" s="100">
        <v>656.0</v>
      </c>
      <c r="B255" s="8" t="s">
        <v>20</v>
      </c>
      <c r="C255" s="11" t="s">
        <v>14746</v>
      </c>
      <c r="D255" s="8" t="s">
        <v>14471</v>
      </c>
      <c r="E255" s="11" t="s">
        <v>14743</v>
      </c>
    </row>
    <row r="256">
      <c r="A256" s="100">
        <v>605.0</v>
      </c>
      <c r="B256" s="8" t="s">
        <v>20</v>
      </c>
      <c r="C256" s="11" t="s">
        <v>3479</v>
      </c>
      <c r="D256" s="8" t="s">
        <v>14471</v>
      </c>
      <c r="E256" s="11" t="s">
        <v>14743</v>
      </c>
    </row>
    <row r="257">
      <c r="A257" s="100">
        <v>700.0</v>
      </c>
      <c r="B257" s="8" t="s">
        <v>20</v>
      </c>
      <c r="C257" s="11" t="s">
        <v>14747</v>
      </c>
      <c r="D257" s="8" t="s">
        <v>14471</v>
      </c>
      <c r="E257" s="11" t="s">
        <v>14748</v>
      </c>
    </row>
    <row r="258">
      <c r="A258" s="100">
        <v>32391.0</v>
      </c>
      <c r="B258" s="8" t="s">
        <v>20</v>
      </c>
      <c r="C258" s="11" t="s">
        <v>5997</v>
      </c>
      <c r="D258" s="8" t="s">
        <v>14471</v>
      </c>
      <c r="E258" s="11" t="s">
        <v>14536</v>
      </c>
    </row>
    <row r="259">
      <c r="A259" s="100">
        <v>32090.0</v>
      </c>
      <c r="B259" s="8" t="s">
        <v>20</v>
      </c>
      <c r="C259" s="11" t="s">
        <v>7073</v>
      </c>
      <c r="D259" s="8" t="s">
        <v>14471</v>
      </c>
      <c r="E259" s="11" t="s">
        <v>14536</v>
      </c>
    </row>
    <row r="260">
      <c r="A260" s="100">
        <v>31386.0</v>
      </c>
      <c r="B260" s="8" t="s">
        <v>20</v>
      </c>
      <c r="C260" s="11" t="s">
        <v>14749</v>
      </c>
      <c r="D260" s="8" t="s">
        <v>14471</v>
      </c>
      <c r="E260" s="11" t="s">
        <v>14536</v>
      </c>
    </row>
    <row r="261">
      <c r="A261" s="100">
        <v>30759.0</v>
      </c>
      <c r="B261" s="8" t="s">
        <v>20</v>
      </c>
      <c r="C261" s="11" t="s">
        <v>14669</v>
      </c>
      <c r="D261" s="8" t="s">
        <v>14471</v>
      </c>
      <c r="E261" s="11" t="s">
        <v>14536</v>
      </c>
    </row>
    <row r="262">
      <c r="A262" s="100">
        <v>30750.0</v>
      </c>
      <c r="B262" s="8" t="s">
        <v>20</v>
      </c>
      <c r="C262" s="11" t="s">
        <v>14750</v>
      </c>
      <c r="D262" s="8" t="s">
        <v>14471</v>
      </c>
      <c r="E262" s="11" t="s">
        <v>14536</v>
      </c>
    </row>
    <row r="263">
      <c r="A263" s="100">
        <v>30357.0</v>
      </c>
      <c r="B263" s="8" t="s">
        <v>20</v>
      </c>
      <c r="C263" s="11" t="s">
        <v>882</v>
      </c>
      <c r="D263" s="8" t="s">
        <v>14471</v>
      </c>
      <c r="E263" s="11" t="s">
        <v>14536</v>
      </c>
    </row>
    <row r="264">
      <c r="A264" s="100">
        <v>30355.0</v>
      </c>
      <c r="B264" s="8" t="s">
        <v>20</v>
      </c>
      <c r="C264" s="11" t="s">
        <v>14751</v>
      </c>
      <c r="D264" s="8" t="s">
        <v>14471</v>
      </c>
      <c r="E264" s="11" t="s">
        <v>14536</v>
      </c>
    </row>
    <row r="265">
      <c r="A265" s="100">
        <v>27116.0</v>
      </c>
      <c r="B265" s="8" t="s">
        <v>20</v>
      </c>
      <c r="C265" s="11" t="s">
        <v>2079</v>
      </c>
      <c r="D265" s="8" t="s">
        <v>14471</v>
      </c>
      <c r="E265" s="11" t="s">
        <v>14536</v>
      </c>
    </row>
    <row r="266">
      <c r="A266" s="100">
        <v>27115.0</v>
      </c>
      <c r="B266" s="8" t="s">
        <v>20</v>
      </c>
      <c r="C266" s="11" t="s">
        <v>11870</v>
      </c>
      <c r="D266" s="8" t="s">
        <v>14471</v>
      </c>
      <c r="E266" s="11" t="s">
        <v>14536</v>
      </c>
    </row>
    <row r="267">
      <c r="A267" s="100">
        <v>23904.0</v>
      </c>
      <c r="B267" s="8" t="s">
        <v>20</v>
      </c>
      <c r="C267" s="11" t="s">
        <v>14752</v>
      </c>
      <c r="D267" s="8" t="s">
        <v>14471</v>
      </c>
      <c r="E267" s="11" t="s">
        <v>14536</v>
      </c>
    </row>
    <row r="268">
      <c r="A268" s="100">
        <v>23526.0</v>
      </c>
      <c r="B268" s="8" t="s">
        <v>20</v>
      </c>
      <c r="C268" s="11" t="s">
        <v>14753</v>
      </c>
      <c r="D268" s="8" t="s">
        <v>14471</v>
      </c>
      <c r="E268" s="11" t="s">
        <v>14536</v>
      </c>
    </row>
    <row r="269">
      <c r="A269" s="100">
        <v>23525.0</v>
      </c>
      <c r="B269" s="8" t="s">
        <v>20</v>
      </c>
      <c r="C269" s="11" t="s">
        <v>14754</v>
      </c>
      <c r="D269" s="8" t="s">
        <v>14471</v>
      </c>
      <c r="E269" s="11" t="s">
        <v>14536</v>
      </c>
    </row>
    <row r="270">
      <c r="A270" s="100">
        <v>23517.0</v>
      </c>
      <c r="B270" s="8" t="s">
        <v>20</v>
      </c>
      <c r="C270" s="11" t="s">
        <v>10081</v>
      </c>
      <c r="D270" s="8" t="s">
        <v>14471</v>
      </c>
      <c r="E270" s="11" t="s">
        <v>14536</v>
      </c>
    </row>
    <row r="271">
      <c r="A271" s="100">
        <v>23024.0</v>
      </c>
      <c r="B271" s="8" t="s">
        <v>20</v>
      </c>
      <c r="C271" s="11" t="s">
        <v>14755</v>
      </c>
      <c r="D271" s="8" t="s">
        <v>14471</v>
      </c>
      <c r="E271" s="11" t="s">
        <v>14536</v>
      </c>
    </row>
    <row r="272">
      <c r="A272" s="100">
        <v>21999.0</v>
      </c>
      <c r="B272" s="8" t="s">
        <v>20</v>
      </c>
      <c r="C272" s="11" t="s">
        <v>14756</v>
      </c>
      <c r="D272" s="8" t="s">
        <v>14471</v>
      </c>
      <c r="E272" s="11" t="s">
        <v>14536</v>
      </c>
    </row>
    <row r="273">
      <c r="A273" s="100">
        <v>21998.0</v>
      </c>
      <c r="B273" s="8" t="s">
        <v>20</v>
      </c>
      <c r="C273" s="11" t="s">
        <v>786</v>
      </c>
      <c r="D273" s="8" t="s">
        <v>14471</v>
      </c>
      <c r="E273" s="11" t="s">
        <v>14536</v>
      </c>
    </row>
    <row r="274">
      <c r="A274" s="100">
        <v>21496.0</v>
      </c>
      <c r="B274" s="8" t="s">
        <v>20</v>
      </c>
      <c r="C274" s="11" t="s">
        <v>1088</v>
      </c>
      <c r="D274" s="8" t="s">
        <v>14471</v>
      </c>
      <c r="E274" s="11" t="s">
        <v>14536</v>
      </c>
    </row>
    <row r="275">
      <c r="A275" s="100">
        <v>21160.0</v>
      </c>
      <c r="B275" s="8" t="s">
        <v>20</v>
      </c>
      <c r="C275" s="11" t="s">
        <v>14757</v>
      </c>
      <c r="D275" s="8" t="s">
        <v>14471</v>
      </c>
      <c r="E275" s="11" t="s">
        <v>14536</v>
      </c>
    </row>
    <row r="276">
      <c r="A276" s="100">
        <v>21159.0</v>
      </c>
      <c r="B276" s="8" t="s">
        <v>20</v>
      </c>
      <c r="C276" s="11" t="s">
        <v>1342</v>
      </c>
      <c r="D276" s="8" t="s">
        <v>14471</v>
      </c>
      <c r="E276" s="11" t="s">
        <v>14536</v>
      </c>
    </row>
    <row r="277">
      <c r="A277" s="100">
        <v>21157.0</v>
      </c>
      <c r="B277" s="8" t="s">
        <v>20</v>
      </c>
      <c r="C277" s="11" t="s">
        <v>1460</v>
      </c>
      <c r="D277" s="8" t="s">
        <v>14471</v>
      </c>
      <c r="E277" s="11" t="s">
        <v>14536</v>
      </c>
    </row>
    <row r="278">
      <c r="A278" s="100">
        <v>21156.0</v>
      </c>
      <c r="B278" s="8" t="s">
        <v>20</v>
      </c>
      <c r="C278" s="11" t="s">
        <v>7919</v>
      </c>
      <c r="D278" s="8" t="s">
        <v>14471</v>
      </c>
      <c r="E278" s="11" t="s">
        <v>14536</v>
      </c>
    </row>
    <row r="279">
      <c r="A279" s="100">
        <v>21155.0</v>
      </c>
      <c r="B279" s="8" t="s">
        <v>20</v>
      </c>
      <c r="C279" s="11" t="s">
        <v>760</v>
      </c>
      <c r="D279" s="8" t="s">
        <v>14471</v>
      </c>
      <c r="E279" s="11" t="s">
        <v>14536</v>
      </c>
    </row>
    <row r="280">
      <c r="A280" s="100">
        <v>21142.0</v>
      </c>
      <c r="B280" s="8" t="s">
        <v>20</v>
      </c>
      <c r="C280" s="11" t="s">
        <v>4478</v>
      </c>
      <c r="D280" s="8" t="s">
        <v>14471</v>
      </c>
      <c r="E280" s="11" t="s">
        <v>14536</v>
      </c>
    </row>
    <row r="281">
      <c r="A281" s="100">
        <v>21141.0</v>
      </c>
      <c r="B281" s="8" t="s">
        <v>20</v>
      </c>
      <c r="C281" s="11" t="s">
        <v>327</v>
      </c>
      <c r="D281" s="8" t="s">
        <v>14471</v>
      </c>
      <c r="E281" s="11" t="s">
        <v>14536</v>
      </c>
    </row>
    <row r="282">
      <c r="A282" s="100">
        <v>21140.0</v>
      </c>
      <c r="B282" s="8" t="s">
        <v>20</v>
      </c>
      <c r="C282" s="11" t="s">
        <v>14758</v>
      </c>
      <c r="D282" s="8" t="s">
        <v>14471</v>
      </c>
      <c r="E282" s="11" t="s">
        <v>14536</v>
      </c>
    </row>
    <row r="283">
      <c r="A283" s="100">
        <v>21139.0</v>
      </c>
      <c r="B283" s="8" t="s">
        <v>20</v>
      </c>
      <c r="C283" s="11" t="s">
        <v>6769</v>
      </c>
      <c r="D283" s="8" t="s">
        <v>14471</v>
      </c>
      <c r="E283" s="11" t="s">
        <v>14536</v>
      </c>
    </row>
    <row r="284">
      <c r="A284" s="100">
        <v>20786.0</v>
      </c>
      <c r="B284" s="8" t="s">
        <v>20</v>
      </c>
      <c r="C284" s="11" t="s">
        <v>14759</v>
      </c>
      <c r="D284" s="8" t="s">
        <v>14471</v>
      </c>
      <c r="E284" s="11" t="s">
        <v>14536</v>
      </c>
    </row>
    <row r="285">
      <c r="A285" s="100">
        <v>20152.0</v>
      </c>
      <c r="B285" s="8" t="s">
        <v>20</v>
      </c>
      <c r="C285" s="11" t="s">
        <v>4206</v>
      </c>
      <c r="D285" s="8" t="s">
        <v>14471</v>
      </c>
      <c r="E285" s="11" t="s">
        <v>14536</v>
      </c>
    </row>
    <row r="286">
      <c r="A286" s="100">
        <v>20128.0</v>
      </c>
      <c r="B286" s="8" t="s">
        <v>20</v>
      </c>
      <c r="C286" s="11" t="s">
        <v>14760</v>
      </c>
      <c r="D286" s="8" t="s">
        <v>14471</v>
      </c>
      <c r="E286" s="11" t="s">
        <v>14536</v>
      </c>
    </row>
    <row r="287">
      <c r="A287" s="100">
        <v>771.0</v>
      </c>
      <c r="B287" s="8" t="s">
        <v>20</v>
      </c>
      <c r="C287" s="11" t="s">
        <v>6808</v>
      </c>
      <c r="D287" s="8" t="s">
        <v>14471</v>
      </c>
      <c r="E287" s="11" t="s">
        <v>14536</v>
      </c>
    </row>
    <row r="288">
      <c r="A288" s="100">
        <v>752.0</v>
      </c>
      <c r="B288" s="8" t="s">
        <v>20</v>
      </c>
      <c r="C288" s="11" t="s">
        <v>3689</v>
      </c>
      <c r="D288" s="8" t="s">
        <v>14471</v>
      </c>
      <c r="E288" s="11" t="s">
        <v>14536</v>
      </c>
    </row>
    <row r="289">
      <c r="A289" s="100">
        <v>617.0</v>
      </c>
      <c r="B289" s="8" t="s">
        <v>20</v>
      </c>
      <c r="C289" s="11" t="s">
        <v>4166</v>
      </c>
      <c r="D289" s="8" t="s">
        <v>14471</v>
      </c>
      <c r="E289" s="11" t="s">
        <v>14536</v>
      </c>
    </row>
    <row r="290">
      <c r="A290" s="100">
        <v>616.0</v>
      </c>
      <c r="B290" s="8" t="s">
        <v>20</v>
      </c>
      <c r="C290" s="11" t="s">
        <v>6131</v>
      </c>
      <c r="D290" s="8" t="s">
        <v>14471</v>
      </c>
      <c r="E290" s="11" t="s">
        <v>14536</v>
      </c>
    </row>
    <row r="291">
      <c r="A291" s="100">
        <v>615.0</v>
      </c>
      <c r="B291" s="8" t="s">
        <v>20</v>
      </c>
      <c r="C291" s="11" t="s">
        <v>14761</v>
      </c>
      <c r="D291" s="8" t="s">
        <v>14471</v>
      </c>
      <c r="E291" s="11" t="s">
        <v>14536</v>
      </c>
    </row>
    <row r="292">
      <c r="A292" s="100">
        <v>613.0</v>
      </c>
      <c r="B292" s="8" t="s">
        <v>20</v>
      </c>
      <c r="C292" s="11" t="s">
        <v>14762</v>
      </c>
      <c r="D292" s="8" t="s">
        <v>14471</v>
      </c>
      <c r="E292" s="11" t="s">
        <v>14536</v>
      </c>
    </row>
    <row r="293">
      <c r="A293" s="100">
        <v>612.0</v>
      </c>
      <c r="B293" s="8" t="s">
        <v>20</v>
      </c>
      <c r="C293" s="11" t="s">
        <v>14763</v>
      </c>
      <c r="D293" s="8" t="s">
        <v>14471</v>
      </c>
      <c r="E293" s="11" t="s">
        <v>14536</v>
      </c>
    </row>
    <row r="294">
      <c r="A294" s="100">
        <v>31953.0</v>
      </c>
      <c r="B294" s="8" t="s">
        <v>20</v>
      </c>
      <c r="C294" s="11" t="s">
        <v>14764</v>
      </c>
      <c r="D294" s="8" t="s">
        <v>14471</v>
      </c>
      <c r="E294" s="11" t="s">
        <v>14548</v>
      </c>
    </row>
    <row r="295">
      <c r="A295" s="100">
        <v>28036.0</v>
      </c>
      <c r="B295" s="8" t="s">
        <v>20</v>
      </c>
      <c r="C295" s="11" t="s">
        <v>14765</v>
      </c>
      <c r="D295" s="8" t="s">
        <v>14471</v>
      </c>
      <c r="E295" s="11" t="s">
        <v>14548</v>
      </c>
    </row>
    <row r="296">
      <c r="A296" s="100">
        <v>25324.0</v>
      </c>
      <c r="B296" s="8" t="s">
        <v>20</v>
      </c>
      <c r="C296" s="11" t="s">
        <v>14766</v>
      </c>
      <c r="D296" s="8" t="s">
        <v>14471</v>
      </c>
      <c r="E296" s="11" t="s">
        <v>14548</v>
      </c>
    </row>
    <row r="297">
      <c r="A297" s="100">
        <v>23519.0</v>
      </c>
      <c r="B297" s="8" t="s">
        <v>20</v>
      </c>
      <c r="C297" s="11" t="s">
        <v>786</v>
      </c>
      <c r="D297" s="8" t="s">
        <v>14471</v>
      </c>
      <c r="E297" s="11" t="s">
        <v>14548</v>
      </c>
    </row>
    <row r="298">
      <c r="A298" s="100">
        <v>21147.0</v>
      </c>
      <c r="B298" s="8" t="s">
        <v>20</v>
      </c>
      <c r="C298" s="11" t="s">
        <v>11058</v>
      </c>
      <c r="D298" s="8" t="s">
        <v>14471</v>
      </c>
      <c r="E298" s="11" t="s">
        <v>14548</v>
      </c>
    </row>
    <row r="299">
      <c r="A299" s="100">
        <v>20293.0</v>
      </c>
      <c r="B299" s="8" t="s">
        <v>20</v>
      </c>
      <c r="C299" s="11" t="s">
        <v>13741</v>
      </c>
      <c r="D299" s="8" t="s">
        <v>14471</v>
      </c>
      <c r="E299" s="11" t="s">
        <v>14548</v>
      </c>
    </row>
    <row r="300">
      <c r="A300" s="100">
        <v>20291.0</v>
      </c>
      <c r="B300" s="8" t="s">
        <v>20</v>
      </c>
      <c r="C300" s="11" t="s">
        <v>14550</v>
      </c>
      <c r="D300" s="8" t="s">
        <v>14471</v>
      </c>
      <c r="E300" s="11" t="s">
        <v>14548</v>
      </c>
    </row>
    <row r="301">
      <c r="A301" s="100">
        <v>20290.0</v>
      </c>
      <c r="B301" s="8" t="s">
        <v>20</v>
      </c>
      <c r="C301" s="11" t="s">
        <v>3209</v>
      </c>
      <c r="D301" s="8" t="s">
        <v>14471</v>
      </c>
      <c r="E301" s="11" t="s">
        <v>14548</v>
      </c>
    </row>
    <row r="302">
      <c r="A302" s="100">
        <v>20064.0</v>
      </c>
      <c r="B302" s="8" t="s">
        <v>20</v>
      </c>
      <c r="C302" s="11" t="s">
        <v>8081</v>
      </c>
      <c r="D302" s="8" t="s">
        <v>14471</v>
      </c>
      <c r="E302" s="11" t="s">
        <v>14548</v>
      </c>
    </row>
    <row r="303">
      <c r="A303" s="100">
        <v>19613.0</v>
      </c>
      <c r="B303" s="8" t="s">
        <v>20</v>
      </c>
      <c r="C303" s="11" t="s">
        <v>14767</v>
      </c>
      <c r="D303" s="8" t="s">
        <v>14471</v>
      </c>
      <c r="E303" s="11" t="s">
        <v>14548</v>
      </c>
    </row>
    <row r="304">
      <c r="A304" s="100">
        <v>730.0</v>
      </c>
      <c r="B304" s="8" t="s">
        <v>20</v>
      </c>
      <c r="C304" s="11" t="s">
        <v>14768</v>
      </c>
      <c r="D304" s="8" t="s">
        <v>14471</v>
      </c>
      <c r="E304" s="11" t="s">
        <v>14548</v>
      </c>
    </row>
    <row r="305">
      <c r="A305" s="100">
        <v>632.0</v>
      </c>
      <c r="B305" s="8" t="s">
        <v>20</v>
      </c>
      <c r="C305" s="11" t="s">
        <v>14769</v>
      </c>
      <c r="D305" s="8" t="s">
        <v>14471</v>
      </c>
      <c r="E305" s="11" t="s">
        <v>14548</v>
      </c>
    </row>
    <row r="306">
      <c r="A306" s="100">
        <v>631.0</v>
      </c>
      <c r="B306" s="8" t="s">
        <v>20</v>
      </c>
      <c r="C306" s="11" t="s">
        <v>14245</v>
      </c>
      <c r="D306" s="8" t="s">
        <v>14471</v>
      </c>
      <c r="E306" s="11" t="s">
        <v>14548</v>
      </c>
    </row>
    <row r="307">
      <c r="A307" s="100">
        <v>630.0</v>
      </c>
      <c r="B307" s="8" t="s">
        <v>20</v>
      </c>
      <c r="C307" s="11" t="s">
        <v>14770</v>
      </c>
      <c r="D307" s="8" t="s">
        <v>14471</v>
      </c>
      <c r="E307" s="11" t="s">
        <v>14548</v>
      </c>
    </row>
    <row r="308">
      <c r="A308" s="100">
        <v>627.0</v>
      </c>
      <c r="B308" s="8" t="s">
        <v>20</v>
      </c>
      <c r="C308" s="11" t="s">
        <v>14771</v>
      </c>
      <c r="D308" s="8" t="s">
        <v>14471</v>
      </c>
      <c r="E308" s="11" t="s">
        <v>14548</v>
      </c>
    </row>
    <row r="309">
      <c r="A309" s="100">
        <v>626.0</v>
      </c>
      <c r="B309" s="8" t="s">
        <v>20</v>
      </c>
      <c r="C309" s="11" t="s">
        <v>7317</v>
      </c>
      <c r="D309" s="8" t="s">
        <v>14471</v>
      </c>
      <c r="E309" s="11" t="s">
        <v>14548</v>
      </c>
    </row>
    <row r="310">
      <c r="A310" s="100">
        <v>459.0</v>
      </c>
      <c r="B310" s="8" t="s">
        <v>20</v>
      </c>
      <c r="C310" s="11" t="s">
        <v>14772</v>
      </c>
      <c r="D310" s="8" t="s">
        <v>14471</v>
      </c>
      <c r="E310" s="11" t="s">
        <v>14548</v>
      </c>
    </row>
    <row r="311">
      <c r="A311" s="100">
        <v>32398.0</v>
      </c>
      <c r="B311" s="8" t="s">
        <v>20</v>
      </c>
      <c r="C311" s="11" t="s">
        <v>3612</v>
      </c>
      <c r="D311" s="8" t="s">
        <v>14471</v>
      </c>
      <c r="E311" s="11" t="s">
        <v>14773</v>
      </c>
    </row>
    <row r="312">
      <c r="A312" s="100">
        <v>31721.0</v>
      </c>
      <c r="B312" s="8" t="s">
        <v>20</v>
      </c>
      <c r="C312" s="11" t="s">
        <v>3689</v>
      </c>
      <c r="D312" s="8" t="s">
        <v>14471</v>
      </c>
      <c r="E312" s="11" t="s">
        <v>14773</v>
      </c>
    </row>
    <row r="313">
      <c r="A313" s="100">
        <v>30870.0</v>
      </c>
      <c r="B313" s="8" t="s">
        <v>20</v>
      </c>
      <c r="C313" s="11" t="s">
        <v>14774</v>
      </c>
      <c r="D313" s="8" t="s">
        <v>14471</v>
      </c>
      <c r="E313" s="11" t="s">
        <v>14773</v>
      </c>
    </row>
    <row r="314">
      <c r="A314" s="100">
        <v>30757.0</v>
      </c>
      <c r="B314" s="8" t="s">
        <v>20</v>
      </c>
      <c r="C314" s="11" t="s">
        <v>14775</v>
      </c>
      <c r="D314" s="8" t="s">
        <v>14471</v>
      </c>
      <c r="E314" s="11" t="s">
        <v>14773</v>
      </c>
    </row>
    <row r="315">
      <c r="A315" s="100">
        <v>30091.0</v>
      </c>
      <c r="B315" s="8" t="s">
        <v>20</v>
      </c>
      <c r="C315" s="11" t="s">
        <v>14776</v>
      </c>
      <c r="D315" s="8" t="s">
        <v>14471</v>
      </c>
      <c r="E315" s="11" t="s">
        <v>14773</v>
      </c>
    </row>
    <row r="316">
      <c r="A316" s="100">
        <v>29616.0</v>
      </c>
      <c r="B316" s="8" t="s">
        <v>20</v>
      </c>
      <c r="C316" s="11" t="s">
        <v>14777</v>
      </c>
      <c r="D316" s="8" t="s">
        <v>14471</v>
      </c>
      <c r="E316" s="11" t="s">
        <v>14773</v>
      </c>
    </row>
    <row r="317">
      <c r="A317" s="100">
        <v>29509.0</v>
      </c>
      <c r="B317" s="8" t="s">
        <v>20</v>
      </c>
      <c r="C317" s="11" t="s">
        <v>14778</v>
      </c>
      <c r="D317" s="8" t="s">
        <v>14471</v>
      </c>
      <c r="E317" s="11" t="s">
        <v>14773</v>
      </c>
    </row>
    <row r="318">
      <c r="A318" s="100">
        <v>23906.0</v>
      </c>
      <c r="B318" s="8" t="s">
        <v>20</v>
      </c>
      <c r="C318" s="11" t="s">
        <v>4139</v>
      </c>
      <c r="D318" s="8" t="s">
        <v>14471</v>
      </c>
      <c r="E318" s="11" t="s">
        <v>14773</v>
      </c>
    </row>
    <row r="319">
      <c r="A319" s="100">
        <v>23905.0</v>
      </c>
      <c r="B319" s="8" t="s">
        <v>20</v>
      </c>
      <c r="C319" s="11" t="s">
        <v>14779</v>
      </c>
      <c r="D319" s="8" t="s">
        <v>14471</v>
      </c>
      <c r="E319" s="11" t="s">
        <v>14773</v>
      </c>
    </row>
    <row r="320">
      <c r="A320" s="100">
        <v>23026.0</v>
      </c>
      <c r="B320" s="8" t="s">
        <v>20</v>
      </c>
      <c r="C320" s="11" t="s">
        <v>6412</v>
      </c>
      <c r="D320" s="8" t="s">
        <v>14471</v>
      </c>
      <c r="E320" s="11" t="s">
        <v>14773</v>
      </c>
    </row>
    <row r="321">
      <c r="A321" s="100">
        <v>21302.0</v>
      </c>
      <c r="B321" s="8" t="s">
        <v>20</v>
      </c>
      <c r="C321" s="11" t="s">
        <v>1417</v>
      </c>
      <c r="D321" s="8" t="s">
        <v>14471</v>
      </c>
      <c r="E321" s="11" t="s">
        <v>14773</v>
      </c>
    </row>
    <row r="322">
      <c r="A322" s="100">
        <v>21172.0</v>
      </c>
      <c r="B322" s="8" t="s">
        <v>20</v>
      </c>
      <c r="C322" s="11" t="s">
        <v>871</v>
      </c>
      <c r="D322" s="8" t="s">
        <v>14471</v>
      </c>
      <c r="E322" s="11" t="s">
        <v>14773</v>
      </c>
    </row>
    <row r="323">
      <c r="A323" s="100">
        <v>20297.0</v>
      </c>
      <c r="B323" s="8" t="s">
        <v>20</v>
      </c>
      <c r="C323" s="11" t="s">
        <v>4459</v>
      </c>
      <c r="D323" s="8" t="s">
        <v>14471</v>
      </c>
      <c r="E323" s="11" t="s">
        <v>14773</v>
      </c>
    </row>
    <row r="324">
      <c r="A324" s="100">
        <v>749.0</v>
      </c>
      <c r="B324" s="8" t="s">
        <v>20</v>
      </c>
      <c r="C324" s="11" t="s">
        <v>5615</v>
      </c>
      <c r="D324" s="8" t="s">
        <v>14471</v>
      </c>
      <c r="E324" s="11" t="s">
        <v>14773</v>
      </c>
    </row>
    <row r="325">
      <c r="A325" s="100">
        <v>742.0</v>
      </c>
      <c r="B325" s="8" t="s">
        <v>20</v>
      </c>
      <c r="C325" s="11" t="s">
        <v>6488</v>
      </c>
      <c r="D325" s="8" t="s">
        <v>14471</v>
      </c>
      <c r="E325" s="11" t="s">
        <v>14773</v>
      </c>
    </row>
    <row r="326">
      <c r="A326" s="100">
        <v>741.0</v>
      </c>
      <c r="B326" s="8" t="s">
        <v>20</v>
      </c>
      <c r="C326" s="11" t="s">
        <v>14780</v>
      </c>
      <c r="D326" s="8" t="s">
        <v>14471</v>
      </c>
      <c r="E326" s="11" t="s">
        <v>14773</v>
      </c>
    </row>
    <row r="327">
      <c r="A327" s="100">
        <v>649.0</v>
      </c>
      <c r="B327" s="8" t="s">
        <v>20</v>
      </c>
      <c r="C327" s="11" t="s">
        <v>14781</v>
      </c>
      <c r="D327" s="8" t="s">
        <v>14471</v>
      </c>
      <c r="E327" s="11" t="s">
        <v>14773</v>
      </c>
    </row>
    <row r="328">
      <c r="A328" s="100">
        <v>646.0</v>
      </c>
      <c r="B328" s="8" t="s">
        <v>20</v>
      </c>
      <c r="C328" s="11" t="s">
        <v>14782</v>
      </c>
      <c r="D328" s="8" t="s">
        <v>14471</v>
      </c>
      <c r="E328" s="11" t="s">
        <v>14773</v>
      </c>
    </row>
    <row r="329">
      <c r="A329" s="100">
        <v>645.0</v>
      </c>
      <c r="B329" s="8" t="s">
        <v>20</v>
      </c>
      <c r="C329" s="11" t="s">
        <v>773</v>
      </c>
      <c r="D329" s="8" t="s">
        <v>14471</v>
      </c>
      <c r="E329" s="11" t="s">
        <v>14773</v>
      </c>
    </row>
    <row r="330">
      <c r="A330" s="100">
        <v>644.0</v>
      </c>
      <c r="B330" s="8" t="s">
        <v>20</v>
      </c>
      <c r="C330" s="11" t="s">
        <v>4724</v>
      </c>
      <c r="D330" s="8" t="s">
        <v>14471</v>
      </c>
      <c r="E330" s="11" t="s">
        <v>14773</v>
      </c>
    </row>
    <row r="331">
      <c r="A331" s="100">
        <v>643.0</v>
      </c>
      <c r="B331" s="8" t="s">
        <v>20</v>
      </c>
      <c r="C331" s="11" t="s">
        <v>14783</v>
      </c>
      <c r="D331" s="8" t="s">
        <v>14471</v>
      </c>
      <c r="E331" s="11" t="s">
        <v>14773</v>
      </c>
    </row>
    <row r="332">
      <c r="A332" s="100">
        <v>641.0</v>
      </c>
      <c r="B332" s="8" t="s">
        <v>20</v>
      </c>
      <c r="C332" s="11" t="s">
        <v>14784</v>
      </c>
      <c r="D332" s="8" t="s">
        <v>14471</v>
      </c>
      <c r="E332" s="11" t="s">
        <v>14773</v>
      </c>
    </row>
    <row r="333">
      <c r="A333" s="100">
        <v>640.0</v>
      </c>
      <c r="B333" s="8" t="s">
        <v>20</v>
      </c>
      <c r="C333" s="11" t="s">
        <v>4293</v>
      </c>
      <c r="D333" s="8" t="s">
        <v>14471</v>
      </c>
      <c r="E333" s="11" t="s">
        <v>14773</v>
      </c>
    </row>
    <row r="334">
      <c r="A334" s="100">
        <v>637.0</v>
      </c>
      <c r="B334" s="8" t="s">
        <v>20</v>
      </c>
      <c r="C334" s="11" t="s">
        <v>14785</v>
      </c>
      <c r="D334" s="8" t="s">
        <v>14471</v>
      </c>
      <c r="E334" s="11" t="s">
        <v>14773</v>
      </c>
    </row>
    <row r="335">
      <c r="A335" s="100">
        <v>636.0</v>
      </c>
      <c r="B335" s="8" t="s">
        <v>20</v>
      </c>
      <c r="C335" s="11" t="s">
        <v>3209</v>
      </c>
      <c r="D335" s="8" t="s">
        <v>14471</v>
      </c>
      <c r="E335" s="11" t="s">
        <v>14773</v>
      </c>
    </row>
    <row r="336">
      <c r="A336" s="100">
        <v>635.0</v>
      </c>
      <c r="B336" s="8" t="s">
        <v>20</v>
      </c>
      <c r="C336" s="11" t="s">
        <v>14786</v>
      </c>
      <c r="D336" s="8" t="s">
        <v>14471</v>
      </c>
      <c r="E336" s="11" t="s">
        <v>14773</v>
      </c>
    </row>
    <row r="337">
      <c r="A337" s="100">
        <v>445.0</v>
      </c>
      <c r="B337" s="8" t="s">
        <v>20</v>
      </c>
      <c r="C337" s="11" t="s">
        <v>14787</v>
      </c>
      <c r="D337" s="8" t="s">
        <v>14471</v>
      </c>
      <c r="E337" s="11" t="s">
        <v>14773</v>
      </c>
    </row>
    <row r="338">
      <c r="A338" s="100">
        <v>439.0</v>
      </c>
      <c r="B338" s="8" t="s">
        <v>20</v>
      </c>
      <c r="C338" s="11" t="s">
        <v>14029</v>
      </c>
      <c r="D338" s="8" t="s">
        <v>14471</v>
      </c>
      <c r="E338" s="11" t="s">
        <v>14773</v>
      </c>
    </row>
    <row r="339">
      <c r="A339" s="100">
        <v>773.0</v>
      </c>
      <c r="B339" s="8" t="s">
        <v>20</v>
      </c>
      <c r="C339" s="11" t="s">
        <v>10079</v>
      </c>
      <c r="D339" s="8" t="s">
        <v>14471</v>
      </c>
      <c r="E339" s="11" t="s">
        <v>14554</v>
      </c>
    </row>
    <row r="340">
      <c r="A340" s="100">
        <v>739.0</v>
      </c>
      <c r="B340" s="8" t="s">
        <v>20</v>
      </c>
      <c r="C340" s="11" t="s">
        <v>14788</v>
      </c>
      <c r="D340" s="8" t="s">
        <v>14471</v>
      </c>
      <c r="E340" s="11" t="s">
        <v>14554</v>
      </c>
    </row>
    <row r="341">
      <c r="A341" s="100">
        <v>737.0</v>
      </c>
      <c r="B341" s="8" t="s">
        <v>20</v>
      </c>
      <c r="C341" s="11" t="s">
        <v>4062</v>
      </c>
      <c r="D341" s="8" t="s">
        <v>14471</v>
      </c>
      <c r="E341" s="11" t="s">
        <v>14554</v>
      </c>
    </row>
    <row r="342">
      <c r="A342" s="100">
        <v>653.0</v>
      </c>
      <c r="B342" s="8" t="s">
        <v>20</v>
      </c>
      <c r="C342" s="11" t="s">
        <v>14789</v>
      </c>
      <c r="D342" s="8" t="s">
        <v>14471</v>
      </c>
      <c r="E342" s="11" t="s">
        <v>14554</v>
      </c>
    </row>
    <row r="343">
      <c r="A343" s="100">
        <v>549.0</v>
      </c>
      <c r="B343" s="8" t="s">
        <v>20</v>
      </c>
      <c r="C343" s="11" t="s">
        <v>14790</v>
      </c>
      <c r="D343" s="8" t="s">
        <v>14471</v>
      </c>
      <c r="E343" s="11" t="s">
        <v>14554</v>
      </c>
    </row>
    <row r="344">
      <c r="A344" s="100">
        <v>207.0</v>
      </c>
      <c r="B344" s="8" t="s">
        <v>20</v>
      </c>
      <c r="C344" s="11" t="s">
        <v>14791</v>
      </c>
      <c r="D344" s="8" t="s">
        <v>14471</v>
      </c>
      <c r="E344" s="11" t="s">
        <v>14554</v>
      </c>
    </row>
    <row r="345">
      <c r="A345" s="100">
        <v>31847.0</v>
      </c>
      <c r="B345" s="8" t="s">
        <v>20</v>
      </c>
      <c r="C345" s="11" t="s">
        <v>3612</v>
      </c>
      <c r="D345" s="8" t="s">
        <v>14471</v>
      </c>
      <c r="E345" s="11" t="s">
        <v>14557</v>
      </c>
    </row>
    <row r="346">
      <c r="A346" s="100">
        <v>31743.0</v>
      </c>
      <c r="B346" s="8" t="s">
        <v>20</v>
      </c>
      <c r="C346" s="11" t="s">
        <v>1434</v>
      </c>
      <c r="D346" s="8" t="s">
        <v>14471</v>
      </c>
      <c r="E346" s="11" t="s">
        <v>14557</v>
      </c>
    </row>
    <row r="347">
      <c r="A347" s="100">
        <v>30749.0</v>
      </c>
      <c r="B347" s="8" t="s">
        <v>20</v>
      </c>
      <c r="C347" s="11" t="s">
        <v>14792</v>
      </c>
      <c r="D347" s="8" t="s">
        <v>14471</v>
      </c>
      <c r="E347" s="11" t="s">
        <v>14557</v>
      </c>
    </row>
    <row r="348">
      <c r="A348" s="100">
        <v>24357.0</v>
      </c>
      <c r="B348" s="8" t="s">
        <v>20</v>
      </c>
      <c r="C348" s="11" t="s">
        <v>14793</v>
      </c>
      <c r="D348" s="8" t="s">
        <v>14471</v>
      </c>
      <c r="E348" s="11" t="s">
        <v>14557</v>
      </c>
    </row>
    <row r="349">
      <c r="A349" s="100">
        <v>23516.0</v>
      </c>
      <c r="B349" s="8" t="s">
        <v>20</v>
      </c>
      <c r="C349" s="11" t="s">
        <v>3689</v>
      </c>
      <c r="D349" s="8" t="s">
        <v>14471</v>
      </c>
      <c r="E349" s="11" t="s">
        <v>14557</v>
      </c>
    </row>
    <row r="350">
      <c r="A350" s="100">
        <v>21979.0</v>
      </c>
      <c r="B350" s="8" t="s">
        <v>20</v>
      </c>
      <c r="C350" s="11" t="s">
        <v>14794</v>
      </c>
      <c r="D350" s="8" t="s">
        <v>14471</v>
      </c>
      <c r="E350" s="11" t="s">
        <v>14557</v>
      </c>
    </row>
    <row r="351">
      <c r="A351" s="100">
        <v>21174.0</v>
      </c>
      <c r="B351" s="8" t="s">
        <v>20</v>
      </c>
      <c r="C351" s="11" t="s">
        <v>6029</v>
      </c>
      <c r="D351" s="8" t="s">
        <v>14471</v>
      </c>
      <c r="E351" s="11" t="s">
        <v>14557</v>
      </c>
    </row>
    <row r="352">
      <c r="A352" s="100">
        <v>21150.0</v>
      </c>
      <c r="B352" s="8" t="s">
        <v>20</v>
      </c>
      <c r="C352" s="11" t="s">
        <v>14795</v>
      </c>
      <c r="D352" s="8" t="s">
        <v>14471</v>
      </c>
      <c r="E352" s="11" t="s">
        <v>14557</v>
      </c>
    </row>
    <row r="353">
      <c r="A353" s="100">
        <v>734.0</v>
      </c>
      <c r="B353" s="8" t="s">
        <v>20</v>
      </c>
      <c r="C353" s="11" t="s">
        <v>14796</v>
      </c>
      <c r="D353" s="8" t="s">
        <v>14471</v>
      </c>
      <c r="E353" s="11" t="s">
        <v>14557</v>
      </c>
    </row>
    <row r="354">
      <c r="A354" s="100">
        <v>661.0</v>
      </c>
      <c r="B354" s="8" t="s">
        <v>20</v>
      </c>
      <c r="C354" s="11" t="s">
        <v>14797</v>
      </c>
      <c r="D354" s="8" t="s">
        <v>14471</v>
      </c>
      <c r="E354" s="11" t="s">
        <v>14557</v>
      </c>
    </row>
    <row r="355">
      <c r="A355" s="100">
        <v>660.0</v>
      </c>
      <c r="B355" s="8" t="s">
        <v>20</v>
      </c>
      <c r="C355" s="11" t="s">
        <v>3209</v>
      </c>
      <c r="D355" s="8" t="s">
        <v>14471</v>
      </c>
      <c r="E355" s="11" t="s">
        <v>14557</v>
      </c>
    </row>
    <row r="356">
      <c r="A356" s="100">
        <v>658.0</v>
      </c>
      <c r="B356" s="8" t="s">
        <v>20</v>
      </c>
      <c r="C356" s="11" t="s">
        <v>14798</v>
      </c>
      <c r="D356" s="8" t="s">
        <v>14471</v>
      </c>
      <c r="E356" s="11" t="s">
        <v>14557</v>
      </c>
    </row>
    <row r="357">
      <c r="A357" s="100">
        <v>657.0</v>
      </c>
      <c r="B357" s="8" t="s">
        <v>20</v>
      </c>
      <c r="C357" s="11" t="s">
        <v>14799</v>
      </c>
      <c r="D357" s="8" t="s">
        <v>14471</v>
      </c>
      <c r="E357" s="11" t="s">
        <v>14557</v>
      </c>
    </row>
    <row r="358">
      <c r="A358" s="100">
        <v>454.0</v>
      </c>
      <c r="B358" s="8" t="s">
        <v>20</v>
      </c>
      <c r="C358" s="11" t="s">
        <v>14800</v>
      </c>
      <c r="D358" s="8" t="s">
        <v>14471</v>
      </c>
      <c r="E358" s="11" t="s">
        <v>14557</v>
      </c>
    </row>
    <row r="359">
      <c r="A359" s="100">
        <v>450.0</v>
      </c>
      <c r="B359" s="8" t="s">
        <v>20</v>
      </c>
      <c r="C359" s="11" t="s">
        <v>4380</v>
      </c>
      <c r="D359" s="8" t="s">
        <v>14471</v>
      </c>
      <c r="E359" s="11" t="s">
        <v>14557</v>
      </c>
    </row>
    <row r="360">
      <c r="A360" s="100">
        <v>448.0</v>
      </c>
      <c r="B360" s="8" t="s">
        <v>20</v>
      </c>
      <c r="C360" s="11" t="s">
        <v>14801</v>
      </c>
      <c r="D360" s="8" t="s">
        <v>14471</v>
      </c>
      <c r="E360" s="11" t="s">
        <v>14557</v>
      </c>
    </row>
    <row r="361">
      <c r="A361" s="100">
        <v>435.0</v>
      </c>
      <c r="B361" s="8" t="s">
        <v>20</v>
      </c>
      <c r="C361" s="11" t="s">
        <v>11870</v>
      </c>
      <c r="D361" s="8" t="s">
        <v>14471</v>
      </c>
      <c r="E361" s="11" t="s">
        <v>14557</v>
      </c>
    </row>
    <row r="362">
      <c r="A362" s="100">
        <v>434.0</v>
      </c>
      <c r="B362" s="8" t="s">
        <v>20</v>
      </c>
      <c r="C362" s="11" t="s">
        <v>14802</v>
      </c>
      <c r="D362" s="8" t="s">
        <v>14471</v>
      </c>
      <c r="E362" s="11" t="s">
        <v>14557</v>
      </c>
    </row>
    <row r="363">
      <c r="A363" s="100">
        <v>33123.0</v>
      </c>
      <c r="B363" s="8" t="s">
        <v>20</v>
      </c>
      <c r="C363" s="11" t="s">
        <v>8289</v>
      </c>
      <c r="D363" s="8" t="s">
        <v>14471</v>
      </c>
      <c r="E363" s="11" t="s">
        <v>14568</v>
      </c>
    </row>
    <row r="364">
      <c r="A364" s="100">
        <v>32038.0</v>
      </c>
      <c r="B364" s="8" t="s">
        <v>20</v>
      </c>
      <c r="C364" s="11" t="s">
        <v>773</v>
      </c>
      <c r="D364" s="8" t="s">
        <v>14471</v>
      </c>
      <c r="E364" s="11" t="s">
        <v>14568</v>
      </c>
    </row>
    <row r="365">
      <c r="A365" s="100">
        <v>30765.0</v>
      </c>
      <c r="B365" s="8" t="s">
        <v>20</v>
      </c>
      <c r="C365" s="11" t="s">
        <v>5048</v>
      </c>
      <c r="D365" s="8" t="s">
        <v>14471</v>
      </c>
      <c r="E365" s="11" t="s">
        <v>14568</v>
      </c>
    </row>
    <row r="366">
      <c r="A366" s="100">
        <v>30764.0</v>
      </c>
      <c r="B366" s="8" t="s">
        <v>20</v>
      </c>
      <c r="C366" s="11" t="s">
        <v>14803</v>
      </c>
      <c r="D366" s="8" t="s">
        <v>14471</v>
      </c>
      <c r="E366" s="11" t="s">
        <v>14568</v>
      </c>
    </row>
    <row r="367">
      <c r="A367" s="100">
        <v>30762.0</v>
      </c>
      <c r="B367" s="8" t="s">
        <v>20</v>
      </c>
      <c r="C367" s="11" t="s">
        <v>14804</v>
      </c>
      <c r="D367" s="8" t="s">
        <v>14471</v>
      </c>
      <c r="E367" s="11" t="s">
        <v>14568</v>
      </c>
    </row>
    <row r="368">
      <c r="A368" s="100">
        <v>30744.0</v>
      </c>
      <c r="B368" s="8" t="s">
        <v>20</v>
      </c>
      <c r="C368" s="11" t="s">
        <v>11772</v>
      </c>
      <c r="D368" s="8" t="s">
        <v>14471</v>
      </c>
      <c r="E368" s="11" t="s">
        <v>14568</v>
      </c>
    </row>
    <row r="369">
      <c r="A369" s="100">
        <v>30743.0</v>
      </c>
      <c r="B369" s="8" t="s">
        <v>20</v>
      </c>
      <c r="C369" s="11" t="s">
        <v>14571</v>
      </c>
      <c r="D369" s="8" t="s">
        <v>14471</v>
      </c>
      <c r="E369" s="11" t="s">
        <v>14568</v>
      </c>
    </row>
    <row r="370">
      <c r="A370" s="100">
        <v>30353.0</v>
      </c>
      <c r="B370" s="8" t="s">
        <v>20</v>
      </c>
      <c r="C370" s="11" t="s">
        <v>14805</v>
      </c>
      <c r="D370" s="8" t="s">
        <v>14471</v>
      </c>
      <c r="E370" s="11" t="s">
        <v>14568</v>
      </c>
    </row>
    <row r="371">
      <c r="A371" s="100">
        <v>29786.0</v>
      </c>
      <c r="B371" s="8" t="s">
        <v>20</v>
      </c>
      <c r="C371" s="11" t="s">
        <v>14806</v>
      </c>
      <c r="D371" s="8" t="s">
        <v>14471</v>
      </c>
      <c r="E371" s="11" t="s">
        <v>14568</v>
      </c>
    </row>
    <row r="372">
      <c r="A372" s="100">
        <v>27125.0</v>
      </c>
      <c r="B372" s="8" t="s">
        <v>20</v>
      </c>
      <c r="C372" s="11" t="s">
        <v>871</v>
      </c>
      <c r="D372" s="8" t="s">
        <v>14471</v>
      </c>
      <c r="E372" s="11" t="s">
        <v>14568</v>
      </c>
    </row>
    <row r="373">
      <c r="A373" s="100">
        <v>27124.0</v>
      </c>
      <c r="B373" s="8" t="s">
        <v>20</v>
      </c>
      <c r="C373" s="11" t="s">
        <v>14807</v>
      </c>
      <c r="D373" s="8" t="s">
        <v>14471</v>
      </c>
      <c r="E373" s="11" t="s">
        <v>14568</v>
      </c>
    </row>
    <row r="374">
      <c r="A374" s="100">
        <v>27123.0</v>
      </c>
      <c r="B374" s="8" t="s">
        <v>20</v>
      </c>
      <c r="C374" s="11" t="s">
        <v>74</v>
      </c>
      <c r="D374" s="8" t="s">
        <v>14471</v>
      </c>
      <c r="E374" s="11" t="s">
        <v>14568</v>
      </c>
    </row>
    <row r="375">
      <c r="A375" s="100">
        <v>27122.0</v>
      </c>
      <c r="B375" s="8" t="s">
        <v>20</v>
      </c>
      <c r="C375" s="11" t="s">
        <v>14808</v>
      </c>
      <c r="D375" s="8" t="s">
        <v>14471</v>
      </c>
      <c r="E375" s="11" t="s">
        <v>14568</v>
      </c>
    </row>
    <row r="376">
      <c r="A376" s="100">
        <v>27121.0</v>
      </c>
      <c r="B376" s="8" t="s">
        <v>20</v>
      </c>
      <c r="C376" s="11" t="s">
        <v>3418</v>
      </c>
      <c r="D376" s="8" t="s">
        <v>14471</v>
      </c>
      <c r="E376" s="11" t="s">
        <v>14568</v>
      </c>
    </row>
    <row r="377">
      <c r="A377" s="100">
        <v>27120.0</v>
      </c>
      <c r="B377" s="8" t="s">
        <v>20</v>
      </c>
      <c r="C377" s="11" t="s">
        <v>14809</v>
      </c>
      <c r="D377" s="8" t="s">
        <v>14471</v>
      </c>
      <c r="E377" s="11" t="s">
        <v>14568</v>
      </c>
    </row>
    <row r="378">
      <c r="A378" s="100">
        <v>24839.0</v>
      </c>
      <c r="B378" s="8" t="s">
        <v>20</v>
      </c>
      <c r="C378" s="11" t="s">
        <v>14810</v>
      </c>
      <c r="D378" s="8" t="s">
        <v>14471</v>
      </c>
      <c r="E378" s="11" t="s">
        <v>14568</v>
      </c>
    </row>
    <row r="379">
      <c r="A379" s="100">
        <v>24243.0</v>
      </c>
      <c r="B379" s="8" t="s">
        <v>20</v>
      </c>
      <c r="C379" s="11" t="s">
        <v>14811</v>
      </c>
      <c r="D379" s="8" t="s">
        <v>14471</v>
      </c>
      <c r="E379" s="11" t="s">
        <v>14568</v>
      </c>
    </row>
    <row r="380">
      <c r="A380" s="100">
        <v>23553.0</v>
      </c>
      <c r="B380" s="8" t="s">
        <v>20</v>
      </c>
      <c r="C380" s="11" t="s">
        <v>3770</v>
      </c>
      <c r="D380" s="8" t="s">
        <v>14471</v>
      </c>
      <c r="E380" s="11" t="s">
        <v>14568</v>
      </c>
    </row>
    <row r="381">
      <c r="A381" s="100">
        <v>23518.0</v>
      </c>
      <c r="B381" s="8" t="s">
        <v>20</v>
      </c>
      <c r="C381" s="11" t="s">
        <v>14812</v>
      </c>
      <c r="D381" s="8" t="s">
        <v>14471</v>
      </c>
      <c r="E381" s="11" t="s">
        <v>14568</v>
      </c>
    </row>
    <row r="382">
      <c r="A382" s="100">
        <v>23187.0</v>
      </c>
      <c r="B382" s="8" t="s">
        <v>20</v>
      </c>
      <c r="C382" s="11" t="s">
        <v>14813</v>
      </c>
      <c r="D382" s="8" t="s">
        <v>14471</v>
      </c>
      <c r="E382" s="11" t="s">
        <v>14568</v>
      </c>
    </row>
    <row r="383">
      <c r="A383" s="100">
        <v>22253.0</v>
      </c>
      <c r="B383" s="8" t="s">
        <v>20</v>
      </c>
      <c r="C383" s="11" t="s">
        <v>14814</v>
      </c>
      <c r="D383" s="8" t="s">
        <v>14471</v>
      </c>
      <c r="E383" s="11" t="s">
        <v>14568</v>
      </c>
    </row>
    <row r="384">
      <c r="A384" s="100">
        <v>21977.0</v>
      </c>
      <c r="B384" s="8" t="s">
        <v>20</v>
      </c>
      <c r="C384" s="11" t="s">
        <v>2267</v>
      </c>
      <c r="D384" s="8" t="s">
        <v>14471</v>
      </c>
      <c r="E384" s="11" t="s">
        <v>14568</v>
      </c>
    </row>
    <row r="385">
      <c r="A385" s="100">
        <v>21166.0</v>
      </c>
      <c r="B385" s="8" t="s">
        <v>20</v>
      </c>
      <c r="C385" s="11" t="s">
        <v>951</v>
      </c>
      <c r="D385" s="8" t="s">
        <v>14471</v>
      </c>
      <c r="E385" s="11" t="s">
        <v>14568</v>
      </c>
    </row>
    <row r="386">
      <c r="A386" s="100">
        <v>21165.0</v>
      </c>
      <c r="B386" s="8" t="s">
        <v>20</v>
      </c>
      <c r="C386" s="11" t="s">
        <v>1295</v>
      </c>
      <c r="D386" s="8" t="s">
        <v>14471</v>
      </c>
      <c r="E386" s="11" t="s">
        <v>14568</v>
      </c>
    </row>
    <row r="387">
      <c r="A387" s="100">
        <v>21164.0</v>
      </c>
      <c r="B387" s="8" t="s">
        <v>20</v>
      </c>
      <c r="C387" s="11" t="s">
        <v>14815</v>
      </c>
      <c r="D387" s="8" t="s">
        <v>14471</v>
      </c>
      <c r="E387" s="11" t="s">
        <v>14568</v>
      </c>
    </row>
    <row r="388">
      <c r="A388" s="100">
        <v>19850.0</v>
      </c>
      <c r="B388" s="8" t="s">
        <v>20</v>
      </c>
      <c r="C388" s="11" t="s">
        <v>14816</v>
      </c>
      <c r="D388" s="8" t="s">
        <v>14471</v>
      </c>
      <c r="E388" s="11" t="s">
        <v>14568</v>
      </c>
    </row>
    <row r="389">
      <c r="A389" s="100">
        <v>17825.0</v>
      </c>
      <c r="B389" s="8" t="s">
        <v>20</v>
      </c>
      <c r="C389" s="11" t="s">
        <v>4724</v>
      </c>
      <c r="D389" s="8" t="s">
        <v>14471</v>
      </c>
      <c r="E389" s="11" t="s">
        <v>14568</v>
      </c>
    </row>
    <row r="390">
      <c r="A390" s="100">
        <v>733.0</v>
      </c>
      <c r="B390" s="8" t="s">
        <v>20</v>
      </c>
      <c r="C390" s="11" t="s">
        <v>14817</v>
      </c>
      <c r="D390" s="8" t="s">
        <v>14471</v>
      </c>
      <c r="E390" s="11" t="s">
        <v>14568</v>
      </c>
    </row>
    <row r="391">
      <c r="A391" s="100">
        <v>728.0</v>
      </c>
      <c r="B391" s="8" t="s">
        <v>20</v>
      </c>
      <c r="C391" s="11" t="s">
        <v>14818</v>
      </c>
      <c r="D391" s="8" t="s">
        <v>14471</v>
      </c>
      <c r="E391" s="11" t="s">
        <v>14568</v>
      </c>
    </row>
    <row r="392">
      <c r="A392" s="100">
        <v>699.0</v>
      </c>
      <c r="B392" s="8" t="s">
        <v>20</v>
      </c>
      <c r="C392" s="11" t="s">
        <v>1295</v>
      </c>
      <c r="D392" s="8" t="s">
        <v>14471</v>
      </c>
      <c r="E392" s="11" t="s">
        <v>14568</v>
      </c>
    </row>
    <row r="393">
      <c r="A393" s="100">
        <v>698.0</v>
      </c>
      <c r="B393" s="8" t="s">
        <v>20</v>
      </c>
      <c r="C393" s="11" t="s">
        <v>4724</v>
      </c>
      <c r="D393" s="8" t="s">
        <v>14471</v>
      </c>
      <c r="E393" s="11" t="s">
        <v>14568</v>
      </c>
    </row>
    <row r="394">
      <c r="A394" s="100">
        <v>696.0</v>
      </c>
      <c r="B394" s="8" t="s">
        <v>20</v>
      </c>
      <c r="C394" s="11" t="s">
        <v>14819</v>
      </c>
      <c r="D394" s="8" t="s">
        <v>14471</v>
      </c>
      <c r="E394" s="11" t="s">
        <v>14568</v>
      </c>
    </row>
    <row r="395">
      <c r="A395" s="100">
        <v>695.0</v>
      </c>
      <c r="B395" s="8" t="s">
        <v>20</v>
      </c>
      <c r="C395" s="11" t="s">
        <v>14820</v>
      </c>
      <c r="D395" s="8" t="s">
        <v>14471</v>
      </c>
      <c r="E395" s="11" t="s">
        <v>14568</v>
      </c>
    </row>
    <row r="396">
      <c r="A396" s="100">
        <v>692.0</v>
      </c>
      <c r="B396" s="8" t="s">
        <v>20</v>
      </c>
      <c r="C396" s="11" t="s">
        <v>14821</v>
      </c>
      <c r="D396" s="8" t="s">
        <v>14471</v>
      </c>
      <c r="E396" s="11" t="s">
        <v>14568</v>
      </c>
    </row>
    <row r="397">
      <c r="A397" s="100">
        <v>690.0</v>
      </c>
      <c r="B397" s="8" t="s">
        <v>20</v>
      </c>
      <c r="C397" s="11" t="s">
        <v>14822</v>
      </c>
      <c r="D397" s="8" t="s">
        <v>14471</v>
      </c>
      <c r="E397" s="11" t="s">
        <v>14568</v>
      </c>
    </row>
    <row r="398">
      <c r="A398" s="100">
        <v>688.0</v>
      </c>
      <c r="B398" s="8" t="s">
        <v>20</v>
      </c>
      <c r="C398" s="11" t="s">
        <v>14823</v>
      </c>
      <c r="D398" s="8" t="s">
        <v>14471</v>
      </c>
      <c r="E398" s="11" t="s">
        <v>14568</v>
      </c>
    </row>
    <row r="399">
      <c r="A399" s="100">
        <v>686.0</v>
      </c>
      <c r="B399" s="8" t="s">
        <v>20</v>
      </c>
      <c r="C399" s="11" t="s">
        <v>14824</v>
      </c>
      <c r="D399" s="8" t="s">
        <v>14471</v>
      </c>
      <c r="E399" s="11" t="s">
        <v>14568</v>
      </c>
    </row>
    <row r="400">
      <c r="A400" s="100">
        <v>685.0</v>
      </c>
      <c r="B400" s="8" t="s">
        <v>20</v>
      </c>
      <c r="C400" s="11" t="s">
        <v>4478</v>
      </c>
      <c r="D400" s="8" t="s">
        <v>14471</v>
      </c>
      <c r="E400" s="11" t="s">
        <v>14568</v>
      </c>
    </row>
    <row r="401">
      <c r="A401" s="100">
        <v>684.0</v>
      </c>
      <c r="B401" s="8" t="s">
        <v>20</v>
      </c>
      <c r="C401" s="11" t="s">
        <v>773</v>
      </c>
      <c r="D401" s="8" t="s">
        <v>14471</v>
      </c>
      <c r="E401" s="11" t="s">
        <v>14568</v>
      </c>
    </row>
    <row r="402">
      <c r="A402" s="100">
        <v>683.0</v>
      </c>
      <c r="B402" s="8" t="s">
        <v>20</v>
      </c>
      <c r="C402" s="11" t="s">
        <v>4348</v>
      </c>
      <c r="D402" s="8" t="s">
        <v>14471</v>
      </c>
      <c r="E402" s="11" t="s">
        <v>14568</v>
      </c>
    </row>
    <row r="403">
      <c r="A403" s="100">
        <v>682.0</v>
      </c>
      <c r="B403" s="8" t="s">
        <v>20</v>
      </c>
      <c r="C403" s="11" t="s">
        <v>1083</v>
      </c>
      <c r="D403" s="8" t="s">
        <v>14471</v>
      </c>
      <c r="E403" s="11" t="s">
        <v>14568</v>
      </c>
    </row>
    <row r="404">
      <c r="A404" s="100">
        <v>681.0</v>
      </c>
      <c r="B404" s="8" t="s">
        <v>20</v>
      </c>
      <c r="C404" s="11" t="s">
        <v>14825</v>
      </c>
      <c r="D404" s="8" t="s">
        <v>14471</v>
      </c>
      <c r="E404" s="11" t="s">
        <v>14568</v>
      </c>
    </row>
    <row r="405">
      <c r="A405" s="100">
        <v>679.0</v>
      </c>
      <c r="B405" s="8" t="s">
        <v>20</v>
      </c>
      <c r="C405" s="11" t="s">
        <v>14826</v>
      </c>
      <c r="D405" s="8" t="s">
        <v>14471</v>
      </c>
      <c r="E405" s="11" t="s">
        <v>14568</v>
      </c>
    </row>
    <row r="406">
      <c r="A406" s="100">
        <v>676.0</v>
      </c>
      <c r="B406" s="8" t="s">
        <v>20</v>
      </c>
      <c r="C406" s="11" t="s">
        <v>14827</v>
      </c>
      <c r="D406" s="8" t="s">
        <v>14471</v>
      </c>
      <c r="E406" s="11" t="s">
        <v>14568</v>
      </c>
    </row>
    <row r="407">
      <c r="A407" s="100">
        <v>675.0</v>
      </c>
      <c r="B407" s="8" t="s">
        <v>20</v>
      </c>
      <c r="C407" s="11" t="s">
        <v>855</v>
      </c>
      <c r="D407" s="8" t="s">
        <v>14471</v>
      </c>
      <c r="E407" s="11" t="s">
        <v>14568</v>
      </c>
    </row>
    <row r="408">
      <c r="A408" s="100">
        <v>674.0</v>
      </c>
      <c r="B408" s="8" t="s">
        <v>20</v>
      </c>
      <c r="C408" s="11" t="s">
        <v>13999</v>
      </c>
      <c r="D408" s="8" t="s">
        <v>14471</v>
      </c>
      <c r="E408" s="11" t="s">
        <v>14568</v>
      </c>
    </row>
    <row r="409">
      <c r="A409" s="100">
        <v>673.0</v>
      </c>
      <c r="B409" s="8" t="s">
        <v>20</v>
      </c>
      <c r="C409" s="11" t="s">
        <v>4724</v>
      </c>
      <c r="D409" s="8" t="s">
        <v>14471</v>
      </c>
      <c r="E409" s="11" t="s">
        <v>14568</v>
      </c>
    </row>
    <row r="410">
      <c r="A410" s="100">
        <v>672.0</v>
      </c>
      <c r="B410" s="8" t="s">
        <v>20</v>
      </c>
      <c r="C410" s="11" t="s">
        <v>14828</v>
      </c>
      <c r="D410" s="8" t="s">
        <v>14471</v>
      </c>
      <c r="E410" s="11" t="s">
        <v>14568</v>
      </c>
    </row>
    <row r="411">
      <c r="A411" s="100">
        <v>610.0</v>
      </c>
      <c r="B411" s="8" t="s">
        <v>20</v>
      </c>
      <c r="C411" s="11" t="s">
        <v>74</v>
      </c>
      <c r="D411" s="8" t="s">
        <v>14471</v>
      </c>
      <c r="E411" s="11" t="s">
        <v>14568</v>
      </c>
    </row>
    <row r="412">
      <c r="A412" s="100">
        <v>551.0</v>
      </c>
      <c r="B412" s="8" t="s">
        <v>20</v>
      </c>
      <c r="C412" s="11" t="s">
        <v>4214</v>
      </c>
      <c r="D412" s="8" t="s">
        <v>14471</v>
      </c>
      <c r="E412" s="11" t="s">
        <v>14568</v>
      </c>
    </row>
    <row r="413">
      <c r="A413" s="100">
        <v>550.0</v>
      </c>
      <c r="B413" s="8" t="s">
        <v>20</v>
      </c>
      <c r="C413" s="11" t="s">
        <v>760</v>
      </c>
      <c r="D413" s="8" t="s">
        <v>14471</v>
      </c>
      <c r="E413" s="11" t="s">
        <v>14568</v>
      </c>
    </row>
    <row r="414">
      <c r="A414" s="100">
        <v>33254.0</v>
      </c>
      <c r="B414" s="8" t="s">
        <v>20</v>
      </c>
      <c r="C414" s="11" t="s">
        <v>14829</v>
      </c>
      <c r="D414" s="8" t="s">
        <v>14471</v>
      </c>
      <c r="E414" s="11" t="s">
        <v>14575</v>
      </c>
    </row>
    <row r="415">
      <c r="A415" s="100">
        <v>33252.0</v>
      </c>
      <c r="B415" s="8" t="s">
        <v>20</v>
      </c>
      <c r="C415" s="11" t="s">
        <v>14830</v>
      </c>
      <c r="D415" s="8" t="s">
        <v>14471</v>
      </c>
      <c r="E415" s="11" t="s">
        <v>14575</v>
      </c>
    </row>
    <row r="416">
      <c r="A416" s="100">
        <v>31728.0</v>
      </c>
      <c r="B416" s="8" t="s">
        <v>20</v>
      </c>
      <c r="C416" s="11" t="s">
        <v>8598</v>
      </c>
      <c r="D416" s="8" t="s">
        <v>14471</v>
      </c>
      <c r="E416" s="11" t="s">
        <v>14575</v>
      </c>
    </row>
    <row r="417">
      <c r="A417" s="100">
        <v>30768.0</v>
      </c>
      <c r="B417" s="8" t="s">
        <v>20</v>
      </c>
      <c r="C417" s="11" t="s">
        <v>14831</v>
      </c>
      <c r="D417" s="8" t="s">
        <v>14471</v>
      </c>
      <c r="E417" s="11" t="s">
        <v>14575</v>
      </c>
    </row>
    <row r="418">
      <c r="A418" s="100">
        <v>30758.0</v>
      </c>
      <c r="B418" s="8" t="s">
        <v>20</v>
      </c>
      <c r="C418" s="11" t="s">
        <v>14832</v>
      </c>
      <c r="D418" s="8" t="s">
        <v>14471</v>
      </c>
      <c r="E418" s="11" t="s">
        <v>14575</v>
      </c>
    </row>
    <row r="419">
      <c r="A419" s="100">
        <v>27114.0</v>
      </c>
      <c r="B419" s="8" t="s">
        <v>20</v>
      </c>
      <c r="C419" s="11" t="s">
        <v>4724</v>
      </c>
      <c r="D419" s="8" t="s">
        <v>14471</v>
      </c>
      <c r="E419" s="11" t="s">
        <v>14575</v>
      </c>
    </row>
    <row r="420">
      <c r="A420" s="100">
        <v>27113.0</v>
      </c>
      <c r="B420" s="8" t="s">
        <v>20</v>
      </c>
      <c r="C420" s="11" t="s">
        <v>14833</v>
      </c>
      <c r="D420" s="8" t="s">
        <v>14471</v>
      </c>
      <c r="E420" s="11" t="s">
        <v>14575</v>
      </c>
    </row>
    <row r="421">
      <c r="A421" s="100">
        <v>26579.0</v>
      </c>
      <c r="B421" s="8" t="s">
        <v>20</v>
      </c>
      <c r="C421" s="11" t="s">
        <v>14834</v>
      </c>
      <c r="D421" s="8" t="s">
        <v>14471</v>
      </c>
      <c r="E421" s="11" t="s">
        <v>14575</v>
      </c>
    </row>
    <row r="422">
      <c r="A422" s="100">
        <v>23027.0</v>
      </c>
      <c r="B422" s="8" t="s">
        <v>20</v>
      </c>
      <c r="C422" s="11" t="s">
        <v>14835</v>
      </c>
      <c r="D422" s="8" t="s">
        <v>14471</v>
      </c>
      <c r="E422" s="11" t="s">
        <v>14575</v>
      </c>
    </row>
    <row r="423">
      <c r="A423" s="100">
        <v>22529.0</v>
      </c>
      <c r="B423" s="8" t="s">
        <v>20</v>
      </c>
      <c r="C423" s="11" t="s">
        <v>14836</v>
      </c>
      <c r="D423" s="8" t="s">
        <v>14471</v>
      </c>
      <c r="E423" s="11" t="s">
        <v>14575</v>
      </c>
    </row>
    <row r="424">
      <c r="A424" s="100">
        <v>21782.0</v>
      </c>
      <c r="B424" s="8" t="s">
        <v>20</v>
      </c>
      <c r="C424" s="11" t="s">
        <v>8440</v>
      </c>
      <c r="D424" s="8" t="s">
        <v>14471</v>
      </c>
      <c r="E424" s="11" t="s">
        <v>14575</v>
      </c>
    </row>
    <row r="425">
      <c r="A425" s="100">
        <v>21136.0</v>
      </c>
      <c r="B425" s="8" t="s">
        <v>20</v>
      </c>
      <c r="C425" s="11" t="s">
        <v>14837</v>
      </c>
      <c r="D425" s="8" t="s">
        <v>14471</v>
      </c>
      <c r="E425" s="11" t="s">
        <v>14575</v>
      </c>
    </row>
    <row r="426">
      <c r="A426" s="100">
        <v>21135.0</v>
      </c>
      <c r="B426" s="8" t="s">
        <v>20</v>
      </c>
      <c r="C426" s="11" t="s">
        <v>14838</v>
      </c>
      <c r="D426" s="8" t="s">
        <v>14471</v>
      </c>
      <c r="E426" s="11" t="s">
        <v>14575</v>
      </c>
    </row>
    <row r="427">
      <c r="A427" s="100">
        <v>19648.0</v>
      </c>
      <c r="B427" s="8" t="s">
        <v>20</v>
      </c>
      <c r="C427" s="11" t="s">
        <v>8403</v>
      </c>
      <c r="D427" s="8" t="s">
        <v>14471</v>
      </c>
      <c r="E427" s="11" t="s">
        <v>14575</v>
      </c>
    </row>
    <row r="428">
      <c r="A428" s="100">
        <v>19627.0</v>
      </c>
      <c r="B428" s="8" t="s">
        <v>20</v>
      </c>
      <c r="C428" s="11" t="s">
        <v>14839</v>
      </c>
      <c r="D428" s="8" t="s">
        <v>14471</v>
      </c>
      <c r="E428" s="11" t="s">
        <v>14575</v>
      </c>
    </row>
    <row r="429">
      <c r="A429" s="100">
        <v>17741.0</v>
      </c>
      <c r="B429" s="8" t="s">
        <v>20</v>
      </c>
      <c r="C429" s="11" t="s">
        <v>14840</v>
      </c>
      <c r="D429" s="8" t="s">
        <v>14471</v>
      </c>
      <c r="E429" s="11" t="s">
        <v>14575</v>
      </c>
    </row>
    <row r="430">
      <c r="A430" s="100">
        <v>722.0</v>
      </c>
      <c r="B430" s="8" t="s">
        <v>20</v>
      </c>
      <c r="C430" s="11" t="s">
        <v>14236</v>
      </c>
      <c r="D430" s="8" t="s">
        <v>14471</v>
      </c>
      <c r="E430" s="11" t="s">
        <v>14575</v>
      </c>
    </row>
    <row r="431">
      <c r="A431" s="100">
        <v>721.0</v>
      </c>
      <c r="B431" s="8" t="s">
        <v>20</v>
      </c>
      <c r="C431" s="11" t="s">
        <v>14841</v>
      </c>
      <c r="D431" s="8" t="s">
        <v>14471</v>
      </c>
      <c r="E431" s="11" t="s">
        <v>14575</v>
      </c>
    </row>
    <row r="432">
      <c r="A432" s="100">
        <v>720.0</v>
      </c>
      <c r="B432" s="8" t="s">
        <v>20</v>
      </c>
      <c r="C432" s="11" t="s">
        <v>14842</v>
      </c>
      <c r="D432" s="8" t="s">
        <v>14471</v>
      </c>
      <c r="E432" s="11" t="s">
        <v>14575</v>
      </c>
    </row>
    <row r="433">
      <c r="A433" s="100">
        <v>719.0</v>
      </c>
      <c r="B433" s="8" t="s">
        <v>20</v>
      </c>
      <c r="C433" s="11" t="s">
        <v>773</v>
      </c>
      <c r="D433" s="8" t="s">
        <v>14471</v>
      </c>
      <c r="E433" s="11" t="s">
        <v>14575</v>
      </c>
    </row>
    <row r="434">
      <c r="A434" s="100">
        <v>718.0</v>
      </c>
      <c r="B434" s="8" t="s">
        <v>20</v>
      </c>
      <c r="C434" s="11" t="s">
        <v>8350</v>
      </c>
      <c r="D434" s="8" t="s">
        <v>14471</v>
      </c>
      <c r="E434" s="11" t="s">
        <v>14575</v>
      </c>
    </row>
    <row r="435">
      <c r="A435" s="100">
        <v>717.0</v>
      </c>
      <c r="B435" s="8" t="s">
        <v>20</v>
      </c>
      <c r="C435" s="11" t="s">
        <v>4293</v>
      </c>
      <c r="D435" s="8" t="s">
        <v>14471</v>
      </c>
      <c r="E435" s="11" t="s">
        <v>14575</v>
      </c>
    </row>
    <row r="436">
      <c r="A436" s="100">
        <v>716.0</v>
      </c>
      <c r="B436" s="8" t="s">
        <v>20</v>
      </c>
      <c r="C436" s="11" t="s">
        <v>7529</v>
      </c>
      <c r="D436" s="8" t="s">
        <v>14471</v>
      </c>
      <c r="E436" s="11" t="s">
        <v>14575</v>
      </c>
    </row>
    <row r="437">
      <c r="A437" s="100">
        <v>715.0</v>
      </c>
      <c r="B437" s="8" t="s">
        <v>20</v>
      </c>
      <c r="C437" s="11" t="s">
        <v>14843</v>
      </c>
      <c r="D437" s="8" t="s">
        <v>14471</v>
      </c>
      <c r="E437" s="11" t="s">
        <v>14575</v>
      </c>
    </row>
    <row r="438">
      <c r="A438" s="100">
        <v>714.0</v>
      </c>
      <c r="B438" s="8" t="s">
        <v>20</v>
      </c>
      <c r="C438" s="11" t="s">
        <v>3658</v>
      </c>
      <c r="D438" s="8" t="s">
        <v>14471</v>
      </c>
      <c r="E438" s="11" t="s">
        <v>14575</v>
      </c>
    </row>
    <row r="439">
      <c r="A439" s="100">
        <v>713.0</v>
      </c>
      <c r="B439" s="8" t="s">
        <v>20</v>
      </c>
      <c r="C439" s="11" t="s">
        <v>14844</v>
      </c>
      <c r="D439" s="8" t="s">
        <v>14471</v>
      </c>
      <c r="E439" s="11" t="s">
        <v>14575</v>
      </c>
    </row>
    <row r="440">
      <c r="A440" s="100">
        <v>712.0</v>
      </c>
      <c r="B440" s="8" t="s">
        <v>20</v>
      </c>
      <c r="C440" s="11" t="s">
        <v>4148</v>
      </c>
      <c r="D440" s="8" t="s">
        <v>14471</v>
      </c>
      <c r="E440" s="11" t="s">
        <v>14575</v>
      </c>
    </row>
    <row r="441">
      <c r="A441" s="100">
        <v>711.0</v>
      </c>
      <c r="B441" s="8" t="s">
        <v>20</v>
      </c>
      <c r="C441" s="11" t="s">
        <v>13597</v>
      </c>
      <c r="D441" s="8" t="s">
        <v>14471</v>
      </c>
      <c r="E441" s="11" t="s">
        <v>14575</v>
      </c>
    </row>
    <row r="442">
      <c r="A442" s="100">
        <v>710.0</v>
      </c>
      <c r="B442" s="8" t="s">
        <v>20</v>
      </c>
      <c r="C442" s="11" t="s">
        <v>14845</v>
      </c>
      <c r="D442" s="8" t="s">
        <v>14471</v>
      </c>
      <c r="E442" s="11" t="s">
        <v>14575</v>
      </c>
    </row>
    <row r="443">
      <c r="A443" s="100">
        <v>708.0</v>
      </c>
      <c r="B443" s="8" t="s">
        <v>20</v>
      </c>
      <c r="C443" s="11" t="s">
        <v>3209</v>
      </c>
      <c r="D443" s="8" t="s">
        <v>14471</v>
      </c>
      <c r="E443" s="11" t="s">
        <v>14575</v>
      </c>
    </row>
    <row r="444">
      <c r="A444" s="100">
        <v>705.0</v>
      </c>
      <c r="B444" s="8" t="s">
        <v>20</v>
      </c>
      <c r="C444" s="11" t="s">
        <v>14846</v>
      </c>
      <c r="D444" s="8" t="s">
        <v>14471</v>
      </c>
      <c r="E444" s="11" t="s">
        <v>14575</v>
      </c>
    </row>
    <row r="445">
      <c r="A445" s="100">
        <v>704.0</v>
      </c>
      <c r="B445" s="8" t="s">
        <v>20</v>
      </c>
      <c r="C445" s="11" t="s">
        <v>14847</v>
      </c>
      <c r="D445" s="8" t="s">
        <v>14471</v>
      </c>
      <c r="E445" s="11" t="s">
        <v>14575</v>
      </c>
    </row>
    <row r="446">
      <c r="A446" s="100">
        <v>703.0</v>
      </c>
      <c r="B446" s="8" t="s">
        <v>20</v>
      </c>
      <c r="C446" s="11" t="s">
        <v>14848</v>
      </c>
      <c r="D446" s="8" t="s">
        <v>14471</v>
      </c>
      <c r="E446" s="11" t="s">
        <v>14575</v>
      </c>
    </row>
    <row r="447">
      <c r="A447" s="100">
        <v>702.0</v>
      </c>
      <c r="B447" s="8" t="s">
        <v>20</v>
      </c>
      <c r="C447" s="11" t="s">
        <v>14849</v>
      </c>
      <c r="D447" s="8" t="s">
        <v>14471</v>
      </c>
      <c r="E447" s="11" t="s">
        <v>14575</v>
      </c>
    </row>
    <row r="448">
      <c r="A448" s="100">
        <v>701.0</v>
      </c>
      <c r="B448" s="8" t="s">
        <v>20</v>
      </c>
      <c r="C448" s="11" t="s">
        <v>14850</v>
      </c>
      <c r="D448" s="8" t="s">
        <v>14471</v>
      </c>
      <c r="E448" s="11" t="s">
        <v>14575</v>
      </c>
    </row>
    <row r="449">
      <c r="A449" s="100">
        <v>669.0</v>
      </c>
      <c r="B449" s="8" t="s">
        <v>20</v>
      </c>
      <c r="C449" s="11" t="s">
        <v>14851</v>
      </c>
      <c r="D449" s="8" t="s">
        <v>14471</v>
      </c>
      <c r="E449" s="11" t="s">
        <v>14575</v>
      </c>
    </row>
    <row r="450">
      <c r="A450" s="100">
        <v>668.0</v>
      </c>
      <c r="B450" s="8" t="s">
        <v>20</v>
      </c>
      <c r="C450" s="11" t="s">
        <v>4079</v>
      </c>
      <c r="D450" s="8" t="s">
        <v>14471</v>
      </c>
      <c r="E450" s="11" t="s">
        <v>14575</v>
      </c>
    </row>
    <row r="451">
      <c r="A451" s="100">
        <v>469.0</v>
      </c>
      <c r="B451" s="8" t="s">
        <v>20</v>
      </c>
      <c r="C451" s="11" t="s">
        <v>855</v>
      </c>
      <c r="D451" s="8" t="s">
        <v>14471</v>
      </c>
      <c r="E451" s="11" t="s">
        <v>14575</v>
      </c>
    </row>
    <row r="452">
      <c r="A452" s="100">
        <v>458.0</v>
      </c>
      <c r="B452" s="8" t="s">
        <v>20</v>
      </c>
      <c r="C452" s="11" t="s">
        <v>14852</v>
      </c>
      <c r="D452" s="8" t="s">
        <v>14471</v>
      </c>
      <c r="E452" s="11" t="s">
        <v>14575</v>
      </c>
    </row>
    <row r="453">
      <c r="B453" s="8" t="s">
        <v>276</v>
      </c>
      <c r="C453" s="8" t="s">
        <v>14853</v>
      </c>
      <c r="D453" s="8" t="s">
        <v>14471</v>
      </c>
      <c r="E453" s="8" t="s">
        <v>14472</v>
      </c>
      <c r="J453" s="12" t="s">
        <v>14854</v>
      </c>
    </row>
  </sheetData>
  <conditionalFormatting sqref="A1:T1">
    <cfRule type="notContainsBlanks" dxfId="0" priority="1">
      <formula>LEN(TRIM(A1))&gt;0</formula>
    </cfRule>
  </conditionalFormatting>
  <hyperlinks>
    <hyperlink r:id="rId1" ref="H2"/>
    <hyperlink r:id="rId2" ref="I2"/>
    <hyperlink r:id="rId3" ref="H3"/>
    <hyperlink r:id="rId4" ref="I3"/>
    <hyperlink r:id="rId5" ref="H4"/>
    <hyperlink r:id="rId6" ref="H5"/>
    <hyperlink r:id="rId7" ref="H6"/>
    <hyperlink r:id="rId8" ref="H7"/>
    <hyperlink r:id="rId9" ref="H8"/>
    <hyperlink r:id="rId10" ref="H9"/>
    <hyperlink r:id="rId11" ref="H10"/>
    <hyperlink r:id="rId12" ref="I11"/>
    <hyperlink r:id="rId13" ref="H12"/>
    <hyperlink r:id="rId14" ref="H13"/>
    <hyperlink r:id="rId15" ref="H14"/>
    <hyperlink r:id="rId16" ref="J15"/>
    <hyperlink r:id="rId17" ref="H16"/>
    <hyperlink r:id="rId18" ref="H17"/>
    <hyperlink r:id="rId19" ref="H18"/>
    <hyperlink r:id="rId20" ref="H19"/>
    <hyperlink r:id="rId21" ref="H20"/>
    <hyperlink r:id="rId22" ref="H21"/>
    <hyperlink r:id="rId23" ref="I21"/>
    <hyperlink r:id="rId24" ref="H22"/>
    <hyperlink r:id="rId25" ref="I22"/>
    <hyperlink r:id="rId26" ref="H23"/>
    <hyperlink r:id="rId27" ref="H24"/>
    <hyperlink r:id="rId28" ref="H25"/>
    <hyperlink r:id="rId29" ref="I25"/>
    <hyperlink r:id="rId30" ref="H26"/>
    <hyperlink r:id="rId31" ref="H27"/>
    <hyperlink r:id="rId32" ref="J27"/>
    <hyperlink r:id="rId33" ref="H28"/>
    <hyperlink r:id="rId34" ref="H29"/>
    <hyperlink r:id="rId35" ref="H30"/>
    <hyperlink r:id="rId36" ref="J30"/>
    <hyperlink r:id="rId37" ref="H31"/>
    <hyperlink r:id="rId38" ref="I31"/>
    <hyperlink r:id="rId39" ref="H32"/>
    <hyperlink r:id="rId40" ref="I33"/>
    <hyperlink r:id="rId41" ref="H34"/>
    <hyperlink r:id="rId42" ref="H35"/>
    <hyperlink r:id="rId43" ref="H36"/>
    <hyperlink r:id="rId44" ref="H37"/>
    <hyperlink r:id="rId45" ref="H38"/>
    <hyperlink r:id="rId46" ref="I38"/>
    <hyperlink r:id="rId47" ref="H39"/>
    <hyperlink r:id="rId48" ref="I39"/>
    <hyperlink r:id="rId49" ref="H40"/>
    <hyperlink r:id="rId50" ref="H41"/>
    <hyperlink r:id="rId51" ref="H42"/>
    <hyperlink r:id="rId52" ref="H43"/>
    <hyperlink r:id="rId53" ref="H44"/>
    <hyperlink r:id="rId54" ref="I44"/>
    <hyperlink r:id="rId55" ref="I45"/>
    <hyperlink r:id="rId56" ref="H46"/>
    <hyperlink r:id="rId57" ref="H47"/>
    <hyperlink r:id="rId58" ref="I47"/>
    <hyperlink r:id="rId59" ref="H48"/>
    <hyperlink r:id="rId60" ref="H49"/>
    <hyperlink r:id="rId61" ref="H50"/>
    <hyperlink r:id="rId62" ref="H51"/>
    <hyperlink r:id="rId63" ref="H52"/>
    <hyperlink r:id="rId64" ref="J53"/>
    <hyperlink r:id="rId65" ref="H54"/>
    <hyperlink r:id="rId66" ref="H55"/>
    <hyperlink r:id="rId67" ref="J55"/>
    <hyperlink r:id="rId68" ref="H56"/>
    <hyperlink r:id="rId69" ref="H57"/>
    <hyperlink r:id="rId70" ref="H58"/>
    <hyperlink r:id="rId71" ref="H59"/>
    <hyperlink r:id="rId72" ref="J60"/>
    <hyperlink r:id="rId73" ref="H61"/>
    <hyperlink r:id="rId74" ref="I62"/>
    <hyperlink r:id="rId75" ref="J62"/>
    <hyperlink r:id="rId76" ref="H63"/>
    <hyperlink r:id="rId77" ref="H64"/>
    <hyperlink r:id="rId78" ref="H65"/>
    <hyperlink r:id="rId79" ref="J66"/>
    <hyperlink r:id="rId80" ref="J67"/>
    <hyperlink r:id="rId81" ref="H68"/>
    <hyperlink r:id="rId82" ref="J68"/>
    <hyperlink r:id="rId83" ref="J69"/>
    <hyperlink r:id="rId84" ref="H70"/>
    <hyperlink r:id="rId85" ref="J70"/>
    <hyperlink r:id="rId86" ref="H71"/>
    <hyperlink r:id="rId87" ref="J71"/>
    <hyperlink r:id="rId88" ref="H72"/>
    <hyperlink r:id="rId89" ref="H73"/>
    <hyperlink r:id="rId90" ref="H74"/>
    <hyperlink r:id="rId91" ref="I74"/>
    <hyperlink r:id="rId92" ref="J74"/>
    <hyperlink r:id="rId93" ref="J75"/>
    <hyperlink r:id="rId94" ref="H76"/>
    <hyperlink r:id="rId95" ref="H77"/>
    <hyperlink r:id="rId96" ref="H78"/>
    <hyperlink r:id="rId97" ref="H79"/>
    <hyperlink r:id="rId98" ref="J79"/>
    <hyperlink r:id="rId99" ref="I80"/>
    <hyperlink r:id="rId100" ref="J80"/>
    <hyperlink r:id="rId101" ref="H81"/>
    <hyperlink r:id="rId102" ref="H82"/>
    <hyperlink r:id="rId103" ref="H83"/>
    <hyperlink r:id="rId104" ref="I84"/>
    <hyperlink r:id="rId105" ref="H85"/>
    <hyperlink r:id="rId106" ref="I85"/>
    <hyperlink r:id="rId107" ref="H86"/>
    <hyperlink r:id="rId108" ref="H87"/>
    <hyperlink r:id="rId109" ref="H88"/>
    <hyperlink r:id="rId110" ref="I88"/>
    <hyperlink r:id="rId111" ref="J88"/>
    <hyperlink r:id="rId112" ref="H89"/>
    <hyperlink r:id="rId113" ref="H90"/>
    <hyperlink r:id="rId114" ref="H91"/>
    <hyperlink r:id="rId115" ref="H92"/>
    <hyperlink r:id="rId116" ref="I92"/>
    <hyperlink r:id="rId117" ref="H93"/>
    <hyperlink r:id="rId118" ref="J93"/>
    <hyperlink r:id="rId119" ref="J94"/>
    <hyperlink r:id="rId120" ref="J453"/>
  </hyperlinks>
  <drawing r:id="rId12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63.5"/>
    <col customWidth="1" min="9" max="9" width="25.38"/>
    <col customWidth="1" min="10" max="10" width="32.0"/>
  </cols>
  <sheetData>
    <row r="1">
      <c r="A1" s="8" t="s">
        <v>19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3567</v>
      </c>
      <c r="K1" s="4" t="s">
        <v>10</v>
      </c>
      <c r="L1" s="4" t="s">
        <v>3568</v>
      </c>
      <c r="M1" s="4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</row>
    <row r="2">
      <c r="A2" s="272">
        <v>32515.0</v>
      </c>
      <c r="B2" s="204" t="s">
        <v>3779</v>
      </c>
      <c r="C2" s="302" t="s">
        <v>707</v>
      </c>
      <c r="D2" s="302" t="s">
        <v>14855</v>
      </c>
      <c r="E2" s="302" t="s">
        <v>14855</v>
      </c>
      <c r="F2" s="328"/>
      <c r="G2" s="328"/>
      <c r="H2" s="271" t="s">
        <v>14856</v>
      </c>
      <c r="I2" s="270"/>
      <c r="J2" s="203" t="s">
        <v>14857</v>
      </c>
    </row>
    <row r="3">
      <c r="A3" s="272">
        <v>32514.0</v>
      </c>
      <c r="B3" s="204" t="s">
        <v>3779</v>
      </c>
      <c r="C3" s="302" t="s">
        <v>14858</v>
      </c>
      <c r="D3" s="302" t="s">
        <v>14855</v>
      </c>
      <c r="E3" s="302" t="s">
        <v>14855</v>
      </c>
      <c r="F3" s="328"/>
      <c r="G3" s="328"/>
      <c r="H3" s="271" t="s">
        <v>14859</v>
      </c>
      <c r="I3" s="270"/>
      <c r="J3" s="270"/>
    </row>
    <row r="4">
      <c r="A4" s="272">
        <v>32513.0</v>
      </c>
      <c r="B4" s="204" t="s">
        <v>3779</v>
      </c>
      <c r="C4" s="302" t="s">
        <v>14860</v>
      </c>
      <c r="D4" s="302" t="s">
        <v>14855</v>
      </c>
      <c r="E4" s="302" t="s">
        <v>14855</v>
      </c>
      <c r="F4" s="328"/>
      <c r="G4" s="328"/>
      <c r="H4" s="271" t="s">
        <v>14861</v>
      </c>
      <c r="I4" s="271" t="s">
        <v>14862</v>
      </c>
      <c r="J4" s="271" t="s">
        <v>14863</v>
      </c>
    </row>
    <row r="5">
      <c r="A5" s="272">
        <v>32512.0</v>
      </c>
      <c r="B5" s="204" t="s">
        <v>12481</v>
      </c>
      <c r="C5" s="302" t="s">
        <v>3097</v>
      </c>
      <c r="D5" s="302" t="s">
        <v>14855</v>
      </c>
      <c r="E5" s="204" t="s">
        <v>14855</v>
      </c>
      <c r="F5" s="328"/>
      <c r="G5" s="328"/>
      <c r="H5" s="271" t="s">
        <v>14864</v>
      </c>
      <c r="I5" s="270"/>
      <c r="J5" s="359" t="s">
        <v>14865</v>
      </c>
    </row>
    <row r="6">
      <c r="A6" s="302">
        <v>32511.0</v>
      </c>
      <c r="B6" s="204" t="s">
        <v>3779</v>
      </c>
      <c r="C6" s="302" t="s">
        <v>7662</v>
      </c>
      <c r="D6" s="302" t="s">
        <v>14855</v>
      </c>
      <c r="E6" s="204" t="s">
        <v>14855</v>
      </c>
      <c r="F6" s="270"/>
      <c r="G6" s="270"/>
      <c r="H6" s="271" t="s">
        <v>14866</v>
      </c>
      <c r="I6" s="270"/>
      <c r="J6" s="360" t="s">
        <v>14867</v>
      </c>
    </row>
    <row r="7">
      <c r="A7" s="272">
        <v>23289.0</v>
      </c>
      <c r="B7" s="204" t="s">
        <v>3779</v>
      </c>
      <c r="C7" s="302" t="s">
        <v>14868</v>
      </c>
      <c r="D7" s="302" t="s">
        <v>14855</v>
      </c>
      <c r="E7" s="204" t="s">
        <v>14855</v>
      </c>
      <c r="F7" s="328"/>
      <c r="G7" s="328"/>
      <c r="H7" s="270"/>
      <c r="I7" s="270"/>
      <c r="J7" s="270"/>
    </row>
    <row r="8">
      <c r="A8" s="272">
        <v>21412.0</v>
      </c>
      <c r="B8" s="204" t="s">
        <v>3779</v>
      </c>
      <c r="C8" s="302" t="s">
        <v>763</v>
      </c>
      <c r="D8" s="302" t="s">
        <v>14855</v>
      </c>
      <c r="E8" s="204" t="s">
        <v>14855</v>
      </c>
      <c r="F8" s="361"/>
      <c r="G8" s="361"/>
      <c r="H8" s="279" t="s">
        <v>14869</v>
      </c>
      <c r="I8" s="270"/>
      <c r="J8" s="271" t="s">
        <v>14870</v>
      </c>
    </row>
    <row r="9">
      <c r="A9" s="302">
        <v>21411.0</v>
      </c>
      <c r="B9" s="328"/>
      <c r="C9" s="302" t="s">
        <v>10081</v>
      </c>
      <c r="D9" s="302" t="s">
        <v>14855</v>
      </c>
      <c r="E9" s="204" t="s">
        <v>14855</v>
      </c>
      <c r="F9" s="270"/>
      <c r="G9" s="270"/>
      <c r="H9" s="203" t="s">
        <v>14871</v>
      </c>
      <c r="I9" s="328"/>
      <c r="J9" s="362"/>
    </row>
    <row r="10">
      <c r="A10" s="272">
        <v>20992.0</v>
      </c>
      <c r="B10" s="204" t="s">
        <v>12481</v>
      </c>
      <c r="C10" s="302" t="s">
        <v>14872</v>
      </c>
      <c r="D10" s="302" t="s">
        <v>14855</v>
      </c>
      <c r="E10" s="204" t="s">
        <v>14855</v>
      </c>
      <c r="F10" s="270"/>
      <c r="G10" s="270"/>
      <c r="H10" s="271" t="s">
        <v>14873</v>
      </c>
      <c r="I10" s="271" t="s">
        <v>14874</v>
      </c>
      <c r="J10" s="270"/>
    </row>
    <row r="11">
      <c r="A11" s="328"/>
      <c r="B11" s="204" t="s">
        <v>3779</v>
      </c>
      <c r="C11" s="302" t="s">
        <v>4148</v>
      </c>
      <c r="D11" s="302" t="s">
        <v>14855</v>
      </c>
      <c r="E11" s="204" t="s">
        <v>14855</v>
      </c>
      <c r="F11" s="270"/>
      <c r="G11" s="270"/>
      <c r="H11" s="203" t="s">
        <v>14859</v>
      </c>
      <c r="I11" s="270"/>
      <c r="J11" s="270"/>
    </row>
    <row r="12">
      <c r="A12" s="272">
        <v>19239.0</v>
      </c>
      <c r="B12" s="204" t="s">
        <v>3779</v>
      </c>
      <c r="C12" s="302" t="s">
        <v>773</v>
      </c>
      <c r="D12" s="302" t="s">
        <v>14855</v>
      </c>
      <c r="E12" s="204" t="s">
        <v>14855</v>
      </c>
      <c r="F12" s="270"/>
      <c r="G12" s="270"/>
      <c r="H12" s="271" t="s">
        <v>14875</v>
      </c>
      <c r="I12" s="271" t="s">
        <v>14876</v>
      </c>
      <c r="J12" s="270"/>
    </row>
    <row r="13">
      <c r="A13" s="269">
        <v>18028.0</v>
      </c>
      <c r="B13" s="328"/>
      <c r="C13" s="302" t="s">
        <v>14877</v>
      </c>
      <c r="D13" s="302" t="s">
        <v>14855</v>
      </c>
      <c r="E13" s="204" t="s">
        <v>14855</v>
      </c>
      <c r="F13" s="270"/>
      <c r="G13" s="270"/>
      <c r="H13" s="270"/>
      <c r="I13" s="271" t="s">
        <v>14878</v>
      </c>
      <c r="J13" s="270"/>
    </row>
    <row r="14">
      <c r="A14" s="272">
        <v>18022.0</v>
      </c>
      <c r="B14" s="204" t="s">
        <v>3779</v>
      </c>
      <c r="C14" s="302" t="s">
        <v>14879</v>
      </c>
      <c r="D14" s="302" t="s">
        <v>14855</v>
      </c>
      <c r="E14" s="204" t="s">
        <v>14855</v>
      </c>
      <c r="F14" s="328"/>
      <c r="G14" s="328"/>
      <c r="H14" s="203" t="s">
        <v>14880</v>
      </c>
      <c r="I14" s="270"/>
      <c r="J14" s="270"/>
    </row>
    <row r="15">
      <c r="A15" s="272">
        <v>18021.0</v>
      </c>
      <c r="B15" s="204" t="s">
        <v>13883</v>
      </c>
      <c r="C15" s="302" t="s">
        <v>10067</v>
      </c>
      <c r="D15" s="302" t="s">
        <v>14855</v>
      </c>
      <c r="E15" s="204" t="s">
        <v>14855</v>
      </c>
      <c r="F15" s="328"/>
      <c r="G15" s="328"/>
      <c r="H15" s="325" t="s">
        <v>14881</v>
      </c>
      <c r="I15" s="270"/>
      <c r="J15" s="270"/>
    </row>
    <row r="16">
      <c r="A16" s="269">
        <v>18018.0</v>
      </c>
      <c r="B16" s="204" t="s">
        <v>12481</v>
      </c>
      <c r="C16" s="302" t="s">
        <v>14217</v>
      </c>
      <c r="D16" s="302" t="s">
        <v>14855</v>
      </c>
      <c r="E16" s="204" t="s">
        <v>14855</v>
      </c>
      <c r="F16" s="328"/>
      <c r="G16" s="328"/>
      <c r="H16" s="271" t="s">
        <v>14882</v>
      </c>
      <c r="I16" s="270"/>
      <c r="J16" s="271" t="s">
        <v>14883</v>
      </c>
    </row>
    <row r="17">
      <c r="A17" s="272">
        <v>17827.0</v>
      </c>
      <c r="B17" s="204" t="s">
        <v>3779</v>
      </c>
      <c r="C17" s="302" t="s">
        <v>14884</v>
      </c>
      <c r="D17" s="302" t="s">
        <v>14855</v>
      </c>
      <c r="E17" s="204" t="s">
        <v>14855</v>
      </c>
      <c r="F17" s="270"/>
      <c r="G17" s="270"/>
      <c r="H17" s="271" t="s">
        <v>14885</v>
      </c>
      <c r="I17" s="271" t="s">
        <v>14886</v>
      </c>
      <c r="J17" s="270"/>
    </row>
    <row r="18">
      <c r="A18" s="204">
        <v>1092.0</v>
      </c>
      <c r="B18" s="204" t="s">
        <v>3779</v>
      </c>
      <c r="C18" s="302" t="s">
        <v>1088</v>
      </c>
      <c r="D18" s="302" t="s">
        <v>14855</v>
      </c>
      <c r="E18" s="204" t="s">
        <v>14855</v>
      </c>
      <c r="F18" s="328"/>
      <c r="G18" s="328"/>
      <c r="H18" s="203" t="s">
        <v>14887</v>
      </c>
      <c r="I18" s="270"/>
      <c r="J18" s="271" t="s">
        <v>14888</v>
      </c>
    </row>
    <row r="19">
      <c r="A19" s="269">
        <v>918.0</v>
      </c>
      <c r="B19" s="328"/>
      <c r="C19" s="302" t="s">
        <v>760</v>
      </c>
      <c r="D19" s="302" t="s">
        <v>14855</v>
      </c>
      <c r="E19" s="204" t="s">
        <v>14855</v>
      </c>
      <c r="F19" s="328"/>
      <c r="G19" s="328"/>
      <c r="H19" s="271" t="s">
        <v>14873</v>
      </c>
      <c r="I19" s="271" t="s">
        <v>14889</v>
      </c>
      <c r="J19" s="270"/>
    </row>
    <row r="20">
      <c r="A20" s="272">
        <v>906.0</v>
      </c>
      <c r="B20" s="328"/>
      <c r="C20" s="302" t="s">
        <v>3770</v>
      </c>
      <c r="D20" s="302" t="s">
        <v>14855</v>
      </c>
      <c r="E20" s="204" t="s">
        <v>14855</v>
      </c>
      <c r="F20" s="270"/>
      <c r="G20" s="270"/>
      <c r="H20" s="271" t="s">
        <v>14890</v>
      </c>
      <c r="I20" s="270"/>
      <c r="J20" s="270"/>
    </row>
    <row r="21">
      <c r="A21" s="269">
        <v>871.0</v>
      </c>
      <c r="B21" s="204" t="s">
        <v>3779</v>
      </c>
      <c r="C21" s="302" t="s">
        <v>14891</v>
      </c>
      <c r="D21" s="302" t="s">
        <v>14855</v>
      </c>
      <c r="E21" s="204" t="s">
        <v>14855</v>
      </c>
      <c r="F21" s="270"/>
      <c r="G21" s="270"/>
      <c r="H21" s="271" t="s">
        <v>14892</v>
      </c>
      <c r="I21" s="270"/>
      <c r="J21" s="270"/>
    </row>
    <row r="22">
      <c r="A22" s="269">
        <v>840.0</v>
      </c>
      <c r="B22" s="204" t="s">
        <v>12481</v>
      </c>
      <c r="C22" s="302" t="s">
        <v>11432</v>
      </c>
      <c r="D22" s="302" t="s">
        <v>14855</v>
      </c>
      <c r="E22" s="204" t="s">
        <v>14855</v>
      </c>
      <c r="F22" s="328"/>
      <c r="G22" s="328"/>
      <c r="H22" s="271" t="s">
        <v>14893</v>
      </c>
      <c r="I22" s="328"/>
      <c r="J22" s="270"/>
    </row>
    <row r="23">
      <c r="A23" s="269">
        <v>833.0</v>
      </c>
      <c r="B23" s="204" t="s">
        <v>3779</v>
      </c>
      <c r="C23" s="302" t="s">
        <v>3172</v>
      </c>
      <c r="D23" s="302" t="s">
        <v>14855</v>
      </c>
      <c r="E23" s="204" t="s">
        <v>14855</v>
      </c>
      <c r="F23" s="270"/>
      <c r="G23" s="270"/>
      <c r="H23" s="271" t="s">
        <v>14894</v>
      </c>
      <c r="I23" s="270"/>
      <c r="J23" s="271" t="s">
        <v>14895</v>
      </c>
    </row>
    <row r="24">
      <c r="A24" s="269">
        <v>809.0</v>
      </c>
      <c r="B24" s="204" t="s">
        <v>3779</v>
      </c>
      <c r="C24" s="302" t="s">
        <v>963</v>
      </c>
      <c r="D24" s="302" t="s">
        <v>14855</v>
      </c>
      <c r="E24" s="204" t="s">
        <v>14855</v>
      </c>
      <c r="F24" s="270"/>
      <c r="G24" s="270"/>
      <c r="H24" s="271" t="s">
        <v>14896</v>
      </c>
      <c r="I24" s="271" t="s">
        <v>14897</v>
      </c>
      <c r="J24" s="270"/>
    </row>
    <row r="25">
      <c r="A25" s="269">
        <v>788.0</v>
      </c>
      <c r="B25" s="204" t="s">
        <v>3779</v>
      </c>
      <c r="C25" s="302" t="s">
        <v>855</v>
      </c>
      <c r="D25" s="302" t="s">
        <v>14855</v>
      </c>
      <c r="E25" s="204" t="s">
        <v>14855</v>
      </c>
      <c r="F25" s="270"/>
      <c r="G25" s="270"/>
      <c r="H25" s="271" t="s">
        <v>14898</v>
      </c>
      <c r="I25" s="270"/>
      <c r="J25" s="271" t="s">
        <v>14899</v>
      </c>
    </row>
    <row r="26">
      <c r="A26" s="272">
        <v>19161.0</v>
      </c>
      <c r="B26" s="204" t="s">
        <v>173</v>
      </c>
      <c r="C26" s="302" t="s">
        <v>14900</v>
      </c>
      <c r="D26" s="302" t="s">
        <v>14855</v>
      </c>
      <c r="E26" s="302" t="s">
        <v>14901</v>
      </c>
      <c r="F26" s="270"/>
      <c r="G26" s="270"/>
      <c r="H26" s="270"/>
      <c r="I26" s="270"/>
      <c r="J26" s="271" t="s">
        <v>14902</v>
      </c>
    </row>
    <row r="27">
      <c r="A27" s="269">
        <v>18016.0</v>
      </c>
      <c r="B27" s="328"/>
      <c r="C27" s="302" t="s">
        <v>1234</v>
      </c>
      <c r="D27" s="302" t="s">
        <v>14855</v>
      </c>
      <c r="E27" s="204" t="s">
        <v>14903</v>
      </c>
      <c r="F27" s="270"/>
      <c r="G27" s="270"/>
      <c r="H27" s="270"/>
      <c r="I27" s="203" t="s">
        <v>14904</v>
      </c>
      <c r="J27" s="328"/>
    </row>
    <row r="28">
      <c r="A28" s="272">
        <v>997.0</v>
      </c>
      <c r="B28" s="204" t="s">
        <v>3779</v>
      </c>
      <c r="C28" s="302" t="s">
        <v>1975</v>
      </c>
      <c r="D28" s="302" t="s">
        <v>14855</v>
      </c>
      <c r="E28" s="204" t="s">
        <v>14903</v>
      </c>
      <c r="F28" s="270"/>
      <c r="G28" s="270"/>
      <c r="H28" s="271" t="s">
        <v>14905</v>
      </c>
      <c r="I28" s="271" t="s">
        <v>14906</v>
      </c>
      <c r="J28" s="270"/>
    </row>
    <row r="29">
      <c r="A29" s="269">
        <v>788.0</v>
      </c>
      <c r="B29" s="204" t="s">
        <v>687</v>
      </c>
      <c r="C29" s="204" t="s">
        <v>855</v>
      </c>
      <c r="D29" s="204" t="s">
        <v>14855</v>
      </c>
      <c r="E29" s="204" t="s">
        <v>14855</v>
      </c>
      <c r="F29" s="270"/>
      <c r="G29" s="270"/>
      <c r="H29" s="271" t="s">
        <v>14907</v>
      </c>
      <c r="I29" s="270"/>
      <c r="J29" s="270"/>
    </row>
    <row r="30">
      <c r="A30" s="204">
        <v>802.0</v>
      </c>
      <c r="B30" s="204" t="s">
        <v>687</v>
      </c>
      <c r="C30" s="204" t="s">
        <v>14908</v>
      </c>
      <c r="D30" s="204" t="s">
        <v>14855</v>
      </c>
      <c r="E30" s="204" t="s">
        <v>14855</v>
      </c>
      <c r="F30" s="270"/>
      <c r="G30" s="270"/>
      <c r="H30" s="271" t="s">
        <v>14909</v>
      </c>
      <c r="I30" s="270"/>
      <c r="J30" s="328"/>
    </row>
    <row r="31">
      <c r="A31" s="204">
        <v>806.0</v>
      </c>
      <c r="B31" s="204" t="s">
        <v>687</v>
      </c>
      <c r="C31" s="204" t="s">
        <v>14910</v>
      </c>
      <c r="D31" s="204" t="s">
        <v>6585</v>
      </c>
      <c r="E31" s="204" t="s">
        <v>11600</v>
      </c>
      <c r="F31" s="270"/>
      <c r="G31" s="270"/>
      <c r="H31" s="271" t="s">
        <v>14911</v>
      </c>
      <c r="I31" s="270"/>
      <c r="J31" s="270"/>
    </row>
    <row r="32">
      <c r="A32" s="204">
        <v>809.0</v>
      </c>
      <c r="B32" s="204" t="s">
        <v>687</v>
      </c>
      <c r="C32" s="204" t="s">
        <v>963</v>
      </c>
      <c r="D32" s="204" t="s">
        <v>14855</v>
      </c>
      <c r="E32" s="204" t="s">
        <v>14855</v>
      </c>
      <c r="F32" s="328"/>
      <c r="G32" s="328"/>
      <c r="H32" s="271" t="s">
        <v>14896</v>
      </c>
      <c r="I32" s="270"/>
      <c r="J32" s="270"/>
    </row>
    <row r="33">
      <c r="A33" s="204">
        <v>812.0</v>
      </c>
      <c r="B33" s="269" t="s">
        <v>687</v>
      </c>
      <c r="C33" s="204" t="s">
        <v>14912</v>
      </c>
      <c r="D33" s="204" t="s">
        <v>6585</v>
      </c>
      <c r="E33" s="204" t="s">
        <v>11600</v>
      </c>
      <c r="F33" s="270"/>
      <c r="G33" s="270"/>
      <c r="H33" s="271" t="s">
        <v>14913</v>
      </c>
      <c r="I33" s="270"/>
      <c r="J33" s="270"/>
    </row>
    <row r="34">
      <c r="A34" s="269">
        <v>815.0</v>
      </c>
      <c r="B34" s="204" t="s">
        <v>687</v>
      </c>
      <c r="C34" s="204" t="s">
        <v>14848</v>
      </c>
      <c r="D34" s="204" t="s">
        <v>6585</v>
      </c>
      <c r="E34" s="204" t="s">
        <v>11600</v>
      </c>
      <c r="F34" s="270"/>
      <c r="G34" s="270"/>
      <c r="H34" s="271" t="s">
        <v>14914</v>
      </c>
      <c r="I34" s="270"/>
      <c r="J34" s="270"/>
    </row>
    <row r="35">
      <c r="A35" s="204">
        <v>819.0</v>
      </c>
      <c r="B35" s="269" t="s">
        <v>687</v>
      </c>
      <c r="C35" s="204" t="s">
        <v>14915</v>
      </c>
      <c r="D35" s="204" t="s">
        <v>6585</v>
      </c>
      <c r="E35" s="204" t="s">
        <v>11600</v>
      </c>
      <c r="F35" s="270"/>
      <c r="G35" s="270"/>
      <c r="H35" s="270"/>
      <c r="I35" s="271" t="s">
        <v>14916</v>
      </c>
      <c r="J35" s="270"/>
    </row>
    <row r="36">
      <c r="A36" s="204">
        <v>820.0</v>
      </c>
      <c r="B36" s="269" t="s">
        <v>687</v>
      </c>
      <c r="C36" s="204" t="s">
        <v>14917</v>
      </c>
      <c r="D36" s="204" t="s">
        <v>6585</v>
      </c>
      <c r="E36" s="204" t="s">
        <v>11600</v>
      </c>
      <c r="F36" s="270"/>
      <c r="G36" s="270"/>
      <c r="H36" s="271" t="s">
        <v>14918</v>
      </c>
      <c r="I36" s="270"/>
      <c r="J36" s="270"/>
    </row>
    <row r="37">
      <c r="A37" s="269">
        <v>830.0</v>
      </c>
      <c r="B37" s="204" t="s">
        <v>687</v>
      </c>
      <c r="C37" s="204" t="s">
        <v>3209</v>
      </c>
      <c r="D37" s="204" t="s">
        <v>14855</v>
      </c>
      <c r="E37" s="204" t="s">
        <v>14855</v>
      </c>
      <c r="F37" s="270"/>
      <c r="G37" s="270"/>
      <c r="H37" s="271" t="s">
        <v>14864</v>
      </c>
      <c r="I37" s="270"/>
      <c r="J37" s="271" t="s">
        <v>14919</v>
      </c>
    </row>
    <row r="38">
      <c r="A38" s="204">
        <v>833.0</v>
      </c>
      <c r="B38" s="269" t="s">
        <v>687</v>
      </c>
      <c r="C38" s="204" t="s">
        <v>3172</v>
      </c>
      <c r="D38" s="204" t="s">
        <v>14855</v>
      </c>
      <c r="E38" s="204" t="s">
        <v>14855</v>
      </c>
      <c r="F38" s="270"/>
      <c r="G38" s="270"/>
      <c r="H38" s="203" t="s">
        <v>14894</v>
      </c>
      <c r="I38" s="270"/>
      <c r="J38" s="271" t="s">
        <v>14920</v>
      </c>
    </row>
    <row r="39">
      <c r="A39" s="269">
        <v>835.0</v>
      </c>
      <c r="B39" s="204" t="s">
        <v>687</v>
      </c>
      <c r="C39" s="204" t="s">
        <v>773</v>
      </c>
      <c r="D39" s="204" t="s">
        <v>6585</v>
      </c>
      <c r="E39" s="204" t="s">
        <v>11600</v>
      </c>
      <c r="F39" s="270"/>
      <c r="G39" s="270"/>
      <c r="H39" s="271" t="s">
        <v>14875</v>
      </c>
      <c r="I39" s="271" t="s">
        <v>14921</v>
      </c>
      <c r="J39" s="270"/>
    </row>
    <row r="40">
      <c r="A40" s="204">
        <v>840.0</v>
      </c>
      <c r="B40" s="269" t="s">
        <v>687</v>
      </c>
      <c r="C40" s="204" t="s">
        <v>11432</v>
      </c>
      <c r="D40" s="204" t="s">
        <v>14855</v>
      </c>
      <c r="E40" s="204" t="s">
        <v>14855</v>
      </c>
      <c r="F40" s="270"/>
      <c r="G40" s="270"/>
      <c r="H40" s="203" t="s">
        <v>14922</v>
      </c>
      <c r="I40" s="270"/>
      <c r="J40" s="270"/>
    </row>
    <row r="41">
      <c r="A41" s="269">
        <v>846.0</v>
      </c>
      <c r="B41" s="204" t="s">
        <v>687</v>
      </c>
      <c r="C41" s="204" t="s">
        <v>14923</v>
      </c>
      <c r="D41" s="204" t="s">
        <v>14855</v>
      </c>
      <c r="E41" s="204" t="s">
        <v>14855</v>
      </c>
      <c r="F41" s="328"/>
      <c r="G41" s="328"/>
      <c r="H41" s="271" t="s">
        <v>14924</v>
      </c>
      <c r="I41" s="270"/>
      <c r="J41" s="270"/>
    </row>
    <row r="42">
      <c r="A42" s="269">
        <v>851.0</v>
      </c>
      <c r="B42" s="204" t="s">
        <v>687</v>
      </c>
      <c r="C42" s="204" t="s">
        <v>3612</v>
      </c>
      <c r="D42" s="204" t="s">
        <v>6585</v>
      </c>
      <c r="E42" s="204" t="s">
        <v>11600</v>
      </c>
      <c r="F42" s="270"/>
      <c r="G42" s="270"/>
      <c r="H42" s="271" t="s">
        <v>14925</v>
      </c>
      <c r="I42" s="270"/>
      <c r="J42" s="270"/>
    </row>
    <row r="43">
      <c r="A43" s="269">
        <v>855.0</v>
      </c>
      <c r="B43" s="204" t="s">
        <v>687</v>
      </c>
      <c r="C43" s="204" t="s">
        <v>4724</v>
      </c>
      <c r="D43" s="204" t="s">
        <v>6585</v>
      </c>
      <c r="E43" s="204" t="s">
        <v>11600</v>
      </c>
      <c r="F43" s="270"/>
      <c r="G43" s="270"/>
      <c r="H43" s="271" t="s">
        <v>14926</v>
      </c>
      <c r="I43" s="270"/>
      <c r="J43" s="270"/>
    </row>
    <row r="44">
      <c r="A44" s="269">
        <v>857.0</v>
      </c>
      <c r="B44" s="204" t="s">
        <v>687</v>
      </c>
      <c r="C44" s="204" t="s">
        <v>4079</v>
      </c>
      <c r="D44" s="204" t="s">
        <v>6585</v>
      </c>
      <c r="E44" s="204" t="s">
        <v>11600</v>
      </c>
      <c r="F44" s="270"/>
      <c r="G44" s="270"/>
      <c r="H44" s="271" t="s">
        <v>14927</v>
      </c>
      <c r="I44" s="270"/>
      <c r="J44" s="270"/>
    </row>
    <row r="45">
      <c r="A45" s="269">
        <v>861.0</v>
      </c>
      <c r="B45" s="204" t="s">
        <v>687</v>
      </c>
      <c r="C45" s="204" t="s">
        <v>4025</v>
      </c>
      <c r="D45" s="204" t="s">
        <v>6585</v>
      </c>
      <c r="E45" s="204" t="s">
        <v>11600</v>
      </c>
      <c r="F45" s="270"/>
      <c r="G45" s="270"/>
      <c r="H45" s="271" t="s">
        <v>14928</v>
      </c>
      <c r="I45" s="270"/>
      <c r="J45" s="270"/>
    </row>
    <row r="46">
      <c r="A46" s="269">
        <v>871.0</v>
      </c>
      <c r="B46" s="204" t="s">
        <v>687</v>
      </c>
      <c r="C46" s="204" t="s">
        <v>14929</v>
      </c>
      <c r="D46" s="204" t="s">
        <v>14855</v>
      </c>
      <c r="E46" s="204" t="s">
        <v>14855</v>
      </c>
      <c r="F46" s="270"/>
      <c r="G46" s="270"/>
      <c r="H46" s="271" t="s">
        <v>14930</v>
      </c>
      <c r="I46" s="271" t="s">
        <v>14931</v>
      </c>
      <c r="J46" s="271" t="s">
        <v>14932</v>
      </c>
    </row>
    <row r="47">
      <c r="A47" s="269">
        <v>873.0</v>
      </c>
      <c r="B47" s="204" t="s">
        <v>687</v>
      </c>
      <c r="C47" s="204" t="s">
        <v>707</v>
      </c>
      <c r="D47" s="204" t="s">
        <v>14855</v>
      </c>
      <c r="E47" s="204" t="s">
        <v>14855</v>
      </c>
      <c r="F47" s="270"/>
      <c r="G47" s="270"/>
      <c r="H47" s="271" t="s">
        <v>14933</v>
      </c>
      <c r="I47" s="270"/>
      <c r="J47" s="271" t="s">
        <v>14934</v>
      </c>
    </row>
    <row r="48">
      <c r="A48" s="269">
        <v>881.0</v>
      </c>
      <c r="B48" s="204" t="s">
        <v>687</v>
      </c>
      <c r="C48" s="204" t="s">
        <v>14935</v>
      </c>
      <c r="D48" s="204" t="s">
        <v>14855</v>
      </c>
      <c r="E48" s="204" t="s">
        <v>14855</v>
      </c>
      <c r="F48" s="270"/>
      <c r="G48" s="270"/>
      <c r="H48" s="271" t="s">
        <v>14936</v>
      </c>
      <c r="I48" s="270"/>
      <c r="J48" s="270"/>
    </row>
    <row r="49">
      <c r="A49" s="269">
        <v>893.0</v>
      </c>
      <c r="B49" s="204" t="s">
        <v>687</v>
      </c>
      <c r="C49" s="204" t="s">
        <v>14937</v>
      </c>
      <c r="D49" s="204" t="s">
        <v>14855</v>
      </c>
      <c r="E49" s="204" t="s">
        <v>14855</v>
      </c>
      <c r="F49" s="270"/>
      <c r="G49" s="270"/>
      <c r="H49" s="271" t="s">
        <v>14938</v>
      </c>
      <c r="I49" s="328"/>
      <c r="J49" s="328"/>
    </row>
    <row r="50">
      <c r="A50" s="204">
        <v>899.0</v>
      </c>
      <c r="B50" s="269" t="s">
        <v>687</v>
      </c>
      <c r="C50" s="204" t="s">
        <v>8159</v>
      </c>
      <c r="D50" s="204" t="s">
        <v>14855</v>
      </c>
      <c r="E50" s="204" t="s">
        <v>14855</v>
      </c>
      <c r="F50" s="270"/>
      <c r="G50" s="270"/>
      <c r="H50" s="271" t="s">
        <v>14939</v>
      </c>
      <c r="I50" s="270"/>
      <c r="J50" s="270"/>
    </row>
    <row r="51">
      <c r="A51" s="204">
        <v>901.0</v>
      </c>
      <c r="B51" s="269" t="s">
        <v>687</v>
      </c>
      <c r="C51" s="204" t="s">
        <v>3658</v>
      </c>
      <c r="D51" s="204" t="s">
        <v>14855</v>
      </c>
      <c r="E51" s="204" t="s">
        <v>14855</v>
      </c>
      <c r="F51" s="270"/>
      <c r="G51" s="270"/>
      <c r="H51" s="271" t="s">
        <v>14940</v>
      </c>
      <c r="I51" s="270"/>
      <c r="J51" s="270"/>
    </row>
    <row r="52">
      <c r="A52" s="204">
        <v>905.0</v>
      </c>
      <c r="B52" s="269" t="s">
        <v>687</v>
      </c>
      <c r="C52" s="204" t="s">
        <v>1975</v>
      </c>
      <c r="D52" s="204" t="s">
        <v>14855</v>
      </c>
      <c r="E52" s="204" t="s">
        <v>14855</v>
      </c>
      <c r="F52" s="270"/>
      <c r="G52" s="270"/>
      <c r="H52" s="271" t="s">
        <v>14941</v>
      </c>
      <c r="I52" s="328"/>
      <c r="J52" s="270"/>
    </row>
    <row r="53">
      <c r="A53" s="269">
        <v>906.0</v>
      </c>
      <c r="B53" s="204" t="s">
        <v>687</v>
      </c>
      <c r="C53" s="204" t="s">
        <v>8507</v>
      </c>
      <c r="D53" s="204" t="s">
        <v>14855</v>
      </c>
      <c r="E53" s="204" t="s">
        <v>14855</v>
      </c>
      <c r="F53" s="270"/>
      <c r="G53" s="270"/>
      <c r="H53" s="271" t="s">
        <v>14890</v>
      </c>
      <c r="I53" s="270"/>
      <c r="J53" s="270"/>
    </row>
    <row r="54">
      <c r="A54" s="269">
        <v>909.0</v>
      </c>
      <c r="B54" s="269" t="s">
        <v>687</v>
      </c>
      <c r="C54" s="204" t="s">
        <v>14942</v>
      </c>
      <c r="D54" s="204" t="s">
        <v>14855</v>
      </c>
      <c r="E54" s="204" t="s">
        <v>14855</v>
      </c>
      <c r="F54" s="328"/>
      <c r="G54" s="328"/>
      <c r="H54" s="271" t="s">
        <v>14943</v>
      </c>
      <c r="I54" s="271" t="s">
        <v>14944</v>
      </c>
      <c r="J54" s="270"/>
      <c r="L54" s="258"/>
    </row>
    <row r="55">
      <c r="A55" s="204">
        <v>955.0</v>
      </c>
      <c r="B55" s="269" t="s">
        <v>687</v>
      </c>
      <c r="C55" s="204" t="s">
        <v>14945</v>
      </c>
      <c r="D55" s="204" t="s">
        <v>14901</v>
      </c>
      <c r="E55" s="204" t="s">
        <v>14901</v>
      </c>
      <c r="F55" s="270"/>
      <c r="G55" s="270"/>
      <c r="H55" s="271" t="s">
        <v>14946</v>
      </c>
      <c r="I55" s="359" t="s">
        <v>14947</v>
      </c>
      <c r="J55" s="270"/>
    </row>
    <row r="56">
      <c r="A56" s="204">
        <v>959.0</v>
      </c>
      <c r="B56" s="269" t="s">
        <v>687</v>
      </c>
      <c r="C56" s="204" t="s">
        <v>4139</v>
      </c>
      <c r="D56" s="204" t="s">
        <v>14901</v>
      </c>
      <c r="E56" s="204" t="s">
        <v>14901</v>
      </c>
      <c r="F56" s="270"/>
      <c r="G56" s="270"/>
      <c r="H56" s="271" t="s">
        <v>14948</v>
      </c>
      <c r="I56" s="359" t="s">
        <v>14949</v>
      </c>
      <c r="J56" s="270"/>
    </row>
    <row r="57">
      <c r="A57" s="269">
        <v>976.0</v>
      </c>
      <c r="B57" s="204" t="s">
        <v>687</v>
      </c>
      <c r="C57" s="204" t="s">
        <v>14950</v>
      </c>
      <c r="D57" s="204" t="s">
        <v>14951</v>
      </c>
      <c r="E57" s="204" t="s">
        <v>14951</v>
      </c>
      <c r="F57" s="270"/>
      <c r="G57" s="270"/>
      <c r="H57" s="271" t="s">
        <v>14952</v>
      </c>
      <c r="I57" s="270"/>
      <c r="J57" s="270"/>
    </row>
    <row r="58">
      <c r="A58" s="204">
        <v>982.0</v>
      </c>
      <c r="B58" s="269" t="s">
        <v>687</v>
      </c>
      <c r="C58" s="204" t="s">
        <v>10848</v>
      </c>
      <c r="D58" s="204" t="s">
        <v>14903</v>
      </c>
      <c r="E58" s="204" t="s">
        <v>14903</v>
      </c>
      <c r="F58" s="270"/>
      <c r="G58" s="270"/>
      <c r="H58" s="271" t="s">
        <v>14953</v>
      </c>
      <c r="I58" s="270"/>
      <c r="J58" s="270"/>
    </row>
    <row r="59">
      <c r="A59" s="204">
        <v>987.0</v>
      </c>
      <c r="B59" s="204" t="s">
        <v>687</v>
      </c>
      <c r="C59" s="204" t="s">
        <v>14954</v>
      </c>
      <c r="D59" s="204" t="s">
        <v>14903</v>
      </c>
      <c r="E59" s="204" t="s">
        <v>14903</v>
      </c>
      <c r="F59" s="270"/>
      <c r="G59" s="270"/>
      <c r="H59" s="271" t="s">
        <v>14955</v>
      </c>
      <c r="I59" s="270"/>
      <c r="J59" s="270"/>
    </row>
    <row r="60">
      <c r="A60" s="269">
        <v>993.0</v>
      </c>
      <c r="B60" s="204" t="s">
        <v>687</v>
      </c>
      <c r="C60" s="204" t="s">
        <v>10237</v>
      </c>
      <c r="D60" s="204" t="s">
        <v>14903</v>
      </c>
      <c r="E60" s="204" t="s">
        <v>14903</v>
      </c>
      <c r="F60" s="270"/>
      <c r="G60" s="270"/>
      <c r="H60" s="271" t="s">
        <v>14956</v>
      </c>
      <c r="I60" s="270"/>
      <c r="J60" s="270"/>
    </row>
    <row r="61">
      <c r="A61" s="269">
        <v>997.0</v>
      </c>
      <c r="B61" s="269" t="s">
        <v>687</v>
      </c>
      <c r="C61" s="269" t="s">
        <v>1975</v>
      </c>
      <c r="D61" s="269" t="s">
        <v>14903</v>
      </c>
      <c r="E61" s="269" t="s">
        <v>14903</v>
      </c>
      <c r="F61" s="270"/>
      <c r="G61" s="270"/>
      <c r="H61" s="271" t="s">
        <v>14905</v>
      </c>
      <c r="I61" s="271" t="s">
        <v>14957</v>
      </c>
      <c r="J61" s="270"/>
    </row>
    <row r="62">
      <c r="A62" s="269">
        <v>1001.0</v>
      </c>
      <c r="B62" s="269" t="s">
        <v>687</v>
      </c>
      <c r="C62" s="269" t="s">
        <v>3209</v>
      </c>
      <c r="D62" s="269" t="s">
        <v>6634</v>
      </c>
      <c r="E62" s="269" t="s">
        <v>6634</v>
      </c>
      <c r="F62" s="270"/>
      <c r="G62" s="270"/>
      <c r="H62" s="271" t="s">
        <v>11456</v>
      </c>
      <c r="I62" s="271" t="s">
        <v>14957</v>
      </c>
      <c r="J62" s="270"/>
    </row>
    <row r="63">
      <c r="A63" s="269">
        <v>1016.0</v>
      </c>
      <c r="B63" s="269" t="s">
        <v>687</v>
      </c>
      <c r="C63" s="269" t="s">
        <v>14958</v>
      </c>
      <c r="D63" s="269" t="s">
        <v>6585</v>
      </c>
      <c r="E63" s="269" t="s">
        <v>11600</v>
      </c>
      <c r="F63" s="270"/>
      <c r="G63" s="270"/>
      <c r="H63" s="271" t="s">
        <v>14959</v>
      </c>
      <c r="I63" s="270"/>
      <c r="J63" s="270"/>
    </row>
    <row r="64">
      <c r="A64" s="269">
        <v>1027.0</v>
      </c>
      <c r="B64" s="269" t="s">
        <v>687</v>
      </c>
      <c r="C64" s="269" t="s">
        <v>4724</v>
      </c>
      <c r="D64" s="269" t="s">
        <v>14960</v>
      </c>
      <c r="E64" s="269" t="s">
        <v>14960</v>
      </c>
      <c r="F64" s="270"/>
      <c r="G64" s="270"/>
      <c r="H64" s="271" t="s">
        <v>14961</v>
      </c>
      <c r="I64" s="271" t="s">
        <v>14962</v>
      </c>
      <c r="J64" s="270"/>
    </row>
    <row r="65">
      <c r="A65" s="269">
        <v>1038.0</v>
      </c>
      <c r="B65" s="269" t="s">
        <v>687</v>
      </c>
      <c r="C65" s="269" t="s">
        <v>14963</v>
      </c>
      <c r="D65" s="269" t="s">
        <v>14951</v>
      </c>
      <c r="E65" s="269" t="s">
        <v>14951</v>
      </c>
      <c r="F65" s="270"/>
      <c r="G65" s="270"/>
      <c r="H65" s="271" t="s">
        <v>14964</v>
      </c>
      <c r="I65" s="271" t="s">
        <v>14965</v>
      </c>
      <c r="J65" s="270"/>
    </row>
    <row r="66">
      <c r="A66" s="269">
        <v>1041.0</v>
      </c>
      <c r="B66" s="269" t="s">
        <v>687</v>
      </c>
      <c r="C66" s="269" t="s">
        <v>14966</v>
      </c>
      <c r="D66" s="269" t="s">
        <v>14855</v>
      </c>
      <c r="E66" s="269" t="s">
        <v>14855</v>
      </c>
      <c r="F66" s="270"/>
      <c r="G66" s="270"/>
      <c r="H66" s="271" t="s">
        <v>14967</v>
      </c>
      <c r="I66" s="271" t="s">
        <v>14968</v>
      </c>
      <c r="J66" s="271" t="s">
        <v>14969</v>
      </c>
    </row>
    <row r="67">
      <c r="A67" s="269">
        <v>1042.0</v>
      </c>
      <c r="B67" s="269" t="s">
        <v>687</v>
      </c>
      <c r="C67" s="269" t="s">
        <v>14970</v>
      </c>
      <c r="D67" s="269" t="s">
        <v>14855</v>
      </c>
      <c r="E67" s="269" t="s">
        <v>14855</v>
      </c>
      <c r="F67" s="270"/>
      <c r="G67" s="270"/>
      <c r="H67" s="271" t="s">
        <v>14971</v>
      </c>
      <c r="I67" s="270"/>
      <c r="J67" s="270"/>
    </row>
    <row r="68">
      <c r="A68" s="269">
        <v>1047.0</v>
      </c>
      <c r="B68" s="269" t="s">
        <v>687</v>
      </c>
      <c r="C68" s="269" t="s">
        <v>8644</v>
      </c>
      <c r="D68" s="269" t="s">
        <v>14855</v>
      </c>
      <c r="E68" s="269" t="s">
        <v>14855</v>
      </c>
      <c r="F68" s="270"/>
      <c r="G68" s="270"/>
      <c r="H68" s="271" t="s">
        <v>14972</v>
      </c>
      <c r="I68" s="270"/>
      <c r="J68" s="270"/>
    </row>
    <row r="69">
      <c r="A69" s="269">
        <v>1055.0</v>
      </c>
      <c r="B69" s="269" t="s">
        <v>687</v>
      </c>
      <c r="C69" s="269" t="s">
        <v>14973</v>
      </c>
      <c r="D69" s="269" t="s">
        <v>14855</v>
      </c>
      <c r="E69" s="269" t="s">
        <v>14855</v>
      </c>
      <c r="F69" s="270"/>
      <c r="G69" s="270"/>
      <c r="H69" s="271" t="s">
        <v>14974</v>
      </c>
      <c r="I69" s="271" t="s">
        <v>14975</v>
      </c>
      <c r="J69" s="270"/>
    </row>
    <row r="70">
      <c r="A70" s="269">
        <v>1062.0</v>
      </c>
      <c r="B70" s="269" t="s">
        <v>687</v>
      </c>
      <c r="C70" s="269" t="s">
        <v>14976</v>
      </c>
      <c r="D70" s="269" t="s">
        <v>14855</v>
      </c>
      <c r="E70" s="269" t="s">
        <v>14855</v>
      </c>
      <c r="F70" s="270"/>
      <c r="G70" s="270"/>
      <c r="H70" s="271" t="s">
        <v>14977</v>
      </c>
      <c r="I70" s="271" t="s">
        <v>14978</v>
      </c>
      <c r="J70" s="270"/>
    </row>
    <row r="71">
      <c r="A71" s="269">
        <v>1070.0</v>
      </c>
      <c r="B71" s="269" t="s">
        <v>687</v>
      </c>
      <c r="C71" s="269" t="s">
        <v>4724</v>
      </c>
      <c r="D71" s="269" t="s">
        <v>14901</v>
      </c>
      <c r="E71" s="269" t="s">
        <v>14979</v>
      </c>
      <c r="F71" s="270"/>
      <c r="G71" s="270"/>
      <c r="H71" s="271" t="s">
        <v>14980</v>
      </c>
      <c r="I71" s="359" t="s">
        <v>14981</v>
      </c>
      <c r="J71" s="270"/>
    </row>
    <row r="72">
      <c r="A72" s="269">
        <v>1077.0</v>
      </c>
      <c r="B72" s="269" t="s">
        <v>687</v>
      </c>
      <c r="C72" s="269" t="s">
        <v>14982</v>
      </c>
      <c r="D72" s="269" t="s">
        <v>14855</v>
      </c>
      <c r="E72" s="269" t="s">
        <v>14855</v>
      </c>
      <c r="F72" s="270"/>
      <c r="G72" s="270"/>
      <c r="H72" s="271" t="s">
        <v>14983</v>
      </c>
      <c r="I72" s="270"/>
      <c r="J72" s="270"/>
    </row>
    <row r="73">
      <c r="A73" s="269">
        <v>1086.0</v>
      </c>
      <c r="B73" s="269" t="s">
        <v>687</v>
      </c>
      <c r="C73" s="269" t="s">
        <v>2267</v>
      </c>
      <c r="D73" s="269" t="s">
        <v>14855</v>
      </c>
      <c r="E73" s="269" t="s">
        <v>14855</v>
      </c>
      <c r="F73" s="270"/>
      <c r="G73" s="270"/>
      <c r="H73" s="271" t="s">
        <v>14984</v>
      </c>
      <c r="I73" s="270"/>
      <c r="J73" s="270"/>
    </row>
    <row r="74">
      <c r="A74" s="269">
        <v>1087.0</v>
      </c>
      <c r="B74" s="269" t="s">
        <v>687</v>
      </c>
      <c r="C74" s="269" t="s">
        <v>4222</v>
      </c>
      <c r="D74" s="269" t="s">
        <v>14855</v>
      </c>
      <c r="E74" s="269" t="s">
        <v>14855</v>
      </c>
      <c r="F74" s="270"/>
      <c r="G74" s="270"/>
      <c r="H74" s="271" t="s">
        <v>14985</v>
      </c>
      <c r="I74" s="270"/>
      <c r="J74" s="270"/>
    </row>
    <row r="75">
      <c r="A75" s="269">
        <v>1092.0</v>
      </c>
      <c r="B75" s="269" t="s">
        <v>687</v>
      </c>
      <c r="C75" s="269" t="s">
        <v>1088</v>
      </c>
      <c r="D75" s="269" t="s">
        <v>14855</v>
      </c>
      <c r="E75" s="269" t="s">
        <v>14855</v>
      </c>
      <c r="F75" s="270"/>
      <c r="G75" s="270"/>
      <c r="H75" s="271" t="s">
        <v>14887</v>
      </c>
      <c r="I75" s="270"/>
      <c r="J75" s="270"/>
    </row>
    <row r="76">
      <c r="A76" s="269">
        <v>1094.0</v>
      </c>
      <c r="B76" s="269" t="s">
        <v>687</v>
      </c>
      <c r="C76" s="269" t="s">
        <v>14986</v>
      </c>
      <c r="D76" s="269" t="s">
        <v>14901</v>
      </c>
      <c r="E76" s="269" t="s">
        <v>14901</v>
      </c>
      <c r="F76" s="270"/>
      <c r="G76" s="270"/>
      <c r="H76" s="271" t="s">
        <v>14987</v>
      </c>
      <c r="I76" s="270"/>
      <c r="J76" s="270"/>
    </row>
    <row r="77">
      <c r="A77" s="269">
        <v>1109.0</v>
      </c>
      <c r="B77" s="269" t="s">
        <v>687</v>
      </c>
      <c r="C77" s="269" t="s">
        <v>14988</v>
      </c>
      <c r="D77" s="269" t="s">
        <v>14855</v>
      </c>
      <c r="E77" s="269" t="s">
        <v>14855</v>
      </c>
      <c r="F77" s="270"/>
      <c r="G77" s="270"/>
      <c r="H77" s="271" t="s">
        <v>14989</v>
      </c>
      <c r="I77" s="270"/>
      <c r="J77" s="270"/>
    </row>
    <row r="78">
      <c r="A78" s="269">
        <v>17678.0</v>
      </c>
      <c r="B78" s="269" t="s">
        <v>687</v>
      </c>
      <c r="C78" s="269" t="s">
        <v>14990</v>
      </c>
      <c r="D78" s="269" t="s">
        <v>14991</v>
      </c>
      <c r="E78" s="269" t="s">
        <v>14992</v>
      </c>
      <c r="F78" s="270"/>
      <c r="G78" s="270"/>
      <c r="H78" s="271" t="s">
        <v>14993</v>
      </c>
      <c r="I78" s="270"/>
      <c r="J78" s="270"/>
    </row>
    <row r="79">
      <c r="A79" s="269">
        <v>17682.0</v>
      </c>
      <c r="B79" s="269" t="s">
        <v>687</v>
      </c>
      <c r="C79" s="269" t="s">
        <v>14994</v>
      </c>
      <c r="D79" s="269" t="s">
        <v>14903</v>
      </c>
      <c r="E79" s="269" t="s">
        <v>14903</v>
      </c>
      <c r="F79" s="270"/>
      <c r="G79" s="270"/>
      <c r="H79" s="271" t="s">
        <v>14995</v>
      </c>
      <c r="I79" s="270"/>
      <c r="J79" s="270"/>
    </row>
    <row r="80">
      <c r="A80" s="269">
        <v>18018.0</v>
      </c>
      <c r="B80" s="269" t="s">
        <v>687</v>
      </c>
      <c r="C80" s="269" t="s">
        <v>14217</v>
      </c>
      <c r="D80" s="269" t="s">
        <v>14855</v>
      </c>
      <c r="E80" s="269" t="s">
        <v>14855</v>
      </c>
      <c r="F80" s="270"/>
      <c r="G80" s="270"/>
      <c r="H80" s="271" t="s">
        <v>14996</v>
      </c>
      <c r="I80" s="270"/>
      <c r="J80" s="270"/>
    </row>
    <row r="81">
      <c r="A81" s="269">
        <v>18022.0</v>
      </c>
      <c r="B81" s="269" t="s">
        <v>687</v>
      </c>
      <c r="C81" s="269" t="s">
        <v>14879</v>
      </c>
      <c r="D81" s="269" t="s">
        <v>14855</v>
      </c>
      <c r="E81" s="269" t="s">
        <v>14855</v>
      </c>
      <c r="F81" s="270"/>
      <c r="G81" s="270"/>
      <c r="H81" s="271" t="s">
        <v>14880</v>
      </c>
      <c r="I81" s="270"/>
      <c r="J81" s="270"/>
    </row>
    <row r="82">
      <c r="A82" s="269">
        <v>18026.0</v>
      </c>
      <c r="B82" s="269" t="s">
        <v>687</v>
      </c>
      <c r="C82" s="269" t="s">
        <v>1420</v>
      </c>
      <c r="D82" s="269" t="s">
        <v>14855</v>
      </c>
      <c r="E82" s="269" t="s">
        <v>14855</v>
      </c>
      <c r="F82" s="270"/>
      <c r="G82" s="270"/>
      <c r="H82" s="271" t="s">
        <v>14997</v>
      </c>
      <c r="I82" s="270"/>
      <c r="J82" s="270"/>
    </row>
    <row r="83">
      <c r="A83" s="269">
        <v>19326.0</v>
      </c>
      <c r="B83" s="269" t="s">
        <v>687</v>
      </c>
      <c r="C83" s="269" t="s">
        <v>14998</v>
      </c>
      <c r="D83" s="269" t="s">
        <v>14855</v>
      </c>
      <c r="E83" s="269" t="s">
        <v>14855</v>
      </c>
      <c r="F83" s="270"/>
      <c r="G83" s="270"/>
      <c r="H83" s="271" t="s">
        <v>14999</v>
      </c>
      <c r="I83" s="270"/>
      <c r="J83" s="270"/>
    </row>
    <row r="84">
      <c r="A84" s="269">
        <v>19598.0</v>
      </c>
      <c r="B84" s="269" t="s">
        <v>687</v>
      </c>
      <c r="C84" s="269" t="s">
        <v>4148</v>
      </c>
      <c r="D84" s="269" t="s">
        <v>14855</v>
      </c>
      <c r="E84" s="269" t="s">
        <v>14855</v>
      </c>
      <c r="F84" s="270"/>
      <c r="G84" s="270"/>
      <c r="H84" s="271" t="s">
        <v>15000</v>
      </c>
      <c r="I84" s="270"/>
      <c r="J84" s="270"/>
    </row>
    <row r="85">
      <c r="A85" s="269">
        <v>20491.0</v>
      </c>
      <c r="B85" s="269" t="s">
        <v>687</v>
      </c>
      <c r="C85" s="269" t="s">
        <v>8289</v>
      </c>
      <c r="D85" s="269" t="s">
        <v>14855</v>
      </c>
      <c r="E85" s="269" t="s">
        <v>14855</v>
      </c>
      <c r="F85" s="270"/>
      <c r="G85" s="270"/>
      <c r="H85" s="271" t="s">
        <v>15001</v>
      </c>
      <c r="I85" s="270"/>
      <c r="J85" s="270"/>
    </row>
    <row r="86">
      <c r="A86" s="269">
        <v>21181.0</v>
      </c>
      <c r="B86" s="269" t="s">
        <v>687</v>
      </c>
      <c r="C86" s="269" t="s">
        <v>15002</v>
      </c>
      <c r="D86" s="269" t="s">
        <v>14855</v>
      </c>
      <c r="E86" s="269" t="s">
        <v>14855</v>
      </c>
      <c r="F86" s="270"/>
      <c r="G86" s="270"/>
      <c r="H86" s="271" t="s">
        <v>15003</v>
      </c>
      <c r="I86" s="270"/>
      <c r="J86" s="270"/>
    </row>
    <row r="87">
      <c r="A87" s="269">
        <v>21182.0</v>
      </c>
      <c r="B87" s="269" t="s">
        <v>687</v>
      </c>
      <c r="C87" s="269" t="s">
        <v>15004</v>
      </c>
      <c r="D87" s="269" t="s">
        <v>14855</v>
      </c>
      <c r="E87" s="269" t="s">
        <v>14855</v>
      </c>
      <c r="F87" s="270"/>
      <c r="G87" s="270"/>
      <c r="H87" s="271" t="s">
        <v>15005</v>
      </c>
      <c r="I87" s="270"/>
      <c r="J87" s="270"/>
    </row>
    <row r="88">
      <c r="A88" s="269">
        <v>21183.0</v>
      </c>
      <c r="B88" s="269" t="s">
        <v>687</v>
      </c>
      <c r="C88" s="269" t="s">
        <v>12224</v>
      </c>
      <c r="D88" s="269" t="s">
        <v>14855</v>
      </c>
      <c r="E88" s="269" t="s">
        <v>14855</v>
      </c>
      <c r="F88" s="270"/>
      <c r="G88" s="270"/>
      <c r="H88" s="271" t="s">
        <v>15006</v>
      </c>
      <c r="I88" s="270"/>
      <c r="J88" s="270"/>
    </row>
    <row r="89">
      <c r="A89" s="269">
        <v>21203.0</v>
      </c>
      <c r="B89" s="269" t="s">
        <v>687</v>
      </c>
      <c r="C89" s="269" t="s">
        <v>1439</v>
      </c>
      <c r="D89" s="269" t="s">
        <v>14855</v>
      </c>
      <c r="E89" s="269" t="s">
        <v>14855</v>
      </c>
      <c r="F89" s="270"/>
      <c r="G89" s="270"/>
      <c r="H89" s="271" t="s">
        <v>15007</v>
      </c>
      <c r="I89" s="270"/>
      <c r="J89" s="270"/>
    </row>
    <row r="90">
      <c r="A90" s="269">
        <v>21212.0</v>
      </c>
      <c r="B90" s="269" t="s">
        <v>687</v>
      </c>
      <c r="C90" s="269" t="s">
        <v>15008</v>
      </c>
      <c r="D90" s="269" t="s">
        <v>15009</v>
      </c>
      <c r="E90" s="269" t="s">
        <v>15009</v>
      </c>
      <c r="F90" s="270"/>
      <c r="G90" s="270"/>
      <c r="H90" s="271" t="s">
        <v>15010</v>
      </c>
      <c r="I90" s="270"/>
      <c r="J90" s="270"/>
    </row>
    <row r="91">
      <c r="A91" s="269">
        <v>21213.0</v>
      </c>
      <c r="B91" s="269" t="s">
        <v>687</v>
      </c>
      <c r="C91" s="269" t="s">
        <v>4079</v>
      </c>
      <c r="D91" s="269" t="s">
        <v>14991</v>
      </c>
      <c r="E91" s="269" t="s">
        <v>14991</v>
      </c>
      <c r="F91" s="270"/>
      <c r="G91" s="270"/>
      <c r="H91" s="271" t="s">
        <v>15011</v>
      </c>
      <c r="I91" s="270"/>
      <c r="J91" s="270"/>
    </row>
    <row r="92">
      <c r="A92" s="269">
        <v>21215.0</v>
      </c>
      <c r="B92" s="269" t="s">
        <v>687</v>
      </c>
      <c r="C92" s="269" t="s">
        <v>15012</v>
      </c>
      <c r="D92" s="269" t="s">
        <v>14991</v>
      </c>
      <c r="E92" s="269" t="s">
        <v>14991</v>
      </c>
      <c r="F92" s="270"/>
      <c r="G92" s="270"/>
      <c r="H92" s="271" t="s">
        <v>15013</v>
      </c>
      <c r="I92" s="270"/>
      <c r="J92" s="270"/>
    </row>
    <row r="93">
      <c r="A93" s="269">
        <v>21234.0</v>
      </c>
      <c r="B93" s="269" t="s">
        <v>687</v>
      </c>
      <c r="C93" s="269" t="s">
        <v>4304</v>
      </c>
      <c r="D93" s="269" t="s">
        <v>14991</v>
      </c>
      <c r="E93" s="269" t="s">
        <v>14991</v>
      </c>
      <c r="F93" s="270"/>
      <c r="G93" s="270"/>
      <c r="H93" s="271" t="s">
        <v>15014</v>
      </c>
      <c r="I93" s="270"/>
      <c r="J93" s="270"/>
    </row>
    <row r="94">
      <c r="A94" s="269">
        <v>21237.0</v>
      </c>
      <c r="B94" s="269" t="s">
        <v>687</v>
      </c>
      <c r="C94" s="269" t="s">
        <v>3693</v>
      </c>
      <c r="D94" s="269" t="s">
        <v>14991</v>
      </c>
      <c r="E94" s="269" t="s">
        <v>14991</v>
      </c>
      <c r="F94" s="270"/>
      <c r="G94" s="270"/>
      <c r="H94" s="271" t="s">
        <v>15015</v>
      </c>
      <c r="I94" s="270"/>
      <c r="J94" s="270"/>
    </row>
    <row r="95">
      <c r="A95" s="269">
        <v>21249.0</v>
      </c>
      <c r="B95" s="269" t="s">
        <v>687</v>
      </c>
      <c r="C95" s="269" t="s">
        <v>15016</v>
      </c>
      <c r="D95" s="269" t="s">
        <v>14855</v>
      </c>
      <c r="E95" s="269" t="s">
        <v>14855</v>
      </c>
      <c r="F95" s="270"/>
      <c r="G95" s="270"/>
      <c r="H95" s="271" t="s">
        <v>15017</v>
      </c>
      <c r="I95" s="270"/>
      <c r="J95" s="270"/>
    </row>
    <row r="96">
      <c r="A96" s="269">
        <v>21262.0</v>
      </c>
      <c r="B96" s="269" t="s">
        <v>687</v>
      </c>
      <c r="C96" s="269" t="s">
        <v>15018</v>
      </c>
      <c r="D96" s="269" t="s">
        <v>14951</v>
      </c>
      <c r="E96" s="269" t="s">
        <v>14951</v>
      </c>
      <c r="F96" s="270"/>
      <c r="G96" s="270"/>
      <c r="H96" s="271" t="s">
        <v>15019</v>
      </c>
      <c r="I96" s="270"/>
      <c r="J96" s="270"/>
    </row>
    <row r="97">
      <c r="A97" s="269">
        <v>21318.0</v>
      </c>
      <c r="B97" s="269" t="s">
        <v>687</v>
      </c>
      <c r="C97" s="269" t="s">
        <v>15020</v>
      </c>
      <c r="D97" s="269" t="s">
        <v>14855</v>
      </c>
      <c r="E97" s="269" t="s">
        <v>14855</v>
      </c>
      <c r="F97" s="270"/>
      <c r="G97" s="270"/>
      <c r="H97" s="271" t="s">
        <v>14873</v>
      </c>
      <c r="I97" s="270"/>
      <c r="J97" s="270"/>
    </row>
    <row r="98">
      <c r="A98" s="272">
        <v>32950.0</v>
      </c>
      <c r="B98" s="299" t="s">
        <v>12093</v>
      </c>
      <c r="C98" s="363" t="s">
        <v>15021</v>
      </c>
      <c r="D98" s="269" t="s">
        <v>14855</v>
      </c>
      <c r="E98" s="269" t="s">
        <v>14855</v>
      </c>
      <c r="F98" s="270"/>
      <c r="G98" s="270"/>
      <c r="H98" s="271" t="s">
        <v>15022</v>
      </c>
      <c r="I98" s="270"/>
      <c r="J98" s="270"/>
    </row>
    <row r="99">
      <c r="A99" s="272">
        <v>32949.0</v>
      </c>
      <c r="B99" s="299" t="s">
        <v>12093</v>
      </c>
      <c r="C99" s="272" t="s">
        <v>763</v>
      </c>
      <c r="D99" s="269" t="s">
        <v>14855</v>
      </c>
      <c r="E99" s="269" t="s">
        <v>14855</v>
      </c>
      <c r="F99" s="270"/>
      <c r="G99" s="270"/>
      <c r="H99" s="271" t="s">
        <v>14928</v>
      </c>
      <c r="I99" s="270"/>
      <c r="J99" s="271" t="s">
        <v>14870</v>
      </c>
    </row>
    <row r="100">
      <c r="A100" s="269">
        <v>21411.0</v>
      </c>
      <c r="B100" s="299" t="s">
        <v>12093</v>
      </c>
      <c r="C100" s="269" t="s">
        <v>10081</v>
      </c>
      <c r="D100" s="269" t="s">
        <v>14855</v>
      </c>
      <c r="E100" s="269" t="s">
        <v>14855</v>
      </c>
      <c r="F100" s="270"/>
      <c r="G100" s="270"/>
      <c r="H100" s="271" t="s">
        <v>14871</v>
      </c>
      <c r="I100" s="270"/>
      <c r="J100" s="270"/>
    </row>
    <row r="101">
      <c r="A101" s="272">
        <v>32915.0</v>
      </c>
      <c r="B101" s="299" t="s">
        <v>12093</v>
      </c>
      <c r="C101" s="274" t="s">
        <v>4724</v>
      </c>
      <c r="D101" s="269" t="s">
        <v>14855</v>
      </c>
      <c r="E101" s="269" t="s">
        <v>14855</v>
      </c>
      <c r="F101" s="270"/>
      <c r="G101" s="270"/>
      <c r="H101" s="271" t="s">
        <v>14926</v>
      </c>
      <c r="I101" s="270"/>
      <c r="J101" s="270"/>
    </row>
    <row r="102">
      <c r="A102" s="272">
        <v>32514.0</v>
      </c>
      <c r="B102" s="299" t="s">
        <v>12093</v>
      </c>
      <c r="C102" s="299" t="s">
        <v>15023</v>
      </c>
      <c r="D102" s="269" t="s">
        <v>14855</v>
      </c>
      <c r="E102" s="269" t="s">
        <v>14855</v>
      </c>
      <c r="F102" s="270"/>
      <c r="G102" s="270"/>
      <c r="H102" s="271" t="s">
        <v>15024</v>
      </c>
      <c r="I102" s="270"/>
      <c r="J102" s="270"/>
    </row>
    <row r="103">
      <c r="A103" s="269">
        <v>23446.0</v>
      </c>
      <c r="B103" s="299" t="s">
        <v>12093</v>
      </c>
      <c r="C103" s="269" t="s">
        <v>8151</v>
      </c>
      <c r="D103" s="269" t="s">
        <v>14901</v>
      </c>
      <c r="E103" s="269" t="s">
        <v>14901</v>
      </c>
      <c r="F103" s="270"/>
      <c r="G103" s="270"/>
      <c r="H103" s="271" t="s">
        <v>15025</v>
      </c>
      <c r="I103" s="270"/>
      <c r="J103" s="270"/>
    </row>
    <row r="104">
      <c r="A104" s="269">
        <v>23558.0</v>
      </c>
      <c r="B104" s="299" t="s">
        <v>12093</v>
      </c>
      <c r="C104" s="269" t="s">
        <v>15026</v>
      </c>
      <c r="D104" s="269" t="s">
        <v>14855</v>
      </c>
      <c r="E104" s="269" t="s">
        <v>14855</v>
      </c>
      <c r="F104" s="270"/>
      <c r="G104" s="270"/>
      <c r="H104" s="271" t="s">
        <v>15027</v>
      </c>
      <c r="I104" s="270"/>
      <c r="J104" s="270"/>
    </row>
    <row r="105">
      <c r="A105" s="269">
        <v>24397.0</v>
      </c>
      <c r="B105" s="299" t="s">
        <v>12093</v>
      </c>
      <c r="C105" s="269" t="s">
        <v>15028</v>
      </c>
      <c r="D105" s="269" t="s">
        <v>14855</v>
      </c>
      <c r="E105" s="269" t="s">
        <v>15029</v>
      </c>
      <c r="F105" s="270"/>
      <c r="G105" s="270"/>
      <c r="H105" s="271" t="s">
        <v>15030</v>
      </c>
      <c r="I105" s="270"/>
      <c r="J105" s="270"/>
    </row>
    <row r="106">
      <c r="A106" s="269">
        <v>24662.0</v>
      </c>
      <c r="B106" s="299" t="s">
        <v>12093</v>
      </c>
      <c r="C106" s="269" t="s">
        <v>685</v>
      </c>
      <c r="D106" s="269" t="s">
        <v>14855</v>
      </c>
      <c r="E106" s="269" t="s">
        <v>14901</v>
      </c>
      <c r="F106" s="270"/>
      <c r="G106" s="270"/>
      <c r="H106" s="271" t="s">
        <v>15031</v>
      </c>
      <c r="I106" s="271" t="s">
        <v>15032</v>
      </c>
      <c r="J106" s="270"/>
    </row>
    <row r="107">
      <c r="A107" s="269">
        <v>24752.0</v>
      </c>
      <c r="B107" s="299" t="s">
        <v>12093</v>
      </c>
      <c r="C107" s="269" t="s">
        <v>15033</v>
      </c>
      <c r="D107" s="269" t="s">
        <v>14855</v>
      </c>
      <c r="E107" s="269" t="s">
        <v>14991</v>
      </c>
      <c r="F107" s="270"/>
      <c r="G107" s="270"/>
      <c r="H107" s="271" t="s">
        <v>15034</v>
      </c>
      <c r="I107" s="270"/>
      <c r="J107" s="270"/>
    </row>
    <row r="108">
      <c r="A108" s="269">
        <v>25032.0</v>
      </c>
      <c r="B108" s="299" t="s">
        <v>12093</v>
      </c>
      <c r="C108" s="269" t="s">
        <v>15035</v>
      </c>
      <c r="D108" s="269" t="s">
        <v>14855</v>
      </c>
      <c r="E108" s="269" t="s">
        <v>14855</v>
      </c>
      <c r="F108" s="270"/>
      <c r="G108" s="270"/>
      <c r="H108" s="271" t="s">
        <v>15036</v>
      </c>
      <c r="I108" s="270"/>
      <c r="J108" s="270"/>
    </row>
    <row r="109">
      <c r="A109" s="269">
        <v>25244.0</v>
      </c>
      <c r="B109" s="299" t="s">
        <v>12093</v>
      </c>
      <c r="C109" s="269" t="s">
        <v>15037</v>
      </c>
      <c r="D109" s="269" t="s">
        <v>14855</v>
      </c>
      <c r="E109" s="269" t="s">
        <v>14903</v>
      </c>
      <c r="F109" s="270"/>
      <c r="G109" s="270"/>
      <c r="H109" s="271" t="s">
        <v>15038</v>
      </c>
      <c r="I109" s="270"/>
      <c r="J109" s="270"/>
    </row>
    <row r="110">
      <c r="A110" s="269">
        <v>28032.0</v>
      </c>
      <c r="B110" s="299" t="s">
        <v>12093</v>
      </c>
      <c r="C110" s="269" t="s">
        <v>15039</v>
      </c>
      <c r="D110" s="269" t="s">
        <v>14855</v>
      </c>
      <c r="E110" s="269" t="s">
        <v>14855</v>
      </c>
      <c r="F110" s="270"/>
      <c r="G110" s="270"/>
      <c r="H110" s="271" t="s">
        <v>15040</v>
      </c>
      <c r="I110" s="270"/>
      <c r="J110" s="270"/>
    </row>
    <row r="111">
      <c r="A111" s="269">
        <v>28055.0</v>
      </c>
      <c r="B111" s="299" t="s">
        <v>12093</v>
      </c>
      <c r="C111" s="269" t="s">
        <v>15041</v>
      </c>
      <c r="D111" s="269" t="s">
        <v>14855</v>
      </c>
      <c r="E111" s="269" t="s">
        <v>14903</v>
      </c>
      <c r="F111" s="270"/>
      <c r="G111" s="270"/>
      <c r="H111" s="271" t="s">
        <v>15042</v>
      </c>
      <c r="I111" s="271" t="s">
        <v>15043</v>
      </c>
      <c r="J111" s="270"/>
    </row>
    <row r="112">
      <c r="A112" s="269">
        <v>28071.0</v>
      </c>
      <c r="B112" s="299" t="s">
        <v>12093</v>
      </c>
      <c r="C112" s="269" t="s">
        <v>763</v>
      </c>
      <c r="D112" s="269" t="s">
        <v>14855</v>
      </c>
      <c r="E112" s="269" t="s">
        <v>14901</v>
      </c>
      <c r="F112" s="270"/>
      <c r="G112" s="270"/>
      <c r="H112" s="271" t="s">
        <v>15044</v>
      </c>
      <c r="I112" s="270"/>
      <c r="J112" s="270"/>
    </row>
    <row r="113">
      <c r="A113" s="269">
        <v>28133.0</v>
      </c>
      <c r="B113" s="299" t="s">
        <v>12093</v>
      </c>
      <c r="C113" s="269" t="s">
        <v>15045</v>
      </c>
      <c r="D113" s="269" t="s">
        <v>14855</v>
      </c>
      <c r="E113" s="269" t="s">
        <v>14991</v>
      </c>
      <c r="F113" s="270"/>
      <c r="G113" s="270"/>
      <c r="H113" s="271" t="s">
        <v>15046</v>
      </c>
      <c r="I113" s="270"/>
      <c r="J113" s="270"/>
    </row>
    <row r="114">
      <c r="A114" s="269">
        <v>28153.0</v>
      </c>
      <c r="B114" s="299" t="s">
        <v>12093</v>
      </c>
      <c r="C114" s="269" t="s">
        <v>15047</v>
      </c>
      <c r="D114" s="269" t="s">
        <v>14855</v>
      </c>
      <c r="E114" s="269" t="s">
        <v>15048</v>
      </c>
      <c r="F114" s="270"/>
      <c r="G114" s="270"/>
      <c r="H114" s="271" t="s">
        <v>15049</v>
      </c>
      <c r="I114" s="270"/>
      <c r="J114" s="270"/>
    </row>
    <row r="115">
      <c r="A115" s="269">
        <v>28155.0</v>
      </c>
      <c r="B115" s="299" t="s">
        <v>12093</v>
      </c>
      <c r="C115" s="269" t="s">
        <v>855</v>
      </c>
      <c r="D115" s="269" t="s">
        <v>14855</v>
      </c>
      <c r="E115" s="269" t="s">
        <v>14991</v>
      </c>
      <c r="F115" s="270"/>
      <c r="G115" s="270"/>
      <c r="H115" s="271" t="s">
        <v>15050</v>
      </c>
      <c r="I115" s="270"/>
      <c r="J115" s="270"/>
    </row>
    <row r="116">
      <c r="A116" s="272">
        <v>32513.0</v>
      </c>
      <c r="B116" s="299" t="s">
        <v>12093</v>
      </c>
      <c r="C116" s="274" t="s">
        <v>8151</v>
      </c>
      <c r="D116" s="269" t="s">
        <v>14855</v>
      </c>
      <c r="E116" s="269" t="s">
        <v>14855</v>
      </c>
      <c r="F116" s="270"/>
      <c r="G116" s="270"/>
      <c r="H116" s="271" t="s">
        <v>15051</v>
      </c>
      <c r="I116" s="270"/>
      <c r="J116" s="270"/>
    </row>
    <row r="117">
      <c r="A117" s="272">
        <v>32511.0</v>
      </c>
      <c r="B117" s="299" t="s">
        <v>12093</v>
      </c>
      <c r="C117" s="272" t="s">
        <v>15052</v>
      </c>
      <c r="D117" s="269" t="s">
        <v>14855</v>
      </c>
      <c r="E117" s="269" t="s">
        <v>14855</v>
      </c>
      <c r="F117" s="270"/>
      <c r="G117" s="270"/>
      <c r="H117" s="271" t="s">
        <v>14866</v>
      </c>
      <c r="I117" s="270"/>
      <c r="J117" s="270"/>
    </row>
    <row r="118">
      <c r="A118" s="272">
        <v>32442.0</v>
      </c>
      <c r="B118" s="299" t="s">
        <v>12093</v>
      </c>
      <c r="C118" s="272" t="s">
        <v>11772</v>
      </c>
      <c r="D118" s="269" t="s">
        <v>14855</v>
      </c>
      <c r="E118" s="269" t="s">
        <v>14855</v>
      </c>
      <c r="F118" s="270"/>
      <c r="G118" s="270"/>
      <c r="H118" s="271" t="s">
        <v>15053</v>
      </c>
      <c r="I118" s="270"/>
      <c r="J118" s="270"/>
    </row>
    <row r="119">
      <c r="A119" s="272">
        <v>32200.0</v>
      </c>
      <c r="B119" s="299" t="s">
        <v>12093</v>
      </c>
      <c r="C119" s="272" t="s">
        <v>2889</v>
      </c>
      <c r="D119" s="269" t="s">
        <v>14855</v>
      </c>
      <c r="E119" s="269" t="s">
        <v>14855</v>
      </c>
      <c r="F119" s="270"/>
      <c r="G119" s="270"/>
      <c r="H119" s="271" t="s">
        <v>15054</v>
      </c>
      <c r="I119" s="270"/>
      <c r="J119" s="270"/>
    </row>
    <row r="120">
      <c r="A120" s="272">
        <v>31920.0</v>
      </c>
      <c r="B120" s="299" t="s">
        <v>12093</v>
      </c>
      <c r="C120" s="272" t="s">
        <v>4881</v>
      </c>
      <c r="D120" s="269" t="s">
        <v>14855</v>
      </c>
      <c r="E120" s="272" t="s">
        <v>14903</v>
      </c>
      <c r="F120" s="270"/>
      <c r="G120" s="270"/>
      <c r="H120" s="271" t="s">
        <v>15055</v>
      </c>
      <c r="I120" s="270"/>
      <c r="J120" s="270"/>
    </row>
    <row r="121">
      <c r="A121" s="272">
        <v>31763.0</v>
      </c>
      <c r="B121" s="299" t="s">
        <v>12093</v>
      </c>
      <c r="C121" s="272" t="s">
        <v>4139</v>
      </c>
      <c r="D121" s="269" t="s">
        <v>14855</v>
      </c>
      <c r="E121" s="269" t="s">
        <v>14855</v>
      </c>
      <c r="F121" s="270"/>
      <c r="G121" s="270"/>
      <c r="H121" s="271" t="s">
        <v>15056</v>
      </c>
      <c r="I121" s="270"/>
      <c r="J121" s="270"/>
    </row>
    <row r="122">
      <c r="A122" s="272">
        <v>31444.0</v>
      </c>
      <c r="B122" s="299" t="s">
        <v>12093</v>
      </c>
      <c r="C122" s="272" t="s">
        <v>4355</v>
      </c>
      <c r="D122" s="269" t="s">
        <v>14855</v>
      </c>
      <c r="E122" s="272" t="s">
        <v>14991</v>
      </c>
      <c r="F122" s="270"/>
      <c r="G122" s="270"/>
      <c r="H122" s="271" t="s">
        <v>15057</v>
      </c>
      <c r="I122" s="270"/>
      <c r="J122" s="270"/>
    </row>
    <row r="123">
      <c r="A123" s="272">
        <v>30898.0</v>
      </c>
      <c r="B123" s="299" t="s">
        <v>12093</v>
      </c>
      <c r="C123" s="272" t="s">
        <v>8440</v>
      </c>
      <c r="D123" s="269" t="s">
        <v>14855</v>
      </c>
      <c r="E123" s="272" t="s">
        <v>14855</v>
      </c>
      <c r="F123" s="270"/>
      <c r="G123" s="270"/>
      <c r="H123" s="271" t="s">
        <v>15058</v>
      </c>
      <c r="I123" s="270"/>
      <c r="J123" s="270"/>
    </row>
    <row r="124">
      <c r="A124" s="272">
        <v>30889.0</v>
      </c>
      <c r="B124" s="299" t="s">
        <v>12093</v>
      </c>
      <c r="C124" s="272" t="s">
        <v>15059</v>
      </c>
      <c r="D124" s="269" t="s">
        <v>14855</v>
      </c>
      <c r="E124" s="272" t="s">
        <v>14855</v>
      </c>
      <c r="F124" s="270"/>
      <c r="G124" s="270"/>
      <c r="H124" s="271" t="s">
        <v>15060</v>
      </c>
      <c r="I124" s="270"/>
      <c r="J124" s="270"/>
    </row>
    <row r="125">
      <c r="A125" s="272">
        <v>30347.0</v>
      </c>
      <c r="B125" s="299" t="s">
        <v>12093</v>
      </c>
      <c r="C125" s="272" t="s">
        <v>15061</v>
      </c>
      <c r="D125" s="269" t="s">
        <v>14855</v>
      </c>
      <c r="E125" s="272" t="s">
        <v>14855</v>
      </c>
      <c r="F125" s="270"/>
      <c r="G125" s="270"/>
      <c r="H125" s="271" t="s">
        <v>15062</v>
      </c>
      <c r="I125" s="270"/>
      <c r="J125" s="270"/>
    </row>
    <row r="126">
      <c r="A126" s="269">
        <v>28350.0</v>
      </c>
      <c r="B126" s="299" t="s">
        <v>12093</v>
      </c>
      <c r="C126" s="269" t="s">
        <v>882</v>
      </c>
      <c r="D126" s="269" t="s">
        <v>14855</v>
      </c>
      <c r="E126" s="269" t="s">
        <v>14903</v>
      </c>
      <c r="F126" s="270"/>
      <c r="G126" s="270"/>
      <c r="H126" s="271" t="s">
        <v>15063</v>
      </c>
      <c r="I126" s="270"/>
      <c r="J126" s="270"/>
    </row>
    <row r="127">
      <c r="A127" s="269">
        <v>28531.0</v>
      </c>
      <c r="B127" s="299" t="s">
        <v>12093</v>
      </c>
      <c r="C127" s="269" t="s">
        <v>712</v>
      </c>
      <c r="D127" s="269" t="s">
        <v>14855</v>
      </c>
      <c r="E127" s="269" t="s">
        <v>14855</v>
      </c>
      <c r="F127" s="270"/>
      <c r="G127" s="270"/>
      <c r="H127" s="271" t="s">
        <v>15064</v>
      </c>
      <c r="I127" s="270"/>
      <c r="J127" s="270"/>
    </row>
    <row r="128">
      <c r="A128" s="269">
        <v>28620.0</v>
      </c>
      <c r="B128" s="299" t="s">
        <v>12093</v>
      </c>
      <c r="C128" s="269" t="s">
        <v>15065</v>
      </c>
      <c r="D128" s="269" t="s">
        <v>14855</v>
      </c>
      <c r="E128" s="269" t="s">
        <v>14991</v>
      </c>
      <c r="F128" s="270"/>
      <c r="G128" s="270"/>
      <c r="H128" s="271" t="s">
        <v>15066</v>
      </c>
      <c r="I128" s="270"/>
      <c r="J128" s="270"/>
    </row>
    <row r="129">
      <c r="A129" s="272">
        <v>30216.0</v>
      </c>
      <c r="B129" s="299" t="s">
        <v>12093</v>
      </c>
      <c r="C129" s="269" t="s">
        <v>6808</v>
      </c>
      <c r="D129" s="269" t="s">
        <v>14855</v>
      </c>
      <c r="E129" s="269" t="s">
        <v>14855</v>
      </c>
      <c r="F129" s="270"/>
      <c r="G129" s="270"/>
      <c r="H129" s="271" t="s">
        <v>15067</v>
      </c>
      <c r="I129" s="270"/>
      <c r="J129" s="270"/>
    </row>
    <row r="130">
      <c r="A130" s="272">
        <v>30213.0</v>
      </c>
      <c r="B130" s="299" t="s">
        <v>12093</v>
      </c>
      <c r="C130" s="272" t="s">
        <v>3693</v>
      </c>
      <c r="D130" s="269" t="s">
        <v>14855</v>
      </c>
      <c r="E130" s="269" t="s">
        <v>14951</v>
      </c>
      <c r="F130" s="270"/>
      <c r="G130" s="270"/>
      <c r="H130" s="270"/>
      <c r="I130" s="270"/>
      <c r="J130" s="271" t="s">
        <v>15068</v>
      </c>
    </row>
    <row r="131">
      <c r="A131" s="272">
        <v>30077.0</v>
      </c>
      <c r="B131" s="299" t="s">
        <v>12093</v>
      </c>
      <c r="C131" s="272" t="s">
        <v>15069</v>
      </c>
      <c r="D131" s="269" t="s">
        <v>14855</v>
      </c>
      <c r="E131" s="272" t="s">
        <v>14855</v>
      </c>
      <c r="F131" s="270"/>
      <c r="G131" s="270"/>
      <c r="H131" s="364" t="s">
        <v>15070</v>
      </c>
      <c r="I131" s="270"/>
      <c r="J131" s="270"/>
    </row>
    <row r="132">
      <c r="A132" s="272">
        <v>30074.0</v>
      </c>
      <c r="B132" s="299" t="s">
        <v>12093</v>
      </c>
      <c r="C132" s="272" t="s">
        <v>3693</v>
      </c>
      <c r="D132" s="269" t="s">
        <v>14855</v>
      </c>
      <c r="E132" s="272" t="s">
        <v>14903</v>
      </c>
      <c r="F132" s="270"/>
      <c r="G132" s="270"/>
      <c r="H132" s="271" t="s">
        <v>15071</v>
      </c>
      <c r="I132" s="270"/>
      <c r="J132" s="270"/>
    </row>
    <row r="133">
      <c r="A133" s="272">
        <v>29662.0</v>
      </c>
      <c r="B133" s="299" t="s">
        <v>12093</v>
      </c>
      <c r="C133" s="299" t="s">
        <v>1439</v>
      </c>
      <c r="D133" s="269" t="s">
        <v>14855</v>
      </c>
      <c r="E133" s="272" t="s">
        <v>14855</v>
      </c>
      <c r="F133" s="270"/>
      <c r="G133" s="270"/>
      <c r="H133" s="271" t="s">
        <v>15072</v>
      </c>
      <c r="I133" s="270"/>
      <c r="J133" s="270"/>
    </row>
    <row r="134">
      <c r="A134" s="272">
        <v>29050.0</v>
      </c>
      <c r="B134" s="299" t="s">
        <v>12093</v>
      </c>
      <c r="C134" s="272" t="s">
        <v>15073</v>
      </c>
      <c r="D134" s="269" t="s">
        <v>14855</v>
      </c>
      <c r="E134" s="272" t="s">
        <v>14855</v>
      </c>
      <c r="F134" s="270" t="s">
        <v>0</v>
      </c>
      <c r="G134" s="270"/>
      <c r="H134" s="271" t="s">
        <v>15074</v>
      </c>
      <c r="I134" s="270"/>
      <c r="J134" s="270"/>
    </row>
    <row r="135">
      <c r="A135" s="272">
        <v>28909.0</v>
      </c>
      <c r="B135" s="299" t="s">
        <v>12093</v>
      </c>
      <c r="C135" s="272" t="s">
        <v>15075</v>
      </c>
      <c r="D135" s="269" t="s">
        <v>14855</v>
      </c>
      <c r="E135" s="272" t="s">
        <v>14855</v>
      </c>
      <c r="F135" s="270"/>
      <c r="G135" s="270"/>
      <c r="H135" s="271" t="s">
        <v>15072</v>
      </c>
      <c r="I135" s="270"/>
      <c r="J135" s="270"/>
    </row>
  </sheetData>
  <conditionalFormatting sqref="A1:T1">
    <cfRule type="notContainsBlanks" dxfId="0" priority="1">
      <formula>LEN(TRIM(A1))&gt;0</formula>
    </cfRule>
  </conditionalFormatting>
  <hyperlinks>
    <hyperlink r:id="rId1" ref="H2"/>
    <hyperlink r:id="rId2" ref="J2"/>
    <hyperlink r:id="rId3" ref="H3"/>
    <hyperlink r:id="rId4" ref="H4"/>
    <hyperlink r:id="rId5" ref="I4"/>
    <hyperlink r:id="rId6" ref="J4"/>
    <hyperlink r:id="rId7" ref="H5"/>
    <hyperlink r:id="rId8" ref="J5"/>
    <hyperlink r:id="rId9" ref="H6"/>
    <hyperlink r:id="rId10" ref="J6"/>
    <hyperlink r:id="rId11" ref="H8"/>
    <hyperlink r:id="rId12" ref="J8"/>
    <hyperlink r:id="rId13" ref="H9"/>
    <hyperlink r:id="rId14" ref="H10"/>
    <hyperlink r:id="rId15" ref="I10"/>
    <hyperlink r:id="rId16" ref="H11"/>
    <hyperlink r:id="rId17" ref="H12"/>
    <hyperlink r:id="rId18" ref="I12"/>
    <hyperlink r:id="rId19" ref="I13"/>
    <hyperlink r:id="rId20" ref="H14"/>
    <hyperlink r:id="rId21" ref="H15"/>
    <hyperlink r:id="rId22" ref="H16"/>
    <hyperlink r:id="rId23" ref="J16"/>
    <hyperlink r:id="rId24" ref="H17"/>
    <hyperlink r:id="rId25" ref="I17"/>
    <hyperlink r:id="rId26" ref="H18"/>
    <hyperlink r:id="rId27" ref="J18"/>
    <hyperlink r:id="rId28" ref="H19"/>
    <hyperlink r:id="rId29" ref="I19"/>
    <hyperlink r:id="rId30" ref="H20"/>
    <hyperlink r:id="rId31" ref="H21"/>
    <hyperlink r:id="rId32" ref="H22"/>
    <hyperlink r:id="rId33" ref="H23"/>
    <hyperlink r:id="rId34" ref="J23"/>
    <hyperlink r:id="rId35" ref="H24"/>
    <hyperlink r:id="rId36" ref="I24"/>
    <hyperlink r:id="rId37" ref="H25"/>
    <hyperlink r:id="rId38" ref="J25"/>
    <hyperlink r:id="rId39" ref="J26"/>
    <hyperlink r:id="rId40" ref="I27"/>
    <hyperlink r:id="rId41" ref="H28"/>
    <hyperlink r:id="rId42" ref="I28"/>
    <hyperlink r:id="rId43" ref="H29"/>
    <hyperlink r:id="rId44" ref="H30"/>
    <hyperlink r:id="rId45" ref="H31"/>
    <hyperlink r:id="rId46" ref="H32"/>
    <hyperlink r:id="rId47" ref="H33"/>
    <hyperlink r:id="rId48" ref="H34"/>
    <hyperlink r:id="rId49" ref="I35"/>
    <hyperlink r:id="rId50" ref="H36"/>
    <hyperlink r:id="rId51" ref="H37"/>
    <hyperlink r:id="rId52" ref="J37"/>
    <hyperlink r:id="rId53" ref="H38"/>
    <hyperlink r:id="rId54" ref="J38"/>
    <hyperlink r:id="rId55" ref="H39"/>
    <hyperlink r:id="rId56" ref="I39"/>
    <hyperlink r:id="rId57" ref="H40"/>
    <hyperlink r:id="rId58" ref="H41"/>
    <hyperlink r:id="rId59" ref="H42"/>
    <hyperlink r:id="rId60" ref="H43"/>
    <hyperlink r:id="rId61" ref="H44"/>
    <hyperlink r:id="rId62" ref="H45"/>
    <hyperlink r:id="rId63" ref="H46"/>
    <hyperlink r:id="rId64" ref="I46"/>
    <hyperlink r:id="rId65" ref="J46"/>
    <hyperlink r:id="rId66" ref="H47"/>
    <hyperlink r:id="rId67" ref="J47"/>
    <hyperlink r:id="rId68" ref="H48"/>
    <hyperlink r:id="rId69" ref="H49"/>
    <hyperlink r:id="rId70" ref="H50"/>
    <hyperlink r:id="rId71" ref="H51"/>
    <hyperlink r:id="rId72" ref="H52"/>
    <hyperlink r:id="rId73" ref="H53"/>
    <hyperlink r:id="rId74" ref="H54"/>
    <hyperlink r:id="rId75" ref="I54"/>
    <hyperlink r:id="rId76" ref="H55"/>
    <hyperlink r:id="rId77" ref="I55"/>
    <hyperlink r:id="rId78" ref="H56"/>
    <hyperlink r:id="rId79" ref="I56"/>
    <hyperlink r:id="rId80" ref="H57"/>
    <hyperlink r:id="rId81" ref="H58"/>
    <hyperlink r:id="rId82" ref="H59"/>
    <hyperlink r:id="rId83" ref="H60"/>
    <hyperlink r:id="rId84" ref="H61"/>
    <hyperlink r:id="rId85" ref="I61"/>
    <hyperlink r:id="rId86" ref="H62"/>
    <hyperlink r:id="rId87" ref="I62"/>
    <hyperlink r:id="rId88" ref="H63"/>
    <hyperlink r:id="rId89" ref="H64"/>
    <hyperlink r:id="rId90" ref="I64"/>
    <hyperlink r:id="rId91" ref="H65"/>
    <hyperlink r:id="rId92" ref="I65"/>
    <hyperlink r:id="rId93" ref="H66"/>
    <hyperlink r:id="rId94" ref="I66"/>
    <hyperlink r:id="rId95" ref="J66"/>
    <hyperlink r:id="rId96" ref="H67"/>
    <hyperlink r:id="rId97" ref="H68"/>
    <hyperlink r:id="rId98" ref="H69"/>
    <hyperlink r:id="rId99" ref="I69"/>
    <hyperlink r:id="rId100" ref="H70"/>
    <hyperlink r:id="rId101" ref="I70"/>
    <hyperlink r:id="rId102" ref="H71"/>
    <hyperlink r:id="rId103" ref="I71"/>
    <hyperlink r:id="rId104" ref="H72"/>
    <hyperlink r:id="rId105" ref="H73"/>
    <hyperlink r:id="rId106" ref="H74"/>
    <hyperlink r:id="rId107" ref="H75"/>
    <hyperlink r:id="rId108" ref="H76"/>
    <hyperlink r:id="rId109" ref="H77"/>
    <hyperlink r:id="rId110" ref="H78"/>
    <hyperlink r:id="rId111" ref="H79"/>
    <hyperlink r:id="rId112" ref="H80"/>
    <hyperlink r:id="rId113" ref="H81"/>
    <hyperlink r:id="rId114" ref="H82"/>
    <hyperlink r:id="rId115" ref="H83"/>
    <hyperlink r:id="rId116" ref="H84"/>
    <hyperlink r:id="rId117" ref="H85"/>
    <hyperlink r:id="rId118" ref="H86"/>
    <hyperlink r:id="rId119" ref="H87"/>
    <hyperlink r:id="rId120" ref="H88"/>
    <hyperlink r:id="rId121" ref="H89"/>
    <hyperlink r:id="rId122" ref="H90"/>
    <hyperlink r:id="rId123" ref="H91"/>
    <hyperlink r:id="rId124" ref="H92"/>
    <hyperlink r:id="rId125" ref="H93"/>
    <hyperlink r:id="rId126" ref="H94"/>
    <hyperlink r:id="rId127" ref="H95"/>
    <hyperlink r:id="rId128" ref="H96"/>
    <hyperlink r:id="rId129" ref="H97"/>
    <hyperlink r:id="rId130" ref="H98"/>
    <hyperlink r:id="rId131" ref="H99"/>
    <hyperlink r:id="rId132" ref="J99"/>
    <hyperlink r:id="rId133" ref="H100"/>
    <hyperlink r:id="rId134" ref="H101"/>
    <hyperlink r:id="rId135" ref="H102"/>
    <hyperlink r:id="rId136" ref="H103"/>
    <hyperlink r:id="rId137" ref="H104"/>
    <hyperlink r:id="rId138" ref="H105"/>
    <hyperlink r:id="rId139" ref="H106"/>
    <hyperlink r:id="rId140" ref="I106"/>
    <hyperlink r:id="rId141" ref="H107"/>
    <hyperlink r:id="rId142" ref="H108"/>
    <hyperlink r:id="rId143" ref="H109"/>
    <hyperlink r:id="rId144" ref="H110"/>
    <hyperlink r:id="rId145" ref="H111"/>
    <hyperlink r:id="rId146" ref="I111"/>
    <hyperlink r:id="rId147" ref="H112"/>
    <hyperlink r:id="rId148" ref="H113"/>
    <hyperlink r:id="rId149" ref="H114"/>
    <hyperlink r:id="rId150" ref="H115"/>
    <hyperlink r:id="rId151" ref="H116"/>
    <hyperlink r:id="rId152" ref="H117"/>
    <hyperlink r:id="rId153" ref="H118"/>
    <hyperlink r:id="rId154" ref="H119"/>
    <hyperlink r:id="rId155" ref="H120"/>
    <hyperlink r:id="rId156" ref="H121"/>
    <hyperlink r:id="rId157" ref="H122"/>
    <hyperlink r:id="rId158" ref="H123"/>
    <hyperlink r:id="rId159" ref="H124"/>
    <hyperlink r:id="rId160" ref="H125"/>
    <hyperlink r:id="rId161" ref="H126"/>
    <hyperlink r:id="rId162" ref="H127"/>
    <hyperlink r:id="rId163" ref="H128"/>
    <hyperlink r:id="rId164" ref="H129"/>
    <hyperlink r:id="rId165" ref="J130"/>
    <hyperlink r:id="rId166" ref="H131"/>
    <hyperlink r:id="rId167" ref="H132"/>
    <hyperlink r:id="rId168" ref="H133"/>
    <hyperlink r:id="rId169" ref="H134"/>
    <hyperlink r:id="rId170" ref="H135"/>
  </hyperlinks>
  <drawing r:id="rId17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5.63"/>
    <col customWidth="1" min="2" max="2" width="4.63"/>
    <col customWidth="1" min="3" max="3" width="14.88"/>
    <col customWidth="1" min="4" max="4" width="6.5"/>
    <col customWidth="1" min="5" max="5" width="9.38"/>
    <col customWidth="1" min="6" max="7" width="10.5"/>
    <col customWidth="1" min="8" max="8" width="41.5"/>
    <col customWidth="1" min="9" max="9" width="30.75"/>
    <col customWidth="1" min="10" max="10" width="40.13"/>
    <col customWidth="1" min="11" max="11" width="9.38"/>
    <col customWidth="1" min="12" max="12" width="26.88"/>
    <col customWidth="1" min="13" max="13" width="20.63"/>
    <col customWidth="1" min="14" max="14" width="7.25"/>
    <col customWidth="1" min="15" max="15" width="4.38"/>
    <col customWidth="1" min="16" max="16" width="4.5"/>
    <col customWidth="1" min="17" max="17" width="4.13"/>
    <col customWidth="1" min="18" max="18" width="5.13"/>
    <col customWidth="1" min="19" max="19" width="4.25"/>
    <col customWidth="1" min="20" max="20" width="4.5"/>
  </cols>
  <sheetData>
    <row r="1">
      <c r="A1" s="8" t="s">
        <v>19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3568</v>
      </c>
      <c r="M1" s="4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</row>
    <row r="2">
      <c r="A2" s="100">
        <v>32719.0</v>
      </c>
      <c r="B2" s="8" t="s">
        <v>20</v>
      </c>
      <c r="C2" s="11" t="s">
        <v>3209</v>
      </c>
      <c r="D2" s="8" t="s">
        <v>15076</v>
      </c>
      <c r="E2" s="8" t="s">
        <v>15076</v>
      </c>
      <c r="F2" s="53"/>
      <c r="G2" s="53"/>
      <c r="H2" s="258"/>
      <c r="J2" s="9" t="s">
        <v>15077</v>
      </c>
    </row>
    <row r="3">
      <c r="A3" s="100">
        <v>32595.0</v>
      </c>
      <c r="B3" s="8" t="s">
        <v>20</v>
      </c>
      <c r="C3" s="11" t="s">
        <v>15078</v>
      </c>
      <c r="D3" s="8" t="s">
        <v>15076</v>
      </c>
      <c r="E3" s="8" t="s">
        <v>15079</v>
      </c>
      <c r="F3" s="53"/>
      <c r="G3" s="53"/>
      <c r="H3" s="9" t="s">
        <v>15080</v>
      </c>
    </row>
    <row r="4">
      <c r="A4" s="365">
        <v>29902.0</v>
      </c>
      <c r="B4" s="366" t="s">
        <v>20</v>
      </c>
      <c r="C4" s="367" t="s">
        <v>1221</v>
      </c>
      <c r="D4" s="366" t="s">
        <v>15076</v>
      </c>
      <c r="E4" s="366" t="s">
        <v>15081</v>
      </c>
      <c r="F4" s="368"/>
      <c r="G4" s="368"/>
      <c r="H4" s="369" t="s">
        <v>15082</v>
      </c>
      <c r="I4" s="370" t="s">
        <v>15083</v>
      </c>
      <c r="J4" s="370" t="s">
        <v>15084</v>
      </c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  <c r="Z4" s="371"/>
      <c r="AA4" s="371"/>
    </row>
    <row r="5">
      <c r="A5" s="100">
        <v>29901.0</v>
      </c>
      <c r="B5" s="8" t="s">
        <v>13</v>
      </c>
      <c r="C5" s="11" t="s">
        <v>773</v>
      </c>
      <c r="D5" s="8" t="s">
        <v>15076</v>
      </c>
      <c r="E5" s="8" t="s">
        <v>15085</v>
      </c>
      <c r="F5" s="285" t="s">
        <v>15086</v>
      </c>
      <c r="G5" s="285"/>
      <c r="H5" s="9" t="s">
        <v>15087</v>
      </c>
      <c r="J5" s="12" t="s">
        <v>15088</v>
      </c>
    </row>
    <row r="6">
      <c r="A6" s="100">
        <v>29897.0</v>
      </c>
      <c r="B6" s="8" t="s">
        <v>20</v>
      </c>
      <c r="C6" s="11" t="s">
        <v>341</v>
      </c>
      <c r="D6" s="8" t="s">
        <v>15076</v>
      </c>
      <c r="E6" s="8" t="s">
        <v>15089</v>
      </c>
      <c r="F6" s="285" t="s">
        <v>15090</v>
      </c>
      <c r="G6" s="285"/>
      <c r="H6" s="9" t="s">
        <v>15091</v>
      </c>
      <c r="L6" s="12" t="s">
        <v>15092</v>
      </c>
    </row>
    <row r="7">
      <c r="A7" s="100">
        <v>29879.0</v>
      </c>
      <c r="B7" s="8" t="s">
        <v>20</v>
      </c>
      <c r="C7" s="11" t="s">
        <v>850</v>
      </c>
      <c r="D7" s="8" t="s">
        <v>15076</v>
      </c>
      <c r="E7" s="8" t="s">
        <v>15093</v>
      </c>
      <c r="F7" s="11" t="s">
        <v>850</v>
      </c>
      <c r="G7" s="11"/>
      <c r="H7" s="9" t="s">
        <v>15094</v>
      </c>
    </row>
    <row r="8">
      <c r="A8" s="100">
        <v>29876.0</v>
      </c>
      <c r="B8" s="8" t="s">
        <v>20</v>
      </c>
      <c r="C8" s="11" t="s">
        <v>3640</v>
      </c>
      <c r="D8" s="8" t="s">
        <v>15076</v>
      </c>
      <c r="E8" s="8" t="s">
        <v>15095</v>
      </c>
      <c r="F8" s="53"/>
      <c r="G8" s="53"/>
      <c r="H8" s="258"/>
      <c r="L8" s="12" t="s">
        <v>15096</v>
      </c>
    </row>
    <row r="9">
      <c r="A9" s="100">
        <v>29867.0</v>
      </c>
      <c r="B9" s="8" t="s">
        <v>20</v>
      </c>
      <c r="C9" s="11" t="s">
        <v>15097</v>
      </c>
      <c r="D9" s="8" t="s">
        <v>15076</v>
      </c>
      <c r="E9" s="8" t="s">
        <v>15098</v>
      </c>
      <c r="F9" s="53"/>
      <c r="G9" s="53"/>
      <c r="H9" s="9" t="s">
        <v>15099</v>
      </c>
    </row>
    <row r="10">
      <c r="A10" s="100">
        <v>29866.0</v>
      </c>
      <c r="B10" s="8" t="s">
        <v>3023</v>
      </c>
      <c r="C10" s="11" t="s">
        <v>341</v>
      </c>
      <c r="D10" s="8" t="s">
        <v>15076</v>
      </c>
      <c r="E10" s="8" t="s">
        <v>15100</v>
      </c>
      <c r="F10" s="53"/>
      <c r="G10" s="53"/>
      <c r="H10" s="9" t="s">
        <v>15101</v>
      </c>
      <c r="M10" s="258"/>
    </row>
    <row r="11">
      <c r="A11" s="100">
        <v>26958.0</v>
      </c>
      <c r="B11" s="8" t="s">
        <v>20</v>
      </c>
      <c r="C11" s="11" t="s">
        <v>1975</v>
      </c>
      <c r="D11" s="8" t="s">
        <v>15076</v>
      </c>
      <c r="E11" s="8" t="s">
        <v>15093</v>
      </c>
      <c r="F11" s="53"/>
      <c r="G11" s="53"/>
      <c r="H11" s="9" t="s">
        <v>15102</v>
      </c>
      <c r="I11" s="12" t="s">
        <v>15103</v>
      </c>
      <c r="J11" s="9" t="s">
        <v>15104</v>
      </c>
    </row>
    <row r="12">
      <c r="A12" s="100">
        <v>26326.0</v>
      </c>
      <c r="B12" s="8" t="s">
        <v>20</v>
      </c>
      <c r="C12" s="11" t="s">
        <v>15105</v>
      </c>
      <c r="D12" s="8" t="s">
        <v>15076</v>
      </c>
      <c r="E12" s="8" t="s">
        <v>15076</v>
      </c>
      <c r="F12" s="53"/>
      <c r="G12" s="53"/>
      <c r="H12" s="9" t="s">
        <v>15106</v>
      </c>
    </row>
    <row r="13">
      <c r="A13" s="100">
        <v>23770.0</v>
      </c>
      <c r="B13" s="8" t="s">
        <v>20</v>
      </c>
      <c r="C13" s="11" t="s">
        <v>15107</v>
      </c>
      <c r="D13" s="8" t="s">
        <v>15076</v>
      </c>
      <c r="E13" s="8" t="s">
        <v>15076</v>
      </c>
      <c r="F13" s="53"/>
      <c r="G13" s="53"/>
      <c r="H13" s="9" t="s">
        <v>15108</v>
      </c>
      <c r="I13" s="12" t="s">
        <v>15109</v>
      </c>
      <c r="J13" s="12" t="s">
        <v>15110</v>
      </c>
    </row>
    <row r="14">
      <c r="A14" s="100">
        <v>23241.0</v>
      </c>
      <c r="B14" s="8" t="s">
        <v>20</v>
      </c>
      <c r="C14" s="11" t="s">
        <v>13009</v>
      </c>
      <c r="D14" s="8" t="s">
        <v>15076</v>
      </c>
      <c r="E14" s="8" t="s">
        <v>15081</v>
      </c>
      <c r="F14" s="53"/>
      <c r="G14" s="53"/>
      <c r="H14" s="9" t="s">
        <v>15111</v>
      </c>
    </row>
    <row r="15">
      <c r="A15" s="100">
        <v>20823.0</v>
      </c>
      <c r="B15" s="8" t="s">
        <v>3023</v>
      </c>
      <c r="C15" s="11" t="s">
        <v>7561</v>
      </c>
      <c r="D15" s="8" t="s">
        <v>15076</v>
      </c>
      <c r="E15" s="8" t="s">
        <v>15076</v>
      </c>
      <c r="F15" s="53"/>
      <c r="G15" s="53"/>
      <c r="H15" s="9" t="s">
        <v>15112</v>
      </c>
    </row>
    <row r="16">
      <c r="A16" s="100">
        <v>20821.0</v>
      </c>
      <c r="B16" s="8" t="s">
        <v>20</v>
      </c>
      <c r="C16" s="11" t="s">
        <v>4280</v>
      </c>
      <c r="D16" s="8" t="s">
        <v>15076</v>
      </c>
      <c r="E16" s="8" t="s">
        <v>15093</v>
      </c>
      <c r="F16" s="53"/>
      <c r="G16" s="53"/>
      <c r="J16" s="9" t="s">
        <v>15113</v>
      </c>
    </row>
    <row r="17">
      <c r="A17" s="100">
        <v>20820.0</v>
      </c>
      <c r="B17" s="8" t="s">
        <v>20</v>
      </c>
      <c r="C17" s="11" t="s">
        <v>15114</v>
      </c>
      <c r="D17" s="8" t="s">
        <v>15076</v>
      </c>
      <c r="E17" s="8" t="s">
        <v>15076</v>
      </c>
      <c r="F17" s="53"/>
      <c r="G17" s="53"/>
      <c r="H17" s="9" t="s">
        <v>15115</v>
      </c>
      <c r="I17" s="12" t="s">
        <v>15116</v>
      </c>
      <c r="J17" s="12" t="s">
        <v>15117</v>
      </c>
    </row>
    <row r="18">
      <c r="A18" s="100">
        <v>19837.0</v>
      </c>
      <c r="B18" s="8" t="s">
        <v>20</v>
      </c>
      <c r="C18" s="11" t="s">
        <v>11932</v>
      </c>
      <c r="D18" s="8" t="s">
        <v>15076</v>
      </c>
      <c r="E18" s="8" t="s">
        <v>15076</v>
      </c>
      <c r="F18" s="53"/>
      <c r="G18" s="53"/>
      <c r="H18" s="9" t="s">
        <v>15118</v>
      </c>
      <c r="L18" s="12" t="s">
        <v>15119</v>
      </c>
    </row>
    <row r="19">
      <c r="A19" s="100">
        <v>19835.0</v>
      </c>
      <c r="B19" s="8" t="s">
        <v>20</v>
      </c>
      <c r="C19" s="11" t="s">
        <v>6349</v>
      </c>
      <c r="D19" s="8" t="s">
        <v>15076</v>
      </c>
      <c r="E19" s="8" t="s">
        <v>15120</v>
      </c>
      <c r="F19" s="53"/>
      <c r="G19" s="53"/>
      <c r="H19" s="9" t="s">
        <v>15121</v>
      </c>
      <c r="I19" s="12" t="s">
        <v>15122</v>
      </c>
      <c r="J19" s="12" t="s">
        <v>15123</v>
      </c>
    </row>
    <row r="20">
      <c r="A20" s="100">
        <v>19833.0</v>
      </c>
      <c r="B20" s="8" t="s">
        <v>20</v>
      </c>
      <c r="C20" s="11" t="s">
        <v>1455</v>
      </c>
      <c r="D20" s="8" t="s">
        <v>15076</v>
      </c>
      <c r="E20" s="8" t="s">
        <v>15081</v>
      </c>
      <c r="F20" s="53"/>
      <c r="G20" s="53"/>
      <c r="H20" s="9" t="s">
        <v>6500</v>
      </c>
    </row>
    <row r="21">
      <c r="A21" s="100"/>
      <c r="B21" s="8" t="s">
        <v>20</v>
      </c>
      <c r="C21" s="11" t="s">
        <v>1239</v>
      </c>
      <c r="D21" s="8" t="s">
        <v>15076</v>
      </c>
      <c r="E21" s="8" t="s">
        <v>15076</v>
      </c>
      <c r="F21" s="53"/>
      <c r="G21" s="53"/>
      <c r="H21" s="9" t="s">
        <v>15124</v>
      </c>
    </row>
    <row r="22">
      <c r="A22" s="100">
        <v>18079.0</v>
      </c>
      <c r="B22" s="8" t="s">
        <v>20</v>
      </c>
      <c r="C22" s="11" t="s">
        <v>7469</v>
      </c>
      <c r="D22" s="8" t="s">
        <v>15125</v>
      </c>
      <c r="E22" s="8" t="s">
        <v>15093</v>
      </c>
      <c r="F22" s="53"/>
      <c r="G22" s="53"/>
      <c r="H22" s="9" t="s">
        <v>15126</v>
      </c>
    </row>
    <row r="23">
      <c r="A23" s="100">
        <v>18078.0</v>
      </c>
      <c r="B23" s="8" t="s">
        <v>20</v>
      </c>
      <c r="C23" s="11" t="s">
        <v>9821</v>
      </c>
      <c r="D23" s="8" t="s">
        <v>15076</v>
      </c>
      <c r="E23" s="8" t="s">
        <v>15095</v>
      </c>
      <c r="F23" s="53"/>
      <c r="G23" s="53"/>
      <c r="H23" s="9" t="s">
        <v>15127</v>
      </c>
      <c r="I23" s="9" t="s">
        <v>15128</v>
      </c>
      <c r="J23" s="9" t="s">
        <v>15129</v>
      </c>
    </row>
    <row r="24">
      <c r="A24" s="100">
        <v>18077.0</v>
      </c>
      <c r="B24" s="8" t="s">
        <v>20</v>
      </c>
      <c r="C24" s="11" t="s">
        <v>11139</v>
      </c>
      <c r="D24" s="8" t="s">
        <v>15076</v>
      </c>
      <c r="E24" s="8" t="s">
        <v>15095</v>
      </c>
      <c r="F24" s="53"/>
      <c r="G24" s="53"/>
      <c r="H24" s="9" t="s">
        <v>15130</v>
      </c>
      <c r="J24" s="12" t="s">
        <v>15131</v>
      </c>
    </row>
    <row r="25">
      <c r="A25" s="100"/>
      <c r="B25" s="8" t="s">
        <v>20</v>
      </c>
      <c r="C25" s="11" t="s">
        <v>15132</v>
      </c>
      <c r="D25" s="8" t="s">
        <v>15076</v>
      </c>
      <c r="E25" s="8" t="s">
        <v>15076</v>
      </c>
      <c r="F25" s="53"/>
      <c r="G25" s="53"/>
      <c r="H25" s="9" t="s">
        <v>15133</v>
      </c>
    </row>
    <row r="26">
      <c r="A26" s="100">
        <v>3368.0</v>
      </c>
      <c r="B26" s="8" t="s">
        <v>3023</v>
      </c>
      <c r="C26" s="11" t="s">
        <v>4826</v>
      </c>
      <c r="D26" s="8" t="s">
        <v>15076</v>
      </c>
      <c r="E26" s="8" t="s">
        <v>15076</v>
      </c>
      <c r="F26" s="53"/>
      <c r="G26" s="53"/>
      <c r="H26" s="9" t="s">
        <v>15134</v>
      </c>
    </row>
    <row r="27">
      <c r="A27" s="100">
        <v>3349.0</v>
      </c>
      <c r="B27" s="8" t="s">
        <v>20</v>
      </c>
      <c r="C27" s="11" t="s">
        <v>12038</v>
      </c>
      <c r="D27" s="8" t="s">
        <v>15076</v>
      </c>
      <c r="E27" s="8" t="s">
        <v>15135</v>
      </c>
      <c r="F27" s="53"/>
      <c r="G27" s="53"/>
      <c r="H27" s="9" t="s">
        <v>15136</v>
      </c>
      <c r="I27" s="12" t="s">
        <v>15137</v>
      </c>
    </row>
    <row r="28">
      <c r="A28" s="37">
        <v>3320.0</v>
      </c>
      <c r="B28" s="8" t="s">
        <v>20</v>
      </c>
      <c r="C28" s="11" t="s">
        <v>15138</v>
      </c>
      <c r="D28" s="8" t="s">
        <v>15076</v>
      </c>
      <c r="E28" s="8" t="s">
        <v>15135</v>
      </c>
      <c r="F28" s="53"/>
      <c r="G28" s="53"/>
      <c r="H28" s="9" t="s">
        <v>15080</v>
      </c>
      <c r="L28" s="258"/>
    </row>
    <row r="29">
      <c r="A29" s="100">
        <v>3310.0</v>
      </c>
      <c r="B29" s="8" t="s">
        <v>20</v>
      </c>
      <c r="C29" s="11" t="s">
        <v>11932</v>
      </c>
      <c r="D29" s="8" t="s">
        <v>15076</v>
      </c>
      <c r="E29" s="8" t="s">
        <v>15139</v>
      </c>
      <c r="F29" s="285" t="s">
        <v>15140</v>
      </c>
      <c r="G29" s="285"/>
      <c r="H29" s="9" t="s">
        <v>15141</v>
      </c>
    </row>
    <row r="30">
      <c r="A30" s="100">
        <v>3275.0</v>
      </c>
      <c r="B30" s="8" t="s">
        <v>20</v>
      </c>
      <c r="C30" s="11" t="s">
        <v>74</v>
      </c>
      <c r="D30" s="8" t="s">
        <v>15076</v>
      </c>
      <c r="E30" s="8" t="s">
        <v>15120</v>
      </c>
      <c r="F30" s="53"/>
      <c r="G30" s="53"/>
      <c r="H30" s="9" t="s">
        <v>15142</v>
      </c>
    </row>
    <row r="31">
      <c r="A31" s="100">
        <v>3143.0</v>
      </c>
      <c r="B31" s="8" t="s">
        <v>20</v>
      </c>
      <c r="C31" s="11" t="s">
        <v>15143</v>
      </c>
      <c r="D31" s="8" t="s">
        <v>15076</v>
      </c>
      <c r="E31" s="8" t="s">
        <v>15144</v>
      </c>
      <c r="F31" s="53"/>
      <c r="G31" s="53"/>
      <c r="H31" s="9" t="s">
        <v>15145</v>
      </c>
      <c r="J31" s="12" t="s">
        <v>15146</v>
      </c>
    </row>
    <row r="32">
      <c r="A32" s="100"/>
      <c r="B32" s="8" t="s">
        <v>20</v>
      </c>
      <c r="C32" s="11" t="s">
        <v>5407</v>
      </c>
      <c r="D32" s="8" t="s">
        <v>15076</v>
      </c>
      <c r="E32" s="8" t="s">
        <v>15076</v>
      </c>
      <c r="F32" s="53"/>
      <c r="G32" s="53"/>
      <c r="H32" s="258"/>
      <c r="J32" s="291" t="s">
        <v>15147</v>
      </c>
    </row>
    <row r="33">
      <c r="A33" s="100"/>
      <c r="C33" s="11"/>
      <c r="D33" s="8"/>
      <c r="E33" s="8"/>
      <c r="F33" s="53"/>
      <c r="G33" s="53"/>
      <c r="H33" s="258"/>
    </row>
    <row r="34">
      <c r="A34" s="100"/>
      <c r="C34" s="11"/>
      <c r="D34" s="8"/>
      <c r="E34" s="8"/>
      <c r="F34" s="53"/>
      <c r="G34" s="53"/>
      <c r="H34" s="258"/>
    </row>
    <row r="35">
      <c r="A35" s="100"/>
      <c r="C35" s="11"/>
      <c r="D35" s="8"/>
      <c r="E35" s="8"/>
      <c r="F35" s="53"/>
      <c r="G35" s="53"/>
      <c r="H35" s="258"/>
    </row>
    <row r="36">
      <c r="A36" s="100"/>
      <c r="C36" s="11"/>
      <c r="D36" s="8"/>
      <c r="E36" s="8"/>
      <c r="F36" s="53"/>
      <c r="G36" s="53"/>
      <c r="H36" s="258"/>
    </row>
    <row r="37">
      <c r="A37" s="100"/>
      <c r="C37" s="11"/>
      <c r="D37" s="8"/>
      <c r="E37" s="8"/>
      <c r="F37" s="53"/>
      <c r="G37" s="53"/>
      <c r="H37" s="258"/>
    </row>
    <row r="38">
      <c r="A38" s="100"/>
      <c r="C38" s="11"/>
      <c r="D38" s="8"/>
      <c r="E38" s="8"/>
      <c r="F38" s="53"/>
      <c r="G38" s="53"/>
      <c r="H38" s="258"/>
    </row>
    <row r="39">
      <c r="A39" s="100"/>
      <c r="C39" s="8"/>
      <c r="D39" s="8"/>
      <c r="E39" s="8"/>
      <c r="F39" s="53"/>
      <c r="G39" s="53"/>
      <c r="H39" s="258"/>
    </row>
    <row r="40">
      <c r="A40" s="100"/>
      <c r="C40" s="11"/>
      <c r="D40" s="8"/>
      <c r="E40" s="8"/>
      <c r="F40" s="53"/>
      <c r="G40" s="53"/>
      <c r="H40" s="258"/>
    </row>
    <row r="41">
      <c r="A41" s="100"/>
      <c r="C41" s="8"/>
      <c r="D41" s="8"/>
      <c r="E41" s="8"/>
      <c r="F41" s="53"/>
      <c r="G41" s="53"/>
      <c r="H41" s="258"/>
    </row>
    <row r="42">
      <c r="A42" s="100"/>
      <c r="C42" s="11"/>
      <c r="D42" s="8"/>
      <c r="E42" s="8"/>
      <c r="F42" s="53"/>
      <c r="G42" s="53"/>
      <c r="H42" s="258"/>
    </row>
    <row r="43">
      <c r="A43" s="100"/>
      <c r="C43" s="11"/>
      <c r="D43" s="8"/>
      <c r="E43" s="8"/>
      <c r="F43" s="53"/>
      <c r="G43" s="53"/>
      <c r="H43" s="258"/>
    </row>
    <row r="44">
      <c r="A44" s="100"/>
      <c r="C44" s="11"/>
      <c r="D44" s="8"/>
      <c r="E44" s="8"/>
      <c r="F44" s="53"/>
      <c r="G44" s="53"/>
      <c r="H44" s="258"/>
    </row>
    <row r="45">
      <c r="A45" s="100"/>
      <c r="C45" s="11"/>
      <c r="D45" s="8"/>
      <c r="E45" s="8"/>
      <c r="F45" s="53"/>
      <c r="G45" s="53"/>
      <c r="H45" s="258"/>
    </row>
    <row r="46">
      <c r="A46" s="100"/>
      <c r="C46" s="11"/>
      <c r="D46" s="8"/>
      <c r="E46" s="8"/>
      <c r="F46" s="53"/>
      <c r="G46" s="53"/>
      <c r="H46" s="258"/>
    </row>
    <row r="47">
      <c r="A47" s="100"/>
      <c r="C47" s="11"/>
      <c r="D47" s="8"/>
      <c r="E47" s="8"/>
      <c r="F47" s="53"/>
      <c r="G47" s="53"/>
      <c r="H47" s="258"/>
    </row>
    <row r="48">
      <c r="A48" s="100"/>
      <c r="C48" s="11"/>
      <c r="D48" s="8"/>
      <c r="E48" s="8"/>
      <c r="F48" s="53"/>
      <c r="G48" s="53"/>
      <c r="H48" s="258"/>
    </row>
    <row r="49">
      <c r="A49" s="100"/>
      <c r="C49" s="11"/>
      <c r="D49" s="8"/>
      <c r="E49" s="8"/>
      <c r="F49" s="53"/>
      <c r="G49" s="53"/>
      <c r="H49" s="258"/>
    </row>
    <row r="50">
      <c r="A50" s="100"/>
      <c r="C50" s="11"/>
      <c r="D50" s="8"/>
      <c r="E50" s="8"/>
      <c r="F50" s="53"/>
      <c r="G50" s="53"/>
      <c r="H50" s="258"/>
    </row>
    <row r="51">
      <c r="A51" s="100"/>
      <c r="C51" s="11"/>
      <c r="D51" s="8"/>
      <c r="E51" s="8"/>
      <c r="F51" s="53"/>
      <c r="G51" s="53"/>
      <c r="H51" s="258"/>
    </row>
    <row r="52">
      <c r="A52" s="100"/>
      <c r="C52" s="11"/>
      <c r="D52" s="8"/>
      <c r="E52" s="8"/>
      <c r="F52" s="53"/>
      <c r="G52" s="53"/>
      <c r="H52" s="258"/>
    </row>
    <row r="53">
      <c r="A53" s="100"/>
      <c r="C53" s="11"/>
      <c r="D53" s="8"/>
      <c r="E53" s="8"/>
      <c r="F53" s="53"/>
      <c r="G53" s="53"/>
      <c r="H53" s="258"/>
    </row>
    <row r="54">
      <c r="A54" s="100"/>
      <c r="C54" s="11"/>
      <c r="D54" s="8"/>
      <c r="E54" s="8"/>
      <c r="F54" s="53"/>
      <c r="G54" s="53"/>
      <c r="H54" s="258"/>
    </row>
    <row r="55">
      <c r="A55" s="100"/>
      <c r="C55" s="11"/>
      <c r="D55" s="8"/>
      <c r="E55" s="8"/>
      <c r="F55" s="53"/>
      <c r="G55" s="53"/>
      <c r="H55" s="258"/>
    </row>
    <row r="56">
      <c r="A56" s="100"/>
      <c r="C56" s="11"/>
      <c r="D56" s="8"/>
      <c r="E56" s="8"/>
      <c r="F56" s="53"/>
      <c r="G56" s="53"/>
      <c r="H56" s="258"/>
    </row>
    <row r="57">
      <c r="A57" s="100"/>
      <c r="C57" s="8"/>
      <c r="D57" s="8"/>
      <c r="E57" s="8"/>
      <c r="F57" s="53"/>
      <c r="G57" s="53"/>
      <c r="H57" s="258"/>
    </row>
    <row r="58">
      <c r="A58" s="100"/>
      <c r="C58" s="11"/>
      <c r="D58" s="8"/>
      <c r="E58" s="8"/>
      <c r="F58" s="53"/>
      <c r="G58" s="53"/>
      <c r="H58" s="258"/>
    </row>
    <row r="59">
      <c r="A59" s="100"/>
      <c r="C59" s="11"/>
      <c r="D59" s="8"/>
      <c r="E59" s="8"/>
      <c r="F59" s="53"/>
      <c r="G59" s="53"/>
      <c r="H59" s="258"/>
    </row>
    <row r="60">
      <c r="A60" s="100"/>
      <c r="C60" s="11"/>
      <c r="D60" s="8"/>
      <c r="E60" s="8"/>
      <c r="F60" s="53"/>
      <c r="G60" s="53"/>
      <c r="H60" s="258"/>
    </row>
    <row r="61">
      <c r="A61" s="100"/>
      <c r="C61" s="11"/>
      <c r="D61" s="8"/>
      <c r="E61" s="8"/>
      <c r="F61" s="53"/>
      <c r="G61" s="53"/>
      <c r="H61" s="258"/>
    </row>
    <row r="62">
      <c r="A62" s="100"/>
      <c r="C62" s="11"/>
      <c r="D62" s="8"/>
      <c r="E62" s="8"/>
      <c r="F62" s="53"/>
      <c r="G62" s="53"/>
      <c r="H62" s="258"/>
    </row>
    <row r="63">
      <c r="A63" s="100"/>
      <c r="B63" s="8" t="s">
        <v>20</v>
      </c>
      <c r="C63" s="11"/>
      <c r="D63" s="8"/>
      <c r="E63" s="8"/>
      <c r="F63" s="53"/>
      <c r="G63" s="53"/>
      <c r="H63" s="258"/>
    </row>
    <row r="64">
      <c r="A64" s="100"/>
      <c r="C64" s="11"/>
      <c r="D64" s="8"/>
      <c r="E64" s="8"/>
      <c r="F64" s="53"/>
      <c r="G64" s="53"/>
      <c r="H64" s="258"/>
    </row>
    <row r="65">
      <c r="A65" s="100"/>
      <c r="C65" s="11"/>
      <c r="D65" s="8"/>
      <c r="E65" s="8"/>
      <c r="F65" s="53"/>
      <c r="G65" s="53"/>
      <c r="H65" s="258"/>
    </row>
    <row r="66">
      <c r="A66" s="100"/>
      <c r="C66" s="11"/>
      <c r="D66" s="8"/>
      <c r="E66" s="8"/>
      <c r="F66" s="53"/>
      <c r="G66" s="53"/>
      <c r="H66" s="258"/>
    </row>
    <row r="67">
      <c r="A67" s="100"/>
      <c r="C67" s="11"/>
      <c r="D67" s="8"/>
      <c r="E67" s="8"/>
      <c r="F67" s="53"/>
      <c r="G67" s="53"/>
      <c r="H67" s="258"/>
    </row>
    <row r="68">
      <c r="A68" s="100"/>
      <c r="C68" s="11"/>
      <c r="D68" s="8"/>
      <c r="E68" s="8"/>
      <c r="F68" s="53"/>
      <c r="G68" s="53"/>
      <c r="H68" s="258"/>
    </row>
    <row r="69">
      <c r="A69" s="100"/>
      <c r="C69" s="11"/>
      <c r="D69" s="8"/>
      <c r="E69" s="8"/>
      <c r="F69" s="53"/>
      <c r="G69" s="53"/>
      <c r="H69" s="258"/>
    </row>
    <row r="70">
      <c r="A70" s="100"/>
      <c r="C70" s="11"/>
      <c r="D70" s="8"/>
      <c r="E70" s="8"/>
      <c r="F70" s="53"/>
      <c r="G70" s="53"/>
      <c r="H70" s="258"/>
    </row>
    <row r="71">
      <c r="A71" s="100"/>
      <c r="B71" s="8" t="s">
        <v>20</v>
      </c>
      <c r="C71" s="11"/>
      <c r="D71" s="8"/>
      <c r="E71" s="8"/>
      <c r="F71" s="53"/>
      <c r="G71" s="53"/>
      <c r="H71" s="258"/>
    </row>
    <row r="72">
      <c r="A72" s="100"/>
      <c r="C72" s="11"/>
      <c r="D72" s="8"/>
      <c r="E72" s="8"/>
      <c r="F72" s="53"/>
      <c r="G72" s="53"/>
      <c r="H72" s="258"/>
    </row>
    <row r="73">
      <c r="A73" s="100"/>
      <c r="C73" s="11"/>
      <c r="D73" s="8"/>
      <c r="E73" s="8"/>
      <c r="F73" s="53"/>
      <c r="G73" s="53"/>
      <c r="H73" s="258"/>
    </row>
    <row r="74">
      <c r="A74" s="100"/>
      <c r="C74" s="11"/>
      <c r="D74" s="8"/>
      <c r="E74" s="8"/>
      <c r="F74" s="53"/>
      <c r="G74" s="53"/>
      <c r="H74" s="258"/>
    </row>
    <row r="75">
      <c r="A75" s="100"/>
      <c r="C75" s="11"/>
      <c r="D75" s="8"/>
      <c r="E75" s="8"/>
      <c r="F75" s="53"/>
      <c r="G75" s="53"/>
      <c r="H75" s="258"/>
    </row>
    <row r="76">
      <c r="B76" s="8" t="s">
        <v>220</v>
      </c>
      <c r="C76" s="8"/>
      <c r="D76" s="8"/>
      <c r="E76" s="8"/>
      <c r="F76" s="53"/>
      <c r="G76" s="53"/>
      <c r="H76" s="258"/>
    </row>
    <row r="77">
      <c r="B77" s="8" t="s">
        <v>20</v>
      </c>
      <c r="C77" s="8"/>
      <c r="D77" s="8"/>
      <c r="E77" s="8"/>
      <c r="F77" s="53"/>
      <c r="G77" s="53"/>
      <c r="H77" s="258"/>
    </row>
    <row r="78">
      <c r="B78" s="8" t="s">
        <v>20</v>
      </c>
      <c r="C78" s="8"/>
      <c r="D78" s="8"/>
      <c r="E78" s="8"/>
      <c r="F78" s="53"/>
      <c r="G78" s="53"/>
      <c r="H78" s="258"/>
    </row>
    <row r="79">
      <c r="B79" s="8" t="s">
        <v>276</v>
      </c>
      <c r="C79" s="8"/>
      <c r="D79" s="8"/>
      <c r="E79" s="8"/>
      <c r="F79" s="53"/>
      <c r="G79" s="53"/>
      <c r="H79" s="258"/>
    </row>
    <row r="80">
      <c r="B80" s="8" t="s">
        <v>20</v>
      </c>
      <c r="C80" s="8"/>
      <c r="D80" s="8"/>
      <c r="E80" s="8"/>
      <c r="F80" s="53"/>
      <c r="G80" s="53"/>
      <c r="H80" s="258"/>
    </row>
    <row r="81">
      <c r="B81" s="8" t="s">
        <v>20</v>
      </c>
      <c r="C81" s="8"/>
      <c r="D81" s="8"/>
      <c r="E81" s="8"/>
      <c r="F81" s="53"/>
      <c r="G81" s="53"/>
      <c r="H81" s="258"/>
      <c r="J81" s="258"/>
    </row>
    <row r="82">
      <c r="B82" s="8" t="s">
        <v>20</v>
      </c>
      <c r="C82" s="8"/>
      <c r="D82" s="8"/>
      <c r="E82" s="8"/>
      <c r="F82" s="53"/>
      <c r="G82" s="53"/>
      <c r="H82" s="258"/>
      <c r="J82" s="258"/>
    </row>
    <row r="83">
      <c r="A83" s="100"/>
      <c r="B83" s="8" t="s">
        <v>20</v>
      </c>
      <c r="C83" s="8"/>
      <c r="D83" s="8"/>
      <c r="E83" s="8"/>
      <c r="F83" s="53"/>
      <c r="G83" s="53"/>
      <c r="H83" s="258"/>
    </row>
    <row r="84">
      <c r="B84" s="8" t="s">
        <v>20</v>
      </c>
      <c r="C84" s="8"/>
      <c r="D84" s="8"/>
      <c r="E84" s="8"/>
      <c r="F84" s="53"/>
      <c r="G84" s="53"/>
      <c r="H84" s="258"/>
    </row>
    <row r="85">
      <c r="B85" s="8" t="s">
        <v>20</v>
      </c>
      <c r="C85" s="8"/>
      <c r="D85" s="8"/>
      <c r="E85" s="8"/>
      <c r="F85" s="53"/>
      <c r="G85" s="53"/>
      <c r="H85" s="258"/>
    </row>
    <row r="86">
      <c r="B86" s="8" t="s">
        <v>20</v>
      </c>
      <c r="C86" s="8"/>
      <c r="D86" s="8"/>
      <c r="E86" s="8"/>
      <c r="F86" s="53"/>
      <c r="G86" s="53"/>
      <c r="H86" s="258"/>
    </row>
    <row r="87">
      <c r="B87" s="8" t="s">
        <v>20</v>
      </c>
      <c r="C87" s="8"/>
      <c r="D87" s="8"/>
      <c r="E87" s="8"/>
      <c r="F87" s="53"/>
      <c r="G87" s="53"/>
      <c r="H87" s="258"/>
    </row>
    <row r="88">
      <c r="B88" s="8" t="s">
        <v>20</v>
      </c>
      <c r="C88" s="8"/>
      <c r="D88" s="8"/>
      <c r="E88" s="8"/>
      <c r="F88" s="53"/>
      <c r="G88" s="53"/>
      <c r="H88" s="258"/>
    </row>
    <row r="89">
      <c r="B89" s="8" t="s">
        <v>20</v>
      </c>
      <c r="C89" s="8"/>
      <c r="D89" s="8"/>
      <c r="E89" s="8"/>
      <c r="F89" s="53"/>
      <c r="G89" s="53"/>
      <c r="H89" s="258"/>
    </row>
    <row r="90">
      <c r="B90" s="8" t="s">
        <v>20</v>
      </c>
      <c r="C90" s="8"/>
      <c r="D90" s="8"/>
      <c r="E90" s="8"/>
      <c r="F90" s="53"/>
      <c r="G90" s="53"/>
      <c r="H90" s="258"/>
    </row>
    <row r="91">
      <c r="B91" s="8" t="s">
        <v>20</v>
      </c>
      <c r="C91" s="8"/>
      <c r="D91" s="8"/>
      <c r="E91" s="8"/>
      <c r="F91" s="53"/>
      <c r="G91" s="53"/>
      <c r="H91" s="258"/>
    </row>
    <row r="92">
      <c r="B92" s="8" t="s">
        <v>20</v>
      </c>
      <c r="C92" s="8"/>
      <c r="D92" s="8"/>
      <c r="E92" s="8"/>
      <c r="F92" s="53"/>
      <c r="G92" s="53"/>
      <c r="H92" s="258"/>
    </row>
    <row r="93">
      <c r="B93" s="8" t="s">
        <v>20</v>
      </c>
      <c r="C93" s="8"/>
      <c r="D93" s="8"/>
      <c r="E93" s="8"/>
      <c r="F93" s="53"/>
      <c r="G93" s="53"/>
      <c r="H93" s="258"/>
    </row>
    <row r="94">
      <c r="B94" s="8" t="s">
        <v>20</v>
      </c>
      <c r="C94" s="8"/>
      <c r="D94" s="8"/>
      <c r="E94" s="8"/>
      <c r="F94" s="53"/>
      <c r="G94" s="53"/>
      <c r="H94" s="258"/>
    </row>
    <row r="95">
      <c r="B95" s="8" t="s">
        <v>20</v>
      </c>
      <c r="C95" s="8"/>
      <c r="D95" s="8"/>
      <c r="E95" s="8"/>
      <c r="F95" s="53"/>
      <c r="G95" s="53"/>
      <c r="H95" s="258"/>
    </row>
    <row r="96">
      <c r="B96" s="8" t="s">
        <v>20</v>
      </c>
      <c r="C96" s="8"/>
      <c r="D96" s="8"/>
      <c r="E96" s="8"/>
      <c r="F96" s="53"/>
      <c r="G96" s="53"/>
      <c r="H96" s="258"/>
    </row>
    <row r="97">
      <c r="D97" s="8"/>
      <c r="E97" s="8"/>
      <c r="F97" s="53"/>
      <c r="G97" s="53"/>
      <c r="H97" s="258"/>
    </row>
    <row r="98">
      <c r="D98" s="8"/>
      <c r="E98" s="8"/>
      <c r="F98" s="53"/>
      <c r="G98" s="53"/>
      <c r="H98" s="258"/>
    </row>
    <row r="99">
      <c r="D99" s="8"/>
      <c r="E99" s="8"/>
      <c r="F99" s="53"/>
      <c r="G99" s="53"/>
      <c r="H99" s="258"/>
    </row>
    <row r="100">
      <c r="D100" s="8"/>
      <c r="E100" s="8"/>
      <c r="F100" s="53"/>
      <c r="G100" s="53"/>
      <c r="H100" s="258"/>
    </row>
    <row r="101">
      <c r="D101" s="8"/>
      <c r="E101" s="8"/>
      <c r="F101" s="53"/>
      <c r="G101" s="53"/>
      <c r="H101" s="258"/>
    </row>
    <row r="102">
      <c r="D102" s="8"/>
      <c r="E102" s="8"/>
      <c r="F102" s="53"/>
      <c r="G102" s="53"/>
      <c r="H102" s="258"/>
    </row>
    <row r="103">
      <c r="D103" s="8"/>
      <c r="E103" s="8"/>
      <c r="F103" s="53"/>
      <c r="G103" s="53"/>
      <c r="H103" s="258"/>
    </row>
    <row r="104">
      <c r="D104" s="8"/>
      <c r="E104" s="8"/>
      <c r="F104" s="53"/>
      <c r="G104" s="53"/>
      <c r="H104" s="258"/>
    </row>
    <row r="105">
      <c r="D105" s="8"/>
      <c r="E105" s="8"/>
      <c r="F105" s="53"/>
      <c r="G105" s="53"/>
      <c r="H105" s="258"/>
    </row>
    <row r="106">
      <c r="D106" s="8"/>
      <c r="E106" s="8"/>
      <c r="F106" s="53"/>
      <c r="G106" s="53"/>
      <c r="H106" s="258"/>
    </row>
    <row r="107">
      <c r="D107" s="8"/>
      <c r="E107" s="8"/>
      <c r="F107" s="53"/>
      <c r="G107" s="53"/>
      <c r="H107" s="258"/>
    </row>
    <row r="108">
      <c r="D108" s="8"/>
      <c r="E108" s="8"/>
      <c r="F108" s="53"/>
      <c r="G108" s="53"/>
      <c r="H108" s="258"/>
    </row>
    <row r="109">
      <c r="D109" s="8"/>
      <c r="E109" s="8"/>
      <c r="F109" s="53"/>
      <c r="G109" s="53"/>
      <c r="H109" s="258"/>
    </row>
    <row r="110">
      <c r="D110" s="8"/>
      <c r="E110" s="8"/>
      <c r="F110" s="53"/>
      <c r="G110" s="53"/>
      <c r="H110" s="258"/>
    </row>
    <row r="111">
      <c r="D111" s="8"/>
      <c r="E111" s="8"/>
      <c r="F111" s="53"/>
      <c r="G111" s="53"/>
      <c r="H111" s="258"/>
    </row>
    <row r="112">
      <c r="D112" s="8"/>
      <c r="E112" s="8"/>
      <c r="F112" s="53"/>
      <c r="G112" s="53"/>
      <c r="H112" s="258"/>
    </row>
    <row r="113">
      <c r="D113" s="8"/>
      <c r="E113" s="8"/>
      <c r="F113" s="53"/>
      <c r="G113" s="53"/>
      <c r="H113" s="258"/>
    </row>
    <row r="114">
      <c r="D114" s="8"/>
      <c r="E114" s="8"/>
      <c r="F114" s="53"/>
      <c r="G114" s="53"/>
      <c r="H114" s="258"/>
    </row>
    <row r="115">
      <c r="D115" s="8"/>
      <c r="E115" s="8"/>
      <c r="F115" s="53"/>
      <c r="G115" s="53"/>
      <c r="H115" s="258"/>
    </row>
    <row r="116">
      <c r="D116" s="8"/>
      <c r="E116" s="8"/>
      <c r="F116" s="53"/>
      <c r="G116" s="53"/>
      <c r="H116" s="258"/>
    </row>
    <row r="117">
      <c r="D117" s="8"/>
      <c r="E117" s="8"/>
      <c r="F117" s="53"/>
      <c r="G117" s="53"/>
      <c r="H117" s="258"/>
    </row>
    <row r="118">
      <c r="D118" s="8"/>
      <c r="E118" s="8"/>
      <c r="F118" s="53"/>
      <c r="G118" s="53"/>
      <c r="H118" s="258"/>
    </row>
    <row r="119">
      <c r="D119" s="8"/>
      <c r="E119" s="8"/>
      <c r="F119" s="53"/>
      <c r="G119" s="53"/>
      <c r="H119" s="258"/>
    </row>
    <row r="120">
      <c r="D120" s="8"/>
      <c r="E120" s="8"/>
      <c r="F120" s="53"/>
      <c r="G120" s="53"/>
      <c r="H120" s="258"/>
    </row>
    <row r="121">
      <c r="D121" s="8"/>
      <c r="E121" s="8"/>
      <c r="F121" s="53"/>
      <c r="G121" s="53"/>
      <c r="H121" s="258"/>
    </row>
    <row r="122">
      <c r="D122" s="8"/>
      <c r="E122" s="8"/>
      <c r="F122" s="53"/>
      <c r="G122" s="53"/>
      <c r="H122" s="258"/>
    </row>
    <row r="123">
      <c r="D123" s="8"/>
      <c r="E123" s="8"/>
      <c r="F123" s="53"/>
      <c r="G123" s="53"/>
      <c r="H123" s="258"/>
    </row>
    <row r="124">
      <c r="D124" s="8"/>
      <c r="E124" s="8"/>
      <c r="F124" s="53"/>
      <c r="G124" s="53"/>
      <c r="H124" s="258"/>
    </row>
    <row r="125">
      <c r="D125" s="8"/>
      <c r="E125" s="8"/>
      <c r="F125" s="53"/>
      <c r="G125" s="53"/>
      <c r="H125" s="258"/>
    </row>
    <row r="126">
      <c r="D126" s="8"/>
      <c r="E126" s="8"/>
      <c r="F126" s="53"/>
      <c r="G126" s="53"/>
      <c r="H126" s="258"/>
    </row>
    <row r="127">
      <c r="D127" s="8"/>
      <c r="E127" s="8"/>
      <c r="F127" s="53"/>
      <c r="G127" s="53"/>
      <c r="H127" s="258"/>
    </row>
    <row r="128">
      <c r="D128" s="8"/>
      <c r="E128" s="8"/>
      <c r="F128" s="53"/>
      <c r="G128" s="53"/>
      <c r="H128" s="258"/>
    </row>
    <row r="129">
      <c r="D129" s="8"/>
      <c r="E129" s="8"/>
      <c r="F129" s="53"/>
      <c r="G129" s="53"/>
      <c r="H129" s="258"/>
    </row>
    <row r="130">
      <c r="D130" s="8"/>
      <c r="E130" s="8"/>
      <c r="F130" s="53"/>
      <c r="G130" s="53"/>
      <c r="H130" s="258"/>
    </row>
    <row r="131">
      <c r="D131" s="8"/>
      <c r="E131" s="8"/>
      <c r="F131" s="53"/>
      <c r="G131" s="53"/>
      <c r="H131" s="258"/>
    </row>
    <row r="132">
      <c r="D132" s="8"/>
      <c r="E132" s="8"/>
      <c r="F132" s="53"/>
      <c r="G132" s="53"/>
      <c r="H132" s="258"/>
    </row>
    <row r="133">
      <c r="D133" s="8"/>
      <c r="E133" s="8"/>
      <c r="F133" s="53"/>
      <c r="G133" s="53"/>
      <c r="H133" s="258"/>
    </row>
    <row r="134">
      <c r="D134" s="8"/>
      <c r="E134" s="8"/>
      <c r="F134" s="53"/>
      <c r="G134" s="53"/>
      <c r="H134" s="258"/>
    </row>
    <row r="135">
      <c r="D135" s="8"/>
      <c r="E135" s="8"/>
      <c r="F135" s="53"/>
      <c r="G135" s="53"/>
      <c r="H135" s="258"/>
    </row>
    <row r="136">
      <c r="D136" s="8"/>
      <c r="E136" s="8"/>
      <c r="F136" s="53"/>
      <c r="G136" s="53"/>
      <c r="H136" s="258"/>
    </row>
    <row r="137">
      <c r="D137" s="8"/>
      <c r="E137" s="8"/>
      <c r="F137" s="53"/>
      <c r="G137" s="53"/>
      <c r="H137" s="258"/>
    </row>
    <row r="138">
      <c r="D138" s="8"/>
      <c r="E138" s="8"/>
      <c r="F138" s="53"/>
      <c r="G138" s="53"/>
      <c r="H138" s="258"/>
    </row>
    <row r="139">
      <c r="D139" s="8"/>
      <c r="E139" s="8"/>
      <c r="F139" s="53"/>
      <c r="G139" s="53"/>
      <c r="H139" s="258"/>
    </row>
    <row r="140">
      <c r="D140" s="8"/>
      <c r="E140" s="8"/>
      <c r="F140" s="53"/>
      <c r="G140" s="53"/>
      <c r="H140" s="258"/>
    </row>
    <row r="141">
      <c r="D141" s="8"/>
      <c r="E141" s="8"/>
      <c r="F141" s="53"/>
      <c r="G141" s="53"/>
      <c r="H141" s="258"/>
    </row>
    <row r="142">
      <c r="D142" s="8"/>
      <c r="E142" s="8"/>
      <c r="F142" s="53"/>
      <c r="G142" s="53"/>
      <c r="H142" s="258"/>
    </row>
    <row r="143">
      <c r="D143" s="8"/>
      <c r="E143" s="8"/>
      <c r="F143" s="53"/>
      <c r="G143" s="53"/>
      <c r="H143" s="258"/>
    </row>
    <row r="144">
      <c r="D144" s="8"/>
      <c r="E144" s="8"/>
      <c r="F144" s="53"/>
      <c r="G144" s="53"/>
      <c r="H144" s="258"/>
    </row>
    <row r="145">
      <c r="D145" s="8"/>
      <c r="E145" s="8"/>
      <c r="F145" s="53"/>
      <c r="G145" s="53"/>
      <c r="H145" s="258"/>
    </row>
    <row r="146">
      <c r="D146" s="8"/>
      <c r="E146" s="8"/>
      <c r="F146" s="53"/>
      <c r="G146" s="53"/>
      <c r="H146" s="258"/>
    </row>
    <row r="147">
      <c r="D147" s="8"/>
      <c r="E147" s="8"/>
      <c r="F147" s="53"/>
      <c r="G147" s="53"/>
      <c r="H147" s="258"/>
    </row>
    <row r="148">
      <c r="D148" s="8"/>
      <c r="E148" s="8"/>
      <c r="F148" s="53"/>
      <c r="G148" s="53"/>
      <c r="H148" s="258"/>
    </row>
    <row r="149">
      <c r="D149" s="8"/>
      <c r="E149" s="8"/>
      <c r="F149" s="53"/>
      <c r="G149" s="53"/>
      <c r="H149" s="258"/>
    </row>
    <row r="150">
      <c r="D150" s="8"/>
      <c r="E150" s="8"/>
      <c r="F150" s="53"/>
      <c r="G150" s="53"/>
      <c r="H150" s="258"/>
    </row>
    <row r="151">
      <c r="D151" s="8"/>
      <c r="E151" s="8"/>
      <c r="F151" s="53"/>
      <c r="G151" s="53"/>
      <c r="H151" s="258"/>
    </row>
    <row r="152">
      <c r="D152" s="8"/>
      <c r="E152" s="8"/>
      <c r="F152" s="53"/>
      <c r="G152" s="53"/>
      <c r="H152" s="258"/>
    </row>
    <row r="153">
      <c r="D153" s="8"/>
      <c r="E153" s="8"/>
      <c r="F153" s="53"/>
      <c r="G153" s="53"/>
      <c r="H153" s="258"/>
    </row>
    <row r="154">
      <c r="D154" s="8"/>
      <c r="E154" s="8"/>
      <c r="F154" s="53"/>
      <c r="G154" s="53"/>
      <c r="H154" s="258"/>
    </row>
    <row r="155">
      <c r="D155" s="8"/>
      <c r="E155" s="8"/>
      <c r="F155" s="53"/>
      <c r="G155" s="53"/>
      <c r="H155" s="258"/>
    </row>
    <row r="156">
      <c r="D156" s="8"/>
      <c r="E156" s="8"/>
      <c r="F156" s="53"/>
      <c r="G156" s="53"/>
      <c r="H156" s="258"/>
    </row>
    <row r="157">
      <c r="D157" s="8"/>
      <c r="E157" s="8"/>
      <c r="F157" s="53"/>
      <c r="G157" s="53"/>
      <c r="H157" s="258"/>
    </row>
    <row r="158">
      <c r="D158" s="8"/>
      <c r="E158" s="8"/>
      <c r="F158" s="53"/>
      <c r="G158" s="53"/>
      <c r="H158" s="258"/>
    </row>
    <row r="159">
      <c r="D159" s="8"/>
      <c r="E159" s="8"/>
      <c r="F159" s="53"/>
      <c r="G159" s="53"/>
      <c r="H159" s="258"/>
    </row>
    <row r="160">
      <c r="D160" s="8"/>
      <c r="E160" s="8"/>
      <c r="F160" s="53"/>
      <c r="G160" s="53"/>
      <c r="H160" s="258"/>
    </row>
    <row r="161">
      <c r="D161" s="8"/>
      <c r="E161" s="8"/>
      <c r="F161" s="53"/>
      <c r="G161" s="53"/>
      <c r="H161" s="258"/>
    </row>
    <row r="162">
      <c r="D162" s="8"/>
      <c r="E162" s="8"/>
      <c r="F162" s="53"/>
      <c r="G162" s="53"/>
      <c r="H162" s="258"/>
    </row>
    <row r="163">
      <c r="D163" s="8"/>
      <c r="E163" s="8"/>
      <c r="F163" s="53"/>
      <c r="G163" s="53"/>
      <c r="H163" s="258"/>
    </row>
    <row r="164">
      <c r="D164" s="8"/>
      <c r="E164" s="8"/>
      <c r="F164" s="53"/>
      <c r="G164" s="53"/>
      <c r="H164" s="258"/>
    </row>
    <row r="165">
      <c r="D165" s="8"/>
      <c r="E165" s="8"/>
      <c r="F165" s="53"/>
      <c r="G165" s="53"/>
      <c r="H165" s="258"/>
    </row>
    <row r="166">
      <c r="D166" s="8"/>
      <c r="E166" s="8"/>
      <c r="F166" s="53"/>
      <c r="G166" s="53"/>
      <c r="H166" s="258"/>
    </row>
    <row r="167">
      <c r="D167" s="8"/>
      <c r="E167" s="8"/>
      <c r="F167" s="53"/>
      <c r="G167" s="53"/>
      <c r="H167" s="258"/>
    </row>
    <row r="168">
      <c r="D168" s="8"/>
      <c r="E168" s="8"/>
      <c r="F168" s="53"/>
      <c r="G168" s="53"/>
      <c r="H168" s="258"/>
    </row>
    <row r="169">
      <c r="D169" s="8"/>
      <c r="E169" s="8"/>
      <c r="F169" s="53"/>
      <c r="G169" s="53"/>
      <c r="H169" s="258"/>
    </row>
    <row r="170">
      <c r="D170" s="8"/>
      <c r="E170" s="8"/>
      <c r="F170" s="53"/>
      <c r="G170" s="53"/>
      <c r="H170" s="258"/>
    </row>
    <row r="171">
      <c r="D171" s="8"/>
      <c r="E171" s="8"/>
      <c r="F171" s="53"/>
      <c r="G171" s="53"/>
      <c r="H171" s="258"/>
    </row>
    <row r="172">
      <c r="D172" s="8"/>
      <c r="E172" s="8"/>
      <c r="F172" s="53"/>
      <c r="G172" s="53"/>
      <c r="H172" s="258"/>
    </row>
    <row r="173">
      <c r="D173" s="8"/>
      <c r="E173" s="8"/>
      <c r="F173" s="53"/>
      <c r="G173" s="53"/>
      <c r="H173" s="258"/>
    </row>
    <row r="174">
      <c r="D174" s="8"/>
      <c r="E174" s="8"/>
      <c r="F174" s="53"/>
      <c r="G174" s="53"/>
      <c r="H174" s="258"/>
    </row>
    <row r="175">
      <c r="D175" s="8"/>
      <c r="E175" s="8"/>
      <c r="F175" s="53"/>
      <c r="G175" s="53"/>
      <c r="H175" s="258"/>
    </row>
    <row r="176">
      <c r="D176" s="8"/>
      <c r="E176" s="8"/>
      <c r="F176" s="53"/>
      <c r="G176" s="53"/>
      <c r="H176" s="258"/>
    </row>
    <row r="177">
      <c r="D177" s="8"/>
      <c r="E177" s="8"/>
      <c r="F177" s="53"/>
      <c r="G177" s="53"/>
      <c r="H177" s="258"/>
    </row>
    <row r="178">
      <c r="D178" s="8"/>
      <c r="E178" s="8"/>
      <c r="F178" s="53"/>
      <c r="G178" s="53"/>
      <c r="H178" s="258"/>
    </row>
    <row r="179">
      <c r="D179" s="8"/>
      <c r="E179" s="8"/>
      <c r="F179" s="53"/>
      <c r="G179" s="53"/>
      <c r="H179" s="258"/>
    </row>
    <row r="180">
      <c r="D180" s="8"/>
      <c r="E180" s="8"/>
      <c r="F180" s="53"/>
      <c r="G180" s="53"/>
      <c r="H180" s="258"/>
    </row>
    <row r="181">
      <c r="D181" s="8"/>
      <c r="E181" s="8"/>
      <c r="F181" s="53"/>
      <c r="G181" s="53"/>
      <c r="H181" s="258"/>
    </row>
    <row r="182">
      <c r="D182" s="8"/>
      <c r="E182" s="8"/>
      <c r="F182" s="53"/>
      <c r="G182" s="53"/>
      <c r="H182" s="258"/>
    </row>
    <row r="183">
      <c r="D183" s="8"/>
      <c r="E183" s="8"/>
      <c r="F183" s="53"/>
      <c r="G183" s="53"/>
      <c r="H183" s="258"/>
    </row>
    <row r="184">
      <c r="D184" s="8"/>
      <c r="E184" s="8"/>
      <c r="F184" s="53"/>
      <c r="G184" s="53"/>
      <c r="H184" s="258"/>
    </row>
    <row r="185">
      <c r="D185" s="8"/>
      <c r="E185" s="8"/>
      <c r="F185" s="53"/>
      <c r="G185" s="53"/>
      <c r="H185" s="258"/>
    </row>
    <row r="186">
      <c r="D186" s="8"/>
      <c r="E186" s="8"/>
      <c r="F186" s="53"/>
      <c r="G186" s="53"/>
      <c r="H186" s="258"/>
    </row>
    <row r="187">
      <c r="D187" s="8"/>
      <c r="E187" s="8"/>
      <c r="F187" s="53"/>
      <c r="G187" s="53"/>
      <c r="H187" s="258"/>
    </row>
    <row r="188">
      <c r="D188" s="8"/>
      <c r="E188" s="8"/>
      <c r="F188" s="53"/>
      <c r="G188" s="53"/>
      <c r="H188" s="258"/>
    </row>
    <row r="189">
      <c r="D189" s="8"/>
      <c r="E189" s="8"/>
      <c r="F189" s="53"/>
      <c r="G189" s="53"/>
      <c r="H189" s="258"/>
    </row>
    <row r="190">
      <c r="D190" s="8"/>
      <c r="E190" s="8"/>
      <c r="F190" s="53"/>
      <c r="G190" s="53"/>
      <c r="H190" s="258"/>
    </row>
    <row r="191">
      <c r="D191" s="8"/>
      <c r="E191" s="8"/>
      <c r="F191" s="53"/>
      <c r="G191" s="53"/>
      <c r="H191" s="258"/>
    </row>
    <row r="192">
      <c r="D192" s="8"/>
      <c r="E192" s="8"/>
      <c r="F192" s="53"/>
      <c r="G192" s="53"/>
      <c r="H192" s="258"/>
    </row>
    <row r="193">
      <c r="D193" s="8"/>
      <c r="E193" s="8"/>
      <c r="F193" s="53"/>
      <c r="G193" s="53"/>
      <c r="H193" s="258"/>
    </row>
    <row r="194">
      <c r="D194" s="8"/>
      <c r="E194" s="8"/>
      <c r="F194" s="53"/>
      <c r="G194" s="53"/>
      <c r="H194" s="258"/>
    </row>
    <row r="195">
      <c r="D195" s="8"/>
      <c r="E195" s="8"/>
      <c r="F195" s="53"/>
      <c r="G195" s="53"/>
      <c r="H195" s="258"/>
    </row>
    <row r="196">
      <c r="D196" s="8"/>
      <c r="E196" s="8"/>
      <c r="F196" s="53"/>
      <c r="G196" s="53"/>
      <c r="H196" s="258"/>
    </row>
    <row r="197">
      <c r="D197" s="8"/>
      <c r="E197" s="8"/>
      <c r="F197" s="53"/>
      <c r="G197" s="53"/>
      <c r="H197" s="258"/>
    </row>
    <row r="198">
      <c r="D198" s="8"/>
      <c r="E198" s="8"/>
      <c r="F198" s="53"/>
      <c r="G198" s="53"/>
      <c r="H198" s="258"/>
    </row>
    <row r="199">
      <c r="D199" s="8"/>
      <c r="E199" s="8"/>
      <c r="F199" s="53"/>
      <c r="G199" s="53"/>
      <c r="H199" s="258"/>
    </row>
    <row r="200">
      <c r="D200" s="8"/>
      <c r="E200" s="8"/>
      <c r="F200" s="53"/>
      <c r="G200" s="53"/>
      <c r="H200" s="258"/>
    </row>
    <row r="201">
      <c r="D201" s="8"/>
      <c r="E201" s="8"/>
      <c r="F201" s="53"/>
      <c r="G201" s="53"/>
      <c r="H201" s="258"/>
    </row>
    <row r="202">
      <c r="D202" s="8"/>
      <c r="E202" s="8"/>
      <c r="F202" s="53"/>
      <c r="G202" s="53"/>
      <c r="H202" s="258"/>
    </row>
    <row r="203">
      <c r="D203" s="8"/>
      <c r="E203" s="8"/>
      <c r="F203" s="53"/>
      <c r="G203" s="53"/>
      <c r="H203" s="258"/>
    </row>
    <row r="204">
      <c r="D204" s="8"/>
      <c r="E204" s="8"/>
      <c r="F204" s="53"/>
      <c r="G204" s="53"/>
      <c r="H204" s="258"/>
    </row>
    <row r="205">
      <c r="D205" s="8"/>
      <c r="E205" s="8"/>
      <c r="F205" s="53"/>
      <c r="G205" s="53"/>
      <c r="H205" s="258"/>
    </row>
    <row r="206">
      <c r="D206" s="8"/>
      <c r="E206" s="8"/>
      <c r="F206" s="53"/>
      <c r="G206" s="53"/>
      <c r="H206" s="258"/>
    </row>
    <row r="207">
      <c r="D207" s="8"/>
      <c r="E207" s="8"/>
      <c r="F207" s="53"/>
      <c r="G207" s="53"/>
      <c r="H207" s="258"/>
    </row>
    <row r="208">
      <c r="D208" s="8"/>
      <c r="E208" s="8"/>
      <c r="F208" s="53"/>
      <c r="G208" s="53"/>
      <c r="H208" s="258"/>
    </row>
    <row r="209">
      <c r="D209" s="8"/>
      <c r="E209" s="8"/>
      <c r="F209" s="53"/>
      <c r="G209" s="53"/>
      <c r="H209" s="258"/>
    </row>
    <row r="210">
      <c r="D210" s="8"/>
      <c r="E210" s="8"/>
      <c r="F210" s="53"/>
      <c r="G210" s="53"/>
      <c r="H210" s="258"/>
    </row>
    <row r="211">
      <c r="D211" s="8"/>
      <c r="E211" s="8"/>
      <c r="F211" s="53"/>
      <c r="G211" s="53"/>
      <c r="H211" s="258"/>
    </row>
    <row r="212">
      <c r="D212" s="8"/>
      <c r="E212" s="8"/>
      <c r="F212" s="53"/>
      <c r="G212" s="53"/>
      <c r="H212" s="258"/>
    </row>
    <row r="213">
      <c r="D213" s="8"/>
      <c r="E213" s="8"/>
      <c r="F213" s="53"/>
      <c r="G213" s="53"/>
      <c r="H213" s="258"/>
    </row>
    <row r="214">
      <c r="D214" s="8"/>
      <c r="E214" s="8"/>
      <c r="F214" s="53"/>
      <c r="G214" s="53"/>
      <c r="H214" s="258"/>
    </row>
    <row r="215">
      <c r="D215" s="8"/>
      <c r="E215" s="8"/>
      <c r="F215" s="53"/>
      <c r="G215" s="53"/>
      <c r="H215" s="258"/>
    </row>
    <row r="216">
      <c r="D216" s="8"/>
      <c r="E216" s="8"/>
      <c r="F216" s="53"/>
      <c r="G216" s="53"/>
      <c r="H216" s="258"/>
    </row>
    <row r="217">
      <c r="D217" s="8"/>
      <c r="E217" s="8"/>
      <c r="F217" s="53"/>
      <c r="G217" s="53"/>
      <c r="H217" s="258"/>
    </row>
    <row r="218">
      <c r="D218" s="8"/>
      <c r="E218" s="8"/>
      <c r="F218" s="53"/>
      <c r="G218" s="53"/>
      <c r="H218" s="258"/>
    </row>
    <row r="219">
      <c r="D219" s="8"/>
      <c r="E219" s="8"/>
      <c r="F219" s="53"/>
      <c r="G219" s="53"/>
      <c r="H219" s="258"/>
    </row>
    <row r="220">
      <c r="D220" s="8"/>
      <c r="E220" s="8"/>
      <c r="F220" s="53"/>
      <c r="G220" s="53"/>
      <c r="H220" s="258"/>
    </row>
    <row r="221">
      <c r="D221" s="8"/>
      <c r="E221" s="8"/>
      <c r="F221" s="53"/>
      <c r="G221" s="53"/>
      <c r="H221" s="258"/>
    </row>
    <row r="222">
      <c r="D222" s="8"/>
      <c r="E222" s="8"/>
      <c r="F222" s="53"/>
      <c r="G222" s="53"/>
      <c r="H222" s="258"/>
    </row>
    <row r="223">
      <c r="D223" s="8"/>
      <c r="E223" s="8"/>
      <c r="F223" s="53"/>
      <c r="G223" s="53"/>
      <c r="H223" s="258"/>
    </row>
    <row r="224">
      <c r="D224" s="8"/>
      <c r="E224" s="8"/>
      <c r="F224" s="53"/>
      <c r="G224" s="53"/>
      <c r="H224" s="258"/>
    </row>
    <row r="225">
      <c r="D225" s="8"/>
      <c r="E225" s="8"/>
      <c r="F225" s="53"/>
      <c r="G225" s="53"/>
      <c r="H225" s="258"/>
    </row>
    <row r="226">
      <c r="D226" s="8"/>
      <c r="E226" s="8"/>
      <c r="F226" s="53"/>
      <c r="G226" s="53"/>
      <c r="H226" s="258"/>
    </row>
    <row r="227">
      <c r="D227" s="8"/>
      <c r="E227" s="8"/>
      <c r="F227" s="53"/>
      <c r="G227" s="53"/>
      <c r="H227" s="258"/>
    </row>
    <row r="228">
      <c r="D228" s="8"/>
      <c r="E228" s="8"/>
      <c r="F228" s="53"/>
      <c r="G228" s="53"/>
      <c r="H228" s="258"/>
    </row>
    <row r="229">
      <c r="D229" s="8"/>
      <c r="E229" s="8"/>
      <c r="F229" s="53"/>
      <c r="G229" s="53"/>
      <c r="H229" s="258"/>
    </row>
    <row r="230">
      <c r="D230" s="8"/>
      <c r="E230" s="8"/>
      <c r="F230" s="53"/>
      <c r="G230" s="53"/>
      <c r="H230" s="258"/>
    </row>
    <row r="231">
      <c r="D231" s="8"/>
      <c r="E231" s="8"/>
      <c r="F231" s="53"/>
      <c r="G231" s="53"/>
      <c r="H231" s="258"/>
    </row>
    <row r="232">
      <c r="D232" s="8"/>
      <c r="E232" s="8"/>
      <c r="F232" s="53"/>
      <c r="G232" s="53"/>
      <c r="H232" s="258"/>
    </row>
    <row r="233">
      <c r="D233" s="8"/>
      <c r="E233" s="8"/>
      <c r="F233" s="53"/>
      <c r="G233" s="53"/>
      <c r="H233" s="258"/>
    </row>
    <row r="234">
      <c r="D234" s="8"/>
      <c r="E234" s="8"/>
      <c r="F234" s="53"/>
      <c r="G234" s="53"/>
      <c r="H234" s="258"/>
    </row>
    <row r="235">
      <c r="D235" s="8"/>
      <c r="E235" s="8"/>
      <c r="F235" s="53"/>
      <c r="G235" s="53"/>
      <c r="H235" s="258"/>
    </row>
    <row r="236">
      <c r="D236" s="8"/>
      <c r="E236" s="8"/>
      <c r="F236" s="53"/>
      <c r="G236" s="53"/>
      <c r="H236" s="258"/>
    </row>
    <row r="237">
      <c r="D237" s="8"/>
      <c r="E237" s="8"/>
      <c r="F237" s="53"/>
      <c r="G237" s="53"/>
      <c r="H237" s="258"/>
    </row>
    <row r="238">
      <c r="D238" s="8"/>
      <c r="E238" s="8"/>
      <c r="F238" s="53"/>
      <c r="G238" s="53"/>
      <c r="H238" s="258"/>
    </row>
    <row r="239">
      <c r="D239" s="8"/>
      <c r="E239" s="8"/>
      <c r="F239" s="53"/>
      <c r="G239" s="53"/>
      <c r="H239" s="258"/>
    </row>
    <row r="240">
      <c r="D240" s="8"/>
      <c r="E240" s="8"/>
      <c r="F240" s="53"/>
      <c r="G240" s="53"/>
      <c r="H240" s="258"/>
    </row>
    <row r="241">
      <c r="D241" s="8"/>
      <c r="E241" s="8"/>
      <c r="F241" s="53"/>
      <c r="G241" s="53"/>
      <c r="H241" s="258"/>
    </row>
    <row r="242">
      <c r="D242" s="8"/>
      <c r="E242" s="8"/>
      <c r="F242" s="53"/>
      <c r="G242" s="53"/>
      <c r="H242" s="258"/>
    </row>
    <row r="243">
      <c r="D243" s="8"/>
      <c r="E243" s="8"/>
      <c r="F243" s="53"/>
      <c r="G243" s="53"/>
      <c r="H243" s="258"/>
    </row>
    <row r="244">
      <c r="D244" s="8"/>
      <c r="E244" s="8"/>
      <c r="F244" s="53"/>
      <c r="G244" s="53"/>
      <c r="H244" s="258"/>
    </row>
    <row r="245">
      <c r="D245" s="8"/>
      <c r="E245" s="8"/>
      <c r="F245" s="53"/>
      <c r="G245" s="53"/>
      <c r="H245" s="258"/>
    </row>
    <row r="246">
      <c r="D246" s="8"/>
      <c r="E246" s="8"/>
      <c r="F246" s="53"/>
      <c r="G246" s="53"/>
      <c r="H246" s="258"/>
    </row>
    <row r="247">
      <c r="D247" s="8"/>
      <c r="E247" s="8"/>
      <c r="F247" s="53"/>
      <c r="G247" s="53"/>
      <c r="H247" s="258"/>
    </row>
    <row r="248">
      <c r="D248" s="8"/>
      <c r="E248" s="8"/>
      <c r="F248" s="53"/>
      <c r="G248" s="53"/>
      <c r="H248" s="258"/>
    </row>
    <row r="249">
      <c r="D249" s="8"/>
      <c r="E249" s="8"/>
      <c r="F249" s="53"/>
      <c r="G249" s="53"/>
      <c r="H249" s="258"/>
    </row>
    <row r="250">
      <c r="D250" s="8"/>
      <c r="E250" s="8"/>
      <c r="F250" s="53"/>
      <c r="G250" s="53"/>
      <c r="H250" s="258"/>
    </row>
    <row r="251">
      <c r="D251" s="8"/>
      <c r="E251" s="8"/>
      <c r="F251" s="53"/>
      <c r="G251" s="53"/>
      <c r="H251" s="258"/>
    </row>
    <row r="252">
      <c r="D252" s="8"/>
      <c r="E252" s="8"/>
      <c r="F252" s="53"/>
      <c r="G252" s="53"/>
      <c r="H252" s="258"/>
    </row>
    <row r="253">
      <c r="D253" s="8"/>
      <c r="E253" s="8"/>
      <c r="F253" s="53"/>
      <c r="G253" s="53"/>
      <c r="H253" s="258"/>
    </row>
    <row r="254">
      <c r="D254" s="8"/>
      <c r="E254" s="8"/>
      <c r="F254" s="53"/>
      <c r="G254" s="53"/>
      <c r="H254" s="258"/>
    </row>
    <row r="255">
      <c r="D255" s="8"/>
      <c r="E255" s="8"/>
      <c r="F255" s="53"/>
      <c r="G255" s="53"/>
      <c r="H255" s="258"/>
    </row>
    <row r="256">
      <c r="D256" s="8"/>
      <c r="E256" s="8"/>
      <c r="F256" s="53"/>
      <c r="G256" s="53"/>
      <c r="H256" s="258"/>
    </row>
    <row r="257">
      <c r="D257" s="8"/>
      <c r="E257" s="8"/>
      <c r="F257" s="53"/>
      <c r="G257" s="53"/>
      <c r="H257" s="258"/>
    </row>
    <row r="258">
      <c r="D258" s="8"/>
      <c r="E258" s="8"/>
      <c r="F258" s="53"/>
      <c r="G258" s="53"/>
      <c r="H258" s="258"/>
    </row>
    <row r="259">
      <c r="D259" s="8"/>
      <c r="E259" s="8"/>
      <c r="F259" s="53"/>
      <c r="G259" s="53"/>
      <c r="H259" s="258"/>
    </row>
    <row r="260">
      <c r="D260" s="8"/>
      <c r="E260" s="8"/>
      <c r="F260" s="53"/>
      <c r="G260" s="53"/>
      <c r="H260" s="258"/>
    </row>
    <row r="261">
      <c r="D261" s="8"/>
      <c r="E261" s="8"/>
      <c r="F261" s="53"/>
      <c r="G261" s="53"/>
      <c r="H261" s="258"/>
    </row>
    <row r="262">
      <c r="D262" s="8"/>
      <c r="E262" s="8"/>
      <c r="F262" s="53"/>
      <c r="G262" s="53"/>
      <c r="H262" s="258"/>
    </row>
    <row r="263">
      <c r="D263" s="8"/>
      <c r="E263" s="8"/>
      <c r="F263" s="53"/>
      <c r="G263" s="53"/>
      <c r="H263" s="258"/>
    </row>
    <row r="264">
      <c r="D264" s="8"/>
      <c r="E264" s="8"/>
      <c r="F264" s="53"/>
      <c r="G264" s="53"/>
      <c r="H264" s="258"/>
    </row>
    <row r="265">
      <c r="D265" s="8"/>
      <c r="E265" s="8"/>
      <c r="F265" s="53"/>
      <c r="G265" s="53"/>
      <c r="H265" s="258"/>
    </row>
    <row r="266">
      <c r="D266" s="8"/>
      <c r="E266" s="8"/>
      <c r="F266" s="53"/>
      <c r="G266" s="53"/>
      <c r="H266" s="258"/>
    </row>
    <row r="267">
      <c r="D267" s="8"/>
      <c r="E267" s="8"/>
      <c r="F267" s="53"/>
      <c r="G267" s="53"/>
      <c r="H267" s="258"/>
    </row>
    <row r="268">
      <c r="D268" s="8"/>
      <c r="E268" s="8"/>
      <c r="F268" s="53"/>
      <c r="G268" s="53"/>
      <c r="H268" s="258"/>
    </row>
    <row r="269">
      <c r="D269" s="8"/>
      <c r="E269" s="8"/>
      <c r="F269" s="53"/>
      <c r="G269" s="53"/>
      <c r="H269" s="258"/>
    </row>
    <row r="270">
      <c r="D270" s="8"/>
      <c r="E270" s="8"/>
      <c r="F270" s="53"/>
      <c r="G270" s="53"/>
      <c r="H270" s="258"/>
    </row>
    <row r="271">
      <c r="D271" s="8"/>
      <c r="E271" s="8"/>
      <c r="F271" s="53"/>
      <c r="G271" s="53"/>
      <c r="H271" s="258"/>
    </row>
    <row r="272">
      <c r="D272" s="8"/>
      <c r="E272" s="8"/>
      <c r="F272" s="53"/>
      <c r="G272" s="53"/>
      <c r="H272" s="258"/>
    </row>
    <row r="273">
      <c r="D273" s="8"/>
      <c r="E273" s="8"/>
      <c r="F273" s="53"/>
      <c r="G273" s="53"/>
      <c r="H273" s="258"/>
    </row>
    <row r="274">
      <c r="D274" s="8"/>
      <c r="E274" s="8"/>
      <c r="F274" s="53"/>
      <c r="G274" s="53"/>
      <c r="H274" s="258"/>
    </row>
    <row r="275">
      <c r="D275" s="8"/>
      <c r="E275" s="8"/>
      <c r="F275" s="53"/>
      <c r="G275" s="53"/>
      <c r="H275" s="258"/>
    </row>
    <row r="276">
      <c r="D276" s="8"/>
      <c r="E276" s="8"/>
      <c r="F276" s="53"/>
      <c r="G276" s="53"/>
      <c r="H276" s="258"/>
    </row>
    <row r="277">
      <c r="D277" s="8"/>
      <c r="E277" s="8"/>
      <c r="F277" s="53"/>
      <c r="G277" s="53"/>
      <c r="H277" s="258"/>
    </row>
    <row r="278">
      <c r="D278" s="8"/>
      <c r="E278" s="8"/>
      <c r="F278" s="53"/>
      <c r="G278" s="53"/>
      <c r="H278" s="258"/>
    </row>
    <row r="279">
      <c r="D279" s="8"/>
      <c r="E279" s="8"/>
      <c r="F279" s="53"/>
      <c r="G279" s="53"/>
      <c r="H279" s="258"/>
    </row>
    <row r="280">
      <c r="D280" s="8"/>
      <c r="E280" s="8"/>
      <c r="F280" s="53"/>
      <c r="G280" s="53"/>
      <c r="H280" s="258"/>
    </row>
    <row r="281">
      <c r="D281" s="8"/>
      <c r="E281" s="8"/>
      <c r="F281" s="53"/>
      <c r="G281" s="53"/>
      <c r="H281" s="258"/>
    </row>
    <row r="282">
      <c r="D282" s="8"/>
      <c r="E282" s="8"/>
      <c r="F282" s="53"/>
      <c r="G282" s="53"/>
      <c r="H282" s="258"/>
    </row>
    <row r="283">
      <c r="D283" s="8"/>
      <c r="E283" s="8"/>
      <c r="F283" s="53"/>
      <c r="G283" s="53"/>
      <c r="H283" s="258"/>
    </row>
    <row r="284">
      <c r="D284" s="8"/>
      <c r="E284" s="8"/>
      <c r="F284" s="53"/>
      <c r="G284" s="53"/>
      <c r="H284" s="258"/>
    </row>
    <row r="285">
      <c r="D285" s="8"/>
      <c r="E285" s="8"/>
      <c r="F285" s="53"/>
      <c r="G285" s="53"/>
      <c r="H285" s="258"/>
    </row>
    <row r="286">
      <c r="D286" s="8"/>
      <c r="E286" s="8"/>
      <c r="F286" s="53"/>
      <c r="G286" s="53"/>
      <c r="H286" s="258"/>
    </row>
    <row r="287">
      <c r="D287" s="8"/>
      <c r="E287" s="8"/>
      <c r="F287" s="53"/>
      <c r="G287" s="53"/>
      <c r="H287" s="258"/>
    </row>
    <row r="288">
      <c r="D288" s="8"/>
      <c r="E288" s="8"/>
      <c r="F288" s="53"/>
      <c r="G288" s="53"/>
      <c r="H288" s="258"/>
    </row>
    <row r="289">
      <c r="D289" s="8"/>
      <c r="E289" s="8"/>
      <c r="F289" s="53"/>
      <c r="G289" s="53"/>
      <c r="H289" s="258"/>
    </row>
    <row r="290">
      <c r="D290" s="8"/>
      <c r="E290" s="8"/>
      <c r="F290" s="53"/>
      <c r="G290" s="53"/>
      <c r="H290" s="258"/>
    </row>
    <row r="291">
      <c r="D291" s="8"/>
      <c r="E291" s="8"/>
      <c r="F291" s="53"/>
      <c r="G291" s="53"/>
      <c r="H291" s="258"/>
    </row>
    <row r="292">
      <c r="D292" s="8"/>
      <c r="E292" s="8"/>
      <c r="F292" s="53"/>
      <c r="G292" s="53"/>
      <c r="H292" s="258"/>
    </row>
    <row r="293">
      <c r="D293" s="8"/>
      <c r="E293" s="8"/>
      <c r="F293" s="53"/>
      <c r="G293" s="53"/>
      <c r="H293" s="258"/>
    </row>
    <row r="294">
      <c r="D294" s="8"/>
      <c r="E294" s="8"/>
      <c r="F294" s="53"/>
      <c r="G294" s="53"/>
      <c r="H294" s="258"/>
    </row>
    <row r="295">
      <c r="D295" s="8"/>
      <c r="E295" s="8"/>
      <c r="F295" s="53"/>
      <c r="G295" s="53"/>
      <c r="H295" s="258"/>
    </row>
    <row r="296">
      <c r="D296" s="8"/>
      <c r="E296" s="8"/>
      <c r="F296" s="53"/>
      <c r="G296" s="53"/>
      <c r="H296" s="258"/>
    </row>
    <row r="297">
      <c r="D297" s="8"/>
      <c r="E297" s="8"/>
      <c r="F297" s="53"/>
      <c r="G297" s="53"/>
      <c r="H297" s="258"/>
    </row>
    <row r="298">
      <c r="D298" s="8"/>
      <c r="E298" s="8"/>
      <c r="F298" s="53"/>
      <c r="G298" s="53"/>
      <c r="H298" s="258"/>
    </row>
    <row r="299">
      <c r="D299" s="8"/>
      <c r="E299" s="8"/>
      <c r="F299" s="53"/>
      <c r="G299" s="53"/>
      <c r="H299" s="258"/>
    </row>
    <row r="300">
      <c r="D300" s="8"/>
      <c r="E300" s="8"/>
      <c r="F300" s="53"/>
      <c r="G300" s="53"/>
      <c r="H300" s="258"/>
    </row>
    <row r="301">
      <c r="D301" s="8"/>
      <c r="E301" s="8"/>
      <c r="F301" s="53"/>
      <c r="G301" s="53"/>
      <c r="H301" s="258"/>
    </row>
    <row r="302">
      <c r="D302" s="8"/>
      <c r="E302" s="8"/>
      <c r="F302" s="53"/>
      <c r="G302" s="53"/>
      <c r="H302" s="258"/>
    </row>
    <row r="303">
      <c r="D303" s="8"/>
      <c r="E303" s="8"/>
      <c r="F303" s="53"/>
      <c r="G303" s="53"/>
      <c r="H303" s="258"/>
    </row>
    <row r="304">
      <c r="D304" s="8"/>
      <c r="E304" s="8"/>
      <c r="F304" s="53"/>
      <c r="G304" s="53"/>
      <c r="H304" s="258"/>
    </row>
    <row r="305">
      <c r="D305" s="8"/>
      <c r="E305" s="8"/>
      <c r="F305" s="53"/>
      <c r="G305" s="53"/>
      <c r="H305" s="258"/>
    </row>
    <row r="306">
      <c r="D306" s="8"/>
      <c r="E306" s="8"/>
      <c r="F306" s="53"/>
      <c r="G306" s="53"/>
      <c r="H306" s="258"/>
    </row>
    <row r="307">
      <c r="D307" s="8"/>
      <c r="E307" s="8"/>
      <c r="F307" s="53"/>
      <c r="G307" s="53"/>
      <c r="H307" s="258"/>
    </row>
    <row r="308">
      <c r="D308" s="8"/>
      <c r="E308" s="8"/>
      <c r="F308" s="53"/>
      <c r="G308" s="53"/>
      <c r="H308" s="258"/>
    </row>
    <row r="309">
      <c r="D309" s="8"/>
      <c r="E309" s="8"/>
      <c r="F309" s="53"/>
      <c r="G309" s="53"/>
      <c r="H309" s="258"/>
    </row>
    <row r="310">
      <c r="D310" s="8"/>
      <c r="E310" s="8"/>
      <c r="F310" s="53"/>
      <c r="G310" s="53"/>
      <c r="H310" s="258"/>
    </row>
    <row r="311">
      <c r="D311" s="8"/>
      <c r="E311" s="8"/>
      <c r="F311" s="53"/>
      <c r="G311" s="53"/>
      <c r="H311" s="258"/>
    </row>
    <row r="312">
      <c r="D312" s="8"/>
      <c r="E312" s="8"/>
      <c r="F312" s="53"/>
      <c r="G312" s="53"/>
      <c r="H312" s="258"/>
    </row>
    <row r="313">
      <c r="D313" s="8"/>
      <c r="E313" s="8"/>
      <c r="F313" s="53"/>
      <c r="G313" s="53"/>
      <c r="H313" s="258"/>
    </row>
    <row r="314">
      <c r="D314" s="8"/>
      <c r="E314" s="8"/>
      <c r="F314" s="53"/>
      <c r="G314" s="53"/>
      <c r="H314" s="258"/>
    </row>
    <row r="315">
      <c r="D315" s="8"/>
      <c r="E315" s="8"/>
      <c r="F315" s="53"/>
      <c r="G315" s="53"/>
      <c r="H315" s="258"/>
    </row>
    <row r="316">
      <c r="D316" s="8"/>
      <c r="E316" s="8"/>
      <c r="F316" s="53"/>
      <c r="G316" s="53"/>
      <c r="H316" s="258"/>
    </row>
    <row r="317">
      <c r="D317" s="8"/>
      <c r="E317" s="8"/>
      <c r="F317" s="53"/>
      <c r="G317" s="53"/>
      <c r="H317" s="258"/>
    </row>
    <row r="318">
      <c r="D318" s="8"/>
      <c r="E318" s="8"/>
      <c r="F318" s="53"/>
      <c r="G318" s="53"/>
      <c r="H318" s="258"/>
    </row>
    <row r="319">
      <c r="D319" s="8"/>
      <c r="E319" s="8"/>
      <c r="F319" s="53"/>
      <c r="G319" s="53"/>
      <c r="H319" s="258"/>
    </row>
    <row r="320">
      <c r="D320" s="8"/>
      <c r="E320" s="8"/>
      <c r="F320" s="53"/>
      <c r="G320" s="53"/>
      <c r="H320" s="258"/>
    </row>
    <row r="321">
      <c r="D321" s="8"/>
      <c r="E321" s="8"/>
      <c r="F321" s="53"/>
      <c r="G321" s="53"/>
      <c r="H321" s="258"/>
    </row>
    <row r="322">
      <c r="D322" s="8"/>
      <c r="E322" s="8"/>
      <c r="F322" s="53"/>
      <c r="G322" s="53"/>
      <c r="H322" s="258"/>
    </row>
    <row r="323">
      <c r="D323" s="8"/>
      <c r="E323" s="8"/>
      <c r="F323" s="53"/>
      <c r="G323" s="53"/>
      <c r="H323" s="258"/>
    </row>
    <row r="324">
      <c r="D324" s="8"/>
      <c r="E324" s="8"/>
      <c r="F324" s="53"/>
      <c r="G324" s="53"/>
      <c r="H324" s="258"/>
    </row>
    <row r="325">
      <c r="D325" s="8"/>
      <c r="E325" s="8"/>
      <c r="F325" s="53"/>
      <c r="G325" s="53"/>
      <c r="H325" s="258"/>
    </row>
    <row r="326">
      <c r="D326" s="8"/>
      <c r="E326" s="8"/>
      <c r="F326" s="53"/>
      <c r="G326" s="53"/>
      <c r="H326" s="258"/>
    </row>
    <row r="327">
      <c r="D327" s="8"/>
      <c r="E327" s="8"/>
      <c r="F327" s="53"/>
      <c r="G327" s="53"/>
      <c r="H327" s="258"/>
    </row>
    <row r="328">
      <c r="D328" s="8"/>
      <c r="E328" s="8"/>
      <c r="F328" s="53"/>
      <c r="G328" s="53"/>
      <c r="H328" s="258"/>
    </row>
    <row r="329">
      <c r="D329" s="8"/>
      <c r="E329" s="8"/>
      <c r="F329" s="53"/>
      <c r="G329" s="53"/>
      <c r="H329" s="258"/>
    </row>
    <row r="330">
      <c r="D330" s="8"/>
      <c r="E330" s="8"/>
      <c r="F330" s="53"/>
      <c r="G330" s="53"/>
      <c r="H330" s="258"/>
    </row>
    <row r="331">
      <c r="D331" s="8"/>
      <c r="E331" s="8"/>
      <c r="F331" s="53"/>
      <c r="G331" s="53"/>
      <c r="H331" s="258"/>
    </row>
    <row r="332">
      <c r="D332" s="8"/>
      <c r="E332" s="8"/>
      <c r="F332" s="53"/>
      <c r="G332" s="53"/>
      <c r="H332" s="258"/>
    </row>
    <row r="333">
      <c r="D333" s="8"/>
      <c r="E333" s="8"/>
      <c r="F333" s="53"/>
      <c r="G333" s="53"/>
      <c r="H333" s="258"/>
    </row>
    <row r="334">
      <c r="D334" s="8"/>
      <c r="E334" s="8"/>
      <c r="F334" s="53"/>
      <c r="G334" s="53"/>
      <c r="H334" s="258"/>
    </row>
    <row r="335">
      <c r="D335" s="8"/>
      <c r="E335" s="8"/>
      <c r="F335" s="53"/>
      <c r="G335" s="53"/>
      <c r="H335" s="258"/>
    </row>
    <row r="336">
      <c r="D336" s="8"/>
      <c r="E336" s="8"/>
      <c r="F336" s="53"/>
      <c r="G336" s="53"/>
      <c r="H336" s="258"/>
    </row>
    <row r="337">
      <c r="D337" s="8"/>
      <c r="E337" s="8"/>
      <c r="F337" s="53"/>
      <c r="G337" s="53"/>
      <c r="H337" s="258"/>
    </row>
    <row r="338">
      <c r="D338" s="8"/>
      <c r="E338" s="8"/>
      <c r="F338" s="53"/>
      <c r="G338" s="53"/>
      <c r="H338" s="258"/>
    </row>
    <row r="339">
      <c r="D339" s="8"/>
      <c r="E339" s="8"/>
      <c r="F339" s="53"/>
      <c r="G339" s="53"/>
      <c r="H339" s="258"/>
    </row>
    <row r="340">
      <c r="D340" s="8"/>
      <c r="E340" s="8"/>
      <c r="F340" s="53"/>
      <c r="G340" s="53"/>
      <c r="H340" s="258"/>
    </row>
    <row r="341">
      <c r="D341" s="8"/>
      <c r="E341" s="8"/>
      <c r="F341" s="53"/>
      <c r="G341" s="53"/>
      <c r="H341" s="258"/>
    </row>
    <row r="342">
      <c r="D342" s="8"/>
      <c r="E342" s="8"/>
      <c r="F342" s="53"/>
      <c r="G342" s="53"/>
      <c r="H342" s="258"/>
    </row>
    <row r="343">
      <c r="D343" s="8"/>
      <c r="E343" s="8"/>
      <c r="F343" s="53"/>
      <c r="G343" s="53"/>
      <c r="H343" s="258"/>
    </row>
    <row r="344">
      <c r="D344" s="8"/>
      <c r="E344" s="8"/>
      <c r="F344" s="53"/>
      <c r="G344" s="53"/>
      <c r="H344" s="258"/>
    </row>
    <row r="345">
      <c r="D345" s="8"/>
      <c r="E345" s="8"/>
      <c r="F345" s="53"/>
      <c r="G345" s="53"/>
      <c r="H345" s="258"/>
    </row>
    <row r="346">
      <c r="D346" s="8"/>
      <c r="E346" s="8"/>
      <c r="F346" s="53"/>
      <c r="G346" s="53"/>
      <c r="H346" s="258"/>
    </row>
    <row r="347">
      <c r="D347" s="8"/>
      <c r="E347" s="8"/>
      <c r="F347" s="53"/>
      <c r="G347" s="53"/>
      <c r="H347" s="258"/>
    </row>
    <row r="348">
      <c r="D348" s="8"/>
      <c r="E348" s="8"/>
      <c r="F348" s="53"/>
      <c r="G348" s="53"/>
      <c r="H348" s="258"/>
    </row>
    <row r="349">
      <c r="D349" s="8"/>
      <c r="E349" s="8"/>
      <c r="F349" s="53"/>
      <c r="G349" s="53"/>
      <c r="H349" s="258"/>
    </row>
    <row r="350">
      <c r="D350" s="8"/>
      <c r="E350" s="8"/>
      <c r="F350" s="53"/>
      <c r="G350" s="53"/>
      <c r="H350" s="258"/>
    </row>
    <row r="351">
      <c r="D351" s="8"/>
      <c r="E351" s="8"/>
      <c r="F351" s="53"/>
      <c r="G351" s="53"/>
      <c r="H351" s="258"/>
    </row>
    <row r="352">
      <c r="D352" s="8"/>
      <c r="E352" s="8"/>
      <c r="F352" s="53"/>
      <c r="G352" s="53"/>
      <c r="H352" s="258"/>
    </row>
    <row r="353">
      <c r="D353" s="8"/>
      <c r="E353" s="8"/>
      <c r="F353" s="53"/>
      <c r="G353" s="53"/>
      <c r="H353" s="258"/>
    </row>
    <row r="354">
      <c r="D354" s="8"/>
      <c r="E354" s="8"/>
      <c r="F354" s="53"/>
      <c r="G354" s="53"/>
      <c r="H354" s="258"/>
    </row>
    <row r="355">
      <c r="D355" s="8"/>
      <c r="E355" s="8"/>
      <c r="F355" s="53"/>
      <c r="G355" s="53"/>
      <c r="H355" s="258"/>
    </row>
    <row r="356">
      <c r="D356" s="8"/>
      <c r="E356" s="8"/>
      <c r="F356" s="53"/>
      <c r="G356" s="53"/>
      <c r="H356" s="258"/>
    </row>
    <row r="357">
      <c r="D357" s="8"/>
      <c r="E357" s="8"/>
      <c r="F357" s="53"/>
      <c r="G357" s="53"/>
      <c r="H357" s="258"/>
    </row>
    <row r="358">
      <c r="D358" s="8"/>
      <c r="E358" s="8"/>
      <c r="F358" s="53"/>
      <c r="G358" s="53"/>
      <c r="H358" s="258"/>
    </row>
    <row r="359">
      <c r="D359" s="8"/>
      <c r="E359" s="8"/>
      <c r="F359" s="53"/>
      <c r="G359" s="53"/>
      <c r="H359" s="258"/>
    </row>
    <row r="360">
      <c r="D360" s="8"/>
      <c r="E360" s="8"/>
      <c r="F360" s="53"/>
      <c r="G360" s="53"/>
      <c r="H360" s="258"/>
    </row>
    <row r="361">
      <c r="D361" s="8"/>
      <c r="E361" s="8"/>
      <c r="F361" s="53"/>
      <c r="G361" s="53"/>
      <c r="H361" s="258"/>
    </row>
    <row r="362">
      <c r="D362" s="8"/>
      <c r="E362" s="8"/>
      <c r="F362" s="53"/>
      <c r="G362" s="53"/>
      <c r="H362" s="258"/>
    </row>
    <row r="363">
      <c r="D363" s="8"/>
      <c r="E363" s="8"/>
      <c r="F363" s="53"/>
      <c r="G363" s="53"/>
      <c r="H363" s="258"/>
    </row>
    <row r="364">
      <c r="D364" s="8"/>
      <c r="E364" s="8"/>
      <c r="F364" s="53"/>
      <c r="G364" s="53"/>
      <c r="H364" s="258"/>
    </row>
    <row r="365">
      <c r="D365" s="8"/>
      <c r="E365" s="8"/>
      <c r="F365" s="53"/>
      <c r="G365" s="53"/>
      <c r="H365" s="258"/>
    </row>
    <row r="366">
      <c r="D366" s="8"/>
      <c r="E366" s="8"/>
      <c r="F366" s="53"/>
      <c r="G366" s="53"/>
      <c r="H366" s="258"/>
    </row>
    <row r="367">
      <c r="D367" s="8"/>
      <c r="E367" s="8"/>
      <c r="F367" s="53"/>
      <c r="G367" s="53"/>
      <c r="H367" s="258"/>
    </row>
    <row r="368">
      <c r="D368" s="8"/>
      <c r="E368" s="8"/>
      <c r="F368" s="53"/>
      <c r="G368" s="53"/>
      <c r="H368" s="258"/>
    </row>
    <row r="369">
      <c r="D369" s="8"/>
      <c r="E369" s="8"/>
      <c r="F369" s="53"/>
      <c r="G369" s="53"/>
      <c r="H369" s="258"/>
    </row>
    <row r="370">
      <c r="D370" s="8"/>
      <c r="E370" s="8"/>
      <c r="F370" s="53"/>
      <c r="G370" s="53"/>
      <c r="H370" s="258"/>
    </row>
    <row r="371">
      <c r="D371" s="8"/>
      <c r="E371" s="8"/>
      <c r="F371" s="53"/>
      <c r="G371" s="53"/>
      <c r="H371" s="258"/>
    </row>
    <row r="372">
      <c r="D372" s="8"/>
      <c r="E372" s="8"/>
      <c r="F372" s="53"/>
      <c r="G372" s="53"/>
      <c r="H372" s="258"/>
    </row>
    <row r="373">
      <c r="D373" s="8"/>
      <c r="E373" s="8"/>
      <c r="F373" s="53"/>
      <c r="G373" s="53"/>
      <c r="H373" s="258"/>
    </row>
    <row r="374">
      <c r="D374" s="8"/>
      <c r="E374" s="8"/>
      <c r="F374" s="53"/>
      <c r="G374" s="53"/>
      <c r="H374" s="258"/>
    </row>
    <row r="375">
      <c r="D375" s="8"/>
      <c r="E375" s="8"/>
      <c r="F375" s="53"/>
      <c r="G375" s="53"/>
      <c r="H375" s="258"/>
    </row>
    <row r="376">
      <c r="D376" s="8"/>
      <c r="E376" s="8"/>
      <c r="F376" s="53"/>
      <c r="G376" s="53"/>
      <c r="H376" s="258"/>
    </row>
    <row r="377">
      <c r="D377" s="8"/>
      <c r="E377" s="8"/>
      <c r="F377" s="53"/>
      <c r="G377" s="53"/>
      <c r="H377" s="258"/>
    </row>
    <row r="378">
      <c r="D378" s="8"/>
      <c r="E378" s="8"/>
      <c r="F378" s="53"/>
      <c r="G378" s="53"/>
      <c r="H378" s="258"/>
    </row>
    <row r="379">
      <c r="D379" s="8"/>
      <c r="E379" s="8"/>
      <c r="F379" s="53"/>
      <c r="G379" s="53"/>
      <c r="H379" s="258"/>
    </row>
    <row r="380">
      <c r="D380" s="8"/>
      <c r="E380" s="8"/>
      <c r="F380" s="53"/>
      <c r="G380" s="53"/>
      <c r="H380" s="258"/>
    </row>
    <row r="381">
      <c r="D381" s="8"/>
      <c r="E381" s="8"/>
      <c r="F381" s="53"/>
      <c r="G381" s="53"/>
      <c r="H381" s="258"/>
    </row>
    <row r="382">
      <c r="D382" s="8"/>
      <c r="E382" s="8"/>
      <c r="F382" s="53"/>
      <c r="G382" s="53"/>
      <c r="H382" s="258"/>
    </row>
    <row r="383">
      <c r="D383" s="8"/>
      <c r="E383" s="8"/>
      <c r="F383" s="53"/>
      <c r="G383" s="53"/>
      <c r="H383" s="258"/>
    </row>
    <row r="384">
      <c r="D384" s="8"/>
      <c r="E384" s="8"/>
      <c r="F384" s="53"/>
      <c r="G384" s="53"/>
      <c r="H384" s="258"/>
    </row>
    <row r="385">
      <c r="D385" s="8"/>
      <c r="E385" s="8"/>
      <c r="F385" s="53"/>
      <c r="G385" s="53"/>
      <c r="H385" s="258"/>
    </row>
    <row r="386">
      <c r="D386" s="8"/>
      <c r="E386" s="8"/>
      <c r="F386" s="53"/>
      <c r="G386" s="53"/>
      <c r="H386" s="258"/>
    </row>
    <row r="387">
      <c r="D387" s="8"/>
      <c r="E387" s="8"/>
      <c r="F387" s="53"/>
      <c r="G387" s="53"/>
      <c r="H387" s="258"/>
    </row>
    <row r="388">
      <c r="D388" s="8"/>
      <c r="E388" s="8"/>
      <c r="F388" s="53"/>
      <c r="G388" s="53"/>
      <c r="H388" s="258"/>
    </row>
    <row r="389">
      <c r="D389" s="8"/>
      <c r="E389" s="8"/>
      <c r="F389" s="53"/>
      <c r="G389" s="53"/>
      <c r="H389" s="258"/>
    </row>
    <row r="390">
      <c r="D390" s="8"/>
      <c r="E390" s="8"/>
      <c r="F390" s="53"/>
      <c r="G390" s="53"/>
      <c r="H390" s="258"/>
    </row>
    <row r="391">
      <c r="D391" s="8"/>
      <c r="E391" s="8"/>
      <c r="F391" s="53"/>
      <c r="G391" s="53"/>
      <c r="H391" s="258"/>
    </row>
    <row r="392">
      <c r="D392" s="8"/>
      <c r="E392" s="8"/>
      <c r="F392" s="53"/>
      <c r="G392" s="53"/>
      <c r="H392" s="258"/>
    </row>
    <row r="393">
      <c r="D393" s="8"/>
      <c r="E393" s="8"/>
      <c r="F393" s="53"/>
      <c r="G393" s="53"/>
      <c r="H393" s="258"/>
    </row>
    <row r="394">
      <c r="D394" s="8"/>
      <c r="E394" s="8"/>
      <c r="F394" s="53"/>
      <c r="G394" s="53"/>
      <c r="H394" s="258"/>
    </row>
    <row r="395">
      <c r="D395" s="8"/>
      <c r="E395" s="8"/>
      <c r="F395" s="53"/>
      <c r="G395" s="53"/>
      <c r="H395" s="258"/>
    </row>
    <row r="396">
      <c r="D396" s="8"/>
      <c r="E396" s="8"/>
      <c r="F396" s="53"/>
      <c r="G396" s="53"/>
      <c r="H396" s="258"/>
    </row>
    <row r="397">
      <c r="D397" s="8"/>
      <c r="E397" s="8"/>
      <c r="F397" s="53"/>
      <c r="G397" s="53"/>
      <c r="H397" s="258"/>
    </row>
    <row r="398">
      <c r="D398" s="8"/>
      <c r="E398" s="8"/>
      <c r="F398" s="53"/>
      <c r="G398" s="53"/>
      <c r="H398" s="258"/>
    </row>
    <row r="399">
      <c r="D399" s="8"/>
      <c r="E399" s="8"/>
      <c r="F399" s="53"/>
      <c r="G399" s="53"/>
      <c r="H399" s="258"/>
    </row>
    <row r="400">
      <c r="D400" s="8"/>
      <c r="E400" s="8"/>
      <c r="F400" s="53"/>
      <c r="G400" s="53"/>
      <c r="H400" s="258"/>
    </row>
    <row r="401">
      <c r="D401" s="8"/>
      <c r="E401" s="8"/>
      <c r="F401" s="53"/>
      <c r="G401" s="53"/>
      <c r="H401" s="258"/>
    </row>
    <row r="402">
      <c r="D402" s="8"/>
      <c r="E402" s="8"/>
      <c r="F402" s="53"/>
      <c r="G402" s="53"/>
      <c r="H402" s="258"/>
    </row>
    <row r="403">
      <c r="D403" s="8"/>
      <c r="E403" s="8"/>
      <c r="F403" s="53"/>
      <c r="G403" s="53"/>
      <c r="H403" s="258"/>
    </row>
    <row r="404">
      <c r="D404" s="8"/>
      <c r="E404" s="8"/>
      <c r="F404" s="53"/>
      <c r="G404" s="53"/>
      <c r="H404" s="258"/>
    </row>
    <row r="405">
      <c r="D405" s="8"/>
      <c r="E405" s="8"/>
      <c r="F405" s="53"/>
      <c r="G405" s="53"/>
      <c r="H405" s="258"/>
    </row>
    <row r="406">
      <c r="D406" s="8"/>
      <c r="E406" s="8"/>
      <c r="F406" s="53"/>
      <c r="G406" s="53"/>
      <c r="H406" s="258"/>
    </row>
    <row r="407">
      <c r="D407" s="8"/>
      <c r="E407" s="8"/>
      <c r="F407" s="53"/>
      <c r="G407" s="53"/>
      <c r="H407" s="258"/>
    </row>
    <row r="408">
      <c r="D408" s="8"/>
      <c r="E408" s="8"/>
      <c r="F408" s="53"/>
      <c r="G408" s="53"/>
      <c r="H408" s="258"/>
    </row>
    <row r="409">
      <c r="D409" s="8"/>
      <c r="E409" s="8"/>
      <c r="F409" s="53"/>
      <c r="G409" s="53"/>
      <c r="H409" s="258"/>
    </row>
    <row r="410">
      <c r="D410" s="8"/>
      <c r="E410" s="8"/>
      <c r="F410" s="53"/>
      <c r="G410" s="53"/>
      <c r="H410" s="258"/>
    </row>
    <row r="411">
      <c r="D411" s="8"/>
      <c r="E411" s="8"/>
      <c r="F411" s="53"/>
      <c r="G411" s="53"/>
      <c r="H411" s="258"/>
    </row>
    <row r="412">
      <c r="D412" s="8"/>
      <c r="E412" s="8"/>
      <c r="F412" s="53"/>
      <c r="G412" s="53"/>
      <c r="H412" s="258"/>
    </row>
    <row r="413">
      <c r="D413" s="8"/>
      <c r="E413" s="8"/>
      <c r="F413" s="53"/>
      <c r="G413" s="53"/>
      <c r="H413" s="258"/>
    </row>
    <row r="414">
      <c r="D414" s="8"/>
      <c r="E414" s="8"/>
      <c r="F414" s="53"/>
      <c r="G414" s="53"/>
      <c r="H414" s="258"/>
    </row>
    <row r="415">
      <c r="D415" s="8"/>
      <c r="E415" s="8"/>
      <c r="F415" s="53"/>
      <c r="G415" s="53"/>
      <c r="H415" s="258"/>
    </row>
    <row r="416">
      <c r="D416" s="8"/>
      <c r="E416" s="8"/>
      <c r="F416" s="53"/>
      <c r="G416" s="53"/>
      <c r="H416" s="258"/>
    </row>
    <row r="417">
      <c r="D417" s="8"/>
      <c r="E417" s="8"/>
      <c r="F417" s="53"/>
      <c r="G417" s="53"/>
      <c r="H417" s="258"/>
    </row>
    <row r="418">
      <c r="D418" s="8"/>
      <c r="E418" s="8"/>
      <c r="F418" s="53"/>
      <c r="G418" s="53"/>
      <c r="H418" s="258"/>
    </row>
    <row r="419">
      <c r="D419" s="8"/>
      <c r="E419" s="8"/>
      <c r="F419" s="53"/>
      <c r="G419" s="53"/>
      <c r="H419" s="258"/>
    </row>
    <row r="420">
      <c r="D420" s="8"/>
      <c r="E420" s="8"/>
      <c r="F420" s="53"/>
      <c r="G420" s="53"/>
      <c r="H420" s="258"/>
    </row>
    <row r="421">
      <c r="D421" s="8"/>
      <c r="E421" s="8"/>
      <c r="F421" s="53"/>
      <c r="G421" s="53"/>
      <c r="H421" s="258"/>
    </row>
    <row r="422">
      <c r="D422" s="8"/>
      <c r="E422" s="8"/>
      <c r="F422" s="53"/>
      <c r="G422" s="53"/>
      <c r="H422" s="258"/>
    </row>
    <row r="423">
      <c r="D423" s="8"/>
      <c r="E423" s="8"/>
      <c r="F423" s="53"/>
      <c r="G423" s="53"/>
      <c r="H423" s="258"/>
    </row>
    <row r="424">
      <c r="D424" s="8"/>
      <c r="E424" s="8"/>
      <c r="F424" s="53"/>
      <c r="G424" s="53"/>
      <c r="H424" s="258"/>
    </row>
    <row r="425">
      <c r="D425" s="8"/>
      <c r="E425" s="8"/>
      <c r="F425" s="53"/>
      <c r="G425" s="53"/>
      <c r="H425" s="258"/>
    </row>
    <row r="426">
      <c r="D426" s="8"/>
      <c r="E426" s="8"/>
      <c r="F426" s="53"/>
      <c r="G426" s="53"/>
      <c r="H426" s="258"/>
    </row>
    <row r="427">
      <c r="D427" s="8"/>
      <c r="E427" s="8"/>
      <c r="F427" s="53"/>
      <c r="G427" s="53"/>
      <c r="H427" s="258"/>
    </row>
    <row r="428">
      <c r="D428" s="8"/>
      <c r="E428" s="8"/>
      <c r="F428" s="53"/>
      <c r="G428" s="53"/>
      <c r="H428" s="258"/>
    </row>
    <row r="429">
      <c r="D429" s="8"/>
      <c r="E429" s="8"/>
      <c r="F429" s="53"/>
      <c r="G429" s="53"/>
      <c r="H429" s="258"/>
    </row>
    <row r="430">
      <c r="D430" s="8"/>
      <c r="E430" s="8"/>
      <c r="F430" s="53"/>
      <c r="G430" s="53"/>
      <c r="H430" s="258"/>
    </row>
    <row r="431">
      <c r="D431" s="8"/>
      <c r="E431" s="8"/>
      <c r="F431" s="53"/>
      <c r="G431" s="53"/>
      <c r="H431" s="258"/>
    </row>
    <row r="432">
      <c r="D432" s="8"/>
      <c r="E432" s="8"/>
      <c r="F432" s="53"/>
      <c r="G432" s="53"/>
      <c r="H432" s="258"/>
    </row>
    <row r="433">
      <c r="D433" s="8"/>
      <c r="E433" s="8"/>
      <c r="F433" s="53"/>
      <c r="G433" s="53"/>
      <c r="H433" s="258"/>
    </row>
    <row r="434">
      <c r="D434" s="8"/>
      <c r="E434" s="8"/>
      <c r="F434" s="53"/>
      <c r="G434" s="53"/>
      <c r="H434" s="258"/>
    </row>
    <row r="435">
      <c r="D435" s="8"/>
      <c r="E435" s="8"/>
      <c r="F435" s="53"/>
      <c r="G435" s="53"/>
      <c r="H435" s="258"/>
    </row>
    <row r="436">
      <c r="D436" s="8"/>
      <c r="E436" s="8"/>
      <c r="F436" s="53"/>
      <c r="G436" s="53"/>
      <c r="H436" s="258"/>
    </row>
    <row r="437">
      <c r="D437" s="8"/>
      <c r="E437" s="8"/>
      <c r="F437" s="53"/>
      <c r="G437" s="53"/>
      <c r="H437" s="258"/>
    </row>
    <row r="438">
      <c r="D438" s="8"/>
      <c r="E438" s="8"/>
      <c r="F438" s="53"/>
      <c r="G438" s="53"/>
      <c r="H438" s="258"/>
    </row>
    <row r="439">
      <c r="D439" s="8"/>
      <c r="E439" s="8"/>
      <c r="F439" s="53"/>
      <c r="G439" s="53"/>
      <c r="H439" s="258"/>
    </row>
    <row r="440">
      <c r="D440" s="8"/>
      <c r="E440" s="8"/>
      <c r="F440" s="53"/>
      <c r="G440" s="53"/>
      <c r="H440" s="258"/>
    </row>
    <row r="441">
      <c r="D441" s="8"/>
      <c r="E441" s="8"/>
      <c r="F441" s="53"/>
      <c r="G441" s="53"/>
      <c r="H441" s="258"/>
    </row>
    <row r="442">
      <c r="D442" s="8"/>
      <c r="E442" s="8"/>
      <c r="F442" s="53"/>
      <c r="G442" s="53"/>
      <c r="H442" s="258"/>
    </row>
    <row r="443">
      <c r="D443" s="8"/>
      <c r="E443" s="8"/>
      <c r="F443" s="53"/>
      <c r="G443" s="53"/>
      <c r="H443" s="258"/>
    </row>
    <row r="444">
      <c r="D444" s="8"/>
      <c r="E444" s="8"/>
      <c r="F444" s="53"/>
      <c r="G444" s="53"/>
      <c r="H444" s="258"/>
    </row>
    <row r="445">
      <c r="D445" s="8"/>
      <c r="E445" s="8"/>
      <c r="F445" s="53"/>
      <c r="G445" s="53"/>
      <c r="H445" s="258"/>
    </row>
    <row r="446">
      <c r="D446" s="8"/>
      <c r="E446" s="8"/>
      <c r="F446" s="53"/>
      <c r="G446" s="53"/>
      <c r="H446" s="258"/>
    </row>
    <row r="447">
      <c r="D447" s="8"/>
      <c r="E447" s="8"/>
      <c r="F447" s="53"/>
      <c r="G447" s="53"/>
      <c r="H447" s="258"/>
    </row>
    <row r="448">
      <c r="D448" s="8"/>
      <c r="E448" s="8"/>
      <c r="F448" s="53"/>
      <c r="G448" s="53"/>
      <c r="H448" s="258"/>
    </row>
    <row r="449">
      <c r="D449" s="8"/>
      <c r="E449" s="8"/>
      <c r="F449" s="53"/>
      <c r="G449" s="53"/>
      <c r="H449" s="258"/>
    </row>
    <row r="450">
      <c r="D450" s="8"/>
      <c r="E450" s="8"/>
      <c r="F450" s="53"/>
      <c r="G450" s="53"/>
      <c r="H450" s="258"/>
    </row>
    <row r="451">
      <c r="D451" s="8"/>
      <c r="E451" s="8"/>
      <c r="F451" s="53"/>
      <c r="G451" s="53"/>
      <c r="H451" s="258"/>
    </row>
    <row r="452">
      <c r="D452" s="8"/>
      <c r="E452" s="8"/>
      <c r="F452" s="53"/>
      <c r="G452" s="53"/>
      <c r="H452" s="258"/>
    </row>
    <row r="453">
      <c r="D453" s="8"/>
      <c r="E453" s="8"/>
      <c r="F453" s="53"/>
      <c r="G453" s="53"/>
      <c r="H453" s="258"/>
    </row>
    <row r="454">
      <c r="D454" s="8"/>
      <c r="E454" s="8"/>
      <c r="F454" s="53"/>
      <c r="G454" s="53"/>
      <c r="H454" s="258"/>
    </row>
    <row r="455">
      <c r="D455" s="8"/>
      <c r="E455" s="8"/>
      <c r="F455" s="53"/>
      <c r="G455" s="53"/>
      <c r="H455" s="258"/>
    </row>
    <row r="456">
      <c r="D456" s="8"/>
      <c r="E456" s="8"/>
      <c r="F456" s="53"/>
      <c r="G456" s="53"/>
      <c r="H456" s="258"/>
    </row>
    <row r="457">
      <c r="D457" s="8"/>
      <c r="E457" s="8"/>
      <c r="F457" s="53"/>
      <c r="G457" s="53"/>
      <c r="H457" s="258"/>
    </row>
    <row r="458">
      <c r="D458" s="8"/>
      <c r="E458" s="8"/>
      <c r="F458" s="53"/>
      <c r="G458" s="53"/>
      <c r="H458" s="258"/>
    </row>
    <row r="459">
      <c r="D459" s="8"/>
      <c r="E459" s="8"/>
      <c r="F459" s="53"/>
      <c r="G459" s="53"/>
      <c r="H459" s="258"/>
    </row>
    <row r="460">
      <c r="D460" s="8"/>
      <c r="E460" s="8"/>
      <c r="F460" s="53"/>
      <c r="G460" s="53"/>
      <c r="H460" s="258"/>
    </row>
    <row r="461">
      <c r="D461" s="8"/>
      <c r="E461" s="8"/>
      <c r="F461" s="53"/>
      <c r="G461" s="53"/>
      <c r="H461" s="258"/>
    </row>
    <row r="462">
      <c r="D462" s="8"/>
      <c r="E462" s="8"/>
      <c r="F462" s="53"/>
      <c r="G462" s="53"/>
      <c r="H462" s="258"/>
    </row>
    <row r="463">
      <c r="D463" s="8"/>
      <c r="E463" s="8"/>
      <c r="F463" s="53"/>
      <c r="G463" s="53"/>
      <c r="H463" s="258"/>
    </row>
    <row r="464">
      <c r="D464" s="8"/>
      <c r="E464" s="8"/>
      <c r="F464" s="53"/>
      <c r="G464" s="53"/>
      <c r="H464" s="258"/>
    </row>
    <row r="465">
      <c r="D465" s="8"/>
      <c r="E465" s="8"/>
      <c r="F465" s="53"/>
      <c r="G465" s="53"/>
      <c r="H465" s="258"/>
    </row>
    <row r="466">
      <c r="D466" s="8"/>
      <c r="E466" s="8"/>
      <c r="F466" s="53"/>
      <c r="G466" s="53"/>
      <c r="H466" s="258"/>
    </row>
    <row r="467">
      <c r="D467" s="8"/>
      <c r="E467" s="8"/>
      <c r="F467" s="53"/>
      <c r="G467" s="53"/>
      <c r="H467" s="258"/>
    </row>
    <row r="468">
      <c r="D468" s="8"/>
      <c r="E468" s="8"/>
      <c r="F468" s="53"/>
      <c r="G468" s="53"/>
      <c r="H468" s="258"/>
    </row>
    <row r="469">
      <c r="D469" s="8"/>
      <c r="E469" s="8"/>
      <c r="F469" s="53"/>
      <c r="G469" s="53"/>
      <c r="H469" s="258"/>
    </row>
    <row r="470">
      <c r="D470" s="8"/>
      <c r="E470" s="8"/>
      <c r="F470" s="53"/>
      <c r="G470" s="53"/>
      <c r="H470" s="258"/>
    </row>
    <row r="471">
      <c r="D471" s="8"/>
      <c r="E471" s="8"/>
      <c r="F471" s="53"/>
      <c r="G471" s="53"/>
      <c r="H471" s="258"/>
    </row>
    <row r="472">
      <c r="D472" s="8"/>
      <c r="E472" s="8"/>
      <c r="F472" s="53"/>
      <c r="G472" s="53"/>
      <c r="H472" s="258"/>
    </row>
    <row r="473">
      <c r="D473" s="8"/>
      <c r="E473" s="8"/>
      <c r="F473" s="53"/>
      <c r="G473" s="53"/>
      <c r="H473" s="258"/>
    </row>
    <row r="474">
      <c r="D474" s="8"/>
      <c r="E474" s="8"/>
      <c r="F474" s="53"/>
      <c r="G474" s="53"/>
      <c r="H474" s="258"/>
    </row>
    <row r="475">
      <c r="D475" s="8"/>
      <c r="E475" s="8"/>
      <c r="F475" s="53"/>
      <c r="G475" s="53"/>
      <c r="H475" s="258"/>
    </row>
    <row r="476">
      <c r="D476" s="8"/>
      <c r="E476" s="8"/>
      <c r="F476" s="53"/>
      <c r="G476" s="53"/>
      <c r="H476" s="258"/>
    </row>
    <row r="477">
      <c r="D477" s="8"/>
      <c r="E477" s="8"/>
      <c r="F477" s="53"/>
      <c r="G477" s="53"/>
      <c r="H477" s="258"/>
    </row>
    <row r="478">
      <c r="D478" s="8"/>
      <c r="E478" s="8"/>
      <c r="F478" s="53"/>
      <c r="G478" s="53"/>
      <c r="H478" s="258"/>
    </row>
    <row r="479">
      <c r="D479" s="8"/>
      <c r="E479" s="8"/>
      <c r="F479" s="53"/>
      <c r="G479" s="53"/>
      <c r="H479" s="258"/>
    </row>
    <row r="480">
      <c r="D480" s="8"/>
      <c r="E480" s="8"/>
      <c r="F480" s="53"/>
      <c r="G480" s="53"/>
      <c r="H480" s="258"/>
    </row>
    <row r="481">
      <c r="D481" s="8"/>
      <c r="E481" s="8"/>
      <c r="F481" s="53"/>
      <c r="G481" s="53"/>
      <c r="H481" s="258"/>
    </row>
    <row r="482">
      <c r="D482" s="8"/>
      <c r="E482" s="8"/>
      <c r="F482" s="53"/>
      <c r="G482" s="53"/>
      <c r="H482" s="258"/>
    </row>
    <row r="483">
      <c r="D483" s="8"/>
      <c r="E483" s="8"/>
      <c r="F483" s="53"/>
      <c r="G483" s="53"/>
      <c r="H483" s="258"/>
    </row>
    <row r="484">
      <c r="D484" s="8"/>
      <c r="E484" s="8"/>
      <c r="F484" s="53"/>
      <c r="G484" s="53"/>
      <c r="H484" s="258"/>
    </row>
    <row r="485">
      <c r="D485" s="8"/>
      <c r="E485" s="8"/>
      <c r="F485" s="53"/>
      <c r="G485" s="53"/>
      <c r="H485" s="258"/>
    </row>
    <row r="486">
      <c r="D486" s="8"/>
      <c r="E486" s="8"/>
      <c r="F486" s="53"/>
      <c r="G486" s="53"/>
      <c r="H486" s="258"/>
    </row>
    <row r="487">
      <c r="D487" s="8"/>
      <c r="E487" s="8"/>
      <c r="F487" s="53"/>
      <c r="G487" s="53"/>
      <c r="H487" s="258"/>
    </row>
    <row r="488">
      <c r="D488" s="8"/>
      <c r="E488" s="8"/>
      <c r="F488" s="53"/>
      <c r="G488" s="53"/>
      <c r="H488" s="258"/>
    </row>
    <row r="489">
      <c r="D489" s="8"/>
      <c r="E489" s="8"/>
      <c r="F489" s="53"/>
      <c r="G489" s="53"/>
      <c r="H489" s="258"/>
    </row>
    <row r="490">
      <c r="D490" s="8"/>
      <c r="E490" s="8"/>
      <c r="F490" s="53"/>
      <c r="G490" s="53"/>
      <c r="H490" s="258"/>
    </row>
    <row r="491">
      <c r="D491" s="8"/>
      <c r="E491" s="8"/>
      <c r="F491" s="53"/>
      <c r="G491" s="53"/>
      <c r="H491" s="258"/>
    </row>
    <row r="492">
      <c r="D492" s="8"/>
      <c r="E492" s="8"/>
      <c r="F492" s="53"/>
      <c r="G492" s="53"/>
      <c r="H492" s="258"/>
    </row>
    <row r="493">
      <c r="D493" s="8"/>
      <c r="E493" s="8"/>
      <c r="F493" s="53"/>
      <c r="G493" s="53"/>
      <c r="H493" s="258"/>
    </row>
    <row r="494">
      <c r="D494" s="8"/>
      <c r="E494" s="8"/>
      <c r="F494" s="53"/>
      <c r="G494" s="53"/>
      <c r="H494" s="258"/>
    </row>
    <row r="495">
      <c r="D495" s="8"/>
      <c r="E495" s="8"/>
      <c r="F495" s="53"/>
      <c r="G495" s="53"/>
      <c r="H495" s="258"/>
    </row>
    <row r="496">
      <c r="D496" s="8"/>
      <c r="E496" s="8"/>
      <c r="F496" s="53"/>
      <c r="G496" s="53"/>
      <c r="H496" s="258"/>
    </row>
    <row r="497">
      <c r="D497" s="8"/>
      <c r="E497" s="8"/>
      <c r="F497" s="53"/>
      <c r="G497" s="53"/>
      <c r="H497" s="258"/>
    </row>
    <row r="498">
      <c r="D498" s="8"/>
      <c r="E498" s="8"/>
      <c r="F498" s="53"/>
      <c r="G498" s="53"/>
      <c r="H498" s="258"/>
    </row>
    <row r="499">
      <c r="D499" s="8"/>
      <c r="E499" s="8"/>
      <c r="F499" s="53"/>
      <c r="G499" s="53"/>
      <c r="H499" s="258"/>
    </row>
    <row r="500">
      <c r="D500" s="8"/>
      <c r="E500" s="8"/>
      <c r="F500" s="53"/>
      <c r="G500" s="53"/>
      <c r="H500" s="258"/>
    </row>
    <row r="501">
      <c r="D501" s="8"/>
      <c r="E501" s="8"/>
      <c r="F501" s="53"/>
      <c r="G501" s="53"/>
      <c r="H501" s="258"/>
    </row>
    <row r="502">
      <c r="D502" s="8"/>
      <c r="E502" s="8"/>
      <c r="F502" s="53"/>
      <c r="G502" s="53"/>
      <c r="H502" s="258"/>
    </row>
    <row r="503">
      <c r="D503" s="8"/>
      <c r="E503" s="8"/>
      <c r="F503" s="53"/>
      <c r="G503" s="53"/>
      <c r="H503" s="258"/>
    </row>
    <row r="504">
      <c r="D504" s="8"/>
      <c r="E504" s="8"/>
      <c r="F504" s="53"/>
      <c r="G504" s="53"/>
      <c r="H504" s="258"/>
    </row>
    <row r="505">
      <c r="D505" s="8"/>
      <c r="E505" s="8"/>
      <c r="F505" s="53"/>
      <c r="G505" s="53"/>
      <c r="H505" s="258"/>
    </row>
    <row r="506">
      <c r="D506" s="8"/>
      <c r="E506" s="8"/>
      <c r="F506" s="53"/>
      <c r="G506" s="53"/>
      <c r="H506" s="258"/>
    </row>
    <row r="507">
      <c r="D507" s="8"/>
      <c r="E507" s="8"/>
      <c r="F507" s="53"/>
      <c r="G507" s="53"/>
      <c r="H507" s="258"/>
    </row>
    <row r="508">
      <c r="D508" s="8"/>
      <c r="E508" s="8"/>
      <c r="F508" s="53"/>
      <c r="G508" s="53"/>
      <c r="H508" s="258"/>
    </row>
    <row r="509">
      <c r="D509" s="8"/>
      <c r="E509" s="8"/>
      <c r="F509" s="53"/>
      <c r="G509" s="53"/>
      <c r="H509" s="258"/>
    </row>
    <row r="510">
      <c r="D510" s="8"/>
      <c r="E510" s="8"/>
      <c r="F510" s="53"/>
      <c r="G510" s="53"/>
      <c r="H510" s="258"/>
    </row>
    <row r="511">
      <c r="D511" s="8"/>
      <c r="E511" s="8"/>
      <c r="F511" s="53"/>
      <c r="G511" s="53"/>
      <c r="H511" s="258"/>
    </row>
    <row r="512">
      <c r="D512" s="8"/>
      <c r="E512" s="8"/>
      <c r="F512" s="53"/>
      <c r="G512" s="53"/>
      <c r="H512" s="258"/>
    </row>
    <row r="513">
      <c r="D513" s="8"/>
      <c r="E513" s="8"/>
      <c r="F513" s="53"/>
      <c r="G513" s="53"/>
      <c r="H513" s="258"/>
    </row>
    <row r="514">
      <c r="D514" s="8"/>
      <c r="E514" s="8"/>
      <c r="F514" s="53"/>
      <c r="G514" s="53"/>
      <c r="H514" s="258"/>
    </row>
    <row r="515">
      <c r="D515" s="8"/>
      <c r="E515" s="8"/>
      <c r="F515" s="53"/>
      <c r="G515" s="53"/>
      <c r="H515" s="258"/>
    </row>
    <row r="516">
      <c r="D516" s="8"/>
      <c r="E516" s="8"/>
      <c r="F516" s="53"/>
      <c r="G516" s="53"/>
      <c r="H516" s="258"/>
    </row>
    <row r="517">
      <c r="D517" s="8"/>
      <c r="E517" s="8"/>
      <c r="F517" s="53"/>
      <c r="G517" s="53"/>
      <c r="H517" s="258"/>
    </row>
    <row r="518">
      <c r="D518" s="8"/>
      <c r="E518" s="8"/>
      <c r="F518" s="53"/>
      <c r="G518" s="53"/>
      <c r="H518" s="258"/>
    </row>
    <row r="519">
      <c r="D519" s="8"/>
      <c r="E519" s="8"/>
      <c r="F519" s="53"/>
      <c r="G519" s="53"/>
      <c r="H519" s="258"/>
    </row>
    <row r="520">
      <c r="D520" s="8"/>
      <c r="E520" s="8"/>
      <c r="F520" s="53"/>
      <c r="G520" s="53"/>
      <c r="H520" s="258"/>
    </row>
    <row r="521">
      <c r="D521" s="8"/>
      <c r="E521" s="8"/>
      <c r="F521" s="53"/>
      <c r="G521" s="53"/>
      <c r="H521" s="258"/>
    </row>
    <row r="522">
      <c r="D522" s="8"/>
      <c r="E522" s="8"/>
      <c r="F522" s="53"/>
      <c r="G522" s="53"/>
      <c r="H522" s="258"/>
    </row>
    <row r="523">
      <c r="D523" s="8"/>
      <c r="E523" s="8"/>
      <c r="F523" s="53"/>
      <c r="G523" s="53"/>
      <c r="H523" s="258"/>
    </row>
    <row r="524">
      <c r="D524" s="8"/>
      <c r="E524" s="8"/>
      <c r="F524" s="53"/>
      <c r="G524" s="53"/>
      <c r="H524" s="258"/>
    </row>
    <row r="525">
      <c r="D525" s="8"/>
      <c r="E525" s="8"/>
      <c r="F525" s="53"/>
      <c r="G525" s="53"/>
      <c r="H525" s="258"/>
    </row>
    <row r="526">
      <c r="D526" s="8"/>
      <c r="E526" s="8"/>
      <c r="F526" s="53"/>
      <c r="G526" s="53"/>
      <c r="H526" s="258"/>
    </row>
    <row r="527">
      <c r="D527" s="8"/>
      <c r="E527" s="8"/>
      <c r="F527" s="53"/>
      <c r="G527" s="53"/>
      <c r="H527" s="258"/>
    </row>
    <row r="528">
      <c r="D528" s="8"/>
      <c r="E528" s="8"/>
      <c r="F528" s="53"/>
      <c r="G528" s="53"/>
      <c r="H528" s="258"/>
    </row>
    <row r="529">
      <c r="D529" s="8"/>
      <c r="E529" s="8"/>
      <c r="F529" s="53"/>
      <c r="G529" s="53"/>
      <c r="H529" s="258"/>
    </row>
    <row r="530">
      <c r="D530" s="8"/>
      <c r="E530" s="8"/>
      <c r="F530" s="53"/>
      <c r="G530" s="53"/>
      <c r="H530" s="258"/>
    </row>
    <row r="531">
      <c r="D531" s="8"/>
      <c r="E531" s="8"/>
      <c r="F531" s="53"/>
      <c r="G531" s="53"/>
      <c r="H531" s="258"/>
    </row>
    <row r="532">
      <c r="D532" s="8"/>
      <c r="E532" s="8"/>
      <c r="F532" s="53"/>
      <c r="G532" s="53"/>
      <c r="H532" s="258"/>
    </row>
    <row r="533">
      <c r="D533" s="8"/>
      <c r="E533" s="8"/>
      <c r="F533" s="53"/>
      <c r="G533" s="53"/>
      <c r="H533" s="258"/>
    </row>
    <row r="534">
      <c r="D534" s="8"/>
      <c r="E534" s="8"/>
      <c r="F534" s="53"/>
      <c r="G534" s="53"/>
      <c r="H534" s="258"/>
    </row>
    <row r="535">
      <c r="D535" s="8"/>
      <c r="E535" s="8"/>
      <c r="F535" s="53"/>
      <c r="G535" s="53"/>
      <c r="H535" s="258"/>
    </row>
    <row r="536">
      <c r="D536" s="8"/>
      <c r="E536" s="8"/>
      <c r="F536" s="53"/>
      <c r="G536" s="53"/>
      <c r="H536" s="258"/>
    </row>
    <row r="537">
      <c r="D537" s="8"/>
      <c r="E537" s="8"/>
      <c r="F537" s="53"/>
      <c r="G537" s="53"/>
      <c r="H537" s="258"/>
    </row>
    <row r="538">
      <c r="D538" s="8"/>
      <c r="E538" s="8"/>
      <c r="F538" s="53"/>
      <c r="G538" s="53"/>
      <c r="H538" s="258"/>
    </row>
    <row r="539">
      <c r="D539" s="8"/>
      <c r="E539" s="8"/>
      <c r="F539" s="53"/>
      <c r="G539" s="53"/>
      <c r="H539" s="258"/>
    </row>
    <row r="540">
      <c r="D540" s="8"/>
      <c r="E540" s="8"/>
      <c r="F540" s="53"/>
      <c r="G540" s="53"/>
      <c r="H540" s="258"/>
    </row>
    <row r="541">
      <c r="D541" s="8"/>
      <c r="E541" s="8"/>
      <c r="F541" s="53"/>
      <c r="G541" s="53"/>
      <c r="H541" s="258"/>
    </row>
    <row r="542">
      <c r="D542" s="8"/>
      <c r="E542" s="8"/>
      <c r="F542" s="53"/>
      <c r="G542" s="53"/>
      <c r="H542" s="258"/>
    </row>
    <row r="543">
      <c r="D543" s="8"/>
      <c r="E543" s="8"/>
      <c r="F543" s="53"/>
      <c r="G543" s="53"/>
      <c r="H543" s="258"/>
    </row>
    <row r="544">
      <c r="D544" s="8"/>
      <c r="E544" s="8"/>
      <c r="F544" s="53"/>
      <c r="G544" s="53"/>
      <c r="H544" s="258"/>
    </row>
    <row r="545">
      <c r="D545" s="8"/>
      <c r="E545" s="8"/>
      <c r="F545" s="53"/>
      <c r="G545" s="53"/>
      <c r="H545" s="258"/>
    </row>
    <row r="546">
      <c r="D546" s="8"/>
      <c r="E546" s="8"/>
      <c r="F546" s="53"/>
      <c r="G546" s="53"/>
      <c r="H546" s="258"/>
    </row>
    <row r="547">
      <c r="D547" s="8"/>
      <c r="E547" s="8"/>
      <c r="F547" s="53"/>
      <c r="G547" s="53"/>
      <c r="H547" s="258"/>
    </row>
    <row r="548">
      <c r="D548" s="8"/>
      <c r="E548" s="8"/>
      <c r="F548" s="53"/>
      <c r="G548" s="53"/>
      <c r="H548" s="258"/>
    </row>
    <row r="549">
      <c r="D549" s="8"/>
      <c r="E549" s="8"/>
      <c r="F549" s="53"/>
      <c r="G549" s="53"/>
      <c r="H549" s="258"/>
    </row>
    <row r="550">
      <c r="D550" s="8"/>
      <c r="E550" s="8"/>
      <c r="F550" s="53"/>
      <c r="G550" s="53"/>
      <c r="H550" s="258"/>
    </row>
    <row r="551">
      <c r="D551" s="8"/>
      <c r="E551" s="8"/>
      <c r="F551" s="53"/>
      <c r="G551" s="53"/>
      <c r="H551" s="258"/>
    </row>
    <row r="552">
      <c r="D552" s="8"/>
      <c r="E552" s="8"/>
      <c r="F552" s="53"/>
      <c r="G552" s="53"/>
      <c r="H552" s="258"/>
    </row>
    <row r="553">
      <c r="D553" s="8"/>
      <c r="E553" s="8"/>
      <c r="F553" s="53"/>
      <c r="G553" s="53"/>
      <c r="H553" s="258"/>
    </row>
    <row r="554">
      <c r="D554" s="8"/>
      <c r="E554" s="8"/>
      <c r="F554" s="53"/>
      <c r="G554" s="53"/>
      <c r="H554" s="258"/>
    </row>
    <row r="555">
      <c r="D555" s="8"/>
      <c r="E555" s="8"/>
      <c r="F555" s="53"/>
      <c r="G555" s="53"/>
      <c r="H555" s="258"/>
    </row>
    <row r="556">
      <c r="D556" s="8"/>
      <c r="E556" s="8"/>
      <c r="F556" s="53"/>
      <c r="G556" s="53"/>
      <c r="H556" s="258"/>
    </row>
    <row r="557">
      <c r="D557" s="8"/>
      <c r="E557" s="8"/>
      <c r="F557" s="53"/>
      <c r="G557" s="53"/>
      <c r="H557" s="258"/>
    </row>
    <row r="558">
      <c r="D558" s="8"/>
      <c r="E558" s="8"/>
      <c r="F558" s="53"/>
      <c r="G558" s="53"/>
      <c r="H558" s="258"/>
    </row>
    <row r="559">
      <c r="D559" s="8"/>
      <c r="E559" s="8"/>
      <c r="F559" s="53"/>
      <c r="G559" s="53"/>
      <c r="H559" s="258"/>
    </row>
    <row r="560">
      <c r="D560" s="8"/>
      <c r="E560" s="8"/>
      <c r="F560" s="53"/>
      <c r="G560" s="53"/>
      <c r="H560" s="258"/>
    </row>
    <row r="561">
      <c r="D561" s="8"/>
      <c r="E561" s="8"/>
      <c r="F561" s="53"/>
      <c r="G561" s="53"/>
      <c r="H561" s="258"/>
    </row>
    <row r="562">
      <c r="D562" s="8"/>
      <c r="E562" s="8"/>
      <c r="F562" s="53"/>
      <c r="G562" s="53"/>
      <c r="H562" s="258"/>
    </row>
    <row r="563">
      <c r="D563" s="8"/>
      <c r="E563" s="8"/>
      <c r="F563" s="53"/>
      <c r="G563" s="53"/>
      <c r="H563" s="258"/>
    </row>
    <row r="564">
      <c r="D564" s="8"/>
      <c r="E564" s="8"/>
      <c r="F564" s="53"/>
      <c r="G564" s="53"/>
      <c r="H564" s="258"/>
    </row>
    <row r="565">
      <c r="D565" s="8"/>
      <c r="E565" s="8"/>
      <c r="F565" s="53"/>
      <c r="G565" s="53"/>
      <c r="H565" s="258"/>
    </row>
    <row r="566">
      <c r="D566" s="8"/>
      <c r="E566" s="8"/>
      <c r="F566" s="53"/>
      <c r="G566" s="53"/>
      <c r="H566" s="258"/>
    </row>
    <row r="567">
      <c r="D567" s="8"/>
      <c r="E567" s="8"/>
      <c r="F567" s="53"/>
      <c r="G567" s="53"/>
      <c r="H567" s="258"/>
    </row>
    <row r="568">
      <c r="D568" s="8"/>
      <c r="E568" s="8"/>
      <c r="F568" s="53"/>
      <c r="G568" s="53"/>
      <c r="H568" s="258"/>
    </row>
    <row r="569">
      <c r="D569" s="8"/>
      <c r="E569" s="8"/>
      <c r="F569" s="53"/>
      <c r="G569" s="53"/>
      <c r="H569" s="258"/>
    </row>
    <row r="570">
      <c r="D570" s="8"/>
      <c r="E570" s="8"/>
      <c r="F570" s="53"/>
      <c r="G570" s="53"/>
      <c r="H570" s="258"/>
    </row>
    <row r="571">
      <c r="D571" s="8"/>
      <c r="E571" s="8"/>
      <c r="F571" s="53"/>
      <c r="G571" s="53"/>
      <c r="H571" s="258"/>
    </row>
    <row r="572">
      <c r="D572" s="8"/>
      <c r="E572" s="8"/>
      <c r="F572" s="53"/>
      <c r="G572" s="53"/>
      <c r="H572" s="258"/>
    </row>
    <row r="573">
      <c r="D573" s="8"/>
      <c r="E573" s="8"/>
      <c r="F573" s="53"/>
      <c r="G573" s="53"/>
      <c r="H573" s="258"/>
    </row>
    <row r="574">
      <c r="D574" s="8"/>
      <c r="E574" s="8"/>
      <c r="F574" s="53"/>
      <c r="G574" s="53"/>
      <c r="H574" s="258"/>
    </row>
    <row r="575">
      <c r="D575" s="8"/>
      <c r="E575" s="8"/>
      <c r="F575" s="53"/>
      <c r="G575" s="53"/>
      <c r="H575" s="258"/>
    </row>
    <row r="576">
      <c r="D576" s="8"/>
      <c r="E576" s="8"/>
      <c r="F576" s="53"/>
      <c r="G576" s="53"/>
      <c r="H576" s="258"/>
    </row>
    <row r="577">
      <c r="D577" s="8"/>
      <c r="E577" s="8"/>
      <c r="F577" s="53"/>
      <c r="G577" s="53"/>
      <c r="H577" s="258"/>
    </row>
    <row r="578">
      <c r="D578" s="8"/>
      <c r="E578" s="8"/>
      <c r="F578" s="53"/>
      <c r="G578" s="53"/>
      <c r="H578" s="258"/>
    </row>
    <row r="579">
      <c r="D579" s="8"/>
      <c r="E579" s="8"/>
      <c r="F579" s="53"/>
      <c r="G579" s="53"/>
      <c r="H579" s="258"/>
    </row>
    <row r="580">
      <c r="D580" s="8"/>
      <c r="E580" s="8"/>
      <c r="F580" s="53"/>
      <c r="G580" s="53"/>
      <c r="H580" s="258"/>
    </row>
    <row r="581">
      <c r="D581" s="8"/>
      <c r="E581" s="8"/>
      <c r="F581" s="53"/>
      <c r="G581" s="53"/>
      <c r="H581" s="258"/>
    </row>
    <row r="582">
      <c r="D582" s="8"/>
      <c r="E582" s="8"/>
      <c r="F582" s="53"/>
      <c r="G582" s="53"/>
      <c r="H582" s="258"/>
    </row>
    <row r="583">
      <c r="D583" s="8"/>
      <c r="E583" s="8"/>
      <c r="F583" s="53"/>
      <c r="G583" s="53"/>
      <c r="H583" s="258"/>
    </row>
    <row r="584">
      <c r="D584" s="8"/>
      <c r="E584" s="8"/>
      <c r="F584" s="53"/>
      <c r="G584" s="53"/>
      <c r="H584" s="258"/>
    </row>
    <row r="585">
      <c r="D585" s="8"/>
      <c r="E585" s="8"/>
      <c r="F585" s="53"/>
      <c r="G585" s="53"/>
      <c r="H585" s="258"/>
    </row>
    <row r="586">
      <c r="D586" s="8"/>
      <c r="E586" s="8"/>
      <c r="F586" s="53"/>
      <c r="G586" s="53"/>
      <c r="H586" s="258"/>
    </row>
    <row r="587">
      <c r="D587" s="8"/>
      <c r="E587" s="8"/>
      <c r="F587" s="53"/>
      <c r="G587" s="53"/>
      <c r="H587" s="258"/>
    </row>
    <row r="588">
      <c r="D588" s="8"/>
      <c r="E588" s="8"/>
      <c r="F588" s="53"/>
      <c r="G588" s="53"/>
      <c r="H588" s="258"/>
    </row>
    <row r="589">
      <c r="D589" s="8"/>
      <c r="E589" s="8"/>
      <c r="F589" s="53"/>
      <c r="G589" s="53"/>
      <c r="H589" s="258"/>
    </row>
    <row r="590">
      <c r="D590" s="8"/>
      <c r="E590" s="8"/>
      <c r="F590" s="53"/>
      <c r="G590" s="53"/>
      <c r="H590" s="258"/>
    </row>
    <row r="591">
      <c r="D591" s="8"/>
      <c r="E591" s="8"/>
      <c r="F591" s="53"/>
      <c r="G591" s="53"/>
      <c r="H591" s="258"/>
    </row>
    <row r="592">
      <c r="D592" s="8"/>
      <c r="E592" s="8"/>
      <c r="F592" s="53"/>
      <c r="G592" s="53"/>
      <c r="H592" s="258"/>
    </row>
    <row r="593">
      <c r="D593" s="8"/>
      <c r="E593" s="8"/>
      <c r="F593" s="53"/>
      <c r="G593" s="53"/>
      <c r="H593" s="258"/>
    </row>
    <row r="594">
      <c r="D594" s="8"/>
      <c r="E594" s="8"/>
      <c r="F594" s="53"/>
      <c r="G594" s="53"/>
      <c r="H594" s="258"/>
    </row>
    <row r="595">
      <c r="D595" s="8"/>
      <c r="E595" s="8"/>
      <c r="F595" s="53"/>
      <c r="G595" s="53"/>
      <c r="H595" s="258"/>
    </row>
    <row r="596">
      <c r="D596" s="8"/>
      <c r="E596" s="8"/>
      <c r="F596" s="53"/>
      <c r="G596" s="53"/>
      <c r="H596" s="258"/>
    </row>
    <row r="597">
      <c r="D597" s="8"/>
      <c r="E597" s="8"/>
      <c r="F597" s="53"/>
      <c r="G597" s="53"/>
      <c r="H597" s="258"/>
    </row>
    <row r="598">
      <c r="D598" s="8"/>
      <c r="E598" s="8"/>
      <c r="F598" s="53"/>
      <c r="G598" s="53"/>
      <c r="H598" s="258"/>
    </row>
    <row r="599">
      <c r="D599" s="8"/>
      <c r="E599" s="8"/>
      <c r="F599" s="53"/>
      <c r="G599" s="53"/>
      <c r="H599" s="258"/>
    </row>
    <row r="600">
      <c r="D600" s="8"/>
      <c r="E600" s="8"/>
      <c r="F600" s="53"/>
      <c r="G600" s="53"/>
      <c r="H600" s="258"/>
    </row>
    <row r="601">
      <c r="D601" s="8"/>
      <c r="E601" s="8"/>
      <c r="F601" s="53"/>
      <c r="G601" s="53"/>
      <c r="H601" s="258"/>
    </row>
    <row r="602">
      <c r="D602" s="8"/>
      <c r="E602" s="8"/>
      <c r="F602" s="53"/>
      <c r="G602" s="53"/>
      <c r="H602" s="258"/>
    </row>
    <row r="603">
      <c r="D603" s="8"/>
      <c r="E603" s="8"/>
      <c r="F603" s="53"/>
      <c r="G603" s="53"/>
      <c r="H603" s="258"/>
    </row>
    <row r="604">
      <c r="D604" s="8"/>
      <c r="E604" s="8"/>
      <c r="F604" s="53"/>
      <c r="G604" s="53"/>
      <c r="H604" s="258"/>
    </row>
    <row r="605">
      <c r="D605" s="8"/>
      <c r="E605" s="8"/>
      <c r="F605" s="53"/>
      <c r="G605" s="53"/>
      <c r="H605" s="258"/>
    </row>
    <row r="606">
      <c r="D606" s="8"/>
      <c r="E606" s="8"/>
      <c r="F606" s="53"/>
      <c r="G606" s="53"/>
      <c r="H606" s="258"/>
    </row>
    <row r="607">
      <c r="D607" s="8"/>
      <c r="E607" s="8"/>
      <c r="F607" s="53"/>
      <c r="G607" s="53"/>
      <c r="H607" s="258"/>
    </row>
    <row r="608">
      <c r="D608" s="8"/>
      <c r="E608" s="8"/>
      <c r="F608" s="53"/>
      <c r="G608" s="53"/>
      <c r="H608" s="258"/>
    </row>
    <row r="609">
      <c r="D609" s="8"/>
      <c r="E609" s="8"/>
      <c r="F609" s="53"/>
      <c r="G609" s="53"/>
      <c r="H609" s="258"/>
    </row>
    <row r="610">
      <c r="D610" s="8"/>
      <c r="E610" s="8"/>
      <c r="F610" s="53"/>
      <c r="G610" s="53"/>
      <c r="H610" s="258"/>
    </row>
    <row r="611">
      <c r="D611" s="8"/>
      <c r="E611" s="8"/>
      <c r="F611" s="53"/>
      <c r="G611" s="53"/>
      <c r="H611" s="258"/>
    </row>
    <row r="612">
      <c r="D612" s="8"/>
      <c r="E612" s="8"/>
      <c r="F612" s="53"/>
      <c r="G612" s="53"/>
      <c r="H612" s="258"/>
    </row>
    <row r="613">
      <c r="D613" s="8"/>
      <c r="E613" s="8"/>
      <c r="F613" s="53"/>
      <c r="G613" s="53"/>
      <c r="H613" s="258"/>
    </row>
    <row r="614">
      <c r="D614" s="8"/>
      <c r="E614" s="8"/>
      <c r="F614" s="53"/>
      <c r="G614" s="53"/>
      <c r="H614" s="258"/>
    </row>
    <row r="615">
      <c r="D615" s="8"/>
      <c r="E615" s="8"/>
      <c r="F615" s="53"/>
      <c r="G615" s="53"/>
      <c r="H615" s="258"/>
    </row>
    <row r="616">
      <c r="D616" s="8"/>
      <c r="E616" s="8"/>
      <c r="F616" s="53"/>
      <c r="G616" s="53"/>
      <c r="H616" s="258"/>
    </row>
    <row r="617">
      <c r="D617" s="8"/>
      <c r="E617" s="8"/>
      <c r="F617" s="53"/>
      <c r="G617" s="53"/>
      <c r="H617" s="258"/>
    </row>
    <row r="618">
      <c r="D618" s="8"/>
      <c r="E618" s="8"/>
      <c r="F618" s="53"/>
      <c r="G618" s="53"/>
      <c r="H618" s="258"/>
    </row>
    <row r="619">
      <c r="D619" s="8"/>
      <c r="E619" s="8"/>
      <c r="F619" s="53"/>
      <c r="G619" s="53"/>
      <c r="H619" s="258"/>
    </row>
    <row r="620">
      <c r="D620" s="8"/>
      <c r="E620" s="8"/>
      <c r="F620" s="53"/>
      <c r="G620" s="53"/>
      <c r="H620" s="258"/>
    </row>
    <row r="621">
      <c r="D621" s="8"/>
      <c r="E621" s="8"/>
      <c r="F621" s="53"/>
      <c r="G621" s="53"/>
      <c r="H621" s="258"/>
    </row>
    <row r="622">
      <c r="D622" s="8"/>
      <c r="E622" s="8"/>
      <c r="F622" s="53"/>
      <c r="G622" s="53"/>
      <c r="H622" s="258"/>
    </row>
    <row r="623">
      <c r="D623" s="8"/>
      <c r="E623" s="8"/>
      <c r="F623" s="53"/>
      <c r="G623" s="53"/>
      <c r="H623" s="258"/>
    </row>
    <row r="624">
      <c r="D624" s="8"/>
      <c r="E624" s="8"/>
      <c r="F624" s="53"/>
      <c r="G624" s="53"/>
      <c r="H624" s="258"/>
    </row>
    <row r="625">
      <c r="D625" s="8"/>
      <c r="E625" s="8"/>
      <c r="F625" s="53"/>
      <c r="G625" s="53"/>
      <c r="H625" s="258"/>
    </row>
    <row r="626">
      <c r="D626" s="8"/>
      <c r="E626" s="8"/>
      <c r="F626" s="53"/>
      <c r="G626" s="53"/>
      <c r="H626" s="258"/>
    </row>
    <row r="627">
      <c r="D627" s="8"/>
      <c r="E627" s="8"/>
      <c r="F627" s="53"/>
      <c r="G627" s="53"/>
      <c r="H627" s="258"/>
    </row>
    <row r="628">
      <c r="D628" s="8"/>
      <c r="E628" s="8"/>
      <c r="F628" s="53"/>
      <c r="G628" s="53"/>
      <c r="H628" s="258"/>
    </row>
    <row r="629">
      <c r="D629" s="8"/>
      <c r="E629" s="8"/>
      <c r="F629" s="53"/>
      <c r="G629" s="53"/>
      <c r="H629" s="258"/>
    </row>
    <row r="630">
      <c r="D630" s="8"/>
      <c r="E630" s="8"/>
      <c r="F630" s="53"/>
      <c r="G630" s="53"/>
      <c r="H630" s="258"/>
    </row>
    <row r="631">
      <c r="D631" s="8"/>
      <c r="E631" s="8"/>
      <c r="F631" s="53"/>
      <c r="G631" s="53"/>
      <c r="H631" s="258"/>
    </row>
    <row r="632">
      <c r="D632" s="8"/>
      <c r="E632" s="8"/>
      <c r="F632" s="53"/>
      <c r="G632" s="53"/>
      <c r="H632" s="258"/>
    </row>
    <row r="633">
      <c r="D633" s="8"/>
      <c r="E633" s="8"/>
      <c r="F633" s="53"/>
      <c r="G633" s="53"/>
      <c r="H633" s="258"/>
    </row>
    <row r="634">
      <c r="D634" s="8"/>
      <c r="E634" s="8"/>
      <c r="F634" s="53"/>
      <c r="G634" s="53"/>
      <c r="H634" s="258"/>
    </row>
    <row r="635">
      <c r="D635" s="8"/>
      <c r="E635" s="8"/>
      <c r="F635" s="53"/>
      <c r="G635" s="53"/>
      <c r="H635" s="258"/>
    </row>
    <row r="636">
      <c r="D636" s="8"/>
      <c r="E636" s="8"/>
      <c r="F636" s="53"/>
      <c r="G636" s="53"/>
      <c r="H636" s="258"/>
    </row>
    <row r="637">
      <c r="D637" s="8"/>
      <c r="E637" s="8"/>
      <c r="F637" s="53"/>
      <c r="G637" s="53"/>
      <c r="H637" s="258"/>
    </row>
    <row r="638">
      <c r="D638" s="8"/>
      <c r="E638" s="8"/>
      <c r="F638" s="53"/>
      <c r="G638" s="53"/>
      <c r="H638" s="258"/>
    </row>
    <row r="639">
      <c r="D639" s="8"/>
      <c r="E639" s="8"/>
      <c r="F639" s="53"/>
      <c r="G639" s="53"/>
      <c r="H639" s="258"/>
    </row>
    <row r="640">
      <c r="D640" s="8"/>
      <c r="E640" s="8"/>
      <c r="F640" s="53"/>
      <c r="G640" s="53"/>
      <c r="H640" s="258"/>
    </row>
    <row r="641">
      <c r="D641" s="8"/>
      <c r="E641" s="8"/>
      <c r="F641" s="53"/>
      <c r="G641" s="53"/>
      <c r="H641" s="258"/>
    </row>
    <row r="642">
      <c r="D642" s="8"/>
      <c r="E642" s="8"/>
      <c r="F642" s="53"/>
      <c r="G642" s="53"/>
      <c r="H642" s="258"/>
    </row>
    <row r="643">
      <c r="D643" s="8"/>
      <c r="E643" s="8"/>
      <c r="F643" s="53"/>
      <c r="G643" s="53"/>
      <c r="H643" s="258"/>
    </row>
    <row r="644">
      <c r="D644" s="8"/>
      <c r="E644" s="8"/>
      <c r="F644" s="53"/>
      <c r="G644" s="53"/>
      <c r="H644" s="258"/>
    </row>
    <row r="645">
      <c r="D645" s="8"/>
      <c r="E645" s="8"/>
      <c r="F645" s="53"/>
      <c r="G645" s="53"/>
      <c r="H645" s="258"/>
    </row>
    <row r="646">
      <c r="D646" s="8"/>
      <c r="E646" s="8"/>
      <c r="F646" s="53"/>
      <c r="G646" s="53"/>
      <c r="H646" s="258"/>
    </row>
    <row r="647">
      <c r="D647" s="8"/>
      <c r="E647" s="8"/>
      <c r="F647" s="53"/>
      <c r="G647" s="53"/>
      <c r="H647" s="258"/>
    </row>
    <row r="648">
      <c r="D648" s="8"/>
      <c r="E648" s="8"/>
      <c r="F648" s="53"/>
      <c r="G648" s="53"/>
      <c r="H648" s="258"/>
    </row>
    <row r="649">
      <c r="D649" s="8"/>
      <c r="E649" s="8"/>
      <c r="F649" s="53"/>
      <c r="G649" s="53"/>
      <c r="H649" s="258"/>
    </row>
    <row r="650">
      <c r="D650" s="8"/>
      <c r="E650" s="8"/>
      <c r="F650" s="53"/>
      <c r="G650" s="53"/>
      <c r="H650" s="258"/>
    </row>
    <row r="651">
      <c r="D651" s="8"/>
      <c r="E651" s="8"/>
      <c r="F651" s="53"/>
      <c r="G651" s="53"/>
      <c r="H651" s="258"/>
    </row>
    <row r="652">
      <c r="D652" s="8"/>
      <c r="E652" s="8"/>
      <c r="F652" s="53"/>
      <c r="G652" s="53"/>
      <c r="H652" s="258"/>
    </row>
    <row r="653">
      <c r="D653" s="8"/>
      <c r="E653" s="8"/>
      <c r="F653" s="53"/>
      <c r="G653" s="53"/>
      <c r="H653" s="258"/>
    </row>
    <row r="654">
      <c r="D654" s="8"/>
      <c r="E654" s="8"/>
      <c r="F654" s="53"/>
      <c r="G654" s="53"/>
      <c r="H654" s="258"/>
    </row>
    <row r="655">
      <c r="D655" s="8"/>
      <c r="E655" s="8"/>
      <c r="F655" s="53"/>
      <c r="G655" s="53"/>
      <c r="H655" s="258"/>
    </row>
    <row r="656">
      <c r="D656" s="8"/>
      <c r="E656" s="8"/>
      <c r="F656" s="53"/>
      <c r="G656" s="53"/>
      <c r="H656" s="258"/>
    </row>
    <row r="657">
      <c r="D657" s="8"/>
      <c r="E657" s="8"/>
      <c r="F657" s="53"/>
      <c r="G657" s="53"/>
      <c r="H657" s="258"/>
    </row>
    <row r="658">
      <c r="D658" s="8"/>
      <c r="E658" s="8"/>
      <c r="F658" s="53"/>
      <c r="G658" s="53"/>
      <c r="H658" s="258"/>
    </row>
    <row r="659">
      <c r="D659" s="8"/>
      <c r="E659" s="8"/>
      <c r="F659" s="53"/>
      <c r="G659" s="53"/>
      <c r="H659" s="258"/>
    </row>
    <row r="660">
      <c r="D660" s="8"/>
      <c r="E660" s="8"/>
      <c r="F660" s="53"/>
      <c r="G660" s="53"/>
      <c r="H660" s="258"/>
    </row>
    <row r="661">
      <c r="D661" s="8"/>
      <c r="E661" s="8"/>
      <c r="F661" s="53"/>
      <c r="G661" s="53"/>
      <c r="H661" s="258"/>
    </row>
    <row r="662">
      <c r="D662" s="8"/>
      <c r="E662" s="8"/>
      <c r="F662" s="53"/>
      <c r="G662" s="53"/>
      <c r="H662" s="258"/>
    </row>
    <row r="663">
      <c r="D663" s="8"/>
      <c r="E663" s="8"/>
      <c r="F663" s="53"/>
      <c r="G663" s="53"/>
      <c r="H663" s="258"/>
    </row>
    <row r="664">
      <c r="D664" s="8"/>
      <c r="E664" s="8"/>
      <c r="F664" s="53"/>
      <c r="G664" s="53"/>
      <c r="H664" s="258"/>
    </row>
    <row r="665">
      <c r="D665" s="8"/>
      <c r="E665" s="8"/>
      <c r="F665" s="53"/>
      <c r="G665" s="53"/>
      <c r="H665" s="258"/>
    </row>
    <row r="666">
      <c r="D666" s="8"/>
      <c r="E666" s="8"/>
      <c r="F666" s="53"/>
      <c r="G666" s="53"/>
      <c r="H666" s="258"/>
    </row>
    <row r="667">
      <c r="D667" s="8"/>
      <c r="E667" s="8"/>
      <c r="F667" s="53"/>
      <c r="G667" s="53"/>
      <c r="H667" s="258"/>
    </row>
    <row r="668">
      <c r="D668" s="8"/>
      <c r="E668" s="8"/>
      <c r="F668" s="53"/>
      <c r="G668" s="53"/>
      <c r="H668" s="258"/>
    </row>
    <row r="669">
      <c r="D669" s="8"/>
      <c r="E669" s="8"/>
      <c r="F669" s="53"/>
      <c r="G669" s="53"/>
      <c r="H669" s="258"/>
    </row>
    <row r="670">
      <c r="D670" s="8"/>
      <c r="E670" s="8"/>
      <c r="F670" s="53"/>
      <c r="G670" s="53"/>
      <c r="H670" s="258"/>
    </row>
    <row r="671">
      <c r="D671" s="8"/>
      <c r="E671" s="8"/>
      <c r="F671" s="53"/>
      <c r="G671" s="53"/>
      <c r="H671" s="258"/>
    </row>
    <row r="672">
      <c r="D672" s="8"/>
      <c r="E672" s="8"/>
      <c r="F672" s="53"/>
      <c r="G672" s="53"/>
      <c r="H672" s="258"/>
    </row>
    <row r="673">
      <c r="D673" s="8"/>
      <c r="E673" s="8"/>
      <c r="F673" s="53"/>
      <c r="G673" s="53"/>
      <c r="H673" s="258"/>
    </row>
    <row r="674">
      <c r="D674" s="8"/>
      <c r="E674" s="8"/>
      <c r="F674" s="53"/>
      <c r="G674" s="53"/>
      <c r="H674" s="258"/>
    </row>
    <row r="675">
      <c r="D675" s="8"/>
      <c r="E675" s="8"/>
      <c r="F675" s="53"/>
      <c r="G675" s="53"/>
      <c r="H675" s="258"/>
    </row>
    <row r="676">
      <c r="D676" s="8"/>
      <c r="E676" s="8"/>
      <c r="F676" s="53"/>
      <c r="G676" s="53"/>
      <c r="H676" s="258"/>
    </row>
    <row r="677">
      <c r="D677" s="8"/>
      <c r="E677" s="8"/>
      <c r="F677" s="53"/>
      <c r="G677" s="53"/>
      <c r="H677" s="258"/>
    </row>
    <row r="678">
      <c r="D678" s="8"/>
      <c r="E678" s="8"/>
      <c r="F678" s="53"/>
      <c r="G678" s="53"/>
      <c r="H678" s="258"/>
    </row>
    <row r="679">
      <c r="D679" s="8"/>
      <c r="E679" s="8"/>
      <c r="F679" s="53"/>
      <c r="G679" s="53"/>
      <c r="H679" s="258"/>
    </row>
    <row r="680">
      <c r="D680" s="8"/>
      <c r="E680" s="8"/>
      <c r="F680" s="53"/>
      <c r="G680" s="53"/>
      <c r="H680" s="258"/>
    </row>
    <row r="681">
      <c r="D681" s="8"/>
      <c r="E681" s="8"/>
      <c r="F681" s="53"/>
      <c r="G681" s="53"/>
      <c r="H681" s="258"/>
    </row>
    <row r="682">
      <c r="D682" s="8"/>
      <c r="E682" s="8"/>
      <c r="F682" s="53"/>
      <c r="G682" s="53"/>
      <c r="H682" s="258"/>
    </row>
    <row r="683">
      <c r="D683" s="8"/>
      <c r="E683" s="8"/>
      <c r="F683" s="53"/>
      <c r="G683" s="53"/>
      <c r="H683" s="258"/>
    </row>
    <row r="684">
      <c r="D684" s="8"/>
      <c r="E684" s="8"/>
      <c r="F684" s="53"/>
      <c r="G684" s="53"/>
      <c r="H684" s="258"/>
    </row>
    <row r="685">
      <c r="D685" s="8"/>
      <c r="E685" s="8"/>
      <c r="F685" s="53"/>
      <c r="G685" s="53"/>
      <c r="H685" s="258"/>
    </row>
    <row r="686">
      <c r="D686" s="8"/>
      <c r="E686" s="8"/>
      <c r="F686" s="53"/>
      <c r="G686" s="53"/>
      <c r="H686" s="258"/>
    </row>
    <row r="687">
      <c r="D687" s="8"/>
      <c r="E687" s="8"/>
      <c r="F687" s="53"/>
      <c r="G687" s="53"/>
      <c r="H687" s="258"/>
    </row>
    <row r="688">
      <c r="D688" s="8"/>
      <c r="E688" s="8"/>
      <c r="F688" s="53"/>
      <c r="G688" s="53"/>
      <c r="H688" s="258"/>
    </row>
    <row r="689">
      <c r="D689" s="8"/>
      <c r="E689" s="8"/>
      <c r="F689" s="53"/>
      <c r="G689" s="53"/>
      <c r="H689" s="258"/>
    </row>
    <row r="690">
      <c r="D690" s="8"/>
      <c r="E690" s="8"/>
      <c r="F690" s="53"/>
      <c r="G690" s="53"/>
      <c r="H690" s="258"/>
    </row>
    <row r="691">
      <c r="D691" s="8"/>
      <c r="E691" s="8"/>
      <c r="F691" s="53"/>
      <c r="G691" s="53"/>
      <c r="H691" s="258"/>
    </row>
    <row r="692">
      <c r="D692" s="8"/>
      <c r="E692" s="8"/>
      <c r="F692" s="53"/>
      <c r="G692" s="53"/>
      <c r="H692" s="258"/>
    </row>
    <row r="693">
      <c r="D693" s="8"/>
      <c r="E693" s="8"/>
      <c r="F693" s="53"/>
      <c r="G693" s="53"/>
      <c r="H693" s="258"/>
    </row>
    <row r="694">
      <c r="D694" s="8"/>
      <c r="E694" s="8"/>
      <c r="F694" s="53"/>
      <c r="G694" s="53"/>
      <c r="H694" s="258"/>
    </row>
    <row r="695">
      <c r="D695" s="8"/>
      <c r="E695" s="8"/>
      <c r="F695" s="53"/>
      <c r="G695" s="53"/>
      <c r="H695" s="258"/>
    </row>
    <row r="696">
      <c r="D696" s="8"/>
      <c r="E696" s="8"/>
      <c r="F696" s="53"/>
      <c r="G696" s="53"/>
      <c r="H696" s="258"/>
    </row>
    <row r="697">
      <c r="D697" s="8"/>
      <c r="E697" s="8"/>
      <c r="F697" s="53"/>
      <c r="G697" s="53"/>
      <c r="H697" s="258"/>
    </row>
    <row r="698">
      <c r="D698" s="8"/>
      <c r="E698" s="8"/>
      <c r="F698" s="53"/>
      <c r="G698" s="53"/>
      <c r="H698" s="258"/>
    </row>
    <row r="699">
      <c r="D699" s="8"/>
      <c r="E699" s="8"/>
      <c r="F699" s="53"/>
      <c r="G699" s="53"/>
      <c r="H699" s="258"/>
    </row>
    <row r="700">
      <c r="D700" s="8"/>
      <c r="E700" s="8"/>
      <c r="F700" s="53"/>
      <c r="G700" s="53"/>
      <c r="H700" s="258"/>
    </row>
    <row r="701">
      <c r="D701" s="8"/>
      <c r="E701" s="8"/>
      <c r="F701" s="53"/>
      <c r="G701" s="53"/>
      <c r="H701" s="258"/>
    </row>
    <row r="702">
      <c r="D702" s="8"/>
      <c r="E702" s="8"/>
      <c r="F702" s="53"/>
      <c r="G702" s="53"/>
      <c r="H702" s="258"/>
    </row>
    <row r="703">
      <c r="D703" s="8"/>
      <c r="E703" s="8"/>
      <c r="F703" s="53"/>
      <c r="G703" s="53"/>
      <c r="H703" s="258"/>
    </row>
    <row r="704">
      <c r="D704" s="8"/>
      <c r="E704" s="8"/>
      <c r="F704" s="53"/>
      <c r="G704" s="53"/>
      <c r="H704" s="258"/>
    </row>
    <row r="705">
      <c r="D705" s="8"/>
      <c r="E705" s="8"/>
      <c r="F705" s="53"/>
      <c r="G705" s="53"/>
      <c r="H705" s="258"/>
    </row>
    <row r="706">
      <c r="D706" s="8"/>
      <c r="E706" s="8"/>
      <c r="F706" s="53"/>
      <c r="G706" s="53"/>
      <c r="H706" s="258"/>
    </row>
    <row r="707">
      <c r="D707" s="8"/>
      <c r="E707" s="8"/>
      <c r="F707" s="53"/>
      <c r="G707" s="53"/>
      <c r="H707" s="258"/>
    </row>
    <row r="708">
      <c r="D708" s="8"/>
      <c r="E708" s="8"/>
      <c r="F708" s="53"/>
      <c r="G708" s="53"/>
      <c r="H708" s="258"/>
    </row>
    <row r="709">
      <c r="D709" s="8"/>
      <c r="E709" s="8"/>
      <c r="F709" s="53"/>
      <c r="G709" s="53"/>
      <c r="H709" s="258"/>
    </row>
    <row r="710">
      <c r="D710" s="8"/>
      <c r="E710" s="8"/>
      <c r="F710" s="53"/>
      <c r="G710" s="53"/>
      <c r="H710" s="258"/>
    </row>
    <row r="711">
      <c r="D711" s="8"/>
      <c r="E711" s="8"/>
      <c r="F711" s="53"/>
      <c r="G711" s="53"/>
      <c r="H711" s="258"/>
    </row>
    <row r="712">
      <c r="D712" s="8"/>
      <c r="E712" s="8"/>
      <c r="F712" s="53"/>
      <c r="G712" s="53"/>
      <c r="H712" s="258"/>
    </row>
    <row r="713">
      <c r="D713" s="8"/>
      <c r="E713" s="8"/>
      <c r="F713" s="53"/>
      <c r="G713" s="53"/>
      <c r="H713" s="258"/>
    </row>
    <row r="714">
      <c r="D714" s="8"/>
      <c r="E714" s="8"/>
      <c r="F714" s="53"/>
      <c r="G714" s="53"/>
      <c r="H714" s="258"/>
    </row>
    <row r="715">
      <c r="D715" s="8"/>
      <c r="E715" s="8"/>
      <c r="F715" s="53"/>
      <c r="G715" s="53"/>
      <c r="H715" s="258"/>
    </row>
    <row r="716">
      <c r="D716" s="8"/>
      <c r="E716" s="8"/>
      <c r="F716" s="53"/>
      <c r="G716" s="53"/>
      <c r="H716" s="258"/>
    </row>
    <row r="717">
      <c r="D717" s="8"/>
      <c r="E717" s="8"/>
      <c r="F717" s="53"/>
      <c r="G717" s="53"/>
      <c r="H717" s="258"/>
    </row>
    <row r="718">
      <c r="D718" s="8"/>
      <c r="E718" s="8"/>
      <c r="F718" s="53"/>
      <c r="G718" s="53"/>
      <c r="H718" s="258"/>
    </row>
    <row r="719">
      <c r="D719" s="8"/>
      <c r="E719" s="8"/>
      <c r="F719" s="53"/>
      <c r="G719" s="53"/>
      <c r="H719" s="258"/>
    </row>
    <row r="720">
      <c r="D720" s="8"/>
      <c r="E720" s="8"/>
      <c r="F720" s="53"/>
      <c r="G720" s="53"/>
      <c r="H720" s="258"/>
    </row>
    <row r="721">
      <c r="D721" s="8"/>
      <c r="E721" s="8"/>
      <c r="F721" s="53"/>
      <c r="G721" s="53"/>
      <c r="H721" s="258"/>
    </row>
    <row r="722">
      <c r="D722" s="8"/>
      <c r="E722" s="8"/>
      <c r="F722" s="53"/>
      <c r="G722" s="53"/>
      <c r="H722" s="258"/>
    </row>
    <row r="723">
      <c r="D723" s="8"/>
      <c r="E723" s="8"/>
      <c r="F723" s="53"/>
      <c r="G723" s="53"/>
      <c r="H723" s="258"/>
    </row>
    <row r="724">
      <c r="D724" s="8"/>
      <c r="E724" s="8"/>
      <c r="F724" s="53"/>
      <c r="G724" s="53"/>
      <c r="H724" s="258"/>
    </row>
    <row r="725">
      <c r="D725" s="8"/>
      <c r="E725" s="8"/>
      <c r="F725" s="53"/>
      <c r="G725" s="53"/>
      <c r="H725" s="258"/>
    </row>
    <row r="726">
      <c r="D726" s="8"/>
      <c r="E726" s="8"/>
      <c r="F726" s="53"/>
      <c r="G726" s="53"/>
      <c r="H726" s="258"/>
    </row>
    <row r="727">
      <c r="D727" s="8"/>
      <c r="E727" s="8"/>
      <c r="F727" s="53"/>
      <c r="G727" s="53"/>
      <c r="H727" s="258"/>
    </row>
    <row r="728">
      <c r="D728" s="8"/>
      <c r="E728" s="8"/>
      <c r="F728" s="53"/>
      <c r="G728" s="53"/>
      <c r="H728" s="258"/>
    </row>
    <row r="729">
      <c r="D729" s="8"/>
      <c r="E729" s="8"/>
      <c r="F729" s="53"/>
      <c r="G729" s="53"/>
      <c r="H729" s="258"/>
    </row>
    <row r="730">
      <c r="D730" s="8"/>
      <c r="E730" s="8"/>
      <c r="F730" s="53"/>
      <c r="G730" s="53"/>
      <c r="H730" s="258"/>
    </row>
    <row r="731">
      <c r="D731" s="8"/>
      <c r="E731" s="8"/>
      <c r="F731" s="53"/>
      <c r="G731" s="53"/>
      <c r="H731" s="258"/>
    </row>
    <row r="732">
      <c r="D732" s="8"/>
      <c r="E732" s="8"/>
      <c r="F732" s="53"/>
      <c r="G732" s="53"/>
      <c r="H732" s="258"/>
    </row>
    <row r="733">
      <c r="D733" s="8"/>
      <c r="E733" s="8"/>
      <c r="F733" s="53"/>
      <c r="G733" s="53"/>
      <c r="H733" s="258"/>
    </row>
    <row r="734">
      <c r="D734" s="8"/>
      <c r="E734" s="8"/>
      <c r="F734" s="53"/>
      <c r="G734" s="53"/>
      <c r="H734" s="258"/>
    </row>
    <row r="735">
      <c r="D735" s="8"/>
      <c r="E735" s="8"/>
      <c r="F735" s="53"/>
      <c r="G735" s="53"/>
      <c r="H735" s="258"/>
    </row>
    <row r="736">
      <c r="D736" s="8"/>
      <c r="E736" s="8"/>
      <c r="F736" s="53"/>
      <c r="G736" s="53"/>
      <c r="H736" s="258"/>
    </row>
    <row r="737">
      <c r="D737" s="8"/>
      <c r="E737" s="8"/>
      <c r="F737" s="53"/>
      <c r="G737" s="53"/>
      <c r="H737" s="258"/>
    </row>
    <row r="738">
      <c r="D738" s="8"/>
      <c r="E738" s="8"/>
      <c r="F738" s="53"/>
      <c r="G738" s="53"/>
      <c r="H738" s="258"/>
    </row>
    <row r="739">
      <c r="D739" s="8"/>
      <c r="E739" s="8"/>
      <c r="F739" s="53"/>
      <c r="G739" s="53"/>
      <c r="H739" s="258"/>
    </row>
    <row r="740">
      <c r="D740" s="8"/>
      <c r="E740" s="8"/>
      <c r="F740" s="53"/>
      <c r="G740" s="53"/>
      <c r="H740" s="258"/>
    </row>
    <row r="741">
      <c r="D741" s="8"/>
      <c r="E741" s="8"/>
      <c r="F741" s="53"/>
      <c r="G741" s="53"/>
      <c r="H741" s="258"/>
    </row>
    <row r="742">
      <c r="D742" s="8"/>
      <c r="E742" s="8"/>
      <c r="F742" s="53"/>
      <c r="G742" s="53"/>
      <c r="H742" s="258"/>
    </row>
    <row r="743">
      <c r="D743" s="8"/>
      <c r="E743" s="8"/>
      <c r="F743" s="53"/>
      <c r="G743" s="53"/>
      <c r="H743" s="258"/>
    </row>
    <row r="744">
      <c r="D744" s="8"/>
      <c r="E744" s="8"/>
      <c r="F744" s="53"/>
      <c r="G744" s="53"/>
      <c r="H744" s="258"/>
    </row>
    <row r="745">
      <c r="D745" s="8"/>
      <c r="E745" s="8"/>
      <c r="F745" s="53"/>
      <c r="G745" s="53"/>
      <c r="H745" s="258"/>
    </row>
    <row r="746">
      <c r="D746" s="8"/>
      <c r="E746" s="8"/>
      <c r="F746" s="53"/>
      <c r="G746" s="53"/>
      <c r="H746" s="258"/>
    </row>
    <row r="747">
      <c r="D747" s="8"/>
      <c r="E747" s="8"/>
      <c r="F747" s="53"/>
      <c r="G747" s="53"/>
      <c r="H747" s="258"/>
    </row>
    <row r="748">
      <c r="D748" s="8"/>
      <c r="E748" s="8"/>
      <c r="F748" s="53"/>
      <c r="G748" s="53"/>
      <c r="H748" s="258"/>
    </row>
    <row r="749">
      <c r="D749" s="8"/>
      <c r="E749" s="8"/>
      <c r="F749" s="53"/>
      <c r="G749" s="53"/>
      <c r="H749" s="258"/>
    </row>
    <row r="750">
      <c r="D750" s="8"/>
      <c r="E750" s="8"/>
      <c r="F750" s="53"/>
      <c r="G750" s="53"/>
      <c r="H750" s="258"/>
    </row>
    <row r="751">
      <c r="D751" s="8"/>
      <c r="E751" s="8"/>
      <c r="F751" s="53"/>
      <c r="G751" s="53"/>
      <c r="H751" s="258"/>
    </row>
    <row r="752">
      <c r="D752" s="8"/>
      <c r="E752" s="8"/>
      <c r="F752" s="53"/>
      <c r="G752" s="53"/>
      <c r="H752" s="258"/>
    </row>
    <row r="753">
      <c r="D753" s="8"/>
      <c r="E753" s="8"/>
      <c r="F753" s="53"/>
      <c r="G753" s="53"/>
      <c r="H753" s="258"/>
    </row>
    <row r="754">
      <c r="D754" s="8"/>
      <c r="E754" s="8"/>
      <c r="F754" s="53"/>
      <c r="G754" s="53"/>
      <c r="H754" s="258"/>
    </row>
    <row r="755">
      <c r="D755" s="8"/>
      <c r="E755" s="8"/>
      <c r="F755" s="53"/>
      <c r="G755" s="53"/>
      <c r="H755" s="258"/>
    </row>
    <row r="756">
      <c r="D756" s="8"/>
      <c r="E756" s="8"/>
      <c r="F756" s="53"/>
      <c r="G756" s="53"/>
      <c r="H756" s="258"/>
    </row>
    <row r="757">
      <c r="D757" s="8"/>
      <c r="E757" s="8"/>
      <c r="F757" s="53"/>
      <c r="G757" s="53"/>
      <c r="H757" s="258"/>
    </row>
    <row r="758">
      <c r="D758" s="8"/>
      <c r="E758" s="8"/>
      <c r="F758" s="53"/>
      <c r="G758" s="53"/>
      <c r="H758" s="258"/>
    </row>
    <row r="759">
      <c r="D759" s="8"/>
      <c r="E759" s="8"/>
      <c r="F759" s="53"/>
      <c r="G759" s="53"/>
      <c r="H759" s="258"/>
    </row>
    <row r="760">
      <c r="D760" s="8"/>
      <c r="E760" s="8"/>
      <c r="F760" s="53"/>
      <c r="G760" s="53"/>
      <c r="H760" s="258"/>
    </row>
    <row r="761">
      <c r="D761" s="8"/>
      <c r="E761" s="8"/>
      <c r="F761" s="53"/>
      <c r="G761" s="53"/>
      <c r="H761" s="258"/>
    </row>
    <row r="762">
      <c r="D762" s="8"/>
      <c r="E762" s="8"/>
      <c r="F762" s="53"/>
      <c r="G762" s="53"/>
      <c r="H762" s="258"/>
    </row>
    <row r="763">
      <c r="D763" s="8"/>
      <c r="E763" s="8"/>
      <c r="F763" s="53"/>
      <c r="G763" s="53"/>
      <c r="H763" s="258"/>
    </row>
    <row r="764">
      <c r="D764" s="8"/>
      <c r="E764" s="8"/>
      <c r="F764" s="53"/>
      <c r="G764" s="53"/>
      <c r="H764" s="258"/>
    </row>
    <row r="765">
      <c r="D765" s="8"/>
      <c r="E765" s="8"/>
      <c r="F765" s="53"/>
      <c r="G765" s="53"/>
      <c r="H765" s="258"/>
    </row>
    <row r="766">
      <c r="D766" s="8"/>
      <c r="E766" s="8"/>
      <c r="F766" s="53"/>
      <c r="G766" s="53"/>
      <c r="H766" s="258"/>
    </row>
    <row r="767">
      <c r="D767" s="8"/>
      <c r="E767" s="8"/>
      <c r="F767" s="53"/>
      <c r="G767" s="53"/>
      <c r="H767" s="258"/>
    </row>
    <row r="768">
      <c r="D768" s="8"/>
      <c r="E768" s="8"/>
      <c r="F768" s="53"/>
      <c r="G768" s="53"/>
      <c r="H768" s="258"/>
    </row>
    <row r="769">
      <c r="D769" s="8"/>
      <c r="E769" s="8"/>
      <c r="F769" s="53"/>
      <c r="G769" s="53"/>
      <c r="H769" s="258"/>
    </row>
    <row r="770">
      <c r="D770" s="8"/>
      <c r="E770" s="8"/>
      <c r="F770" s="53"/>
      <c r="G770" s="53"/>
      <c r="H770" s="258"/>
    </row>
    <row r="771">
      <c r="D771" s="8"/>
      <c r="E771" s="8"/>
      <c r="F771" s="53"/>
      <c r="G771" s="53"/>
      <c r="H771" s="258"/>
    </row>
    <row r="772">
      <c r="D772" s="8"/>
      <c r="E772" s="8"/>
      <c r="F772" s="53"/>
      <c r="G772" s="53"/>
      <c r="H772" s="258"/>
    </row>
    <row r="773">
      <c r="D773" s="8"/>
      <c r="E773" s="8"/>
      <c r="F773" s="53"/>
      <c r="G773" s="53"/>
      <c r="H773" s="258"/>
    </row>
    <row r="774">
      <c r="D774" s="8"/>
      <c r="E774" s="8"/>
      <c r="F774" s="53"/>
      <c r="G774" s="53"/>
      <c r="H774" s="258"/>
    </row>
    <row r="775">
      <c r="D775" s="8"/>
      <c r="E775" s="8"/>
      <c r="F775" s="53"/>
      <c r="G775" s="53"/>
      <c r="H775" s="258"/>
    </row>
    <row r="776">
      <c r="D776" s="8"/>
      <c r="E776" s="8"/>
      <c r="F776" s="53"/>
      <c r="G776" s="53"/>
      <c r="H776" s="258"/>
    </row>
    <row r="777">
      <c r="D777" s="8"/>
      <c r="E777" s="8"/>
      <c r="F777" s="53"/>
      <c r="G777" s="53"/>
      <c r="H777" s="258"/>
    </row>
    <row r="778">
      <c r="D778" s="8"/>
      <c r="E778" s="8"/>
      <c r="F778" s="53"/>
      <c r="G778" s="53"/>
      <c r="H778" s="258"/>
    </row>
    <row r="779">
      <c r="D779" s="8"/>
      <c r="E779" s="8"/>
      <c r="F779" s="53"/>
      <c r="G779" s="53"/>
      <c r="H779" s="258"/>
    </row>
    <row r="780">
      <c r="D780" s="8"/>
      <c r="E780" s="8"/>
      <c r="F780" s="53"/>
      <c r="G780" s="53"/>
      <c r="H780" s="258"/>
    </row>
    <row r="781">
      <c r="D781" s="8"/>
      <c r="E781" s="8"/>
      <c r="F781" s="53"/>
      <c r="G781" s="53"/>
      <c r="H781" s="258"/>
    </row>
    <row r="782">
      <c r="D782" s="8"/>
      <c r="E782" s="8"/>
      <c r="F782" s="53"/>
      <c r="G782" s="53"/>
      <c r="H782" s="258"/>
    </row>
    <row r="783">
      <c r="D783" s="8"/>
      <c r="E783" s="8"/>
      <c r="F783" s="53"/>
      <c r="G783" s="53"/>
      <c r="H783" s="258"/>
    </row>
    <row r="784">
      <c r="D784" s="8"/>
      <c r="E784" s="8"/>
      <c r="F784" s="53"/>
      <c r="G784" s="53"/>
      <c r="H784" s="258"/>
    </row>
    <row r="785">
      <c r="D785" s="8"/>
      <c r="E785" s="8"/>
      <c r="F785" s="53"/>
      <c r="G785" s="53"/>
      <c r="H785" s="258"/>
    </row>
    <row r="786">
      <c r="D786" s="8"/>
      <c r="E786" s="8"/>
      <c r="F786" s="53"/>
      <c r="G786" s="53"/>
      <c r="H786" s="258"/>
    </row>
    <row r="787">
      <c r="D787" s="8"/>
      <c r="E787" s="8"/>
      <c r="F787" s="53"/>
      <c r="G787" s="53"/>
      <c r="H787" s="258"/>
    </row>
    <row r="788">
      <c r="D788" s="8"/>
      <c r="E788" s="8"/>
      <c r="F788" s="53"/>
      <c r="G788" s="53"/>
      <c r="H788" s="258"/>
    </row>
    <row r="789">
      <c r="D789" s="8"/>
      <c r="E789" s="8"/>
      <c r="F789" s="53"/>
      <c r="G789" s="53"/>
      <c r="H789" s="258"/>
    </row>
    <row r="790">
      <c r="D790" s="8"/>
      <c r="E790" s="8"/>
      <c r="F790" s="53"/>
      <c r="G790" s="53"/>
      <c r="H790" s="258"/>
    </row>
    <row r="791">
      <c r="D791" s="8"/>
      <c r="E791" s="8"/>
      <c r="F791" s="53"/>
      <c r="G791" s="53"/>
      <c r="H791" s="258"/>
    </row>
    <row r="792">
      <c r="D792" s="8"/>
      <c r="E792" s="8"/>
      <c r="F792" s="53"/>
      <c r="G792" s="53"/>
      <c r="H792" s="258"/>
    </row>
    <row r="793">
      <c r="D793" s="8"/>
      <c r="E793" s="8"/>
      <c r="F793" s="53"/>
      <c r="G793" s="53"/>
      <c r="H793" s="258"/>
    </row>
    <row r="794">
      <c r="D794" s="8"/>
      <c r="E794" s="8"/>
      <c r="F794" s="53"/>
      <c r="G794" s="53"/>
      <c r="H794" s="258"/>
    </row>
    <row r="795">
      <c r="D795" s="8"/>
      <c r="E795" s="8"/>
      <c r="F795" s="53"/>
      <c r="G795" s="53"/>
      <c r="H795" s="258"/>
    </row>
    <row r="796">
      <c r="D796" s="8"/>
      <c r="E796" s="8"/>
      <c r="F796" s="53"/>
      <c r="G796" s="53"/>
      <c r="H796" s="258"/>
    </row>
    <row r="797">
      <c r="D797" s="8"/>
      <c r="E797" s="8"/>
      <c r="F797" s="53"/>
      <c r="G797" s="53"/>
      <c r="H797" s="258"/>
    </row>
    <row r="798">
      <c r="D798" s="8"/>
      <c r="E798" s="8"/>
      <c r="F798" s="53"/>
      <c r="G798" s="53"/>
      <c r="H798" s="258"/>
    </row>
    <row r="799">
      <c r="D799" s="8"/>
      <c r="E799" s="8"/>
      <c r="F799" s="53"/>
      <c r="G799" s="53"/>
      <c r="H799" s="258"/>
    </row>
    <row r="800">
      <c r="D800" s="8"/>
      <c r="E800" s="8"/>
      <c r="F800" s="53"/>
      <c r="G800" s="53"/>
      <c r="H800" s="258"/>
    </row>
    <row r="801">
      <c r="D801" s="8"/>
      <c r="E801" s="8"/>
      <c r="F801" s="53"/>
      <c r="G801" s="53"/>
      <c r="H801" s="258"/>
    </row>
    <row r="802">
      <c r="D802" s="8"/>
      <c r="E802" s="8"/>
      <c r="F802" s="53"/>
      <c r="G802" s="53"/>
      <c r="H802" s="258"/>
    </row>
    <row r="803">
      <c r="D803" s="8"/>
      <c r="E803" s="8"/>
      <c r="F803" s="53"/>
      <c r="G803" s="53"/>
      <c r="H803" s="258"/>
    </row>
    <row r="804">
      <c r="D804" s="8"/>
      <c r="E804" s="8"/>
      <c r="F804" s="53"/>
      <c r="G804" s="53"/>
      <c r="H804" s="258"/>
    </row>
    <row r="805">
      <c r="D805" s="8"/>
      <c r="E805" s="8"/>
      <c r="F805" s="53"/>
      <c r="G805" s="53"/>
      <c r="H805" s="258"/>
    </row>
    <row r="806">
      <c r="D806" s="8"/>
      <c r="E806" s="8"/>
      <c r="F806" s="53"/>
      <c r="G806" s="53"/>
      <c r="H806" s="258"/>
    </row>
    <row r="807">
      <c r="D807" s="8"/>
      <c r="E807" s="8"/>
      <c r="F807" s="53"/>
      <c r="G807" s="53"/>
      <c r="H807" s="258"/>
    </row>
    <row r="808">
      <c r="D808" s="8"/>
      <c r="E808" s="8"/>
      <c r="F808" s="53"/>
      <c r="G808" s="53"/>
      <c r="H808" s="258"/>
    </row>
    <row r="809">
      <c r="D809" s="8"/>
      <c r="E809" s="8"/>
      <c r="F809" s="53"/>
      <c r="G809" s="53"/>
      <c r="H809" s="258"/>
    </row>
    <row r="810">
      <c r="D810" s="8"/>
      <c r="E810" s="8"/>
      <c r="F810" s="53"/>
      <c r="G810" s="53"/>
      <c r="H810" s="258"/>
    </row>
    <row r="811">
      <c r="D811" s="8"/>
      <c r="E811" s="8"/>
      <c r="F811" s="53"/>
      <c r="G811" s="53"/>
      <c r="H811" s="258"/>
    </row>
    <row r="812">
      <c r="D812" s="8"/>
      <c r="E812" s="8"/>
      <c r="F812" s="53"/>
      <c r="G812" s="53"/>
      <c r="H812" s="258"/>
    </row>
    <row r="813">
      <c r="D813" s="8"/>
      <c r="E813" s="8"/>
      <c r="F813" s="53"/>
      <c r="G813" s="53"/>
      <c r="H813" s="258"/>
    </row>
    <row r="814">
      <c r="D814" s="8"/>
      <c r="E814" s="8"/>
      <c r="F814" s="53"/>
      <c r="G814" s="53"/>
      <c r="H814" s="258"/>
    </row>
    <row r="815">
      <c r="D815" s="8"/>
      <c r="E815" s="8"/>
      <c r="F815" s="53"/>
      <c r="G815" s="53"/>
      <c r="H815" s="258"/>
    </row>
    <row r="816">
      <c r="D816" s="8"/>
      <c r="E816" s="8"/>
      <c r="F816" s="53"/>
      <c r="G816" s="53"/>
      <c r="H816" s="258"/>
    </row>
    <row r="817">
      <c r="D817" s="8"/>
      <c r="E817" s="8"/>
      <c r="F817" s="53"/>
      <c r="G817" s="53"/>
      <c r="H817" s="258"/>
    </row>
    <row r="818">
      <c r="D818" s="8"/>
      <c r="E818" s="8"/>
      <c r="F818" s="53"/>
      <c r="G818" s="53"/>
      <c r="H818" s="258"/>
    </row>
    <row r="819">
      <c r="D819" s="8"/>
      <c r="E819" s="8"/>
      <c r="F819" s="53"/>
      <c r="G819" s="53"/>
      <c r="H819" s="258"/>
    </row>
    <row r="820">
      <c r="D820" s="8"/>
      <c r="E820" s="8"/>
      <c r="F820" s="53"/>
      <c r="G820" s="53"/>
      <c r="H820" s="258"/>
    </row>
    <row r="821">
      <c r="D821" s="8"/>
      <c r="E821" s="8"/>
      <c r="F821" s="53"/>
      <c r="G821" s="53"/>
      <c r="H821" s="258"/>
    </row>
    <row r="822">
      <c r="D822" s="8"/>
      <c r="E822" s="8"/>
      <c r="F822" s="53"/>
      <c r="G822" s="53"/>
      <c r="H822" s="258"/>
    </row>
    <row r="823">
      <c r="D823" s="8"/>
      <c r="E823" s="8"/>
      <c r="F823" s="53"/>
      <c r="G823" s="53"/>
      <c r="H823" s="258"/>
    </row>
    <row r="824">
      <c r="D824" s="8"/>
      <c r="E824" s="8"/>
      <c r="F824" s="53"/>
      <c r="G824" s="53"/>
      <c r="H824" s="258"/>
    </row>
    <row r="825">
      <c r="D825" s="8"/>
      <c r="E825" s="8"/>
      <c r="F825" s="53"/>
      <c r="G825" s="53"/>
      <c r="H825" s="258"/>
    </row>
    <row r="826">
      <c r="D826" s="8"/>
      <c r="E826" s="8"/>
      <c r="F826" s="53"/>
      <c r="G826" s="53"/>
      <c r="H826" s="258"/>
    </row>
    <row r="827">
      <c r="D827" s="8"/>
      <c r="E827" s="8"/>
      <c r="F827" s="53"/>
      <c r="G827" s="53"/>
      <c r="H827" s="258"/>
    </row>
    <row r="828">
      <c r="D828" s="8"/>
      <c r="E828" s="8"/>
      <c r="F828" s="53"/>
      <c r="G828" s="53"/>
      <c r="H828" s="258"/>
    </row>
    <row r="829">
      <c r="D829" s="8"/>
      <c r="E829" s="8"/>
      <c r="F829" s="53"/>
      <c r="G829" s="53"/>
      <c r="H829" s="258"/>
    </row>
    <row r="830">
      <c r="D830" s="8"/>
      <c r="E830" s="8"/>
      <c r="F830" s="53"/>
      <c r="G830" s="53"/>
      <c r="H830" s="258"/>
    </row>
    <row r="831">
      <c r="D831" s="8"/>
      <c r="E831" s="8"/>
      <c r="F831" s="53"/>
      <c r="G831" s="53"/>
      <c r="H831" s="258"/>
    </row>
    <row r="832">
      <c r="D832" s="8"/>
      <c r="E832" s="8"/>
      <c r="F832" s="53"/>
      <c r="G832" s="53"/>
      <c r="H832" s="258"/>
    </row>
    <row r="833">
      <c r="D833" s="8"/>
      <c r="E833" s="8"/>
      <c r="F833" s="53"/>
      <c r="G833" s="53"/>
      <c r="H833" s="258"/>
    </row>
    <row r="834">
      <c r="D834" s="8"/>
      <c r="E834" s="8"/>
      <c r="F834" s="53"/>
      <c r="G834" s="53"/>
      <c r="H834" s="258"/>
    </row>
    <row r="835">
      <c r="D835" s="8"/>
      <c r="E835" s="8"/>
      <c r="F835" s="53"/>
      <c r="G835" s="53"/>
      <c r="H835" s="258"/>
    </row>
    <row r="836">
      <c r="D836" s="8"/>
      <c r="E836" s="8"/>
      <c r="F836" s="53"/>
      <c r="G836" s="53"/>
      <c r="H836" s="258"/>
    </row>
    <row r="837">
      <c r="D837" s="8"/>
      <c r="E837" s="8"/>
      <c r="F837" s="53"/>
      <c r="G837" s="53"/>
      <c r="H837" s="258"/>
    </row>
    <row r="838">
      <c r="D838" s="8"/>
      <c r="E838" s="8"/>
      <c r="F838" s="53"/>
      <c r="G838" s="53"/>
      <c r="H838" s="258"/>
    </row>
    <row r="839">
      <c r="D839" s="8"/>
      <c r="E839" s="8"/>
      <c r="F839" s="53"/>
      <c r="G839" s="53"/>
      <c r="H839" s="258"/>
    </row>
    <row r="840">
      <c r="D840" s="8"/>
      <c r="E840" s="8"/>
      <c r="F840" s="53"/>
      <c r="G840" s="53"/>
      <c r="H840" s="258"/>
    </row>
    <row r="841">
      <c r="D841" s="8"/>
      <c r="E841" s="8"/>
      <c r="F841" s="53"/>
      <c r="G841" s="53"/>
      <c r="H841" s="258"/>
    </row>
    <row r="842">
      <c r="D842" s="8"/>
      <c r="E842" s="8"/>
      <c r="F842" s="53"/>
      <c r="G842" s="53"/>
      <c r="H842" s="258"/>
    </row>
    <row r="843">
      <c r="D843" s="8"/>
      <c r="E843" s="8"/>
      <c r="F843" s="53"/>
      <c r="G843" s="53"/>
      <c r="H843" s="258"/>
    </row>
    <row r="844">
      <c r="D844" s="8"/>
      <c r="E844" s="8"/>
      <c r="F844" s="53"/>
      <c r="G844" s="53"/>
      <c r="H844" s="258"/>
    </row>
    <row r="845">
      <c r="D845" s="8"/>
      <c r="E845" s="8"/>
      <c r="F845" s="53"/>
      <c r="G845" s="53"/>
      <c r="H845" s="258"/>
    </row>
    <row r="846">
      <c r="D846" s="8"/>
      <c r="E846" s="8"/>
      <c r="F846" s="53"/>
      <c r="G846" s="53"/>
      <c r="H846" s="258"/>
    </row>
    <row r="847">
      <c r="D847" s="8"/>
      <c r="E847" s="8"/>
      <c r="F847" s="53"/>
      <c r="G847" s="53"/>
      <c r="H847" s="258"/>
    </row>
    <row r="848">
      <c r="D848" s="8"/>
      <c r="E848" s="8"/>
      <c r="F848" s="53"/>
      <c r="G848" s="53"/>
      <c r="H848" s="258"/>
    </row>
    <row r="849">
      <c r="D849" s="8"/>
      <c r="E849" s="8"/>
      <c r="F849" s="53"/>
      <c r="G849" s="53"/>
      <c r="H849" s="258"/>
    </row>
    <row r="850">
      <c r="D850" s="8"/>
      <c r="E850" s="8"/>
      <c r="F850" s="53"/>
      <c r="G850" s="53"/>
      <c r="H850" s="258"/>
    </row>
    <row r="851">
      <c r="D851" s="8"/>
      <c r="E851" s="8"/>
      <c r="F851" s="53"/>
      <c r="G851" s="53"/>
      <c r="H851" s="258"/>
    </row>
    <row r="852">
      <c r="D852" s="8"/>
      <c r="E852" s="8"/>
      <c r="F852" s="53"/>
      <c r="G852" s="53"/>
      <c r="H852" s="258"/>
    </row>
    <row r="853">
      <c r="D853" s="8"/>
      <c r="E853" s="8"/>
      <c r="F853" s="53"/>
      <c r="G853" s="53"/>
      <c r="H853" s="258"/>
    </row>
    <row r="854">
      <c r="D854" s="8"/>
      <c r="E854" s="8"/>
      <c r="F854" s="53"/>
      <c r="G854" s="53"/>
      <c r="H854" s="258"/>
    </row>
    <row r="855">
      <c r="D855" s="8"/>
      <c r="E855" s="8"/>
      <c r="F855" s="53"/>
      <c r="G855" s="53"/>
      <c r="H855" s="258"/>
    </row>
    <row r="856">
      <c r="D856" s="8"/>
      <c r="E856" s="8"/>
      <c r="F856" s="53"/>
      <c r="G856" s="53"/>
      <c r="H856" s="258"/>
    </row>
    <row r="857">
      <c r="D857" s="8"/>
      <c r="E857" s="8"/>
      <c r="F857" s="53"/>
      <c r="G857" s="53"/>
      <c r="H857" s="258"/>
    </row>
    <row r="858">
      <c r="D858" s="8"/>
      <c r="E858" s="8"/>
      <c r="F858" s="53"/>
      <c r="G858" s="53"/>
      <c r="H858" s="258"/>
    </row>
    <row r="859">
      <c r="D859" s="8"/>
      <c r="E859" s="8"/>
      <c r="F859" s="53"/>
      <c r="G859" s="53"/>
      <c r="H859" s="258"/>
    </row>
    <row r="860">
      <c r="D860" s="8"/>
      <c r="E860" s="8"/>
      <c r="F860" s="53"/>
      <c r="G860" s="53"/>
      <c r="H860" s="258"/>
    </row>
    <row r="861">
      <c r="D861" s="8"/>
      <c r="E861" s="8"/>
      <c r="F861" s="53"/>
      <c r="G861" s="53"/>
      <c r="H861" s="258"/>
    </row>
    <row r="862">
      <c r="D862" s="8"/>
      <c r="E862" s="8"/>
      <c r="F862" s="53"/>
      <c r="G862" s="53"/>
      <c r="H862" s="258"/>
    </row>
    <row r="863">
      <c r="D863" s="8"/>
      <c r="E863" s="8"/>
      <c r="F863" s="53"/>
      <c r="G863" s="53"/>
      <c r="H863" s="258"/>
    </row>
    <row r="864">
      <c r="D864" s="8"/>
      <c r="E864" s="8"/>
      <c r="F864" s="53"/>
      <c r="G864" s="53"/>
      <c r="H864" s="258"/>
    </row>
    <row r="865">
      <c r="D865" s="8"/>
      <c r="E865" s="8"/>
      <c r="F865" s="53"/>
      <c r="G865" s="53"/>
      <c r="H865" s="258"/>
    </row>
    <row r="866">
      <c r="D866" s="8"/>
      <c r="E866" s="8"/>
      <c r="F866" s="53"/>
      <c r="G866" s="53"/>
      <c r="H866" s="258"/>
    </row>
    <row r="867">
      <c r="D867" s="8"/>
      <c r="E867" s="8"/>
      <c r="F867" s="53"/>
      <c r="G867" s="53"/>
      <c r="H867" s="258"/>
    </row>
    <row r="868">
      <c r="D868" s="8"/>
      <c r="E868" s="8"/>
      <c r="F868" s="53"/>
      <c r="G868" s="53"/>
      <c r="H868" s="258"/>
    </row>
    <row r="869">
      <c r="D869" s="8"/>
      <c r="E869" s="8"/>
      <c r="F869" s="53"/>
      <c r="G869" s="53"/>
      <c r="H869" s="258"/>
    </row>
    <row r="870">
      <c r="D870" s="8"/>
      <c r="E870" s="8"/>
      <c r="F870" s="53"/>
      <c r="G870" s="53"/>
      <c r="H870" s="258"/>
    </row>
    <row r="871">
      <c r="D871" s="8"/>
      <c r="E871" s="8"/>
      <c r="F871" s="53"/>
      <c r="G871" s="53"/>
      <c r="H871" s="258"/>
    </row>
    <row r="872">
      <c r="D872" s="8"/>
      <c r="E872" s="8"/>
      <c r="F872" s="53"/>
      <c r="G872" s="53"/>
      <c r="H872" s="258"/>
    </row>
    <row r="873">
      <c r="D873" s="8"/>
      <c r="E873" s="8"/>
      <c r="F873" s="53"/>
      <c r="G873" s="53"/>
      <c r="H873" s="258"/>
    </row>
    <row r="874">
      <c r="D874" s="8"/>
      <c r="E874" s="8"/>
      <c r="F874" s="53"/>
      <c r="G874" s="53"/>
      <c r="H874" s="258"/>
    </row>
    <row r="875">
      <c r="D875" s="8"/>
      <c r="E875" s="8"/>
      <c r="F875" s="53"/>
      <c r="G875" s="53"/>
      <c r="H875" s="258"/>
    </row>
    <row r="876">
      <c r="D876" s="8"/>
      <c r="E876" s="8"/>
      <c r="F876" s="53"/>
      <c r="G876" s="53"/>
      <c r="H876" s="258"/>
    </row>
    <row r="877">
      <c r="D877" s="8"/>
      <c r="E877" s="8"/>
      <c r="F877" s="53"/>
      <c r="G877" s="53"/>
      <c r="H877" s="258"/>
    </row>
    <row r="878">
      <c r="D878" s="8"/>
      <c r="E878" s="8"/>
      <c r="F878" s="53"/>
      <c r="G878" s="53"/>
      <c r="H878" s="258"/>
    </row>
    <row r="879">
      <c r="D879" s="8"/>
      <c r="E879" s="8"/>
      <c r="F879" s="53"/>
      <c r="G879" s="53"/>
      <c r="H879" s="258"/>
    </row>
    <row r="880">
      <c r="D880" s="8"/>
      <c r="E880" s="8"/>
      <c r="F880" s="53"/>
      <c r="G880" s="53"/>
      <c r="H880" s="258"/>
    </row>
    <row r="881">
      <c r="D881" s="8"/>
      <c r="E881" s="8"/>
      <c r="F881" s="53"/>
      <c r="G881" s="53"/>
      <c r="H881" s="258"/>
    </row>
    <row r="882">
      <c r="D882" s="8"/>
      <c r="E882" s="8"/>
      <c r="F882" s="53"/>
      <c r="G882" s="53"/>
      <c r="H882" s="258"/>
    </row>
    <row r="883">
      <c r="D883" s="8"/>
      <c r="E883" s="8"/>
      <c r="F883" s="53"/>
      <c r="G883" s="53"/>
      <c r="H883" s="258"/>
    </row>
    <row r="884">
      <c r="D884" s="8"/>
      <c r="E884" s="8"/>
      <c r="F884" s="53"/>
      <c r="G884" s="53"/>
      <c r="H884" s="258"/>
    </row>
    <row r="885">
      <c r="D885" s="8"/>
      <c r="E885" s="8"/>
      <c r="F885" s="53"/>
      <c r="G885" s="53"/>
      <c r="H885" s="258"/>
    </row>
    <row r="886">
      <c r="D886" s="8"/>
      <c r="E886" s="8"/>
      <c r="F886" s="53"/>
      <c r="G886" s="53"/>
      <c r="H886" s="258"/>
    </row>
    <row r="887">
      <c r="D887" s="8"/>
      <c r="E887" s="8"/>
      <c r="F887" s="53"/>
      <c r="G887" s="53"/>
      <c r="H887" s="258"/>
    </row>
    <row r="888">
      <c r="D888" s="8"/>
      <c r="E888" s="8"/>
      <c r="F888" s="53"/>
      <c r="G888" s="53"/>
      <c r="H888" s="258"/>
    </row>
    <row r="889">
      <c r="D889" s="8"/>
      <c r="E889" s="8"/>
      <c r="F889" s="53"/>
      <c r="G889" s="53"/>
      <c r="H889" s="258"/>
    </row>
    <row r="890">
      <c r="D890" s="8"/>
      <c r="E890" s="8"/>
      <c r="F890" s="53"/>
      <c r="G890" s="53"/>
      <c r="H890" s="258"/>
    </row>
    <row r="891">
      <c r="D891" s="8"/>
      <c r="E891" s="8"/>
      <c r="F891" s="53"/>
      <c r="G891" s="53"/>
      <c r="H891" s="258"/>
    </row>
    <row r="892">
      <c r="D892" s="8"/>
      <c r="E892" s="8"/>
      <c r="F892" s="53"/>
      <c r="G892" s="53"/>
      <c r="H892" s="258"/>
    </row>
    <row r="893">
      <c r="D893" s="8"/>
      <c r="E893" s="8"/>
      <c r="F893" s="53"/>
      <c r="G893" s="53"/>
      <c r="H893" s="258"/>
    </row>
    <row r="894">
      <c r="D894" s="8"/>
      <c r="E894" s="8"/>
      <c r="F894" s="53"/>
      <c r="G894" s="53"/>
      <c r="H894" s="258"/>
    </row>
    <row r="895">
      <c r="D895" s="8"/>
      <c r="E895" s="8"/>
      <c r="F895" s="53"/>
      <c r="G895" s="53"/>
      <c r="H895" s="258"/>
    </row>
    <row r="896">
      <c r="D896" s="8"/>
      <c r="E896" s="8"/>
      <c r="F896" s="53"/>
      <c r="G896" s="53"/>
      <c r="H896" s="258"/>
    </row>
    <row r="897">
      <c r="D897" s="8"/>
      <c r="E897" s="8"/>
      <c r="F897" s="53"/>
      <c r="G897" s="53"/>
      <c r="H897" s="258"/>
    </row>
    <row r="898">
      <c r="D898" s="8"/>
      <c r="E898" s="8"/>
      <c r="F898" s="53"/>
      <c r="G898" s="53"/>
      <c r="H898" s="258"/>
    </row>
    <row r="899">
      <c r="D899" s="8"/>
      <c r="E899" s="8"/>
      <c r="F899" s="53"/>
      <c r="G899" s="53"/>
      <c r="H899" s="258"/>
    </row>
    <row r="900">
      <c r="D900" s="8"/>
      <c r="E900" s="8"/>
      <c r="F900" s="53"/>
      <c r="G900" s="53"/>
      <c r="H900" s="258"/>
    </row>
    <row r="901">
      <c r="D901" s="8"/>
      <c r="E901" s="8"/>
      <c r="F901" s="53"/>
      <c r="G901" s="53"/>
      <c r="H901" s="258"/>
    </row>
    <row r="902">
      <c r="D902" s="8"/>
      <c r="E902" s="8"/>
      <c r="F902" s="53"/>
      <c r="G902" s="53"/>
      <c r="H902" s="258"/>
    </row>
    <row r="903">
      <c r="D903" s="8"/>
      <c r="E903" s="8"/>
      <c r="F903" s="53"/>
      <c r="G903" s="53"/>
      <c r="H903" s="258"/>
    </row>
    <row r="904">
      <c r="D904" s="8"/>
      <c r="E904" s="8"/>
      <c r="F904" s="53"/>
      <c r="G904" s="53"/>
      <c r="H904" s="258"/>
    </row>
    <row r="905">
      <c r="D905" s="8"/>
      <c r="E905" s="8"/>
      <c r="F905" s="53"/>
      <c r="G905" s="53"/>
      <c r="H905" s="258"/>
    </row>
    <row r="906">
      <c r="D906" s="8"/>
      <c r="E906" s="8"/>
      <c r="F906" s="53"/>
      <c r="G906" s="53"/>
      <c r="H906" s="258"/>
    </row>
    <row r="907">
      <c r="D907" s="8"/>
      <c r="E907" s="8"/>
      <c r="F907" s="53"/>
      <c r="G907" s="53"/>
      <c r="H907" s="258"/>
    </row>
    <row r="908">
      <c r="D908" s="8"/>
      <c r="E908" s="8"/>
      <c r="F908" s="53"/>
      <c r="G908" s="53"/>
      <c r="H908" s="258"/>
    </row>
    <row r="909">
      <c r="D909" s="8"/>
      <c r="E909" s="8"/>
      <c r="F909" s="53"/>
      <c r="G909" s="53"/>
      <c r="H909" s="258"/>
    </row>
    <row r="910">
      <c r="D910" s="8"/>
      <c r="E910" s="8"/>
      <c r="F910" s="53"/>
      <c r="G910" s="53"/>
      <c r="H910" s="258"/>
    </row>
    <row r="911">
      <c r="D911" s="8"/>
      <c r="E911" s="8"/>
      <c r="F911" s="53"/>
      <c r="G911" s="53"/>
      <c r="H911" s="258"/>
    </row>
    <row r="912">
      <c r="D912" s="8"/>
      <c r="E912" s="8"/>
      <c r="F912" s="53"/>
      <c r="G912" s="53"/>
      <c r="H912" s="258"/>
    </row>
    <row r="913">
      <c r="D913" s="8"/>
      <c r="E913" s="8"/>
      <c r="F913" s="53"/>
      <c r="G913" s="53"/>
      <c r="H913" s="258"/>
    </row>
    <row r="914">
      <c r="D914" s="8"/>
      <c r="E914" s="8"/>
      <c r="F914" s="53"/>
      <c r="G914" s="53"/>
      <c r="H914" s="258"/>
    </row>
    <row r="915">
      <c r="D915" s="8"/>
      <c r="E915" s="8"/>
      <c r="F915" s="53"/>
      <c r="G915" s="53"/>
      <c r="H915" s="258"/>
    </row>
    <row r="916">
      <c r="D916" s="8"/>
      <c r="E916" s="8"/>
      <c r="F916" s="53"/>
      <c r="G916" s="53"/>
      <c r="H916" s="258"/>
    </row>
    <row r="917">
      <c r="D917" s="8"/>
      <c r="E917" s="8"/>
      <c r="F917" s="53"/>
      <c r="G917" s="53"/>
      <c r="H917" s="258"/>
    </row>
    <row r="918">
      <c r="D918" s="8"/>
      <c r="E918" s="8"/>
      <c r="F918" s="53"/>
      <c r="G918" s="53"/>
      <c r="H918" s="258"/>
    </row>
    <row r="919">
      <c r="D919" s="8"/>
      <c r="E919" s="8"/>
      <c r="F919" s="53"/>
      <c r="G919" s="53"/>
      <c r="H919" s="258"/>
    </row>
    <row r="920">
      <c r="D920" s="8"/>
      <c r="E920" s="8"/>
      <c r="F920" s="53"/>
      <c r="G920" s="53"/>
      <c r="H920" s="258"/>
    </row>
    <row r="921">
      <c r="D921" s="8"/>
      <c r="E921" s="8"/>
      <c r="F921" s="53"/>
      <c r="G921" s="53"/>
      <c r="H921" s="258"/>
    </row>
    <row r="922">
      <c r="D922" s="8"/>
      <c r="E922" s="8"/>
      <c r="F922" s="53"/>
      <c r="G922" s="53"/>
      <c r="H922" s="258"/>
    </row>
    <row r="923">
      <c r="D923" s="8"/>
      <c r="E923" s="8"/>
      <c r="F923" s="53"/>
      <c r="G923" s="53"/>
      <c r="H923" s="258"/>
    </row>
    <row r="924">
      <c r="D924" s="8"/>
      <c r="E924" s="8"/>
      <c r="F924" s="53"/>
      <c r="G924" s="53"/>
      <c r="H924" s="258"/>
    </row>
    <row r="925">
      <c r="D925" s="8"/>
      <c r="E925" s="8"/>
      <c r="F925" s="53"/>
      <c r="G925" s="53"/>
      <c r="H925" s="258"/>
    </row>
    <row r="926">
      <c r="D926" s="8"/>
      <c r="E926" s="8"/>
      <c r="F926" s="53"/>
      <c r="G926" s="53"/>
      <c r="H926" s="258"/>
    </row>
    <row r="927">
      <c r="D927" s="8"/>
      <c r="E927" s="8"/>
      <c r="F927" s="53"/>
      <c r="G927" s="53"/>
      <c r="H927" s="258"/>
    </row>
    <row r="928">
      <c r="D928" s="8"/>
      <c r="E928" s="8"/>
      <c r="F928" s="53"/>
      <c r="G928" s="53"/>
      <c r="H928" s="258"/>
    </row>
    <row r="929">
      <c r="D929" s="8"/>
      <c r="E929" s="8"/>
      <c r="F929" s="53"/>
      <c r="G929" s="53"/>
      <c r="H929" s="258"/>
    </row>
    <row r="930">
      <c r="D930" s="8"/>
      <c r="E930" s="8"/>
      <c r="F930" s="53"/>
      <c r="G930" s="53"/>
      <c r="H930" s="258"/>
    </row>
    <row r="931">
      <c r="D931" s="8"/>
      <c r="E931" s="8"/>
      <c r="F931" s="53"/>
      <c r="G931" s="53"/>
      <c r="H931" s="258"/>
    </row>
    <row r="932">
      <c r="D932" s="8"/>
      <c r="E932" s="8"/>
      <c r="F932" s="53"/>
      <c r="G932" s="53"/>
      <c r="H932" s="258"/>
    </row>
    <row r="933">
      <c r="D933" s="8"/>
      <c r="E933" s="8"/>
      <c r="F933" s="53"/>
      <c r="G933" s="53"/>
      <c r="H933" s="258"/>
    </row>
    <row r="934">
      <c r="D934" s="8"/>
      <c r="E934" s="8"/>
      <c r="F934" s="53"/>
      <c r="G934" s="53"/>
      <c r="H934" s="258"/>
    </row>
    <row r="935">
      <c r="D935" s="8"/>
      <c r="E935" s="8"/>
      <c r="F935" s="53"/>
      <c r="G935" s="53"/>
      <c r="H935" s="258"/>
    </row>
    <row r="936">
      <c r="D936" s="8"/>
      <c r="E936" s="8"/>
      <c r="F936" s="53"/>
      <c r="G936" s="53"/>
      <c r="H936" s="258"/>
    </row>
    <row r="937">
      <c r="D937" s="8"/>
      <c r="E937" s="8"/>
      <c r="F937" s="53"/>
      <c r="G937" s="53"/>
      <c r="H937" s="258"/>
    </row>
    <row r="938">
      <c r="D938" s="8"/>
      <c r="E938" s="8"/>
      <c r="F938" s="53"/>
      <c r="G938" s="53"/>
      <c r="H938" s="258"/>
    </row>
    <row r="939">
      <c r="D939" s="8"/>
      <c r="E939" s="8"/>
      <c r="F939" s="53"/>
      <c r="G939" s="53"/>
      <c r="H939" s="258"/>
    </row>
    <row r="940">
      <c r="D940" s="8"/>
      <c r="E940" s="8"/>
      <c r="F940" s="53"/>
      <c r="G940" s="53"/>
      <c r="H940" s="258"/>
    </row>
    <row r="941">
      <c r="D941" s="8"/>
      <c r="E941" s="8"/>
      <c r="F941" s="53"/>
      <c r="G941" s="53"/>
      <c r="H941" s="258"/>
    </row>
    <row r="942">
      <c r="D942" s="8"/>
      <c r="E942" s="8"/>
      <c r="F942" s="53"/>
      <c r="G942" s="53"/>
      <c r="H942" s="258"/>
    </row>
    <row r="943">
      <c r="D943" s="8"/>
      <c r="E943" s="8"/>
      <c r="F943" s="53"/>
      <c r="G943" s="53"/>
      <c r="H943" s="258"/>
    </row>
    <row r="944">
      <c r="D944" s="8"/>
      <c r="E944" s="8"/>
      <c r="F944" s="53"/>
      <c r="G944" s="53"/>
      <c r="H944" s="258"/>
    </row>
    <row r="945">
      <c r="D945" s="8"/>
      <c r="E945" s="8"/>
      <c r="F945" s="53"/>
      <c r="G945" s="53"/>
      <c r="H945" s="258"/>
    </row>
    <row r="946">
      <c r="D946" s="8"/>
      <c r="E946" s="8"/>
      <c r="F946" s="53"/>
      <c r="G946" s="53"/>
      <c r="H946" s="258"/>
    </row>
    <row r="947">
      <c r="D947" s="8"/>
      <c r="E947" s="8"/>
      <c r="F947" s="53"/>
      <c r="G947" s="53"/>
      <c r="H947" s="258"/>
    </row>
    <row r="948">
      <c r="D948" s="8"/>
      <c r="E948" s="8"/>
      <c r="F948" s="53"/>
      <c r="G948" s="53"/>
      <c r="H948" s="258"/>
    </row>
    <row r="949">
      <c r="D949" s="8"/>
      <c r="E949" s="8"/>
      <c r="F949" s="53"/>
      <c r="G949" s="53"/>
      <c r="H949" s="258"/>
    </row>
    <row r="950">
      <c r="D950" s="8"/>
      <c r="E950" s="8"/>
      <c r="F950" s="53"/>
      <c r="G950" s="53"/>
      <c r="H950" s="258"/>
    </row>
    <row r="951">
      <c r="D951" s="8"/>
      <c r="E951" s="8"/>
      <c r="F951" s="53"/>
      <c r="G951" s="53"/>
      <c r="H951" s="258"/>
    </row>
    <row r="952">
      <c r="D952" s="8"/>
      <c r="E952" s="8"/>
      <c r="F952" s="53"/>
      <c r="G952" s="53"/>
      <c r="H952" s="258"/>
    </row>
    <row r="953">
      <c r="D953" s="8"/>
      <c r="E953" s="8"/>
      <c r="F953" s="53"/>
      <c r="G953" s="53"/>
      <c r="H953" s="258"/>
    </row>
    <row r="954">
      <c r="D954" s="8"/>
      <c r="E954" s="8"/>
      <c r="F954" s="53"/>
      <c r="G954" s="53"/>
      <c r="H954" s="258"/>
    </row>
    <row r="955">
      <c r="D955" s="8"/>
      <c r="E955" s="8"/>
      <c r="F955" s="53"/>
      <c r="G955" s="53"/>
      <c r="H955" s="258"/>
    </row>
    <row r="956">
      <c r="D956" s="8"/>
      <c r="E956" s="8"/>
      <c r="F956" s="53"/>
      <c r="G956" s="53"/>
      <c r="H956" s="258"/>
    </row>
    <row r="957">
      <c r="D957" s="8"/>
      <c r="E957" s="8"/>
      <c r="F957" s="53"/>
      <c r="G957" s="53"/>
      <c r="H957" s="258"/>
    </row>
    <row r="958">
      <c r="D958" s="8"/>
      <c r="E958" s="8"/>
      <c r="F958" s="53"/>
      <c r="G958" s="53"/>
      <c r="H958" s="258"/>
    </row>
    <row r="959">
      <c r="D959" s="8"/>
      <c r="E959" s="8"/>
      <c r="F959" s="53"/>
      <c r="G959" s="53"/>
      <c r="H959" s="258"/>
    </row>
    <row r="960">
      <c r="D960" s="8"/>
      <c r="E960" s="8"/>
      <c r="F960" s="53"/>
      <c r="G960" s="53"/>
      <c r="H960" s="258"/>
    </row>
    <row r="961">
      <c r="D961" s="8"/>
      <c r="E961" s="8"/>
      <c r="F961" s="53"/>
      <c r="G961" s="53"/>
      <c r="H961" s="258"/>
    </row>
    <row r="962">
      <c r="D962" s="8"/>
      <c r="E962" s="8"/>
      <c r="F962" s="53"/>
      <c r="G962" s="53"/>
      <c r="H962" s="258"/>
    </row>
    <row r="963">
      <c r="D963" s="8"/>
      <c r="E963" s="8"/>
      <c r="F963" s="53"/>
      <c r="G963" s="53"/>
      <c r="H963" s="258"/>
    </row>
    <row r="964">
      <c r="D964" s="8"/>
      <c r="E964" s="8"/>
      <c r="F964" s="53"/>
      <c r="G964" s="53"/>
      <c r="H964" s="258"/>
    </row>
    <row r="965">
      <c r="D965" s="8"/>
      <c r="E965" s="8"/>
      <c r="F965" s="53"/>
      <c r="G965" s="53"/>
      <c r="H965" s="258"/>
    </row>
    <row r="966">
      <c r="D966" s="8"/>
      <c r="E966" s="8"/>
      <c r="F966" s="53"/>
      <c r="G966" s="53"/>
      <c r="H966" s="258"/>
    </row>
    <row r="967">
      <c r="D967" s="8"/>
      <c r="E967" s="8"/>
      <c r="F967" s="53"/>
      <c r="G967" s="53"/>
      <c r="H967" s="258"/>
    </row>
    <row r="968">
      <c r="D968" s="8"/>
      <c r="E968" s="8"/>
      <c r="F968" s="53"/>
      <c r="G968" s="53"/>
      <c r="H968" s="258"/>
    </row>
    <row r="969">
      <c r="D969" s="8"/>
      <c r="E969" s="8"/>
      <c r="F969" s="53"/>
      <c r="G969" s="53"/>
      <c r="H969" s="258"/>
    </row>
    <row r="970">
      <c r="D970" s="8"/>
      <c r="E970" s="8"/>
      <c r="F970" s="53"/>
      <c r="G970" s="53"/>
      <c r="H970" s="258"/>
    </row>
    <row r="971">
      <c r="D971" s="8"/>
      <c r="E971" s="8"/>
      <c r="F971" s="53"/>
      <c r="G971" s="53"/>
      <c r="H971" s="258"/>
    </row>
    <row r="972">
      <c r="D972" s="8"/>
      <c r="E972" s="8"/>
      <c r="F972" s="53"/>
      <c r="G972" s="53"/>
      <c r="H972" s="258"/>
    </row>
    <row r="973">
      <c r="D973" s="8"/>
      <c r="E973" s="8"/>
      <c r="F973" s="53"/>
      <c r="G973" s="53"/>
      <c r="H973" s="258"/>
    </row>
    <row r="974">
      <c r="D974" s="8"/>
      <c r="E974" s="8"/>
      <c r="F974" s="53"/>
      <c r="G974" s="53"/>
      <c r="H974" s="258"/>
    </row>
    <row r="975">
      <c r="D975" s="8"/>
      <c r="E975" s="8"/>
      <c r="F975" s="53"/>
      <c r="G975" s="53"/>
      <c r="H975" s="258"/>
    </row>
    <row r="976">
      <c r="D976" s="8"/>
      <c r="E976" s="8"/>
      <c r="F976" s="53"/>
      <c r="G976" s="53"/>
      <c r="H976" s="258"/>
    </row>
    <row r="977">
      <c r="D977" s="8"/>
      <c r="E977" s="8"/>
      <c r="F977" s="53"/>
      <c r="G977" s="53"/>
      <c r="H977" s="258"/>
    </row>
    <row r="978">
      <c r="D978" s="8"/>
      <c r="E978" s="8"/>
      <c r="F978" s="53"/>
      <c r="G978" s="53"/>
      <c r="H978" s="258"/>
    </row>
    <row r="979">
      <c r="D979" s="8"/>
      <c r="E979" s="8"/>
      <c r="F979" s="53"/>
      <c r="G979" s="53"/>
      <c r="H979" s="258"/>
    </row>
    <row r="980">
      <c r="D980" s="8"/>
      <c r="E980" s="8"/>
      <c r="F980" s="53"/>
      <c r="G980" s="53"/>
      <c r="H980" s="258"/>
    </row>
    <row r="981">
      <c r="D981" s="8"/>
      <c r="E981" s="8"/>
      <c r="F981" s="53"/>
      <c r="G981" s="53"/>
      <c r="H981" s="258"/>
    </row>
    <row r="982">
      <c r="D982" s="8"/>
      <c r="E982" s="8"/>
      <c r="F982" s="53"/>
      <c r="G982" s="53"/>
      <c r="H982" s="258"/>
    </row>
    <row r="983">
      <c r="D983" s="8"/>
      <c r="E983" s="8"/>
      <c r="F983" s="53"/>
      <c r="G983" s="53"/>
      <c r="H983" s="258"/>
    </row>
    <row r="984">
      <c r="D984" s="8"/>
      <c r="E984" s="8"/>
      <c r="F984" s="53"/>
      <c r="G984" s="53"/>
      <c r="H984" s="258"/>
    </row>
    <row r="985">
      <c r="D985" s="8"/>
      <c r="E985" s="8"/>
      <c r="F985" s="53"/>
      <c r="G985" s="53"/>
      <c r="H985" s="258"/>
    </row>
    <row r="986">
      <c r="D986" s="8"/>
      <c r="E986" s="8"/>
      <c r="F986" s="53"/>
      <c r="G986" s="53"/>
      <c r="H986" s="258"/>
    </row>
    <row r="987">
      <c r="D987" s="8"/>
      <c r="E987" s="8"/>
      <c r="F987" s="53"/>
      <c r="G987" s="53"/>
      <c r="H987" s="258"/>
    </row>
    <row r="988">
      <c r="D988" s="8"/>
      <c r="E988" s="8"/>
      <c r="F988" s="53"/>
      <c r="G988" s="53"/>
      <c r="H988" s="258"/>
    </row>
    <row r="989">
      <c r="D989" s="8"/>
      <c r="E989" s="8"/>
      <c r="F989" s="53"/>
      <c r="G989" s="53"/>
      <c r="H989" s="258"/>
    </row>
    <row r="990">
      <c r="D990" s="8"/>
      <c r="E990" s="8"/>
      <c r="F990" s="53"/>
      <c r="G990" s="53"/>
      <c r="H990" s="258"/>
    </row>
    <row r="991">
      <c r="D991" s="8"/>
      <c r="E991" s="8"/>
      <c r="F991" s="53"/>
      <c r="G991" s="53"/>
      <c r="H991" s="258"/>
    </row>
    <row r="992">
      <c r="D992" s="8"/>
      <c r="E992" s="8"/>
      <c r="F992" s="53"/>
      <c r="G992" s="53"/>
      <c r="H992" s="258"/>
    </row>
    <row r="993">
      <c r="D993" s="8"/>
      <c r="E993" s="8"/>
      <c r="F993" s="53"/>
      <c r="G993" s="53"/>
      <c r="H993" s="258"/>
    </row>
    <row r="994">
      <c r="D994" s="8"/>
      <c r="E994" s="8"/>
      <c r="F994" s="53"/>
      <c r="G994" s="53"/>
      <c r="H994" s="258"/>
    </row>
    <row r="995">
      <c r="D995" s="8"/>
      <c r="E995" s="8"/>
      <c r="F995" s="53"/>
      <c r="G995" s="53"/>
      <c r="H995" s="258"/>
    </row>
    <row r="996">
      <c r="D996" s="8"/>
      <c r="E996" s="8"/>
      <c r="F996" s="53"/>
      <c r="G996" s="53"/>
      <c r="H996" s="258"/>
    </row>
    <row r="997">
      <c r="D997" s="8"/>
      <c r="E997" s="8"/>
      <c r="F997" s="53"/>
      <c r="G997" s="53"/>
      <c r="H997" s="258"/>
    </row>
    <row r="998">
      <c r="D998" s="8"/>
      <c r="E998" s="8"/>
      <c r="F998" s="53"/>
      <c r="G998" s="53"/>
      <c r="H998" s="258"/>
    </row>
    <row r="999">
      <c r="D999" s="8"/>
      <c r="E999" s="8"/>
      <c r="F999" s="53"/>
      <c r="G999" s="53"/>
      <c r="H999" s="258"/>
    </row>
  </sheetData>
  <conditionalFormatting sqref="A1:T1">
    <cfRule type="notContainsBlanks" dxfId="0" priority="1">
      <formula>LEN(TRIM(A1))&gt;0</formula>
    </cfRule>
  </conditionalFormatting>
  <hyperlinks>
    <hyperlink r:id="rId1" ref="J2"/>
    <hyperlink r:id="rId2" ref="H3"/>
    <hyperlink r:id="rId3" ref="H4"/>
    <hyperlink r:id="rId4" ref="I4"/>
    <hyperlink r:id="rId5" ref="J4"/>
    <hyperlink r:id="rId6" ref="H5"/>
    <hyperlink r:id="rId7" ref="J5"/>
    <hyperlink r:id="rId8" ref="H6"/>
    <hyperlink r:id="rId9" ref="L6"/>
    <hyperlink r:id="rId10" ref="H7"/>
    <hyperlink r:id="rId11" ref="L8"/>
    <hyperlink r:id="rId12" ref="H9"/>
    <hyperlink r:id="rId13" ref="H10"/>
    <hyperlink r:id="rId14" ref="H11"/>
    <hyperlink r:id="rId15" ref="I11"/>
    <hyperlink r:id="rId16" ref="J11"/>
    <hyperlink r:id="rId17" ref="H12"/>
    <hyperlink r:id="rId18" ref="H13"/>
    <hyperlink r:id="rId19" ref="I13"/>
    <hyperlink r:id="rId20" ref="J13"/>
    <hyperlink r:id="rId21" ref="H14"/>
    <hyperlink r:id="rId22" ref="H15"/>
    <hyperlink r:id="rId23" ref="J16"/>
    <hyperlink r:id="rId24" ref="H17"/>
    <hyperlink r:id="rId25" ref="I17"/>
    <hyperlink r:id="rId26" ref="J17"/>
    <hyperlink r:id="rId27" ref="H18"/>
    <hyperlink r:id="rId28" ref="L18"/>
    <hyperlink r:id="rId29" ref="H19"/>
    <hyperlink r:id="rId30" ref="I19"/>
    <hyperlink r:id="rId31" ref="J19"/>
    <hyperlink r:id="rId32" ref="H20"/>
    <hyperlink r:id="rId33" ref="H21"/>
    <hyperlink r:id="rId34" ref="H22"/>
    <hyperlink r:id="rId35" ref="H23"/>
    <hyperlink r:id="rId36" ref="I23"/>
    <hyperlink r:id="rId37" ref="J23"/>
    <hyperlink r:id="rId38" ref="H24"/>
    <hyperlink r:id="rId39" ref="J24"/>
    <hyperlink r:id="rId40" ref="H25"/>
    <hyperlink r:id="rId41" ref="H26"/>
    <hyperlink r:id="rId42" ref="H27"/>
    <hyperlink r:id="rId43" ref="I27"/>
    <hyperlink r:id="rId44" ref="H28"/>
    <hyperlink r:id="rId45" ref="H29"/>
    <hyperlink r:id="rId46" ref="H30"/>
    <hyperlink r:id="rId47" ref="H31"/>
    <hyperlink r:id="rId48" ref="J31"/>
    <hyperlink r:id="rId49" ref="J32"/>
  </hyperlinks>
  <drawing r:id="rId50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2" width="8.75"/>
    <col customWidth="1" min="3" max="3" width="13.38"/>
    <col customWidth="1" min="4" max="4" width="12.25"/>
    <col customWidth="1" min="5" max="5" width="5.63"/>
    <col customWidth="1" min="6" max="7" width="4.13"/>
    <col customWidth="1" min="8" max="8" width="43.75"/>
    <col customWidth="1" min="9" max="9" width="26.88"/>
    <col customWidth="1" min="10" max="10" width="32.63"/>
    <col customWidth="1" min="11" max="11" width="29.38"/>
    <col customWidth="1" min="12" max="12" width="3.88"/>
    <col customWidth="1" min="13" max="13" width="7.25"/>
    <col customWidth="1" min="14" max="14" width="6.13"/>
    <col customWidth="1" min="15" max="15" width="4.5"/>
    <col customWidth="1" min="16" max="16" width="4.13"/>
    <col customWidth="1" min="17" max="17" width="5.13"/>
    <col customWidth="1" min="18" max="18" width="4.25"/>
    <col customWidth="1" min="19" max="19" width="4.5"/>
  </cols>
  <sheetData>
    <row r="1">
      <c r="A1" s="49" t="s">
        <v>19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4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>
      <c r="A2" s="59">
        <v>32074.0</v>
      </c>
      <c r="B2" s="49"/>
      <c r="C2" s="11" t="s">
        <v>855</v>
      </c>
      <c r="D2" s="49" t="s">
        <v>15148</v>
      </c>
      <c r="E2" s="49" t="s">
        <v>15149</v>
      </c>
      <c r="F2" s="48"/>
      <c r="G2" s="48"/>
      <c r="H2" s="50" t="s">
        <v>15150</v>
      </c>
      <c r="I2" s="48"/>
      <c r="J2" s="48"/>
      <c r="K2" s="48"/>
      <c r="N2" s="8"/>
    </row>
    <row r="3">
      <c r="A3" s="59">
        <v>30544.0</v>
      </c>
      <c r="B3" s="49"/>
      <c r="C3" s="11" t="s">
        <v>15151</v>
      </c>
      <c r="D3" s="49" t="s">
        <v>15148</v>
      </c>
      <c r="E3" s="49" t="s">
        <v>15152</v>
      </c>
      <c r="F3" s="372"/>
      <c r="G3" s="372"/>
      <c r="H3" s="50" t="s">
        <v>15153</v>
      </c>
      <c r="I3" s="48"/>
      <c r="J3" s="50" t="s">
        <v>15154</v>
      </c>
      <c r="K3" s="65"/>
      <c r="N3" s="8"/>
    </row>
    <row r="4">
      <c r="A4" s="59">
        <v>29862.0</v>
      </c>
      <c r="B4" s="49"/>
      <c r="C4" s="11" t="s">
        <v>685</v>
      </c>
      <c r="D4" s="49" t="s">
        <v>15148</v>
      </c>
      <c r="E4" s="49" t="s">
        <v>15155</v>
      </c>
      <c r="F4" s="48"/>
      <c r="G4" s="48"/>
      <c r="H4" s="48"/>
      <c r="I4" s="50" t="s">
        <v>15156</v>
      </c>
      <c r="J4" s="48"/>
      <c r="K4" s="48"/>
      <c r="N4" s="8"/>
    </row>
    <row r="5">
      <c r="A5" s="59">
        <v>25163.0</v>
      </c>
      <c r="B5" s="49"/>
      <c r="C5" s="11" t="s">
        <v>356</v>
      </c>
      <c r="D5" s="49" t="s">
        <v>15148</v>
      </c>
      <c r="E5" s="49" t="s">
        <v>15157</v>
      </c>
      <c r="F5" s="373"/>
      <c r="G5" s="373"/>
      <c r="H5" s="50" t="s">
        <v>15158</v>
      </c>
      <c r="I5" s="48"/>
      <c r="J5" s="48"/>
      <c r="K5" s="48"/>
    </row>
    <row r="6">
      <c r="A6" s="59">
        <v>25122.0</v>
      </c>
      <c r="B6" s="49"/>
      <c r="C6" s="11" t="s">
        <v>15159</v>
      </c>
      <c r="D6" s="49" t="s">
        <v>15148</v>
      </c>
      <c r="E6" s="49" t="s">
        <v>15152</v>
      </c>
      <c r="F6" s="48"/>
      <c r="G6" s="48"/>
      <c r="H6" s="48"/>
      <c r="I6" s="48"/>
      <c r="J6" s="50" t="s">
        <v>15160</v>
      </c>
      <c r="K6" s="48"/>
    </row>
    <row r="7">
      <c r="A7" s="59">
        <v>25118.0</v>
      </c>
      <c r="B7" s="49"/>
      <c r="C7" s="11" t="s">
        <v>15161</v>
      </c>
      <c r="D7" s="49" t="s">
        <v>15148</v>
      </c>
      <c r="E7" s="49" t="s">
        <v>15162</v>
      </c>
      <c r="F7" s="48"/>
      <c r="G7" s="48"/>
      <c r="H7" s="48"/>
      <c r="I7" s="48"/>
      <c r="J7" s="50" t="s">
        <v>15163</v>
      </c>
      <c r="K7" s="48"/>
    </row>
    <row r="8">
      <c r="A8" s="59">
        <v>20815.0</v>
      </c>
      <c r="B8" s="49"/>
      <c r="C8" s="11" t="s">
        <v>15164</v>
      </c>
      <c r="D8" s="49" t="s">
        <v>15148</v>
      </c>
      <c r="E8" s="49" t="s">
        <v>15165</v>
      </c>
      <c r="F8" s="49"/>
      <c r="G8" s="49"/>
      <c r="H8" s="50" t="s">
        <v>15166</v>
      </c>
      <c r="I8" s="48"/>
      <c r="J8" s="48"/>
      <c r="K8" s="48"/>
    </row>
    <row r="9">
      <c r="A9" s="59">
        <v>19727.0</v>
      </c>
      <c r="B9" s="49"/>
      <c r="C9" s="11" t="s">
        <v>15167</v>
      </c>
      <c r="D9" s="49" t="s">
        <v>15148</v>
      </c>
      <c r="E9" s="49" t="s">
        <v>15152</v>
      </c>
      <c r="F9" s="48"/>
      <c r="G9" s="48"/>
      <c r="H9" s="50" t="s">
        <v>15168</v>
      </c>
      <c r="I9" s="48"/>
      <c r="J9" s="50" t="s">
        <v>15169</v>
      </c>
      <c r="K9" s="70"/>
    </row>
    <row r="10">
      <c r="A10" s="59">
        <v>19550.0</v>
      </c>
      <c r="B10" s="49"/>
      <c r="C10" s="11" t="s">
        <v>15170</v>
      </c>
      <c r="D10" s="49" t="s">
        <v>15148</v>
      </c>
      <c r="E10" s="49" t="s">
        <v>15152</v>
      </c>
      <c r="F10" s="48"/>
      <c r="G10" s="48"/>
      <c r="H10" s="48"/>
      <c r="I10" s="48"/>
      <c r="J10" s="50" t="s">
        <v>15171</v>
      </c>
      <c r="K10" s="48"/>
    </row>
    <row r="11">
      <c r="A11" s="59">
        <v>19549.0</v>
      </c>
      <c r="B11" s="49"/>
      <c r="C11" s="11" t="s">
        <v>1207</v>
      </c>
      <c r="D11" s="49" t="s">
        <v>15148</v>
      </c>
      <c r="E11" s="49" t="s">
        <v>15152</v>
      </c>
      <c r="F11" s="48"/>
      <c r="G11" s="48"/>
      <c r="H11" s="48"/>
      <c r="I11" s="48"/>
      <c r="J11" s="50" t="s">
        <v>15172</v>
      </c>
      <c r="K11" s="48"/>
    </row>
    <row r="12">
      <c r="A12" s="59">
        <v>18284.0</v>
      </c>
      <c r="B12" s="49"/>
      <c r="C12" s="11" t="s">
        <v>3209</v>
      </c>
      <c r="D12" s="49" t="s">
        <v>15148</v>
      </c>
      <c r="E12" s="49" t="s">
        <v>15152</v>
      </c>
      <c r="F12" s="48"/>
      <c r="G12" s="48"/>
      <c r="H12" s="48"/>
      <c r="I12" s="48"/>
      <c r="J12" s="50" t="s">
        <v>15173</v>
      </c>
      <c r="K12" s="48"/>
    </row>
    <row r="13">
      <c r="A13" s="59">
        <v>17790.0</v>
      </c>
      <c r="B13" s="49"/>
      <c r="C13" s="11" t="s">
        <v>1207</v>
      </c>
      <c r="D13" s="49" t="s">
        <v>15148</v>
      </c>
      <c r="E13" s="49" t="s">
        <v>15162</v>
      </c>
      <c r="F13" s="48"/>
      <c r="G13" s="48"/>
      <c r="H13" s="48"/>
      <c r="I13" s="48"/>
      <c r="J13" s="50" t="s">
        <v>15174</v>
      </c>
      <c r="K13" s="48"/>
    </row>
    <row r="14">
      <c r="A14" s="59">
        <v>12771.0</v>
      </c>
      <c r="B14" s="49"/>
      <c r="C14" s="11" t="s">
        <v>15175</v>
      </c>
      <c r="D14" s="49" t="s">
        <v>15148</v>
      </c>
      <c r="E14" s="49" t="s">
        <v>15176</v>
      </c>
      <c r="F14" s="48"/>
      <c r="G14" s="48"/>
      <c r="H14" s="50" t="s">
        <v>15177</v>
      </c>
      <c r="I14" s="48"/>
      <c r="J14" s="48"/>
      <c r="K14" s="48"/>
    </row>
    <row r="15">
      <c r="A15" s="59">
        <v>12726.0</v>
      </c>
      <c r="B15" s="49"/>
      <c r="C15" s="11" t="s">
        <v>8899</v>
      </c>
      <c r="D15" s="49" t="s">
        <v>15148</v>
      </c>
      <c r="E15" s="49" t="s">
        <v>15155</v>
      </c>
      <c r="F15" s="48"/>
      <c r="G15" s="48"/>
      <c r="H15" s="50" t="s">
        <v>15178</v>
      </c>
      <c r="I15" s="48"/>
      <c r="J15" s="48"/>
      <c r="K15" s="48"/>
    </row>
    <row r="16">
      <c r="A16" s="59">
        <v>12706.0</v>
      </c>
      <c r="B16" s="49"/>
      <c r="C16" s="11" t="s">
        <v>15179</v>
      </c>
      <c r="D16" s="49" t="s">
        <v>15148</v>
      </c>
      <c r="E16" s="49" t="s">
        <v>15176</v>
      </c>
      <c r="F16" s="48"/>
      <c r="G16" s="48"/>
      <c r="H16" s="50" t="s">
        <v>15180</v>
      </c>
      <c r="I16" s="48"/>
      <c r="J16" s="50" t="s">
        <v>15181</v>
      </c>
      <c r="K16" s="48"/>
    </row>
    <row r="17">
      <c r="A17" s="59">
        <v>12685.0</v>
      </c>
      <c r="B17" s="49"/>
      <c r="C17" s="11" t="s">
        <v>773</v>
      </c>
      <c r="D17" s="49" t="s">
        <v>15148</v>
      </c>
      <c r="E17" s="49" t="s">
        <v>15152</v>
      </c>
      <c r="F17" s="48"/>
      <c r="G17" s="48"/>
      <c r="H17" s="48"/>
      <c r="I17" s="48"/>
      <c r="J17" s="50" t="s">
        <v>15182</v>
      </c>
      <c r="K17" s="48"/>
    </row>
    <row r="18">
      <c r="A18" s="49"/>
      <c r="B18" s="49" t="s">
        <v>17</v>
      </c>
      <c r="C18" s="335" t="s">
        <v>15183</v>
      </c>
      <c r="D18" s="49" t="s">
        <v>15148</v>
      </c>
      <c r="E18" s="49" t="s">
        <v>15152</v>
      </c>
      <c r="F18" s="48"/>
      <c r="G18" s="48"/>
      <c r="H18" s="48"/>
      <c r="I18" s="48"/>
      <c r="J18" s="50" t="s">
        <v>15184</v>
      </c>
      <c r="K18" s="48"/>
    </row>
    <row r="19">
      <c r="A19" s="48"/>
      <c r="B19" s="49" t="s">
        <v>20</v>
      </c>
      <c r="C19" s="49" t="s">
        <v>15185</v>
      </c>
      <c r="D19" s="49" t="s">
        <v>15148</v>
      </c>
      <c r="E19" s="49" t="s">
        <v>15152</v>
      </c>
      <c r="F19" s="48"/>
      <c r="G19" s="48"/>
      <c r="H19" s="50" t="s">
        <v>15186</v>
      </c>
      <c r="I19" s="48"/>
      <c r="J19" s="48"/>
      <c r="K19" s="48"/>
    </row>
    <row r="20">
      <c r="A20" s="48"/>
      <c r="B20" s="49" t="s">
        <v>20</v>
      </c>
      <c r="C20" s="11" t="s">
        <v>15187</v>
      </c>
      <c r="D20" s="49" t="s">
        <v>15148</v>
      </c>
      <c r="E20" s="49" t="s">
        <v>15152</v>
      </c>
      <c r="F20" s="48"/>
      <c r="G20" s="48"/>
      <c r="H20" s="50" t="s">
        <v>15188</v>
      </c>
      <c r="I20" s="48"/>
      <c r="J20" s="50" t="s">
        <v>15189</v>
      </c>
      <c r="K20" s="48"/>
    </row>
    <row r="21">
      <c r="A21" s="48"/>
      <c r="B21" s="49" t="s">
        <v>20</v>
      </c>
      <c r="C21" s="374" t="s">
        <v>15190</v>
      </c>
      <c r="D21" s="49" t="s">
        <v>15148</v>
      </c>
      <c r="E21" s="49" t="s">
        <v>15152</v>
      </c>
      <c r="F21" s="48"/>
      <c r="G21" s="48"/>
      <c r="H21" s="50" t="s">
        <v>15191</v>
      </c>
      <c r="I21" s="48"/>
      <c r="J21" s="48"/>
      <c r="K21" s="48"/>
    </row>
    <row r="22">
      <c r="A22" s="48"/>
      <c r="B22" s="49" t="s">
        <v>20</v>
      </c>
      <c r="C22" s="49" t="s">
        <v>15192</v>
      </c>
      <c r="D22" s="49" t="s">
        <v>15148</v>
      </c>
      <c r="E22" s="49" t="s">
        <v>15152</v>
      </c>
      <c r="F22" s="48"/>
      <c r="G22" s="48"/>
      <c r="H22" s="50" t="s">
        <v>15193</v>
      </c>
      <c r="I22" s="48"/>
      <c r="J22" s="48"/>
      <c r="K22" s="48"/>
    </row>
    <row r="23">
      <c r="A23" s="48"/>
      <c r="B23" s="49" t="s">
        <v>20</v>
      </c>
      <c r="C23" s="49" t="s">
        <v>15194</v>
      </c>
      <c r="D23" s="49" t="s">
        <v>15148</v>
      </c>
      <c r="E23" s="49" t="s">
        <v>15195</v>
      </c>
      <c r="F23" s="48"/>
      <c r="G23" s="48"/>
      <c r="H23" s="50" t="s">
        <v>15196</v>
      </c>
      <c r="I23" s="48"/>
      <c r="J23" s="48"/>
      <c r="K23" s="48"/>
    </row>
    <row r="24">
      <c r="A24" s="48"/>
      <c r="B24" s="49" t="s">
        <v>20</v>
      </c>
      <c r="C24" s="11" t="s">
        <v>760</v>
      </c>
      <c r="D24" s="49" t="s">
        <v>15148</v>
      </c>
      <c r="E24" s="49" t="s">
        <v>15157</v>
      </c>
      <c r="F24" s="48"/>
      <c r="G24" s="48"/>
      <c r="H24" s="50" t="s">
        <v>15197</v>
      </c>
      <c r="I24" s="48"/>
      <c r="J24" s="48"/>
      <c r="K24" s="48"/>
    </row>
    <row r="25">
      <c r="A25" s="48"/>
      <c r="B25" s="49" t="s">
        <v>20</v>
      </c>
      <c r="C25" s="11" t="s">
        <v>15170</v>
      </c>
      <c r="D25" s="49" t="s">
        <v>15148</v>
      </c>
      <c r="E25" s="49" t="s">
        <v>15152</v>
      </c>
      <c r="F25" s="48"/>
      <c r="G25" s="48"/>
      <c r="H25" s="50" t="s">
        <v>15198</v>
      </c>
      <c r="I25" s="48"/>
      <c r="J25" s="48"/>
      <c r="K25" s="48"/>
    </row>
    <row r="26">
      <c r="A26" s="48"/>
      <c r="B26" s="49" t="s">
        <v>20</v>
      </c>
      <c r="C26" s="49" t="s">
        <v>49</v>
      </c>
      <c r="D26" s="49" t="s">
        <v>15148</v>
      </c>
      <c r="E26" s="49" t="s">
        <v>15195</v>
      </c>
      <c r="F26" s="48"/>
      <c r="G26" s="48"/>
      <c r="H26" s="50" t="s">
        <v>15199</v>
      </c>
      <c r="I26" s="50" t="s">
        <v>15200</v>
      </c>
      <c r="J26" s="48"/>
      <c r="K26" s="48"/>
    </row>
    <row r="27">
      <c r="A27" s="48"/>
      <c r="B27" s="49" t="s">
        <v>20</v>
      </c>
      <c r="C27" s="49" t="s">
        <v>15159</v>
      </c>
      <c r="D27" s="49" t="s">
        <v>15148</v>
      </c>
      <c r="E27" s="49" t="s">
        <v>15152</v>
      </c>
      <c r="F27" s="48"/>
      <c r="G27" s="48"/>
      <c r="H27" s="50" t="s">
        <v>15201</v>
      </c>
      <c r="I27" s="50" t="s">
        <v>15202</v>
      </c>
      <c r="J27" s="50" t="s">
        <v>15160</v>
      </c>
      <c r="K27" s="48"/>
    </row>
    <row r="28">
      <c r="A28" s="48"/>
      <c r="B28" s="49" t="s">
        <v>20</v>
      </c>
      <c r="C28" s="49" t="s">
        <v>1207</v>
      </c>
      <c r="D28" s="49" t="s">
        <v>15148</v>
      </c>
      <c r="E28" s="49" t="s">
        <v>15203</v>
      </c>
      <c r="F28" s="48"/>
      <c r="G28" s="48"/>
      <c r="H28" s="50" t="s">
        <v>15204</v>
      </c>
      <c r="I28" s="48"/>
      <c r="J28" s="48"/>
      <c r="K28" s="48"/>
    </row>
    <row r="29">
      <c r="A29" s="48"/>
      <c r="B29" s="49" t="s">
        <v>20</v>
      </c>
      <c r="C29" s="49" t="s">
        <v>3615</v>
      </c>
      <c r="D29" s="49" t="s">
        <v>15148</v>
      </c>
      <c r="E29" s="49" t="s">
        <v>15152</v>
      </c>
      <c r="F29" s="48"/>
      <c r="G29" s="48"/>
      <c r="H29" s="50" t="s">
        <v>15191</v>
      </c>
      <c r="I29" s="48"/>
      <c r="J29" s="48"/>
      <c r="K29" s="48"/>
    </row>
    <row r="30">
      <c r="A30" s="48"/>
      <c r="B30" s="49" t="s">
        <v>20</v>
      </c>
      <c r="C30" s="49" t="s">
        <v>15205</v>
      </c>
      <c r="D30" s="49" t="s">
        <v>15148</v>
      </c>
      <c r="E30" s="49" t="s">
        <v>15152</v>
      </c>
      <c r="F30" s="48"/>
      <c r="G30" s="48"/>
      <c r="H30" s="50" t="s">
        <v>15206</v>
      </c>
      <c r="I30" s="48"/>
      <c r="J30" s="48"/>
      <c r="K30" s="48"/>
    </row>
    <row r="31">
      <c r="A31" s="48"/>
      <c r="B31" s="49" t="s">
        <v>20</v>
      </c>
      <c r="C31" s="49" t="s">
        <v>15207</v>
      </c>
      <c r="D31" s="49" t="s">
        <v>15148</v>
      </c>
      <c r="E31" s="49" t="s">
        <v>15208</v>
      </c>
      <c r="F31" s="48"/>
      <c r="G31" s="48"/>
      <c r="H31" s="50" t="s">
        <v>15209</v>
      </c>
      <c r="I31" s="12" t="s">
        <v>15210</v>
      </c>
      <c r="J31" s="48"/>
      <c r="K31" s="48"/>
    </row>
    <row r="32">
      <c r="A32" s="48"/>
      <c r="B32" s="49" t="s">
        <v>20</v>
      </c>
      <c r="C32" s="49" t="s">
        <v>5894</v>
      </c>
      <c r="D32" s="49" t="s">
        <v>15148</v>
      </c>
      <c r="E32" s="49" t="s">
        <v>15195</v>
      </c>
      <c r="F32" s="48"/>
      <c r="G32" s="48"/>
      <c r="H32" s="375" t="s">
        <v>15211</v>
      </c>
      <c r="I32" s="48"/>
      <c r="J32" s="48"/>
      <c r="K32" s="48"/>
    </row>
    <row r="33">
      <c r="A33" s="48"/>
      <c r="B33" s="49" t="s">
        <v>20</v>
      </c>
      <c r="C33" s="48"/>
      <c r="D33" s="49" t="s">
        <v>15148</v>
      </c>
      <c r="E33" s="48"/>
      <c r="F33" s="48"/>
      <c r="G33" s="48"/>
      <c r="H33" s="48"/>
      <c r="I33" s="48"/>
      <c r="J33" s="48"/>
      <c r="K33" s="48"/>
    </row>
    <row r="34">
      <c r="A34" s="48"/>
      <c r="B34" s="49" t="s">
        <v>20</v>
      </c>
      <c r="C34" s="48"/>
      <c r="D34" s="49" t="s">
        <v>15148</v>
      </c>
      <c r="E34" s="48"/>
      <c r="F34" s="48"/>
      <c r="G34" s="48"/>
      <c r="H34" s="48"/>
      <c r="I34" s="48"/>
      <c r="J34" s="48"/>
      <c r="K34" s="48"/>
    </row>
    <row r="35">
      <c r="A35" s="48"/>
      <c r="B35" s="49" t="s">
        <v>20</v>
      </c>
      <c r="C35" s="48"/>
      <c r="D35" s="49" t="s">
        <v>15148</v>
      </c>
      <c r="E35" s="48"/>
      <c r="F35" s="48"/>
      <c r="G35" s="48"/>
      <c r="H35" s="48"/>
      <c r="I35" s="48"/>
      <c r="J35" s="48"/>
      <c r="K35" s="48"/>
    </row>
    <row r="36">
      <c r="A36" s="48"/>
      <c r="B36" s="49" t="s">
        <v>20</v>
      </c>
      <c r="C36" s="48"/>
      <c r="D36" s="49" t="s">
        <v>15148</v>
      </c>
      <c r="E36" s="48"/>
      <c r="F36" s="48"/>
      <c r="G36" s="48"/>
      <c r="H36" s="48"/>
      <c r="I36" s="48"/>
      <c r="J36" s="48"/>
      <c r="K36" s="48"/>
    </row>
    <row r="37">
      <c r="A37" s="48"/>
      <c r="B37" s="49" t="s">
        <v>20</v>
      </c>
      <c r="C37" s="48"/>
      <c r="D37" s="49" t="s">
        <v>15148</v>
      </c>
      <c r="E37" s="48"/>
      <c r="F37" s="48"/>
      <c r="G37" s="48"/>
      <c r="H37" s="48"/>
      <c r="I37" s="48"/>
      <c r="J37" s="48"/>
      <c r="K37" s="48"/>
    </row>
    <row r="38">
      <c r="A38" s="48"/>
      <c r="B38" s="49" t="s">
        <v>20</v>
      </c>
      <c r="C38" s="48"/>
      <c r="D38" s="49" t="s">
        <v>15148</v>
      </c>
      <c r="E38" s="48"/>
      <c r="F38" s="48"/>
      <c r="G38" s="48"/>
      <c r="H38" s="48"/>
      <c r="I38" s="48"/>
      <c r="J38" s="48"/>
      <c r="K38" s="48"/>
    </row>
    <row r="39">
      <c r="A39" s="48"/>
      <c r="B39" s="49" t="s">
        <v>20</v>
      </c>
      <c r="C39" s="48"/>
      <c r="D39" s="49" t="s">
        <v>15148</v>
      </c>
      <c r="E39" s="48"/>
      <c r="F39" s="48"/>
      <c r="G39" s="48"/>
      <c r="H39" s="48"/>
      <c r="I39" s="48"/>
      <c r="J39" s="48"/>
      <c r="K39" s="48"/>
    </row>
    <row r="40">
      <c r="A40" s="48"/>
      <c r="B40" s="49" t="s">
        <v>20</v>
      </c>
      <c r="C40" s="48"/>
      <c r="D40" s="49" t="s">
        <v>15148</v>
      </c>
      <c r="E40" s="48"/>
      <c r="F40" s="48"/>
      <c r="G40" s="48"/>
      <c r="H40" s="48"/>
      <c r="I40" s="48"/>
      <c r="J40" s="48"/>
      <c r="K40" s="48"/>
    </row>
    <row r="41">
      <c r="A41" s="48"/>
      <c r="B41" s="49" t="s">
        <v>20</v>
      </c>
      <c r="C41" s="48"/>
      <c r="D41" s="49" t="s">
        <v>15148</v>
      </c>
      <c r="E41" s="48"/>
      <c r="F41" s="48"/>
      <c r="G41" s="48"/>
      <c r="H41" s="48"/>
      <c r="I41" s="48"/>
      <c r="J41" s="48"/>
      <c r="K41" s="48"/>
    </row>
    <row r="42">
      <c r="A42" s="48"/>
      <c r="B42" s="49" t="s">
        <v>20</v>
      </c>
      <c r="C42" s="48"/>
      <c r="D42" s="49" t="s">
        <v>15148</v>
      </c>
      <c r="E42" s="48"/>
      <c r="F42" s="48"/>
      <c r="G42" s="48"/>
      <c r="H42" s="48"/>
      <c r="I42" s="48"/>
      <c r="J42" s="48"/>
      <c r="K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</row>
    <row r="100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</row>
  </sheetData>
  <conditionalFormatting sqref="A1:S1">
    <cfRule type="notContainsBlanks" dxfId="0" priority="1">
      <formula>LEN(TRIM(A1))&gt;0</formula>
    </cfRule>
  </conditionalFormatting>
  <hyperlinks>
    <hyperlink r:id="rId1" ref="H2"/>
    <hyperlink r:id="rId2" ref="H3"/>
    <hyperlink r:id="rId3" ref="J3"/>
    <hyperlink r:id="rId4" ref="I4"/>
    <hyperlink r:id="rId5" ref="H5"/>
    <hyperlink r:id="rId6" ref="J6"/>
    <hyperlink r:id="rId7" ref="J7"/>
    <hyperlink r:id="rId8" ref="H8"/>
    <hyperlink r:id="rId9" ref="H9"/>
    <hyperlink r:id="rId10" ref="J9"/>
    <hyperlink r:id="rId11" ref="J10"/>
    <hyperlink r:id="rId12" ref="J11"/>
    <hyperlink r:id="rId13" ref="J12"/>
    <hyperlink r:id="rId14" ref="J13"/>
    <hyperlink r:id="rId15" ref="H14"/>
    <hyperlink r:id="rId16" ref="H15"/>
    <hyperlink r:id="rId17" ref="H16"/>
    <hyperlink r:id="rId18" ref="J16"/>
    <hyperlink r:id="rId19" ref="J17"/>
    <hyperlink r:id="rId20" ref="J18"/>
    <hyperlink r:id="rId21" ref="H19"/>
    <hyperlink r:id="rId22" ref="H20"/>
    <hyperlink r:id="rId23" ref="J20"/>
    <hyperlink r:id="rId24" ref="H21"/>
    <hyperlink r:id="rId25" ref="H22"/>
    <hyperlink r:id="rId26" ref="H23"/>
    <hyperlink r:id="rId27" ref="H24"/>
    <hyperlink r:id="rId28" ref="H25"/>
    <hyperlink r:id="rId29" ref="H26"/>
    <hyperlink r:id="rId30" ref="I26"/>
    <hyperlink r:id="rId31" ref="H27"/>
    <hyperlink r:id="rId32" ref="I27"/>
    <hyperlink r:id="rId33" ref="J27"/>
    <hyperlink r:id="rId34" ref="H28"/>
    <hyperlink r:id="rId35" ref="H29"/>
    <hyperlink r:id="rId36" ref="H30"/>
    <hyperlink r:id="rId37" ref="H31"/>
    <hyperlink r:id="rId38" ref="I31"/>
    <hyperlink r:id="rId39" ref="H32"/>
  </hyperlinks>
  <drawing r:id="rId40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2" width="8.75"/>
    <col customWidth="1" min="3" max="3" width="13.38"/>
    <col customWidth="1" min="4" max="4" width="4.5"/>
    <col customWidth="1" min="5" max="5" width="5.63"/>
    <col customWidth="1" min="6" max="7" width="4.13"/>
    <col customWidth="1" min="8" max="8" width="43.75"/>
    <col customWidth="1" min="9" max="9" width="26.88"/>
    <col customWidth="1" min="10" max="10" width="32.63"/>
    <col customWidth="1" min="11" max="11" width="29.38"/>
    <col customWidth="1" min="12" max="12" width="3.88"/>
    <col customWidth="1" min="13" max="13" width="7.25"/>
    <col customWidth="1" min="14" max="14" width="6.13"/>
    <col customWidth="1" min="15" max="15" width="4.5"/>
    <col customWidth="1" min="16" max="16" width="4.13"/>
    <col customWidth="1" min="17" max="17" width="5.13"/>
    <col customWidth="1" min="18" max="18" width="4.25"/>
    <col customWidth="1" min="19" max="19" width="4.5"/>
  </cols>
  <sheetData>
    <row r="1">
      <c r="A1" s="8" t="s">
        <v>19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>
      <c r="A2" s="37">
        <v>26568.0</v>
      </c>
      <c r="B2" s="8"/>
      <c r="C2" s="11" t="s">
        <v>15212</v>
      </c>
      <c r="D2" s="8" t="s">
        <v>104</v>
      </c>
      <c r="E2" s="8" t="s">
        <v>104</v>
      </c>
      <c r="H2" s="12" t="s">
        <v>15213</v>
      </c>
      <c r="N2" s="8"/>
    </row>
    <row r="3">
      <c r="B3" s="8"/>
      <c r="C3" s="285" t="s">
        <v>327</v>
      </c>
      <c r="D3" s="8" t="s">
        <v>104</v>
      </c>
      <c r="E3" s="8" t="s">
        <v>104</v>
      </c>
      <c r="F3" s="376"/>
      <c r="G3" s="376"/>
      <c r="H3" s="12" t="s">
        <v>15214</v>
      </c>
      <c r="K3" s="258"/>
      <c r="N3" s="8"/>
    </row>
    <row r="4">
      <c r="A4" s="37">
        <v>26392.0</v>
      </c>
      <c r="B4" s="8"/>
      <c r="C4" s="11" t="s">
        <v>11793</v>
      </c>
      <c r="D4" s="8" t="s">
        <v>104</v>
      </c>
      <c r="E4" s="8" t="s">
        <v>104</v>
      </c>
      <c r="J4" s="12" t="s">
        <v>15215</v>
      </c>
      <c r="N4" s="8"/>
    </row>
    <row r="5">
      <c r="A5" s="37">
        <v>25292.0</v>
      </c>
      <c r="B5" s="8"/>
      <c r="C5" s="11" t="s">
        <v>15216</v>
      </c>
      <c r="D5" s="8" t="s">
        <v>104</v>
      </c>
      <c r="E5" s="8" t="s">
        <v>104</v>
      </c>
      <c r="F5" s="377"/>
      <c r="G5" s="377"/>
      <c r="H5" s="12" t="s">
        <v>15217</v>
      </c>
      <c r="J5" s="12" t="s">
        <v>15218</v>
      </c>
    </row>
    <row r="6">
      <c r="A6" s="37">
        <v>25113.0</v>
      </c>
      <c r="B6" s="8"/>
      <c r="C6" s="11" t="s">
        <v>15219</v>
      </c>
      <c r="D6" s="8" t="s">
        <v>104</v>
      </c>
      <c r="E6" s="8" t="s">
        <v>104</v>
      </c>
      <c r="H6" s="12" t="s">
        <v>15220</v>
      </c>
      <c r="J6" s="12" t="s">
        <v>15221</v>
      </c>
    </row>
    <row r="7">
      <c r="B7" s="8"/>
      <c r="C7" s="378" t="s">
        <v>855</v>
      </c>
      <c r="D7" s="8" t="s">
        <v>104</v>
      </c>
      <c r="E7" s="8" t="s">
        <v>104</v>
      </c>
      <c r="J7" s="12" t="s">
        <v>15222</v>
      </c>
    </row>
    <row r="8">
      <c r="A8" s="37">
        <v>23275.0</v>
      </c>
      <c r="B8" s="8"/>
      <c r="C8" s="11" t="s">
        <v>15223</v>
      </c>
      <c r="D8" s="8" t="s">
        <v>104</v>
      </c>
      <c r="E8" s="8" t="s">
        <v>104</v>
      </c>
      <c r="F8" s="8"/>
      <c r="G8" s="8"/>
      <c r="H8" s="12" t="s">
        <v>15224</v>
      </c>
      <c r="J8" s="12" t="s">
        <v>15225</v>
      </c>
    </row>
    <row r="9">
      <c r="A9" s="37">
        <v>22307.0</v>
      </c>
      <c r="B9" s="8"/>
      <c r="C9" s="11" t="s">
        <v>15226</v>
      </c>
      <c r="D9" s="8" t="s">
        <v>104</v>
      </c>
      <c r="E9" s="8" t="s">
        <v>15227</v>
      </c>
      <c r="J9" s="12" t="s">
        <v>15228</v>
      </c>
      <c r="K9" s="266"/>
    </row>
    <row r="10">
      <c r="A10" s="37">
        <v>21501.0</v>
      </c>
      <c r="B10" s="8"/>
      <c r="C10" s="11" t="s">
        <v>8350</v>
      </c>
      <c r="D10" s="8" t="s">
        <v>104</v>
      </c>
      <c r="E10" s="8" t="s">
        <v>104</v>
      </c>
      <c r="H10" s="12" t="s">
        <v>15229</v>
      </c>
    </row>
    <row r="11">
      <c r="A11" s="37">
        <v>21500.0</v>
      </c>
      <c r="B11" s="8"/>
      <c r="C11" s="11" t="s">
        <v>15230</v>
      </c>
      <c r="D11" s="8" t="s">
        <v>104</v>
      </c>
      <c r="E11" s="8" t="s">
        <v>104</v>
      </c>
      <c r="H11" s="12" t="s">
        <v>15231</v>
      </c>
    </row>
    <row r="12">
      <c r="A12" s="37">
        <v>21345.0</v>
      </c>
      <c r="B12" s="8"/>
      <c r="C12" s="11" t="s">
        <v>15232</v>
      </c>
      <c r="D12" s="8" t="s">
        <v>104</v>
      </c>
      <c r="E12" s="8" t="s">
        <v>104</v>
      </c>
      <c r="H12" s="12" t="s">
        <v>15233</v>
      </c>
    </row>
    <row r="13">
      <c r="A13" s="37">
        <v>20716.0</v>
      </c>
      <c r="B13" s="8"/>
      <c r="C13" s="11" t="s">
        <v>8744</v>
      </c>
      <c r="D13" s="8" t="s">
        <v>104</v>
      </c>
      <c r="E13" s="8" t="s">
        <v>104</v>
      </c>
      <c r="H13" s="12" t="s">
        <v>15234</v>
      </c>
    </row>
    <row r="14">
      <c r="A14" s="37">
        <v>19812.0</v>
      </c>
      <c r="B14" s="8"/>
      <c r="C14" s="11" t="s">
        <v>15235</v>
      </c>
      <c r="D14" s="8" t="s">
        <v>104</v>
      </c>
      <c r="E14" s="8" t="s">
        <v>104</v>
      </c>
      <c r="J14" s="12" t="s">
        <v>15236</v>
      </c>
    </row>
    <row r="15">
      <c r="A15" s="37">
        <v>19810.0</v>
      </c>
      <c r="B15" s="8"/>
      <c r="C15" s="11" t="s">
        <v>3209</v>
      </c>
      <c r="D15" s="8" t="s">
        <v>104</v>
      </c>
      <c r="E15" s="8" t="s">
        <v>15237</v>
      </c>
      <c r="J15" s="12" t="s">
        <v>12831</v>
      </c>
    </row>
    <row r="16">
      <c r="A16" s="37">
        <v>19806.0</v>
      </c>
      <c r="B16" s="8"/>
      <c r="C16" s="11" t="s">
        <v>15238</v>
      </c>
      <c r="D16" s="8" t="s">
        <v>104</v>
      </c>
      <c r="E16" s="8" t="s">
        <v>15239</v>
      </c>
      <c r="J16" s="12" t="s">
        <v>15240</v>
      </c>
    </row>
    <row r="17">
      <c r="A17" s="37">
        <v>19803.0</v>
      </c>
      <c r="B17" s="8"/>
      <c r="C17" s="11" t="s">
        <v>4125</v>
      </c>
      <c r="D17" s="8" t="s">
        <v>104</v>
      </c>
      <c r="E17" s="8" t="s">
        <v>104</v>
      </c>
      <c r="H17" s="12" t="s">
        <v>15241</v>
      </c>
      <c r="I17" s="12" t="s">
        <v>15242</v>
      </c>
      <c r="J17" s="12" t="s">
        <v>15243</v>
      </c>
    </row>
    <row r="18">
      <c r="A18" s="37">
        <v>19801.0</v>
      </c>
      <c r="B18" s="8"/>
      <c r="C18" s="11" t="s">
        <v>15244</v>
      </c>
      <c r="D18" s="8" t="s">
        <v>104</v>
      </c>
      <c r="E18" s="8" t="s">
        <v>104</v>
      </c>
      <c r="H18" s="12" t="s">
        <v>15245</v>
      </c>
    </row>
    <row r="19">
      <c r="A19" s="37">
        <v>19800.0</v>
      </c>
      <c r="C19" s="11" t="s">
        <v>10511</v>
      </c>
      <c r="D19" s="8" t="s">
        <v>104</v>
      </c>
      <c r="E19" s="8" t="s">
        <v>15246</v>
      </c>
      <c r="H19" s="12" t="s">
        <v>15247</v>
      </c>
    </row>
    <row r="20">
      <c r="A20" s="37">
        <v>19799.0</v>
      </c>
      <c r="C20" s="11" t="s">
        <v>8055</v>
      </c>
      <c r="D20" s="8" t="s">
        <v>104</v>
      </c>
      <c r="E20" s="8" t="s">
        <v>104</v>
      </c>
      <c r="H20" s="12" t="s">
        <v>15248</v>
      </c>
      <c r="J20" s="12" t="s">
        <v>15249</v>
      </c>
    </row>
    <row r="21">
      <c r="A21" s="37">
        <v>19798.0</v>
      </c>
      <c r="C21" s="11" t="s">
        <v>15250</v>
      </c>
      <c r="D21" s="8" t="s">
        <v>104</v>
      </c>
      <c r="E21" s="8" t="s">
        <v>104</v>
      </c>
      <c r="H21" s="12" t="s">
        <v>15251</v>
      </c>
    </row>
    <row r="22">
      <c r="A22" s="37">
        <v>19796.0</v>
      </c>
      <c r="C22" s="11" t="s">
        <v>1439</v>
      </c>
      <c r="D22" s="8" t="s">
        <v>104</v>
      </c>
      <c r="E22" s="8" t="s">
        <v>104</v>
      </c>
      <c r="H22" s="12" t="s">
        <v>15252</v>
      </c>
    </row>
    <row r="23">
      <c r="A23" s="37">
        <v>19048.0</v>
      </c>
      <c r="C23" s="11" t="s">
        <v>74</v>
      </c>
      <c r="D23" s="8" t="s">
        <v>104</v>
      </c>
      <c r="E23" s="8" t="s">
        <v>15227</v>
      </c>
      <c r="H23" s="12" t="s">
        <v>15253</v>
      </c>
      <c r="I23" s="12" t="s">
        <v>15254</v>
      </c>
    </row>
    <row r="24">
      <c r="A24" s="37">
        <v>12315.0</v>
      </c>
      <c r="C24" s="285" t="s">
        <v>15255</v>
      </c>
      <c r="D24" s="8" t="s">
        <v>104</v>
      </c>
      <c r="E24" s="8" t="s">
        <v>104</v>
      </c>
      <c r="H24" s="12" t="s">
        <v>15256</v>
      </c>
    </row>
    <row r="25">
      <c r="A25" s="37">
        <v>18309.0</v>
      </c>
      <c r="C25" s="11" t="s">
        <v>1150</v>
      </c>
      <c r="D25" s="8" t="s">
        <v>104</v>
      </c>
      <c r="E25" s="8" t="s">
        <v>104</v>
      </c>
      <c r="H25" s="12" t="s">
        <v>15257</v>
      </c>
      <c r="I25" s="12" t="s">
        <v>15258</v>
      </c>
    </row>
    <row r="26">
      <c r="A26" s="37">
        <v>18299.0</v>
      </c>
      <c r="C26" s="11" t="s">
        <v>15259</v>
      </c>
      <c r="D26" s="8" t="s">
        <v>104</v>
      </c>
      <c r="E26" s="8" t="s">
        <v>104</v>
      </c>
      <c r="H26" s="12" t="s">
        <v>15260</v>
      </c>
    </row>
    <row r="27">
      <c r="A27" s="37">
        <v>12677.0</v>
      </c>
      <c r="C27" s="11" t="s">
        <v>15261</v>
      </c>
      <c r="D27" s="8" t="s">
        <v>104</v>
      </c>
      <c r="E27" s="8" t="s">
        <v>104</v>
      </c>
      <c r="J27" s="12" t="s">
        <v>15262</v>
      </c>
    </row>
    <row r="28">
      <c r="A28" s="37">
        <v>12676.0</v>
      </c>
      <c r="C28" s="11" t="s">
        <v>15263</v>
      </c>
      <c r="D28" s="8" t="s">
        <v>104</v>
      </c>
      <c r="E28" s="8" t="s">
        <v>104</v>
      </c>
      <c r="H28" s="12" t="s">
        <v>15264</v>
      </c>
    </row>
    <row r="29">
      <c r="A29" s="37">
        <v>12659.0</v>
      </c>
      <c r="C29" s="11" t="s">
        <v>15265</v>
      </c>
      <c r="D29" s="8" t="s">
        <v>104</v>
      </c>
      <c r="E29" s="8" t="s">
        <v>104</v>
      </c>
      <c r="H29" s="12" t="s">
        <v>15266</v>
      </c>
      <c r="I29" s="12" t="s">
        <v>15267</v>
      </c>
    </row>
    <row r="30">
      <c r="A30" s="37">
        <v>12630.0</v>
      </c>
      <c r="C30" s="11" t="s">
        <v>15268</v>
      </c>
      <c r="D30" s="8" t="s">
        <v>104</v>
      </c>
      <c r="E30" s="8" t="s">
        <v>104</v>
      </c>
      <c r="J30" s="12" t="s">
        <v>15269</v>
      </c>
    </row>
    <row r="31">
      <c r="A31" s="37">
        <v>12590.0</v>
      </c>
      <c r="C31" s="11" t="s">
        <v>15270</v>
      </c>
      <c r="D31" s="8" t="s">
        <v>104</v>
      </c>
      <c r="E31" s="8" t="s">
        <v>104</v>
      </c>
      <c r="H31" s="12" t="s">
        <v>15271</v>
      </c>
    </row>
    <row r="32">
      <c r="A32" s="37">
        <v>12553.0</v>
      </c>
      <c r="C32" s="11" t="s">
        <v>1108</v>
      </c>
      <c r="D32" s="8" t="s">
        <v>104</v>
      </c>
      <c r="E32" s="8" t="s">
        <v>15272</v>
      </c>
      <c r="J32" s="12" t="s">
        <v>15273</v>
      </c>
    </row>
    <row r="33">
      <c r="A33" s="37">
        <v>12540.0</v>
      </c>
      <c r="C33" s="11" t="s">
        <v>7872</v>
      </c>
      <c r="D33" s="8" t="s">
        <v>104</v>
      </c>
      <c r="E33" s="8" t="s">
        <v>104</v>
      </c>
      <c r="H33" s="12" t="s">
        <v>15274</v>
      </c>
      <c r="I33" s="12" t="s">
        <v>15275</v>
      </c>
    </row>
    <row r="34">
      <c r="A34" s="37">
        <v>12390.0</v>
      </c>
      <c r="C34" s="11" t="s">
        <v>15276</v>
      </c>
      <c r="D34" s="8" t="s">
        <v>104</v>
      </c>
      <c r="E34" s="8" t="s">
        <v>104</v>
      </c>
      <c r="H34" s="12" t="s">
        <v>15277</v>
      </c>
    </row>
    <row r="35">
      <c r="A35" s="37">
        <v>12301.0</v>
      </c>
      <c r="C35" s="11" t="s">
        <v>15278</v>
      </c>
      <c r="D35" s="8" t="s">
        <v>104</v>
      </c>
      <c r="E35" s="8" t="s">
        <v>15279</v>
      </c>
      <c r="J35" s="12" t="s">
        <v>15280</v>
      </c>
    </row>
    <row r="36">
      <c r="A36" s="37">
        <v>12295.0</v>
      </c>
      <c r="C36" s="11" t="s">
        <v>14884</v>
      </c>
      <c r="D36" s="8" t="s">
        <v>104</v>
      </c>
      <c r="E36" s="8" t="s">
        <v>104</v>
      </c>
      <c r="H36" s="12" t="s">
        <v>15281</v>
      </c>
    </row>
    <row r="37">
      <c r="A37" s="37">
        <v>12227.0</v>
      </c>
      <c r="C37" s="11" t="s">
        <v>8151</v>
      </c>
      <c r="D37" s="8" t="s">
        <v>104</v>
      </c>
      <c r="E37" s="8" t="s">
        <v>104</v>
      </c>
      <c r="H37" s="12" t="s">
        <v>15282</v>
      </c>
    </row>
    <row r="38">
      <c r="A38" s="37">
        <v>12224.0</v>
      </c>
      <c r="C38" s="11" t="s">
        <v>1223</v>
      </c>
      <c r="D38" s="8" t="s">
        <v>104</v>
      </c>
      <c r="E38" s="8" t="s">
        <v>104</v>
      </c>
      <c r="J38" s="12" t="s">
        <v>15283</v>
      </c>
    </row>
    <row r="39">
      <c r="A39" s="37">
        <v>12207.0</v>
      </c>
      <c r="C39" s="11" t="s">
        <v>15284</v>
      </c>
      <c r="D39" s="8" t="s">
        <v>104</v>
      </c>
      <c r="E39" s="8" t="s">
        <v>104</v>
      </c>
      <c r="H39" s="12" t="s">
        <v>15285</v>
      </c>
    </row>
    <row r="40">
      <c r="A40" s="37">
        <v>12101.0</v>
      </c>
      <c r="C40" s="11" t="s">
        <v>8507</v>
      </c>
      <c r="D40" s="8" t="s">
        <v>104</v>
      </c>
      <c r="E40" s="8" t="s">
        <v>104</v>
      </c>
      <c r="H40" s="12" t="s">
        <v>15286</v>
      </c>
    </row>
    <row r="41">
      <c r="C41" s="273" t="s">
        <v>963</v>
      </c>
      <c r="D41" s="8" t="s">
        <v>104</v>
      </c>
      <c r="E41" s="8" t="s">
        <v>15239</v>
      </c>
      <c r="H41" s="12" t="s">
        <v>15287</v>
      </c>
    </row>
    <row r="42">
      <c r="B42" s="8" t="s">
        <v>20</v>
      </c>
      <c r="C42" s="8" t="s">
        <v>15288</v>
      </c>
      <c r="D42" s="8" t="s">
        <v>104</v>
      </c>
      <c r="E42" s="8" t="s">
        <v>104</v>
      </c>
      <c r="J42" s="12" t="s">
        <v>15289</v>
      </c>
    </row>
    <row r="43">
      <c r="B43" s="8" t="s">
        <v>276</v>
      </c>
      <c r="C43" s="8" t="s">
        <v>763</v>
      </c>
      <c r="D43" s="8" t="s">
        <v>104</v>
      </c>
      <c r="E43" s="8" t="s">
        <v>104</v>
      </c>
      <c r="J43" s="12" t="s">
        <v>15290</v>
      </c>
    </row>
    <row r="44">
      <c r="B44" s="8" t="s">
        <v>20</v>
      </c>
      <c r="C44" s="8" t="s">
        <v>15291</v>
      </c>
      <c r="D44" s="8" t="s">
        <v>104</v>
      </c>
      <c r="E44" s="8" t="s">
        <v>104</v>
      </c>
      <c r="J44" s="12" t="s">
        <v>15292</v>
      </c>
    </row>
  </sheetData>
  <conditionalFormatting sqref="A1:S1">
    <cfRule type="notContainsBlanks" dxfId="0" priority="1">
      <formula>LEN(TRIM(A1))&gt;0</formula>
    </cfRule>
  </conditionalFormatting>
  <hyperlinks>
    <hyperlink r:id="rId1" ref="H2"/>
    <hyperlink r:id="rId2" ref="H3"/>
    <hyperlink r:id="rId3" ref="J4"/>
    <hyperlink r:id="rId4" ref="H5"/>
    <hyperlink r:id="rId5" ref="J5"/>
    <hyperlink r:id="rId6" ref="H6"/>
    <hyperlink r:id="rId7" ref="J6"/>
    <hyperlink r:id="rId8" ref="J7"/>
    <hyperlink r:id="rId9" ref="H8"/>
    <hyperlink r:id="rId10" ref="J8"/>
    <hyperlink r:id="rId11" ref="J9"/>
    <hyperlink r:id="rId12" ref="H10"/>
    <hyperlink r:id="rId13" ref="H11"/>
    <hyperlink r:id="rId14" ref="H12"/>
    <hyperlink r:id="rId15" ref="H13"/>
    <hyperlink r:id="rId16" ref="J14"/>
    <hyperlink r:id="rId17" ref="J15"/>
    <hyperlink r:id="rId18" ref="J16"/>
    <hyperlink r:id="rId19" ref="H17"/>
    <hyperlink r:id="rId20" ref="I17"/>
    <hyperlink r:id="rId21" ref="J17"/>
    <hyperlink r:id="rId22" ref="H18"/>
    <hyperlink r:id="rId23" ref="H19"/>
    <hyperlink r:id="rId24" ref="H20"/>
    <hyperlink r:id="rId25" ref="J20"/>
    <hyperlink r:id="rId26" ref="H21"/>
    <hyperlink r:id="rId27" ref="H22"/>
    <hyperlink r:id="rId28" ref="H23"/>
    <hyperlink r:id="rId29" ref="I23"/>
    <hyperlink r:id="rId30" ref="H24"/>
    <hyperlink r:id="rId31" ref="H25"/>
    <hyperlink r:id="rId32" ref="I25"/>
    <hyperlink r:id="rId33" ref="H26"/>
    <hyperlink r:id="rId34" ref="J27"/>
    <hyperlink r:id="rId35" ref="H28"/>
    <hyperlink r:id="rId36" ref="H29"/>
    <hyperlink r:id="rId37" ref="I29"/>
    <hyperlink r:id="rId38" ref="J30"/>
    <hyperlink r:id="rId39" ref="H31"/>
    <hyperlink r:id="rId40" ref="J32"/>
    <hyperlink r:id="rId41" ref="H33"/>
    <hyperlink r:id="rId42" ref="I33"/>
    <hyperlink r:id="rId43" ref="H34"/>
    <hyperlink r:id="rId44" ref="J35"/>
    <hyperlink r:id="rId45" ref="H36"/>
    <hyperlink r:id="rId46" ref="H37"/>
    <hyperlink r:id="rId47" ref="J38"/>
    <hyperlink r:id="rId48" ref="H39"/>
    <hyperlink r:id="rId49" ref="H40"/>
    <hyperlink r:id="rId50" ref="H41"/>
    <hyperlink r:id="rId51" ref="J42"/>
    <hyperlink r:id="rId52" ref="J43"/>
    <hyperlink r:id="rId53" ref="J44"/>
  </hyperlinks>
  <drawing r:id="rId54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3.75"/>
    <col customWidth="1" min="2" max="2" width="4.63"/>
    <col customWidth="1" min="3" max="3" width="14.88"/>
    <col customWidth="1" min="4" max="4" width="6.5"/>
    <col customWidth="1" min="5" max="5" width="9.38"/>
    <col customWidth="1" min="6" max="7" width="5.13"/>
    <col customWidth="1" min="8" max="8" width="41.5"/>
    <col customWidth="1" min="9" max="9" width="30.75"/>
    <col customWidth="1" min="10" max="10" width="34.25"/>
    <col customWidth="1" min="11" max="11" width="37.38"/>
    <col customWidth="1" min="12" max="12" width="26.88"/>
    <col customWidth="1" min="13" max="13" width="20.63"/>
    <col customWidth="1" min="14" max="14" width="7.25"/>
    <col customWidth="1" min="15" max="15" width="4.38"/>
    <col customWidth="1" min="16" max="16" width="4.5"/>
    <col customWidth="1" min="17" max="17" width="4.13"/>
    <col customWidth="1" min="18" max="18" width="5.13"/>
    <col customWidth="1" min="19" max="19" width="4.25"/>
    <col customWidth="1" min="20" max="20" width="4.5"/>
  </cols>
  <sheetData>
    <row r="1">
      <c r="A1" s="49" t="s">
        <v>19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3567</v>
      </c>
      <c r="K1" s="23" t="s">
        <v>10</v>
      </c>
      <c r="L1" s="4" t="s">
        <v>3568</v>
      </c>
      <c r="M1" s="4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</row>
    <row r="2">
      <c r="A2" s="100">
        <v>26580.0</v>
      </c>
      <c r="B2" s="49" t="s">
        <v>12481</v>
      </c>
      <c r="C2" s="11" t="s">
        <v>3640</v>
      </c>
      <c r="D2" s="11" t="s">
        <v>15293</v>
      </c>
      <c r="E2" s="11" t="s">
        <v>15294</v>
      </c>
      <c r="F2" s="48"/>
      <c r="G2" s="48"/>
      <c r="H2" s="48"/>
      <c r="I2" s="48"/>
      <c r="J2" s="55" t="s">
        <v>8202</v>
      </c>
      <c r="K2" s="48"/>
    </row>
    <row r="3">
      <c r="A3" s="48"/>
      <c r="B3" s="49" t="s">
        <v>3779</v>
      </c>
      <c r="C3" s="49" t="s">
        <v>15295</v>
      </c>
      <c r="D3" s="49" t="s">
        <v>15293</v>
      </c>
      <c r="E3" s="49" t="s">
        <v>15296</v>
      </c>
      <c r="F3" s="48"/>
      <c r="G3" s="48"/>
      <c r="H3" s="50" t="s">
        <v>15297</v>
      </c>
      <c r="I3" s="48"/>
      <c r="J3" s="48"/>
      <c r="K3" s="48"/>
    </row>
    <row r="4">
      <c r="A4" s="100">
        <v>21823.0</v>
      </c>
      <c r="B4" s="49" t="s">
        <v>3779</v>
      </c>
      <c r="C4" s="11" t="s">
        <v>15298</v>
      </c>
      <c r="D4" s="11" t="s">
        <v>15293</v>
      </c>
      <c r="E4" s="11" t="s">
        <v>15293</v>
      </c>
      <c r="F4" s="49" t="s">
        <v>15299</v>
      </c>
      <c r="G4" s="49"/>
      <c r="H4" s="379"/>
      <c r="I4" s="48"/>
      <c r="J4" s="50" t="s">
        <v>15300</v>
      </c>
      <c r="K4" s="48"/>
    </row>
    <row r="5">
      <c r="A5" s="100">
        <v>21693.0</v>
      </c>
      <c r="B5" s="49" t="s">
        <v>15301</v>
      </c>
      <c r="C5" s="11" t="s">
        <v>15302</v>
      </c>
      <c r="D5" s="49" t="s">
        <v>15293</v>
      </c>
      <c r="E5" s="49" t="s">
        <v>15303</v>
      </c>
      <c r="F5" s="48"/>
      <c r="G5" s="48"/>
      <c r="H5" s="48"/>
      <c r="I5" s="48"/>
      <c r="J5" s="50" t="s">
        <v>15304</v>
      </c>
      <c r="K5" s="48"/>
    </row>
    <row r="6">
      <c r="A6" s="100">
        <v>21692.0</v>
      </c>
      <c r="B6" s="49" t="s">
        <v>12481</v>
      </c>
      <c r="C6" s="49" t="s">
        <v>1074</v>
      </c>
      <c r="D6" s="49" t="s">
        <v>15293</v>
      </c>
      <c r="E6" s="49" t="s">
        <v>15303</v>
      </c>
      <c r="F6" s="48"/>
      <c r="G6" s="48"/>
      <c r="H6" s="50" t="s">
        <v>15305</v>
      </c>
      <c r="I6" s="48"/>
      <c r="J6" s="50" t="s">
        <v>15306</v>
      </c>
      <c r="K6" s="48"/>
    </row>
    <row r="7">
      <c r="A7" s="100">
        <v>18069.0</v>
      </c>
      <c r="B7" s="49" t="s">
        <v>12481</v>
      </c>
      <c r="C7" s="11" t="s">
        <v>15307</v>
      </c>
      <c r="D7" s="49" t="s">
        <v>15293</v>
      </c>
      <c r="E7" s="49" t="s">
        <v>15296</v>
      </c>
      <c r="F7" s="48"/>
      <c r="G7" s="48"/>
      <c r="H7" s="55" t="s">
        <v>15308</v>
      </c>
      <c r="I7" s="48"/>
      <c r="J7" s="48"/>
      <c r="K7" s="48"/>
    </row>
    <row r="8">
      <c r="A8" s="100">
        <v>2906.0</v>
      </c>
      <c r="B8" s="49" t="s">
        <v>3779</v>
      </c>
      <c r="C8" s="11" t="s">
        <v>15309</v>
      </c>
      <c r="D8" s="49" t="s">
        <v>15293</v>
      </c>
      <c r="E8" s="49" t="s">
        <v>15293</v>
      </c>
      <c r="F8" s="48"/>
      <c r="G8" s="48"/>
      <c r="H8" s="65"/>
      <c r="I8" s="48"/>
      <c r="J8" s="50" t="s">
        <v>15310</v>
      </c>
      <c r="K8" s="48"/>
    </row>
    <row r="9">
      <c r="A9" s="59">
        <v>2793.0</v>
      </c>
      <c r="B9" s="49" t="s">
        <v>3779</v>
      </c>
      <c r="C9" s="11" t="s">
        <v>8007</v>
      </c>
      <c r="D9" s="49" t="s">
        <v>15293</v>
      </c>
      <c r="E9" s="49" t="s">
        <v>15311</v>
      </c>
      <c r="F9" s="346"/>
      <c r="G9" s="346"/>
      <c r="H9" s="55" t="s">
        <v>15312</v>
      </c>
      <c r="I9" s="48"/>
      <c r="J9" s="380" t="s">
        <v>15313</v>
      </c>
      <c r="K9" s="48"/>
    </row>
    <row r="10">
      <c r="A10" s="59">
        <v>2791.0</v>
      </c>
      <c r="B10" s="49"/>
      <c r="C10" s="11" t="s">
        <v>15314</v>
      </c>
      <c r="D10" s="49" t="s">
        <v>15293</v>
      </c>
      <c r="E10" s="49" t="s">
        <v>15311</v>
      </c>
      <c r="F10" s="48"/>
      <c r="G10" s="48"/>
      <c r="H10" s="50" t="s">
        <v>15315</v>
      </c>
      <c r="I10" s="48"/>
      <c r="J10" s="348" t="s">
        <v>15316</v>
      </c>
      <c r="K10" s="48"/>
    </row>
    <row r="11">
      <c r="A11" s="59">
        <v>2762.0</v>
      </c>
      <c r="B11" s="49"/>
      <c r="C11" s="11" t="s">
        <v>4478</v>
      </c>
      <c r="D11" s="49" t="s">
        <v>15293</v>
      </c>
      <c r="E11" s="49" t="s">
        <v>15294</v>
      </c>
      <c r="F11" s="48"/>
      <c r="G11" s="48"/>
      <c r="H11" s="48"/>
      <c r="I11" s="48"/>
      <c r="J11" s="50" t="s">
        <v>15317</v>
      </c>
      <c r="K11" s="48"/>
    </row>
    <row r="12">
      <c r="A12" s="59">
        <v>2689.0</v>
      </c>
      <c r="B12" s="49"/>
      <c r="C12" s="11" t="s">
        <v>15318</v>
      </c>
      <c r="D12" s="49" t="s">
        <v>15293</v>
      </c>
      <c r="E12" s="49" t="s">
        <v>15293</v>
      </c>
      <c r="F12" s="48"/>
      <c r="G12" s="48"/>
      <c r="H12" s="50" t="s">
        <v>15319</v>
      </c>
      <c r="I12" s="48"/>
      <c r="J12" s="48"/>
      <c r="K12" s="48"/>
    </row>
    <row r="13">
      <c r="A13" s="100">
        <v>2681.0</v>
      </c>
      <c r="B13" s="49"/>
      <c r="C13" s="11" t="s">
        <v>15320</v>
      </c>
      <c r="D13" s="11" t="s">
        <v>15293</v>
      </c>
      <c r="E13" s="11" t="s">
        <v>15293</v>
      </c>
      <c r="F13" s="48"/>
      <c r="G13" s="48"/>
      <c r="H13" s="50" t="s">
        <v>15321</v>
      </c>
      <c r="I13" s="48"/>
      <c r="J13" s="48"/>
      <c r="K13" s="48"/>
    </row>
    <row r="14">
      <c r="A14" s="100">
        <v>2650.0</v>
      </c>
      <c r="B14" s="49" t="s">
        <v>3779</v>
      </c>
      <c r="C14" s="11" t="s">
        <v>15322</v>
      </c>
      <c r="D14" s="49" t="s">
        <v>15293</v>
      </c>
      <c r="E14" s="11" t="s">
        <v>15293</v>
      </c>
      <c r="F14" s="48"/>
      <c r="G14" s="48"/>
      <c r="H14" s="65"/>
      <c r="I14" s="48"/>
      <c r="J14" s="50" t="s">
        <v>15323</v>
      </c>
      <c r="K14" s="48"/>
    </row>
    <row r="15">
      <c r="A15" s="59">
        <v>2625.0</v>
      </c>
      <c r="B15" s="49"/>
      <c r="C15" s="49" t="s">
        <v>15324</v>
      </c>
      <c r="D15" s="49" t="s">
        <v>15293</v>
      </c>
      <c r="E15" s="49" t="s">
        <v>15293</v>
      </c>
      <c r="F15" s="48"/>
      <c r="G15" s="48"/>
      <c r="H15" s="50" t="s">
        <v>15325</v>
      </c>
      <c r="I15" s="48"/>
      <c r="J15" s="48"/>
      <c r="K15" s="48"/>
    </row>
    <row r="16">
      <c r="A16" s="100">
        <v>2563.0</v>
      </c>
      <c r="B16" s="48"/>
      <c r="C16" s="11" t="s">
        <v>15326</v>
      </c>
      <c r="D16" s="49" t="s">
        <v>15293</v>
      </c>
      <c r="E16" s="49" t="s">
        <v>15303</v>
      </c>
      <c r="F16" s="48"/>
      <c r="G16" s="48"/>
      <c r="H16" s="48"/>
      <c r="I16" s="48"/>
      <c r="J16" s="50" t="s">
        <v>15327</v>
      </c>
      <c r="K16" s="48"/>
    </row>
    <row r="17">
      <c r="A17" s="100">
        <v>2543.0</v>
      </c>
      <c r="B17" s="48"/>
      <c r="C17" s="11" t="s">
        <v>15328</v>
      </c>
      <c r="D17" s="49" t="s">
        <v>15293</v>
      </c>
      <c r="E17" s="49" t="s">
        <v>15293</v>
      </c>
      <c r="F17" s="48"/>
      <c r="G17" s="48"/>
      <c r="H17" s="48"/>
      <c r="I17" s="48"/>
      <c r="J17" s="50" t="s">
        <v>15329</v>
      </c>
      <c r="K17" s="48"/>
    </row>
    <row r="18">
      <c r="A18" s="48"/>
      <c r="B18" s="49" t="s">
        <v>20</v>
      </c>
      <c r="C18" s="49" t="s">
        <v>15330</v>
      </c>
      <c r="D18" s="49" t="s">
        <v>15293</v>
      </c>
      <c r="E18" s="49" t="s">
        <v>15293</v>
      </c>
      <c r="F18" s="49"/>
      <c r="G18" s="49"/>
      <c r="H18" s="50" t="s">
        <v>15331</v>
      </c>
      <c r="I18" s="48"/>
      <c r="J18" s="12" t="s">
        <v>15332</v>
      </c>
      <c r="K18" s="48"/>
    </row>
    <row r="19">
      <c r="A19" s="48"/>
      <c r="B19" s="49" t="s">
        <v>20</v>
      </c>
      <c r="C19" s="49" t="s">
        <v>12035</v>
      </c>
      <c r="D19" s="49" t="s">
        <v>15293</v>
      </c>
      <c r="E19" s="49" t="s">
        <v>15293</v>
      </c>
      <c r="F19" s="48"/>
      <c r="G19" s="48"/>
      <c r="H19" s="50" t="s">
        <v>15333</v>
      </c>
      <c r="I19" s="259" t="s">
        <v>15334</v>
      </c>
      <c r="J19" s="50" t="s">
        <v>15329</v>
      </c>
      <c r="K19" s="48"/>
    </row>
    <row r="20">
      <c r="A20" s="100"/>
      <c r="B20" s="49" t="s">
        <v>20</v>
      </c>
      <c r="C20" s="11" t="s">
        <v>13782</v>
      </c>
      <c r="D20" s="49" t="s">
        <v>15293</v>
      </c>
      <c r="E20" s="49" t="s">
        <v>15293</v>
      </c>
      <c r="F20" s="48"/>
      <c r="G20" s="48"/>
      <c r="H20" s="50" t="s">
        <v>15335</v>
      </c>
      <c r="I20" s="12" t="s">
        <v>15336</v>
      </c>
      <c r="J20" s="48"/>
      <c r="K20" s="48"/>
    </row>
    <row r="21">
      <c r="A21" s="48"/>
      <c r="B21" s="49" t="s">
        <v>20</v>
      </c>
      <c r="C21" s="49" t="s">
        <v>15337</v>
      </c>
      <c r="D21" s="49" t="s">
        <v>15293</v>
      </c>
      <c r="E21" s="49" t="s">
        <v>15293</v>
      </c>
      <c r="F21" s="48"/>
      <c r="G21" s="48"/>
      <c r="H21" s="50" t="s">
        <v>15321</v>
      </c>
      <c r="I21" s="48"/>
      <c r="J21" s="48"/>
      <c r="K21" s="48"/>
    </row>
    <row r="22">
      <c r="A22" s="100"/>
      <c r="B22" s="49" t="s">
        <v>720</v>
      </c>
      <c r="C22" s="11" t="s">
        <v>15338</v>
      </c>
      <c r="D22" s="49" t="s">
        <v>15293</v>
      </c>
      <c r="E22" s="49" t="s">
        <v>15293</v>
      </c>
      <c r="F22" s="48"/>
      <c r="G22" s="48"/>
      <c r="H22" s="48"/>
      <c r="I22" s="48"/>
      <c r="J22" s="50" t="s">
        <v>15339</v>
      </c>
      <c r="K22" s="48"/>
    </row>
    <row r="23">
      <c r="A23" s="48"/>
      <c r="B23" s="49" t="s">
        <v>20</v>
      </c>
      <c r="C23" s="49" t="s">
        <v>15340</v>
      </c>
      <c r="D23" s="49" t="s">
        <v>15293</v>
      </c>
      <c r="E23" s="49" t="s">
        <v>15311</v>
      </c>
      <c r="F23" s="48"/>
      <c r="G23" s="48"/>
      <c r="H23" s="50" t="s">
        <v>15341</v>
      </c>
      <c r="I23" s="48"/>
      <c r="J23" s="48"/>
      <c r="K23" s="48"/>
    </row>
    <row r="24">
      <c r="A24" s="100"/>
      <c r="B24" s="49" t="s">
        <v>20</v>
      </c>
      <c r="C24" s="14" t="s">
        <v>15342</v>
      </c>
      <c r="D24" s="49" t="s">
        <v>15293</v>
      </c>
      <c r="E24" s="49" t="s">
        <v>15293</v>
      </c>
      <c r="F24" s="48"/>
      <c r="G24" s="48"/>
      <c r="H24" s="55" t="s">
        <v>15343</v>
      </c>
      <c r="I24" s="48"/>
      <c r="J24" s="12" t="s">
        <v>15344</v>
      </c>
      <c r="K24" s="48"/>
    </row>
    <row r="25">
      <c r="A25" s="48"/>
      <c r="B25" s="49" t="s">
        <v>20</v>
      </c>
      <c r="C25" s="49" t="s">
        <v>39</v>
      </c>
      <c r="D25" s="49" t="s">
        <v>15293</v>
      </c>
      <c r="E25" s="49" t="s">
        <v>15345</v>
      </c>
      <c r="F25" s="48"/>
      <c r="G25" s="48"/>
      <c r="H25" s="48"/>
      <c r="I25" s="48"/>
      <c r="J25" s="55" t="s">
        <v>15346</v>
      </c>
      <c r="K25" s="48"/>
    </row>
    <row r="26">
      <c r="A26" s="48"/>
      <c r="B26" s="49" t="s">
        <v>20</v>
      </c>
      <c r="C26" s="49" t="s">
        <v>5927</v>
      </c>
      <c r="D26" s="49" t="s">
        <v>15293</v>
      </c>
      <c r="E26" s="49" t="s">
        <v>15293</v>
      </c>
      <c r="F26" s="48"/>
      <c r="G26" s="48"/>
      <c r="H26" s="50" t="s">
        <v>15347</v>
      </c>
      <c r="I26" s="48"/>
      <c r="J26" s="48"/>
      <c r="K26" s="48"/>
    </row>
    <row r="27">
      <c r="A27" s="48"/>
      <c r="B27" s="49" t="s">
        <v>20</v>
      </c>
      <c r="C27" s="49" t="s">
        <v>770</v>
      </c>
      <c r="D27" s="49" t="s">
        <v>15293</v>
      </c>
      <c r="E27" s="49" t="s">
        <v>15293</v>
      </c>
      <c r="F27" s="49" t="s">
        <v>15348</v>
      </c>
      <c r="G27" s="48"/>
      <c r="H27" s="48"/>
      <c r="I27" s="48"/>
      <c r="J27" s="50" t="s">
        <v>15349</v>
      </c>
      <c r="K27" s="48"/>
    </row>
    <row r="28">
      <c r="A28" s="48"/>
      <c r="B28" s="49" t="s">
        <v>20</v>
      </c>
      <c r="C28" s="49" t="s">
        <v>15350</v>
      </c>
      <c r="D28" s="49" t="s">
        <v>15293</v>
      </c>
      <c r="E28" s="49" t="s">
        <v>15293</v>
      </c>
      <c r="F28" s="48"/>
      <c r="G28" s="48"/>
      <c r="H28" s="50" t="s">
        <v>15351</v>
      </c>
      <c r="I28" s="48"/>
      <c r="J28" s="48"/>
      <c r="K28" s="48"/>
    </row>
    <row r="29">
      <c r="A29" s="48"/>
      <c r="B29" s="49" t="s">
        <v>20</v>
      </c>
      <c r="C29" s="49" t="s">
        <v>15309</v>
      </c>
      <c r="D29" s="49" t="s">
        <v>15293</v>
      </c>
      <c r="E29" s="49" t="s">
        <v>15293</v>
      </c>
      <c r="F29" s="49"/>
      <c r="G29" s="49"/>
      <c r="H29" s="48"/>
      <c r="I29" s="48"/>
      <c r="J29" s="50" t="s">
        <v>15352</v>
      </c>
      <c r="K29" s="48"/>
    </row>
    <row r="30">
      <c r="A30" s="48"/>
      <c r="B30" s="49" t="s">
        <v>766</v>
      </c>
      <c r="C30" s="49" t="s">
        <v>3640</v>
      </c>
      <c r="D30" s="49" t="s">
        <v>15293</v>
      </c>
      <c r="E30" s="49" t="s">
        <v>15311</v>
      </c>
      <c r="F30" s="49"/>
      <c r="G30" s="49"/>
      <c r="H30" s="50" t="s">
        <v>15353</v>
      </c>
      <c r="I30" s="48"/>
      <c r="J30" s="12" t="s">
        <v>15354</v>
      </c>
      <c r="K30" s="48"/>
    </row>
    <row r="31">
      <c r="A31" s="48"/>
      <c r="B31" s="49" t="s">
        <v>20</v>
      </c>
      <c r="C31" s="49" t="s">
        <v>3612</v>
      </c>
      <c r="D31" s="49" t="s">
        <v>15293</v>
      </c>
      <c r="E31" s="49" t="s">
        <v>15311</v>
      </c>
      <c r="F31" s="49"/>
      <c r="G31" s="49"/>
      <c r="H31" s="48"/>
      <c r="I31" s="48"/>
      <c r="J31" s="50" t="s">
        <v>15355</v>
      </c>
      <c r="K31" s="48"/>
    </row>
    <row r="32">
      <c r="A32" s="48"/>
      <c r="B32" s="49" t="s">
        <v>20</v>
      </c>
      <c r="C32" s="49" t="s">
        <v>4478</v>
      </c>
      <c r="D32" s="49" t="s">
        <v>15293</v>
      </c>
      <c r="E32" s="49" t="s">
        <v>15294</v>
      </c>
      <c r="F32" s="49"/>
      <c r="G32" s="49"/>
      <c r="H32" s="48"/>
      <c r="I32" s="48"/>
      <c r="J32" s="50" t="s">
        <v>15317</v>
      </c>
      <c r="K32" s="48"/>
    </row>
    <row r="33">
      <c r="A33" s="48"/>
      <c r="B33" s="49" t="s">
        <v>20</v>
      </c>
      <c r="C33" s="49" t="s">
        <v>4293</v>
      </c>
      <c r="D33" s="49" t="s">
        <v>15293</v>
      </c>
      <c r="E33" s="49" t="s">
        <v>15356</v>
      </c>
      <c r="F33" s="49"/>
      <c r="G33" s="49"/>
      <c r="H33" s="48"/>
      <c r="I33" s="48"/>
      <c r="J33" s="50" t="s">
        <v>15357</v>
      </c>
      <c r="K33" s="48"/>
    </row>
    <row r="34">
      <c r="A34" s="100"/>
      <c r="B34" s="49" t="s">
        <v>20</v>
      </c>
      <c r="C34" s="11" t="s">
        <v>770</v>
      </c>
      <c r="D34" s="49" t="s">
        <v>15293</v>
      </c>
      <c r="E34" s="11" t="s">
        <v>15293</v>
      </c>
      <c r="F34" s="48"/>
      <c r="G34" s="48"/>
      <c r="H34" s="50" t="s">
        <v>15358</v>
      </c>
      <c r="I34" s="12" t="s">
        <v>15359</v>
      </c>
      <c r="J34" s="48"/>
      <c r="K34" s="48"/>
    </row>
    <row r="35">
      <c r="A35" s="48"/>
      <c r="B35" s="49" t="s">
        <v>17</v>
      </c>
      <c r="C35" s="49" t="s">
        <v>15360</v>
      </c>
      <c r="D35" s="49" t="s">
        <v>15293</v>
      </c>
      <c r="E35" s="49" t="s">
        <v>15345</v>
      </c>
      <c r="F35" s="49"/>
      <c r="G35" s="49"/>
      <c r="H35" s="48"/>
      <c r="I35" s="48"/>
      <c r="J35" s="50" t="s">
        <v>15361</v>
      </c>
      <c r="K35" s="48"/>
    </row>
    <row r="36">
      <c r="A36" s="48"/>
      <c r="B36" s="49" t="s">
        <v>276</v>
      </c>
      <c r="C36" s="49" t="s">
        <v>15362</v>
      </c>
      <c r="D36" s="49" t="s">
        <v>15293</v>
      </c>
      <c r="E36" s="49" t="s">
        <v>15293</v>
      </c>
      <c r="F36" s="49"/>
      <c r="G36" s="49"/>
      <c r="H36" s="48"/>
      <c r="I36" s="48"/>
      <c r="J36" s="50" t="s">
        <v>15363</v>
      </c>
      <c r="K36" s="48"/>
    </row>
    <row r="37">
      <c r="A37" s="100"/>
      <c r="B37" s="49" t="s">
        <v>20</v>
      </c>
      <c r="C37" s="11"/>
      <c r="D37" s="11"/>
      <c r="E37" s="11"/>
      <c r="F37" s="48"/>
      <c r="G37" s="48"/>
      <c r="H37" s="65"/>
      <c r="I37" s="48"/>
      <c r="J37" s="48"/>
      <c r="K37" s="48"/>
    </row>
    <row r="38">
      <c r="A38" s="48"/>
      <c r="B38" s="49" t="s">
        <v>20</v>
      </c>
      <c r="C38" s="49"/>
      <c r="D38" s="49"/>
      <c r="E38" s="49"/>
      <c r="F38" s="48"/>
      <c r="G38" s="48"/>
      <c r="H38" s="48"/>
      <c r="I38" s="48"/>
      <c r="J38" s="48"/>
      <c r="K38" s="48"/>
    </row>
    <row r="39">
      <c r="A39" s="100"/>
      <c r="B39" s="49" t="s">
        <v>20</v>
      </c>
      <c r="C39" s="11"/>
      <c r="D39" s="49"/>
      <c r="E39" s="11"/>
      <c r="F39" s="48"/>
      <c r="G39" s="48"/>
      <c r="H39" s="48"/>
      <c r="I39" s="48"/>
      <c r="J39" s="48"/>
      <c r="K39" s="48"/>
    </row>
    <row r="40">
      <c r="A40" s="48"/>
      <c r="B40" s="49" t="s">
        <v>20</v>
      </c>
      <c r="C40" s="49"/>
      <c r="D40" s="49"/>
      <c r="E40" s="49"/>
      <c r="F40" s="48"/>
      <c r="G40" s="48"/>
      <c r="H40" s="48"/>
      <c r="I40" s="48"/>
      <c r="J40" s="48"/>
      <c r="K40" s="48"/>
    </row>
    <row r="41">
      <c r="A41" s="48"/>
      <c r="B41" s="49" t="s">
        <v>20</v>
      </c>
      <c r="C41" s="49"/>
      <c r="D41" s="49"/>
      <c r="E41" s="49"/>
      <c r="F41" s="48"/>
      <c r="G41" s="48"/>
      <c r="H41" s="48"/>
      <c r="I41" s="48"/>
      <c r="J41" s="48"/>
      <c r="K41" s="48"/>
    </row>
    <row r="42">
      <c r="A42" s="48"/>
      <c r="B42" s="49" t="s">
        <v>20</v>
      </c>
      <c r="C42" s="49"/>
      <c r="D42" s="49"/>
      <c r="E42" s="49"/>
      <c r="F42" s="49"/>
      <c r="G42" s="49"/>
      <c r="H42" s="65"/>
      <c r="I42" s="48"/>
      <c r="J42" s="48"/>
      <c r="K42" s="48"/>
    </row>
    <row r="43">
      <c r="A43" s="48"/>
      <c r="B43" s="49" t="s">
        <v>20</v>
      </c>
      <c r="C43" s="49"/>
      <c r="D43" s="49"/>
      <c r="E43" s="49"/>
      <c r="F43" s="49"/>
      <c r="G43" s="49"/>
      <c r="H43" s="48"/>
      <c r="I43" s="48"/>
      <c r="J43" s="48"/>
      <c r="K43" s="48"/>
    </row>
    <row r="44">
      <c r="A44" s="48"/>
      <c r="B44" s="49" t="s">
        <v>20</v>
      </c>
      <c r="C44" s="49"/>
      <c r="D44" s="49"/>
      <c r="E44" s="49"/>
      <c r="F44" s="49"/>
      <c r="G44" s="49"/>
      <c r="H44" s="48"/>
      <c r="I44" s="48"/>
      <c r="J44" s="48"/>
      <c r="K44" s="48"/>
    </row>
    <row r="45">
      <c r="A45" s="48"/>
      <c r="B45" s="49" t="s">
        <v>20</v>
      </c>
      <c r="C45" s="49"/>
      <c r="D45" s="49"/>
      <c r="E45" s="49"/>
      <c r="F45" s="48"/>
      <c r="G45" s="48"/>
      <c r="H45" s="48"/>
      <c r="I45" s="48"/>
      <c r="J45" s="48"/>
      <c r="K45" s="48"/>
    </row>
    <row r="46">
      <c r="A46" s="100"/>
      <c r="B46" s="49" t="s">
        <v>20</v>
      </c>
      <c r="C46" s="49"/>
      <c r="D46" s="49"/>
      <c r="E46" s="49"/>
      <c r="F46" s="346"/>
      <c r="G46" s="346"/>
      <c r="H46" s="65"/>
      <c r="I46" s="48"/>
      <c r="J46" s="48"/>
      <c r="K46" s="48"/>
    </row>
    <row r="47">
      <c r="A47" s="48"/>
      <c r="B47" s="49" t="s">
        <v>20</v>
      </c>
      <c r="C47" s="49"/>
      <c r="D47" s="49"/>
      <c r="E47" s="49"/>
      <c r="F47" s="49"/>
      <c r="G47" s="49"/>
      <c r="H47" s="48"/>
      <c r="I47" s="48"/>
      <c r="J47" s="48"/>
      <c r="K47" s="48"/>
    </row>
    <row r="48">
      <c r="A48" s="48"/>
      <c r="B48" s="49" t="s">
        <v>20</v>
      </c>
      <c r="C48" s="49"/>
      <c r="D48" s="49"/>
      <c r="E48" s="49"/>
      <c r="F48" s="48"/>
      <c r="G48" s="48"/>
      <c r="H48" s="48"/>
      <c r="I48" s="48"/>
      <c r="J48" s="48"/>
      <c r="K48" s="48"/>
    </row>
    <row r="49">
      <c r="A49" s="48"/>
      <c r="B49" s="49" t="s">
        <v>20</v>
      </c>
      <c r="C49" s="49"/>
      <c r="D49" s="49"/>
      <c r="E49" s="49"/>
      <c r="F49" s="48"/>
      <c r="G49" s="48"/>
      <c r="H49" s="48"/>
      <c r="I49" s="48"/>
      <c r="J49" s="48"/>
      <c r="K49" s="48"/>
    </row>
    <row r="50">
      <c r="A50" s="48"/>
      <c r="B50" s="49"/>
      <c r="C50" s="49"/>
      <c r="D50" s="49"/>
      <c r="E50" s="49"/>
      <c r="F50" s="49"/>
      <c r="G50" s="49"/>
      <c r="H50" s="48"/>
      <c r="I50" s="48"/>
      <c r="J50" s="48"/>
      <c r="K50" s="48"/>
    </row>
    <row r="51">
      <c r="A51" s="48"/>
      <c r="B51" s="49"/>
      <c r="C51" s="49"/>
      <c r="D51" s="49"/>
      <c r="E51" s="49"/>
      <c r="F51" s="48"/>
      <c r="G51" s="48"/>
      <c r="H51" s="48"/>
      <c r="I51" s="48"/>
      <c r="J51" s="48"/>
      <c r="K51" s="48"/>
    </row>
    <row r="52">
      <c r="A52" s="48"/>
      <c r="B52" s="49"/>
      <c r="C52" s="49"/>
      <c r="D52" s="49"/>
      <c r="E52" s="49"/>
      <c r="F52" s="48"/>
      <c r="G52" s="48"/>
      <c r="H52" s="48"/>
      <c r="I52" s="48"/>
      <c r="J52" s="48"/>
      <c r="K52" s="48"/>
    </row>
    <row r="53">
      <c r="A53" s="48"/>
      <c r="B53" s="49"/>
      <c r="C53" s="49"/>
      <c r="D53" s="49"/>
      <c r="E53" s="49"/>
      <c r="F53" s="48"/>
      <c r="G53" s="48"/>
      <c r="H53" s="48"/>
      <c r="I53" s="48"/>
      <c r="J53" s="48"/>
      <c r="K53" s="48"/>
    </row>
    <row r="54">
      <c r="A54" s="48"/>
      <c r="B54" s="49"/>
      <c r="C54" s="49"/>
      <c r="D54" s="49"/>
      <c r="E54" s="49"/>
      <c r="F54" s="48"/>
      <c r="G54" s="48"/>
      <c r="H54" s="48"/>
      <c r="I54" s="48"/>
      <c r="J54" s="48"/>
      <c r="K54" s="48"/>
    </row>
    <row r="55">
      <c r="A55" s="48"/>
      <c r="B55" s="49"/>
      <c r="C55" s="49"/>
      <c r="D55" s="49"/>
      <c r="E55" s="49"/>
      <c r="F55" s="48"/>
      <c r="G55" s="48"/>
      <c r="H55" s="48"/>
      <c r="I55" s="65"/>
      <c r="J55" s="48"/>
      <c r="K55" s="48"/>
    </row>
    <row r="56">
      <c r="A56" s="48"/>
      <c r="B56" s="49"/>
      <c r="C56" s="49"/>
      <c r="D56" s="49"/>
      <c r="E56" s="49"/>
      <c r="F56" s="48"/>
      <c r="G56" s="48"/>
      <c r="H56" s="48"/>
      <c r="I56" s="48"/>
      <c r="J56" s="48"/>
      <c r="K56" s="48"/>
    </row>
    <row r="57">
      <c r="A57" s="48"/>
      <c r="B57" s="49"/>
      <c r="C57" s="49"/>
      <c r="D57" s="49"/>
      <c r="E57" s="49"/>
      <c r="F57" s="48"/>
      <c r="G57" s="48"/>
      <c r="H57" s="48"/>
      <c r="I57" s="48"/>
      <c r="J57" s="48"/>
      <c r="K57" s="48"/>
    </row>
    <row r="58">
      <c r="A58" s="100"/>
      <c r="B58" s="48"/>
      <c r="C58" s="49"/>
      <c r="D58" s="49"/>
      <c r="E58" s="49"/>
      <c r="F58" s="48"/>
      <c r="G58" s="48"/>
      <c r="H58" s="48"/>
      <c r="I58" s="48"/>
      <c r="J58" s="48"/>
      <c r="K58" s="48"/>
    </row>
    <row r="59">
      <c r="A59" s="100"/>
      <c r="B59" s="49"/>
      <c r="C59" s="49"/>
      <c r="D59" s="49"/>
      <c r="E59" s="49"/>
      <c r="F59" s="48"/>
      <c r="G59" s="48"/>
      <c r="H59" s="48"/>
      <c r="I59" s="48"/>
      <c r="J59" s="48"/>
      <c r="K59" s="48"/>
    </row>
    <row r="60">
      <c r="A60" s="100"/>
      <c r="B60" s="48"/>
      <c r="C60" s="11"/>
      <c r="D60" s="49"/>
      <c r="E60" s="49"/>
      <c r="F60" s="347"/>
      <c r="G60" s="347"/>
      <c r="H60" s="48"/>
      <c r="I60" s="48"/>
      <c r="J60" s="48"/>
      <c r="K60" s="48"/>
    </row>
    <row r="61">
      <c r="A61" s="100"/>
      <c r="B61" s="48"/>
      <c r="C61" s="49"/>
      <c r="D61" s="49"/>
      <c r="E61" s="49"/>
      <c r="F61" s="48"/>
      <c r="G61" s="48"/>
      <c r="H61" s="48"/>
      <c r="I61" s="48"/>
      <c r="J61" s="48"/>
      <c r="K61" s="48"/>
    </row>
    <row r="62">
      <c r="A62" s="48"/>
      <c r="B62" s="49"/>
      <c r="C62" s="49"/>
      <c r="D62" s="49"/>
      <c r="E62" s="49"/>
      <c r="F62" s="48"/>
      <c r="G62" s="48"/>
      <c r="H62" s="48"/>
      <c r="I62" s="48"/>
      <c r="J62" s="48"/>
      <c r="K62" s="48"/>
    </row>
    <row r="63">
      <c r="A63" s="100"/>
      <c r="B63" s="48"/>
      <c r="C63" s="11"/>
      <c r="D63" s="49"/>
      <c r="E63" s="49"/>
      <c r="F63" s="48"/>
      <c r="G63" s="48"/>
      <c r="H63" s="48"/>
      <c r="I63" s="48"/>
      <c r="J63" s="48"/>
      <c r="K63" s="48"/>
    </row>
    <row r="64">
      <c r="A64" s="100"/>
      <c r="B64" s="48"/>
      <c r="C64" s="11"/>
      <c r="D64" s="11"/>
      <c r="E64" s="11"/>
      <c r="F64" s="48"/>
      <c r="G64" s="48"/>
      <c r="H64" s="48"/>
      <c r="I64" s="48"/>
      <c r="J64" s="48"/>
      <c r="K64" s="48"/>
    </row>
    <row r="65">
      <c r="A65" s="48"/>
      <c r="B65" s="49"/>
      <c r="C65" s="49"/>
      <c r="D65" s="49"/>
      <c r="E65" s="49"/>
      <c r="F65" s="48"/>
      <c r="G65" s="48"/>
      <c r="H65" s="48"/>
      <c r="I65" s="48"/>
      <c r="J65" s="48"/>
      <c r="K65" s="48"/>
    </row>
    <row r="66">
      <c r="A66" s="100"/>
      <c r="B66" s="48"/>
      <c r="C66" s="11"/>
      <c r="D66" s="49"/>
      <c r="E66" s="49"/>
      <c r="F66" s="48"/>
      <c r="G66" s="48"/>
      <c r="H66" s="65"/>
      <c r="I66" s="48"/>
      <c r="J66" s="48"/>
      <c r="K66" s="48"/>
    </row>
    <row r="67">
      <c r="A67" s="48"/>
      <c r="B67" s="49"/>
      <c r="C67" s="49"/>
      <c r="D67" s="49"/>
      <c r="E67" s="49"/>
      <c r="F67" s="48"/>
      <c r="G67" s="48"/>
      <c r="H67" s="48"/>
      <c r="I67" s="48"/>
      <c r="J67" s="48"/>
      <c r="K67" s="48"/>
    </row>
    <row r="68">
      <c r="A68" s="100"/>
      <c r="B68" s="48"/>
      <c r="C68" s="11"/>
      <c r="D68" s="11"/>
      <c r="E68" s="11"/>
      <c r="F68" s="48"/>
      <c r="G68" s="48"/>
      <c r="H68" s="65"/>
      <c r="I68" s="48"/>
      <c r="J68" s="48"/>
      <c r="K68" s="48"/>
    </row>
    <row r="69">
      <c r="A69" s="48"/>
      <c r="B69" s="49"/>
      <c r="C69" s="49"/>
      <c r="D69" s="49"/>
      <c r="E69" s="49"/>
      <c r="F69" s="49"/>
      <c r="G69" s="49"/>
      <c r="H69" s="48"/>
      <c r="I69" s="48"/>
      <c r="J69" s="48"/>
      <c r="K69" s="48"/>
    </row>
    <row r="70">
      <c r="A70" s="48"/>
      <c r="B70" s="49"/>
      <c r="C70" s="49"/>
      <c r="D70" s="49"/>
      <c r="E70" s="49"/>
      <c r="F70" s="48"/>
      <c r="G70" s="48"/>
      <c r="H70" s="48"/>
      <c r="I70" s="48"/>
      <c r="J70" s="48"/>
      <c r="K70" s="48"/>
    </row>
    <row r="71">
      <c r="A71" s="48"/>
      <c r="B71" s="49"/>
      <c r="C71" s="49"/>
      <c r="D71" s="49"/>
      <c r="E71" s="49"/>
      <c r="F71" s="48"/>
      <c r="G71" s="48"/>
      <c r="H71" s="48"/>
      <c r="I71" s="48"/>
      <c r="J71" s="48"/>
      <c r="K71" s="48"/>
    </row>
    <row r="72">
      <c r="A72" s="48"/>
      <c r="B72" s="49"/>
      <c r="C72" s="49"/>
      <c r="D72" s="49"/>
      <c r="E72" s="49"/>
      <c r="F72" s="48"/>
      <c r="G72" s="48"/>
      <c r="H72" s="48"/>
      <c r="I72" s="48"/>
      <c r="J72" s="48"/>
      <c r="K72" s="48"/>
    </row>
    <row r="73">
      <c r="A73" s="48"/>
      <c r="B73" s="49"/>
      <c r="C73" s="49"/>
      <c r="D73" s="49"/>
      <c r="E73" s="49"/>
      <c r="F73" s="48"/>
      <c r="G73" s="48"/>
      <c r="H73" s="48"/>
      <c r="I73" s="48"/>
      <c r="J73" s="48"/>
      <c r="K73" s="48"/>
    </row>
    <row r="74">
      <c r="A74" s="48"/>
      <c r="B74" s="49"/>
      <c r="C74" s="49"/>
      <c r="D74" s="49"/>
      <c r="E74" s="49"/>
      <c r="F74" s="48"/>
      <c r="G74" s="48"/>
      <c r="H74" s="48"/>
      <c r="I74" s="48"/>
      <c r="J74" s="48"/>
      <c r="K74" s="48"/>
    </row>
    <row r="75">
      <c r="A75" s="48"/>
      <c r="B75" s="49"/>
      <c r="C75" s="49"/>
      <c r="D75" s="49"/>
      <c r="E75" s="49"/>
      <c r="F75" s="48"/>
      <c r="G75" s="48"/>
      <c r="H75" s="48"/>
      <c r="I75" s="48"/>
      <c r="J75" s="48"/>
      <c r="K75" s="48"/>
    </row>
    <row r="76">
      <c r="A76" s="48"/>
      <c r="B76" s="49"/>
      <c r="C76" s="49"/>
      <c r="D76" s="49"/>
      <c r="E76" s="49"/>
      <c r="F76" s="48"/>
      <c r="G76" s="48"/>
      <c r="H76" s="48"/>
      <c r="I76" s="48"/>
      <c r="J76" s="48"/>
      <c r="K76" s="48"/>
    </row>
    <row r="77">
      <c r="A77" s="48"/>
      <c r="B77" s="49"/>
      <c r="C77" s="49"/>
      <c r="D77" s="49"/>
      <c r="E77" s="49"/>
      <c r="F77" s="48"/>
      <c r="G77" s="48"/>
      <c r="H77" s="48"/>
      <c r="I77" s="65"/>
      <c r="J77" s="65"/>
      <c r="K77" s="48"/>
    </row>
    <row r="78">
      <c r="A78" s="100"/>
      <c r="B78" s="48"/>
      <c r="C78" s="11"/>
      <c r="D78" s="11"/>
      <c r="E78" s="11"/>
      <c r="F78" s="48"/>
      <c r="G78" s="48"/>
      <c r="H78" s="48"/>
      <c r="I78" s="48"/>
      <c r="J78" s="48"/>
      <c r="K78" s="48"/>
    </row>
    <row r="79">
      <c r="A79" s="100"/>
      <c r="B79" s="48"/>
      <c r="C79" s="11"/>
      <c r="D79" s="49"/>
      <c r="E79" s="49"/>
      <c r="F79" s="48"/>
      <c r="G79" s="48"/>
      <c r="H79" s="48"/>
      <c r="I79" s="48"/>
      <c r="J79" s="48"/>
      <c r="K79" s="48"/>
      <c r="L79" s="12" t="s">
        <v>5965</v>
      </c>
    </row>
    <row r="80">
      <c r="A80" s="100"/>
      <c r="B80" s="48"/>
      <c r="C80" s="11"/>
      <c r="D80" s="49"/>
      <c r="E80" s="49"/>
      <c r="F80" s="48"/>
      <c r="G80" s="48"/>
      <c r="H80" s="48"/>
      <c r="I80" s="65"/>
      <c r="J80" s="48"/>
      <c r="K80" s="48"/>
    </row>
    <row r="81">
      <c r="A81" s="48"/>
      <c r="B81" s="49"/>
      <c r="C81" s="49"/>
      <c r="D81" s="49"/>
      <c r="E81" s="49"/>
      <c r="F81" s="48"/>
      <c r="G81" s="48"/>
      <c r="H81" s="48"/>
      <c r="I81" s="48"/>
      <c r="J81" s="48"/>
      <c r="K81" s="48"/>
    </row>
    <row r="82">
      <c r="A82" s="48"/>
      <c r="B82" s="48"/>
      <c r="C82" s="11"/>
      <c r="D82" s="49"/>
      <c r="E82" s="49"/>
      <c r="F82" s="346"/>
      <c r="G82" s="346"/>
      <c r="H82" s="48"/>
      <c r="I82" s="48"/>
      <c r="J82" s="48"/>
      <c r="K82" s="48"/>
      <c r="L82" s="9" t="s">
        <v>5930</v>
      </c>
    </row>
    <row r="83">
      <c r="A83" s="100"/>
      <c r="B83" s="48"/>
      <c r="C83" s="11"/>
      <c r="D83" s="11"/>
      <c r="E83" s="11"/>
      <c r="F83" s="48"/>
      <c r="G83" s="48"/>
      <c r="H83" s="48"/>
      <c r="I83" s="48"/>
      <c r="J83" s="48"/>
      <c r="K83" s="48"/>
    </row>
    <row r="84">
      <c r="A84" s="100"/>
      <c r="B84" s="48"/>
      <c r="C84" s="11"/>
      <c r="D84" s="11"/>
      <c r="E84" s="11"/>
      <c r="F84" s="48"/>
      <c r="G84" s="48"/>
      <c r="H84" s="48"/>
      <c r="I84" s="48"/>
      <c r="J84" s="48"/>
      <c r="K84" s="48"/>
    </row>
    <row r="85">
      <c r="A85" s="48"/>
      <c r="B85" s="49"/>
      <c r="C85" s="49"/>
      <c r="D85" s="49"/>
      <c r="E85" s="49"/>
      <c r="F85" s="48"/>
      <c r="G85" s="48"/>
      <c r="H85" s="48"/>
      <c r="I85" s="48"/>
      <c r="J85" s="48"/>
      <c r="K85" s="48"/>
    </row>
    <row r="86">
      <c r="A86" s="100"/>
      <c r="B86" s="48"/>
      <c r="C86" s="11"/>
      <c r="D86" s="11"/>
      <c r="E86" s="11"/>
      <c r="F86" s="48"/>
      <c r="G86" s="48"/>
      <c r="H86" s="48"/>
      <c r="I86" s="48"/>
      <c r="J86" s="48"/>
      <c r="K86" s="48"/>
    </row>
    <row r="87">
      <c r="A87" s="100"/>
      <c r="B87" s="49"/>
      <c r="C87" s="11"/>
      <c r="D87" s="11"/>
      <c r="E87" s="11"/>
      <c r="F87" s="48"/>
      <c r="G87" s="48"/>
      <c r="H87" s="48"/>
      <c r="I87" s="48"/>
      <c r="J87" s="48"/>
      <c r="K87" s="48"/>
    </row>
    <row r="88">
      <c r="A88" s="48"/>
      <c r="B88" s="49"/>
      <c r="C88" s="49"/>
      <c r="D88" s="49"/>
      <c r="E88" s="49"/>
      <c r="F88" s="48"/>
      <c r="G88" s="48"/>
      <c r="H88" s="48"/>
      <c r="I88" s="48"/>
      <c r="J88" s="48"/>
      <c r="K88" s="48"/>
    </row>
    <row r="89">
      <c r="A89" s="100"/>
      <c r="B89" s="48"/>
      <c r="C89" s="11"/>
      <c r="D89" s="11"/>
      <c r="E89" s="11"/>
      <c r="F89" s="48"/>
      <c r="G89" s="48"/>
      <c r="H89" s="48"/>
      <c r="I89" s="48"/>
      <c r="J89" s="48"/>
      <c r="K89" s="48"/>
      <c r="M89" s="9" t="s">
        <v>6265</v>
      </c>
    </row>
    <row r="90">
      <c r="A90" s="48"/>
      <c r="B90" s="49"/>
      <c r="C90" s="49"/>
      <c r="D90" s="49"/>
      <c r="E90" s="49"/>
      <c r="F90" s="48"/>
      <c r="G90" s="48"/>
      <c r="H90" s="48"/>
      <c r="I90" s="48"/>
      <c r="J90" s="48"/>
      <c r="K90" s="48"/>
    </row>
    <row r="91">
      <c r="A91" s="100"/>
      <c r="B91" s="48"/>
      <c r="C91" s="49"/>
      <c r="D91" s="49"/>
      <c r="E91" s="49"/>
      <c r="F91" s="48"/>
      <c r="G91" s="48"/>
      <c r="H91" s="48"/>
      <c r="I91" s="48"/>
      <c r="J91" s="48"/>
      <c r="K91" s="48"/>
    </row>
    <row r="92">
      <c r="A92" s="100"/>
      <c r="B92" s="48"/>
      <c r="C92" s="11"/>
      <c r="D92" s="49"/>
      <c r="E92" s="49"/>
      <c r="F92" s="48"/>
      <c r="G92" s="48"/>
      <c r="H92" s="48"/>
      <c r="I92" s="48"/>
      <c r="J92" s="48"/>
      <c r="K92" s="48"/>
    </row>
    <row r="93">
      <c r="A93" s="100"/>
      <c r="B93" s="48"/>
      <c r="C93" s="11"/>
      <c r="D93" s="49"/>
      <c r="E93" s="49"/>
      <c r="F93" s="48"/>
      <c r="G93" s="48"/>
      <c r="H93" s="48"/>
      <c r="I93" s="48"/>
      <c r="J93" s="48"/>
      <c r="K93" s="48"/>
    </row>
    <row r="94">
      <c r="A94" s="100"/>
      <c r="B94" s="48"/>
      <c r="C94" s="11"/>
      <c r="D94" s="49"/>
      <c r="E94" s="49"/>
      <c r="F94" s="48"/>
      <c r="G94" s="48"/>
      <c r="H94" s="48"/>
      <c r="I94" s="48"/>
      <c r="J94" s="48"/>
      <c r="K94" s="48"/>
    </row>
    <row r="95">
      <c r="A95" s="100"/>
      <c r="B95" s="48"/>
      <c r="C95" s="11"/>
      <c r="D95" s="49"/>
      <c r="E95" s="49"/>
      <c r="F95" s="48"/>
      <c r="G95" s="48"/>
      <c r="H95" s="48"/>
      <c r="I95" s="48"/>
      <c r="J95" s="48"/>
      <c r="K95" s="48"/>
    </row>
    <row r="96">
      <c r="A96" s="100"/>
      <c r="B96" s="48"/>
      <c r="C96" s="11"/>
      <c r="D96" s="49"/>
      <c r="E96" s="49"/>
      <c r="F96" s="48"/>
      <c r="G96" s="48"/>
      <c r="H96" s="48"/>
      <c r="I96" s="48"/>
      <c r="J96" s="48"/>
      <c r="K96" s="48"/>
    </row>
    <row r="97">
      <c r="A97" s="100"/>
      <c r="B97" s="48"/>
      <c r="C97" s="11"/>
      <c r="D97" s="49"/>
      <c r="E97" s="11"/>
      <c r="F97" s="48"/>
      <c r="G97" s="48"/>
      <c r="H97" s="48"/>
      <c r="I97" s="48"/>
      <c r="J97" s="48"/>
      <c r="K97" s="48"/>
    </row>
    <row r="98">
      <c r="A98" s="100"/>
      <c r="B98" s="48"/>
      <c r="C98" s="11"/>
      <c r="D98" s="49"/>
      <c r="E98" s="49"/>
      <c r="F98" s="350"/>
      <c r="G98" s="350"/>
      <c r="H98" s="48"/>
      <c r="I98" s="48"/>
      <c r="J98" s="48"/>
      <c r="K98" s="48"/>
    </row>
    <row r="99">
      <c r="A99" s="100"/>
      <c r="B99" s="48"/>
      <c r="C99" s="11"/>
      <c r="D99" s="49"/>
      <c r="E99" s="49"/>
      <c r="F99" s="48"/>
      <c r="G99" s="48"/>
      <c r="H99" s="48"/>
      <c r="I99" s="48"/>
      <c r="J99" s="48"/>
      <c r="K99" s="48"/>
    </row>
    <row r="100">
      <c r="A100" s="100"/>
      <c r="B100" s="48"/>
      <c r="C100" s="11"/>
      <c r="D100" s="49"/>
      <c r="E100" s="49"/>
      <c r="F100" s="48"/>
      <c r="G100" s="48"/>
      <c r="H100" s="48"/>
      <c r="I100" s="48"/>
      <c r="J100" s="48"/>
      <c r="K100" s="48"/>
    </row>
    <row r="101">
      <c r="A101" s="100"/>
      <c r="B101" s="48"/>
      <c r="C101" s="49"/>
      <c r="D101" s="49"/>
      <c r="E101" s="49"/>
      <c r="F101" s="48"/>
      <c r="G101" s="48"/>
      <c r="H101" s="48"/>
      <c r="I101" s="48"/>
      <c r="J101" s="48"/>
      <c r="K101" s="48"/>
    </row>
    <row r="102">
      <c r="A102" s="100"/>
      <c r="B102" s="48"/>
      <c r="C102" s="11"/>
      <c r="D102" s="49"/>
      <c r="E102" s="49"/>
      <c r="F102" s="48"/>
      <c r="G102" s="48"/>
      <c r="H102" s="48"/>
      <c r="I102" s="48"/>
      <c r="J102" s="48"/>
      <c r="K102" s="48"/>
    </row>
    <row r="103">
      <c r="A103" s="100"/>
      <c r="B103" s="48"/>
      <c r="C103" s="11"/>
      <c r="D103" s="49"/>
      <c r="E103" s="49"/>
      <c r="F103" s="346"/>
      <c r="G103" s="346"/>
      <c r="H103" s="48"/>
      <c r="I103" s="48"/>
      <c r="J103" s="381"/>
      <c r="K103" s="48"/>
    </row>
    <row r="104">
      <c r="A104" s="100"/>
      <c r="B104" s="48"/>
      <c r="C104" s="11"/>
      <c r="D104" s="11"/>
      <c r="E104" s="11"/>
      <c r="F104" s="48"/>
      <c r="G104" s="48"/>
      <c r="H104" s="48"/>
      <c r="I104" s="48"/>
      <c r="J104" s="48"/>
      <c r="K104" s="48"/>
    </row>
    <row r="105">
      <c r="A105" s="100"/>
      <c r="B105" s="48"/>
      <c r="C105" s="11"/>
      <c r="D105" s="49"/>
      <c r="E105" s="49"/>
      <c r="F105" s="48"/>
      <c r="G105" s="48"/>
      <c r="H105" s="48"/>
      <c r="I105" s="48"/>
      <c r="J105" s="48"/>
      <c r="K105" s="48"/>
    </row>
    <row r="106">
      <c r="A106" s="100"/>
      <c r="B106" s="48"/>
      <c r="C106" s="11"/>
      <c r="D106" s="49"/>
      <c r="E106" s="49"/>
      <c r="F106" s="48"/>
      <c r="G106" s="48"/>
      <c r="H106" s="48"/>
      <c r="I106" s="48"/>
      <c r="J106" s="48"/>
      <c r="K106" s="48"/>
    </row>
    <row r="107">
      <c r="A107" s="100"/>
      <c r="B107" s="48"/>
      <c r="C107" s="11"/>
      <c r="D107" s="49"/>
      <c r="E107" s="11"/>
      <c r="F107" s="48"/>
      <c r="G107" s="48"/>
      <c r="H107" s="48"/>
      <c r="I107" s="48"/>
      <c r="J107" s="48"/>
      <c r="K107" s="48"/>
    </row>
    <row r="108">
      <c r="A108" s="100"/>
      <c r="B108" s="48"/>
      <c r="C108" s="11"/>
      <c r="D108" s="11"/>
      <c r="E108" s="11"/>
      <c r="F108" s="48"/>
      <c r="G108" s="48"/>
      <c r="H108" s="48"/>
      <c r="I108" s="48"/>
      <c r="J108" s="48"/>
      <c r="K108" s="48"/>
    </row>
    <row r="109">
      <c r="A109" s="100"/>
      <c r="B109" s="48"/>
      <c r="C109" s="11"/>
      <c r="D109" s="49"/>
      <c r="E109" s="11"/>
      <c r="F109" s="48"/>
      <c r="G109" s="48"/>
      <c r="H109" s="48"/>
      <c r="I109" s="48"/>
      <c r="J109" s="48"/>
      <c r="K109" s="48"/>
    </row>
    <row r="110">
      <c r="A110" s="100"/>
      <c r="B110" s="48"/>
      <c r="C110" s="11"/>
      <c r="D110" s="49"/>
      <c r="E110" s="11"/>
      <c r="F110" s="48"/>
      <c r="G110" s="48"/>
      <c r="H110" s="48"/>
      <c r="I110" s="48"/>
      <c r="J110" s="48"/>
      <c r="K110" s="48"/>
    </row>
    <row r="111">
      <c r="A111" s="100"/>
      <c r="B111" s="48"/>
      <c r="C111" s="11"/>
      <c r="D111" s="49"/>
      <c r="E111" s="49"/>
      <c r="F111" s="48"/>
      <c r="G111" s="48"/>
      <c r="H111" s="48"/>
      <c r="I111" s="48"/>
      <c r="J111" s="48"/>
      <c r="K111" s="48"/>
    </row>
    <row r="112">
      <c r="A112" s="100"/>
      <c r="B112" s="48"/>
      <c r="C112" s="11"/>
      <c r="D112" s="11"/>
      <c r="E112" s="11"/>
      <c r="F112" s="48"/>
      <c r="G112" s="48"/>
      <c r="H112" s="48"/>
      <c r="I112" s="48"/>
      <c r="J112" s="48"/>
      <c r="K112" s="48"/>
    </row>
    <row r="113">
      <c r="A113" s="100"/>
      <c r="B113" s="48"/>
      <c r="C113" s="11"/>
      <c r="D113" s="49"/>
      <c r="E113" s="49"/>
      <c r="F113" s="48"/>
      <c r="G113" s="48"/>
      <c r="H113" s="48"/>
      <c r="I113" s="48"/>
      <c r="J113" s="48"/>
      <c r="K113" s="48"/>
    </row>
    <row r="114">
      <c r="A114" s="100"/>
      <c r="B114" s="48"/>
      <c r="C114" s="11"/>
      <c r="D114" s="11"/>
      <c r="E114" s="11"/>
      <c r="F114" s="48"/>
      <c r="G114" s="48"/>
      <c r="H114" s="48"/>
      <c r="I114" s="48"/>
      <c r="J114" s="48"/>
      <c r="K114" s="48"/>
    </row>
    <row r="115">
      <c r="A115" s="100"/>
      <c r="B115" s="48"/>
      <c r="C115" s="11"/>
      <c r="D115" s="49"/>
      <c r="E115" s="49"/>
      <c r="F115" s="48"/>
      <c r="G115" s="48"/>
      <c r="H115" s="48"/>
      <c r="I115" s="48"/>
      <c r="J115" s="48"/>
      <c r="K115" s="48"/>
    </row>
    <row r="116">
      <c r="A116" s="100"/>
      <c r="B116" s="48"/>
      <c r="C116" s="11"/>
      <c r="D116" s="49"/>
      <c r="E116" s="11"/>
      <c r="F116" s="48"/>
      <c r="G116" s="48"/>
      <c r="H116" s="48"/>
      <c r="I116" s="48"/>
      <c r="J116" s="48"/>
      <c r="K116" s="48"/>
    </row>
    <row r="117">
      <c r="A117" s="100"/>
      <c r="B117" s="48"/>
      <c r="C117" s="11"/>
      <c r="D117" s="49"/>
      <c r="E117" s="11"/>
      <c r="F117" s="48"/>
      <c r="G117" s="48"/>
      <c r="H117" s="48"/>
      <c r="I117" s="48"/>
      <c r="J117" s="48"/>
      <c r="K117" s="48"/>
    </row>
    <row r="118">
      <c r="A118" s="100"/>
      <c r="B118" s="48"/>
      <c r="C118" s="11"/>
      <c r="D118" s="49"/>
      <c r="E118" s="49"/>
      <c r="F118" s="48"/>
      <c r="G118" s="48"/>
      <c r="H118" s="48"/>
      <c r="I118" s="48"/>
      <c r="J118" s="48"/>
      <c r="K118" s="48"/>
    </row>
    <row r="119">
      <c r="A119" s="100"/>
      <c r="B119" s="48"/>
      <c r="C119" s="11"/>
      <c r="D119" s="49"/>
      <c r="E119" s="49"/>
      <c r="F119" s="48"/>
      <c r="G119" s="48"/>
      <c r="H119" s="48"/>
      <c r="I119" s="48"/>
      <c r="J119" s="48"/>
      <c r="K119" s="48"/>
    </row>
    <row r="120">
      <c r="A120" s="100"/>
      <c r="B120" s="48"/>
      <c r="C120" s="11"/>
      <c r="D120" s="49"/>
      <c r="E120" s="49"/>
      <c r="F120" s="48"/>
      <c r="G120" s="48"/>
      <c r="H120" s="48"/>
      <c r="I120" s="48"/>
      <c r="J120" s="48"/>
      <c r="K120" s="48"/>
    </row>
    <row r="121">
      <c r="A121" s="100"/>
      <c r="B121" s="48"/>
      <c r="C121" s="11"/>
      <c r="D121" s="49"/>
      <c r="E121" s="49"/>
      <c r="F121" s="48"/>
      <c r="G121" s="48"/>
      <c r="H121" s="48"/>
      <c r="I121" s="48"/>
      <c r="J121" s="48"/>
      <c r="K121" s="48"/>
    </row>
    <row r="122">
      <c r="A122" s="100"/>
      <c r="B122" s="48"/>
      <c r="C122" s="11"/>
      <c r="D122" s="11"/>
      <c r="E122" s="11"/>
      <c r="F122" s="48"/>
      <c r="G122" s="48"/>
      <c r="H122" s="48"/>
      <c r="I122" s="48"/>
      <c r="J122" s="48"/>
      <c r="K122" s="48"/>
    </row>
    <row r="123">
      <c r="A123" s="100"/>
      <c r="B123" s="48"/>
      <c r="C123" s="11"/>
      <c r="D123" s="49"/>
      <c r="E123" s="49"/>
      <c r="F123" s="48"/>
      <c r="G123" s="48"/>
      <c r="H123" s="48"/>
      <c r="I123" s="48"/>
      <c r="J123" s="48"/>
      <c r="K123" s="48"/>
    </row>
    <row r="124">
      <c r="A124" s="100"/>
      <c r="B124" s="48"/>
      <c r="C124" s="11"/>
      <c r="D124" s="11"/>
      <c r="E124" s="11"/>
      <c r="F124" s="48"/>
      <c r="G124" s="48"/>
      <c r="H124" s="48"/>
      <c r="I124" s="48"/>
      <c r="J124" s="48"/>
      <c r="K124" s="48"/>
    </row>
    <row r="125">
      <c r="A125" s="100"/>
      <c r="B125" s="48"/>
      <c r="C125" s="11"/>
      <c r="D125" s="49"/>
      <c r="E125" s="49"/>
      <c r="F125" s="48"/>
      <c r="G125" s="48"/>
      <c r="H125" s="48"/>
      <c r="I125" s="48"/>
      <c r="J125" s="48"/>
      <c r="K125" s="48"/>
    </row>
    <row r="126">
      <c r="A126" s="100"/>
      <c r="B126" s="48"/>
      <c r="C126" s="11"/>
      <c r="D126" s="49"/>
      <c r="E126" s="49"/>
      <c r="F126" s="48"/>
      <c r="G126" s="48"/>
      <c r="H126" s="48"/>
      <c r="I126" s="48"/>
      <c r="J126" s="48"/>
      <c r="K126" s="48"/>
    </row>
    <row r="127">
      <c r="A127" s="100"/>
      <c r="B127" s="48"/>
      <c r="C127" s="11"/>
      <c r="D127" s="49"/>
      <c r="E127" s="49"/>
      <c r="F127" s="48"/>
      <c r="G127" s="48"/>
      <c r="H127" s="48"/>
      <c r="I127" s="48"/>
      <c r="J127" s="48"/>
      <c r="K127" s="48"/>
    </row>
    <row r="128">
      <c r="A128" s="100"/>
      <c r="B128" s="48"/>
      <c r="C128" s="11"/>
      <c r="D128" s="49"/>
      <c r="E128" s="11"/>
      <c r="F128" s="48"/>
      <c r="G128" s="48"/>
      <c r="H128" s="48"/>
      <c r="I128" s="48"/>
      <c r="J128" s="48"/>
      <c r="K128" s="48"/>
    </row>
    <row r="129">
      <c r="A129" s="100"/>
      <c r="B129" s="48"/>
      <c r="C129" s="11"/>
      <c r="D129" s="49"/>
      <c r="E129" s="49"/>
      <c r="F129" s="48"/>
      <c r="G129" s="48"/>
      <c r="H129" s="48"/>
      <c r="I129" s="48"/>
      <c r="J129" s="48"/>
      <c r="K129" s="48"/>
    </row>
    <row r="130">
      <c r="A130" s="100"/>
      <c r="B130" s="48"/>
      <c r="C130" s="49"/>
      <c r="D130" s="49"/>
      <c r="E130" s="49"/>
      <c r="F130" s="48"/>
      <c r="G130" s="48"/>
      <c r="H130" s="48"/>
      <c r="I130" s="48"/>
      <c r="J130" s="48"/>
      <c r="K130" s="48"/>
    </row>
    <row r="131">
      <c r="A131" s="100"/>
      <c r="B131" s="48"/>
      <c r="C131" s="11"/>
      <c r="D131" s="49"/>
      <c r="E131" s="11"/>
      <c r="F131" s="48"/>
      <c r="G131" s="48"/>
      <c r="H131" s="48"/>
      <c r="I131" s="48"/>
      <c r="J131" s="48"/>
      <c r="K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</row>
    <row r="100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</row>
  </sheetData>
  <conditionalFormatting sqref="A1:T1">
    <cfRule type="notContainsBlanks" dxfId="0" priority="1">
      <formula>LEN(TRIM(A1))&gt;0</formula>
    </cfRule>
  </conditionalFormatting>
  <hyperlinks>
    <hyperlink r:id="rId1" ref="J2"/>
    <hyperlink r:id="rId2" ref="H3"/>
    <hyperlink r:id="rId3" ref="J4"/>
    <hyperlink r:id="rId4" ref="J5"/>
    <hyperlink r:id="rId5" ref="H6"/>
    <hyperlink r:id="rId6" ref="J6"/>
    <hyperlink r:id="rId7" ref="H7"/>
    <hyperlink r:id="rId8" ref="J8"/>
    <hyperlink r:id="rId9" ref="H9"/>
    <hyperlink r:id="rId10" ref="J9"/>
    <hyperlink r:id="rId11" ref="H10"/>
    <hyperlink r:id="rId12" ref="J10"/>
    <hyperlink r:id="rId13" ref="J11"/>
    <hyperlink r:id="rId14" ref="H12"/>
    <hyperlink r:id="rId15" ref="H13"/>
    <hyperlink r:id="rId16" ref="J14"/>
    <hyperlink r:id="rId17" ref="H15"/>
    <hyperlink r:id="rId18" ref="J16"/>
    <hyperlink r:id="rId19" ref="J17"/>
    <hyperlink r:id="rId20" ref="H18"/>
    <hyperlink r:id="rId21" ref="J18"/>
    <hyperlink r:id="rId22" ref="H19"/>
    <hyperlink r:id="rId23" ref="I19"/>
    <hyperlink r:id="rId24" ref="J19"/>
    <hyperlink r:id="rId25" ref="H20"/>
    <hyperlink r:id="rId26" ref="I20"/>
    <hyperlink r:id="rId27" ref="H21"/>
    <hyperlink r:id="rId28" ref="J22"/>
    <hyperlink r:id="rId29" ref="H23"/>
    <hyperlink r:id="rId30" ref="H24"/>
    <hyperlink r:id="rId31" ref="J24"/>
    <hyperlink r:id="rId32" ref="J25"/>
    <hyperlink r:id="rId33" ref="H26"/>
    <hyperlink r:id="rId34" ref="J27"/>
    <hyperlink r:id="rId35" ref="H28"/>
    <hyperlink r:id="rId36" ref="J29"/>
    <hyperlink r:id="rId37" ref="H30"/>
    <hyperlink r:id="rId38" ref="J30"/>
    <hyperlink r:id="rId39" ref="J31"/>
    <hyperlink r:id="rId40" ref="J32"/>
    <hyperlink r:id="rId41" ref="J33"/>
    <hyperlink r:id="rId42" ref="H34"/>
    <hyperlink r:id="rId43" ref="I34"/>
    <hyperlink r:id="rId44" ref="J35"/>
    <hyperlink r:id="rId45" ref="J36"/>
    <hyperlink r:id="rId46" ref="L79"/>
    <hyperlink r:id="rId47" ref="L82"/>
    <hyperlink r:id="rId48" ref="M89"/>
  </hyperlinks>
  <drawing r:id="rId49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2" width="7.5"/>
    <col customWidth="1" min="4" max="4" width="9.38"/>
    <col customWidth="1" min="5" max="5" width="8.13"/>
    <col customWidth="1" min="6" max="6" width="3.13"/>
    <col customWidth="1" min="7" max="7" width="4.63"/>
    <col customWidth="1" min="8" max="8" width="49.38"/>
    <col customWidth="1" min="9" max="9" width="30.25"/>
    <col customWidth="1" min="10" max="10" width="44.88"/>
  </cols>
  <sheetData>
    <row r="1">
      <c r="A1" s="8" t="s">
        <v>19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3567</v>
      </c>
      <c r="K1" s="4" t="s">
        <v>10</v>
      </c>
      <c r="L1" s="4" t="s">
        <v>3568</v>
      </c>
      <c r="M1" s="4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</row>
    <row r="2">
      <c r="A2" s="10">
        <v>26363.0</v>
      </c>
      <c r="B2" s="7"/>
      <c r="C2" s="11" t="s">
        <v>1378</v>
      </c>
      <c r="D2" s="8" t="s">
        <v>15364</v>
      </c>
      <c r="E2" s="8" t="s">
        <v>15365</v>
      </c>
      <c r="G2" s="382" t="s">
        <v>4926</v>
      </c>
      <c r="H2" s="12" t="s">
        <v>15366</v>
      </c>
      <c r="I2" s="12" t="s">
        <v>15367</v>
      </c>
    </row>
    <row r="3">
      <c r="A3" s="37">
        <v>26362.0</v>
      </c>
      <c r="C3" s="11" t="s">
        <v>7584</v>
      </c>
      <c r="D3" s="8" t="s">
        <v>15364</v>
      </c>
      <c r="E3" s="8" t="s">
        <v>15365</v>
      </c>
      <c r="G3" s="382" t="s">
        <v>4926</v>
      </c>
      <c r="H3" s="12" t="s">
        <v>15368</v>
      </c>
      <c r="I3" s="12" t="s">
        <v>15369</v>
      </c>
    </row>
    <row r="4">
      <c r="A4" s="37">
        <v>26360.0</v>
      </c>
      <c r="C4" s="11" t="s">
        <v>4572</v>
      </c>
      <c r="D4" s="8" t="s">
        <v>15364</v>
      </c>
      <c r="E4" s="8" t="s">
        <v>15365</v>
      </c>
      <c r="G4" s="382" t="s">
        <v>4926</v>
      </c>
      <c r="H4" s="12" t="s">
        <v>15370</v>
      </c>
      <c r="I4" s="12" t="s">
        <v>15371</v>
      </c>
    </row>
    <row r="5">
      <c r="A5" s="37">
        <v>25023.0</v>
      </c>
      <c r="C5" s="11" t="s">
        <v>5894</v>
      </c>
      <c r="D5" s="8" t="s">
        <v>15364</v>
      </c>
      <c r="E5" s="8" t="s">
        <v>15372</v>
      </c>
      <c r="G5" s="382" t="s">
        <v>4926</v>
      </c>
      <c r="H5" s="12" t="s">
        <v>15373</v>
      </c>
      <c r="J5" s="12" t="s">
        <v>11742</v>
      </c>
    </row>
    <row r="6">
      <c r="A6" s="37">
        <v>25022.0</v>
      </c>
      <c r="C6" s="11" t="s">
        <v>13805</v>
      </c>
      <c r="D6" s="8" t="s">
        <v>15364</v>
      </c>
      <c r="E6" s="8" t="s">
        <v>15372</v>
      </c>
      <c r="G6" s="382" t="s">
        <v>4926</v>
      </c>
      <c r="J6" s="12" t="s">
        <v>15374</v>
      </c>
    </row>
    <row r="7">
      <c r="A7" s="37">
        <v>25021.0</v>
      </c>
      <c r="C7" s="11" t="s">
        <v>15375</v>
      </c>
      <c r="D7" s="8" t="s">
        <v>15364</v>
      </c>
      <c r="E7" s="8" t="s">
        <v>15372</v>
      </c>
      <c r="G7" s="382" t="s">
        <v>4926</v>
      </c>
      <c r="H7" s="12" t="s">
        <v>15376</v>
      </c>
      <c r="J7" s="12" t="s">
        <v>15377</v>
      </c>
    </row>
    <row r="8">
      <c r="A8" s="37">
        <v>25019.0</v>
      </c>
      <c r="C8" s="11" t="s">
        <v>8289</v>
      </c>
      <c r="D8" s="8" t="s">
        <v>15364</v>
      </c>
      <c r="E8" s="8" t="s">
        <v>15365</v>
      </c>
      <c r="G8" s="382" t="s">
        <v>4926</v>
      </c>
      <c r="H8" s="12" t="s">
        <v>15378</v>
      </c>
    </row>
    <row r="9">
      <c r="A9" s="37">
        <v>24958.0</v>
      </c>
      <c r="C9" s="11" t="s">
        <v>3209</v>
      </c>
      <c r="D9" s="8" t="s">
        <v>15364</v>
      </c>
      <c r="E9" s="8" t="s">
        <v>15372</v>
      </c>
      <c r="G9" s="382" t="s">
        <v>4926</v>
      </c>
      <c r="J9" s="12" t="s">
        <v>15379</v>
      </c>
    </row>
    <row r="10">
      <c r="C10" s="11" t="s">
        <v>7034</v>
      </c>
      <c r="D10" s="8" t="s">
        <v>15364</v>
      </c>
      <c r="E10" s="8" t="s">
        <v>15365</v>
      </c>
      <c r="G10" s="382" t="s">
        <v>4926</v>
      </c>
      <c r="J10" s="12" t="s">
        <v>15380</v>
      </c>
    </row>
    <row r="11">
      <c r="A11" s="37">
        <v>22210.0</v>
      </c>
      <c r="C11" s="11" t="s">
        <v>3861</v>
      </c>
      <c r="D11" s="8" t="s">
        <v>15364</v>
      </c>
      <c r="E11" s="8" t="s">
        <v>15381</v>
      </c>
      <c r="G11" s="382" t="s">
        <v>4926</v>
      </c>
      <c r="J11" s="12" t="s">
        <v>15382</v>
      </c>
    </row>
    <row r="12">
      <c r="A12" s="37">
        <v>21008.0</v>
      </c>
      <c r="C12" s="11" t="s">
        <v>15383</v>
      </c>
      <c r="D12" s="8" t="s">
        <v>15364</v>
      </c>
      <c r="E12" s="8" t="s">
        <v>15384</v>
      </c>
      <c r="G12" s="382" t="s">
        <v>4926</v>
      </c>
      <c r="H12" s="12" t="s">
        <v>15385</v>
      </c>
      <c r="J12" s="12" t="s">
        <v>15386</v>
      </c>
    </row>
    <row r="13">
      <c r="A13" s="37">
        <v>17851.0</v>
      </c>
      <c r="C13" s="11" t="s">
        <v>4033</v>
      </c>
      <c r="D13" s="8" t="s">
        <v>15364</v>
      </c>
      <c r="E13" s="8" t="s">
        <v>13803</v>
      </c>
      <c r="G13" s="382" t="s">
        <v>4926</v>
      </c>
      <c r="J13" s="12" t="s">
        <v>15387</v>
      </c>
    </row>
    <row r="14">
      <c r="A14" s="37">
        <v>11293.0</v>
      </c>
      <c r="C14" s="11" t="s">
        <v>1360</v>
      </c>
      <c r="D14" s="8" t="s">
        <v>15364</v>
      </c>
      <c r="E14" s="8" t="s">
        <v>13803</v>
      </c>
      <c r="H14" s="12" t="s">
        <v>15388</v>
      </c>
      <c r="J14" s="12" t="s">
        <v>15389</v>
      </c>
    </row>
    <row r="15">
      <c r="A15" s="37">
        <v>11262.0</v>
      </c>
      <c r="C15" s="11" t="s">
        <v>763</v>
      </c>
      <c r="D15" s="8" t="s">
        <v>15364</v>
      </c>
      <c r="E15" s="8" t="s">
        <v>13803</v>
      </c>
      <c r="J15" s="12" t="s">
        <v>15390</v>
      </c>
    </row>
    <row r="16">
      <c r="A16" s="37">
        <v>11242.0</v>
      </c>
      <c r="C16" s="11" t="s">
        <v>4025</v>
      </c>
      <c r="D16" s="8" t="s">
        <v>15364</v>
      </c>
      <c r="E16" s="8" t="s">
        <v>13803</v>
      </c>
      <c r="H16" s="12" t="s">
        <v>15391</v>
      </c>
      <c r="I16" s="12" t="s">
        <v>15392</v>
      </c>
    </row>
    <row r="17">
      <c r="A17" s="37">
        <v>11211.0</v>
      </c>
      <c r="C17" s="11" t="s">
        <v>74</v>
      </c>
      <c r="D17" s="8" t="s">
        <v>15364</v>
      </c>
      <c r="E17" s="8" t="s">
        <v>15365</v>
      </c>
      <c r="H17" s="12" t="s">
        <v>15393</v>
      </c>
    </row>
    <row r="18">
      <c r="A18" s="37">
        <v>11186.0</v>
      </c>
      <c r="C18" s="11" t="s">
        <v>74</v>
      </c>
      <c r="D18" s="8" t="s">
        <v>15364</v>
      </c>
      <c r="E18" s="8" t="s">
        <v>13803</v>
      </c>
      <c r="H18" s="12" t="s">
        <v>15394</v>
      </c>
    </row>
    <row r="19">
      <c r="A19" s="37">
        <v>11149.0</v>
      </c>
      <c r="C19" s="11" t="s">
        <v>5615</v>
      </c>
      <c r="D19" s="8" t="s">
        <v>15364</v>
      </c>
      <c r="E19" s="8" t="s">
        <v>15365</v>
      </c>
      <c r="H19" s="12" t="s">
        <v>15395</v>
      </c>
      <c r="I19" s="284" t="s">
        <v>15396</v>
      </c>
    </row>
    <row r="20">
      <c r="B20" s="8" t="s">
        <v>20</v>
      </c>
      <c r="C20" s="8" t="s">
        <v>15397</v>
      </c>
      <c r="D20" s="8" t="s">
        <v>15364</v>
      </c>
      <c r="E20" s="8" t="s">
        <v>15398</v>
      </c>
      <c r="I20" s="383"/>
      <c r="J20" s="12" t="s">
        <v>15399</v>
      </c>
    </row>
    <row r="21">
      <c r="B21" s="8" t="s">
        <v>276</v>
      </c>
      <c r="C21" s="8" t="s">
        <v>15372</v>
      </c>
      <c r="D21" s="8" t="s">
        <v>15364</v>
      </c>
      <c r="E21" s="8" t="s">
        <v>15372</v>
      </c>
      <c r="J21" s="12" t="s">
        <v>15400</v>
      </c>
    </row>
    <row r="22">
      <c r="B22" s="8" t="s">
        <v>20</v>
      </c>
      <c r="C22" s="8" t="s">
        <v>939</v>
      </c>
      <c r="D22" s="8" t="s">
        <v>15364</v>
      </c>
      <c r="E22" s="8" t="s">
        <v>15365</v>
      </c>
      <c r="H22" s="12" t="s">
        <v>15401</v>
      </c>
      <c r="I22" s="12" t="s">
        <v>15402</v>
      </c>
    </row>
    <row r="23">
      <c r="B23" s="8" t="s">
        <v>20</v>
      </c>
      <c r="C23" s="8" t="s">
        <v>74</v>
      </c>
      <c r="D23" s="8" t="s">
        <v>15364</v>
      </c>
      <c r="E23" s="8" t="s">
        <v>13803</v>
      </c>
      <c r="J23" s="12" t="s">
        <v>15403</v>
      </c>
    </row>
    <row r="24">
      <c r="B24" s="8" t="s">
        <v>20</v>
      </c>
      <c r="C24" s="8" t="s">
        <v>4033</v>
      </c>
      <c r="D24" s="8" t="s">
        <v>15364</v>
      </c>
      <c r="E24" s="8" t="s">
        <v>13803</v>
      </c>
      <c r="I24" s="12" t="s">
        <v>15404</v>
      </c>
    </row>
    <row r="25">
      <c r="B25" s="8" t="s">
        <v>20</v>
      </c>
      <c r="C25" s="8" t="s">
        <v>763</v>
      </c>
      <c r="D25" s="8" t="s">
        <v>15364</v>
      </c>
      <c r="E25" s="8" t="s">
        <v>15364</v>
      </c>
      <c r="H25" s="12" t="s">
        <v>15405</v>
      </c>
    </row>
    <row r="26">
      <c r="B26" s="8" t="s">
        <v>276</v>
      </c>
      <c r="C26" s="8" t="s">
        <v>15372</v>
      </c>
      <c r="D26" s="8" t="s">
        <v>15364</v>
      </c>
      <c r="E26" s="8" t="s">
        <v>15372</v>
      </c>
      <c r="H26" s="12" t="s">
        <v>15406</v>
      </c>
    </row>
    <row r="27">
      <c r="B27" s="8" t="s">
        <v>20</v>
      </c>
      <c r="C27" s="11" t="s">
        <v>760</v>
      </c>
      <c r="D27" s="8" t="s">
        <v>15364</v>
      </c>
      <c r="E27" s="8" t="s">
        <v>15365</v>
      </c>
      <c r="H27" s="12" t="s">
        <v>15407</v>
      </c>
    </row>
    <row r="28">
      <c r="B28" s="8" t="s">
        <v>720</v>
      </c>
      <c r="C28" s="8" t="s">
        <v>15408</v>
      </c>
      <c r="D28" s="8" t="s">
        <v>15364</v>
      </c>
      <c r="E28" s="8" t="s">
        <v>15365</v>
      </c>
      <c r="H28" s="12" t="s">
        <v>15409</v>
      </c>
    </row>
    <row r="29">
      <c r="B29" s="8" t="s">
        <v>20</v>
      </c>
      <c r="C29" s="8" t="s">
        <v>3209</v>
      </c>
      <c r="D29" s="8" t="s">
        <v>15364</v>
      </c>
      <c r="E29" s="8" t="s">
        <v>15372</v>
      </c>
      <c r="J29" s="12" t="s">
        <v>15379</v>
      </c>
    </row>
    <row r="30">
      <c r="B30" s="8" t="s">
        <v>20</v>
      </c>
      <c r="D30" s="8" t="s">
        <v>15364</v>
      </c>
    </row>
    <row r="31">
      <c r="B31" s="8" t="s">
        <v>20</v>
      </c>
      <c r="D31" s="8" t="s">
        <v>15364</v>
      </c>
    </row>
    <row r="32">
      <c r="B32" s="8" t="s">
        <v>20</v>
      </c>
      <c r="D32" s="8" t="s">
        <v>15364</v>
      </c>
    </row>
    <row r="33">
      <c r="B33" s="8" t="s">
        <v>20</v>
      </c>
      <c r="D33" s="8" t="s">
        <v>15364</v>
      </c>
    </row>
    <row r="34">
      <c r="B34" s="8" t="s">
        <v>20</v>
      </c>
      <c r="D34" s="8" t="s">
        <v>15364</v>
      </c>
    </row>
    <row r="35">
      <c r="B35" s="8" t="s">
        <v>20</v>
      </c>
      <c r="D35" s="8" t="s">
        <v>15364</v>
      </c>
    </row>
    <row r="36">
      <c r="B36" s="8" t="s">
        <v>20</v>
      </c>
      <c r="D36" s="8" t="s">
        <v>15364</v>
      </c>
    </row>
    <row r="37">
      <c r="B37" s="8" t="s">
        <v>20</v>
      </c>
      <c r="D37" s="8" t="s">
        <v>15364</v>
      </c>
    </row>
  </sheetData>
  <conditionalFormatting sqref="A1:T1">
    <cfRule type="notContainsBlanks" dxfId="0" priority="1">
      <formula>LEN(TRIM(A1))&gt;0</formula>
    </cfRule>
  </conditionalFormatting>
  <hyperlinks>
    <hyperlink r:id="rId1" ref="H2"/>
    <hyperlink r:id="rId2" ref="I2"/>
    <hyperlink r:id="rId3" ref="H3"/>
    <hyperlink r:id="rId4" ref="I3"/>
    <hyperlink r:id="rId5" ref="H4"/>
    <hyperlink r:id="rId6" ref="I4"/>
    <hyperlink r:id="rId7" ref="H5"/>
    <hyperlink r:id="rId8" ref="J5"/>
    <hyperlink r:id="rId9" ref="J6"/>
    <hyperlink r:id="rId10" ref="H7"/>
    <hyperlink r:id="rId11" ref="J7"/>
    <hyperlink r:id="rId12" ref="H8"/>
    <hyperlink r:id="rId13" ref="J9"/>
    <hyperlink r:id="rId14" ref="J10"/>
    <hyperlink r:id="rId15" ref="J11"/>
    <hyperlink r:id="rId16" ref="H12"/>
    <hyperlink r:id="rId17" ref="J12"/>
    <hyperlink r:id="rId18" ref="J13"/>
    <hyperlink r:id="rId19" ref="H14"/>
    <hyperlink r:id="rId20" ref="J14"/>
    <hyperlink r:id="rId21" ref="J15"/>
    <hyperlink r:id="rId22" ref="H16"/>
    <hyperlink r:id="rId23" ref="I16"/>
    <hyperlink r:id="rId24" ref="H17"/>
    <hyperlink r:id="rId25" ref="H18"/>
    <hyperlink r:id="rId26" ref="H19"/>
    <hyperlink r:id="rId27" ref="I19"/>
    <hyperlink r:id="rId28" ref="J20"/>
    <hyperlink r:id="rId29" ref="J21"/>
    <hyperlink r:id="rId30" ref="H22"/>
    <hyperlink r:id="rId31" ref="I22"/>
    <hyperlink r:id="rId32" ref="J23"/>
    <hyperlink r:id="rId33" ref="I24"/>
    <hyperlink r:id="rId34" ref="H25"/>
    <hyperlink r:id="rId35" ref="H26"/>
    <hyperlink r:id="rId36" ref="H27"/>
    <hyperlink r:id="rId37" ref="H28"/>
    <hyperlink r:id="rId38" ref="J29"/>
  </hyperlinks>
  <drawing r:id="rId39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7.0"/>
    <col customWidth="1" min="2" max="2" width="5.25"/>
    <col customWidth="1" min="3" max="3" width="18.13"/>
    <col customWidth="1" min="4" max="4" width="7.38"/>
    <col customWidth="1" min="5" max="5" width="5.88"/>
    <col customWidth="1" min="6" max="6" width="5.38"/>
    <col customWidth="1" min="7" max="7" width="5.63"/>
    <col customWidth="1" min="8" max="8" width="37.63"/>
  </cols>
  <sheetData>
    <row r="1">
      <c r="A1" s="8" t="s">
        <v>19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3567</v>
      </c>
      <c r="K1" s="4" t="s">
        <v>10</v>
      </c>
      <c r="L1" s="4" t="s">
        <v>3568</v>
      </c>
      <c r="M1" s="4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</row>
    <row r="2">
      <c r="A2" s="7"/>
      <c r="B2" s="7" t="s">
        <v>4322</v>
      </c>
      <c r="C2" s="7" t="s">
        <v>690</v>
      </c>
      <c r="D2" s="8" t="s">
        <v>15410</v>
      </c>
      <c r="E2" s="8" t="s">
        <v>15411</v>
      </c>
      <c r="J2" s="12" t="s">
        <v>15412</v>
      </c>
    </row>
    <row r="3">
      <c r="B3" s="8" t="s">
        <v>1518</v>
      </c>
      <c r="C3" s="8" t="s">
        <v>698</v>
      </c>
      <c r="D3" s="8" t="s">
        <v>15410</v>
      </c>
      <c r="E3" s="8" t="s">
        <v>15411</v>
      </c>
      <c r="J3" s="12" t="s">
        <v>15413</v>
      </c>
    </row>
  </sheetData>
  <conditionalFormatting sqref="A1:T1">
    <cfRule type="notContainsBlanks" dxfId="0" priority="1">
      <formula>LEN(TRIM(A1))&gt;0</formula>
    </cfRule>
  </conditionalFormatting>
  <hyperlinks>
    <hyperlink r:id="rId1" ref="J2"/>
    <hyperlink r:id="rId2" ref="J3"/>
  </hyperlinks>
  <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25"/>
    <col customWidth="1" min="2" max="2" width="8.25"/>
    <col customWidth="1" min="7" max="7" width="3.0"/>
    <col customWidth="1" min="8" max="8" width="53.88"/>
    <col customWidth="1" min="9" max="9" width="30.5"/>
    <col customWidth="1" min="10" max="10" width="39.75"/>
    <col customWidth="1" min="12" max="12" width="3.88"/>
    <col customWidth="1" min="13" max="13" width="7.25"/>
    <col customWidth="1" min="14" max="14" width="4.38"/>
    <col customWidth="1" min="15" max="15" width="4.5"/>
    <col customWidth="1" min="16" max="16" width="4.13"/>
    <col customWidth="1" min="17" max="17" width="5.13"/>
    <col customWidth="1" min="18" max="18" width="4.25"/>
    <col customWidth="1" min="19" max="19" width="4.5"/>
  </cols>
  <sheetData>
    <row r="1" ht="17.25" customHeight="1">
      <c r="A1" s="4" t="s">
        <v>19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>
      <c r="B2" s="8" t="s">
        <v>20</v>
      </c>
      <c r="C2" s="8" t="s">
        <v>15414</v>
      </c>
      <c r="D2" s="8" t="s">
        <v>56</v>
      </c>
      <c r="E2" s="8" t="s">
        <v>15415</v>
      </c>
      <c r="J2" s="12" t="s">
        <v>15416</v>
      </c>
    </row>
    <row r="3">
      <c r="B3" s="8" t="s">
        <v>20</v>
      </c>
      <c r="C3" s="8" t="s">
        <v>15417</v>
      </c>
      <c r="D3" s="8" t="s">
        <v>56</v>
      </c>
      <c r="E3" s="8" t="s">
        <v>15418</v>
      </c>
      <c r="J3" s="12" t="s">
        <v>15419</v>
      </c>
    </row>
    <row r="4">
      <c r="B4" s="8" t="s">
        <v>20</v>
      </c>
      <c r="C4" s="8" t="s">
        <v>15420</v>
      </c>
      <c r="D4" s="8" t="s">
        <v>56</v>
      </c>
      <c r="E4" s="8" t="s">
        <v>15415</v>
      </c>
      <c r="H4" s="9" t="s">
        <v>15421</v>
      </c>
      <c r="I4" s="12" t="s">
        <v>15422</v>
      </c>
      <c r="J4" s="12" t="s">
        <v>15423</v>
      </c>
    </row>
    <row r="5">
      <c r="B5" s="8" t="s">
        <v>20</v>
      </c>
      <c r="C5" s="8" t="s">
        <v>6708</v>
      </c>
      <c r="D5" s="8" t="s">
        <v>56</v>
      </c>
      <c r="E5" s="8" t="s">
        <v>15415</v>
      </c>
      <c r="J5" s="12" t="s">
        <v>15424</v>
      </c>
    </row>
    <row r="6">
      <c r="B6" s="8" t="s">
        <v>276</v>
      </c>
      <c r="C6" s="8" t="s">
        <v>15425</v>
      </c>
      <c r="D6" s="8" t="s">
        <v>56</v>
      </c>
      <c r="E6" s="8" t="s">
        <v>15426</v>
      </c>
      <c r="J6" s="12" t="s">
        <v>15427</v>
      </c>
    </row>
    <row r="7">
      <c r="B7" s="8" t="s">
        <v>20</v>
      </c>
      <c r="C7" s="8" t="s">
        <v>3178</v>
      </c>
      <c r="D7" s="8" t="s">
        <v>56</v>
      </c>
      <c r="E7" s="8" t="s">
        <v>15415</v>
      </c>
      <c r="J7" s="12" t="s">
        <v>15428</v>
      </c>
    </row>
    <row r="8">
      <c r="B8" s="8" t="s">
        <v>20</v>
      </c>
      <c r="C8" s="8" t="s">
        <v>13252</v>
      </c>
      <c r="D8" s="8" t="s">
        <v>56</v>
      </c>
      <c r="E8" s="8" t="s">
        <v>15429</v>
      </c>
      <c r="J8" s="12" t="s">
        <v>15430</v>
      </c>
    </row>
    <row r="9">
      <c r="B9" s="8" t="s">
        <v>20</v>
      </c>
      <c r="C9" s="8" t="s">
        <v>15431</v>
      </c>
      <c r="D9" s="8" t="s">
        <v>56</v>
      </c>
      <c r="E9" s="8" t="s">
        <v>15432</v>
      </c>
      <c r="J9" s="12" t="s">
        <v>15433</v>
      </c>
    </row>
    <row r="10">
      <c r="B10" s="8" t="s">
        <v>276</v>
      </c>
      <c r="C10" s="8" t="s">
        <v>15434</v>
      </c>
      <c r="D10" s="8" t="s">
        <v>56</v>
      </c>
      <c r="E10" s="8" t="s">
        <v>15435</v>
      </c>
      <c r="J10" s="12" t="s">
        <v>15436</v>
      </c>
    </row>
    <row r="11">
      <c r="B11" s="8" t="s">
        <v>20</v>
      </c>
      <c r="C11" s="8" t="s">
        <v>794</v>
      </c>
      <c r="D11" s="8" t="s">
        <v>56</v>
      </c>
      <c r="E11" s="8" t="s">
        <v>15415</v>
      </c>
      <c r="J11" s="12" t="s">
        <v>15437</v>
      </c>
    </row>
    <row r="12">
      <c r="B12" s="8" t="s">
        <v>20</v>
      </c>
      <c r="C12" s="8" t="s">
        <v>122</v>
      </c>
      <c r="D12" s="8" t="s">
        <v>56</v>
      </c>
      <c r="E12" s="8" t="s">
        <v>57</v>
      </c>
      <c r="J12" s="12" t="s">
        <v>15438</v>
      </c>
    </row>
    <row r="13">
      <c r="B13" s="8" t="s">
        <v>20</v>
      </c>
      <c r="C13" s="8" t="s">
        <v>7012</v>
      </c>
      <c r="D13" s="8" t="s">
        <v>56</v>
      </c>
      <c r="E13" s="8" t="s">
        <v>15415</v>
      </c>
      <c r="H13" s="12" t="s">
        <v>15439</v>
      </c>
    </row>
    <row r="14">
      <c r="B14" s="8" t="s">
        <v>20</v>
      </c>
      <c r="C14" s="8" t="s">
        <v>15440</v>
      </c>
      <c r="D14" s="8" t="s">
        <v>56</v>
      </c>
      <c r="E14" s="8" t="s">
        <v>15415</v>
      </c>
      <c r="H14" s="12" t="s">
        <v>15441</v>
      </c>
      <c r="I14" s="12" t="s">
        <v>15442</v>
      </c>
    </row>
    <row r="15">
      <c r="B15" s="8" t="s">
        <v>20</v>
      </c>
      <c r="D15" s="8" t="s">
        <v>56</v>
      </c>
    </row>
    <row r="16">
      <c r="B16" s="8" t="s">
        <v>20</v>
      </c>
      <c r="D16" s="8" t="s">
        <v>56</v>
      </c>
    </row>
    <row r="17">
      <c r="B17" s="8" t="s">
        <v>20</v>
      </c>
      <c r="D17" s="8" t="s">
        <v>56</v>
      </c>
    </row>
    <row r="18">
      <c r="B18" s="8" t="s">
        <v>20</v>
      </c>
      <c r="D18" s="8" t="s">
        <v>56</v>
      </c>
    </row>
    <row r="19">
      <c r="B19" s="8" t="s">
        <v>20</v>
      </c>
      <c r="D19" s="8" t="s">
        <v>56</v>
      </c>
    </row>
    <row r="20">
      <c r="B20" s="8" t="s">
        <v>20</v>
      </c>
      <c r="D20" s="8" t="s">
        <v>56</v>
      </c>
    </row>
    <row r="21">
      <c r="B21" s="8" t="s">
        <v>20</v>
      </c>
      <c r="D21" s="8" t="s">
        <v>56</v>
      </c>
    </row>
    <row r="22">
      <c r="B22" s="8" t="s">
        <v>20</v>
      </c>
      <c r="D22" s="8" t="s">
        <v>56</v>
      </c>
    </row>
    <row r="23">
      <c r="B23" s="8" t="s">
        <v>20</v>
      </c>
      <c r="D23" s="8" t="s">
        <v>56</v>
      </c>
    </row>
    <row r="24">
      <c r="B24" s="8" t="s">
        <v>20</v>
      </c>
      <c r="D24" s="8" t="s">
        <v>56</v>
      </c>
    </row>
    <row r="25">
      <c r="B25" s="8" t="s">
        <v>20</v>
      </c>
      <c r="D25" s="8" t="s">
        <v>56</v>
      </c>
    </row>
    <row r="26">
      <c r="B26" s="8" t="s">
        <v>20</v>
      </c>
      <c r="D26" s="8" t="s">
        <v>56</v>
      </c>
    </row>
    <row r="27">
      <c r="B27" s="8" t="s">
        <v>20</v>
      </c>
      <c r="D27" s="8" t="s">
        <v>56</v>
      </c>
    </row>
    <row r="28">
      <c r="B28" s="8" t="s">
        <v>20</v>
      </c>
      <c r="D28" s="8" t="s">
        <v>56</v>
      </c>
    </row>
    <row r="29">
      <c r="B29" s="8" t="s">
        <v>20</v>
      </c>
      <c r="D29" s="8" t="s">
        <v>56</v>
      </c>
    </row>
    <row r="30">
      <c r="B30" s="8" t="s">
        <v>20</v>
      </c>
      <c r="D30" s="8" t="s">
        <v>56</v>
      </c>
    </row>
    <row r="31">
      <c r="B31" s="8" t="s">
        <v>20</v>
      </c>
      <c r="D31" s="8" t="s">
        <v>56</v>
      </c>
    </row>
    <row r="32">
      <c r="B32" s="8" t="s">
        <v>20</v>
      </c>
      <c r="D32" s="8" t="s">
        <v>56</v>
      </c>
    </row>
    <row r="33">
      <c r="B33" s="8" t="s">
        <v>20</v>
      </c>
      <c r="D33" s="8" t="s">
        <v>56</v>
      </c>
    </row>
    <row r="34">
      <c r="B34" s="8" t="s">
        <v>20</v>
      </c>
      <c r="D34" s="8" t="s">
        <v>56</v>
      </c>
    </row>
    <row r="35">
      <c r="B35" s="8" t="s">
        <v>20</v>
      </c>
      <c r="D35" s="8" t="s">
        <v>56</v>
      </c>
    </row>
    <row r="36">
      <c r="B36" s="8" t="s">
        <v>20</v>
      </c>
      <c r="D36" s="8" t="s">
        <v>56</v>
      </c>
    </row>
  </sheetData>
  <conditionalFormatting sqref="A1:AD1">
    <cfRule type="notContainsBlanks" dxfId="0" priority="1">
      <formula>LEN(TRIM(A1))&gt;0</formula>
    </cfRule>
  </conditionalFormatting>
  <hyperlinks>
    <hyperlink r:id="rId1" ref="J2"/>
    <hyperlink r:id="rId2" ref="J3"/>
    <hyperlink r:id="rId3" ref="H4"/>
    <hyperlink r:id="rId4" ref="I4"/>
    <hyperlink r:id="rId5" ref="J4"/>
    <hyperlink r:id="rId6" ref="J5"/>
    <hyperlink r:id="rId7" ref="J6"/>
    <hyperlink r:id="rId8" ref="J7"/>
    <hyperlink r:id="rId9" ref="J8"/>
    <hyperlink r:id="rId10" ref="J9"/>
    <hyperlink r:id="rId11" ref="J10"/>
    <hyperlink r:id="rId12" ref="J11"/>
    <hyperlink r:id="rId13" ref="J12"/>
    <hyperlink r:id="rId14" ref="H13"/>
    <hyperlink r:id="rId15" ref="H14"/>
    <hyperlink r:id="rId16" ref="I14"/>
  </hyperlinks>
  <drawing r:id="rId17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0.13"/>
    <col customWidth="1" min="2" max="2" width="10.5"/>
    <col customWidth="1" min="3" max="3" width="16.88"/>
    <col customWidth="1" min="4" max="4" width="11.38"/>
    <col customWidth="1" min="5" max="5" width="14.63"/>
    <col customWidth="1" min="6" max="7" width="4.13"/>
    <col customWidth="1" min="8" max="8" width="36.88"/>
    <col customWidth="1" min="9" max="9" width="22.25"/>
    <col customWidth="1" min="10" max="10" width="24.63"/>
    <col customWidth="1" min="11" max="11" width="4.88"/>
    <col customWidth="1" min="12" max="12" width="3.88"/>
    <col customWidth="1" min="13" max="13" width="7.25"/>
    <col customWidth="1" min="14" max="14" width="4.38"/>
    <col customWidth="1" min="15" max="15" width="4.5"/>
    <col customWidth="1" min="16" max="16" width="4.13"/>
    <col customWidth="1" min="17" max="17" width="5.13"/>
    <col customWidth="1" min="18" max="18" width="4.25"/>
    <col customWidth="1" min="19" max="19" width="4.5"/>
  </cols>
  <sheetData>
    <row r="1" ht="17.25" customHeight="1">
      <c r="A1" s="8" t="s">
        <v>19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>
      <c r="B2" s="8" t="s">
        <v>20</v>
      </c>
      <c r="C2" s="8" t="s">
        <v>2478</v>
      </c>
      <c r="D2" s="8" t="s">
        <v>15443</v>
      </c>
      <c r="H2" s="12" t="s">
        <v>15444</v>
      </c>
    </row>
    <row r="3">
      <c r="A3" s="37">
        <v>32527.0</v>
      </c>
      <c r="B3" s="8" t="s">
        <v>20</v>
      </c>
      <c r="C3" s="11" t="s">
        <v>763</v>
      </c>
      <c r="D3" s="8" t="s">
        <v>15443</v>
      </c>
      <c r="H3" s="12" t="s">
        <v>15445</v>
      </c>
      <c r="I3" s="12" t="s">
        <v>15446</v>
      </c>
    </row>
    <row r="4">
      <c r="A4" s="37">
        <v>32523.0</v>
      </c>
      <c r="B4" s="8" t="s">
        <v>20</v>
      </c>
      <c r="C4" s="11" t="s">
        <v>1108</v>
      </c>
      <c r="D4" s="8" t="s">
        <v>15443</v>
      </c>
      <c r="H4" s="12" t="s">
        <v>15447</v>
      </c>
    </row>
    <row r="5">
      <c r="A5" s="37">
        <v>32522.0</v>
      </c>
      <c r="B5" s="8" t="s">
        <v>20</v>
      </c>
      <c r="C5" s="11" t="s">
        <v>15448</v>
      </c>
      <c r="D5" s="8" t="s">
        <v>15443</v>
      </c>
      <c r="H5" s="12" t="s">
        <v>15449</v>
      </c>
    </row>
    <row r="6">
      <c r="A6" s="37">
        <v>32521.0</v>
      </c>
      <c r="B6" s="8" t="s">
        <v>20</v>
      </c>
      <c r="C6" s="11" t="s">
        <v>15450</v>
      </c>
      <c r="D6" s="8" t="s">
        <v>15443</v>
      </c>
      <c r="H6" s="12" t="s">
        <v>15451</v>
      </c>
    </row>
    <row r="7">
      <c r="A7" s="37">
        <v>32520.0</v>
      </c>
      <c r="B7" s="8" t="s">
        <v>20</v>
      </c>
      <c r="C7" s="11" t="s">
        <v>641</v>
      </c>
      <c r="D7" s="8" t="s">
        <v>15443</v>
      </c>
      <c r="E7" s="8" t="s">
        <v>15452</v>
      </c>
      <c r="H7" s="12" t="s">
        <v>15453</v>
      </c>
    </row>
    <row r="8">
      <c r="B8" s="8" t="s">
        <v>20</v>
      </c>
      <c r="C8" s="285" t="s">
        <v>15454</v>
      </c>
      <c r="D8" s="8" t="s">
        <v>15443</v>
      </c>
      <c r="E8" s="8" t="s">
        <v>15455</v>
      </c>
      <c r="H8" s="12" t="s">
        <v>15456</v>
      </c>
    </row>
    <row r="9">
      <c r="A9" s="37">
        <v>32518.0</v>
      </c>
      <c r="B9" s="8" t="s">
        <v>20</v>
      </c>
      <c r="C9" s="11" t="s">
        <v>15457</v>
      </c>
      <c r="D9" s="8" t="s">
        <v>15443</v>
      </c>
      <c r="E9" s="8" t="s">
        <v>15455</v>
      </c>
      <c r="H9" s="12" t="s">
        <v>15458</v>
      </c>
    </row>
    <row r="10">
      <c r="A10" s="37">
        <v>32517.0</v>
      </c>
      <c r="B10" s="8" t="s">
        <v>20</v>
      </c>
      <c r="C10" s="285" t="s">
        <v>15459</v>
      </c>
      <c r="D10" s="8" t="s">
        <v>15443</v>
      </c>
      <c r="E10" s="8" t="s">
        <v>15455</v>
      </c>
      <c r="H10" s="12" t="s">
        <v>15460</v>
      </c>
    </row>
    <row r="11">
      <c r="A11" s="37">
        <v>32504.0</v>
      </c>
      <c r="B11" s="8" t="s">
        <v>20</v>
      </c>
      <c r="C11" s="11" t="s">
        <v>15461</v>
      </c>
      <c r="D11" s="8" t="s">
        <v>15443</v>
      </c>
      <c r="E11" s="8" t="s">
        <v>15455</v>
      </c>
      <c r="H11" s="12" t="s">
        <v>15462</v>
      </c>
    </row>
    <row r="12">
      <c r="A12" s="37">
        <v>20845.0</v>
      </c>
      <c r="B12" s="8" t="s">
        <v>20</v>
      </c>
      <c r="C12" s="11" t="s">
        <v>10511</v>
      </c>
      <c r="D12" s="8" t="s">
        <v>15443</v>
      </c>
      <c r="E12" s="8" t="s">
        <v>15455</v>
      </c>
      <c r="H12" s="12" t="s">
        <v>15463</v>
      </c>
    </row>
    <row r="13">
      <c r="A13" s="37">
        <v>20842.0</v>
      </c>
      <c r="B13" s="8" t="s">
        <v>20</v>
      </c>
      <c r="C13" s="11" t="s">
        <v>1439</v>
      </c>
      <c r="D13" s="8" t="s">
        <v>15443</v>
      </c>
      <c r="E13" s="8" t="s">
        <v>15455</v>
      </c>
      <c r="J13" s="12" t="s">
        <v>15464</v>
      </c>
    </row>
    <row r="14">
      <c r="A14" s="37">
        <v>20840.0</v>
      </c>
      <c r="B14" s="8" t="s">
        <v>20</v>
      </c>
      <c r="C14" s="11" t="s">
        <v>15465</v>
      </c>
      <c r="D14" s="8" t="s">
        <v>15443</v>
      </c>
      <c r="E14" s="8" t="s">
        <v>15455</v>
      </c>
      <c r="H14" s="12" t="s">
        <v>15466</v>
      </c>
    </row>
    <row r="15">
      <c r="A15" s="37">
        <v>20839.0</v>
      </c>
      <c r="B15" s="8" t="s">
        <v>20</v>
      </c>
      <c r="C15" s="11" t="s">
        <v>1207</v>
      </c>
      <c r="D15" s="8" t="s">
        <v>15443</v>
      </c>
      <c r="E15" s="8" t="s">
        <v>15455</v>
      </c>
      <c r="J15" s="12" t="s">
        <v>11298</v>
      </c>
    </row>
    <row r="16">
      <c r="A16" s="37">
        <v>20838.0</v>
      </c>
      <c r="B16" s="8" t="s">
        <v>20</v>
      </c>
      <c r="C16" s="11" t="s">
        <v>4182</v>
      </c>
      <c r="D16" s="8" t="s">
        <v>15443</v>
      </c>
      <c r="E16" s="8" t="s">
        <v>15455</v>
      </c>
      <c r="H16" s="12" t="s">
        <v>15467</v>
      </c>
    </row>
    <row r="17">
      <c r="A17" s="37">
        <v>20837.0</v>
      </c>
      <c r="B17" s="8" t="s">
        <v>20</v>
      </c>
      <c r="C17" s="11" t="s">
        <v>15468</v>
      </c>
      <c r="D17" s="8" t="s">
        <v>15443</v>
      </c>
      <c r="E17" s="8" t="s">
        <v>15455</v>
      </c>
      <c r="H17" s="12" t="s">
        <v>15456</v>
      </c>
    </row>
    <row r="18">
      <c r="A18" s="37">
        <v>19139.0</v>
      </c>
      <c r="B18" s="8" t="s">
        <v>20</v>
      </c>
      <c r="C18" s="11" t="s">
        <v>15469</v>
      </c>
      <c r="D18" s="8" t="s">
        <v>15443</v>
      </c>
      <c r="E18" s="8" t="s">
        <v>15455</v>
      </c>
      <c r="H18" s="12" t="s">
        <v>15470</v>
      </c>
    </row>
    <row r="19">
      <c r="A19" s="37">
        <v>9382.0</v>
      </c>
      <c r="B19" s="8" t="s">
        <v>20</v>
      </c>
      <c r="C19" s="11" t="s">
        <v>4572</v>
      </c>
      <c r="D19" s="8" t="s">
        <v>15443</v>
      </c>
      <c r="E19" s="8" t="s">
        <v>15455</v>
      </c>
      <c r="H19" s="12" t="s">
        <v>15471</v>
      </c>
    </row>
    <row r="20">
      <c r="A20" s="37">
        <v>9373.0</v>
      </c>
      <c r="B20" s="8" t="s">
        <v>20</v>
      </c>
      <c r="C20" s="11" t="s">
        <v>1106</v>
      </c>
      <c r="D20" s="8" t="s">
        <v>15443</v>
      </c>
      <c r="E20" s="8" t="s">
        <v>15455</v>
      </c>
      <c r="J20" s="12" t="s">
        <v>15472</v>
      </c>
    </row>
    <row r="21">
      <c r="A21" s="37">
        <v>9356.0</v>
      </c>
      <c r="B21" s="8" t="s">
        <v>20</v>
      </c>
      <c r="C21" s="11" t="s">
        <v>3861</v>
      </c>
      <c r="D21" s="8" t="s">
        <v>15443</v>
      </c>
      <c r="E21" s="8" t="s">
        <v>15455</v>
      </c>
      <c r="H21" s="12" t="s">
        <v>15473</v>
      </c>
    </row>
    <row r="22">
      <c r="A22" s="37">
        <v>9325.0</v>
      </c>
      <c r="B22" s="8" t="s">
        <v>20</v>
      </c>
      <c r="C22" s="11" t="s">
        <v>13870</v>
      </c>
      <c r="D22" s="8" t="s">
        <v>15443</v>
      </c>
      <c r="E22" s="8" t="s">
        <v>15455</v>
      </c>
      <c r="H22" s="12" t="s">
        <v>15474</v>
      </c>
      <c r="J22" s="12" t="s">
        <v>15475</v>
      </c>
    </row>
    <row r="23">
      <c r="A23" s="37">
        <v>9316.0</v>
      </c>
      <c r="B23" s="8" t="s">
        <v>20</v>
      </c>
      <c r="C23" s="11" t="s">
        <v>15476</v>
      </c>
      <c r="D23" s="8" t="s">
        <v>15443</v>
      </c>
      <c r="E23" s="8" t="s">
        <v>15455</v>
      </c>
      <c r="J23" s="12" t="s">
        <v>15477</v>
      </c>
    </row>
    <row r="24">
      <c r="A24" s="37">
        <v>9230.0</v>
      </c>
      <c r="B24" s="8" t="s">
        <v>20</v>
      </c>
      <c r="C24" s="11" t="s">
        <v>15478</v>
      </c>
      <c r="D24" s="8" t="s">
        <v>15443</v>
      </c>
      <c r="E24" s="8" t="s">
        <v>15479</v>
      </c>
      <c r="J24" s="12" t="s">
        <v>15480</v>
      </c>
    </row>
    <row r="25">
      <c r="B25" s="8" t="s">
        <v>20</v>
      </c>
      <c r="C25" s="11" t="s">
        <v>15481</v>
      </c>
      <c r="D25" s="8" t="s">
        <v>15443</v>
      </c>
      <c r="E25" s="8" t="s">
        <v>15455</v>
      </c>
      <c r="H25" s="12" t="s">
        <v>15482</v>
      </c>
    </row>
    <row r="26">
      <c r="B26" s="8" t="s">
        <v>20</v>
      </c>
      <c r="C26" s="8" t="s">
        <v>2052</v>
      </c>
      <c r="D26" s="8" t="s">
        <v>15443</v>
      </c>
      <c r="E26" s="8" t="s">
        <v>15455</v>
      </c>
      <c r="H26" s="12" t="s">
        <v>15483</v>
      </c>
    </row>
    <row r="27">
      <c r="B27" s="8" t="s">
        <v>20</v>
      </c>
      <c r="C27" s="8" t="s">
        <v>10788</v>
      </c>
      <c r="D27" s="8" t="s">
        <v>15443</v>
      </c>
      <c r="E27" s="8" t="s">
        <v>15455</v>
      </c>
      <c r="H27" s="12" t="s">
        <v>15484</v>
      </c>
    </row>
    <row r="28">
      <c r="B28" s="8" t="s">
        <v>20</v>
      </c>
      <c r="C28" s="8" t="s">
        <v>15485</v>
      </c>
      <c r="D28" s="8" t="s">
        <v>15443</v>
      </c>
      <c r="E28" s="8" t="s">
        <v>15455</v>
      </c>
      <c r="H28" s="12" t="s">
        <v>15486</v>
      </c>
    </row>
    <row r="29">
      <c r="B29" s="8" t="s">
        <v>20</v>
      </c>
      <c r="C29" s="8" t="s">
        <v>15487</v>
      </c>
      <c r="D29" s="8" t="s">
        <v>15443</v>
      </c>
      <c r="E29" s="8" t="s">
        <v>15455</v>
      </c>
      <c r="H29" s="12" t="s">
        <v>15488</v>
      </c>
    </row>
    <row r="30">
      <c r="B30" s="8" t="s">
        <v>20</v>
      </c>
      <c r="C30" s="8" t="s">
        <v>882</v>
      </c>
      <c r="D30" s="8" t="s">
        <v>15443</v>
      </c>
      <c r="E30" s="8" t="s">
        <v>15452</v>
      </c>
      <c r="H30" s="12" t="s">
        <v>15489</v>
      </c>
    </row>
    <row r="31">
      <c r="B31" s="8" t="s">
        <v>20</v>
      </c>
      <c r="C31" s="8" t="s">
        <v>15476</v>
      </c>
      <c r="D31" s="8" t="s">
        <v>15443</v>
      </c>
      <c r="E31" s="8" t="s">
        <v>15455</v>
      </c>
      <c r="H31" s="9" t="s">
        <v>15490</v>
      </c>
      <c r="I31" s="9" t="s">
        <v>15491</v>
      </c>
      <c r="J31" s="12" t="s">
        <v>15477</v>
      </c>
    </row>
    <row r="32">
      <c r="B32" s="8" t="s">
        <v>720</v>
      </c>
      <c r="C32" s="8" t="s">
        <v>6488</v>
      </c>
      <c r="D32" s="8" t="s">
        <v>15443</v>
      </c>
      <c r="E32" s="8" t="s">
        <v>15455</v>
      </c>
      <c r="H32" s="12" t="s">
        <v>15492</v>
      </c>
      <c r="J32" s="12" t="s">
        <v>15493</v>
      </c>
    </row>
    <row r="33">
      <c r="B33" s="8" t="s">
        <v>20</v>
      </c>
      <c r="C33" s="8" t="s">
        <v>15494</v>
      </c>
      <c r="D33" s="8" t="s">
        <v>15443</v>
      </c>
      <c r="E33" s="8" t="s">
        <v>15455</v>
      </c>
      <c r="H33" s="12" t="s">
        <v>15495</v>
      </c>
      <c r="I33" s="12" t="s">
        <v>15496</v>
      </c>
    </row>
    <row r="34">
      <c r="B34" s="8" t="s">
        <v>20</v>
      </c>
      <c r="C34" s="8" t="s">
        <v>2212</v>
      </c>
      <c r="D34" s="8" t="s">
        <v>15443</v>
      </c>
      <c r="E34" s="8" t="s">
        <v>15455</v>
      </c>
      <c r="H34" s="12" t="s">
        <v>15497</v>
      </c>
    </row>
    <row r="35">
      <c r="B35" s="8" t="s">
        <v>20</v>
      </c>
      <c r="C35" s="8" t="s">
        <v>3209</v>
      </c>
      <c r="D35" s="8" t="s">
        <v>15443</v>
      </c>
      <c r="E35" s="8" t="s">
        <v>15452</v>
      </c>
      <c r="H35" s="12" t="s">
        <v>15498</v>
      </c>
    </row>
    <row r="36">
      <c r="B36" s="8" t="s">
        <v>20</v>
      </c>
      <c r="C36" s="11" t="s">
        <v>15499</v>
      </c>
      <c r="D36" s="8" t="s">
        <v>15443</v>
      </c>
      <c r="E36" s="8" t="s">
        <v>15455</v>
      </c>
      <c r="H36" s="12" t="s">
        <v>15500</v>
      </c>
    </row>
    <row r="37">
      <c r="B37" s="8" t="s">
        <v>20</v>
      </c>
      <c r="C37" s="8" t="s">
        <v>3662</v>
      </c>
      <c r="D37" s="8" t="s">
        <v>15443</v>
      </c>
      <c r="E37" s="8" t="s">
        <v>15501</v>
      </c>
      <c r="H37" s="12" t="s">
        <v>15502</v>
      </c>
    </row>
    <row r="38">
      <c r="B38" s="8" t="s">
        <v>20</v>
      </c>
      <c r="C38" s="11" t="s">
        <v>8744</v>
      </c>
      <c r="D38" s="8" t="s">
        <v>15443</v>
      </c>
      <c r="E38" s="8" t="s">
        <v>15455</v>
      </c>
      <c r="H38" s="12" t="s">
        <v>15503</v>
      </c>
    </row>
    <row r="39">
      <c r="B39" s="8" t="s">
        <v>20</v>
      </c>
      <c r="C39" s="11" t="s">
        <v>15504</v>
      </c>
      <c r="D39" s="8" t="s">
        <v>15443</v>
      </c>
      <c r="E39" s="8" t="s">
        <v>15501</v>
      </c>
      <c r="H39" s="12" t="s">
        <v>15505</v>
      </c>
    </row>
    <row r="40">
      <c r="B40" s="8" t="s">
        <v>20</v>
      </c>
      <c r="C40" s="8" t="s">
        <v>15506</v>
      </c>
      <c r="D40" s="8" t="s">
        <v>15443</v>
      </c>
      <c r="E40" s="8" t="s">
        <v>15455</v>
      </c>
      <c r="H40" s="12" t="s">
        <v>15507</v>
      </c>
    </row>
    <row r="41">
      <c r="B41" s="8" t="s">
        <v>720</v>
      </c>
      <c r="C41" s="8" t="s">
        <v>4478</v>
      </c>
      <c r="D41" s="8" t="s">
        <v>15443</v>
      </c>
      <c r="E41" s="8" t="s">
        <v>15455</v>
      </c>
      <c r="H41" s="12" t="s">
        <v>15508</v>
      </c>
    </row>
    <row r="42">
      <c r="B42" s="8" t="s">
        <v>720</v>
      </c>
      <c r="C42" s="8" t="s">
        <v>15509</v>
      </c>
      <c r="D42" s="8" t="s">
        <v>15443</v>
      </c>
      <c r="E42" s="8" t="s">
        <v>245</v>
      </c>
      <c r="H42" s="12" t="s">
        <v>15510</v>
      </c>
      <c r="I42" s="12" t="s">
        <v>15511</v>
      </c>
    </row>
    <row r="43">
      <c r="B43" s="8" t="s">
        <v>20</v>
      </c>
      <c r="C43" s="8" t="s">
        <v>15512</v>
      </c>
      <c r="D43" s="8" t="s">
        <v>15443</v>
      </c>
      <c r="E43" s="8" t="s">
        <v>15455</v>
      </c>
      <c r="H43" s="12" t="s">
        <v>15513</v>
      </c>
    </row>
    <row r="44">
      <c r="B44" s="8" t="s">
        <v>20</v>
      </c>
      <c r="C44" s="8" t="s">
        <v>15514</v>
      </c>
      <c r="D44" s="8" t="s">
        <v>15443</v>
      </c>
      <c r="E44" s="8" t="s">
        <v>15455</v>
      </c>
      <c r="H44" s="12" t="s">
        <v>15515</v>
      </c>
      <c r="I44" s="12" t="s">
        <v>15516</v>
      </c>
    </row>
    <row r="45">
      <c r="B45" s="8" t="s">
        <v>20</v>
      </c>
      <c r="C45" s="8" t="s">
        <v>15517</v>
      </c>
      <c r="D45" s="8" t="s">
        <v>15443</v>
      </c>
      <c r="E45" s="8" t="s">
        <v>15455</v>
      </c>
      <c r="H45" s="12" t="s">
        <v>15518</v>
      </c>
    </row>
    <row r="46">
      <c r="B46" s="8" t="s">
        <v>20</v>
      </c>
      <c r="C46" s="8" t="s">
        <v>15519</v>
      </c>
      <c r="D46" s="8" t="s">
        <v>15443</v>
      </c>
      <c r="E46" s="8" t="s">
        <v>15455</v>
      </c>
      <c r="H46" s="12" t="s">
        <v>15520</v>
      </c>
    </row>
    <row r="47">
      <c r="B47" s="8" t="s">
        <v>720</v>
      </c>
      <c r="C47" s="8" t="s">
        <v>7198</v>
      </c>
      <c r="D47" s="8" t="s">
        <v>15443</v>
      </c>
      <c r="E47" s="8" t="s">
        <v>15455</v>
      </c>
      <c r="H47" s="12" t="s">
        <v>15521</v>
      </c>
    </row>
    <row r="48">
      <c r="B48" s="8" t="s">
        <v>720</v>
      </c>
      <c r="C48" s="8" t="s">
        <v>2552</v>
      </c>
      <c r="D48" s="8" t="s">
        <v>15443</v>
      </c>
      <c r="E48" s="8" t="s">
        <v>15455</v>
      </c>
      <c r="H48" s="12" t="s">
        <v>15522</v>
      </c>
    </row>
    <row r="49">
      <c r="B49" s="8" t="s">
        <v>20</v>
      </c>
      <c r="D49" s="8" t="s">
        <v>15443</v>
      </c>
    </row>
    <row r="50">
      <c r="B50" s="8" t="s">
        <v>20</v>
      </c>
      <c r="D50" s="8" t="s">
        <v>15443</v>
      </c>
    </row>
    <row r="51">
      <c r="B51" s="8" t="s">
        <v>20</v>
      </c>
      <c r="D51" s="8" t="s">
        <v>15443</v>
      </c>
    </row>
    <row r="52">
      <c r="B52" s="8" t="s">
        <v>20</v>
      </c>
      <c r="D52" s="8" t="s">
        <v>15443</v>
      </c>
    </row>
    <row r="53">
      <c r="B53" s="8" t="s">
        <v>20</v>
      </c>
      <c r="D53" s="8" t="s">
        <v>15443</v>
      </c>
    </row>
    <row r="54">
      <c r="B54" s="8" t="s">
        <v>20</v>
      </c>
      <c r="D54" s="8" t="s">
        <v>15443</v>
      </c>
    </row>
    <row r="55">
      <c r="B55" s="8" t="s">
        <v>20</v>
      </c>
      <c r="D55" s="8" t="s">
        <v>15443</v>
      </c>
    </row>
    <row r="56">
      <c r="B56" s="8" t="s">
        <v>20</v>
      </c>
      <c r="D56" s="8" t="s">
        <v>15443</v>
      </c>
    </row>
    <row r="57">
      <c r="B57" s="8" t="s">
        <v>20</v>
      </c>
      <c r="D57" s="8" t="s">
        <v>15443</v>
      </c>
    </row>
    <row r="58">
      <c r="B58" s="8" t="s">
        <v>20</v>
      </c>
      <c r="D58" s="8" t="s">
        <v>15443</v>
      </c>
    </row>
  </sheetData>
  <conditionalFormatting sqref="A1:AD1">
    <cfRule type="notContainsBlanks" dxfId="0" priority="1">
      <formula>LEN(TRIM(A1))&gt;0</formula>
    </cfRule>
  </conditionalFormatting>
  <hyperlinks>
    <hyperlink r:id="rId1" ref="H2"/>
    <hyperlink r:id="rId2" ref="H3"/>
    <hyperlink r:id="rId3" ref="I3"/>
    <hyperlink r:id="rId4" ref="H4"/>
    <hyperlink r:id="rId5" ref="H5"/>
    <hyperlink r:id="rId6" ref="H6"/>
    <hyperlink r:id="rId7" ref="H7"/>
    <hyperlink r:id="rId8" ref="H8"/>
    <hyperlink r:id="rId9" ref="H9"/>
    <hyperlink r:id="rId10" ref="H10"/>
    <hyperlink r:id="rId11" ref="H11"/>
    <hyperlink r:id="rId12" ref="H12"/>
    <hyperlink r:id="rId13" ref="J13"/>
    <hyperlink r:id="rId14" ref="H14"/>
    <hyperlink r:id="rId15" ref="J15"/>
    <hyperlink r:id="rId16" ref="H16"/>
    <hyperlink r:id="rId17" ref="H17"/>
    <hyperlink r:id="rId18" ref="H18"/>
    <hyperlink r:id="rId19" ref="H19"/>
    <hyperlink r:id="rId20" ref="J20"/>
    <hyperlink r:id="rId21" ref="H21"/>
    <hyperlink r:id="rId22" ref="H22"/>
    <hyperlink r:id="rId23" ref="J22"/>
    <hyperlink r:id="rId24" ref="J23"/>
    <hyperlink r:id="rId25" ref="J24"/>
    <hyperlink r:id="rId26" ref="H25"/>
    <hyperlink r:id="rId27" ref="H26"/>
    <hyperlink r:id="rId28" ref="H27"/>
    <hyperlink r:id="rId29" ref="H28"/>
    <hyperlink r:id="rId30" ref="H29"/>
    <hyperlink r:id="rId31" ref="H30"/>
    <hyperlink r:id="rId32" ref="H31"/>
    <hyperlink r:id="rId33" ref="I31"/>
    <hyperlink r:id="rId34" ref="J31"/>
    <hyperlink r:id="rId35" ref="H32"/>
    <hyperlink r:id="rId36" ref="J32"/>
    <hyperlink r:id="rId37" ref="H33"/>
    <hyperlink r:id="rId38" ref="I33"/>
    <hyperlink r:id="rId39" ref="H34"/>
    <hyperlink r:id="rId40" ref="H35"/>
    <hyperlink r:id="rId41" ref="H36"/>
    <hyperlink r:id="rId42" ref="H37"/>
    <hyperlink r:id="rId43" ref="H38"/>
    <hyperlink r:id="rId44" ref="H39"/>
    <hyperlink r:id="rId45" ref="H40"/>
    <hyperlink r:id="rId46" ref="H41"/>
    <hyperlink r:id="rId47" ref="H42"/>
    <hyperlink r:id="rId48" ref="I42"/>
    <hyperlink r:id="rId49" ref="H43"/>
    <hyperlink r:id="rId50" ref="H44"/>
    <hyperlink r:id="rId51" ref="I44"/>
    <hyperlink r:id="rId52" ref="H45"/>
    <hyperlink r:id="rId53" ref="H46"/>
    <hyperlink r:id="rId54" ref="H47"/>
    <hyperlink r:id="rId55" ref="H48"/>
  </hyperlinks>
  <drawing r:id="rId56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2" width="3.75"/>
    <col customWidth="1" min="3" max="3" width="14.88"/>
    <col customWidth="1" min="4" max="7" width="5.88"/>
    <col customWidth="1" min="8" max="9" width="36.88"/>
    <col customWidth="1" min="10" max="10" width="5.25"/>
    <col customWidth="1" min="11" max="11" width="4.88"/>
    <col customWidth="1" min="12" max="12" width="18.75"/>
    <col customWidth="1" min="13" max="13" width="7.25"/>
  </cols>
  <sheetData>
    <row r="1" ht="17.25" customHeight="1">
      <c r="A1" s="8" t="s">
        <v>19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>
      <c r="A2" s="8"/>
      <c r="B2" s="8" t="s">
        <v>20</v>
      </c>
      <c r="C2" s="8" t="s">
        <v>341</v>
      </c>
      <c r="D2" s="8" t="s">
        <v>15523</v>
      </c>
      <c r="E2" s="8" t="s">
        <v>15524</v>
      </c>
      <c r="H2" s="12" t="s">
        <v>15525</v>
      </c>
      <c r="I2" s="12" t="s">
        <v>15526</v>
      </c>
    </row>
    <row r="3">
      <c r="A3" s="8"/>
      <c r="B3" s="8" t="s">
        <v>20</v>
      </c>
      <c r="C3" s="8" t="s">
        <v>1274</v>
      </c>
      <c r="D3" s="8" t="s">
        <v>15523</v>
      </c>
      <c r="E3" s="8" t="s">
        <v>15527</v>
      </c>
      <c r="H3" s="12" t="s">
        <v>15528</v>
      </c>
      <c r="I3" s="12" t="s">
        <v>15529</v>
      </c>
      <c r="L3" s="12" t="s">
        <v>15530</v>
      </c>
      <c r="N3" s="8" t="s">
        <v>2888</v>
      </c>
    </row>
    <row r="4">
      <c r="A4" s="8"/>
      <c r="B4" s="8" t="s">
        <v>20</v>
      </c>
      <c r="C4" s="8" t="s">
        <v>15531</v>
      </c>
      <c r="D4" s="8" t="s">
        <v>15532</v>
      </c>
      <c r="E4" s="8"/>
      <c r="H4" s="12" t="s">
        <v>15533</v>
      </c>
      <c r="I4" s="12" t="s">
        <v>15534</v>
      </c>
    </row>
    <row r="5">
      <c r="A5" s="8"/>
      <c r="B5" s="8" t="s">
        <v>20</v>
      </c>
      <c r="C5" s="8" t="s">
        <v>15535</v>
      </c>
      <c r="D5" s="8" t="s">
        <v>83</v>
      </c>
      <c r="E5" s="8" t="s">
        <v>15536</v>
      </c>
      <c r="H5" s="12" t="s">
        <v>15537</v>
      </c>
    </row>
    <row r="6">
      <c r="A6" s="8"/>
      <c r="B6" s="8" t="s">
        <v>20</v>
      </c>
      <c r="C6" s="8" t="s">
        <v>3122</v>
      </c>
      <c r="D6" s="8" t="s">
        <v>83</v>
      </c>
      <c r="E6" s="8" t="s">
        <v>15536</v>
      </c>
      <c r="H6" s="12" t="s">
        <v>15538</v>
      </c>
    </row>
    <row r="7">
      <c r="A7" s="8"/>
      <c r="B7" s="8" t="s">
        <v>20</v>
      </c>
      <c r="C7" s="8" t="s">
        <v>3186</v>
      </c>
      <c r="D7" s="8" t="s">
        <v>83</v>
      </c>
      <c r="E7" s="8" t="s">
        <v>1274</v>
      </c>
      <c r="H7" s="12" t="s">
        <v>15539</v>
      </c>
    </row>
    <row r="8">
      <c r="B8" s="8" t="s">
        <v>15540</v>
      </c>
      <c r="C8" s="8" t="s">
        <v>15541</v>
      </c>
      <c r="D8" s="8" t="s">
        <v>15542</v>
      </c>
      <c r="E8" s="8" t="s">
        <v>15543</v>
      </c>
      <c r="H8" s="12" t="s">
        <v>15544</v>
      </c>
      <c r="K8" s="12" t="s">
        <v>15545</v>
      </c>
    </row>
    <row r="9">
      <c r="B9" s="8" t="s">
        <v>20</v>
      </c>
      <c r="C9" s="384" t="s">
        <v>15546</v>
      </c>
      <c r="D9" s="8" t="s">
        <v>15532</v>
      </c>
      <c r="E9" s="8" t="s">
        <v>15547</v>
      </c>
      <c r="H9" s="12" t="s">
        <v>15548</v>
      </c>
      <c r="I9" s="12" t="s">
        <v>15549</v>
      </c>
      <c r="K9" s="12" t="s">
        <v>15550</v>
      </c>
    </row>
    <row r="10">
      <c r="B10" s="8" t="s">
        <v>17</v>
      </c>
      <c r="C10" s="21" t="s">
        <v>171</v>
      </c>
      <c r="D10" s="8" t="s">
        <v>83</v>
      </c>
      <c r="E10" s="8" t="s">
        <v>15551</v>
      </c>
      <c r="H10" s="9" t="s">
        <v>172</v>
      </c>
      <c r="J10" s="12" t="s">
        <v>15552</v>
      </c>
    </row>
  </sheetData>
  <conditionalFormatting sqref="A1:AD1">
    <cfRule type="notContainsBlanks" dxfId="0" priority="1">
      <formula>LEN(TRIM(A1))&gt;0</formula>
    </cfRule>
  </conditionalFormatting>
  <hyperlinks>
    <hyperlink r:id="rId1" ref="H2"/>
    <hyperlink r:id="rId2" ref="I2"/>
    <hyperlink r:id="rId3" ref="H3"/>
    <hyperlink r:id="rId4" ref="I3"/>
    <hyperlink r:id="rId5" ref="L3"/>
    <hyperlink r:id="rId6" ref="H4"/>
    <hyperlink r:id="rId7" ref="I4"/>
    <hyperlink r:id="rId8" ref="H5"/>
    <hyperlink r:id="rId9" ref="H6"/>
    <hyperlink r:id="rId10" ref="H7"/>
    <hyperlink r:id="rId11" ref="H8"/>
    <hyperlink r:id="rId12" ref="K8"/>
    <hyperlink r:id="rId13" ref="H9"/>
    <hyperlink r:id="rId14" ref="I9"/>
    <hyperlink r:id="rId15" ref="K9"/>
    <hyperlink r:id="rId16" ref="H10"/>
    <hyperlink r:id="rId17" ref="J10"/>
  </hyperlinks>
  <drawing r:id="rId18"/>
</worksheet>
</file>